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updateLinks="always"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9bcf94a79d2420e/Desktop/"/>
    </mc:Choice>
  </mc:AlternateContent>
  <xr:revisionPtr revIDLastSave="0" documentId="8_{9FA6972D-0CB9-4767-8E7D-5D23335EEE66}" xr6:coauthVersionLast="47" xr6:coauthVersionMax="47" xr10:uidLastSave="{00000000-0000-0000-0000-000000000000}"/>
  <bookViews>
    <workbookView xWindow="38290" yWindow="-70" windowWidth="19420" windowHeight="10300" tabRatio="898" firstSheet="2" activeTab="2" xr2:uid="{16275F87-002A-4FAE-9C78-C3AE072ED010}"/>
  </bookViews>
  <sheets>
    <sheet name="SF_Output" sheetId="1" state="hidden" r:id="rId1"/>
    <sheet name="Balancing" sheetId="49" state="hidden" r:id="rId2"/>
    <sheet name="DeleteThisPageThenSave" sheetId="56" r:id="rId3"/>
    <sheet name="Proposal_1" sheetId="7" r:id="rId4"/>
    <sheet name="Proposal_2" sheetId="46" r:id="rId5"/>
    <sheet name="Proposal_3" sheetId="47" r:id="rId6"/>
    <sheet name="Summary" sheetId="10" r:id="rId7"/>
    <sheet name="Client Version" sheetId="11" r:id="rId8"/>
    <sheet name="Prospect Version" sheetId="41" r:id="rId9"/>
    <sheet name="Current Monthly" sheetId="44" r:id="rId10"/>
    <sheet name="Current Annual" sheetId="51" r:id="rId11"/>
    <sheet name="Billing_Fallout" sheetId="43" r:id="rId12"/>
    <sheet name="Data" sheetId="52" r:id="rId13"/>
    <sheet name="Product_Summary" sheetId="55" r:id="rId14"/>
    <sheet name="H_Tables" sheetId="5" state="hidden" r:id="rId15"/>
  </sheets>
  <externalReferences>
    <externalReference r:id="rId16"/>
    <externalReference r:id="rId17"/>
    <externalReference r:id="rId18"/>
  </externalReferences>
  <definedNames>
    <definedName name="_xlnm._FilterDatabase" localSheetId="1" hidden="1">Balancing!$B$2:$V$2</definedName>
    <definedName name="_xlnm._FilterDatabase" localSheetId="11" hidden="1">Billing_Fallout!$A$2:$O$350</definedName>
    <definedName name="_xlnm._FilterDatabase" localSheetId="14" hidden="1">H_Tables!$A$1:$C$378</definedName>
    <definedName name="_xlnm._FilterDatabase" localSheetId="3" hidden="1">Proposal_1!$B$13:$BF$250</definedName>
    <definedName name="_xlnm._FilterDatabase" localSheetId="4" hidden="1">Proposal_2!$B$13:$BF$250</definedName>
    <definedName name="_xlnm._FilterDatabase" localSheetId="5" hidden="1">Proposal_3!$B$13:$BF$250</definedName>
    <definedName name="_xlnm._FilterDatabase" localSheetId="0" hidden="1">SF_Output!$A$1:$AD$1</definedName>
    <definedName name="ChgType">SF_Output!$L1048566:$L988</definedName>
    <definedName name="Delivery">SF_Output!$O1048566:$O988</definedName>
    <definedName name="Description">SF_Output!$M1048566:$M988</definedName>
    <definedName name="Disc">SF_Output!$T1048566:$T988</definedName>
    <definedName name="extid">SF_Output!$J1048566:$J988</definedName>
    <definedName name="Freq">SF_Output!$Q1048566:$Q988</definedName>
    <definedName name="List">SF_Output!$S1048566:$S988</definedName>
    <definedName name="OType">SF_Output!$N1048566:$N988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23" i="7" l="1"/>
  <c r="R300" i="51"/>
  <c r="N300" i="51"/>
  <c r="O300" i="51" s="1"/>
  <c r="P300" i="51" s="1"/>
  <c r="J300" i="51"/>
  <c r="H300" i="51" a="1"/>
  <c r="H300" i="51" s="1"/>
  <c r="V300" i="51" s="1" a="1"/>
  <c r="V300" i="51" s="1"/>
  <c r="G300" i="51"/>
  <c r="S300" i="51" s="1"/>
  <c r="T300" i="51" s="1"/>
  <c r="F300" i="51"/>
  <c r="R299" i="51"/>
  <c r="O299" i="51"/>
  <c r="P299" i="51" s="1"/>
  <c r="N299" i="51"/>
  <c r="J299" i="51"/>
  <c r="H299" i="51" a="1"/>
  <c r="H299" i="51" s="1"/>
  <c r="G299" i="51"/>
  <c r="F299" i="51"/>
  <c r="R298" i="51"/>
  <c r="N298" i="51"/>
  <c r="O298" i="51" s="1"/>
  <c r="P298" i="51" s="1"/>
  <c r="J298" i="51"/>
  <c r="H298" i="51" a="1"/>
  <c r="H298" i="51" s="1"/>
  <c r="V298" i="51" s="1" a="1"/>
  <c r="V298" i="51" s="1"/>
  <c r="G298" i="51"/>
  <c r="S298" i="51" s="1"/>
  <c r="T298" i="51" s="1"/>
  <c r="F298" i="51"/>
  <c r="R297" i="51"/>
  <c r="N297" i="51"/>
  <c r="O297" i="51" s="1"/>
  <c r="P297" i="51" s="1"/>
  <c r="J297" i="51"/>
  <c r="H297" i="51" a="1"/>
  <c r="H297" i="51" s="1"/>
  <c r="G297" i="51"/>
  <c r="F297" i="51"/>
  <c r="V296" i="51" a="1"/>
  <c r="V296" i="51" s="1"/>
  <c r="R296" i="51"/>
  <c r="N296" i="51"/>
  <c r="O296" i="51" s="1"/>
  <c r="P296" i="51" s="1"/>
  <c r="J296" i="51"/>
  <c r="H296" i="51" a="1"/>
  <c r="H296" i="51" s="1"/>
  <c r="I296" i="51" s="1"/>
  <c r="G296" i="51"/>
  <c r="K296" i="51" s="1"/>
  <c r="L296" i="51" s="1"/>
  <c r="F296" i="51"/>
  <c r="R295" i="51"/>
  <c r="N295" i="51"/>
  <c r="O295" i="51" s="1"/>
  <c r="P295" i="51" s="1"/>
  <c r="J295" i="51"/>
  <c r="K295" i="51" s="1"/>
  <c r="L295" i="51" s="1"/>
  <c r="H295" i="51" a="1"/>
  <c r="H295" i="51" s="1"/>
  <c r="I295" i="51" s="1"/>
  <c r="G295" i="51"/>
  <c r="F295" i="51"/>
  <c r="R294" i="51"/>
  <c r="N294" i="51"/>
  <c r="O294" i="51" s="1"/>
  <c r="P294" i="51" s="1"/>
  <c r="J294" i="51"/>
  <c r="K294" i="51" s="1"/>
  <c r="L294" i="51" s="1"/>
  <c r="H294" i="51" a="1"/>
  <c r="H294" i="51" s="1"/>
  <c r="V294" i="51" s="1" a="1"/>
  <c r="V294" i="51" s="1"/>
  <c r="W294" i="51" s="1" a="1"/>
  <c r="W294" i="51" s="1"/>
  <c r="G294" i="51"/>
  <c r="S294" i="51" s="1"/>
  <c r="T294" i="51" s="1"/>
  <c r="F294" i="51"/>
  <c r="R293" i="51"/>
  <c r="N293" i="51"/>
  <c r="O293" i="51" s="1"/>
  <c r="P293" i="51" s="1"/>
  <c r="J293" i="51"/>
  <c r="K293" i="51" s="1"/>
  <c r="L293" i="51" s="1"/>
  <c r="H293" i="51" a="1"/>
  <c r="H293" i="51" s="1"/>
  <c r="G293" i="51"/>
  <c r="S293" i="51" s="1"/>
  <c r="T293" i="51" s="1"/>
  <c r="F293" i="51"/>
  <c r="S292" i="51"/>
  <c r="T292" i="51" s="1"/>
  <c r="R292" i="51"/>
  <c r="N292" i="51"/>
  <c r="O292" i="51" s="1"/>
  <c r="P292" i="51" s="1"/>
  <c r="J292" i="51"/>
  <c r="K292" i="51" s="1"/>
  <c r="L292" i="51" s="1"/>
  <c r="H292" i="51" a="1"/>
  <c r="H292" i="51" s="1"/>
  <c r="G292" i="51"/>
  <c r="F292" i="51"/>
  <c r="R291" i="51"/>
  <c r="N291" i="51"/>
  <c r="O291" i="51" s="1"/>
  <c r="P291" i="51" s="1"/>
  <c r="J291" i="51"/>
  <c r="H291" i="51" a="1"/>
  <c r="H291" i="51" s="1"/>
  <c r="G291" i="51"/>
  <c r="F291" i="51"/>
  <c r="R290" i="51"/>
  <c r="N290" i="51"/>
  <c r="O290" i="51" s="1"/>
  <c r="P290" i="51" s="1"/>
  <c r="J290" i="51"/>
  <c r="K290" i="51" s="1"/>
  <c r="L290" i="51" s="1"/>
  <c r="H290" i="51" a="1"/>
  <c r="H290" i="51" s="1"/>
  <c r="V290" i="51" s="1" a="1"/>
  <c r="V290" i="51" s="1"/>
  <c r="G290" i="51"/>
  <c r="S290" i="51" s="1"/>
  <c r="T290" i="51" s="1"/>
  <c r="F290" i="51"/>
  <c r="R289" i="51"/>
  <c r="N289" i="51"/>
  <c r="O289" i="51" s="1"/>
  <c r="P289" i="51" s="1"/>
  <c r="J289" i="51"/>
  <c r="H289" i="51" a="1"/>
  <c r="H289" i="51" s="1"/>
  <c r="G289" i="51"/>
  <c r="F289" i="51"/>
  <c r="R288" i="51"/>
  <c r="N288" i="51"/>
  <c r="O288" i="51" s="1"/>
  <c r="P288" i="51" s="1"/>
  <c r="K288" i="51"/>
  <c r="L288" i="51" s="1"/>
  <c r="J288" i="51"/>
  <c r="H288" i="51" a="1"/>
  <c r="H288" i="51" s="1"/>
  <c r="I288" i="51" s="1"/>
  <c r="G288" i="51"/>
  <c r="S288" i="51" s="1"/>
  <c r="T288" i="51" s="1"/>
  <c r="F288" i="51"/>
  <c r="R287" i="51"/>
  <c r="O287" i="51"/>
  <c r="P287" i="51" s="1"/>
  <c r="N287" i="51"/>
  <c r="K287" i="51"/>
  <c r="L287" i="51" s="1"/>
  <c r="J287" i="51"/>
  <c r="H287" i="51"/>
  <c r="H287" i="51" a="1"/>
  <c r="G287" i="51"/>
  <c r="F287" i="51"/>
  <c r="V286" i="51" a="1"/>
  <c r="V286" i="51" s="1"/>
  <c r="R286" i="51"/>
  <c r="N286" i="51"/>
  <c r="O286" i="51" s="1"/>
  <c r="P286" i="51" s="1"/>
  <c r="J286" i="51"/>
  <c r="H286" i="51" a="1"/>
  <c r="H286" i="51" s="1"/>
  <c r="I286" i="51" s="1"/>
  <c r="G286" i="51"/>
  <c r="S286" i="51" s="1"/>
  <c r="T286" i="51" s="1"/>
  <c r="F286" i="51"/>
  <c r="R285" i="51"/>
  <c r="N285" i="51"/>
  <c r="O285" i="51" s="1"/>
  <c r="P285" i="51" s="1"/>
  <c r="J285" i="51"/>
  <c r="H285" i="51" a="1"/>
  <c r="H285" i="51" s="1"/>
  <c r="G285" i="51"/>
  <c r="K285" i="51" s="1"/>
  <c r="L285" i="51" s="1"/>
  <c r="F285" i="51"/>
  <c r="R284" i="51"/>
  <c r="N284" i="51"/>
  <c r="O284" i="51" s="1"/>
  <c r="P284" i="51" s="1"/>
  <c r="J284" i="51"/>
  <c r="H284" i="51" a="1"/>
  <c r="H284" i="51" s="1"/>
  <c r="G284" i="51"/>
  <c r="K284" i="51" s="1"/>
  <c r="L284" i="51" s="1"/>
  <c r="F284" i="51"/>
  <c r="R283" i="51"/>
  <c r="O283" i="51"/>
  <c r="P283" i="51" s="1"/>
  <c r="N283" i="51"/>
  <c r="J283" i="51"/>
  <c r="H283" i="51" a="1"/>
  <c r="H283" i="51" s="1"/>
  <c r="G283" i="51"/>
  <c r="F283" i="51"/>
  <c r="R282" i="51"/>
  <c r="N282" i="51"/>
  <c r="O282" i="51" s="1"/>
  <c r="P282" i="51" s="1"/>
  <c r="J282" i="51"/>
  <c r="K282" i="51" s="1"/>
  <c r="L282" i="51" s="1"/>
  <c r="H282" i="51" a="1"/>
  <c r="H282" i="51" s="1"/>
  <c r="V282" i="51" s="1" a="1"/>
  <c r="V282" i="51" s="1"/>
  <c r="G282" i="51"/>
  <c r="S282" i="51" s="1"/>
  <c r="T282" i="51" s="1"/>
  <c r="F282" i="51"/>
  <c r="R281" i="51"/>
  <c r="N281" i="51"/>
  <c r="O281" i="51" s="1"/>
  <c r="P281" i="51" s="1"/>
  <c r="J281" i="51"/>
  <c r="H281" i="51" a="1"/>
  <c r="H281" i="51" s="1"/>
  <c r="G281" i="51"/>
  <c r="K281" i="51" s="1"/>
  <c r="L281" i="51" s="1"/>
  <c r="F281" i="51"/>
  <c r="V280" i="51" a="1"/>
  <c r="V280" i="51" s="1"/>
  <c r="R280" i="51"/>
  <c r="N280" i="51"/>
  <c r="O280" i="51" s="1"/>
  <c r="P280" i="51" s="1"/>
  <c r="J280" i="51"/>
  <c r="K280" i="51" s="1"/>
  <c r="L280" i="51" s="1"/>
  <c r="H280" i="51" a="1"/>
  <c r="H280" i="51" s="1"/>
  <c r="I280" i="51" s="1"/>
  <c r="G280" i="51"/>
  <c r="S280" i="51" s="1"/>
  <c r="T280" i="51" s="1"/>
  <c r="F280" i="51"/>
  <c r="R279" i="51"/>
  <c r="N279" i="51"/>
  <c r="O279" i="51" s="1"/>
  <c r="P279" i="51" s="1"/>
  <c r="J279" i="51"/>
  <c r="K279" i="51" s="1"/>
  <c r="L279" i="51" s="1"/>
  <c r="H279" i="51" a="1"/>
  <c r="H279" i="51" s="1"/>
  <c r="G279" i="51"/>
  <c r="F279" i="51"/>
  <c r="R278" i="51"/>
  <c r="S278" i="51" s="1"/>
  <c r="T278" i="51" s="1"/>
  <c r="N278" i="51"/>
  <c r="O278" i="51" s="1"/>
  <c r="P278" i="51" s="1"/>
  <c r="L278" i="51"/>
  <c r="J278" i="51"/>
  <c r="K278" i="51" s="1"/>
  <c r="H278" i="51" a="1"/>
  <c r="H278" i="51" s="1"/>
  <c r="I278" i="51" s="1"/>
  <c r="G278" i="51"/>
  <c r="F278" i="51"/>
  <c r="R277" i="51"/>
  <c r="N277" i="51"/>
  <c r="O277" i="51" s="1"/>
  <c r="P277" i="51" s="1"/>
  <c r="J277" i="51"/>
  <c r="H277" i="51"/>
  <c r="H277" i="51" a="1"/>
  <c r="G277" i="51"/>
  <c r="F277" i="51"/>
  <c r="S276" i="51"/>
  <c r="T276" i="51" s="1"/>
  <c r="R276" i="51"/>
  <c r="N276" i="51"/>
  <c r="O276" i="51" s="1"/>
  <c r="P276" i="51" s="1"/>
  <c r="K276" i="51"/>
  <c r="L276" i="51" s="1"/>
  <c r="J276" i="51"/>
  <c r="H276" i="51" a="1"/>
  <c r="H276" i="51" s="1"/>
  <c r="G276" i="51"/>
  <c r="F276" i="51"/>
  <c r="R275" i="51"/>
  <c r="N275" i="51"/>
  <c r="O275" i="51" s="1"/>
  <c r="P275" i="51" s="1"/>
  <c r="J275" i="51"/>
  <c r="H275" i="51"/>
  <c r="H275" i="51" a="1"/>
  <c r="G275" i="51"/>
  <c r="F275" i="51"/>
  <c r="R274" i="51"/>
  <c r="P274" i="51"/>
  <c r="N274" i="51"/>
  <c r="O274" i="51" s="1"/>
  <c r="J274" i="51"/>
  <c r="H274" i="51" a="1"/>
  <c r="H274" i="51" s="1"/>
  <c r="V274" i="51" s="1" a="1"/>
  <c r="V274" i="51" s="1"/>
  <c r="W274" i="51" s="1" a="1"/>
  <c r="W274" i="51" s="1"/>
  <c r="G274" i="51"/>
  <c r="S274" i="51" s="1"/>
  <c r="T274" i="51" s="1"/>
  <c r="F274" i="51"/>
  <c r="V273" i="51" a="1"/>
  <c r="V273" i="51" s="1"/>
  <c r="W273" i="51" s="1" a="1"/>
  <c r="W273" i="51" s="1"/>
  <c r="R273" i="51"/>
  <c r="O273" i="51"/>
  <c r="P273" i="51" s="1"/>
  <c r="N273" i="51"/>
  <c r="J273" i="51"/>
  <c r="H273" i="51" a="1"/>
  <c r="H273" i="51" s="1"/>
  <c r="I273" i="51" s="1"/>
  <c r="G273" i="51"/>
  <c r="S273" i="51" s="1"/>
  <c r="T273" i="51" s="1"/>
  <c r="F273" i="51"/>
  <c r="R272" i="51"/>
  <c r="N272" i="51"/>
  <c r="O272" i="51" s="1"/>
  <c r="P272" i="51" s="1"/>
  <c r="J272" i="51"/>
  <c r="H272" i="51" a="1"/>
  <c r="H272" i="51" s="1"/>
  <c r="I272" i="51" s="1"/>
  <c r="G272" i="51"/>
  <c r="S272" i="51" s="1"/>
  <c r="T272" i="51" s="1"/>
  <c r="F272" i="51"/>
  <c r="R271" i="51"/>
  <c r="N271" i="51"/>
  <c r="O271" i="51" s="1"/>
  <c r="P271" i="51" s="1"/>
  <c r="J271" i="51"/>
  <c r="H271" i="51"/>
  <c r="H271" i="51" a="1"/>
  <c r="G271" i="51"/>
  <c r="S271" i="51" s="1"/>
  <c r="T271" i="51" s="1"/>
  <c r="F271" i="51"/>
  <c r="R270" i="51"/>
  <c r="N270" i="51"/>
  <c r="O270" i="51" s="1"/>
  <c r="P270" i="51" s="1"/>
  <c r="J270" i="51"/>
  <c r="I270" i="51"/>
  <c r="H270" i="51" a="1"/>
  <c r="H270" i="51" s="1"/>
  <c r="V270" i="51" s="1" a="1"/>
  <c r="V270" i="51" s="1"/>
  <c r="G270" i="51"/>
  <c r="S270" i="51" s="1"/>
  <c r="T270" i="51" s="1"/>
  <c r="F270" i="51"/>
  <c r="R269" i="51"/>
  <c r="N269" i="51"/>
  <c r="O269" i="51" s="1"/>
  <c r="P269" i="51" s="1"/>
  <c r="J269" i="51"/>
  <c r="H269" i="51" a="1"/>
  <c r="H269" i="51" s="1"/>
  <c r="G269" i="51"/>
  <c r="K269" i="51" s="1"/>
  <c r="L269" i="51" s="1"/>
  <c r="F269" i="51"/>
  <c r="R268" i="51"/>
  <c r="N268" i="51"/>
  <c r="O268" i="51" s="1"/>
  <c r="P268" i="51" s="1"/>
  <c r="J268" i="51"/>
  <c r="K268" i="51" s="1"/>
  <c r="L268" i="51" s="1"/>
  <c r="H268" i="51" a="1"/>
  <c r="H268" i="51" s="1"/>
  <c r="I268" i="51" s="1"/>
  <c r="G268" i="51"/>
  <c r="S268" i="51" s="1"/>
  <c r="T268" i="51" s="1"/>
  <c r="F268" i="51"/>
  <c r="R267" i="51"/>
  <c r="N267" i="51"/>
  <c r="O267" i="51" s="1"/>
  <c r="P267" i="51" s="1"/>
  <c r="J267" i="51"/>
  <c r="H267" i="51"/>
  <c r="H267" i="51" a="1"/>
  <c r="G267" i="51"/>
  <c r="F267" i="51"/>
  <c r="R266" i="51"/>
  <c r="N266" i="51"/>
  <c r="O266" i="51" s="1"/>
  <c r="P266" i="51" s="1"/>
  <c r="J266" i="51"/>
  <c r="K266" i="51" s="1"/>
  <c r="L266" i="51" s="1"/>
  <c r="H266" i="51" a="1"/>
  <c r="H266" i="51" s="1"/>
  <c r="G266" i="51"/>
  <c r="S266" i="51" s="1"/>
  <c r="T266" i="51" s="1"/>
  <c r="F266" i="51"/>
  <c r="R265" i="51"/>
  <c r="S265" i="51" s="1"/>
  <c r="T265" i="51" s="1"/>
  <c r="N265" i="51"/>
  <c r="O265" i="51" s="1"/>
  <c r="P265" i="51" s="1"/>
  <c r="J265" i="51"/>
  <c r="I265" i="51"/>
  <c r="H265" i="51"/>
  <c r="V265" i="51" s="1" a="1"/>
  <c r="V265" i="51" s="1"/>
  <c r="H265" i="51" a="1"/>
  <c r="G265" i="51"/>
  <c r="F265" i="51"/>
  <c r="V264" i="51" a="1"/>
  <c r="V264" i="51" s="1"/>
  <c r="R264" i="51"/>
  <c r="S264" i="51" s="1"/>
  <c r="T264" i="51" s="1"/>
  <c r="P264" i="51"/>
  <c r="N264" i="51"/>
  <c r="O264" i="51" s="1"/>
  <c r="J264" i="51"/>
  <c r="H264" i="51" a="1"/>
  <c r="H264" i="51" s="1"/>
  <c r="I264" i="51" s="1"/>
  <c r="G264" i="51"/>
  <c r="F264" i="51"/>
  <c r="R263" i="51"/>
  <c r="S263" i="51" s="1"/>
  <c r="T263" i="51" s="1"/>
  <c r="O263" i="51"/>
  <c r="P263" i="51" s="1"/>
  <c r="N263" i="51"/>
  <c r="J263" i="51"/>
  <c r="H263" i="51" a="1"/>
  <c r="H263" i="51" s="1"/>
  <c r="G263" i="51"/>
  <c r="F263" i="51"/>
  <c r="R262" i="51"/>
  <c r="S262" i="51" s="1"/>
  <c r="T262" i="51" s="1"/>
  <c r="P262" i="51"/>
  <c r="N262" i="51"/>
  <c r="O262" i="51" s="1"/>
  <c r="J262" i="51"/>
  <c r="H262" i="51" a="1"/>
  <c r="H262" i="51" s="1"/>
  <c r="G262" i="51"/>
  <c r="K262" i="51" s="1"/>
  <c r="L262" i="51" s="1"/>
  <c r="F262" i="51"/>
  <c r="R261" i="51"/>
  <c r="P261" i="51"/>
  <c r="N261" i="51"/>
  <c r="O261" i="51" s="1"/>
  <c r="J261" i="51"/>
  <c r="H261" i="51" a="1"/>
  <c r="H261" i="51" s="1"/>
  <c r="I261" i="51" s="1"/>
  <c r="G261" i="51"/>
  <c r="K261" i="51" s="1"/>
  <c r="L261" i="51" s="1"/>
  <c r="F261" i="51"/>
  <c r="R260" i="51"/>
  <c r="N260" i="51"/>
  <c r="O260" i="51" s="1"/>
  <c r="P260" i="51" s="1"/>
  <c r="J260" i="51"/>
  <c r="H260" i="51" a="1"/>
  <c r="H260" i="51" s="1"/>
  <c r="I260" i="51" s="1"/>
  <c r="G260" i="51"/>
  <c r="S260" i="51" s="1"/>
  <c r="T260" i="51" s="1"/>
  <c r="F260" i="51"/>
  <c r="R259" i="51"/>
  <c r="O259" i="51"/>
  <c r="P259" i="51" s="1"/>
  <c r="N259" i="51"/>
  <c r="J259" i="51"/>
  <c r="H259" i="51" a="1"/>
  <c r="H259" i="51" s="1"/>
  <c r="G259" i="51"/>
  <c r="F259" i="51"/>
  <c r="R258" i="51"/>
  <c r="O258" i="51"/>
  <c r="P258" i="51" s="1"/>
  <c r="N258" i="51"/>
  <c r="J258" i="51"/>
  <c r="H258" i="51" a="1"/>
  <c r="H258" i="51" s="1"/>
  <c r="G258" i="51"/>
  <c r="F258" i="51"/>
  <c r="R257" i="51"/>
  <c r="N257" i="51"/>
  <c r="O257" i="51" s="1"/>
  <c r="P257" i="51" s="1"/>
  <c r="J257" i="51"/>
  <c r="H257" i="51" a="1"/>
  <c r="H257" i="51" s="1"/>
  <c r="I257" i="51" s="1"/>
  <c r="G257" i="51"/>
  <c r="K257" i="51" s="1"/>
  <c r="L257" i="51" s="1"/>
  <c r="F257" i="51"/>
  <c r="R256" i="51"/>
  <c r="N256" i="51"/>
  <c r="O256" i="51" s="1"/>
  <c r="P256" i="51" s="1"/>
  <c r="J256" i="51"/>
  <c r="H256" i="51" a="1"/>
  <c r="H256" i="51" s="1"/>
  <c r="G256" i="51"/>
  <c r="K256" i="51" s="1"/>
  <c r="L256" i="51" s="1"/>
  <c r="F256" i="51"/>
  <c r="S255" i="51"/>
  <c r="T255" i="51" s="1"/>
  <c r="R255" i="51"/>
  <c r="N255" i="51"/>
  <c r="O255" i="51" s="1"/>
  <c r="P255" i="51" s="1"/>
  <c r="J255" i="51"/>
  <c r="H255" i="51" a="1"/>
  <c r="H255" i="51" s="1"/>
  <c r="I255" i="51" s="1"/>
  <c r="G255" i="51"/>
  <c r="K255" i="51" s="1"/>
  <c r="L255" i="51" s="1"/>
  <c r="F255" i="51"/>
  <c r="R254" i="51"/>
  <c r="O254" i="51"/>
  <c r="P254" i="51" s="1"/>
  <c r="N254" i="51"/>
  <c r="J254" i="51"/>
  <c r="I254" i="51"/>
  <c r="H254" i="51" a="1"/>
  <c r="H254" i="51" s="1"/>
  <c r="V254" i="51" s="1" a="1"/>
  <c r="V254" i="51" s="1"/>
  <c r="W254" i="51" s="1" a="1"/>
  <c r="W254" i="51" s="1"/>
  <c r="G254" i="51"/>
  <c r="S254" i="51" s="1"/>
  <c r="T254" i="51" s="1"/>
  <c r="F254" i="51"/>
  <c r="R253" i="51"/>
  <c r="O253" i="51"/>
  <c r="P253" i="51" s="1"/>
  <c r="N253" i="51"/>
  <c r="J253" i="51"/>
  <c r="I253" i="51"/>
  <c r="H253" i="51" a="1"/>
  <c r="H253" i="51" s="1"/>
  <c r="V253" i="51" s="1" a="1"/>
  <c r="V253" i="51" s="1"/>
  <c r="G253" i="51"/>
  <c r="K253" i="51" s="1"/>
  <c r="L253" i="51" s="1"/>
  <c r="F253" i="51"/>
  <c r="R252" i="51"/>
  <c r="N252" i="51"/>
  <c r="O252" i="51" s="1"/>
  <c r="P252" i="51" s="1"/>
  <c r="J252" i="51"/>
  <c r="H252" i="51"/>
  <c r="H252" i="51" a="1"/>
  <c r="G252" i="51"/>
  <c r="K252" i="51" s="1"/>
  <c r="L252" i="51" s="1"/>
  <c r="F252" i="51"/>
  <c r="T251" i="51"/>
  <c r="R251" i="51"/>
  <c r="N251" i="51"/>
  <c r="O251" i="51" s="1"/>
  <c r="P251" i="51" s="1"/>
  <c r="J251" i="51"/>
  <c r="H251" i="51" a="1"/>
  <c r="H251" i="51" s="1"/>
  <c r="I251" i="51" s="1"/>
  <c r="G251" i="51"/>
  <c r="S251" i="51" s="1"/>
  <c r="F251" i="51"/>
  <c r="R250" i="51"/>
  <c r="N250" i="51"/>
  <c r="O250" i="51" s="1"/>
  <c r="P250" i="51" s="1"/>
  <c r="J250" i="51"/>
  <c r="H250" i="51" a="1"/>
  <c r="H250" i="51" s="1"/>
  <c r="V250" i="51" s="1" a="1"/>
  <c r="V250" i="51" s="1"/>
  <c r="G250" i="51"/>
  <c r="S250" i="51" s="1"/>
  <c r="T250" i="51" s="1"/>
  <c r="F250" i="51"/>
  <c r="V249" i="51" a="1"/>
  <c r="V249" i="51" s="1"/>
  <c r="W249" i="51" s="1" a="1"/>
  <c r="W249" i="51" s="1"/>
  <c r="X249" i="51" s="1" a="1"/>
  <c r="X249" i="51" s="1"/>
  <c r="R249" i="51"/>
  <c r="N249" i="51"/>
  <c r="O249" i="51" s="1"/>
  <c r="P249" i="51" s="1"/>
  <c r="J249" i="51"/>
  <c r="K249" i="51" s="1"/>
  <c r="L249" i="51" s="1"/>
  <c r="I249" i="51"/>
  <c r="H249" i="51" a="1"/>
  <c r="H249" i="51" s="1"/>
  <c r="G249" i="51"/>
  <c r="F249" i="51"/>
  <c r="V248" i="51" a="1"/>
  <c r="V248" i="51" s="1"/>
  <c r="R248" i="51"/>
  <c r="S248" i="51" s="1"/>
  <c r="T248" i="51" s="1"/>
  <c r="N248" i="51"/>
  <c r="O248" i="51" s="1"/>
  <c r="P248" i="51" s="1"/>
  <c r="J248" i="51"/>
  <c r="K248" i="51" s="1"/>
  <c r="L248" i="51" s="1"/>
  <c r="I248" i="51"/>
  <c r="H248" i="51" a="1"/>
  <c r="H248" i="51" s="1"/>
  <c r="G248" i="51"/>
  <c r="F248" i="51"/>
  <c r="R247" i="51"/>
  <c r="O247" i="51"/>
  <c r="P247" i="51" s="1"/>
  <c r="N247" i="51"/>
  <c r="J247" i="51"/>
  <c r="H247" i="51" a="1"/>
  <c r="H247" i="51" s="1"/>
  <c r="I247" i="51" s="1"/>
  <c r="G247" i="51"/>
  <c r="F247" i="51"/>
  <c r="R246" i="51"/>
  <c r="N246" i="51"/>
  <c r="O246" i="51" s="1"/>
  <c r="P246" i="51" s="1"/>
  <c r="J246" i="51"/>
  <c r="H246" i="51" a="1"/>
  <c r="H246" i="51" s="1"/>
  <c r="G246" i="51"/>
  <c r="F246" i="51"/>
  <c r="R245" i="51"/>
  <c r="O245" i="51"/>
  <c r="P245" i="51" s="1"/>
  <c r="N245" i="51"/>
  <c r="L245" i="51"/>
  <c r="J245" i="51"/>
  <c r="H245" i="51" a="1"/>
  <c r="H245" i="51" s="1"/>
  <c r="V245" i="51" s="1" a="1"/>
  <c r="V245" i="51" s="1"/>
  <c r="G245" i="51"/>
  <c r="K245" i="51" s="1"/>
  <c r="F245" i="51"/>
  <c r="R244" i="51"/>
  <c r="S244" i="51" s="1"/>
  <c r="T244" i="51" s="1"/>
  <c r="N244" i="51"/>
  <c r="O244" i="51" s="1"/>
  <c r="P244" i="51" s="1"/>
  <c r="K244" i="51"/>
  <c r="L244" i="51" s="1"/>
  <c r="J244" i="51"/>
  <c r="H244" i="51" a="1"/>
  <c r="H244" i="51" s="1"/>
  <c r="G244" i="51"/>
  <c r="F244" i="51"/>
  <c r="R243" i="51"/>
  <c r="N243" i="51"/>
  <c r="O243" i="51" s="1"/>
  <c r="P243" i="51" s="1"/>
  <c r="J243" i="51"/>
  <c r="H243" i="51" a="1"/>
  <c r="H243" i="51" s="1"/>
  <c r="G243" i="51"/>
  <c r="F243" i="51"/>
  <c r="R242" i="51"/>
  <c r="N242" i="51"/>
  <c r="O242" i="51" s="1"/>
  <c r="P242" i="51" s="1"/>
  <c r="J242" i="51"/>
  <c r="H242" i="51" a="1"/>
  <c r="H242" i="51" s="1"/>
  <c r="G242" i="51"/>
  <c r="S242" i="51" s="1"/>
  <c r="T242" i="51" s="1"/>
  <c r="F242" i="51"/>
  <c r="R241" i="51"/>
  <c r="N241" i="51"/>
  <c r="O241" i="51" s="1"/>
  <c r="P241" i="51" s="1"/>
  <c r="K241" i="51"/>
  <c r="L241" i="51" s="1"/>
  <c r="J241" i="51"/>
  <c r="H241" i="51" a="1"/>
  <c r="H241" i="51" s="1"/>
  <c r="I241" i="51" s="1"/>
  <c r="G241" i="51"/>
  <c r="S241" i="51" s="1"/>
  <c r="T241" i="51" s="1"/>
  <c r="F241" i="51"/>
  <c r="R240" i="51"/>
  <c r="S240" i="51" s="1"/>
  <c r="T240" i="51" s="1"/>
  <c r="O240" i="51"/>
  <c r="P240" i="51" s="1"/>
  <c r="N240" i="51"/>
  <c r="J240" i="51"/>
  <c r="H240" i="51" a="1"/>
  <c r="H240" i="51" s="1"/>
  <c r="G240" i="51"/>
  <c r="F240" i="51"/>
  <c r="V239" i="51" a="1"/>
  <c r="V239" i="51" s="1"/>
  <c r="R239" i="51"/>
  <c r="N239" i="51"/>
  <c r="O239" i="51" s="1"/>
  <c r="P239" i="51" s="1"/>
  <c r="K239" i="51"/>
  <c r="L239" i="51" s="1"/>
  <c r="J239" i="51"/>
  <c r="H239" i="51" a="1"/>
  <c r="H239" i="51" s="1"/>
  <c r="I239" i="51" s="1"/>
  <c r="G239" i="51"/>
  <c r="F239" i="51"/>
  <c r="R238" i="51"/>
  <c r="O238" i="51"/>
  <c r="P238" i="51" s="1"/>
  <c r="N238" i="51"/>
  <c r="J238" i="51"/>
  <c r="H238" i="51" a="1"/>
  <c r="H238" i="51" s="1"/>
  <c r="V238" i="51" s="1" a="1"/>
  <c r="V238" i="51" s="1"/>
  <c r="G238" i="51"/>
  <c r="F238" i="51"/>
  <c r="R237" i="51"/>
  <c r="P237" i="51"/>
  <c r="N237" i="51"/>
  <c r="O237" i="51" s="1"/>
  <c r="J237" i="51"/>
  <c r="H237" i="51" a="1"/>
  <c r="H237" i="51" s="1"/>
  <c r="G237" i="51"/>
  <c r="F237" i="51"/>
  <c r="S236" i="51"/>
  <c r="T236" i="51" s="1"/>
  <c r="R236" i="51"/>
  <c r="O236" i="51"/>
  <c r="P236" i="51" s="1"/>
  <c r="N236" i="51"/>
  <c r="J236" i="51"/>
  <c r="H236" i="51" a="1"/>
  <c r="H236" i="51" s="1"/>
  <c r="V236" i="51" s="1" a="1"/>
  <c r="V236" i="51" s="1"/>
  <c r="G236" i="51"/>
  <c r="F236" i="51"/>
  <c r="R235" i="51"/>
  <c r="N235" i="51"/>
  <c r="O235" i="51" s="1"/>
  <c r="P235" i="51" s="1"/>
  <c r="J235" i="51"/>
  <c r="H235" i="51" a="1"/>
  <c r="H235" i="51" s="1"/>
  <c r="I235" i="51" s="1"/>
  <c r="G235" i="51"/>
  <c r="F235" i="51"/>
  <c r="R234" i="51"/>
  <c r="O234" i="51"/>
  <c r="P234" i="51" s="1"/>
  <c r="N234" i="51"/>
  <c r="J234" i="51"/>
  <c r="H234" i="51"/>
  <c r="H234" i="51" a="1"/>
  <c r="G234" i="51"/>
  <c r="K234" i="51" s="1"/>
  <c r="L234" i="51" s="1"/>
  <c r="F234" i="51"/>
  <c r="R233" i="51"/>
  <c r="N233" i="51"/>
  <c r="O233" i="51" s="1"/>
  <c r="P233" i="51" s="1"/>
  <c r="J233" i="51"/>
  <c r="H233" i="51"/>
  <c r="I233" i="51" s="1"/>
  <c r="H233" i="51" a="1"/>
  <c r="G233" i="51"/>
  <c r="S233" i="51" s="1"/>
  <c r="T233" i="51" s="1"/>
  <c r="F233" i="51"/>
  <c r="R232" i="51"/>
  <c r="O232" i="51"/>
  <c r="P232" i="51" s="1"/>
  <c r="N232" i="51"/>
  <c r="K232" i="51"/>
  <c r="L232" i="51" s="1"/>
  <c r="J232" i="51"/>
  <c r="H232" i="51"/>
  <c r="H232" i="51" a="1"/>
  <c r="G232" i="51"/>
  <c r="S232" i="51" s="1"/>
  <c r="T232" i="51" s="1"/>
  <c r="F232" i="51"/>
  <c r="R231" i="51"/>
  <c r="N231" i="51"/>
  <c r="O231" i="51" s="1"/>
  <c r="P231" i="51" s="1"/>
  <c r="K231" i="51"/>
  <c r="L231" i="51" s="1"/>
  <c r="J231" i="51"/>
  <c r="H231" i="51" a="1"/>
  <c r="H231" i="51" s="1"/>
  <c r="G231" i="51"/>
  <c r="F231" i="51"/>
  <c r="R230" i="51"/>
  <c r="N230" i="51"/>
  <c r="O230" i="51" s="1"/>
  <c r="P230" i="51" s="1"/>
  <c r="J230" i="51"/>
  <c r="H230" i="51" a="1"/>
  <c r="H230" i="51" s="1"/>
  <c r="G230" i="51"/>
  <c r="F230" i="51"/>
  <c r="R229" i="51"/>
  <c r="N229" i="51"/>
  <c r="O229" i="51" s="1"/>
  <c r="P229" i="51" s="1"/>
  <c r="K229" i="51"/>
  <c r="L229" i="51" s="1"/>
  <c r="J229" i="51"/>
  <c r="H229" i="51" a="1"/>
  <c r="H229" i="51" s="1"/>
  <c r="G229" i="51"/>
  <c r="F229" i="51"/>
  <c r="R228" i="51"/>
  <c r="N228" i="51"/>
  <c r="O228" i="51" s="1"/>
  <c r="P228" i="51" s="1"/>
  <c r="J228" i="51"/>
  <c r="H228" i="51" a="1"/>
  <c r="H228" i="51" s="1"/>
  <c r="G228" i="51"/>
  <c r="F228" i="51"/>
  <c r="R227" i="51"/>
  <c r="O227" i="51"/>
  <c r="P227" i="51" s="1"/>
  <c r="N227" i="51"/>
  <c r="J227" i="51"/>
  <c r="H227" i="51"/>
  <c r="H227" i="51" a="1"/>
  <c r="G227" i="51"/>
  <c r="F227" i="51"/>
  <c r="R226" i="51"/>
  <c r="S226" i="51" s="1"/>
  <c r="T226" i="51" s="1"/>
  <c r="O226" i="51"/>
  <c r="P226" i="51" s="1"/>
  <c r="N226" i="51"/>
  <c r="K226" i="51"/>
  <c r="L226" i="51" s="1"/>
  <c r="J226" i="51"/>
  <c r="H226" i="51" a="1"/>
  <c r="H226" i="51" s="1"/>
  <c r="G226" i="51"/>
  <c r="F226" i="51"/>
  <c r="R225" i="51"/>
  <c r="P225" i="51"/>
  <c r="N225" i="51"/>
  <c r="O225" i="51" s="1"/>
  <c r="J225" i="51"/>
  <c r="H225" i="51" a="1"/>
  <c r="H225" i="51" s="1"/>
  <c r="I225" i="51" s="1"/>
  <c r="G225" i="51"/>
  <c r="F225" i="51"/>
  <c r="T224" i="51"/>
  <c r="S224" i="51"/>
  <c r="R224" i="51"/>
  <c r="N224" i="51"/>
  <c r="O224" i="51" s="1"/>
  <c r="P224" i="51" s="1"/>
  <c r="J224" i="51"/>
  <c r="H224" i="51"/>
  <c r="V224" i="51" s="1" a="1"/>
  <c r="V224" i="51" s="1"/>
  <c r="H224" i="51" a="1"/>
  <c r="G224" i="51"/>
  <c r="F224" i="51"/>
  <c r="R223" i="51"/>
  <c r="S223" i="51" s="1"/>
  <c r="T223" i="51" s="1"/>
  <c r="N223" i="51"/>
  <c r="O223" i="51" s="1"/>
  <c r="P223" i="51" s="1"/>
  <c r="J223" i="51"/>
  <c r="I223" i="51"/>
  <c r="H223" i="51"/>
  <c r="V223" i="51" s="1" a="1"/>
  <c r="V223" i="51" s="1"/>
  <c r="H223" i="51" a="1"/>
  <c r="G223" i="51"/>
  <c r="F223" i="51"/>
  <c r="R222" i="51"/>
  <c r="P222" i="51"/>
  <c r="N222" i="51"/>
  <c r="O222" i="51" s="1"/>
  <c r="J222" i="51"/>
  <c r="H222" i="51" a="1"/>
  <c r="H222" i="51" s="1"/>
  <c r="G222" i="51"/>
  <c r="K222" i="51" s="1"/>
  <c r="L222" i="51" s="1"/>
  <c r="F222" i="51"/>
  <c r="R221" i="51"/>
  <c r="O221" i="51"/>
  <c r="P221" i="51" s="1"/>
  <c r="N221" i="51"/>
  <c r="J221" i="51"/>
  <c r="K221" i="51" s="1"/>
  <c r="L221" i="51" s="1"/>
  <c r="H221" i="51" a="1"/>
  <c r="H221" i="51" s="1"/>
  <c r="G221" i="51"/>
  <c r="F221" i="51"/>
  <c r="R220" i="51"/>
  <c r="N220" i="51"/>
  <c r="O220" i="51" s="1"/>
  <c r="P220" i="51" s="1"/>
  <c r="J220" i="51"/>
  <c r="H220" i="51"/>
  <c r="H220" i="51" a="1"/>
  <c r="G220" i="51"/>
  <c r="K220" i="51" s="1"/>
  <c r="L220" i="51" s="1"/>
  <c r="F220" i="51"/>
  <c r="R219" i="51"/>
  <c r="N219" i="51"/>
  <c r="O219" i="51" s="1"/>
  <c r="P219" i="51" s="1"/>
  <c r="J219" i="51"/>
  <c r="H219" i="51" a="1"/>
  <c r="H219" i="51" s="1"/>
  <c r="G219" i="51"/>
  <c r="K219" i="51" s="1"/>
  <c r="L219" i="51" s="1"/>
  <c r="F219" i="51"/>
  <c r="R218" i="51"/>
  <c r="N218" i="51"/>
  <c r="O218" i="51" s="1"/>
  <c r="P218" i="51" s="1"/>
  <c r="J218" i="51"/>
  <c r="H218" i="51" a="1"/>
  <c r="H218" i="51" s="1"/>
  <c r="G218" i="51"/>
  <c r="S218" i="51" s="1"/>
  <c r="T218" i="51" s="1"/>
  <c r="F218" i="51"/>
  <c r="R217" i="51"/>
  <c r="O217" i="51"/>
  <c r="P217" i="51" s="1"/>
  <c r="N217" i="51"/>
  <c r="J217" i="51"/>
  <c r="H217" i="51" a="1"/>
  <c r="H217" i="51" s="1"/>
  <c r="G217" i="51"/>
  <c r="F217" i="51"/>
  <c r="R216" i="51"/>
  <c r="S216" i="51" s="1"/>
  <c r="T216" i="51" s="1"/>
  <c r="N216" i="51"/>
  <c r="O216" i="51" s="1"/>
  <c r="P216" i="51" s="1"/>
  <c r="J216" i="51"/>
  <c r="H216" i="51" a="1"/>
  <c r="H216" i="51" s="1"/>
  <c r="V216" i="51" s="1" a="1"/>
  <c r="V216" i="51" s="1"/>
  <c r="G216" i="51"/>
  <c r="K216" i="51" s="1"/>
  <c r="L216" i="51" s="1"/>
  <c r="F216" i="51"/>
  <c r="R215" i="51"/>
  <c r="N215" i="51"/>
  <c r="O215" i="51" s="1"/>
  <c r="P215" i="51" s="1"/>
  <c r="K215" i="51"/>
  <c r="L215" i="51" s="1"/>
  <c r="J215" i="51"/>
  <c r="I215" i="51"/>
  <c r="H215" i="51"/>
  <c r="V215" i="51" s="1" a="1"/>
  <c r="V215" i="51" s="1"/>
  <c r="W215" i="51" s="1" a="1"/>
  <c r="W215" i="51" s="1"/>
  <c r="X215" i="51" s="1" a="1"/>
  <c r="X215" i="51" s="1"/>
  <c r="H215" i="51" a="1"/>
  <c r="G215" i="51"/>
  <c r="S215" i="51" s="1"/>
  <c r="T215" i="51" s="1"/>
  <c r="F215" i="51"/>
  <c r="R214" i="51"/>
  <c r="S214" i="51" s="1"/>
  <c r="T214" i="51" s="1"/>
  <c r="N214" i="51"/>
  <c r="O214" i="51" s="1"/>
  <c r="P214" i="51" s="1"/>
  <c r="J214" i="51"/>
  <c r="K214" i="51" s="1"/>
  <c r="L214" i="51" s="1"/>
  <c r="H214" i="51" a="1"/>
  <c r="H214" i="51" s="1"/>
  <c r="G214" i="51"/>
  <c r="F214" i="51"/>
  <c r="R213" i="51"/>
  <c r="O213" i="51"/>
  <c r="P213" i="51" s="1"/>
  <c r="N213" i="51"/>
  <c r="J213" i="51"/>
  <c r="H213" i="51"/>
  <c r="H213" i="51" a="1"/>
  <c r="G213" i="51"/>
  <c r="F213" i="51"/>
  <c r="R212" i="51"/>
  <c r="S212" i="51" s="1"/>
  <c r="T212" i="51" s="1"/>
  <c r="N212" i="51"/>
  <c r="O212" i="51" s="1"/>
  <c r="P212" i="51" s="1"/>
  <c r="J212" i="51"/>
  <c r="K212" i="51" s="1"/>
  <c r="L212" i="51" s="1"/>
  <c r="H212" i="51"/>
  <c r="H212" i="51" a="1"/>
  <c r="G212" i="51"/>
  <c r="F212" i="51"/>
  <c r="R211" i="51"/>
  <c r="N211" i="51"/>
  <c r="O211" i="51" s="1"/>
  <c r="P211" i="51" s="1"/>
  <c r="J211" i="51"/>
  <c r="H211" i="51" a="1"/>
  <c r="H211" i="51" s="1"/>
  <c r="G211" i="51"/>
  <c r="F211" i="51"/>
  <c r="R210" i="51"/>
  <c r="N210" i="51"/>
  <c r="O210" i="51" s="1"/>
  <c r="P210" i="51" s="1"/>
  <c r="L210" i="51"/>
  <c r="J210" i="51"/>
  <c r="H210" i="51" a="1"/>
  <c r="H210" i="51" s="1"/>
  <c r="V210" i="51" s="1" a="1"/>
  <c r="V210" i="51" s="1"/>
  <c r="W210" i="51" s="1" a="1"/>
  <c r="W210" i="51" s="1"/>
  <c r="G210" i="51"/>
  <c r="K210" i="51" s="1"/>
  <c r="F210" i="51"/>
  <c r="R209" i="51"/>
  <c r="N209" i="51"/>
  <c r="O209" i="51" s="1"/>
  <c r="P209" i="51" s="1"/>
  <c r="J209" i="51"/>
  <c r="H209" i="51"/>
  <c r="I209" i="51" s="1"/>
  <c r="H209" i="51" a="1"/>
  <c r="G209" i="51"/>
  <c r="F209" i="51"/>
  <c r="R208" i="51"/>
  <c r="O208" i="51"/>
  <c r="P208" i="51" s="1"/>
  <c r="N208" i="51"/>
  <c r="K208" i="51"/>
  <c r="L208" i="51" s="1"/>
  <c r="J208" i="51"/>
  <c r="I208" i="51"/>
  <c r="H208" i="51" a="1"/>
  <c r="H208" i="51" s="1"/>
  <c r="V208" i="51" s="1" a="1"/>
  <c r="V208" i="51" s="1"/>
  <c r="G208" i="51"/>
  <c r="S208" i="51" s="1"/>
  <c r="T208" i="51" s="1"/>
  <c r="F208" i="51"/>
  <c r="R207" i="51"/>
  <c r="O207" i="51"/>
  <c r="P207" i="51" s="1"/>
  <c r="N207" i="51"/>
  <c r="J207" i="51"/>
  <c r="H207" i="51" a="1"/>
  <c r="H207" i="51" s="1"/>
  <c r="G207" i="51"/>
  <c r="F207" i="51"/>
  <c r="R206" i="51"/>
  <c r="O206" i="51"/>
  <c r="P206" i="51" s="1"/>
  <c r="N206" i="51"/>
  <c r="J206" i="51"/>
  <c r="H206" i="51" a="1"/>
  <c r="H206" i="51" s="1"/>
  <c r="V206" i="51" s="1" a="1"/>
  <c r="V206" i="51" s="1"/>
  <c r="G206" i="51"/>
  <c r="F206" i="51"/>
  <c r="R205" i="51"/>
  <c r="P205" i="51"/>
  <c r="O205" i="51"/>
  <c r="N205" i="51"/>
  <c r="J205" i="51"/>
  <c r="H205" i="51"/>
  <c r="H205" i="51" a="1"/>
  <c r="G205" i="51"/>
  <c r="S205" i="51" s="1"/>
  <c r="T205" i="51" s="1"/>
  <c r="F205" i="51"/>
  <c r="R204" i="51"/>
  <c r="N204" i="51"/>
  <c r="O204" i="51" s="1"/>
  <c r="P204" i="51" s="1"/>
  <c r="J204" i="51"/>
  <c r="H204" i="51" a="1"/>
  <c r="H204" i="51" s="1"/>
  <c r="I204" i="51" s="1"/>
  <c r="G204" i="51"/>
  <c r="S204" i="51" s="1"/>
  <c r="T204" i="51" s="1"/>
  <c r="F204" i="51"/>
  <c r="R203" i="51"/>
  <c r="N203" i="51"/>
  <c r="O203" i="51" s="1"/>
  <c r="P203" i="51" s="1"/>
  <c r="J203" i="51"/>
  <c r="H203" i="51" a="1"/>
  <c r="H203" i="51" s="1"/>
  <c r="G203" i="51"/>
  <c r="K203" i="51" s="1"/>
  <c r="L203" i="51" s="1"/>
  <c r="F203" i="51"/>
  <c r="R202" i="51"/>
  <c r="N202" i="51"/>
  <c r="O202" i="51" s="1"/>
  <c r="P202" i="51" s="1"/>
  <c r="J202" i="51"/>
  <c r="H202" i="51"/>
  <c r="H202" i="51" a="1"/>
  <c r="G202" i="51"/>
  <c r="F202" i="51"/>
  <c r="R201" i="51"/>
  <c r="N201" i="51"/>
  <c r="O201" i="51" s="1"/>
  <c r="P201" i="51" s="1"/>
  <c r="J201" i="51"/>
  <c r="H201" i="51"/>
  <c r="H201" i="51" a="1"/>
  <c r="G201" i="51"/>
  <c r="K201" i="51" s="1"/>
  <c r="L201" i="51" s="1"/>
  <c r="F201" i="51"/>
  <c r="R200" i="51"/>
  <c r="S200" i="51" s="1"/>
  <c r="T200" i="51" s="1"/>
  <c r="N200" i="51"/>
  <c r="O200" i="51" s="1"/>
  <c r="P200" i="51" s="1"/>
  <c r="J200" i="51"/>
  <c r="K200" i="51" s="1"/>
  <c r="L200" i="51" s="1"/>
  <c r="H200" i="51" a="1"/>
  <c r="H200" i="51" s="1"/>
  <c r="G200" i="51"/>
  <c r="F200" i="51"/>
  <c r="R199" i="51"/>
  <c r="N199" i="51"/>
  <c r="O199" i="51" s="1"/>
  <c r="P199" i="51" s="1"/>
  <c r="J199" i="51"/>
  <c r="K199" i="51" s="1"/>
  <c r="L199" i="51" s="1"/>
  <c r="H199" i="51" a="1"/>
  <c r="H199" i="51" s="1"/>
  <c r="I199" i="51" s="1"/>
  <c r="G199" i="51"/>
  <c r="F199" i="51"/>
  <c r="R198" i="51"/>
  <c r="S198" i="51" s="1"/>
  <c r="T198" i="51" s="1"/>
  <c r="O198" i="51"/>
  <c r="P198" i="51" s="1"/>
  <c r="N198" i="51"/>
  <c r="J198" i="51"/>
  <c r="H198" i="51"/>
  <c r="H198" i="51" a="1"/>
  <c r="G198" i="51"/>
  <c r="F198" i="51"/>
  <c r="R197" i="51"/>
  <c r="N197" i="51"/>
  <c r="O197" i="51" s="1"/>
  <c r="P197" i="51" s="1"/>
  <c r="J197" i="51"/>
  <c r="H197" i="51" a="1"/>
  <c r="H197" i="51" s="1"/>
  <c r="G197" i="51"/>
  <c r="F197" i="51"/>
  <c r="R196" i="51"/>
  <c r="S196" i="51" s="1"/>
  <c r="T196" i="51" s="1"/>
  <c r="N196" i="51"/>
  <c r="O196" i="51" s="1"/>
  <c r="P196" i="51" s="1"/>
  <c r="J196" i="51"/>
  <c r="H196" i="51" a="1"/>
  <c r="H196" i="51" s="1"/>
  <c r="G196" i="51"/>
  <c r="F196" i="51"/>
  <c r="R195" i="51"/>
  <c r="P195" i="51"/>
  <c r="N195" i="51"/>
  <c r="O195" i="51" s="1"/>
  <c r="J195" i="51"/>
  <c r="H195" i="51" a="1"/>
  <c r="H195" i="51" s="1"/>
  <c r="G195" i="51"/>
  <c r="F195" i="51"/>
  <c r="R194" i="51"/>
  <c r="O194" i="51"/>
  <c r="P194" i="51" s="1"/>
  <c r="N194" i="51"/>
  <c r="J194" i="51"/>
  <c r="H194" i="51" a="1"/>
  <c r="H194" i="51" s="1"/>
  <c r="V194" i="51" s="1" a="1"/>
  <c r="V194" i="51" s="1"/>
  <c r="W194" i="51" s="1" a="1"/>
  <c r="W194" i="51" s="1"/>
  <c r="G194" i="51"/>
  <c r="F194" i="51"/>
  <c r="R193" i="51"/>
  <c r="P193" i="51"/>
  <c r="N193" i="51"/>
  <c r="O193" i="51" s="1"/>
  <c r="J193" i="51"/>
  <c r="H193" i="51"/>
  <c r="I193" i="51" s="1"/>
  <c r="H193" i="51" a="1"/>
  <c r="G193" i="51"/>
  <c r="F193" i="51"/>
  <c r="V192" i="51" a="1"/>
  <c r="V192" i="51" s="1"/>
  <c r="S192" i="51"/>
  <c r="T192" i="51" s="1"/>
  <c r="R192" i="51"/>
  <c r="O192" i="51"/>
  <c r="P192" i="51" s="1"/>
  <c r="N192" i="51"/>
  <c r="K192" i="51"/>
  <c r="L192" i="51" s="1"/>
  <c r="J192" i="51"/>
  <c r="H192" i="51" a="1"/>
  <c r="H192" i="51" s="1"/>
  <c r="I192" i="51" s="1"/>
  <c r="G192" i="51"/>
  <c r="F192" i="51"/>
  <c r="R191" i="51"/>
  <c r="O191" i="51"/>
  <c r="P191" i="51" s="1"/>
  <c r="N191" i="51"/>
  <c r="J191" i="51"/>
  <c r="H191" i="51" a="1"/>
  <c r="H191" i="51" s="1"/>
  <c r="I191" i="51" s="1"/>
  <c r="G191" i="51"/>
  <c r="F191" i="51"/>
  <c r="R190" i="51"/>
  <c r="O190" i="51"/>
  <c r="P190" i="51" s="1"/>
  <c r="N190" i="51"/>
  <c r="J190" i="51"/>
  <c r="K190" i="51" s="1"/>
  <c r="L190" i="51" s="1"/>
  <c r="H190" i="51" a="1"/>
  <c r="H190" i="51" s="1"/>
  <c r="V190" i="51" s="1" a="1"/>
  <c r="V190" i="51" s="1"/>
  <c r="W190" i="51" s="1" a="1"/>
  <c r="W190" i="51" s="1"/>
  <c r="G190" i="51"/>
  <c r="F190" i="51"/>
  <c r="R189" i="51"/>
  <c r="O189" i="51"/>
  <c r="P189" i="51" s="1"/>
  <c r="N189" i="51"/>
  <c r="J189" i="51"/>
  <c r="H189" i="51"/>
  <c r="H189" i="51" a="1"/>
  <c r="G189" i="51"/>
  <c r="S189" i="51" s="1"/>
  <c r="T189" i="51" s="1"/>
  <c r="F189" i="51"/>
  <c r="R188" i="51"/>
  <c r="N188" i="51"/>
  <c r="O188" i="51" s="1"/>
  <c r="P188" i="51" s="1"/>
  <c r="J188" i="51"/>
  <c r="H188" i="51" a="1"/>
  <c r="H188" i="51" s="1"/>
  <c r="G188" i="51"/>
  <c r="K188" i="51" s="1"/>
  <c r="L188" i="51" s="1"/>
  <c r="F188" i="51"/>
  <c r="R187" i="51"/>
  <c r="N187" i="51"/>
  <c r="O187" i="51" s="1"/>
  <c r="P187" i="51" s="1"/>
  <c r="J187" i="51"/>
  <c r="H187" i="51" a="1"/>
  <c r="H187" i="51" s="1"/>
  <c r="G187" i="51"/>
  <c r="F187" i="51"/>
  <c r="R186" i="51"/>
  <c r="N186" i="51"/>
  <c r="O186" i="51" s="1"/>
  <c r="P186" i="51" s="1"/>
  <c r="J186" i="51"/>
  <c r="H186" i="51" a="1"/>
  <c r="H186" i="51" s="1"/>
  <c r="G186" i="51"/>
  <c r="S186" i="51" s="1"/>
  <c r="T186" i="51" s="1"/>
  <c r="F186" i="51"/>
  <c r="R185" i="51"/>
  <c r="O185" i="51"/>
  <c r="P185" i="51" s="1"/>
  <c r="N185" i="51"/>
  <c r="J185" i="51"/>
  <c r="K185" i="51" s="1"/>
  <c r="L185" i="51" s="1"/>
  <c r="H185" i="51"/>
  <c r="I185" i="51" s="1"/>
  <c r="H185" i="51" a="1"/>
  <c r="G185" i="51"/>
  <c r="F185" i="51"/>
  <c r="V184" i="51" a="1"/>
  <c r="V184" i="51" s="1"/>
  <c r="W184" i="51" s="1" a="1"/>
  <c r="W184" i="51" s="1"/>
  <c r="R184" i="51"/>
  <c r="O184" i="51"/>
  <c r="P184" i="51" s="1"/>
  <c r="N184" i="51"/>
  <c r="J184" i="51"/>
  <c r="K184" i="51" s="1"/>
  <c r="L184" i="51" s="1"/>
  <c r="H184" i="51" a="1"/>
  <c r="H184" i="51" s="1"/>
  <c r="I184" i="51" s="1"/>
  <c r="G184" i="51"/>
  <c r="S184" i="51" s="1"/>
  <c r="T184" i="51" s="1"/>
  <c r="F184" i="51"/>
  <c r="R183" i="51"/>
  <c r="N183" i="51"/>
  <c r="O183" i="51" s="1"/>
  <c r="P183" i="51" s="1"/>
  <c r="J183" i="51"/>
  <c r="H183" i="51"/>
  <c r="H183" i="51" a="1"/>
  <c r="G183" i="51"/>
  <c r="F183" i="51"/>
  <c r="T182" i="51"/>
  <c r="R182" i="51"/>
  <c r="P182" i="51"/>
  <c r="O182" i="51"/>
  <c r="N182" i="51"/>
  <c r="J182" i="51"/>
  <c r="H182" i="51" a="1"/>
  <c r="H182" i="51" s="1"/>
  <c r="I182" i="51" s="1"/>
  <c r="G182" i="51"/>
  <c r="S182" i="51" s="1"/>
  <c r="F182" i="51"/>
  <c r="R181" i="51"/>
  <c r="N181" i="51"/>
  <c r="O181" i="51" s="1"/>
  <c r="P181" i="51" s="1"/>
  <c r="J181" i="51"/>
  <c r="H181" i="51" a="1"/>
  <c r="H181" i="51" s="1"/>
  <c r="G181" i="51"/>
  <c r="F181" i="51"/>
  <c r="R180" i="51"/>
  <c r="N180" i="51"/>
  <c r="O180" i="51" s="1"/>
  <c r="P180" i="51" s="1"/>
  <c r="J180" i="51"/>
  <c r="I180" i="51"/>
  <c r="H180" i="51" a="1"/>
  <c r="H180" i="51" s="1"/>
  <c r="V180" i="51" s="1" a="1"/>
  <c r="V180" i="51" s="1"/>
  <c r="W180" i="51" s="1" a="1"/>
  <c r="W180" i="51" s="1"/>
  <c r="G180" i="51"/>
  <c r="F180" i="51"/>
  <c r="R179" i="51"/>
  <c r="N179" i="51"/>
  <c r="O179" i="51" s="1"/>
  <c r="P179" i="51" s="1"/>
  <c r="J179" i="51"/>
  <c r="H179" i="51"/>
  <c r="H179" i="51" a="1"/>
  <c r="G179" i="51"/>
  <c r="F179" i="51"/>
  <c r="R178" i="51"/>
  <c r="N178" i="51"/>
  <c r="O178" i="51" s="1"/>
  <c r="P178" i="51" s="1"/>
  <c r="K178" i="51"/>
  <c r="L178" i="51" s="1"/>
  <c r="J178" i="51"/>
  <c r="H178" i="51" a="1"/>
  <c r="H178" i="51" s="1"/>
  <c r="V178" i="51" s="1" a="1"/>
  <c r="V178" i="51" s="1"/>
  <c r="W178" i="51" s="1" a="1"/>
  <c r="W178" i="51" s="1"/>
  <c r="G178" i="51"/>
  <c r="S178" i="51" s="1"/>
  <c r="T178" i="51" s="1"/>
  <c r="F178" i="51"/>
  <c r="T177" i="51"/>
  <c r="R177" i="51"/>
  <c r="N177" i="51"/>
  <c r="O177" i="51" s="1"/>
  <c r="P177" i="51" s="1"/>
  <c r="J177" i="51"/>
  <c r="H177" i="51"/>
  <c r="H177" i="51" a="1"/>
  <c r="G177" i="51"/>
  <c r="S177" i="51" s="1"/>
  <c r="F177" i="51"/>
  <c r="R176" i="51"/>
  <c r="N176" i="51"/>
  <c r="O176" i="51" s="1"/>
  <c r="P176" i="51" s="1"/>
  <c r="K176" i="51"/>
  <c r="L176" i="51" s="1"/>
  <c r="J176" i="51"/>
  <c r="H176" i="51" a="1"/>
  <c r="H176" i="51" s="1"/>
  <c r="G176" i="51"/>
  <c r="F176" i="51"/>
  <c r="R175" i="51"/>
  <c r="N175" i="51"/>
  <c r="O175" i="51" s="1"/>
  <c r="P175" i="51" s="1"/>
  <c r="J175" i="51"/>
  <c r="H175" i="51"/>
  <c r="I175" i="51" s="1"/>
  <c r="H175" i="51" a="1"/>
  <c r="G175" i="51"/>
  <c r="F175" i="51"/>
  <c r="R174" i="51"/>
  <c r="O174" i="51"/>
  <c r="P174" i="51" s="1"/>
  <c r="N174" i="51"/>
  <c r="J174" i="51"/>
  <c r="H174" i="51"/>
  <c r="V174" i="51" s="1" a="1"/>
  <c r="V174" i="51" s="1"/>
  <c r="H174" i="51" a="1"/>
  <c r="G174" i="51"/>
  <c r="K174" i="51" s="1"/>
  <c r="L174" i="51" s="1"/>
  <c r="F174" i="51"/>
  <c r="R173" i="51"/>
  <c r="O173" i="51"/>
  <c r="P173" i="51" s="1"/>
  <c r="N173" i="51"/>
  <c r="J173" i="51"/>
  <c r="H173" i="51" a="1"/>
  <c r="H173" i="51" s="1"/>
  <c r="G173" i="51"/>
  <c r="F173" i="51"/>
  <c r="R172" i="51"/>
  <c r="O172" i="51"/>
  <c r="P172" i="51" s="1"/>
  <c r="N172" i="51"/>
  <c r="J172" i="51"/>
  <c r="H172" i="51" a="1"/>
  <c r="H172" i="51" s="1"/>
  <c r="G172" i="51"/>
  <c r="F172" i="51"/>
  <c r="R171" i="51"/>
  <c r="O171" i="51"/>
  <c r="P171" i="51" s="1"/>
  <c r="N171" i="51"/>
  <c r="J171" i="51"/>
  <c r="H171" i="51"/>
  <c r="V171" i="51" s="1" a="1"/>
  <c r="V171" i="51" s="1"/>
  <c r="H171" i="51" a="1"/>
  <c r="G171" i="51"/>
  <c r="F171" i="51"/>
  <c r="R170" i="51"/>
  <c r="N170" i="51"/>
  <c r="O170" i="51" s="1"/>
  <c r="P170" i="51" s="1"/>
  <c r="J170" i="51"/>
  <c r="H170" i="51" a="1"/>
  <c r="H170" i="51" s="1"/>
  <c r="V170" i="51" s="1" a="1"/>
  <c r="V170" i="51" s="1"/>
  <c r="G170" i="51"/>
  <c r="F170" i="51"/>
  <c r="R169" i="51"/>
  <c r="O169" i="51"/>
  <c r="P169" i="51" s="1"/>
  <c r="N169" i="51"/>
  <c r="J169" i="51"/>
  <c r="H169" i="51" a="1"/>
  <c r="H169" i="51" s="1"/>
  <c r="G169" i="51"/>
  <c r="S169" i="51" s="1"/>
  <c r="T169" i="51" s="1"/>
  <c r="F169" i="51"/>
  <c r="R168" i="51"/>
  <c r="N168" i="51"/>
  <c r="O168" i="51" s="1"/>
  <c r="P168" i="51" s="1"/>
  <c r="J168" i="51"/>
  <c r="H168" i="51"/>
  <c r="V168" i="51" s="1" a="1"/>
  <c r="V168" i="51" s="1"/>
  <c r="H168" i="51" a="1"/>
  <c r="G168" i="51"/>
  <c r="K168" i="51" s="1"/>
  <c r="L168" i="51" s="1"/>
  <c r="F168" i="51"/>
  <c r="R167" i="51"/>
  <c r="N167" i="51"/>
  <c r="O167" i="51" s="1"/>
  <c r="P167" i="51" s="1"/>
  <c r="J167" i="51"/>
  <c r="H167" i="51" a="1"/>
  <c r="H167" i="51" s="1"/>
  <c r="V167" i="51" s="1" a="1"/>
  <c r="V167" i="51" s="1"/>
  <c r="G167" i="51"/>
  <c r="S167" i="51" s="1"/>
  <c r="T167" i="51" s="1"/>
  <c r="F167" i="51"/>
  <c r="R166" i="51"/>
  <c r="N166" i="51"/>
  <c r="O166" i="51" s="1"/>
  <c r="P166" i="51" s="1"/>
  <c r="J166" i="51"/>
  <c r="H166" i="51" a="1"/>
  <c r="H166" i="51" s="1"/>
  <c r="G166" i="51"/>
  <c r="F166" i="51"/>
  <c r="R165" i="51"/>
  <c r="O165" i="51"/>
  <c r="P165" i="51" s="1"/>
  <c r="N165" i="51"/>
  <c r="J165" i="51"/>
  <c r="H165" i="51"/>
  <c r="V165" i="51" s="1" a="1"/>
  <c r="V165" i="51" s="1"/>
  <c r="H165" i="51" a="1"/>
  <c r="G165" i="51"/>
  <c r="S165" i="51" s="1"/>
  <c r="T165" i="51" s="1"/>
  <c r="F165" i="51"/>
  <c r="S164" i="51"/>
  <c r="T164" i="51" s="1"/>
  <c r="R164" i="51"/>
  <c r="O164" i="51"/>
  <c r="P164" i="51" s="1"/>
  <c r="N164" i="51"/>
  <c r="J164" i="51"/>
  <c r="H164" i="51"/>
  <c r="V164" i="51" s="1" a="1"/>
  <c r="V164" i="51" s="1"/>
  <c r="H164" i="51" a="1"/>
  <c r="G164" i="51"/>
  <c r="F164" i="51"/>
  <c r="S163" i="51"/>
  <c r="T163" i="51" s="1"/>
  <c r="R163" i="51"/>
  <c r="N163" i="51"/>
  <c r="O163" i="51" s="1"/>
  <c r="P163" i="51" s="1"/>
  <c r="J163" i="51"/>
  <c r="H163" i="51"/>
  <c r="V163" i="51" s="1" a="1"/>
  <c r="V163" i="51" s="1"/>
  <c r="H163" i="51" a="1"/>
  <c r="G163" i="51"/>
  <c r="F163" i="51"/>
  <c r="R162" i="51"/>
  <c r="O162" i="51"/>
  <c r="P162" i="51" s="1"/>
  <c r="N162" i="51"/>
  <c r="J162" i="51"/>
  <c r="H162" i="51" a="1"/>
  <c r="H162" i="51" s="1"/>
  <c r="G162" i="51"/>
  <c r="S162" i="51" s="1"/>
  <c r="T162" i="51" s="1"/>
  <c r="F162" i="51"/>
  <c r="R161" i="51"/>
  <c r="O161" i="51"/>
  <c r="P161" i="51" s="1"/>
  <c r="N161" i="51"/>
  <c r="J161" i="51"/>
  <c r="H161" i="51"/>
  <c r="V161" i="51" s="1" a="1"/>
  <c r="V161" i="51" s="1"/>
  <c r="H161" i="51" a="1"/>
  <c r="G161" i="51"/>
  <c r="S161" i="51" s="1"/>
  <c r="T161" i="51" s="1"/>
  <c r="F161" i="51"/>
  <c r="R160" i="51"/>
  <c r="O160" i="51"/>
  <c r="P160" i="51" s="1"/>
  <c r="N160" i="51"/>
  <c r="J160" i="51"/>
  <c r="I160" i="51"/>
  <c r="H160" i="51"/>
  <c r="V160" i="51" s="1" a="1"/>
  <c r="V160" i="51" s="1"/>
  <c r="H160" i="51" a="1"/>
  <c r="G160" i="51"/>
  <c r="S160" i="51" s="1"/>
  <c r="T160" i="51" s="1"/>
  <c r="F160" i="51"/>
  <c r="R159" i="51"/>
  <c r="O159" i="51"/>
  <c r="P159" i="51" s="1"/>
  <c r="N159" i="51"/>
  <c r="J159" i="51"/>
  <c r="H159" i="51" a="1"/>
  <c r="H159" i="51" s="1"/>
  <c r="G159" i="51"/>
  <c r="F159" i="51"/>
  <c r="R158" i="51"/>
  <c r="O158" i="51"/>
  <c r="P158" i="51" s="1"/>
  <c r="N158" i="51"/>
  <c r="J158" i="51"/>
  <c r="I158" i="51"/>
  <c r="H158" i="51" a="1"/>
  <c r="H158" i="51" s="1"/>
  <c r="V158" i="51" s="1" a="1"/>
  <c r="V158" i="51" s="1"/>
  <c r="W158" i="51" s="1" a="1"/>
  <c r="W158" i="51" s="1"/>
  <c r="G158" i="51"/>
  <c r="S158" i="51" s="1"/>
  <c r="T158" i="51" s="1"/>
  <c r="F158" i="51"/>
  <c r="R157" i="51"/>
  <c r="O157" i="51"/>
  <c r="P157" i="51" s="1"/>
  <c r="N157" i="51"/>
  <c r="J157" i="51"/>
  <c r="H157" i="51"/>
  <c r="H157" i="51" a="1"/>
  <c r="G157" i="51"/>
  <c r="F157" i="51"/>
  <c r="S156" i="51"/>
  <c r="T156" i="51" s="1"/>
  <c r="R156" i="51"/>
  <c r="O156" i="51"/>
  <c r="P156" i="51" s="1"/>
  <c r="N156" i="51"/>
  <c r="J156" i="51"/>
  <c r="H156" i="51" a="1"/>
  <c r="H156" i="51" s="1"/>
  <c r="G156" i="51"/>
  <c r="F156" i="51"/>
  <c r="R155" i="51"/>
  <c r="N155" i="51"/>
  <c r="O155" i="51" s="1"/>
  <c r="P155" i="51" s="1"/>
  <c r="J155" i="51"/>
  <c r="H155" i="51" a="1"/>
  <c r="H155" i="51" s="1"/>
  <c r="G155" i="51"/>
  <c r="F155" i="51"/>
  <c r="R154" i="51"/>
  <c r="O154" i="51"/>
  <c r="P154" i="51" s="1"/>
  <c r="N154" i="51"/>
  <c r="J154" i="51"/>
  <c r="H154" i="51" a="1"/>
  <c r="H154" i="51" s="1"/>
  <c r="G154" i="51"/>
  <c r="F154" i="51"/>
  <c r="R153" i="51"/>
  <c r="N153" i="51"/>
  <c r="O153" i="51" s="1"/>
  <c r="P153" i="51" s="1"/>
  <c r="J153" i="51"/>
  <c r="H153" i="51"/>
  <c r="H153" i="51" a="1"/>
  <c r="G153" i="51"/>
  <c r="F153" i="51"/>
  <c r="R152" i="51"/>
  <c r="O152" i="51"/>
  <c r="P152" i="51" s="1"/>
  <c r="N152" i="51"/>
  <c r="J152" i="51"/>
  <c r="H152" i="51" a="1"/>
  <c r="H152" i="51" s="1"/>
  <c r="V152" i="51" s="1" a="1"/>
  <c r="V152" i="51" s="1"/>
  <c r="G152" i="51"/>
  <c r="F152" i="51"/>
  <c r="R151" i="51"/>
  <c r="N151" i="51"/>
  <c r="O151" i="51" s="1"/>
  <c r="P151" i="51" s="1"/>
  <c r="J151" i="51"/>
  <c r="H151" i="51"/>
  <c r="H151" i="51" a="1"/>
  <c r="G151" i="51"/>
  <c r="F151" i="51"/>
  <c r="R150" i="51"/>
  <c r="O150" i="51"/>
  <c r="P150" i="51" s="1"/>
  <c r="N150" i="51"/>
  <c r="J150" i="51"/>
  <c r="H150" i="51" a="1"/>
  <c r="H150" i="51" s="1"/>
  <c r="V150" i="51" s="1" a="1"/>
  <c r="V150" i="51" s="1"/>
  <c r="G150" i="51"/>
  <c r="S150" i="51" s="1"/>
  <c r="T150" i="51" s="1"/>
  <c r="F150" i="51"/>
  <c r="R149" i="51"/>
  <c r="N149" i="51"/>
  <c r="O149" i="51" s="1"/>
  <c r="P149" i="51" s="1"/>
  <c r="J149" i="51"/>
  <c r="H149" i="51" a="1"/>
  <c r="H149" i="51" s="1"/>
  <c r="G149" i="51"/>
  <c r="F149" i="51"/>
  <c r="R148" i="51"/>
  <c r="O148" i="51"/>
  <c r="P148" i="51" s="1"/>
  <c r="N148" i="51"/>
  <c r="J148" i="51"/>
  <c r="H148" i="51" a="1"/>
  <c r="H148" i="51" s="1"/>
  <c r="G148" i="51"/>
  <c r="F148" i="51"/>
  <c r="R147" i="51"/>
  <c r="O147" i="51"/>
  <c r="P147" i="51" s="1"/>
  <c r="N147" i="51"/>
  <c r="J147" i="51"/>
  <c r="H147" i="51" a="1"/>
  <c r="H147" i="51" s="1"/>
  <c r="G147" i="51"/>
  <c r="F147" i="51"/>
  <c r="R146" i="51"/>
  <c r="N146" i="51"/>
  <c r="O146" i="51" s="1"/>
  <c r="P146" i="51" s="1"/>
  <c r="J146" i="51"/>
  <c r="H146" i="51" a="1"/>
  <c r="H146" i="51" s="1"/>
  <c r="V146" i="51" s="1" a="1"/>
  <c r="V146" i="51" s="1"/>
  <c r="G146" i="51"/>
  <c r="F146" i="51"/>
  <c r="R145" i="51"/>
  <c r="O145" i="51"/>
  <c r="P145" i="51" s="1"/>
  <c r="N145" i="51"/>
  <c r="J145" i="51"/>
  <c r="H145" i="51" a="1"/>
  <c r="H145" i="51" s="1"/>
  <c r="G145" i="51"/>
  <c r="F145" i="51"/>
  <c r="R144" i="51"/>
  <c r="N144" i="51"/>
  <c r="O144" i="51" s="1"/>
  <c r="P144" i="51" s="1"/>
  <c r="J144" i="51"/>
  <c r="I144" i="51"/>
  <c r="H144" i="51" a="1"/>
  <c r="H144" i="51" s="1"/>
  <c r="V144" i="51" s="1" a="1"/>
  <c r="V144" i="51" s="1"/>
  <c r="G144" i="51"/>
  <c r="F144" i="51"/>
  <c r="R143" i="51"/>
  <c r="N143" i="51"/>
  <c r="O143" i="51" s="1"/>
  <c r="P143" i="51" s="1"/>
  <c r="J143" i="51"/>
  <c r="H143" i="51" a="1"/>
  <c r="H143" i="51" s="1"/>
  <c r="G143" i="51"/>
  <c r="F143" i="51"/>
  <c r="R142" i="51"/>
  <c r="O142" i="51"/>
  <c r="P142" i="51" s="1"/>
  <c r="N142" i="51"/>
  <c r="J142" i="51"/>
  <c r="H142" i="51" a="1"/>
  <c r="H142" i="51" s="1"/>
  <c r="V142" i="51" s="1" a="1"/>
  <c r="V142" i="51" s="1"/>
  <c r="G142" i="51"/>
  <c r="F142" i="51"/>
  <c r="R141" i="51"/>
  <c r="N141" i="51"/>
  <c r="O141" i="51" s="1"/>
  <c r="P141" i="51" s="1"/>
  <c r="J141" i="51"/>
  <c r="K141" i="51" s="1"/>
  <c r="L141" i="51" s="1"/>
  <c r="H141" i="51" a="1"/>
  <c r="H141" i="51" s="1"/>
  <c r="G141" i="51"/>
  <c r="F141" i="51"/>
  <c r="S140" i="51"/>
  <c r="T140" i="51" s="1"/>
  <c r="R140" i="51"/>
  <c r="O140" i="51"/>
  <c r="P140" i="51" s="1"/>
  <c r="N140" i="51"/>
  <c r="J140" i="51"/>
  <c r="H140" i="51" a="1"/>
  <c r="H140" i="51" s="1"/>
  <c r="V140" i="51" s="1" a="1"/>
  <c r="V140" i="51" s="1"/>
  <c r="G140" i="51"/>
  <c r="F140" i="51"/>
  <c r="R139" i="51"/>
  <c r="O139" i="51"/>
  <c r="P139" i="51" s="1"/>
  <c r="N139" i="51"/>
  <c r="J139" i="51"/>
  <c r="H139" i="51" a="1"/>
  <c r="H139" i="51" s="1"/>
  <c r="G139" i="51"/>
  <c r="F139" i="51"/>
  <c r="R138" i="51"/>
  <c r="N138" i="51"/>
  <c r="O138" i="51" s="1"/>
  <c r="P138" i="51" s="1"/>
  <c r="J138" i="51"/>
  <c r="H138" i="51" a="1"/>
  <c r="H138" i="51" s="1"/>
  <c r="G138" i="51"/>
  <c r="F138" i="51"/>
  <c r="R137" i="51"/>
  <c r="N137" i="51"/>
  <c r="O137" i="51" s="1"/>
  <c r="P137" i="51" s="1"/>
  <c r="K137" i="51"/>
  <c r="L137" i="51" s="1"/>
  <c r="J137" i="51"/>
  <c r="H137" i="51"/>
  <c r="H137" i="51" a="1"/>
  <c r="G137" i="51"/>
  <c r="F137" i="51"/>
  <c r="R136" i="51"/>
  <c r="O136" i="51"/>
  <c r="P136" i="51" s="1"/>
  <c r="N136" i="51"/>
  <c r="J136" i="51"/>
  <c r="I136" i="51"/>
  <c r="H136" i="51" a="1"/>
  <c r="H136" i="51" s="1"/>
  <c r="V136" i="51" s="1" a="1"/>
  <c r="V136" i="51" s="1"/>
  <c r="G136" i="51"/>
  <c r="F136" i="51"/>
  <c r="R135" i="51"/>
  <c r="N135" i="51"/>
  <c r="O135" i="51" s="1"/>
  <c r="P135" i="51" s="1"/>
  <c r="J135" i="51"/>
  <c r="K135" i="51" s="1"/>
  <c r="L135" i="51" s="1"/>
  <c r="H135" i="51" a="1"/>
  <c r="H135" i="51" s="1"/>
  <c r="G135" i="51"/>
  <c r="F135" i="51"/>
  <c r="R134" i="51"/>
  <c r="O134" i="51"/>
  <c r="P134" i="51" s="1"/>
  <c r="N134" i="51"/>
  <c r="J134" i="51"/>
  <c r="H134" i="51" a="1"/>
  <c r="H134" i="51" s="1"/>
  <c r="V134" i="51" s="1" a="1"/>
  <c r="V134" i="51" s="1"/>
  <c r="G134" i="51"/>
  <c r="F134" i="51"/>
  <c r="R133" i="51"/>
  <c r="N133" i="51"/>
  <c r="O133" i="51" s="1"/>
  <c r="P133" i="51" s="1"/>
  <c r="J133" i="51"/>
  <c r="H133" i="51"/>
  <c r="I133" i="51" s="1"/>
  <c r="H133" i="51" a="1"/>
  <c r="G133" i="51"/>
  <c r="F133" i="51"/>
  <c r="R132" i="51"/>
  <c r="N132" i="51"/>
  <c r="O132" i="51" s="1"/>
  <c r="P132" i="51" s="1"/>
  <c r="J132" i="51"/>
  <c r="I132" i="51"/>
  <c r="H132" i="51" a="1"/>
  <c r="H132" i="51" s="1"/>
  <c r="V132" i="51" s="1" a="1"/>
  <c r="V132" i="51" s="1"/>
  <c r="W132" i="51" s="1" a="1"/>
  <c r="W132" i="51" s="1"/>
  <c r="G132" i="51"/>
  <c r="F132" i="51"/>
  <c r="R131" i="51"/>
  <c r="N131" i="51"/>
  <c r="O131" i="51" s="1"/>
  <c r="P131" i="51" s="1"/>
  <c r="J131" i="51"/>
  <c r="H131" i="51"/>
  <c r="I131" i="51" s="1"/>
  <c r="H131" i="51" a="1"/>
  <c r="G131" i="51"/>
  <c r="S131" i="51" s="1"/>
  <c r="T131" i="51" s="1"/>
  <c r="F131" i="51"/>
  <c r="R130" i="51"/>
  <c r="O130" i="51"/>
  <c r="P130" i="51" s="1"/>
  <c r="N130" i="51"/>
  <c r="J130" i="51"/>
  <c r="H130" i="51" a="1"/>
  <c r="H130" i="51" s="1"/>
  <c r="V130" i="51" s="1" a="1"/>
  <c r="V130" i="51" s="1"/>
  <c r="W130" i="51" s="1" a="1"/>
  <c r="W130" i="51" s="1"/>
  <c r="G130" i="51"/>
  <c r="F130" i="51"/>
  <c r="R129" i="51"/>
  <c r="N129" i="51"/>
  <c r="O129" i="51" s="1"/>
  <c r="P129" i="51" s="1"/>
  <c r="J129" i="51"/>
  <c r="H129" i="51"/>
  <c r="H129" i="51" a="1"/>
  <c r="G129" i="51"/>
  <c r="F129" i="51"/>
  <c r="V128" i="51" a="1"/>
  <c r="V128" i="51" s="1"/>
  <c r="S128" i="51"/>
  <c r="T128" i="51" s="1"/>
  <c r="R128" i="51"/>
  <c r="N128" i="51"/>
  <c r="O128" i="51" s="1"/>
  <c r="P128" i="51" s="1"/>
  <c r="J128" i="51"/>
  <c r="I128" i="51"/>
  <c r="H128" i="51" a="1"/>
  <c r="H128" i="51" s="1"/>
  <c r="G128" i="51"/>
  <c r="F128" i="51"/>
  <c r="R127" i="51"/>
  <c r="N127" i="51"/>
  <c r="O127" i="51" s="1"/>
  <c r="P127" i="51" s="1"/>
  <c r="J127" i="51"/>
  <c r="K127" i="51" s="1"/>
  <c r="L127" i="51" s="1"/>
  <c r="H127" i="51" a="1"/>
  <c r="H127" i="51" s="1"/>
  <c r="G127" i="51"/>
  <c r="S127" i="51" s="1"/>
  <c r="T127" i="51" s="1"/>
  <c r="F127" i="51"/>
  <c r="R126" i="51"/>
  <c r="N126" i="51"/>
  <c r="O126" i="51" s="1"/>
  <c r="P126" i="51" s="1"/>
  <c r="J126" i="51"/>
  <c r="I126" i="51"/>
  <c r="H126" i="51" a="1"/>
  <c r="H126" i="51" s="1"/>
  <c r="V126" i="51" s="1" a="1"/>
  <c r="V126" i="51" s="1"/>
  <c r="G126" i="51"/>
  <c r="F126" i="51"/>
  <c r="R125" i="51"/>
  <c r="N125" i="51"/>
  <c r="O125" i="51" s="1"/>
  <c r="P125" i="51" s="1"/>
  <c r="J125" i="51"/>
  <c r="H125" i="51" a="1"/>
  <c r="H125" i="51" s="1"/>
  <c r="G125" i="51"/>
  <c r="F125" i="51"/>
  <c r="V124" i="51" a="1"/>
  <c r="V124" i="51" s="1"/>
  <c r="R124" i="51"/>
  <c r="N124" i="51"/>
  <c r="O124" i="51" s="1"/>
  <c r="P124" i="51" s="1"/>
  <c r="J124" i="51"/>
  <c r="H124" i="51" a="1"/>
  <c r="H124" i="51" s="1"/>
  <c r="I124" i="51" s="1"/>
  <c r="G124" i="51"/>
  <c r="F124" i="51"/>
  <c r="R123" i="51"/>
  <c r="N123" i="51"/>
  <c r="O123" i="51" s="1"/>
  <c r="P123" i="51" s="1"/>
  <c r="J123" i="51"/>
  <c r="I123" i="51"/>
  <c r="H123" i="51" a="1"/>
  <c r="H123" i="51" s="1"/>
  <c r="V123" i="51" s="1" a="1"/>
  <c r="V123" i="51" s="1"/>
  <c r="G123" i="51"/>
  <c r="S123" i="51" s="1"/>
  <c r="T123" i="51" s="1"/>
  <c r="F123" i="51"/>
  <c r="R122" i="51"/>
  <c r="N122" i="51"/>
  <c r="O122" i="51" s="1"/>
  <c r="P122" i="51" s="1"/>
  <c r="L122" i="51"/>
  <c r="J122" i="51"/>
  <c r="H122" i="51" a="1"/>
  <c r="H122" i="51" s="1"/>
  <c r="V122" i="51" s="1" a="1"/>
  <c r="V122" i="51" s="1"/>
  <c r="W122" i="51" s="1" a="1"/>
  <c r="W122" i="51" s="1"/>
  <c r="I122" i="51" s="1"/>
  <c r="G122" i="51"/>
  <c r="K122" i="51" s="1"/>
  <c r="F122" i="51"/>
  <c r="R121" i="51"/>
  <c r="N121" i="51"/>
  <c r="O121" i="51" s="1"/>
  <c r="P121" i="51" s="1"/>
  <c r="J121" i="51"/>
  <c r="H121" i="51"/>
  <c r="I121" i="51" s="1"/>
  <c r="H121" i="51" a="1"/>
  <c r="G121" i="51"/>
  <c r="F121" i="51"/>
  <c r="R120" i="51"/>
  <c r="N120" i="51"/>
  <c r="O120" i="51" s="1"/>
  <c r="P120" i="51" s="1"/>
  <c r="J120" i="51"/>
  <c r="I120" i="51"/>
  <c r="H120" i="51" a="1"/>
  <c r="H120" i="51" s="1"/>
  <c r="V120" i="51" s="1" a="1"/>
  <c r="V120" i="51" s="1"/>
  <c r="G120" i="51"/>
  <c r="S120" i="51" s="1"/>
  <c r="T120" i="51" s="1"/>
  <c r="F120" i="51"/>
  <c r="R119" i="51"/>
  <c r="N119" i="51"/>
  <c r="O119" i="51" s="1"/>
  <c r="P119" i="51" s="1"/>
  <c r="K119" i="51"/>
  <c r="L119" i="51" s="1"/>
  <c r="J119" i="51"/>
  <c r="H119" i="51" a="1"/>
  <c r="H119" i="51" s="1"/>
  <c r="I119" i="51" s="1"/>
  <c r="G119" i="51"/>
  <c r="S119" i="51" s="1"/>
  <c r="T119" i="51" s="1"/>
  <c r="F119" i="51"/>
  <c r="R118" i="51"/>
  <c r="N118" i="51"/>
  <c r="O118" i="51" s="1"/>
  <c r="P118" i="51" s="1"/>
  <c r="J118" i="51"/>
  <c r="I118" i="51"/>
  <c r="H118" i="51" a="1"/>
  <c r="H118" i="51" s="1"/>
  <c r="V118" i="51" s="1" a="1"/>
  <c r="V118" i="51" s="1"/>
  <c r="W118" i="51" s="1" a="1"/>
  <c r="W118" i="51" s="1"/>
  <c r="G118" i="51"/>
  <c r="F118" i="51"/>
  <c r="R117" i="51"/>
  <c r="O117" i="51"/>
  <c r="P117" i="51" s="1"/>
  <c r="N117" i="51"/>
  <c r="J117" i="51"/>
  <c r="K117" i="51" s="1"/>
  <c r="L117" i="51" s="1"/>
  <c r="H117" i="51"/>
  <c r="I117" i="51" s="1"/>
  <c r="H117" i="51" a="1"/>
  <c r="G117" i="51"/>
  <c r="S117" i="51" s="1"/>
  <c r="T117" i="51" s="1"/>
  <c r="F117" i="51"/>
  <c r="R116" i="51"/>
  <c r="S116" i="51" s="1"/>
  <c r="T116" i="51" s="1"/>
  <c r="N116" i="51"/>
  <c r="O116" i="51" s="1"/>
  <c r="P116" i="51" s="1"/>
  <c r="K116" i="51"/>
  <c r="L116" i="51" s="1"/>
  <c r="J116" i="51"/>
  <c r="H116" i="51" a="1"/>
  <c r="H116" i="51" s="1"/>
  <c r="I116" i="51" s="1"/>
  <c r="G116" i="51"/>
  <c r="F116" i="51"/>
  <c r="R115" i="51"/>
  <c r="P115" i="51"/>
  <c r="N115" i="51"/>
  <c r="O115" i="51" s="1"/>
  <c r="J115" i="51"/>
  <c r="H115" i="51" a="1"/>
  <c r="H115" i="51" s="1"/>
  <c r="V115" i="51" s="1" a="1"/>
  <c r="V115" i="51" s="1"/>
  <c r="G115" i="51"/>
  <c r="F115" i="51"/>
  <c r="R114" i="51"/>
  <c r="O114" i="51"/>
  <c r="P114" i="51" s="1"/>
  <c r="N114" i="51"/>
  <c r="J114" i="51"/>
  <c r="H114" i="51" a="1"/>
  <c r="H114" i="51" s="1"/>
  <c r="G114" i="51"/>
  <c r="F114" i="51"/>
  <c r="S113" i="51"/>
  <c r="T113" i="51" s="1"/>
  <c r="R113" i="51"/>
  <c r="O113" i="51"/>
  <c r="P113" i="51" s="1"/>
  <c r="N113" i="51"/>
  <c r="J113" i="51"/>
  <c r="H113" i="51" a="1"/>
  <c r="H113" i="51" s="1"/>
  <c r="I113" i="51" s="1"/>
  <c r="G113" i="51"/>
  <c r="F113" i="51"/>
  <c r="R112" i="51"/>
  <c r="N112" i="51"/>
  <c r="O112" i="51" s="1"/>
  <c r="P112" i="51" s="1"/>
  <c r="J112" i="51"/>
  <c r="H112" i="51" a="1"/>
  <c r="H112" i="51" s="1"/>
  <c r="V112" i="51" s="1" a="1"/>
  <c r="V112" i="51" s="1"/>
  <c r="G112" i="51"/>
  <c r="S112" i="51" s="1"/>
  <c r="T112" i="51" s="1"/>
  <c r="F112" i="51"/>
  <c r="R111" i="51"/>
  <c r="N111" i="51"/>
  <c r="O111" i="51" s="1"/>
  <c r="P111" i="51" s="1"/>
  <c r="J111" i="51"/>
  <c r="I111" i="51"/>
  <c r="H111" i="51" a="1"/>
  <c r="H111" i="51" s="1"/>
  <c r="V111" i="51" s="1" a="1"/>
  <c r="V111" i="51" s="1"/>
  <c r="G111" i="51"/>
  <c r="F111" i="51"/>
  <c r="R110" i="51"/>
  <c r="O110" i="51"/>
  <c r="P110" i="51" s="1"/>
  <c r="N110" i="51"/>
  <c r="J110" i="51"/>
  <c r="H110" i="51" a="1"/>
  <c r="H110" i="51" s="1"/>
  <c r="G110" i="51"/>
  <c r="S110" i="51" s="1"/>
  <c r="T110" i="51" s="1"/>
  <c r="F110" i="51"/>
  <c r="R109" i="51"/>
  <c r="O109" i="51"/>
  <c r="P109" i="51" s="1"/>
  <c r="N109" i="51"/>
  <c r="J109" i="51"/>
  <c r="H109" i="51" a="1"/>
  <c r="H109" i="51" s="1"/>
  <c r="G109" i="51"/>
  <c r="K109" i="51" s="1"/>
  <c r="L109" i="51" s="1"/>
  <c r="F109" i="51"/>
  <c r="S108" i="51"/>
  <c r="T108" i="51" s="1"/>
  <c r="R108" i="51"/>
  <c r="O108" i="51"/>
  <c r="P108" i="51" s="1"/>
  <c r="N108" i="51"/>
  <c r="J108" i="51"/>
  <c r="K108" i="51" s="1"/>
  <c r="L108" i="51" s="1"/>
  <c r="I108" i="51"/>
  <c r="H108" i="51" a="1"/>
  <c r="H108" i="51" s="1"/>
  <c r="V108" i="51" s="1" a="1"/>
  <c r="V108" i="51" s="1"/>
  <c r="W108" i="51" s="1" a="1"/>
  <c r="W108" i="51" s="1"/>
  <c r="G108" i="51"/>
  <c r="F108" i="51"/>
  <c r="R107" i="51"/>
  <c r="P107" i="51"/>
  <c r="N107" i="51"/>
  <c r="O107" i="51" s="1"/>
  <c r="K107" i="51"/>
  <c r="L107" i="51" s="1"/>
  <c r="J107" i="51"/>
  <c r="H107" i="51" a="1"/>
  <c r="H107" i="51" s="1"/>
  <c r="I107" i="51" s="1"/>
  <c r="G107" i="51"/>
  <c r="F107" i="51"/>
  <c r="R106" i="51"/>
  <c r="N106" i="51"/>
  <c r="O106" i="51" s="1"/>
  <c r="P106" i="51" s="1"/>
  <c r="J106" i="51"/>
  <c r="I106" i="51"/>
  <c r="H106" i="51" a="1"/>
  <c r="H106" i="51" s="1"/>
  <c r="V106" i="51" s="1" a="1"/>
  <c r="V106" i="51" s="1"/>
  <c r="G106" i="51"/>
  <c r="F106" i="51"/>
  <c r="R105" i="51"/>
  <c r="O105" i="51"/>
  <c r="P105" i="51" s="1"/>
  <c r="N105" i="51"/>
  <c r="K105" i="51"/>
  <c r="L105" i="51" s="1"/>
  <c r="J105" i="51"/>
  <c r="H105" i="51" a="1"/>
  <c r="H105" i="51" s="1"/>
  <c r="G105" i="51"/>
  <c r="F105" i="51"/>
  <c r="R104" i="51"/>
  <c r="S104" i="51" s="1"/>
  <c r="T104" i="51" s="1"/>
  <c r="O104" i="51"/>
  <c r="P104" i="51" s="1"/>
  <c r="N104" i="51"/>
  <c r="J104" i="51"/>
  <c r="H104" i="51" a="1"/>
  <c r="H104" i="51" s="1"/>
  <c r="G104" i="51"/>
  <c r="F104" i="51"/>
  <c r="R103" i="51"/>
  <c r="N103" i="51"/>
  <c r="O103" i="51" s="1"/>
  <c r="P103" i="51" s="1"/>
  <c r="J103" i="51"/>
  <c r="H103" i="51" a="1"/>
  <c r="H103" i="51" s="1"/>
  <c r="I103" i="51" s="1"/>
  <c r="G103" i="51"/>
  <c r="F103" i="51"/>
  <c r="R102" i="51"/>
  <c r="N102" i="51"/>
  <c r="O102" i="51" s="1"/>
  <c r="P102" i="51" s="1"/>
  <c r="J102" i="51"/>
  <c r="H102" i="51" a="1"/>
  <c r="H102" i="51" s="1"/>
  <c r="V102" i="51" s="1" a="1"/>
  <c r="V102" i="51" s="1"/>
  <c r="G102" i="51"/>
  <c r="F102" i="51"/>
  <c r="R101" i="51"/>
  <c r="P101" i="51"/>
  <c r="N101" i="51"/>
  <c r="O101" i="51" s="1"/>
  <c r="J101" i="51"/>
  <c r="H101" i="51"/>
  <c r="I101" i="51" s="1"/>
  <c r="H101" i="51" a="1"/>
  <c r="G101" i="51"/>
  <c r="F101" i="51"/>
  <c r="R100" i="51"/>
  <c r="O100" i="51"/>
  <c r="P100" i="51" s="1"/>
  <c r="N100" i="51"/>
  <c r="J100" i="51"/>
  <c r="H100" i="51" a="1"/>
  <c r="H100" i="51" s="1"/>
  <c r="G100" i="51"/>
  <c r="F100" i="51"/>
  <c r="R99" i="51"/>
  <c r="N99" i="51"/>
  <c r="O99" i="51" s="1"/>
  <c r="P99" i="51" s="1"/>
  <c r="J99" i="51"/>
  <c r="I99" i="51"/>
  <c r="X99" i="51" s="1" a="1"/>
  <c r="X99" i="51" s="1"/>
  <c r="H99" i="51" a="1"/>
  <c r="H99" i="51" s="1"/>
  <c r="V99" i="51" s="1" a="1"/>
  <c r="V99" i="51" s="1"/>
  <c r="W99" i="51" s="1" a="1"/>
  <c r="W99" i="51" s="1"/>
  <c r="G99" i="51"/>
  <c r="S99" i="51" s="1"/>
  <c r="T99" i="51" s="1"/>
  <c r="F99" i="51"/>
  <c r="R98" i="51"/>
  <c r="N98" i="51"/>
  <c r="O98" i="51" s="1"/>
  <c r="P98" i="51" s="1"/>
  <c r="J98" i="51"/>
  <c r="H98" i="51" a="1"/>
  <c r="H98" i="51" s="1"/>
  <c r="V98" i="51" s="1" a="1"/>
  <c r="V98" i="51" s="1"/>
  <c r="W98" i="51" s="1" a="1"/>
  <c r="W98" i="51" s="1"/>
  <c r="G98" i="51"/>
  <c r="F98" i="51"/>
  <c r="R97" i="51"/>
  <c r="O97" i="51"/>
  <c r="P97" i="51" s="1"/>
  <c r="N97" i="51"/>
  <c r="J97" i="51"/>
  <c r="H97" i="51"/>
  <c r="V97" i="51" s="1" a="1"/>
  <c r="V97" i="51" s="1"/>
  <c r="W97" i="51" s="1" a="1"/>
  <c r="W97" i="51" s="1"/>
  <c r="H97" i="51" a="1"/>
  <c r="G97" i="51"/>
  <c r="F97" i="51"/>
  <c r="V96" i="51" a="1"/>
  <c r="V96" i="51" s="1"/>
  <c r="R96" i="51"/>
  <c r="S96" i="51" s="1"/>
  <c r="T96" i="51" s="1"/>
  <c r="N96" i="51"/>
  <c r="O96" i="51" s="1"/>
  <c r="P96" i="51" s="1"/>
  <c r="J96" i="51"/>
  <c r="I96" i="51"/>
  <c r="H96" i="51" a="1"/>
  <c r="H96" i="51" s="1"/>
  <c r="G96" i="51"/>
  <c r="F96" i="51"/>
  <c r="R95" i="51"/>
  <c r="O95" i="51"/>
  <c r="P95" i="51" s="1"/>
  <c r="N95" i="51"/>
  <c r="J95" i="51"/>
  <c r="H95" i="51" a="1"/>
  <c r="H95" i="51" s="1"/>
  <c r="I95" i="51" s="1"/>
  <c r="G95" i="51"/>
  <c r="F95" i="51"/>
  <c r="R94" i="51"/>
  <c r="N94" i="51"/>
  <c r="O94" i="51" s="1"/>
  <c r="P94" i="51" s="1"/>
  <c r="J94" i="51"/>
  <c r="H94" i="51"/>
  <c r="H94" i="51" a="1"/>
  <c r="G94" i="51"/>
  <c r="F94" i="51"/>
  <c r="S93" i="51"/>
  <c r="T93" i="51" s="1"/>
  <c r="R93" i="51"/>
  <c r="O93" i="51"/>
  <c r="P93" i="51" s="1"/>
  <c r="N93" i="51"/>
  <c r="J93" i="51"/>
  <c r="K93" i="51" s="1"/>
  <c r="L93" i="51" s="1"/>
  <c r="H93" i="51" a="1"/>
  <c r="H93" i="51" s="1"/>
  <c r="V93" i="51" s="1" a="1"/>
  <c r="V93" i="51" s="1"/>
  <c r="G93" i="51"/>
  <c r="F93" i="51"/>
  <c r="R92" i="51"/>
  <c r="N92" i="51"/>
  <c r="O92" i="51" s="1"/>
  <c r="P92" i="51" s="1"/>
  <c r="J92" i="51"/>
  <c r="H92" i="51" a="1"/>
  <c r="H92" i="51" s="1"/>
  <c r="G92" i="51"/>
  <c r="F92" i="51"/>
  <c r="R91" i="51"/>
  <c r="N91" i="51"/>
  <c r="O91" i="51" s="1"/>
  <c r="P91" i="51" s="1"/>
  <c r="J91" i="51"/>
  <c r="K91" i="51" s="1"/>
  <c r="L91" i="51" s="1"/>
  <c r="I91" i="51"/>
  <c r="H91" i="51" a="1"/>
  <c r="H91" i="51" s="1"/>
  <c r="V91" i="51" s="1" a="1"/>
  <c r="V91" i="51" s="1"/>
  <c r="G91" i="51"/>
  <c r="F91" i="51"/>
  <c r="R90" i="51"/>
  <c r="N90" i="51"/>
  <c r="O90" i="51" s="1"/>
  <c r="P90" i="51" s="1"/>
  <c r="J90" i="51"/>
  <c r="H90" i="51" a="1"/>
  <c r="H90" i="51" s="1"/>
  <c r="G90" i="51"/>
  <c r="F90" i="51"/>
  <c r="R89" i="51"/>
  <c r="O89" i="51"/>
  <c r="P89" i="51" s="1"/>
  <c r="N89" i="51"/>
  <c r="J89" i="51"/>
  <c r="H89" i="51" a="1"/>
  <c r="H89" i="51" s="1"/>
  <c r="V89" i="51" s="1" a="1"/>
  <c r="V89" i="51" s="1"/>
  <c r="G89" i="51"/>
  <c r="K89" i="51" s="1"/>
  <c r="L89" i="51" s="1"/>
  <c r="F89" i="51"/>
  <c r="R88" i="51"/>
  <c r="N88" i="51"/>
  <c r="O88" i="51" s="1"/>
  <c r="P88" i="51" s="1"/>
  <c r="J88" i="51"/>
  <c r="H88" i="51" a="1"/>
  <c r="H88" i="51" s="1"/>
  <c r="G88" i="51"/>
  <c r="F88" i="51"/>
  <c r="R87" i="51"/>
  <c r="S87" i="51" s="1"/>
  <c r="T87" i="51" s="1"/>
  <c r="N87" i="51"/>
  <c r="O87" i="51" s="1"/>
  <c r="P87" i="51" s="1"/>
  <c r="J87" i="51"/>
  <c r="K87" i="51" s="1"/>
  <c r="L87" i="51" s="1"/>
  <c r="H87" i="51" a="1"/>
  <c r="H87" i="51" s="1"/>
  <c r="V87" i="51" s="1" a="1"/>
  <c r="V87" i="51" s="1"/>
  <c r="G87" i="51"/>
  <c r="F87" i="51"/>
  <c r="R86" i="51"/>
  <c r="N86" i="51"/>
  <c r="O86" i="51" s="1"/>
  <c r="P86" i="51" s="1"/>
  <c r="J86" i="51"/>
  <c r="H86" i="51" a="1"/>
  <c r="H86" i="51" s="1"/>
  <c r="G86" i="51"/>
  <c r="F86" i="51"/>
  <c r="R85" i="51"/>
  <c r="N85" i="51"/>
  <c r="O85" i="51" s="1"/>
  <c r="P85" i="51" s="1"/>
  <c r="K85" i="51"/>
  <c r="L85" i="51" s="1"/>
  <c r="J85" i="51"/>
  <c r="I85" i="51"/>
  <c r="H85" i="51" a="1"/>
  <c r="H85" i="51" s="1"/>
  <c r="V85" i="51" s="1" a="1"/>
  <c r="V85" i="51" s="1"/>
  <c r="G85" i="51"/>
  <c r="S85" i="51" s="1"/>
  <c r="T85" i="51" s="1"/>
  <c r="F85" i="51"/>
  <c r="R84" i="51"/>
  <c r="N84" i="51"/>
  <c r="O84" i="51" s="1"/>
  <c r="P84" i="51" s="1"/>
  <c r="J84" i="51"/>
  <c r="H84" i="51" a="1"/>
  <c r="H84" i="51" s="1"/>
  <c r="G84" i="51"/>
  <c r="F84" i="51"/>
  <c r="S83" i="51"/>
  <c r="T83" i="51" s="1"/>
  <c r="R83" i="51"/>
  <c r="N83" i="51"/>
  <c r="O83" i="51" s="1"/>
  <c r="P83" i="51" s="1"/>
  <c r="J83" i="51"/>
  <c r="K83" i="51" s="1"/>
  <c r="L83" i="51" s="1"/>
  <c r="H83" i="51" a="1"/>
  <c r="H83" i="51" s="1"/>
  <c r="V83" i="51" s="1" a="1"/>
  <c r="V83" i="51" s="1"/>
  <c r="G83" i="51"/>
  <c r="F83" i="51"/>
  <c r="R82" i="51"/>
  <c r="N82" i="51"/>
  <c r="O82" i="51" s="1"/>
  <c r="P82" i="51" s="1"/>
  <c r="J82" i="51"/>
  <c r="H82" i="51" a="1"/>
  <c r="H82" i="51" s="1"/>
  <c r="G82" i="51"/>
  <c r="F82" i="51"/>
  <c r="S81" i="51"/>
  <c r="T81" i="51" s="1"/>
  <c r="R81" i="51"/>
  <c r="N81" i="51"/>
  <c r="O81" i="51" s="1"/>
  <c r="P81" i="51" s="1"/>
  <c r="K81" i="51"/>
  <c r="L81" i="51" s="1"/>
  <c r="J81" i="51"/>
  <c r="H81" i="51" a="1"/>
  <c r="H81" i="51" s="1"/>
  <c r="I81" i="51" s="1"/>
  <c r="G81" i="51"/>
  <c r="F81" i="51"/>
  <c r="R80" i="51"/>
  <c r="N80" i="51"/>
  <c r="O80" i="51" s="1"/>
  <c r="P80" i="51" s="1"/>
  <c r="J80" i="51"/>
  <c r="H80" i="51" a="1"/>
  <c r="H80" i="51" s="1"/>
  <c r="G80" i="51"/>
  <c r="F80" i="51"/>
  <c r="R79" i="51"/>
  <c r="N79" i="51"/>
  <c r="O79" i="51" s="1"/>
  <c r="P79" i="51" s="1"/>
  <c r="J79" i="51"/>
  <c r="K79" i="51" s="1"/>
  <c r="L79" i="51" s="1"/>
  <c r="H79" i="51" a="1"/>
  <c r="H79" i="51" s="1"/>
  <c r="I79" i="51" s="1"/>
  <c r="G79" i="51"/>
  <c r="F79" i="51"/>
  <c r="R78" i="51"/>
  <c r="N78" i="51"/>
  <c r="O78" i="51" s="1"/>
  <c r="P78" i="51" s="1"/>
  <c r="J78" i="51"/>
  <c r="H78" i="51" a="1"/>
  <c r="H78" i="51" s="1"/>
  <c r="G78" i="51"/>
  <c r="F78" i="51"/>
  <c r="R77" i="51"/>
  <c r="O77" i="51"/>
  <c r="P77" i="51" s="1"/>
  <c r="N77" i="51"/>
  <c r="J77" i="51"/>
  <c r="K77" i="51" s="1"/>
  <c r="L77" i="51" s="1"/>
  <c r="H77" i="51" a="1"/>
  <c r="H77" i="51" s="1"/>
  <c r="V77" i="51" s="1" a="1"/>
  <c r="V77" i="51" s="1"/>
  <c r="G77" i="51"/>
  <c r="F77" i="51"/>
  <c r="R76" i="51"/>
  <c r="N76" i="51"/>
  <c r="O76" i="51" s="1"/>
  <c r="P76" i="51" s="1"/>
  <c r="J76" i="51"/>
  <c r="H76" i="51" a="1"/>
  <c r="H76" i="51" s="1"/>
  <c r="G76" i="51"/>
  <c r="F76" i="51"/>
  <c r="R75" i="51"/>
  <c r="N75" i="51"/>
  <c r="O75" i="51" s="1"/>
  <c r="P75" i="51" s="1"/>
  <c r="J75" i="51"/>
  <c r="I75" i="51"/>
  <c r="H75" i="51" a="1"/>
  <c r="H75" i="51" s="1"/>
  <c r="V75" i="51" s="1" a="1"/>
  <c r="V75" i="51" s="1"/>
  <c r="G75" i="51"/>
  <c r="K75" i="51" s="1"/>
  <c r="L75" i="51" s="1"/>
  <c r="F75" i="51"/>
  <c r="R74" i="51"/>
  <c r="N74" i="51"/>
  <c r="O74" i="51" s="1"/>
  <c r="P74" i="51" s="1"/>
  <c r="J74" i="51"/>
  <c r="H74" i="51" a="1"/>
  <c r="H74" i="51" s="1"/>
  <c r="G74" i="51"/>
  <c r="F74" i="51"/>
  <c r="R73" i="51"/>
  <c r="N73" i="51"/>
  <c r="O73" i="51" s="1"/>
  <c r="P73" i="51" s="1"/>
  <c r="J73" i="51"/>
  <c r="H73" i="51" a="1"/>
  <c r="H73" i="51" s="1"/>
  <c r="V73" i="51" s="1" a="1"/>
  <c r="V73" i="51" s="1"/>
  <c r="G73" i="51"/>
  <c r="S73" i="51" s="1"/>
  <c r="T73" i="51" s="1"/>
  <c r="F73" i="51"/>
  <c r="R72" i="51"/>
  <c r="O72" i="51"/>
  <c r="P72" i="51" s="1"/>
  <c r="N72" i="51"/>
  <c r="J72" i="51"/>
  <c r="H72" i="51" a="1"/>
  <c r="H72" i="51" s="1"/>
  <c r="G72" i="51"/>
  <c r="F72" i="51"/>
  <c r="R71" i="51"/>
  <c r="O71" i="51"/>
  <c r="P71" i="51" s="1"/>
  <c r="N71" i="51"/>
  <c r="J71" i="51"/>
  <c r="H71" i="51" a="1"/>
  <c r="H71" i="51" s="1"/>
  <c r="V71" i="51" s="1" a="1"/>
  <c r="V71" i="51" s="1"/>
  <c r="G71" i="51"/>
  <c r="K71" i="51" s="1"/>
  <c r="L71" i="51" s="1"/>
  <c r="F71" i="51"/>
  <c r="R70" i="51"/>
  <c r="P70" i="51"/>
  <c r="O70" i="51"/>
  <c r="N70" i="51"/>
  <c r="J70" i="51"/>
  <c r="H70" i="51" a="1"/>
  <c r="H70" i="51" s="1"/>
  <c r="G70" i="51"/>
  <c r="F70" i="51"/>
  <c r="R69" i="51"/>
  <c r="O69" i="51"/>
  <c r="P69" i="51" s="1"/>
  <c r="N69" i="51"/>
  <c r="J69" i="51"/>
  <c r="H69" i="51" a="1"/>
  <c r="H69" i="51" s="1"/>
  <c r="I69" i="51" s="1"/>
  <c r="G69" i="51"/>
  <c r="F69" i="51"/>
  <c r="R68" i="51"/>
  <c r="N68" i="51"/>
  <c r="O68" i="51" s="1"/>
  <c r="P68" i="51" s="1"/>
  <c r="J68" i="51"/>
  <c r="H68" i="51" a="1"/>
  <c r="H68" i="51" s="1"/>
  <c r="G68" i="51"/>
  <c r="F68" i="51"/>
  <c r="R67" i="51"/>
  <c r="O67" i="51"/>
  <c r="P67" i="51" s="1"/>
  <c r="N67" i="51"/>
  <c r="J67" i="51"/>
  <c r="H67" i="51" a="1"/>
  <c r="H67" i="51" s="1"/>
  <c r="V67" i="51" s="1" a="1"/>
  <c r="V67" i="51" s="1"/>
  <c r="G67" i="51"/>
  <c r="S67" i="51" s="1"/>
  <c r="T67" i="51" s="1"/>
  <c r="F67" i="51"/>
  <c r="R66" i="51"/>
  <c r="O66" i="51"/>
  <c r="P66" i="51" s="1"/>
  <c r="N66" i="51"/>
  <c r="J66" i="51"/>
  <c r="H66" i="51" a="1"/>
  <c r="H66" i="51" s="1"/>
  <c r="G66" i="51"/>
  <c r="F66" i="51"/>
  <c r="R65" i="51"/>
  <c r="N65" i="51"/>
  <c r="O65" i="51" s="1"/>
  <c r="P65" i="51" s="1"/>
  <c r="J65" i="51"/>
  <c r="H65" i="51" a="1"/>
  <c r="H65" i="51" s="1"/>
  <c r="V65" i="51" s="1" a="1"/>
  <c r="V65" i="51" s="1"/>
  <c r="G65" i="51"/>
  <c r="S65" i="51" s="1"/>
  <c r="T65" i="51" s="1"/>
  <c r="F65" i="51"/>
  <c r="R64" i="51"/>
  <c r="N64" i="51"/>
  <c r="O64" i="51" s="1"/>
  <c r="P64" i="51" s="1"/>
  <c r="J64" i="51"/>
  <c r="H64" i="51" a="1"/>
  <c r="H64" i="51" s="1"/>
  <c r="G64" i="51"/>
  <c r="F64" i="51"/>
  <c r="V63" i="51" a="1"/>
  <c r="V63" i="51" s="1"/>
  <c r="R63" i="51"/>
  <c r="N63" i="51"/>
  <c r="O63" i="51" s="1"/>
  <c r="P63" i="51" s="1"/>
  <c r="K63" i="51"/>
  <c r="L63" i="51" s="1"/>
  <c r="J63" i="51"/>
  <c r="H63" i="51" a="1"/>
  <c r="H63" i="51" s="1"/>
  <c r="G63" i="51"/>
  <c r="F63" i="51"/>
  <c r="R62" i="51"/>
  <c r="N62" i="51"/>
  <c r="O62" i="51" s="1"/>
  <c r="P62" i="51" s="1"/>
  <c r="J62" i="51"/>
  <c r="H62" i="51" a="1"/>
  <c r="H62" i="51" s="1"/>
  <c r="G62" i="51"/>
  <c r="F62" i="51"/>
  <c r="R61" i="51"/>
  <c r="O61" i="51"/>
  <c r="P61" i="51" s="1"/>
  <c r="N61" i="51"/>
  <c r="J61" i="51"/>
  <c r="H61" i="51" a="1"/>
  <c r="H61" i="51" s="1"/>
  <c r="V61" i="51" s="1" a="1"/>
  <c r="V61" i="51" s="1"/>
  <c r="G61" i="51"/>
  <c r="F61" i="51"/>
  <c r="R60" i="51"/>
  <c r="N60" i="51"/>
  <c r="O60" i="51" s="1"/>
  <c r="P60" i="51" s="1"/>
  <c r="J60" i="51"/>
  <c r="H60" i="51" a="1"/>
  <c r="H60" i="51" s="1"/>
  <c r="G60" i="51"/>
  <c r="F60" i="51"/>
  <c r="V59" i="51" a="1"/>
  <c r="V59" i="51" s="1"/>
  <c r="R59" i="51"/>
  <c r="N59" i="51"/>
  <c r="O59" i="51" s="1"/>
  <c r="P59" i="51" s="1"/>
  <c r="J59" i="51"/>
  <c r="H59" i="51" a="1"/>
  <c r="H59" i="51" s="1"/>
  <c r="I59" i="51" s="1"/>
  <c r="G59" i="51"/>
  <c r="F59" i="51"/>
  <c r="R58" i="51"/>
  <c r="N58" i="51"/>
  <c r="O58" i="51" s="1"/>
  <c r="P58" i="51" s="1"/>
  <c r="J58" i="51"/>
  <c r="H58" i="51" a="1"/>
  <c r="H58" i="51" s="1"/>
  <c r="G58" i="51"/>
  <c r="F58" i="51"/>
  <c r="R57" i="51"/>
  <c r="O57" i="51"/>
  <c r="P57" i="51" s="1"/>
  <c r="N57" i="51"/>
  <c r="J57" i="51"/>
  <c r="H57" i="51" a="1"/>
  <c r="H57" i="51" s="1"/>
  <c r="V57" i="51" s="1" a="1"/>
  <c r="V57" i="51" s="1"/>
  <c r="G57" i="51"/>
  <c r="K57" i="51" s="1"/>
  <c r="L57" i="51" s="1"/>
  <c r="F57" i="51"/>
  <c r="R56" i="51"/>
  <c r="N56" i="51"/>
  <c r="O56" i="51" s="1"/>
  <c r="P56" i="51" s="1"/>
  <c r="J56" i="51"/>
  <c r="H56" i="51" a="1"/>
  <c r="H56" i="51" s="1"/>
  <c r="G56" i="51"/>
  <c r="F56" i="51"/>
  <c r="R55" i="51"/>
  <c r="N55" i="51"/>
  <c r="O55" i="51" s="1"/>
  <c r="P55" i="51" s="1"/>
  <c r="J55" i="51"/>
  <c r="H55" i="51" a="1"/>
  <c r="H55" i="51" s="1"/>
  <c r="V55" i="51" s="1" a="1"/>
  <c r="V55" i="51" s="1"/>
  <c r="G55" i="51"/>
  <c r="F55" i="51"/>
  <c r="R54" i="51"/>
  <c r="O54" i="51"/>
  <c r="P54" i="51" s="1"/>
  <c r="N54" i="51"/>
  <c r="J54" i="51"/>
  <c r="H54" i="51" a="1"/>
  <c r="H54" i="51" s="1"/>
  <c r="G54" i="51"/>
  <c r="F54" i="51"/>
  <c r="R53" i="51"/>
  <c r="N53" i="51"/>
  <c r="O53" i="51" s="1"/>
  <c r="P53" i="51" s="1"/>
  <c r="J53" i="51"/>
  <c r="H53" i="51" a="1"/>
  <c r="H53" i="51" s="1"/>
  <c r="I53" i="51" s="1"/>
  <c r="G53" i="51"/>
  <c r="S53" i="51" s="1"/>
  <c r="T53" i="51" s="1"/>
  <c r="F53" i="51"/>
  <c r="R52" i="51"/>
  <c r="N52" i="51"/>
  <c r="O52" i="51" s="1"/>
  <c r="P52" i="51" s="1"/>
  <c r="J52" i="51"/>
  <c r="H52" i="51" a="1"/>
  <c r="H52" i="51" s="1"/>
  <c r="G52" i="51"/>
  <c r="F52" i="51"/>
  <c r="R51" i="51"/>
  <c r="N51" i="51"/>
  <c r="O51" i="51" s="1"/>
  <c r="P51" i="51" s="1"/>
  <c r="J51" i="51"/>
  <c r="K51" i="51" s="1"/>
  <c r="L51" i="51" s="1"/>
  <c r="H51" i="51" a="1"/>
  <c r="H51" i="51" s="1"/>
  <c r="V51" i="51" s="1" a="1"/>
  <c r="V51" i="51" s="1"/>
  <c r="G51" i="51"/>
  <c r="F51" i="51"/>
  <c r="R50" i="51"/>
  <c r="O50" i="51"/>
  <c r="P50" i="51" s="1"/>
  <c r="N50" i="51"/>
  <c r="J50" i="51"/>
  <c r="H50" i="51" a="1"/>
  <c r="H50" i="51" s="1"/>
  <c r="G50" i="51"/>
  <c r="F50" i="51"/>
  <c r="R49" i="51"/>
  <c r="O49" i="51"/>
  <c r="P49" i="51" s="1"/>
  <c r="N49" i="51"/>
  <c r="J49" i="51"/>
  <c r="H49" i="51" a="1"/>
  <c r="H49" i="51" s="1"/>
  <c r="V49" i="51" s="1" a="1"/>
  <c r="V49" i="51" s="1"/>
  <c r="G49" i="51"/>
  <c r="S49" i="51" s="1"/>
  <c r="T49" i="51" s="1"/>
  <c r="F49" i="51"/>
  <c r="R48" i="51"/>
  <c r="N48" i="51"/>
  <c r="O48" i="51" s="1"/>
  <c r="P48" i="51" s="1"/>
  <c r="J48" i="51"/>
  <c r="H48" i="51" a="1"/>
  <c r="H48" i="51" s="1"/>
  <c r="G48" i="51"/>
  <c r="F48" i="51"/>
  <c r="V47" i="51" a="1"/>
  <c r="V47" i="51" s="1"/>
  <c r="R47" i="51"/>
  <c r="N47" i="51"/>
  <c r="O47" i="51" s="1"/>
  <c r="P47" i="51" s="1"/>
  <c r="J47" i="51"/>
  <c r="K47" i="51" s="1"/>
  <c r="L47" i="51" s="1"/>
  <c r="H47" i="51" a="1"/>
  <c r="H47" i="51" s="1"/>
  <c r="G47" i="51"/>
  <c r="F47" i="51"/>
  <c r="R46" i="51"/>
  <c r="N46" i="51"/>
  <c r="O46" i="51" s="1"/>
  <c r="P46" i="51" s="1"/>
  <c r="J46" i="51"/>
  <c r="H46" i="51" a="1"/>
  <c r="H46" i="51" s="1"/>
  <c r="G46" i="51"/>
  <c r="F46" i="51"/>
  <c r="R45" i="51"/>
  <c r="O45" i="51"/>
  <c r="P45" i="51" s="1"/>
  <c r="N45" i="51"/>
  <c r="J45" i="51"/>
  <c r="H45" i="51" a="1"/>
  <c r="H45" i="51" s="1"/>
  <c r="V45" i="51" s="1" a="1"/>
  <c r="V45" i="51" s="1"/>
  <c r="G45" i="51"/>
  <c r="F45" i="51"/>
  <c r="R44" i="51"/>
  <c r="N44" i="51"/>
  <c r="O44" i="51" s="1"/>
  <c r="P44" i="51" s="1"/>
  <c r="J44" i="51"/>
  <c r="H44" i="51" a="1"/>
  <c r="H44" i="51" s="1"/>
  <c r="G44" i="51"/>
  <c r="F44" i="51"/>
  <c r="V43" i="51" a="1"/>
  <c r="V43" i="51" s="1"/>
  <c r="R43" i="51"/>
  <c r="N43" i="51"/>
  <c r="O43" i="51" s="1"/>
  <c r="P43" i="51" s="1"/>
  <c r="J43" i="51"/>
  <c r="H43" i="51" a="1"/>
  <c r="H43" i="51" s="1"/>
  <c r="I43" i="51" s="1"/>
  <c r="G43" i="51"/>
  <c r="F43" i="51"/>
  <c r="R42" i="51"/>
  <c r="N42" i="51"/>
  <c r="O42" i="51" s="1"/>
  <c r="P42" i="51" s="1"/>
  <c r="J42" i="51"/>
  <c r="H42" i="51" a="1"/>
  <c r="H42" i="51" s="1"/>
  <c r="G42" i="51"/>
  <c r="F42" i="51"/>
  <c r="R41" i="51"/>
  <c r="O41" i="51"/>
  <c r="P41" i="51" s="1"/>
  <c r="N41" i="51"/>
  <c r="J41" i="51"/>
  <c r="H41" i="51" a="1"/>
  <c r="H41" i="51" s="1"/>
  <c r="V41" i="51" s="1" a="1"/>
  <c r="V41" i="51" s="1"/>
  <c r="G41" i="51"/>
  <c r="K41" i="51" s="1"/>
  <c r="L41" i="51" s="1"/>
  <c r="F41" i="51"/>
  <c r="R40" i="51"/>
  <c r="N40" i="51"/>
  <c r="O40" i="51" s="1"/>
  <c r="P40" i="51" s="1"/>
  <c r="J40" i="51"/>
  <c r="H40" i="51" a="1"/>
  <c r="H40" i="51" s="1"/>
  <c r="G40" i="51"/>
  <c r="F40" i="51"/>
  <c r="R39" i="51"/>
  <c r="N39" i="51"/>
  <c r="O39" i="51" s="1"/>
  <c r="P39" i="51" s="1"/>
  <c r="J39" i="51"/>
  <c r="H39" i="51" a="1"/>
  <c r="H39" i="51" s="1"/>
  <c r="V39" i="51" s="1" a="1"/>
  <c r="V39" i="51" s="1"/>
  <c r="G39" i="51"/>
  <c r="F39" i="51"/>
  <c r="R38" i="51"/>
  <c r="N38" i="51"/>
  <c r="O38" i="51" s="1"/>
  <c r="P38" i="51" s="1"/>
  <c r="J38" i="51"/>
  <c r="H38" i="51" a="1"/>
  <c r="H38" i="51" s="1"/>
  <c r="I38" i="51" s="1"/>
  <c r="G38" i="51"/>
  <c r="F38" i="51"/>
  <c r="R37" i="51"/>
  <c r="O37" i="51"/>
  <c r="P37" i="51" s="1"/>
  <c r="N37" i="51"/>
  <c r="J37" i="51"/>
  <c r="H37" i="51" a="1"/>
  <c r="H37" i="51" s="1"/>
  <c r="I37" i="51" s="1"/>
  <c r="G37" i="51"/>
  <c r="S37" i="51" s="1"/>
  <c r="T37" i="51" s="1"/>
  <c r="F37" i="51"/>
  <c r="R36" i="51"/>
  <c r="N36" i="51"/>
  <c r="O36" i="51" s="1"/>
  <c r="P36" i="51" s="1"/>
  <c r="K36" i="51"/>
  <c r="L36" i="51" s="1"/>
  <c r="J36" i="51"/>
  <c r="H36" i="51" a="1"/>
  <c r="H36" i="51" s="1"/>
  <c r="I36" i="51" s="1"/>
  <c r="G36" i="51"/>
  <c r="S36" i="51" s="1"/>
  <c r="T36" i="51" s="1"/>
  <c r="F36" i="51"/>
  <c r="R35" i="51"/>
  <c r="O35" i="51"/>
  <c r="P35" i="51" s="1"/>
  <c r="N35" i="51"/>
  <c r="J35" i="51"/>
  <c r="H35" i="51" a="1"/>
  <c r="H35" i="51" s="1"/>
  <c r="V35" i="51" s="1" a="1"/>
  <c r="V35" i="51" s="1"/>
  <c r="W35" i="51" s="1" a="1"/>
  <c r="W35" i="51" s="1"/>
  <c r="I35" i="51" s="1"/>
  <c r="G35" i="51"/>
  <c r="S35" i="51" s="1"/>
  <c r="T35" i="51" s="1"/>
  <c r="F35" i="51"/>
  <c r="R34" i="51"/>
  <c r="N34" i="51"/>
  <c r="O34" i="51" s="1"/>
  <c r="P34" i="51" s="1"/>
  <c r="J34" i="51"/>
  <c r="H34" i="51" a="1"/>
  <c r="H34" i="51" s="1"/>
  <c r="I34" i="51" s="1"/>
  <c r="G34" i="51"/>
  <c r="F34" i="51"/>
  <c r="R33" i="51"/>
  <c r="N33" i="51"/>
  <c r="O33" i="51" s="1"/>
  <c r="P33" i="51" s="1"/>
  <c r="J33" i="51"/>
  <c r="H33" i="51" a="1"/>
  <c r="H33" i="51" s="1"/>
  <c r="V33" i="51" s="1" a="1"/>
  <c r="V33" i="51" s="1"/>
  <c r="G33" i="51"/>
  <c r="F33" i="51"/>
  <c r="R32" i="51"/>
  <c r="O32" i="51"/>
  <c r="P32" i="51" s="1"/>
  <c r="N32" i="51"/>
  <c r="J32" i="51"/>
  <c r="K32" i="51" s="1"/>
  <c r="L32" i="51" s="1"/>
  <c r="H32" i="51" a="1"/>
  <c r="H32" i="51" s="1"/>
  <c r="I32" i="51" s="1"/>
  <c r="G32" i="51"/>
  <c r="F32" i="51"/>
  <c r="R31" i="51"/>
  <c r="N31" i="51"/>
  <c r="O31" i="51" s="1"/>
  <c r="P31" i="51" s="1"/>
  <c r="K31" i="51"/>
  <c r="L31" i="51" s="1"/>
  <c r="J31" i="51"/>
  <c r="H31" i="51" a="1"/>
  <c r="H31" i="51" s="1"/>
  <c r="I31" i="51" s="1"/>
  <c r="G31" i="51"/>
  <c r="S31" i="51" s="1"/>
  <c r="T31" i="51" s="1"/>
  <c r="F31" i="51"/>
  <c r="R30" i="51"/>
  <c r="N30" i="51"/>
  <c r="O30" i="51" s="1"/>
  <c r="P30" i="51" s="1"/>
  <c r="J30" i="51"/>
  <c r="K30" i="51" s="1"/>
  <c r="L30" i="51" s="1"/>
  <c r="H30" i="51" a="1"/>
  <c r="H30" i="51" s="1"/>
  <c r="I30" i="51" s="1"/>
  <c r="G30" i="51"/>
  <c r="F30" i="51"/>
  <c r="R29" i="51"/>
  <c r="N29" i="51"/>
  <c r="O29" i="51" s="1"/>
  <c r="P29" i="51" s="1"/>
  <c r="J29" i="51"/>
  <c r="H29" i="51" a="1"/>
  <c r="H29" i="51" s="1"/>
  <c r="I29" i="51" s="1"/>
  <c r="G29" i="51"/>
  <c r="K29" i="51" s="1"/>
  <c r="L29" i="51" s="1"/>
  <c r="F29" i="51"/>
  <c r="R28" i="51"/>
  <c r="N28" i="51"/>
  <c r="O28" i="51" s="1"/>
  <c r="P28" i="51" s="1"/>
  <c r="J28" i="51"/>
  <c r="H28" i="51" a="1"/>
  <c r="H28" i="51" s="1"/>
  <c r="G28" i="51"/>
  <c r="S28" i="51" s="1"/>
  <c r="T28" i="51" s="1"/>
  <c r="F28" i="51"/>
  <c r="R27" i="51"/>
  <c r="N27" i="51"/>
  <c r="O27" i="51" s="1"/>
  <c r="P27" i="51" s="1"/>
  <c r="J27" i="51"/>
  <c r="H27" i="51" a="1"/>
  <c r="H27" i="51" s="1"/>
  <c r="V27" i="51" s="1" a="1"/>
  <c r="V27" i="51" s="1"/>
  <c r="G27" i="51"/>
  <c r="F27" i="51"/>
  <c r="R26" i="51"/>
  <c r="N26" i="51"/>
  <c r="O26" i="51" s="1"/>
  <c r="P26" i="51" s="1"/>
  <c r="J26" i="51"/>
  <c r="H26" i="51" a="1"/>
  <c r="H26" i="51" s="1"/>
  <c r="G26" i="51"/>
  <c r="F26" i="51"/>
  <c r="R25" i="51"/>
  <c r="S25" i="51" s="1"/>
  <c r="T25" i="51" s="1"/>
  <c r="N25" i="51"/>
  <c r="O25" i="51" s="1"/>
  <c r="P25" i="51" s="1"/>
  <c r="J25" i="51"/>
  <c r="H25" i="51" a="1"/>
  <c r="H25" i="51" s="1"/>
  <c r="V25" i="51" s="1" a="1"/>
  <c r="V25" i="51" s="1"/>
  <c r="G25" i="51"/>
  <c r="F25" i="51"/>
  <c r="R24" i="51"/>
  <c r="N24" i="51"/>
  <c r="O24" i="51" s="1"/>
  <c r="P24" i="51" s="1"/>
  <c r="J24" i="51"/>
  <c r="H24" i="51" a="1"/>
  <c r="H24" i="51" s="1"/>
  <c r="G24" i="51"/>
  <c r="S24" i="51" s="1"/>
  <c r="T24" i="51" s="1"/>
  <c r="F24" i="51"/>
  <c r="R23" i="51"/>
  <c r="N23" i="51"/>
  <c r="O23" i="51" s="1"/>
  <c r="P23" i="51" s="1"/>
  <c r="J23" i="51"/>
  <c r="K23" i="51" s="1"/>
  <c r="L23" i="51" s="1"/>
  <c r="H23" i="51" a="1"/>
  <c r="H23" i="51" s="1"/>
  <c r="I23" i="51" s="1"/>
  <c r="G23" i="51"/>
  <c r="S23" i="51" s="1"/>
  <c r="T23" i="51" s="1"/>
  <c r="F23" i="51"/>
  <c r="R22" i="51"/>
  <c r="N22" i="51"/>
  <c r="O22" i="51" s="1"/>
  <c r="P22" i="51" s="1"/>
  <c r="J22" i="51"/>
  <c r="K22" i="51" s="1"/>
  <c r="L22" i="51" s="1"/>
  <c r="H22" i="51" a="1"/>
  <c r="H22" i="51" s="1"/>
  <c r="G22" i="51"/>
  <c r="F22" i="51"/>
  <c r="R21" i="51"/>
  <c r="S21" i="51" s="1"/>
  <c r="T21" i="51" s="1"/>
  <c r="N21" i="51"/>
  <c r="O21" i="51" s="1"/>
  <c r="P21" i="51" s="1"/>
  <c r="J21" i="51"/>
  <c r="K21" i="51" s="1"/>
  <c r="L21" i="51" s="1"/>
  <c r="H21" i="51" a="1"/>
  <c r="H21" i="51" s="1"/>
  <c r="I21" i="51" s="1"/>
  <c r="G21" i="51"/>
  <c r="F21" i="51"/>
  <c r="R20" i="51"/>
  <c r="N20" i="51"/>
  <c r="O20" i="51" s="1"/>
  <c r="P20" i="51" s="1"/>
  <c r="J20" i="51"/>
  <c r="H20" i="51" a="1"/>
  <c r="H20" i="51" s="1"/>
  <c r="G20" i="51"/>
  <c r="F20" i="51"/>
  <c r="R19" i="51"/>
  <c r="N19" i="51"/>
  <c r="O19" i="51" s="1"/>
  <c r="P19" i="51" s="1"/>
  <c r="J19" i="51"/>
  <c r="H19" i="51" a="1"/>
  <c r="H19" i="51" s="1"/>
  <c r="V19" i="51" s="1" a="1"/>
  <c r="V19" i="51" s="1"/>
  <c r="G19" i="51"/>
  <c r="K19" i="51" s="1"/>
  <c r="L19" i="51" s="1"/>
  <c r="F19" i="51"/>
  <c r="R18" i="51"/>
  <c r="N18" i="51"/>
  <c r="O18" i="51" s="1"/>
  <c r="P18" i="51" s="1"/>
  <c r="J18" i="51"/>
  <c r="H18" i="51" a="1"/>
  <c r="H18" i="51" s="1"/>
  <c r="G18" i="51"/>
  <c r="F18" i="51"/>
  <c r="V17" i="51" a="1"/>
  <c r="V17" i="51" s="1"/>
  <c r="R17" i="51"/>
  <c r="O17" i="51"/>
  <c r="P17" i="51" s="1"/>
  <c r="N17" i="51"/>
  <c r="J17" i="51"/>
  <c r="H17" i="51" a="1"/>
  <c r="H17" i="51" s="1"/>
  <c r="I17" i="51" s="1"/>
  <c r="G17" i="51"/>
  <c r="F17" i="51"/>
  <c r="R16" i="51"/>
  <c r="N16" i="51"/>
  <c r="O16" i="51" s="1"/>
  <c r="P16" i="51" s="1"/>
  <c r="K16" i="51"/>
  <c r="L16" i="51" s="1"/>
  <c r="J16" i="51"/>
  <c r="H16" i="51" a="1"/>
  <c r="H16" i="51" s="1"/>
  <c r="G16" i="51"/>
  <c r="S16" i="51" s="1"/>
  <c r="T16" i="51" s="1"/>
  <c r="F16" i="51"/>
  <c r="R15" i="51"/>
  <c r="N15" i="51"/>
  <c r="O15" i="51" s="1"/>
  <c r="P15" i="51" s="1"/>
  <c r="J15" i="51"/>
  <c r="H15" i="51" a="1"/>
  <c r="H15" i="51" s="1"/>
  <c r="V15" i="51" s="1" a="1"/>
  <c r="V15" i="51" s="1"/>
  <c r="G15" i="51"/>
  <c r="F15" i="51"/>
  <c r="L5" i="51" s="1"/>
  <c r="R14" i="51"/>
  <c r="S14" i="51" s="1"/>
  <c r="T14" i="51" s="1"/>
  <c r="N14" i="51"/>
  <c r="O14" i="51" s="1"/>
  <c r="P14" i="51" s="1"/>
  <c r="J14" i="51"/>
  <c r="H14" i="51" a="1"/>
  <c r="H14" i="51" s="1"/>
  <c r="G14" i="51"/>
  <c r="F14" i="51"/>
  <c r="V5" i="51" s="1"/>
  <c r="X13" i="51"/>
  <c r="V13" i="51"/>
  <c r="T13" i="51"/>
  <c r="R13" i="51"/>
  <c r="P13" i="51"/>
  <c r="N13" i="51"/>
  <c r="L13" i="51"/>
  <c r="J13" i="51"/>
  <c r="V9" i="51"/>
  <c r="V7" i="51"/>
  <c r="L7" i="51"/>
  <c r="J7" i="51"/>
  <c r="K7" i="51" s="1"/>
  <c r="L6" i="51"/>
  <c r="K6" i="51" s="1"/>
  <c r="J6" i="51"/>
  <c r="P5" i="51"/>
  <c r="H1" i="51" a="1"/>
  <c r="H1" i="51" s="1"/>
  <c r="R300" i="44"/>
  <c r="N300" i="44"/>
  <c r="O300" i="44" s="1"/>
  <c r="P300" i="44" s="1"/>
  <c r="J300" i="44"/>
  <c r="H300" i="44" a="1"/>
  <c r="H300" i="44" s="1"/>
  <c r="G300" i="44"/>
  <c r="F300" i="44"/>
  <c r="R299" i="44"/>
  <c r="O299" i="44"/>
  <c r="P299" i="44" s="1"/>
  <c r="N299" i="44"/>
  <c r="J299" i="44"/>
  <c r="I299" i="44"/>
  <c r="H299" i="44" a="1"/>
  <c r="H299" i="44" s="1"/>
  <c r="V299" i="44" s="1" a="1"/>
  <c r="V299" i="44" s="1"/>
  <c r="G299" i="44"/>
  <c r="F299" i="44"/>
  <c r="R298" i="44"/>
  <c r="N298" i="44"/>
  <c r="O298" i="44" s="1"/>
  <c r="P298" i="44" s="1"/>
  <c r="J298" i="44"/>
  <c r="H298" i="44" a="1"/>
  <c r="H298" i="44" s="1"/>
  <c r="G298" i="44"/>
  <c r="S298" i="44" s="1"/>
  <c r="T298" i="44" s="1"/>
  <c r="F298" i="44"/>
  <c r="R297" i="44"/>
  <c r="N297" i="44"/>
  <c r="O297" i="44" s="1"/>
  <c r="P297" i="44" s="1"/>
  <c r="J297" i="44"/>
  <c r="H297" i="44" a="1"/>
  <c r="H297" i="44" s="1"/>
  <c r="G297" i="44"/>
  <c r="K297" i="44" s="1"/>
  <c r="L297" i="44" s="1"/>
  <c r="F297" i="44"/>
  <c r="R296" i="44"/>
  <c r="N296" i="44"/>
  <c r="O296" i="44" s="1"/>
  <c r="P296" i="44" s="1"/>
  <c r="J296" i="44"/>
  <c r="H296" i="44" a="1"/>
  <c r="H296" i="44" s="1"/>
  <c r="G296" i="44"/>
  <c r="K296" i="44" s="1"/>
  <c r="L296" i="44" s="1"/>
  <c r="F296" i="44"/>
  <c r="R295" i="44"/>
  <c r="O295" i="44"/>
  <c r="P295" i="44" s="1"/>
  <c r="N295" i="44"/>
  <c r="J295" i="44"/>
  <c r="K295" i="44" s="1"/>
  <c r="L295" i="44" s="1"/>
  <c r="H295" i="44" a="1"/>
  <c r="H295" i="44" s="1"/>
  <c r="G295" i="44"/>
  <c r="F295" i="44"/>
  <c r="R294" i="44"/>
  <c r="N294" i="44"/>
  <c r="O294" i="44" s="1"/>
  <c r="P294" i="44" s="1"/>
  <c r="J294" i="44"/>
  <c r="H294" i="44" a="1"/>
  <c r="H294" i="44" s="1"/>
  <c r="G294" i="44"/>
  <c r="K294" i="44" s="1"/>
  <c r="L294" i="44" s="1"/>
  <c r="F294" i="44"/>
  <c r="R293" i="44"/>
  <c r="O293" i="44"/>
  <c r="P293" i="44" s="1"/>
  <c r="N293" i="44"/>
  <c r="K293" i="44"/>
  <c r="L293" i="44" s="1"/>
  <c r="J293" i="44"/>
  <c r="H293" i="44" a="1"/>
  <c r="H293" i="44" s="1"/>
  <c r="V293" i="44" s="1" a="1"/>
  <c r="V293" i="44" s="1"/>
  <c r="G293" i="44"/>
  <c r="S293" i="44" s="1"/>
  <c r="T293" i="44" s="1"/>
  <c r="F293" i="44"/>
  <c r="R292" i="44"/>
  <c r="S292" i="44" s="1"/>
  <c r="T292" i="44" s="1"/>
  <c r="N292" i="44"/>
  <c r="O292" i="44" s="1"/>
  <c r="P292" i="44" s="1"/>
  <c r="J292" i="44"/>
  <c r="H292" i="44" a="1"/>
  <c r="H292" i="44" s="1"/>
  <c r="I292" i="44" s="1"/>
  <c r="G292" i="44"/>
  <c r="F292" i="44"/>
  <c r="V291" i="44" a="1"/>
  <c r="V291" i="44" s="1"/>
  <c r="R291" i="44"/>
  <c r="N291" i="44"/>
  <c r="O291" i="44" s="1"/>
  <c r="P291" i="44" s="1"/>
  <c r="J291" i="44"/>
  <c r="H291" i="44" a="1"/>
  <c r="H291" i="44" s="1"/>
  <c r="I291" i="44" s="1"/>
  <c r="G291" i="44"/>
  <c r="F291" i="44"/>
  <c r="R290" i="44"/>
  <c r="N290" i="44"/>
  <c r="O290" i="44" s="1"/>
  <c r="P290" i="44" s="1"/>
  <c r="J290" i="44"/>
  <c r="H290" i="44" a="1"/>
  <c r="H290" i="44" s="1"/>
  <c r="I290" i="44" s="1"/>
  <c r="G290" i="44"/>
  <c r="F290" i="44"/>
  <c r="R289" i="44"/>
  <c r="N289" i="44"/>
  <c r="O289" i="44" s="1"/>
  <c r="P289" i="44" s="1"/>
  <c r="J289" i="44"/>
  <c r="H289" i="44" a="1"/>
  <c r="H289" i="44" s="1"/>
  <c r="G289" i="44"/>
  <c r="F289" i="44"/>
  <c r="R288" i="44"/>
  <c r="N288" i="44"/>
  <c r="O288" i="44" s="1"/>
  <c r="P288" i="44" s="1"/>
  <c r="J288" i="44"/>
  <c r="K288" i="44" s="1"/>
  <c r="L288" i="44" s="1"/>
  <c r="H288" i="44" a="1"/>
  <c r="H288" i="44" s="1"/>
  <c r="G288" i="44"/>
  <c r="F288" i="44"/>
  <c r="R287" i="44"/>
  <c r="N287" i="44"/>
  <c r="O287" i="44" s="1"/>
  <c r="P287" i="44" s="1"/>
  <c r="J287" i="44"/>
  <c r="K287" i="44" s="1"/>
  <c r="L287" i="44" s="1"/>
  <c r="H287" i="44" a="1"/>
  <c r="H287" i="44" s="1"/>
  <c r="G287" i="44"/>
  <c r="F287" i="44"/>
  <c r="R286" i="44"/>
  <c r="S286" i="44" s="1"/>
  <c r="T286" i="44" s="1"/>
  <c r="N286" i="44"/>
  <c r="O286" i="44" s="1"/>
  <c r="P286" i="44" s="1"/>
  <c r="J286" i="44"/>
  <c r="H286" i="44"/>
  <c r="H286" i="44" a="1"/>
  <c r="G286" i="44"/>
  <c r="F286" i="44"/>
  <c r="S285" i="44"/>
  <c r="T285" i="44" s="1"/>
  <c r="R285" i="44"/>
  <c r="N285" i="44"/>
  <c r="O285" i="44" s="1"/>
  <c r="P285" i="44" s="1"/>
  <c r="L285" i="44"/>
  <c r="J285" i="44"/>
  <c r="H285" i="44" a="1"/>
  <c r="H285" i="44" s="1"/>
  <c r="G285" i="44"/>
  <c r="K285" i="44" s="1"/>
  <c r="F285" i="44"/>
  <c r="R284" i="44"/>
  <c r="N284" i="44"/>
  <c r="O284" i="44" s="1"/>
  <c r="P284" i="44" s="1"/>
  <c r="J284" i="44"/>
  <c r="K284" i="44" s="1"/>
  <c r="L284" i="44" s="1"/>
  <c r="H284" i="44" a="1"/>
  <c r="H284" i="44" s="1"/>
  <c r="G284" i="44"/>
  <c r="F284" i="44"/>
  <c r="R283" i="44"/>
  <c r="N283" i="44"/>
  <c r="O283" i="44" s="1"/>
  <c r="P283" i="44" s="1"/>
  <c r="J283" i="44"/>
  <c r="H283" i="44" a="1"/>
  <c r="H283" i="44" s="1"/>
  <c r="V283" i="44" s="1" a="1"/>
  <c r="V283" i="44" s="1"/>
  <c r="G283" i="44"/>
  <c r="F283" i="44"/>
  <c r="R282" i="44"/>
  <c r="N282" i="44"/>
  <c r="O282" i="44" s="1"/>
  <c r="P282" i="44" s="1"/>
  <c r="J282" i="44"/>
  <c r="H282" i="44" a="1"/>
  <c r="H282" i="44" s="1"/>
  <c r="G282" i="44"/>
  <c r="F282" i="44"/>
  <c r="R281" i="44"/>
  <c r="O281" i="44"/>
  <c r="P281" i="44" s="1"/>
  <c r="N281" i="44"/>
  <c r="J281" i="44"/>
  <c r="H281" i="44" a="1"/>
  <c r="H281" i="44" s="1"/>
  <c r="I281" i="44" s="1"/>
  <c r="G281" i="44"/>
  <c r="F281" i="44"/>
  <c r="V280" i="44" a="1"/>
  <c r="V280" i="44" s="1"/>
  <c r="W280" i="44" s="1" a="1"/>
  <c r="W280" i="44" s="1"/>
  <c r="R280" i="44"/>
  <c r="P280" i="44"/>
  <c r="N280" i="44"/>
  <c r="O280" i="44" s="1"/>
  <c r="J280" i="44"/>
  <c r="H280" i="44" a="1"/>
  <c r="H280" i="44" s="1"/>
  <c r="I280" i="44" s="1"/>
  <c r="G280" i="44"/>
  <c r="F280" i="44"/>
  <c r="R279" i="44"/>
  <c r="O279" i="44"/>
  <c r="P279" i="44" s="1"/>
  <c r="N279" i="44"/>
  <c r="J279" i="44"/>
  <c r="H279" i="44" a="1"/>
  <c r="H279" i="44" s="1"/>
  <c r="I279" i="44" s="1"/>
  <c r="G279" i="44"/>
  <c r="F279" i="44"/>
  <c r="R278" i="44"/>
  <c r="N278" i="44"/>
  <c r="O278" i="44" s="1"/>
  <c r="P278" i="44" s="1"/>
  <c r="J278" i="44"/>
  <c r="H278" i="44" a="1"/>
  <c r="H278" i="44" s="1"/>
  <c r="G278" i="44"/>
  <c r="F278" i="44"/>
  <c r="S277" i="44"/>
  <c r="T277" i="44" s="1"/>
  <c r="R277" i="44"/>
  <c r="N277" i="44"/>
  <c r="O277" i="44" s="1"/>
  <c r="P277" i="44" s="1"/>
  <c r="J277" i="44"/>
  <c r="H277" i="44" a="1"/>
  <c r="H277" i="44" s="1"/>
  <c r="V277" i="44" s="1" a="1"/>
  <c r="V277" i="44" s="1"/>
  <c r="G277" i="44"/>
  <c r="K277" i="44" s="1"/>
  <c r="L277" i="44" s="1"/>
  <c r="F277" i="44"/>
  <c r="T276" i="44"/>
  <c r="R276" i="44"/>
  <c r="N276" i="44"/>
  <c r="O276" i="44" s="1"/>
  <c r="P276" i="44" s="1"/>
  <c r="J276" i="44"/>
  <c r="H276" i="44" a="1"/>
  <c r="H276" i="44" s="1"/>
  <c r="G276" i="44"/>
  <c r="S276" i="44" s="1"/>
  <c r="F276" i="44"/>
  <c r="R275" i="44"/>
  <c r="P275" i="44"/>
  <c r="O275" i="44"/>
  <c r="N275" i="44"/>
  <c r="J275" i="44"/>
  <c r="H275" i="44" a="1"/>
  <c r="H275" i="44" s="1"/>
  <c r="V275" i="44" s="1" a="1"/>
  <c r="V275" i="44" s="1"/>
  <c r="G275" i="44"/>
  <c r="F275" i="44"/>
  <c r="R274" i="44"/>
  <c r="N274" i="44"/>
  <c r="O274" i="44" s="1"/>
  <c r="P274" i="44" s="1"/>
  <c r="J274" i="44"/>
  <c r="K274" i="44" s="1"/>
  <c r="L274" i="44" s="1"/>
  <c r="H274" i="44" a="1"/>
  <c r="H274" i="44" s="1"/>
  <c r="G274" i="44"/>
  <c r="F274" i="44"/>
  <c r="R273" i="44"/>
  <c r="N273" i="44"/>
  <c r="O273" i="44" s="1"/>
  <c r="P273" i="44" s="1"/>
  <c r="J273" i="44"/>
  <c r="H273" i="44" a="1"/>
  <c r="H273" i="44" s="1"/>
  <c r="I273" i="44" s="1"/>
  <c r="G273" i="44"/>
  <c r="F273" i="44"/>
  <c r="R272" i="44"/>
  <c r="S272" i="44" s="1"/>
  <c r="T272" i="44" s="1"/>
  <c r="P272" i="44"/>
  <c r="N272" i="44"/>
  <c r="O272" i="44" s="1"/>
  <c r="J272" i="44"/>
  <c r="H272" i="44" a="1"/>
  <c r="H272" i="44" s="1"/>
  <c r="G272" i="44"/>
  <c r="F272" i="44"/>
  <c r="R271" i="44"/>
  <c r="O271" i="44"/>
  <c r="P271" i="44" s="1"/>
  <c r="N271" i="44"/>
  <c r="J271" i="44"/>
  <c r="H271" i="44" a="1"/>
  <c r="H271" i="44" s="1"/>
  <c r="I271" i="44" s="1"/>
  <c r="G271" i="44"/>
  <c r="F271" i="44"/>
  <c r="R270" i="44"/>
  <c r="N270" i="44"/>
  <c r="O270" i="44" s="1"/>
  <c r="P270" i="44" s="1"/>
  <c r="J270" i="44"/>
  <c r="H270" i="44" a="1"/>
  <c r="H270" i="44" s="1"/>
  <c r="G270" i="44"/>
  <c r="F270" i="44"/>
  <c r="R269" i="44"/>
  <c r="O269" i="44"/>
  <c r="P269" i="44" s="1"/>
  <c r="N269" i="44"/>
  <c r="J269" i="44"/>
  <c r="K269" i="44" s="1"/>
  <c r="L269" i="44" s="1"/>
  <c r="H269" i="44" a="1"/>
  <c r="H269" i="44" s="1"/>
  <c r="G269" i="44"/>
  <c r="S269" i="44" s="1"/>
  <c r="T269" i="44" s="1"/>
  <c r="F269" i="44"/>
  <c r="R268" i="44"/>
  <c r="N268" i="44"/>
  <c r="O268" i="44" s="1"/>
  <c r="P268" i="44" s="1"/>
  <c r="J268" i="44"/>
  <c r="H268" i="44" a="1"/>
  <c r="H268" i="44" s="1"/>
  <c r="G268" i="44"/>
  <c r="F268" i="44"/>
  <c r="S267" i="44"/>
  <c r="T267" i="44" s="1"/>
  <c r="R267" i="44"/>
  <c r="N267" i="44"/>
  <c r="O267" i="44" s="1"/>
  <c r="P267" i="44" s="1"/>
  <c r="J267" i="44"/>
  <c r="H267" i="44" a="1"/>
  <c r="H267" i="44" s="1"/>
  <c r="I267" i="44" s="1"/>
  <c r="G267" i="44"/>
  <c r="K267" i="44" s="1"/>
  <c r="L267" i="44" s="1"/>
  <c r="F267" i="44"/>
  <c r="R266" i="44"/>
  <c r="S266" i="44" s="1"/>
  <c r="T266" i="44" s="1"/>
  <c r="P266" i="44"/>
  <c r="N266" i="44"/>
  <c r="O266" i="44" s="1"/>
  <c r="J266" i="44"/>
  <c r="H266" i="44" a="1"/>
  <c r="H266" i="44" s="1"/>
  <c r="V266" i="44" s="1" a="1"/>
  <c r="V266" i="44" s="1"/>
  <c r="G266" i="44"/>
  <c r="F266" i="44"/>
  <c r="V265" i="44" a="1"/>
  <c r="V265" i="44" s="1"/>
  <c r="R265" i="44"/>
  <c r="N265" i="44"/>
  <c r="O265" i="44" s="1"/>
  <c r="P265" i="44" s="1"/>
  <c r="J265" i="44"/>
  <c r="H265" i="44" a="1"/>
  <c r="H265" i="44" s="1"/>
  <c r="I265" i="44" s="1"/>
  <c r="G265" i="44"/>
  <c r="F265" i="44"/>
  <c r="R264" i="44"/>
  <c r="N264" i="44"/>
  <c r="O264" i="44" s="1"/>
  <c r="P264" i="44" s="1"/>
  <c r="J264" i="44"/>
  <c r="H264" i="44" a="1"/>
  <c r="H264" i="44" s="1"/>
  <c r="G264" i="44"/>
  <c r="F264" i="44"/>
  <c r="R263" i="44"/>
  <c r="N263" i="44"/>
  <c r="O263" i="44" s="1"/>
  <c r="P263" i="44" s="1"/>
  <c r="K263" i="44"/>
  <c r="L263" i="44" s="1"/>
  <c r="J263" i="44"/>
  <c r="H263" i="44" a="1"/>
  <c r="H263" i="44" s="1"/>
  <c r="G263" i="44"/>
  <c r="S263" i="44" s="1"/>
  <c r="T263" i="44" s="1"/>
  <c r="F263" i="44"/>
  <c r="W262" i="44" a="1"/>
  <c r="W262" i="44" s="1"/>
  <c r="R262" i="44"/>
  <c r="N262" i="44"/>
  <c r="O262" i="44" s="1"/>
  <c r="P262" i="44" s="1"/>
  <c r="J262" i="44"/>
  <c r="K262" i="44" s="1"/>
  <c r="L262" i="44" s="1"/>
  <c r="H262" i="44"/>
  <c r="V262" i="44" s="1" a="1"/>
  <c r="V262" i="44" s="1"/>
  <c r="H262" i="44" a="1"/>
  <c r="G262" i="44"/>
  <c r="S262" i="44" s="1"/>
  <c r="T262" i="44" s="1"/>
  <c r="F262" i="44"/>
  <c r="R261" i="44"/>
  <c r="N261" i="44"/>
  <c r="O261" i="44" s="1"/>
  <c r="P261" i="44" s="1"/>
  <c r="J261" i="44"/>
  <c r="H261" i="44" a="1"/>
  <c r="H261" i="44" s="1"/>
  <c r="I261" i="44" s="1"/>
  <c r="G261" i="44"/>
  <c r="F261" i="44"/>
  <c r="R260" i="44"/>
  <c r="N260" i="44"/>
  <c r="O260" i="44" s="1"/>
  <c r="P260" i="44" s="1"/>
  <c r="J260" i="44"/>
  <c r="H260" i="44" a="1"/>
  <c r="H260" i="44" s="1"/>
  <c r="G260" i="44"/>
  <c r="F260" i="44"/>
  <c r="R259" i="44"/>
  <c r="P259" i="44"/>
  <c r="N259" i="44"/>
  <c r="O259" i="44" s="1"/>
  <c r="J259" i="44"/>
  <c r="K259" i="44" s="1"/>
  <c r="L259" i="44" s="1"/>
  <c r="H259" i="44" a="1"/>
  <c r="H259" i="44" s="1"/>
  <c r="G259" i="44"/>
  <c r="S259" i="44" s="1"/>
  <c r="T259" i="44" s="1"/>
  <c r="F259" i="44"/>
  <c r="R258" i="44"/>
  <c r="N258" i="44"/>
  <c r="O258" i="44" s="1"/>
  <c r="P258" i="44" s="1"/>
  <c r="J258" i="44"/>
  <c r="H258" i="44" a="1"/>
  <c r="H258" i="44" s="1"/>
  <c r="G258" i="44"/>
  <c r="F258" i="44"/>
  <c r="V257" i="44" a="1"/>
  <c r="V257" i="44" s="1"/>
  <c r="W257" i="44" s="1" a="1"/>
  <c r="W257" i="44" s="1"/>
  <c r="R257" i="44"/>
  <c r="O257" i="44"/>
  <c r="P257" i="44" s="1"/>
  <c r="N257" i="44"/>
  <c r="K257" i="44"/>
  <c r="L257" i="44" s="1"/>
  <c r="J257" i="44"/>
  <c r="I257" i="44"/>
  <c r="H257" i="44" a="1"/>
  <c r="H257" i="44" s="1"/>
  <c r="G257" i="44"/>
  <c r="F257" i="44"/>
  <c r="R256" i="44"/>
  <c r="N256" i="44"/>
  <c r="O256" i="44" s="1"/>
  <c r="P256" i="44" s="1"/>
  <c r="J256" i="44"/>
  <c r="H256" i="44" a="1"/>
  <c r="H256" i="44" s="1"/>
  <c r="G256" i="44"/>
  <c r="K256" i="44" s="1"/>
  <c r="L256" i="44" s="1"/>
  <c r="F256" i="44"/>
  <c r="R255" i="44"/>
  <c r="P255" i="44"/>
  <c r="N255" i="44"/>
  <c r="O255" i="44" s="1"/>
  <c r="J255" i="44"/>
  <c r="I255" i="44"/>
  <c r="H255" i="44" a="1"/>
  <c r="H255" i="44" s="1"/>
  <c r="V255" i="44" s="1" a="1"/>
  <c r="V255" i="44" s="1"/>
  <c r="G255" i="44"/>
  <c r="S255" i="44" s="1"/>
  <c r="T255" i="44" s="1"/>
  <c r="F255" i="44"/>
  <c r="T254" i="44"/>
  <c r="S254" i="44"/>
  <c r="R254" i="44"/>
  <c r="N254" i="44"/>
  <c r="O254" i="44" s="1"/>
  <c r="P254" i="44" s="1"/>
  <c r="J254" i="44"/>
  <c r="H254" i="44" a="1"/>
  <c r="H254" i="44" s="1"/>
  <c r="I254" i="44" s="1"/>
  <c r="G254" i="44"/>
  <c r="F254" i="44"/>
  <c r="R253" i="44"/>
  <c r="S253" i="44" s="1"/>
  <c r="T253" i="44" s="1"/>
  <c r="N253" i="44"/>
  <c r="O253" i="44" s="1"/>
  <c r="P253" i="44" s="1"/>
  <c r="J253" i="44"/>
  <c r="I253" i="44"/>
  <c r="H253" i="44"/>
  <c r="V253" i="44" s="1" a="1"/>
  <c r="V253" i="44" s="1"/>
  <c r="W253" i="44" s="1" a="1"/>
  <c r="W253" i="44" s="1"/>
  <c r="H253" i="44" a="1"/>
  <c r="G253" i="44"/>
  <c r="K253" i="44" s="1"/>
  <c r="L253" i="44" s="1"/>
  <c r="F253" i="44"/>
  <c r="R252" i="44"/>
  <c r="N252" i="44"/>
  <c r="O252" i="44" s="1"/>
  <c r="P252" i="44" s="1"/>
  <c r="J252" i="44"/>
  <c r="K252" i="44" s="1"/>
  <c r="L252" i="44" s="1"/>
  <c r="I252" i="44"/>
  <c r="H252" i="44" a="1"/>
  <c r="H252" i="44" s="1"/>
  <c r="V252" i="44" s="1" a="1"/>
  <c r="V252" i="44" s="1"/>
  <c r="G252" i="44"/>
  <c r="S252" i="44" s="1"/>
  <c r="T252" i="44" s="1"/>
  <c r="F252" i="44"/>
  <c r="R251" i="44"/>
  <c r="O251" i="44"/>
  <c r="P251" i="44" s="1"/>
  <c r="N251" i="44"/>
  <c r="J251" i="44"/>
  <c r="K251" i="44" s="1"/>
  <c r="L251" i="44" s="1"/>
  <c r="H251" i="44"/>
  <c r="I251" i="44" s="1"/>
  <c r="H251" i="44" a="1"/>
  <c r="G251" i="44"/>
  <c r="S251" i="44" s="1"/>
  <c r="T251" i="44" s="1"/>
  <c r="F251" i="44"/>
  <c r="V250" i="44" a="1"/>
  <c r="V250" i="44" s="1"/>
  <c r="R250" i="44"/>
  <c r="P250" i="44"/>
  <c r="N250" i="44"/>
  <c r="O250" i="44" s="1"/>
  <c r="J250" i="44"/>
  <c r="I250" i="44"/>
  <c r="H250" i="44" a="1"/>
  <c r="H250" i="44" s="1"/>
  <c r="G250" i="44"/>
  <c r="S250" i="44" s="1"/>
  <c r="T250" i="44" s="1"/>
  <c r="F250" i="44"/>
  <c r="V249" i="44" a="1"/>
  <c r="V249" i="44" s="1"/>
  <c r="W249" i="44" s="1" a="1"/>
  <c r="W249" i="44" s="1"/>
  <c r="R249" i="44"/>
  <c r="O249" i="44"/>
  <c r="P249" i="44" s="1"/>
  <c r="N249" i="44"/>
  <c r="J249" i="44"/>
  <c r="I249" i="44"/>
  <c r="H249" i="44" a="1"/>
  <c r="H249" i="44" s="1"/>
  <c r="G249" i="44"/>
  <c r="S249" i="44" s="1"/>
  <c r="T249" i="44" s="1"/>
  <c r="F249" i="44"/>
  <c r="R248" i="44"/>
  <c r="N248" i="44"/>
  <c r="O248" i="44" s="1"/>
  <c r="P248" i="44" s="1"/>
  <c r="J248" i="44"/>
  <c r="K248" i="44" s="1"/>
  <c r="L248" i="44" s="1"/>
  <c r="H248" i="44" a="1"/>
  <c r="H248" i="44" s="1"/>
  <c r="I248" i="44" s="1"/>
  <c r="G248" i="44"/>
  <c r="S248" i="44" s="1"/>
  <c r="T248" i="44" s="1"/>
  <c r="F248" i="44"/>
  <c r="R247" i="44"/>
  <c r="P247" i="44"/>
  <c r="N247" i="44"/>
  <c r="O247" i="44" s="1"/>
  <c r="K247" i="44"/>
  <c r="L247" i="44" s="1"/>
  <c r="J247" i="44"/>
  <c r="H247" i="44" a="1"/>
  <c r="H247" i="44" s="1"/>
  <c r="G247" i="44"/>
  <c r="F247" i="44"/>
  <c r="R246" i="44"/>
  <c r="N246" i="44"/>
  <c r="O246" i="44" s="1"/>
  <c r="P246" i="44" s="1"/>
  <c r="J246" i="44"/>
  <c r="I246" i="44"/>
  <c r="H246" i="44" a="1"/>
  <c r="H246" i="44" s="1"/>
  <c r="V246" i="44" s="1" a="1"/>
  <c r="V246" i="44" s="1"/>
  <c r="G246" i="44"/>
  <c r="F246" i="44"/>
  <c r="R245" i="44"/>
  <c r="N245" i="44"/>
  <c r="O245" i="44" s="1"/>
  <c r="P245" i="44" s="1"/>
  <c r="J245" i="44"/>
  <c r="H245" i="44" a="1"/>
  <c r="H245" i="44" s="1"/>
  <c r="G245" i="44"/>
  <c r="S245" i="44" s="1"/>
  <c r="T245" i="44" s="1"/>
  <c r="F245" i="44"/>
  <c r="R244" i="44"/>
  <c r="P244" i="44"/>
  <c r="N244" i="44"/>
  <c r="O244" i="44" s="1"/>
  <c r="J244" i="44"/>
  <c r="K244" i="44" s="1"/>
  <c r="L244" i="44" s="1"/>
  <c r="H244" i="44" a="1"/>
  <c r="H244" i="44" s="1"/>
  <c r="I244" i="44" s="1"/>
  <c r="G244" i="44"/>
  <c r="S244" i="44" s="1"/>
  <c r="T244" i="44" s="1"/>
  <c r="F244" i="44"/>
  <c r="R243" i="44"/>
  <c r="P243" i="44"/>
  <c r="N243" i="44"/>
  <c r="O243" i="44" s="1"/>
  <c r="J243" i="44"/>
  <c r="I243" i="44"/>
  <c r="H243" i="44"/>
  <c r="V243" i="44" s="1" a="1"/>
  <c r="V243" i="44" s="1"/>
  <c r="H243" i="44" a="1"/>
  <c r="G243" i="44"/>
  <c r="K243" i="44" s="1"/>
  <c r="L243" i="44" s="1"/>
  <c r="F243" i="44"/>
  <c r="R242" i="44"/>
  <c r="N242" i="44"/>
  <c r="O242" i="44" s="1"/>
  <c r="P242" i="44" s="1"/>
  <c r="L242" i="44"/>
  <c r="J242" i="44"/>
  <c r="K242" i="44" s="1"/>
  <c r="H242" i="44" a="1"/>
  <c r="H242" i="44" s="1"/>
  <c r="I242" i="44" s="1"/>
  <c r="G242" i="44"/>
  <c r="F242" i="44"/>
  <c r="R241" i="44"/>
  <c r="N241" i="44"/>
  <c r="O241" i="44" s="1"/>
  <c r="P241" i="44" s="1"/>
  <c r="J241" i="44"/>
  <c r="H241" i="44"/>
  <c r="I241" i="44" s="1"/>
  <c r="H241" i="44" a="1"/>
  <c r="G241" i="44"/>
  <c r="F241" i="44"/>
  <c r="R240" i="44"/>
  <c r="P240" i="44"/>
  <c r="N240" i="44"/>
  <c r="O240" i="44" s="1"/>
  <c r="J240" i="44"/>
  <c r="K240" i="44" s="1"/>
  <c r="L240" i="44" s="1"/>
  <c r="I240" i="44"/>
  <c r="H240" i="44" a="1"/>
  <c r="H240" i="44" s="1"/>
  <c r="V240" i="44" s="1" a="1"/>
  <c r="V240" i="44" s="1"/>
  <c r="G240" i="44"/>
  <c r="F240" i="44"/>
  <c r="V239" i="44"/>
  <c r="R239" i="44"/>
  <c r="P239" i="44"/>
  <c r="N239" i="44"/>
  <c r="O239" i="44" s="1"/>
  <c r="K239" i="44"/>
  <c r="L239" i="44" s="1"/>
  <c r="J239" i="44"/>
  <c r="H239" i="44" a="1"/>
  <c r="H239" i="44" s="1"/>
  <c r="V239" i="44" s="1" a="1"/>
  <c r="G239" i="44"/>
  <c r="S239" i="44" s="1"/>
  <c r="T239" i="44" s="1"/>
  <c r="F239" i="44"/>
  <c r="R238" i="44"/>
  <c r="S238" i="44" s="1"/>
  <c r="T238" i="44" s="1"/>
  <c r="N238" i="44"/>
  <c r="O238" i="44" s="1"/>
  <c r="P238" i="44" s="1"/>
  <c r="L238" i="44"/>
  <c r="K238" i="44"/>
  <c r="J238" i="44"/>
  <c r="I238" i="44"/>
  <c r="H238" i="44" a="1"/>
  <c r="H238" i="44" s="1"/>
  <c r="V238" i="44" s="1" a="1"/>
  <c r="V238" i="44" s="1"/>
  <c r="G238" i="44"/>
  <c r="F238" i="44"/>
  <c r="R237" i="44"/>
  <c r="P237" i="44"/>
  <c r="N237" i="44"/>
  <c r="O237" i="44" s="1"/>
  <c r="J237" i="44"/>
  <c r="H237" i="44" a="1"/>
  <c r="H237" i="44" s="1"/>
  <c r="G237" i="44"/>
  <c r="K237" i="44" s="1"/>
  <c r="L237" i="44" s="1"/>
  <c r="F237" i="44"/>
  <c r="R236" i="44"/>
  <c r="P236" i="44"/>
  <c r="N236" i="44"/>
  <c r="O236" i="44" s="1"/>
  <c r="J236" i="44"/>
  <c r="K236" i="44" s="1"/>
  <c r="L236" i="44" s="1"/>
  <c r="I236" i="44"/>
  <c r="H236" i="44" a="1"/>
  <c r="H236" i="44" s="1"/>
  <c r="V236" i="44" s="1" a="1"/>
  <c r="V236" i="44" s="1"/>
  <c r="G236" i="44"/>
  <c r="S236" i="44" s="1"/>
  <c r="T236" i="44" s="1"/>
  <c r="F236" i="44"/>
  <c r="W235" i="44" a="1"/>
  <c r="W235" i="44" s="1"/>
  <c r="R235" i="44"/>
  <c r="O235" i="44"/>
  <c r="P235" i="44" s="1"/>
  <c r="N235" i="44"/>
  <c r="L235" i="44"/>
  <c r="K235" i="44"/>
  <c r="J235" i="44"/>
  <c r="I235" i="44"/>
  <c r="H235" i="44" a="1"/>
  <c r="H235" i="44" s="1"/>
  <c r="V235" i="44" s="1" a="1"/>
  <c r="V235" i="44" s="1"/>
  <c r="G235" i="44"/>
  <c r="F235" i="44"/>
  <c r="R234" i="44"/>
  <c r="P234" i="44"/>
  <c r="N234" i="44"/>
  <c r="O234" i="44" s="1"/>
  <c r="J234" i="44"/>
  <c r="K234" i="44" s="1"/>
  <c r="L234" i="44" s="1"/>
  <c r="H234" i="44" a="1"/>
  <c r="H234" i="44" s="1"/>
  <c r="V234" i="44" s="1" a="1"/>
  <c r="V234" i="44" s="1"/>
  <c r="G234" i="44"/>
  <c r="F234" i="44"/>
  <c r="R233" i="44"/>
  <c r="N233" i="44"/>
  <c r="O233" i="44" s="1"/>
  <c r="P233" i="44" s="1"/>
  <c r="J233" i="44"/>
  <c r="H233" i="44" a="1"/>
  <c r="H233" i="44" s="1"/>
  <c r="G233" i="44"/>
  <c r="K233" i="44" s="1"/>
  <c r="L233" i="44" s="1"/>
  <c r="F233" i="44"/>
  <c r="R232" i="44"/>
  <c r="N232" i="44"/>
  <c r="O232" i="44" s="1"/>
  <c r="P232" i="44" s="1"/>
  <c r="J232" i="44"/>
  <c r="H232" i="44"/>
  <c r="I232" i="44" s="1"/>
  <c r="H232" i="44" a="1"/>
  <c r="G232" i="44"/>
  <c r="K232" i="44" s="1"/>
  <c r="L232" i="44" s="1"/>
  <c r="F232" i="44"/>
  <c r="R231" i="44"/>
  <c r="O231" i="44"/>
  <c r="P231" i="44" s="1"/>
  <c r="N231" i="44"/>
  <c r="K231" i="44"/>
  <c r="L231" i="44" s="1"/>
  <c r="J231" i="44"/>
  <c r="H231" i="44"/>
  <c r="V231" i="44" s="1" a="1"/>
  <c r="V231" i="44" s="1"/>
  <c r="H231" i="44" a="1"/>
  <c r="G231" i="44"/>
  <c r="F231" i="44"/>
  <c r="R230" i="44"/>
  <c r="N230" i="44"/>
  <c r="O230" i="44" s="1"/>
  <c r="P230" i="44" s="1"/>
  <c r="J230" i="44"/>
  <c r="K230" i="44" s="1"/>
  <c r="L230" i="44" s="1"/>
  <c r="H230" i="44" a="1"/>
  <c r="H230" i="44" s="1"/>
  <c r="G230" i="44"/>
  <c r="F230" i="44"/>
  <c r="R229" i="44"/>
  <c r="N229" i="44"/>
  <c r="O229" i="44" s="1"/>
  <c r="P229" i="44" s="1"/>
  <c r="J229" i="44"/>
  <c r="H229" i="44" a="1"/>
  <c r="H229" i="44" s="1"/>
  <c r="G229" i="44"/>
  <c r="F229" i="44"/>
  <c r="R228" i="44"/>
  <c r="N228" i="44"/>
  <c r="O228" i="44" s="1"/>
  <c r="P228" i="44" s="1"/>
  <c r="J228" i="44"/>
  <c r="K228" i="44" s="1"/>
  <c r="L228" i="44" s="1"/>
  <c r="H228" i="44" a="1"/>
  <c r="H228" i="44" s="1"/>
  <c r="G228" i="44"/>
  <c r="S228" i="44" s="1"/>
  <c r="T228" i="44" s="1"/>
  <c r="F228" i="44"/>
  <c r="R227" i="44"/>
  <c r="N227" i="44"/>
  <c r="O227" i="44" s="1"/>
  <c r="P227" i="44" s="1"/>
  <c r="K227" i="44"/>
  <c r="L227" i="44" s="1"/>
  <c r="J227" i="44"/>
  <c r="H227" i="44"/>
  <c r="H227" i="44" a="1"/>
  <c r="G227" i="44"/>
  <c r="S227" i="44" s="1"/>
  <c r="T227" i="44" s="1"/>
  <c r="F227" i="44"/>
  <c r="V226" i="44" a="1"/>
  <c r="V226" i="44" s="1"/>
  <c r="R226" i="44"/>
  <c r="S226" i="44" s="1"/>
  <c r="T226" i="44" s="1"/>
  <c r="P226" i="44"/>
  <c r="N226" i="44"/>
  <c r="O226" i="44" s="1"/>
  <c r="J226" i="44"/>
  <c r="I226" i="44"/>
  <c r="H226" i="44" a="1"/>
  <c r="H226" i="44" s="1"/>
  <c r="G226" i="44"/>
  <c r="F226" i="44"/>
  <c r="R225" i="44"/>
  <c r="O225" i="44"/>
  <c r="P225" i="44" s="1"/>
  <c r="N225" i="44"/>
  <c r="J225" i="44"/>
  <c r="H225" i="44" a="1"/>
  <c r="H225" i="44" s="1"/>
  <c r="I225" i="44" s="1"/>
  <c r="G225" i="44"/>
  <c r="F225" i="44"/>
  <c r="R224" i="44"/>
  <c r="S224" i="44" s="1"/>
  <c r="T224" i="44" s="1"/>
  <c r="P224" i="44"/>
  <c r="N224" i="44"/>
  <c r="O224" i="44" s="1"/>
  <c r="J224" i="44"/>
  <c r="H224" i="44" a="1"/>
  <c r="H224" i="44" s="1"/>
  <c r="G224" i="44"/>
  <c r="F224" i="44"/>
  <c r="V223" i="44" a="1"/>
  <c r="V223" i="44" s="1"/>
  <c r="S223" i="44"/>
  <c r="T223" i="44" s="1"/>
  <c r="R223" i="44"/>
  <c r="N223" i="44"/>
  <c r="O223" i="44" s="1"/>
  <c r="P223" i="44" s="1"/>
  <c r="J223" i="44"/>
  <c r="H223" i="44" a="1"/>
  <c r="H223" i="44" s="1"/>
  <c r="I223" i="44" s="1"/>
  <c r="G223" i="44"/>
  <c r="K223" i="44" s="1"/>
  <c r="L223" i="44" s="1"/>
  <c r="F223" i="44"/>
  <c r="R222" i="44"/>
  <c r="S222" i="44" s="1"/>
  <c r="T222" i="44" s="1"/>
  <c r="N222" i="44"/>
  <c r="O222" i="44" s="1"/>
  <c r="P222" i="44" s="1"/>
  <c r="J222" i="44"/>
  <c r="H222" i="44" a="1"/>
  <c r="H222" i="44" s="1"/>
  <c r="V222" i="44" s="1" a="1"/>
  <c r="V222" i="44" s="1"/>
  <c r="G222" i="44"/>
  <c r="F222" i="44"/>
  <c r="R221" i="44"/>
  <c r="O221" i="44"/>
  <c r="P221" i="44" s="1"/>
  <c r="N221" i="44"/>
  <c r="J221" i="44"/>
  <c r="H221" i="44" a="1"/>
  <c r="H221" i="44" s="1"/>
  <c r="G221" i="44"/>
  <c r="K221" i="44" s="1"/>
  <c r="L221" i="44" s="1"/>
  <c r="F221" i="44"/>
  <c r="R220" i="44"/>
  <c r="S220" i="44" s="1"/>
  <c r="T220" i="44" s="1"/>
  <c r="N220" i="44"/>
  <c r="O220" i="44" s="1"/>
  <c r="P220" i="44" s="1"/>
  <c r="J220" i="44"/>
  <c r="K220" i="44" s="1"/>
  <c r="L220" i="44" s="1"/>
  <c r="H220" i="44" a="1"/>
  <c r="H220" i="44" s="1"/>
  <c r="V220" i="44" s="1" a="1"/>
  <c r="V220" i="44" s="1"/>
  <c r="G220" i="44"/>
  <c r="F220" i="44"/>
  <c r="R219" i="44"/>
  <c r="N219" i="44"/>
  <c r="O219" i="44" s="1"/>
  <c r="P219" i="44" s="1"/>
  <c r="K219" i="44"/>
  <c r="L219" i="44" s="1"/>
  <c r="J219" i="44"/>
  <c r="H219" i="44" a="1"/>
  <c r="H219" i="44" s="1"/>
  <c r="G219" i="44"/>
  <c r="F219" i="44"/>
  <c r="R218" i="44"/>
  <c r="S218" i="44" s="1"/>
  <c r="T218" i="44" s="1"/>
  <c r="N218" i="44"/>
  <c r="O218" i="44" s="1"/>
  <c r="P218" i="44" s="1"/>
  <c r="J218" i="44"/>
  <c r="I218" i="44"/>
  <c r="H218" i="44" a="1"/>
  <c r="H218" i="44" s="1"/>
  <c r="V218" i="44" s="1" a="1"/>
  <c r="V218" i="44" s="1"/>
  <c r="W218" i="44" s="1" a="1"/>
  <c r="W218" i="44" s="1"/>
  <c r="G218" i="44"/>
  <c r="F218" i="44"/>
  <c r="R217" i="44"/>
  <c r="N217" i="44"/>
  <c r="O217" i="44" s="1"/>
  <c r="P217" i="44" s="1"/>
  <c r="J217" i="44"/>
  <c r="K217" i="44" s="1"/>
  <c r="L217" i="44" s="1"/>
  <c r="H217" i="44" a="1"/>
  <c r="H217" i="44" s="1"/>
  <c r="G217" i="44"/>
  <c r="F217" i="44"/>
  <c r="V216" i="44" a="1"/>
  <c r="V216" i="44" s="1"/>
  <c r="R216" i="44"/>
  <c r="O216" i="44"/>
  <c r="P216" i="44" s="1"/>
  <c r="N216" i="44"/>
  <c r="J216" i="44"/>
  <c r="H216" i="44" a="1"/>
  <c r="H216" i="44" s="1"/>
  <c r="I216" i="44" s="1"/>
  <c r="G216" i="44"/>
  <c r="S216" i="44" s="1"/>
  <c r="T216" i="44" s="1"/>
  <c r="F216" i="44"/>
  <c r="R215" i="44"/>
  <c r="N215" i="44"/>
  <c r="O215" i="44" s="1"/>
  <c r="P215" i="44" s="1"/>
  <c r="J215" i="44"/>
  <c r="H215" i="44" a="1"/>
  <c r="H215" i="44" s="1"/>
  <c r="I215" i="44" s="1"/>
  <c r="G215" i="44"/>
  <c r="F215" i="44"/>
  <c r="R214" i="44"/>
  <c r="N214" i="44"/>
  <c r="O214" i="44" s="1"/>
  <c r="P214" i="44" s="1"/>
  <c r="J214" i="44"/>
  <c r="K214" i="44" s="1"/>
  <c r="L214" i="44" s="1"/>
  <c r="H214" i="44" a="1"/>
  <c r="H214" i="44" s="1"/>
  <c r="G214" i="44"/>
  <c r="S214" i="44" s="1"/>
  <c r="T214" i="44" s="1"/>
  <c r="F214" i="44"/>
  <c r="V213" i="44" a="1"/>
  <c r="V213" i="44" s="1"/>
  <c r="R213" i="44"/>
  <c r="P213" i="44"/>
  <c r="O213" i="44"/>
  <c r="N213" i="44"/>
  <c r="J213" i="44"/>
  <c r="H213" i="44"/>
  <c r="I213" i="44" s="1"/>
  <c r="H213" i="44" a="1"/>
  <c r="G213" i="44"/>
  <c r="S213" i="44" s="1"/>
  <c r="T213" i="44" s="1"/>
  <c r="F213" i="44"/>
  <c r="R212" i="44"/>
  <c r="N212" i="44"/>
  <c r="O212" i="44" s="1"/>
  <c r="P212" i="44" s="1"/>
  <c r="J212" i="44"/>
  <c r="H212" i="44" a="1"/>
  <c r="H212" i="44" s="1"/>
  <c r="V212" i="44" s="1" a="1"/>
  <c r="V212" i="44" s="1"/>
  <c r="G212" i="44"/>
  <c r="F212" i="44"/>
  <c r="R211" i="44"/>
  <c r="N211" i="44"/>
  <c r="O211" i="44" s="1"/>
  <c r="P211" i="44" s="1"/>
  <c r="J211" i="44"/>
  <c r="H211" i="44" a="1"/>
  <c r="H211" i="44" s="1"/>
  <c r="G211" i="44"/>
  <c r="F211" i="44"/>
  <c r="R210" i="44"/>
  <c r="O210" i="44"/>
  <c r="P210" i="44" s="1"/>
  <c r="N210" i="44"/>
  <c r="J210" i="44"/>
  <c r="H210" i="44" a="1"/>
  <c r="H210" i="44" s="1"/>
  <c r="V210" i="44" s="1" a="1"/>
  <c r="V210" i="44" s="1"/>
  <c r="W210" i="44" s="1" a="1"/>
  <c r="W210" i="44" s="1"/>
  <c r="G210" i="44"/>
  <c r="K210" i="44" s="1"/>
  <c r="L210" i="44" s="1"/>
  <c r="F210" i="44"/>
  <c r="R209" i="44"/>
  <c r="N209" i="44"/>
  <c r="O209" i="44" s="1"/>
  <c r="P209" i="44" s="1"/>
  <c r="J209" i="44"/>
  <c r="H209" i="44" a="1"/>
  <c r="H209" i="44" s="1"/>
  <c r="G209" i="44"/>
  <c r="F209" i="44"/>
  <c r="R208" i="44"/>
  <c r="O208" i="44"/>
  <c r="P208" i="44" s="1"/>
  <c r="N208" i="44"/>
  <c r="J208" i="44"/>
  <c r="K208" i="44" s="1"/>
  <c r="L208" i="44" s="1"/>
  <c r="H208" i="44" a="1"/>
  <c r="H208" i="44" s="1"/>
  <c r="G208" i="44"/>
  <c r="S208" i="44" s="1"/>
  <c r="T208" i="44" s="1"/>
  <c r="F208" i="44"/>
  <c r="R207" i="44"/>
  <c r="N207" i="44"/>
  <c r="O207" i="44" s="1"/>
  <c r="P207" i="44" s="1"/>
  <c r="J207" i="44"/>
  <c r="H207" i="44"/>
  <c r="H207" i="44" a="1"/>
  <c r="G207" i="44"/>
  <c r="F207" i="44"/>
  <c r="R206" i="44"/>
  <c r="O206" i="44"/>
  <c r="P206" i="44" s="1"/>
  <c r="N206" i="44"/>
  <c r="K206" i="44"/>
  <c r="L206" i="44" s="1"/>
  <c r="J206" i="44"/>
  <c r="H206" i="44"/>
  <c r="I206" i="44" s="1"/>
  <c r="H206" i="44" a="1"/>
  <c r="G206" i="44"/>
  <c r="S206" i="44" s="1"/>
  <c r="T206" i="44" s="1"/>
  <c r="F206" i="44"/>
  <c r="R205" i="44"/>
  <c r="N205" i="44"/>
  <c r="O205" i="44" s="1"/>
  <c r="P205" i="44" s="1"/>
  <c r="J205" i="44"/>
  <c r="K205" i="44" s="1"/>
  <c r="L205" i="44" s="1"/>
  <c r="H205" i="44" a="1"/>
  <c r="H205" i="44" s="1"/>
  <c r="I205" i="44" s="1"/>
  <c r="G205" i="44"/>
  <c r="F205" i="44"/>
  <c r="S204" i="44"/>
  <c r="T204" i="44" s="1"/>
  <c r="R204" i="44"/>
  <c r="P204" i="44"/>
  <c r="O204" i="44"/>
  <c r="N204" i="44"/>
  <c r="J204" i="44"/>
  <c r="H204" i="44" a="1"/>
  <c r="H204" i="44" s="1"/>
  <c r="G204" i="44"/>
  <c r="F204" i="44"/>
  <c r="R203" i="44"/>
  <c r="N203" i="44"/>
  <c r="O203" i="44" s="1"/>
  <c r="P203" i="44" s="1"/>
  <c r="J203" i="44"/>
  <c r="H203" i="44" a="1"/>
  <c r="H203" i="44" s="1"/>
  <c r="G203" i="44"/>
  <c r="F203" i="44"/>
  <c r="R202" i="44"/>
  <c r="P202" i="44"/>
  <c r="O202" i="44"/>
  <c r="N202" i="44"/>
  <c r="J202" i="44"/>
  <c r="H202" i="44"/>
  <c r="I202" i="44" s="1"/>
  <c r="H202" i="44" a="1"/>
  <c r="G202" i="44"/>
  <c r="F202" i="44"/>
  <c r="T201" i="44"/>
  <c r="R201" i="44"/>
  <c r="N201" i="44"/>
  <c r="O201" i="44" s="1"/>
  <c r="P201" i="44" s="1"/>
  <c r="J201" i="44"/>
  <c r="H201" i="44" a="1"/>
  <c r="H201" i="44" s="1"/>
  <c r="G201" i="44"/>
  <c r="S201" i="44" s="1"/>
  <c r="F201" i="44"/>
  <c r="R200" i="44"/>
  <c r="N200" i="44"/>
  <c r="O200" i="44" s="1"/>
  <c r="P200" i="44" s="1"/>
  <c r="J200" i="44"/>
  <c r="H200" i="44" a="1"/>
  <c r="H200" i="44" s="1"/>
  <c r="I200" i="44" s="1"/>
  <c r="G200" i="44"/>
  <c r="F200" i="44"/>
  <c r="R199" i="44"/>
  <c r="N199" i="44"/>
  <c r="O199" i="44" s="1"/>
  <c r="P199" i="44" s="1"/>
  <c r="K199" i="44"/>
  <c r="L199" i="44" s="1"/>
  <c r="J199" i="44"/>
  <c r="H199" i="44" a="1"/>
  <c r="H199" i="44" s="1"/>
  <c r="I199" i="44" s="1"/>
  <c r="G199" i="44"/>
  <c r="S199" i="44" s="1"/>
  <c r="T199" i="44" s="1"/>
  <c r="F199" i="44"/>
  <c r="R198" i="44"/>
  <c r="O198" i="44"/>
  <c r="P198" i="44" s="1"/>
  <c r="N198" i="44"/>
  <c r="K198" i="44"/>
  <c r="L198" i="44" s="1"/>
  <c r="J198" i="44"/>
  <c r="H198" i="44" a="1"/>
  <c r="H198" i="44" s="1"/>
  <c r="I198" i="44" s="1"/>
  <c r="G198" i="44"/>
  <c r="S198" i="44" s="1"/>
  <c r="T198" i="44" s="1"/>
  <c r="F198" i="44"/>
  <c r="T197" i="44"/>
  <c r="R197" i="44"/>
  <c r="P197" i="44"/>
  <c r="N197" i="44"/>
  <c r="O197" i="44" s="1"/>
  <c r="J197" i="44"/>
  <c r="K197" i="44" s="1"/>
  <c r="L197" i="44" s="1"/>
  <c r="H197" i="44" a="1"/>
  <c r="H197" i="44" s="1"/>
  <c r="I197" i="44" s="1"/>
  <c r="G197" i="44"/>
  <c r="S197" i="44" s="1"/>
  <c r="F197" i="44"/>
  <c r="T196" i="44"/>
  <c r="R196" i="44"/>
  <c r="N196" i="44"/>
  <c r="O196" i="44" s="1"/>
  <c r="P196" i="44" s="1"/>
  <c r="J196" i="44"/>
  <c r="K196" i="44" s="1"/>
  <c r="L196" i="44" s="1"/>
  <c r="H196" i="44" a="1"/>
  <c r="H196" i="44" s="1"/>
  <c r="G196" i="44"/>
  <c r="S196" i="44" s="1"/>
  <c r="F196" i="44"/>
  <c r="R195" i="44"/>
  <c r="N195" i="44"/>
  <c r="O195" i="44" s="1"/>
  <c r="P195" i="44" s="1"/>
  <c r="J195" i="44"/>
  <c r="H195" i="44" a="1"/>
  <c r="H195" i="44" s="1"/>
  <c r="G195" i="44"/>
  <c r="F195" i="44"/>
  <c r="R194" i="44"/>
  <c r="O194" i="44"/>
  <c r="P194" i="44" s="1"/>
  <c r="N194" i="44"/>
  <c r="J194" i="44"/>
  <c r="H194" i="44" a="1"/>
  <c r="H194" i="44" s="1"/>
  <c r="G194" i="44"/>
  <c r="F194" i="44"/>
  <c r="R193" i="44"/>
  <c r="O193" i="44"/>
  <c r="P193" i="44" s="1"/>
  <c r="N193" i="44"/>
  <c r="K193" i="44"/>
  <c r="L193" i="44" s="1"/>
  <c r="J193" i="44"/>
  <c r="H193" i="44" a="1"/>
  <c r="H193" i="44" s="1"/>
  <c r="G193" i="44"/>
  <c r="S193" i="44" s="1"/>
  <c r="T193" i="44" s="1"/>
  <c r="F193" i="44"/>
  <c r="R192" i="44"/>
  <c r="N192" i="44"/>
  <c r="O192" i="44" s="1"/>
  <c r="P192" i="44" s="1"/>
  <c r="J192" i="44"/>
  <c r="H192" i="44"/>
  <c r="H192" i="44" a="1"/>
  <c r="G192" i="44"/>
  <c r="F192" i="44"/>
  <c r="S191" i="44"/>
  <c r="T191" i="44" s="1"/>
  <c r="R191" i="44"/>
  <c r="N191" i="44"/>
  <c r="O191" i="44" s="1"/>
  <c r="P191" i="44" s="1"/>
  <c r="J191" i="44"/>
  <c r="K191" i="44" s="1"/>
  <c r="L191" i="44" s="1"/>
  <c r="H191" i="44" a="1"/>
  <c r="H191" i="44" s="1"/>
  <c r="G191" i="44"/>
  <c r="F191" i="44"/>
  <c r="S190" i="44"/>
  <c r="T190" i="44" s="1"/>
  <c r="R190" i="44"/>
  <c r="N190" i="44"/>
  <c r="O190" i="44" s="1"/>
  <c r="P190" i="44" s="1"/>
  <c r="J190" i="44"/>
  <c r="H190" i="44" a="1"/>
  <c r="H190" i="44" s="1"/>
  <c r="G190" i="44"/>
  <c r="F190" i="44"/>
  <c r="V189" i="44" a="1"/>
  <c r="V189" i="44" s="1"/>
  <c r="W189" i="44" s="1" a="1"/>
  <c r="W189" i="44" s="1"/>
  <c r="X189" i="44" s="1" a="1"/>
  <c r="X189" i="44" s="1"/>
  <c r="R189" i="44"/>
  <c r="N189" i="44"/>
  <c r="O189" i="44" s="1"/>
  <c r="P189" i="44" s="1"/>
  <c r="J189" i="44"/>
  <c r="I189" i="44"/>
  <c r="H189" i="44" a="1"/>
  <c r="H189" i="44" s="1"/>
  <c r="G189" i="44"/>
  <c r="S189" i="44" s="1"/>
  <c r="T189" i="44" s="1"/>
  <c r="F189" i="44"/>
  <c r="R188" i="44"/>
  <c r="N188" i="44"/>
  <c r="O188" i="44" s="1"/>
  <c r="P188" i="44" s="1"/>
  <c r="J188" i="44"/>
  <c r="H188" i="44" a="1"/>
  <c r="H188" i="44" s="1"/>
  <c r="G188" i="44"/>
  <c r="K188" i="44" s="1"/>
  <c r="L188" i="44" s="1"/>
  <c r="F188" i="44"/>
  <c r="R187" i="44"/>
  <c r="N187" i="44"/>
  <c r="O187" i="44" s="1"/>
  <c r="P187" i="44" s="1"/>
  <c r="J187" i="44"/>
  <c r="H187" i="44" a="1"/>
  <c r="H187" i="44" s="1"/>
  <c r="I187" i="44" s="1"/>
  <c r="G187" i="44"/>
  <c r="F187" i="44"/>
  <c r="S186" i="44"/>
  <c r="T186" i="44" s="1"/>
  <c r="R186" i="44"/>
  <c r="N186" i="44"/>
  <c r="O186" i="44" s="1"/>
  <c r="P186" i="44" s="1"/>
  <c r="J186" i="44"/>
  <c r="H186" i="44"/>
  <c r="H186" i="44" a="1"/>
  <c r="G186" i="44"/>
  <c r="F186" i="44"/>
  <c r="R185" i="44"/>
  <c r="N185" i="44"/>
  <c r="O185" i="44" s="1"/>
  <c r="P185" i="44" s="1"/>
  <c r="J185" i="44"/>
  <c r="H185" i="44" a="1"/>
  <c r="H185" i="44" s="1"/>
  <c r="V185" i="44" s="1" a="1"/>
  <c r="V185" i="44" s="1"/>
  <c r="G185" i="44"/>
  <c r="F185" i="44"/>
  <c r="R184" i="44"/>
  <c r="N184" i="44"/>
  <c r="O184" i="44" s="1"/>
  <c r="P184" i="44" s="1"/>
  <c r="J184" i="44"/>
  <c r="H184" i="44"/>
  <c r="H184" i="44" a="1"/>
  <c r="G184" i="44"/>
  <c r="K184" i="44" s="1"/>
  <c r="L184" i="44" s="1"/>
  <c r="F184" i="44"/>
  <c r="R183" i="44"/>
  <c r="N183" i="44"/>
  <c r="O183" i="44" s="1"/>
  <c r="P183" i="44" s="1"/>
  <c r="J183" i="44"/>
  <c r="I183" i="44"/>
  <c r="H183" i="44" a="1"/>
  <c r="H183" i="44" s="1"/>
  <c r="V183" i="44" s="1" a="1"/>
  <c r="V183" i="44" s="1"/>
  <c r="G183" i="44"/>
  <c r="K183" i="44" s="1"/>
  <c r="L183" i="44" s="1"/>
  <c r="F183" i="44"/>
  <c r="R182" i="44"/>
  <c r="N182" i="44"/>
  <c r="O182" i="44" s="1"/>
  <c r="P182" i="44" s="1"/>
  <c r="J182" i="44"/>
  <c r="H182" i="44" a="1"/>
  <c r="H182" i="44" s="1"/>
  <c r="V182" i="44" s="1" a="1"/>
  <c r="V182" i="44" s="1"/>
  <c r="G182" i="44"/>
  <c r="S182" i="44" s="1"/>
  <c r="T182" i="44" s="1"/>
  <c r="F182" i="44"/>
  <c r="R181" i="44"/>
  <c r="N181" i="44"/>
  <c r="O181" i="44" s="1"/>
  <c r="P181" i="44" s="1"/>
  <c r="J181" i="44"/>
  <c r="H181" i="44" a="1"/>
  <c r="H181" i="44" s="1"/>
  <c r="V181" i="44" s="1" a="1"/>
  <c r="V181" i="44" s="1"/>
  <c r="G181" i="44"/>
  <c r="F181" i="44"/>
  <c r="R180" i="44"/>
  <c r="N180" i="44"/>
  <c r="O180" i="44" s="1"/>
  <c r="P180" i="44" s="1"/>
  <c r="J180" i="44"/>
  <c r="H180" i="44"/>
  <c r="H180" i="44" a="1"/>
  <c r="G180" i="44"/>
  <c r="F180" i="44"/>
  <c r="R179" i="44"/>
  <c r="N179" i="44"/>
  <c r="O179" i="44" s="1"/>
  <c r="P179" i="44" s="1"/>
  <c r="J179" i="44"/>
  <c r="K179" i="44" s="1"/>
  <c r="L179" i="44" s="1"/>
  <c r="I179" i="44"/>
  <c r="H179" i="44" a="1"/>
  <c r="H179" i="44" s="1"/>
  <c r="V179" i="44" s="1" a="1"/>
  <c r="V179" i="44" s="1"/>
  <c r="W179" i="44" s="1" a="1"/>
  <c r="W179" i="44" s="1"/>
  <c r="G179" i="44"/>
  <c r="F179" i="44"/>
  <c r="R178" i="44"/>
  <c r="N178" i="44"/>
  <c r="O178" i="44" s="1"/>
  <c r="P178" i="44" s="1"/>
  <c r="J178" i="44"/>
  <c r="H178" i="44"/>
  <c r="I178" i="44" s="1"/>
  <c r="H178" i="44" a="1"/>
  <c r="G178" i="44"/>
  <c r="S178" i="44" s="1"/>
  <c r="T178" i="44" s="1"/>
  <c r="F178" i="44"/>
  <c r="R177" i="44"/>
  <c r="N177" i="44"/>
  <c r="O177" i="44" s="1"/>
  <c r="P177" i="44" s="1"/>
  <c r="K177" i="44"/>
  <c r="L177" i="44" s="1"/>
  <c r="J177" i="44"/>
  <c r="H177" i="44" a="1"/>
  <c r="H177" i="44" s="1"/>
  <c r="I177" i="44" s="1"/>
  <c r="G177" i="44"/>
  <c r="F177" i="44"/>
  <c r="R176" i="44"/>
  <c r="O176" i="44"/>
  <c r="P176" i="44" s="1"/>
  <c r="N176" i="44"/>
  <c r="J176" i="44"/>
  <c r="H176" i="44" a="1"/>
  <c r="H176" i="44" s="1"/>
  <c r="G176" i="44"/>
  <c r="F176" i="44"/>
  <c r="R175" i="44"/>
  <c r="N175" i="44"/>
  <c r="O175" i="44" s="1"/>
  <c r="P175" i="44" s="1"/>
  <c r="J175" i="44"/>
  <c r="H175" i="44" a="1"/>
  <c r="H175" i="44" s="1"/>
  <c r="I175" i="44" s="1"/>
  <c r="G175" i="44"/>
  <c r="F175" i="44"/>
  <c r="V174" i="44" a="1"/>
  <c r="V174" i="44" s="1"/>
  <c r="R174" i="44"/>
  <c r="N174" i="44"/>
  <c r="O174" i="44" s="1"/>
  <c r="P174" i="44" s="1"/>
  <c r="J174" i="44"/>
  <c r="H174" i="44"/>
  <c r="I174" i="44" s="1"/>
  <c r="H174" i="44" a="1"/>
  <c r="G174" i="44"/>
  <c r="F174" i="44"/>
  <c r="R173" i="44"/>
  <c r="P173" i="44"/>
  <c r="N173" i="44"/>
  <c r="O173" i="44" s="1"/>
  <c r="J173" i="44"/>
  <c r="H173" i="44" a="1"/>
  <c r="H173" i="44" s="1"/>
  <c r="V173" i="44" s="1" a="1"/>
  <c r="V173" i="44" s="1"/>
  <c r="G173" i="44"/>
  <c r="F173" i="44"/>
  <c r="R172" i="44"/>
  <c r="N172" i="44"/>
  <c r="O172" i="44" s="1"/>
  <c r="P172" i="44" s="1"/>
  <c r="J172" i="44"/>
  <c r="H172" i="44"/>
  <c r="I172" i="44" s="1"/>
  <c r="H172" i="44" a="1"/>
  <c r="G172" i="44"/>
  <c r="F172" i="44"/>
  <c r="R171" i="44"/>
  <c r="P171" i="44"/>
  <c r="N171" i="44"/>
  <c r="O171" i="44" s="1"/>
  <c r="K171" i="44"/>
  <c r="L171" i="44" s="1"/>
  <c r="J171" i="44"/>
  <c r="H171" i="44" a="1"/>
  <c r="H171" i="44" s="1"/>
  <c r="V171" i="44" s="1" a="1"/>
  <c r="V171" i="44" s="1"/>
  <c r="W171" i="44" s="1" a="1"/>
  <c r="W171" i="44" s="1"/>
  <c r="G171" i="44"/>
  <c r="S171" i="44" s="1"/>
  <c r="T171" i="44" s="1"/>
  <c r="F171" i="44"/>
  <c r="V170" i="44" a="1"/>
  <c r="V170" i="44" s="1"/>
  <c r="R170" i="44"/>
  <c r="P170" i="44"/>
  <c r="N170" i="44"/>
  <c r="O170" i="44" s="1"/>
  <c r="J170" i="44"/>
  <c r="H170" i="44"/>
  <c r="I170" i="44" s="1"/>
  <c r="H170" i="44" a="1"/>
  <c r="G170" i="44"/>
  <c r="S170" i="44" s="1"/>
  <c r="T170" i="44" s="1"/>
  <c r="F170" i="44"/>
  <c r="R169" i="44"/>
  <c r="N169" i="44"/>
  <c r="O169" i="44" s="1"/>
  <c r="P169" i="44" s="1"/>
  <c r="J169" i="44"/>
  <c r="H169" i="44" a="1"/>
  <c r="H169" i="44" s="1"/>
  <c r="I169" i="44" s="1"/>
  <c r="G169" i="44"/>
  <c r="S169" i="44" s="1"/>
  <c r="T169" i="44" s="1"/>
  <c r="F169" i="44"/>
  <c r="R168" i="44"/>
  <c r="N168" i="44"/>
  <c r="O168" i="44" s="1"/>
  <c r="P168" i="44" s="1"/>
  <c r="J168" i="44"/>
  <c r="H168" i="44" a="1"/>
  <c r="H168" i="44" s="1"/>
  <c r="G168" i="44"/>
  <c r="F168" i="44"/>
  <c r="R167" i="44"/>
  <c r="N167" i="44"/>
  <c r="O167" i="44" s="1"/>
  <c r="P167" i="44" s="1"/>
  <c r="J167" i="44"/>
  <c r="H167" i="44" a="1"/>
  <c r="H167" i="44" s="1"/>
  <c r="V167" i="44" s="1" a="1"/>
  <c r="V167" i="44" s="1"/>
  <c r="W167" i="44" s="1" a="1"/>
  <c r="W167" i="44" s="1"/>
  <c r="G167" i="44"/>
  <c r="S167" i="44" s="1"/>
  <c r="T167" i="44" s="1"/>
  <c r="F167" i="44"/>
  <c r="R166" i="44"/>
  <c r="N166" i="44"/>
  <c r="O166" i="44" s="1"/>
  <c r="P166" i="44" s="1"/>
  <c r="J166" i="44"/>
  <c r="H166" i="44" a="1"/>
  <c r="H166" i="44" s="1"/>
  <c r="G166" i="44"/>
  <c r="S166" i="44" s="1"/>
  <c r="T166" i="44" s="1"/>
  <c r="F166" i="44"/>
  <c r="R165" i="44"/>
  <c r="N165" i="44"/>
  <c r="O165" i="44" s="1"/>
  <c r="P165" i="44" s="1"/>
  <c r="J165" i="44"/>
  <c r="H165" i="44" a="1"/>
  <c r="H165" i="44" s="1"/>
  <c r="V165" i="44" s="1" a="1"/>
  <c r="V165" i="44" s="1"/>
  <c r="G165" i="44"/>
  <c r="K165" i="44" s="1"/>
  <c r="L165" i="44" s="1"/>
  <c r="F165" i="44"/>
  <c r="R164" i="44"/>
  <c r="N164" i="44"/>
  <c r="O164" i="44" s="1"/>
  <c r="P164" i="44" s="1"/>
  <c r="J164" i="44"/>
  <c r="H164" i="44" a="1"/>
  <c r="H164" i="44" s="1"/>
  <c r="V164" i="44" s="1" a="1"/>
  <c r="V164" i="44" s="1"/>
  <c r="G164" i="44"/>
  <c r="S164" i="44" s="1"/>
  <c r="T164" i="44" s="1"/>
  <c r="F164" i="44"/>
  <c r="R163" i="44"/>
  <c r="O163" i="44"/>
  <c r="P163" i="44" s="1"/>
  <c r="N163" i="44"/>
  <c r="J163" i="44"/>
  <c r="H163" i="44" a="1"/>
  <c r="H163" i="44" s="1"/>
  <c r="V163" i="44" s="1" a="1"/>
  <c r="V163" i="44" s="1"/>
  <c r="G163" i="44"/>
  <c r="F163" i="44"/>
  <c r="R162" i="44"/>
  <c r="S162" i="44" s="1"/>
  <c r="T162" i="44" s="1"/>
  <c r="N162" i="44"/>
  <c r="O162" i="44" s="1"/>
  <c r="P162" i="44" s="1"/>
  <c r="J162" i="44"/>
  <c r="K162" i="44" s="1"/>
  <c r="L162" i="44" s="1"/>
  <c r="H162" i="44"/>
  <c r="H162" i="44" a="1"/>
  <c r="G162" i="44"/>
  <c r="F162" i="44"/>
  <c r="R161" i="44"/>
  <c r="N161" i="44"/>
  <c r="O161" i="44" s="1"/>
  <c r="P161" i="44" s="1"/>
  <c r="K161" i="44"/>
  <c r="L161" i="44" s="1"/>
  <c r="J161" i="44"/>
  <c r="H161" i="44" a="1"/>
  <c r="H161" i="44" s="1"/>
  <c r="G161" i="44"/>
  <c r="S161" i="44" s="1"/>
  <c r="T161" i="44" s="1"/>
  <c r="F161" i="44"/>
  <c r="R160" i="44"/>
  <c r="S160" i="44" s="1"/>
  <c r="T160" i="44" s="1"/>
  <c r="N160" i="44"/>
  <c r="O160" i="44" s="1"/>
  <c r="P160" i="44" s="1"/>
  <c r="L160" i="44"/>
  <c r="K160" i="44"/>
  <c r="J160" i="44"/>
  <c r="H160" i="44" a="1"/>
  <c r="H160" i="44" s="1"/>
  <c r="G160" i="44"/>
  <c r="F160" i="44"/>
  <c r="R159" i="44"/>
  <c r="N159" i="44"/>
  <c r="O159" i="44" s="1"/>
  <c r="P159" i="44" s="1"/>
  <c r="J159" i="44"/>
  <c r="H159" i="44"/>
  <c r="I159" i="44" s="1"/>
  <c r="H159" i="44" a="1"/>
  <c r="G159" i="44"/>
  <c r="F159" i="44"/>
  <c r="R158" i="44"/>
  <c r="S158" i="44" s="1"/>
  <c r="T158" i="44" s="1"/>
  <c r="N158" i="44"/>
  <c r="O158" i="44" s="1"/>
  <c r="P158" i="44" s="1"/>
  <c r="J158" i="44"/>
  <c r="H158" i="44" a="1"/>
  <c r="H158" i="44" s="1"/>
  <c r="G158" i="44"/>
  <c r="K158" i="44" s="1"/>
  <c r="L158" i="44" s="1"/>
  <c r="F158" i="44"/>
  <c r="R157" i="44"/>
  <c r="N157" i="44"/>
  <c r="O157" i="44" s="1"/>
  <c r="P157" i="44" s="1"/>
  <c r="J157" i="44"/>
  <c r="H157" i="44"/>
  <c r="H157" i="44" a="1"/>
  <c r="G157" i="44"/>
  <c r="S157" i="44" s="1"/>
  <c r="T157" i="44" s="1"/>
  <c r="F157" i="44"/>
  <c r="R156" i="44"/>
  <c r="N156" i="44"/>
  <c r="O156" i="44" s="1"/>
  <c r="P156" i="44" s="1"/>
  <c r="J156" i="44"/>
  <c r="H156" i="44" a="1"/>
  <c r="H156" i="44" s="1"/>
  <c r="G156" i="44"/>
  <c r="F156" i="44"/>
  <c r="R155" i="44"/>
  <c r="N155" i="44"/>
  <c r="O155" i="44" s="1"/>
  <c r="P155" i="44" s="1"/>
  <c r="J155" i="44"/>
  <c r="H155" i="44" a="1"/>
  <c r="H155" i="44" s="1"/>
  <c r="G155" i="44"/>
  <c r="S155" i="44" s="1"/>
  <c r="T155" i="44" s="1"/>
  <c r="F155" i="44"/>
  <c r="R154" i="44"/>
  <c r="N154" i="44"/>
  <c r="O154" i="44" s="1"/>
  <c r="P154" i="44" s="1"/>
  <c r="J154" i="44"/>
  <c r="H154" i="44"/>
  <c r="H154" i="44" a="1"/>
  <c r="G154" i="44"/>
  <c r="F154" i="44"/>
  <c r="R153" i="44"/>
  <c r="N153" i="44"/>
  <c r="O153" i="44" s="1"/>
  <c r="P153" i="44" s="1"/>
  <c r="K153" i="44"/>
  <c r="L153" i="44" s="1"/>
  <c r="J153" i="44"/>
  <c r="H153" i="44"/>
  <c r="I153" i="44" s="1"/>
  <c r="H153" i="44" a="1"/>
  <c r="G153" i="44"/>
  <c r="S153" i="44" s="1"/>
  <c r="T153" i="44" s="1"/>
  <c r="F153" i="44"/>
  <c r="R152" i="44"/>
  <c r="S152" i="44" s="1"/>
  <c r="T152" i="44" s="1"/>
  <c r="O152" i="44"/>
  <c r="P152" i="44" s="1"/>
  <c r="N152" i="44"/>
  <c r="J152" i="44"/>
  <c r="K152" i="44" s="1"/>
  <c r="L152" i="44" s="1"/>
  <c r="H152" i="44"/>
  <c r="H152" i="44" a="1"/>
  <c r="G152" i="44"/>
  <c r="F152" i="44"/>
  <c r="V151" i="44" a="1"/>
  <c r="V151" i="44" s="1"/>
  <c r="R151" i="44"/>
  <c r="O151" i="44"/>
  <c r="P151" i="44" s="1"/>
  <c r="N151" i="44"/>
  <c r="J151" i="44"/>
  <c r="H151" i="44" a="1"/>
  <c r="H151" i="44" s="1"/>
  <c r="G151" i="44"/>
  <c r="S151" i="44" s="1"/>
  <c r="T151" i="44" s="1"/>
  <c r="F151" i="44"/>
  <c r="R150" i="44"/>
  <c r="N150" i="44"/>
  <c r="O150" i="44" s="1"/>
  <c r="P150" i="44" s="1"/>
  <c r="J150" i="44"/>
  <c r="H150" i="44" a="1"/>
  <c r="H150" i="44" s="1"/>
  <c r="G150" i="44"/>
  <c r="F150" i="44"/>
  <c r="R149" i="44"/>
  <c r="N149" i="44"/>
  <c r="O149" i="44" s="1"/>
  <c r="P149" i="44" s="1"/>
  <c r="K149" i="44"/>
  <c r="L149" i="44" s="1"/>
  <c r="J149" i="44"/>
  <c r="H149" i="44"/>
  <c r="I149" i="44" s="1"/>
  <c r="H149" i="44" a="1"/>
  <c r="G149" i="44"/>
  <c r="S149" i="44" s="1"/>
  <c r="T149" i="44" s="1"/>
  <c r="F149" i="44"/>
  <c r="R148" i="44"/>
  <c r="S148" i="44" s="1"/>
  <c r="T148" i="44" s="1"/>
  <c r="O148" i="44"/>
  <c r="P148" i="44" s="1"/>
  <c r="N148" i="44"/>
  <c r="J148" i="44"/>
  <c r="K148" i="44" s="1"/>
  <c r="L148" i="44" s="1"/>
  <c r="H148" i="44"/>
  <c r="H148" i="44" a="1"/>
  <c r="G148" i="44"/>
  <c r="F148" i="44"/>
  <c r="R147" i="44"/>
  <c r="N147" i="44"/>
  <c r="O147" i="44" s="1"/>
  <c r="P147" i="44" s="1"/>
  <c r="J147" i="44"/>
  <c r="H147" i="44" a="1"/>
  <c r="H147" i="44" s="1"/>
  <c r="I147" i="44" s="1"/>
  <c r="G147" i="44"/>
  <c r="F147" i="44"/>
  <c r="R146" i="44"/>
  <c r="O146" i="44"/>
  <c r="P146" i="44" s="1"/>
  <c r="N146" i="44"/>
  <c r="J146" i="44"/>
  <c r="H146" i="44"/>
  <c r="H146" i="44" a="1"/>
  <c r="G146" i="44"/>
  <c r="F146" i="44"/>
  <c r="R145" i="44"/>
  <c r="N145" i="44"/>
  <c r="O145" i="44" s="1"/>
  <c r="P145" i="44" s="1"/>
  <c r="J145" i="44"/>
  <c r="H145" i="44" a="1"/>
  <c r="H145" i="44" s="1"/>
  <c r="G145" i="44"/>
  <c r="S145" i="44" s="1"/>
  <c r="T145" i="44" s="1"/>
  <c r="F145" i="44"/>
  <c r="R144" i="44"/>
  <c r="N144" i="44"/>
  <c r="O144" i="44" s="1"/>
  <c r="P144" i="44" s="1"/>
  <c r="J144" i="44"/>
  <c r="H144" i="44" a="1"/>
  <c r="H144" i="44" s="1"/>
  <c r="G144" i="44"/>
  <c r="F144" i="44"/>
  <c r="R143" i="44"/>
  <c r="N143" i="44"/>
  <c r="O143" i="44" s="1"/>
  <c r="P143" i="44" s="1"/>
  <c r="J143" i="44"/>
  <c r="H143" i="44" a="1"/>
  <c r="H143" i="44" s="1"/>
  <c r="G143" i="44"/>
  <c r="K143" i="44" s="1"/>
  <c r="L143" i="44" s="1"/>
  <c r="F143" i="44"/>
  <c r="R142" i="44"/>
  <c r="N142" i="44"/>
  <c r="O142" i="44" s="1"/>
  <c r="P142" i="44" s="1"/>
  <c r="J142" i="44"/>
  <c r="H142" i="44" a="1"/>
  <c r="H142" i="44" s="1"/>
  <c r="I142" i="44" s="1"/>
  <c r="G142" i="44"/>
  <c r="F142" i="44"/>
  <c r="R141" i="44"/>
  <c r="N141" i="44"/>
  <c r="O141" i="44" s="1"/>
  <c r="P141" i="44" s="1"/>
  <c r="J141" i="44"/>
  <c r="H141" i="44" a="1"/>
  <c r="H141" i="44" s="1"/>
  <c r="G141" i="44"/>
  <c r="K141" i="44" s="1"/>
  <c r="L141" i="44" s="1"/>
  <c r="F141" i="44"/>
  <c r="R140" i="44"/>
  <c r="N140" i="44"/>
  <c r="O140" i="44" s="1"/>
  <c r="P140" i="44" s="1"/>
  <c r="J140" i="44"/>
  <c r="H140" i="44" a="1"/>
  <c r="H140" i="44" s="1"/>
  <c r="I140" i="44" s="1"/>
  <c r="G140" i="44"/>
  <c r="K140" i="44" s="1"/>
  <c r="L140" i="44" s="1"/>
  <c r="F140" i="44"/>
  <c r="R139" i="44"/>
  <c r="N139" i="44"/>
  <c r="O139" i="44" s="1"/>
  <c r="P139" i="44" s="1"/>
  <c r="J139" i="44"/>
  <c r="H139" i="44"/>
  <c r="I139" i="44" s="1"/>
  <c r="H139" i="44" a="1"/>
  <c r="G139" i="44"/>
  <c r="F139" i="44"/>
  <c r="R138" i="44"/>
  <c r="O138" i="44"/>
  <c r="P138" i="44" s="1"/>
  <c r="N138" i="44"/>
  <c r="J138" i="44"/>
  <c r="H138" i="44"/>
  <c r="I138" i="44" s="1"/>
  <c r="H138" i="44" a="1"/>
  <c r="G138" i="44"/>
  <c r="F138" i="44"/>
  <c r="R137" i="44"/>
  <c r="O137" i="44"/>
  <c r="P137" i="44" s="1"/>
  <c r="N137" i="44"/>
  <c r="J137" i="44"/>
  <c r="H137" i="44" a="1"/>
  <c r="H137" i="44" s="1"/>
  <c r="G137" i="44"/>
  <c r="K137" i="44" s="1"/>
  <c r="L137" i="44" s="1"/>
  <c r="F137" i="44"/>
  <c r="R136" i="44"/>
  <c r="N136" i="44"/>
  <c r="O136" i="44" s="1"/>
  <c r="P136" i="44" s="1"/>
  <c r="J136" i="44"/>
  <c r="H136" i="44"/>
  <c r="I136" i="44" s="1"/>
  <c r="H136" i="44" a="1"/>
  <c r="G136" i="44"/>
  <c r="F136" i="44"/>
  <c r="R135" i="44"/>
  <c r="N135" i="44"/>
  <c r="O135" i="44" s="1"/>
  <c r="P135" i="44" s="1"/>
  <c r="J135" i="44"/>
  <c r="H135" i="44" a="1"/>
  <c r="H135" i="44" s="1"/>
  <c r="G135" i="44"/>
  <c r="F135" i="44"/>
  <c r="R134" i="44"/>
  <c r="O134" i="44"/>
  <c r="P134" i="44" s="1"/>
  <c r="N134" i="44"/>
  <c r="J134" i="44"/>
  <c r="H134" i="44" a="1"/>
  <c r="H134" i="44" s="1"/>
  <c r="G134" i="44"/>
  <c r="S134" i="44" s="1"/>
  <c r="T134" i="44" s="1"/>
  <c r="F134" i="44"/>
  <c r="R133" i="44"/>
  <c r="N133" i="44"/>
  <c r="O133" i="44" s="1"/>
  <c r="P133" i="44" s="1"/>
  <c r="J133" i="44"/>
  <c r="H133" i="44" a="1"/>
  <c r="H133" i="44" s="1"/>
  <c r="G133" i="44"/>
  <c r="F133" i="44"/>
  <c r="R132" i="44"/>
  <c r="N132" i="44"/>
  <c r="O132" i="44" s="1"/>
  <c r="P132" i="44" s="1"/>
  <c r="J132" i="44"/>
  <c r="K132" i="44" s="1"/>
  <c r="L132" i="44" s="1"/>
  <c r="H132" i="44"/>
  <c r="I132" i="44" s="1"/>
  <c r="H132" i="44" a="1"/>
  <c r="G132" i="44"/>
  <c r="F132" i="44"/>
  <c r="R131" i="44"/>
  <c r="N131" i="44"/>
  <c r="O131" i="44" s="1"/>
  <c r="P131" i="44" s="1"/>
  <c r="J131" i="44"/>
  <c r="H131" i="44" a="1"/>
  <c r="H131" i="44" s="1"/>
  <c r="G131" i="44"/>
  <c r="F131" i="44"/>
  <c r="R130" i="44"/>
  <c r="N130" i="44"/>
  <c r="O130" i="44" s="1"/>
  <c r="P130" i="44" s="1"/>
  <c r="J130" i="44"/>
  <c r="H130" i="44"/>
  <c r="H130" i="44" a="1"/>
  <c r="G130" i="44"/>
  <c r="S130" i="44" s="1"/>
  <c r="T130" i="44" s="1"/>
  <c r="F130" i="44"/>
  <c r="R129" i="44"/>
  <c r="N129" i="44"/>
  <c r="O129" i="44" s="1"/>
  <c r="P129" i="44" s="1"/>
  <c r="K129" i="44"/>
  <c r="L129" i="44" s="1"/>
  <c r="J129" i="44"/>
  <c r="H129" i="44" a="1"/>
  <c r="H129" i="44" s="1"/>
  <c r="G129" i="44"/>
  <c r="F129" i="44"/>
  <c r="R128" i="44"/>
  <c r="N128" i="44"/>
  <c r="O128" i="44" s="1"/>
  <c r="P128" i="44" s="1"/>
  <c r="J128" i="44"/>
  <c r="H128" i="44"/>
  <c r="I128" i="44" s="1"/>
  <c r="H128" i="44" a="1"/>
  <c r="G128" i="44"/>
  <c r="F128" i="44"/>
  <c r="R127" i="44"/>
  <c r="N127" i="44"/>
  <c r="O127" i="44" s="1"/>
  <c r="P127" i="44" s="1"/>
  <c r="J127" i="44"/>
  <c r="K127" i="44" s="1"/>
  <c r="L127" i="44" s="1"/>
  <c r="H127" i="44" a="1"/>
  <c r="H127" i="44" s="1"/>
  <c r="G127" i="44"/>
  <c r="F127" i="44"/>
  <c r="R126" i="44"/>
  <c r="O126" i="44"/>
  <c r="P126" i="44" s="1"/>
  <c r="N126" i="44"/>
  <c r="J126" i="44"/>
  <c r="H126" i="44"/>
  <c r="H126" i="44" a="1"/>
  <c r="G126" i="44"/>
  <c r="F126" i="44"/>
  <c r="R125" i="44"/>
  <c r="N125" i="44"/>
  <c r="O125" i="44" s="1"/>
  <c r="P125" i="44" s="1"/>
  <c r="J125" i="44"/>
  <c r="K125" i="44" s="1"/>
  <c r="L125" i="44" s="1"/>
  <c r="H125" i="44"/>
  <c r="I125" i="44" s="1"/>
  <c r="H125" i="44" a="1"/>
  <c r="G125" i="44"/>
  <c r="F125" i="44"/>
  <c r="S124" i="44"/>
  <c r="T124" i="44" s="1"/>
  <c r="R124" i="44"/>
  <c r="P124" i="44"/>
  <c r="O124" i="44"/>
  <c r="N124" i="44"/>
  <c r="J124" i="44"/>
  <c r="H124" i="44" a="1"/>
  <c r="H124" i="44" s="1"/>
  <c r="G124" i="44"/>
  <c r="K124" i="44" s="1"/>
  <c r="L124" i="44" s="1"/>
  <c r="F124" i="44"/>
  <c r="R123" i="44"/>
  <c r="N123" i="44"/>
  <c r="O123" i="44" s="1"/>
  <c r="P123" i="44" s="1"/>
  <c r="J123" i="44"/>
  <c r="I123" i="44"/>
  <c r="H123" i="44" a="1"/>
  <c r="H123" i="44" s="1"/>
  <c r="V123" i="44" s="1" a="1"/>
  <c r="V123" i="44" s="1"/>
  <c r="G123" i="44"/>
  <c r="K123" i="44" s="1"/>
  <c r="L123" i="44" s="1"/>
  <c r="F123" i="44"/>
  <c r="R122" i="44"/>
  <c r="N122" i="44"/>
  <c r="O122" i="44" s="1"/>
  <c r="P122" i="44" s="1"/>
  <c r="K122" i="44"/>
  <c r="L122" i="44" s="1"/>
  <c r="J122" i="44"/>
  <c r="H122" i="44" a="1"/>
  <c r="H122" i="44" s="1"/>
  <c r="G122" i="44"/>
  <c r="S122" i="44" s="1"/>
  <c r="T122" i="44" s="1"/>
  <c r="F122" i="44"/>
  <c r="R121" i="44"/>
  <c r="O121" i="44"/>
  <c r="P121" i="44" s="1"/>
  <c r="N121" i="44"/>
  <c r="J121" i="44"/>
  <c r="H121" i="44" a="1"/>
  <c r="H121" i="44" s="1"/>
  <c r="V121" i="44" s="1" a="1"/>
  <c r="V121" i="44" s="1"/>
  <c r="G121" i="44"/>
  <c r="S121" i="44" s="1"/>
  <c r="T121" i="44" s="1"/>
  <c r="F121" i="44"/>
  <c r="R120" i="44"/>
  <c r="N120" i="44"/>
  <c r="O120" i="44" s="1"/>
  <c r="P120" i="44" s="1"/>
  <c r="K120" i="44"/>
  <c r="L120" i="44" s="1"/>
  <c r="J120" i="44"/>
  <c r="H120" i="44" a="1"/>
  <c r="H120" i="44" s="1"/>
  <c r="G120" i="44"/>
  <c r="F120" i="44"/>
  <c r="R119" i="44"/>
  <c r="O119" i="44"/>
  <c r="P119" i="44" s="1"/>
  <c r="N119" i="44"/>
  <c r="J119" i="44"/>
  <c r="H119" i="44" a="1"/>
  <c r="H119" i="44" s="1"/>
  <c r="V119" i="44" s="1" a="1"/>
  <c r="V119" i="44" s="1"/>
  <c r="G119" i="44"/>
  <c r="K119" i="44" s="1"/>
  <c r="L119" i="44" s="1"/>
  <c r="F119" i="44"/>
  <c r="R118" i="44"/>
  <c r="S118" i="44" s="1"/>
  <c r="T118" i="44" s="1"/>
  <c r="N118" i="44"/>
  <c r="O118" i="44" s="1"/>
  <c r="P118" i="44" s="1"/>
  <c r="J118" i="44"/>
  <c r="K118" i="44" s="1"/>
  <c r="L118" i="44" s="1"/>
  <c r="H118" i="44" a="1"/>
  <c r="H118" i="44" s="1"/>
  <c r="G118" i="44"/>
  <c r="F118" i="44"/>
  <c r="R117" i="44"/>
  <c r="N117" i="44"/>
  <c r="O117" i="44" s="1"/>
  <c r="P117" i="44" s="1"/>
  <c r="J117" i="44"/>
  <c r="H117" i="44" a="1"/>
  <c r="H117" i="44" s="1"/>
  <c r="V117" i="44" s="1" a="1"/>
  <c r="V117" i="44" s="1"/>
  <c r="G117" i="44"/>
  <c r="F117" i="44"/>
  <c r="V116" i="44" a="1"/>
  <c r="V116" i="44" s="1"/>
  <c r="R116" i="44"/>
  <c r="N116" i="44"/>
  <c r="O116" i="44" s="1"/>
  <c r="P116" i="44" s="1"/>
  <c r="J116" i="44"/>
  <c r="H116" i="44" a="1"/>
  <c r="H116" i="44" s="1"/>
  <c r="I116" i="44" s="1"/>
  <c r="G116" i="44"/>
  <c r="K116" i="44" s="1"/>
  <c r="L116" i="44" s="1"/>
  <c r="F116" i="44"/>
  <c r="S115" i="44"/>
  <c r="T115" i="44" s="1"/>
  <c r="R115" i="44"/>
  <c r="N115" i="44"/>
  <c r="O115" i="44" s="1"/>
  <c r="P115" i="44" s="1"/>
  <c r="J115" i="44"/>
  <c r="H115" i="44" a="1"/>
  <c r="H115" i="44" s="1"/>
  <c r="V115" i="44" s="1" a="1"/>
  <c r="V115" i="44" s="1"/>
  <c r="W115" i="44" s="1" a="1"/>
  <c r="W115" i="44" s="1"/>
  <c r="G115" i="44"/>
  <c r="K115" i="44" s="1"/>
  <c r="L115" i="44" s="1"/>
  <c r="F115" i="44"/>
  <c r="R114" i="44"/>
  <c r="N114" i="44"/>
  <c r="O114" i="44" s="1"/>
  <c r="P114" i="44" s="1"/>
  <c r="J114" i="44"/>
  <c r="H114" i="44" a="1"/>
  <c r="H114" i="44" s="1"/>
  <c r="G114" i="44"/>
  <c r="S114" i="44" s="1"/>
  <c r="T114" i="44" s="1"/>
  <c r="F114" i="44"/>
  <c r="R113" i="44"/>
  <c r="O113" i="44"/>
  <c r="P113" i="44" s="1"/>
  <c r="N113" i="44"/>
  <c r="J113" i="44"/>
  <c r="H113" i="44" a="1"/>
  <c r="H113" i="44" s="1"/>
  <c r="V113" i="44" s="1" a="1"/>
  <c r="V113" i="44" s="1"/>
  <c r="W113" i="44" s="1" a="1"/>
  <c r="W113" i="44" s="1"/>
  <c r="G113" i="44"/>
  <c r="F113" i="44"/>
  <c r="R112" i="44"/>
  <c r="N112" i="44"/>
  <c r="O112" i="44" s="1"/>
  <c r="P112" i="44" s="1"/>
  <c r="J112" i="44"/>
  <c r="H112" i="44" a="1"/>
  <c r="H112" i="44" s="1"/>
  <c r="G112" i="44"/>
  <c r="F112" i="44"/>
  <c r="R111" i="44"/>
  <c r="N111" i="44"/>
  <c r="O111" i="44" s="1"/>
  <c r="P111" i="44" s="1"/>
  <c r="J111" i="44"/>
  <c r="H111" i="44" a="1"/>
  <c r="H111" i="44" s="1"/>
  <c r="V111" i="44" s="1" a="1"/>
  <c r="V111" i="44" s="1"/>
  <c r="W111" i="44" s="1" a="1"/>
  <c r="W111" i="44" s="1"/>
  <c r="G111" i="44"/>
  <c r="S111" i="44" s="1"/>
  <c r="T111" i="44" s="1"/>
  <c r="F111" i="44"/>
  <c r="R110" i="44"/>
  <c r="N110" i="44"/>
  <c r="O110" i="44" s="1"/>
  <c r="P110" i="44" s="1"/>
  <c r="K110" i="44"/>
  <c r="L110" i="44" s="1"/>
  <c r="J110" i="44"/>
  <c r="H110" i="44" a="1"/>
  <c r="H110" i="44" s="1"/>
  <c r="G110" i="44"/>
  <c r="S110" i="44" s="1"/>
  <c r="T110" i="44" s="1"/>
  <c r="F110" i="44"/>
  <c r="R109" i="44"/>
  <c r="S109" i="44" s="1"/>
  <c r="T109" i="44" s="1"/>
  <c r="N109" i="44"/>
  <c r="O109" i="44" s="1"/>
  <c r="P109" i="44" s="1"/>
  <c r="J109" i="44"/>
  <c r="H109" i="44" a="1"/>
  <c r="H109" i="44" s="1"/>
  <c r="V109" i="44" s="1" a="1"/>
  <c r="V109" i="44" s="1"/>
  <c r="W109" i="44" s="1" a="1"/>
  <c r="W109" i="44" s="1"/>
  <c r="G109" i="44"/>
  <c r="F109" i="44"/>
  <c r="R108" i="44"/>
  <c r="N108" i="44"/>
  <c r="O108" i="44" s="1"/>
  <c r="P108" i="44" s="1"/>
  <c r="J108" i="44"/>
  <c r="K108" i="44" s="1"/>
  <c r="L108" i="44" s="1"/>
  <c r="H108" i="44" a="1"/>
  <c r="H108" i="44" s="1"/>
  <c r="I108" i="44" s="1"/>
  <c r="G108" i="44"/>
  <c r="F108" i="44"/>
  <c r="R107" i="44"/>
  <c r="N107" i="44"/>
  <c r="O107" i="44" s="1"/>
  <c r="P107" i="44" s="1"/>
  <c r="J107" i="44"/>
  <c r="I107" i="44"/>
  <c r="H107" i="44" a="1"/>
  <c r="H107" i="44" s="1"/>
  <c r="V107" i="44" s="1" a="1"/>
  <c r="V107" i="44" s="1"/>
  <c r="W107" i="44" s="1" a="1"/>
  <c r="W107" i="44" s="1"/>
  <c r="G107" i="44"/>
  <c r="F107" i="44"/>
  <c r="R106" i="44"/>
  <c r="N106" i="44"/>
  <c r="O106" i="44" s="1"/>
  <c r="P106" i="44" s="1"/>
  <c r="J106" i="44"/>
  <c r="K106" i="44" s="1"/>
  <c r="L106" i="44" s="1"/>
  <c r="H106" i="44" a="1"/>
  <c r="H106" i="44" s="1"/>
  <c r="I106" i="44" s="1"/>
  <c r="G106" i="44"/>
  <c r="S106" i="44" s="1"/>
  <c r="T106" i="44" s="1"/>
  <c r="F106" i="44"/>
  <c r="R105" i="44"/>
  <c r="N105" i="44"/>
  <c r="O105" i="44" s="1"/>
  <c r="P105" i="44" s="1"/>
  <c r="J105" i="44"/>
  <c r="H105" i="44" a="1"/>
  <c r="H105" i="44" s="1"/>
  <c r="V105" i="44" s="1" a="1"/>
  <c r="V105" i="44" s="1"/>
  <c r="W105" i="44" s="1" a="1"/>
  <c r="W105" i="44" s="1"/>
  <c r="G105" i="44"/>
  <c r="F105" i="44"/>
  <c r="R104" i="44"/>
  <c r="N104" i="44"/>
  <c r="O104" i="44" s="1"/>
  <c r="P104" i="44" s="1"/>
  <c r="J104" i="44"/>
  <c r="H104" i="44" a="1"/>
  <c r="H104" i="44" s="1"/>
  <c r="I104" i="44" s="1"/>
  <c r="G104" i="44"/>
  <c r="S104" i="44" s="1"/>
  <c r="T104" i="44" s="1"/>
  <c r="F104" i="44"/>
  <c r="R103" i="44"/>
  <c r="N103" i="44"/>
  <c r="O103" i="44" s="1"/>
  <c r="P103" i="44" s="1"/>
  <c r="J103" i="44"/>
  <c r="I103" i="44"/>
  <c r="H103" i="44" a="1"/>
  <c r="H103" i="44" s="1"/>
  <c r="V103" i="44" s="1" a="1"/>
  <c r="V103" i="44" s="1"/>
  <c r="W103" i="44" s="1" a="1"/>
  <c r="W103" i="44" s="1"/>
  <c r="G103" i="44"/>
  <c r="K103" i="44" s="1"/>
  <c r="L103" i="44" s="1"/>
  <c r="F103" i="44"/>
  <c r="R102" i="44"/>
  <c r="N102" i="44"/>
  <c r="O102" i="44" s="1"/>
  <c r="P102" i="44" s="1"/>
  <c r="J102" i="44"/>
  <c r="K102" i="44" s="1"/>
  <c r="L102" i="44" s="1"/>
  <c r="H102" i="44" a="1"/>
  <c r="H102" i="44" s="1"/>
  <c r="V102" i="44" s="1" a="1"/>
  <c r="V102" i="44" s="1"/>
  <c r="W102" i="44" s="1" a="1"/>
  <c r="W102" i="44" s="1"/>
  <c r="G102" i="44"/>
  <c r="F102" i="44"/>
  <c r="R101" i="44"/>
  <c r="N101" i="44"/>
  <c r="O101" i="44" s="1"/>
  <c r="P101" i="44" s="1"/>
  <c r="J101" i="44"/>
  <c r="I101" i="44"/>
  <c r="H101" i="44" a="1"/>
  <c r="H101" i="44" s="1"/>
  <c r="V101" i="44" s="1" a="1"/>
  <c r="V101" i="44" s="1"/>
  <c r="W101" i="44" s="1" a="1"/>
  <c r="W101" i="44" s="1"/>
  <c r="G101" i="44"/>
  <c r="F101" i="44"/>
  <c r="R100" i="44"/>
  <c r="N100" i="44"/>
  <c r="O100" i="44" s="1"/>
  <c r="P100" i="44" s="1"/>
  <c r="J100" i="44"/>
  <c r="K100" i="44" s="1"/>
  <c r="L100" i="44" s="1"/>
  <c r="H100" i="44" a="1"/>
  <c r="H100" i="44" s="1"/>
  <c r="G100" i="44"/>
  <c r="F100" i="44"/>
  <c r="R99" i="44"/>
  <c r="N99" i="44"/>
  <c r="O99" i="44" s="1"/>
  <c r="P99" i="44" s="1"/>
  <c r="J99" i="44"/>
  <c r="I99" i="44"/>
  <c r="H99" i="44" a="1"/>
  <c r="H99" i="44" s="1"/>
  <c r="V99" i="44" s="1" a="1"/>
  <c r="V99" i="44" s="1"/>
  <c r="W99" i="44" s="1" a="1"/>
  <c r="W99" i="44" s="1"/>
  <c r="G99" i="44"/>
  <c r="F99" i="44"/>
  <c r="R98" i="44"/>
  <c r="N98" i="44"/>
  <c r="O98" i="44" s="1"/>
  <c r="P98" i="44" s="1"/>
  <c r="J98" i="44"/>
  <c r="K98" i="44" s="1"/>
  <c r="L98" i="44" s="1"/>
  <c r="H98" i="44" a="1"/>
  <c r="H98" i="44" s="1"/>
  <c r="I98" i="44" s="1"/>
  <c r="G98" i="44"/>
  <c r="S98" i="44" s="1"/>
  <c r="T98" i="44" s="1"/>
  <c r="F98" i="44"/>
  <c r="R97" i="44"/>
  <c r="N97" i="44"/>
  <c r="O97" i="44" s="1"/>
  <c r="P97" i="44" s="1"/>
  <c r="J97" i="44"/>
  <c r="H97" i="44" a="1"/>
  <c r="H97" i="44" s="1"/>
  <c r="V97" i="44" s="1" a="1"/>
  <c r="V97" i="44" s="1"/>
  <c r="W97" i="44" s="1" a="1"/>
  <c r="W97" i="44" s="1"/>
  <c r="G97" i="44"/>
  <c r="K97" i="44" s="1"/>
  <c r="L97" i="44" s="1"/>
  <c r="F97" i="44"/>
  <c r="R96" i="44"/>
  <c r="N96" i="44"/>
  <c r="O96" i="44" s="1"/>
  <c r="P96" i="44" s="1"/>
  <c r="J96" i="44"/>
  <c r="H96" i="44" a="1"/>
  <c r="H96" i="44" s="1"/>
  <c r="I96" i="44" s="1"/>
  <c r="G96" i="44"/>
  <c r="S96" i="44" s="1"/>
  <c r="T96" i="44" s="1"/>
  <c r="F96" i="44"/>
  <c r="R95" i="44"/>
  <c r="N95" i="44"/>
  <c r="O95" i="44" s="1"/>
  <c r="P95" i="44" s="1"/>
  <c r="J95" i="44"/>
  <c r="I95" i="44"/>
  <c r="H95" i="44" a="1"/>
  <c r="H95" i="44" s="1"/>
  <c r="V95" i="44" s="1" a="1"/>
  <c r="V95" i="44" s="1"/>
  <c r="W95" i="44" s="1" a="1"/>
  <c r="W95" i="44" s="1"/>
  <c r="G95" i="44"/>
  <c r="K95" i="44" s="1"/>
  <c r="L95" i="44" s="1"/>
  <c r="F95" i="44"/>
  <c r="R94" i="44"/>
  <c r="N94" i="44"/>
  <c r="O94" i="44" s="1"/>
  <c r="P94" i="44" s="1"/>
  <c r="K94" i="44"/>
  <c r="L94" i="44" s="1"/>
  <c r="J94" i="44"/>
  <c r="H94" i="44" a="1"/>
  <c r="H94" i="44" s="1"/>
  <c r="G94" i="44"/>
  <c r="F94" i="44"/>
  <c r="R93" i="44"/>
  <c r="N93" i="44"/>
  <c r="O93" i="44" s="1"/>
  <c r="P93" i="44" s="1"/>
  <c r="J93" i="44"/>
  <c r="I93" i="44"/>
  <c r="X93" i="44" s="1" a="1"/>
  <c r="X93" i="44" s="1"/>
  <c r="H93" i="44" a="1"/>
  <c r="H93" i="44" s="1"/>
  <c r="V93" i="44" s="1" a="1"/>
  <c r="V93" i="44" s="1"/>
  <c r="W93" i="44" s="1" a="1"/>
  <c r="W93" i="44" s="1"/>
  <c r="G93" i="44"/>
  <c r="F93" i="44"/>
  <c r="R92" i="44"/>
  <c r="N92" i="44"/>
  <c r="O92" i="44" s="1"/>
  <c r="P92" i="44" s="1"/>
  <c r="J92" i="44"/>
  <c r="K92" i="44" s="1"/>
  <c r="L92" i="44" s="1"/>
  <c r="H92" i="44" a="1"/>
  <c r="H92" i="44" s="1"/>
  <c r="G92" i="44"/>
  <c r="F92" i="44"/>
  <c r="R91" i="44"/>
  <c r="N91" i="44"/>
  <c r="O91" i="44" s="1"/>
  <c r="P91" i="44" s="1"/>
  <c r="K91" i="44"/>
  <c r="L91" i="44" s="1"/>
  <c r="J91" i="44"/>
  <c r="H91" i="44" a="1"/>
  <c r="H91" i="44" s="1"/>
  <c r="I91" i="44" s="1"/>
  <c r="G91" i="44"/>
  <c r="S91" i="44" s="1"/>
  <c r="T91" i="44" s="1"/>
  <c r="F91" i="44"/>
  <c r="V90" i="44" a="1"/>
  <c r="V90" i="44" s="1"/>
  <c r="R90" i="44"/>
  <c r="N90" i="44"/>
  <c r="O90" i="44" s="1"/>
  <c r="P90" i="44" s="1"/>
  <c r="J90" i="44"/>
  <c r="H90" i="44" a="1"/>
  <c r="H90" i="44" s="1"/>
  <c r="I90" i="44" s="1"/>
  <c r="G90" i="44"/>
  <c r="F90" i="44"/>
  <c r="R89" i="44"/>
  <c r="O89" i="44"/>
  <c r="P89" i="44" s="1"/>
  <c r="N89" i="44"/>
  <c r="J89" i="44"/>
  <c r="I89" i="44"/>
  <c r="H89" i="44" a="1"/>
  <c r="H89" i="44" s="1"/>
  <c r="V89" i="44" s="1" a="1"/>
  <c r="V89" i="44" s="1"/>
  <c r="W89" i="44" s="1" a="1"/>
  <c r="W89" i="44" s="1"/>
  <c r="X89" i="44" s="1" a="1"/>
  <c r="X89" i="44" s="1"/>
  <c r="G89" i="44"/>
  <c r="K89" i="44" s="1"/>
  <c r="L89" i="44" s="1"/>
  <c r="F89" i="44"/>
  <c r="R88" i="44"/>
  <c r="P88" i="44"/>
  <c r="N88" i="44"/>
  <c r="O88" i="44" s="1"/>
  <c r="J88" i="44"/>
  <c r="K88" i="44" s="1"/>
  <c r="L88" i="44" s="1"/>
  <c r="H88" i="44" a="1"/>
  <c r="H88" i="44" s="1"/>
  <c r="G88" i="44"/>
  <c r="S88" i="44" s="1"/>
  <c r="T88" i="44" s="1"/>
  <c r="F88" i="44"/>
  <c r="R87" i="44"/>
  <c r="N87" i="44"/>
  <c r="O87" i="44" s="1"/>
  <c r="P87" i="44" s="1"/>
  <c r="J87" i="44"/>
  <c r="H87" i="44" a="1"/>
  <c r="H87" i="44" s="1"/>
  <c r="V87" i="44" s="1" a="1"/>
  <c r="V87" i="44" s="1"/>
  <c r="G87" i="44"/>
  <c r="K87" i="44" s="1"/>
  <c r="L87" i="44" s="1"/>
  <c r="F87" i="44"/>
  <c r="V86" i="44" a="1"/>
  <c r="V86" i="44" s="1"/>
  <c r="W86" i="44" s="1" a="1"/>
  <c r="W86" i="44" s="1"/>
  <c r="X86" i="44" s="1" a="1"/>
  <c r="X86" i="44" s="1"/>
  <c r="R86" i="44"/>
  <c r="N86" i="44"/>
  <c r="O86" i="44" s="1"/>
  <c r="P86" i="44" s="1"/>
  <c r="J86" i="44"/>
  <c r="H86" i="44" a="1"/>
  <c r="H86" i="44" s="1"/>
  <c r="I86" i="44" s="1"/>
  <c r="G86" i="44"/>
  <c r="S86" i="44" s="1"/>
  <c r="T86" i="44" s="1"/>
  <c r="F86" i="44"/>
  <c r="V85" i="44" a="1"/>
  <c r="V85" i="44" s="1"/>
  <c r="W85" i="44" s="1" a="1"/>
  <c r="W85" i="44" s="1"/>
  <c r="R85" i="44"/>
  <c r="O85" i="44"/>
  <c r="P85" i="44" s="1"/>
  <c r="N85" i="44"/>
  <c r="J85" i="44"/>
  <c r="H85" i="44" a="1"/>
  <c r="H85" i="44" s="1"/>
  <c r="I85" i="44" s="1"/>
  <c r="G85" i="44"/>
  <c r="F85" i="44"/>
  <c r="R84" i="44"/>
  <c r="N84" i="44"/>
  <c r="O84" i="44" s="1"/>
  <c r="P84" i="44" s="1"/>
  <c r="J84" i="44"/>
  <c r="H84" i="44" a="1"/>
  <c r="H84" i="44" s="1"/>
  <c r="I84" i="44" s="1"/>
  <c r="G84" i="44"/>
  <c r="F84" i="44"/>
  <c r="V83" i="44" a="1"/>
  <c r="V83" i="44" s="1"/>
  <c r="W83" i="44" s="1" a="1"/>
  <c r="W83" i="44" s="1"/>
  <c r="X83" i="44" s="1" a="1"/>
  <c r="X83" i="44" s="1"/>
  <c r="R83" i="44"/>
  <c r="P83" i="44"/>
  <c r="O83" i="44"/>
  <c r="N83" i="44"/>
  <c r="J83" i="44"/>
  <c r="H83" i="44" a="1"/>
  <c r="H83" i="44" s="1"/>
  <c r="I83" i="44" s="1"/>
  <c r="G83" i="44"/>
  <c r="F83" i="44"/>
  <c r="R82" i="44"/>
  <c r="O82" i="44"/>
  <c r="P82" i="44" s="1"/>
  <c r="N82" i="44"/>
  <c r="K82" i="44"/>
  <c r="L82" i="44" s="1"/>
  <c r="J82" i="44"/>
  <c r="H82" i="44" a="1"/>
  <c r="H82" i="44" s="1"/>
  <c r="I82" i="44" s="1"/>
  <c r="G82" i="44"/>
  <c r="F82" i="44"/>
  <c r="W81" i="44"/>
  <c r="R81" i="44"/>
  <c r="O81" i="44"/>
  <c r="P81" i="44" s="1"/>
  <c r="N81" i="44"/>
  <c r="J81" i="44"/>
  <c r="I81" i="44"/>
  <c r="H81" i="44" a="1"/>
  <c r="H81" i="44" s="1"/>
  <c r="V81" i="44" s="1" a="1"/>
  <c r="V81" i="44" s="1"/>
  <c r="W81" i="44" s="1" a="1"/>
  <c r="G81" i="44"/>
  <c r="K81" i="44" s="1"/>
  <c r="L81" i="44" s="1"/>
  <c r="F81" i="44"/>
  <c r="R80" i="44"/>
  <c r="N80" i="44"/>
  <c r="O80" i="44" s="1"/>
  <c r="P80" i="44" s="1"/>
  <c r="J80" i="44"/>
  <c r="H80" i="44" a="1"/>
  <c r="H80" i="44" s="1"/>
  <c r="I80" i="44" s="1"/>
  <c r="G80" i="44"/>
  <c r="F80" i="44"/>
  <c r="S79" i="44"/>
  <c r="T79" i="44" s="1"/>
  <c r="R79" i="44"/>
  <c r="O79" i="44"/>
  <c r="P79" i="44" s="1"/>
  <c r="N79" i="44"/>
  <c r="J79" i="44"/>
  <c r="H79" i="44" a="1"/>
  <c r="H79" i="44" s="1"/>
  <c r="V79" i="44" s="1" a="1"/>
  <c r="V79" i="44" s="1"/>
  <c r="G79" i="44"/>
  <c r="F79" i="44"/>
  <c r="R78" i="44"/>
  <c r="N78" i="44"/>
  <c r="O78" i="44" s="1"/>
  <c r="P78" i="44" s="1"/>
  <c r="J78" i="44"/>
  <c r="H78" i="44" a="1"/>
  <c r="H78" i="44" s="1"/>
  <c r="I78" i="44" s="1"/>
  <c r="G78" i="44"/>
  <c r="F78" i="44"/>
  <c r="R77" i="44"/>
  <c r="N77" i="44"/>
  <c r="O77" i="44" s="1"/>
  <c r="P77" i="44" s="1"/>
  <c r="J77" i="44"/>
  <c r="K77" i="44" s="1"/>
  <c r="L77" i="44" s="1"/>
  <c r="I77" i="44"/>
  <c r="H77" i="44" a="1"/>
  <c r="H77" i="44" s="1"/>
  <c r="V77" i="44" s="1" a="1"/>
  <c r="V77" i="44" s="1"/>
  <c r="W77" i="44" s="1" a="1"/>
  <c r="W77" i="44" s="1"/>
  <c r="G77" i="44"/>
  <c r="F77" i="44"/>
  <c r="R76" i="44"/>
  <c r="N76" i="44"/>
  <c r="O76" i="44" s="1"/>
  <c r="P76" i="44" s="1"/>
  <c r="J76" i="44"/>
  <c r="H76" i="44" a="1"/>
  <c r="H76" i="44" s="1"/>
  <c r="I76" i="44" s="1"/>
  <c r="G76" i="44"/>
  <c r="S76" i="44" s="1"/>
  <c r="T76" i="44" s="1"/>
  <c r="F76" i="44"/>
  <c r="R75" i="44"/>
  <c r="N75" i="44"/>
  <c r="O75" i="44" s="1"/>
  <c r="P75" i="44" s="1"/>
  <c r="J75" i="44"/>
  <c r="H75" i="44" a="1"/>
  <c r="H75" i="44" s="1"/>
  <c r="G75" i="44"/>
  <c r="S75" i="44" s="1"/>
  <c r="T75" i="44" s="1"/>
  <c r="F75" i="44"/>
  <c r="R74" i="44"/>
  <c r="N74" i="44"/>
  <c r="O74" i="44" s="1"/>
  <c r="P74" i="44" s="1"/>
  <c r="J74" i="44"/>
  <c r="H74" i="44" a="1"/>
  <c r="H74" i="44" s="1"/>
  <c r="I74" i="44" s="1"/>
  <c r="G74" i="44"/>
  <c r="F74" i="44"/>
  <c r="R73" i="44"/>
  <c r="O73" i="44"/>
  <c r="P73" i="44" s="1"/>
  <c r="N73" i="44"/>
  <c r="J73" i="44"/>
  <c r="H73" i="44" a="1"/>
  <c r="H73" i="44" s="1"/>
  <c r="V73" i="44" s="1" a="1"/>
  <c r="V73" i="44" s="1"/>
  <c r="G73" i="44"/>
  <c r="F73" i="44"/>
  <c r="R72" i="44"/>
  <c r="N72" i="44"/>
  <c r="O72" i="44" s="1"/>
  <c r="P72" i="44" s="1"/>
  <c r="J72" i="44"/>
  <c r="K72" i="44" s="1"/>
  <c r="L72" i="44" s="1"/>
  <c r="H72" i="44" a="1"/>
  <c r="H72" i="44" s="1"/>
  <c r="I72" i="44" s="1"/>
  <c r="G72" i="44"/>
  <c r="S72" i="44" s="1"/>
  <c r="T72" i="44" s="1"/>
  <c r="F72" i="44"/>
  <c r="S71" i="44"/>
  <c r="T71" i="44" s="1"/>
  <c r="R71" i="44"/>
  <c r="N71" i="44"/>
  <c r="O71" i="44" s="1"/>
  <c r="P71" i="44" s="1"/>
  <c r="J71" i="44"/>
  <c r="H71" i="44" a="1"/>
  <c r="H71" i="44" s="1"/>
  <c r="I71" i="44" s="1"/>
  <c r="G71" i="44"/>
  <c r="F71" i="44"/>
  <c r="R70" i="44"/>
  <c r="N70" i="44"/>
  <c r="O70" i="44" s="1"/>
  <c r="P70" i="44" s="1"/>
  <c r="J70" i="44"/>
  <c r="H70" i="44" a="1"/>
  <c r="H70" i="44" s="1"/>
  <c r="I70" i="44" s="1"/>
  <c r="G70" i="44"/>
  <c r="F70" i="44"/>
  <c r="R69" i="44"/>
  <c r="O69" i="44"/>
  <c r="P69" i="44" s="1"/>
  <c r="N69" i="44"/>
  <c r="J69" i="44"/>
  <c r="H69" i="44" a="1"/>
  <c r="H69" i="44" s="1"/>
  <c r="V69" i="44" s="1" a="1"/>
  <c r="V69" i="44" s="1"/>
  <c r="G69" i="44"/>
  <c r="F69" i="44"/>
  <c r="R68" i="44"/>
  <c r="N68" i="44"/>
  <c r="O68" i="44" s="1"/>
  <c r="P68" i="44" s="1"/>
  <c r="J68" i="44"/>
  <c r="H68" i="44" a="1"/>
  <c r="H68" i="44" s="1"/>
  <c r="I68" i="44" s="1"/>
  <c r="G68" i="44"/>
  <c r="S68" i="44" s="1"/>
  <c r="T68" i="44" s="1"/>
  <c r="F68" i="44"/>
  <c r="R67" i="44"/>
  <c r="P67" i="44"/>
  <c r="O67" i="44"/>
  <c r="N67" i="44"/>
  <c r="J67" i="44"/>
  <c r="H67" i="44" a="1"/>
  <c r="H67" i="44" s="1"/>
  <c r="I67" i="44" s="1"/>
  <c r="G67" i="44"/>
  <c r="S67" i="44" s="1"/>
  <c r="T67" i="44" s="1"/>
  <c r="F67" i="44"/>
  <c r="R66" i="44"/>
  <c r="O66" i="44"/>
  <c r="P66" i="44" s="1"/>
  <c r="N66" i="44"/>
  <c r="J66" i="44"/>
  <c r="H66" i="44" a="1"/>
  <c r="H66" i="44" s="1"/>
  <c r="G66" i="44"/>
  <c r="F66" i="44"/>
  <c r="R65" i="44"/>
  <c r="N65" i="44"/>
  <c r="O65" i="44" s="1"/>
  <c r="P65" i="44" s="1"/>
  <c r="J65" i="44"/>
  <c r="H65" i="44" a="1"/>
  <c r="H65" i="44" s="1"/>
  <c r="V65" i="44" s="1" a="1"/>
  <c r="V65" i="44" s="1"/>
  <c r="W65" i="44" s="1" a="1"/>
  <c r="W65" i="44" s="1"/>
  <c r="G65" i="44"/>
  <c r="K65" i="44" s="1"/>
  <c r="L65" i="44" s="1"/>
  <c r="F65" i="44"/>
  <c r="R64" i="44"/>
  <c r="N64" i="44"/>
  <c r="O64" i="44" s="1"/>
  <c r="P64" i="44" s="1"/>
  <c r="J64" i="44"/>
  <c r="H64" i="44" a="1"/>
  <c r="H64" i="44" s="1"/>
  <c r="G64" i="44"/>
  <c r="F64" i="44"/>
  <c r="S63" i="44"/>
  <c r="T63" i="44" s="1"/>
  <c r="R63" i="44"/>
  <c r="P63" i="44"/>
  <c r="N63" i="44"/>
  <c r="O63" i="44" s="1"/>
  <c r="J63" i="44"/>
  <c r="H63" i="44" a="1"/>
  <c r="H63" i="44" s="1"/>
  <c r="V63" i="44" s="1" a="1"/>
  <c r="V63" i="44" s="1"/>
  <c r="G63" i="44"/>
  <c r="K63" i="44" s="1"/>
  <c r="L63" i="44" s="1"/>
  <c r="F63" i="44"/>
  <c r="R62" i="44"/>
  <c r="O62" i="44"/>
  <c r="P62" i="44" s="1"/>
  <c r="N62" i="44"/>
  <c r="J62" i="44"/>
  <c r="H62" i="44" a="1"/>
  <c r="H62" i="44" s="1"/>
  <c r="G62" i="44"/>
  <c r="F62" i="44"/>
  <c r="R61" i="44"/>
  <c r="O61" i="44"/>
  <c r="P61" i="44" s="1"/>
  <c r="N61" i="44"/>
  <c r="J61" i="44"/>
  <c r="H61" i="44" a="1"/>
  <c r="H61" i="44" s="1"/>
  <c r="V61" i="44" s="1" a="1"/>
  <c r="V61" i="44" s="1"/>
  <c r="W61" i="44" s="1" a="1"/>
  <c r="W61" i="44" s="1"/>
  <c r="G61" i="44"/>
  <c r="K61" i="44" s="1"/>
  <c r="L61" i="44" s="1"/>
  <c r="F61" i="44"/>
  <c r="R60" i="44"/>
  <c r="P60" i="44"/>
  <c r="N60" i="44"/>
  <c r="O60" i="44" s="1"/>
  <c r="J60" i="44"/>
  <c r="H60" i="44" a="1"/>
  <c r="H60" i="44" s="1"/>
  <c r="G60" i="44"/>
  <c r="F60" i="44"/>
  <c r="R59" i="44"/>
  <c r="S59" i="44" s="1"/>
  <c r="T59" i="44" s="1"/>
  <c r="P59" i="44"/>
  <c r="N59" i="44"/>
  <c r="O59" i="44" s="1"/>
  <c r="J59" i="44"/>
  <c r="H59" i="44" a="1"/>
  <c r="H59" i="44" s="1"/>
  <c r="G59" i="44"/>
  <c r="K59" i="44" s="1"/>
  <c r="L59" i="44" s="1"/>
  <c r="F59" i="44"/>
  <c r="R58" i="44"/>
  <c r="N58" i="44"/>
  <c r="O58" i="44" s="1"/>
  <c r="P58" i="44" s="1"/>
  <c r="J58" i="44"/>
  <c r="H58" i="44" a="1"/>
  <c r="H58" i="44" s="1"/>
  <c r="I58" i="44" s="1"/>
  <c r="G58" i="44"/>
  <c r="F58" i="44"/>
  <c r="R57" i="44"/>
  <c r="N57" i="44"/>
  <c r="O57" i="44" s="1"/>
  <c r="P57" i="44" s="1"/>
  <c r="J57" i="44"/>
  <c r="H57" i="44" a="1"/>
  <c r="H57" i="44" s="1"/>
  <c r="G57" i="44"/>
  <c r="F57" i="44"/>
  <c r="R56" i="44"/>
  <c r="N56" i="44"/>
  <c r="O56" i="44" s="1"/>
  <c r="P56" i="44" s="1"/>
  <c r="J56" i="44"/>
  <c r="H56" i="44" a="1"/>
  <c r="H56" i="44" s="1"/>
  <c r="I56" i="44" s="1"/>
  <c r="G56" i="44"/>
  <c r="F56" i="44"/>
  <c r="R55" i="44"/>
  <c r="N55" i="44"/>
  <c r="O55" i="44" s="1"/>
  <c r="P55" i="44" s="1"/>
  <c r="K55" i="44"/>
  <c r="L55" i="44" s="1"/>
  <c r="J55" i="44"/>
  <c r="H55" i="44" a="1"/>
  <c r="H55" i="44" s="1"/>
  <c r="V55" i="44" s="1" a="1"/>
  <c r="V55" i="44" s="1"/>
  <c r="G55" i="44"/>
  <c r="S55" i="44" s="1"/>
  <c r="T55" i="44" s="1"/>
  <c r="F55" i="44"/>
  <c r="R54" i="44"/>
  <c r="N54" i="44"/>
  <c r="O54" i="44" s="1"/>
  <c r="P54" i="44" s="1"/>
  <c r="J54" i="44"/>
  <c r="H54" i="44" a="1"/>
  <c r="H54" i="44" s="1"/>
  <c r="V54" i="44" s="1" a="1"/>
  <c r="V54" i="44" s="1"/>
  <c r="G54" i="44"/>
  <c r="F54" i="44"/>
  <c r="R53" i="44"/>
  <c r="N53" i="44"/>
  <c r="O53" i="44" s="1"/>
  <c r="P53" i="44" s="1"/>
  <c r="J53" i="44"/>
  <c r="H53" i="44" a="1"/>
  <c r="H53" i="44" s="1"/>
  <c r="V53" i="44" s="1" a="1"/>
  <c r="V53" i="44" s="1"/>
  <c r="G53" i="44"/>
  <c r="F53" i="44"/>
  <c r="R52" i="44"/>
  <c r="N52" i="44"/>
  <c r="O52" i="44" s="1"/>
  <c r="P52" i="44" s="1"/>
  <c r="J52" i="44"/>
  <c r="H52" i="44"/>
  <c r="H52" i="44" a="1"/>
  <c r="G52" i="44"/>
  <c r="F52" i="44"/>
  <c r="S51" i="44"/>
  <c r="T51" i="44" s="1"/>
  <c r="R51" i="44"/>
  <c r="N51" i="44"/>
  <c r="O51" i="44" s="1"/>
  <c r="P51" i="44" s="1"/>
  <c r="K51" i="44"/>
  <c r="L51" i="44" s="1"/>
  <c r="J51" i="44"/>
  <c r="H51" i="44" a="1"/>
  <c r="H51" i="44" s="1"/>
  <c r="G51" i="44"/>
  <c r="F51" i="44"/>
  <c r="R50" i="44"/>
  <c r="N50" i="44"/>
  <c r="O50" i="44" s="1"/>
  <c r="P50" i="44" s="1"/>
  <c r="J50" i="44"/>
  <c r="H50" i="44" a="1"/>
  <c r="H50" i="44" s="1"/>
  <c r="G50" i="44"/>
  <c r="F50" i="44"/>
  <c r="R49" i="44"/>
  <c r="O49" i="44"/>
  <c r="P49" i="44" s="1"/>
  <c r="N49" i="44"/>
  <c r="J49" i="44"/>
  <c r="H49" i="44"/>
  <c r="H49" i="44" a="1"/>
  <c r="G49" i="44"/>
  <c r="F49" i="44"/>
  <c r="R48" i="44"/>
  <c r="N48" i="44"/>
  <c r="O48" i="44" s="1"/>
  <c r="P48" i="44" s="1"/>
  <c r="J48" i="44"/>
  <c r="K48" i="44" s="1"/>
  <c r="L48" i="44" s="1"/>
  <c r="H48" i="44"/>
  <c r="H48" i="44" a="1"/>
  <c r="G48" i="44"/>
  <c r="F48" i="44"/>
  <c r="R47" i="44"/>
  <c r="O47" i="44"/>
  <c r="P47" i="44" s="1"/>
  <c r="N47" i="44"/>
  <c r="J47" i="44"/>
  <c r="H47" i="44" a="1"/>
  <c r="H47" i="44" s="1"/>
  <c r="V47" i="44" s="1" a="1"/>
  <c r="V47" i="44" s="1"/>
  <c r="G47" i="44"/>
  <c r="F47" i="44"/>
  <c r="R46" i="44"/>
  <c r="O46" i="44"/>
  <c r="P46" i="44" s="1"/>
  <c r="N46" i="44"/>
  <c r="J46" i="44"/>
  <c r="H46" i="44" a="1"/>
  <c r="H46" i="44" s="1"/>
  <c r="G46" i="44"/>
  <c r="F46" i="44"/>
  <c r="R45" i="44"/>
  <c r="S45" i="44" s="1"/>
  <c r="T45" i="44" s="1"/>
  <c r="O45" i="44"/>
  <c r="P45" i="44" s="1"/>
  <c r="N45" i="44"/>
  <c r="J45" i="44"/>
  <c r="K45" i="44" s="1"/>
  <c r="L45" i="44" s="1"/>
  <c r="H45" i="44" a="1"/>
  <c r="H45" i="44" s="1"/>
  <c r="G45" i="44"/>
  <c r="F45" i="44"/>
  <c r="R44" i="44"/>
  <c r="N44" i="44"/>
  <c r="O44" i="44" s="1"/>
  <c r="P44" i="44" s="1"/>
  <c r="K44" i="44"/>
  <c r="L44" i="44" s="1"/>
  <c r="J44" i="44"/>
  <c r="H44" i="44" a="1"/>
  <c r="H44" i="44" s="1"/>
  <c r="G44" i="44"/>
  <c r="F44" i="44"/>
  <c r="R43" i="44"/>
  <c r="P43" i="44"/>
  <c r="O43" i="44"/>
  <c r="N43" i="44"/>
  <c r="J43" i="44"/>
  <c r="H43" i="44" a="1"/>
  <c r="H43" i="44" s="1"/>
  <c r="G43" i="44"/>
  <c r="S43" i="44" s="1"/>
  <c r="T43" i="44" s="1"/>
  <c r="F43" i="44"/>
  <c r="V42" i="44" a="1"/>
  <c r="V42" i="44" s="1"/>
  <c r="R42" i="44"/>
  <c r="N42" i="44"/>
  <c r="O42" i="44" s="1"/>
  <c r="P42" i="44" s="1"/>
  <c r="J42" i="44"/>
  <c r="K42" i="44" s="1"/>
  <c r="L42" i="44" s="1"/>
  <c r="H42" i="44" a="1"/>
  <c r="H42" i="44" s="1"/>
  <c r="I42" i="44" s="1"/>
  <c r="G42" i="44"/>
  <c r="F42" i="44"/>
  <c r="R41" i="44"/>
  <c r="O41" i="44"/>
  <c r="P41" i="44" s="1"/>
  <c r="N41" i="44"/>
  <c r="J41" i="44"/>
  <c r="H41" i="44" a="1"/>
  <c r="H41" i="44" s="1"/>
  <c r="G41" i="44"/>
  <c r="F41" i="44"/>
  <c r="R40" i="44"/>
  <c r="N40" i="44"/>
  <c r="O40" i="44" s="1"/>
  <c r="P40" i="44" s="1"/>
  <c r="J40" i="44"/>
  <c r="H40" i="44" a="1"/>
  <c r="H40" i="44" s="1"/>
  <c r="G40" i="44"/>
  <c r="F40" i="44"/>
  <c r="R39" i="44"/>
  <c r="N39" i="44"/>
  <c r="O39" i="44" s="1"/>
  <c r="P39" i="44" s="1"/>
  <c r="J39" i="44"/>
  <c r="K39" i="44" s="1"/>
  <c r="L39" i="44" s="1"/>
  <c r="I39" i="44"/>
  <c r="H39" i="44" a="1"/>
  <c r="H39" i="44" s="1"/>
  <c r="V39" i="44" s="1" a="1"/>
  <c r="V39" i="44" s="1"/>
  <c r="G39" i="44"/>
  <c r="S39" i="44" s="1"/>
  <c r="T39" i="44" s="1"/>
  <c r="F39" i="44"/>
  <c r="R38" i="44"/>
  <c r="N38" i="44"/>
  <c r="O38" i="44" s="1"/>
  <c r="P38" i="44" s="1"/>
  <c r="J38" i="44"/>
  <c r="H38" i="44" a="1"/>
  <c r="H38" i="44" s="1"/>
  <c r="I38" i="44" s="1"/>
  <c r="G38" i="44"/>
  <c r="S38" i="44" s="1"/>
  <c r="T38" i="44" s="1"/>
  <c r="F38" i="44"/>
  <c r="R37" i="44"/>
  <c r="N37" i="44"/>
  <c r="O37" i="44" s="1"/>
  <c r="P37" i="44" s="1"/>
  <c r="J37" i="44"/>
  <c r="H37" i="44" a="1"/>
  <c r="H37" i="44" s="1"/>
  <c r="G37" i="44"/>
  <c r="F37" i="44"/>
  <c r="R36" i="44"/>
  <c r="N36" i="44"/>
  <c r="O36" i="44" s="1"/>
  <c r="P36" i="44" s="1"/>
  <c r="J36" i="44"/>
  <c r="H36" i="44" a="1"/>
  <c r="H36" i="44" s="1"/>
  <c r="I36" i="44" s="1"/>
  <c r="G36" i="44"/>
  <c r="F36" i="44"/>
  <c r="R35" i="44"/>
  <c r="N35" i="44"/>
  <c r="O35" i="44" s="1"/>
  <c r="P35" i="44" s="1"/>
  <c r="K35" i="44"/>
  <c r="L35" i="44" s="1"/>
  <c r="J35" i="44"/>
  <c r="H35" i="44" a="1"/>
  <c r="H35" i="44" s="1"/>
  <c r="V35" i="44" s="1" a="1"/>
  <c r="V35" i="44" s="1"/>
  <c r="G35" i="44"/>
  <c r="S35" i="44" s="1"/>
  <c r="T35" i="44" s="1"/>
  <c r="F35" i="44"/>
  <c r="R34" i="44"/>
  <c r="N34" i="44"/>
  <c r="O34" i="44" s="1"/>
  <c r="P34" i="44" s="1"/>
  <c r="J34" i="44"/>
  <c r="H34" i="44" a="1"/>
  <c r="H34" i="44" s="1"/>
  <c r="G34" i="44"/>
  <c r="F34" i="44"/>
  <c r="R33" i="44"/>
  <c r="N33" i="44"/>
  <c r="O33" i="44" s="1"/>
  <c r="P33" i="44" s="1"/>
  <c r="J33" i="44"/>
  <c r="H33" i="44"/>
  <c r="V33" i="44" s="1" a="1"/>
  <c r="V33" i="44" s="1"/>
  <c r="W33" i="44" s="1" a="1"/>
  <c r="W33" i="44" s="1"/>
  <c r="H33" i="44" a="1"/>
  <c r="G33" i="44"/>
  <c r="F33" i="44"/>
  <c r="T32" i="44"/>
  <c r="R32" i="44"/>
  <c r="N32" i="44"/>
  <c r="O32" i="44" s="1"/>
  <c r="P32" i="44" s="1"/>
  <c r="J32" i="44"/>
  <c r="K32" i="44" s="1"/>
  <c r="L32" i="44" s="1"/>
  <c r="H32" i="44"/>
  <c r="H32" i="44" a="1"/>
  <c r="G32" i="44"/>
  <c r="S32" i="44" s="1"/>
  <c r="F32" i="44"/>
  <c r="R31" i="44"/>
  <c r="N31" i="44"/>
  <c r="O31" i="44" s="1"/>
  <c r="P31" i="44" s="1"/>
  <c r="K31" i="44"/>
  <c r="L31" i="44" s="1"/>
  <c r="J31" i="44"/>
  <c r="H31" i="44" a="1"/>
  <c r="H31" i="44" s="1"/>
  <c r="I31" i="44" s="1"/>
  <c r="G31" i="44"/>
  <c r="S31" i="44" s="1"/>
  <c r="T31" i="44" s="1"/>
  <c r="F31" i="44"/>
  <c r="R30" i="44"/>
  <c r="N30" i="44"/>
  <c r="O30" i="44" s="1"/>
  <c r="P30" i="44" s="1"/>
  <c r="J30" i="44"/>
  <c r="K30" i="44" s="1"/>
  <c r="L30" i="44" s="1"/>
  <c r="H30" i="44" a="1"/>
  <c r="H30" i="44" s="1"/>
  <c r="G30" i="44"/>
  <c r="F30" i="44"/>
  <c r="R29" i="44"/>
  <c r="N29" i="44"/>
  <c r="O29" i="44" s="1"/>
  <c r="P29" i="44" s="1"/>
  <c r="J29" i="44"/>
  <c r="K29" i="44" s="1"/>
  <c r="L29" i="44" s="1"/>
  <c r="H29" i="44"/>
  <c r="I29" i="44" s="1"/>
  <c r="H29" i="44" a="1"/>
  <c r="G29" i="44"/>
  <c r="F29" i="44"/>
  <c r="R28" i="44"/>
  <c r="N28" i="44"/>
  <c r="O28" i="44" s="1"/>
  <c r="P28" i="44" s="1"/>
  <c r="K28" i="44"/>
  <c r="L28" i="44" s="1"/>
  <c r="J28" i="44"/>
  <c r="H28" i="44" a="1"/>
  <c r="H28" i="44" s="1"/>
  <c r="G28" i="44"/>
  <c r="S28" i="44" s="1"/>
  <c r="T28" i="44" s="1"/>
  <c r="F28" i="44"/>
  <c r="R27" i="44"/>
  <c r="N27" i="44"/>
  <c r="O27" i="44" s="1"/>
  <c r="P27" i="44" s="1"/>
  <c r="J27" i="44"/>
  <c r="H27" i="44" a="1"/>
  <c r="H27" i="44" s="1"/>
  <c r="G27" i="44"/>
  <c r="F27" i="44"/>
  <c r="R26" i="44"/>
  <c r="N26" i="44"/>
  <c r="O26" i="44" s="1"/>
  <c r="P26" i="44" s="1"/>
  <c r="J26" i="44"/>
  <c r="K26" i="44" s="1"/>
  <c r="L26" i="44" s="1"/>
  <c r="I26" i="44"/>
  <c r="H26" i="44" a="1"/>
  <c r="H26" i="44" s="1"/>
  <c r="V26" i="44" s="1" a="1"/>
  <c r="V26" i="44" s="1"/>
  <c r="G26" i="44"/>
  <c r="S26" i="44" s="1"/>
  <c r="T26" i="44" s="1"/>
  <c r="F26" i="44"/>
  <c r="R25" i="44"/>
  <c r="N25" i="44"/>
  <c r="O25" i="44" s="1"/>
  <c r="P25" i="44" s="1"/>
  <c r="J25" i="44"/>
  <c r="H25" i="44"/>
  <c r="H25" i="44" a="1"/>
  <c r="G25" i="44"/>
  <c r="F25" i="44"/>
  <c r="R24" i="44"/>
  <c r="N24" i="44"/>
  <c r="O24" i="44" s="1"/>
  <c r="P24" i="44" s="1"/>
  <c r="K24" i="44"/>
  <c r="L24" i="44" s="1"/>
  <c r="J24" i="44"/>
  <c r="H24" i="44" a="1"/>
  <c r="H24" i="44" s="1"/>
  <c r="V24" i="44" s="1" a="1"/>
  <c r="V24" i="44" s="1"/>
  <c r="G24" i="44"/>
  <c r="S24" i="44" s="1"/>
  <c r="T24" i="44" s="1"/>
  <c r="F24" i="44"/>
  <c r="R23" i="44"/>
  <c r="N23" i="44"/>
  <c r="O23" i="44" s="1"/>
  <c r="P23" i="44" s="1"/>
  <c r="J23" i="44"/>
  <c r="H23" i="44" a="1"/>
  <c r="H23" i="44" s="1"/>
  <c r="G23" i="44"/>
  <c r="K23" i="44" s="1"/>
  <c r="L23" i="44" s="1"/>
  <c r="F23" i="44"/>
  <c r="R22" i="44"/>
  <c r="N22" i="44"/>
  <c r="O22" i="44" s="1"/>
  <c r="P22" i="44" s="1"/>
  <c r="K22" i="44"/>
  <c r="L22" i="44" s="1"/>
  <c r="J22" i="44"/>
  <c r="H22" i="44" a="1"/>
  <c r="H22" i="44" s="1"/>
  <c r="V22" i="44" s="1" a="1"/>
  <c r="V22" i="44" s="1"/>
  <c r="G22" i="44"/>
  <c r="S22" i="44" s="1"/>
  <c r="T22" i="44" s="1"/>
  <c r="F22" i="44"/>
  <c r="R21" i="44"/>
  <c r="N21" i="44"/>
  <c r="O21" i="44" s="1"/>
  <c r="P21" i="44" s="1"/>
  <c r="J21" i="44"/>
  <c r="H21" i="44"/>
  <c r="H21" i="44" a="1"/>
  <c r="G21" i="44"/>
  <c r="K21" i="44" s="1"/>
  <c r="L21" i="44" s="1"/>
  <c r="F21" i="44"/>
  <c r="R20" i="44"/>
  <c r="N20" i="44"/>
  <c r="O20" i="44" s="1"/>
  <c r="P20" i="44" s="1"/>
  <c r="J20" i="44"/>
  <c r="H20" i="44" a="1"/>
  <c r="H20" i="44" s="1"/>
  <c r="I20" i="44" s="1"/>
  <c r="G20" i="44"/>
  <c r="S20" i="44" s="1"/>
  <c r="T20" i="44" s="1"/>
  <c r="F20" i="44"/>
  <c r="R19" i="44"/>
  <c r="N19" i="44"/>
  <c r="O19" i="44" s="1"/>
  <c r="P19" i="44" s="1"/>
  <c r="J19" i="44"/>
  <c r="H19" i="44" a="1"/>
  <c r="H19" i="44" s="1"/>
  <c r="G19" i="44"/>
  <c r="K19" i="44" s="1"/>
  <c r="L19" i="44" s="1"/>
  <c r="F19" i="44"/>
  <c r="R18" i="44"/>
  <c r="N18" i="44"/>
  <c r="O18" i="44" s="1"/>
  <c r="P18" i="44" s="1"/>
  <c r="J18" i="44"/>
  <c r="H18" i="44" a="1"/>
  <c r="H18" i="44" s="1"/>
  <c r="V18" i="44" s="1" a="1"/>
  <c r="V18" i="44" s="1"/>
  <c r="G18" i="44"/>
  <c r="S18" i="44" s="1"/>
  <c r="T18" i="44" s="1"/>
  <c r="F18" i="44"/>
  <c r="J5" i="44" s="1"/>
  <c r="S17" i="44"/>
  <c r="T17" i="44" s="1"/>
  <c r="R17" i="44"/>
  <c r="N17" i="44"/>
  <c r="O17" i="44" s="1"/>
  <c r="P17" i="44" s="1"/>
  <c r="J17" i="44"/>
  <c r="H17" i="44"/>
  <c r="V17" i="44" s="1" a="1"/>
  <c r="V17" i="44" s="1"/>
  <c r="H17" i="44" a="1"/>
  <c r="G17" i="44"/>
  <c r="F17" i="44"/>
  <c r="R16" i="44"/>
  <c r="N16" i="44"/>
  <c r="O16" i="44" s="1"/>
  <c r="P16" i="44" s="1"/>
  <c r="K16" i="44"/>
  <c r="L16" i="44" s="1"/>
  <c r="J16" i="44"/>
  <c r="H16" i="44" a="1"/>
  <c r="H16" i="44" s="1"/>
  <c r="I16" i="44" s="1"/>
  <c r="G16" i="44"/>
  <c r="S16" i="44" s="1"/>
  <c r="T16" i="44" s="1"/>
  <c r="F16" i="44"/>
  <c r="R15" i="44"/>
  <c r="N15" i="44"/>
  <c r="O15" i="44" s="1"/>
  <c r="P15" i="44" s="1"/>
  <c r="J15" i="44"/>
  <c r="H15" i="44" a="1"/>
  <c r="H15" i="44" s="1"/>
  <c r="G15" i="44"/>
  <c r="F15" i="44"/>
  <c r="X5" i="44" s="1"/>
  <c r="R14" i="44"/>
  <c r="N14" i="44"/>
  <c r="O14" i="44" s="1"/>
  <c r="P14" i="44" s="1"/>
  <c r="J14" i="44"/>
  <c r="H14" i="44" a="1"/>
  <c r="H14" i="44" s="1"/>
  <c r="V14" i="44" s="1" a="1"/>
  <c r="V14" i="44" s="1"/>
  <c r="G14" i="44"/>
  <c r="S14" i="44" s="1"/>
  <c r="T14" i="44" s="1"/>
  <c r="F14" i="44"/>
  <c r="X13" i="44"/>
  <c r="V13" i="44"/>
  <c r="T13" i="44"/>
  <c r="R13" i="44"/>
  <c r="P13" i="44"/>
  <c r="N13" i="44"/>
  <c r="L13" i="44"/>
  <c r="J13" i="44"/>
  <c r="V9" i="44"/>
  <c r="V7" i="44"/>
  <c r="L7" i="44"/>
  <c r="J7" i="44"/>
  <c r="K7" i="44" s="1"/>
  <c r="L6" i="44"/>
  <c r="J6" i="44"/>
  <c r="N5" i="44"/>
  <c r="L5" i="44"/>
  <c r="H1" i="44" a="1"/>
  <c r="H1" i="44" s="1"/>
  <c r="AD100" i="55"/>
  <c r="AC100" i="55"/>
  <c r="AB100" i="55"/>
  <c r="AA100" i="55"/>
  <c r="Z100" i="55"/>
  <c r="Y100" i="55"/>
  <c r="X100" i="55"/>
  <c r="W100" i="55"/>
  <c r="AD99" i="55"/>
  <c r="AC99" i="55"/>
  <c r="AB99" i="55"/>
  <c r="AA99" i="55"/>
  <c r="Z99" i="55"/>
  <c r="Y99" i="55"/>
  <c r="X99" i="55"/>
  <c r="W99" i="55"/>
  <c r="AD98" i="55"/>
  <c r="AC98" i="55"/>
  <c r="AB98" i="55"/>
  <c r="AA98" i="55"/>
  <c r="Z98" i="55"/>
  <c r="Y98" i="55"/>
  <c r="X98" i="55"/>
  <c r="W98" i="55"/>
  <c r="AD97" i="55"/>
  <c r="AC97" i="55"/>
  <c r="AB97" i="55"/>
  <c r="AA97" i="55"/>
  <c r="Z97" i="55"/>
  <c r="Y97" i="55"/>
  <c r="X97" i="55"/>
  <c r="W97" i="55"/>
  <c r="AD96" i="55"/>
  <c r="AC96" i="55"/>
  <c r="AB96" i="55"/>
  <c r="AA96" i="55"/>
  <c r="Z96" i="55"/>
  <c r="Y96" i="55"/>
  <c r="X96" i="55"/>
  <c r="W96" i="55"/>
  <c r="AD95" i="55"/>
  <c r="AC95" i="55"/>
  <c r="AB95" i="55"/>
  <c r="AA95" i="55"/>
  <c r="Z95" i="55"/>
  <c r="Y95" i="55"/>
  <c r="X95" i="55"/>
  <c r="W95" i="55"/>
  <c r="AD94" i="55"/>
  <c r="AC94" i="55"/>
  <c r="AB94" i="55"/>
  <c r="AA94" i="55"/>
  <c r="Z94" i="55"/>
  <c r="Y94" i="55"/>
  <c r="X94" i="55"/>
  <c r="W94" i="55"/>
  <c r="AD93" i="55"/>
  <c r="AC93" i="55"/>
  <c r="AB93" i="55"/>
  <c r="AA93" i="55"/>
  <c r="Z93" i="55"/>
  <c r="Y93" i="55"/>
  <c r="X93" i="55"/>
  <c r="W93" i="55"/>
  <c r="AD92" i="55"/>
  <c r="AC92" i="55"/>
  <c r="AB92" i="55"/>
  <c r="AA92" i="55"/>
  <c r="Z92" i="55"/>
  <c r="Y92" i="55"/>
  <c r="X92" i="55"/>
  <c r="W92" i="55"/>
  <c r="AD91" i="55"/>
  <c r="AC91" i="55"/>
  <c r="AB91" i="55"/>
  <c r="AA91" i="55"/>
  <c r="Z91" i="55"/>
  <c r="Y91" i="55"/>
  <c r="X91" i="55"/>
  <c r="W91" i="55"/>
  <c r="AD90" i="55"/>
  <c r="AC90" i="55"/>
  <c r="AB90" i="55"/>
  <c r="AA90" i="55"/>
  <c r="Z90" i="55"/>
  <c r="Y90" i="55"/>
  <c r="X90" i="55"/>
  <c r="W90" i="55"/>
  <c r="AD89" i="55"/>
  <c r="AC89" i="55"/>
  <c r="AB89" i="55"/>
  <c r="AA89" i="55"/>
  <c r="Z89" i="55"/>
  <c r="Y89" i="55"/>
  <c r="X89" i="55"/>
  <c r="W89" i="55"/>
  <c r="AD88" i="55"/>
  <c r="AC88" i="55"/>
  <c r="AB88" i="55"/>
  <c r="AA88" i="55"/>
  <c r="Z88" i="55"/>
  <c r="Y88" i="55"/>
  <c r="X88" i="55"/>
  <c r="W88" i="55"/>
  <c r="AD87" i="55"/>
  <c r="AC87" i="55"/>
  <c r="AB87" i="55"/>
  <c r="AA87" i="55"/>
  <c r="Z87" i="55"/>
  <c r="Y87" i="55"/>
  <c r="X87" i="55"/>
  <c r="W87" i="55"/>
  <c r="AD86" i="55"/>
  <c r="AC86" i="55"/>
  <c r="AB86" i="55"/>
  <c r="AA86" i="55"/>
  <c r="Z86" i="55"/>
  <c r="Y86" i="55"/>
  <c r="X86" i="55"/>
  <c r="W86" i="55"/>
  <c r="AD85" i="55"/>
  <c r="AC85" i="55"/>
  <c r="AB85" i="55"/>
  <c r="AA85" i="55"/>
  <c r="Z85" i="55"/>
  <c r="Y85" i="55"/>
  <c r="X85" i="55"/>
  <c r="W85" i="55"/>
  <c r="AD84" i="55"/>
  <c r="AC84" i="55"/>
  <c r="AB84" i="55"/>
  <c r="AA84" i="55"/>
  <c r="Z84" i="55"/>
  <c r="Y84" i="55"/>
  <c r="X84" i="55"/>
  <c r="W84" i="55"/>
  <c r="AD83" i="55"/>
  <c r="AC83" i="55"/>
  <c r="AB83" i="55"/>
  <c r="AA83" i="55"/>
  <c r="Z83" i="55"/>
  <c r="Y83" i="55"/>
  <c r="X83" i="55"/>
  <c r="W83" i="55"/>
  <c r="AD82" i="55"/>
  <c r="AC82" i="55"/>
  <c r="AB82" i="55"/>
  <c r="AA82" i="55"/>
  <c r="Z82" i="55"/>
  <c r="Y82" i="55"/>
  <c r="X82" i="55"/>
  <c r="W82" i="55"/>
  <c r="AD81" i="55"/>
  <c r="AC81" i="55"/>
  <c r="AB81" i="55"/>
  <c r="AA81" i="55"/>
  <c r="Z81" i="55"/>
  <c r="Y81" i="55"/>
  <c r="X81" i="55"/>
  <c r="W81" i="55"/>
  <c r="AD80" i="55"/>
  <c r="AC80" i="55"/>
  <c r="AB80" i="55"/>
  <c r="AA80" i="55"/>
  <c r="Z80" i="55"/>
  <c r="Y80" i="55"/>
  <c r="X80" i="55"/>
  <c r="W80" i="55"/>
  <c r="AD79" i="55"/>
  <c r="AC79" i="55"/>
  <c r="AB79" i="55"/>
  <c r="AA79" i="55"/>
  <c r="Z79" i="55"/>
  <c r="Y79" i="55"/>
  <c r="X79" i="55"/>
  <c r="W79" i="55"/>
  <c r="AD78" i="55"/>
  <c r="AC78" i="55"/>
  <c r="AB78" i="55"/>
  <c r="AA78" i="55"/>
  <c r="Z78" i="55"/>
  <c r="Y78" i="55"/>
  <c r="X78" i="55"/>
  <c r="W78" i="55"/>
  <c r="AD77" i="55"/>
  <c r="AC77" i="55"/>
  <c r="AB77" i="55"/>
  <c r="AA77" i="55"/>
  <c r="Z77" i="55"/>
  <c r="Y77" i="55"/>
  <c r="X77" i="55"/>
  <c r="W77" i="55"/>
  <c r="AD76" i="55"/>
  <c r="AC76" i="55"/>
  <c r="AB76" i="55"/>
  <c r="AA76" i="55"/>
  <c r="Z76" i="55"/>
  <c r="Y76" i="55"/>
  <c r="X76" i="55"/>
  <c r="W76" i="55"/>
  <c r="AD75" i="55"/>
  <c r="AC75" i="55"/>
  <c r="AB75" i="55"/>
  <c r="AA75" i="55"/>
  <c r="Z75" i="55"/>
  <c r="Y75" i="55"/>
  <c r="X75" i="55"/>
  <c r="W75" i="55"/>
  <c r="AD74" i="55"/>
  <c r="AC74" i="55"/>
  <c r="AB74" i="55"/>
  <c r="AA74" i="55"/>
  <c r="Z74" i="55"/>
  <c r="Y74" i="55"/>
  <c r="X74" i="55"/>
  <c r="W74" i="55"/>
  <c r="AD73" i="55"/>
  <c r="AC73" i="55"/>
  <c r="AB73" i="55"/>
  <c r="AA73" i="55"/>
  <c r="Z73" i="55"/>
  <c r="Y73" i="55"/>
  <c r="X73" i="55"/>
  <c r="W73" i="55"/>
  <c r="AD72" i="55"/>
  <c r="AC72" i="55"/>
  <c r="AB72" i="55"/>
  <c r="AA72" i="55"/>
  <c r="Z72" i="55"/>
  <c r="Y72" i="55"/>
  <c r="X72" i="55"/>
  <c r="W72" i="55"/>
  <c r="AD71" i="55"/>
  <c r="AC71" i="55"/>
  <c r="AB71" i="55"/>
  <c r="AA71" i="55"/>
  <c r="Z71" i="55"/>
  <c r="Y71" i="55"/>
  <c r="X71" i="55"/>
  <c r="W71" i="55"/>
  <c r="AD70" i="55"/>
  <c r="AC70" i="55"/>
  <c r="AB70" i="55"/>
  <c r="AA70" i="55"/>
  <c r="Z70" i="55"/>
  <c r="Y70" i="55"/>
  <c r="X70" i="55"/>
  <c r="W70" i="55"/>
  <c r="AD69" i="55"/>
  <c r="AC69" i="55"/>
  <c r="AB69" i="55"/>
  <c r="AA69" i="55"/>
  <c r="Z69" i="55"/>
  <c r="Y69" i="55"/>
  <c r="X69" i="55"/>
  <c r="W69" i="55"/>
  <c r="AD68" i="55"/>
  <c r="AC68" i="55"/>
  <c r="AB68" i="55"/>
  <c r="AA68" i="55"/>
  <c r="Z68" i="55"/>
  <c r="Y68" i="55"/>
  <c r="X68" i="55"/>
  <c r="W68" i="55"/>
  <c r="AD67" i="55"/>
  <c r="AC67" i="55"/>
  <c r="AB67" i="55"/>
  <c r="AA67" i="55"/>
  <c r="Z67" i="55"/>
  <c r="Y67" i="55"/>
  <c r="X67" i="55"/>
  <c r="W67" i="55"/>
  <c r="AD66" i="55"/>
  <c r="AC66" i="55"/>
  <c r="AB66" i="55"/>
  <c r="AA66" i="55"/>
  <c r="Z66" i="55"/>
  <c r="Y66" i="55"/>
  <c r="X66" i="55"/>
  <c r="W66" i="55"/>
  <c r="AD65" i="55"/>
  <c r="AC65" i="55"/>
  <c r="AB65" i="55"/>
  <c r="AA65" i="55"/>
  <c r="Z65" i="55"/>
  <c r="Y65" i="55"/>
  <c r="X65" i="55"/>
  <c r="W65" i="55"/>
  <c r="AD64" i="55"/>
  <c r="AC64" i="55"/>
  <c r="AB64" i="55"/>
  <c r="AA64" i="55"/>
  <c r="Z64" i="55"/>
  <c r="Y64" i="55"/>
  <c r="X64" i="55"/>
  <c r="W64" i="55"/>
  <c r="AD63" i="55"/>
  <c r="AC63" i="55"/>
  <c r="AB63" i="55"/>
  <c r="AA63" i="55"/>
  <c r="Z63" i="55"/>
  <c r="Y63" i="55"/>
  <c r="X63" i="55"/>
  <c r="W63" i="55"/>
  <c r="AD62" i="55"/>
  <c r="AC62" i="55"/>
  <c r="AB62" i="55"/>
  <c r="AA62" i="55"/>
  <c r="Z62" i="55"/>
  <c r="Y62" i="55"/>
  <c r="X62" i="55"/>
  <c r="W62" i="55"/>
  <c r="AD61" i="55"/>
  <c r="AC61" i="55"/>
  <c r="AB61" i="55"/>
  <c r="AA61" i="55"/>
  <c r="Z61" i="55"/>
  <c r="Y61" i="55"/>
  <c r="X61" i="55"/>
  <c r="W61" i="55"/>
  <c r="AD60" i="55"/>
  <c r="AC60" i="55"/>
  <c r="AB60" i="55"/>
  <c r="AA60" i="55"/>
  <c r="Z60" i="55"/>
  <c r="Y60" i="55"/>
  <c r="X60" i="55"/>
  <c r="W60" i="55"/>
  <c r="AD59" i="55"/>
  <c r="AC59" i="55"/>
  <c r="AB59" i="55"/>
  <c r="AA59" i="55"/>
  <c r="Z59" i="55"/>
  <c r="Y59" i="55"/>
  <c r="X59" i="55"/>
  <c r="W59" i="55"/>
  <c r="AD58" i="55"/>
  <c r="AC58" i="55"/>
  <c r="AB58" i="55"/>
  <c r="AA58" i="55"/>
  <c r="Z58" i="55"/>
  <c r="Y58" i="55"/>
  <c r="X58" i="55"/>
  <c r="W58" i="55"/>
  <c r="AD57" i="55"/>
  <c r="AC57" i="55"/>
  <c r="AB57" i="55"/>
  <c r="AA57" i="55"/>
  <c r="Z57" i="55"/>
  <c r="Y57" i="55"/>
  <c r="X57" i="55"/>
  <c r="W57" i="55"/>
  <c r="AD56" i="55"/>
  <c r="AC56" i="55"/>
  <c r="AB56" i="55"/>
  <c r="AA56" i="55"/>
  <c r="Z56" i="55"/>
  <c r="Y56" i="55"/>
  <c r="X56" i="55"/>
  <c r="W56" i="55"/>
  <c r="AD55" i="55"/>
  <c r="AC55" i="55"/>
  <c r="AB55" i="55"/>
  <c r="AA55" i="55"/>
  <c r="Z55" i="55"/>
  <c r="Y55" i="55"/>
  <c r="X55" i="55"/>
  <c r="W55" i="55"/>
  <c r="AD54" i="55"/>
  <c r="AC54" i="55"/>
  <c r="AB54" i="55"/>
  <c r="AA54" i="55"/>
  <c r="Z54" i="55"/>
  <c r="Y54" i="55"/>
  <c r="X54" i="55"/>
  <c r="W54" i="55"/>
  <c r="AD53" i="55"/>
  <c r="AC53" i="55"/>
  <c r="AB53" i="55"/>
  <c r="AA53" i="55"/>
  <c r="Z53" i="55"/>
  <c r="Y53" i="55"/>
  <c r="X53" i="55"/>
  <c r="W53" i="55"/>
  <c r="AD52" i="55"/>
  <c r="AC52" i="55"/>
  <c r="AB52" i="55"/>
  <c r="AA52" i="55"/>
  <c r="Z52" i="55"/>
  <c r="Y52" i="55"/>
  <c r="X52" i="55"/>
  <c r="W52" i="55"/>
  <c r="AD51" i="55"/>
  <c r="AC51" i="55"/>
  <c r="AB51" i="55"/>
  <c r="AA51" i="55"/>
  <c r="Z51" i="55"/>
  <c r="Y51" i="55"/>
  <c r="X51" i="55"/>
  <c r="W51" i="55"/>
  <c r="AD50" i="55"/>
  <c r="AC50" i="55"/>
  <c r="AB50" i="55"/>
  <c r="AA50" i="55"/>
  <c r="Z50" i="55"/>
  <c r="Y50" i="55"/>
  <c r="X50" i="55"/>
  <c r="W50" i="55"/>
  <c r="AD49" i="55"/>
  <c r="AC49" i="55"/>
  <c r="AB49" i="55"/>
  <c r="AA49" i="55"/>
  <c r="Z49" i="55"/>
  <c r="Y49" i="55"/>
  <c r="X49" i="55"/>
  <c r="W49" i="55"/>
  <c r="AD48" i="55"/>
  <c r="AC48" i="55"/>
  <c r="AB48" i="55"/>
  <c r="AA48" i="55"/>
  <c r="Z48" i="55"/>
  <c r="Y48" i="55"/>
  <c r="X48" i="55"/>
  <c r="W48" i="55"/>
  <c r="AD47" i="55"/>
  <c r="AC47" i="55"/>
  <c r="AB47" i="55"/>
  <c r="AA47" i="55"/>
  <c r="Z47" i="55"/>
  <c r="Y47" i="55"/>
  <c r="X47" i="55"/>
  <c r="W47" i="55"/>
  <c r="AD46" i="55"/>
  <c r="AC46" i="55"/>
  <c r="AB46" i="55"/>
  <c r="AA46" i="55"/>
  <c r="Z46" i="55"/>
  <c r="Y46" i="55"/>
  <c r="X46" i="55"/>
  <c r="W46" i="55"/>
  <c r="AD45" i="55"/>
  <c r="AC45" i="55"/>
  <c r="AB45" i="55"/>
  <c r="AA45" i="55"/>
  <c r="Z45" i="55"/>
  <c r="Y45" i="55"/>
  <c r="X45" i="55"/>
  <c r="W45" i="55"/>
  <c r="AD44" i="55"/>
  <c r="AC44" i="55"/>
  <c r="AB44" i="55"/>
  <c r="AA44" i="55"/>
  <c r="Z44" i="55"/>
  <c r="Y44" i="55"/>
  <c r="X44" i="55"/>
  <c r="W44" i="55"/>
  <c r="AD43" i="55"/>
  <c r="AC43" i="55"/>
  <c r="AB43" i="55"/>
  <c r="AA43" i="55"/>
  <c r="Z43" i="55"/>
  <c r="Y43" i="55"/>
  <c r="X43" i="55"/>
  <c r="W43" i="55"/>
  <c r="AD42" i="55"/>
  <c r="AC42" i="55"/>
  <c r="AB42" i="55"/>
  <c r="AA42" i="55"/>
  <c r="Z42" i="55"/>
  <c r="Y42" i="55"/>
  <c r="X42" i="55"/>
  <c r="W42" i="55"/>
  <c r="AD41" i="55"/>
  <c r="AC41" i="55"/>
  <c r="AB41" i="55"/>
  <c r="AA41" i="55"/>
  <c r="Z41" i="55"/>
  <c r="Y41" i="55"/>
  <c r="X41" i="55"/>
  <c r="W41" i="55"/>
  <c r="AD40" i="55"/>
  <c r="AC40" i="55"/>
  <c r="AB40" i="55"/>
  <c r="AA40" i="55"/>
  <c r="Z40" i="55"/>
  <c r="Y40" i="55"/>
  <c r="X40" i="55"/>
  <c r="W40" i="55"/>
  <c r="AD39" i="55"/>
  <c r="AC39" i="55"/>
  <c r="AB39" i="55"/>
  <c r="AA39" i="55"/>
  <c r="Z39" i="55"/>
  <c r="Y39" i="55"/>
  <c r="X39" i="55"/>
  <c r="W39" i="55"/>
  <c r="AD38" i="55"/>
  <c r="AC38" i="55"/>
  <c r="AB38" i="55"/>
  <c r="AA38" i="55"/>
  <c r="Z38" i="55"/>
  <c r="Y38" i="55"/>
  <c r="X38" i="55"/>
  <c r="W38" i="55"/>
  <c r="AD37" i="55"/>
  <c r="AC37" i="55"/>
  <c r="AB37" i="55"/>
  <c r="AA37" i="55"/>
  <c r="Z37" i="55"/>
  <c r="Y37" i="55"/>
  <c r="X37" i="55"/>
  <c r="W37" i="55"/>
  <c r="T100" i="55"/>
  <c r="S100" i="55"/>
  <c r="R100" i="55"/>
  <c r="Q100" i="55"/>
  <c r="P100" i="55"/>
  <c r="O100" i="55"/>
  <c r="N100" i="55"/>
  <c r="M100" i="55"/>
  <c r="T99" i="55"/>
  <c r="S99" i="55"/>
  <c r="R99" i="55"/>
  <c r="Q99" i="55"/>
  <c r="P99" i="55"/>
  <c r="O99" i="55"/>
  <c r="N99" i="55"/>
  <c r="M99" i="55"/>
  <c r="T98" i="55"/>
  <c r="S98" i="55"/>
  <c r="R98" i="55"/>
  <c r="Q98" i="55"/>
  <c r="P98" i="55"/>
  <c r="O98" i="55"/>
  <c r="N98" i="55"/>
  <c r="M98" i="55"/>
  <c r="T97" i="55"/>
  <c r="S97" i="55"/>
  <c r="R97" i="55"/>
  <c r="Q97" i="55"/>
  <c r="P97" i="55"/>
  <c r="O97" i="55"/>
  <c r="N97" i="55"/>
  <c r="M97" i="55"/>
  <c r="T96" i="55"/>
  <c r="S96" i="55"/>
  <c r="R96" i="55"/>
  <c r="Q96" i="55"/>
  <c r="P96" i="55"/>
  <c r="O96" i="55"/>
  <c r="N96" i="55"/>
  <c r="M96" i="55"/>
  <c r="T95" i="55"/>
  <c r="S95" i="55"/>
  <c r="R95" i="55"/>
  <c r="Q95" i="55"/>
  <c r="P95" i="55"/>
  <c r="O95" i="55"/>
  <c r="N95" i="55"/>
  <c r="M95" i="55"/>
  <c r="T94" i="55"/>
  <c r="S94" i="55"/>
  <c r="R94" i="55"/>
  <c r="Q94" i="55"/>
  <c r="P94" i="55"/>
  <c r="O94" i="55"/>
  <c r="N94" i="55"/>
  <c r="M94" i="55"/>
  <c r="T93" i="55"/>
  <c r="S93" i="55"/>
  <c r="R93" i="55"/>
  <c r="Q93" i="55"/>
  <c r="P93" i="55"/>
  <c r="O93" i="55"/>
  <c r="N93" i="55"/>
  <c r="M93" i="55"/>
  <c r="T92" i="55"/>
  <c r="S92" i="55"/>
  <c r="R92" i="55"/>
  <c r="Q92" i="55"/>
  <c r="P92" i="55"/>
  <c r="O92" i="55"/>
  <c r="N92" i="55"/>
  <c r="M92" i="55"/>
  <c r="T91" i="55"/>
  <c r="S91" i="55"/>
  <c r="R91" i="55"/>
  <c r="Q91" i="55"/>
  <c r="P91" i="55"/>
  <c r="O91" i="55"/>
  <c r="N91" i="55"/>
  <c r="M91" i="55"/>
  <c r="T90" i="55"/>
  <c r="S90" i="55"/>
  <c r="R90" i="55"/>
  <c r="Q90" i="55"/>
  <c r="P90" i="55"/>
  <c r="O90" i="55"/>
  <c r="N90" i="55"/>
  <c r="M90" i="55"/>
  <c r="T89" i="55"/>
  <c r="S89" i="55"/>
  <c r="R89" i="55"/>
  <c r="Q89" i="55"/>
  <c r="P89" i="55"/>
  <c r="O89" i="55"/>
  <c r="N89" i="55"/>
  <c r="M89" i="55"/>
  <c r="T88" i="55"/>
  <c r="S88" i="55"/>
  <c r="R88" i="55"/>
  <c r="Q88" i="55"/>
  <c r="P88" i="55"/>
  <c r="O88" i="55"/>
  <c r="N88" i="55"/>
  <c r="M88" i="55"/>
  <c r="T87" i="55"/>
  <c r="S87" i="55"/>
  <c r="R87" i="55"/>
  <c r="Q87" i="55"/>
  <c r="P87" i="55"/>
  <c r="O87" i="55"/>
  <c r="N87" i="55"/>
  <c r="M87" i="55"/>
  <c r="T86" i="55"/>
  <c r="S86" i="55"/>
  <c r="R86" i="55"/>
  <c r="Q86" i="55"/>
  <c r="P86" i="55"/>
  <c r="O86" i="55"/>
  <c r="N86" i="55"/>
  <c r="M86" i="55"/>
  <c r="T85" i="55"/>
  <c r="S85" i="55"/>
  <c r="R85" i="55"/>
  <c r="Q85" i="55"/>
  <c r="P85" i="55"/>
  <c r="O85" i="55"/>
  <c r="N85" i="55"/>
  <c r="M85" i="55"/>
  <c r="T84" i="55"/>
  <c r="S84" i="55"/>
  <c r="R84" i="55"/>
  <c r="Q84" i="55"/>
  <c r="P84" i="55"/>
  <c r="O84" i="55"/>
  <c r="N84" i="55"/>
  <c r="M84" i="55"/>
  <c r="T83" i="55"/>
  <c r="S83" i="55"/>
  <c r="R83" i="55"/>
  <c r="Q83" i="55"/>
  <c r="P83" i="55"/>
  <c r="O83" i="55"/>
  <c r="N83" i="55"/>
  <c r="M83" i="55"/>
  <c r="T82" i="55"/>
  <c r="S82" i="55"/>
  <c r="R82" i="55"/>
  <c r="Q82" i="55"/>
  <c r="P82" i="55"/>
  <c r="O82" i="55"/>
  <c r="N82" i="55"/>
  <c r="M82" i="55"/>
  <c r="T81" i="55"/>
  <c r="S81" i="55"/>
  <c r="R81" i="55"/>
  <c r="Q81" i="55"/>
  <c r="P81" i="55"/>
  <c r="O81" i="55"/>
  <c r="N81" i="55"/>
  <c r="M81" i="55"/>
  <c r="T80" i="55"/>
  <c r="S80" i="55"/>
  <c r="R80" i="55"/>
  <c r="Q80" i="55"/>
  <c r="P80" i="55"/>
  <c r="O80" i="55"/>
  <c r="N80" i="55"/>
  <c r="M80" i="55"/>
  <c r="T79" i="55"/>
  <c r="S79" i="55"/>
  <c r="R79" i="55"/>
  <c r="Q79" i="55"/>
  <c r="P79" i="55"/>
  <c r="O79" i="55"/>
  <c r="N79" i="55"/>
  <c r="M79" i="55"/>
  <c r="T78" i="55"/>
  <c r="S78" i="55"/>
  <c r="R78" i="55"/>
  <c r="Q78" i="55"/>
  <c r="P78" i="55"/>
  <c r="O78" i="55"/>
  <c r="N78" i="55"/>
  <c r="M78" i="55"/>
  <c r="T77" i="55"/>
  <c r="S77" i="55"/>
  <c r="R77" i="55"/>
  <c r="Q77" i="55"/>
  <c r="P77" i="55"/>
  <c r="O77" i="55"/>
  <c r="N77" i="55"/>
  <c r="M77" i="55"/>
  <c r="T76" i="55"/>
  <c r="S76" i="55"/>
  <c r="R76" i="55"/>
  <c r="Q76" i="55"/>
  <c r="P76" i="55"/>
  <c r="O76" i="55"/>
  <c r="N76" i="55"/>
  <c r="M76" i="55"/>
  <c r="T75" i="55"/>
  <c r="S75" i="55"/>
  <c r="R75" i="55"/>
  <c r="Q75" i="55"/>
  <c r="P75" i="55"/>
  <c r="O75" i="55"/>
  <c r="N75" i="55"/>
  <c r="M75" i="55"/>
  <c r="T74" i="55"/>
  <c r="S74" i="55"/>
  <c r="R74" i="55"/>
  <c r="Q74" i="55"/>
  <c r="P74" i="55"/>
  <c r="O74" i="55"/>
  <c r="N74" i="55"/>
  <c r="M74" i="55"/>
  <c r="T73" i="55"/>
  <c r="S73" i="55"/>
  <c r="R73" i="55"/>
  <c r="Q73" i="55"/>
  <c r="P73" i="55"/>
  <c r="O73" i="55"/>
  <c r="N73" i="55"/>
  <c r="M73" i="55"/>
  <c r="T72" i="55"/>
  <c r="S72" i="55"/>
  <c r="R72" i="55"/>
  <c r="Q72" i="55"/>
  <c r="P72" i="55"/>
  <c r="O72" i="55"/>
  <c r="N72" i="55"/>
  <c r="M72" i="55"/>
  <c r="T71" i="55"/>
  <c r="S71" i="55"/>
  <c r="R71" i="55"/>
  <c r="Q71" i="55"/>
  <c r="P71" i="55"/>
  <c r="O71" i="55"/>
  <c r="N71" i="55"/>
  <c r="M71" i="55"/>
  <c r="T70" i="55"/>
  <c r="S70" i="55"/>
  <c r="R70" i="55"/>
  <c r="Q70" i="55"/>
  <c r="P70" i="55"/>
  <c r="O70" i="55"/>
  <c r="N70" i="55"/>
  <c r="M70" i="55"/>
  <c r="T69" i="55"/>
  <c r="S69" i="55"/>
  <c r="R69" i="55"/>
  <c r="Q69" i="55"/>
  <c r="P69" i="55"/>
  <c r="O69" i="55"/>
  <c r="N69" i="55"/>
  <c r="M69" i="55"/>
  <c r="T68" i="55"/>
  <c r="S68" i="55"/>
  <c r="R68" i="55"/>
  <c r="Q68" i="55"/>
  <c r="P68" i="55"/>
  <c r="O68" i="55"/>
  <c r="N68" i="55"/>
  <c r="M68" i="55"/>
  <c r="T67" i="55"/>
  <c r="S67" i="55"/>
  <c r="R67" i="55"/>
  <c r="Q67" i="55"/>
  <c r="P67" i="55"/>
  <c r="O67" i="55"/>
  <c r="N67" i="55"/>
  <c r="M67" i="55"/>
  <c r="T66" i="55"/>
  <c r="S66" i="55"/>
  <c r="R66" i="55"/>
  <c r="Q66" i="55"/>
  <c r="P66" i="55"/>
  <c r="O66" i="55"/>
  <c r="N66" i="55"/>
  <c r="M66" i="55"/>
  <c r="T65" i="55"/>
  <c r="S65" i="55"/>
  <c r="R65" i="55"/>
  <c r="Q65" i="55"/>
  <c r="P65" i="55"/>
  <c r="O65" i="55"/>
  <c r="N65" i="55"/>
  <c r="M65" i="55"/>
  <c r="T64" i="55"/>
  <c r="S64" i="55"/>
  <c r="R64" i="55"/>
  <c r="Q64" i="55"/>
  <c r="P64" i="55"/>
  <c r="O64" i="55"/>
  <c r="N64" i="55"/>
  <c r="M64" i="55"/>
  <c r="T63" i="55"/>
  <c r="S63" i="55"/>
  <c r="R63" i="55"/>
  <c r="Q63" i="55"/>
  <c r="P63" i="55"/>
  <c r="O63" i="55"/>
  <c r="N63" i="55"/>
  <c r="M63" i="55"/>
  <c r="T62" i="55"/>
  <c r="S62" i="55"/>
  <c r="R62" i="55"/>
  <c r="Q62" i="55"/>
  <c r="P62" i="55"/>
  <c r="O62" i="55"/>
  <c r="N62" i="55"/>
  <c r="M62" i="55"/>
  <c r="T61" i="55"/>
  <c r="S61" i="55"/>
  <c r="R61" i="55"/>
  <c r="Q61" i="55"/>
  <c r="P61" i="55"/>
  <c r="O61" i="55"/>
  <c r="N61" i="55"/>
  <c r="M61" i="55"/>
  <c r="T60" i="55"/>
  <c r="S60" i="55"/>
  <c r="R60" i="55"/>
  <c r="Q60" i="55"/>
  <c r="P60" i="55"/>
  <c r="O60" i="55"/>
  <c r="N60" i="55"/>
  <c r="M60" i="55"/>
  <c r="T59" i="55"/>
  <c r="S59" i="55"/>
  <c r="R59" i="55"/>
  <c r="Q59" i="55"/>
  <c r="P59" i="55"/>
  <c r="O59" i="55"/>
  <c r="N59" i="55"/>
  <c r="M59" i="55"/>
  <c r="T58" i="55"/>
  <c r="S58" i="55"/>
  <c r="R58" i="55"/>
  <c r="Q58" i="55"/>
  <c r="P58" i="55"/>
  <c r="O58" i="55"/>
  <c r="N58" i="55"/>
  <c r="M58" i="55"/>
  <c r="T57" i="55"/>
  <c r="S57" i="55"/>
  <c r="R57" i="55"/>
  <c r="Q57" i="55"/>
  <c r="P57" i="55"/>
  <c r="O57" i="55"/>
  <c r="N57" i="55"/>
  <c r="M57" i="55"/>
  <c r="T56" i="55"/>
  <c r="S56" i="55"/>
  <c r="R56" i="55"/>
  <c r="Q56" i="55"/>
  <c r="P56" i="55"/>
  <c r="O56" i="55"/>
  <c r="N56" i="55"/>
  <c r="M56" i="55"/>
  <c r="T55" i="55"/>
  <c r="S55" i="55"/>
  <c r="R55" i="55"/>
  <c r="Q55" i="55"/>
  <c r="P55" i="55"/>
  <c r="O55" i="55"/>
  <c r="N55" i="55"/>
  <c r="M55" i="55"/>
  <c r="T54" i="55"/>
  <c r="S54" i="55"/>
  <c r="R54" i="55"/>
  <c r="Q54" i="55"/>
  <c r="P54" i="55"/>
  <c r="O54" i="55"/>
  <c r="N54" i="55"/>
  <c r="M54" i="55"/>
  <c r="T53" i="55"/>
  <c r="S53" i="55"/>
  <c r="R53" i="55"/>
  <c r="Q53" i="55"/>
  <c r="P53" i="55"/>
  <c r="O53" i="55"/>
  <c r="N53" i="55"/>
  <c r="M53" i="55"/>
  <c r="T52" i="55"/>
  <c r="S52" i="55"/>
  <c r="R52" i="55"/>
  <c r="Q52" i="55"/>
  <c r="P52" i="55"/>
  <c r="O52" i="55"/>
  <c r="N52" i="55"/>
  <c r="M52" i="55"/>
  <c r="T51" i="55"/>
  <c r="S51" i="55"/>
  <c r="R51" i="55"/>
  <c r="Q51" i="55"/>
  <c r="P51" i="55"/>
  <c r="O51" i="55"/>
  <c r="N51" i="55"/>
  <c r="M51" i="55"/>
  <c r="T50" i="55"/>
  <c r="S50" i="55"/>
  <c r="R50" i="55"/>
  <c r="Q50" i="55"/>
  <c r="P50" i="55"/>
  <c r="O50" i="55"/>
  <c r="N50" i="55"/>
  <c r="M50" i="55"/>
  <c r="T49" i="55"/>
  <c r="S49" i="55"/>
  <c r="R49" i="55"/>
  <c r="Q49" i="55"/>
  <c r="P49" i="55"/>
  <c r="O49" i="55"/>
  <c r="N49" i="55"/>
  <c r="M49" i="55"/>
  <c r="T48" i="55"/>
  <c r="S48" i="55"/>
  <c r="R48" i="55"/>
  <c r="Q48" i="55"/>
  <c r="P48" i="55"/>
  <c r="O48" i="55"/>
  <c r="N48" i="55"/>
  <c r="M48" i="55"/>
  <c r="T47" i="55"/>
  <c r="S47" i="55"/>
  <c r="R47" i="55"/>
  <c r="Q47" i="55"/>
  <c r="P47" i="55"/>
  <c r="O47" i="55"/>
  <c r="N47" i="55"/>
  <c r="M47" i="55"/>
  <c r="T46" i="55"/>
  <c r="S46" i="55"/>
  <c r="R46" i="55"/>
  <c r="Q46" i="55"/>
  <c r="P46" i="55"/>
  <c r="O46" i="55"/>
  <c r="N46" i="55"/>
  <c r="M46" i="55"/>
  <c r="T45" i="55"/>
  <c r="S45" i="55"/>
  <c r="R45" i="55"/>
  <c r="Q45" i="55"/>
  <c r="P45" i="55"/>
  <c r="O45" i="55"/>
  <c r="N45" i="55"/>
  <c r="M45" i="55"/>
  <c r="T44" i="55"/>
  <c r="S44" i="55"/>
  <c r="R44" i="55"/>
  <c r="Q44" i="55"/>
  <c r="P44" i="55"/>
  <c r="O44" i="55"/>
  <c r="N44" i="55"/>
  <c r="M44" i="55"/>
  <c r="T43" i="55"/>
  <c r="S43" i="55"/>
  <c r="R43" i="55"/>
  <c r="Q43" i="55"/>
  <c r="P43" i="55"/>
  <c r="O43" i="55"/>
  <c r="N43" i="55"/>
  <c r="M43" i="55"/>
  <c r="T42" i="55"/>
  <c r="S42" i="55"/>
  <c r="R42" i="55"/>
  <c r="Q42" i="55"/>
  <c r="P42" i="55"/>
  <c r="O42" i="55"/>
  <c r="N42" i="55"/>
  <c r="M42" i="55"/>
  <c r="T41" i="55"/>
  <c r="S41" i="55"/>
  <c r="R41" i="55"/>
  <c r="Q41" i="55"/>
  <c r="P41" i="55"/>
  <c r="O41" i="55"/>
  <c r="N41" i="55"/>
  <c r="M41" i="55"/>
  <c r="T40" i="55"/>
  <c r="S40" i="55"/>
  <c r="R40" i="55"/>
  <c r="Q40" i="55"/>
  <c r="P40" i="55"/>
  <c r="O40" i="55"/>
  <c r="N40" i="55"/>
  <c r="M40" i="55"/>
  <c r="T39" i="55"/>
  <c r="S39" i="55"/>
  <c r="R39" i="55"/>
  <c r="Q39" i="55"/>
  <c r="P39" i="55"/>
  <c r="O39" i="55"/>
  <c r="N39" i="55"/>
  <c r="M39" i="55"/>
  <c r="T38" i="55"/>
  <c r="S38" i="55"/>
  <c r="R38" i="55"/>
  <c r="Q38" i="55"/>
  <c r="P38" i="55"/>
  <c r="O38" i="55"/>
  <c r="N38" i="55"/>
  <c r="M38" i="55"/>
  <c r="T37" i="55"/>
  <c r="S37" i="55"/>
  <c r="R37" i="55"/>
  <c r="Q37" i="55"/>
  <c r="P37" i="55"/>
  <c r="O37" i="55"/>
  <c r="N37" i="55"/>
  <c r="M37" i="55"/>
  <c r="C37" i="55"/>
  <c r="D37" i="55"/>
  <c r="E37" i="55"/>
  <c r="F37" i="55"/>
  <c r="G37" i="55"/>
  <c r="H37" i="55"/>
  <c r="I37" i="55"/>
  <c r="J37" i="55"/>
  <c r="C38" i="55"/>
  <c r="D38" i="55"/>
  <c r="E38" i="55"/>
  <c r="F38" i="55"/>
  <c r="G38" i="55"/>
  <c r="H38" i="55"/>
  <c r="I38" i="55"/>
  <c r="J38" i="55"/>
  <c r="C39" i="55"/>
  <c r="D39" i="55"/>
  <c r="E39" i="55"/>
  <c r="F39" i="55"/>
  <c r="G39" i="55"/>
  <c r="H39" i="55"/>
  <c r="I39" i="55"/>
  <c r="J39" i="55"/>
  <c r="C40" i="55"/>
  <c r="D40" i="55"/>
  <c r="E40" i="55"/>
  <c r="F40" i="55"/>
  <c r="G40" i="55"/>
  <c r="H40" i="55"/>
  <c r="I40" i="55"/>
  <c r="J40" i="55"/>
  <c r="C41" i="55"/>
  <c r="D41" i="55"/>
  <c r="E41" i="55"/>
  <c r="F41" i="55"/>
  <c r="G41" i="55"/>
  <c r="H41" i="55"/>
  <c r="I41" i="55"/>
  <c r="J41" i="55"/>
  <c r="C42" i="55"/>
  <c r="D42" i="55"/>
  <c r="E42" i="55"/>
  <c r="F42" i="55"/>
  <c r="G42" i="55"/>
  <c r="H42" i="55"/>
  <c r="I42" i="55"/>
  <c r="J42" i="55"/>
  <c r="C43" i="55"/>
  <c r="D43" i="55"/>
  <c r="E43" i="55"/>
  <c r="F43" i="55"/>
  <c r="G43" i="55"/>
  <c r="H43" i="55"/>
  <c r="I43" i="55"/>
  <c r="J43" i="55"/>
  <c r="C44" i="55"/>
  <c r="D44" i="55"/>
  <c r="E44" i="55"/>
  <c r="F44" i="55"/>
  <c r="G44" i="55"/>
  <c r="H44" i="55"/>
  <c r="I44" i="55"/>
  <c r="J44" i="55"/>
  <c r="C45" i="55"/>
  <c r="D45" i="55"/>
  <c r="E45" i="55"/>
  <c r="F45" i="55"/>
  <c r="G45" i="55"/>
  <c r="H45" i="55"/>
  <c r="I45" i="55"/>
  <c r="J45" i="55"/>
  <c r="C46" i="55"/>
  <c r="D46" i="55"/>
  <c r="E46" i="55"/>
  <c r="F46" i="55"/>
  <c r="G46" i="55"/>
  <c r="H46" i="55"/>
  <c r="I46" i="55"/>
  <c r="J46" i="55"/>
  <c r="C47" i="55"/>
  <c r="D47" i="55"/>
  <c r="E47" i="55"/>
  <c r="F47" i="55"/>
  <c r="G47" i="55"/>
  <c r="H47" i="55"/>
  <c r="I47" i="55"/>
  <c r="J47" i="55"/>
  <c r="C48" i="55"/>
  <c r="D48" i="55"/>
  <c r="E48" i="55"/>
  <c r="F48" i="55"/>
  <c r="G48" i="55"/>
  <c r="H48" i="55"/>
  <c r="I48" i="55"/>
  <c r="J48" i="55"/>
  <c r="C49" i="55"/>
  <c r="D49" i="55"/>
  <c r="E49" i="55"/>
  <c r="F49" i="55"/>
  <c r="G49" i="55"/>
  <c r="H49" i="55"/>
  <c r="I49" i="55"/>
  <c r="J49" i="55"/>
  <c r="C50" i="55"/>
  <c r="D50" i="55"/>
  <c r="E50" i="55"/>
  <c r="F50" i="55"/>
  <c r="G50" i="55"/>
  <c r="H50" i="55"/>
  <c r="I50" i="55"/>
  <c r="J50" i="55"/>
  <c r="C51" i="55"/>
  <c r="D51" i="55"/>
  <c r="E51" i="55"/>
  <c r="F51" i="55"/>
  <c r="G51" i="55"/>
  <c r="H51" i="55"/>
  <c r="I51" i="55"/>
  <c r="J51" i="55"/>
  <c r="C52" i="55"/>
  <c r="D52" i="55"/>
  <c r="E52" i="55"/>
  <c r="F52" i="55"/>
  <c r="G52" i="55"/>
  <c r="H52" i="55"/>
  <c r="I52" i="55"/>
  <c r="J52" i="55"/>
  <c r="C53" i="55"/>
  <c r="D53" i="55"/>
  <c r="E53" i="55"/>
  <c r="F53" i="55"/>
  <c r="G53" i="55"/>
  <c r="H53" i="55"/>
  <c r="I53" i="55"/>
  <c r="J53" i="55"/>
  <c r="C54" i="55"/>
  <c r="D54" i="55"/>
  <c r="E54" i="55"/>
  <c r="F54" i="55"/>
  <c r="G54" i="55"/>
  <c r="H54" i="55"/>
  <c r="I54" i="55"/>
  <c r="J54" i="55"/>
  <c r="C55" i="55"/>
  <c r="D55" i="55"/>
  <c r="E55" i="55"/>
  <c r="F55" i="55"/>
  <c r="G55" i="55"/>
  <c r="H55" i="55"/>
  <c r="I55" i="55"/>
  <c r="J55" i="55"/>
  <c r="C56" i="55"/>
  <c r="D56" i="55"/>
  <c r="E56" i="55"/>
  <c r="F56" i="55"/>
  <c r="G56" i="55"/>
  <c r="H56" i="55"/>
  <c r="I56" i="55"/>
  <c r="J56" i="55"/>
  <c r="C57" i="55"/>
  <c r="D57" i="55"/>
  <c r="E57" i="55"/>
  <c r="F57" i="55"/>
  <c r="G57" i="55"/>
  <c r="H57" i="55"/>
  <c r="I57" i="55"/>
  <c r="J57" i="55"/>
  <c r="C58" i="55"/>
  <c r="D58" i="55"/>
  <c r="E58" i="55"/>
  <c r="F58" i="55"/>
  <c r="G58" i="55"/>
  <c r="H58" i="55"/>
  <c r="I58" i="55"/>
  <c r="J58" i="55"/>
  <c r="C59" i="55"/>
  <c r="D59" i="55"/>
  <c r="E59" i="55"/>
  <c r="F59" i="55"/>
  <c r="G59" i="55"/>
  <c r="H59" i="55"/>
  <c r="I59" i="55"/>
  <c r="J59" i="55"/>
  <c r="C60" i="55"/>
  <c r="D60" i="55"/>
  <c r="E60" i="55"/>
  <c r="F60" i="55"/>
  <c r="G60" i="55"/>
  <c r="H60" i="55"/>
  <c r="I60" i="55"/>
  <c r="J60" i="55"/>
  <c r="C61" i="55"/>
  <c r="D61" i="55"/>
  <c r="E61" i="55"/>
  <c r="F61" i="55"/>
  <c r="G61" i="55"/>
  <c r="H61" i="55"/>
  <c r="I61" i="55"/>
  <c r="J61" i="55"/>
  <c r="C62" i="55"/>
  <c r="D62" i="55"/>
  <c r="E62" i="55"/>
  <c r="F62" i="55"/>
  <c r="G62" i="55"/>
  <c r="H62" i="55"/>
  <c r="I62" i="55"/>
  <c r="J62" i="55"/>
  <c r="C63" i="55"/>
  <c r="D63" i="55"/>
  <c r="E63" i="55"/>
  <c r="F63" i="55"/>
  <c r="G63" i="55"/>
  <c r="H63" i="55"/>
  <c r="I63" i="55"/>
  <c r="J63" i="55"/>
  <c r="C64" i="55"/>
  <c r="D64" i="55"/>
  <c r="E64" i="55"/>
  <c r="F64" i="55"/>
  <c r="G64" i="55"/>
  <c r="H64" i="55"/>
  <c r="I64" i="55"/>
  <c r="J64" i="55"/>
  <c r="C65" i="55"/>
  <c r="D65" i="55"/>
  <c r="E65" i="55"/>
  <c r="F65" i="55"/>
  <c r="G65" i="55"/>
  <c r="H65" i="55"/>
  <c r="I65" i="55"/>
  <c r="J65" i="55"/>
  <c r="C66" i="55"/>
  <c r="D66" i="55"/>
  <c r="E66" i="55"/>
  <c r="F66" i="55"/>
  <c r="G66" i="55"/>
  <c r="H66" i="55"/>
  <c r="I66" i="55"/>
  <c r="J66" i="55"/>
  <c r="C67" i="55"/>
  <c r="D67" i="55"/>
  <c r="E67" i="55"/>
  <c r="F67" i="55"/>
  <c r="G67" i="55"/>
  <c r="H67" i="55"/>
  <c r="I67" i="55"/>
  <c r="J67" i="55"/>
  <c r="C68" i="55"/>
  <c r="D68" i="55"/>
  <c r="E68" i="55"/>
  <c r="F68" i="55"/>
  <c r="G68" i="55"/>
  <c r="H68" i="55"/>
  <c r="I68" i="55"/>
  <c r="J68" i="55"/>
  <c r="C69" i="55"/>
  <c r="D69" i="55"/>
  <c r="E69" i="55"/>
  <c r="F69" i="55"/>
  <c r="G69" i="55"/>
  <c r="H69" i="55"/>
  <c r="I69" i="55"/>
  <c r="J69" i="55"/>
  <c r="C70" i="55"/>
  <c r="D70" i="55"/>
  <c r="E70" i="55"/>
  <c r="F70" i="55"/>
  <c r="G70" i="55"/>
  <c r="H70" i="55"/>
  <c r="I70" i="55"/>
  <c r="J70" i="55"/>
  <c r="C71" i="55"/>
  <c r="D71" i="55"/>
  <c r="E71" i="55"/>
  <c r="F71" i="55"/>
  <c r="G71" i="55"/>
  <c r="H71" i="55"/>
  <c r="I71" i="55"/>
  <c r="J71" i="55"/>
  <c r="C72" i="55"/>
  <c r="D72" i="55"/>
  <c r="E72" i="55"/>
  <c r="F72" i="55"/>
  <c r="G72" i="55"/>
  <c r="H72" i="55"/>
  <c r="I72" i="55"/>
  <c r="J72" i="55"/>
  <c r="C73" i="55"/>
  <c r="D73" i="55"/>
  <c r="E73" i="55"/>
  <c r="F73" i="55"/>
  <c r="G73" i="55"/>
  <c r="H73" i="55"/>
  <c r="I73" i="55"/>
  <c r="J73" i="55"/>
  <c r="C74" i="55"/>
  <c r="D74" i="55"/>
  <c r="E74" i="55"/>
  <c r="F74" i="55"/>
  <c r="G74" i="55"/>
  <c r="H74" i="55"/>
  <c r="I74" i="55"/>
  <c r="J74" i="55"/>
  <c r="C75" i="55"/>
  <c r="D75" i="55"/>
  <c r="E75" i="55"/>
  <c r="F75" i="55"/>
  <c r="G75" i="55"/>
  <c r="H75" i="55"/>
  <c r="I75" i="55"/>
  <c r="J75" i="55"/>
  <c r="C76" i="55"/>
  <c r="D76" i="55"/>
  <c r="E76" i="55"/>
  <c r="F76" i="55"/>
  <c r="G76" i="55"/>
  <c r="H76" i="55"/>
  <c r="I76" i="55"/>
  <c r="J76" i="55"/>
  <c r="C77" i="55"/>
  <c r="D77" i="55"/>
  <c r="E77" i="55"/>
  <c r="F77" i="55"/>
  <c r="G77" i="55"/>
  <c r="H77" i="55"/>
  <c r="I77" i="55"/>
  <c r="J77" i="55"/>
  <c r="C78" i="55"/>
  <c r="D78" i="55"/>
  <c r="E78" i="55"/>
  <c r="F78" i="55"/>
  <c r="G78" i="55"/>
  <c r="H78" i="55"/>
  <c r="I78" i="55"/>
  <c r="J78" i="55"/>
  <c r="C79" i="55"/>
  <c r="D79" i="55"/>
  <c r="E79" i="55"/>
  <c r="F79" i="55"/>
  <c r="G79" i="55"/>
  <c r="H79" i="55"/>
  <c r="I79" i="55"/>
  <c r="J79" i="55"/>
  <c r="C80" i="55"/>
  <c r="D80" i="55"/>
  <c r="E80" i="55"/>
  <c r="F80" i="55"/>
  <c r="G80" i="55"/>
  <c r="H80" i="55"/>
  <c r="I80" i="55"/>
  <c r="J80" i="55"/>
  <c r="C81" i="55"/>
  <c r="D81" i="55"/>
  <c r="E81" i="55"/>
  <c r="F81" i="55"/>
  <c r="G81" i="55"/>
  <c r="H81" i="55"/>
  <c r="I81" i="55"/>
  <c r="J81" i="55"/>
  <c r="C82" i="55"/>
  <c r="D82" i="55"/>
  <c r="E82" i="55"/>
  <c r="F82" i="55"/>
  <c r="G82" i="55"/>
  <c r="H82" i="55"/>
  <c r="I82" i="55"/>
  <c r="J82" i="55"/>
  <c r="C83" i="55"/>
  <c r="D83" i="55"/>
  <c r="E83" i="55"/>
  <c r="F83" i="55"/>
  <c r="G83" i="55"/>
  <c r="H83" i="55"/>
  <c r="I83" i="55"/>
  <c r="J83" i="55"/>
  <c r="C84" i="55"/>
  <c r="D84" i="55"/>
  <c r="E84" i="55"/>
  <c r="F84" i="55"/>
  <c r="G84" i="55"/>
  <c r="H84" i="55"/>
  <c r="I84" i="55"/>
  <c r="J84" i="55"/>
  <c r="C85" i="55"/>
  <c r="D85" i="55"/>
  <c r="E85" i="55"/>
  <c r="F85" i="55"/>
  <c r="G85" i="55"/>
  <c r="H85" i="55"/>
  <c r="I85" i="55"/>
  <c r="J85" i="55"/>
  <c r="C86" i="55"/>
  <c r="D86" i="55"/>
  <c r="E86" i="55"/>
  <c r="F86" i="55"/>
  <c r="G86" i="55"/>
  <c r="H86" i="55"/>
  <c r="I86" i="55"/>
  <c r="J86" i="55"/>
  <c r="C87" i="55"/>
  <c r="D87" i="55"/>
  <c r="E87" i="55"/>
  <c r="F87" i="55"/>
  <c r="G87" i="55"/>
  <c r="H87" i="55"/>
  <c r="I87" i="55"/>
  <c r="J87" i="55"/>
  <c r="C88" i="55"/>
  <c r="D88" i="55"/>
  <c r="E88" i="55"/>
  <c r="F88" i="55"/>
  <c r="G88" i="55"/>
  <c r="H88" i="55"/>
  <c r="I88" i="55"/>
  <c r="J88" i="55"/>
  <c r="C89" i="55"/>
  <c r="D89" i="55"/>
  <c r="E89" i="55"/>
  <c r="F89" i="55"/>
  <c r="G89" i="55"/>
  <c r="H89" i="55"/>
  <c r="I89" i="55"/>
  <c r="J89" i="55"/>
  <c r="C90" i="55"/>
  <c r="D90" i="55"/>
  <c r="E90" i="55"/>
  <c r="F90" i="55"/>
  <c r="G90" i="55"/>
  <c r="H90" i="55"/>
  <c r="I90" i="55"/>
  <c r="J90" i="55"/>
  <c r="C91" i="55"/>
  <c r="D91" i="55"/>
  <c r="E91" i="55"/>
  <c r="F91" i="55"/>
  <c r="G91" i="55"/>
  <c r="H91" i="55"/>
  <c r="I91" i="55"/>
  <c r="J91" i="55"/>
  <c r="C92" i="55"/>
  <c r="D92" i="55"/>
  <c r="E92" i="55"/>
  <c r="F92" i="55"/>
  <c r="G92" i="55"/>
  <c r="H92" i="55"/>
  <c r="I92" i="55"/>
  <c r="J92" i="55"/>
  <c r="C93" i="55"/>
  <c r="D93" i="55"/>
  <c r="E93" i="55"/>
  <c r="F93" i="55"/>
  <c r="G93" i="55"/>
  <c r="H93" i="55"/>
  <c r="I93" i="55"/>
  <c r="J93" i="55"/>
  <c r="C94" i="55"/>
  <c r="D94" i="55"/>
  <c r="E94" i="55"/>
  <c r="F94" i="55"/>
  <c r="G94" i="55"/>
  <c r="H94" i="55"/>
  <c r="I94" i="55"/>
  <c r="J94" i="55"/>
  <c r="C95" i="55"/>
  <c r="D95" i="55"/>
  <c r="E95" i="55"/>
  <c r="F95" i="55"/>
  <c r="G95" i="55"/>
  <c r="H95" i="55"/>
  <c r="I95" i="55"/>
  <c r="J95" i="55"/>
  <c r="C96" i="55"/>
  <c r="D96" i="55"/>
  <c r="E96" i="55"/>
  <c r="F96" i="55"/>
  <c r="G96" i="55"/>
  <c r="H96" i="55"/>
  <c r="I96" i="55"/>
  <c r="J96" i="55"/>
  <c r="C97" i="55"/>
  <c r="D97" i="55"/>
  <c r="E97" i="55"/>
  <c r="F97" i="55"/>
  <c r="G97" i="55"/>
  <c r="H97" i="55"/>
  <c r="I97" i="55"/>
  <c r="J97" i="55"/>
  <c r="C98" i="55"/>
  <c r="D98" i="55"/>
  <c r="E98" i="55"/>
  <c r="F98" i="55"/>
  <c r="G98" i="55"/>
  <c r="H98" i="55"/>
  <c r="I98" i="55"/>
  <c r="J98" i="55"/>
  <c r="C99" i="55"/>
  <c r="D99" i="55"/>
  <c r="E99" i="55"/>
  <c r="F99" i="55"/>
  <c r="G99" i="55"/>
  <c r="H99" i="55"/>
  <c r="I99" i="55"/>
  <c r="J99" i="55"/>
  <c r="C100" i="55"/>
  <c r="D100" i="55"/>
  <c r="E100" i="55"/>
  <c r="F100" i="55"/>
  <c r="G100" i="55"/>
  <c r="H100" i="55"/>
  <c r="I100" i="55"/>
  <c r="J100" i="55"/>
  <c r="V67" i="44" l="1" a="1"/>
  <c r="V67" i="44" s="1"/>
  <c r="X77" i="44" a="1"/>
  <c r="X77" i="44" s="1"/>
  <c r="W163" i="44" a="1"/>
  <c r="W163" i="44" s="1"/>
  <c r="I163" i="44" s="1"/>
  <c r="I88" i="44"/>
  <c r="V88" i="44" a="1"/>
  <c r="V88" i="44" s="1"/>
  <c r="I190" i="44"/>
  <c r="V190" i="44" a="1"/>
  <c r="V190" i="44" s="1"/>
  <c r="S66" i="44"/>
  <c r="T66" i="44" s="1"/>
  <c r="K66" i="44"/>
  <c r="L66" i="44" s="1"/>
  <c r="I92" i="44"/>
  <c r="V92" i="44" a="1"/>
  <c r="V92" i="44" s="1"/>
  <c r="I110" i="44"/>
  <c r="V110" i="44" a="1"/>
  <c r="V110" i="44" s="1"/>
  <c r="W110" i="44" s="1" a="1"/>
  <c r="W110" i="44" s="1"/>
  <c r="S138" i="44"/>
  <c r="T138" i="44" s="1"/>
  <c r="K138" i="44"/>
  <c r="L138" i="44" s="1"/>
  <c r="I144" i="44"/>
  <c r="V144" i="44" a="1"/>
  <c r="V144" i="44" s="1"/>
  <c r="I182" i="44"/>
  <c r="I210" i="44"/>
  <c r="I17" i="44"/>
  <c r="S70" i="44"/>
  <c r="T70" i="44" s="1"/>
  <c r="K70" i="44"/>
  <c r="L70" i="44" s="1"/>
  <c r="K18" i="44"/>
  <c r="L18" i="44" s="1"/>
  <c r="S29" i="44"/>
  <c r="T29" i="44" s="1"/>
  <c r="S62" i="44"/>
  <c r="T62" i="44" s="1"/>
  <c r="I65" i="44"/>
  <c r="I69" i="44"/>
  <c r="X103" i="44" a="1"/>
  <c r="X103" i="44" s="1"/>
  <c r="S120" i="44"/>
  <c r="T120" i="44" s="1"/>
  <c r="W173" i="44" a="1"/>
  <c r="W173" i="44" s="1"/>
  <c r="S187" i="44"/>
  <c r="T187" i="44" s="1"/>
  <c r="K187" i="44"/>
  <c r="L187" i="44" s="1"/>
  <c r="S159" i="44"/>
  <c r="T159" i="44" s="1"/>
  <c r="K159" i="44"/>
  <c r="L159" i="44" s="1"/>
  <c r="K174" i="44"/>
  <c r="L174" i="44" s="1"/>
  <c r="S174" i="44"/>
  <c r="T174" i="44" s="1"/>
  <c r="J4" i="44"/>
  <c r="S21" i="44"/>
  <c r="T21" i="44" s="1"/>
  <c r="S23" i="44"/>
  <c r="T23" i="44" s="1"/>
  <c r="S25" i="44"/>
  <c r="T25" i="44" s="1"/>
  <c r="S27" i="44"/>
  <c r="T27" i="44" s="1"/>
  <c r="V31" i="44" a="1"/>
  <c r="V31" i="44" s="1"/>
  <c r="W31" i="44" s="1" a="1"/>
  <c r="W31" i="44" s="1"/>
  <c r="K43" i="44"/>
  <c r="L43" i="44" s="1"/>
  <c r="S47" i="44"/>
  <c r="T47" i="44" s="1"/>
  <c r="S60" i="44"/>
  <c r="T60" i="44" s="1"/>
  <c r="S74" i="44"/>
  <c r="T74" i="44" s="1"/>
  <c r="S82" i="44"/>
  <c r="T82" i="44" s="1"/>
  <c r="S83" i="44"/>
  <c r="T83" i="44" s="1"/>
  <c r="K113" i="44"/>
  <c r="L113" i="44" s="1"/>
  <c r="S113" i="44"/>
  <c r="T113" i="44" s="1"/>
  <c r="I114" i="44"/>
  <c r="V114" i="44" a="1"/>
  <c r="V114" i="44" s="1"/>
  <c r="W114" i="44" s="1" a="1"/>
  <c r="W114" i="44" s="1"/>
  <c r="I208" i="44"/>
  <c r="V208" i="44" a="1"/>
  <c r="V208" i="44" s="1"/>
  <c r="V233" i="44" a="1"/>
  <c r="V233" i="44" s="1"/>
  <c r="I233" i="44"/>
  <c r="V237" i="44" a="1"/>
  <c r="V237" i="44" s="1"/>
  <c r="I237" i="44"/>
  <c r="K14" i="44"/>
  <c r="L14" i="44" s="1"/>
  <c r="K20" i="44"/>
  <c r="L20" i="44" s="1"/>
  <c r="S15" i="44"/>
  <c r="T15" i="44" s="1"/>
  <c r="S19" i="44"/>
  <c r="T19" i="44" s="1"/>
  <c r="S41" i="44"/>
  <c r="T41" i="44" s="1"/>
  <c r="S44" i="44"/>
  <c r="T44" i="44" s="1"/>
  <c r="V71" i="44" a="1"/>
  <c r="V71" i="44" s="1"/>
  <c r="K73" i="44"/>
  <c r="L73" i="44" s="1"/>
  <c r="K79" i="44"/>
  <c r="L79" i="44" s="1"/>
  <c r="I131" i="44"/>
  <c r="V131" i="44" a="1"/>
  <c r="V131" i="44" s="1"/>
  <c r="W131" i="44" s="1" a="1"/>
  <c r="W131" i="44" s="1"/>
  <c r="S146" i="44"/>
  <c r="T146" i="44" s="1"/>
  <c r="K146" i="44"/>
  <c r="L146" i="44" s="1"/>
  <c r="V186" i="44" a="1"/>
  <c r="V186" i="44" s="1"/>
  <c r="I186" i="44"/>
  <c r="V204" i="44" a="1"/>
  <c r="V204" i="44" s="1"/>
  <c r="I204" i="44"/>
  <c r="K17" i="44"/>
  <c r="L17" i="44" s="1"/>
  <c r="K25" i="44"/>
  <c r="L25" i="44" s="1"/>
  <c r="S48" i="44"/>
  <c r="T48" i="44" s="1"/>
  <c r="S54" i="44"/>
  <c r="T54" i="44" s="1"/>
  <c r="K62" i="44"/>
  <c r="L62" i="44" s="1"/>
  <c r="S89" i="44"/>
  <c r="T89" i="44" s="1"/>
  <c r="X95" i="44" a="1"/>
  <c r="X95" i="44" s="1"/>
  <c r="S112" i="44"/>
  <c r="T112" i="44" s="1"/>
  <c r="K112" i="44"/>
  <c r="L112" i="44" s="1"/>
  <c r="S123" i="44"/>
  <c r="T123" i="44" s="1"/>
  <c r="I130" i="44"/>
  <c r="V130" i="44" a="1"/>
  <c r="V130" i="44" s="1"/>
  <c r="W130" i="44" s="1" a="1"/>
  <c r="W130" i="44" s="1"/>
  <c r="X130" i="44" s="1" a="1"/>
  <c r="X130" i="44" s="1"/>
  <c r="I207" i="44"/>
  <c r="V207" i="44" a="1"/>
  <c r="V207" i="44" s="1"/>
  <c r="K212" i="44"/>
  <c r="L212" i="44" s="1"/>
  <c r="S212" i="44"/>
  <c r="T212" i="44" s="1"/>
  <c r="V225" i="44" a="1"/>
  <c r="V225" i="44" s="1"/>
  <c r="K6" i="44"/>
  <c r="K15" i="44"/>
  <c r="L15" i="44" s="1"/>
  <c r="K27" i="44"/>
  <c r="L27" i="44" s="1"/>
  <c r="K33" i="44"/>
  <c r="L33" i="44" s="1"/>
  <c r="K46" i="44"/>
  <c r="L46" i="44" s="1"/>
  <c r="K47" i="44"/>
  <c r="L47" i="44" s="1"/>
  <c r="I55" i="44"/>
  <c r="S57" i="44"/>
  <c r="T57" i="44" s="1"/>
  <c r="S78" i="44"/>
  <c r="T78" i="44" s="1"/>
  <c r="K78" i="44"/>
  <c r="L78" i="44" s="1"/>
  <c r="I94" i="44"/>
  <c r="V94" i="44" a="1"/>
  <c r="V94" i="44" s="1"/>
  <c r="W94" i="44" s="1" a="1"/>
  <c r="W94" i="44" s="1"/>
  <c r="I100" i="44"/>
  <c r="V100" i="44" a="1"/>
  <c r="V100" i="44" s="1"/>
  <c r="I112" i="44"/>
  <c r="V112" i="44" a="1"/>
  <c r="V112" i="44" s="1"/>
  <c r="K117" i="44"/>
  <c r="L117" i="44" s="1"/>
  <c r="S117" i="44"/>
  <c r="T117" i="44" s="1"/>
  <c r="V214" i="44" a="1"/>
  <c r="V214" i="44" s="1"/>
  <c r="I214" i="44"/>
  <c r="K229" i="44"/>
  <c r="L229" i="44" s="1"/>
  <c r="V256" i="44" a="1"/>
  <c r="V256" i="44" s="1"/>
  <c r="I256" i="44"/>
  <c r="K258" i="44"/>
  <c r="L258" i="44" s="1"/>
  <c r="I173" i="44"/>
  <c r="X173" i="44" s="1" a="1"/>
  <c r="X173" i="44" s="1"/>
  <c r="I181" i="44"/>
  <c r="I185" i="44"/>
  <c r="I220" i="44"/>
  <c r="S221" i="44"/>
  <c r="T221" i="44" s="1"/>
  <c r="S237" i="44"/>
  <c r="T237" i="44" s="1"/>
  <c r="S256" i="44"/>
  <c r="T256" i="44" s="1"/>
  <c r="K71" i="44"/>
  <c r="L71" i="44" s="1"/>
  <c r="S84" i="44"/>
  <c r="T84" i="44" s="1"/>
  <c r="S90" i="44"/>
  <c r="T90" i="44" s="1"/>
  <c r="K96" i="44"/>
  <c r="L96" i="44" s="1"/>
  <c r="K104" i="44"/>
  <c r="L104" i="44" s="1"/>
  <c r="S119" i="44"/>
  <c r="T119" i="44" s="1"/>
  <c r="K135" i="44"/>
  <c r="L135" i="44" s="1"/>
  <c r="V138" i="44" a="1"/>
  <c r="V138" i="44" s="1"/>
  <c r="W138" i="44" s="1" a="1"/>
  <c r="W138" i="44" s="1"/>
  <c r="X138" i="44" s="1" a="1"/>
  <c r="X138" i="44" s="1"/>
  <c r="K142" i="44"/>
  <c r="L142" i="44" s="1"/>
  <c r="K144" i="44"/>
  <c r="L144" i="44" s="1"/>
  <c r="V147" i="44" a="1"/>
  <c r="V147" i="44" s="1"/>
  <c r="K150" i="44"/>
  <c r="L150" i="44" s="1"/>
  <c r="K154" i="44"/>
  <c r="L154" i="44" s="1"/>
  <c r="K155" i="44"/>
  <c r="L155" i="44" s="1"/>
  <c r="K164" i="44"/>
  <c r="L164" i="44" s="1"/>
  <c r="K166" i="44"/>
  <c r="L166" i="44" s="1"/>
  <c r="K167" i="44"/>
  <c r="L167" i="44" s="1"/>
  <c r="K168" i="44"/>
  <c r="L168" i="44" s="1"/>
  <c r="K169" i="44"/>
  <c r="L169" i="44" s="1"/>
  <c r="K176" i="44"/>
  <c r="L176" i="44" s="1"/>
  <c r="S177" i="44"/>
  <c r="T177" i="44" s="1"/>
  <c r="V177" i="44" a="1"/>
  <c r="V177" i="44" s="1"/>
  <c r="W177" i="44" s="1" a="1"/>
  <c r="W177" i="44" s="1"/>
  <c r="K207" i="44"/>
  <c r="L207" i="44" s="1"/>
  <c r="K222" i="44"/>
  <c r="L222" i="44" s="1"/>
  <c r="S234" i="44"/>
  <c r="T234" i="44" s="1"/>
  <c r="S235" i="44"/>
  <c r="T235" i="44" s="1"/>
  <c r="K246" i="44"/>
  <c r="L246" i="44" s="1"/>
  <c r="K255" i="44"/>
  <c r="L255" i="44" s="1"/>
  <c r="V261" i="44" a="1"/>
  <c r="V261" i="44" s="1"/>
  <c r="V267" i="44" a="1"/>
  <c r="V267" i="44" s="1"/>
  <c r="J3" i="51"/>
  <c r="K86" i="44"/>
  <c r="L86" i="44" s="1"/>
  <c r="V91" i="44" a="1"/>
  <c r="V91" i="44" s="1"/>
  <c r="V108" i="44" a="1"/>
  <c r="V108" i="44" s="1"/>
  <c r="W108" i="44" s="1" a="1"/>
  <c r="W108" i="44" s="1"/>
  <c r="X108" i="44" s="1" a="1"/>
  <c r="X108" i="44" s="1"/>
  <c r="K114" i="44"/>
  <c r="L114" i="44" s="1"/>
  <c r="K130" i="44"/>
  <c r="L130" i="44" s="1"/>
  <c r="K131" i="44"/>
  <c r="L131" i="44" s="1"/>
  <c r="K156" i="44"/>
  <c r="L156" i="44" s="1"/>
  <c r="K157" i="44"/>
  <c r="L157" i="44" s="1"/>
  <c r="S175" i="44"/>
  <c r="T175" i="44" s="1"/>
  <c r="K189" i="44"/>
  <c r="L189" i="44" s="1"/>
  <c r="K201" i="44"/>
  <c r="L201" i="44" s="1"/>
  <c r="S230" i="44"/>
  <c r="T230" i="44" s="1"/>
  <c r="S242" i="44"/>
  <c r="T242" i="44" s="1"/>
  <c r="V251" i="44" a="1"/>
  <c r="V251" i="44" s="1"/>
  <c r="S271" i="44"/>
  <c r="T271" i="44" s="1"/>
  <c r="I295" i="44"/>
  <c r="V295" i="44" a="1"/>
  <c r="V295" i="44" s="1"/>
  <c r="K58" i="44"/>
  <c r="L58" i="44" s="1"/>
  <c r="S77" i="44"/>
  <c r="T77" i="44" s="1"/>
  <c r="K99" i="44"/>
  <c r="L99" i="44" s="1"/>
  <c r="K107" i="44"/>
  <c r="L107" i="44" s="1"/>
  <c r="S126" i="44"/>
  <c r="T126" i="44" s="1"/>
  <c r="V139" i="44" a="1"/>
  <c r="V139" i="44" s="1"/>
  <c r="S147" i="44"/>
  <c r="T147" i="44" s="1"/>
  <c r="K151" i="44"/>
  <c r="L151" i="44" s="1"/>
  <c r="S154" i="44"/>
  <c r="T154" i="44" s="1"/>
  <c r="K178" i="44"/>
  <c r="L178" i="44" s="1"/>
  <c r="S179" i="44"/>
  <c r="T179" i="44" s="1"/>
  <c r="V197" i="44" a="1"/>
  <c r="V197" i="44" s="1"/>
  <c r="K204" i="44"/>
  <c r="L204" i="44" s="1"/>
  <c r="K213" i="44"/>
  <c r="L213" i="44" s="1"/>
  <c r="I222" i="44"/>
  <c r="S246" i="44"/>
  <c r="T246" i="44" s="1"/>
  <c r="X249" i="44" a="1"/>
  <c r="X249" i="44" s="1"/>
  <c r="S268" i="44"/>
  <c r="T268" i="44" s="1"/>
  <c r="S279" i="44"/>
  <c r="T279" i="44" s="1"/>
  <c r="K279" i="44"/>
  <c r="L279" i="44" s="1"/>
  <c r="K282" i="44"/>
  <c r="L282" i="44" s="1"/>
  <c r="S290" i="44"/>
  <c r="T290" i="44" s="1"/>
  <c r="S17" i="51"/>
  <c r="T17" i="51" s="1"/>
  <c r="K75" i="44"/>
  <c r="L75" i="44" s="1"/>
  <c r="K90" i="44"/>
  <c r="L90" i="44" s="1"/>
  <c r="S92" i="44"/>
  <c r="T92" i="44" s="1"/>
  <c r="K93" i="44"/>
  <c r="L93" i="44" s="1"/>
  <c r="S94" i="44"/>
  <c r="T94" i="44" s="1"/>
  <c r="X99" i="44" a="1"/>
  <c r="X99" i="44" s="1"/>
  <c r="S100" i="44"/>
  <c r="T100" i="44" s="1"/>
  <c r="K101" i="44"/>
  <c r="L101" i="44" s="1"/>
  <c r="S102" i="44"/>
  <c r="T102" i="44" s="1"/>
  <c r="X107" i="44" a="1"/>
  <c r="X107" i="44" s="1"/>
  <c r="S108" i="44"/>
  <c r="T108" i="44" s="1"/>
  <c r="K109" i="44"/>
  <c r="L109" i="44" s="1"/>
  <c r="K121" i="44"/>
  <c r="L121" i="44" s="1"/>
  <c r="K139" i="44"/>
  <c r="L139" i="44" s="1"/>
  <c r="S156" i="44"/>
  <c r="T156" i="44" s="1"/>
  <c r="K163" i="44"/>
  <c r="L163" i="44" s="1"/>
  <c r="S165" i="44"/>
  <c r="T165" i="44" s="1"/>
  <c r="S168" i="44"/>
  <c r="T168" i="44" s="1"/>
  <c r="I171" i="44"/>
  <c r="X171" i="44" s="1" a="1"/>
  <c r="X171" i="44" s="1"/>
  <c r="K180" i="44"/>
  <c r="L180" i="44" s="1"/>
  <c r="S231" i="44"/>
  <c r="T231" i="44" s="1"/>
  <c r="S243" i="44"/>
  <c r="T243" i="44" s="1"/>
  <c r="S257" i="44"/>
  <c r="T257" i="44" s="1"/>
  <c r="K272" i="44"/>
  <c r="L272" i="44" s="1"/>
  <c r="K286" i="44"/>
  <c r="L286" i="44" s="1"/>
  <c r="X101" i="44" a="1"/>
  <c r="X101" i="44" s="1"/>
  <c r="K105" i="44"/>
  <c r="L105" i="44" s="1"/>
  <c r="K111" i="44"/>
  <c r="L111" i="44" s="1"/>
  <c r="S116" i="44"/>
  <c r="T116" i="44" s="1"/>
  <c r="V149" i="44" a="1"/>
  <c r="V149" i="44" s="1"/>
  <c r="S150" i="44"/>
  <c r="T150" i="44" s="1"/>
  <c r="V169" i="44" a="1"/>
  <c r="V169" i="44" s="1"/>
  <c r="K175" i="44"/>
  <c r="L175" i="44" s="1"/>
  <c r="S181" i="44"/>
  <c r="T181" i="44" s="1"/>
  <c r="S185" i="44"/>
  <c r="T185" i="44" s="1"/>
  <c r="S219" i="44"/>
  <c r="T219" i="44" s="1"/>
  <c r="K226" i="44"/>
  <c r="L226" i="44" s="1"/>
  <c r="S232" i="44"/>
  <c r="T232" i="44" s="1"/>
  <c r="S240" i="44"/>
  <c r="T240" i="44" s="1"/>
  <c r="K254" i="44"/>
  <c r="L254" i="44" s="1"/>
  <c r="S260" i="44"/>
  <c r="T260" i="44" s="1"/>
  <c r="K271" i="44"/>
  <c r="L271" i="44" s="1"/>
  <c r="S258" i="44"/>
  <c r="T258" i="44" s="1"/>
  <c r="K268" i="44"/>
  <c r="L268" i="44" s="1"/>
  <c r="K270" i="44"/>
  <c r="L270" i="44" s="1"/>
  <c r="K280" i="44"/>
  <c r="L280" i="44" s="1"/>
  <c r="S284" i="44"/>
  <c r="T284" i="44" s="1"/>
  <c r="K292" i="44"/>
  <c r="L292" i="44" s="1"/>
  <c r="S47" i="51"/>
  <c r="T47" i="51" s="1"/>
  <c r="S63" i="51"/>
  <c r="T63" i="51" s="1"/>
  <c r="I67" i="51"/>
  <c r="X67" i="51" s="1" a="1"/>
  <c r="X67" i="51" s="1"/>
  <c r="S89" i="51"/>
  <c r="T89" i="51" s="1"/>
  <c r="I222" i="51"/>
  <c r="V222" i="51" a="1"/>
  <c r="V222" i="51" s="1"/>
  <c r="K186" i="44"/>
  <c r="L186" i="44" s="1"/>
  <c r="K192" i="44"/>
  <c r="L192" i="44" s="1"/>
  <c r="K224" i="44"/>
  <c r="L224" i="44" s="1"/>
  <c r="K250" i="44"/>
  <c r="L250" i="44" s="1"/>
  <c r="K266" i="44"/>
  <c r="L266" i="44" s="1"/>
  <c r="S274" i="44"/>
  <c r="T274" i="44" s="1"/>
  <c r="K276" i="44"/>
  <c r="L276" i="44" s="1"/>
  <c r="K278" i="44"/>
  <c r="L278" i="44" s="1"/>
  <c r="S282" i="44"/>
  <c r="T282" i="44" s="1"/>
  <c r="S288" i="44"/>
  <c r="T288" i="44" s="1"/>
  <c r="V290" i="44" a="1"/>
  <c r="V290" i="44" s="1"/>
  <c r="K298" i="44"/>
  <c r="L298" i="44" s="1"/>
  <c r="S18" i="51"/>
  <c r="T18" i="51" s="1"/>
  <c r="V21" i="51" a="1"/>
  <c r="V21" i="51" s="1"/>
  <c r="V37" i="51" a="1"/>
  <c r="V37" i="51" s="1"/>
  <c r="W37" i="51" s="1" a="1"/>
  <c r="W37" i="51" s="1"/>
  <c r="X37" i="51" s="1" a="1"/>
  <c r="X37" i="51" s="1"/>
  <c r="S39" i="51"/>
  <c r="T39" i="51" s="1"/>
  <c r="K49" i="51"/>
  <c r="L49" i="51" s="1"/>
  <c r="K55" i="51"/>
  <c r="L55" i="51" s="1"/>
  <c r="K67" i="51"/>
  <c r="L67" i="51" s="1"/>
  <c r="S106" i="51"/>
  <c r="T106" i="51" s="1"/>
  <c r="K112" i="51"/>
  <c r="L112" i="51" s="1"/>
  <c r="I139" i="51"/>
  <c r="V139" i="51" a="1"/>
  <c r="V139" i="51" s="1"/>
  <c r="W139" i="51" s="1" a="1"/>
  <c r="W139" i="51" s="1"/>
  <c r="V169" i="51" a="1"/>
  <c r="V169" i="51" s="1"/>
  <c r="I169" i="51"/>
  <c r="S20" i="51"/>
  <c r="T20" i="51" s="1"/>
  <c r="S29" i="51"/>
  <c r="T29" i="51" s="1"/>
  <c r="V31" i="51" a="1"/>
  <c r="V31" i="51" s="1"/>
  <c r="W31" i="51" s="1" a="1"/>
  <c r="W31" i="51" s="1"/>
  <c r="X31" i="51" s="1" a="1"/>
  <c r="X31" i="51" s="1"/>
  <c r="S45" i="51"/>
  <c r="T45" i="51" s="1"/>
  <c r="S61" i="51"/>
  <c r="T61" i="51" s="1"/>
  <c r="K65" i="51"/>
  <c r="L65" i="51" s="1"/>
  <c r="K94" i="51"/>
  <c r="L94" i="51" s="1"/>
  <c r="S94" i="51"/>
  <c r="T94" i="51" s="1"/>
  <c r="V104" i="51" a="1"/>
  <c r="V104" i="51" s="1"/>
  <c r="W104" i="51" s="1" a="1"/>
  <c r="W104" i="51" s="1"/>
  <c r="X104" i="51" s="1" a="1"/>
  <c r="X104" i="51" s="1"/>
  <c r="I104" i="51"/>
  <c r="V110" i="51" a="1"/>
  <c r="V110" i="51" s="1"/>
  <c r="W110" i="51" s="1" a="1"/>
  <c r="W110" i="51" s="1"/>
  <c r="X110" i="51" s="1" a="1"/>
  <c r="X110" i="51" s="1"/>
  <c r="I110" i="51"/>
  <c r="S294" i="44"/>
  <c r="T294" i="44" s="1"/>
  <c r="S38" i="51"/>
  <c r="T38" i="51" s="1"/>
  <c r="K43" i="51"/>
  <c r="L43" i="51" s="1"/>
  <c r="K59" i="51"/>
  <c r="L59" i="51" s="1"/>
  <c r="V79" i="51" a="1"/>
  <c r="V79" i="51" s="1"/>
  <c r="V81" i="51" a="1"/>
  <c r="V81" i="51" s="1"/>
  <c r="S91" i="51"/>
  <c r="T91" i="51" s="1"/>
  <c r="I93" i="51"/>
  <c r="S287" i="44"/>
  <c r="T287" i="44" s="1"/>
  <c r="K15" i="51"/>
  <c r="L15" i="51" s="1"/>
  <c r="K17" i="51"/>
  <c r="L17" i="51" s="1"/>
  <c r="K18" i="51"/>
  <c r="L18" i="51" s="1"/>
  <c r="V23" i="51" a="1"/>
  <c r="V23" i="51" s="1"/>
  <c r="S27" i="51"/>
  <c r="T27" i="51" s="1"/>
  <c r="S30" i="51"/>
  <c r="T30" i="51" s="1"/>
  <c r="K37" i="51"/>
  <c r="L37" i="51" s="1"/>
  <c r="K45" i="51"/>
  <c r="L45" i="51" s="1"/>
  <c r="K61" i="51"/>
  <c r="L61" i="51" s="1"/>
  <c r="V69" i="51" a="1"/>
  <c r="V69" i="51" s="1"/>
  <c r="S79" i="51"/>
  <c r="T79" i="51" s="1"/>
  <c r="V127" i="51" a="1"/>
  <c r="V127" i="51" s="1"/>
  <c r="I127" i="51"/>
  <c r="I137" i="51"/>
  <c r="V137" i="51" a="1"/>
  <c r="V137" i="51" s="1"/>
  <c r="W137" i="51" s="1" a="1"/>
  <c r="W137" i="51" s="1"/>
  <c r="X137" i="51" s="1" a="1"/>
  <c r="X137" i="51" s="1"/>
  <c r="I159" i="51"/>
  <c r="V159" i="51" a="1"/>
  <c r="V159" i="51" s="1"/>
  <c r="V230" i="51" a="1"/>
  <c r="V230" i="51" s="1"/>
  <c r="I230" i="51"/>
  <c r="K290" i="44"/>
  <c r="L290" i="44" s="1"/>
  <c r="S295" i="44"/>
  <c r="T295" i="44" s="1"/>
  <c r="K14" i="51"/>
  <c r="L14" i="51" s="1"/>
  <c r="K20" i="51"/>
  <c r="L20" i="51" s="1"/>
  <c r="K25" i="51"/>
  <c r="L25" i="51" s="1"/>
  <c r="K26" i="51"/>
  <c r="L26" i="51" s="1"/>
  <c r="S32" i="51"/>
  <c r="T32" i="51" s="1"/>
  <c r="K33" i="51"/>
  <c r="L33" i="51" s="1"/>
  <c r="S34" i="51"/>
  <c r="T34" i="51" s="1"/>
  <c r="K35" i="51"/>
  <c r="L35" i="51" s="1"/>
  <c r="S51" i="51"/>
  <c r="T51" i="51" s="1"/>
  <c r="S69" i="51"/>
  <c r="T69" i="51" s="1"/>
  <c r="S98" i="51"/>
  <c r="T98" i="51" s="1"/>
  <c r="S100" i="51"/>
  <c r="T100" i="51" s="1"/>
  <c r="K113" i="51"/>
  <c r="L113" i="51" s="1"/>
  <c r="I135" i="51"/>
  <c r="V135" i="51" a="1"/>
  <c r="V135" i="51" s="1"/>
  <c r="V162" i="51" a="1"/>
  <c r="V162" i="51" s="1"/>
  <c r="I162" i="51"/>
  <c r="I240" i="51"/>
  <c r="V240" i="51" a="1"/>
  <c r="V240" i="51" s="1"/>
  <c r="V100" i="51" a="1"/>
  <c r="V100" i="51" s="1"/>
  <c r="I100" i="51"/>
  <c r="V114" i="51" a="1"/>
  <c r="V114" i="51" s="1"/>
  <c r="I114" i="51"/>
  <c r="V148" i="51" a="1"/>
  <c r="V148" i="51" s="1"/>
  <c r="I148" i="51"/>
  <c r="V172" i="51" a="1"/>
  <c r="V172" i="51" s="1"/>
  <c r="W172" i="51" s="1" a="1"/>
  <c r="W172" i="51" s="1"/>
  <c r="X172" i="51" s="1" a="1"/>
  <c r="X172" i="51" s="1"/>
  <c r="I172" i="51"/>
  <c r="V218" i="51" a="1"/>
  <c r="V218" i="51" s="1"/>
  <c r="I218" i="51"/>
  <c r="V95" i="51" a="1"/>
  <c r="V95" i="51" s="1"/>
  <c r="I97" i="51"/>
  <c r="I98" i="51"/>
  <c r="S124" i="51"/>
  <c r="T124" i="51" s="1"/>
  <c r="K124" i="51"/>
  <c r="L124" i="51" s="1"/>
  <c r="I207" i="51"/>
  <c r="V207" i="51" a="1"/>
  <c r="V207" i="51" s="1"/>
  <c r="V217" i="51" a="1"/>
  <c r="V217" i="51" s="1"/>
  <c r="I217" i="51"/>
  <c r="V133" i="51" a="1"/>
  <c r="V133" i="51" s="1"/>
  <c r="I152" i="51"/>
  <c r="K166" i="51"/>
  <c r="L166" i="51" s="1"/>
  <c r="S220" i="51"/>
  <c r="T220" i="51" s="1"/>
  <c r="S252" i="51"/>
  <c r="T252" i="51" s="1"/>
  <c r="V272" i="51" a="1"/>
  <c r="V272" i="51" s="1"/>
  <c r="S284" i="51"/>
  <c r="T284" i="51" s="1"/>
  <c r="I294" i="51"/>
  <c r="X294" i="51" s="1" a="1"/>
  <c r="X294" i="51" s="1"/>
  <c r="S295" i="51"/>
  <c r="T295" i="51" s="1"/>
  <c r="S296" i="51"/>
  <c r="T296" i="51" s="1"/>
  <c r="V260" i="51" a="1"/>
  <c r="V260" i="51" s="1"/>
  <c r="K120" i="51"/>
  <c r="L120" i="51" s="1"/>
  <c r="K125" i="51"/>
  <c r="L125" i="51" s="1"/>
  <c r="K131" i="51"/>
  <c r="L131" i="51" s="1"/>
  <c r="K134" i="51"/>
  <c r="L134" i="51" s="1"/>
  <c r="K170" i="51"/>
  <c r="L170" i="51" s="1"/>
  <c r="K172" i="51"/>
  <c r="L172" i="51" s="1"/>
  <c r="K186" i="51"/>
  <c r="L186" i="51" s="1"/>
  <c r="K197" i="51"/>
  <c r="L197" i="51" s="1"/>
  <c r="S221" i="51"/>
  <c r="T221" i="51" s="1"/>
  <c r="S222" i="51"/>
  <c r="T222" i="51" s="1"/>
  <c r="I224" i="51"/>
  <c r="V225" i="51" a="1"/>
  <c r="V225" i="51" s="1"/>
  <c r="S235" i="51"/>
  <c r="T235" i="51" s="1"/>
  <c r="K236" i="51"/>
  <c r="L236" i="51" s="1"/>
  <c r="S239" i="51"/>
  <c r="T239" i="51" s="1"/>
  <c r="K242" i="51"/>
  <c r="L242" i="51" s="1"/>
  <c r="K270" i="51"/>
  <c r="L270" i="51" s="1"/>
  <c r="I282" i="51"/>
  <c r="S173" i="51"/>
  <c r="T173" i="51" s="1"/>
  <c r="S174" i="51"/>
  <c r="T174" i="51" s="1"/>
  <c r="S225" i="51"/>
  <c r="T225" i="51" s="1"/>
  <c r="K271" i="51"/>
  <c r="L271" i="51" s="1"/>
  <c r="K272" i="51"/>
  <c r="L272" i="51" s="1"/>
  <c r="K286" i="51"/>
  <c r="L286" i="51" s="1"/>
  <c r="S287" i="51"/>
  <c r="T287" i="51" s="1"/>
  <c r="I300" i="51"/>
  <c r="S77" i="51"/>
  <c r="T77" i="51" s="1"/>
  <c r="S105" i="51"/>
  <c r="T105" i="51" s="1"/>
  <c r="K111" i="51"/>
  <c r="L111" i="51" s="1"/>
  <c r="K128" i="51"/>
  <c r="L128" i="51" s="1"/>
  <c r="I134" i="51"/>
  <c r="S135" i="51"/>
  <c r="T135" i="51" s="1"/>
  <c r="I171" i="51"/>
  <c r="X184" i="51" a="1"/>
  <c r="X184" i="51" s="1"/>
  <c r="V199" i="51" a="1"/>
  <c r="V199" i="51" s="1"/>
  <c r="K204" i="51"/>
  <c r="L204" i="51" s="1"/>
  <c r="K230" i="51"/>
  <c r="L230" i="51" s="1"/>
  <c r="I236" i="51"/>
  <c r="S245" i="51"/>
  <c r="T245" i="51" s="1"/>
  <c r="K250" i="51"/>
  <c r="L250" i="51" s="1"/>
  <c r="S253" i="51"/>
  <c r="T253" i="51" s="1"/>
  <c r="K260" i="51"/>
  <c r="L260" i="51" s="1"/>
  <c r="K298" i="51"/>
  <c r="L298" i="51" s="1"/>
  <c r="K100" i="51"/>
  <c r="L100" i="51" s="1"/>
  <c r="K104" i="51"/>
  <c r="L104" i="51" s="1"/>
  <c r="K106" i="51"/>
  <c r="L106" i="51" s="1"/>
  <c r="V131" i="51" a="1"/>
  <c r="V131" i="51" s="1"/>
  <c r="K156" i="51"/>
  <c r="L156" i="51" s="1"/>
  <c r="K180" i="51"/>
  <c r="L180" i="51" s="1"/>
  <c r="K189" i="51"/>
  <c r="L189" i="51" s="1"/>
  <c r="V193" i="51" a="1"/>
  <c r="V193" i="51" s="1"/>
  <c r="K205" i="51"/>
  <c r="L205" i="51" s="1"/>
  <c r="K223" i="51"/>
  <c r="L223" i="51" s="1"/>
  <c r="V241" i="51" a="1"/>
  <c r="V241" i="51" s="1"/>
  <c r="W241" i="51" s="1" a="1"/>
  <c r="W241" i="51" s="1"/>
  <c r="S249" i="51"/>
  <c r="T249" i="51" s="1"/>
  <c r="K263" i="51"/>
  <c r="L263" i="51" s="1"/>
  <c r="K273" i="51"/>
  <c r="L273" i="51" s="1"/>
  <c r="I274" i="51"/>
  <c r="X288" i="51" a="1"/>
  <c r="X288" i="51" s="1"/>
  <c r="V288" i="51" a="1"/>
  <c r="V288" i="51" s="1"/>
  <c r="W288" i="51" s="1" a="1"/>
  <c r="W288" i="51" s="1"/>
  <c r="K96" i="51"/>
  <c r="L96" i="51" s="1"/>
  <c r="K102" i="51"/>
  <c r="L102" i="51" s="1"/>
  <c r="S107" i="51"/>
  <c r="T107" i="51" s="1"/>
  <c r="I115" i="51"/>
  <c r="S122" i="51"/>
  <c r="T122" i="51" s="1"/>
  <c r="I130" i="51"/>
  <c r="K152" i="51"/>
  <c r="L152" i="51" s="1"/>
  <c r="K158" i="51"/>
  <c r="L158" i="51" s="1"/>
  <c r="S166" i="51"/>
  <c r="T166" i="51" s="1"/>
  <c r="K173" i="51"/>
  <c r="L173" i="51" s="1"/>
  <c r="S185" i="51"/>
  <c r="T185" i="51" s="1"/>
  <c r="K196" i="51"/>
  <c r="L196" i="51" s="1"/>
  <c r="V209" i="51" a="1"/>
  <c r="V209" i="51" s="1"/>
  <c r="W209" i="51" s="1" a="1"/>
  <c r="W209" i="51" s="1"/>
  <c r="X209" i="51" s="1" a="1"/>
  <c r="X209" i="51" s="1"/>
  <c r="K225" i="51"/>
  <c r="L225" i="51" s="1"/>
  <c r="K240" i="51"/>
  <c r="L240" i="51" s="1"/>
  <c r="K264" i="51"/>
  <c r="L264" i="51" s="1"/>
  <c r="K265" i="51"/>
  <c r="L265" i="51" s="1"/>
  <c r="V268" i="51" a="1"/>
  <c r="V268" i="51" s="1"/>
  <c r="K274" i="51"/>
  <c r="L274" i="51" s="1"/>
  <c r="S279" i="51"/>
  <c r="T279" i="51" s="1"/>
  <c r="X132" i="51" a="1"/>
  <c r="X132" i="51" s="1"/>
  <c r="K154" i="51"/>
  <c r="L154" i="51" s="1"/>
  <c r="S188" i="51"/>
  <c r="T188" i="51" s="1"/>
  <c r="K218" i="51"/>
  <c r="L218" i="51" s="1"/>
  <c r="K224" i="51"/>
  <c r="L224" i="51" s="1"/>
  <c r="V233" i="51" a="1"/>
  <c r="V233" i="51" s="1"/>
  <c r="W19" i="51" a="1"/>
  <c r="W19" i="51" s="1"/>
  <c r="W23" i="51" a="1"/>
  <c r="W23" i="51" s="1"/>
  <c r="X23" i="51" a="1"/>
  <c r="X23" i="51" s="1"/>
  <c r="V14" i="51" a="1"/>
  <c r="V14" i="51" s="1"/>
  <c r="W25" i="51" a="1"/>
  <c r="W25" i="51" s="1"/>
  <c r="I25" i="51" s="1"/>
  <c r="X25" i="51" s="1" a="1"/>
  <c r="X25" i="51" s="1"/>
  <c r="I26" i="51"/>
  <c r="V26" i="51" a="1"/>
  <c r="V26" i="51" s="1"/>
  <c r="W33" i="51" a="1"/>
  <c r="W33" i="51" s="1"/>
  <c r="I109" i="51"/>
  <c r="V109" i="51" a="1"/>
  <c r="V109" i="51" s="1"/>
  <c r="W111" i="51" a="1"/>
  <c r="W111" i="51" s="1"/>
  <c r="X111" i="51" s="1" a="1"/>
  <c r="X111" i="51" s="1"/>
  <c r="W126" i="51" a="1"/>
  <c r="W126" i="51" s="1"/>
  <c r="X126" i="51" s="1" a="1"/>
  <c r="X126" i="51" s="1"/>
  <c r="V16" i="51" a="1"/>
  <c r="V16" i="51" s="1"/>
  <c r="I16" i="51"/>
  <c r="W41" i="51" a="1"/>
  <c r="W41" i="51" s="1"/>
  <c r="W57" i="51" a="1"/>
  <c r="W57" i="51" s="1"/>
  <c r="W71" i="51" a="1"/>
  <c r="W71" i="51" s="1"/>
  <c r="X71" i="51" s="1" a="1"/>
  <c r="X71" i="51" s="1"/>
  <c r="W15" i="51" a="1"/>
  <c r="W15" i="51" s="1"/>
  <c r="X15" i="51" s="1" a="1"/>
  <c r="X15" i="51" s="1"/>
  <c r="V18" i="51" a="1"/>
  <c r="V18" i="51" s="1"/>
  <c r="V4" i="51" s="1"/>
  <c r="I18" i="51"/>
  <c r="W65" i="51" a="1"/>
  <c r="W65" i="51" s="1"/>
  <c r="W89" i="51" a="1"/>
  <c r="W89" i="51" s="1"/>
  <c r="W73" i="51" a="1"/>
  <c r="W73" i="51" s="1"/>
  <c r="X73" i="51" s="1" a="1"/>
  <c r="X73" i="51" s="1"/>
  <c r="W21" i="51" a="1"/>
  <c r="W21" i="51" s="1"/>
  <c r="X21" i="51" a="1"/>
  <c r="X21" i="51" s="1"/>
  <c r="W77" i="51" a="1"/>
  <c r="W77" i="51" s="1"/>
  <c r="W83" i="51" a="1"/>
  <c r="W83" i="51" s="1"/>
  <c r="W87" i="51" a="1"/>
  <c r="W87" i="51" s="1"/>
  <c r="W27" i="51" a="1"/>
  <c r="W27" i="51" s="1"/>
  <c r="X27" i="51" a="1"/>
  <c r="X27" i="51" s="1"/>
  <c r="W49" i="51" a="1"/>
  <c r="W49" i="51" s="1"/>
  <c r="X17" i="51" a="1"/>
  <c r="X17" i="51" s="1"/>
  <c r="W17" i="51" a="1"/>
  <c r="W17" i="51" s="1"/>
  <c r="W39" i="51" a="1"/>
  <c r="W39" i="51" s="1"/>
  <c r="W55" i="51" a="1"/>
  <c r="W55" i="51" s="1"/>
  <c r="V24" i="51" a="1"/>
  <c r="V24" i="51" s="1"/>
  <c r="V20" i="51" a="1"/>
  <c r="V20" i="51" s="1"/>
  <c r="I20" i="51"/>
  <c r="W45" i="51" a="1"/>
  <c r="W45" i="51" s="1"/>
  <c r="W61" i="51" a="1"/>
  <c r="W61" i="51" s="1"/>
  <c r="K46" i="51"/>
  <c r="L46" i="51" s="1"/>
  <c r="S46" i="51"/>
  <c r="T46" i="51" s="1"/>
  <c r="W51" i="51" a="1"/>
  <c r="W51" i="51" s="1"/>
  <c r="I51" i="51" s="1"/>
  <c r="S55" i="51"/>
  <c r="T55" i="51" s="1"/>
  <c r="V60" i="51" a="1"/>
  <c r="V60" i="51" s="1"/>
  <c r="I60" i="51"/>
  <c r="K62" i="51"/>
  <c r="L62" i="51" s="1"/>
  <c r="S62" i="51"/>
  <c r="T62" i="51" s="1"/>
  <c r="W67" i="51" a="1"/>
  <c r="W67" i="51" s="1"/>
  <c r="S71" i="51"/>
  <c r="T71" i="51" s="1"/>
  <c r="V76" i="51" a="1"/>
  <c r="V76" i="51" s="1"/>
  <c r="I76" i="51"/>
  <c r="K78" i="51"/>
  <c r="L78" i="51" s="1"/>
  <c r="S78" i="51"/>
  <c r="T78" i="51" s="1"/>
  <c r="K82" i="51"/>
  <c r="L82" i="51" s="1"/>
  <c r="S82" i="51"/>
  <c r="T82" i="51" s="1"/>
  <c r="V84" i="51" a="1"/>
  <c r="V84" i="51" s="1"/>
  <c r="I84" i="51"/>
  <c r="W93" i="51" a="1"/>
  <c r="W93" i="51" s="1"/>
  <c r="W102" i="51" a="1"/>
  <c r="W102" i="51" s="1"/>
  <c r="I102" i="51" s="1"/>
  <c r="W106" i="51" a="1"/>
  <c r="W106" i="51" s="1"/>
  <c r="X106" i="51" s="1" a="1"/>
  <c r="X106" i="51" s="1"/>
  <c r="S115" i="51"/>
  <c r="T115" i="51" s="1"/>
  <c r="K115" i="51"/>
  <c r="L115" i="51" s="1"/>
  <c r="X118" i="51" a="1"/>
  <c r="X118" i="51" s="1"/>
  <c r="I129" i="51"/>
  <c r="V129" i="51" a="1"/>
  <c r="V129" i="51" s="1"/>
  <c r="W134" i="51" a="1"/>
  <c r="W134" i="51" s="1"/>
  <c r="X134" i="51" a="1"/>
  <c r="X134" i="51" s="1"/>
  <c r="V138" i="51" a="1"/>
  <c r="V138" i="51" s="1"/>
  <c r="I138" i="51"/>
  <c r="X167" i="51" a="1"/>
  <c r="X167" i="51" s="1"/>
  <c r="W167" i="51" a="1"/>
  <c r="W167" i="51" s="1"/>
  <c r="I167" i="51" s="1"/>
  <c r="K171" i="51"/>
  <c r="L171" i="51" s="1"/>
  <c r="S171" i="51"/>
  <c r="T171" i="51" s="1"/>
  <c r="J4" i="51"/>
  <c r="R5" i="51"/>
  <c r="V34" i="51" a="1"/>
  <c r="V34" i="51" s="1"/>
  <c r="V53" i="51" a="1"/>
  <c r="V53" i="51" s="1"/>
  <c r="V82" i="51" a="1"/>
  <c r="V82" i="51" s="1"/>
  <c r="I82" i="51"/>
  <c r="W96" i="51" a="1"/>
  <c r="W96" i="51" s="1"/>
  <c r="X96" i="51" s="1" a="1"/>
  <c r="X96" i="51" s="1"/>
  <c r="I27" i="51"/>
  <c r="I39" i="51"/>
  <c r="S43" i="51"/>
  <c r="T43" i="51" s="1"/>
  <c r="V116" i="51" a="1"/>
  <c r="V116" i="51" s="1"/>
  <c r="X122" i="51" a="1"/>
  <c r="X122" i="51" s="1"/>
  <c r="P3" i="51"/>
  <c r="T5" i="51"/>
  <c r="I15" i="51"/>
  <c r="S15" i="51"/>
  <c r="T15" i="51" s="1"/>
  <c r="I19" i="51"/>
  <c r="S19" i="51"/>
  <c r="T19" i="51" s="1"/>
  <c r="K24" i="51"/>
  <c r="L24" i="51" s="1"/>
  <c r="I33" i="51"/>
  <c r="X33" i="51" s="1" a="1"/>
  <c r="X33" i="51" s="1"/>
  <c r="K34" i="51"/>
  <c r="L34" i="51" s="1"/>
  <c r="X35" i="51" a="1"/>
  <c r="X35" i="51" s="1"/>
  <c r="V38" i="51" a="1"/>
  <c r="V38" i="51" s="1"/>
  <c r="I41" i="51"/>
  <c r="X41" i="51" s="1" a="1"/>
  <c r="X41" i="51" s="1"/>
  <c r="V50" i="51" a="1"/>
  <c r="V50" i="51" s="1"/>
  <c r="I50" i="51"/>
  <c r="K52" i="51"/>
  <c r="L52" i="51" s="1"/>
  <c r="S52" i="51"/>
  <c r="T52" i="51" s="1"/>
  <c r="K53" i="51"/>
  <c r="L53" i="51" s="1"/>
  <c r="I57" i="51"/>
  <c r="V66" i="51" a="1"/>
  <c r="V66" i="51" s="1"/>
  <c r="K68" i="51"/>
  <c r="L68" i="51" s="1"/>
  <c r="S68" i="51"/>
  <c r="T68" i="51" s="1"/>
  <c r="K69" i="51"/>
  <c r="L69" i="51" s="1"/>
  <c r="I73" i="51"/>
  <c r="I87" i="51"/>
  <c r="X87" i="51" s="1" a="1"/>
  <c r="X87" i="51" s="1"/>
  <c r="K92" i="51"/>
  <c r="L92" i="51" s="1"/>
  <c r="S92" i="51"/>
  <c r="T92" i="51" s="1"/>
  <c r="X98" i="51" a="1"/>
  <c r="X98" i="51" s="1"/>
  <c r="W100" i="51" a="1"/>
  <c r="W100" i="51" s="1"/>
  <c r="X100" i="51" s="1" a="1"/>
  <c r="X100" i="51" s="1"/>
  <c r="W136" i="51" a="1"/>
  <c r="W136" i="51" s="1"/>
  <c r="X136" i="51" s="1" a="1"/>
  <c r="X136" i="51" s="1"/>
  <c r="W142" i="51" a="1"/>
  <c r="W142" i="51" s="1"/>
  <c r="X142" i="51" s="1" a="1"/>
  <c r="X142" i="51" s="1"/>
  <c r="V44" i="51" a="1"/>
  <c r="V44" i="51" s="1"/>
  <c r="I44" i="51"/>
  <c r="S41" i="51"/>
  <c r="T41" i="51" s="1"/>
  <c r="W69" i="51" a="1"/>
  <c r="W69" i="51" s="1"/>
  <c r="X69" i="51" s="1" a="1"/>
  <c r="X69" i="51" s="1"/>
  <c r="V29" i="51" a="1"/>
  <c r="V29" i="51" s="1"/>
  <c r="I55" i="51"/>
  <c r="S59" i="51"/>
  <c r="T59" i="51" s="1"/>
  <c r="I71" i="51"/>
  <c r="S75" i="51"/>
  <c r="T75" i="51" s="1"/>
  <c r="V80" i="51" a="1"/>
  <c r="V80" i="51" s="1"/>
  <c r="I80" i="51"/>
  <c r="K27" i="51"/>
  <c r="L27" i="51" s="1"/>
  <c r="K28" i="51"/>
  <c r="L28" i="51" s="1"/>
  <c r="W43" i="51" a="1"/>
  <c r="W43" i="51" s="1"/>
  <c r="X43" i="51" s="1" a="1"/>
  <c r="X43" i="51" s="1"/>
  <c r="V52" i="51" a="1"/>
  <c r="V52" i="51" s="1"/>
  <c r="K54" i="51"/>
  <c r="L54" i="51" s="1"/>
  <c r="S54" i="51"/>
  <c r="T54" i="51" s="1"/>
  <c r="V68" i="51" a="1"/>
  <c r="V68" i="51" s="1"/>
  <c r="I68" i="51"/>
  <c r="K70" i="51"/>
  <c r="L70" i="51" s="1"/>
  <c r="S70" i="51"/>
  <c r="T70" i="51" s="1"/>
  <c r="X75" i="51" a="1"/>
  <c r="X75" i="51" s="1"/>
  <c r="W75" i="51" a="1"/>
  <c r="W75" i="51" s="1"/>
  <c r="W85" i="51" a="1"/>
  <c r="W85" i="51" s="1"/>
  <c r="X85" i="51" s="1" a="1"/>
  <c r="X85" i="51" s="1"/>
  <c r="K90" i="51"/>
  <c r="L90" i="51" s="1"/>
  <c r="S90" i="51"/>
  <c r="T90" i="51" s="1"/>
  <c r="V92" i="51" a="1"/>
  <c r="V92" i="51" s="1"/>
  <c r="I92" i="51"/>
  <c r="V94" i="51" a="1"/>
  <c r="V94" i="51" s="1"/>
  <c r="I94" i="51"/>
  <c r="S95" i="51"/>
  <c r="T95" i="51" s="1"/>
  <c r="K95" i="51"/>
  <c r="L95" i="51" s="1"/>
  <c r="K97" i="51"/>
  <c r="L97" i="51" s="1"/>
  <c r="S97" i="51"/>
  <c r="T97" i="51" s="1"/>
  <c r="I105" i="51"/>
  <c r="V105" i="51" a="1"/>
  <c r="V105" i="51" s="1"/>
  <c r="X124" i="51" a="1"/>
  <c r="X124" i="51" s="1"/>
  <c r="W124" i="51" a="1"/>
  <c r="W124" i="51" s="1"/>
  <c r="V156" i="51" a="1"/>
  <c r="V156" i="51" s="1"/>
  <c r="I156" i="51"/>
  <c r="W192" i="51" a="1"/>
  <c r="W192" i="51" s="1"/>
  <c r="X192" i="51" a="1"/>
  <c r="X192" i="51" s="1"/>
  <c r="W199" i="51" a="1"/>
  <c r="W199" i="51" s="1"/>
  <c r="X199" i="51" s="1" a="1"/>
  <c r="X199" i="51" s="1"/>
  <c r="S207" i="51"/>
  <c r="T207" i="51" s="1"/>
  <c r="K207" i="51"/>
  <c r="L207" i="51" s="1"/>
  <c r="S26" i="51"/>
  <c r="T26" i="51" s="1"/>
  <c r="V46" i="51" a="1"/>
  <c r="V46" i="51" s="1"/>
  <c r="I46" i="51"/>
  <c r="S57" i="51"/>
  <c r="T57" i="51" s="1"/>
  <c r="V62" i="51" a="1"/>
  <c r="V62" i="51" s="1"/>
  <c r="K64" i="51"/>
  <c r="L64" i="51" s="1"/>
  <c r="S64" i="51"/>
  <c r="T64" i="51" s="1"/>
  <c r="W91" i="51" a="1"/>
  <c r="W91" i="51" s="1"/>
  <c r="X91" i="51" s="1" a="1"/>
  <c r="X91" i="51" s="1"/>
  <c r="K143" i="51"/>
  <c r="L143" i="51" s="1"/>
  <c r="S143" i="51"/>
  <c r="T143" i="51" s="1"/>
  <c r="V28" i="51" a="1"/>
  <c r="V28" i="51" s="1"/>
  <c r="S33" i="51"/>
  <c r="T33" i="51" s="1"/>
  <c r="V48" i="51" a="1"/>
  <c r="V48" i="51" s="1"/>
  <c r="I48" i="51"/>
  <c r="K50" i="51"/>
  <c r="L50" i="51" s="1"/>
  <c r="S50" i="51"/>
  <c r="T50" i="51" s="1"/>
  <c r="V64" i="51" a="1"/>
  <c r="V64" i="51" s="1"/>
  <c r="K66" i="51"/>
  <c r="L66" i="51" s="1"/>
  <c r="S66" i="51"/>
  <c r="T66" i="51" s="1"/>
  <c r="I89" i="51"/>
  <c r="R3" i="51"/>
  <c r="N4" i="51"/>
  <c r="J5" i="51"/>
  <c r="K5" i="51" s="1"/>
  <c r="V32" i="51" a="1"/>
  <c r="V32" i="51" s="1"/>
  <c r="K39" i="51"/>
  <c r="L39" i="51" s="1"/>
  <c r="W59" i="51" a="1"/>
  <c r="W59" i="51" s="1"/>
  <c r="X59" i="51" s="1" a="1"/>
  <c r="X59" i="51" s="1"/>
  <c r="K38" i="51"/>
  <c r="L38" i="51" s="1"/>
  <c r="K40" i="51"/>
  <c r="L40" i="51" s="1"/>
  <c r="S40" i="51"/>
  <c r="T40" i="51" s="1"/>
  <c r="I45" i="51"/>
  <c r="V54" i="51" a="1"/>
  <c r="V54" i="51" s="1"/>
  <c r="K56" i="51"/>
  <c r="L56" i="51" s="1"/>
  <c r="S56" i="51"/>
  <c r="T56" i="51" s="1"/>
  <c r="I61" i="51"/>
  <c r="V70" i="51" a="1"/>
  <c r="V70" i="51" s="1"/>
  <c r="I70" i="51"/>
  <c r="K72" i="51"/>
  <c r="L72" i="51" s="1"/>
  <c r="S72" i="51"/>
  <c r="T72" i="51" s="1"/>
  <c r="K73" i="51"/>
  <c r="L73" i="51" s="1"/>
  <c r="I77" i="51"/>
  <c r="X77" i="51" s="1" a="1"/>
  <c r="X77" i="51" s="1"/>
  <c r="I83" i="51"/>
  <c r="K88" i="51"/>
  <c r="L88" i="51" s="1"/>
  <c r="S88" i="51"/>
  <c r="T88" i="51" s="1"/>
  <c r="V90" i="51" a="1"/>
  <c r="V90" i="51" s="1"/>
  <c r="I90" i="51"/>
  <c r="X97" i="51" a="1"/>
  <c r="X97" i="51" s="1"/>
  <c r="S102" i="51"/>
  <c r="T102" i="51" s="1"/>
  <c r="V103" i="51" a="1"/>
  <c r="V103" i="51" s="1"/>
  <c r="K114" i="51"/>
  <c r="L114" i="51" s="1"/>
  <c r="S114" i="51"/>
  <c r="T114" i="51" s="1"/>
  <c r="V117" i="51" a="1"/>
  <c r="V117" i="51" s="1"/>
  <c r="V121" i="51" a="1"/>
  <c r="V121" i="51" s="1"/>
  <c r="W123" i="51" a="1"/>
  <c r="W123" i="51" s="1"/>
  <c r="X123" i="51" s="1" a="1"/>
  <c r="X123" i="51" s="1"/>
  <c r="I141" i="51"/>
  <c r="V141" i="51" a="1"/>
  <c r="V141" i="51" s="1"/>
  <c r="K147" i="51"/>
  <c r="L147" i="51" s="1"/>
  <c r="S147" i="51"/>
  <c r="T147" i="51" s="1"/>
  <c r="W174" i="51" a="1"/>
  <c r="W174" i="51" s="1"/>
  <c r="W115" i="51" a="1"/>
  <c r="W115" i="51" s="1"/>
  <c r="X115" i="51" s="1" a="1"/>
  <c r="X115" i="51" s="1"/>
  <c r="V36" i="51" a="1"/>
  <c r="V36" i="51" s="1"/>
  <c r="V40" i="51" a="1"/>
  <c r="V40" i="51" s="1"/>
  <c r="I40" i="51"/>
  <c r="K42" i="51"/>
  <c r="L42" i="51" s="1"/>
  <c r="S42" i="51"/>
  <c r="T42" i="51" s="1"/>
  <c r="W47" i="51" a="1"/>
  <c r="W47" i="51" s="1"/>
  <c r="I47" i="51" s="1"/>
  <c r="V56" i="51" a="1"/>
  <c r="V56" i="51" s="1"/>
  <c r="I56" i="51"/>
  <c r="K58" i="51"/>
  <c r="L58" i="51" s="1"/>
  <c r="S58" i="51"/>
  <c r="T58" i="51" s="1"/>
  <c r="W63" i="51" a="1"/>
  <c r="W63" i="51" s="1"/>
  <c r="I63" i="51" s="1"/>
  <c r="V72" i="51" a="1"/>
  <c r="V72" i="51" s="1"/>
  <c r="I72" i="51"/>
  <c r="K74" i="51"/>
  <c r="L74" i="51" s="1"/>
  <c r="S74" i="51"/>
  <c r="T74" i="51" s="1"/>
  <c r="W79" i="51" a="1"/>
  <c r="W79" i="51" s="1"/>
  <c r="X79" i="51" s="1" a="1"/>
  <c r="X79" i="51" s="1"/>
  <c r="W81" i="51" a="1"/>
  <c r="W81" i="51" s="1"/>
  <c r="X81" i="51" s="1" a="1"/>
  <c r="X81" i="51" s="1"/>
  <c r="K86" i="51"/>
  <c r="L86" i="51" s="1"/>
  <c r="S86" i="51"/>
  <c r="T86" i="51" s="1"/>
  <c r="V88" i="51" a="1"/>
  <c r="V88" i="51" s="1"/>
  <c r="I88" i="51"/>
  <c r="K101" i="51"/>
  <c r="L101" i="51" s="1"/>
  <c r="S101" i="51"/>
  <c r="T101" i="51" s="1"/>
  <c r="W120" i="51" a="1"/>
  <c r="W120" i="51" s="1"/>
  <c r="X120" i="51" s="1" a="1"/>
  <c r="X120" i="51" s="1"/>
  <c r="K126" i="51"/>
  <c r="L126" i="51" s="1"/>
  <c r="S126" i="51"/>
  <c r="T126" i="51" s="1"/>
  <c r="S134" i="51"/>
  <c r="T134" i="51" s="1"/>
  <c r="W150" i="51" a="1"/>
  <c r="W150" i="51" s="1"/>
  <c r="X150" i="51" s="1" a="1"/>
  <c r="X150" i="51" s="1"/>
  <c r="V154" i="51" a="1"/>
  <c r="V154" i="51" s="1"/>
  <c r="I176" i="51"/>
  <c r="V176" i="51" a="1"/>
  <c r="V176" i="51" s="1"/>
  <c r="V22" i="51" a="1"/>
  <c r="V22" i="51" s="1"/>
  <c r="K48" i="51"/>
  <c r="L48" i="51" s="1"/>
  <c r="S48" i="51"/>
  <c r="T48" i="51" s="1"/>
  <c r="V78" i="51" a="1"/>
  <c r="V78" i="51" s="1"/>
  <c r="I78" i="51"/>
  <c r="K80" i="51"/>
  <c r="L80" i="51" s="1"/>
  <c r="S80" i="51"/>
  <c r="T80" i="51" s="1"/>
  <c r="P4" i="51"/>
  <c r="X5" i="51"/>
  <c r="W5" i="51" s="1"/>
  <c r="N5" i="51"/>
  <c r="O5" i="51" s="1"/>
  <c r="N3" i="51"/>
  <c r="S22" i="51"/>
  <c r="T22" i="51" s="1"/>
  <c r="R4" i="51"/>
  <c r="V30" i="51" a="1"/>
  <c r="V30" i="51" s="1"/>
  <c r="V42" i="51" a="1"/>
  <c r="V42" i="51" s="1"/>
  <c r="I42" i="51"/>
  <c r="K44" i="51"/>
  <c r="L44" i="51" s="1"/>
  <c r="S44" i="51"/>
  <c r="T44" i="51" s="1"/>
  <c r="I49" i="51"/>
  <c r="X49" i="51" s="1" a="1"/>
  <c r="X49" i="51" s="1"/>
  <c r="V58" i="51" a="1"/>
  <c r="V58" i="51" s="1"/>
  <c r="I58" i="51"/>
  <c r="K60" i="51"/>
  <c r="L60" i="51" s="1"/>
  <c r="S60" i="51"/>
  <c r="T60" i="51" s="1"/>
  <c r="I65" i="51"/>
  <c r="V74" i="51" a="1"/>
  <c r="V74" i="51" s="1"/>
  <c r="I74" i="51"/>
  <c r="K76" i="51"/>
  <c r="L76" i="51" s="1"/>
  <c r="S76" i="51"/>
  <c r="T76" i="51" s="1"/>
  <c r="K84" i="51"/>
  <c r="L84" i="51" s="1"/>
  <c r="S84" i="51"/>
  <c r="T84" i="51" s="1"/>
  <c r="V86" i="51" a="1"/>
  <c r="V86" i="51" s="1"/>
  <c r="I86" i="51"/>
  <c r="S103" i="51"/>
  <c r="T103" i="51" s="1"/>
  <c r="K103" i="51"/>
  <c r="L103" i="51" s="1"/>
  <c r="S109" i="51"/>
  <c r="T109" i="51" s="1"/>
  <c r="W112" i="51" a="1"/>
  <c r="W112" i="51" s="1"/>
  <c r="V125" i="51" a="1"/>
  <c r="V125" i="51" s="1"/>
  <c r="I125" i="51"/>
  <c r="K138" i="51"/>
  <c r="L138" i="51" s="1"/>
  <c r="S138" i="51"/>
  <c r="T138" i="51" s="1"/>
  <c r="S139" i="51"/>
  <c r="T139" i="51" s="1"/>
  <c r="K139" i="51"/>
  <c r="L139" i="51" s="1"/>
  <c r="X139" i="51" a="1"/>
  <c r="X139" i="51" s="1"/>
  <c r="X148" i="51" a="1"/>
  <c r="X148" i="51" s="1"/>
  <c r="W148" i="51" a="1"/>
  <c r="W148" i="51" s="1"/>
  <c r="V153" i="51" a="1"/>
  <c r="V153" i="51" s="1"/>
  <c r="I153" i="51"/>
  <c r="K98" i="51"/>
  <c r="L98" i="51" s="1"/>
  <c r="V143" i="51" a="1"/>
  <c r="V143" i="51" s="1"/>
  <c r="I143" i="51"/>
  <c r="I183" i="51"/>
  <c r="V183" i="51" a="1"/>
  <c r="V183" i="51" s="1"/>
  <c r="V101" i="51" a="1"/>
  <c r="V101" i="51" s="1"/>
  <c r="X108" i="51" a="1"/>
  <c r="X108" i="51" s="1"/>
  <c r="S125" i="51"/>
  <c r="T125" i="51" s="1"/>
  <c r="K132" i="51"/>
  <c r="L132" i="51" s="1"/>
  <c r="S132" i="51"/>
  <c r="T132" i="51" s="1"/>
  <c r="V157" i="51" a="1"/>
  <c r="V157" i="51" s="1"/>
  <c r="V107" i="51" a="1"/>
  <c r="V107" i="51" s="1"/>
  <c r="V113" i="51" a="1"/>
  <c r="V113" i="51" s="1"/>
  <c r="K118" i="51"/>
  <c r="L118" i="51" s="1"/>
  <c r="W128" i="51" a="1"/>
  <c r="W128" i="51" s="1"/>
  <c r="X128" i="51" a="1"/>
  <c r="X128" i="51" s="1"/>
  <c r="W135" i="51" a="1"/>
  <c r="W135" i="51" s="1"/>
  <c r="X135" i="51" s="1" a="1"/>
  <c r="X135" i="51" s="1"/>
  <c r="W140" i="51" a="1"/>
  <c r="W140" i="51" s="1"/>
  <c r="X140" i="51" s="1" a="1"/>
  <c r="X140" i="51" s="1"/>
  <c r="S228" i="51"/>
  <c r="T228" i="51" s="1"/>
  <c r="K228" i="51"/>
  <c r="L228" i="51" s="1"/>
  <c r="I229" i="51"/>
  <c r="V229" i="51" a="1"/>
  <c r="V229" i="51" s="1"/>
  <c r="W230" i="51" a="1"/>
  <c r="W230" i="51" s="1"/>
  <c r="X230" i="51" s="1" a="1"/>
  <c r="X230" i="51" s="1"/>
  <c r="S118" i="51"/>
  <c r="T118" i="51" s="1"/>
  <c r="V119" i="51" a="1"/>
  <c r="V119" i="51" s="1"/>
  <c r="X130" i="51" a="1"/>
  <c r="X130" i="51" s="1"/>
  <c r="S133" i="51"/>
  <c r="T133" i="51" s="1"/>
  <c r="K133" i="51"/>
  <c r="L133" i="51" s="1"/>
  <c r="W133" i="51" a="1"/>
  <c r="W133" i="51" s="1"/>
  <c r="X133" i="51" s="1" a="1"/>
  <c r="X133" i="51" s="1"/>
  <c r="I140" i="51"/>
  <c r="W152" i="51" a="1"/>
  <c r="W152" i="51" s="1"/>
  <c r="X152" i="51" s="1" a="1"/>
  <c r="X152" i="51" s="1"/>
  <c r="V186" i="51" a="1"/>
  <c r="V186" i="51" s="1"/>
  <c r="I186" i="51"/>
  <c r="K99" i="51"/>
  <c r="L99" i="51" s="1"/>
  <c r="K110" i="51"/>
  <c r="L110" i="51" s="1"/>
  <c r="S111" i="51"/>
  <c r="T111" i="51" s="1"/>
  <c r="I112" i="51"/>
  <c r="K121" i="51"/>
  <c r="L121" i="51" s="1"/>
  <c r="S121" i="51"/>
  <c r="T121" i="51" s="1"/>
  <c r="K123" i="51"/>
  <c r="L123" i="51" s="1"/>
  <c r="W127" i="51" a="1"/>
  <c r="W127" i="51" s="1"/>
  <c r="X127" i="51" s="1" a="1"/>
  <c r="X127" i="51" s="1"/>
  <c r="S129" i="51"/>
  <c r="T129" i="51" s="1"/>
  <c r="K129" i="51"/>
  <c r="L129" i="51" s="1"/>
  <c r="W146" i="51" a="1"/>
  <c r="W146" i="51" s="1"/>
  <c r="I146" i="51" s="1"/>
  <c r="K150" i="51"/>
  <c r="L150" i="51" s="1"/>
  <c r="S152" i="51"/>
  <c r="T152" i="51" s="1"/>
  <c r="V155" i="51" a="1"/>
  <c r="V155" i="51" s="1"/>
  <c r="I177" i="51"/>
  <c r="V177" i="51" a="1"/>
  <c r="V177" i="51" s="1"/>
  <c r="S183" i="51"/>
  <c r="T183" i="51" s="1"/>
  <c r="K183" i="51"/>
  <c r="L183" i="51" s="1"/>
  <c r="W193" i="51" a="1"/>
  <c r="W193" i="51" s="1"/>
  <c r="X193" i="51" s="1" a="1"/>
  <c r="X193" i="51" s="1"/>
  <c r="K145" i="51"/>
  <c r="L145" i="51" s="1"/>
  <c r="S145" i="51"/>
  <c r="T145" i="51" s="1"/>
  <c r="I150" i="51"/>
  <c r="S154" i="51"/>
  <c r="T154" i="51" s="1"/>
  <c r="X158" i="51" a="1"/>
  <c r="X158" i="51" s="1"/>
  <c r="W171" i="51" a="1"/>
  <c r="W171" i="51" s="1"/>
  <c r="S172" i="51"/>
  <c r="T172" i="51" s="1"/>
  <c r="I178" i="51"/>
  <c r="X178" i="51" s="1" a="1"/>
  <c r="X178" i="51" s="1"/>
  <c r="I187" i="51"/>
  <c r="V187" i="51" a="1"/>
  <c r="V187" i="51" s="1"/>
  <c r="V188" i="51" a="1"/>
  <c r="V188" i="51" s="1"/>
  <c r="I188" i="51"/>
  <c r="I202" i="51"/>
  <c r="V202" i="51" a="1"/>
  <c r="V202" i="51" s="1"/>
  <c r="I203" i="51"/>
  <c r="V203" i="51" a="1"/>
  <c r="V203" i="51" s="1"/>
  <c r="W208" i="51" a="1"/>
  <c r="W208" i="51" s="1"/>
  <c r="X208" i="51" a="1"/>
  <c r="X208" i="51" s="1"/>
  <c r="S217" i="51"/>
  <c r="T217" i="51" s="1"/>
  <c r="K217" i="51"/>
  <c r="L217" i="51" s="1"/>
  <c r="V252" i="51" a="1"/>
  <c r="V252" i="51" s="1"/>
  <c r="I252" i="51"/>
  <c r="V256" i="51" a="1"/>
  <c r="V256" i="51" s="1"/>
  <c r="I256" i="51"/>
  <c r="S137" i="51"/>
  <c r="T137" i="51" s="1"/>
  <c r="K142" i="51"/>
  <c r="L142" i="51" s="1"/>
  <c r="S142" i="51"/>
  <c r="T142" i="51" s="1"/>
  <c r="V145" i="51" a="1"/>
  <c r="V145" i="51" s="1"/>
  <c r="I145" i="51"/>
  <c r="K149" i="51"/>
  <c r="L149" i="51" s="1"/>
  <c r="S149" i="51"/>
  <c r="T149" i="51" s="1"/>
  <c r="W169" i="51" a="1"/>
  <c r="W169" i="51" s="1"/>
  <c r="X169" i="51" s="1" a="1"/>
  <c r="X169" i="51" s="1"/>
  <c r="S180" i="51"/>
  <c r="T180" i="51" s="1"/>
  <c r="K213" i="51"/>
  <c r="L213" i="51" s="1"/>
  <c r="S213" i="51"/>
  <c r="T213" i="51" s="1"/>
  <c r="W216" i="51" a="1"/>
  <c r="W216" i="51" s="1"/>
  <c r="X216" i="51" s="1" a="1"/>
  <c r="X216" i="51" s="1"/>
  <c r="V220" i="51" a="1"/>
  <c r="V220" i="51" s="1"/>
  <c r="I220" i="51"/>
  <c r="K136" i="51"/>
  <c r="L136" i="51" s="1"/>
  <c r="K144" i="51"/>
  <c r="L144" i="51" s="1"/>
  <c r="S144" i="51"/>
  <c r="T144" i="51" s="1"/>
  <c r="V147" i="51" a="1"/>
  <c r="V147" i="51" s="1"/>
  <c r="I147" i="51"/>
  <c r="K151" i="51"/>
  <c r="L151" i="51" s="1"/>
  <c r="S151" i="51"/>
  <c r="T151" i="51" s="1"/>
  <c r="K159" i="51"/>
  <c r="L159" i="51" s="1"/>
  <c r="S159" i="51"/>
  <c r="T159" i="51" s="1"/>
  <c r="I195" i="51"/>
  <c r="V195" i="51" a="1"/>
  <c r="V195" i="51" s="1"/>
  <c r="V196" i="51" a="1"/>
  <c r="V196" i="51" s="1"/>
  <c r="I196" i="51"/>
  <c r="W268" i="51" a="1"/>
  <c r="W268" i="51" s="1"/>
  <c r="X268" i="51" s="1" a="1"/>
  <c r="X268" i="51" s="1"/>
  <c r="K130" i="51"/>
  <c r="L130" i="51" s="1"/>
  <c r="S136" i="51"/>
  <c r="T136" i="51" s="1"/>
  <c r="S141" i="51"/>
  <c r="T141" i="51" s="1"/>
  <c r="I142" i="51"/>
  <c r="K146" i="51"/>
  <c r="L146" i="51" s="1"/>
  <c r="S146" i="51"/>
  <c r="T146" i="51" s="1"/>
  <c r="V149" i="51" a="1"/>
  <c r="V149" i="51" s="1"/>
  <c r="I149" i="51"/>
  <c r="K153" i="51"/>
  <c r="L153" i="51" s="1"/>
  <c r="S153" i="51"/>
  <c r="T153" i="51" s="1"/>
  <c r="K157" i="51"/>
  <c r="L157" i="51" s="1"/>
  <c r="S157" i="51"/>
  <c r="T157" i="51" s="1"/>
  <c r="S170" i="51"/>
  <c r="T170" i="51" s="1"/>
  <c r="S175" i="51"/>
  <c r="T175" i="51" s="1"/>
  <c r="K175" i="51"/>
  <c r="L175" i="51" s="1"/>
  <c r="I179" i="51"/>
  <c r="V179" i="51" a="1"/>
  <c r="V179" i="51" s="1"/>
  <c r="W206" i="51" a="1"/>
  <c r="W206" i="51" s="1"/>
  <c r="X206" i="51" a="1"/>
  <c r="X206" i="51" s="1"/>
  <c r="S230" i="51"/>
  <c r="T230" i="51" s="1"/>
  <c r="I234" i="51"/>
  <c r="V234" i="51" a="1"/>
  <c r="V234" i="51" s="1"/>
  <c r="S130" i="51"/>
  <c r="T130" i="51" s="1"/>
  <c r="W131" i="51" a="1"/>
  <c r="W131" i="51" s="1"/>
  <c r="X131" i="51" s="1" a="1"/>
  <c r="X131" i="51" s="1"/>
  <c r="K140" i="51"/>
  <c r="L140" i="51" s="1"/>
  <c r="W144" i="51" a="1"/>
  <c r="W144" i="51" s="1"/>
  <c r="X144" i="51" s="1" a="1"/>
  <c r="X144" i="51" s="1"/>
  <c r="K148" i="51"/>
  <c r="L148" i="51" s="1"/>
  <c r="S148" i="51"/>
  <c r="T148" i="51" s="1"/>
  <c r="V151" i="51" a="1"/>
  <c r="V151" i="51" s="1"/>
  <c r="K155" i="51"/>
  <c r="L155" i="51" s="1"/>
  <c r="S155" i="51"/>
  <c r="T155" i="51" s="1"/>
  <c r="V166" i="51" a="1"/>
  <c r="V166" i="51" s="1"/>
  <c r="W168" i="51" a="1"/>
  <c r="W168" i="51" s="1"/>
  <c r="I168" i="51" s="1"/>
  <c r="S181" i="51"/>
  <c r="T181" i="51" s="1"/>
  <c r="K181" i="51"/>
  <c r="L181" i="51" s="1"/>
  <c r="V198" i="51" a="1"/>
  <c r="V198" i="51" s="1"/>
  <c r="I198" i="51"/>
  <c r="I200" i="51"/>
  <c r="V200" i="51" a="1"/>
  <c r="V200" i="51" s="1"/>
  <c r="X207" i="51" a="1"/>
  <c r="X207" i="51" s="1"/>
  <c r="W207" i="51" a="1"/>
  <c r="W207" i="51" s="1"/>
  <c r="W223" i="51" a="1"/>
  <c r="W223" i="51" s="1"/>
  <c r="X223" i="51" s="1" a="1"/>
  <c r="X223" i="51" s="1"/>
  <c r="K160" i="51"/>
  <c r="L160" i="51" s="1"/>
  <c r="K161" i="51"/>
  <c r="L161" i="51" s="1"/>
  <c r="K162" i="51"/>
  <c r="L162" i="51" s="1"/>
  <c r="K163" i="51"/>
  <c r="L163" i="51" s="1"/>
  <c r="K164" i="51"/>
  <c r="L164" i="51" s="1"/>
  <c r="K165" i="51"/>
  <c r="L165" i="51" s="1"/>
  <c r="S176" i="51"/>
  <c r="T176" i="51" s="1"/>
  <c r="I181" i="51"/>
  <c r="V181" i="51" a="1"/>
  <c r="V181" i="51" s="1"/>
  <c r="S190" i="51"/>
  <c r="T190" i="51" s="1"/>
  <c r="K206" i="51"/>
  <c r="L206" i="51" s="1"/>
  <c r="S206" i="51"/>
  <c r="T206" i="51" s="1"/>
  <c r="I214" i="51"/>
  <c r="V214" i="51" a="1"/>
  <c r="V214" i="51" s="1"/>
  <c r="I219" i="51"/>
  <c r="V219" i="51" a="1"/>
  <c r="V219" i="51" s="1"/>
  <c r="I226" i="51"/>
  <c r="V226" i="51" a="1"/>
  <c r="V226" i="51" s="1"/>
  <c r="I284" i="51"/>
  <c r="V284" i="51" a="1"/>
  <c r="V284" i="51" s="1"/>
  <c r="K169" i="51"/>
  <c r="L169" i="51" s="1"/>
  <c r="V185" i="51" a="1"/>
  <c r="V185" i="51" s="1"/>
  <c r="S187" i="51"/>
  <c r="T187" i="51" s="1"/>
  <c r="K187" i="51"/>
  <c r="L187" i="51" s="1"/>
  <c r="S210" i="51"/>
  <c r="T210" i="51" s="1"/>
  <c r="X161" i="51" a="1"/>
  <c r="X161" i="51" s="1"/>
  <c r="W170" i="51" a="1"/>
  <c r="W170" i="51" s="1"/>
  <c r="X170" i="51" s="1" a="1"/>
  <c r="X170" i="51" s="1"/>
  <c r="V175" i="51" a="1"/>
  <c r="V175" i="51" s="1"/>
  <c r="S191" i="51"/>
  <c r="T191" i="51" s="1"/>
  <c r="K191" i="51"/>
  <c r="L191" i="51" s="1"/>
  <c r="V191" i="51" a="1"/>
  <c r="V191" i="51" s="1"/>
  <c r="V204" i="51" a="1"/>
  <c r="V204" i="51" s="1"/>
  <c r="W222" i="51" a="1"/>
  <c r="W222" i="51" s="1"/>
  <c r="X222" i="51" s="1" a="1"/>
  <c r="X222" i="51" s="1"/>
  <c r="I227" i="51"/>
  <c r="V227" i="51" a="1"/>
  <c r="V227" i="51" s="1"/>
  <c r="W159" i="51" a="1"/>
  <c r="W159" i="51" s="1"/>
  <c r="X159" i="51" s="1" a="1"/>
  <c r="X159" i="51" s="1"/>
  <c r="W160" i="51" a="1"/>
  <c r="W160" i="51" s="1"/>
  <c r="X160" i="51" s="1" a="1"/>
  <c r="X160" i="51" s="1"/>
  <c r="W161" i="51" a="1"/>
  <c r="W161" i="51" s="1"/>
  <c r="I161" i="51" s="1"/>
  <c r="W162" i="51" a="1"/>
  <c r="W162" i="51" s="1"/>
  <c r="X162" i="51" s="1" a="1"/>
  <c r="X162" i="51" s="1"/>
  <c r="W163" i="51" a="1"/>
  <c r="W163" i="51" s="1"/>
  <c r="I163" i="51" s="1"/>
  <c r="W164" i="51" a="1"/>
  <c r="W164" i="51" s="1"/>
  <c r="I164" i="51" s="1"/>
  <c r="W165" i="51" a="1"/>
  <c r="W165" i="51" s="1"/>
  <c r="I165" i="51" s="1"/>
  <c r="X165" i="51" s="1" a="1"/>
  <c r="X165" i="51" s="1"/>
  <c r="S168" i="51"/>
  <c r="T168" i="51" s="1"/>
  <c r="I170" i="51"/>
  <c r="I173" i="51"/>
  <c r="V173" i="51" a="1"/>
  <c r="V173" i="51" s="1"/>
  <c r="I174" i="51"/>
  <c r="X174" i="51" s="1" a="1"/>
  <c r="X174" i="51" s="1"/>
  <c r="S179" i="51"/>
  <c r="T179" i="51" s="1"/>
  <c r="K179" i="51"/>
  <c r="L179" i="51" s="1"/>
  <c r="V182" i="51" a="1"/>
  <c r="V182" i="51" s="1"/>
  <c r="W225" i="51" a="1"/>
  <c r="W225" i="51" s="1"/>
  <c r="X225" i="51" s="1" a="1"/>
  <c r="X225" i="51" s="1"/>
  <c r="W238" i="51" a="1"/>
  <c r="W238" i="51" s="1"/>
  <c r="W248" i="51" a="1"/>
  <c r="W248" i="51" s="1"/>
  <c r="X248" i="51" s="1" a="1"/>
  <c r="X248" i="51" s="1"/>
  <c r="V258" i="51" a="1"/>
  <c r="V258" i="51" s="1"/>
  <c r="I258" i="51"/>
  <c r="W272" i="51" a="1"/>
  <c r="W272" i="51" s="1"/>
  <c r="X272" i="51" s="1" a="1"/>
  <c r="X272" i="51" s="1"/>
  <c r="K167" i="51"/>
  <c r="L167" i="51" s="1"/>
  <c r="X180" i="51" a="1"/>
  <c r="X180" i="51" s="1"/>
  <c r="K182" i="51"/>
  <c r="L182" i="51" s="1"/>
  <c r="K194" i="51"/>
  <c r="L194" i="51" s="1"/>
  <c r="S194" i="51"/>
  <c r="T194" i="51" s="1"/>
  <c r="I197" i="51"/>
  <c r="V197" i="51" a="1"/>
  <c r="V197" i="51" s="1"/>
  <c r="I201" i="51"/>
  <c r="V201" i="51" a="1"/>
  <c r="V201" i="51" s="1"/>
  <c r="S202" i="51"/>
  <c r="T202" i="51" s="1"/>
  <c r="K202" i="51"/>
  <c r="L202" i="51" s="1"/>
  <c r="S211" i="51"/>
  <c r="T211" i="51" s="1"/>
  <c r="K211" i="51"/>
  <c r="L211" i="51" s="1"/>
  <c r="I189" i="51"/>
  <c r="V189" i="51" a="1"/>
  <c r="V189" i="51" s="1"/>
  <c r="K198" i="51"/>
  <c r="L198" i="51" s="1"/>
  <c r="I205" i="51"/>
  <c r="V205" i="51" a="1"/>
  <c r="V205" i="51" s="1"/>
  <c r="I211" i="51"/>
  <c r="V211" i="51" a="1"/>
  <c r="V211" i="51" s="1"/>
  <c r="I276" i="51"/>
  <c r="V276" i="51" a="1"/>
  <c r="V276" i="51" s="1"/>
  <c r="I190" i="51"/>
  <c r="X190" i="51" s="1" a="1"/>
  <c r="X190" i="51" s="1"/>
  <c r="S195" i="51"/>
  <c r="T195" i="51" s="1"/>
  <c r="K195" i="51"/>
  <c r="L195" i="51" s="1"/>
  <c r="I206" i="51"/>
  <c r="W217" i="51" a="1"/>
  <c r="W217" i="51" s="1"/>
  <c r="X217" i="51" s="1" a="1"/>
  <c r="X217" i="51" s="1"/>
  <c r="W218" i="51" a="1"/>
  <c r="W218" i="51" s="1"/>
  <c r="X218" i="51" s="1" a="1"/>
  <c r="X218" i="51" s="1"/>
  <c r="V221" i="51" a="1"/>
  <c r="V221" i="51" s="1"/>
  <c r="I221" i="51"/>
  <c r="V232" i="51" a="1"/>
  <c r="V232" i="51" s="1"/>
  <c r="I232" i="51"/>
  <c r="S297" i="51"/>
  <c r="T297" i="51" s="1"/>
  <c r="K297" i="51"/>
  <c r="L297" i="51" s="1"/>
  <c r="V212" i="51" a="1"/>
  <c r="V212" i="51" s="1"/>
  <c r="I212" i="51"/>
  <c r="W233" i="51" a="1"/>
  <c r="W233" i="51" s="1"/>
  <c r="X233" i="51" s="1" a="1"/>
  <c r="X233" i="51" s="1"/>
  <c r="V242" i="51" a="1"/>
  <c r="V242" i="51" s="1"/>
  <c r="I242" i="51"/>
  <c r="S243" i="51"/>
  <c r="T243" i="51" s="1"/>
  <c r="K243" i="51"/>
  <c r="L243" i="51" s="1"/>
  <c r="W245" i="51" a="1"/>
  <c r="W245" i="51" s="1"/>
  <c r="X245" i="51" s="1" a="1"/>
  <c r="X245" i="51" s="1"/>
  <c r="S247" i="51"/>
  <c r="T247" i="51" s="1"/>
  <c r="K247" i="51"/>
  <c r="L247" i="51" s="1"/>
  <c r="V262" i="51" a="1"/>
  <c r="V262" i="51" s="1"/>
  <c r="I262" i="51"/>
  <c r="K177" i="51"/>
  <c r="L177" i="51" s="1"/>
  <c r="S193" i="51"/>
  <c r="T193" i="51" s="1"/>
  <c r="K193" i="51"/>
  <c r="L193" i="51" s="1"/>
  <c r="I194" i="51"/>
  <c r="X194" i="51" s="1" a="1"/>
  <c r="X194" i="51" s="1"/>
  <c r="S197" i="51"/>
  <c r="T197" i="51" s="1"/>
  <c r="S209" i="51"/>
  <c r="T209" i="51" s="1"/>
  <c r="K209" i="51"/>
  <c r="L209" i="51" s="1"/>
  <c r="I210" i="51"/>
  <c r="X210" i="51" s="1" a="1"/>
  <c r="X210" i="51" s="1"/>
  <c r="V213" i="51" a="1"/>
  <c r="V213" i="51" s="1"/>
  <c r="I213" i="51"/>
  <c r="W224" i="51" a="1"/>
  <c r="W224" i="51" s="1"/>
  <c r="X224" i="51" s="1" a="1"/>
  <c r="X224" i="51" s="1"/>
  <c r="S246" i="51"/>
  <c r="T246" i="51" s="1"/>
  <c r="K246" i="51"/>
  <c r="L246" i="51" s="1"/>
  <c r="K258" i="51"/>
  <c r="L258" i="51" s="1"/>
  <c r="S258" i="51"/>
  <c r="T258" i="51" s="1"/>
  <c r="S201" i="51"/>
  <c r="T201" i="51" s="1"/>
  <c r="W236" i="51" a="1"/>
  <c r="W236" i="51" s="1"/>
  <c r="X236" i="51" s="1" a="1"/>
  <c r="X236" i="51" s="1"/>
  <c r="I238" i="51"/>
  <c r="W239" i="51" a="1"/>
  <c r="W239" i="51" s="1"/>
  <c r="X239" i="51" s="1" a="1"/>
  <c r="X239" i="51" s="1"/>
  <c r="I245" i="51"/>
  <c r="W253" i="51" a="1"/>
  <c r="W253" i="51" s="1"/>
  <c r="X253" i="51" s="1" a="1"/>
  <c r="X253" i="51" s="1"/>
  <c r="V261" i="51" a="1"/>
  <c r="V261" i="51" s="1"/>
  <c r="V263" i="51" a="1"/>
  <c r="V263" i="51" s="1"/>
  <c r="I263" i="51"/>
  <c r="W270" i="51" a="1"/>
  <c r="W270" i="51" s="1"/>
  <c r="X270" i="51" s="1" a="1"/>
  <c r="X270" i="51" s="1"/>
  <c r="S199" i="51"/>
  <c r="T199" i="51" s="1"/>
  <c r="S219" i="51"/>
  <c r="T219" i="51" s="1"/>
  <c r="I228" i="51"/>
  <c r="V228" i="51" a="1"/>
  <c r="V228" i="51" s="1"/>
  <c r="S237" i="51"/>
  <c r="T237" i="51" s="1"/>
  <c r="K237" i="51"/>
  <c r="L237" i="51" s="1"/>
  <c r="W240" i="51" a="1"/>
  <c r="W240" i="51" s="1"/>
  <c r="X240" i="51" s="1" a="1"/>
  <c r="X240" i="51" s="1"/>
  <c r="S259" i="51"/>
  <c r="T259" i="51" s="1"/>
  <c r="K259" i="51"/>
  <c r="L259" i="51" s="1"/>
  <c r="W265" i="51" a="1"/>
  <c r="W265" i="51" s="1"/>
  <c r="X265" i="51" s="1" a="1"/>
  <c r="X265" i="51" s="1"/>
  <c r="I299" i="51"/>
  <c r="V299" i="51" a="1"/>
  <c r="V299" i="51" s="1"/>
  <c r="S203" i="51"/>
  <c r="T203" i="51" s="1"/>
  <c r="S231" i="51"/>
  <c r="T231" i="51" s="1"/>
  <c r="I237" i="51"/>
  <c r="V237" i="51" a="1"/>
  <c r="V237" i="51" s="1"/>
  <c r="I243" i="51"/>
  <c r="V243" i="51" a="1"/>
  <c r="V243" i="51" s="1"/>
  <c r="W280" i="51" a="1"/>
  <c r="W280" i="51" s="1"/>
  <c r="X280" i="51" s="1" a="1"/>
  <c r="X280" i="51" s="1"/>
  <c r="V244" i="51" a="1"/>
  <c r="V244" i="51" s="1"/>
  <c r="I244" i="51"/>
  <c r="W250" i="51" a="1"/>
  <c r="W250" i="51" s="1"/>
  <c r="X250" i="51" s="1" a="1"/>
  <c r="X250" i="51" s="1"/>
  <c r="I216" i="51"/>
  <c r="X241" i="51" a="1"/>
  <c r="X241" i="51" s="1"/>
  <c r="I250" i="51"/>
  <c r="S257" i="51"/>
  <c r="T257" i="51" s="1"/>
  <c r="W264" i="51" a="1"/>
  <c r="W264" i="51" s="1"/>
  <c r="X264" i="51" s="1" a="1"/>
  <c r="X264" i="51" s="1"/>
  <c r="S275" i="51"/>
  <c r="T275" i="51" s="1"/>
  <c r="K275" i="51"/>
  <c r="L275" i="51" s="1"/>
  <c r="I231" i="51"/>
  <c r="V231" i="51" a="1"/>
  <c r="V231" i="51" s="1"/>
  <c r="K233" i="51"/>
  <c r="L233" i="51" s="1"/>
  <c r="K254" i="51"/>
  <c r="L254" i="51" s="1"/>
  <c r="V266" i="51" a="1"/>
  <c r="V266" i="51" s="1"/>
  <c r="I266" i="51"/>
  <c r="S267" i="51"/>
  <c r="T267" i="51" s="1"/>
  <c r="K267" i="51"/>
  <c r="L267" i="51" s="1"/>
  <c r="I271" i="51"/>
  <c r="V271" i="51" a="1"/>
  <c r="V271" i="51" s="1"/>
  <c r="W296" i="51" a="1"/>
  <c r="W296" i="51" s="1"/>
  <c r="X296" i="51" s="1" a="1"/>
  <c r="X296" i="51" s="1"/>
  <c r="S234" i="51"/>
  <c r="T234" i="51" s="1"/>
  <c r="V235" i="51" a="1"/>
  <c r="V235" i="51" s="1"/>
  <c r="V246" i="51" a="1"/>
  <c r="V246" i="51" s="1"/>
  <c r="I246" i="51"/>
  <c r="V251" i="51" a="1"/>
  <c r="V251" i="51" s="1"/>
  <c r="I259" i="51"/>
  <c r="V259" i="51" a="1"/>
  <c r="V259" i="51" s="1"/>
  <c r="W282" i="51" a="1"/>
  <c r="W282" i="51" s="1"/>
  <c r="X282" i="51" a="1"/>
  <c r="X282" i="51" s="1"/>
  <c r="I297" i="51"/>
  <c r="V297" i="51" a="1"/>
  <c r="V297" i="51" s="1"/>
  <c r="K238" i="51"/>
  <c r="L238" i="51" s="1"/>
  <c r="S238" i="51"/>
  <c r="T238" i="51" s="1"/>
  <c r="I269" i="51"/>
  <c r="V269" i="51" a="1"/>
  <c r="V269" i="51" s="1"/>
  <c r="I292" i="51"/>
  <c r="V292" i="51" a="1"/>
  <c r="V292" i="51" s="1"/>
  <c r="I293" i="51"/>
  <c r="V293" i="51" a="1"/>
  <c r="V293" i="51" s="1"/>
  <c r="X254" i="51" a="1"/>
  <c r="X254" i="51" s="1"/>
  <c r="I277" i="51"/>
  <c r="V277" i="51" a="1"/>
  <c r="V277" i="51" s="1"/>
  <c r="W286" i="51" a="1"/>
  <c r="W286" i="51" s="1"/>
  <c r="X286" i="51" s="1" a="1"/>
  <c r="X286" i="51" s="1"/>
  <c r="S227" i="51"/>
  <c r="T227" i="51" s="1"/>
  <c r="K235" i="51"/>
  <c r="L235" i="51" s="1"/>
  <c r="K251" i="51"/>
  <c r="L251" i="51" s="1"/>
  <c r="V255" i="51" a="1"/>
  <c r="V255" i="51" s="1"/>
  <c r="S261" i="51"/>
  <c r="T261" i="51" s="1"/>
  <c r="X274" i="51" a="1"/>
  <c r="X274" i="51" s="1"/>
  <c r="S277" i="51"/>
  <c r="T277" i="51" s="1"/>
  <c r="I279" i="51"/>
  <c r="V279" i="51" a="1"/>
  <c r="V279" i="51" s="1"/>
  <c r="I283" i="51"/>
  <c r="V283" i="51" a="1"/>
  <c r="V283" i="51" s="1"/>
  <c r="V278" i="51" a="1"/>
  <c r="V278" i="51" s="1"/>
  <c r="I285" i="51"/>
  <c r="V285" i="51" a="1"/>
  <c r="V285" i="51" s="1"/>
  <c r="W290" i="51" a="1"/>
  <c r="W290" i="51" s="1"/>
  <c r="X290" i="51" s="1" a="1"/>
  <c r="X290" i="51" s="1"/>
  <c r="S291" i="51"/>
  <c r="T291" i="51" s="1"/>
  <c r="K291" i="51"/>
  <c r="L291" i="51" s="1"/>
  <c r="K227" i="51"/>
  <c r="L227" i="51" s="1"/>
  <c r="V257" i="51" a="1"/>
  <c r="V257" i="51" s="1"/>
  <c r="I267" i="51"/>
  <c r="V267" i="51" a="1"/>
  <c r="V267" i="51" s="1"/>
  <c r="X273" i="51" a="1"/>
  <c r="X273" i="51" s="1"/>
  <c r="I275" i="51"/>
  <c r="V275" i="51" a="1"/>
  <c r="V275" i="51" s="1"/>
  <c r="K277" i="51"/>
  <c r="L277" i="51" s="1"/>
  <c r="S281" i="51"/>
  <c r="T281" i="51" s="1"/>
  <c r="I289" i="51"/>
  <c r="V289" i="51" a="1"/>
  <c r="V289" i="51" s="1"/>
  <c r="I290" i="51"/>
  <c r="S229" i="51"/>
  <c r="T229" i="51" s="1"/>
  <c r="V247" i="51" a="1"/>
  <c r="V247" i="51" s="1"/>
  <c r="S256" i="51"/>
  <c r="T256" i="51" s="1"/>
  <c r="W260" i="51" a="1"/>
  <c r="W260" i="51" s="1"/>
  <c r="X260" i="51" s="1" a="1"/>
  <c r="X260" i="51" s="1"/>
  <c r="I281" i="51"/>
  <c r="V281" i="51" a="1"/>
  <c r="V281" i="51" s="1"/>
  <c r="S269" i="51"/>
  <c r="T269" i="51" s="1"/>
  <c r="S283" i="51"/>
  <c r="T283" i="51" s="1"/>
  <c r="K283" i="51"/>
  <c r="L283" i="51" s="1"/>
  <c r="I287" i="51"/>
  <c r="V287" i="51" a="1"/>
  <c r="V287" i="51" s="1"/>
  <c r="S289" i="51"/>
  <c r="T289" i="51" s="1"/>
  <c r="K289" i="51"/>
  <c r="L289" i="51" s="1"/>
  <c r="W300" i="51" a="1"/>
  <c r="W300" i="51" s="1"/>
  <c r="X300" i="51" s="1" a="1"/>
  <c r="X300" i="51" s="1"/>
  <c r="W298" i="51" a="1"/>
  <c r="W298" i="51" s="1"/>
  <c r="X298" i="51" s="1" a="1"/>
  <c r="X298" i="51" s="1"/>
  <c r="I291" i="51"/>
  <c r="V291" i="51" a="1"/>
  <c r="V291" i="51" s="1"/>
  <c r="I298" i="51"/>
  <c r="S299" i="51"/>
  <c r="T299" i="51" s="1"/>
  <c r="K299" i="51"/>
  <c r="L299" i="51" s="1"/>
  <c r="S285" i="51"/>
  <c r="T285" i="51" s="1"/>
  <c r="V295" i="51" a="1"/>
  <c r="V295" i="51" s="1"/>
  <c r="K300" i="51"/>
  <c r="L300" i="51" s="1"/>
  <c r="W35" i="44" a="1"/>
  <c r="W35" i="44" s="1"/>
  <c r="W54" i="44" a="1"/>
  <c r="W54" i="44" s="1"/>
  <c r="I54" i="44" s="1"/>
  <c r="W14" i="44" a="1"/>
  <c r="W14" i="44" s="1"/>
  <c r="I14" i="44" s="1"/>
  <c r="V15" i="44" a="1"/>
  <c r="V15" i="44" s="1"/>
  <c r="I15" i="44"/>
  <c r="I23" i="44"/>
  <c r="V23" i="44" a="1"/>
  <c r="V23" i="44" s="1"/>
  <c r="W53" i="44" a="1"/>
  <c r="W53" i="44" s="1"/>
  <c r="W18" i="44" a="1"/>
  <c r="W18" i="44" s="1"/>
  <c r="X18" i="44" s="1" a="1"/>
  <c r="X18" i="44" s="1"/>
  <c r="W26" i="44" a="1"/>
  <c r="W26" i="44" s="1"/>
  <c r="X26" i="44" s="1" a="1"/>
  <c r="X26" i="44" s="1"/>
  <c r="V27" i="44" a="1"/>
  <c r="V27" i="44" s="1"/>
  <c r="W24" i="44" a="1"/>
  <c r="W24" i="44" s="1"/>
  <c r="I30" i="44"/>
  <c r="V30" i="44" a="1"/>
  <c r="V30" i="44" s="1"/>
  <c r="W22" i="44" a="1"/>
  <c r="W22" i="44" s="1"/>
  <c r="K5" i="44"/>
  <c r="V29" i="44" a="1"/>
  <c r="V29" i="44" s="1"/>
  <c r="W39" i="44" a="1"/>
  <c r="W39" i="44" s="1"/>
  <c r="X39" i="44" s="1" a="1"/>
  <c r="X39" i="44" s="1"/>
  <c r="I44" i="44"/>
  <c r="V44" i="44" a="1"/>
  <c r="V44" i="44" s="1"/>
  <c r="V49" i="44" a="1"/>
  <c r="V49" i="44" s="1"/>
  <c r="I49" i="44"/>
  <c r="I50" i="44"/>
  <c r="V50" i="44" a="1"/>
  <c r="V50" i="44" s="1"/>
  <c r="W79" i="44" a="1"/>
  <c r="W79" i="44" s="1"/>
  <c r="S80" i="44"/>
  <c r="T80" i="44" s="1"/>
  <c r="K80" i="44"/>
  <c r="L80" i="44" s="1"/>
  <c r="S107" i="44"/>
  <c r="T107" i="44" s="1"/>
  <c r="V118" i="44" a="1"/>
  <c r="V118" i="44" s="1"/>
  <c r="I118" i="44"/>
  <c r="I24" i="44"/>
  <c r="W42" i="44" a="1"/>
  <c r="W42" i="44" s="1"/>
  <c r="X42" i="44" s="1" a="1"/>
  <c r="X42" i="44" s="1"/>
  <c r="V45" i="44" a="1"/>
  <c r="V45" i="44" s="1"/>
  <c r="I45" i="44"/>
  <c r="I46" i="44"/>
  <c r="V46" i="44" a="1"/>
  <c r="V46" i="44" s="1"/>
  <c r="V51" i="44" a="1"/>
  <c r="V51" i="44" s="1"/>
  <c r="I60" i="44"/>
  <c r="V60" i="44" a="1"/>
  <c r="V60" i="44" s="1"/>
  <c r="V62" i="44" a="1"/>
  <c r="V62" i="44" s="1"/>
  <c r="W63" i="44" a="1"/>
  <c r="W63" i="44" s="1"/>
  <c r="S64" i="44"/>
  <c r="T64" i="44" s="1"/>
  <c r="K64" i="44"/>
  <c r="L64" i="44" s="1"/>
  <c r="W91" i="44" a="1"/>
  <c r="W91" i="44" s="1"/>
  <c r="X91" i="44" a="1"/>
  <c r="X91" i="44" s="1"/>
  <c r="W47" i="44" a="1"/>
  <c r="W47" i="44" s="1"/>
  <c r="I57" i="44"/>
  <c r="V57" i="44" a="1"/>
  <c r="V57" i="44" s="1"/>
  <c r="V20" i="44" a="1"/>
  <c r="V20" i="44" s="1"/>
  <c r="S33" i="44"/>
  <c r="T33" i="44" s="1"/>
  <c r="V37" i="44" a="1"/>
  <c r="V37" i="44" s="1"/>
  <c r="I37" i="44"/>
  <c r="I40" i="44"/>
  <c r="V40" i="44" a="1"/>
  <c r="V40" i="44" s="1"/>
  <c r="W88" i="44" a="1"/>
  <c r="W88" i="44" s="1"/>
  <c r="X88" i="44" s="1" a="1"/>
  <c r="X88" i="44" s="1"/>
  <c r="V19" i="44" a="1"/>
  <c r="V19" i="44" s="1"/>
  <c r="I19" i="44"/>
  <c r="V16" i="44" a="1"/>
  <c r="V16" i="44" s="1"/>
  <c r="J3" i="44"/>
  <c r="T5" i="44"/>
  <c r="I18" i="44"/>
  <c r="I35" i="44"/>
  <c r="V38" i="44" a="1"/>
  <c r="V38" i="44" s="1"/>
  <c r="I41" i="44"/>
  <c r="V41" i="44" a="1"/>
  <c r="V41" i="44" s="1"/>
  <c r="S52" i="44"/>
  <c r="T52" i="44" s="1"/>
  <c r="K52" i="44"/>
  <c r="L52" i="44" s="1"/>
  <c r="W55" i="44" a="1"/>
  <c r="W55" i="44" s="1"/>
  <c r="X55" i="44" s="1" a="1"/>
  <c r="X55" i="44" s="1"/>
  <c r="V70" i="44" a="1"/>
  <c r="V70" i="44" s="1"/>
  <c r="V122" i="44" a="1"/>
  <c r="V122" i="44" s="1"/>
  <c r="I133" i="44"/>
  <c r="V133" i="44" a="1"/>
  <c r="V133" i="44" s="1"/>
  <c r="K37" i="44"/>
  <c r="L37" i="44" s="1"/>
  <c r="S37" i="44"/>
  <c r="T37" i="44" s="1"/>
  <c r="V25" i="44" a="1"/>
  <c r="V25" i="44" s="1"/>
  <c r="V28" i="44" a="1"/>
  <c r="V28" i="44" s="1"/>
  <c r="I43" i="44"/>
  <c r="V43" i="44" a="1"/>
  <c r="V43" i="44" s="1"/>
  <c r="W71" i="44" a="1"/>
  <c r="W71" i="44" s="1"/>
  <c r="X71" i="44" s="1" a="1"/>
  <c r="X71" i="44" s="1"/>
  <c r="V75" i="44" a="1"/>
  <c r="V75" i="44" s="1"/>
  <c r="I75" i="44"/>
  <c r="K85" i="44"/>
  <c r="L85" i="44" s="1"/>
  <c r="S85" i="44"/>
  <c r="T85" i="44" s="1"/>
  <c r="S99" i="44"/>
  <c r="T99" i="44" s="1"/>
  <c r="I32" i="44"/>
  <c r="V32" i="44" a="1"/>
  <c r="V32" i="44" s="1"/>
  <c r="V59" i="44" a="1"/>
  <c r="V59" i="44" s="1"/>
  <c r="I59" i="44"/>
  <c r="S40" i="44"/>
  <c r="T40" i="44" s="1"/>
  <c r="K40" i="44"/>
  <c r="L40" i="44" s="1"/>
  <c r="R4" i="44"/>
  <c r="N3" i="44"/>
  <c r="N4" i="44"/>
  <c r="R5" i="44"/>
  <c r="R3" i="44"/>
  <c r="P3" i="44"/>
  <c r="O3" i="44" s="1"/>
  <c r="P5" i="44"/>
  <c r="O5" i="44" s="1"/>
  <c r="V5" i="44"/>
  <c r="W5" i="44" s="1"/>
  <c r="P4" i="44"/>
  <c r="X31" i="44" a="1"/>
  <c r="X31" i="44" s="1"/>
  <c r="W17" i="44" a="1"/>
  <c r="W17" i="44" s="1"/>
  <c r="X17" i="44" s="1" a="1"/>
  <c r="X17" i="44" s="1"/>
  <c r="I33" i="44"/>
  <c r="X33" i="44" s="1" a="1"/>
  <c r="X33" i="44" s="1"/>
  <c r="S34" i="44"/>
  <c r="T34" i="44" s="1"/>
  <c r="K34" i="44"/>
  <c r="L34" i="44" s="1"/>
  <c r="I48" i="44"/>
  <c r="V48" i="44" a="1"/>
  <c r="V48" i="44" s="1"/>
  <c r="K49" i="44"/>
  <c r="L49" i="44" s="1"/>
  <c r="S49" i="44"/>
  <c r="T49" i="44" s="1"/>
  <c r="V52" i="44" a="1"/>
  <c r="V52" i="44" s="1"/>
  <c r="K53" i="44"/>
  <c r="L53" i="44" s="1"/>
  <c r="S53" i="44"/>
  <c r="T53" i="44" s="1"/>
  <c r="V58" i="44" a="1"/>
  <c r="V58" i="44" s="1"/>
  <c r="K69" i="44"/>
  <c r="L69" i="44" s="1"/>
  <c r="S69" i="44"/>
  <c r="T69" i="44" s="1"/>
  <c r="I141" i="44"/>
  <c r="V141" i="44" a="1"/>
  <c r="V141" i="44" s="1"/>
  <c r="V21" i="44" a="1"/>
  <c r="V21" i="44" s="1"/>
  <c r="I21" i="44"/>
  <c r="I34" i="44"/>
  <c r="V34" i="44" a="1"/>
  <c r="V34" i="44" s="1"/>
  <c r="S36" i="44"/>
  <c r="T36" i="44" s="1"/>
  <c r="K36" i="44"/>
  <c r="L36" i="44" s="1"/>
  <c r="V36" i="44" a="1"/>
  <c r="V36" i="44" s="1"/>
  <c r="S56" i="44"/>
  <c r="T56" i="44" s="1"/>
  <c r="K56" i="44"/>
  <c r="L56" i="44" s="1"/>
  <c r="W69" i="44" a="1"/>
  <c r="W69" i="44" s="1"/>
  <c r="X69" i="44" s="1" a="1"/>
  <c r="X69" i="44" s="1"/>
  <c r="W73" i="44" a="1"/>
  <c r="W73" i="44" s="1"/>
  <c r="W87" i="44" a="1"/>
  <c r="W87" i="44" s="1"/>
  <c r="S30" i="44"/>
  <c r="T30" i="44" s="1"/>
  <c r="K38" i="44"/>
  <c r="L38" i="44" s="1"/>
  <c r="K41" i="44"/>
  <c r="L41" i="44" s="1"/>
  <c r="S46" i="44"/>
  <c r="T46" i="44" s="1"/>
  <c r="K54" i="44"/>
  <c r="L54" i="44" s="1"/>
  <c r="K57" i="44"/>
  <c r="L57" i="44" s="1"/>
  <c r="S65" i="44"/>
  <c r="T65" i="44" s="1"/>
  <c r="K67" i="44"/>
  <c r="L67" i="44" s="1"/>
  <c r="V76" i="44" a="1"/>
  <c r="V76" i="44" s="1"/>
  <c r="S81" i="44"/>
  <c r="T81" i="44" s="1"/>
  <c r="K83" i="44"/>
  <c r="L83" i="44" s="1"/>
  <c r="V96" i="44" a="1"/>
  <c r="V96" i="44" s="1"/>
  <c r="V104" i="44" a="1"/>
  <c r="V104" i="44" s="1"/>
  <c r="I109" i="44"/>
  <c r="I113" i="44"/>
  <c r="X113" i="44" s="1" a="1"/>
  <c r="X113" i="44" s="1"/>
  <c r="I117" i="44"/>
  <c r="I121" i="44"/>
  <c r="K133" i="44"/>
  <c r="L133" i="44" s="1"/>
  <c r="V142" i="44" a="1"/>
  <c r="V142" i="44" s="1"/>
  <c r="S50" i="44"/>
  <c r="T50" i="44" s="1"/>
  <c r="V64" i="44" a="1"/>
  <c r="V64" i="44" s="1"/>
  <c r="K76" i="44"/>
  <c r="L76" i="44" s="1"/>
  <c r="V80" i="44" a="1"/>
  <c r="V80" i="44" s="1"/>
  <c r="X94" i="44" a="1"/>
  <c r="X94" i="44" s="1"/>
  <c r="S128" i="44"/>
  <c r="T128" i="44" s="1"/>
  <c r="K128" i="44"/>
  <c r="L128" i="44" s="1"/>
  <c r="S136" i="44"/>
  <c r="T136" i="44" s="1"/>
  <c r="K136" i="44"/>
  <c r="L136" i="44" s="1"/>
  <c r="W139" i="44" a="1"/>
  <c r="W139" i="44" s="1"/>
  <c r="X139" i="44" s="1" a="1"/>
  <c r="X139" i="44" s="1"/>
  <c r="W144" i="44" a="1"/>
  <c r="W144" i="44" s="1"/>
  <c r="X144" i="44" a="1"/>
  <c r="X144" i="44" s="1"/>
  <c r="V74" i="44" a="1"/>
  <c r="V74" i="44" s="1"/>
  <c r="S97" i="44"/>
  <c r="T97" i="44" s="1"/>
  <c r="S105" i="44"/>
  <c r="T105" i="44" s="1"/>
  <c r="W119" i="44" a="1"/>
  <c r="W119" i="44" s="1"/>
  <c r="X119" i="44" s="1" a="1"/>
  <c r="X119" i="44" s="1"/>
  <c r="W123" i="44" a="1"/>
  <c r="W123" i="44" s="1"/>
  <c r="X123" i="44" s="1" a="1"/>
  <c r="X123" i="44" s="1"/>
  <c r="I126" i="44"/>
  <c r="V126" i="44" a="1"/>
  <c r="V126" i="44" s="1"/>
  <c r="I134" i="44"/>
  <c r="V134" i="44" a="1"/>
  <c r="V134" i="44" s="1"/>
  <c r="I143" i="44"/>
  <c r="V143" i="44" a="1"/>
  <c r="V143" i="44" s="1"/>
  <c r="V148" i="44" a="1"/>
  <c r="V148" i="44" s="1"/>
  <c r="I148" i="44"/>
  <c r="W149" i="44" a="1"/>
  <c r="W149" i="44" s="1"/>
  <c r="X149" i="44" s="1" a="1"/>
  <c r="X149" i="44" s="1"/>
  <c r="I53" i="44"/>
  <c r="V56" i="44" a="1"/>
  <c r="V56" i="44" s="1"/>
  <c r="I61" i="44"/>
  <c r="X61" i="44" s="1" a="1"/>
  <c r="X61" i="44" s="1"/>
  <c r="S61" i="44"/>
  <c r="T61" i="44" s="1"/>
  <c r="I63" i="44"/>
  <c r="X65" i="44" a="1"/>
  <c r="X65" i="44" s="1"/>
  <c r="V68" i="44" a="1"/>
  <c r="V68" i="44" s="1"/>
  <c r="S73" i="44"/>
  <c r="T73" i="44" s="1"/>
  <c r="I79" i="44"/>
  <c r="X81" i="44" a="1"/>
  <c r="X81" i="44" s="1"/>
  <c r="V84" i="44" a="1"/>
  <c r="V84" i="44" s="1"/>
  <c r="S87" i="44"/>
  <c r="T87" i="44" s="1"/>
  <c r="W90" i="44" a="1"/>
  <c r="W90" i="44" s="1"/>
  <c r="X90" i="44" s="1" a="1"/>
  <c r="X90" i="44" s="1"/>
  <c r="I102" i="44"/>
  <c r="X102" i="44" s="1" a="1"/>
  <c r="X102" i="44" s="1"/>
  <c r="I111" i="44"/>
  <c r="X111" i="44" s="1" a="1"/>
  <c r="X111" i="44" s="1"/>
  <c r="W112" i="44" a="1"/>
  <c r="W112" i="44" s="1"/>
  <c r="X112" i="44" s="1" a="1"/>
  <c r="X112" i="44" s="1"/>
  <c r="I115" i="44"/>
  <c r="X115" i="44" s="1" a="1"/>
  <c r="X115" i="44" s="1"/>
  <c r="W116" i="44" a="1"/>
  <c r="W116" i="44" s="1"/>
  <c r="X116" i="44" s="1" a="1"/>
  <c r="X116" i="44" s="1"/>
  <c r="I119" i="44"/>
  <c r="I127" i="44"/>
  <c r="V127" i="44" a="1"/>
  <c r="V127" i="44" s="1"/>
  <c r="I129" i="44"/>
  <c r="V129" i="44" a="1"/>
  <c r="V129" i="44" s="1"/>
  <c r="I135" i="44"/>
  <c r="V135" i="44" a="1"/>
  <c r="V135" i="44" s="1"/>
  <c r="I137" i="44"/>
  <c r="V137" i="44" a="1"/>
  <c r="V137" i="44" s="1"/>
  <c r="V162" i="44" a="1"/>
  <c r="V162" i="44" s="1"/>
  <c r="I162" i="44"/>
  <c r="I73" i="44"/>
  <c r="K74" i="44"/>
  <c r="L74" i="44" s="1"/>
  <c r="V78" i="44" a="1"/>
  <c r="V78" i="44" s="1"/>
  <c r="X85" i="44" a="1"/>
  <c r="X85" i="44" s="1"/>
  <c r="I87" i="44"/>
  <c r="X87" i="44" s="1" a="1"/>
  <c r="X87" i="44" s="1"/>
  <c r="W92" i="44" a="1"/>
  <c r="W92" i="44" s="1"/>
  <c r="X92" i="44" s="1" a="1"/>
  <c r="X92" i="44" s="1"/>
  <c r="S95" i="44"/>
  <c r="T95" i="44" s="1"/>
  <c r="I97" i="44"/>
  <c r="X97" i="44" a="1"/>
  <c r="X97" i="44" s="1"/>
  <c r="W100" i="44" a="1"/>
  <c r="W100" i="44" s="1"/>
  <c r="X100" i="44" s="1" a="1"/>
  <c r="X100" i="44" s="1"/>
  <c r="S103" i="44"/>
  <c r="T103" i="44" s="1"/>
  <c r="I105" i="44"/>
  <c r="X105" i="44" a="1"/>
  <c r="X105" i="44" s="1"/>
  <c r="V120" i="44" a="1"/>
  <c r="V120" i="44" s="1"/>
  <c r="I120" i="44"/>
  <c r="V124" i="44" a="1"/>
  <c r="V124" i="44" s="1"/>
  <c r="I124" i="44"/>
  <c r="I145" i="44"/>
  <c r="V145" i="44" a="1"/>
  <c r="V145" i="44" s="1"/>
  <c r="S42" i="44"/>
  <c r="T42" i="44" s="1"/>
  <c r="K50" i="44"/>
  <c r="L50" i="44" s="1"/>
  <c r="S58" i="44"/>
  <c r="T58" i="44" s="1"/>
  <c r="K60" i="44"/>
  <c r="L60" i="44" s="1"/>
  <c r="K68" i="44"/>
  <c r="L68" i="44" s="1"/>
  <c r="V72" i="44" a="1"/>
  <c r="V72" i="44" s="1"/>
  <c r="K84" i="44"/>
  <c r="L84" i="44" s="1"/>
  <c r="V98" i="44" a="1"/>
  <c r="V98" i="44" s="1"/>
  <c r="V106" i="44" a="1"/>
  <c r="V106" i="44" s="1"/>
  <c r="V150" i="44" a="1"/>
  <c r="V150" i="44" s="1"/>
  <c r="I150" i="44"/>
  <c r="V66" i="44" a="1"/>
  <c r="V66" i="44" s="1"/>
  <c r="V82" i="44" a="1"/>
  <c r="V82" i="44" s="1"/>
  <c r="S93" i="44"/>
  <c r="T93" i="44" s="1"/>
  <c r="S101" i="44"/>
  <c r="T101" i="44" s="1"/>
  <c r="X109" i="44" a="1"/>
  <c r="X109" i="44" s="1"/>
  <c r="X110" i="44" a="1"/>
  <c r="X110" i="44" s="1"/>
  <c r="X114" i="44" a="1"/>
  <c r="X114" i="44" s="1"/>
  <c r="W117" i="44" a="1"/>
  <c r="W117" i="44" s="1"/>
  <c r="X117" i="44" s="1" a="1"/>
  <c r="X117" i="44" s="1"/>
  <c r="X121" i="44" a="1"/>
  <c r="X121" i="44" s="1"/>
  <c r="W121" i="44" a="1"/>
  <c r="W121" i="44" s="1"/>
  <c r="W147" i="44" a="1"/>
  <c r="W147" i="44" s="1"/>
  <c r="X147" i="44" s="1" a="1"/>
  <c r="X147" i="44" s="1"/>
  <c r="V158" i="44" a="1"/>
  <c r="V158" i="44" s="1"/>
  <c r="I158" i="44"/>
  <c r="W170" i="44" a="1"/>
  <c r="W170" i="44" s="1"/>
  <c r="X170" i="44" s="1" a="1"/>
  <c r="X170" i="44" s="1"/>
  <c r="W174" i="44" a="1"/>
  <c r="W174" i="44" s="1"/>
  <c r="X174" i="44" s="1" a="1"/>
  <c r="X174" i="44" s="1"/>
  <c r="V125" i="44" a="1"/>
  <c r="V125" i="44" s="1"/>
  <c r="S127" i="44"/>
  <c r="T127" i="44" s="1"/>
  <c r="V132" i="44" a="1"/>
  <c r="V132" i="44" s="1"/>
  <c r="S135" i="44"/>
  <c r="T135" i="44" s="1"/>
  <c r="V140" i="44" a="1"/>
  <c r="V140" i="44" s="1"/>
  <c r="V168" i="44" a="1"/>
  <c r="V168" i="44" s="1"/>
  <c r="I194" i="44"/>
  <c r="V194" i="44" a="1"/>
  <c r="V194" i="44" s="1"/>
  <c r="I196" i="44"/>
  <c r="V196" i="44" a="1"/>
  <c r="V196" i="44" s="1"/>
  <c r="W197" i="44" a="1"/>
  <c r="W197" i="44" s="1"/>
  <c r="X197" i="44" s="1" a="1"/>
  <c r="X197" i="44" s="1"/>
  <c r="S129" i="44"/>
  <c r="T129" i="44" s="1"/>
  <c r="S137" i="44"/>
  <c r="T137" i="44" s="1"/>
  <c r="K145" i="44"/>
  <c r="L145" i="44" s="1"/>
  <c r="S203" i="44"/>
  <c r="T203" i="44" s="1"/>
  <c r="K203" i="44"/>
  <c r="L203" i="44" s="1"/>
  <c r="W246" i="44" a="1"/>
  <c r="W246" i="44" s="1"/>
  <c r="X246" i="44" a="1"/>
  <c r="X246" i="44" s="1"/>
  <c r="W252" i="44" a="1"/>
  <c r="W252" i="44" s="1"/>
  <c r="X252" i="44" a="1"/>
  <c r="X252" i="44" s="1"/>
  <c r="K126" i="44"/>
  <c r="L126" i="44" s="1"/>
  <c r="K134" i="44"/>
  <c r="L134" i="44" s="1"/>
  <c r="W151" i="44" a="1"/>
  <c r="W151" i="44" s="1"/>
  <c r="I151" i="44" s="1"/>
  <c r="X151" i="44" s="1" a="1"/>
  <c r="X151" i="44" s="1"/>
  <c r="W164" i="44" a="1"/>
  <c r="W164" i="44" s="1"/>
  <c r="X182" i="44" a="1"/>
  <c r="X182" i="44" s="1"/>
  <c r="W182" i="44" a="1"/>
  <c r="W182" i="44" s="1"/>
  <c r="W183" i="44" a="1"/>
  <c r="W183" i="44" s="1"/>
  <c r="X183" i="44" s="1" a="1"/>
  <c r="X183" i="44" s="1"/>
  <c r="S188" i="44"/>
  <c r="T188" i="44" s="1"/>
  <c r="V128" i="44" a="1"/>
  <c r="V128" i="44" s="1"/>
  <c r="S131" i="44"/>
  <c r="T131" i="44" s="1"/>
  <c r="V136" i="44" a="1"/>
  <c r="V136" i="44" s="1"/>
  <c r="S139" i="44"/>
  <c r="T139" i="44" s="1"/>
  <c r="V154" i="44" a="1"/>
  <c r="V154" i="44" s="1"/>
  <c r="X177" i="44" a="1"/>
  <c r="X177" i="44" s="1"/>
  <c r="S125" i="44"/>
  <c r="T125" i="44" s="1"/>
  <c r="S132" i="44"/>
  <c r="T132" i="44" s="1"/>
  <c r="S140" i="44"/>
  <c r="T140" i="44" s="1"/>
  <c r="V160" i="44" a="1"/>
  <c r="V160" i="44" s="1"/>
  <c r="I160" i="44"/>
  <c r="W165" i="44" a="1"/>
  <c r="W165" i="44" s="1"/>
  <c r="I165" i="44" s="1"/>
  <c r="V166" i="44" a="1"/>
  <c r="V166" i="44" s="1"/>
  <c r="I191" i="44"/>
  <c r="V191" i="44" a="1"/>
  <c r="V191" i="44" s="1"/>
  <c r="S133" i="44"/>
  <c r="T133" i="44" s="1"/>
  <c r="S141" i="44"/>
  <c r="T141" i="44" s="1"/>
  <c r="S142" i="44"/>
  <c r="T142" i="44" s="1"/>
  <c r="S143" i="44"/>
  <c r="T143" i="44" s="1"/>
  <c r="S144" i="44"/>
  <c r="T144" i="44" s="1"/>
  <c r="K147" i="44"/>
  <c r="L147" i="44" s="1"/>
  <c r="K173" i="44"/>
  <c r="L173" i="44" s="1"/>
  <c r="S173" i="44"/>
  <c r="T173" i="44" s="1"/>
  <c r="X179" i="44" a="1"/>
  <c r="X179" i="44" s="1"/>
  <c r="V146" i="44" a="1"/>
  <c r="V146" i="44" s="1"/>
  <c r="V152" i="44" a="1"/>
  <c r="V152" i="44" s="1"/>
  <c r="I152" i="44"/>
  <c r="V156" i="44" a="1"/>
  <c r="V156" i="44" s="1"/>
  <c r="I156" i="44"/>
  <c r="W169" i="44" a="1"/>
  <c r="W169" i="44" s="1"/>
  <c r="X169" i="44" s="1" a="1"/>
  <c r="X169" i="44" s="1"/>
  <c r="X181" i="44" a="1"/>
  <c r="X181" i="44" s="1"/>
  <c r="W181" i="44" a="1"/>
  <c r="W181" i="44" s="1"/>
  <c r="S195" i="44"/>
  <c r="T195" i="44" s="1"/>
  <c r="K195" i="44"/>
  <c r="L195" i="44" s="1"/>
  <c r="V153" i="44" a="1"/>
  <c r="V153" i="44" s="1"/>
  <c r="V155" i="44" a="1"/>
  <c r="V155" i="44" s="1"/>
  <c r="V157" i="44" a="1"/>
  <c r="V157" i="44" s="1"/>
  <c r="V159" i="44" a="1"/>
  <c r="V159" i="44" s="1"/>
  <c r="V161" i="44" a="1"/>
  <c r="V161" i="44" s="1"/>
  <c r="S176" i="44"/>
  <c r="T176" i="44" s="1"/>
  <c r="V184" i="44" a="1"/>
  <c r="V184" i="44" s="1"/>
  <c r="I184" i="44"/>
  <c r="S202" i="44"/>
  <c r="T202" i="44" s="1"/>
  <c r="K202" i="44"/>
  <c r="L202" i="44" s="1"/>
  <c r="W212" i="44" a="1"/>
  <c r="W212" i="44" s="1"/>
  <c r="X213" i="44" a="1"/>
  <c r="X213" i="44" s="1"/>
  <c r="W213" i="44" a="1"/>
  <c r="W213" i="44" s="1"/>
  <c r="W222" i="44" a="1"/>
  <c r="W222" i="44" s="1"/>
  <c r="X222" i="44" s="1" a="1"/>
  <c r="X222" i="44" s="1"/>
  <c r="W225" i="44" a="1"/>
  <c r="W225" i="44" s="1"/>
  <c r="X225" i="44" s="1" a="1"/>
  <c r="X225" i="44" s="1"/>
  <c r="W237" i="44" a="1"/>
  <c r="W237" i="44" s="1"/>
  <c r="X237" i="44" s="1" a="1"/>
  <c r="X237" i="44" s="1"/>
  <c r="W243" i="44" a="1"/>
  <c r="W243" i="44" s="1"/>
  <c r="X243" i="44" s="1" a="1"/>
  <c r="X243" i="44" s="1"/>
  <c r="K299" i="44"/>
  <c r="L299" i="44" s="1"/>
  <c r="S299" i="44"/>
  <c r="T299" i="44" s="1"/>
  <c r="V176" i="44" a="1"/>
  <c r="V176" i="44" s="1"/>
  <c r="I176" i="44"/>
  <c r="S183" i="44"/>
  <c r="T183" i="44" s="1"/>
  <c r="X186" i="44" a="1"/>
  <c r="X186" i="44" s="1"/>
  <c r="W186" i="44" a="1"/>
  <c r="W186" i="44" s="1"/>
  <c r="S192" i="44"/>
  <c r="T192" i="44" s="1"/>
  <c r="I195" i="44"/>
  <c r="V195" i="44" a="1"/>
  <c r="V195" i="44" s="1"/>
  <c r="I203" i="44"/>
  <c r="V203" i="44" a="1"/>
  <c r="V203" i="44" s="1"/>
  <c r="W208" i="44" a="1"/>
  <c r="W208" i="44" s="1"/>
  <c r="X208" i="44" a="1"/>
  <c r="X208" i="44" s="1"/>
  <c r="I217" i="44"/>
  <c r="V217" i="44" a="1"/>
  <c r="V217" i="44" s="1"/>
  <c r="V219" i="44" a="1"/>
  <c r="V219" i="44" s="1"/>
  <c r="I219" i="44"/>
  <c r="W220" i="44" a="1"/>
  <c r="W220" i="44" s="1"/>
  <c r="X220" i="44" s="1" a="1"/>
  <c r="X220" i="44" s="1"/>
  <c r="I224" i="44"/>
  <c r="V224" i="44" a="1"/>
  <c r="V224" i="44" s="1"/>
  <c r="K170" i="44"/>
  <c r="L170" i="44" s="1"/>
  <c r="K172" i="44"/>
  <c r="L172" i="44" s="1"/>
  <c r="S172" i="44"/>
  <c r="T172" i="44" s="1"/>
  <c r="S180" i="44"/>
  <c r="T180" i="44" s="1"/>
  <c r="V188" i="44" a="1"/>
  <c r="V188" i="44" s="1"/>
  <c r="I188" i="44"/>
  <c r="W233" i="44" a="1"/>
  <c r="W233" i="44" s="1"/>
  <c r="X233" i="44" s="1" a="1"/>
  <c r="X233" i="44" s="1"/>
  <c r="W239" i="44" a="1"/>
  <c r="W239" i="44" s="1"/>
  <c r="S163" i="44"/>
  <c r="T163" i="44" s="1"/>
  <c r="V172" i="44" a="1"/>
  <c r="V172" i="44" s="1"/>
  <c r="V178" i="44" a="1"/>
  <c r="V178" i="44" s="1"/>
  <c r="K181" i="44"/>
  <c r="L181" i="44" s="1"/>
  <c r="K190" i="44"/>
  <c r="L190" i="44" s="1"/>
  <c r="V192" i="44" a="1"/>
  <c r="V192" i="44" s="1"/>
  <c r="I192" i="44"/>
  <c r="W204" i="44" a="1"/>
  <c r="W204" i="44" s="1"/>
  <c r="X204" i="44" a="1"/>
  <c r="X204" i="44" s="1"/>
  <c r="V175" i="44" a="1"/>
  <c r="V175" i="44" s="1"/>
  <c r="V180" i="44" a="1"/>
  <c r="V180" i="44" s="1"/>
  <c r="I180" i="44"/>
  <c r="W190" i="44" a="1"/>
  <c r="W190" i="44" s="1"/>
  <c r="S200" i="44"/>
  <c r="T200" i="44" s="1"/>
  <c r="K200" i="44"/>
  <c r="L200" i="44" s="1"/>
  <c r="I209" i="44"/>
  <c r="V209" i="44" a="1"/>
  <c r="V209" i="44" s="1"/>
  <c r="I164" i="44"/>
  <c r="X164" i="44" s="1" a="1"/>
  <c r="X164" i="44" s="1"/>
  <c r="I167" i="44"/>
  <c r="X167" i="44" s="1" a="1"/>
  <c r="X167" i="44" s="1"/>
  <c r="K182" i="44"/>
  <c r="L182" i="44" s="1"/>
  <c r="S184" i="44"/>
  <c r="T184" i="44" s="1"/>
  <c r="W185" i="44" a="1"/>
  <c r="W185" i="44" s="1"/>
  <c r="X185" i="44" s="1" a="1"/>
  <c r="X185" i="44" s="1"/>
  <c r="V187" i="44" a="1"/>
  <c r="V187" i="44" s="1"/>
  <c r="I193" i="44"/>
  <c r="V193" i="44" a="1"/>
  <c r="V193" i="44" s="1"/>
  <c r="S211" i="44"/>
  <c r="T211" i="44" s="1"/>
  <c r="K211" i="44"/>
  <c r="L211" i="44" s="1"/>
  <c r="W214" i="44" a="1"/>
  <c r="W214" i="44" s="1"/>
  <c r="X214" i="44" a="1"/>
  <c r="X214" i="44" s="1"/>
  <c r="W216" i="44" a="1"/>
  <c r="W216" i="44" s="1"/>
  <c r="X216" i="44" s="1" a="1"/>
  <c r="X216" i="44" s="1"/>
  <c r="V227" i="44" a="1"/>
  <c r="V227" i="44" s="1"/>
  <c r="I227" i="44"/>
  <c r="W231" i="44" a="1"/>
  <c r="W231" i="44" s="1"/>
  <c r="W234" i="44" a="1"/>
  <c r="W234" i="44" s="1"/>
  <c r="X234" i="44" s="1" a="1"/>
  <c r="X234" i="44" s="1"/>
  <c r="K185" i="44"/>
  <c r="L185" i="44" s="1"/>
  <c r="S194" i="44"/>
  <c r="T194" i="44" s="1"/>
  <c r="K194" i="44"/>
  <c r="L194" i="44" s="1"/>
  <c r="I201" i="44"/>
  <c r="V201" i="44" a="1"/>
  <c r="V201" i="44" s="1"/>
  <c r="W207" i="44" a="1"/>
  <c r="W207" i="44" s="1"/>
  <c r="X207" i="44" a="1"/>
  <c r="X207" i="44" s="1"/>
  <c r="I211" i="44"/>
  <c r="V211" i="44" a="1"/>
  <c r="V211" i="44" s="1"/>
  <c r="V198" i="44" a="1"/>
  <c r="V198" i="44" s="1"/>
  <c r="X218" i="44" a="1"/>
  <c r="X218" i="44" s="1"/>
  <c r="K225" i="44"/>
  <c r="L225" i="44" s="1"/>
  <c r="S225" i="44"/>
  <c r="T225" i="44" s="1"/>
  <c r="V230" i="44" a="1"/>
  <c r="V230" i="44" s="1"/>
  <c r="I230" i="44"/>
  <c r="X235" i="44" a="1"/>
  <c r="X235" i="44" s="1"/>
  <c r="V242" i="44" a="1"/>
  <c r="V242" i="44" s="1"/>
  <c r="X255" i="44" a="1"/>
  <c r="X255" i="44" s="1"/>
  <c r="W255" i="44" a="1"/>
  <c r="W255" i="44" s="1"/>
  <c r="I245" i="44"/>
  <c r="V245" i="44" a="1"/>
  <c r="V245" i="44" s="1"/>
  <c r="S247" i="44"/>
  <c r="T247" i="44" s="1"/>
  <c r="X267" i="44" a="1"/>
  <c r="X267" i="44" s="1"/>
  <c r="W267" i="44" a="1"/>
  <c r="W267" i="44" s="1"/>
  <c r="I276" i="44"/>
  <c r="V276" i="44" a="1"/>
  <c r="V276" i="44" s="1"/>
  <c r="I294" i="44"/>
  <c r="V294" i="44" a="1"/>
  <c r="V294" i="44" s="1"/>
  <c r="V297" i="44" a="1"/>
  <c r="V297" i="44" s="1"/>
  <c r="I297" i="44"/>
  <c r="S210" i="44"/>
  <c r="T210" i="44" s="1"/>
  <c r="I212" i="44"/>
  <c r="X212" i="44" s="1" a="1"/>
  <c r="X212" i="44" s="1"/>
  <c r="V247" i="44" a="1"/>
  <c r="V247" i="44" s="1"/>
  <c r="I247" i="44"/>
  <c r="W250" i="44" a="1"/>
  <c r="W250" i="44" s="1"/>
  <c r="X250" i="44" s="1" a="1"/>
  <c r="X250" i="44" s="1"/>
  <c r="K265" i="44"/>
  <c r="L265" i="44" s="1"/>
  <c r="S265" i="44"/>
  <c r="T265" i="44" s="1"/>
  <c r="V202" i="44" a="1"/>
  <c r="V202" i="44" s="1"/>
  <c r="V206" i="44" a="1"/>
  <c r="V206" i="44" s="1"/>
  <c r="W226" i="44" a="1"/>
  <c r="W226" i="44" s="1"/>
  <c r="X226" i="44" s="1" a="1"/>
  <c r="X226" i="44" s="1"/>
  <c r="V228" i="44" a="1"/>
  <c r="V228" i="44" s="1"/>
  <c r="I228" i="44"/>
  <c r="X253" i="44" a="1"/>
  <c r="X253" i="44" s="1"/>
  <c r="S205" i="44"/>
  <c r="T205" i="44" s="1"/>
  <c r="V205" i="44" a="1"/>
  <c r="V205" i="44" s="1"/>
  <c r="W223" i="44" a="1"/>
  <c r="W223" i="44" s="1"/>
  <c r="X223" i="44" s="1" a="1"/>
  <c r="X223" i="44" s="1"/>
  <c r="I234" i="44"/>
  <c r="W240" i="44" a="1"/>
  <c r="W240" i="44" s="1"/>
  <c r="X240" i="44" s="1" a="1"/>
  <c r="X240" i="44" s="1"/>
  <c r="V244" i="44" a="1"/>
  <c r="V244" i="44" s="1"/>
  <c r="W256" i="44" a="1"/>
  <c r="W256" i="44" s="1"/>
  <c r="X256" i="44" s="1" a="1"/>
  <c r="X256" i="44" s="1"/>
  <c r="I259" i="44"/>
  <c r="V259" i="44" a="1"/>
  <c r="V259" i="44" s="1"/>
  <c r="V200" i="44" a="1"/>
  <c r="V200" i="44" s="1"/>
  <c r="S215" i="44"/>
  <c r="T215" i="44" s="1"/>
  <c r="K215" i="44"/>
  <c r="L215" i="44" s="1"/>
  <c r="I221" i="44"/>
  <c r="V221" i="44" a="1"/>
  <c r="V221" i="44" s="1"/>
  <c r="I229" i="44"/>
  <c r="V229" i="44" a="1"/>
  <c r="V229" i="44" s="1"/>
  <c r="W236" i="44" a="1"/>
  <c r="W236" i="44" s="1"/>
  <c r="X236" i="44" s="1" a="1"/>
  <c r="X236" i="44" s="1"/>
  <c r="W251" i="44" a="1"/>
  <c r="W251" i="44" s="1"/>
  <c r="X251" i="44" s="1" a="1"/>
  <c r="X251" i="44" s="1"/>
  <c r="I272" i="44"/>
  <c r="V272" i="44" a="1"/>
  <c r="V272" i="44" s="1"/>
  <c r="V199" i="44" a="1"/>
  <c r="V199" i="44" s="1"/>
  <c r="X210" i="44" a="1"/>
  <c r="X210" i="44" s="1"/>
  <c r="V215" i="44" a="1"/>
  <c r="V215" i="44" s="1"/>
  <c r="K216" i="44"/>
  <c r="L216" i="44" s="1"/>
  <c r="K218" i="44"/>
  <c r="L218" i="44" s="1"/>
  <c r="W238" i="44" a="1"/>
  <c r="W238" i="44" s="1"/>
  <c r="X238" i="44" s="1" a="1"/>
  <c r="X238" i="44" s="1"/>
  <c r="K241" i="44"/>
  <c r="L241" i="44" s="1"/>
  <c r="S241" i="44"/>
  <c r="T241" i="44" s="1"/>
  <c r="V263" i="44" a="1"/>
  <c r="V263" i="44" s="1"/>
  <c r="I263" i="44"/>
  <c r="S209" i="44"/>
  <c r="T209" i="44" s="1"/>
  <c r="I231" i="44"/>
  <c r="V232" i="44" a="1"/>
  <c r="V232" i="44" s="1"/>
  <c r="S233" i="44"/>
  <c r="T233" i="44" s="1"/>
  <c r="I239" i="44"/>
  <c r="X239" i="44" s="1" a="1"/>
  <c r="X239" i="44" s="1"/>
  <c r="I264" i="44"/>
  <c r="V264" i="44" a="1"/>
  <c r="V264" i="44" s="1"/>
  <c r="W299" i="44" a="1"/>
  <c r="W299" i="44" s="1"/>
  <c r="X299" i="44" s="1" a="1"/>
  <c r="X299" i="44" s="1"/>
  <c r="S207" i="44"/>
  <c r="T207" i="44" s="1"/>
  <c r="K245" i="44"/>
  <c r="L245" i="44" s="1"/>
  <c r="V248" i="44" a="1"/>
  <c r="V248" i="44" s="1"/>
  <c r="K249" i="44"/>
  <c r="L249" i="44" s="1"/>
  <c r="I260" i="44"/>
  <c r="V260" i="44" a="1"/>
  <c r="V260" i="44" s="1"/>
  <c r="K261" i="44"/>
  <c r="L261" i="44" s="1"/>
  <c r="S261" i="44"/>
  <c r="T261" i="44" s="1"/>
  <c r="K209" i="44"/>
  <c r="L209" i="44" s="1"/>
  <c r="S217" i="44"/>
  <c r="T217" i="44" s="1"/>
  <c r="S229" i="44"/>
  <c r="T229" i="44" s="1"/>
  <c r="W265" i="44" a="1"/>
  <c r="W265" i="44" s="1"/>
  <c r="X265" i="44" s="1" a="1"/>
  <c r="X265" i="44" s="1"/>
  <c r="K275" i="44"/>
  <c r="L275" i="44" s="1"/>
  <c r="S275" i="44"/>
  <c r="T275" i="44" s="1"/>
  <c r="X290" i="44" a="1"/>
  <c r="X290" i="44" s="1"/>
  <c r="W290" i="44" a="1"/>
  <c r="W290" i="44" s="1"/>
  <c r="W275" i="44" a="1"/>
  <c r="W275" i="44" s="1"/>
  <c r="W277" i="44" a="1"/>
  <c r="W277" i="44" s="1"/>
  <c r="V241" i="44" a="1"/>
  <c r="V241" i="44" s="1"/>
  <c r="V254" i="44" a="1"/>
  <c r="V254" i="44" s="1"/>
  <c r="I278" i="44"/>
  <c r="V278" i="44" a="1"/>
  <c r="V278" i="44" s="1"/>
  <c r="W283" i="44" a="1"/>
  <c r="W283" i="44" s="1"/>
  <c r="X283" i="44" s="1" a="1"/>
  <c r="X283" i="44" s="1"/>
  <c r="I284" i="44"/>
  <c r="V284" i="44" a="1"/>
  <c r="V284" i="44" s="1"/>
  <c r="I287" i="44"/>
  <c r="V287" i="44" a="1"/>
  <c r="V287" i="44" s="1"/>
  <c r="V258" i="44" a="1"/>
  <c r="V258" i="44" s="1"/>
  <c r="I258" i="44"/>
  <c r="K264" i="44"/>
  <c r="L264" i="44" s="1"/>
  <c r="S264" i="44"/>
  <c r="T264" i="44" s="1"/>
  <c r="I274" i="44"/>
  <c r="V274" i="44" a="1"/>
  <c r="V274" i="44" s="1"/>
  <c r="I282" i="44"/>
  <c r="V282" i="44" a="1"/>
  <c r="V282" i="44" s="1"/>
  <c r="I286" i="44"/>
  <c r="V286" i="44" a="1"/>
  <c r="V286" i="44" s="1"/>
  <c r="K291" i="44"/>
  <c r="L291" i="44" s="1"/>
  <c r="S291" i="44"/>
  <c r="T291" i="44" s="1"/>
  <c r="W291" i="44" a="1"/>
  <c r="W291" i="44" s="1"/>
  <c r="X291" i="44" a="1"/>
  <c r="X291" i="44" s="1"/>
  <c r="V269" i="44" a="1"/>
  <c r="V269" i="44" s="1"/>
  <c r="I269" i="44"/>
  <c r="X280" i="44" a="1"/>
  <c r="X280" i="44" s="1"/>
  <c r="W266" i="44" a="1"/>
  <c r="W266" i="44" s="1"/>
  <c r="X266" i="44" s="1" a="1"/>
  <c r="X266" i="44" s="1"/>
  <c r="I268" i="44"/>
  <c r="V268" i="44" a="1"/>
  <c r="V268" i="44" s="1"/>
  <c r="X257" i="44" a="1"/>
  <c r="X257" i="44" s="1"/>
  <c r="K260" i="44"/>
  <c r="L260" i="44" s="1"/>
  <c r="I270" i="44"/>
  <c r="V270" i="44" a="1"/>
  <c r="V270" i="44" s="1"/>
  <c r="K283" i="44"/>
  <c r="L283" i="44" s="1"/>
  <c r="S283" i="44"/>
  <c r="T283" i="44" s="1"/>
  <c r="V285" i="44" a="1"/>
  <c r="V285" i="44" s="1"/>
  <c r="I285" i="44"/>
  <c r="W295" i="44" a="1"/>
  <c r="W295" i="44" s="1"/>
  <c r="X295" i="44" s="1" a="1"/>
  <c r="X295" i="44" s="1"/>
  <c r="I298" i="44"/>
  <c r="V298" i="44" a="1"/>
  <c r="V298" i="44" s="1"/>
  <c r="I266" i="44"/>
  <c r="V271" i="44" a="1"/>
  <c r="V271" i="44" s="1"/>
  <c r="K273" i="44"/>
  <c r="L273" i="44" s="1"/>
  <c r="S273" i="44"/>
  <c r="T273" i="44" s="1"/>
  <c r="V273" i="44" a="1"/>
  <c r="V273" i="44" s="1"/>
  <c r="I275" i="44"/>
  <c r="X275" i="44" s="1" a="1"/>
  <c r="X275" i="44" s="1"/>
  <c r="I277" i="44"/>
  <c r="V279" i="44" a="1"/>
  <c r="V279" i="44" s="1"/>
  <c r="K281" i="44"/>
  <c r="L281" i="44" s="1"/>
  <c r="S281" i="44"/>
  <c r="T281" i="44" s="1"/>
  <c r="V281" i="44" a="1"/>
  <c r="V281" i="44" s="1"/>
  <c r="I283" i="44"/>
  <c r="V300" i="44" a="1"/>
  <c r="V300" i="44" s="1"/>
  <c r="I300" i="44"/>
  <c r="I288" i="44"/>
  <c r="V288" i="44" a="1"/>
  <c r="V288" i="44" s="1"/>
  <c r="K289" i="44"/>
  <c r="L289" i="44" s="1"/>
  <c r="S289" i="44"/>
  <c r="T289" i="44" s="1"/>
  <c r="W293" i="44" a="1"/>
  <c r="W293" i="44" s="1"/>
  <c r="I296" i="44"/>
  <c r="V296" i="44" a="1"/>
  <c r="V296" i="44" s="1"/>
  <c r="I262" i="44"/>
  <c r="X262" i="44" s="1" a="1"/>
  <c r="X262" i="44" s="1"/>
  <c r="V289" i="44" a="1"/>
  <c r="V289" i="44" s="1"/>
  <c r="I289" i="44"/>
  <c r="I293" i="44"/>
  <c r="V292" i="44" a="1"/>
  <c r="V292" i="44" s="1"/>
  <c r="S280" i="44"/>
  <c r="T280" i="44" s="1"/>
  <c r="S296" i="44"/>
  <c r="T296" i="44" s="1"/>
  <c r="S297" i="44"/>
  <c r="T297" i="44" s="1"/>
  <c r="S270" i="44"/>
  <c r="T270" i="44" s="1"/>
  <c r="S278" i="44"/>
  <c r="T278" i="44" s="1"/>
  <c r="K300" i="44"/>
  <c r="L300" i="44" s="1"/>
  <c r="S300" i="44"/>
  <c r="T300" i="44" s="1"/>
  <c r="AF179" i="7"/>
  <c r="AF180" i="7"/>
  <c r="AF181" i="7"/>
  <c r="AF182" i="7"/>
  <c r="AF183" i="7"/>
  <c r="AF184" i="7"/>
  <c r="AF185" i="7"/>
  <c r="AF186" i="7"/>
  <c r="AF187" i="7"/>
  <c r="AF188" i="7"/>
  <c r="AF189" i="7"/>
  <c r="AF190" i="7"/>
  <c r="AF191" i="7"/>
  <c r="AF192" i="7"/>
  <c r="AF193" i="7"/>
  <c r="AF194" i="7"/>
  <c r="AF195" i="7"/>
  <c r="AF196" i="7"/>
  <c r="AF197" i="7"/>
  <c r="AF198" i="7"/>
  <c r="AF199" i="7"/>
  <c r="AF200" i="7"/>
  <c r="AF201" i="7"/>
  <c r="AF202" i="7"/>
  <c r="AF203" i="7"/>
  <c r="AF204" i="7"/>
  <c r="AF205" i="7"/>
  <c r="AF206" i="7"/>
  <c r="AF207" i="7"/>
  <c r="AF208" i="7"/>
  <c r="AF209" i="7"/>
  <c r="AF210" i="7"/>
  <c r="AF211" i="7"/>
  <c r="AF212" i="7"/>
  <c r="AF213" i="7"/>
  <c r="AF214" i="7"/>
  <c r="AF215" i="7"/>
  <c r="AF216" i="7"/>
  <c r="AF217" i="7"/>
  <c r="AF218" i="7"/>
  <c r="AF219" i="7"/>
  <c r="AF220" i="7"/>
  <c r="AF221" i="7"/>
  <c r="AF222" i="7"/>
  <c r="AF223" i="7"/>
  <c r="AF224" i="7"/>
  <c r="AF225" i="7"/>
  <c r="AF226" i="7"/>
  <c r="AF227" i="7"/>
  <c r="AF228" i="7"/>
  <c r="AF229" i="7"/>
  <c r="AF230" i="7"/>
  <c r="AF231" i="7"/>
  <c r="AF232" i="7"/>
  <c r="AF233" i="7"/>
  <c r="AF234" i="7"/>
  <c r="AF235" i="7"/>
  <c r="AF236" i="7"/>
  <c r="AF237" i="7"/>
  <c r="AF238" i="7"/>
  <c r="AF239" i="7"/>
  <c r="AF240" i="7"/>
  <c r="AF241" i="7"/>
  <c r="AF242" i="7"/>
  <c r="AF243" i="7"/>
  <c r="AF244" i="7"/>
  <c r="AF245" i="7"/>
  <c r="AF246" i="7"/>
  <c r="AF247" i="7"/>
  <c r="AF248" i="7"/>
  <c r="AF249" i="7"/>
  <c r="AF250" i="7"/>
  <c r="AF251" i="7"/>
  <c r="AF252" i="7"/>
  <c r="AF253" i="7"/>
  <c r="AF254" i="7"/>
  <c r="AF255" i="7"/>
  <c r="AF256" i="7"/>
  <c r="AF257" i="7"/>
  <c r="AF258" i="7"/>
  <c r="AF259" i="7"/>
  <c r="AF260" i="7"/>
  <c r="AF261" i="7"/>
  <c r="AF262" i="7"/>
  <c r="AF263" i="7"/>
  <c r="AF264" i="7"/>
  <c r="AF265" i="7"/>
  <c r="AF266" i="7"/>
  <c r="AF267" i="7"/>
  <c r="AF268" i="7"/>
  <c r="AF269" i="7"/>
  <c r="AF270" i="7"/>
  <c r="AF271" i="7"/>
  <c r="AF272" i="7"/>
  <c r="AF273" i="7"/>
  <c r="AF274" i="7"/>
  <c r="AF275" i="7"/>
  <c r="AF276" i="7"/>
  <c r="AF277" i="7"/>
  <c r="AF278" i="7"/>
  <c r="AF279" i="7"/>
  <c r="AF280" i="7"/>
  <c r="AF281" i="7"/>
  <c r="AF282" i="7"/>
  <c r="AF283" i="7"/>
  <c r="AF284" i="7"/>
  <c r="AF285" i="7"/>
  <c r="AF286" i="7"/>
  <c r="AF287" i="7"/>
  <c r="AF288" i="7"/>
  <c r="AF289" i="7"/>
  <c r="AF290" i="7"/>
  <c r="AF291" i="7"/>
  <c r="AF292" i="7"/>
  <c r="AF293" i="7"/>
  <c r="AF294" i="7"/>
  <c r="AF295" i="7"/>
  <c r="AF296" i="7"/>
  <c r="AF297" i="7"/>
  <c r="AF298" i="7"/>
  <c r="AF299" i="7"/>
  <c r="AF300" i="7"/>
  <c r="AF179" i="47"/>
  <c r="AF180" i="47"/>
  <c r="AF181" i="47"/>
  <c r="AF182" i="47"/>
  <c r="AF183" i="47"/>
  <c r="AF184" i="47"/>
  <c r="AF185" i="47"/>
  <c r="AF186" i="47"/>
  <c r="AF187" i="47"/>
  <c r="AF188" i="47"/>
  <c r="AF189" i="47"/>
  <c r="AF190" i="47"/>
  <c r="AF191" i="47"/>
  <c r="AF192" i="47"/>
  <c r="AF193" i="47"/>
  <c r="AF194" i="47"/>
  <c r="AF195" i="47"/>
  <c r="AF196" i="47"/>
  <c r="AF197" i="47"/>
  <c r="AF198" i="47"/>
  <c r="AF199" i="47"/>
  <c r="AF200" i="47"/>
  <c r="AF201" i="47"/>
  <c r="AF202" i="47"/>
  <c r="AF203" i="47"/>
  <c r="AF204" i="47"/>
  <c r="AF205" i="47"/>
  <c r="AF206" i="47"/>
  <c r="AF207" i="47"/>
  <c r="AF208" i="47"/>
  <c r="AF209" i="47"/>
  <c r="AF210" i="47"/>
  <c r="AF211" i="47"/>
  <c r="AF212" i="47"/>
  <c r="AF213" i="47"/>
  <c r="AF214" i="47"/>
  <c r="AF215" i="47"/>
  <c r="AF216" i="47"/>
  <c r="AF217" i="47"/>
  <c r="AF218" i="47"/>
  <c r="AF219" i="47"/>
  <c r="AF220" i="47"/>
  <c r="AF221" i="47"/>
  <c r="AF222" i="47"/>
  <c r="AF223" i="47"/>
  <c r="AF224" i="47"/>
  <c r="AF225" i="47"/>
  <c r="AF226" i="47"/>
  <c r="AF227" i="47"/>
  <c r="AF228" i="47"/>
  <c r="AF229" i="47"/>
  <c r="AF230" i="47"/>
  <c r="AF231" i="47"/>
  <c r="AF232" i="47"/>
  <c r="AF233" i="47"/>
  <c r="AF234" i="47"/>
  <c r="AF235" i="47"/>
  <c r="AF236" i="47"/>
  <c r="AF237" i="47"/>
  <c r="AF238" i="47"/>
  <c r="AF239" i="47"/>
  <c r="AF240" i="47"/>
  <c r="AF241" i="47"/>
  <c r="AF242" i="47"/>
  <c r="AF243" i="47"/>
  <c r="AF244" i="47"/>
  <c r="AF245" i="47"/>
  <c r="AF246" i="47"/>
  <c r="AF247" i="47"/>
  <c r="AF248" i="47"/>
  <c r="AF249" i="47"/>
  <c r="AF250" i="47"/>
  <c r="AF251" i="47"/>
  <c r="AF252" i="47"/>
  <c r="AF253" i="47"/>
  <c r="AF254" i="47"/>
  <c r="AF255" i="47"/>
  <c r="AF256" i="47"/>
  <c r="AF257" i="47"/>
  <c r="AF258" i="47"/>
  <c r="AF259" i="47"/>
  <c r="AF260" i="47"/>
  <c r="AF261" i="47"/>
  <c r="AF262" i="47"/>
  <c r="AF263" i="47"/>
  <c r="AF264" i="47"/>
  <c r="AF265" i="47"/>
  <c r="AF266" i="47"/>
  <c r="AF267" i="47"/>
  <c r="AF268" i="47"/>
  <c r="AF269" i="47"/>
  <c r="AF270" i="47"/>
  <c r="AF271" i="47"/>
  <c r="AF272" i="47"/>
  <c r="AF273" i="47"/>
  <c r="AF274" i="47"/>
  <c r="AF275" i="47"/>
  <c r="AF276" i="47"/>
  <c r="AF277" i="47"/>
  <c r="AF278" i="47"/>
  <c r="AF279" i="47"/>
  <c r="AF280" i="47"/>
  <c r="AF281" i="47"/>
  <c r="AF282" i="47"/>
  <c r="AF283" i="47"/>
  <c r="AF284" i="47"/>
  <c r="AF285" i="47"/>
  <c r="AF286" i="47"/>
  <c r="AF287" i="47"/>
  <c r="AF288" i="47"/>
  <c r="AF289" i="47"/>
  <c r="AF290" i="47"/>
  <c r="AF291" i="47"/>
  <c r="AF292" i="47"/>
  <c r="AF293" i="47"/>
  <c r="AF294" i="47"/>
  <c r="AF295" i="47"/>
  <c r="AF296" i="47"/>
  <c r="AF297" i="47"/>
  <c r="AF298" i="47"/>
  <c r="AF299" i="47"/>
  <c r="AF300" i="47"/>
  <c r="AF179" i="46"/>
  <c r="AF180" i="46"/>
  <c r="AF181" i="46"/>
  <c r="AF182" i="46"/>
  <c r="AF183" i="46"/>
  <c r="AF184" i="46"/>
  <c r="AF185" i="46"/>
  <c r="AF186" i="46"/>
  <c r="AF187" i="46"/>
  <c r="AF188" i="46"/>
  <c r="AF189" i="46"/>
  <c r="AF190" i="46"/>
  <c r="AF191" i="46"/>
  <c r="AF192" i="46"/>
  <c r="AF193" i="46"/>
  <c r="AF194" i="46"/>
  <c r="AF195" i="46"/>
  <c r="AF196" i="46"/>
  <c r="AF197" i="46"/>
  <c r="AF198" i="46"/>
  <c r="AF199" i="46"/>
  <c r="AF200" i="46"/>
  <c r="AF201" i="46"/>
  <c r="AF202" i="46"/>
  <c r="AF203" i="46"/>
  <c r="AF204" i="46"/>
  <c r="AF205" i="46"/>
  <c r="AF206" i="46"/>
  <c r="AF207" i="46"/>
  <c r="AF208" i="46"/>
  <c r="AF209" i="46"/>
  <c r="AF210" i="46"/>
  <c r="AF211" i="46"/>
  <c r="AF212" i="46"/>
  <c r="AF213" i="46"/>
  <c r="AF214" i="46"/>
  <c r="AF215" i="46"/>
  <c r="AF216" i="46"/>
  <c r="AF217" i="46"/>
  <c r="AF218" i="46"/>
  <c r="AF219" i="46"/>
  <c r="AF220" i="46"/>
  <c r="AF221" i="46"/>
  <c r="AF222" i="46"/>
  <c r="AF223" i="46"/>
  <c r="AF224" i="46"/>
  <c r="AF225" i="46"/>
  <c r="AF226" i="46"/>
  <c r="AF227" i="46"/>
  <c r="AF228" i="46"/>
  <c r="AF229" i="46"/>
  <c r="AF230" i="46"/>
  <c r="AF231" i="46"/>
  <c r="AF232" i="46"/>
  <c r="AF233" i="46"/>
  <c r="AF234" i="46"/>
  <c r="AF235" i="46"/>
  <c r="AF236" i="46"/>
  <c r="AF237" i="46"/>
  <c r="AF238" i="46"/>
  <c r="AF239" i="46"/>
  <c r="AF240" i="46"/>
  <c r="AF241" i="46"/>
  <c r="AF242" i="46"/>
  <c r="AF243" i="46"/>
  <c r="AF244" i="46"/>
  <c r="AF245" i="46"/>
  <c r="AF246" i="46"/>
  <c r="AF247" i="46"/>
  <c r="AF248" i="46"/>
  <c r="AF249" i="46"/>
  <c r="AF250" i="46"/>
  <c r="AF251" i="46"/>
  <c r="AF252" i="46"/>
  <c r="AF253" i="46"/>
  <c r="AF254" i="46"/>
  <c r="AF255" i="46"/>
  <c r="AF256" i="46"/>
  <c r="AF257" i="46"/>
  <c r="AF258" i="46"/>
  <c r="AF259" i="46"/>
  <c r="AF260" i="46"/>
  <c r="AF261" i="46"/>
  <c r="AF262" i="46"/>
  <c r="AF263" i="46"/>
  <c r="AF264" i="46"/>
  <c r="AF265" i="46"/>
  <c r="AF266" i="46"/>
  <c r="AF267" i="46"/>
  <c r="AF268" i="46"/>
  <c r="AF269" i="46"/>
  <c r="AF270" i="46"/>
  <c r="AF271" i="46"/>
  <c r="AF272" i="46"/>
  <c r="AF273" i="46"/>
  <c r="AF274" i="46"/>
  <c r="AF275" i="46"/>
  <c r="AF276" i="46"/>
  <c r="AF277" i="46"/>
  <c r="AF278" i="46"/>
  <c r="AF279" i="46"/>
  <c r="AF280" i="46"/>
  <c r="AF281" i="46"/>
  <c r="AF282" i="46"/>
  <c r="AF283" i="46"/>
  <c r="AF284" i="46"/>
  <c r="AF285" i="46"/>
  <c r="AF286" i="46"/>
  <c r="AF287" i="46"/>
  <c r="AF288" i="46"/>
  <c r="AF289" i="46"/>
  <c r="AF290" i="46"/>
  <c r="AF291" i="46"/>
  <c r="AF292" i="46"/>
  <c r="AF293" i="46"/>
  <c r="AF294" i="46"/>
  <c r="AF295" i="46"/>
  <c r="AF296" i="46"/>
  <c r="AF297" i="46"/>
  <c r="AF298" i="46"/>
  <c r="AF299" i="46"/>
  <c r="AF300" i="46"/>
  <c r="X277" i="44" l="1" a="1"/>
  <c r="X277" i="44" s="1"/>
  <c r="X231" i="44" a="1"/>
  <c r="X231" i="44" s="1"/>
  <c r="X53" i="44" a="1"/>
  <c r="X53" i="44" s="1"/>
  <c r="X45" i="51" a="1"/>
  <c r="X45" i="51" s="1"/>
  <c r="X131" i="44" a="1"/>
  <c r="X131" i="44" s="1"/>
  <c r="T4" i="44"/>
  <c r="S4" i="44" s="1"/>
  <c r="X146" i="51" a="1"/>
  <c r="X146" i="51" s="1"/>
  <c r="T3" i="51"/>
  <c r="S3" i="51" s="1"/>
  <c r="X57" i="51" a="1"/>
  <c r="X57" i="51" s="1"/>
  <c r="S5" i="44"/>
  <c r="X238" i="51" a="1"/>
  <c r="X238" i="51" s="1"/>
  <c r="X171" i="51" a="1"/>
  <c r="X171" i="51" s="1"/>
  <c r="X93" i="51" a="1"/>
  <c r="X93" i="51" s="1"/>
  <c r="X89" i="51" a="1"/>
  <c r="X89" i="51" s="1"/>
  <c r="X19" i="51" a="1"/>
  <c r="X19" i="51" s="1"/>
  <c r="X24" i="44" a="1"/>
  <c r="X24" i="44" s="1"/>
  <c r="S5" i="51"/>
  <c r="X55" i="51" a="1"/>
  <c r="X55" i="51" s="1"/>
  <c r="X83" i="51" a="1"/>
  <c r="X83" i="51" s="1"/>
  <c r="X65" i="51" a="1"/>
  <c r="X65" i="51" s="1"/>
  <c r="X163" i="44" a="1"/>
  <c r="X163" i="44" s="1"/>
  <c r="X190" i="44" a="1"/>
  <c r="X190" i="44" s="1"/>
  <c r="T3" i="44"/>
  <c r="S3" i="44" s="1"/>
  <c r="X112" i="51" a="1"/>
  <c r="X112" i="51" s="1"/>
  <c r="X47" i="51" a="1"/>
  <c r="X47" i="51" s="1"/>
  <c r="X39" i="51" a="1"/>
  <c r="X39" i="51" s="1"/>
  <c r="W95" i="51" a="1"/>
  <c r="W95" i="51" s="1"/>
  <c r="X95" i="51" s="1" a="1"/>
  <c r="X95" i="51" s="1"/>
  <c r="W114" i="51" a="1"/>
  <c r="W114" i="51" s="1"/>
  <c r="X114" i="51" s="1" a="1"/>
  <c r="X114" i="51" s="1"/>
  <c r="X293" i="44" a="1"/>
  <c r="X293" i="44" s="1"/>
  <c r="L4" i="44"/>
  <c r="K4" i="44" s="1"/>
  <c r="X63" i="44" a="1"/>
  <c r="X63" i="44" s="1"/>
  <c r="X54" i="44" a="1"/>
  <c r="X54" i="44" s="1"/>
  <c r="L4" i="51"/>
  <c r="K4" i="51" s="1"/>
  <c r="T4" i="51"/>
  <c r="S4" i="51" s="1"/>
  <c r="W261" i="44" a="1"/>
  <c r="W261" i="44" s="1"/>
  <c r="X261" i="44" s="1" a="1"/>
  <c r="X261" i="44" s="1"/>
  <c r="X73" i="44" a="1"/>
  <c r="X73" i="44" s="1"/>
  <c r="L3" i="44"/>
  <c r="K3" i="44" s="1"/>
  <c r="X79" i="44" a="1"/>
  <c r="X79" i="44" s="1"/>
  <c r="X35" i="44" a="1"/>
  <c r="X35" i="44" s="1"/>
  <c r="L3" i="51"/>
  <c r="K3" i="51" s="1"/>
  <c r="X61" i="51" a="1"/>
  <c r="X61" i="51" s="1"/>
  <c r="W67" i="44" a="1"/>
  <c r="W67" i="44" s="1"/>
  <c r="X67" i="44" s="1" a="1"/>
  <c r="X67" i="44" s="1"/>
  <c r="W221" i="51" a="1"/>
  <c r="W221" i="51" s="1"/>
  <c r="X221" i="51" s="1" a="1"/>
  <c r="X221" i="51" s="1"/>
  <c r="W147" i="51" a="1"/>
  <c r="W147" i="51" s="1"/>
  <c r="X147" i="51" s="1" a="1"/>
  <c r="X147" i="51" s="1"/>
  <c r="W42" i="51" a="1"/>
  <c r="W42" i="51" s="1"/>
  <c r="X42" i="51" s="1" a="1"/>
  <c r="X42" i="51" s="1"/>
  <c r="W138" i="51" a="1"/>
  <c r="W138" i="51" s="1"/>
  <c r="X138" i="51" s="1" a="1"/>
  <c r="X138" i="51" s="1"/>
  <c r="W227" i="51" a="1"/>
  <c r="W227" i="51" s="1"/>
  <c r="X227" i="51" s="1" a="1"/>
  <c r="X227" i="51" s="1"/>
  <c r="W284" i="51" a="1"/>
  <c r="W284" i="51" s="1"/>
  <c r="X284" i="51" s="1" a="1"/>
  <c r="X284" i="51" s="1"/>
  <c r="W200" i="51" a="1"/>
  <c r="W200" i="51" s="1"/>
  <c r="X200" i="51" s="1" a="1"/>
  <c r="X200" i="51" s="1"/>
  <c r="W166" i="51" a="1"/>
  <c r="W166" i="51" s="1"/>
  <c r="I166" i="51" s="1"/>
  <c r="X195" i="51" a="1"/>
  <c r="X195" i="51" s="1"/>
  <c r="W195" i="51" a="1"/>
  <c r="W195" i="51" s="1"/>
  <c r="W145" i="51" a="1"/>
  <c r="W145" i="51" s="1"/>
  <c r="X145" i="51" s="1" a="1"/>
  <c r="X145" i="51" s="1"/>
  <c r="W119" i="51" a="1"/>
  <c r="W119" i="51" s="1"/>
  <c r="X119" i="51" s="1" a="1"/>
  <c r="X119" i="51" s="1"/>
  <c r="W153" i="51" a="1"/>
  <c r="W153" i="51" s="1"/>
  <c r="X153" i="51" s="1" a="1"/>
  <c r="X153" i="51" s="1"/>
  <c r="W30" i="51" a="1"/>
  <c r="W30" i="51" s="1"/>
  <c r="X30" i="51" s="1" a="1"/>
  <c r="X30" i="51" s="1"/>
  <c r="O4" i="51"/>
  <c r="W22" i="51" a="1"/>
  <c r="W22" i="51" s="1"/>
  <c r="I22" i="51" s="1"/>
  <c r="W88" i="51" a="1"/>
  <c r="W88" i="51" s="1"/>
  <c r="X88" i="51" s="1" a="1"/>
  <c r="X88" i="51" s="1"/>
  <c r="W56" i="51" a="1"/>
  <c r="W56" i="51" s="1"/>
  <c r="X56" i="51" s="1" a="1"/>
  <c r="X56" i="51" s="1"/>
  <c r="W54" i="51" a="1"/>
  <c r="W54" i="51" s="1"/>
  <c r="I54" i="51" s="1"/>
  <c r="W32" i="51" a="1"/>
  <c r="W32" i="51" s="1"/>
  <c r="X32" i="51" s="1" a="1"/>
  <c r="X32" i="51" s="1"/>
  <c r="W64" i="51" a="1"/>
  <c r="W64" i="51" s="1"/>
  <c r="I64" i="51" s="1"/>
  <c r="W29" i="51" a="1"/>
  <c r="W29" i="51" s="1"/>
  <c r="X29" i="51" s="1" a="1"/>
  <c r="X29" i="51" s="1"/>
  <c r="W212" i="51" a="1"/>
  <c r="W212" i="51" s="1"/>
  <c r="X212" i="51" s="1" a="1"/>
  <c r="X212" i="51" s="1"/>
  <c r="W182" i="51" a="1"/>
  <c r="W182" i="51" s="1"/>
  <c r="X182" i="51" a="1"/>
  <c r="X182" i="51" s="1"/>
  <c r="W175" i="51" a="1"/>
  <c r="W175" i="51" s="1"/>
  <c r="X175" i="51" a="1"/>
  <c r="X175" i="51" s="1"/>
  <c r="X179" i="51" a="1"/>
  <c r="X179" i="51" s="1"/>
  <c r="W179" i="51" a="1"/>
  <c r="W179" i="51" s="1"/>
  <c r="W188" i="51" a="1"/>
  <c r="W188" i="51" s="1"/>
  <c r="X188" i="51" s="1" a="1"/>
  <c r="X188" i="51" s="1"/>
  <c r="X168" i="51" a="1"/>
  <c r="X168" i="51" s="1"/>
  <c r="W101" i="51" a="1"/>
  <c r="W101" i="51" s="1"/>
  <c r="X101" i="51" s="1" a="1"/>
  <c r="X101" i="51" s="1"/>
  <c r="W125" i="51" a="1"/>
  <c r="W125" i="51" s="1"/>
  <c r="X125" i="51" a="1"/>
  <c r="X125" i="51" s="1"/>
  <c r="W68" i="51" a="1"/>
  <c r="W68" i="51" s="1"/>
  <c r="X68" i="51" s="1" a="1"/>
  <c r="X68" i="51" s="1"/>
  <c r="O3" i="51"/>
  <c r="X102" i="51" a="1"/>
  <c r="X102" i="51" s="1"/>
  <c r="W16" i="51" a="1"/>
  <c r="W16" i="51" s="1"/>
  <c r="X16" i="51" s="1" a="1"/>
  <c r="X16" i="51" s="1"/>
  <c r="W244" i="51" a="1"/>
  <c r="W244" i="51" s="1"/>
  <c r="X244" i="51" a="1"/>
  <c r="X244" i="51" s="1"/>
  <c r="W252" i="51" a="1"/>
  <c r="W252" i="51" s="1"/>
  <c r="X252" i="51" s="1" a="1"/>
  <c r="X252" i="51" s="1"/>
  <c r="W36" i="51" a="1"/>
  <c r="W36" i="51" s="1"/>
  <c r="X36" i="51" a="1"/>
  <c r="X36" i="51" s="1"/>
  <c r="W24" i="51" a="1"/>
  <c r="W24" i="51" s="1"/>
  <c r="I24" i="51" s="1"/>
  <c r="W269" i="51" a="1"/>
  <c r="W269" i="51" s="1"/>
  <c r="X269" i="51" s="1" a="1"/>
  <c r="X269" i="51" s="1"/>
  <c r="W285" i="51" a="1"/>
  <c r="W285" i="51" s="1"/>
  <c r="X285" i="51" a="1"/>
  <c r="X285" i="51" s="1"/>
  <c r="W231" i="51" a="1"/>
  <c r="W231" i="51" s="1"/>
  <c r="X231" i="51" s="1" a="1"/>
  <c r="X231" i="51" s="1"/>
  <c r="W261" i="51" a="1"/>
  <c r="W261" i="51" s="1"/>
  <c r="X261" i="51" s="1" a="1"/>
  <c r="X261" i="51" s="1"/>
  <c r="W226" i="51" a="1"/>
  <c r="W226" i="51" s="1"/>
  <c r="X226" i="51" a="1"/>
  <c r="X226" i="51" s="1"/>
  <c r="W187" i="51" a="1"/>
  <c r="W187" i="51" s="1"/>
  <c r="X187" i="51" s="1" a="1"/>
  <c r="X187" i="51" s="1"/>
  <c r="W183" i="51" a="1"/>
  <c r="W183" i="51" s="1"/>
  <c r="X183" i="51" s="1" a="1"/>
  <c r="X183" i="51" s="1"/>
  <c r="W58" i="51" a="1"/>
  <c r="W58" i="51" s="1"/>
  <c r="X58" i="51" s="1" a="1"/>
  <c r="X58" i="51" s="1"/>
  <c r="V3" i="51"/>
  <c r="W176" i="51" a="1"/>
  <c r="W176" i="51" s="1"/>
  <c r="X176" i="51" s="1" a="1"/>
  <c r="X176" i="51" s="1"/>
  <c r="X72" i="51" a="1"/>
  <c r="X72" i="51" s="1"/>
  <c r="W72" i="51" a="1"/>
  <c r="W72" i="51" s="1"/>
  <c r="W121" i="51" a="1"/>
  <c r="W121" i="51" s="1"/>
  <c r="X121" i="51" s="1" a="1"/>
  <c r="X121" i="51" s="1"/>
  <c r="W90" i="51" a="1"/>
  <c r="W90" i="51" s="1"/>
  <c r="X90" i="51" s="1" a="1"/>
  <c r="X90" i="51" s="1"/>
  <c r="W46" i="51" a="1"/>
  <c r="W46" i="51" s="1"/>
  <c r="X46" i="51" s="1" a="1"/>
  <c r="X46" i="51" s="1"/>
  <c r="W82" i="51" a="1"/>
  <c r="W82" i="51" s="1"/>
  <c r="X82" i="51" s="1" a="1"/>
  <c r="X82" i="51" s="1"/>
  <c r="W129" i="51" a="1"/>
  <c r="W129" i="51" s="1"/>
  <c r="X129" i="51" s="1" a="1"/>
  <c r="X129" i="51" s="1"/>
  <c r="W60" i="51" a="1"/>
  <c r="W60" i="51" s="1"/>
  <c r="X60" i="51" a="1"/>
  <c r="X60" i="51" s="1"/>
  <c r="W26" i="51" a="1"/>
  <c r="W26" i="51" s="1"/>
  <c r="X26" i="51" s="1" a="1"/>
  <c r="X26" i="51" s="1"/>
  <c r="W292" i="51" a="1"/>
  <c r="W292" i="51" s="1"/>
  <c r="X292" i="51" s="1" a="1"/>
  <c r="X292" i="51" s="1"/>
  <c r="W196" i="51" a="1"/>
  <c r="W196" i="51" s="1"/>
  <c r="X196" i="51" s="1" a="1"/>
  <c r="X196" i="51" s="1"/>
  <c r="W86" i="51" a="1"/>
  <c r="W86" i="51" s="1"/>
  <c r="X86" i="51" s="1" a="1"/>
  <c r="X86" i="51" s="1"/>
  <c r="W299" i="51" a="1"/>
  <c r="W299" i="51" s="1"/>
  <c r="X299" i="51" s="1" a="1"/>
  <c r="X299" i="51" s="1"/>
  <c r="W259" i="51" a="1"/>
  <c r="W259" i="51" s="1"/>
  <c r="X259" i="51" s="1" a="1"/>
  <c r="X259" i="51" s="1"/>
  <c r="W267" i="51" a="1"/>
  <c r="W267" i="51" s="1"/>
  <c r="X267" i="51" s="1" a="1"/>
  <c r="X267" i="51" s="1"/>
  <c r="W271" i="51" a="1"/>
  <c r="W271" i="51" s="1"/>
  <c r="X271" i="51" s="1" a="1"/>
  <c r="X271" i="51" s="1"/>
  <c r="W228" i="51" a="1"/>
  <c r="W228" i="51" s="1"/>
  <c r="X228" i="51" s="1" a="1"/>
  <c r="X228" i="51" s="1"/>
  <c r="W258" i="51" a="1"/>
  <c r="W258" i="51" s="1"/>
  <c r="X258" i="51" s="1" a="1"/>
  <c r="X258" i="51" s="1"/>
  <c r="W289" i="51" a="1"/>
  <c r="W289" i="51" s="1"/>
  <c r="X289" i="51" s="1" a="1"/>
  <c r="X289" i="51" s="1"/>
  <c r="W213" i="51" a="1"/>
  <c r="W213" i="51" s="1"/>
  <c r="X213" i="51" s="1" a="1"/>
  <c r="X213" i="51" s="1"/>
  <c r="X181" i="51" a="1"/>
  <c r="X181" i="51" s="1"/>
  <c r="W181" i="51" a="1"/>
  <c r="W181" i="51" s="1"/>
  <c r="X149" i="51" a="1"/>
  <c r="X149" i="51" s="1"/>
  <c r="W149" i="51" a="1"/>
  <c r="W149" i="51" s="1"/>
  <c r="W177" i="51" a="1"/>
  <c r="W177" i="51" s="1"/>
  <c r="X177" i="51" s="1" a="1"/>
  <c r="X177" i="51" s="1"/>
  <c r="W157" i="51" a="1"/>
  <c r="W157" i="51" s="1"/>
  <c r="I157" i="51" s="1"/>
  <c r="W117" i="51" a="1"/>
  <c r="W117" i="51" s="1"/>
  <c r="X117" i="51" s="1" a="1"/>
  <c r="X117" i="51" s="1"/>
  <c r="W70" i="51" a="1"/>
  <c r="W70" i="51" s="1"/>
  <c r="X70" i="51" s="1" a="1"/>
  <c r="X70" i="51" s="1"/>
  <c r="W156" i="51" a="1"/>
  <c r="W156" i="51" s="1"/>
  <c r="X156" i="51" s="1" a="1"/>
  <c r="X156" i="51" s="1"/>
  <c r="W80" i="51" a="1"/>
  <c r="W80" i="51" s="1"/>
  <c r="X80" i="51" s="1" a="1"/>
  <c r="X80" i="51" s="1"/>
  <c r="W50" i="51" a="1"/>
  <c r="W50" i="51" s="1"/>
  <c r="X50" i="51" s="1" a="1"/>
  <c r="X50" i="51" s="1"/>
  <c r="W116" i="51" a="1"/>
  <c r="W116" i="51" s="1"/>
  <c r="X116" i="51" s="1" a="1"/>
  <c r="X116" i="51" s="1"/>
  <c r="W53" i="51" a="1"/>
  <c r="W53" i="51" s="1"/>
  <c r="X53" i="51" s="1" a="1"/>
  <c r="X53" i="51" s="1"/>
  <c r="W76" i="51" a="1"/>
  <c r="W76" i="51" s="1"/>
  <c r="X76" i="51" s="1" a="1"/>
  <c r="X76" i="51" s="1"/>
  <c r="W275" i="51" a="1"/>
  <c r="W275" i="51" s="1"/>
  <c r="X275" i="51" s="1" a="1"/>
  <c r="X275" i="51" s="1"/>
  <c r="W197" i="51" a="1"/>
  <c r="W197" i="51" s="1"/>
  <c r="X197" i="51" s="1" a="1"/>
  <c r="X197" i="51" s="1"/>
  <c r="W107" i="51" a="1"/>
  <c r="W107" i="51" s="1"/>
  <c r="X107" i="51" s="1" a="1"/>
  <c r="X107" i="51" s="1"/>
  <c r="W277" i="51" a="1"/>
  <c r="W277" i="51" s="1"/>
  <c r="X277" i="51" s="1" a="1"/>
  <c r="X277" i="51" s="1"/>
  <c r="W243" i="51" a="1"/>
  <c r="W243" i="51" s="1"/>
  <c r="X243" i="51" s="1" a="1"/>
  <c r="X243" i="51" s="1"/>
  <c r="W211" i="51" a="1"/>
  <c r="W211" i="51" s="1"/>
  <c r="X211" i="51" s="1" a="1"/>
  <c r="X211" i="51" s="1"/>
  <c r="W281" i="51" a="1"/>
  <c r="W281" i="51" s="1"/>
  <c r="X281" i="51" s="1" a="1"/>
  <c r="X281" i="51" s="1"/>
  <c r="W251" i="51" a="1"/>
  <c r="W251" i="51" s="1"/>
  <c r="X251" i="51" a="1"/>
  <c r="X251" i="51" s="1"/>
  <c r="W198" i="51" a="1"/>
  <c r="W198" i="51" s="1"/>
  <c r="X198" i="51" s="1" a="1"/>
  <c r="X198" i="51" s="1"/>
  <c r="W257" i="51" a="1"/>
  <c r="W257" i="51" s="1"/>
  <c r="X257" i="51" s="1" a="1"/>
  <c r="X257" i="51" s="1"/>
  <c r="W278" i="51" a="1"/>
  <c r="W278" i="51" s="1"/>
  <c r="X278" i="51" a="1"/>
  <c r="X278" i="51" s="1"/>
  <c r="W255" i="51" a="1"/>
  <c r="W255" i="51" s="1"/>
  <c r="X255" i="51" s="1" a="1"/>
  <c r="X255" i="51" s="1"/>
  <c r="W237" i="51" a="1"/>
  <c r="W237" i="51" s="1"/>
  <c r="X237" i="51" s="1" a="1"/>
  <c r="X237" i="51" s="1"/>
  <c r="W205" i="51" a="1"/>
  <c r="W205" i="51" s="1"/>
  <c r="X205" i="51" s="1" a="1"/>
  <c r="X205" i="51" s="1"/>
  <c r="W219" i="51" a="1"/>
  <c r="W219" i="51" s="1"/>
  <c r="X219" i="51" s="1" a="1"/>
  <c r="X219" i="51" s="1"/>
  <c r="W151" i="51" a="1"/>
  <c r="W151" i="51" s="1"/>
  <c r="I151" i="51" s="1"/>
  <c r="W234" i="51" a="1"/>
  <c r="W234" i="51" s="1"/>
  <c r="X234" i="51" s="1" a="1"/>
  <c r="X234" i="51" s="1"/>
  <c r="W203" i="51" a="1"/>
  <c r="W203" i="51" s="1"/>
  <c r="X203" i="51" s="1" a="1"/>
  <c r="X203" i="51" s="1"/>
  <c r="W229" i="51" a="1"/>
  <c r="W229" i="51" s="1"/>
  <c r="X229" i="51" s="1" a="1"/>
  <c r="X229" i="51" s="1"/>
  <c r="X63" i="51" a="1"/>
  <c r="X63" i="51" s="1"/>
  <c r="W48" i="51" a="1"/>
  <c r="W48" i="51" s="1"/>
  <c r="X48" i="51" a="1"/>
  <c r="X48" i="51" s="1"/>
  <c r="W34" i="51" a="1"/>
  <c r="W34" i="51" s="1"/>
  <c r="X34" i="51" s="1" a="1"/>
  <c r="X34" i="51" s="1"/>
  <c r="W266" i="51" a="1"/>
  <c r="W266" i="51" s="1"/>
  <c r="X266" i="51" s="1" a="1"/>
  <c r="X266" i="51" s="1"/>
  <c r="W189" i="51" a="1"/>
  <c r="W189" i="51" s="1"/>
  <c r="X189" i="51" s="1" a="1"/>
  <c r="X189" i="51" s="1"/>
  <c r="W62" i="51" a="1"/>
  <c r="W62" i="51" s="1"/>
  <c r="I62" i="51" s="1"/>
  <c r="W247" i="51" a="1"/>
  <c r="W247" i="51" s="1"/>
  <c r="X247" i="51" a="1"/>
  <c r="X247" i="51" s="1"/>
  <c r="W293" i="51" a="1"/>
  <c r="W293" i="51" s="1"/>
  <c r="X293" i="51" s="1" a="1"/>
  <c r="X293" i="51" s="1"/>
  <c r="W246" i="51" a="1"/>
  <c r="W246" i="51" s="1"/>
  <c r="X246" i="51" s="1" a="1"/>
  <c r="X246" i="51" s="1"/>
  <c r="W262" i="51" a="1"/>
  <c r="W262" i="51" s="1"/>
  <c r="X262" i="51" s="1" a="1"/>
  <c r="X262" i="51" s="1"/>
  <c r="W242" i="51" a="1"/>
  <c r="W242" i="51" s="1"/>
  <c r="X242" i="51" s="1" a="1"/>
  <c r="X242" i="51" s="1"/>
  <c r="W232" i="51" a="1"/>
  <c r="W232" i="51" s="1"/>
  <c r="X232" i="51" s="1" a="1"/>
  <c r="X232" i="51" s="1"/>
  <c r="W201" i="51" a="1"/>
  <c r="W201" i="51" s="1"/>
  <c r="X201" i="51" s="1" a="1"/>
  <c r="X201" i="51" s="1"/>
  <c r="W173" i="51" a="1"/>
  <c r="W173" i="51" s="1"/>
  <c r="X173" i="51" s="1" a="1"/>
  <c r="X173" i="51" s="1"/>
  <c r="W204" i="51" a="1"/>
  <c r="W204" i="51" s="1"/>
  <c r="X204" i="51" s="1" a="1"/>
  <c r="X204" i="51" s="1"/>
  <c r="X164" i="51" a="1"/>
  <c r="X164" i="51" s="1"/>
  <c r="W220" i="51" a="1"/>
  <c r="W220" i="51" s="1"/>
  <c r="X220" i="51" s="1" a="1"/>
  <c r="X220" i="51" s="1"/>
  <c r="W256" i="51" a="1"/>
  <c r="W256" i="51" s="1"/>
  <c r="X256" i="51" s="1" a="1"/>
  <c r="X256" i="51" s="1"/>
  <c r="W143" i="51" a="1"/>
  <c r="W143" i="51" s="1"/>
  <c r="X143" i="51" s="1" a="1"/>
  <c r="X143" i="51" s="1"/>
  <c r="W74" i="51" a="1"/>
  <c r="W74" i="51" s="1"/>
  <c r="X74" i="51" s="1" a="1"/>
  <c r="X74" i="51" s="1"/>
  <c r="W78" i="51" a="1"/>
  <c r="W78" i="51" s="1"/>
  <c r="X78" i="51" s="1" a="1"/>
  <c r="X78" i="51" s="1"/>
  <c r="W154" i="51" a="1"/>
  <c r="W154" i="51" s="1"/>
  <c r="I154" i="51" s="1"/>
  <c r="X94" i="51" a="1"/>
  <c r="X94" i="51" s="1"/>
  <c r="W94" i="51" a="1"/>
  <c r="W94" i="51" s="1"/>
  <c r="W52" i="51" a="1"/>
  <c r="W52" i="51" s="1"/>
  <c r="I52" i="51" s="1"/>
  <c r="W44" i="51" a="1"/>
  <c r="W44" i="51" s="1"/>
  <c r="X44" i="51" a="1"/>
  <c r="X44" i="51" s="1"/>
  <c r="W66" i="51" a="1"/>
  <c r="W66" i="51" s="1"/>
  <c r="I66" i="51" s="1"/>
  <c r="X38" i="51" a="1"/>
  <c r="X38" i="51" s="1"/>
  <c r="W38" i="51" a="1"/>
  <c r="W38" i="51" s="1"/>
  <c r="W84" i="51" a="1"/>
  <c r="W84" i="51" s="1"/>
  <c r="X84" i="51" s="1" a="1"/>
  <c r="X84" i="51" s="1"/>
  <c r="X51" i="51" a="1"/>
  <c r="X51" i="51" s="1"/>
  <c r="W20" i="51" a="1"/>
  <c r="W20" i="51" s="1"/>
  <c r="X20" i="51" s="1" a="1"/>
  <c r="X20" i="51" s="1"/>
  <c r="W18" i="51" a="1"/>
  <c r="W18" i="51" s="1"/>
  <c r="X18" i="51" s="1" a="1"/>
  <c r="X18" i="51" s="1"/>
  <c r="W279" i="51" a="1"/>
  <c r="W279" i="51" s="1"/>
  <c r="X279" i="51" s="1" a="1"/>
  <c r="X279" i="51" s="1"/>
  <c r="W276" i="51" a="1"/>
  <c r="W276" i="51" s="1"/>
  <c r="X276" i="51" s="1" a="1"/>
  <c r="X276" i="51" s="1"/>
  <c r="X92" i="51" a="1"/>
  <c r="X92" i="51" s="1"/>
  <c r="W92" i="51" a="1"/>
  <c r="W92" i="51" s="1"/>
  <c r="W295" i="51" a="1"/>
  <c r="W295" i="51" s="1"/>
  <c r="X295" i="51" a="1"/>
  <c r="X295" i="51" s="1"/>
  <c r="X263" i="51" a="1"/>
  <c r="X263" i="51" s="1"/>
  <c r="W263" i="51" a="1"/>
  <c r="W263" i="51" s="1"/>
  <c r="X283" i="51" a="1"/>
  <c r="X283" i="51" s="1"/>
  <c r="W283" i="51" a="1"/>
  <c r="W283" i="51" s="1"/>
  <c r="W297" i="51" a="1"/>
  <c r="W297" i="51" s="1"/>
  <c r="X297" i="51" s="1" a="1"/>
  <c r="X297" i="51" s="1"/>
  <c r="W291" i="51" a="1"/>
  <c r="W291" i="51" s="1"/>
  <c r="X291" i="51" s="1" a="1"/>
  <c r="X291" i="51" s="1"/>
  <c r="W287" i="51" a="1"/>
  <c r="W287" i="51" s="1"/>
  <c r="X287" i="51" s="1" a="1"/>
  <c r="X287" i="51" s="1"/>
  <c r="W235" i="51" a="1"/>
  <c r="W235" i="51" s="1"/>
  <c r="X235" i="51" s="1" a="1"/>
  <c r="X235" i="51" s="1"/>
  <c r="X191" i="51" a="1"/>
  <c r="X191" i="51" s="1"/>
  <c r="W191" i="51" a="1"/>
  <c r="W191" i="51" s="1"/>
  <c r="X163" i="51" a="1"/>
  <c r="X163" i="51" s="1"/>
  <c r="X185" i="51" a="1"/>
  <c r="X185" i="51" s="1"/>
  <c r="W185" i="51" a="1"/>
  <c r="W185" i="51" s="1"/>
  <c r="W214" i="51" a="1"/>
  <c r="W214" i="51" s="1"/>
  <c r="X214" i="51" s="1" a="1"/>
  <c r="X214" i="51" s="1"/>
  <c r="W202" i="51" a="1"/>
  <c r="W202" i="51" s="1"/>
  <c r="X202" i="51" s="1" a="1"/>
  <c r="X202" i="51" s="1"/>
  <c r="W155" i="51" a="1"/>
  <c r="W155" i="51" s="1"/>
  <c r="I155" i="51" s="1"/>
  <c r="W186" i="51" a="1"/>
  <c r="W186" i="51" s="1"/>
  <c r="X186" i="51" s="1" a="1"/>
  <c r="X186" i="51" s="1"/>
  <c r="W113" i="51" a="1"/>
  <c r="W113" i="51" s="1"/>
  <c r="X113" i="51" s="1" a="1"/>
  <c r="X113" i="51" s="1"/>
  <c r="W40" i="51" a="1"/>
  <c r="W40" i="51" s="1"/>
  <c r="X40" i="51" s="1" a="1"/>
  <c r="X40" i="51" s="1"/>
  <c r="W141" i="51" a="1"/>
  <c r="W141" i="51" s="1"/>
  <c r="X141" i="51" s="1" a="1"/>
  <c r="X141" i="51" s="1"/>
  <c r="W103" i="51" a="1"/>
  <c r="W103" i="51" s="1"/>
  <c r="X103" i="51" s="1" a="1"/>
  <c r="X103" i="51" s="1"/>
  <c r="W28" i="51" a="1"/>
  <c r="W28" i="51" s="1"/>
  <c r="I28" i="51" s="1"/>
  <c r="W105" i="51" a="1"/>
  <c r="W105" i="51" s="1"/>
  <c r="X105" i="51" s="1" a="1"/>
  <c r="X105" i="51" s="1"/>
  <c r="W109" i="51" a="1"/>
  <c r="W109" i="51" s="1"/>
  <c r="X109" i="51" s="1" a="1"/>
  <c r="X109" i="51" s="1"/>
  <c r="W14" i="51" a="1"/>
  <c r="W14" i="51" s="1"/>
  <c r="I14" i="51" s="1"/>
  <c r="W260" i="44" a="1"/>
  <c r="W260" i="44" s="1"/>
  <c r="X260" i="44" s="1" a="1"/>
  <c r="X260" i="44" s="1"/>
  <c r="W199" i="44" a="1"/>
  <c r="W199" i="44" s="1"/>
  <c r="X199" i="44" s="1" a="1"/>
  <c r="X199" i="44" s="1"/>
  <c r="W205" i="44" a="1"/>
  <c r="W205" i="44" s="1"/>
  <c r="X205" i="44" s="1" a="1"/>
  <c r="X205" i="44" s="1"/>
  <c r="W206" i="44" a="1"/>
  <c r="W206" i="44" s="1"/>
  <c r="X206" i="44" s="1" a="1"/>
  <c r="X206" i="44" s="1"/>
  <c r="W192" i="44" a="1"/>
  <c r="W192" i="44" s="1"/>
  <c r="X192" i="44" s="1" a="1"/>
  <c r="X192" i="44" s="1"/>
  <c r="W224" i="44" a="1"/>
  <c r="W224" i="44" s="1"/>
  <c r="X224" i="44" s="1" a="1"/>
  <c r="X224" i="44" s="1"/>
  <c r="W159" i="44" a="1"/>
  <c r="W159" i="44" s="1"/>
  <c r="X159" i="44" s="1" a="1"/>
  <c r="X159" i="44" s="1"/>
  <c r="W146" i="44" a="1"/>
  <c r="W146" i="44" s="1"/>
  <c r="I146" i="44" s="1"/>
  <c r="W150" i="44" a="1"/>
  <c r="W150" i="44" s="1"/>
  <c r="X150" i="44" s="1" a="1"/>
  <c r="X150" i="44" s="1"/>
  <c r="W148" i="44" a="1"/>
  <c r="W148" i="44" s="1"/>
  <c r="X148" i="44" s="1" a="1"/>
  <c r="X148" i="44" s="1"/>
  <c r="W141" i="44" a="1"/>
  <c r="W141" i="44" s="1"/>
  <c r="X141" i="44" s="1" a="1"/>
  <c r="X141" i="44" s="1"/>
  <c r="W25" i="44" a="1"/>
  <c r="W25" i="44" s="1"/>
  <c r="I25" i="44" s="1"/>
  <c r="W122" i="44" a="1"/>
  <c r="W122" i="44" s="1"/>
  <c r="I122" i="44" s="1"/>
  <c r="X38" i="44" a="1"/>
  <c r="X38" i="44" s="1"/>
  <c r="W38" i="44" a="1"/>
  <c r="W38" i="44" s="1"/>
  <c r="W19" i="44" a="1"/>
  <c r="W19" i="44" s="1"/>
  <c r="X19" i="44" s="1" a="1"/>
  <c r="X19" i="44" s="1"/>
  <c r="X20" i="44" a="1"/>
  <c r="X20" i="44" s="1"/>
  <c r="W20" i="44" a="1"/>
  <c r="W20" i="44" s="1"/>
  <c r="W51" i="44" a="1"/>
  <c r="W51" i="44" s="1"/>
  <c r="I51" i="44" s="1"/>
  <c r="W50" i="44" a="1"/>
  <c r="W50" i="44" s="1"/>
  <c r="X50" i="44" s="1" a="1"/>
  <c r="X50" i="44" s="1"/>
  <c r="W29" i="44" a="1"/>
  <c r="W29" i="44" s="1"/>
  <c r="X29" i="44" a="1"/>
  <c r="X29" i="44" s="1"/>
  <c r="W15" i="44" a="1"/>
  <c r="W15" i="44" s="1"/>
  <c r="X15" i="44" s="1" a="1"/>
  <c r="X15" i="44" s="1"/>
  <c r="W264" i="44" a="1"/>
  <c r="W264" i="44" s="1"/>
  <c r="X264" i="44" s="1" a="1"/>
  <c r="X264" i="44" s="1"/>
  <c r="W229" i="44" a="1"/>
  <c r="W229" i="44" s="1"/>
  <c r="X229" i="44" s="1" a="1"/>
  <c r="X229" i="44" s="1"/>
  <c r="W268" i="44" a="1"/>
  <c r="W268" i="44" s="1"/>
  <c r="X268" i="44" s="1" a="1"/>
  <c r="X268" i="44" s="1"/>
  <c r="W274" i="44" a="1"/>
  <c r="W274" i="44" s="1"/>
  <c r="X274" i="44" s="1" a="1"/>
  <c r="X274" i="44" s="1"/>
  <c r="W284" i="44" a="1"/>
  <c r="W284" i="44" s="1"/>
  <c r="X284" i="44" s="1" a="1"/>
  <c r="X284" i="44" s="1"/>
  <c r="W272" i="44" a="1"/>
  <c r="W272" i="44" s="1"/>
  <c r="X272" i="44" s="1" a="1"/>
  <c r="X272" i="44" s="1"/>
  <c r="W202" i="44" a="1"/>
  <c r="W202" i="44" s="1"/>
  <c r="X202" i="44" a="1"/>
  <c r="X202" i="44" s="1"/>
  <c r="W157" i="44" a="1"/>
  <c r="W157" i="44" s="1"/>
  <c r="I157" i="44" s="1"/>
  <c r="X165" i="44" a="1"/>
  <c r="X165" i="44" s="1"/>
  <c r="W194" i="44" a="1"/>
  <c r="W194" i="44" s="1"/>
  <c r="X194" i="44" s="1" a="1"/>
  <c r="X194" i="44" s="1"/>
  <c r="W125" i="44" a="1"/>
  <c r="W125" i="44" s="1"/>
  <c r="X125" i="44" s="1" a="1"/>
  <c r="X125" i="44" s="1"/>
  <c r="W106" i="44" a="1"/>
  <c r="W106" i="44" s="1"/>
  <c r="X106" i="44" s="1" a="1"/>
  <c r="X106" i="44" s="1"/>
  <c r="W135" i="44" a="1"/>
  <c r="W135" i="44" s="1"/>
  <c r="X135" i="44" s="1" a="1"/>
  <c r="X135" i="44" s="1"/>
  <c r="W143" i="44" a="1"/>
  <c r="W143" i="44" s="1"/>
  <c r="X143" i="44" s="1" a="1"/>
  <c r="X143" i="44" s="1"/>
  <c r="W64" i="44" a="1"/>
  <c r="W64" i="44" s="1"/>
  <c r="I64" i="44" s="1"/>
  <c r="W36" i="44" a="1"/>
  <c r="W36" i="44" s="1"/>
  <c r="X36" i="44" s="1" a="1"/>
  <c r="X36" i="44" s="1"/>
  <c r="W75" i="44" a="1"/>
  <c r="W75" i="44" s="1"/>
  <c r="X75" i="44" s="1" a="1"/>
  <c r="X75" i="44" s="1"/>
  <c r="W70" i="44" a="1"/>
  <c r="W70" i="44" s="1"/>
  <c r="X70" i="44" s="1" a="1"/>
  <c r="X70" i="44" s="1"/>
  <c r="W57" i="44" a="1"/>
  <c r="W57" i="44" s="1"/>
  <c r="X57" i="44" a="1"/>
  <c r="X57" i="44" s="1"/>
  <c r="I47" i="44"/>
  <c r="X47" i="44" s="1" a="1"/>
  <c r="X47" i="44" s="1"/>
  <c r="W27" i="44" a="1"/>
  <c r="W27" i="44" s="1"/>
  <c r="I27" i="44" s="1"/>
  <c r="X27" i="44" s="1" a="1"/>
  <c r="X27" i="44" s="1"/>
  <c r="I22" i="44"/>
  <c r="X22" i="44" s="1" a="1"/>
  <c r="X22" i="44" s="1"/>
  <c r="W241" i="44" a="1"/>
  <c r="W241" i="44" s="1"/>
  <c r="X241" i="44" s="1" a="1"/>
  <c r="X241" i="44" s="1"/>
  <c r="W263" i="44" a="1"/>
  <c r="W263" i="44" s="1"/>
  <c r="X263" i="44" s="1" a="1"/>
  <c r="X263" i="44" s="1"/>
  <c r="W292" i="44" a="1"/>
  <c r="W292" i="44" s="1"/>
  <c r="X292" i="44" a="1"/>
  <c r="X292" i="44" s="1"/>
  <c r="W281" i="44" a="1"/>
  <c r="W281" i="44" s="1"/>
  <c r="X281" i="44" s="1" a="1"/>
  <c r="X281" i="44" s="1"/>
  <c r="W285" i="44" a="1"/>
  <c r="W285" i="44" s="1"/>
  <c r="X285" i="44" s="1" a="1"/>
  <c r="X285" i="44" s="1"/>
  <c r="W221" i="44" a="1"/>
  <c r="W221" i="44" s="1"/>
  <c r="X221" i="44" s="1" a="1"/>
  <c r="X221" i="44" s="1"/>
  <c r="W297" i="44" a="1"/>
  <c r="W297" i="44" s="1"/>
  <c r="X297" i="44" a="1"/>
  <c r="X297" i="44" s="1"/>
  <c r="W230" i="44" a="1"/>
  <c r="W230" i="44" s="1"/>
  <c r="X230" i="44" s="1" a="1"/>
  <c r="X230" i="44" s="1"/>
  <c r="X203" i="44" a="1"/>
  <c r="X203" i="44" s="1"/>
  <c r="W203" i="44" a="1"/>
  <c r="W203" i="44" s="1"/>
  <c r="W155" i="44" a="1"/>
  <c r="W155" i="44" s="1"/>
  <c r="I155" i="44" s="1"/>
  <c r="W154" i="44" a="1"/>
  <c r="W154" i="44" s="1"/>
  <c r="I154" i="44" s="1"/>
  <c r="X154" i="44" s="1" a="1"/>
  <c r="X154" i="44" s="1"/>
  <c r="W98" i="44" a="1"/>
  <c r="W98" i="44" s="1"/>
  <c r="X98" i="44" s="1" a="1"/>
  <c r="X98" i="44" s="1"/>
  <c r="W145" i="44" a="1"/>
  <c r="W145" i="44" s="1"/>
  <c r="X145" i="44" s="1" a="1"/>
  <c r="X145" i="44" s="1"/>
  <c r="W78" i="44" a="1"/>
  <c r="W78" i="44" s="1"/>
  <c r="X78" i="44" a="1"/>
  <c r="X78" i="44" s="1"/>
  <c r="W84" i="44" a="1"/>
  <c r="W84" i="44" s="1"/>
  <c r="X84" i="44" s="1" a="1"/>
  <c r="X84" i="44" s="1"/>
  <c r="W74" i="44" a="1"/>
  <c r="W74" i="44" s="1"/>
  <c r="X74" i="44" s="1" a="1"/>
  <c r="X74" i="44" s="1"/>
  <c r="X104" i="44" a="1"/>
  <c r="X104" i="44" s="1"/>
  <c r="W104" i="44" a="1"/>
  <c r="W104" i="44" s="1"/>
  <c r="W59" i="44" a="1"/>
  <c r="W59" i="44" s="1"/>
  <c r="X59" i="44" s="1" a="1"/>
  <c r="X59" i="44" s="1"/>
  <c r="W46" i="44" a="1"/>
  <c r="W46" i="44" s="1"/>
  <c r="X46" i="44" s="1" a="1"/>
  <c r="X46" i="44" s="1"/>
  <c r="W118" i="44" a="1"/>
  <c r="W118" i="44" s="1"/>
  <c r="X118" i="44" s="1" a="1"/>
  <c r="X118" i="44" s="1"/>
  <c r="X14" i="44" a="1"/>
  <c r="X14" i="44" s="1"/>
  <c r="W271" i="44" a="1"/>
  <c r="W271" i="44" s="1"/>
  <c r="X271" i="44" s="1" a="1"/>
  <c r="X271" i="44" s="1"/>
  <c r="W294" i="44" a="1"/>
  <c r="W294" i="44" s="1"/>
  <c r="X294" i="44" s="1" a="1"/>
  <c r="X294" i="44" s="1"/>
  <c r="W245" i="44" a="1"/>
  <c r="W245" i="44" s="1"/>
  <c r="X245" i="44" s="1" a="1"/>
  <c r="X245" i="44" s="1"/>
  <c r="W201" i="44" a="1"/>
  <c r="W201" i="44" s="1"/>
  <c r="X201" i="44" s="1" a="1"/>
  <c r="X201" i="44" s="1"/>
  <c r="W180" i="44" a="1"/>
  <c r="W180" i="44" s="1"/>
  <c r="X180" i="44" s="1" a="1"/>
  <c r="X180" i="44" s="1"/>
  <c r="W178" i="44" a="1"/>
  <c r="W178" i="44" s="1"/>
  <c r="X178" i="44" s="1" a="1"/>
  <c r="X178" i="44" s="1"/>
  <c r="W188" i="44" a="1"/>
  <c r="W188" i="44" s="1"/>
  <c r="X188" i="44" s="1" a="1"/>
  <c r="X188" i="44" s="1"/>
  <c r="W176" i="44" a="1"/>
  <c r="W176" i="44" s="1"/>
  <c r="X176" i="44" s="1" a="1"/>
  <c r="X176" i="44" s="1"/>
  <c r="X153" i="44" a="1"/>
  <c r="X153" i="44" s="1"/>
  <c r="W153" i="44" a="1"/>
  <c r="W153" i="44" s="1"/>
  <c r="W160" i="44" a="1"/>
  <c r="W160" i="44" s="1"/>
  <c r="X160" i="44" a="1"/>
  <c r="X160" i="44" s="1"/>
  <c r="W129" i="44" a="1"/>
  <c r="W129" i="44" s="1"/>
  <c r="X129" i="44" s="1" a="1"/>
  <c r="X129" i="44" s="1"/>
  <c r="W56" i="44" a="1"/>
  <c r="W56" i="44" s="1"/>
  <c r="X56" i="44" s="1" a="1"/>
  <c r="X56" i="44" s="1"/>
  <c r="W134" i="44" a="1"/>
  <c r="W134" i="44" s="1"/>
  <c r="X134" i="44" s="1" a="1"/>
  <c r="X134" i="44" s="1"/>
  <c r="W96" i="44" a="1"/>
  <c r="W96" i="44" s="1"/>
  <c r="X96" i="44" s="1" a="1"/>
  <c r="X96" i="44" s="1"/>
  <c r="X48" i="44" a="1"/>
  <c r="X48" i="44" s="1"/>
  <c r="W48" i="44" a="1"/>
  <c r="W48" i="44" s="1"/>
  <c r="V3" i="44"/>
  <c r="W32" i="44" a="1"/>
  <c r="W32" i="44" s="1"/>
  <c r="X32" i="44" s="1" a="1"/>
  <c r="X32" i="44" s="1"/>
  <c r="W40" i="44" a="1"/>
  <c r="W40" i="44" s="1"/>
  <c r="X40" i="44" a="1"/>
  <c r="X40" i="44" s="1"/>
  <c r="W62" i="44" a="1"/>
  <c r="W62" i="44" s="1"/>
  <c r="I62" i="44" s="1"/>
  <c r="W49" i="44" a="1"/>
  <c r="W49" i="44" s="1"/>
  <c r="X49" i="44" a="1"/>
  <c r="X49" i="44" s="1"/>
  <c r="W248" i="44" a="1"/>
  <c r="W248" i="44" s="1"/>
  <c r="X248" i="44" s="1" a="1"/>
  <c r="X248" i="44" s="1"/>
  <c r="W244" i="44" a="1"/>
  <c r="W244" i="44" s="1"/>
  <c r="X244" i="44" s="1" a="1"/>
  <c r="X244" i="44" s="1"/>
  <c r="W232" i="44" a="1"/>
  <c r="W232" i="44" s="1"/>
  <c r="X232" i="44" s="1" a="1"/>
  <c r="X232" i="44" s="1"/>
  <c r="W193" i="44" a="1"/>
  <c r="W193" i="44" s="1"/>
  <c r="X193" i="44" s="1" a="1"/>
  <c r="X193" i="44" s="1"/>
  <c r="W209" i="44" a="1"/>
  <c r="W209" i="44" s="1"/>
  <c r="X209" i="44" s="1" a="1"/>
  <c r="X209" i="44" s="1"/>
  <c r="W175" i="44" a="1"/>
  <c r="W175" i="44" s="1"/>
  <c r="X175" i="44" a="1"/>
  <c r="X175" i="44" s="1"/>
  <c r="W172" i="44" a="1"/>
  <c r="W172" i="44" s="1"/>
  <c r="X172" i="44" s="1" a="1"/>
  <c r="X172" i="44" s="1"/>
  <c r="W195" i="44" a="1"/>
  <c r="W195" i="44" s="1"/>
  <c r="X195" i="44" a="1"/>
  <c r="X195" i="44" s="1"/>
  <c r="W191" i="44" a="1"/>
  <c r="W191" i="44" s="1"/>
  <c r="X191" i="44" a="1"/>
  <c r="X191" i="44" s="1"/>
  <c r="W136" i="44" a="1"/>
  <c r="W136" i="44" s="1"/>
  <c r="X136" i="44" s="1" a="1"/>
  <c r="X136" i="44" s="1"/>
  <c r="X168" i="44" a="1"/>
  <c r="X168" i="44" s="1"/>
  <c r="W168" i="44" a="1"/>
  <c r="W168" i="44" s="1"/>
  <c r="I168" i="44" s="1"/>
  <c r="W82" i="44" a="1"/>
  <c r="W82" i="44" s="1"/>
  <c r="X82" i="44" s="1" a="1"/>
  <c r="X82" i="44" s="1"/>
  <c r="W72" i="44" a="1"/>
  <c r="W72" i="44" s="1"/>
  <c r="X72" i="44" s="1" a="1"/>
  <c r="X72" i="44" s="1"/>
  <c r="W142" i="44" a="1"/>
  <c r="W142" i="44" s="1"/>
  <c r="X142" i="44" s="1" a="1"/>
  <c r="X142" i="44" s="1"/>
  <c r="X34" i="44" a="1"/>
  <c r="X34" i="44" s="1"/>
  <c r="W34" i="44" a="1"/>
  <c r="W34" i="44" s="1"/>
  <c r="W58" i="44" a="1"/>
  <c r="W58" i="44" s="1"/>
  <c r="X58" i="44" s="1" a="1"/>
  <c r="X58" i="44" s="1"/>
  <c r="O4" i="44"/>
  <c r="W43" i="44" a="1"/>
  <c r="W43" i="44" s="1"/>
  <c r="X43" i="44" s="1" a="1"/>
  <c r="X43" i="44" s="1"/>
  <c r="W44" i="44" a="1"/>
  <c r="W44" i="44" s="1"/>
  <c r="X44" i="44" s="1" a="1"/>
  <c r="X44" i="44" s="1"/>
  <c r="W23" i="44" a="1"/>
  <c r="W23" i="44" s="1"/>
  <c r="X23" i="44" s="1" a="1"/>
  <c r="X23" i="44" s="1"/>
  <c r="W273" i="44" a="1"/>
  <c r="W273" i="44" s="1"/>
  <c r="X273" i="44" s="1" a="1"/>
  <c r="X273" i="44" s="1"/>
  <c r="W288" i="44" a="1"/>
  <c r="W288" i="44" s="1"/>
  <c r="X288" i="44" s="1" a="1"/>
  <c r="X288" i="44" s="1"/>
  <c r="W279" i="44" a="1"/>
  <c r="W279" i="44" s="1"/>
  <c r="X279" i="44" s="1" a="1"/>
  <c r="X279" i="44" s="1"/>
  <c r="W270" i="44" a="1"/>
  <c r="W270" i="44" s="1"/>
  <c r="X270" i="44" s="1" a="1"/>
  <c r="X270" i="44" s="1"/>
  <c r="W286" i="44" a="1"/>
  <c r="W286" i="44" s="1"/>
  <c r="X286" i="44" s="1" a="1"/>
  <c r="X286" i="44" s="1"/>
  <c r="X278" i="44" a="1"/>
  <c r="X278" i="44" s="1"/>
  <c r="W278" i="44" a="1"/>
  <c r="W278" i="44" s="1"/>
  <c r="W228" i="44" a="1"/>
  <c r="W228" i="44" s="1"/>
  <c r="X228" i="44" s="1" a="1"/>
  <c r="X228" i="44" s="1"/>
  <c r="W276" i="44" a="1"/>
  <c r="W276" i="44" s="1"/>
  <c r="X276" i="44" s="1" a="1"/>
  <c r="X276" i="44" s="1"/>
  <c r="X227" i="44" a="1"/>
  <c r="X227" i="44" s="1"/>
  <c r="W227" i="44" a="1"/>
  <c r="W227" i="44" s="1"/>
  <c r="W219" i="44" a="1"/>
  <c r="W219" i="44" s="1"/>
  <c r="X219" i="44" s="1" a="1"/>
  <c r="X219" i="44" s="1"/>
  <c r="W184" i="44" a="1"/>
  <c r="W184" i="44" s="1"/>
  <c r="X184" i="44" s="1" a="1"/>
  <c r="X184" i="44" s="1"/>
  <c r="W156" i="44" a="1"/>
  <c r="W156" i="44" s="1"/>
  <c r="X156" i="44" s="1" a="1"/>
  <c r="X156" i="44" s="1"/>
  <c r="W140" i="44" a="1"/>
  <c r="W140" i="44" s="1"/>
  <c r="X140" i="44" s="1" a="1"/>
  <c r="X140" i="44" s="1"/>
  <c r="W66" i="44" a="1"/>
  <c r="W66" i="44" s="1"/>
  <c r="I66" i="44" s="1"/>
  <c r="W124" i="44" a="1"/>
  <c r="W124" i="44" s="1"/>
  <c r="X124" i="44" s="1" a="1"/>
  <c r="X124" i="44" s="1"/>
  <c r="W127" i="44" a="1"/>
  <c r="W127" i="44" s="1"/>
  <c r="X127" i="44" s="1" a="1"/>
  <c r="X127" i="44" s="1"/>
  <c r="W126" i="44" a="1"/>
  <c r="W126" i="44" s="1"/>
  <c r="X126" i="44" s="1" a="1"/>
  <c r="X126" i="44" s="1"/>
  <c r="W133" i="44" a="1"/>
  <c r="W133" i="44" s="1"/>
  <c r="X133" i="44" a="1"/>
  <c r="X133" i="44" s="1"/>
  <c r="W60" i="44" a="1"/>
  <c r="W60" i="44" s="1"/>
  <c r="X60" i="44" s="1" a="1"/>
  <c r="X60" i="44" s="1"/>
  <c r="W45" i="44" a="1"/>
  <c r="W45" i="44" s="1"/>
  <c r="X45" i="44" s="1" a="1"/>
  <c r="X45" i="44" s="1"/>
  <c r="W30" i="44" a="1"/>
  <c r="W30" i="44" s="1"/>
  <c r="X30" i="44" s="1" a="1"/>
  <c r="X30" i="44" s="1"/>
  <c r="W300" i="44" a="1"/>
  <c r="W300" i="44" s="1"/>
  <c r="X300" i="44" s="1" a="1"/>
  <c r="X300" i="44" s="1"/>
  <c r="W289" i="44" a="1"/>
  <c r="W289" i="44" s="1"/>
  <c r="X289" i="44" s="1" a="1"/>
  <c r="X289" i="44" s="1"/>
  <c r="W298" i="44" a="1"/>
  <c r="W298" i="44" s="1"/>
  <c r="X298" i="44" s="1" a="1"/>
  <c r="X298" i="44" s="1"/>
  <c r="X258" i="44" a="1"/>
  <c r="X258" i="44" s="1"/>
  <c r="W258" i="44" a="1"/>
  <c r="W258" i="44" s="1"/>
  <c r="W215" i="44" a="1"/>
  <c r="W215" i="44" s="1"/>
  <c r="X215" i="44" s="1" a="1"/>
  <c r="X215" i="44" s="1"/>
  <c r="W200" i="44" a="1"/>
  <c r="W200" i="44" s="1"/>
  <c r="X200" i="44" s="1" a="1"/>
  <c r="X200" i="44" s="1"/>
  <c r="W247" i="44" a="1"/>
  <c r="W247" i="44" s="1"/>
  <c r="X247" i="44" s="1" a="1"/>
  <c r="X247" i="44" s="1"/>
  <c r="W198" i="44" a="1"/>
  <c r="W198" i="44" s="1"/>
  <c r="X198" i="44" s="1" a="1"/>
  <c r="X198" i="44" s="1"/>
  <c r="W187" i="44" a="1"/>
  <c r="W187" i="44" s="1"/>
  <c r="X187" i="44" s="1" a="1"/>
  <c r="X187" i="44" s="1"/>
  <c r="X217" i="44" a="1"/>
  <c r="X217" i="44" s="1"/>
  <c r="W217" i="44" a="1"/>
  <c r="W217" i="44" s="1"/>
  <c r="W128" i="44" a="1"/>
  <c r="W128" i="44" s="1"/>
  <c r="X128" i="44" s="1" a="1"/>
  <c r="X128" i="44" s="1"/>
  <c r="W196" i="44" a="1"/>
  <c r="W196" i="44" s="1"/>
  <c r="X196" i="44" s="1" a="1"/>
  <c r="X196" i="44" s="1"/>
  <c r="W162" i="44" a="1"/>
  <c r="W162" i="44" s="1"/>
  <c r="X162" i="44" s="1" a="1"/>
  <c r="X162" i="44" s="1"/>
  <c r="W68" i="44" a="1"/>
  <c r="W68" i="44" s="1"/>
  <c r="X68" i="44" s="1" a="1"/>
  <c r="X68" i="44" s="1"/>
  <c r="X76" i="44" a="1"/>
  <c r="X76" i="44" s="1"/>
  <c r="W76" i="44" a="1"/>
  <c r="W76" i="44" s="1"/>
  <c r="V4" i="44"/>
  <c r="W28" i="44" a="1"/>
  <c r="W28" i="44" s="1"/>
  <c r="I28" i="44" s="1"/>
  <c r="X28" i="44" a="1"/>
  <c r="X28" i="44" s="1"/>
  <c r="W41" i="44" a="1"/>
  <c r="W41" i="44" s="1"/>
  <c r="X41" i="44" a="1"/>
  <c r="X41" i="44" s="1"/>
  <c r="W16" i="44" a="1"/>
  <c r="W16" i="44" s="1"/>
  <c r="X16" i="44" s="1" a="1"/>
  <c r="X16" i="44" s="1"/>
  <c r="W37" i="44" a="1"/>
  <c r="W37" i="44" s="1"/>
  <c r="X37" i="44" s="1" a="1"/>
  <c r="X37" i="44" s="1"/>
  <c r="W296" i="44" a="1"/>
  <c r="W296" i="44" s="1"/>
  <c r="X296" i="44" s="1" a="1"/>
  <c r="X296" i="44" s="1"/>
  <c r="W269" i="44" a="1"/>
  <c r="W269" i="44" s="1"/>
  <c r="X269" i="44" s="1" a="1"/>
  <c r="X269" i="44" s="1"/>
  <c r="W282" i="44" a="1"/>
  <c r="W282" i="44" s="1"/>
  <c r="X282" i="44" a="1"/>
  <c r="X282" i="44" s="1"/>
  <c r="W287" i="44" a="1"/>
  <c r="W287" i="44" s="1"/>
  <c r="X287" i="44" a="1"/>
  <c r="X287" i="44" s="1"/>
  <c r="W254" i="44" a="1"/>
  <c r="W254" i="44" s="1"/>
  <c r="X254" i="44" s="1" a="1"/>
  <c r="X254" i="44" s="1"/>
  <c r="W259" i="44" a="1"/>
  <c r="W259" i="44" s="1"/>
  <c r="X259" i="44" s="1" a="1"/>
  <c r="X259" i="44" s="1"/>
  <c r="W242" i="44" a="1"/>
  <c r="W242" i="44" s="1"/>
  <c r="X242" i="44" s="1" a="1"/>
  <c r="X242" i="44" s="1"/>
  <c r="W211" i="44" a="1"/>
  <c r="W211" i="44" s="1"/>
  <c r="X211" i="44" s="1" a="1"/>
  <c r="X211" i="44" s="1"/>
  <c r="W161" i="44" a="1"/>
  <c r="W161" i="44" s="1"/>
  <c r="I161" i="44" s="1"/>
  <c r="W152" i="44" a="1"/>
  <c r="W152" i="44" s="1"/>
  <c r="X152" i="44" s="1" a="1"/>
  <c r="X152" i="44" s="1"/>
  <c r="W166" i="44" a="1"/>
  <c r="W166" i="44" s="1"/>
  <c r="I166" i="44" s="1"/>
  <c r="W132" i="44" a="1"/>
  <c r="W132" i="44" s="1"/>
  <c r="X132" i="44" a="1"/>
  <c r="X132" i="44" s="1"/>
  <c r="W158" i="44" a="1"/>
  <c r="W158" i="44" s="1"/>
  <c r="X158" i="44" a="1"/>
  <c r="X158" i="44" s="1"/>
  <c r="W120" i="44" a="1"/>
  <c r="W120" i="44" s="1"/>
  <c r="X120" i="44" s="1" a="1"/>
  <c r="X120" i="44" s="1"/>
  <c r="W137" i="44" a="1"/>
  <c r="W137" i="44" s="1"/>
  <c r="X137" i="44" a="1"/>
  <c r="X137" i="44" s="1"/>
  <c r="W80" i="44" a="1"/>
  <c r="W80" i="44" s="1"/>
  <c r="X80" i="44" s="1" a="1"/>
  <c r="X80" i="44" s="1"/>
  <c r="W21" i="44" a="1"/>
  <c r="W21" i="44" s="1"/>
  <c r="X21" i="44" s="1" a="1"/>
  <c r="X21" i="44" s="1"/>
  <c r="W52" i="44" a="1"/>
  <c r="W52" i="44" s="1"/>
  <c r="I52" i="44" s="1"/>
  <c r="X122" i="44" l="1" a="1"/>
  <c r="X122" i="44" s="1"/>
  <c r="X25" i="44" a="1"/>
  <c r="X25" i="44" s="1"/>
  <c r="X14" i="51" a="1"/>
  <c r="X14" i="51" s="1"/>
  <c r="X166" i="44" a="1"/>
  <c r="X166" i="44" s="1"/>
  <c r="X22" i="51" a="1"/>
  <c r="X22" i="51" s="1"/>
  <c r="X64" i="51" a="1"/>
  <c r="X64" i="51" s="1"/>
  <c r="X62" i="51" a="1"/>
  <c r="X62" i="51" s="1"/>
  <c r="X166" i="51" a="1"/>
  <c r="X166" i="51" s="1"/>
  <c r="X155" i="51" a="1"/>
  <c r="X155" i="51" s="1"/>
  <c r="X66" i="51" a="1"/>
  <c r="X66" i="51" s="1"/>
  <c r="X154" i="51" a="1"/>
  <c r="X154" i="51" s="1"/>
  <c r="X151" i="51" a="1"/>
  <c r="X151" i="51" s="1"/>
  <c r="X157" i="51" a="1"/>
  <c r="X157" i="51" s="1"/>
  <c r="X24" i="51" a="1"/>
  <c r="X24" i="51" s="1"/>
  <c r="X28" i="51" a="1"/>
  <c r="X28" i="51" s="1"/>
  <c r="X52" i="51" a="1"/>
  <c r="X52" i="51" s="1"/>
  <c r="X4" i="51" s="1"/>
  <c r="W4" i="51" s="1"/>
  <c r="X54" i="51" a="1"/>
  <c r="X54" i="51" s="1"/>
  <c r="X52" i="44" a="1"/>
  <c r="X52" i="44" s="1"/>
  <c r="X155" i="44" a="1"/>
  <c r="X155" i="44" s="1"/>
  <c r="X64" i="44" a="1"/>
  <c r="X64" i="44" s="1"/>
  <c r="X66" i="44" a="1"/>
  <c r="X66" i="44" s="1"/>
  <c r="X161" i="44" a="1"/>
  <c r="X161" i="44" s="1"/>
  <c r="X3" i="44"/>
  <c r="W3" i="44" s="1"/>
  <c r="X51" i="44" a="1"/>
  <c r="X51" i="44" s="1"/>
  <c r="X146" i="44" a="1"/>
  <c r="X146" i="44" s="1"/>
  <c r="X62" i="44" a="1"/>
  <c r="X62" i="44" s="1"/>
  <c r="X157" i="44" a="1"/>
  <c r="X157" i="44" s="1"/>
  <c r="AU2" i="52"/>
  <c r="V9" i="47"/>
  <c r="V7" i="47"/>
  <c r="V9" i="46"/>
  <c r="V7" i="46"/>
  <c r="AG2" i="52"/>
  <c r="BF300" i="7"/>
  <c r="BE300" i="7"/>
  <c r="BB300" i="7"/>
  <c r="BA300" i="7"/>
  <c r="AY300" i="7"/>
  <c r="AW300" i="7"/>
  <c r="AU300" i="7"/>
  <c r="AS300" i="7"/>
  <c r="AL300" i="7"/>
  <c r="AI300" i="7"/>
  <c r="AB300" i="7"/>
  <c r="Z300" i="7"/>
  <c r="AA300" i="7" s="1"/>
  <c r="R300" i="7"/>
  <c r="N300" i="7"/>
  <c r="O300" i="7" s="1"/>
  <c r="J300" i="7"/>
  <c r="G300" i="7"/>
  <c r="F300" i="7"/>
  <c r="AR300" i="7" s="1" a="1"/>
  <c r="AR300" i="7" s="1"/>
  <c r="BF299" i="7"/>
  <c r="BE299" i="7"/>
  <c r="BB299" i="7"/>
  <c r="BA299" i="7"/>
  <c r="AY299" i="7"/>
  <c r="AW299" i="7"/>
  <c r="AU299" i="7"/>
  <c r="AS299" i="7"/>
  <c r="AL299" i="7"/>
  <c r="AI299" i="7"/>
  <c r="AB299" i="7"/>
  <c r="Z299" i="7"/>
  <c r="AA299" i="7" s="1"/>
  <c r="R299" i="7"/>
  <c r="N299" i="7"/>
  <c r="O299" i="7" s="1"/>
  <c r="J299" i="7"/>
  <c r="G299" i="7"/>
  <c r="F299" i="7"/>
  <c r="AR299" i="7" s="1" a="1"/>
  <c r="AR299" i="7" s="1"/>
  <c r="BF298" i="7"/>
  <c r="BE298" i="7"/>
  <c r="BB298" i="7"/>
  <c r="BA298" i="7"/>
  <c r="AY298" i="7"/>
  <c r="AW298" i="7"/>
  <c r="AU298" i="7"/>
  <c r="AS298" i="7"/>
  <c r="AL298" i="7"/>
  <c r="AI298" i="7"/>
  <c r="AB298" i="7"/>
  <c r="Z298" i="7"/>
  <c r="AA298" i="7" s="1"/>
  <c r="R298" i="7"/>
  <c r="N298" i="7"/>
  <c r="O298" i="7" s="1"/>
  <c r="J298" i="7"/>
  <c r="G298" i="7"/>
  <c r="F298" i="7"/>
  <c r="AR298" i="7" s="1" a="1"/>
  <c r="AR298" i="7" s="1"/>
  <c r="BF297" i="7"/>
  <c r="BE297" i="7"/>
  <c r="BB297" i="7"/>
  <c r="BA297" i="7"/>
  <c r="AY297" i="7"/>
  <c r="AW297" i="7"/>
  <c r="AU297" i="7"/>
  <c r="AS297" i="7"/>
  <c r="AL297" i="7"/>
  <c r="AI297" i="7"/>
  <c r="AB297" i="7"/>
  <c r="Z297" i="7"/>
  <c r="AA297" i="7" s="1"/>
  <c r="R297" i="7"/>
  <c r="N297" i="7"/>
  <c r="O297" i="7" s="1"/>
  <c r="J297" i="7"/>
  <c r="G297" i="7"/>
  <c r="F297" i="7"/>
  <c r="AR297" i="7" s="1" a="1"/>
  <c r="AR297" i="7" s="1"/>
  <c r="BF296" i="7"/>
  <c r="BE296" i="7"/>
  <c r="BB296" i="7"/>
  <c r="BA296" i="7"/>
  <c r="AY296" i="7"/>
  <c r="AW296" i="7"/>
  <c r="AU296" i="7"/>
  <c r="AS296" i="7"/>
  <c r="AL296" i="7"/>
  <c r="AI296" i="7"/>
  <c r="AB296" i="7"/>
  <c r="Z296" i="7"/>
  <c r="AA296" i="7" s="1"/>
  <c r="R296" i="7"/>
  <c r="N296" i="7"/>
  <c r="O296" i="7" s="1"/>
  <c r="AV296" i="7" s="1"/>
  <c r="J296" i="7"/>
  <c r="G296" i="7"/>
  <c r="F296" i="7"/>
  <c r="AR296" i="7" s="1" a="1"/>
  <c r="AR296" i="7" s="1"/>
  <c r="BF295" i="7"/>
  <c r="BE295" i="7"/>
  <c r="BB295" i="7"/>
  <c r="BA295" i="7"/>
  <c r="AY295" i="7"/>
  <c r="AW295" i="7"/>
  <c r="AU295" i="7"/>
  <c r="AS295" i="7"/>
  <c r="AL295" i="7"/>
  <c r="AI295" i="7"/>
  <c r="AB295" i="7"/>
  <c r="Z295" i="7"/>
  <c r="AA295" i="7" s="1"/>
  <c r="R295" i="7"/>
  <c r="N295" i="7"/>
  <c r="O295" i="7" s="1"/>
  <c r="AV295" i="7" s="1"/>
  <c r="J295" i="7"/>
  <c r="G295" i="7"/>
  <c r="F295" i="7"/>
  <c r="AR295" i="7" s="1" a="1"/>
  <c r="AR295" i="7" s="1"/>
  <c r="BF294" i="7"/>
  <c r="BE294" i="7"/>
  <c r="BB294" i="7"/>
  <c r="BA294" i="7"/>
  <c r="AY294" i="7"/>
  <c r="AW294" i="7"/>
  <c r="AU294" i="7"/>
  <c r="AS294" i="7"/>
  <c r="AL294" i="7"/>
  <c r="AI294" i="7"/>
  <c r="AB294" i="7"/>
  <c r="Z294" i="7"/>
  <c r="AA294" i="7" s="1"/>
  <c r="R294" i="7"/>
  <c r="N294" i="7"/>
  <c r="O294" i="7" s="1"/>
  <c r="AV294" i="7" s="1"/>
  <c r="J294" i="7"/>
  <c r="G294" i="7"/>
  <c r="F294" i="7"/>
  <c r="AR294" i="7" s="1" a="1"/>
  <c r="AR294" i="7" s="1"/>
  <c r="BF293" i="7"/>
  <c r="BE293" i="7"/>
  <c r="BB293" i="7"/>
  <c r="BA293" i="7"/>
  <c r="AY293" i="7"/>
  <c r="AW293" i="7"/>
  <c r="AU293" i="7"/>
  <c r="AS293" i="7"/>
  <c r="AL293" i="7"/>
  <c r="AI293" i="7"/>
  <c r="AB293" i="7"/>
  <c r="Z293" i="7"/>
  <c r="AA293" i="7" s="1"/>
  <c r="R293" i="7"/>
  <c r="N293" i="7"/>
  <c r="O293" i="7" s="1"/>
  <c r="J293" i="7"/>
  <c r="G293" i="7"/>
  <c r="F293" i="7"/>
  <c r="AR293" i="7" s="1" a="1"/>
  <c r="AR293" i="7" s="1"/>
  <c r="BF292" i="7"/>
  <c r="BE292" i="7"/>
  <c r="BB292" i="7"/>
  <c r="BA292" i="7"/>
  <c r="AY292" i="7"/>
  <c r="AW292" i="7"/>
  <c r="AU292" i="7"/>
  <c r="AS292" i="7"/>
  <c r="AR292" i="7" a="1"/>
  <c r="AR292" i="7" s="1"/>
  <c r="AL292" i="7"/>
  <c r="AI292" i="7"/>
  <c r="AB292" i="7"/>
  <c r="Z292" i="7"/>
  <c r="AA292" i="7" s="1"/>
  <c r="R292" i="7"/>
  <c r="N292" i="7"/>
  <c r="O292" i="7" s="1"/>
  <c r="J292" i="7"/>
  <c r="G292" i="7"/>
  <c r="F292" i="7"/>
  <c r="BF291" i="7"/>
  <c r="BE291" i="7"/>
  <c r="BB291" i="7"/>
  <c r="BA291" i="7"/>
  <c r="AY291" i="7"/>
  <c r="AW291" i="7"/>
  <c r="AU291" i="7"/>
  <c r="AS291" i="7"/>
  <c r="AL291" i="7"/>
  <c r="AI291" i="7"/>
  <c r="AB291" i="7"/>
  <c r="Z291" i="7"/>
  <c r="AA291" i="7" s="1"/>
  <c r="R291" i="7"/>
  <c r="N291" i="7"/>
  <c r="O291" i="7" s="1"/>
  <c r="J291" i="7"/>
  <c r="G291" i="7"/>
  <c r="F291" i="7"/>
  <c r="AR291" i="7" s="1" a="1"/>
  <c r="AR291" i="7" s="1"/>
  <c r="BF290" i="7"/>
  <c r="BE290" i="7"/>
  <c r="BB290" i="7"/>
  <c r="BA290" i="7"/>
  <c r="AY290" i="7"/>
  <c r="AW290" i="7"/>
  <c r="AU290" i="7"/>
  <c r="AS290" i="7"/>
  <c r="AL290" i="7"/>
  <c r="AI290" i="7"/>
  <c r="AB290" i="7"/>
  <c r="Z290" i="7"/>
  <c r="AA290" i="7" s="1"/>
  <c r="R290" i="7"/>
  <c r="N290" i="7"/>
  <c r="O290" i="7" s="1"/>
  <c r="J290" i="7"/>
  <c r="G290" i="7"/>
  <c r="F290" i="7"/>
  <c r="AR290" i="7" s="1" a="1"/>
  <c r="AR290" i="7" s="1"/>
  <c r="BF289" i="7"/>
  <c r="BE289" i="7"/>
  <c r="BB289" i="7"/>
  <c r="BA289" i="7"/>
  <c r="AY289" i="7"/>
  <c r="AW289" i="7"/>
  <c r="AU289" i="7"/>
  <c r="AS289" i="7"/>
  <c r="AL289" i="7"/>
  <c r="AI289" i="7"/>
  <c r="AB289" i="7"/>
  <c r="Z289" i="7"/>
  <c r="AA289" i="7" s="1"/>
  <c r="R289" i="7"/>
  <c r="N289" i="7"/>
  <c r="O289" i="7" s="1"/>
  <c r="J289" i="7"/>
  <c r="G289" i="7"/>
  <c r="F289" i="7"/>
  <c r="AR289" i="7" s="1" a="1"/>
  <c r="AR289" i="7" s="1"/>
  <c r="BF288" i="7"/>
  <c r="BE288" i="7"/>
  <c r="BB288" i="7"/>
  <c r="BA288" i="7"/>
  <c r="AY288" i="7"/>
  <c r="AW288" i="7"/>
  <c r="AU288" i="7"/>
  <c r="AS288" i="7"/>
  <c r="AL288" i="7"/>
  <c r="AI288" i="7"/>
  <c r="AB288" i="7"/>
  <c r="Z288" i="7"/>
  <c r="AA288" i="7" s="1"/>
  <c r="R288" i="7"/>
  <c r="N288" i="7"/>
  <c r="O288" i="7" s="1"/>
  <c r="J288" i="7"/>
  <c r="G288" i="7"/>
  <c r="F288" i="7"/>
  <c r="AR288" i="7" s="1" a="1"/>
  <c r="AR288" i="7" s="1"/>
  <c r="BF287" i="7"/>
  <c r="BE287" i="7"/>
  <c r="BB287" i="7"/>
  <c r="BA287" i="7"/>
  <c r="AY287" i="7"/>
  <c r="AW287" i="7"/>
  <c r="AU287" i="7"/>
  <c r="AS287" i="7"/>
  <c r="AL287" i="7"/>
  <c r="AI287" i="7"/>
  <c r="AB287" i="7"/>
  <c r="Z287" i="7"/>
  <c r="AA287" i="7" s="1"/>
  <c r="R287" i="7"/>
  <c r="N287" i="7"/>
  <c r="O287" i="7" s="1"/>
  <c r="AV287" i="7" s="1"/>
  <c r="J287" i="7"/>
  <c r="G287" i="7"/>
  <c r="F287" i="7"/>
  <c r="AR287" i="7" s="1" a="1"/>
  <c r="AR287" i="7" s="1"/>
  <c r="BF286" i="7"/>
  <c r="BE286" i="7"/>
  <c r="BB286" i="7"/>
  <c r="BA286" i="7"/>
  <c r="AY286" i="7"/>
  <c r="AW286" i="7"/>
  <c r="AU286" i="7"/>
  <c r="AS286" i="7"/>
  <c r="AR286" i="7" a="1"/>
  <c r="AR286" i="7" s="1"/>
  <c r="AL286" i="7"/>
  <c r="AI286" i="7"/>
  <c r="AB286" i="7"/>
  <c r="Z286" i="7"/>
  <c r="AA286" i="7" s="1"/>
  <c r="R286" i="7"/>
  <c r="N286" i="7"/>
  <c r="O286" i="7" s="1"/>
  <c r="AV286" i="7" s="1"/>
  <c r="J286" i="7"/>
  <c r="G286" i="7"/>
  <c r="F286" i="7"/>
  <c r="BF285" i="7"/>
  <c r="BE285" i="7"/>
  <c r="BB285" i="7"/>
  <c r="BA285" i="7"/>
  <c r="AY285" i="7"/>
  <c r="AW285" i="7"/>
  <c r="AU285" i="7"/>
  <c r="AS285" i="7"/>
  <c r="AL285" i="7"/>
  <c r="AI285" i="7"/>
  <c r="AB285" i="7"/>
  <c r="Z285" i="7"/>
  <c r="AA285" i="7" s="1"/>
  <c r="R285" i="7"/>
  <c r="N285" i="7"/>
  <c r="O285" i="7" s="1"/>
  <c r="AV285" i="7" s="1"/>
  <c r="J285" i="7"/>
  <c r="G285" i="7"/>
  <c r="F285" i="7"/>
  <c r="AR285" i="7" s="1" a="1"/>
  <c r="AR285" i="7" s="1"/>
  <c r="BF284" i="7"/>
  <c r="BE284" i="7"/>
  <c r="BB284" i="7"/>
  <c r="BA284" i="7"/>
  <c r="AY284" i="7"/>
  <c r="AW284" i="7"/>
  <c r="AU284" i="7"/>
  <c r="AS284" i="7"/>
  <c r="AL284" i="7"/>
  <c r="AI284" i="7"/>
  <c r="AB284" i="7"/>
  <c r="Z284" i="7"/>
  <c r="AA284" i="7" s="1"/>
  <c r="R284" i="7"/>
  <c r="N284" i="7"/>
  <c r="O284" i="7" s="1"/>
  <c r="AV284" i="7" s="1"/>
  <c r="J284" i="7"/>
  <c r="G284" i="7"/>
  <c r="K284" i="7" s="1"/>
  <c r="F284" i="7"/>
  <c r="AR284" i="7" s="1" a="1"/>
  <c r="AR284" i="7" s="1"/>
  <c r="BF283" i="7"/>
  <c r="BE283" i="7"/>
  <c r="BB283" i="7"/>
  <c r="BA283" i="7"/>
  <c r="AY283" i="7"/>
  <c r="AW283" i="7"/>
  <c r="AU283" i="7"/>
  <c r="AS283" i="7"/>
  <c r="AL283" i="7"/>
  <c r="AI283" i="7"/>
  <c r="AB283" i="7"/>
  <c r="Z283" i="7"/>
  <c r="AA283" i="7" s="1"/>
  <c r="R283" i="7"/>
  <c r="N283" i="7"/>
  <c r="O283" i="7" s="1"/>
  <c r="J283" i="7"/>
  <c r="G283" i="7"/>
  <c r="F283" i="7"/>
  <c r="AR283" i="7" s="1" a="1"/>
  <c r="AR283" i="7" s="1"/>
  <c r="BF282" i="7"/>
  <c r="BE282" i="7"/>
  <c r="BB282" i="7"/>
  <c r="BA282" i="7"/>
  <c r="AY282" i="7"/>
  <c r="AW282" i="7"/>
  <c r="AU282" i="7"/>
  <c r="AS282" i="7"/>
  <c r="AL282" i="7"/>
  <c r="AI282" i="7"/>
  <c r="AB282" i="7"/>
  <c r="Z282" i="7"/>
  <c r="AA282" i="7" s="1"/>
  <c r="R282" i="7"/>
  <c r="N282" i="7"/>
  <c r="O282" i="7" s="1"/>
  <c r="J282" i="7"/>
  <c r="G282" i="7"/>
  <c r="F282" i="7"/>
  <c r="AR282" i="7" s="1" a="1"/>
  <c r="AR282" i="7" s="1"/>
  <c r="BF281" i="7"/>
  <c r="BE281" i="7"/>
  <c r="BB281" i="7"/>
  <c r="BA281" i="7"/>
  <c r="AY281" i="7"/>
  <c r="AW281" i="7"/>
  <c r="AU281" i="7"/>
  <c r="AS281" i="7"/>
  <c r="AR281" i="7"/>
  <c r="AR281" i="7" a="1"/>
  <c r="AL281" i="7"/>
  <c r="AI281" i="7"/>
  <c r="AB281" i="7"/>
  <c r="Z281" i="7"/>
  <c r="AA281" i="7" s="1"/>
  <c r="R281" i="7"/>
  <c r="N281" i="7"/>
  <c r="O281" i="7" s="1"/>
  <c r="J281" i="7"/>
  <c r="G281" i="7"/>
  <c r="F281" i="7"/>
  <c r="BF280" i="7"/>
  <c r="BE280" i="7"/>
  <c r="BB280" i="7"/>
  <c r="BA280" i="7"/>
  <c r="AY280" i="7"/>
  <c r="AW280" i="7"/>
  <c r="AU280" i="7"/>
  <c r="AS280" i="7"/>
  <c r="AL280" i="7"/>
  <c r="AI280" i="7"/>
  <c r="AB280" i="7"/>
  <c r="Z280" i="7"/>
  <c r="AA280" i="7" s="1"/>
  <c r="R280" i="7"/>
  <c r="N280" i="7"/>
  <c r="O280" i="7" s="1"/>
  <c r="J280" i="7"/>
  <c r="G280" i="7"/>
  <c r="F280" i="7"/>
  <c r="AR280" i="7" s="1" a="1"/>
  <c r="AR280" i="7" s="1"/>
  <c r="BF279" i="7"/>
  <c r="BE279" i="7"/>
  <c r="BB279" i="7"/>
  <c r="BA279" i="7"/>
  <c r="AY279" i="7"/>
  <c r="AW279" i="7"/>
  <c r="AU279" i="7"/>
  <c r="AS279" i="7"/>
  <c r="AL279" i="7"/>
  <c r="AI279" i="7"/>
  <c r="AB279" i="7"/>
  <c r="Z279" i="7"/>
  <c r="AA279" i="7" s="1"/>
  <c r="R279" i="7"/>
  <c r="N279" i="7"/>
  <c r="O279" i="7" s="1"/>
  <c r="P279" i="7" s="1"/>
  <c r="J279" i="7"/>
  <c r="G279" i="7"/>
  <c r="F279" i="7"/>
  <c r="AR279" i="7" s="1" a="1"/>
  <c r="AR279" i="7" s="1"/>
  <c r="BF278" i="7"/>
  <c r="BE278" i="7"/>
  <c r="BB278" i="7"/>
  <c r="BA278" i="7"/>
  <c r="AY278" i="7"/>
  <c r="AW278" i="7"/>
  <c r="AU278" i="7"/>
  <c r="AS278" i="7"/>
  <c r="AR278" i="7" a="1"/>
  <c r="AR278" i="7" s="1"/>
  <c r="AL278" i="7"/>
  <c r="AI278" i="7"/>
  <c r="AB278" i="7"/>
  <c r="Z278" i="7"/>
  <c r="AA278" i="7" s="1"/>
  <c r="R278" i="7"/>
  <c r="N278" i="7"/>
  <c r="O278" i="7" s="1"/>
  <c r="AV278" i="7" s="1"/>
  <c r="J278" i="7"/>
  <c r="G278" i="7"/>
  <c r="F278" i="7"/>
  <c r="BF277" i="7"/>
  <c r="BE277" i="7"/>
  <c r="BB277" i="7"/>
  <c r="BA277" i="7"/>
  <c r="AY277" i="7"/>
  <c r="AW277" i="7"/>
  <c r="AU277" i="7"/>
  <c r="AS277" i="7"/>
  <c r="AL277" i="7"/>
  <c r="AI277" i="7"/>
  <c r="AB277" i="7"/>
  <c r="Z277" i="7"/>
  <c r="AA277" i="7" s="1"/>
  <c r="R277" i="7"/>
  <c r="N277" i="7"/>
  <c r="O277" i="7" s="1"/>
  <c r="J277" i="7"/>
  <c r="G277" i="7"/>
  <c r="F277" i="7"/>
  <c r="AR277" i="7" s="1" a="1"/>
  <c r="AR277" i="7" s="1"/>
  <c r="BF276" i="7"/>
  <c r="BE276" i="7"/>
  <c r="BB276" i="7"/>
  <c r="BA276" i="7"/>
  <c r="AY276" i="7"/>
  <c r="AW276" i="7"/>
  <c r="AU276" i="7"/>
  <c r="AS276" i="7"/>
  <c r="AR276" i="7" a="1"/>
  <c r="AR276" i="7" s="1"/>
  <c r="AL276" i="7"/>
  <c r="AI276" i="7"/>
  <c r="AB276" i="7"/>
  <c r="Z276" i="7"/>
  <c r="AA276" i="7" s="1"/>
  <c r="R276" i="7"/>
  <c r="N276" i="7"/>
  <c r="O276" i="7" s="1"/>
  <c r="AV276" i="7" s="1"/>
  <c r="J276" i="7"/>
  <c r="G276" i="7"/>
  <c r="F276" i="7"/>
  <c r="BF275" i="7"/>
  <c r="BE275" i="7"/>
  <c r="BB275" i="7"/>
  <c r="BA275" i="7"/>
  <c r="AY275" i="7"/>
  <c r="AW275" i="7"/>
  <c r="AU275" i="7"/>
  <c r="AS275" i="7"/>
  <c r="AL275" i="7"/>
  <c r="AI275" i="7"/>
  <c r="AB275" i="7"/>
  <c r="Z275" i="7"/>
  <c r="AA275" i="7" s="1"/>
  <c r="R275" i="7"/>
  <c r="N275" i="7"/>
  <c r="O275" i="7" s="1"/>
  <c r="J275" i="7"/>
  <c r="G275" i="7"/>
  <c r="F275" i="7"/>
  <c r="AR275" i="7" s="1" a="1"/>
  <c r="AR275" i="7" s="1"/>
  <c r="BF274" i="7"/>
  <c r="BE274" i="7"/>
  <c r="BB274" i="7"/>
  <c r="BA274" i="7"/>
  <c r="AY274" i="7"/>
  <c r="AW274" i="7"/>
  <c r="AU274" i="7"/>
  <c r="AS274" i="7"/>
  <c r="AL274" i="7"/>
  <c r="AI274" i="7"/>
  <c r="AB274" i="7"/>
  <c r="Z274" i="7"/>
  <c r="AA274" i="7" s="1"/>
  <c r="R274" i="7"/>
  <c r="N274" i="7"/>
  <c r="O274" i="7" s="1"/>
  <c r="AV274" i="7" s="1"/>
  <c r="J274" i="7"/>
  <c r="G274" i="7"/>
  <c r="F274" i="7"/>
  <c r="AR274" i="7" s="1" a="1"/>
  <c r="AR274" i="7" s="1"/>
  <c r="BF273" i="7"/>
  <c r="BE273" i="7"/>
  <c r="BB273" i="7"/>
  <c r="BA273" i="7"/>
  <c r="AY273" i="7"/>
  <c r="AW273" i="7"/>
  <c r="AU273" i="7"/>
  <c r="AS273" i="7"/>
  <c r="AR273" i="7" a="1"/>
  <c r="AR273" i="7" s="1"/>
  <c r="AL273" i="7"/>
  <c r="AI273" i="7"/>
  <c r="AB273" i="7"/>
  <c r="Z273" i="7"/>
  <c r="AA273" i="7" s="1"/>
  <c r="R273" i="7"/>
  <c r="N273" i="7"/>
  <c r="O273" i="7" s="1"/>
  <c r="J273" i="7"/>
  <c r="G273" i="7"/>
  <c r="F273" i="7"/>
  <c r="BF272" i="7"/>
  <c r="BE272" i="7"/>
  <c r="BB272" i="7"/>
  <c r="BA272" i="7"/>
  <c r="AY272" i="7"/>
  <c r="AW272" i="7"/>
  <c r="AU272" i="7"/>
  <c r="AS272" i="7"/>
  <c r="AL272" i="7"/>
  <c r="AI272" i="7"/>
  <c r="AB272" i="7"/>
  <c r="Z272" i="7"/>
  <c r="AA272" i="7" s="1"/>
  <c r="R272" i="7"/>
  <c r="N272" i="7"/>
  <c r="O272" i="7" s="1"/>
  <c r="J272" i="7"/>
  <c r="G272" i="7"/>
  <c r="F272" i="7"/>
  <c r="AR272" i="7" s="1" a="1"/>
  <c r="AR272" i="7" s="1"/>
  <c r="BF271" i="7"/>
  <c r="BE271" i="7"/>
  <c r="BB271" i="7"/>
  <c r="BA271" i="7"/>
  <c r="AY271" i="7"/>
  <c r="AW271" i="7"/>
  <c r="AU271" i="7"/>
  <c r="AS271" i="7"/>
  <c r="AL271" i="7"/>
  <c r="AI271" i="7"/>
  <c r="AB271" i="7"/>
  <c r="Z271" i="7"/>
  <c r="AA271" i="7" s="1"/>
  <c r="R271" i="7"/>
  <c r="N271" i="7"/>
  <c r="O271" i="7" s="1"/>
  <c r="P271" i="7" s="1"/>
  <c r="J271" i="7"/>
  <c r="G271" i="7"/>
  <c r="F271" i="7"/>
  <c r="AR271" i="7" s="1" a="1"/>
  <c r="AR271" i="7" s="1"/>
  <c r="BF270" i="7"/>
  <c r="BE270" i="7"/>
  <c r="BB270" i="7"/>
  <c r="BA270" i="7"/>
  <c r="AY270" i="7"/>
  <c r="AW270" i="7"/>
  <c r="AU270" i="7"/>
  <c r="AS270" i="7"/>
  <c r="AL270" i="7"/>
  <c r="AI270" i="7"/>
  <c r="AB270" i="7"/>
  <c r="Z270" i="7"/>
  <c r="AA270" i="7" s="1"/>
  <c r="R270" i="7"/>
  <c r="N270" i="7"/>
  <c r="O270" i="7" s="1"/>
  <c r="P270" i="7" s="1"/>
  <c r="J270" i="7"/>
  <c r="G270" i="7"/>
  <c r="F270" i="7"/>
  <c r="AR270" i="7" s="1" a="1"/>
  <c r="AR270" i="7" s="1"/>
  <c r="BF269" i="7"/>
  <c r="BE269" i="7"/>
  <c r="BB269" i="7"/>
  <c r="BA269" i="7"/>
  <c r="AY269" i="7"/>
  <c r="AW269" i="7"/>
  <c r="AU269" i="7"/>
  <c r="AS269" i="7"/>
  <c r="AL269" i="7"/>
  <c r="AI269" i="7"/>
  <c r="AB269" i="7"/>
  <c r="Z269" i="7"/>
  <c r="AA269" i="7" s="1"/>
  <c r="R269" i="7"/>
  <c r="N269" i="7"/>
  <c r="O269" i="7" s="1"/>
  <c r="AV269" i="7" s="1"/>
  <c r="J269" i="7"/>
  <c r="G269" i="7"/>
  <c r="F269" i="7"/>
  <c r="AR269" i="7" s="1" a="1"/>
  <c r="AR269" i="7" s="1"/>
  <c r="BF268" i="7"/>
  <c r="BE268" i="7"/>
  <c r="BB268" i="7"/>
  <c r="BA268" i="7"/>
  <c r="AY268" i="7"/>
  <c r="AW268" i="7"/>
  <c r="AU268" i="7"/>
  <c r="AS268" i="7"/>
  <c r="AL268" i="7"/>
  <c r="AI268" i="7"/>
  <c r="AB268" i="7"/>
  <c r="Z268" i="7"/>
  <c r="AA268" i="7" s="1"/>
  <c r="R268" i="7"/>
  <c r="N268" i="7"/>
  <c r="O268" i="7" s="1"/>
  <c r="J268" i="7"/>
  <c r="G268" i="7"/>
  <c r="F268" i="7"/>
  <c r="AR268" i="7" s="1" a="1"/>
  <c r="AR268" i="7" s="1"/>
  <c r="BF267" i="7"/>
  <c r="BE267" i="7"/>
  <c r="BB267" i="7"/>
  <c r="BA267" i="7"/>
  <c r="AY267" i="7"/>
  <c r="AW267" i="7"/>
  <c r="AU267" i="7"/>
  <c r="AS267" i="7"/>
  <c r="AL267" i="7"/>
  <c r="AI267" i="7"/>
  <c r="AB267" i="7"/>
  <c r="Z267" i="7"/>
  <c r="AA267" i="7" s="1"/>
  <c r="R267" i="7"/>
  <c r="N267" i="7"/>
  <c r="O267" i="7" s="1"/>
  <c r="J267" i="7"/>
  <c r="G267" i="7"/>
  <c r="F267" i="7"/>
  <c r="AR267" i="7" s="1" a="1"/>
  <c r="AR267" i="7" s="1"/>
  <c r="BF266" i="7"/>
  <c r="BE266" i="7"/>
  <c r="BB266" i="7"/>
  <c r="BA266" i="7"/>
  <c r="AY266" i="7"/>
  <c r="AW266" i="7"/>
  <c r="AU266" i="7"/>
  <c r="AS266" i="7"/>
  <c r="AL266" i="7"/>
  <c r="AI266" i="7"/>
  <c r="AB266" i="7"/>
  <c r="Z266" i="7"/>
  <c r="AA266" i="7" s="1"/>
  <c r="R266" i="7"/>
  <c r="N266" i="7"/>
  <c r="O266" i="7" s="1"/>
  <c r="P266" i="7" s="1"/>
  <c r="J266" i="7"/>
  <c r="G266" i="7"/>
  <c r="F266" i="7"/>
  <c r="AR266" i="7" s="1" a="1"/>
  <c r="AR266" i="7" s="1"/>
  <c r="BF265" i="7"/>
  <c r="BE265" i="7"/>
  <c r="BB265" i="7"/>
  <c r="BA265" i="7"/>
  <c r="AY265" i="7"/>
  <c r="AW265" i="7"/>
  <c r="AU265" i="7"/>
  <c r="AS265" i="7"/>
  <c r="AR265" i="7" a="1"/>
  <c r="AR265" i="7" s="1"/>
  <c r="AL265" i="7"/>
  <c r="AI265" i="7"/>
  <c r="AB265" i="7"/>
  <c r="Z265" i="7"/>
  <c r="AA265" i="7" s="1"/>
  <c r="R265" i="7"/>
  <c r="N265" i="7"/>
  <c r="O265" i="7" s="1"/>
  <c r="P265" i="7" s="1"/>
  <c r="J265" i="7"/>
  <c r="G265" i="7"/>
  <c r="F265" i="7"/>
  <c r="BF264" i="7"/>
  <c r="BE264" i="7"/>
  <c r="BB264" i="7"/>
  <c r="BA264" i="7"/>
  <c r="AY264" i="7"/>
  <c r="AW264" i="7"/>
  <c r="AU264" i="7"/>
  <c r="AS264" i="7"/>
  <c r="AL264" i="7"/>
  <c r="AI264" i="7"/>
  <c r="AB264" i="7"/>
  <c r="Z264" i="7"/>
  <c r="AA264" i="7" s="1"/>
  <c r="R264" i="7"/>
  <c r="N264" i="7"/>
  <c r="O264" i="7" s="1"/>
  <c r="J264" i="7"/>
  <c r="G264" i="7"/>
  <c r="F264" i="7"/>
  <c r="AR264" i="7" s="1" a="1"/>
  <c r="AR264" i="7" s="1"/>
  <c r="BF263" i="7"/>
  <c r="BE263" i="7"/>
  <c r="BB263" i="7"/>
  <c r="BA263" i="7"/>
  <c r="AY263" i="7"/>
  <c r="AW263" i="7"/>
  <c r="AU263" i="7"/>
  <c r="AS263" i="7"/>
  <c r="AL263" i="7"/>
  <c r="AI263" i="7"/>
  <c r="AB263" i="7"/>
  <c r="Z263" i="7"/>
  <c r="AA263" i="7" s="1"/>
  <c r="R263" i="7"/>
  <c r="N263" i="7"/>
  <c r="O263" i="7" s="1"/>
  <c r="J263" i="7"/>
  <c r="G263" i="7"/>
  <c r="F263" i="7"/>
  <c r="AR263" i="7" s="1" a="1"/>
  <c r="AR263" i="7" s="1"/>
  <c r="BF262" i="7"/>
  <c r="BE262" i="7"/>
  <c r="BB262" i="7"/>
  <c r="BA262" i="7"/>
  <c r="AY262" i="7"/>
  <c r="AW262" i="7"/>
  <c r="AU262" i="7"/>
  <c r="AS262" i="7"/>
  <c r="AL262" i="7"/>
  <c r="AI262" i="7"/>
  <c r="AB262" i="7"/>
  <c r="Z262" i="7"/>
  <c r="AA262" i="7" s="1"/>
  <c r="R262" i="7"/>
  <c r="N262" i="7"/>
  <c r="O262" i="7" s="1"/>
  <c r="J262" i="7"/>
  <c r="G262" i="7"/>
  <c r="F262" i="7"/>
  <c r="AR262" i="7" s="1" a="1"/>
  <c r="AR262" i="7" s="1"/>
  <c r="BF261" i="7"/>
  <c r="BE261" i="7"/>
  <c r="BB261" i="7"/>
  <c r="BA261" i="7"/>
  <c r="AY261" i="7"/>
  <c r="AW261" i="7"/>
  <c r="AU261" i="7"/>
  <c r="AS261" i="7"/>
  <c r="AL261" i="7"/>
  <c r="AI261" i="7"/>
  <c r="AB261" i="7"/>
  <c r="Z261" i="7"/>
  <c r="AA261" i="7" s="1"/>
  <c r="R261" i="7"/>
  <c r="N261" i="7"/>
  <c r="O261" i="7" s="1"/>
  <c r="AV261" i="7" s="1"/>
  <c r="J261" i="7"/>
  <c r="G261" i="7"/>
  <c r="F261" i="7"/>
  <c r="AR261" i="7" s="1" a="1"/>
  <c r="AR261" i="7" s="1"/>
  <c r="BF260" i="7"/>
  <c r="BE260" i="7"/>
  <c r="BB260" i="7"/>
  <c r="BA260" i="7"/>
  <c r="AY260" i="7"/>
  <c r="AW260" i="7"/>
  <c r="AU260" i="7"/>
  <c r="AS260" i="7"/>
  <c r="AR260" i="7" a="1"/>
  <c r="AR260" i="7" s="1"/>
  <c r="AL260" i="7"/>
  <c r="AI260" i="7"/>
  <c r="AB260" i="7"/>
  <c r="Z260" i="7"/>
  <c r="AA260" i="7" s="1"/>
  <c r="R260" i="7"/>
  <c r="N260" i="7"/>
  <c r="O260" i="7" s="1"/>
  <c r="AV260" i="7" s="1"/>
  <c r="J260" i="7"/>
  <c r="G260" i="7"/>
  <c r="F260" i="7"/>
  <c r="BF259" i="7"/>
  <c r="BE259" i="7"/>
  <c r="BB259" i="7"/>
  <c r="BA259" i="7"/>
  <c r="AY259" i="7"/>
  <c r="AW259" i="7"/>
  <c r="AU259" i="7"/>
  <c r="AS259" i="7"/>
  <c r="AL259" i="7"/>
  <c r="AI259" i="7"/>
  <c r="AB259" i="7"/>
  <c r="Z259" i="7"/>
  <c r="AA259" i="7" s="1"/>
  <c r="R259" i="7"/>
  <c r="N259" i="7"/>
  <c r="O259" i="7" s="1"/>
  <c r="P259" i="7" s="1"/>
  <c r="J259" i="7"/>
  <c r="G259" i="7"/>
  <c r="F259" i="7"/>
  <c r="AR259" i="7" s="1" a="1"/>
  <c r="AR259" i="7" s="1"/>
  <c r="BF258" i="7"/>
  <c r="BE258" i="7"/>
  <c r="BB258" i="7"/>
  <c r="BA258" i="7"/>
  <c r="AY258" i="7"/>
  <c r="AW258" i="7"/>
  <c r="AU258" i="7"/>
  <c r="AS258" i="7"/>
  <c r="AR258" i="7" a="1"/>
  <c r="AR258" i="7" s="1"/>
  <c r="AL258" i="7"/>
  <c r="AI258" i="7"/>
  <c r="AB258" i="7"/>
  <c r="Z258" i="7"/>
  <c r="AA258" i="7" s="1"/>
  <c r="R258" i="7"/>
  <c r="N258" i="7"/>
  <c r="O258" i="7" s="1"/>
  <c r="P258" i="7" s="1"/>
  <c r="J258" i="7"/>
  <c r="G258" i="7"/>
  <c r="F258" i="7"/>
  <c r="BF257" i="7"/>
  <c r="BE257" i="7"/>
  <c r="BB257" i="7"/>
  <c r="BA257" i="7"/>
  <c r="AY257" i="7"/>
  <c r="AW257" i="7"/>
  <c r="AU257" i="7"/>
  <c r="AS257" i="7"/>
  <c r="AL257" i="7"/>
  <c r="AI257" i="7"/>
  <c r="AB257" i="7"/>
  <c r="Z257" i="7"/>
  <c r="AA257" i="7" s="1"/>
  <c r="R257" i="7"/>
  <c r="N257" i="7"/>
  <c r="O257" i="7" s="1"/>
  <c r="AV257" i="7" s="1"/>
  <c r="J257" i="7"/>
  <c r="G257" i="7"/>
  <c r="F257" i="7"/>
  <c r="AR257" i="7" s="1" a="1"/>
  <c r="AR257" i="7" s="1"/>
  <c r="BF256" i="7"/>
  <c r="BE256" i="7"/>
  <c r="BB256" i="7"/>
  <c r="BA256" i="7"/>
  <c r="AY256" i="7"/>
  <c r="AW256" i="7"/>
  <c r="AU256" i="7"/>
  <c r="AS256" i="7"/>
  <c r="AL256" i="7"/>
  <c r="AI256" i="7"/>
  <c r="AB256" i="7"/>
  <c r="Z256" i="7"/>
  <c r="AA256" i="7" s="1"/>
  <c r="R256" i="7"/>
  <c r="N256" i="7"/>
  <c r="O256" i="7" s="1"/>
  <c r="P256" i="7" s="1"/>
  <c r="J256" i="7"/>
  <c r="G256" i="7"/>
  <c r="F256" i="7"/>
  <c r="AR256" i="7" s="1" a="1"/>
  <c r="AR256" i="7" s="1"/>
  <c r="BF255" i="7"/>
  <c r="BE255" i="7"/>
  <c r="BB255" i="7"/>
  <c r="BA255" i="7"/>
  <c r="AY255" i="7"/>
  <c r="AW255" i="7"/>
  <c r="AU255" i="7"/>
  <c r="AS255" i="7"/>
  <c r="AL255" i="7"/>
  <c r="AI255" i="7"/>
  <c r="AB255" i="7"/>
  <c r="Z255" i="7"/>
  <c r="AA255" i="7" s="1"/>
  <c r="R255" i="7"/>
  <c r="N255" i="7"/>
  <c r="O255" i="7" s="1"/>
  <c r="J255" i="7"/>
  <c r="G255" i="7"/>
  <c r="F255" i="7"/>
  <c r="AR255" i="7" s="1" a="1"/>
  <c r="AR255" i="7" s="1"/>
  <c r="BF254" i="7"/>
  <c r="BE254" i="7"/>
  <c r="BB254" i="7"/>
  <c r="BA254" i="7"/>
  <c r="AY254" i="7"/>
  <c r="AW254" i="7"/>
  <c r="AU254" i="7"/>
  <c r="AS254" i="7"/>
  <c r="AL254" i="7"/>
  <c r="AI254" i="7"/>
  <c r="AB254" i="7"/>
  <c r="Z254" i="7"/>
  <c r="AA254" i="7" s="1"/>
  <c r="R254" i="7"/>
  <c r="N254" i="7"/>
  <c r="O254" i="7" s="1"/>
  <c r="J254" i="7"/>
  <c r="G254" i="7"/>
  <c r="F254" i="7"/>
  <c r="AR254" i="7" s="1" a="1"/>
  <c r="AR254" i="7" s="1"/>
  <c r="BF253" i="7"/>
  <c r="BE253" i="7"/>
  <c r="BB253" i="7"/>
  <c r="BA253" i="7"/>
  <c r="AY253" i="7"/>
  <c r="AW253" i="7"/>
  <c r="AU253" i="7"/>
  <c r="AS253" i="7"/>
  <c r="AR253" i="7" a="1"/>
  <c r="AR253" i="7" s="1"/>
  <c r="AL253" i="7"/>
  <c r="AI253" i="7"/>
  <c r="AB253" i="7"/>
  <c r="Z253" i="7"/>
  <c r="AA253" i="7" s="1"/>
  <c r="R253" i="7"/>
  <c r="N253" i="7"/>
  <c r="O253" i="7" s="1"/>
  <c r="AV253" i="7" s="1"/>
  <c r="J253" i="7"/>
  <c r="G253" i="7"/>
  <c r="F253" i="7"/>
  <c r="BF252" i="7"/>
  <c r="BE252" i="7"/>
  <c r="BB252" i="7"/>
  <c r="BA252" i="7"/>
  <c r="AY252" i="7"/>
  <c r="AW252" i="7"/>
  <c r="AU252" i="7"/>
  <c r="AS252" i="7"/>
  <c r="AL252" i="7"/>
  <c r="AI252" i="7"/>
  <c r="AB252" i="7"/>
  <c r="Z252" i="7"/>
  <c r="AA252" i="7" s="1"/>
  <c r="R252" i="7"/>
  <c r="N252" i="7"/>
  <c r="O252" i="7" s="1"/>
  <c r="J252" i="7"/>
  <c r="G252" i="7"/>
  <c r="F252" i="7"/>
  <c r="AR252" i="7" s="1" a="1"/>
  <c r="AR252" i="7" s="1"/>
  <c r="BF251" i="7"/>
  <c r="BE251" i="7"/>
  <c r="BB251" i="7"/>
  <c r="BA251" i="7"/>
  <c r="AY251" i="7"/>
  <c r="AW251" i="7"/>
  <c r="AU251" i="7"/>
  <c r="AS251" i="7"/>
  <c r="AL251" i="7"/>
  <c r="AI251" i="7"/>
  <c r="AB251" i="7"/>
  <c r="Z251" i="7"/>
  <c r="AA251" i="7" s="1"/>
  <c r="R251" i="7"/>
  <c r="O251" i="7"/>
  <c r="AV251" i="7" s="1"/>
  <c r="N251" i="7"/>
  <c r="J251" i="7"/>
  <c r="G251" i="7"/>
  <c r="F251" i="7"/>
  <c r="AR251" i="7" s="1" a="1"/>
  <c r="AR251" i="7" s="1"/>
  <c r="BF300" i="47"/>
  <c r="BE300" i="47"/>
  <c r="BB300" i="47"/>
  <c r="BA300" i="47"/>
  <c r="AY300" i="47"/>
  <c r="AW300" i="47"/>
  <c r="AU300" i="47"/>
  <c r="AS300" i="47"/>
  <c r="AI300" i="47"/>
  <c r="AB300" i="47"/>
  <c r="Z300" i="47"/>
  <c r="AA300" i="47" s="1"/>
  <c r="R300" i="47"/>
  <c r="N300" i="47"/>
  <c r="O300" i="47" s="1"/>
  <c r="J300" i="47"/>
  <c r="G300" i="47"/>
  <c r="S300" i="47" s="1"/>
  <c r="AX300" i="47" s="1"/>
  <c r="F300" i="47"/>
  <c r="AR300" i="47" s="1" a="1"/>
  <c r="AR300" i="47" s="1"/>
  <c r="BF299" i="47"/>
  <c r="BE299" i="47"/>
  <c r="BB299" i="47"/>
  <c r="BA299" i="47"/>
  <c r="AY299" i="47"/>
  <c r="AW299" i="47"/>
  <c r="AU299" i="47"/>
  <c r="AS299" i="47"/>
  <c r="AI299" i="47"/>
  <c r="AB299" i="47"/>
  <c r="Z299" i="47"/>
  <c r="AA299" i="47" s="1"/>
  <c r="R299" i="47"/>
  <c r="N299" i="47"/>
  <c r="O299" i="47" s="1"/>
  <c r="J299" i="47"/>
  <c r="G299" i="47"/>
  <c r="F299" i="47"/>
  <c r="AR299" i="47" s="1" a="1"/>
  <c r="AR299" i="47" s="1"/>
  <c r="BF298" i="47"/>
  <c r="BE298" i="47"/>
  <c r="BB298" i="47"/>
  <c r="BA298" i="47"/>
  <c r="AY298" i="47"/>
  <c r="AW298" i="47"/>
  <c r="AU298" i="47"/>
  <c r="AS298" i="47"/>
  <c r="AI298" i="47"/>
  <c r="AB298" i="47"/>
  <c r="Z298" i="47"/>
  <c r="AA298" i="47" s="1"/>
  <c r="R298" i="47"/>
  <c r="N298" i="47"/>
  <c r="O298" i="47" s="1"/>
  <c r="J298" i="47"/>
  <c r="G298" i="47"/>
  <c r="F298" i="47"/>
  <c r="AR298" i="47" s="1" a="1"/>
  <c r="AR298" i="47" s="1"/>
  <c r="BF297" i="47"/>
  <c r="BE297" i="47"/>
  <c r="BB297" i="47"/>
  <c r="BA297" i="47"/>
  <c r="AY297" i="47"/>
  <c r="AW297" i="47"/>
  <c r="AU297" i="47"/>
  <c r="AS297" i="47"/>
  <c r="AI297" i="47"/>
  <c r="AB297" i="47"/>
  <c r="Z297" i="47"/>
  <c r="AA297" i="47" s="1"/>
  <c r="R297" i="47"/>
  <c r="N297" i="47"/>
  <c r="O297" i="47" s="1"/>
  <c r="AV297" i="47" s="1"/>
  <c r="J297" i="47"/>
  <c r="G297" i="47"/>
  <c r="F297" i="47"/>
  <c r="AR297" i="47" s="1" a="1"/>
  <c r="AR297" i="47" s="1"/>
  <c r="BF296" i="47"/>
  <c r="BE296" i="47"/>
  <c r="BB296" i="47"/>
  <c r="BA296" i="47"/>
  <c r="AY296" i="47"/>
  <c r="AW296" i="47"/>
  <c r="AU296" i="47"/>
  <c r="AS296" i="47"/>
  <c r="AI296" i="47"/>
  <c r="AB296" i="47"/>
  <c r="Z296" i="47"/>
  <c r="AA296" i="47" s="1"/>
  <c r="R296" i="47"/>
  <c r="N296" i="47"/>
  <c r="O296" i="47" s="1"/>
  <c r="AV296" i="47" s="1"/>
  <c r="J296" i="47"/>
  <c r="G296" i="47"/>
  <c r="F296" i="47"/>
  <c r="AR296" i="47" s="1" a="1"/>
  <c r="AR296" i="47" s="1"/>
  <c r="BF295" i="47"/>
  <c r="BE295" i="47"/>
  <c r="BB295" i="47"/>
  <c r="BA295" i="47"/>
  <c r="AY295" i="47"/>
  <c r="AW295" i="47"/>
  <c r="AU295" i="47"/>
  <c r="AS295" i="47"/>
  <c r="AI295" i="47"/>
  <c r="AB295" i="47"/>
  <c r="Z295" i="47"/>
  <c r="AA295" i="47" s="1"/>
  <c r="R295" i="47"/>
  <c r="N295" i="47"/>
  <c r="O295" i="47" s="1"/>
  <c r="J295" i="47"/>
  <c r="G295" i="47"/>
  <c r="S295" i="47" s="1"/>
  <c r="F295" i="47"/>
  <c r="AR295" i="47" s="1" a="1"/>
  <c r="AR295" i="47" s="1"/>
  <c r="BF294" i="47"/>
  <c r="BE294" i="47"/>
  <c r="BB294" i="47"/>
  <c r="BA294" i="47"/>
  <c r="AY294" i="47"/>
  <c r="AW294" i="47"/>
  <c r="AU294" i="47"/>
  <c r="AS294" i="47"/>
  <c r="AI294" i="47"/>
  <c r="AB294" i="47"/>
  <c r="Z294" i="47"/>
  <c r="AA294" i="47" s="1"/>
  <c r="R294" i="47"/>
  <c r="N294" i="47"/>
  <c r="O294" i="47" s="1"/>
  <c r="P294" i="47" s="1"/>
  <c r="J294" i="47"/>
  <c r="G294" i="47"/>
  <c r="F294" i="47"/>
  <c r="AR294" i="47" s="1" a="1"/>
  <c r="AR294" i="47" s="1"/>
  <c r="BF293" i="47"/>
  <c r="BE293" i="47"/>
  <c r="BB293" i="47"/>
  <c r="BA293" i="47"/>
  <c r="AY293" i="47"/>
  <c r="AW293" i="47"/>
  <c r="AU293" i="47"/>
  <c r="AS293" i="47"/>
  <c r="AI293" i="47"/>
  <c r="AB293" i="47"/>
  <c r="Z293" i="47"/>
  <c r="AA293" i="47" s="1"/>
  <c r="R293" i="47"/>
  <c r="N293" i="47"/>
  <c r="O293" i="47" s="1"/>
  <c r="AV293" i="47" s="1"/>
  <c r="J293" i="47"/>
  <c r="G293" i="47"/>
  <c r="F293" i="47"/>
  <c r="AR293" i="47" s="1" a="1"/>
  <c r="AR293" i="47" s="1"/>
  <c r="BF292" i="47"/>
  <c r="BE292" i="47"/>
  <c r="BB292" i="47"/>
  <c r="BA292" i="47"/>
  <c r="AY292" i="47"/>
  <c r="AW292" i="47"/>
  <c r="AU292" i="47"/>
  <c r="AS292" i="47"/>
  <c r="AI292" i="47"/>
  <c r="AB292" i="47"/>
  <c r="Z292" i="47"/>
  <c r="AA292" i="47" s="1"/>
  <c r="R292" i="47"/>
  <c r="N292" i="47"/>
  <c r="O292" i="47" s="1"/>
  <c r="J292" i="47"/>
  <c r="G292" i="47"/>
  <c r="F292" i="47"/>
  <c r="AR292" i="47" s="1" a="1"/>
  <c r="AR292" i="47" s="1"/>
  <c r="BF291" i="47"/>
  <c r="BE291" i="47"/>
  <c r="BB291" i="47"/>
  <c r="BA291" i="47"/>
  <c r="AY291" i="47"/>
  <c r="AW291" i="47"/>
  <c r="AU291" i="47"/>
  <c r="AS291" i="47"/>
  <c r="AI291" i="47"/>
  <c r="AB291" i="47"/>
  <c r="Z291" i="47"/>
  <c r="AA291" i="47" s="1"/>
  <c r="R291" i="47"/>
  <c r="N291" i="47"/>
  <c r="O291" i="47" s="1"/>
  <c r="J291" i="47"/>
  <c r="G291" i="47"/>
  <c r="F291" i="47"/>
  <c r="AR291" i="47" s="1" a="1"/>
  <c r="AR291" i="47" s="1"/>
  <c r="BF290" i="47"/>
  <c r="BE290" i="47"/>
  <c r="BB290" i="47"/>
  <c r="BA290" i="47"/>
  <c r="AY290" i="47"/>
  <c r="AW290" i="47"/>
  <c r="AU290" i="47"/>
  <c r="AS290" i="47"/>
  <c r="AI290" i="47"/>
  <c r="AB290" i="47"/>
  <c r="Z290" i="47"/>
  <c r="AA290" i="47" s="1"/>
  <c r="R290" i="47"/>
  <c r="N290" i="47"/>
  <c r="O290" i="47" s="1"/>
  <c r="J290" i="47"/>
  <c r="G290" i="47"/>
  <c r="F290" i="47"/>
  <c r="AR290" i="47" s="1" a="1"/>
  <c r="AR290" i="47" s="1"/>
  <c r="BF289" i="47"/>
  <c r="BE289" i="47"/>
  <c r="BB289" i="47"/>
  <c r="BA289" i="47"/>
  <c r="AY289" i="47"/>
  <c r="AW289" i="47"/>
  <c r="AU289" i="47"/>
  <c r="AS289" i="47"/>
  <c r="AI289" i="47"/>
  <c r="AB289" i="47"/>
  <c r="Z289" i="47"/>
  <c r="AA289" i="47" s="1"/>
  <c r="R289" i="47"/>
  <c r="N289" i="47"/>
  <c r="O289" i="47" s="1"/>
  <c r="AV289" i="47" s="1"/>
  <c r="J289" i="47"/>
  <c r="G289" i="47"/>
  <c r="F289" i="47"/>
  <c r="AR289" i="47" s="1" a="1"/>
  <c r="AR289" i="47" s="1"/>
  <c r="BF288" i="47"/>
  <c r="BE288" i="47"/>
  <c r="BB288" i="47"/>
  <c r="BA288" i="47"/>
  <c r="AY288" i="47"/>
  <c r="AW288" i="47"/>
  <c r="AU288" i="47"/>
  <c r="AS288" i="47"/>
  <c r="AI288" i="47"/>
  <c r="AB288" i="47"/>
  <c r="Z288" i="47"/>
  <c r="AA288" i="47" s="1"/>
  <c r="R288" i="47"/>
  <c r="N288" i="47"/>
  <c r="O288" i="47" s="1"/>
  <c r="AV288" i="47" s="1"/>
  <c r="J288" i="47"/>
  <c r="G288" i="47"/>
  <c r="F288" i="47"/>
  <c r="AR288" i="47" s="1" a="1"/>
  <c r="AR288" i="47" s="1"/>
  <c r="BF287" i="47"/>
  <c r="BE287" i="47"/>
  <c r="BB287" i="47"/>
  <c r="BA287" i="47"/>
  <c r="AY287" i="47"/>
  <c r="AW287" i="47"/>
  <c r="AU287" i="47"/>
  <c r="AS287" i="47"/>
  <c r="AI287" i="47"/>
  <c r="AB287" i="47"/>
  <c r="Z287" i="47"/>
  <c r="AA287" i="47" s="1"/>
  <c r="R287" i="47"/>
  <c r="N287" i="47"/>
  <c r="O287" i="47" s="1"/>
  <c r="J287" i="47"/>
  <c r="G287" i="47"/>
  <c r="F287" i="47"/>
  <c r="AR287" i="47" s="1" a="1"/>
  <c r="AR287" i="47" s="1"/>
  <c r="BF286" i="47"/>
  <c r="BE286" i="47"/>
  <c r="BB286" i="47"/>
  <c r="BA286" i="47"/>
  <c r="AY286" i="47"/>
  <c r="AW286" i="47"/>
  <c r="AU286" i="47"/>
  <c r="AS286" i="47"/>
  <c r="AI286" i="47"/>
  <c r="AB286" i="47"/>
  <c r="Z286" i="47"/>
  <c r="AA286" i="47" s="1"/>
  <c r="R286" i="47"/>
  <c r="N286" i="47"/>
  <c r="O286" i="47" s="1"/>
  <c r="J286" i="47"/>
  <c r="G286" i="47"/>
  <c r="F286" i="47"/>
  <c r="AR286" i="47" s="1" a="1"/>
  <c r="AR286" i="47" s="1"/>
  <c r="BF285" i="47"/>
  <c r="BE285" i="47"/>
  <c r="BB285" i="47"/>
  <c r="BA285" i="47"/>
  <c r="AY285" i="47"/>
  <c r="AW285" i="47"/>
  <c r="AU285" i="47"/>
  <c r="AS285" i="47"/>
  <c r="AI285" i="47"/>
  <c r="AB285" i="47"/>
  <c r="Z285" i="47"/>
  <c r="AA285" i="47" s="1"/>
  <c r="R285" i="47"/>
  <c r="N285" i="47"/>
  <c r="O285" i="47" s="1"/>
  <c r="AV285" i="47" s="1"/>
  <c r="J285" i="47"/>
  <c r="G285" i="47"/>
  <c r="F285" i="47"/>
  <c r="AR285" i="47" s="1" a="1"/>
  <c r="AR285" i="47" s="1"/>
  <c r="BF284" i="47"/>
  <c r="BE284" i="47"/>
  <c r="BB284" i="47"/>
  <c r="BA284" i="47"/>
  <c r="AY284" i="47"/>
  <c r="AW284" i="47"/>
  <c r="AU284" i="47"/>
  <c r="AS284" i="47"/>
  <c r="AI284" i="47"/>
  <c r="AB284" i="47"/>
  <c r="Z284" i="47"/>
  <c r="AA284" i="47" s="1"/>
  <c r="R284" i="47"/>
  <c r="N284" i="47"/>
  <c r="O284" i="47" s="1"/>
  <c r="J284" i="47"/>
  <c r="G284" i="47"/>
  <c r="F284" i="47"/>
  <c r="AR284" i="47" s="1" a="1"/>
  <c r="AR284" i="47" s="1"/>
  <c r="BF283" i="47"/>
  <c r="BE283" i="47"/>
  <c r="BB283" i="47"/>
  <c r="BA283" i="47"/>
  <c r="AY283" i="47"/>
  <c r="AW283" i="47"/>
  <c r="AU283" i="47"/>
  <c r="AS283" i="47"/>
  <c r="AI283" i="47"/>
  <c r="AB283" i="47"/>
  <c r="Z283" i="47"/>
  <c r="AA283" i="47" s="1"/>
  <c r="R283" i="47"/>
  <c r="N283" i="47"/>
  <c r="O283" i="47" s="1"/>
  <c r="J283" i="47"/>
  <c r="G283" i="47"/>
  <c r="K283" i="47" s="1"/>
  <c r="L283" i="47" s="1"/>
  <c r="F283" i="47"/>
  <c r="AR283" i="47" s="1" a="1"/>
  <c r="AR283" i="47" s="1"/>
  <c r="BF282" i="47"/>
  <c r="BE282" i="47"/>
  <c r="BB282" i="47"/>
  <c r="BA282" i="47"/>
  <c r="AY282" i="47"/>
  <c r="AW282" i="47"/>
  <c r="AU282" i="47"/>
  <c r="AS282" i="47"/>
  <c r="AI282" i="47"/>
  <c r="AB282" i="47"/>
  <c r="Z282" i="47"/>
  <c r="AA282" i="47" s="1"/>
  <c r="R282" i="47"/>
  <c r="N282" i="47"/>
  <c r="O282" i="47" s="1"/>
  <c r="J282" i="47"/>
  <c r="G282" i="47"/>
  <c r="F282" i="47"/>
  <c r="AR282" i="47" s="1" a="1"/>
  <c r="AR282" i="47" s="1"/>
  <c r="BF281" i="47"/>
  <c r="BE281" i="47"/>
  <c r="BB281" i="47"/>
  <c r="BA281" i="47"/>
  <c r="AY281" i="47"/>
  <c r="AW281" i="47"/>
  <c r="AU281" i="47"/>
  <c r="AS281" i="47"/>
  <c r="AI281" i="47"/>
  <c r="AB281" i="47"/>
  <c r="Z281" i="47"/>
  <c r="AA281" i="47" s="1"/>
  <c r="R281" i="47"/>
  <c r="N281" i="47"/>
  <c r="O281" i="47" s="1"/>
  <c r="AV281" i="47" s="1"/>
  <c r="J281" i="47"/>
  <c r="G281" i="47"/>
  <c r="F281" i="47"/>
  <c r="AR281" i="47" s="1" a="1"/>
  <c r="AR281" i="47" s="1"/>
  <c r="BF280" i="47"/>
  <c r="BE280" i="47"/>
  <c r="BB280" i="47"/>
  <c r="BA280" i="47"/>
  <c r="AY280" i="47"/>
  <c r="AW280" i="47"/>
  <c r="AU280" i="47"/>
  <c r="AS280" i="47"/>
  <c r="AI280" i="47"/>
  <c r="AB280" i="47"/>
  <c r="Z280" i="47"/>
  <c r="AA280" i="47" s="1"/>
  <c r="R280" i="47"/>
  <c r="N280" i="47"/>
  <c r="O280" i="47" s="1"/>
  <c r="J280" i="47"/>
  <c r="G280" i="47"/>
  <c r="F280" i="47"/>
  <c r="AR280" i="47" s="1" a="1"/>
  <c r="AR280" i="47" s="1"/>
  <c r="BF279" i="47"/>
  <c r="BE279" i="47"/>
  <c r="BB279" i="47"/>
  <c r="BA279" i="47"/>
  <c r="AY279" i="47"/>
  <c r="AW279" i="47"/>
  <c r="AU279" i="47"/>
  <c r="AS279" i="47"/>
  <c r="AI279" i="47"/>
  <c r="AB279" i="47"/>
  <c r="Z279" i="47"/>
  <c r="AA279" i="47" s="1"/>
  <c r="R279" i="47"/>
  <c r="N279" i="47"/>
  <c r="O279" i="47" s="1"/>
  <c r="J279" i="47"/>
  <c r="G279" i="47"/>
  <c r="F279" i="47"/>
  <c r="AR279" i="47" s="1" a="1"/>
  <c r="AR279" i="47" s="1"/>
  <c r="BF278" i="47"/>
  <c r="BE278" i="47"/>
  <c r="BB278" i="47"/>
  <c r="BA278" i="47"/>
  <c r="AY278" i="47"/>
  <c r="AW278" i="47"/>
  <c r="AU278" i="47"/>
  <c r="AS278" i="47"/>
  <c r="AI278" i="47"/>
  <c r="AB278" i="47"/>
  <c r="Z278" i="47"/>
  <c r="AA278" i="47" s="1"/>
  <c r="R278" i="47"/>
  <c r="N278" i="47"/>
  <c r="O278" i="47" s="1"/>
  <c r="J278" i="47"/>
  <c r="G278" i="47"/>
  <c r="F278" i="47"/>
  <c r="AR278" i="47" s="1" a="1"/>
  <c r="AR278" i="47" s="1"/>
  <c r="BF277" i="47"/>
  <c r="BE277" i="47"/>
  <c r="BB277" i="47"/>
  <c r="BA277" i="47"/>
  <c r="AY277" i="47"/>
  <c r="AW277" i="47"/>
  <c r="AU277" i="47"/>
  <c r="AS277" i="47"/>
  <c r="AI277" i="47"/>
  <c r="AB277" i="47"/>
  <c r="Z277" i="47"/>
  <c r="AA277" i="47" s="1"/>
  <c r="R277" i="47"/>
  <c r="N277" i="47"/>
  <c r="O277" i="47" s="1"/>
  <c r="AV277" i="47" s="1"/>
  <c r="J277" i="47"/>
  <c r="G277" i="47"/>
  <c r="F277" i="47"/>
  <c r="AR277" i="47" s="1" a="1"/>
  <c r="AR277" i="47" s="1"/>
  <c r="BF276" i="47"/>
  <c r="BE276" i="47"/>
  <c r="BB276" i="47"/>
  <c r="BA276" i="47"/>
  <c r="AY276" i="47"/>
  <c r="AW276" i="47"/>
  <c r="AU276" i="47"/>
  <c r="AS276" i="47"/>
  <c r="AI276" i="47"/>
  <c r="AB276" i="47"/>
  <c r="Z276" i="47"/>
  <c r="AA276" i="47" s="1"/>
  <c r="R276" i="47"/>
  <c r="N276" i="47"/>
  <c r="O276" i="47" s="1"/>
  <c r="J276" i="47"/>
  <c r="G276" i="47"/>
  <c r="F276" i="47"/>
  <c r="AR276" i="47" s="1" a="1"/>
  <c r="AR276" i="47" s="1"/>
  <c r="BF275" i="47"/>
  <c r="BE275" i="47"/>
  <c r="BB275" i="47"/>
  <c r="BA275" i="47"/>
  <c r="AY275" i="47"/>
  <c r="AW275" i="47"/>
  <c r="AU275" i="47"/>
  <c r="AS275" i="47"/>
  <c r="AI275" i="47"/>
  <c r="AB275" i="47"/>
  <c r="Z275" i="47"/>
  <c r="AA275" i="47" s="1"/>
  <c r="R275" i="47"/>
  <c r="N275" i="47"/>
  <c r="O275" i="47" s="1"/>
  <c r="AV275" i="47" s="1"/>
  <c r="J275" i="47"/>
  <c r="G275" i="47"/>
  <c r="F275" i="47"/>
  <c r="AR275" i="47" s="1" a="1"/>
  <c r="AR275" i="47" s="1"/>
  <c r="BF274" i="47"/>
  <c r="BE274" i="47"/>
  <c r="BB274" i="47"/>
  <c r="BA274" i="47"/>
  <c r="AY274" i="47"/>
  <c r="AW274" i="47"/>
  <c r="AU274" i="47"/>
  <c r="AS274" i="47"/>
  <c r="AI274" i="47"/>
  <c r="AB274" i="47"/>
  <c r="Z274" i="47"/>
  <c r="AA274" i="47" s="1"/>
  <c r="R274" i="47"/>
  <c r="N274" i="47"/>
  <c r="O274" i="47" s="1"/>
  <c r="AV274" i="47" s="1"/>
  <c r="J274" i="47"/>
  <c r="G274" i="47"/>
  <c r="F274" i="47"/>
  <c r="AR274" i="47" s="1" a="1"/>
  <c r="AR274" i="47" s="1"/>
  <c r="BF273" i="47"/>
  <c r="BE273" i="47"/>
  <c r="BB273" i="47"/>
  <c r="BA273" i="47"/>
  <c r="AY273" i="47"/>
  <c r="AW273" i="47"/>
  <c r="AU273" i="47"/>
  <c r="AS273" i="47"/>
  <c r="AI273" i="47"/>
  <c r="AB273" i="47"/>
  <c r="Z273" i="47"/>
  <c r="AA273" i="47" s="1"/>
  <c r="R273" i="47"/>
  <c r="N273" i="47"/>
  <c r="O273" i="47" s="1"/>
  <c r="P273" i="47" s="1"/>
  <c r="J273" i="47"/>
  <c r="G273" i="47"/>
  <c r="S273" i="47" s="1"/>
  <c r="F273" i="47"/>
  <c r="AR273" i="47" s="1" a="1"/>
  <c r="AR273" i="47" s="1"/>
  <c r="BF272" i="47"/>
  <c r="BE272" i="47"/>
  <c r="BB272" i="47"/>
  <c r="BA272" i="47"/>
  <c r="AY272" i="47"/>
  <c r="AW272" i="47"/>
  <c r="AU272" i="47"/>
  <c r="AS272" i="47"/>
  <c r="AI272" i="47"/>
  <c r="AB272" i="47"/>
  <c r="Z272" i="47"/>
  <c r="AA272" i="47" s="1"/>
  <c r="R272" i="47"/>
  <c r="N272" i="47"/>
  <c r="O272" i="47" s="1"/>
  <c r="J272" i="47"/>
  <c r="G272" i="47"/>
  <c r="F272" i="47"/>
  <c r="AR272" i="47" s="1" a="1"/>
  <c r="AR272" i="47" s="1"/>
  <c r="BF271" i="47"/>
  <c r="BE271" i="47"/>
  <c r="BB271" i="47"/>
  <c r="BA271" i="47"/>
  <c r="AY271" i="47"/>
  <c r="AW271" i="47"/>
  <c r="AU271" i="47"/>
  <c r="AS271" i="47"/>
  <c r="AI271" i="47"/>
  <c r="AB271" i="47"/>
  <c r="Z271" i="47"/>
  <c r="AA271" i="47" s="1"/>
  <c r="R271" i="47"/>
  <c r="N271" i="47"/>
  <c r="O271" i="47" s="1"/>
  <c r="J271" i="47"/>
  <c r="G271" i="47"/>
  <c r="F271" i="47"/>
  <c r="AR271" i="47" s="1" a="1"/>
  <c r="AR271" i="47" s="1"/>
  <c r="BF270" i="47"/>
  <c r="BE270" i="47"/>
  <c r="BB270" i="47"/>
  <c r="BA270" i="47"/>
  <c r="AY270" i="47"/>
  <c r="AW270" i="47"/>
  <c r="AU270" i="47"/>
  <c r="AS270" i="47"/>
  <c r="AI270" i="47"/>
  <c r="AB270" i="47"/>
  <c r="Z270" i="47"/>
  <c r="AA270" i="47" s="1"/>
  <c r="R270" i="47"/>
  <c r="N270" i="47"/>
  <c r="O270" i="47" s="1"/>
  <c r="AV270" i="47" s="1"/>
  <c r="J270" i="47"/>
  <c r="G270" i="47"/>
  <c r="F270" i="47"/>
  <c r="AR270" i="47" s="1" a="1"/>
  <c r="AR270" i="47" s="1"/>
  <c r="BF269" i="47"/>
  <c r="BE269" i="47"/>
  <c r="BB269" i="47"/>
  <c r="BA269" i="47"/>
  <c r="AY269" i="47"/>
  <c r="AW269" i="47"/>
  <c r="AU269" i="47"/>
  <c r="AS269" i="47"/>
  <c r="AI269" i="47"/>
  <c r="AB269" i="47"/>
  <c r="Z269" i="47"/>
  <c r="AA269" i="47" s="1"/>
  <c r="R269" i="47"/>
  <c r="N269" i="47"/>
  <c r="O269" i="47" s="1"/>
  <c r="P269" i="47" s="1"/>
  <c r="J269" i="47"/>
  <c r="G269" i="47"/>
  <c r="F269" i="47"/>
  <c r="AR269" i="47" s="1" a="1"/>
  <c r="AR269" i="47" s="1"/>
  <c r="BF268" i="47"/>
  <c r="BE268" i="47"/>
  <c r="BB268" i="47"/>
  <c r="BA268" i="47"/>
  <c r="AY268" i="47"/>
  <c r="AW268" i="47"/>
  <c r="AU268" i="47"/>
  <c r="AS268" i="47"/>
  <c r="AI268" i="47"/>
  <c r="AB268" i="47"/>
  <c r="Z268" i="47"/>
  <c r="AA268" i="47" s="1"/>
  <c r="R268" i="47"/>
  <c r="N268" i="47"/>
  <c r="O268" i="47" s="1"/>
  <c r="J268" i="47"/>
  <c r="G268" i="47"/>
  <c r="F268" i="47"/>
  <c r="AR268" i="47" s="1" a="1"/>
  <c r="AR268" i="47" s="1"/>
  <c r="BF267" i="47"/>
  <c r="BE267" i="47"/>
  <c r="BB267" i="47"/>
  <c r="BA267" i="47"/>
  <c r="AY267" i="47"/>
  <c r="AW267" i="47"/>
  <c r="AU267" i="47"/>
  <c r="AS267" i="47"/>
  <c r="AI267" i="47"/>
  <c r="AB267" i="47"/>
  <c r="Z267" i="47"/>
  <c r="AA267" i="47" s="1"/>
  <c r="R267" i="47"/>
  <c r="N267" i="47"/>
  <c r="O267" i="47" s="1"/>
  <c r="J267" i="47"/>
  <c r="G267" i="47"/>
  <c r="F267" i="47"/>
  <c r="AR267" i="47" s="1" a="1"/>
  <c r="AR267" i="47" s="1"/>
  <c r="BF266" i="47"/>
  <c r="BE266" i="47"/>
  <c r="BB266" i="47"/>
  <c r="BA266" i="47"/>
  <c r="AY266" i="47"/>
  <c r="AW266" i="47"/>
  <c r="AU266" i="47"/>
  <c r="AS266" i="47"/>
  <c r="AI266" i="47"/>
  <c r="AB266" i="47"/>
  <c r="Z266" i="47"/>
  <c r="AA266" i="47" s="1"/>
  <c r="R266" i="47"/>
  <c r="N266" i="47"/>
  <c r="O266" i="47" s="1"/>
  <c r="AV266" i="47" s="1"/>
  <c r="J266" i="47"/>
  <c r="G266" i="47"/>
  <c r="F266" i="47"/>
  <c r="AR266" i="47" s="1" a="1"/>
  <c r="AR266" i="47" s="1"/>
  <c r="BF265" i="47"/>
  <c r="BE265" i="47"/>
  <c r="BB265" i="47"/>
  <c r="BA265" i="47"/>
  <c r="AY265" i="47"/>
  <c r="AW265" i="47"/>
  <c r="AU265" i="47"/>
  <c r="AS265" i="47"/>
  <c r="AI265" i="47"/>
  <c r="AB265" i="47"/>
  <c r="Z265" i="47"/>
  <c r="AA265" i="47" s="1"/>
  <c r="R265" i="47"/>
  <c r="N265" i="47"/>
  <c r="O265" i="47" s="1"/>
  <c r="P265" i="47" s="1"/>
  <c r="J265" i="47"/>
  <c r="G265" i="47"/>
  <c r="K265" i="47" s="1"/>
  <c r="F265" i="47"/>
  <c r="AR265" i="47" s="1" a="1"/>
  <c r="AR265" i="47" s="1"/>
  <c r="BF264" i="47"/>
  <c r="BE264" i="47"/>
  <c r="BB264" i="47"/>
  <c r="BA264" i="47"/>
  <c r="AY264" i="47"/>
  <c r="AW264" i="47"/>
  <c r="AU264" i="47"/>
  <c r="AS264" i="47"/>
  <c r="AI264" i="47"/>
  <c r="AB264" i="47"/>
  <c r="Z264" i="47"/>
  <c r="AA264" i="47" s="1"/>
  <c r="R264" i="47"/>
  <c r="N264" i="47"/>
  <c r="O264" i="47" s="1"/>
  <c r="J264" i="47"/>
  <c r="G264" i="47"/>
  <c r="F264" i="47"/>
  <c r="AR264" i="47" s="1" a="1"/>
  <c r="AR264" i="47" s="1"/>
  <c r="BF263" i="47"/>
  <c r="BE263" i="47"/>
  <c r="BB263" i="47"/>
  <c r="BA263" i="47"/>
  <c r="AY263" i="47"/>
  <c r="AW263" i="47"/>
  <c r="AU263" i="47"/>
  <c r="AS263" i="47"/>
  <c r="AI263" i="47"/>
  <c r="AB263" i="47"/>
  <c r="Z263" i="47"/>
  <c r="AA263" i="47" s="1"/>
  <c r="R263" i="47"/>
  <c r="N263" i="47"/>
  <c r="O263" i="47" s="1"/>
  <c r="J263" i="47"/>
  <c r="G263" i="47"/>
  <c r="F263" i="47"/>
  <c r="AR263" i="47" s="1" a="1"/>
  <c r="AR263" i="47" s="1"/>
  <c r="BF262" i="47"/>
  <c r="BE262" i="47"/>
  <c r="BB262" i="47"/>
  <c r="BA262" i="47"/>
  <c r="AY262" i="47"/>
  <c r="AW262" i="47"/>
  <c r="AU262" i="47"/>
  <c r="AS262" i="47"/>
  <c r="AI262" i="47"/>
  <c r="AB262" i="47"/>
  <c r="Z262" i="47"/>
  <c r="AA262" i="47" s="1"/>
  <c r="R262" i="47"/>
  <c r="N262" i="47"/>
  <c r="O262" i="47" s="1"/>
  <c r="AV262" i="47" s="1"/>
  <c r="J262" i="47"/>
  <c r="G262" i="47"/>
  <c r="F262" i="47"/>
  <c r="AR262" i="47" s="1" a="1"/>
  <c r="AR262" i="47" s="1"/>
  <c r="BF261" i="47"/>
  <c r="BE261" i="47"/>
  <c r="BB261" i="47"/>
  <c r="BA261" i="47"/>
  <c r="AY261" i="47"/>
  <c r="AW261" i="47"/>
  <c r="AU261" i="47"/>
  <c r="AS261" i="47"/>
  <c r="AI261" i="47"/>
  <c r="AB261" i="47"/>
  <c r="Z261" i="47"/>
  <c r="AA261" i="47" s="1"/>
  <c r="R261" i="47"/>
  <c r="N261" i="47"/>
  <c r="O261" i="47" s="1"/>
  <c r="P261" i="47" s="1"/>
  <c r="J261" i="47"/>
  <c r="G261" i="47"/>
  <c r="F261" i="47"/>
  <c r="AR261" i="47" s="1" a="1"/>
  <c r="AR261" i="47" s="1"/>
  <c r="BF260" i="47"/>
  <c r="BE260" i="47"/>
  <c r="BB260" i="47"/>
  <c r="BA260" i="47"/>
  <c r="AY260" i="47"/>
  <c r="AW260" i="47"/>
  <c r="AU260" i="47"/>
  <c r="AS260" i="47"/>
  <c r="AI260" i="47"/>
  <c r="AB260" i="47"/>
  <c r="Z260" i="47"/>
  <c r="AA260" i="47" s="1"/>
  <c r="R260" i="47"/>
  <c r="N260" i="47"/>
  <c r="O260" i="47" s="1"/>
  <c r="J260" i="47"/>
  <c r="G260" i="47"/>
  <c r="F260" i="47"/>
  <c r="AR260" i="47" s="1" a="1"/>
  <c r="AR260" i="47" s="1"/>
  <c r="BF259" i="47"/>
  <c r="BE259" i="47"/>
  <c r="BB259" i="47"/>
  <c r="BA259" i="47"/>
  <c r="AY259" i="47"/>
  <c r="AW259" i="47"/>
  <c r="AU259" i="47"/>
  <c r="AS259" i="47"/>
  <c r="AI259" i="47"/>
  <c r="AB259" i="47"/>
  <c r="Z259" i="47"/>
  <c r="AA259" i="47" s="1"/>
  <c r="R259" i="47"/>
  <c r="N259" i="47"/>
  <c r="O259" i="47" s="1"/>
  <c r="J259" i="47"/>
  <c r="G259" i="47"/>
  <c r="F259" i="47"/>
  <c r="AR259" i="47" s="1" a="1"/>
  <c r="AR259" i="47" s="1"/>
  <c r="BF258" i="47"/>
  <c r="BE258" i="47"/>
  <c r="BB258" i="47"/>
  <c r="BA258" i="47"/>
  <c r="AY258" i="47"/>
  <c r="AW258" i="47"/>
  <c r="AU258" i="47"/>
  <c r="AS258" i="47"/>
  <c r="AI258" i="47"/>
  <c r="AB258" i="47"/>
  <c r="Z258" i="47"/>
  <c r="AA258" i="47" s="1"/>
  <c r="R258" i="47"/>
  <c r="O258" i="47"/>
  <c r="AV258" i="47" s="1"/>
  <c r="N258" i="47"/>
  <c r="J258" i="47"/>
  <c r="G258" i="47"/>
  <c r="F258" i="47"/>
  <c r="AR258" i="47" s="1" a="1"/>
  <c r="AR258" i="47" s="1"/>
  <c r="BF257" i="47"/>
  <c r="BE257" i="47"/>
  <c r="BB257" i="47"/>
  <c r="BA257" i="47"/>
  <c r="AY257" i="47"/>
  <c r="AW257" i="47"/>
  <c r="AU257" i="47"/>
  <c r="AS257" i="47"/>
  <c r="AI257" i="47"/>
  <c r="AB257" i="47"/>
  <c r="Z257" i="47"/>
  <c r="AA257" i="47" s="1"/>
  <c r="R257" i="47"/>
  <c r="N257" i="47"/>
  <c r="O257" i="47" s="1"/>
  <c r="J257" i="47"/>
  <c r="G257" i="47"/>
  <c r="F257" i="47"/>
  <c r="AR257" i="47" s="1" a="1"/>
  <c r="AR257" i="47" s="1"/>
  <c r="BF256" i="47"/>
  <c r="BE256" i="47"/>
  <c r="BB256" i="47"/>
  <c r="BA256" i="47"/>
  <c r="AY256" i="47"/>
  <c r="AW256" i="47"/>
  <c r="AU256" i="47"/>
  <c r="AS256" i="47"/>
  <c r="AI256" i="47"/>
  <c r="AB256" i="47"/>
  <c r="Z256" i="47"/>
  <c r="AA256" i="47" s="1"/>
  <c r="R256" i="47"/>
  <c r="N256" i="47"/>
  <c r="O256" i="47" s="1"/>
  <c r="J256" i="47"/>
  <c r="G256" i="47"/>
  <c r="F256" i="47"/>
  <c r="AR256" i="47" s="1" a="1"/>
  <c r="AR256" i="47" s="1"/>
  <c r="BF255" i="47"/>
  <c r="BE255" i="47"/>
  <c r="BB255" i="47"/>
  <c r="BA255" i="47"/>
  <c r="AY255" i="47"/>
  <c r="AW255" i="47"/>
  <c r="AU255" i="47"/>
  <c r="AS255" i="47"/>
  <c r="AI255" i="47"/>
  <c r="AB255" i="47"/>
  <c r="Z255" i="47"/>
  <c r="AA255" i="47" s="1"/>
  <c r="R255" i="47"/>
  <c r="N255" i="47"/>
  <c r="O255" i="47" s="1"/>
  <c r="J255" i="47"/>
  <c r="G255" i="47"/>
  <c r="F255" i="47"/>
  <c r="AR255" i="47" s="1" a="1"/>
  <c r="AR255" i="47" s="1"/>
  <c r="BF254" i="47"/>
  <c r="BE254" i="47"/>
  <c r="BB254" i="47"/>
  <c r="BA254" i="47"/>
  <c r="AY254" i="47"/>
  <c r="AW254" i="47"/>
  <c r="AU254" i="47"/>
  <c r="AS254" i="47"/>
  <c r="AI254" i="47"/>
  <c r="AB254" i="47"/>
  <c r="Z254" i="47"/>
  <c r="AA254" i="47" s="1"/>
  <c r="R254" i="47"/>
  <c r="N254" i="47"/>
  <c r="O254" i="47" s="1"/>
  <c r="AV254" i="47" s="1"/>
  <c r="J254" i="47"/>
  <c r="G254" i="47"/>
  <c r="F254" i="47"/>
  <c r="AR254" i="47" s="1" a="1"/>
  <c r="AR254" i="47" s="1"/>
  <c r="BF253" i="47"/>
  <c r="BE253" i="47"/>
  <c r="BB253" i="47"/>
  <c r="BA253" i="47"/>
  <c r="AY253" i="47"/>
  <c r="AW253" i="47"/>
  <c r="AU253" i="47"/>
  <c r="AS253" i="47"/>
  <c r="AI253" i="47"/>
  <c r="AB253" i="47"/>
  <c r="Z253" i="47"/>
  <c r="AA253" i="47" s="1"/>
  <c r="R253" i="47"/>
  <c r="N253" i="47"/>
  <c r="O253" i="47" s="1"/>
  <c r="P253" i="47" s="1"/>
  <c r="J253" i="47"/>
  <c r="G253" i="47"/>
  <c r="F253" i="47"/>
  <c r="AR253" i="47" s="1" a="1"/>
  <c r="AR253" i="47" s="1"/>
  <c r="BF252" i="47"/>
  <c r="BE252" i="47"/>
  <c r="BB252" i="47"/>
  <c r="BA252" i="47"/>
  <c r="AY252" i="47"/>
  <c r="AW252" i="47"/>
  <c r="AU252" i="47"/>
  <c r="AS252" i="47"/>
  <c r="AI252" i="47"/>
  <c r="AB252" i="47"/>
  <c r="Z252" i="47"/>
  <c r="AA252" i="47" s="1"/>
  <c r="R252" i="47"/>
  <c r="N252" i="47"/>
  <c r="O252" i="47" s="1"/>
  <c r="J252" i="47"/>
  <c r="G252" i="47"/>
  <c r="F252" i="47"/>
  <c r="AR252" i="47" s="1" a="1"/>
  <c r="AR252" i="47" s="1"/>
  <c r="BF251" i="47"/>
  <c r="BE251" i="47"/>
  <c r="BB251" i="47"/>
  <c r="BA251" i="47"/>
  <c r="AY251" i="47"/>
  <c r="AW251" i="47"/>
  <c r="AU251" i="47"/>
  <c r="AS251" i="47"/>
  <c r="AI251" i="47"/>
  <c r="AB251" i="47"/>
  <c r="Z251" i="47"/>
  <c r="AA251" i="47" s="1"/>
  <c r="R251" i="47"/>
  <c r="N251" i="47"/>
  <c r="O251" i="47" s="1"/>
  <c r="J251" i="47"/>
  <c r="G251" i="47"/>
  <c r="F251" i="47"/>
  <c r="AR251" i="47" s="1" a="1"/>
  <c r="AR251" i="47" s="1"/>
  <c r="BF300" i="46"/>
  <c r="BE300" i="46"/>
  <c r="BB300" i="46"/>
  <c r="BA300" i="46"/>
  <c r="AY300" i="46"/>
  <c r="AW300" i="46"/>
  <c r="AU300" i="46"/>
  <c r="AS300" i="46"/>
  <c r="AI300" i="46"/>
  <c r="AB300" i="46"/>
  <c r="Z300" i="46"/>
  <c r="AA300" i="46" s="1"/>
  <c r="R300" i="46"/>
  <c r="N300" i="46"/>
  <c r="O300" i="46" s="1"/>
  <c r="J300" i="46"/>
  <c r="G300" i="46"/>
  <c r="F300" i="46"/>
  <c r="AR300" i="46" s="1" a="1"/>
  <c r="AR300" i="46" s="1"/>
  <c r="BF299" i="46"/>
  <c r="BE299" i="46"/>
  <c r="BB299" i="46"/>
  <c r="BA299" i="46"/>
  <c r="AY299" i="46"/>
  <c r="AW299" i="46"/>
  <c r="AU299" i="46"/>
  <c r="AS299" i="46"/>
  <c r="AI299" i="46"/>
  <c r="AB299" i="46"/>
  <c r="Z299" i="46"/>
  <c r="AA299" i="46" s="1"/>
  <c r="R299" i="46"/>
  <c r="N299" i="46"/>
  <c r="O299" i="46" s="1"/>
  <c r="J299" i="46"/>
  <c r="G299" i="46"/>
  <c r="F299" i="46"/>
  <c r="AR299" i="46" s="1" a="1"/>
  <c r="AR299" i="46" s="1"/>
  <c r="BF298" i="46"/>
  <c r="BE298" i="46"/>
  <c r="BB298" i="46"/>
  <c r="BA298" i="46"/>
  <c r="AY298" i="46"/>
  <c r="AW298" i="46"/>
  <c r="AU298" i="46"/>
  <c r="AS298" i="46"/>
  <c r="AI298" i="46"/>
  <c r="AB298" i="46"/>
  <c r="Z298" i="46"/>
  <c r="AA298" i="46" s="1"/>
  <c r="R298" i="46"/>
  <c r="N298" i="46"/>
  <c r="O298" i="46" s="1"/>
  <c r="J298" i="46"/>
  <c r="G298" i="46"/>
  <c r="F298" i="46"/>
  <c r="AR298" i="46" s="1" a="1"/>
  <c r="AR298" i="46" s="1"/>
  <c r="BF297" i="46"/>
  <c r="BE297" i="46"/>
  <c r="BB297" i="46"/>
  <c r="BA297" i="46"/>
  <c r="AY297" i="46"/>
  <c r="AW297" i="46"/>
  <c r="AU297" i="46"/>
  <c r="AS297" i="46"/>
  <c r="AI297" i="46"/>
  <c r="AB297" i="46"/>
  <c r="Z297" i="46"/>
  <c r="AA297" i="46" s="1"/>
  <c r="R297" i="46"/>
  <c r="N297" i="46"/>
  <c r="O297" i="46" s="1"/>
  <c r="J297" i="46"/>
  <c r="G297" i="46"/>
  <c r="F297" i="46"/>
  <c r="AR297" i="46" s="1" a="1"/>
  <c r="AR297" i="46" s="1"/>
  <c r="BF296" i="46"/>
  <c r="BE296" i="46"/>
  <c r="BB296" i="46"/>
  <c r="BA296" i="46"/>
  <c r="AY296" i="46"/>
  <c r="AW296" i="46"/>
  <c r="AU296" i="46"/>
  <c r="AS296" i="46"/>
  <c r="AI296" i="46"/>
  <c r="AB296" i="46"/>
  <c r="Z296" i="46"/>
  <c r="AA296" i="46" s="1"/>
  <c r="R296" i="46"/>
  <c r="N296" i="46"/>
  <c r="O296" i="46" s="1"/>
  <c r="J296" i="46"/>
  <c r="G296" i="46"/>
  <c r="F296" i="46"/>
  <c r="AR296" i="46" s="1" a="1"/>
  <c r="AR296" i="46" s="1"/>
  <c r="BF295" i="46"/>
  <c r="BE295" i="46"/>
  <c r="BB295" i="46"/>
  <c r="BA295" i="46"/>
  <c r="AY295" i="46"/>
  <c r="AW295" i="46"/>
  <c r="AU295" i="46"/>
  <c r="AS295" i="46"/>
  <c r="AR295" i="46" a="1"/>
  <c r="AR295" i="46" s="1"/>
  <c r="AI295" i="46"/>
  <c r="AB295" i="46"/>
  <c r="Z295" i="46"/>
  <c r="AA295" i="46" s="1"/>
  <c r="R295" i="46"/>
  <c r="N295" i="46"/>
  <c r="O295" i="46" s="1"/>
  <c r="J295" i="46"/>
  <c r="G295" i="46"/>
  <c r="S295" i="46" s="1"/>
  <c r="AX295" i="46" s="1"/>
  <c r="F295" i="46"/>
  <c r="BF294" i="46"/>
  <c r="BE294" i="46"/>
  <c r="BB294" i="46"/>
  <c r="BA294" i="46"/>
  <c r="AY294" i="46"/>
  <c r="AW294" i="46"/>
  <c r="AU294" i="46"/>
  <c r="AS294" i="46"/>
  <c r="AI294" i="46"/>
  <c r="AB294" i="46"/>
  <c r="Z294" i="46"/>
  <c r="AA294" i="46" s="1"/>
  <c r="R294" i="46"/>
  <c r="N294" i="46"/>
  <c r="O294" i="46" s="1"/>
  <c r="J294" i="46"/>
  <c r="G294" i="46"/>
  <c r="F294" i="46"/>
  <c r="AR294" i="46" s="1" a="1"/>
  <c r="AR294" i="46" s="1"/>
  <c r="BF293" i="46"/>
  <c r="BE293" i="46"/>
  <c r="BB293" i="46"/>
  <c r="BA293" i="46"/>
  <c r="AY293" i="46"/>
  <c r="AW293" i="46"/>
  <c r="AU293" i="46"/>
  <c r="AS293" i="46"/>
  <c r="AI293" i="46"/>
  <c r="AB293" i="46"/>
  <c r="Z293" i="46"/>
  <c r="AA293" i="46" s="1"/>
  <c r="R293" i="46"/>
  <c r="N293" i="46"/>
  <c r="O293" i="46" s="1"/>
  <c r="J293" i="46"/>
  <c r="G293" i="46"/>
  <c r="F293" i="46"/>
  <c r="AR293" i="46" s="1" a="1"/>
  <c r="AR293" i="46" s="1"/>
  <c r="BF292" i="46"/>
  <c r="BE292" i="46"/>
  <c r="BB292" i="46"/>
  <c r="BA292" i="46"/>
  <c r="AY292" i="46"/>
  <c r="AW292" i="46"/>
  <c r="AU292" i="46"/>
  <c r="AS292" i="46"/>
  <c r="AI292" i="46"/>
  <c r="AB292" i="46"/>
  <c r="Z292" i="46"/>
  <c r="AA292" i="46" s="1"/>
  <c r="R292" i="46"/>
  <c r="N292" i="46"/>
  <c r="O292" i="46" s="1"/>
  <c r="J292" i="46"/>
  <c r="G292" i="46"/>
  <c r="F292" i="46"/>
  <c r="AR292" i="46" s="1" a="1"/>
  <c r="AR292" i="46" s="1"/>
  <c r="BF291" i="46"/>
  <c r="BE291" i="46"/>
  <c r="BB291" i="46"/>
  <c r="BA291" i="46"/>
  <c r="AY291" i="46"/>
  <c r="AW291" i="46"/>
  <c r="AU291" i="46"/>
  <c r="AS291" i="46"/>
  <c r="AI291" i="46"/>
  <c r="AB291" i="46"/>
  <c r="Z291" i="46"/>
  <c r="AA291" i="46" s="1"/>
  <c r="R291" i="46"/>
  <c r="N291" i="46"/>
  <c r="O291" i="46" s="1"/>
  <c r="J291" i="46"/>
  <c r="G291" i="46"/>
  <c r="F291" i="46"/>
  <c r="AR291" i="46" s="1" a="1"/>
  <c r="AR291" i="46" s="1"/>
  <c r="BF290" i="46"/>
  <c r="BE290" i="46"/>
  <c r="BB290" i="46"/>
  <c r="BA290" i="46"/>
  <c r="AY290" i="46"/>
  <c r="AW290" i="46"/>
  <c r="AU290" i="46"/>
  <c r="AS290" i="46"/>
  <c r="AI290" i="46"/>
  <c r="AB290" i="46"/>
  <c r="Z290" i="46"/>
  <c r="AA290" i="46" s="1"/>
  <c r="R290" i="46"/>
  <c r="N290" i="46"/>
  <c r="O290" i="46" s="1"/>
  <c r="P290" i="46" s="1"/>
  <c r="J290" i="46"/>
  <c r="G290" i="46"/>
  <c r="F290" i="46"/>
  <c r="AR290" i="46" s="1" a="1"/>
  <c r="AR290" i="46" s="1"/>
  <c r="BF289" i="46"/>
  <c r="BE289" i="46"/>
  <c r="BB289" i="46"/>
  <c r="BA289" i="46"/>
  <c r="AY289" i="46"/>
  <c r="AW289" i="46"/>
  <c r="AU289" i="46"/>
  <c r="AS289" i="46"/>
  <c r="AI289" i="46"/>
  <c r="AB289" i="46"/>
  <c r="Z289" i="46"/>
  <c r="AA289" i="46" s="1"/>
  <c r="R289" i="46"/>
  <c r="N289" i="46"/>
  <c r="O289" i="46" s="1"/>
  <c r="J289" i="46"/>
  <c r="G289" i="46"/>
  <c r="F289" i="46"/>
  <c r="AR289" i="46" s="1" a="1"/>
  <c r="AR289" i="46" s="1"/>
  <c r="BF288" i="46"/>
  <c r="BE288" i="46"/>
  <c r="BB288" i="46"/>
  <c r="BA288" i="46"/>
  <c r="AY288" i="46"/>
  <c r="AW288" i="46"/>
  <c r="AU288" i="46"/>
  <c r="AS288" i="46"/>
  <c r="AI288" i="46"/>
  <c r="AB288" i="46"/>
  <c r="Z288" i="46"/>
  <c r="AA288" i="46" s="1"/>
  <c r="R288" i="46"/>
  <c r="N288" i="46"/>
  <c r="O288" i="46" s="1"/>
  <c r="J288" i="46"/>
  <c r="G288" i="46"/>
  <c r="F288" i="46"/>
  <c r="AR288" i="46" s="1" a="1"/>
  <c r="AR288" i="46" s="1"/>
  <c r="BF287" i="46"/>
  <c r="BE287" i="46"/>
  <c r="BB287" i="46"/>
  <c r="BA287" i="46"/>
  <c r="AY287" i="46"/>
  <c r="AW287" i="46"/>
  <c r="AU287" i="46"/>
  <c r="AS287" i="46"/>
  <c r="AI287" i="46"/>
  <c r="AB287" i="46"/>
  <c r="Z287" i="46"/>
  <c r="AA287" i="46" s="1"/>
  <c r="R287" i="46"/>
  <c r="N287" i="46"/>
  <c r="O287" i="46" s="1"/>
  <c r="J287" i="46"/>
  <c r="G287" i="46"/>
  <c r="F287" i="46"/>
  <c r="AR287" i="46" s="1" a="1"/>
  <c r="AR287" i="46" s="1"/>
  <c r="BF286" i="46"/>
  <c r="BE286" i="46"/>
  <c r="BB286" i="46"/>
  <c r="BA286" i="46"/>
  <c r="AY286" i="46"/>
  <c r="AW286" i="46"/>
  <c r="AU286" i="46"/>
  <c r="AS286" i="46"/>
  <c r="AI286" i="46"/>
  <c r="AB286" i="46"/>
  <c r="Z286" i="46"/>
  <c r="AA286" i="46" s="1"/>
  <c r="R286" i="46"/>
  <c r="N286" i="46"/>
  <c r="O286" i="46" s="1"/>
  <c r="P286" i="46" s="1"/>
  <c r="J286" i="46"/>
  <c r="G286" i="46"/>
  <c r="F286" i="46"/>
  <c r="AR286" i="46" s="1" a="1"/>
  <c r="AR286" i="46" s="1"/>
  <c r="BF285" i="46"/>
  <c r="BE285" i="46"/>
  <c r="BB285" i="46"/>
  <c r="BA285" i="46"/>
  <c r="AY285" i="46"/>
  <c r="AW285" i="46"/>
  <c r="AU285" i="46"/>
  <c r="AS285" i="46"/>
  <c r="AI285" i="46"/>
  <c r="AB285" i="46"/>
  <c r="Z285" i="46"/>
  <c r="AA285" i="46" s="1"/>
  <c r="R285" i="46"/>
  <c r="N285" i="46"/>
  <c r="O285" i="46" s="1"/>
  <c r="J285" i="46"/>
  <c r="G285" i="46"/>
  <c r="F285" i="46"/>
  <c r="AR285" i="46" s="1" a="1"/>
  <c r="AR285" i="46" s="1"/>
  <c r="BF284" i="46"/>
  <c r="BE284" i="46"/>
  <c r="BB284" i="46"/>
  <c r="BA284" i="46"/>
  <c r="AY284" i="46"/>
  <c r="AW284" i="46"/>
  <c r="AU284" i="46"/>
  <c r="AS284" i="46"/>
  <c r="AI284" i="46"/>
  <c r="AB284" i="46"/>
  <c r="Z284" i="46"/>
  <c r="AA284" i="46" s="1"/>
  <c r="R284" i="46"/>
  <c r="N284" i="46"/>
  <c r="O284" i="46" s="1"/>
  <c r="J284" i="46"/>
  <c r="G284" i="46"/>
  <c r="F284" i="46"/>
  <c r="AR284" i="46" s="1" a="1"/>
  <c r="AR284" i="46" s="1"/>
  <c r="BF283" i="46"/>
  <c r="BE283" i="46"/>
  <c r="BB283" i="46"/>
  <c r="BA283" i="46"/>
  <c r="AY283" i="46"/>
  <c r="AW283" i="46"/>
  <c r="AU283" i="46"/>
  <c r="AS283" i="46"/>
  <c r="AI283" i="46"/>
  <c r="AB283" i="46"/>
  <c r="Z283" i="46"/>
  <c r="AA283" i="46" s="1"/>
  <c r="R283" i="46"/>
  <c r="N283" i="46"/>
  <c r="O283" i="46" s="1"/>
  <c r="J283" i="46"/>
  <c r="G283" i="46"/>
  <c r="F283" i="46"/>
  <c r="AR283" i="46" s="1" a="1"/>
  <c r="AR283" i="46" s="1"/>
  <c r="BF282" i="46"/>
  <c r="BE282" i="46"/>
  <c r="BB282" i="46"/>
  <c r="BA282" i="46"/>
  <c r="AY282" i="46"/>
  <c r="AW282" i="46"/>
  <c r="AU282" i="46"/>
  <c r="AS282" i="46"/>
  <c r="AI282" i="46"/>
  <c r="AB282" i="46"/>
  <c r="Z282" i="46"/>
  <c r="AA282" i="46" s="1"/>
  <c r="R282" i="46"/>
  <c r="N282" i="46"/>
  <c r="O282" i="46" s="1"/>
  <c r="P282" i="46" s="1"/>
  <c r="J282" i="46"/>
  <c r="G282" i="46"/>
  <c r="F282" i="46"/>
  <c r="AR282" i="46" s="1" a="1"/>
  <c r="AR282" i="46" s="1"/>
  <c r="BF281" i="46"/>
  <c r="BE281" i="46"/>
  <c r="BB281" i="46"/>
  <c r="BA281" i="46"/>
  <c r="AY281" i="46"/>
  <c r="AW281" i="46"/>
  <c r="AU281" i="46"/>
  <c r="AS281" i="46"/>
  <c r="AI281" i="46"/>
  <c r="AB281" i="46"/>
  <c r="Z281" i="46"/>
  <c r="AA281" i="46" s="1"/>
  <c r="R281" i="46"/>
  <c r="N281" i="46"/>
  <c r="O281" i="46" s="1"/>
  <c r="J281" i="46"/>
  <c r="G281" i="46"/>
  <c r="F281" i="46"/>
  <c r="AR281" i="46" s="1" a="1"/>
  <c r="AR281" i="46" s="1"/>
  <c r="BF280" i="46"/>
  <c r="BE280" i="46"/>
  <c r="BB280" i="46"/>
  <c r="BA280" i="46"/>
  <c r="AY280" i="46"/>
  <c r="AW280" i="46"/>
  <c r="AU280" i="46"/>
  <c r="AS280" i="46"/>
  <c r="AI280" i="46"/>
  <c r="AB280" i="46"/>
  <c r="Z280" i="46"/>
  <c r="AA280" i="46" s="1"/>
  <c r="R280" i="46"/>
  <c r="N280" i="46"/>
  <c r="O280" i="46" s="1"/>
  <c r="J280" i="46"/>
  <c r="G280" i="46"/>
  <c r="F280" i="46"/>
  <c r="AR280" i="46" s="1" a="1"/>
  <c r="AR280" i="46" s="1"/>
  <c r="BF279" i="46"/>
  <c r="BE279" i="46"/>
  <c r="BB279" i="46"/>
  <c r="BA279" i="46"/>
  <c r="AY279" i="46"/>
  <c r="AW279" i="46"/>
  <c r="AU279" i="46"/>
  <c r="AS279" i="46"/>
  <c r="AI279" i="46"/>
  <c r="AB279" i="46"/>
  <c r="Z279" i="46"/>
  <c r="AA279" i="46" s="1"/>
  <c r="R279" i="46"/>
  <c r="N279" i="46"/>
  <c r="O279" i="46" s="1"/>
  <c r="J279" i="46"/>
  <c r="G279" i="46"/>
  <c r="S279" i="46" s="1"/>
  <c r="F279" i="46"/>
  <c r="AR279" i="46" s="1" a="1"/>
  <c r="AR279" i="46" s="1"/>
  <c r="BF278" i="46"/>
  <c r="BE278" i="46"/>
  <c r="BB278" i="46"/>
  <c r="BA278" i="46"/>
  <c r="AY278" i="46"/>
  <c r="AW278" i="46"/>
  <c r="AU278" i="46"/>
  <c r="AS278" i="46"/>
  <c r="AI278" i="46"/>
  <c r="AB278" i="46"/>
  <c r="Z278" i="46"/>
  <c r="AA278" i="46" s="1"/>
  <c r="R278" i="46"/>
  <c r="N278" i="46"/>
  <c r="O278" i="46" s="1"/>
  <c r="J278" i="46"/>
  <c r="G278" i="46"/>
  <c r="F278" i="46"/>
  <c r="AR278" i="46" s="1" a="1"/>
  <c r="AR278" i="46" s="1"/>
  <c r="BF277" i="46"/>
  <c r="BE277" i="46"/>
  <c r="BB277" i="46"/>
  <c r="BA277" i="46"/>
  <c r="AY277" i="46"/>
  <c r="AW277" i="46"/>
  <c r="AU277" i="46"/>
  <c r="AS277" i="46"/>
  <c r="AI277" i="46"/>
  <c r="AB277" i="46"/>
  <c r="Z277" i="46"/>
  <c r="AA277" i="46" s="1"/>
  <c r="R277" i="46"/>
  <c r="N277" i="46"/>
  <c r="O277" i="46" s="1"/>
  <c r="P277" i="46" s="1"/>
  <c r="J277" i="46"/>
  <c r="G277" i="46"/>
  <c r="F277" i="46"/>
  <c r="AR277" i="46" s="1" a="1"/>
  <c r="AR277" i="46" s="1"/>
  <c r="BF276" i="46"/>
  <c r="BE276" i="46"/>
  <c r="BB276" i="46"/>
  <c r="BA276" i="46"/>
  <c r="AY276" i="46"/>
  <c r="AW276" i="46"/>
  <c r="AU276" i="46"/>
  <c r="AS276" i="46"/>
  <c r="AI276" i="46"/>
  <c r="AB276" i="46"/>
  <c r="Z276" i="46"/>
  <c r="AA276" i="46" s="1"/>
  <c r="R276" i="46"/>
  <c r="N276" i="46"/>
  <c r="O276" i="46" s="1"/>
  <c r="AV276" i="46" s="1"/>
  <c r="J276" i="46"/>
  <c r="G276" i="46"/>
  <c r="F276" i="46"/>
  <c r="AR276" i="46" s="1" a="1"/>
  <c r="AR276" i="46" s="1"/>
  <c r="BF275" i="46"/>
  <c r="BE275" i="46"/>
  <c r="BB275" i="46"/>
  <c r="BA275" i="46"/>
  <c r="AY275" i="46"/>
  <c r="AW275" i="46"/>
  <c r="AU275" i="46"/>
  <c r="AS275" i="46"/>
  <c r="AI275" i="46"/>
  <c r="AB275" i="46"/>
  <c r="Z275" i="46"/>
  <c r="AA275" i="46" s="1"/>
  <c r="R275" i="46"/>
  <c r="N275" i="46"/>
  <c r="O275" i="46" s="1"/>
  <c r="J275" i="46"/>
  <c r="G275" i="46"/>
  <c r="F275" i="46"/>
  <c r="AR275" i="46" s="1" a="1"/>
  <c r="AR275" i="46" s="1"/>
  <c r="BF274" i="46"/>
  <c r="BE274" i="46"/>
  <c r="BB274" i="46"/>
  <c r="BA274" i="46"/>
  <c r="AY274" i="46"/>
  <c r="AW274" i="46"/>
  <c r="AU274" i="46"/>
  <c r="AS274" i="46"/>
  <c r="AI274" i="46"/>
  <c r="AB274" i="46"/>
  <c r="Z274" i="46"/>
  <c r="AA274" i="46" s="1"/>
  <c r="R274" i="46"/>
  <c r="N274" i="46"/>
  <c r="O274" i="46" s="1"/>
  <c r="P274" i="46" s="1"/>
  <c r="J274" i="46"/>
  <c r="G274" i="46"/>
  <c r="F274" i="46"/>
  <c r="AR274" i="46" s="1" a="1"/>
  <c r="AR274" i="46" s="1"/>
  <c r="BF273" i="46"/>
  <c r="BE273" i="46"/>
  <c r="BB273" i="46"/>
  <c r="BA273" i="46"/>
  <c r="AY273" i="46"/>
  <c r="AW273" i="46"/>
  <c r="AU273" i="46"/>
  <c r="AS273" i="46"/>
  <c r="AR273" i="46" a="1"/>
  <c r="AR273" i="46" s="1"/>
  <c r="AI273" i="46"/>
  <c r="AB273" i="46"/>
  <c r="Z273" i="46"/>
  <c r="AA273" i="46" s="1"/>
  <c r="R273" i="46"/>
  <c r="N273" i="46"/>
  <c r="O273" i="46" s="1"/>
  <c r="P273" i="46" s="1"/>
  <c r="J273" i="46"/>
  <c r="G273" i="46"/>
  <c r="F273" i="46"/>
  <c r="BF272" i="46"/>
  <c r="BE272" i="46"/>
  <c r="BB272" i="46"/>
  <c r="BA272" i="46"/>
  <c r="AY272" i="46"/>
  <c r="AW272" i="46"/>
  <c r="AU272" i="46"/>
  <c r="AS272" i="46"/>
  <c r="AI272" i="46"/>
  <c r="AB272" i="46"/>
  <c r="Z272" i="46"/>
  <c r="AA272" i="46" s="1"/>
  <c r="R272" i="46"/>
  <c r="N272" i="46"/>
  <c r="O272" i="46" s="1"/>
  <c r="P272" i="46" s="1"/>
  <c r="J272" i="46"/>
  <c r="G272" i="46"/>
  <c r="F272" i="46"/>
  <c r="AR272" i="46" s="1" a="1"/>
  <c r="AR272" i="46" s="1"/>
  <c r="BF271" i="46"/>
  <c r="BE271" i="46"/>
  <c r="BB271" i="46"/>
  <c r="BA271" i="46"/>
  <c r="AY271" i="46"/>
  <c r="AW271" i="46"/>
  <c r="AU271" i="46"/>
  <c r="AS271" i="46"/>
  <c r="AI271" i="46"/>
  <c r="AB271" i="46"/>
  <c r="Z271" i="46"/>
  <c r="AA271" i="46" s="1"/>
  <c r="R271" i="46"/>
  <c r="N271" i="46"/>
  <c r="O271" i="46" s="1"/>
  <c r="J271" i="46"/>
  <c r="G271" i="46"/>
  <c r="F271" i="46"/>
  <c r="AR271" i="46" s="1" a="1"/>
  <c r="AR271" i="46" s="1"/>
  <c r="BF270" i="46"/>
  <c r="BE270" i="46"/>
  <c r="BB270" i="46"/>
  <c r="BA270" i="46"/>
  <c r="AY270" i="46"/>
  <c r="AW270" i="46"/>
  <c r="AU270" i="46"/>
  <c r="AS270" i="46"/>
  <c r="AI270" i="46"/>
  <c r="AB270" i="46"/>
  <c r="Z270" i="46"/>
  <c r="AA270" i="46" s="1"/>
  <c r="R270" i="46"/>
  <c r="N270" i="46"/>
  <c r="O270" i="46" s="1"/>
  <c r="P270" i="46" s="1"/>
  <c r="J270" i="46"/>
  <c r="G270" i="46"/>
  <c r="F270" i="46"/>
  <c r="AR270" i="46" s="1" a="1"/>
  <c r="AR270" i="46" s="1"/>
  <c r="BF269" i="46"/>
  <c r="BE269" i="46"/>
  <c r="BB269" i="46"/>
  <c r="BA269" i="46"/>
  <c r="AY269" i="46"/>
  <c r="AW269" i="46"/>
  <c r="AU269" i="46"/>
  <c r="AS269" i="46"/>
  <c r="AI269" i="46"/>
  <c r="AB269" i="46"/>
  <c r="Z269" i="46"/>
  <c r="AA269" i="46" s="1"/>
  <c r="R269" i="46"/>
  <c r="N269" i="46"/>
  <c r="O269" i="46" s="1"/>
  <c r="AV269" i="46" s="1"/>
  <c r="J269" i="46"/>
  <c r="G269" i="46"/>
  <c r="F269" i="46"/>
  <c r="AR269" i="46" s="1" a="1"/>
  <c r="AR269" i="46" s="1"/>
  <c r="BF268" i="46"/>
  <c r="BE268" i="46"/>
  <c r="BB268" i="46"/>
  <c r="BA268" i="46"/>
  <c r="AY268" i="46"/>
  <c r="AW268" i="46"/>
  <c r="AU268" i="46"/>
  <c r="AS268" i="46"/>
  <c r="AI268" i="46"/>
  <c r="AB268" i="46"/>
  <c r="Z268" i="46"/>
  <c r="AA268" i="46" s="1"/>
  <c r="R268" i="46"/>
  <c r="N268" i="46"/>
  <c r="O268" i="46" s="1"/>
  <c r="P268" i="46" s="1"/>
  <c r="J268" i="46"/>
  <c r="G268" i="46"/>
  <c r="F268" i="46"/>
  <c r="AR268" i="46" s="1" a="1"/>
  <c r="AR268" i="46" s="1"/>
  <c r="BF267" i="46"/>
  <c r="BE267" i="46"/>
  <c r="BB267" i="46"/>
  <c r="BA267" i="46"/>
  <c r="AY267" i="46"/>
  <c r="AW267" i="46"/>
  <c r="AU267" i="46"/>
  <c r="AS267" i="46"/>
  <c r="AI267" i="46"/>
  <c r="AB267" i="46"/>
  <c r="Z267" i="46"/>
  <c r="AA267" i="46" s="1"/>
  <c r="R267" i="46"/>
  <c r="N267" i="46"/>
  <c r="O267" i="46" s="1"/>
  <c r="J267" i="46"/>
  <c r="G267" i="46"/>
  <c r="F267" i="46"/>
  <c r="AR267" i="46" s="1" a="1"/>
  <c r="AR267" i="46" s="1"/>
  <c r="BF266" i="46"/>
  <c r="BE266" i="46"/>
  <c r="BB266" i="46"/>
  <c r="BA266" i="46"/>
  <c r="AY266" i="46"/>
  <c r="AW266" i="46"/>
  <c r="AU266" i="46"/>
  <c r="AS266" i="46"/>
  <c r="AI266" i="46"/>
  <c r="AB266" i="46"/>
  <c r="Z266" i="46"/>
  <c r="AA266" i="46" s="1"/>
  <c r="R266" i="46"/>
  <c r="N266" i="46"/>
  <c r="O266" i="46" s="1"/>
  <c r="AV266" i="46" s="1"/>
  <c r="J266" i="46"/>
  <c r="G266" i="46"/>
  <c r="F266" i="46"/>
  <c r="AR266" i="46" s="1" a="1"/>
  <c r="AR266" i="46" s="1"/>
  <c r="BF265" i="46"/>
  <c r="BE265" i="46"/>
  <c r="BB265" i="46"/>
  <c r="BA265" i="46"/>
  <c r="AY265" i="46"/>
  <c r="AW265" i="46"/>
  <c r="AU265" i="46"/>
  <c r="AS265" i="46"/>
  <c r="AI265" i="46"/>
  <c r="AB265" i="46"/>
  <c r="Z265" i="46"/>
  <c r="AA265" i="46" s="1"/>
  <c r="R265" i="46"/>
  <c r="N265" i="46"/>
  <c r="O265" i="46" s="1"/>
  <c r="AV265" i="46" s="1"/>
  <c r="J265" i="46"/>
  <c r="G265" i="46"/>
  <c r="F265" i="46"/>
  <c r="AR265" i="46" s="1" a="1"/>
  <c r="AR265" i="46" s="1"/>
  <c r="BF264" i="46"/>
  <c r="BE264" i="46"/>
  <c r="BB264" i="46"/>
  <c r="BA264" i="46"/>
  <c r="AY264" i="46"/>
  <c r="AW264" i="46"/>
  <c r="AU264" i="46"/>
  <c r="AS264" i="46"/>
  <c r="AI264" i="46"/>
  <c r="AB264" i="46"/>
  <c r="Z264" i="46"/>
  <c r="AA264" i="46" s="1"/>
  <c r="R264" i="46"/>
  <c r="N264" i="46"/>
  <c r="O264" i="46" s="1"/>
  <c r="P264" i="46" s="1"/>
  <c r="J264" i="46"/>
  <c r="G264" i="46"/>
  <c r="F264" i="46"/>
  <c r="AR264" i="46" s="1" a="1"/>
  <c r="AR264" i="46" s="1"/>
  <c r="BF263" i="46"/>
  <c r="BE263" i="46"/>
  <c r="BB263" i="46"/>
  <c r="BA263" i="46"/>
  <c r="AY263" i="46"/>
  <c r="AW263" i="46"/>
  <c r="AU263" i="46"/>
  <c r="AS263" i="46"/>
  <c r="AI263" i="46"/>
  <c r="AB263" i="46"/>
  <c r="Z263" i="46"/>
  <c r="AA263" i="46" s="1"/>
  <c r="R263" i="46"/>
  <c r="N263" i="46"/>
  <c r="O263" i="46" s="1"/>
  <c r="J263" i="46"/>
  <c r="G263" i="46"/>
  <c r="F263" i="46"/>
  <c r="AR263" i="46" s="1" a="1"/>
  <c r="AR263" i="46" s="1"/>
  <c r="BF262" i="46"/>
  <c r="BE262" i="46"/>
  <c r="BB262" i="46"/>
  <c r="BA262" i="46"/>
  <c r="AY262" i="46"/>
  <c r="AW262" i="46"/>
  <c r="AU262" i="46"/>
  <c r="AS262" i="46"/>
  <c r="AI262" i="46"/>
  <c r="AB262" i="46"/>
  <c r="Z262" i="46"/>
  <c r="AA262" i="46" s="1"/>
  <c r="R262" i="46"/>
  <c r="N262" i="46"/>
  <c r="O262" i="46" s="1"/>
  <c r="AV262" i="46" s="1"/>
  <c r="J262" i="46"/>
  <c r="G262" i="46"/>
  <c r="F262" i="46"/>
  <c r="AR262" i="46" s="1" a="1"/>
  <c r="AR262" i="46" s="1"/>
  <c r="BF261" i="46"/>
  <c r="BE261" i="46"/>
  <c r="BB261" i="46"/>
  <c r="BA261" i="46"/>
  <c r="AY261" i="46"/>
  <c r="AW261" i="46"/>
  <c r="AU261" i="46"/>
  <c r="AS261" i="46"/>
  <c r="AI261" i="46"/>
  <c r="AB261" i="46"/>
  <c r="Z261" i="46"/>
  <c r="AA261" i="46" s="1"/>
  <c r="R261" i="46"/>
  <c r="N261" i="46"/>
  <c r="O261" i="46" s="1"/>
  <c r="AV261" i="46" s="1"/>
  <c r="J261" i="46"/>
  <c r="G261" i="46"/>
  <c r="F261" i="46"/>
  <c r="AR261" i="46" s="1" a="1"/>
  <c r="AR261" i="46" s="1"/>
  <c r="BF260" i="46"/>
  <c r="BE260" i="46"/>
  <c r="BB260" i="46"/>
  <c r="BA260" i="46"/>
  <c r="AY260" i="46"/>
  <c r="AW260" i="46"/>
  <c r="AU260" i="46"/>
  <c r="AS260" i="46"/>
  <c r="AI260" i="46"/>
  <c r="AB260" i="46"/>
  <c r="Z260" i="46"/>
  <c r="AA260" i="46" s="1"/>
  <c r="R260" i="46"/>
  <c r="N260" i="46"/>
  <c r="O260" i="46" s="1"/>
  <c r="P260" i="46" s="1"/>
  <c r="J260" i="46"/>
  <c r="G260" i="46"/>
  <c r="F260" i="46"/>
  <c r="AR260" i="46" s="1" a="1"/>
  <c r="AR260" i="46" s="1"/>
  <c r="BF259" i="46"/>
  <c r="BE259" i="46"/>
  <c r="BB259" i="46"/>
  <c r="BA259" i="46"/>
  <c r="AY259" i="46"/>
  <c r="AW259" i="46"/>
  <c r="AU259" i="46"/>
  <c r="AS259" i="46"/>
  <c r="AI259" i="46"/>
  <c r="AB259" i="46"/>
  <c r="Z259" i="46"/>
  <c r="AA259" i="46" s="1"/>
  <c r="R259" i="46"/>
  <c r="N259" i="46"/>
  <c r="O259" i="46" s="1"/>
  <c r="P259" i="46" s="1"/>
  <c r="J259" i="46"/>
  <c r="G259" i="46"/>
  <c r="F259" i="46"/>
  <c r="AR259" i="46" s="1" a="1"/>
  <c r="AR259" i="46" s="1"/>
  <c r="BF258" i="46"/>
  <c r="BE258" i="46"/>
  <c r="BB258" i="46"/>
  <c r="BA258" i="46"/>
  <c r="AY258" i="46"/>
  <c r="AW258" i="46"/>
  <c r="AU258" i="46"/>
  <c r="AS258" i="46"/>
  <c r="AI258" i="46"/>
  <c r="AB258" i="46"/>
  <c r="Z258" i="46"/>
  <c r="AA258" i="46" s="1"/>
  <c r="R258" i="46"/>
  <c r="N258" i="46"/>
  <c r="O258" i="46" s="1"/>
  <c r="P258" i="46" s="1"/>
  <c r="J258" i="46"/>
  <c r="G258" i="46"/>
  <c r="F258" i="46"/>
  <c r="AR258" i="46" s="1" a="1"/>
  <c r="AR258" i="46" s="1"/>
  <c r="BF257" i="46"/>
  <c r="BE257" i="46"/>
  <c r="BB257" i="46"/>
  <c r="BA257" i="46"/>
  <c r="AY257" i="46"/>
  <c r="AW257" i="46"/>
  <c r="AU257" i="46"/>
  <c r="AS257" i="46"/>
  <c r="AI257" i="46"/>
  <c r="AB257" i="46"/>
  <c r="Z257" i="46"/>
  <c r="AA257" i="46" s="1"/>
  <c r="R257" i="46"/>
  <c r="N257" i="46"/>
  <c r="O257" i="46" s="1"/>
  <c r="AV257" i="46" s="1"/>
  <c r="J257" i="46"/>
  <c r="G257" i="46"/>
  <c r="F257" i="46"/>
  <c r="AR257" i="46" s="1" a="1"/>
  <c r="AR257" i="46" s="1"/>
  <c r="BF256" i="46"/>
  <c r="BE256" i="46"/>
  <c r="BB256" i="46"/>
  <c r="BA256" i="46"/>
  <c r="AY256" i="46"/>
  <c r="AW256" i="46"/>
  <c r="AU256" i="46"/>
  <c r="AS256" i="46"/>
  <c r="AI256" i="46"/>
  <c r="AB256" i="46"/>
  <c r="Z256" i="46"/>
  <c r="AA256" i="46" s="1"/>
  <c r="R256" i="46"/>
  <c r="N256" i="46"/>
  <c r="O256" i="46" s="1"/>
  <c r="J256" i="46"/>
  <c r="G256" i="46"/>
  <c r="F256" i="46"/>
  <c r="AR256" i="46" s="1" a="1"/>
  <c r="AR256" i="46" s="1"/>
  <c r="BF255" i="46"/>
  <c r="BE255" i="46"/>
  <c r="BB255" i="46"/>
  <c r="BA255" i="46"/>
  <c r="AY255" i="46"/>
  <c r="AW255" i="46"/>
  <c r="AU255" i="46"/>
  <c r="AS255" i="46"/>
  <c r="AI255" i="46"/>
  <c r="AB255" i="46"/>
  <c r="Z255" i="46"/>
  <c r="AA255" i="46" s="1"/>
  <c r="R255" i="46"/>
  <c r="N255" i="46"/>
  <c r="O255" i="46" s="1"/>
  <c r="J255" i="46"/>
  <c r="G255" i="46"/>
  <c r="F255" i="46"/>
  <c r="AR255" i="46" s="1" a="1"/>
  <c r="AR255" i="46" s="1"/>
  <c r="BF254" i="46"/>
  <c r="BE254" i="46"/>
  <c r="BB254" i="46"/>
  <c r="BA254" i="46"/>
  <c r="AY254" i="46"/>
  <c r="AW254" i="46"/>
  <c r="AU254" i="46"/>
  <c r="AS254" i="46"/>
  <c r="AI254" i="46"/>
  <c r="AB254" i="46"/>
  <c r="Z254" i="46"/>
  <c r="AA254" i="46" s="1"/>
  <c r="R254" i="46"/>
  <c r="N254" i="46"/>
  <c r="O254" i="46" s="1"/>
  <c r="AV254" i="46" s="1"/>
  <c r="J254" i="46"/>
  <c r="G254" i="46"/>
  <c r="F254" i="46"/>
  <c r="AR254" i="46" s="1" a="1"/>
  <c r="AR254" i="46" s="1"/>
  <c r="BF253" i="46"/>
  <c r="BE253" i="46"/>
  <c r="BB253" i="46"/>
  <c r="BA253" i="46"/>
  <c r="AY253" i="46"/>
  <c r="AW253" i="46"/>
  <c r="AU253" i="46"/>
  <c r="AS253" i="46"/>
  <c r="AI253" i="46"/>
  <c r="AB253" i="46"/>
  <c r="Z253" i="46"/>
  <c r="AA253" i="46" s="1"/>
  <c r="R253" i="46"/>
  <c r="N253" i="46"/>
  <c r="O253" i="46" s="1"/>
  <c r="AV253" i="46" s="1"/>
  <c r="J253" i="46"/>
  <c r="G253" i="46"/>
  <c r="F253" i="46"/>
  <c r="AR253" i="46" s="1" a="1"/>
  <c r="AR253" i="46" s="1"/>
  <c r="BF252" i="46"/>
  <c r="BE252" i="46"/>
  <c r="BB252" i="46"/>
  <c r="BA252" i="46"/>
  <c r="AY252" i="46"/>
  <c r="AW252" i="46"/>
  <c r="AU252" i="46"/>
  <c r="AS252" i="46"/>
  <c r="AI252" i="46"/>
  <c r="AB252" i="46"/>
  <c r="Z252" i="46"/>
  <c r="AA252" i="46" s="1"/>
  <c r="R252" i="46"/>
  <c r="N252" i="46"/>
  <c r="O252" i="46" s="1"/>
  <c r="J252" i="46"/>
  <c r="G252" i="46"/>
  <c r="F252" i="46"/>
  <c r="AR252" i="46" s="1" a="1"/>
  <c r="AR252" i="46" s="1"/>
  <c r="BF251" i="46"/>
  <c r="BE251" i="46"/>
  <c r="BB251" i="46"/>
  <c r="BA251" i="46"/>
  <c r="AY251" i="46"/>
  <c r="AW251" i="46"/>
  <c r="AU251" i="46"/>
  <c r="AS251" i="46"/>
  <c r="AI251" i="46"/>
  <c r="AB251" i="46"/>
  <c r="Z251" i="46"/>
  <c r="AA251" i="46" s="1"/>
  <c r="R251" i="46"/>
  <c r="N251" i="46"/>
  <c r="O251" i="46" s="1"/>
  <c r="J251" i="46"/>
  <c r="G251" i="46"/>
  <c r="F251" i="46"/>
  <c r="AR251" i="46" s="1" a="1"/>
  <c r="AR251" i="46" s="1"/>
  <c r="AF2" i="52"/>
  <c r="AD2" i="52"/>
  <c r="AC2" i="52"/>
  <c r="AA2" i="52"/>
  <c r="Z2" i="52"/>
  <c r="Y2" i="52"/>
  <c r="X2" i="52"/>
  <c r="W2" i="52"/>
  <c r="U2" i="52"/>
  <c r="T2" i="52"/>
  <c r="R2" i="52"/>
  <c r="Q2" i="52"/>
  <c r="K273" i="46" l="1"/>
  <c r="S299" i="46"/>
  <c r="AX299" i="46" s="1"/>
  <c r="K257" i="47"/>
  <c r="X4" i="44"/>
  <c r="W4" i="44" s="1"/>
  <c r="K270" i="7"/>
  <c r="AT270" i="7" s="1"/>
  <c r="X3" i="51"/>
  <c r="W3" i="51" s="1"/>
  <c r="S292" i="47"/>
  <c r="AX292" i="47" s="1"/>
  <c r="K284" i="47"/>
  <c r="S260" i="47"/>
  <c r="T260" i="47" s="1"/>
  <c r="S262" i="47"/>
  <c r="AX262" i="47" s="1"/>
  <c r="S277" i="46"/>
  <c r="T277" i="46" s="1"/>
  <c r="K281" i="46"/>
  <c r="AT281" i="46" s="1"/>
  <c r="S285" i="46"/>
  <c r="T285" i="46" s="1"/>
  <c r="K287" i="46"/>
  <c r="L287" i="46" s="1"/>
  <c r="K289" i="46"/>
  <c r="AT289" i="46" s="1"/>
  <c r="K297" i="46"/>
  <c r="AT297" i="46" s="1"/>
  <c r="S258" i="7"/>
  <c r="AX258" i="7" s="1"/>
  <c r="K272" i="7"/>
  <c r="AT272" i="7" s="1"/>
  <c r="S294" i="7"/>
  <c r="AX294" i="7" s="1"/>
  <c r="S255" i="7"/>
  <c r="AX255" i="7" s="1"/>
  <c r="K299" i="7"/>
  <c r="K295" i="46"/>
  <c r="AT295" i="46" s="1"/>
  <c r="K274" i="47"/>
  <c r="AT274" i="47" s="1"/>
  <c r="K285" i="47"/>
  <c r="AT285" i="47" s="1"/>
  <c r="K286" i="47"/>
  <c r="S287" i="47"/>
  <c r="K297" i="47"/>
  <c r="S263" i="7"/>
  <c r="AX263" i="7" s="1"/>
  <c r="K257" i="46"/>
  <c r="L257" i="46" s="1"/>
  <c r="S265" i="46"/>
  <c r="T265" i="46" s="1"/>
  <c r="S278" i="47"/>
  <c r="AX278" i="47" s="1"/>
  <c r="K279" i="47"/>
  <c r="AT279" i="47" s="1"/>
  <c r="K268" i="46"/>
  <c r="S291" i="46"/>
  <c r="AX291" i="46" s="1"/>
  <c r="K255" i="7"/>
  <c r="L255" i="7" s="1"/>
  <c r="K261" i="7"/>
  <c r="AT261" i="7" s="1"/>
  <c r="S293" i="46"/>
  <c r="T293" i="46" s="1"/>
  <c r="S289" i="47"/>
  <c r="T289" i="47" s="1"/>
  <c r="S296" i="47"/>
  <c r="AX296" i="47" s="1"/>
  <c r="S264" i="46"/>
  <c r="AX264" i="46" s="1"/>
  <c r="S283" i="46"/>
  <c r="AX283" i="46" s="1"/>
  <c r="K286" i="7"/>
  <c r="AT286" i="7" s="1"/>
  <c r="K256" i="46"/>
  <c r="S292" i="46"/>
  <c r="AX292" i="46" s="1"/>
  <c r="K266" i="47"/>
  <c r="AT266" i="47" s="1"/>
  <c r="K296" i="47"/>
  <c r="L296" i="47" s="1"/>
  <c r="K257" i="7"/>
  <c r="L257" i="7" s="1"/>
  <c r="K279" i="7"/>
  <c r="K289" i="7"/>
  <c r="S261" i="47"/>
  <c r="AX261" i="47" s="1"/>
  <c r="K260" i="46"/>
  <c r="S273" i="46"/>
  <c r="T273" i="46" s="1"/>
  <c r="K298" i="46"/>
  <c r="AT298" i="46" s="1"/>
  <c r="S268" i="47"/>
  <c r="T268" i="47" s="1"/>
  <c r="S269" i="47"/>
  <c r="AX269" i="47" s="1"/>
  <c r="S283" i="47"/>
  <c r="K275" i="7"/>
  <c r="L275" i="7" s="1"/>
  <c r="K280" i="7"/>
  <c r="S300" i="7"/>
  <c r="S297" i="7"/>
  <c r="T297" i="7" s="1"/>
  <c r="K261" i="46"/>
  <c r="K300" i="46"/>
  <c r="K251" i="47"/>
  <c r="L251" i="47" s="1"/>
  <c r="S260" i="7"/>
  <c r="AX260" i="7" s="1"/>
  <c r="S273" i="7"/>
  <c r="AX273" i="7" s="1"/>
  <c r="K280" i="47"/>
  <c r="S288" i="47"/>
  <c r="S263" i="46"/>
  <c r="AX263" i="46" s="1"/>
  <c r="S272" i="46"/>
  <c r="AX272" i="46" s="1"/>
  <c r="S287" i="46"/>
  <c r="S259" i="47"/>
  <c r="AX259" i="47" s="1"/>
  <c r="K293" i="47"/>
  <c r="AT293" i="47" s="1"/>
  <c r="S294" i="47"/>
  <c r="K254" i="7"/>
  <c r="AT254" i="7" s="1"/>
  <c r="K259" i="7"/>
  <c r="AT259" i="7" s="1"/>
  <c r="S268" i="7"/>
  <c r="AX268" i="7" s="1"/>
  <c r="K291" i="7"/>
  <c r="L291" i="7" s="1"/>
  <c r="K265" i="46"/>
  <c r="K279" i="46"/>
  <c r="L279" i="46" s="1"/>
  <c r="K288" i="46"/>
  <c r="S258" i="47"/>
  <c r="K264" i="7"/>
  <c r="AT264" i="7" s="1"/>
  <c r="S256" i="46"/>
  <c r="AX256" i="46" s="1"/>
  <c r="S268" i="46"/>
  <c r="AX268" i="46" s="1"/>
  <c r="K280" i="46"/>
  <c r="K282" i="46"/>
  <c r="K273" i="47"/>
  <c r="AT273" i="47" s="1"/>
  <c r="S280" i="47"/>
  <c r="AX280" i="47" s="1"/>
  <c r="S284" i="47"/>
  <c r="AX284" i="47" s="1"/>
  <c r="S293" i="47"/>
  <c r="T293" i="47" s="1"/>
  <c r="K295" i="47"/>
  <c r="L295" i="47" s="1"/>
  <c r="S252" i="7"/>
  <c r="T252" i="7" s="1"/>
  <c r="S271" i="7"/>
  <c r="T271" i="7" s="1"/>
  <c r="S288" i="46"/>
  <c r="AX288" i="46" s="1"/>
  <c r="S289" i="46"/>
  <c r="AX289" i="46" s="1"/>
  <c r="S266" i="47"/>
  <c r="S285" i="47"/>
  <c r="K297" i="7"/>
  <c r="AT297" i="7" s="1"/>
  <c r="S280" i="46"/>
  <c r="S281" i="46"/>
  <c r="T281" i="46" s="1"/>
  <c r="K283" i="46"/>
  <c r="L283" i="46" s="1"/>
  <c r="K254" i="47"/>
  <c r="AT254" i="47" s="1"/>
  <c r="K262" i="47"/>
  <c r="AT262" i="47" s="1"/>
  <c r="K268" i="47"/>
  <c r="AT268" i="47" s="1"/>
  <c r="S274" i="47"/>
  <c r="S279" i="47"/>
  <c r="T279" i="47" s="1"/>
  <c r="K281" i="47"/>
  <c r="AT281" i="47" s="1"/>
  <c r="K289" i="47"/>
  <c r="AT289" i="47" s="1"/>
  <c r="S291" i="47"/>
  <c r="AX291" i="47" s="1"/>
  <c r="S251" i="7"/>
  <c r="T251" i="7" s="1"/>
  <c r="S257" i="7"/>
  <c r="AX257" i="7" s="1"/>
  <c r="K266" i="7"/>
  <c r="AT266" i="7" s="1"/>
  <c r="K269" i="7"/>
  <c r="K271" i="7"/>
  <c r="AT271" i="7" s="1"/>
  <c r="S264" i="47"/>
  <c r="T264" i="47" s="1"/>
  <c r="S253" i="7"/>
  <c r="T253" i="7" s="1"/>
  <c r="S267" i="7"/>
  <c r="AX267" i="7" s="1"/>
  <c r="S276" i="7"/>
  <c r="AX276" i="7" s="1"/>
  <c r="S252" i="46"/>
  <c r="AX252" i="46" s="1"/>
  <c r="K251" i="46"/>
  <c r="L251" i="46" s="1"/>
  <c r="S261" i="46"/>
  <c r="AX261" i="46" s="1"/>
  <c r="K284" i="46"/>
  <c r="AT284" i="46" s="1"/>
  <c r="K285" i="46"/>
  <c r="AT285" i="46" s="1"/>
  <c r="S254" i="47"/>
  <c r="AX254" i="47" s="1"/>
  <c r="K292" i="47"/>
  <c r="AT292" i="47" s="1"/>
  <c r="K258" i="7"/>
  <c r="AT258" i="7" s="1"/>
  <c r="S281" i="7"/>
  <c r="AX281" i="7" s="1"/>
  <c r="S271" i="46"/>
  <c r="K252" i="46"/>
  <c r="L252" i="46" s="1"/>
  <c r="K253" i="46"/>
  <c r="L253" i="46" s="1"/>
  <c r="S276" i="46"/>
  <c r="AX276" i="46" s="1"/>
  <c r="S286" i="46"/>
  <c r="T286" i="46" s="1"/>
  <c r="K292" i="46"/>
  <c r="AT292" i="46" s="1"/>
  <c r="S298" i="46"/>
  <c r="T298" i="46" s="1"/>
  <c r="K299" i="46"/>
  <c r="AT299" i="46" s="1"/>
  <c r="K270" i="47"/>
  <c r="AT270" i="47" s="1"/>
  <c r="S262" i="7"/>
  <c r="K262" i="7"/>
  <c r="L262" i="7" s="1"/>
  <c r="S265" i="7"/>
  <c r="AX265" i="7" s="1"/>
  <c r="K265" i="7"/>
  <c r="L265" i="7" s="1"/>
  <c r="S253" i="46"/>
  <c r="T253" i="46" s="1"/>
  <c r="K264" i="46"/>
  <c r="K276" i="46"/>
  <c r="AT276" i="46" s="1"/>
  <c r="K277" i="46"/>
  <c r="K286" i="46"/>
  <c r="K291" i="46"/>
  <c r="L291" i="46" s="1"/>
  <c r="K296" i="46"/>
  <c r="K264" i="47"/>
  <c r="AT264" i="47" s="1"/>
  <c r="S257" i="46"/>
  <c r="AX257" i="46" s="1"/>
  <c r="S267" i="46"/>
  <c r="K269" i="46"/>
  <c r="AT269" i="46" s="1"/>
  <c r="K272" i="46"/>
  <c r="S275" i="46"/>
  <c r="AX275" i="46" s="1"/>
  <c r="S282" i="46"/>
  <c r="T282" i="46" s="1"/>
  <c r="S284" i="46"/>
  <c r="AX284" i="46" s="1"/>
  <c r="K252" i="47"/>
  <c r="L252" i="47" s="1"/>
  <c r="S265" i="47"/>
  <c r="AX265" i="47" s="1"/>
  <c r="S277" i="47"/>
  <c r="T277" i="47" s="1"/>
  <c r="K278" i="47"/>
  <c r="AT278" i="47" s="1"/>
  <c r="S278" i="7"/>
  <c r="T278" i="7" s="1"/>
  <c r="K283" i="7"/>
  <c r="S286" i="7"/>
  <c r="AX286" i="7" s="1"/>
  <c r="S296" i="46"/>
  <c r="AX296" i="46" s="1"/>
  <c r="K269" i="47"/>
  <c r="L269" i="47" s="1"/>
  <c r="S272" i="47"/>
  <c r="T272" i="47" s="1"/>
  <c r="K272" i="47"/>
  <c r="AT272" i="47" s="1"/>
  <c r="S282" i="47"/>
  <c r="T282" i="47" s="1"/>
  <c r="K282" i="47"/>
  <c r="K291" i="47"/>
  <c r="L291" i="47" s="1"/>
  <c r="S299" i="47"/>
  <c r="AX299" i="47" s="1"/>
  <c r="K299" i="47"/>
  <c r="L299" i="47" s="1"/>
  <c r="K295" i="7"/>
  <c r="AT295" i="7" s="1"/>
  <c r="S295" i="7"/>
  <c r="T295" i="7" s="1"/>
  <c r="S260" i="46"/>
  <c r="AX260" i="46" s="1"/>
  <c r="K293" i="46"/>
  <c r="AT293" i="46" s="1"/>
  <c r="S276" i="47"/>
  <c r="K276" i="47"/>
  <c r="S251" i="46"/>
  <c r="T251" i="46" s="1"/>
  <c r="S269" i="46"/>
  <c r="K253" i="47"/>
  <c r="AT253" i="47" s="1"/>
  <c r="K256" i="47"/>
  <c r="L256" i="47" s="1"/>
  <c r="K258" i="47"/>
  <c r="L258" i="47" s="1"/>
  <c r="K261" i="47"/>
  <c r="AT261" i="47" s="1"/>
  <c r="K287" i="47"/>
  <c r="L287" i="47" s="1"/>
  <c r="S256" i="7"/>
  <c r="AX256" i="7" s="1"/>
  <c r="K256" i="7"/>
  <c r="L256" i="7" s="1"/>
  <c r="K281" i="7"/>
  <c r="AT281" i="7" s="1"/>
  <c r="S283" i="7"/>
  <c r="T283" i="7" s="1"/>
  <c r="S270" i="47"/>
  <c r="T270" i="47" s="1"/>
  <c r="K277" i="47"/>
  <c r="AT277" i="47" s="1"/>
  <c r="K288" i="47"/>
  <c r="AT288" i="47" s="1"/>
  <c r="K268" i="7"/>
  <c r="AT268" i="7" s="1"/>
  <c r="S269" i="7"/>
  <c r="S270" i="7"/>
  <c r="T270" i="7" s="1"/>
  <c r="S272" i="7"/>
  <c r="T272" i="7" s="1"/>
  <c r="K273" i="7"/>
  <c r="AT273" i="7" s="1"/>
  <c r="S280" i="7"/>
  <c r="T280" i="7" s="1"/>
  <c r="S289" i="7"/>
  <c r="T289" i="7" s="1"/>
  <c r="S299" i="7"/>
  <c r="T299" i="7" s="1"/>
  <c r="S286" i="47"/>
  <c r="S290" i="47"/>
  <c r="K253" i="7"/>
  <c r="AT253" i="7" s="1"/>
  <c r="K260" i="7"/>
  <c r="AT260" i="7" s="1"/>
  <c r="S288" i="7"/>
  <c r="T288" i="7" s="1"/>
  <c r="K294" i="7"/>
  <c r="AT294" i="7" s="1"/>
  <c r="K300" i="7"/>
  <c r="AT300" i="7" s="1"/>
  <c r="S281" i="47"/>
  <c r="T281" i="47" s="1"/>
  <c r="S264" i="7"/>
  <c r="AX264" i="7" s="1"/>
  <c r="S284" i="7"/>
  <c r="AX284" i="7" s="1"/>
  <c r="K287" i="7"/>
  <c r="AT287" i="7" s="1"/>
  <c r="S291" i="7"/>
  <c r="AX291" i="7" s="1"/>
  <c r="K293" i="7"/>
  <c r="L293" i="7" s="1"/>
  <c r="S266" i="7"/>
  <c r="T266" i="7" s="1"/>
  <c r="S275" i="7"/>
  <c r="AX275" i="7" s="1"/>
  <c r="K278" i="7"/>
  <c r="AT278" i="7" s="1"/>
  <c r="K285" i="7"/>
  <c r="K296" i="7"/>
  <c r="AT296" i="7" s="1"/>
  <c r="T264" i="7"/>
  <c r="L270" i="7"/>
  <c r="T280" i="47"/>
  <c r="AT287" i="46"/>
  <c r="T262" i="47"/>
  <c r="P257" i="7"/>
  <c r="P293" i="47"/>
  <c r="T300" i="47"/>
  <c r="AV258" i="7"/>
  <c r="P285" i="7"/>
  <c r="P269" i="46"/>
  <c r="P284" i="7"/>
  <c r="L286" i="7"/>
  <c r="P257" i="46"/>
  <c r="AT257" i="46"/>
  <c r="AV258" i="46"/>
  <c r="P261" i="46"/>
  <c r="P262" i="46"/>
  <c r="AX277" i="46"/>
  <c r="P266" i="47"/>
  <c r="P253" i="46"/>
  <c r="T296" i="46"/>
  <c r="P258" i="47"/>
  <c r="P262" i="47"/>
  <c r="P270" i="47"/>
  <c r="P253" i="7"/>
  <c r="T260" i="7"/>
  <c r="L268" i="7"/>
  <c r="P269" i="7"/>
  <c r="L272" i="7"/>
  <c r="AT275" i="7"/>
  <c r="P287" i="7"/>
  <c r="T294" i="7"/>
  <c r="P295" i="7"/>
  <c r="P265" i="46"/>
  <c r="P266" i="46"/>
  <c r="P274" i="47"/>
  <c r="AV266" i="7"/>
  <c r="P276" i="7"/>
  <c r="AX280" i="46"/>
  <c r="T280" i="46"/>
  <c r="P256" i="46"/>
  <c r="AV256" i="46"/>
  <c r="AX293" i="47"/>
  <c r="P252" i="46"/>
  <c r="AV252" i="46"/>
  <c r="T256" i="46"/>
  <c r="P281" i="47"/>
  <c r="P285" i="47"/>
  <c r="P288" i="47"/>
  <c r="AV292" i="47"/>
  <c r="P292" i="47"/>
  <c r="P297" i="47"/>
  <c r="AV252" i="7"/>
  <c r="P252" i="7"/>
  <c r="AV286" i="46"/>
  <c r="AX273" i="47"/>
  <c r="T273" i="47"/>
  <c r="AV280" i="47"/>
  <c r="P280" i="47"/>
  <c r="AV300" i="7"/>
  <c r="P300" i="7"/>
  <c r="AV284" i="46"/>
  <c r="P284" i="46"/>
  <c r="AV268" i="7"/>
  <c r="P268" i="7"/>
  <c r="AT279" i="46"/>
  <c r="AV280" i="46"/>
  <c r="P280" i="46"/>
  <c r="AV267" i="7"/>
  <c r="P267" i="7"/>
  <c r="AV261" i="47"/>
  <c r="AV259" i="7"/>
  <c r="AX278" i="7"/>
  <c r="AV256" i="7"/>
  <c r="AV270" i="7"/>
  <c r="L296" i="7"/>
  <c r="AV264" i="7"/>
  <c r="P264" i="7"/>
  <c r="T269" i="7"/>
  <c r="AX269" i="7"/>
  <c r="AV263" i="7"/>
  <c r="P263" i="7"/>
  <c r="AV255" i="7"/>
  <c r="P255" i="7"/>
  <c r="AV262" i="7"/>
  <c r="P262" i="7"/>
  <c r="T262" i="7"/>
  <c r="AX262" i="7"/>
  <c r="T263" i="7"/>
  <c r="AV277" i="7"/>
  <c r="P277" i="7"/>
  <c r="AT269" i="7"/>
  <c r="L269" i="7"/>
  <c r="K251" i="7"/>
  <c r="P251" i="7"/>
  <c r="T255" i="7"/>
  <c r="AT255" i="7"/>
  <c r="T258" i="7"/>
  <c r="P260" i="7"/>
  <c r="P261" i="7"/>
  <c r="K263" i="7"/>
  <c r="L266" i="7"/>
  <c r="K267" i="7"/>
  <c r="AV271" i="7"/>
  <c r="P274" i="7"/>
  <c r="AT289" i="7"/>
  <c r="L289" i="7"/>
  <c r="AT279" i="7"/>
  <c r="L279" i="7"/>
  <c r="S279" i="7"/>
  <c r="AT280" i="7"/>
  <c r="L280" i="7"/>
  <c r="T291" i="7"/>
  <c r="AV298" i="7"/>
  <c r="P298" i="7"/>
  <c r="AV299" i="7"/>
  <c r="P299" i="7"/>
  <c r="S261" i="7"/>
  <c r="AV265" i="7"/>
  <c r="AV275" i="7"/>
  <c r="P275" i="7"/>
  <c r="AV280" i="7"/>
  <c r="P280" i="7"/>
  <c r="K282" i="7"/>
  <c r="S282" i="7"/>
  <c r="K252" i="7"/>
  <c r="S254" i="7"/>
  <c r="AV273" i="7"/>
  <c r="P273" i="7"/>
  <c r="AV254" i="7"/>
  <c r="P254" i="7"/>
  <c r="T256" i="7"/>
  <c r="S259" i="7"/>
  <c r="AV288" i="7"/>
  <c r="P288" i="7"/>
  <c r="AV272" i="7"/>
  <c r="P272" i="7"/>
  <c r="AX272" i="7"/>
  <c r="T273" i="7"/>
  <c r="AV282" i="7"/>
  <c r="P282" i="7"/>
  <c r="L283" i="7"/>
  <c r="AT283" i="7"/>
  <c r="AT285" i="7"/>
  <c r="L285" i="7"/>
  <c r="AV283" i="7"/>
  <c r="P283" i="7"/>
  <c r="AV289" i="7"/>
  <c r="P289" i="7"/>
  <c r="K290" i="7"/>
  <c r="S290" i="7"/>
  <c r="K274" i="7"/>
  <c r="S274" i="7"/>
  <c r="AT284" i="7"/>
  <c r="L284" i="7"/>
  <c r="AV292" i="7"/>
  <c r="P292" i="7"/>
  <c r="K298" i="7"/>
  <c r="S298" i="7"/>
  <c r="K276" i="7"/>
  <c r="K277" i="7"/>
  <c r="S277" i="7"/>
  <c r="AV293" i="7"/>
  <c r="P293" i="7"/>
  <c r="AV279" i="7"/>
  <c r="AV281" i="7"/>
  <c r="P281" i="7"/>
  <c r="T300" i="7"/>
  <c r="AX300" i="7"/>
  <c r="S287" i="7"/>
  <c r="AV290" i="7"/>
  <c r="P290" i="7"/>
  <c r="AV297" i="7"/>
  <c r="P297" i="7"/>
  <c r="K288" i="7"/>
  <c r="AV291" i="7"/>
  <c r="P291" i="7"/>
  <c r="K292" i="7"/>
  <c r="AT299" i="7"/>
  <c r="L299" i="7"/>
  <c r="S292" i="7"/>
  <c r="P296" i="7"/>
  <c r="S285" i="7"/>
  <c r="S293" i="7"/>
  <c r="P278" i="7"/>
  <c r="P286" i="7"/>
  <c r="P294" i="7"/>
  <c r="S296" i="7"/>
  <c r="AT251" i="47"/>
  <c r="AV256" i="47"/>
  <c r="P256" i="47"/>
  <c r="AV259" i="47"/>
  <c r="P259" i="47"/>
  <c r="AV271" i="47"/>
  <c r="P271" i="47"/>
  <c r="L261" i="47"/>
  <c r="T266" i="47"/>
  <c r="AX266" i="47"/>
  <c r="L257" i="47"/>
  <c r="AT257" i="47"/>
  <c r="P260" i="47"/>
  <c r="AV260" i="47"/>
  <c r="AV263" i="47"/>
  <c r="P263" i="47"/>
  <c r="AV251" i="47"/>
  <c r="P251" i="47"/>
  <c r="AV255" i="47"/>
  <c r="P255" i="47"/>
  <c r="AX258" i="47"/>
  <c r="T258" i="47"/>
  <c r="AV252" i="47"/>
  <c r="P252" i="47"/>
  <c r="P257" i="47"/>
  <c r="AV257" i="47"/>
  <c r="AV267" i="47"/>
  <c r="P267" i="47"/>
  <c r="S257" i="47"/>
  <c r="K263" i="47"/>
  <c r="L268" i="47"/>
  <c r="P275" i="47"/>
  <c r="P278" i="47"/>
  <c r="AV278" i="47"/>
  <c r="S253" i="47"/>
  <c r="K255" i="47"/>
  <c r="S251" i="47"/>
  <c r="AV253" i="47"/>
  <c r="S255" i="47"/>
  <c r="S263" i="47"/>
  <c r="P264" i="47"/>
  <c r="AV264" i="47"/>
  <c r="P268" i="47"/>
  <c r="AV268" i="47"/>
  <c r="P272" i="47"/>
  <c r="AV272" i="47"/>
  <c r="AT280" i="47"/>
  <c r="L280" i="47"/>
  <c r="AT265" i="47"/>
  <c r="L265" i="47"/>
  <c r="AX276" i="47"/>
  <c r="T276" i="47"/>
  <c r="S252" i="47"/>
  <c r="P254" i="47"/>
  <c r="AV265" i="47"/>
  <c r="AV269" i="47"/>
  <c r="AV273" i="47"/>
  <c r="P286" i="47"/>
  <c r="AV286" i="47"/>
  <c r="T296" i="47"/>
  <c r="K259" i="47"/>
  <c r="K260" i="47"/>
  <c r="AX264" i="47"/>
  <c r="AT276" i="47"/>
  <c r="L276" i="47"/>
  <c r="AV284" i="47"/>
  <c r="P284" i="47"/>
  <c r="S298" i="47"/>
  <c r="K298" i="47"/>
  <c r="S256" i="47"/>
  <c r="AX260" i="47"/>
  <c r="K275" i="47"/>
  <c r="P276" i="47"/>
  <c r="AV276" i="47"/>
  <c r="AT282" i="47"/>
  <c r="L282" i="47"/>
  <c r="P290" i="47"/>
  <c r="AV290" i="47"/>
  <c r="K267" i="47"/>
  <c r="S267" i="47"/>
  <c r="K271" i="47"/>
  <c r="S271" i="47"/>
  <c r="T285" i="47"/>
  <c r="AX285" i="47"/>
  <c r="AT287" i="47"/>
  <c r="AX288" i="47"/>
  <c r="T288" i="47"/>
  <c r="T261" i="47"/>
  <c r="T274" i="47"/>
  <c r="AX274" i="47"/>
  <c r="P282" i="47"/>
  <c r="AV282" i="47"/>
  <c r="P298" i="47"/>
  <c r="AV298" i="47"/>
  <c r="AT291" i="47"/>
  <c r="T292" i="47"/>
  <c r="T294" i="47"/>
  <c r="AX294" i="47"/>
  <c r="P295" i="47"/>
  <c r="AV295" i="47"/>
  <c r="AV300" i="47"/>
  <c r="P300" i="47"/>
  <c r="AT283" i="47"/>
  <c r="T290" i="47"/>
  <c r="AX290" i="47"/>
  <c r="P291" i="47"/>
  <c r="AV291" i="47"/>
  <c r="S275" i="47"/>
  <c r="P277" i="47"/>
  <c r="L279" i="47"/>
  <c r="T284" i="47"/>
  <c r="T286" i="47"/>
  <c r="AX286" i="47"/>
  <c r="P287" i="47"/>
  <c r="AV287" i="47"/>
  <c r="AV294" i="47"/>
  <c r="AX295" i="47"/>
  <c r="T295" i="47"/>
  <c r="P279" i="47"/>
  <c r="AV279" i="47"/>
  <c r="P283" i="47"/>
  <c r="AV283" i="47"/>
  <c r="K294" i="47"/>
  <c r="AT299" i="47"/>
  <c r="AX287" i="47"/>
  <c r="T287" i="47"/>
  <c r="L288" i="47"/>
  <c r="P289" i="47"/>
  <c r="K290" i="47"/>
  <c r="P296" i="47"/>
  <c r="AT297" i="47"/>
  <c r="L297" i="47"/>
  <c r="K300" i="47"/>
  <c r="AX279" i="47"/>
  <c r="AX283" i="47"/>
  <c r="T283" i="47"/>
  <c r="AT284" i="47"/>
  <c r="L284" i="47"/>
  <c r="AT286" i="47"/>
  <c r="L286" i="47"/>
  <c r="P299" i="47"/>
  <c r="AV299" i="47"/>
  <c r="S297" i="47"/>
  <c r="L281" i="47"/>
  <c r="L285" i="47"/>
  <c r="L293" i="47"/>
  <c r="P255" i="46"/>
  <c r="AV255" i="46"/>
  <c r="T269" i="46"/>
  <c r="AX269" i="46"/>
  <c r="AT252" i="46"/>
  <c r="AT268" i="46"/>
  <c r="L268" i="46"/>
  <c r="AT272" i="46"/>
  <c r="L272" i="46"/>
  <c r="P251" i="46"/>
  <c r="AV251" i="46"/>
  <c r="T261" i="46"/>
  <c r="L260" i="46"/>
  <c r="AT260" i="46"/>
  <c r="AT256" i="46"/>
  <c r="L256" i="46"/>
  <c r="T272" i="46"/>
  <c r="AT273" i="46"/>
  <c r="L273" i="46"/>
  <c r="P275" i="46"/>
  <c r="AV275" i="46"/>
  <c r="T289" i="46"/>
  <c r="P294" i="46"/>
  <c r="AV294" i="46"/>
  <c r="K274" i="46"/>
  <c r="S274" i="46"/>
  <c r="AT282" i="46"/>
  <c r="L282" i="46"/>
  <c r="S259" i="46"/>
  <c r="K259" i="46"/>
  <c r="T264" i="46"/>
  <c r="K270" i="46"/>
  <c r="S270" i="46"/>
  <c r="AT265" i="46"/>
  <c r="L265" i="46"/>
  <c r="K266" i="46"/>
  <c r="S266" i="46"/>
  <c r="P271" i="46"/>
  <c r="AV271" i="46"/>
  <c r="P285" i="46"/>
  <c r="AV285" i="46"/>
  <c r="AT296" i="46"/>
  <c r="L296" i="46"/>
  <c r="P298" i="46"/>
  <c r="AV298" i="46"/>
  <c r="AV259" i="46"/>
  <c r="P254" i="46"/>
  <c r="AX265" i="46"/>
  <c r="P278" i="46"/>
  <c r="AV278" i="46"/>
  <c r="P281" i="46"/>
  <c r="AV281" i="46"/>
  <c r="P293" i="46"/>
  <c r="AV293" i="46"/>
  <c r="AV296" i="46"/>
  <c r="P296" i="46"/>
  <c r="AT251" i="46"/>
  <c r="K262" i="46"/>
  <c r="S262" i="46"/>
  <c r="P267" i="46"/>
  <c r="AV267" i="46"/>
  <c r="P263" i="46"/>
  <c r="AV263" i="46"/>
  <c r="AV274" i="46"/>
  <c r="T275" i="46"/>
  <c r="K254" i="46"/>
  <c r="S254" i="46"/>
  <c r="S255" i="46"/>
  <c r="K255" i="46"/>
  <c r="K258" i="46"/>
  <c r="S258" i="46"/>
  <c r="AX267" i="46"/>
  <c r="T267" i="46"/>
  <c r="AT261" i="46"/>
  <c r="L261" i="46"/>
  <c r="AT264" i="46"/>
  <c r="L264" i="46"/>
  <c r="AV270" i="46"/>
  <c r="AX271" i="46"/>
  <c r="T271" i="46"/>
  <c r="AT277" i="46"/>
  <c r="L277" i="46"/>
  <c r="S278" i="46"/>
  <c r="K278" i="46"/>
  <c r="P295" i="46"/>
  <c r="AV295" i="46"/>
  <c r="T252" i="46"/>
  <c r="T276" i="46"/>
  <c r="AT286" i="46"/>
  <c r="L286" i="46"/>
  <c r="AV273" i="46"/>
  <c r="AX279" i="46"/>
  <c r="T279" i="46"/>
  <c r="T283" i="46"/>
  <c r="AX285" i="46"/>
  <c r="AX287" i="46"/>
  <c r="T287" i="46"/>
  <c r="P291" i="46"/>
  <c r="AV291" i="46"/>
  <c r="S297" i="46"/>
  <c r="AV300" i="46"/>
  <c r="P300" i="46"/>
  <c r="K263" i="46"/>
  <c r="K267" i="46"/>
  <c r="K271" i="46"/>
  <c r="K275" i="46"/>
  <c r="AV277" i="46"/>
  <c r="AV282" i="46"/>
  <c r="T288" i="46"/>
  <c r="P289" i="46"/>
  <c r="AV289" i="46"/>
  <c r="AV292" i="46"/>
  <c r="P292" i="46"/>
  <c r="L295" i="46"/>
  <c r="P299" i="46"/>
  <c r="AV299" i="46"/>
  <c r="S290" i="46"/>
  <c r="K290" i="46"/>
  <c r="AV290" i="46"/>
  <c r="AT300" i="46"/>
  <c r="L300" i="46"/>
  <c r="P297" i="46"/>
  <c r="AV297" i="46"/>
  <c r="AV264" i="46"/>
  <c r="AV268" i="46"/>
  <c r="AV272" i="46"/>
  <c r="P279" i="46"/>
  <c r="AV279" i="46"/>
  <c r="AT280" i="46"/>
  <c r="L280" i="46"/>
  <c r="P283" i="46"/>
  <c r="AV283" i="46"/>
  <c r="P287" i="46"/>
  <c r="AV287" i="46"/>
  <c r="AT288" i="46"/>
  <c r="L288" i="46"/>
  <c r="S294" i="46"/>
  <c r="K294" i="46"/>
  <c r="AV260" i="46"/>
  <c r="P276" i="46"/>
  <c r="AV288" i="46"/>
  <c r="P288" i="46"/>
  <c r="AX293" i="46"/>
  <c r="T295" i="46"/>
  <c r="L298" i="46"/>
  <c r="T299" i="46"/>
  <c r="S300" i="46"/>
  <c r="AX298" i="46"/>
  <c r="L281" i="46"/>
  <c r="L285" i="46"/>
  <c r="L289" i="46"/>
  <c r="L297" i="46"/>
  <c r="AL179" i="7"/>
  <c r="AL180" i="7"/>
  <c r="AL181" i="7"/>
  <c r="AL182" i="7"/>
  <c r="AL183" i="7"/>
  <c r="AL184" i="7"/>
  <c r="AL185" i="7"/>
  <c r="AL186" i="7"/>
  <c r="AL187" i="7"/>
  <c r="AL188" i="7"/>
  <c r="AL189" i="7"/>
  <c r="AL190" i="7"/>
  <c r="AL191" i="7"/>
  <c r="AL192" i="7"/>
  <c r="AL193" i="7"/>
  <c r="AL194" i="7"/>
  <c r="AL195" i="7"/>
  <c r="AL196" i="7"/>
  <c r="AL197" i="7"/>
  <c r="AL198" i="7"/>
  <c r="AL199" i="7"/>
  <c r="AL200" i="7"/>
  <c r="AL201" i="7"/>
  <c r="AL202" i="7"/>
  <c r="AL203" i="7"/>
  <c r="AL204" i="7"/>
  <c r="AL205" i="7"/>
  <c r="AL206" i="7"/>
  <c r="AL207" i="7"/>
  <c r="AL208" i="7"/>
  <c r="AL209" i="7"/>
  <c r="AL210" i="7"/>
  <c r="AL211" i="7"/>
  <c r="AL212" i="7"/>
  <c r="AL213" i="7"/>
  <c r="AL214" i="7"/>
  <c r="AL215" i="7"/>
  <c r="AL216" i="7"/>
  <c r="AL217" i="7"/>
  <c r="AL218" i="7"/>
  <c r="AL219" i="7"/>
  <c r="AL220" i="7"/>
  <c r="AL221" i="7"/>
  <c r="AL222" i="7"/>
  <c r="AL223" i="7"/>
  <c r="AL224" i="7"/>
  <c r="AL225" i="7"/>
  <c r="AL226" i="7"/>
  <c r="AL227" i="7"/>
  <c r="AL228" i="7"/>
  <c r="AL229" i="7"/>
  <c r="AL230" i="7"/>
  <c r="AL231" i="7"/>
  <c r="AL232" i="7"/>
  <c r="AL233" i="7"/>
  <c r="AL234" i="7"/>
  <c r="AL235" i="7"/>
  <c r="AL236" i="7"/>
  <c r="AL237" i="7"/>
  <c r="AL238" i="7"/>
  <c r="AL239" i="7"/>
  <c r="AL240" i="7"/>
  <c r="AL241" i="7"/>
  <c r="AL242" i="7"/>
  <c r="AL243" i="7"/>
  <c r="AL244" i="7"/>
  <c r="AL245" i="7"/>
  <c r="AL246" i="7"/>
  <c r="AL247" i="7"/>
  <c r="AL248" i="7"/>
  <c r="AL249" i="7"/>
  <c r="AL250" i="7"/>
  <c r="T286" i="7" l="1"/>
  <c r="L272" i="47"/>
  <c r="T269" i="47"/>
  <c r="AT296" i="47"/>
  <c r="AX268" i="47"/>
  <c r="T278" i="47"/>
  <c r="T259" i="47"/>
  <c r="L262" i="47"/>
  <c r="L273" i="47"/>
  <c r="AT252" i="47"/>
  <c r="L270" i="47"/>
  <c r="L274" i="47"/>
  <c r="AT256" i="47"/>
  <c r="L254" i="47"/>
  <c r="AX282" i="47"/>
  <c r="AX289" i="47"/>
  <c r="T291" i="46"/>
  <c r="T260" i="46"/>
  <c r="L269" i="46"/>
  <c r="T281" i="7"/>
  <c r="T276" i="7"/>
  <c r="AX251" i="7"/>
  <c r="AT257" i="7"/>
  <c r="T257" i="7"/>
  <c r="T263" i="46"/>
  <c r="T284" i="7"/>
  <c r="AX286" i="46"/>
  <c r="AX252" i="7"/>
  <c r="AX266" i="7"/>
  <c r="AT291" i="7"/>
  <c r="T268" i="46"/>
  <c r="L289" i="47"/>
  <c r="T291" i="47"/>
  <c r="AX283" i="7"/>
  <c r="T257" i="46"/>
  <c r="AX272" i="47"/>
  <c r="L261" i="7"/>
  <c r="L292" i="46"/>
  <c r="T292" i="46"/>
  <c r="AX273" i="46"/>
  <c r="AX253" i="46"/>
  <c r="L264" i="47"/>
  <c r="AX297" i="7"/>
  <c r="AX281" i="46"/>
  <c r="AX280" i="7"/>
  <c r="AX288" i="7"/>
  <c r="L253" i="47"/>
  <c r="L295" i="7"/>
  <c r="L260" i="7"/>
  <c r="L258" i="7"/>
  <c r="T267" i="7"/>
  <c r="L266" i="47"/>
  <c r="L292" i="47"/>
  <c r="AX277" i="47"/>
  <c r="AX270" i="47"/>
  <c r="L281" i="7"/>
  <c r="L294" i="7"/>
  <c r="T268" i="7"/>
  <c r="T265" i="47"/>
  <c r="T284" i="46"/>
  <c r="AT269" i="47"/>
  <c r="AX295" i="7"/>
  <c r="T265" i="7"/>
  <c r="AX271" i="7"/>
  <c r="AT295" i="47"/>
  <c r="AT283" i="46"/>
  <c r="L259" i="7"/>
  <c r="AF150" i="7"/>
  <c r="AF16" i="7"/>
  <c r="AF21" i="7"/>
  <c r="AF37" i="7"/>
  <c r="AF31" i="7"/>
  <c r="AF44" i="7"/>
  <c r="AF48" i="7"/>
  <c r="AF56" i="7"/>
  <c r="AF63" i="7"/>
  <c r="AF71" i="7"/>
  <c r="AF162" i="7"/>
  <c r="AF157" i="7"/>
  <c r="AF85" i="7"/>
  <c r="AF90" i="7"/>
  <c r="AF98" i="7"/>
  <c r="AF106" i="7"/>
  <c r="AF114" i="7"/>
  <c r="AF122" i="7"/>
  <c r="AF130" i="7"/>
  <c r="AF138" i="7"/>
  <c r="AF146" i="7"/>
  <c r="AF73" i="7"/>
  <c r="AF171" i="7"/>
  <c r="AF77" i="7"/>
  <c r="AF38" i="7"/>
  <c r="AF159" i="7"/>
  <c r="AF45" i="7"/>
  <c r="AF49" i="7"/>
  <c r="AF57" i="7"/>
  <c r="AF64" i="7"/>
  <c r="AF72" i="7"/>
  <c r="AF163" i="7"/>
  <c r="AF175" i="7"/>
  <c r="AF86" i="7"/>
  <c r="AF91" i="7"/>
  <c r="AF99" i="7"/>
  <c r="AF107" i="7"/>
  <c r="AF115" i="7"/>
  <c r="AF123" i="7"/>
  <c r="AF131" i="7"/>
  <c r="AF139" i="7"/>
  <c r="AF147" i="7"/>
  <c r="AF74" i="7"/>
  <c r="AF17" i="7"/>
  <c r="AF78" i="7"/>
  <c r="AF39" i="7"/>
  <c r="AF160" i="7"/>
  <c r="AF46" i="7"/>
  <c r="AF50" i="7"/>
  <c r="AF58" i="7"/>
  <c r="AF65" i="7"/>
  <c r="AF33" i="7"/>
  <c r="AF164" i="7"/>
  <c r="AF176" i="7"/>
  <c r="AF87" i="7"/>
  <c r="AF92" i="7"/>
  <c r="AF100" i="7"/>
  <c r="AF108" i="7"/>
  <c r="AF116" i="7"/>
  <c r="AF124" i="7"/>
  <c r="AF132" i="7"/>
  <c r="AF140" i="7"/>
  <c r="AF148" i="7"/>
  <c r="AF75" i="7"/>
  <c r="AF23" i="7"/>
  <c r="AF24" i="7"/>
  <c r="AF40" i="7"/>
  <c r="AF173" i="7"/>
  <c r="AF79" i="7"/>
  <c r="AF51" i="7"/>
  <c r="AF59" i="7"/>
  <c r="AF66" i="7"/>
  <c r="AF34" i="7"/>
  <c r="AF165" i="7"/>
  <c r="AF177" i="7"/>
  <c r="AF88" i="7"/>
  <c r="AF93" i="7"/>
  <c r="AF101" i="7"/>
  <c r="AF109" i="7"/>
  <c r="AF117" i="7"/>
  <c r="AF125" i="7"/>
  <c r="AF133" i="7"/>
  <c r="AF141" i="7"/>
  <c r="AF178" i="7"/>
  <c r="AF76" i="7"/>
  <c r="AF18" i="7"/>
  <c r="AF25" i="7"/>
  <c r="AF27" i="7"/>
  <c r="AF174" i="7"/>
  <c r="AF80" i="7"/>
  <c r="AF52" i="7"/>
  <c r="AF60" i="7"/>
  <c r="AF67" i="7"/>
  <c r="AF151" i="7"/>
  <c r="AF166" i="7"/>
  <c r="AF158" i="7"/>
  <c r="AF167" i="7"/>
  <c r="AF94" i="7"/>
  <c r="AF102" i="7"/>
  <c r="AF110" i="7"/>
  <c r="AF118" i="7"/>
  <c r="AF126" i="7"/>
  <c r="AF134" i="7"/>
  <c r="AF142" i="7"/>
  <c r="AF14" i="7"/>
  <c r="AF172" i="7"/>
  <c r="AF26" i="7"/>
  <c r="AF28" i="7"/>
  <c r="AF41" i="7"/>
  <c r="AF81" i="7"/>
  <c r="AF53" i="7"/>
  <c r="AF61" i="7"/>
  <c r="AF68" i="7"/>
  <c r="AF152" i="7"/>
  <c r="AF154" i="7"/>
  <c r="AF22" i="7"/>
  <c r="AF168" i="7"/>
  <c r="AF95" i="7"/>
  <c r="AF103" i="7"/>
  <c r="AF111" i="7"/>
  <c r="AF119" i="7"/>
  <c r="AF127" i="7"/>
  <c r="AF135" i="7"/>
  <c r="AF143" i="7"/>
  <c r="AF15" i="7"/>
  <c r="AF19" i="7"/>
  <c r="AF35" i="7"/>
  <c r="AF29" i="7"/>
  <c r="AF42" i="7"/>
  <c r="AF82" i="7"/>
  <c r="AF54" i="7"/>
  <c r="AF32" i="7"/>
  <c r="AF69" i="7"/>
  <c r="AF153" i="7"/>
  <c r="AF155" i="7"/>
  <c r="AF83" i="7"/>
  <c r="AF169" i="7"/>
  <c r="AF96" i="7"/>
  <c r="AF104" i="7"/>
  <c r="AF112" i="7"/>
  <c r="AF120" i="7"/>
  <c r="AF128" i="7"/>
  <c r="AF136" i="7"/>
  <c r="AF144" i="7"/>
  <c r="AF170" i="7"/>
  <c r="AF20" i="7"/>
  <c r="AF36" i="7"/>
  <c r="AF30" i="7"/>
  <c r="AF43" i="7"/>
  <c r="AF47" i="7"/>
  <c r="AF55" i="7"/>
  <c r="AF62" i="7"/>
  <c r="AF70" i="7"/>
  <c r="AF161" i="7"/>
  <c r="AF156" i="7"/>
  <c r="AF84" i="7"/>
  <c r="AF89" i="7"/>
  <c r="AF97" i="7"/>
  <c r="AF105" i="7"/>
  <c r="AF113" i="7"/>
  <c r="AF121" i="7"/>
  <c r="AF129" i="7"/>
  <c r="AF137" i="7"/>
  <c r="AF145" i="7"/>
  <c r="AL143" i="7"/>
  <c r="AL127" i="7"/>
  <c r="AL111" i="7"/>
  <c r="AL103" i="7"/>
  <c r="AL168" i="7"/>
  <c r="AL22" i="7"/>
  <c r="AL152" i="7"/>
  <c r="AL68" i="7"/>
  <c r="AL53" i="7"/>
  <c r="AL81" i="7"/>
  <c r="AL28" i="7"/>
  <c r="AL26" i="7"/>
  <c r="AL172" i="7"/>
  <c r="AL142" i="7"/>
  <c r="AL134" i="7"/>
  <c r="AL126" i="7"/>
  <c r="AL118" i="7"/>
  <c r="AL110" i="7"/>
  <c r="AL102" i="7"/>
  <c r="AL94" i="7"/>
  <c r="AL167" i="7"/>
  <c r="AL158" i="7"/>
  <c r="AL166" i="7"/>
  <c r="AL151" i="7"/>
  <c r="AL67" i="7"/>
  <c r="AL60" i="7"/>
  <c r="AL52" i="7"/>
  <c r="AL80" i="7"/>
  <c r="AL174" i="7"/>
  <c r="AL27" i="7"/>
  <c r="AL25" i="7"/>
  <c r="AL18" i="7"/>
  <c r="AL76" i="7"/>
  <c r="L264" i="7"/>
  <c r="AX270" i="7"/>
  <c r="AX253" i="7"/>
  <c r="AL178" i="7"/>
  <c r="AL109" i="7"/>
  <c r="AL88" i="7"/>
  <c r="AL66" i="7"/>
  <c r="AL51" i="7"/>
  <c r="AL75" i="7"/>
  <c r="AL148" i="7"/>
  <c r="AL140" i="7"/>
  <c r="AL132" i="7"/>
  <c r="AL124" i="7"/>
  <c r="AL116" i="7"/>
  <c r="AL108" i="7"/>
  <c r="AL100" i="7"/>
  <c r="AL92" i="7"/>
  <c r="AL87" i="7"/>
  <c r="AL176" i="7"/>
  <c r="AL164" i="7"/>
  <c r="AL33" i="7"/>
  <c r="AL65" i="7"/>
  <c r="AL58" i="7"/>
  <c r="AL50" i="7"/>
  <c r="AL46" i="7"/>
  <c r="AL160" i="7"/>
  <c r="AL39" i="7"/>
  <c r="AL78" i="7"/>
  <c r="AL17" i="7"/>
  <c r="AL74" i="7"/>
  <c r="L273" i="7"/>
  <c r="AT256" i="7"/>
  <c r="T254" i="47"/>
  <c r="AL125" i="7"/>
  <c r="AL165" i="7"/>
  <c r="AL79" i="7"/>
  <c r="AL147" i="7"/>
  <c r="AL139" i="7"/>
  <c r="AL131" i="7"/>
  <c r="AL123" i="7"/>
  <c r="AL115" i="7"/>
  <c r="AL107" i="7"/>
  <c r="AL99" i="7"/>
  <c r="AL91" i="7"/>
  <c r="AL86" i="7"/>
  <c r="AL175" i="7"/>
  <c r="AL163" i="7"/>
  <c r="AL72" i="7"/>
  <c r="AL64" i="7"/>
  <c r="AL57" i="7"/>
  <c r="AL49" i="7"/>
  <c r="AL45" i="7"/>
  <c r="AL159" i="7"/>
  <c r="AL38" i="7"/>
  <c r="AL77" i="7"/>
  <c r="AL171" i="7"/>
  <c r="AL73" i="7"/>
  <c r="AT291" i="46"/>
  <c r="AX251" i="46"/>
  <c r="AT265" i="7"/>
  <c r="L254" i="7"/>
  <c r="AT293" i="7"/>
  <c r="AL93" i="7"/>
  <c r="AL173" i="7"/>
  <c r="AL146" i="7"/>
  <c r="AL138" i="7"/>
  <c r="AL130" i="7"/>
  <c r="AL122" i="7"/>
  <c r="AL114" i="7"/>
  <c r="AL106" i="7"/>
  <c r="AL98" i="7"/>
  <c r="AL90" i="7"/>
  <c r="AL85" i="7"/>
  <c r="AL157" i="7"/>
  <c r="AL162" i="7"/>
  <c r="AL71" i="7"/>
  <c r="AL63" i="7"/>
  <c r="AL56" i="7"/>
  <c r="AL48" i="7"/>
  <c r="AL44" i="7"/>
  <c r="AL31" i="7"/>
  <c r="AL37" i="7"/>
  <c r="AL21" i="7"/>
  <c r="AL16" i="7"/>
  <c r="AL150" i="7"/>
  <c r="AX282" i="46"/>
  <c r="AT253" i="46"/>
  <c r="AL117" i="7"/>
  <c r="AL177" i="7"/>
  <c r="AL40" i="7"/>
  <c r="AL145" i="7"/>
  <c r="AL129" i="7"/>
  <c r="AL113" i="7"/>
  <c r="AL97" i="7"/>
  <c r="AL84" i="7"/>
  <c r="AL70" i="7"/>
  <c r="AL55" i="7"/>
  <c r="AL43" i="7"/>
  <c r="AL36" i="7"/>
  <c r="AL170" i="7"/>
  <c r="AT262" i="7"/>
  <c r="L253" i="7"/>
  <c r="AL141" i="7"/>
  <c r="AL24" i="7"/>
  <c r="AL137" i="7"/>
  <c r="AL121" i="7"/>
  <c r="AL105" i="7"/>
  <c r="AL89" i="7"/>
  <c r="AL156" i="7"/>
  <c r="AL161" i="7"/>
  <c r="AL62" i="7"/>
  <c r="AL47" i="7"/>
  <c r="AL30" i="7"/>
  <c r="AL20" i="7"/>
  <c r="AL144" i="7"/>
  <c r="AL136" i="7"/>
  <c r="AL128" i="7"/>
  <c r="AL120" i="7"/>
  <c r="AL112" i="7"/>
  <c r="AL104" i="7"/>
  <c r="AL96" i="7"/>
  <c r="AL169" i="7"/>
  <c r="AL83" i="7"/>
  <c r="AL155" i="7"/>
  <c r="AL153" i="7"/>
  <c r="AL69" i="7"/>
  <c r="AL32" i="7"/>
  <c r="AL54" i="7"/>
  <c r="AL82" i="7"/>
  <c r="AL42" i="7"/>
  <c r="AL29" i="7"/>
  <c r="AL35" i="7"/>
  <c r="AL19" i="7"/>
  <c r="AL15" i="7"/>
  <c r="L284" i="46"/>
  <c r="L287" i="7"/>
  <c r="AL133" i="7"/>
  <c r="AL101" i="7"/>
  <c r="AL34" i="7"/>
  <c r="AL59" i="7"/>
  <c r="AL23" i="7"/>
  <c r="AL135" i="7"/>
  <c r="AL119" i="7"/>
  <c r="AL95" i="7"/>
  <c r="AL154" i="7"/>
  <c r="AL61" i="7"/>
  <c r="AL41" i="7"/>
  <c r="AL14" i="7"/>
  <c r="T299" i="47"/>
  <c r="L297" i="7"/>
  <c r="L271" i="7"/>
  <c r="F149" i="7"/>
  <c r="L276" i="46"/>
  <c r="L278" i="47"/>
  <c r="AX289" i="7"/>
  <c r="L277" i="47"/>
  <c r="L299" i="46"/>
  <c r="T275" i="7"/>
  <c r="L278" i="7"/>
  <c r="AT258" i="47"/>
  <c r="AX299" i="7"/>
  <c r="AX281" i="47"/>
  <c r="L300" i="7"/>
  <c r="L293" i="46"/>
  <c r="AT252" i="7"/>
  <c r="L252" i="7"/>
  <c r="L274" i="7"/>
  <c r="AT274" i="7"/>
  <c r="T282" i="7"/>
  <c r="AX282" i="7"/>
  <c r="T279" i="7"/>
  <c r="AX279" i="7"/>
  <c r="L267" i="7"/>
  <c r="AT267" i="7"/>
  <c r="T293" i="7"/>
  <c r="AX293" i="7"/>
  <c r="T296" i="7"/>
  <c r="AX296" i="7"/>
  <c r="AT288" i="7"/>
  <c r="L288" i="7"/>
  <c r="T277" i="7"/>
  <c r="AX277" i="7"/>
  <c r="T290" i="7"/>
  <c r="AX290" i="7"/>
  <c r="T285" i="7"/>
  <c r="AX285" i="7"/>
  <c r="AT292" i="7"/>
  <c r="L292" i="7"/>
  <c r="AT298" i="7"/>
  <c r="L298" i="7"/>
  <c r="L277" i="7"/>
  <c r="AT277" i="7"/>
  <c r="T259" i="7"/>
  <c r="AX259" i="7"/>
  <c r="T298" i="7"/>
  <c r="AX298" i="7"/>
  <c r="AT290" i="7"/>
  <c r="L290" i="7"/>
  <c r="T254" i="7"/>
  <c r="AX254" i="7"/>
  <c r="L282" i="7"/>
  <c r="AT282" i="7"/>
  <c r="T261" i="7"/>
  <c r="AX261" i="7"/>
  <c r="T287" i="7"/>
  <c r="AX287" i="7"/>
  <c r="AX292" i="7"/>
  <c r="T292" i="7"/>
  <c r="AT276" i="7"/>
  <c r="L276" i="7"/>
  <c r="T274" i="7"/>
  <c r="AX274" i="7"/>
  <c r="L263" i="7"/>
  <c r="AT263" i="7"/>
  <c r="L251" i="7"/>
  <c r="AT251" i="7"/>
  <c r="AX263" i="47"/>
  <c r="T263" i="47"/>
  <c r="AX257" i="47"/>
  <c r="T257" i="47"/>
  <c r="AT300" i="47"/>
  <c r="L300" i="47"/>
  <c r="AT294" i="47"/>
  <c r="L294" i="47"/>
  <c r="AT271" i="47"/>
  <c r="L271" i="47"/>
  <c r="AT275" i="47"/>
  <c r="L275" i="47"/>
  <c r="T297" i="47"/>
  <c r="AX297" i="47"/>
  <c r="L260" i="47"/>
  <c r="AT260" i="47"/>
  <c r="T256" i="47"/>
  <c r="AX256" i="47"/>
  <c r="AX255" i="47"/>
  <c r="T255" i="47"/>
  <c r="AT267" i="47"/>
  <c r="L267" i="47"/>
  <c r="T298" i="47"/>
  <c r="AX298" i="47"/>
  <c r="T251" i="47"/>
  <c r="AX251" i="47"/>
  <c r="AX275" i="47"/>
  <c r="T275" i="47"/>
  <c r="AT255" i="47"/>
  <c r="L255" i="47"/>
  <c r="AT290" i="47"/>
  <c r="L290" i="47"/>
  <c r="AT259" i="47"/>
  <c r="L259" i="47"/>
  <c r="AX267" i="47"/>
  <c r="T267" i="47"/>
  <c r="AT298" i="47"/>
  <c r="L298" i="47"/>
  <c r="AX253" i="47"/>
  <c r="T253" i="47"/>
  <c r="AX271" i="47"/>
  <c r="T271" i="47"/>
  <c r="T252" i="47"/>
  <c r="AX252" i="47"/>
  <c r="AT263" i="47"/>
  <c r="L263" i="47"/>
  <c r="T258" i="46"/>
  <c r="AX258" i="46"/>
  <c r="AT294" i="46"/>
  <c r="L294" i="46"/>
  <c r="T290" i="46"/>
  <c r="AX290" i="46"/>
  <c r="L271" i="46"/>
  <c r="AT271" i="46"/>
  <c r="AT278" i="46"/>
  <c r="L278" i="46"/>
  <c r="AT274" i="46"/>
  <c r="L274" i="46"/>
  <c r="T294" i="46"/>
  <c r="AX294" i="46"/>
  <c r="T278" i="46"/>
  <c r="AX278" i="46"/>
  <c r="AT258" i="46"/>
  <c r="L258" i="46"/>
  <c r="AT259" i="46"/>
  <c r="L259" i="46"/>
  <c r="AT263" i="46"/>
  <c r="L263" i="46"/>
  <c r="AT255" i="46"/>
  <c r="L255" i="46"/>
  <c r="T262" i="46"/>
  <c r="AX262" i="46"/>
  <c r="T266" i="46"/>
  <c r="AX266" i="46"/>
  <c r="T270" i="46"/>
  <c r="AX270" i="46"/>
  <c r="AX259" i="46"/>
  <c r="T259" i="46"/>
  <c r="T300" i="46"/>
  <c r="AX300" i="46"/>
  <c r="T255" i="46"/>
  <c r="AX255" i="46"/>
  <c r="AT262" i="46"/>
  <c r="L262" i="46"/>
  <c r="AT266" i="46"/>
  <c r="L266" i="46"/>
  <c r="AT270" i="46"/>
  <c r="L270" i="46"/>
  <c r="AT267" i="46"/>
  <c r="L267" i="46"/>
  <c r="T297" i="46"/>
  <c r="AX297" i="46"/>
  <c r="AT275" i="46"/>
  <c r="L275" i="46"/>
  <c r="AX254" i="46"/>
  <c r="T254" i="46"/>
  <c r="AT290" i="46"/>
  <c r="L290" i="46"/>
  <c r="AT254" i="46"/>
  <c r="L254" i="46"/>
  <c r="T274" i="46"/>
  <c r="AX274" i="46"/>
  <c r="O2" i="52"/>
  <c r="N2" i="52"/>
  <c r="J2" i="52"/>
  <c r="H2" i="52"/>
  <c r="F2" i="52"/>
  <c r="E2" i="52"/>
  <c r="D2" i="52"/>
  <c r="B2" i="52"/>
  <c r="G149" i="7" l="1"/>
  <c r="AF149" i="7"/>
  <c r="AL149" i="7"/>
  <c r="R250" i="47"/>
  <c r="N250" i="47"/>
  <c r="O250" i="47" s="1"/>
  <c r="P250" i="47" s="1"/>
  <c r="J250" i="47"/>
  <c r="R249" i="47"/>
  <c r="N249" i="47"/>
  <c r="O249" i="47" s="1"/>
  <c r="P249" i="47" s="1"/>
  <c r="J249" i="47"/>
  <c r="R248" i="47"/>
  <c r="N248" i="47"/>
  <c r="O248" i="47" s="1"/>
  <c r="P248" i="47" s="1"/>
  <c r="J248" i="47"/>
  <c r="R247" i="47"/>
  <c r="N247" i="47"/>
  <c r="O247" i="47" s="1"/>
  <c r="P247" i="47" s="1"/>
  <c r="J247" i="47"/>
  <c r="R246" i="47"/>
  <c r="N246" i="47"/>
  <c r="O246" i="47" s="1"/>
  <c r="P246" i="47" s="1"/>
  <c r="J246" i="47"/>
  <c r="R245" i="47"/>
  <c r="N245" i="47"/>
  <c r="O245" i="47" s="1"/>
  <c r="P245" i="47" s="1"/>
  <c r="J245" i="47"/>
  <c r="R244" i="47"/>
  <c r="N244" i="47"/>
  <c r="O244" i="47" s="1"/>
  <c r="P244" i="47" s="1"/>
  <c r="J244" i="47"/>
  <c r="R243" i="47"/>
  <c r="N243" i="47"/>
  <c r="O243" i="47" s="1"/>
  <c r="P243" i="47" s="1"/>
  <c r="J243" i="47"/>
  <c r="R242" i="47"/>
  <c r="N242" i="47"/>
  <c r="O242" i="47" s="1"/>
  <c r="P242" i="47" s="1"/>
  <c r="J242" i="47"/>
  <c r="R241" i="47"/>
  <c r="N241" i="47"/>
  <c r="O241" i="47" s="1"/>
  <c r="P241" i="47" s="1"/>
  <c r="J241" i="47"/>
  <c r="R240" i="47"/>
  <c r="N240" i="47"/>
  <c r="O240" i="47" s="1"/>
  <c r="P240" i="47" s="1"/>
  <c r="J240" i="47"/>
  <c r="R239" i="47"/>
  <c r="N239" i="47"/>
  <c r="O239" i="47" s="1"/>
  <c r="P239" i="47" s="1"/>
  <c r="J239" i="47"/>
  <c r="R238" i="47"/>
  <c r="N238" i="47"/>
  <c r="O238" i="47" s="1"/>
  <c r="P238" i="47" s="1"/>
  <c r="J238" i="47"/>
  <c r="R237" i="47"/>
  <c r="N237" i="47"/>
  <c r="O237" i="47" s="1"/>
  <c r="P237" i="47" s="1"/>
  <c r="J237" i="47"/>
  <c r="R236" i="47"/>
  <c r="N236" i="47"/>
  <c r="O236" i="47" s="1"/>
  <c r="P236" i="47" s="1"/>
  <c r="J236" i="47"/>
  <c r="R235" i="47"/>
  <c r="N235" i="47"/>
  <c r="O235" i="47" s="1"/>
  <c r="P235" i="47" s="1"/>
  <c r="J235" i="47"/>
  <c r="R234" i="47"/>
  <c r="N234" i="47"/>
  <c r="O234" i="47" s="1"/>
  <c r="P234" i="47" s="1"/>
  <c r="J234" i="47"/>
  <c r="R233" i="47"/>
  <c r="N233" i="47"/>
  <c r="O233" i="47" s="1"/>
  <c r="P233" i="47" s="1"/>
  <c r="J233" i="47"/>
  <c r="R232" i="47"/>
  <c r="N232" i="47"/>
  <c r="O232" i="47" s="1"/>
  <c r="P232" i="47" s="1"/>
  <c r="J232" i="47"/>
  <c r="R231" i="47"/>
  <c r="N231" i="47"/>
  <c r="O231" i="47" s="1"/>
  <c r="P231" i="47" s="1"/>
  <c r="J231" i="47"/>
  <c r="R230" i="47"/>
  <c r="N230" i="47"/>
  <c r="O230" i="47" s="1"/>
  <c r="P230" i="47" s="1"/>
  <c r="J230" i="47"/>
  <c r="R229" i="47"/>
  <c r="N229" i="47"/>
  <c r="O229" i="47" s="1"/>
  <c r="P229" i="47" s="1"/>
  <c r="J229" i="47"/>
  <c r="R228" i="47"/>
  <c r="N228" i="47"/>
  <c r="O228" i="47" s="1"/>
  <c r="P228" i="47" s="1"/>
  <c r="J228" i="47"/>
  <c r="R227" i="47"/>
  <c r="N227" i="47"/>
  <c r="O227" i="47" s="1"/>
  <c r="P227" i="47" s="1"/>
  <c r="J227" i="47"/>
  <c r="R226" i="47"/>
  <c r="N226" i="47"/>
  <c r="O226" i="47" s="1"/>
  <c r="P226" i="47" s="1"/>
  <c r="J226" i="47"/>
  <c r="R225" i="47"/>
  <c r="N225" i="47"/>
  <c r="O225" i="47" s="1"/>
  <c r="P225" i="47" s="1"/>
  <c r="J225" i="47"/>
  <c r="R224" i="47"/>
  <c r="N224" i="47"/>
  <c r="O224" i="47" s="1"/>
  <c r="P224" i="47" s="1"/>
  <c r="J224" i="47"/>
  <c r="R223" i="47"/>
  <c r="N223" i="47"/>
  <c r="O223" i="47" s="1"/>
  <c r="P223" i="47" s="1"/>
  <c r="J223" i="47"/>
  <c r="R222" i="47"/>
  <c r="N222" i="47"/>
  <c r="O222" i="47" s="1"/>
  <c r="P222" i="47" s="1"/>
  <c r="J222" i="47"/>
  <c r="R221" i="47"/>
  <c r="N221" i="47"/>
  <c r="O221" i="47" s="1"/>
  <c r="P221" i="47" s="1"/>
  <c r="J221" i="47"/>
  <c r="R220" i="47"/>
  <c r="N220" i="47"/>
  <c r="O220" i="47" s="1"/>
  <c r="P220" i="47" s="1"/>
  <c r="J220" i="47"/>
  <c r="R219" i="47"/>
  <c r="N219" i="47"/>
  <c r="O219" i="47" s="1"/>
  <c r="P219" i="47" s="1"/>
  <c r="J219" i="47"/>
  <c r="R218" i="47"/>
  <c r="N218" i="47"/>
  <c r="O218" i="47" s="1"/>
  <c r="P218" i="47" s="1"/>
  <c r="J218" i="47"/>
  <c r="R217" i="47"/>
  <c r="N217" i="47"/>
  <c r="O217" i="47" s="1"/>
  <c r="P217" i="47" s="1"/>
  <c r="J217" i="47"/>
  <c r="R216" i="47"/>
  <c r="N216" i="47"/>
  <c r="O216" i="47" s="1"/>
  <c r="P216" i="47" s="1"/>
  <c r="J216" i="47"/>
  <c r="R215" i="47"/>
  <c r="N215" i="47"/>
  <c r="O215" i="47" s="1"/>
  <c r="P215" i="47" s="1"/>
  <c r="J215" i="47"/>
  <c r="R214" i="47"/>
  <c r="N214" i="47"/>
  <c r="O214" i="47" s="1"/>
  <c r="P214" i="47" s="1"/>
  <c r="J214" i="47"/>
  <c r="R213" i="47"/>
  <c r="N213" i="47"/>
  <c r="O213" i="47" s="1"/>
  <c r="P213" i="47" s="1"/>
  <c r="J213" i="47"/>
  <c r="R212" i="47"/>
  <c r="N212" i="47"/>
  <c r="O212" i="47" s="1"/>
  <c r="P212" i="47" s="1"/>
  <c r="J212" i="47"/>
  <c r="R211" i="47"/>
  <c r="N211" i="47"/>
  <c r="O211" i="47" s="1"/>
  <c r="P211" i="47" s="1"/>
  <c r="J211" i="47"/>
  <c r="R210" i="47"/>
  <c r="N210" i="47"/>
  <c r="O210" i="47" s="1"/>
  <c r="P210" i="47" s="1"/>
  <c r="J210" i="47"/>
  <c r="R209" i="47"/>
  <c r="N209" i="47"/>
  <c r="O209" i="47" s="1"/>
  <c r="P209" i="47" s="1"/>
  <c r="J209" i="47"/>
  <c r="R208" i="47"/>
  <c r="N208" i="47"/>
  <c r="O208" i="47" s="1"/>
  <c r="P208" i="47" s="1"/>
  <c r="J208" i="47"/>
  <c r="R207" i="47"/>
  <c r="N207" i="47"/>
  <c r="O207" i="47" s="1"/>
  <c r="P207" i="47" s="1"/>
  <c r="J207" i="47"/>
  <c r="R206" i="47"/>
  <c r="N206" i="47"/>
  <c r="O206" i="47" s="1"/>
  <c r="P206" i="47" s="1"/>
  <c r="J206" i="47"/>
  <c r="R205" i="47"/>
  <c r="N205" i="47"/>
  <c r="O205" i="47" s="1"/>
  <c r="P205" i="47" s="1"/>
  <c r="J205" i="47"/>
  <c r="R204" i="47"/>
  <c r="N204" i="47"/>
  <c r="O204" i="47" s="1"/>
  <c r="P204" i="47" s="1"/>
  <c r="J204" i="47"/>
  <c r="R203" i="47"/>
  <c r="N203" i="47"/>
  <c r="O203" i="47" s="1"/>
  <c r="P203" i="47" s="1"/>
  <c r="J203" i="47"/>
  <c r="R202" i="47"/>
  <c r="N202" i="47"/>
  <c r="O202" i="47" s="1"/>
  <c r="P202" i="47" s="1"/>
  <c r="J202" i="47"/>
  <c r="R201" i="47"/>
  <c r="N201" i="47"/>
  <c r="O201" i="47" s="1"/>
  <c r="P201" i="47" s="1"/>
  <c r="J201" i="47"/>
  <c r="R200" i="47"/>
  <c r="N200" i="47"/>
  <c r="O200" i="47" s="1"/>
  <c r="P200" i="47" s="1"/>
  <c r="J200" i="47"/>
  <c r="R199" i="47"/>
  <c r="N199" i="47"/>
  <c r="O199" i="47" s="1"/>
  <c r="P199" i="47" s="1"/>
  <c r="J199" i="47"/>
  <c r="R198" i="47"/>
  <c r="N198" i="47"/>
  <c r="O198" i="47" s="1"/>
  <c r="P198" i="47" s="1"/>
  <c r="J198" i="47"/>
  <c r="R197" i="47"/>
  <c r="N197" i="47"/>
  <c r="O197" i="47" s="1"/>
  <c r="P197" i="47" s="1"/>
  <c r="J197" i="47"/>
  <c r="R196" i="47"/>
  <c r="N196" i="47"/>
  <c r="O196" i="47" s="1"/>
  <c r="P196" i="47" s="1"/>
  <c r="J196" i="47"/>
  <c r="R195" i="47"/>
  <c r="N195" i="47"/>
  <c r="O195" i="47" s="1"/>
  <c r="P195" i="47" s="1"/>
  <c r="J195" i="47"/>
  <c r="R194" i="47"/>
  <c r="N194" i="47"/>
  <c r="O194" i="47" s="1"/>
  <c r="P194" i="47" s="1"/>
  <c r="J194" i="47"/>
  <c r="R193" i="47"/>
  <c r="N193" i="47"/>
  <c r="O193" i="47" s="1"/>
  <c r="P193" i="47" s="1"/>
  <c r="J193" i="47"/>
  <c r="R192" i="47"/>
  <c r="N192" i="47"/>
  <c r="O192" i="47" s="1"/>
  <c r="P192" i="47" s="1"/>
  <c r="J192" i="47"/>
  <c r="R191" i="47"/>
  <c r="N191" i="47"/>
  <c r="O191" i="47" s="1"/>
  <c r="P191" i="47" s="1"/>
  <c r="J191" i="47"/>
  <c r="R190" i="47"/>
  <c r="N190" i="47"/>
  <c r="O190" i="47" s="1"/>
  <c r="P190" i="47" s="1"/>
  <c r="J190" i="47"/>
  <c r="R189" i="47"/>
  <c r="N189" i="47"/>
  <c r="O189" i="47" s="1"/>
  <c r="P189" i="47" s="1"/>
  <c r="J189" i="47"/>
  <c r="R188" i="47"/>
  <c r="N188" i="47"/>
  <c r="O188" i="47" s="1"/>
  <c r="P188" i="47" s="1"/>
  <c r="J188" i="47"/>
  <c r="R187" i="47"/>
  <c r="N187" i="47"/>
  <c r="O187" i="47" s="1"/>
  <c r="P187" i="47" s="1"/>
  <c r="J187" i="47"/>
  <c r="R186" i="47"/>
  <c r="N186" i="47"/>
  <c r="O186" i="47" s="1"/>
  <c r="P186" i="47" s="1"/>
  <c r="J186" i="47"/>
  <c r="R185" i="47"/>
  <c r="N185" i="47"/>
  <c r="O185" i="47" s="1"/>
  <c r="P185" i="47" s="1"/>
  <c r="J185" i="47"/>
  <c r="R184" i="47"/>
  <c r="N184" i="47"/>
  <c r="O184" i="47" s="1"/>
  <c r="P184" i="47" s="1"/>
  <c r="J184" i="47"/>
  <c r="R183" i="47"/>
  <c r="N183" i="47"/>
  <c r="O183" i="47" s="1"/>
  <c r="P183" i="47" s="1"/>
  <c r="J183" i="47"/>
  <c r="R182" i="47"/>
  <c r="N182" i="47"/>
  <c r="O182" i="47" s="1"/>
  <c r="P182" i="47" s="1"/>
  <c r="J182" i="47"/>
  <c r="R181" i="47"/>
  <c r="N181" i="47"/>
  <c r="O181" i="47" s="1"/>
  <c r="P181" i="47" s="1"/>
  <c r="J181" i="47"/>
  <c r="R180" i="47"/>
  <c r="N180" i="47"/>
  <c r="O180" i="47" s="1"/>
  <c r="P180" i="47" s="1"/>
  <c r="J180" i="47"/>
  <c r="R179" i="47"/>
  <c r="N179" i="47"/>
  <c r="O179" i="47" s="1"/>
  <c r="P179" i="47" s="1"/>
  <c r="J179" i="47"/>
  <c r="R250" i="46"/>
  <c r="N250" i="46"/>
  <c r="O250" i="46" s="1"/>
  <c r="P250" i="46" s="1"/>
  <c r="J250" i="46"/>
  <c r="R249" i="46"/>
  <c r="N249" i="46"/>
  <c r="O249" i="46" s="1"/>
  <c r="P249" i="46" s="1"/>
  <c r="J249" i="46"/>
  <c r="R248" i="46"/>
  <c r="N248" i="46"/>
  <c r="O248" i="46" s="1"/>
  <c r="P248" i="46" s="1"/>
  <c r="J248" i="46"/>
  <c r="R247" i="46"/>
  <c r="N247" i="46"/>
  <c r="O247" i="46" s="1"/>
  <c r="P247" i="46" s="1"/>
  <c r="J247" i="46"/>
  <c r="R246" i="46"/>
  <c r="N246" i="46"/>
  <c r="O246" i="46" s="1"/>
  <c r="P246" i="46" s="1"/>
  <c r="J246" i="46"/>
  <c r="R245" i="46"/>
  <c r="N245" i="46"/>
  <c r="O245" i="46" s="1"/>
  <c r="P245" i="46" s="1"/>
  <c r="J245" i="46"/>
  <c r="R244" i="46"/>
  <c r="N244" i="46"/>
  <c r="O244" i="46" s="1"/>
  <c r="P244" i="46" s="1"/>
  <c r="J244" i="46"/>
  <c r="R243" i="46"/>
  <c r="N243" i="46"/>
  <c r="O243" i="46" s="1"/>
  <c r="P243" i="46" s="1"/>
  <c r="J243" i="46"/>
  <c r="R242" i="46"/>
  <c r="N242" i="46"/>
  <c r="O242" i="46" s="1"/>
  <c r="P242" i="46" s="1"/>
  <c r="J242" i="46"/>
  <c r="R241" i="46"/>
  <c r="N241" i="46"/>
  <c r="O241" i="46" s="1"/>
  <c r="P241" i="46" s="1"/>
  <c r="J241" i="46"/>
  <c r="R240" i="46"/>
  <c r="N240" i="46"/>
  <c r="O240" i="46" s="1"/>
  <c r="P240" i="46" s="1"/>
  <c r="J240" i="46"/>
  <c r="R239" i="46"/>
  <c r="N239" i="46"/>
  <c r="O239" i="46" s="1"/>
  <c r="P239" i="46" s="1"/>
  <c r="J239" i="46"/>
  <c r="R238" i="46"/>
  <c r="N238" i="46"/>
  <c r="O238" i="46" s="1"/>
  <c r="P238" i="46" s="1"/>
  <c r="J238" i="46"/>
  <c r="R237" i="46"/>
  <c r="N237" i="46"/>
  <c r="O237" i="46" s="1"/>
  <c r="P237" i="46" s="1"/>
  <c r="J237" i="46"/>
  <c r="R236" i="46"/>
  <c r="N236" i="46"/>
  <c r="O236" i="46" s="1"/>
  <c r="P236" i="46" s="1"/>
  <c r="J236" i="46"/>
  <c r="R235" i="46"/>
  <c r="N235" i="46"/>
  <c r="O235" i="46" s="1"/>
  <c r="P235" i="46" s="1"/>
  <c r="J235" i="46"/>
  <c r="R234" i="46"/>
  <c r="N234" i="46"/>
  <c r="O234" i="46" s="1"/>
  <c r="P234" i="46" s="1"/>
  <c r="J234" i="46"/>
  <c r="R233" i="46"/>
  <c r="N233" i="46"/>
  <c r="O233" i="46" s="1"/>
  <c r="P233" i="46" s="1"/>
  <c r="J233" i="46"/>
  <c r="R232" i="46"/>
  <c r="N232" i="46"/>
  <c r="O232" i="46" s="1"/>
  <c r="P232" i="46" s="1"/>
  <c r="J232" i="46"/>
  <c r="R231" i="46"/>
  <c r="N231" i="46"/>
  <c r="O231" i="46" s="1"/>
  <c r="P231" i="46" s="1"/>
  <c r="J231" i="46"/>
  <c r="R230" i="46"/>
  <c r="N230" i="46"/>
  <c r="O230" i="46" s="1"/>
  <c r="P230" i="46" s="1"/>
  <c r="J230" i="46"/>
  <c r="R229" i="46"/>
  <c r="N229" i="46"/>
  <c r="O229" i="46" s="1"/>
  <c r="P229" i="46" s="1"/>
  <c r="J229" i="46"/>
  <c r="R228" i="46"/>
  <c r="N228" i="46"/>
  <c r="O228" i="46" s="1"/>
  <c r="P228" i="46" s="1"/>
  <c r="J228" i="46"/>
  <c r="R227" i="46"/>
  <c r="N227" i="46"/>
  <c r="O227" i="46" s="1"/>
  <c r="P227" i="46" s="1"/>
  <c r="J227" i="46"/>
  <c r="R226" i="46"/>
  <c r="N226" i="46"/>
  <c r="O226" i="46" s="1"/>
  <c r="P226" i="46" s="1"/>
  <c r="J226" i="46"/>
  <c r="R225" i="46"/>
  <c r="N225" i="46"/>
  <c r="O225" i="46" s="1"/>
  <c r="P225" i="46" s="1"/>
  <c r="J225" i="46"/>
  <c r="R224" i="46"/>
  <c r="N224" i="46"/>
  <c r="O224" i="46" s="1"/>
  <c r="P224" i="46" s="1"/>
  <c r="J224" i="46"/>
  <c r="R223" i="46"/>
  <c r="N223" i="46"/>
  <c r="O223" i="46" s="1"/>
  <c r="P223" i="46" s="1"/>
  <c r="J223" i="46"/>
  <c r="R222" i="46"/>
  <c r="N222" i="46"/>
  <c r="O222" i="46" s="1"/>
  <c r="P222" i="46" s="1"/>
  <c r="J222" i="46"/>
  <c r="R221" i="46"/>
  <c r="N221" i="46"/>
  <c r="O221" i="46" s="1"/>
  <c r="P221" i="46" s="1"/>
  <c r="J221" i="46"/>
  <c r="R220" i="46"/>
  <c r="N220" i="46"/>
  <c r="O220" i="46" s="1"/>
  <c r="P220" i="46" s="1"/>
  <c r="J220" i="46"/>
  <c r="R219" i="46"/>
  <c r="N219" i="46"/>
  <c r="O219" i="46" s="1"/>
  <c r="P219" i="46" s="1"/>
  <c r="J219" i="46"/>
  <c r="R218" i="46"/>
  <c r="N218" i="46"/>
  <c r="O218" i="46" s="1"/>
  <c r="P218" i="46" s="1"/>
  <c r="J218" i="46"/>
  <c r="R217" i="46"/>
  <c r="N217" i="46"/>
  <c r="O217" i="46" s="1"/>
  <c r="P217" i="46" s="1"/>
  <c r="J217" i="46"/>
  <c r="R216" i="46"/>
  <c r="N216" i="46"/>
  <c r="O216" i="46" s="1"/>
  <c r="P216" i="46" s="1"/>
  <c r="J216" i="46"/>
  <c r="R215" i="46"/>
  <c r="N215" i="46"/>
  <c r="O215" i="46" s="1"/>
  <c r="P215" i="46" s="1"/>
  <c r="J215" i="46"/>
  <c r="R214" i="46"/>
  <c r="N214" i="46"/>
  <c r="O214" i="46" s="1"/>
  <c r="P214" i="46" s="1"/>
  <c r="J214" i="46"/>
  <c r="R213" i="46"/>
  <c r="N213" i="46"/>
  <c r="O213" i="46" s="1"/>
  <c r="P213" i="46" s="1"/>
  <c r="J213" i="46"/>
  <c r="R212" i="46"/>
  <c r="N212" i="46"/>
  <c r="O212" i="46" s="1"/>
  <c r="P212" i="46" s="1"/>
  <c r="J212" i="46"/>
  <c r="R211" i="46"/>
  <c r="N211" i="46"/>
  <c r="O211" i="46" s="1"/>
  <c r="P211" i="46" s="1"/>
  <c r="J211" i="46"/>
  <c r="R210" i="46"/>
  <c r="N210" i="46"/>
  <c r="O210" i="46" s="1"/>
  <c r="P210" i="46" s="1"/>
  <c r="J210" i="46"/>
  <c r="R209" i="46"/>
  <c r="N209" i="46"/>
  <c r="O209" i="46" s="1"/>
  <c r="P209" i="46" s="1"/>
  <c r="J209" i="46"/>
  <c r="R208" i="46"/>
  <c r="N208" i="46"/>
  <c r="O208" i="46" s="1"/>
  <c r="P208" i="46" s="1"/>
  <c r="J208" i="46"/>
  <c r="R207" i="46"/>
  <c r="N207" i="46"/>
  <c r="O207" i="46" s="1"/>
  <c r="P207" i="46" s="1"/>
  <c r="J207" i="46"/>
  <c r="R206" i="46"/>
  <c r="N206" i="46"/>
  <c r="O206" i="46" s="1"/>
  <c r="P206" i="46" s="1"/>
  <c r="J206" i="46"/>
  <c r="R205" i="46"/>
  <c r="N205" i="46"/>
  <c r="O205" i="46" s="1"/>
  <c r="P205" i="46" s="1"/>
  <c r="J205" i="46"/>
  <c r="R204" i="46"/>
  <c r="N204" i="46"/>
  <c r="O204" i="46" s="1"/>
  <c r="P204" i="46" s="1"/>
  <c r="J204" i="46"/>
  <c r="R203" i="46"/>
  <c r="N203" i="46"/>
  <c r="O203" i="46" s="1"/>
  <c r="P203" i="46" s="1"/>
  <c r="J203" i="46"/>
  <c r="R202" i="46"/>
  <c r="N202" i="46"/>
  <c r="O202" i="46" s="1"/>
  <c r="P202" i="46" s="1"/>
  <c r="J202" i="46"/>
  <c r="R201" i="46"/>
  <c r="N201" i="46"/>
  <c r="O201" i="46" s="1"/>
  <c r="P201" i="46" s="1"/>
  <c r="J201" i="46"/>
  <c r="R200" i="46"/>
  <c r="N200" i="46"/>
  <c r="O200" i="46" s="1"/>
  <c r="P200" i="46" s="1"/>
  <c r="J200" i="46"/>
  <c r="R199" i="46"/>
  <c r="N199" i="46"/>
  <c r="O199" i="46" s="1"/>
  <c r="P199" i="46" s="1"/>
  <c r="J199" i="46"/>
  <c r="R198" i="46"/>
  <c r="N198" i="46"/>
  <c r="O198" i="46" s="1"/>
  <c r="P198" i="46" s="1"/>
  <c r="J198" i="46"/>
  <c r="R197" i="46"/>
  <c r="N197" i="46"/>
  <c r="O197" i="46" s="1"/>
  <c r="P197" i="46" s="1"/>
  <c r="J197" i="46"/>
  <c r="R196" i="46"/>
  <c r="N196" i="46"/>
  <c r="O196" i="46" s="1"/>
  <c r="P196" i="46" s="1"/>
  <c r="J196" i="46"/>
  <c r="R195" i="46"/>
  <c r="N195" i="46"/>
  <c r="O195" i="46" s="1"/>
  <c r="P195" i="46" s="1"/>
  <c r="J195" i="46"/>
  <c r="R194" i="46"/>
  <c r="N194" i="46"/>
  <c r="O194" i="46" s="1"/>
  <c r="P194" i="46" s="1"/>
  <c r="J194" i="46"/>
  <c r="R193" i="46"/>
  <c r="N193" i="46"/>
  <c r="O193" i="46" s="1"/>
  <c r="P193" i="46" s="1"/>
  <c r="J193" i="46"/>
  <c r="R192" i="46"/>
  <c r="N192" i="46"/>
  <c r="O192" i="46" s="1"/>
  <c r="P192" i="46" s="1"/>
  <c r="J192" i="46"/>
  <c r="R191" i="46"/>
  <c r="N191" i="46"/>
  <c r="O191" i="46" s="1"/>
  <c r="P191" i="46" s="1"/>
  <c r="J191" i="46"/>
  <c r="R190" i="46"/>
  <c r="N190" i="46"/>
  <c r="O190" i="46" s="1"/>
  <c r="P190" i="46" s="1"/>
  <c r="J190" i="46"/>
  <c r="R189" i="46"/>
  <c r="N189" i="46"/>
  <c r="O189" i="46" s="1"/>
  <c r="P189" i="46" s="1"/>
  <c r="J189" i="46"/>
  <c r="R188" i="46"/>
  <c r="N188" i="46"/>
  <c r="O188" i="46" s="1"/>
  <c r="P188" i="46" s="1"/>
  <c r="J188" i="46"/>
  <c r="R187" i="46"/>
  <c r="N187" i="46"/>
  <c r="O187" i="46" s="1"/>
  <c r="P187" i="46" s="1"/>
  <c r="J187" i="46"/>
  <c r="R186" i="46"/>
  <c r="N186" i="46"/>
  <c r="O186" i="46" s="1"/>
  <c r="P186" i="46" s="1"/>
  <c r="J186" i="46"/>
  <c r="R185" i="46"/>
  <c r="N185" i="46"/>
  <c r="O185" i="46" s="1"/>
  <c r="P185" i="46" s="1"/>
  <c r="J185" i="46"/>
  <c r="R184" i="46"/>
  <c r="N184" i="46"/>
  <c r="O184" i="46" s="1"/>
  <c r="P184" i="46" s="1"/>
  <c r="J184" i="46"/>
  <c r="R183" i="46"/>
  <c r="N183" i="46"/>
  <c r="O183" i="46" s="1"/>
  <c r="P183" i="46" s="1"/>
  <c r="J183" i="46"/>
  <c r="R182" i="46"/>
  <c r="N182" i="46"/>
  <c r="O182" i="46" s="1"/>
  <c r="P182" i="46" s="1"/>
  <c r="J182" i="46"/>
  <c r="R181" i="46"/>
  <c r="N181" i="46"/>
  <c r="O181" i="46" s="1"/>
  <c r="P181" i="46" s="1"/>
  <c r="J181" i="46"/>
  <c r="R180" i="46"/>
  <c r="N180" i="46"/>
  <c r="O180" i="46" s="1"/>
  <c r="P180" i="46" s="1"/>
  <c r="J180" i="46"/>
  <c r="R179" i="46"/>
  <c r="N179" i="46"/>
  <c r="O179" i="46" s="1"/>
  <c r="P179" i="46" s="1"/>
  <c r="J179" i="46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2" i="1"/>
  <c r="AI179" i="47"/>
  <c r="AI180" i="47"/>
  <c r="AI181" i="47"/>
  <c r="AI182" i="47"/>
  <c r="AI183" i="47"/>
  <c r="AI184" i="47"/>
  <c r="AI185" i="47"/>
  <c r="AI186" i="47"/>
  <c r="AI187" i="47"/>
  <c r="AI188" i="47"/>
  <c r="AI189" i="47"/>
  <c r="AI190" i="47"/>
  <c r="AI191" i="47"/>
  <c r="AI192" i="47"/>
  <c r="AI193" i="47"/>
  <c r="AI194" i="47"/>
  <c r="AI195" i="47"/>
  <c r="AI196" i="47"/>
  <c r="AI197" i="47"/>
  <c r="AI198" i="47"/>
  <c r="AI199" i="47"/>
  <c r="AI200" i="47"/>
  <c r="AI201" i="47"/>
  <c r="AI202" i="47"/>
  <c r="AI203" i="47"/>
  <c r="AI204" i="47"/>
  <c r="AI205" i="47"/>
  <c r="AI206" i="47"/>
  <c r="AI207" i="47"/>
  <c r="AI208" i="47"/>
  <c r="AI209" i="47"/>
  <c r="AI210" i="47"/>
  <c r="AI211" i="47"/>
  <c r="AI212" i="47"/>
  <c r="AI213" i="47"/>
  <c r="AI214" i="47"/>
  <c r="AI215" i="47"/>
  <c r="AI216" i="47"/>
  <c r="AI217" i="47"/>
  <c r="AI218" i="47"/>
  <c r="AI219" i="47"/>
  <c r="AI220" i="47"/>
  <c r="AI221" i="47"/>
  <c r="AI222" i="47"/>
  <c r="AI223" i="47"/>
  <c r="AI224" i="47"/>
  <c r="AI225" i="47"/>
  <c r="AI226" i="47"/>
  <c r="AI227" i="47"/>
  <c r="AI228" i="47"/>
  <c r="AI229" i="47"/>
  <c r="AI230" i="47"/>
  <c r="AI231" i="47"/>
  <c r="AI232" i="47"/>
  <c r="AI233" i="47"/>
  <c r="AI234" i="47"/>
  <c r="AI235" i="47"/>
  <c r="AI236" i="47"/>
  <c r="AI237" i="47"/>
  <c r="AI238" i="47"/>
  <c r="AI239" i="47"/>
  <c r="AI240" i="47"/>
  <c r="AI241" i="47"/>
  <c r="AI242" i="47"/>
  <c r="AI243" i="47"/>
  <c r="AI244" i="47"/>
  <c r="AI245" i="47"/>
  <c r="AI246" i="47"/>
  <c r="AI247" i="47"/>
  <c r="AI248" i="47"/>
  <c r="AI249" i="47"/>
  <c r="AI250" i="47"/>
  <c r="AI179" i="46"/>
  <c r="AI180" i="46"/>
  <c r="AI181" i="46"/>
  <c r="AI182" i="46"/>
  <c r="AI183" i="46"/>
  <c r="AI184" i="46"/>
  <c r="AI185" i="46"/>
  <c r="AI186" i="46"/>
  <c r="AI187" i="46"/>
  <c r="AI188" i="46"/>
  <c r="AI189" i="46"/>
  <c r="AI190" i="46"/>
  <c r="AI191" i="46"/>
  <c r="AI192" i="46"/>
  <c r="AI193" i="46"/>
  <c r="AI194" i="46"/>
  <c r="AI195" i="46"/>
  <c r="AI196" i="46"/>
  <c r="AI197" i="46"/>
  <c r="AI198" i="46"/>
  <c r="AI199" i="46"/>
  <c r="AI200" i="46"/>
  <c r="AI201" i="46"/>
  <c r="AI202" i="46"/>
  <c r="AI203" i="46"/>
  <c r="AI204" i="46"/>
  <c r="AI205" i="46"/>
  <c r="AI206" i="46"/>
  <c r="AI207" i="46"/>
  <c r="AI208" i="46"/>
  <c r="AI209" i="46"/>
  <c r="AI210" i="46"/>
  <c r="AI211" i="46"/>
  <c r="AI212" i="46"/>
  <c r="AI213" i="46"/>
  <c r="AI214" i="46"/>
  <c r="AI215" i="46"/>
  <c r="AI216" i="46"/>
  <c r="AI217" i="46"/>
  <c r="AI218" i="46"/>
  <c r="AI219" i="46"/>
  <c r="AI220" i="46"/>
  <c r="AI221" i="46"/>
  <c r="AI222" i="46"/>
  <c r="AI223" i="46"/>
  <c r="AI224" i="46"/>
  <c r="AI225" i="46"/>
  <c r="AI226" i="46"/>
  <c r="AI227" i="46"/>
  <c r="AI228" i="46"/>
  <c r="AI229" i="46"/>
  <c r="AI230" i="46"/>
  <c r="AI231" i="46"/>
  <c r="AI232" i="46"/>
  <c r="AI233" i="46"/>
  <c r="AI234" i="46"/>
  <c r="AI235" i="46"/>
  <c r="AI236" i="46"/>
  <c r="AI237" i="46"/>
  <c r="AI238" i="46"/>
  <c r="AI239" i="46"/>
  <c r="AI240" i="46"/>
  <c r="AI241" i="46"/>
  <c r="AI242" i="46"/>
  <c r="AI243" i="46"/>
  <c r="AI244" i="46"/>
  <c r="AI245" i="46"/>
  <c r="AI246" i="46"/>
  <c r="AI247" i="46"/>
  <c r="AI248" i="46"/>
  <c r="AI249" i="46"/>
  <c r="AI250" i="46"/>
  <c r="AI178" i="7"/>
  <c r="AI186" i="7"/>
  <c r="AI189" i="7"/>
  <c r="AI190" i="7"/>
  <c r="AI191" i="7"/>
  <c r="AI192" i="7"/>
  <c r="AI193" i="7"/>
  <c r="AI194" i="7"/>
  <c r="AI195" i="7"/>
  <c r="AI196" i="7"/>
  <c r="AI197" i="7"/>
  <c r="AI198" i="7"/>
  <c r="AI199" i="7"/>
  <c r="AI200" i="7"/>
  <c r="AI201" i="7"/>
  <c r="AI202" i="7"/>
  <c r="AI203" i="7"/>
  <c r="AI204" i="7"/>
  <c r="AI205" i="7"/>
  <c r="AI206" i="7"/>
  <c r="AI207" i="7"/>
  <c r="AI208" i="7"/>
  <c r="AI209" i="7"/>
  <c r="AI210" i="7"/>
  <c r="AI211" i="7"/>
  <c r="AI212" i="7"/>
  <c r="AI213" i="7"/>
  <c r="AI214" i="7"/>
  <c r="AI215" i="7"/>
  <c r="AI216" i="7"/>
  <c r="AI217" i="7"/>
  <c r="AI218" i="7"/>
  <c r="AI219" i="7"/>
  <c r="AI220" i="7"/>
  <c r="AI221" i="7"/>
  <c r="AI222" i="7"/>
  <c r="AI223" i="7"/>
  <c r="AI224" i="7"/>
  <c r="AI225" i="7"/>
  <c r="AI226" i="7"/>
  <c r="AI227" i="7"/>
  <c r="AI228" i="7"/>
  <c r="AI229" i="7"/>
  <c r="AI230" i="7"/>
  <c r="AI231" i="7"/>
  <c r="AI232" i="7"/>
  <c r="AI233" i="7"/>
  <c r="AI234" i="7"/>
  <c r="AI235" i="7"/>
  <c r="AI236" i="7"/>
  <c r="AI237" i="7"/>
  <c r="AI238" i="7"/>
  <c r="AI239" i="7"/>
  <c r="AI240" i="7"/>
  <c r="AI241" i="7"/>
  <c r="AI242" i="7"/>
  <c r="AI243" i="7"/>
  <c r="AI244" i="7"/>
  <c r="AI245" i="7"/>
  <c r="AI246" i="7"/>
  <c r="AI247" i="7"/>
  <c r="AI248" i="7"/>
  <c r="AI249" i="7"/>
  <c r="AI250" i="7"/>
  <c r="V7" i="7"/>
  <c r="J178" i="7"/>
  <c r="N178" i="7"/>
  <c r="O178" i="7" s="1"/>
  <c r="P178" i="7" s="1"/>
  <c r="R178" i="7"/>
  <c r="J179" i="7"/>
  <c r="P179" i="7"/>
  <c r="R179" i="7"/>
  <c r="J180" i="7"/>
  <c r="O180" i="7"/>
  <c r="P180" i="7" s="1"/>
  <c r="R180" i="7"/>
  <c r="J181" i="7"/>
  <c r="O181" i="7"/>
  <c r="P181" i="7" s="1"/>
  <c r="J182" i="7"/>
  <c r="O182" i="7"/>
  <c r="P182" i="7" s="1"/>
  <c r="J183" i="7"/>
  <c r="N183" i="7"/>
  <c r="O183" i="7" s="1"/>
  <c r="P183" i="7" s="1"/>
  <c r="J184" i="7"/>
  <c r="O184" i="7"/>
  <c r="P184" i="7" s="1"/>
  <c r="R184" i="7"/>
  <c r="J185" i="7"/>
  <c r="O185" i="7"/>
  <c r="P185" i="7" s="1"/>
  <c r="R185" i="7"/>
  <c r="J186" i="7"/>
  <c r="N186" i="7"/>
  <c r="O186" i="7" s="1"/>
  <c r="P186" i="7" s="1"/>
  <c r="R186" i="7"/>
  <c r="J187" i="7"/>
  <c r="O187" i="7"/>
  <c r="P187" i="7" s="1"/>
  <c r="R187" i="7"/>
  <c r="J188" i="7"/>
  <c r="P188" i="7"/>
  <c r="R188" i="7"/>
  <c r="J189" i="7"/>
  <c r="N189" i="7"/>
  <c r="O189" i="7" s="1"/>
  <c r="P189" i="7" s="1"/>
  <c r="R189" i="7"/>
  <c r="J190" i="7"/>
  <c r="N190" i="7"/>
  <c r="O190" i="7" s="1"/>
  <c r="P190" i="7" s="1"/>
  <c r="R190" i="7"/>
  <c r="J191" i="7"/>
  <c r="N191" i="7"/>
  <c r="O191" i="7" s="1"/>
  <c r="P191" i="7" s="1"/>
  <c r="R191" i="7"/>
  <c r="J192" i="7"/>
  <c r="N192" i="7"/>
  <c r="O192" i="7" s="1"/>
  <c r="P192" i="7" s="1"/>
  <c r="R192" i="7"/>
  <c r="J193" i="7"/>
  <c r="N193" i="7"/>
  <c r="O193" i="7" s="1"/>
  <c r="P193" i="7" s="1"/>
  <c r="R193" i="7"/>
  <c r="J194" i="7"/>
  <c r="N194" i="7"/>
  <c r="O194" i="7" s="1"/>
  <c r="P194" i="7" s="1"/>
  <c r="R194" i="7"/>
  <c r="J195" i="7"/>
  <c r="N195" i="7"/>
  <c r="O195" i="7" s="1"/>
  <c r="P195" i="7" s="1"/>
  <c r="R195" i="7"/>
  <c r="J196" i="7"/>
  <c r="N196" i="7"/>
  <c r="O196" i="7" s="1"/>
  <c r="P196" i="7" s="1"/>
  <c r="R196" i="7"/>
  <c r="J197" i="7"/>
  <c r="N197" i="7"/>
  <c r="O197" i="7" s="1"/>
  <c r="P197" i="7" s="1"/>
  <c r="R197" i="7"/>
  <c r="J198" i="7"/>
  <c r="N198" i="7"/>
  <c r="O198" i="7" s="1"/>
  <c r="P198" i="7" s="1"/>
  <c r="R198" i="7"/>
  <c r="J199" i="7"/>
  <c r="N199" i="7"/>
  <c r="O199" i="7" s="1"/>
  <c r="P199" i="7" s="1"/>
  <c r="R199" i="7"/>
  <c r="J200" i="7"/>
  <c r="N200" i="7"/>
  <c r="O200" i="7" s="1"/>
  <c r="P200" i="7" s="1"/>
  <c r="R200" i="7"/>
  <c r="J201" i="7"/>
  <c r="N201" i="7"/>
  <c r="O201" i="7" s="1"/>
  <c r="P201" i="7" s="1"/>
  <c r="R201" i="7"/>
  <c r="J202" i="7"/>
  <c r="N202" i="7"/>
  <c r="O202" i="7" s="1"/>
  <c r="P202" i="7" s="1"/>
  <c r="R202" i="7"/>
  <c r="J203" i="7"/>
  <c r="N203" i="7"/>
  <c r="O203" i="7" s="1"/>
  <c r="P203" i="7" s="1"/>
  <c r="R203" i="7"/>
  <c r="J204" i="7"/>
  <c r="N204" i="7"/>
  <c r="O204" i="7" s="1"/>
  <c r="P204" i="7" s="1"/>
  <c r="R204" i="7"/>
  <c r="J205" i="7"/>
  <c r="N205" i="7"/>
  <c r="O205" i="7" s="1"/>
  <c r="P205" i="7" s="1"/>
  <c r="R205" i="7"/>
  <c r="J206" i="7"/>
  <c r="N206" i="7"/>
  <c r="O206" i="7" s="1"/>
  <c r="P206" i="7" s="1"/>
  <c r="R206" i="7"/>
  <c r="J207" i="7"/>
  <c r="N207" i="7"/>
  <c r="O207" i="7" s="1"/>
  <c r="P207" i="7" s="1"/>
  <c r="R207" i="7"/>
  <c r="J208" i="7"/>
  <c r="N208" i="7"/>
  <c r="O208" i="7" s="1"/>
  <c r="P208" i="7" s="1"/>
  <c r="R208" i="7"/>
  <c r="J209" i="7"/>
  <c r="N209" i="7"/>
  <c r="O209" i="7" s="1"/>
  <c r="P209" i="7" s="1"/>
  <c r="R209" i="7"/>
  <c r="J210" i="7"/>
  <c r="N210" i="7"/>
  <c r="O210" i="7" s="1"/>
  <c r="P210" i="7" s="1"/>
  <c r="R210" i="7"/>
  <c r="J211" i="7"/>
  <c r="N211" i="7"/>
  <c r="O211" i="7" s="1"/>
  <c r="P211" i="7" s="1"/>
  <c r="R211" i="7"/>
  <c r="J212" i="7"/>
  <c r="N212" i="7"/>
  <c r="O212" i="7" s="1"/>
  <c r="P212" i="7" s="1"/>
  <c r="R212" i="7"/>
  <c r="J213" i="7"/>
  <c r="N213" i="7"/>
  <c r="O213" i="7" s="1"/>
  <c r="P213" i="7" s="1"/>
  <c r="R213" i="7"/>
  <c r="J214" i="7"/>
  <c r="N214" i="7"/>
  <c r="O214" i="7" s="1"/>
  <c r="P214" i="7" s="1"/>
  <c r="R214" i="7"/>
  <c r="J215" i="7"/>
  <c r="N215" i="7"/>
  <c r="O215" i="7" s="1"/>
  <c r="P215" i="7" s="1"/>
  <c r="R215" i="7"/>
  <c r="J216" i="7"/>
  <c r="N216" i="7"/>
  <c r="O216" i="7" s="1"/>
  <c r="P216" i="7" s="1"/>
  <c r="R216" i="7"/>
  <c r="J217" i="7"/>
  <c r="N217" i="7"/>
  <c r="O217" i="7" s="1"/>
  <c r="P217" i="7" s="1"/>
  <c r="R217" i="7"/>
  <c r="J218" i="7"/>
  <c r="N218" i="7"/>
  <c r="O218" i="7" s="1"/>
  <c r="P218" i="7" s="1"/>
  <c r="R218" i="7"/>
  <c r="J219" i="7"/>
  <c r="N219" i="7"/>
  <c r="O219" i="7" s="1"/>
  <c r="P219" i="7" s="1"/>
  <c r="R219" i="7"/>
  <c r="J220" i="7"/>
  <c r="N220" i="7"/>
  <c r="O220" i="7" s="1"/>
  <c r="P220" i="7" s="1"/>
  <c r="R220" i="7"/>
  <c r="J221" i="7"/>
  <c r="N221" i="7"/>
  <c r="O221" i="7" s="1"/>
  <c r="P221" i="7" s="1"/>
  <c r="R221" i="7"/>
  <c r="J222" i="7"/>
  <c r="N222" i="7"/>
  <c r="O222" i="7" s="1"/>
  <c r="P222" i="7" s="1"/>
  <c r="R222" i="7"/>
  <c r="J223" i="7"/>
  <c r="N223" i="7"/>
  <c r="O223" i="7" s="1"/>
  <c r="P223" i="7" s="1"/>
  <c r="R223" i="7"/>
  <c r="J224" i="7"/>
  <c r="N224" i="7"/>
  <c r="O224" i="7" s="1"/>
  <c r="P224" i="7" s="1"/>
  <c r="R224" i="7"/>
  <c r="J225" i="7"/>
  <c r="N225" i="7"/>
  <c r="O225" i="7" s="1"/>
  <c r="P225" i="7" s="1"/>
  <c r="R225" i="7"/>
  <c r="J226" i="7"/>
  <c r="N226" i="7"/>
  <c r="O226" i="7" s="1"/>
  <c r="P226" i="7" s="1"/>
  <c r="R226" i="7"/>
  <c r="J227" i="7"/>
  <c r="N227" i="7"/>
  <c r="O227" i="7" s="1"/>
  <c r="P227" i="7" s="1"/>
  <c r="R227" i="7"/>
  <c r="J228" i="7"/>
  <c r="N228" i="7"/>
  <c r="O228" i="7" s="1"/>
  <c r="P228" i="7" s="1"/>
  <c r="R228" i="7"/>
  <c r="J229" i="7"/>
  <c r="N229" i="7"/>
  <c r="O229" i="7" s="1"/>
  <c r="P229" i="7" s="1"/>
  <c r="R229" i="7"/>
  <c r="J230" i="7"/>
  <c r="N230" i="7"/>
  <c r="O230" i="7" s="1"/>
  <c r="P230" i="7" s="1"/>
  <c r="R230" i="7"/>
  <c r="J231" i="7"/>
  <c r="N231" i="7"/>
  <c r="O231" i="7" s="1"/>
  <c r="P231" i="7" s="1"/>
  <c r="R231" i="7"/>
  <c r="J232" i="7"/>
  <c r="N232" i="7"/>
  <c r="O232" i="7" s="1"/>
  <c r="P232" i="7" s="1"/>
  <c r="R232" i="7"/>
  <c r="J233" i="7"/>
  <c r="N233" i="7"/>
  <c r="O233" i="7" s="1"/>
  <c r="P233" i="7" s="1"/>
  <c r="R233" i="7"/>
  <c r="J234" i="7"/>
  <c r="N234" i="7"/>
  <c r="O234" i="7" s="1"/>
  <c r="P234" i="7" s="1"/>
  <c r="R234" i="7"/>
  <c r="J235" i="7"/>
  <c r="N235" i="7"/>
  <c r="O235" i="7" s="1"/>
  <c r="P235" i="7" s="1"/>
  <c r="R235" i="7"/>
  <c r="J236" i="7"/>
  <c r="N236" i="7"/>
  <c r="O236" i="7" s="1"/>
  <c r="P236" i="7" s="1"/>
  <c r="R236" i="7"/>
  <c r="J237" i="7"/>
  <c r="N237" i="7"/>
  <c r="O237" i="7" s="1"/>
  <c r="P237" i="7" s="1"/>
  <c r="R237" i="7"/>
  <c r="J238" i="7"/>
  <c r="N238" i="7"/>
  <c r="O238" i="7" s="1"/>
  <c r="P238" i="7" s="1"/>
  <c r="R238" i="7"/>
  <c r="J239" i="7"/>
  <c r="N239" i="7"/>
  <c r="O239" i="7" s="1"/>
  <c r="P239" i="7" s="1"/>
  <c r="R239" i="7"/>
  <c r="J240" i="7"/>
  <c r="N240" i="7"/>
  <c r="O240" i="7" s="1"/>
  <c r="P240" i="7" s="1"/>
  <c r="R240" i="7"/>
  <c r="J241" i="7"/>
  <c r="N241" i="7"/>
  <c r="O241" i="7" s="1"/>
  <c r="P241" i="7" s="1"/>
  <c r="R241" i="7"/>
  <c r="J242" i="7"/>
  <c r="N242" i="7"/>
  <c r="O242" i="7" s="1"/>
  <c r="P242" i="7" s="1"/>
  <c r="R242" i="7"/>
  <c r="J243" i="7"/>
  <c r="N243" i="7"/>
  <c r="O243" i="7" s="1"/>
  <c r="P243" i="7" s="1"/>
  <c r="R243" i="7"/>
  <c r="J244" i="7"/>
  <c r="N244" i="7"/>
  <c r="O244" i="7" s="1"/>
  <c r="P244" i="7" s="1"/>
  <c r="R244" i="7"/>
  <c r="J245" i="7"/>
  <c r="N245" i="7"/>
  <c r="O245" i="7" s="1"/>
  <c r="P245" i="7" s="1"/>
  <c r="R245" i="7"/>
  <c r="J246" i="7"/>
  <c r="N246" i="7"/>
  <c r="O246" i="7" s="1"/>
  <c r="P246" i="7" s="1"/>
  <c r="R246" i="7"/>
  <c r="J247" i="7"/>
  <c r="N247" i="7"/>
  <c r="O247" i="7" s="1"/>
  <c r="P247" i="7" s="1"/>
  <c r="R247" i="7"/>
  <c r="J248" i="7"/>
  <c r="N248" i="7"/>
  <c r="O248" i="7" s="1"/>
  <c r="P248" i="7" s="1"/>
  <c r="R248" i="7"/>
  <c r="J249" i="7"/>
  <c r="N249" i="7"/>
  <c r="O249" i="7" s="1"/>
  <c r="P249" i="7" s="1"/>
  <c r="R249" i="7"/>
  <c r="J250" i="7"/>
  <c r="N250" i="7"/>
  <c r="O250" i="7" s="1"/>
  <c r="P250" i="7" s="1"/>
  <c r="R250" i="7"/>
  <c r="O1" i="5" a="1"/>
  <c r="O1" i="5" s="1"/>
  <c r="D43" i="10" l="1"/>
  <c r="C43" i="10"/>
  <c r="B43" i="10"/>
  <c r="P2" i="52" s="1"/>
  <c r="C65" i="10"/>
  <c r="C67" i="10"/>
  <c r="C69" i="10"/>
  <c r="BF250" i="47"/>
  <c r="BE250" i="47"/>
  <c r="BB250" i="47"/>
  <c r="BA250" i="47"/>
  <c r="AY250" i="47"/>
  <c r="AW250" i="47"/>
  <c r="AU250" i="47"/>
  <c r="AS250" i="47"/>
  <c r="AB250" i="47"/>
  <c r="Z250" i="47"/>
  <c r="AA250" i="47" s="1"/>
  <c r="G250" i="47"/>
  <c r="F250" i="47"/>
  <c r="BF249" i="47"/>
  <c r="BE249" i="47"/>
  <c r="BB249" i="47"/>
  <c r="BA249" i="47"/>
  <c r="AY249" i="47"/>
  <c r="AW249" i="47"/>
  <c r="AU249" i="47"/>
  <c r="AS249" i="47"/>
  <c r="AB249" i="47"/>
  <c r="Z249" i="47"/>
  <c r="AA249" i="47" s="1"/>
  <c r="AV249" i="47"/>
  <c r="G249" i="47"/>
  <c r="F249" i="47"/>
  <c r="BF248" i="47"/>
  <c r="BE248" i="47"/>
  <c r="BB248" i="47"/>
  <c r="BA248" i="47"/>
  <c r="AY248" i="47"/>
  <c r="AW248" i="47"/>
  <c r="AU248" i="47"/>
  <c r="AS248" i="47"/>
  <c r="AB248" i="47"/>
  <c r="Z248" i="47"/>
  <c r="AA248" i="47" s="1"/>
  <c r="AV248" i="47"/>
  <c r="G248" i="47"/>
  <c r="F248" i="47"/>
  <c r="AR248" i="47" s="1" a="1"/>
  <c r="AR248" i="47" s="1"/>
  <c r="BF247" i="47"/>
  <c r="BE247" i="47"/>
  <c r="BB247" i="47"/>
  <c r="BA247" i="47"/>
  <c r="AY247" i="47"/>
  <c r="AW247" i="47"/>
  <c r="AU247" i="47"/>
  <c r="AS247" i="47"/>
  <c r="AB247" i="47"/>
  <c r="Z247" i="47"/>
  <c r="AA247" i="47" s="1"/>
  <c r="G247" i="47"/>
  <c r="F247" i="47"/>
  <c r="AR247" i="47" s="1" a="1"/>
  <c r="AR247" i="47" s="1"/>
  <c r="BF246" i="47"/>
  <c r="BE246" i="47"/>
  <c r="BB246" i="47"/>
  <c r="BA246" i="47"/>
  <c r="AY246" i="47"/>
  <c r="AW246" i="47"/>
  <c r="AU246" i="47"/>
  <c r="AS246" i="47"/>
  <c r="AB246" i="47"/>
  <c r="Z246" i="47"/>
  <c r="AA246" i="47" s="1"/>
  <c r="G246" i="47"/>
  <c r="F246" i="47"/>
  <c r="AR246" i="47" s="1" a="1"/>
  <c r="AR246" i="47" s="1"/>
  <c r="BF245" i="47"/>
  <c r="BE245" i="47"/>
  <c r="BB245" i="47"/>
  <c r="BA245" i="47"/>
  <c r="AY245" i="47"/>
  <c r="AW245" i="47"/>
  <c r="AU245" i="47"/>
  <c r="AS245" i="47"/>
  <c r="AB245" i="47"/>
  <c r="Z245" i="47"/>
  <c r="AA245" i="47" s="1"/>
  <c r="AV245" i="47"/>
  <c r="G245" i="47"/>
  <c r="F245" i="47"/>
  <c r="AR245" i="47" s="1" a="1"/>
  <c r="AR245" i="47" s="1"/>
  <c r="BF244" i="47"/>
  <c r="BE244" i="47"/>
  <c r="BB244" i="47"/>
  <c r="BA244" i="47"/>
  <c r="AY244" i="47"/>
  <c r="AW244" i="47"/>
  <c r="AU244" i="47"/>
  <c r="AS244" i="47"/>
  <c r="AB244" i="47"/>
  <c r="Z244" i="47"/>
  <c r="AA244" i="47" s="1"/>
  <c r="G244" i="47"/>
  <c r="F244" i="47"/>
  <c r="AR244" i="47" s="1" a="1"/>
  <c r="AR244" i="47" s="1"/>
  <c r="BF243" i="47"/>
  <c r="BE243" i="47"/>
  <c r="BB243" i="47"/>
  <c r="BA243" i="47"/>
  <c r="AY243" i="47"/>
  <c r="AW243" i="47"/>
  <c r="AU243" i="47"/>
  <c r="AS243" i="47"/>
  <c r="AB243" i="47"/>
  <c r="Z243" i="47"/>
  <c r="AA243" i="47" s="1"/>
  <c r="AV243" i="47"/>
  <c r="G243" i="47"/>
  <c r="F243" i="47"/>
  <c r="BF242" i="47"/>
  <c r="BE242" i="47"/>
  <c r="BB242" i="47"/>
  <c r="BA242" i="47"/>
  <c r="AY242" i="47"/>
  <c r="AW242" i="47"/>
  <c r="AU242" i="47"/>
  <c r="AS242" i="47"/>
  <c r="AB242" i="47"/>
  <c r="Z242" i="47"/>
  <c r="AA242" i="47" s="1"/>
  <c r="AV242" i="47"/>
  <c r="G242" i="47"/>
  <c r="F242" i="47"/>
  <c r="AR242" i="47" s="1" a="1"/>
  <c r="AR242" i="47" s="1"/>
  <c r="BF241" i="47"/>
  <c r="BE241" i="47"/>
  <c r="BB241" i="47"/>
  <c r="BA241" i="47"/>
  <c r="AY241" i="47"/>
  <c r="AW241" i="47"/>
  <c r="AU241" i="47"/>
  <c r="AS241" i="47"/>
  <c r="AB241" i="47"/>
  <c r="Z241" i="47"/>
  <c r="AA241" i="47" s="1"/>
  <c r="G241" i="47"/>
  <c r="F241" i="47"/>
  <c r="BF240" i="47"/>
  <c r="BE240" i="47"/>
  <c r="BB240" i="47"/>
  <c r="BA240" i="47"/>
  <c r="AY240" i="47"/>
  <c r="AW240" i="47"/>
  <c r="AU240" i="47"/>
  <c r="AS240" i="47"/>
  <c r="AR240" i="47" a="1"/>
  <c r="AR240" i="47" s="1"/>
  <c r="AB240" i="47"/>
  <c r="Z240" i="47"/>
  <c r="AA240" i="47" s="1"/>
  <c r="G240" i="47"/>
  <c r="F240" i="47"/>
  <c r="BF239" i="47"/>
  <c r="BE239" i="47"/>
  <c r="BB239" i="47"/>
  <c r="BA239" i="47"/>
  <c r="AY239" i="47"/>
  <c r="AW239" i="47"/>
  <c r="AU239" i="47"/>
  <c r="AS239" i="47"/>
  <c r="AB239" i="47"/>
  <c r="Z239" i="47"/>
  <c r="AA239" i="47" s="1"/>
  <c r="G239" i="47"/>
  <c r="F239" i="47"/>
  <c r="AR239" i="47" s="1" a="1"/>
  <c r="AR239" i="47" s="1"/>
  <c r="BF238" i="47"/>
  <c r="BE238" i="47"/>
  <c r="BB238" i="47"/>
  <c r="BA238" i="47"/>
  <c r="AY238" i="47"/>
  <c r="AW238" i="47"/>
  <c r="AU238" i="47"/>
  <c r="AS238" i="47"/>
  <c r="AB238" i="47"/>
  <c r="Z238" i="47"/>
  <c r="AA238" i="47" s="1"/>
  <c r="G238" i="47"/>
  <c r="F238" i="47"/>
  <c r="BF237" i="47"/>
  <c r="BE237" i="47"/>
  <c r="BB237" i="47"/>
  <c r="BA237" i="47"/>
  <c r="AY237" i="47"/>
  <c r="AW237" i="47"/>
  <c r="AU237" i="47"/>
  <c r="AS237" i="47"/>
  <c r="AB237" i="47"/>
  <c r="Z237" i="47"/>
  <c r="AA237" i="47" s="1"/>
  <c r="AV237" i="47"/>
  <c r="G237" i="47"/>
  <c r="F237" i="47"/>
  <c r="BF236" i="47"/>
  <c r="BE236" i="47"/>
  <c r="BB236" i="47"/>
  <c r="BA236" i="47"/>
  <c r="AY236" i="47"/>
  <c r="AW236" i="47"/>
  <c r="AU236" i="47"/>
  <c r="AS236" i="47"/>
  <c r="AB236" i="47"/>
  <c r="Z236" i="47"/>
  <c r="AA236" i="47" s="1"/>
  <c r="G236" i="47"/>
  <c r="F236" i="47"/>
  <c r="AR236" i="47" s="1" a="1"/>
  <c r="AR236" i="47" s="1"/>
  <c r="BF235" i="47"/>
  <c r="BE235" i="47"/>
  <c r="BB235" i="47"/>
  <c r="BA235" i="47"/>
  <c r="AY235" i="47"/>
  <c r="AW235" i="47"/>
  <c r="AU235" i="47"/>
  <c r="AS235" i="47"/>
  <c r="AB235" i="47"/>
  <c r="Z235" i="47"/>
  <c r="AA235" i="47" s="1"/>
  <c r="G235" i="47"/>
  <c r="F235" i="47"/>
  <c r="AR235" i="47" s="1" a="1"/>
  <c r="AR235" i="47" s="1"/>
  <c r="BF234" i="47"/>
  <c r="BE234" i="47"/>
  <c r="BB234" i="47"/>
  <c r="BA234" i="47"/>
  <c r="AY234" i="47"/>
  <c r="AW234" i="47"/>
  <c r="AU234" i="47"/>
  <c r="AS234" i="47"/>
  <c r="AB234" i="47"/>
  <c r="Z234" i="47"/>
  <c r="AA234" i="47" s="1"/>
  <c r="AV234" i="47"/>
  <c r="G234" i="47"/>
  <c r="F234" i="47"/>
  <c r="AR234" i="47" s="1" a="1"/>
  <c r="AR234" i="47" s="1"/>
  <c r="BF233" i="47"/>
  <c r="BE233" i="47"/>
  <c r="BB233" i="47"/>
  <c r="BA233" i="47"/>
  <c r="AY233" i="47"/>
  <c r="AW233" i="47"/>
  <c r="AU233" i="47"/>
  <c r="AS233" i="47"/>
  <c r="AB233" i="47"/>
  <c r="Z233" i="47"/>
  <c r="AA233" i="47" s="1"/>
  <c r="G233" i="47"/>
  <c r="F233" i="47"/>
  <c r="BF232" i="47"/>
  <c r="BE232" i="47"/>
  <c r="BB232" i="47"/>
  <c r="BA232" i="47"/>
  <c r="AY232" i="47"/>
  <c r="AW232" i="47"/>
  <c r="AU232" i="47"/>
  <c r="AS232" i="47"/>
  <c r="AB232" i="47"/>
  <c r="Z232" i="47"/>
  <c r="AA232" i="47" s="1"/>
  <c r="G232" i="47"/>
  <c r="F232" i="47"/>
  <c r="AR232" i="47" s="1" a="1"/>
  <c r="AR232" i="47" s="1"/>
  <c r="BF231" i="47"/>
  <c r="BE231" i="47"/>
  <c r="BB231" i="47"/>
  <c r="BA231" i="47"/>
  <c r="AY231" i="47"/>
  <c r="AW231" i="47"/>
  <c r="AU231" i="47"/>
  <c r="AS231" i="47"/>
  <c r="AB231" i="47"/>
  <c r="Z231" i="47"/>
  <c r="AA231" i="47" s="1"/>
  <c r="AV231" i="47"/>
  <c r="G231" i="47"/>
  <c r="F231" i="47"/>
  <c r="BF230" i="47"/>
  <c r="BE230" i="47"/>
  <c r="BB230" i="47"/>
  <c r="BA230" i="47"/>
  <c r="AY230" i="47"/>
  <c r="AW230" i="47"/>
  <c r="AU230" i="47"/>
  <c r="AS230" i="47"/>
  <c r="AB230" i="47"/>
  <c r="Z230" i="47"/>
  <c r="AA230" i="47" s="1"/>
  <c r="G230" i="47"/>
  <c r="F230" i="47"/>
  <c r="AR230" i="47" s="1" a="1"/>
  <c r="AR230" i="47" s="1"/>
  <c r="BF229" i="47"/>
  <c r="BE229" i="47"/>
  <c r="BB229" i="47"/>
  <c r="BA229" i="47"/>
  <c r="AY229" i="47"/>
  <c r="AW229" i="47"/>
  <c r="AU229" i="47"/>
  <c r="AS229" i="47"/>
  <c r="AB229" i="47"/>
  <c r="Z229" i="47"/>
  <c r="AA229" i="47" s="1"/>
  <c r="AV229" i="47"/>
  <c r="G229" i="47"/>
  <c r="F229" i="47"/>
  <c r="AR229" i="47" s="1" a="1"/>
  <c r="AR229" i="47" s="1"/>
  <c r="BF228" i="47"/>
  <c r="BE228" i="47"/>
  <c r="BB228" i="47"/>
  <c r="BA228" i="47"/>
  <c r="AY228" i="47"/>
  <c r="AW228" i="47"/>
  <c r="AU228" i="47"/>
  <c r="AS228" i="47"/>
  <c r="AB228" i="47"/>
  <c r="Z228" i="47"/>
  <c r="AA228" i="47" s="1"/>
  <c r="G228" i="47"/>
  <c r="F228" i="47"/>
  <c r="AR228" i="47" s="1" a="1"/>
  <c r="AR228" i="47" s="1"/>
  <c r="BF227" i="47"/>
  <c r="BE227" i="47"/>
  <c r="BB227" i="47"/>
  <c r="BA227" i="47"/>
  <c r="AY227" i="47"/>
  <c r="AW227" i="47"/>
  <c r="AU227" i="47"/>
  <c r="AS227" i="47"/>
  <c r="AB227" i="47"/>
  <c r="Z227" i="47"/>
  <c r="AA227" i="47" s="1"/>
  <c r="AV227" i="47"/>
  <c r="G227" i="47"/>
  <c r="F227" i="47"/>
  <c r="AR227" i="47" s="1" a="1"/>
  <c r="AR227" i="47" s="1"/>
  <c r="BF226" i="47"/>
  <c r="BE226" i="47"/>
  <c r="BB226" i="47"/>
  <c r="BA226" i="47"/>
  <c r="AY226" i="47"/>
  <c r="AW226" i="47"/>
  <c r="AU226" i="47"/>
  <c r="AS226" i="47"/>
  <c r="AB226" i="47"/>
  <c r="Z226" i="47"/>
  <c r="AA226" i="47" s="1"/>
  <c r="G226" i="47"/>
  <c r="F226" i="47"/>
  <c r="AR226" i="47" s="1" a="1"/>
  <c r="AR226" i="47" s="1"/>
  <c r="BF225" i="47"/>
  <c r="BE225" i="47"/>
  <c r="BB225" i="47"/>
  <c r="BA225" i="47"/>
  <c r="AY225" i="47"/>
  <c r="AW225" i="47"/>
  <c r="AU225" i="47"/>
  <c r="AS225" i="47"/>
  <c r="AB225" i="47"/>
  <c r="Z225" i="47"/>
  <c r="AA225" i="47" s="1"/>
  <c r="G225" i="47"/>
  <c r="F225" i="47"/>
  <c r="BF224" i="47"/>
  <c r="BE224" i="47"/>
  <c r="BB224" i="47"/>
  <c r="BA224" i="47"/>
  <c r="AY224" i="47"/>
  <c r="AW224" i="47"/>
  <c r="AU224" i="47"/>
  <c r="AS224" i="47"/>
  <c r="AB224" i="47"/>
  <c r="Z224" i="47"/>
  <c r="AA224" i="47" s="1"/>
  <c r="G224" i="47"/>
  <c r="F224" i="47"/>
  <c r="AR224" i="47" s="1" a="1"/>
  <c r="AR224" i="47" s="1"/>
  <c r="BF223" i="47"/>
  <c r="BE223" i="47"/>
  <c r="BB223" i="47"/>
  <c r="BA223" i="47"/>
  <c r="AY223" i="47"/>
  <c r="AW223" i="47"/>
  <c r="AU223" i="47"/>
  <c r="AS223" i="47"/>
  <c r="AB223" i="47"/>
  <c r="Z223" i="47"/>
  <c r="AA223" i="47" s="1"/>
  <c r="G223" i="47"/>
  <c r="F223" i="47"/>
  <c r="BF222" i="47"/>
  <c r="BE222" i="47"/>
  <c r="BB222" i="47"/>
  <c r="BA222" i="47"/>
  <c r="AY222" i="47"/>
  <c r="AW222" i="47"/>
  <c r="AU222" i="47"/>
  <c r="AS222" i="47"/>
  <c r="AB222" i="47"/>
  <c r="Z222" i="47"/>
  <c r="AA222" i="47" s="1"/>
  <c r="G222" i="47"/>
  <c r="F222" i="47"/>
  <c r="AR222" i="47" s="1" a="1"/>
  <c r="AR222" i="47" s="1"/>
  <c r="BF221" i="47"/>
  <c r="BE221" i="47"/>
  <c r="BB221" i="47"/>
  <c r="BA221" i="47"/>
  <c r="AY221" i="47"/>
  <c r="AW221" i="47"/>
  <c r="AU221" i="47"/>
  <c r="AS221" i="47"/>
  <c r="AB221" i="47"/>
  <c r="Z221" i="47"/>
  <c r="AA221" i="47" s="1"/>
  <c r="G221" i="47"/>
  <c r="F221" i="47"/>
  <c r="BF220" i="47"/>
  <c r="BE220" i="47"/>
  <c r="BB220" i="47"/>
  <c r="BA220" i="47"/>
  <c r="AY220" i="47"/>
  <c r="AW220" i="47"/>
  <c r="AU220" i="47"/>
  <c r="AS220" i="47"/>
  <c r="AB220" i="47"/>
  <c r="Z220" i="47"/>
  <c r="AA220" i="47" s="1"/>
  <c r="G220" i="47"/>
  <c r="F220" i="47"/>
  <c r="AR220" i="47" s="1" a="1"/>
  <c r="AR220" i="47" s="1"/>
  <c r="BF219" i="47"/>
  <c r="BE219" i="47"/>
  <c r="BB219" i="47"/>
  <c r="BA219" i="47"/>
  <c r="AY219" i="47"/>
  <c r="AW219" i="47"/>
  <c r="AU219" i="47"/>
  <c r="AS219" i="47"/>
  <c r="AB219" i="47"/>
  <c r="Z219" i="47"/>
  <c r="AA219" i="47" s="1"/>
  <c r="G219" i="47"/>
  <c r="F219" i="47"/>
  <c r="AR219" i="47" s="1" a="1"/>
  <c r="AR219" i="47" s="1"/>
  <c r="BF218" i="47"/>
  <c r="BE218" i="47"/>
  <c r="BB218" i="47"/>
  <c r="BA218" i="47"/>
  <c r="AY218" i="47"/>
  <c r="AW218" i="47"/>
  <c r="AU218" i="47"/>
  <c r="AS218" i="47"/>
  <c r="AB218" i="47"/>
  <c r="Z218" i="47"/>
  <c r="AA218" i="47" s="1"/>
  <c r="G218" i="47"/>
  <c r="F218" i="47"/>
  <c r="AR218" i="47" s="1" a="1"/>
  <c r="AR218" i="47" s="1"/>
  <c r="BF217" i="47"/>
  <c r="BE217" i="47"/>
  <c r="BB217" i="47"/>
  <c r="BA217" i="47"/>
  <c r="AY217" i="47"/>
  <c r="AW217" i="47"/>
  <c r="AU217" i="47"/>
  <c r="AS217" i="47"/>
  <c r="AB217" i="47"/>
  <c r="Z217" i="47"/>
  <c r="AA217" i="47" s="1"/>
  <c r="G217" i="47"/>
  <c r="F217" i="47"/>
  <c r="AR217" i="47" s="1" a="1"/>
  <c r="AR217" i="47" s="1"/>
  <c r="BF216" i="47"/>
  <c r="BE216" i="47"/>
  <c r="BB216" i="47"/>
  <c r="BA216" i="47"/>
  <c r="AY216" i="47"/>
  <c r="AW216" i="47"/>
  <c r="AU216" i="47"/>
  <c r="AS216" i="47"/>
  <c r="AB216" i="47"/>
  <c r="Z216" i="47"/>
  <c r="AA216" i="47" s="1"/>
  <c r="G216" i="47"/>
  <c r="F216" i="47"/>
  <c r="AR216" i="47" s="1" a="1"/>
  <c r="AR216" i="47" s="1"/>
  <c r="BF215" i="47"/>
  <c r="BE215" i="47"/>
  <c r="BB215" i="47"/>
  <c r="BA215" i="47"/>
  <c r="AY215" i="47"/>
  <c r="AW215" i="47"/>
  <c r="AU215" i="47"/>
  <c r="AS215" i="47"/>
  <c r="AB215" i="47"/>
  <c r="Z215" i="47"/>
  <c r="AA215" i="47" s="1"/>
  <c r="G215" i="47"/>
  <c r="F215" i="47"/>
  <c r="AR215" i="47" s="1" a="1"/>
  <c r="AR215" i="47" s="1"/>
  <c r="BF214" i="47"/>
  <c r="BE214" i="47"/>
  <c r="BB214" i="47"/>
  <c r="BA214" i="47"/>
  <c r="AY214" i="47"/>
  <c r="AW214" i="47"/>
  <c r="AU214" i="47"/>
  <c r="AS214" i="47"/>
  <c r="AB214" i="47"/>
  <c r="Z214" i="47"/>
  <c r="AA214" i="47" s="1"/>
  <c r="G214" i="47"/>
  <c r="F214" i="47"/>
  <c r="BF213" i="47"/>
  <c r="BE213" i="47"/>
  <c r="BB213" i="47"/>
  <c r="BA213" i="47"/>
  <c r="AY213" i="47"/>
  <c r="AW213" i="47"/>
  <c r="AU213" i="47"/>
  <c r="AS213" i="47"/>
  <c r="AB213" i="47"/>
  <c r="Z213" i="47"/>
  <c r="AA213" i="47" s="1"/>
  <c r="G213" i="47"/>
  <c r="F213" i="47"/>
  <c r="AR213" i="47" s="1" a="1"/>
  <c r="AR213" i="47" s="1"/>
  <c r="BF212" i="47"/>
  <c r="BE212" i="47"/>
  <c r="BB212" i="47"/>
  <c r="BA212" i="47"/>
  <c r="AY212" i="47"/>
  <c r="AW212" i="47"/>
  <c r="AU212" i="47"/>
  <c r="AS212" i="47"/>
  <c r="AB212" i="47"/>
  <c r="Z212" i="47"/>
  <c r="AA212" i="47" s="1"/>
  <c r="G212" i="47"/>
  <c r="F212" i="47"/>
  <c r="AR212" i="47" s="1" a="1"/>
  <c r="AR212" i="47" s="1"/>
  <c r="BF211" i="47"/>
  <c r="BE211" i="47"/>
  <c r="BB211" i="47"/>
  <c r="BA211" i="47"/>
  <c r="AY211" i="47"/>
  <c r="AW211" i="47"/>
  <c r="AU211" i="47"/>
  <c r="AS211" i="47"/>
  <c r="AB211" i="47"/>
  <c r="Z211" i="47"/>
  <c r="AA211" i="47" s="1"/>
  <c r="G211" i="47"/>
  <c r="F211" i="47"/>
  <c r="AR211" i="47" s="1" a="1"/>
  <c r="AR211" i="47" s="1"/>
  <c r="BF210" i="47"/>
  <c r="BE210" i="47"/>
  <c r="BB210" i="47"/>
  <c r="BA210" i="47"/>
  <c r="AY210" i="47"/>
  <c r="AW210" i="47"/>
  <c r="AU210" i="47"/>
  <c r="AS210" i="47"/>
  <c r="AB210" i="47"/>
  <c r="Z210" i="47"/>
  <c r="AA210" i="47" s="1"/>
  <c r="G210" i="47"/>
  <c r="F210" i="47"/>
  <c r="BF209" i="47"/>
  <c r="BE209" i="47"/>
  <c r="BB209" i="47"/>
  <c r="BA209" i="47"/>
  <c r="AY209" i="47"/>
  <c r="AW209" i="47"/>
  <c r="AU209" i="47"/>
  <c r="AS209" i="47"/>
  <c r="AB209" i="47"/>
  <c r="Z209" i="47"/>
  <c r="AA209" i="47" s="1"/>
  <c r="G209" i="47"/>
  <c r="F209" i="47"/>
  <c r="AR209" i="47" s="1" a="1"/>
  <c r="AR209" i="47" s="1"/>
  <c r="BF208" i="47"/>
  <c r="BE208" i="47"/>
  <c r="BB208" i="47"/>
  <c r="BA208" i="47"/>
  <c r="AY208" i="47"/>
  <c r="AW208" i="47"/>
  <c r="AU208" i="47"/>
  <c r="AS208" i="47"/>
  <c r="AB208" i="47"/>
  <c r="Z208" i="47"/>
  <c r="AA208" i="47" s="1"/>
  <c r="G208" i="47"/>
  <c r="F208" i="47"/>
  <c r="AR208" i="47" s="1" a="1"/>
  <c r="AR208" i="47" s="1"/>
  <c r="BF207" i="47"/>
  <c r="BE207" i="47"/>
  <c r="BB207" i="47"/>
  <c r="BA207" i="47"/>
  <c r="AY207" i="47"/>
  <c r="AW207" i="47"/>
  <c r="AU207" i="47"/>
  <c r="AS207" i="47"/>
  <c r="AB207" i="47"/>
  <c r="Z207" i="47"/>
  <c r="AA207" i="47" s="1"/>
  <c r="AV207" i="47"/>
  <c r="G207" i="47"/>
  <c r="F207" i="47"/>
  <c r="AR207" i="47" s="1" a="1"/>
  <c r="AR207" i="47" s="1"/>
  <c r="BF206" i="47"/>
  <c r="BE206" i="47"/>
  <c r="BB206" i="47"/>
  <c r="BA206" i="47"/>
  <c r="AY206" i="47"/>
  <c r="AW206" i="47"/>
  <c r="AU206" i="47"/>
  <c r="AS206" i="47"/>
  <c r="AR206" i="47" a="1"/>
  <c r="AR206" i="47" s="1"/>
  <c r="AB206" i="47"/>
  <c r="Z206" i="47"/>
  <c r="AA206" i="47" s="1"/>
  <c r="G206" i="47"/>
  <c r="F206" i="47"/>
  <c r="BF205" i="47"/>
  <c r="BE205" i="47"/>
  <c r="BB205" i="47"/>
  <c r="BA205" i="47"/>
  <c r="AY205" i="47"/>
  <c r="AW205" i="47"/>
  <c r="AU205" i="47"/>
  <c r="AS205" i="47"/>
  <c r="AB205" i="47"/>
  <c r="Z205" i="47"/>
  <c r="AA205" i="47" s="1"/>
  <c r="AV205" i="47"/>
  <c r="G205" i="47"/>
  <c r="F205" i="47"/>
  <c r="AR205" i="47" s="1" a="1"/>
  <c r="AR205" i="47" s="1"/>
  <c r="BF204" i="47"/>
  <c r="BE204" i="47"/>
  <c r="BB204" i="47"/>
  <c r="BA204" i="47"/>
  <c r="AY204" i="47"/>
  <c r="AW204" i="47"/>
  <c r="AU204" i="47"/>
  <c r="AS204" i="47"/>
  <c r="AB204" i="47"/>
  <c r="Z204" i="47"/>
  <c r="AA204" i="47" s="1"/>
  <c r="G204" i="47"/>
  <c r="F204" i="47"/>
  <c r="AR204" i="47" s="1" a="1"/>
  <c r="AR204" i="47" s="1"/>
  <c r="BF203" i="47"/>
  <c r="BE203" i="47"/>
  <c r="BB203" i="47"/>
  <c r="BA203" i="47"/>
  <c r="AY203" i="47"/>
  <c r="AW203" i="47"/>
  <c r="AU203" i="47"/>
  <c r="AS203" i="47"/>
  <c r="AB203" i="47"/>
  <c r="Z203" i="47"/>
  <c r="AA203" i="47" s="1"/>
  <c r="G203" i="47"/>
  <c r="F203" i="47"/>
  <c r="BF202" i="47"/>
  <c r="BE202" i="47"/>
  <c r="BB202" i="47"/>
  <c r="BA202" i="47"/>
  <c r="AY202" i="47"/>
  <c r="AW202" i="47"/>
  <c r="AU202" i="47"/>
  <c r="AS202" i="47"/>
  <c r="AB202" i="47"/>
  <c r="Z202" i="47"/>
  <c r="AA202" i="47" s="1"/>
  <c r="G202" i="47"/>
  <c r="F202" i="47"/>
  <c r="BF201" i="47"/>
  <c r="BE201" i="47"/>
  <c r="BB201" i="47"/>
  <c r="BA201" i="47"/>
  <c r="AY201" i="47"/>
  <c r="AW201" i="47"/>
  <c r="AU201" i="47"/>
  <c r="AS201" i="47"/>
  <c r="AB201" i="47"/>
  <c r="Z201" i="47"/>
  <c r="AA201" i="47" s="1"/>
  <c r="G201" i="47"/>
  <c r="F201" i="47"/>
  <c r="BF200" i="47"/>
  <c r="BE200" i="47"/>
  <c r="BB200" i="47"/>
  <c r="BA200" i="47"/>
  <c r="AY200" i="47"/>
  <c r="AW200" i="47"/>
  <c r="AU200" i="47"/>
  <c r="AS200" i="47"/>
  <c r="AB200" i="47"/>
  <c r="Z200" i="47"/>
  <c r="AA200" i="47" s="1"/>
  <c r="G200" i="47"/>
  <c r="F200" i="47"/>
  <c r="AR200" i="47" s="1" a="1"/>
  <c r="AR200" i="47" s="1"/>
  <c r="BF199" i="47"/>
  <c r="BE199" i="47"/>
  <c r="BB199" i="47"/>
  <c r="BA199" i="47"/>
  <c r="AY199" i="47"/>
  <c r="AW199" i="47"/>
  <c r="AU199" i="47"/>
  <c r="AS199" i="47"/>
  <c r="AB199" i="47"/>
  <c r="Z199" i="47"/>
  <c r="AA199" i="47" s="1"/>
  <c r="G199" i="47"/>
  <c r="F199" i="47"/>
  <c r="AR199" i="47" s="1" a="1"/>
  <c r="AR199" i="47" s="1"/>
  <c r="BF198" i="47"/>
  <c r="BE198" i="47"/>
  <c r="BB198" i="47"/>
  <c r="BA198" i="47"/>
  <c r="AY198" i="47"/>
  <c r="AW198" i="47"/>
  <c r="AU198" i="47"/>
  <c r="AS198" i="47"/>
  <c r="AB198" i="47"/>
  <c r="Z198" i="47"/>
  <c r="AA198" i="47" s="1"/>
  <c r="G198" i="47"/>
  <c r="F198" i="47"/>
  <c r="BF197" i="47"/>
  <c r="BE197" i="47"/>
  <c r="BB197" i="47"/>
  <c r="BA197" i="47"/>
  <c r="AY197" i="47"/>
  <c r="AW197" i="47"/>
  <c r="AU197" i="47"/>
  <c r="AS197" i="47"/>
  <c r="AB197" i="47"/>
  <c r="Z197" i="47"/>
  <c r="AA197" i="47" s="1"/>
  <c r="G197" i="47"/>
  <c r="F197" i="47"/>
  <c r="AR197" i="47" s="1" a="1"/>
  <c r="AR197" i="47" s="1"/>
  <c r="BF196" i="47"/>
  <c r="BE196" i="47"/>
  <c r="BB196" i="47"/>
  <c r="BA196" i="47"/>
  <c r="AY196" i="47"/>
  <c r="AW196" i="47"/>
  <c r="AU196" i="47"/>
  <c r="AS196" i="47"/>
  <c r="AB196" i="47"/>
  <c r="Z196" i="47"/>
  <c r="AA196" i="47" s="1"/>
  <c r="G196" i="47"/>
  <c r="F196" i="47"/>
  <c r="AR196" i="47" s="1" a="1"/>
  <c r="AR196" i="47" s="1"/>
  <c r="BF195" i="47"/>
  <c r="BE195" i="47"/>
  <c r="BB195" i="47"/>
  <c r="BA195" i="47"/>
  <c r="AY195" i="47"/>
  <c r="AW195" i="47"/>
  <c r="AU195" i="47"/>
  <c r="AS195" i="47"/>
  <c r="AB195" i="47"/>
  <c r="Z195" i="47"/>
  <c r="AA195" i="47" s="1"/>
  <c r="AV195" i="47"/>
  <c r="G195" i="47"/>
  <c r="F195" i="47"/>
  <c r="BF194" i="47"/>
  <c r="BE194" i="47"/>
  <c r="BB194" i="47"/>
  <c r="BA194" i="47"/>
  <c r="AY194" i="47"/>
  <c r="AW194" i="47"/>
  <c r="AU194" i="47"/>
  <c r="AS194" i="47"/>
  <c r="AB194" i="47"/>
  <c r="Z194" i="47"/>
  <c r="AA194" i="47" s="1"/>
  <c r="G194" i="47"/>
  <c r="F194" i="47"/>
  <c r="BF193" i="47"/>
  <c r="BE193" i="47"/>
  <c r="BB193" i="47"/>
  <c r="BA193" i="47"/>
  <c r="AY193" i="47"/>
  <c r="AW193" i="47"/>
  <c r="AU193" i="47"/>
  <c r="AS193" i="47"/>
  <c r="AB193" i="47"/>
  <c r="Z193" i="47"/>
  <c r="AA193" i="47" s="1"/>
  <c r="G193" i="47"/>
  <c r="F193" i="47"/>
  <c r="BF192" i="47"/>
  <c r="BE192" i="47"/>
  <c r="BB192" i="47"/>
  <c r="BA192" i="47"/>
  <c r="AY192" i="47"/>
  <c r="AW192" i="47"/>
  <c r="AU192" i="47"/>
  <c r="AS192" i="47"/>
  <c r="AB192" i="47"/>
  <c r="Z192" i="47"/>
  <c r="AA192" i="47" s="1"/>
  <c r="G192" i="47"/>
  <c r="F192" i="47"/>
  <c r="BF191" i="47"/>
  <c r="BE191" i="47"/>
  <c r="BB191" i="47"/>
  <c r="BA191" i="47"/>
  <c r="AY191" i="47"/>
  <c r="AW191" i="47"/>
  <c r="AU191" i="47"/>
  <c r="AS191" i="47"/>
  <c r="AB191" i="47"/>
  <c r="Z191" i="47"/>
  <c r="AA191" i="47" s="1"/>
  <c r="AV191" i="47"/>
  <c r="G191" i="47"/>
  <c r="F191" i="47"/>
  <c r="BF190" i="47"/>
  <c r="BE190" i="47"/>
  <c r="BB190" i="47"/>
  <c r="BA190" i="47"/>
  <c r="AY190" i="47"/>
  <c r="AW190" i="47"/>
  <c r="AU190" i="47"/>
  <c r="AS190" i="47"/>
  <c r="AB190" i="47"/>
  <c r="Z190" i="47"/>
  <c r="AA190" i="47" s="1"/>
  <c r="G190" i="47"/>
  <c r="F190" i="47"/>
  <c r="BF189" i="47"/>
  <c r="BE189" i="47"/>
  <c r="BB189" i="47"/>
  <c r="BA189" i="47"/>
  <c r="AY189" i="47"/>
  <c r="AW189" i="47"/>
  <c r="AU189" i="47"/>
  <c r="AS189" i="47"/>
  <c r="AB189" i="47"/>
  <c r="Z189" i="47"/>
  <c r="AA189" i="47" s="1"/>
  <c r="G189" i="47"/>
  <c r="F189" i="47"/>
  <c r="BF188" i="47"/>
  <c r="BE188" i="47"/>
  <c r="BB188" i="47"/>
  <c r="BA188" i="47"/>
  <c r="AY188" i="47"/>
  <c r="AW188" i="47"/>
  <c r="AU188" i="47"/>
  <c r="AS188" i="47"/>
  <c r="AB188" i="47"/>
  <c r="Z188" i="47"/>
  <c r="AA188" i="47" s="1"/>
  <c r="G188" i="47"/>
  <c r="F188" i="47"/>
  <c r="BF187" i="47"/>
  <c r="BE187" i="47"/>
  <c r="BB187" i="47"/>
  <c r="BA187" i="47"/>
  <c r="AY187" i="47"/>
  <c r="AW187" i="47"/>
  <c r="AU187" i="47"/>
  <c r="AS187" i="47"/>
  <c r="AB187" i="47"/>
  <c r="Z187" i="47"/>
  <c r="AA187" i="47" s="1"/>
  <c r="G187" i="47"/>
  <c r="F187" i="47"/>
  <c r="BF186" i="47"/>
  <c r="BE186" i="47"/>
  <c r="BB186" i="47"/>
  <c r="BA186" i="47"/>
  <c r="AY186" i="47"/>
  <c r="AW186" i="47"/>
  <c r="AU186" i="47"/>
  <c r="AS186" i="47"/>
  <c r="AB186" i="47"/>
  <c r="Z186" i="47"/>
  <c r="AA186" i="47" s="1"/>
  <c r="G186" i="47"/>
  <c r="F186" i="47"/>
  <c r="AR186" i="47" s="1" a="1"/>
  <c r="AR186" i="47" s="1"/>
  <c r="BF185" i="47"/>
  <c r="BE185" i="47"/>
  <c r="BB185" i="47"/>
  <c r="BA185" i="47"/>
  <c r="AY185" i="47"/>
  <c r="AW185" i="47"/>
  <c r="AU185" i="47"/>
  <c r="AS185" i="47"/>
  <c r="AB185" i="47"/>
  <c r="Z185" i="47"/>
  <c r="AA185" i="47" s="1"/>
  <c r="G185" i="47"/>
  <c r="F185" i="47"/>
  <c r="BF184" i="47"/>
  <c r="BE184" i="47"/>
  <c r="BB184" i="47"/>
  <c r="BA184" i="47"/>
  <c r="AY184" i="47"/>
  <c r="AW184" i="47"/>
  <c r="AU184" i="47"/>
  <c r="AS184" i="47"/>
  <c r="AB184" i="47"/>
  <c r="Z184" i="47"/>
  <c r="AA184" i="47" s="1"/>
  <c r="AV184" i="47"/>
  <c r="G184" i="47"/>
  <c r="F184" i="47"/>
  <c r="AR184" i="47" s="1" a="1"/>
  <c r="AR184" i="47" s="1"/>
  <c r="BF183" i="47"/>
  <c r="BE183" i="47"/>
  <c r="BB183" i="47"/>
  <c r="BA183" i="47"/>
  <c r="AY183" i="47"/>
  <c r="AW183" i="47"/>
  <c r="AU183" i="47"/>
  <c r="AS183" i="47"/>
  <c r="AB183" i="47"/>
  <c r="Z183" i="47"/>
  <c r="AA183" i="47" s="1"/>
  <c r="AV183" i="47"/>
  <c r="G183" i="47"/>
  <c r="F183" i="47"/>
  <c r="AR183" i="47" s="1" a="1"/>
  <c r="AR183" i="47" s="1"/>
  <c r="BF182" i="47"/>
  <c r="BE182" i="47"/>
  <c r="BB182" i="47"/>
  <c r="BA182" i="47"/>
  <c r="AY182" i="47"/>
  <c r="AW182" i="47"/>
  <c r="AU182" i="47"/>
  <c r="AS182" i="47"/>
  <c r="AB182" i="47"/>
  <c r="Z182" i="47"/>
  <c r="AA182" i="47" s="1"/>
  <c r="AV182" i="47"/>
  <c r="G182" i="47"/>
  <c r="F182" i="47"/>
  <c r="BF181" i="47"/>
  <c r="BE181" i="47"/>
  <c r="BB181" i="47"/>
  <c r="BA181" i="47"/>
  <c r="AY181" i="47"/>
  <c r="AW181" i="47"/>
  <c r="AU181" i="47"/>
  <c r="AS181" i="47"/>
  <c r="AB181" i="47"/>
  <c r="Z181" i="47"/>
  <c r="AA181" i="47" s="1"/>
  <c r="G181" i="47"/>
  <c r="F181" i="47"/>
  <c r="BF180" i="47"/>
  <c r="BE180" i="47"/>
  <c r="BB180" i="47"/>
  <c r="BA180" i="47"/>
  <c r="AY180" i="47"/>
  <c r="AW180" i="47"/>
  <c r="AU180" i="47"/>
  <c r="AS180" i="47"/>
  <c r="AB180" i="47"/>
  <c r="Z180" i="47"/>
  <c r="AA180" i="47" s="1"/>
  <c r="AV180" i="47"/>
  <c r="G180" i="47"/>
  <c r="F180" i="47"/>
  <c r="BF179" i="47"/>
  <c r="BE179" i="47"/>
  <c r="BB179" i="47"/>
  <c r="BA179" i="47"/>
  <c r="AY179" i="47"/>
  <c r="AW179" i="47"/>
  <c r="AU179" i="47"/>
  <c r="AS179" i="47"/>
  <c r="AB179" i="47"/>
  <c r="Z179" i="47"/>
  <c r="AA179" i="47" s="1"/>
  <c r="G179" i="47"/>
  <c r="F179" i="47"/>
  <c r="BB178" i="47"/>
  <c r="BA178" i="47"/>
  <c r="AY178" i="47"/>
  <c r="AW178" i="47"/>
  <c r="AU178" i="47"/>
  <c r="AS178" i="47"/>
  <c r="BB148" i="47"/>
  <c r="BA148" i="47"/>
  <c r="AY148" i="47"/>
  <c r="AW148" i="47"/>
  <c r="AU148" i="47"/>
  <c r="AS148" i="47"/>
  <c r="BB147" i="47"/>
  <c r="BA147" i="47"/>
  <c r="AY147" i="47"/>
  <c r="AW147" i="47"/>
  <c r="AU147" i="47"/>
  <c r="AS147" i="47"/>
  <c r="BB146" i="47"/>
  <c r="BA146" i="47"/>
  <c r="AY146" i="47"/>
  <c r="AW146" i="47"/>
  <c r="AU146" i="47"/>
  <c r="AS146" i="47"/>
  <c r="BB145" i="47"/>
  <c r="BA145" i="47"/>
  <c r="AY145" i="47"/>
  <c r="AW145" i="47"/>
  <c r="AU145" i="47"/>
  <c r="AS145" i="47"/>
  <c r="BB144" i="47"/>
  <c r="BA144" i="47"/>
  <c r="AY144" i="47"/>
  <c r="AW144" i="47"/>
  <c r="AU144" i="47"/>
  <c r="AS144" i="47"/>
  <c r="BB143" i="47"/>
  <c r="BA143" i="47"/>
  <c r="AY143" i="47"/>
  <c r="AW143" i="47"/>
  <c r="AU143" i="47"/>
  <c r="AS143" i="47"/>
  <c r="BB142" i="47"/>
  <c r="BA142" i="47"/>
  <c r="AY142" i="47"/>
  <c r="AW142" i="47"/>
  <c r="AU142" i="47"/>
  <c r="AS142" i="47"/>
  <c r="BB141" i="47"/>
  <c r="BA141" i="47"/>
  <c r="AY141" i="47"/>
  <c r="AW141" i="47"/>
  <c r="AU141" i="47"/>
  <c r="AS141" i="47"/>
  <c r="BB140" i="47"/>
  <c r="BA140" i="47"/>
  <c r="AY140" i="47"/>
  <c r="AW140" i="47"/>
  <c r="AU140" i="47"/>
  <c r="AS140" i="47"/>
  <c r="BB139" i="47"/>
  <c r="BA139" i="47"/>
  <c r="AY139" i="47"/>
  <c r="AW139" i="47"/>
  <c r="AU139" i="47"/>
  <c r="AS139" i="47"/>
  <c r="BB138" i="47"/>
  <c r="BA138" i="47"/>
  <c r="AY138" i="47"/>
  <c r="AW138" i="47"/>
  <c r="AU138" i="47"/>
  <c r="AS138" i="47"/>
  <c r="BB137" i="47"/>
  <c r="BA137" i="47"/>
  <c r="AY137" i="47"/>
  <c r="AW137" i="47"/>
  <c r="AU137" i="47"/>
  <c r="AS137" i="47"/>
  <c r="BB136" i="47"/>
  <c r="BA136" i="47"/>
  <c r="AY136" i="47"/>
  <c r="AW136" i="47"/>
  <c r="AU136" i="47"/>
  <c r="AS136" i="47"/>
  <c r="BB135" i="47"/>
  <c r="BA135" i="47"/>
  <c r="AY135" i="47"/>
  <c r="AW135" i="47"/>
  <c r="AU135" i="47"/>
  <c r="AS135" i="47"/>
  <c r="BB134" i="47"/>
  <c r="BA134" i="47"/>
  <c r="AY134" i="47"/>
  <c r="AW134" i="47"/>
  <c r="AU134" i="47"/>
  <c r="AS134" i="47"/>
  <c r="BB133" i="47"/>
  <c r="BA133" i="47"/>
  <c r="AY133" i="47"/>
  <c r="AW133" i="47"/>
  <c r="AU133" i="47"/>
  <c r="AS133" i="47"/>
  <c r="BB132" i="47"/>
  <c r="BA132" i="47"/>
  <c r="AY132" i="47"/>
  <c r="AW132" i="47"/>
  <c r="AU132" i="47"/>
  <c r="AS132" i="47"/>
  <c r="BB131" i="47"/>
  <c r="BA131" i="47"/>
  <c r="AY131" i="47"/>
  <c r="AW131" i="47"/>
  <c r="AU131" i="47"/>
  <c r="AS131" i="47"/>
  <c r="BB130" i="47"/>
  <c r="BA130" i="47"/>
  <c r="AY130" i="47"/>
  <c r="AW130" i="47"/>
  <c r="AU130" i="47"/>
  <c r="AS130" i="47"/>
  <c r="BB129" i="47"/>
  <c r="BA129" i="47"/>
  <c r="AY129" i="47"/>
  <c r="AW129" i="47"/>
  <c r="AU129" i="47"/>
  <c r="AS129" i="47"/>
  <c r="BB128" i="47"/>
  <c r="BA128" i="47"/>
  <c r="AY128" i="47"/>
  <c r="AW128" i="47"/>
  <c r="AU128" i="47"/>
  <c r="AS128" i="47"/>
  <c r="BB127" i="47"/>
  <c r="BA127" i="47"/>
  <c r="AY127" i="47"/>
  <c r="AW127" i="47"/>
  <c r="AU127" i="47"/>
  <c r="AS127" i="47"/>
  <c r="BB126" i="47"/>
  <c r="BA126" i="47"/>
  <c r="AY126" i="47"/>
  <c r="AW126" i="47"/>
  <c r="AU126" i="47"/>
  <c r="AS126" i="47"/>
  <c r="BB125" i="47"/>
  <c r="BA125" i="47"/>
  <c r="AY125" i="47"/>
  <c r="AW125" i="47"/>
  <c r="AU125" i="47"/>
  <c r="AS125" i="47"/>
  <c r="BB124" i="47"/>
  <c r="BA124" i="47"/>
  <c r="AY124" i="47"/>
  <c r="AW124" i="47"/>
  <c r="AU124" i="47"/>
  <c r="AS124" i="47"/>
  <c r="BB123" i="47"/>
  <c r="BA123" i="47"/>
  <c r="AY123" i="47"/>
  <c r="AW123" i="47"/>
  <c r="AU123" i="47"/>
  <c r="AS123" i="47"/>
  <c r="BB122" i="47"/>
  <c r="BA122" i="47"/>
  <c r="AY122" i="47"/>
  <c r="AW122" i="47"/>
  <c r="AU122" i="47"/>
  <c r="AS122" i="47"/>
  <c r="BB121" i="47"/>
  <c r="BA121" i="47"/>
  <c r="AY121" i="47"/>
  <c r="AW121" i="47"/>
  <c r="AU121" i="47"/>
  <c r="AS121" i="47"/>
  <c r="BB120" i="47"/>
  <c r="BA120" i="47"/>
  <c r="AY120" i="47"/>
  <c r="AW120" i="47"/>
  <c r="AU120" i="47"/>
  <c r="AS120" i="47"/>
  <c r="BB119" i="47"/>
  <c r="BA119" i="47"/>
  <c r="AY119" i="47"/>
  <c r="AW119" i="47"/>
  <c r="AU119" i="47"/>
  <c r="AS119" i="47"/>
  <c r="BB118" i="47"/>
  <c r="BA118" i="47"/>
  <c r="AY118" i="47"/>
  <c r="AW118" i="47"/>
  <c r="AU118" i="47"/>
  <c r="AS118" i="47"/>
  <c r="BB117" i="47"/>
  <c r="BA117" i="47"/>
  <c r="AY117" i="47"/>
  <c r="AW117" i="47"/>
  <c r="AU117" i="47"/>
  <c r="AS117" i="47"/>
  <c r="BB116" i="47"/>
  <c r="BA116" i="47"/>
  <c r="AY116" i="47"/>
  <c r="AW116" i="47"/>
  <c r="AU116" i="47"/>
  <c r="AS116" i="47"/>
  <c r="BB115" i="47"/>
  <c r="BA115" i="47"/>
  <c r="AY115" i="47"/>
  <c r="AW115" i="47"/>
  <c r="AU115" i="47"/>
  <c r="AS115" i="47"/>
  <c r="BB114" i="47"/>
  <c r="BA114" i="47"/>
  <c r="AY114" i="47"/>
  <c r="AW114" i="47"/>
  <c r="AU114" i="47"/>
  <c r="AS114" i="47"/>
  <c r="BB113" i="47"/>
  <c r="BA113" i="47"/>
  <c r="AY113" i="47"/>
  <c r="AW113" i="47"/>
  <c r="AU113" i="47"/>
  <c r="AS113" i="47"/>
  <c r="BB112" i="47"/>
  <c r="BA112" i="47"/>
  <c r="AY112" i="47"/>
  <c r="AW112" i="47"/>
  <c r="AU112" i="47"/>
  <c r="AS112" i="47"/>
  <c r="BB111" i="47"/>
  <c r="BA111" i="47"/>
  <c r="AY111" i="47"/>
  <c r="AW111" i="47"/>
  <c r="AU111" i="47"/>
  <c r="AS111" i="47"/>
  <c r="BB110" i="47"/>
  <c r="BA110" i="47"/>
  <c r="AY110" i="47"/>
  <c r="AW110" i="47"/>
  <c r="AU110" i="47"/>
  <c r="AS110" i="47"/>
  <c r="BB109" i="47"/>
  <c r="BA109" i="47"/>
  <c r="AY109" i="47"/>
  <c r="AW109" i="47"/>
  <c r="AU109" i="47"/>
  <c r="AS109" i="47"/>
  <c r="BB108" i="47"/>
  <c r="BA108" i="47"/>
  <c r="AY108" i="47"/>
  <c r="AW108" i="47"/>
  <c r="AU108" i="47"/>
  <c r="AS108" i="47"/>
  <c r="BB107" i="47"/>
  <c r="BA107" i="47"/>
  <c r="AY107" i="47"/>
  <c r="AW107" i="47"/>
  <c r="AU107" i="47"/>
  <c r="AS107" i="47"/>
  <c r="BB106" i="47"/>
  <c r="BA106" i="47"/>
  <c r="AY106" i="47"/>
  <c r="AW106" i="47"/>
  <c r="AU106" i="47"/>
  <c r="AS106" i="47"/>
  <c r="BB105" i="47"/>
  <c r="BA105" i="47"/>
  <c r="AY105" i="47"/>
  <c r="AW105" i="47"/>
  <c r="AU105" i="47"/>
  <c r="AS105" i="47"/>
  <c r="BB104" i="47"/>
  <c r="BA104" i="47"/>
  <c r="AY104" i="47"/>
  <c r="AW104" i="47"/>
  <c r="AU104" i="47"/>
  <c r="AS104" i="47"/>
  <c r="BB103" i="47"/>
  <c r="BA103" i="47"/>
  <c r="AY103" i="47"/>
  <c r="AW103" i="47"/>
  <c r="AU103" i="47"/>
  <c r="AS103" i="47"/>
  <c r="BB102" i="47"/>
  <c r="BA102" i="47"/>
  <c r="AY102" i="47"/>
  <c r="AW102" i="47"/>
  <c r="AU102" i="47"/>
  <c r="AS102" i="47"/>
  <c r="BB101" i="47"/>
  <c r="BA101" i="47"/>
  <c r="AY101" i="47"/>
  <c r="AW101" i="47"/>
  <c r="AU101" i="47"/>
  <c r="AS101" i="47"/>
  <c r="BB100" i="47"/>
  <c r="BA100" i="47"/>
  <c r="AY100" i="47"/>
  <c r="AW100" i="47"/>
  <c r="AU100" i="47"/>
  <c r="AS100" i="47"/>
  <c r="BB99" i="47"/>
  <c r="BA99" i="47"/>
  <c r="AY99" i="47"/>
  <c r="AW99" i="47"/>
  <c r="AU99" i="47"/>
  <c r="AS99" i="47"/>
  <c r="BB98" i="47"/>
  <c r="BA98" i="47"/>
  <c r="AY98" i="47"/>
  <c r="AW98" i="47"/>
  <c r="AU98" i="47"/>
  <c r="AS98" i="47"/>
  <c r="BB97" i="47"/>
  <c r="BA97" i="47"/>
  <c r="AY97" i="47"/>
  <c r="AW97" i="47"/>
  <c r="AU97" i="47"/>
  <c r="AS97" i="47"/>
  <c r="BB96" i="47"/>
  <c r="BA96" i="47"/>
  <c r="AY96" i="47"/>
  <c r="AW96" i="47"/>
  <c r="AU96" i="47"/>
  <c r="AS96" i="47"/>
  <c r="BB95" i="47"/>
  <c r="BA95" i="47"/>
  <c r="AY95" i="47"/>
  <c r="AW95" i="47"/>
  <c r="AU95" i="47"/>
  <c r="AS95" i="47"/>
  <c r="BB94" i="47"/>
  <c r="BA94" i="47"/>
  <c r="AY94" i="47"/>
  <c r="AW94" i="47"/>
  <c r="AU94" i="47"/>
  <c r="AS94" i="47"/>
  <c r="BB93" i="47"/>
  <c r="BA93" i="47"/>
  <c r="AY93" i="47"/>
  <c r="AW93" i="47"/>
  <c r="AU93" i="47"/>
  <c r="AS93" i="47"/>
  <c r="BB92" i="47"/>
  <c r="BA92" i="47"/>
  <c r="AY92" i="47"/>
  <c r="AW92" i="47"/>
  <c r="AU92" i="47"/>
  <c r="AS92" i="47"/>
  <c r="BB91" i="47"/>
  <c r="BA91" i="47"/>
  <c r="AY91" i="47"/>
  <c r="AW91" i="47"/>
  <c r="AU91" i="47"/>
  <c r="AS91" i="47"/>
  <c r="BB90" i="47"/>
  <c r="BA90" i="47"/>
  <c r="AY90" i="47"/>
  <c r="AW90" i="47"/>
  <c r="AU90" i="47"/>
  <c r="AS90" i="47"/>
  <c r="BB89" i="47"/>
  <c r="BA89" i="47"/>
  <c r="AY89" i="47"/>
  <c r="AW89" i="47"/>
  <c r="AU89" i="47"/>
  <c r="AS89" i="47"/>
  <c r="BB169" i="47"/>
  <c r="BA169" i="47"/>
  <c r="AY169" i="47"/>
  <c r="AW169" i="47"/>
  <c r="AU169" i="47"/>
  <c r="AS169" i="47"/>
  <c r="BB168" i="47"/>
  <c r="BA168" i="47"/>
  <c r="AY168" i="47"/>
  <c r="AW168" i="47"/>
  <c r="AU168" i="47"/>
  <c r="AS168" i="47"/>
  <c r="BB167" i="47"/>
  <c r="BA167" i="47"/>
  <c r="AY167" i="47"/>
  <c r="AW167" i="47"/>
  <c r="AU167" i="47"/>
  <c r="AS167" i="47"/>
  <c r="BB88" i="47"/>
  <c r="BA88" i="47"/>
  <c r="AY88" i="47"/>
  <c r="AW88" i="47"/>
  <c r="AU88" i="47"/>
  <c r="AS88" i="47"/>
  <c r="BB87" i="47"/>
  <c r="BA87" i="47"/>
  <c r="AY87" i="47"/>
  <c r="AW87" i="47"/>
  <c r="AU87" i="47"/>
  <c r="AS87" i="47"/>
  <c r="BB86" i="47"/>
  <c r="BA86" i="47"/>
  <c r="AY86" i="47"/>
  <c r="AW86" i="47"/>
  <c r="AU86" i="47"/>
  <c r="AS86" i="47"/>
  <c r="BB85" i="47"/>
  <c r="BA85" i="47"/>
  <c r="AY85" i="47"/>
  <c r="AW85" i="47"/>
  <c r="AU85" i="47"/>
  <c r="AS85" i="47"/>
  <c r="BB84" i="47"/>
  <c r="BA84" i="47"/>
  <c r="AY84" i="47"/>
  <c r="AW84" i="47"/>
  <c r="AU84" i="47"/>
  <c r="AS84" i="47"/>
  <c r="BB83" i="47"/>
  <c r="BA83" i="47"/>
  <c r="AY83" i="47"/>
  <c r="AW83" i="47"/>
  <c r="AU83" i="47"/>
  <c r="AS83" i="47"/>
  <c r="BB22" i="47"/>
  <c r="BA22" i="47"/>
  <c r="AY22" i="47"/>
  <c r="AW22" i="47"/>
  <c r="AU22" i="47"/>
  <c r="AS22" i="47"/>
  <c r="BB158" i="47"/>
  <c r="BA158" i="47"/>
  <c r="AY158" i="47"/>
  <c r="AW158" i="47"/>
  <c r="AU158" i="47"/>
  <c r="AS158" i="47"/>
  <c r="BB177" i="47"/>
  <c r="BA177" i="47"/>
  <c r="AY177" i="47"/>
  <c r="AW177" i="47"/>
  <c r="AU177" i="47"/>
  <c r="AS177" i="47"/>
  <c r="BB176" i="47"/>
  <c r="BA176" i="47"/>
  <c r="AY176" i="47"/>
  <c r="AW176" i="47"/>
  <c r="AU176" i="47"/>
  <c r="AS176" i="47"/>
  <c r="BB175" i="47"/>
  <c r="BA175" i="47"/>
  <c r="AY175" i="47"/>
  <c r="AW175" i="47"/>
  <c r="AU175" i="47"/>
  <c r="AS175" i="47"/>
  <c r="BB157" i="47"/>
  <c r="BA157" i="47"/>
  <c r="AY157" i="47"/>
  <c r="AW157" i="47"/>
  <c r="AU157" i="47"/>
  <c r="AS157" i="47"/>
  <c r="BB156" i="47"/>
  <c r="BA156" i="47"/>
  <c r="AY156" i="47"/>
  <c r="AW156" i="47"/>
  <c r="AU156" i="47"/>
  <c r="AS156" i="47"/>
  <c r="BB155" i="47"/>
  <c r="BA155" i="47"/>
  <c r="AY155" i="47"/>
  <c r="AW155" i="47"/>
  <c r="AU155" i="47"/>
  <c r="AS155" i="47"/>
  <c r="BB154" i="47"/>
  <c r="BA154" i="47"/>
  <c r="AY154" i="47"/>
  <c r="AW154" i="47"/>
  <c r="AU154" i="47"/>
  <c r="AS154" i="47"/>
  <c r="BB166" i="47"/>
  <c r="BA166" i="47"/>
  <c r="AY166" i="47"/>
  <c r="AW166" i="47"/>
  <c r="AU166" i="47"/>
  <c r="AS166" i="47"/>
  <c r="BB165" i="47"/>
  <c r="BA165" i="47"/>
  <c r="AY165" i="47"/>
  <c r="AW165" i="47"/>
  <c r="AU165" i="47"/>
  <c r="AS165" i="47"/>
  <c r="BB164" i="47"/>
  <c r="BA164" i="47"/>
  <c r="AY164" i="47"/>
  <c r="AW164" i="47"/>
  <c r="AU164" i="47"/>
  <c r="AS164" i="47"/>
  <c r="BB163" i="47"/>
  <c r="BA163" i="47"/>
  <c r="AY163" i="47"/>
  <c r="AW163" i="47"/>
  <c r="AU163" i="47"/>
  <c r="AS163" i="47"/>
  <c r="BB162" i="47"/>
  <c r="BA162" i="47"/>
  <c r="AY162" i="47"/>
  <c r="AW162" i="47"/>
  <c r="AU162" i="47"/>
  <c r="AS162" i="47"/>
  <c r="BB161" i="47"/>
  <c r="BA161" i="47"/>
  <c r="AY161" i="47"/>
  <c r="AW161" i="47"/>
  <c r="AU161" i="47"/>
  <c r="AS161" i="47"/>
  <c r="BB153" i="47"/>
  <c r="BA153" i="47"/>
  <c r="AY153" i="47"/>
  <c r="AW153" i="47"/>
  <c r="AU153" i="47"/>
  <c r="AS153" i="47"/>
  <c r="BB152" i="47"/>
  <c r="BA152" i="47"/>
  <c r="AY152" i="47"/>
  <c r="AW152" i="47"/>
  <c r="AU152" i="47"/>
  <c r="AS152" i="47"/>
  <c r="BB151" i="47"/>
  <c r="BA151" i="47"/>
  <c r="AY151" i="47"/>
  <c r="AW151" i="47"/>
  <c r="AU151" i="47"/>
  <c r="AS151" i="47"/>
  <c r="BB34" i="47"/>
  <c r="BA34" i="47"/>
  <c r="AY34" i="47"/>
  <c r="AW34" i="47"/>
  <c r="AU34" i="47"/>
  <c r="AS34" i="47"/>
  <c r="BB33" i="47"/>
  <c r="BA33" i="47"/>
  <c r="AY33" i="47"/>
  <c r="AW33" i="47"/>
  <c r="AU33" i="47"/>
  <c r="AS33" i="47"/>
  <c r="BB72" i="47"/>
  <c r="BA72" i="47"/>
  <c r="AY72" i="47"/>
  <c r="AW72" i="47"/>
  <c r="AU72" i="47"/>
  <c r="AS72" i="47"/>
  <c r="BB71" i="47"/>
  <c r="BA71" i="47"/>
  <c r="AY71" i="47"/>
  <c r="AW71" i="47"/>
  <c r="AU71" i="47"/>
  <c r="AS71" i="47"/>
  <c r="BB70" i="47"/>
  <c r="BA70" i="47"/>
  <c r="AY70" i="47"/>
  <c r="AW70" i="47"/>
  <c r="AU70" i="47"/>
  <c r="AS70" i="47"/>
  <c r="BB69" i="47"/>
  <c r="BA69" i="47"/>
  <c r="AY69" i="47"/>
  <c r="AW69" i="47"/>
  <c r="AU69" i="47"/>
  <c r="AS69" i="47"/>
  <c r="BB68" i="47"/>
  <c r="BA68" i="47"/>
  <c r="AY68" i="47"/>
  <c r="AW68" i="47"/>
  <c r="AU68" i="47"/>
  <c r="AS68" i="47"/>
  <c r="BB67" i="47"/>
  <c r="BA67" i="47"/>
  <c r="AY67" i="47"/>
  <c r="AW67" i="47"/>
  <c r="AU67" i="47"/>
  <c r="AS67" i="47"/>
  <c r="BB66" i="47"/>
  <c r="BA66" i="47"/>
  <c r="AY66" i="47"/>
  <c r="AW66" i="47"/>
  <c r="AU66" i="47"/>
  <c r="AS66" i="47"/>
  <c r="BB65" i="47"/>
  <c r="BA65" i="47"/>
  <c r="AY65" i="47"/>
  <c r="AW65" i="47"/>
  <c r="AU65" i="47"/>
  <c r="AS65" i="47"/>
  <c r="BB64" i="47"/>
  <c r="BA64" i="47"/>
  <c r="AY64" i="47"/>
  <c r="AW64" i="47"/>
  <c r="AU64" i="47"/>
  <c r="AS64" i="47"/>
  <c r="BB63" i="47"/>
  <c r="BA63" i="47"/>
  <c r="AY63" i="47"/>
  <c r="AW63" i="47"/>
  <c r="AU63" i="47"/>
  <c r="AS63" i="47"/>
  <c r="BB62" i="47"/>
  <c r="BA62" i="47"/>
  <c r="AY62" i="47"/>
  <c r="AW62" i="47"/>
  <c r="AU62" i="47"/>
  <c r="AS62" i="47"/>
  <c r="BB32" i="47"/>
  <c r="BA32" i="47"/>
  <c r="AY32" i="47"/>
  <c r="AW32" i="47"/>
  <c r="AU32" i="47"/>
  <c r="AS32" i="47"/>
  <c r="BB61" i="47"/>
  <c r="BA61" i="47"/>
  <c r="AY61" i="47"/>
  <c r="AW61" i="47"/>
  <c r="AU61" i="47"/>
  <c r="AS61" i="47"/>
  <c r="BB60" i="47"/>
  <c r="BA60" i="47"/>
  <c r="AY60" i="47"/>
  <c r="AW60" i="47"/>
  <c r="AU60" i="47"/>
  <c r="AS60" i="47"/>
  <c r="BB59" i="47"/>
  <c r="BA59" i="47"/>
  <c r="AY59" i="47"/>
  <c r="AW59" i="47"/>
  <c r="AU59" i="47"/>
  <c r="AS59" i="47"/>
  <c r="BB58" i="47"/>
  <c r="BA58" i="47"/>
  <c r="AY58" i="47"/>
  <c r="AW58" i="47"/>
  <c r="AU58" i="47"/>
  <c r="AS58" i="47"/>
  <c r="BB57" i="47"/>
  <c r="BA57" i="47"/>
  <c r="AY57" i="47"/>
  <c r="AW57" i="47"/>
  <c r="AU57" i="47"/>
  <c r="AS57" i="47"/>
  <c r="BB56" i="47"/>
  <c r="BA56" i="47"/>
  <c r="AY56" i="47"/>
  <c r="AW56" i="47"/>
  <c r="AU56" i="47"/>
  <c r="AS56" i="47"/>
  <c r="BB55" i="47"/>
  <c r="BA55" i="47"/>
  <c r="AY55" i="47"/>
  <c r="AW55" i="47"/>
  <c r="AU55" i="47"/>
  <c r="AS55" i="47"/>
  <c r="BB54" i="47"/>
  <c r="BA54" i="47"/>
  <c r="AY54" i="47"/>
  <c r="AW54" i="47"/>
  <c r="AU54" i="47"/>
  <c r="AS54" i="47"/>
  <c r="BB53" i="47"/>
  <c r="BA53" i="47"/>
  <c r="AY53" i="47"/>
  <c r="AW53" i="47"/>
  <c r="AU53" i="47"/>
  <c r="AS53" i="47"/>
  <c r="BB52" i="47"/>
  <c r="BA52" i="47"/>
  <c r="AY52" i="47"/>
  <c r="AW52" i="47"/>
  <c r="AU52" i="47"/>
  <c r="AS52" i="47"/>
  <c r="BB51" i="47"/>
  <c r="BA51" i="47"/>
  <c r="AY51" i="47"/>
  <c r="AW51" i="47"/>
  <c r="AU51" i="47"/>
  <c r="AS51" i="47"/>
  <c r="BB50" i="47"/>
  <c r="BA50" i="47"/>
  <c r="AY50" i="47"/>
  <c r="AW50" i="47"/>
  <c r="AU50" i="47"/>
  <c r="AS50" i="47"/>
  <c r="BB49" i="47"/>
  <c r="BA49" i="47"/>
  <c r="AY49" i="47"/>
  <c r="AW49" i="47"/>
  <c r="AU49" i="47"/>
  <c r="AS49" i="47"/>
  <c r="BB48" i="47"/>
  <c r="BA48" i="47"/>
  <c r="AY48" i="47"/>
  <c r="AW48" i="47"/>
  <c r="AU48" i="47"/>
  <c r="AS48" i="47"/>
  <c r="BB47" i="47"/>
  <c r="BA47" i="47"/>
  <c r="AY47" i="47"/>
  <c r="AW47" i="47"/>
  <c r="AU47" i="47"/>
  <c r="AS47" i="47"/>
  <c r="BB82" i="47"/>
  <c r="BA82" i="47"/>
  <c r="AY82" i="47"/>
  <c r="AW82" i="47"/>
  <c r="AU82" i="47"/>
  <c r="AS82" i="47"/>
  <c r="BB81" i="47"/>
  <c r="BA81" i="47"/>
  <c r="AY81" i="47"/>
  <c r="AW81" i="47"/>
  <c r="AU81" i="47"/>
  <c r="AS81" i="47"/>
  <c r="BB80" i="47"/>
  <c r="BA80" i="47"/>
  <c r="AY80" i="47"/>
  <c r="AW80" i="47"/>
  <c r="AU80" i="47"/>
  <c r="AS80" i="47"/>
  <c r="BB79" i="47"/>
  <c r="BA79" i="47"/>
  <c r="AY79" i="47"/>
  <c r="AW79" i="47"/>
  <c r="AU79" i="47"/>
  <c r="AS79" i="47"/>
  <c r="BB46" i="47"/>
  <c r="BA46" i="47"/>
  <c r="AY46" i="47"/>
  <c r="AW46" i="47"/>
  <c r="AU46" i="47"/>
  <c r="AS46" i="47"/>
  <c r="BB45" i="47"/>
  <c r="BA45" i="47"/>
  <c r="AY45" i="47"/>
  <c r="AW45" i="47"/>
  <c r="AU45" i="47"/>
  <c r="AS45" i="47"/>
  <c r="BB44" i="47"/>
  <c r="BA44" i="47"/>
  <c r="AY44" i="47"/>
  <c r="AW44" i="47"/>
  <c r="AU44" i="47"/>
  <c r="AS44" i="47"/>
  <c r="BB43" i="47"/>
  <c r="BA43" i="47"/>
  <c r="AY43" i="47"/>
  <c r="AW43" i="47"/>
  <c r="AU43" i="47"/>
  <c r="AS43" i="47"/>
  <c r="BB42" i="47"/>
  <c r="BA42" i="47"/>
  <c r="AY42" i="47"/>
  <c r="AW42" i="47"/>
  <c r="AU42" i="47"/>
  <c r="AS42" i="47"/>
  <c r="BB41" i="47"/>
  <c r="BA41" i="47"/>
  <c r="AY41" i="47"/>
  <c r="AW41" i="47"/>
  <c r="AU41" i="47"/>
  <c r="AS41" i="47"/>
  <c r="BB174" i="47"/>
  <c r="BA174" i="47"/>
  <c r="AY174" i="47"/>
  <c r="AW174" i="47"/>
  <c r="AU174" i="47"/>
  <c r="AS174" i="47"/>
  <c r="BB173" i="47"/>
  <c r="BA173" i="47"/>
  <c r="AY173" i="47"/>
  <c r="AW173" i="47"/>
  <c r="AU173" i="47"/>
  <c r="AS173" i="47"/>
  <c r="BB160" i="47"/>
  <c r="BA160" i="47"/>
  <c r="AY160" i="47"/>
  <c r="AW160" i="47"/>
  <c r="AU160" i="47"/>
  <c r="AS160" i="47"/>
  <c r="BB159" i="47"/>
  <c r="BA159" i="47"/>
  <c r="AY159" i="47"/>
  <c r="AW159" i="47"/>
  <c r="AU159" i="47"/>
  <c r="AS159" i="47"/>
  <c r="BB31" i="47"/>
  <c r="BA31" i="47"/>
  <c r="AY31" i="47"/>
  <c r="AW31" i="47"/>
  <c r="AU31" i="47"/>
  <c r="AS31" i="47"/>
  <c r="BB30" i="47"/>
  <c r="BA30" i="47"/>
  <c r="AY30" i="47"/>
  <c r="AW30" i="47"/>
  <c r="AU30" i="47"/>
  <c r="AS30" i="47"/>
  <c r="BB29" i="47"/>
  <c r="BA29" i="47"/>
  <c r="AY29" i="47"/>
  <c r="AW29" i="47"/>
  <c r="AU29" i="47"/>
  <c r="AS29" i="47"/>
  <c r="BB28" i="47"/>
  <c r="BA28" i="47"/>
  <c r="AY28" i="47"/>
  <c r="AW28" i="47"/>
  <c r="AU28" i="47"/>
  <c r="AS28" i="47"/>
  <c r="BB27" i="47"/>
  <c r="BA27" i="47"/>
  <c r="AY27" i="47"/>
  <c r="AW27" i="47"/>
  <c r="AU27" i="47"/>
  <c r="AS27" i="47"/>
  <c r="BB40" i="47"/>
  <c r="BA40" i="47"/>
  <c r="AY40" i="47"/>
  <c r="AW40" i="47"/>
  <c r="AU40" i="47"/>
  <c r="AS40" i="47"/>
  <c r="BB39" i="47"/>
  <c r="BA39" i="47"/>
  <c r="AY39" i="47"/>
  <c r="AW39" i="47"/>
  <c r="AU39" i="47"/>
  <c r="AS39" i="47"/>
  <c r="BB38" i="47"/>
  <c r="BA38" i="47"/>
  <c r="AY38" i="47"/>
  <c r="AW38" i="47"/>
  <c r="AU38" i="47"/>
  <c r="AS38" i="47"/>
  <c r="BB37" i="47"/>
  <c r="BA37" i="47"/>
  <c r="AY37" i="47"/>
  <c r="AW37" i="47"/>
  <c r="AU37" i="47"/>
  <c r="AS37" i="47"/>
  <c r="BB36" i="47"/>
  <c r="BA36" i="47"/>
  <c r="AY36" i="47"/>
  <c r="AW36" i="47"/>
  <c r="AU36" i="47"/>
  <c r="AS36" i="47"/>
  <c r="BB35" i="47"/>
  <c r="BA35" i="47"/>
  <c r="AY35" i="47"/>
  <c r="AW35" i="47"/>
  <c r="AU35" i="47"/>
  <c r="AS35" i="47"/>
  <c r="BB26" i="47"/>
  <c r="BA26" i="47"/>
  <c r="AY26" i="47"/>
  <c r="AW26" i="47"/>
  <c r="AU26" i="47"/>
  <c r="AS26" i="47"/>
  <c r="BB25" i="47"/>
  <c r="BA25" i="47"/>
  <c r="AY25" i="47"/>
  <c r="AW25" i="47"/>
  <c r="AU25" i="47"/>
  <c r="AS25" i="47"/>
  <c r="BB24" i="47"/>
  <c r="BA24" i="47"/>
  <c r="AY24" i="47"/>
  <c r="AW24" i="47"/>
  <c r="AU24" i="47"/>
  <c r="AS24" i="47"/>
  <c r="BB78" i="47"/>
  <c r="BA78" i="47"/>
  <c r="AY78" i="47"/>
  <c r="AW78" i="47"/>
  <c r="AU78" i="47"/>
  <c r="AS78" i="47"/>
  <c r="BB77" i="47"/>
  <c r="BA77" i="47"/>
  <c r="AY77" i="47"/>
  <c r="AW77" i="47"/>
  <c r="AU77" i="47"/>
  <c r="AS77" i="47"/>
  <c r="BB21" i="47"/>
  <c r="BA21" i="47"/>
  <c r="AY21" i="47"/>
  <c r="AW21" i="47"/>
  <c r="AU21" i="47"/>
  <c r="AS21" i="47"/>
  <c r="BB20" i="47"/>
  <c r="BA20" i="47"/>
  <c r="AY20" i="47"/>
  <c r="AW20" i="47"/>
  <c r="AU20" i="47"/>
  <c r="AS20" i="47"/>
  <c r="BB19" i="47"/>
  <c r="BA19" i="47"/>
  <c r="AY19" i="47"/>
  <c r="AW19" i="47"/>
  <c r="AU19" i="47"/>
  <c r="AS19" i="47"/>
  <c r="BB172" i="47"/>
  <c r="BA172" i="47"/>
  <c r="AY172" i="47"/>
  <c r="AW172" i="47"/>
  <c r="AU172" i="47"/>
  <c r="AS172" i="47"/>
  <c r="BB18" i="47"/>
  <c r="BA18" i="47"/>
  <c r="AY18" i="47"/>
  <c r="AW18" i="47"/>
  <c r="AU18" i="47"/>
  <c r="AS18" i="47"/>
  <c r="BB23" i="47"/>
  <c r="BA23" i="47"/>
  <c r="AY23" i="47"/>
  <c r="AW23" i="47"/>
  <c r="AU23" i="47"/>
  <c r="AS23" i="47"/>
  <c r="BB17" i="47"/>
  <c r="BA17" i="47"/>
  <c r="AY17" i="47"/>
  <c r="AW17" i="47"/>
  <c r="AU17" i="47"/>
  <c r="AS17" i="47"/>
  <c r="BB171" i="47"/>
  <c r="BA171" i="47"/>
  <c r="AY171" i="47"/>
  <c r="AW171" i="47"/>
  <c r="AU171" i="47"/>
  <c r="AS171" i="47"/>
  <c r="BB16" i="47"/>
  <c r="BA16" i="47"/>
  <c r="AY16" i="47"/>
  <c r="AW16" i="47"/>
  <c r="AU16" i="47"/>
  <c r="AS16" i="47"/>
  <c r="BB170" i="47"/>
  <c r="BA170" i="47"/>
  <c r="AY170" i="47"/>
  <c r="AW170" i="47"/>
  <c r="AU170" i="47"/>
  <c r="AS170" i="47"/>
  <c r="BB15" i="47"/>
  <c r="BA15" i="47"/>
  <c r="AY15" i="47"/>
  <c r="AW15" i="47"/>
  <c r="AU15" i="47"/>
  <c r="AS15" i="47"/>
  <c r="BB14" i="47"/>
  <c r="BA14" i="47"/>
  <c r="AY14" i="47"/>
  <c r="AW14" i="47"/>
  <c r="AU14" i="47"/>
  <c r="AS14" i="47"/>
  <c r="BB76" i="47"/>
  <c r="BA76" i="47"/>
  <c r="AY76" i="47"/>
  <c r="AW76" i="47"/>
  <c r="AU76" i="47"/>
  <c r="AS76" i="47"/>
  <c r="BB75" i="47"/>
  <c r="BA75" i="47"/>
  <c r="AY75" i="47"/>
  <c r="AW75" i="47"/>
  <c r="AU75" i="47"/>
  <c r="AS75" i="47"/>
  <c r="BB74" i="47"/>
  <c r="BA74" i="47"/>
  <c r="AY74" i="47"/>
  <c r="AW74" i="47"/>
  <c r="AU74" i="47"/>
  <c r="AS74" i="47"/>
  <c r="BB73" i="47"/>
  <c r="BA73" i="47"/>
  <c r="AY73" i="47"/>
  <c r="AW73" i="47"/>
  <c r="AU73" i="47"/>
  <c r="AS73" i="47"/>
  <c r="BB150" i="47"/>
  <c r="BA150" i="47"/>
  <c r="AY150" i="47"/>
  <c r="AW150" i="47"/>
  <c r="AU150" i="47"/>
  <c r="AS150" i="47"/>
  <c r="BB149" i="47"/>
  <c r="BA149" i="47"/>
  <c r="AY149" i="47"/>
  <c r="AW149" i="47"/>
  <c r="AU149" i="47"/>
  <c r="AS149" i="47"/>
  <c r="X13" i="47"/>
  <c r="V13" i="47"/>
  <c r="T13" i="47"/>
  <c r="R13" i="47"/>
  <c r="P13" i="47"/>
  <c r="N13" i="47"/>
  <c r="L13" i="47"/>
  <c r="J13" i="47"/>
  <c r="H1" i="47" a="1"/>
  <c r="H1" i="47" s="1"/>
  <c r="K4" i="5" s="1"/>
  <c r="BF250" i="46"/>
  <c r="BE250" i="46"/>
  <c r="BB250" i="46"/>
  <c r="BA250" i="46"/>
  <c r="AY250" i="46"/>
  <c r="AW250" i="46"/>
  <c r="AU250" i="46"/>
  <c r="AS250" i="46"/>
  <c r="AB250" i="46"/>
  <c r="Z250" i="46"/>
  <c r="AA250" i="46" s="1"/>
  <c r="G250" i="46"/>
  <c r="F250" i="46"/>
  <c r="AR250" i="46" s="1" a="1"/>
  <c r="AR250" i="46" s="1"/>
  <c r="BF249" i="46"/>
  <c r="BE249" i="46"/>
  <c r="BB249" i="46"/>
  <c r="BA249" i="46"/>
  <c r="AY249" i="46"/>
  <c r="AW249" i="46"/>
  <c r="AU249" i="46"/>
  <c r="AS249" i="46"/>
  <c r="AB249" i="46"/>
  <c r="Z249" i="46"/>
  <c r="AA249" i="46" s="1"/>
  <c r="G249" i="46"/>
  <c r="F249" i="46"/>
  <c r="AR249" i="46" s="1" a="1"/>
  <c r="AR249" i="46" s="1"/>
  <c r="BF248" i="46"/>
  <c r="BE248" i="46"/>
  <c r="BB248" i="46"/>
  <c r="BA248" i="46"/>
  <c r="AY248" i="46"/>
  <c r="AW248" i="46"/>
  <c r="AU248" i="46"/>
  <c r="AS248" i="46"/>
  <c r="AB248" i="46"/>
  <c r="Z248" i="46"/>
  <c r="AA248" i="46" s="1"/>
  <c r="AV248" i="46"/>
  <c r="G248" i="46"/>
  <c r="F248" i="46"/>
  <c r="AR248" i="46" s="1" a="1"/>
  <c r="AR248" i="46" s="1"/>
  <c r="BF247" i="46"/>
  <c r="BE247" i="46"/>
  <c r="BB247" i="46"/>
  <c r="BA247" i="46"/>
  <c r="AY247" i="46"/>
  <c r="AW247" i="46"/>
  <c r="AU247" i="46"/>
  <c r="AS247" i="46"/>
  <c r="AB247" i="46"/>
  <c r="Z247" i="46"/>
  <c r="AA247" i="46" s="1"/>
  <c r="AV247" i="46"/>
  <c r="G247" i="46"/>
  <c r="F247" i="46"/>
  <c r="AR247" i="46" s="1" a="1"/>
  <c r="AR247" i="46" s="1"/>
  <c r="BF246" i="46"/>
  <c r="BE246" i="46"/>
  <c r="BB246" i="46"/>
  <c r="BA246" i="46"/>
  <c r="AY246" i="46"/>
  <c r="AW246" i="46"/>
  <c r="AU246" i="46"/>
  <c r="AS246" i="46"/>
  <c r="AB246" i="46"/>
  <c r="Z246" i="46"/>
  <c r="AA246" i="46" s="1"/>
  <c r="AV246" i="46"/>
  <c r="G246" i="46"/>
  <c r="F246" i="46"/>
  <c r="AR246" i="46" s="1" a="1"/>
  <c r="AR246" i="46" s="1"/>
  <c r="BF245" i="46"/>
  <c r="BE245" i="46"/>
  <c r="BB245" i="46"/>
  <c r="BA245" i="46"/>
  <c r="AY245" i="46"/>
  <c r="AW245" i="46"/>
  <c r="AU245" i="46"/>
  <c r="AS245" i="46"/>
  <c r="AB245" i="46"/>
  <c r="Z245" i="46"/>
  <c r="AA245" i="46" s="1"/>
  <c r="AV245" i="46"/>
  <c r="G245" i="46"/>
  <c r="F245" i="46"/>
  <c r="AR245" i="46" s="1" a="1"/>
  <c r="AR245" i="46" s="1"/>
  <c r="BF244" i="46"/>
  <c r="BE244" i="46"/>
  <c r="BB244" i="46"/>
  <c r="BA244" i="46"/>
  <c r="AY244" i="46"/>
  <c r="AW244" i="46"/>
  <c r="AU244" i="46"/>
  <c r="AS244" i="46"/>
  <c r="AB244" i="46"/>
  <c r="Z244" i="46"/>
  <c r="AA244" i="46" s="1"/>
  <c r="AV244" i="46"/>
  <c r="G244" i="46"/>
  <c r="F244" i="46"/>
  <c r="BF243" i="46"/>
  <c r="BE243" i="46"/>
  <c r="BB243" i="46"/>
  <c r="BA243" i="46"/>
  <c r="AY243" i="46"/>
  <c r="AW243" i="46"/>
  <c r="AU243" i="46"/>
  <c r="AS243" i="46"/>
  <c r="AB243" i="46"/>
  <c r="Z243" i="46"/>
  <c r="AA243" i="46" s="1"/>
  <c r="AV243" i="46"/>
  <c r="G243" i="46"/>
  <c r="F243" i="46"/>
  <c r="AR243" i="46" s="1" a="1"/>
  <c r="AR243" i="46" s="1"/>
  <c r="BF242" i="46"/>
  <c r="BE242" i="46"/>
  <c r="BB242" i="46"/>
  <c r="BA242" i="46"/>
  <c r="AY242" i="46"/>
  <c r="AW242" i="46"/>
  <c r="AU242" i="46"/>
  <c r="AS242" i="46"/>
  <c r="AB242" i="46"/>
  <c r="Z242" i="46"/>
  <c r="AA242" i="46" s="1"/>
  <c r="AV242" i="46"/>
  <c r="G242" i="46"/>
  <c r="F242" i="46"/>
  <c r="AR242" i="46" s="1" a="1"/>
  <c r="AR242" i="46" s="1"/>
  <c r="BF241" i="46"/>
  <c r="BE241" i="46"/>
  <c r="BB241" i="46"/>
  <c r="BA241" i="46"/>
  <c r="AY241" i="46"/>
  <c r="AW241" i="46"/>
  <c r="AU241" i="46"/>
  <c r="AS241" i="46"/>
  <c r="AB241" i="46"/>
  <c r="Z241" i="46"/>
  <c r="AA241" i="46" s="1"/>
  <c r="G241" i="46"/>
  <c r="F241" i="46"/>
  <c r="AR241" i="46" s="1" a="1"/>
  <c r="AR241" i="46" s="1"/>
  <c r="BF240" i="46"/>
  <c r="BE240" i="46"/>
  <c r="BB240" i="46"/>
  <c r="BA240" i="46"/>
  <c r="AY240" i="46"/>
  <c r="AW240" i="46"/>
  <c r="AU240" i="46"/>
  <c r="AS240" i="46"/>
  <c r="AB240" i="46"/>
  <c r="Z240" i="46"/>
  <c r="AA240" i="46" s="1"/>
  <c r="AV240" i="46"/>
  <c r="G240" i="46"/>
  <c r="F240" i="46"/>
  <c r="AR240" i="46" s="1" a="1"/>
  <c r="AR240" i="46" s="1"/>
  <c r="BF239" i="46"/>
  <c r="BE239" i="46"/>
  <c r="BB239" i="46"/>
  <c r="BA239" i="46"/>
  <c r="AY239" i="46"/>
  <c r="AW239" i="46"/>
  <c r="AU239" i="46"/>
  <c r="AS239" i="46"/>
  <c r="AB239" i="46"/>
  <c r="Z239" i="46"/>
  <c r="AA239" i="46" s="1"/>
  <c r="G239" i="46"/>
  <c r="F239" i="46"/>
  <c r="BF238" i="46"/>
  <c r="BE238" i="46"/>
  <c r="BB238" i="46"/>
  <c r="BA238" i="46"/>
  <c r="AY238" i="46"/>
  <c r="AW238" i="46"/>
  <c r="AU238" i="46"/>
  <c r="AS238" i="46"/>
  <c r="AB238" i="46"/>
  <c r="Z238" i="46"/>
  <c r="AA238" i="46" s="1"/>
  <c r="AV238" i="46"/>
  <c r="G238" i="46"/>
  <c r="F238" i="46"/>
  <c r="BF237" i="46"/>
  <c r="BE237" i="46"/>
  <c r="BB237" i="46"/>
  <c r="BA237" i="46"/>
  <c r="AY237" i="46"/>
  <c r="AW237" i="46"/>
  <c r="AU237" i="46"/>
  <c r="AS237" i="46"/>
  <c r="AB237" i="46"/>
  <c r="Z237" i="46"/>
  <c r="AA237" i="46" s="1"/>
  <c r="G237" i="46"/>
  <c r="F237" i="46"/>
  <c r="BF236" i="46"/>
  <c r="BE236" i="46"/>
  <c r="BB236" i="46"/>
  <c r="BA236" i="46"/>
  <c r="AY236" i="46"/>
  <c r="AW236" i="46"/>
  <c r="AU236" i="46"/>
  <c r="AS236" i="46"/>
  <c r="AB236" i="46"/>
  <c r="Z236" i="46"/>
  <c r="AA236" i="46" s="1"/>
  <c r="AV236" i="46"/>
  <c r="G236" i="46"/>
  <c r="F236" i="46"/>
  <c r="BF235" i="46"/>
  <c r="BE235" i="46"/>
  <c r="BB235" i="46"/>
  <c r="BA235" i="46"/>
  <c r="AY235" i="46"/>
  <c r="AW235" i="46"/>
  <c r="AU235" i="46"/>
  <c r="AS235" i="46"/>
  <c r="AB235" i="46"/>
  <c r="Z235" i="46"/>
  <c r="AA235" i="46" s="1"/>
  <c r="G235" i="46"/>
  <c r="F235" i="46"/>
  <c r="AR235" i="46" s="1" a="1"/>
  <c r="AR235" i="46" s="1"/>
  <c r="BF234" i="46"/>
  <c r="BE234" i="46"/>
  <c r="BB234" i="46"/>
  <c r="BA234" i="46"/>
  <c r="AY234" i="46"/>
  <c r="AW234" i="46"/>
  <c r="AU234" i="46"/>
  <c r="AS234" i="46"/>
  <c r="AB234" i="46"/>
  <c r="Z234" i="46"/>
  <c r="AA234" i="46" s="1"/>
  <c r="G234" i="46"/>
  <c r="F234" i="46"/>
  <c r="BF233" i="46"/>
  <c r="BE233" i="46"/>
  <c r="BB233" i="46"/>
  <c r="BA233" i="46"/>
  <c r="AY233" i="46"/>
  <c r="AW233" i="46"/>
  <c r="AU233" i="46"/>
  <c r="AS233" i="46"/>
  <c r="AB233" i="46"/>
  <c r="Z233" i="46"/>
  <c r="AA233" i="46" s="1"/>
  <c r="AV233" i="46"/>
  <c r="G233" i="46"/>
  <c r="F233" i="46"/>
  <c r="BF232" i="46"/>
  <c r="BE232" i="46"/>
  <c r="BB232" i="46"/>
  <c r="BA232" i="46"/>
  <c r="AY232" i="46"/>
  <c r="AW232" i="46"/>
  <c r="AU232" i="46"/>
  <c r="AS232" i="46"/>
  <c r="AB232" i="46"/>
  <c r="Z232" i="46"/>
  <c r="AA232" i="46" s="1"/>
  <c r="AV232" i="46"/>
  <c r="G232" i="46"/>
  <c r="F232" i="46"/>
  <c r="AR232" i="46" s="1" a="1"/>
  <c r="AR232" i="46" s="1"/>
  <c r="BF231" i="46"/>
  <c r="BE231" i="46"/>
  <c r="BB231" i="46"/>
  <c r="BA231" i="46"/>
  <c r="AY231" i="46"/>
  <c r="AW231" i="46"/>
  <c r="AU231" i="46"/>
  <c r="AS231" i="46"/>
  <c r="AB231" i="46"/>
  <c r="Z231" i="46"/>
  <c r="AA231" i="46" s="1"/>
  <c r="G231" i="46"/>
  <c r="F231" i="46"/>
  <c r="BF230" i="46"/>
  <c r="BE230" i="46"/>
  <c r="BB230" i="46"/>
  <c r="BA230" i="46"/>
  <c r="AY230" i="46"/>
  <c r="AW230" i="46"/>
  <c r="AU230" i="46"/>
  <c r="AS230" i="46"/>
  <c r="AB230" i="46"/>
  <c r="Z230" i="46"/>
  <c r="AA230" i="46" s="1"/>
  <c r="G230" i="46"/>
  <c r="F230" i="46"/>
  <c r="AR230" i="46" s="1" a="1"/>
  <c r="AR230" i="46" s="1"/>
  <c r="BF229" i="46"/>
  <c r="BE229" i="46"/>
  <c r="BB229" i="46"/>
  <c r="BA229" i="46"/>
  <c r="AY229" i="46"/>
  <c r="AW229" i="46"/>
  <c r="AU229" i="46"/>
  <c r="AS229" i="46"/>
  <c r="AB229" i="46"/>
  <c r="Z229" i="46"/>
  <c r="AA229" i="46" s="1"/>
  <c r="AV229" i="46"/>
  <c r="G229" i="46"/>
  <c r="F229" i="46"/>
  <c r="BF228" i="46"/>
  <c r="BE228" i="46"/>
  <c r="BB228" i="46"/>
  <c r="BA228" i="46"/>
  <c r="AY228" i="46"/>
  <c r="AW228" i="46"/>
  <c r="AU228" i="46"/>
  <c r="AS228" i="46"/>
  <c r="AB228" i="46"/>
  <c r="Z228" i="46"/>
  <c r="AA228" i="46" s="1"/>
  <c r="G228" i="46"/>
  <c r="F228" i="46"/>
  <c r="AR228" i="46" s="1" a="1"/>
  <c r="AR228" i="46" s="1"/>
  <c r="BF227" i="46"/>
  <c r="BE227" i="46"/>
  <c r="BB227" i="46"/>
  <c r="BA227" i="46"/>
  <c r="AY227" i="46"/>
  <c r="AW227" i="46"/>
  <c r="AU227" i="46"/>
  <c r="AS227" i="46"/>
  <c r="AB227" i="46"/>
  <c r="Z227" i="46"/>
  <c r="AA227" i="46" s="1"/>
  <c r="G227" i="46"/>
  <c r="F227" i="46"/>
  <c r="AR227" i="46" s="1" a="1"/>
  <c r="AR227" i="46" s="1"/>
  <c r="BF226" i="46"/>
  <c r="BE226" i="46"/>
  <c r="BB226" i="46"/>
  <c r="BA226" i="46"/>
  <c r="AY226" i="46"/>
  <c r="AW226" i="46"/>
  <c r="AU226" i="46"/>
  <c r="AS226" i="46"/>
  <c r="AB226" i="46"/>
  <c r="Z226" i="46"/>
  <c r="AA226" i="46" s="1"/>
  <c r="G226" i="46"/>
  <c r="F226" i="46"/>
  <c r="BF225" i="46"/>
  <c r="BE225" i="46"/>
  <c r="BB225" i="46"/>
  <c r="BA225" i="46"/>
  <c r="AY225" i="46"/>
  <c r="AW225" i="46"/>
  <c r="AU225" i="46"/>
  <c r="AS225" i="46"/>
  <c r="AB225" i="46"/>
  <c r="Z225" i="46"/>
  <c r="AA225" i="46" s="1"/>
  <c r="G225" i="46"/>
  <c r="F225" i="46"/>
  <c r="AR225" i="46" s="1" a="1"/>
  <c r="AR225" i="46" s="1"/>
  <c r="BF224" i="46"/>
  <c r="BE224" i="46"/>
  <c r="BB224" i="46"/>
  <c r="BA224" i="46"/>
  <c r="AY224" i="46"/>
  <c r="AW224" i="46"/>
  <c r="AU224" i="46"/>
  <c r="AS224" i="46"/>
  <c r="AB224" i="46"/>
  <c r="Z224" i="46"/>
  <c r="AA224" i="46" s="1"/>
  <c r="AV224" i="46"/>
  <c r="G224" i="46"/>
  <c r="F224" i="46"/>
  <c r="AR224" i="46" s="1" a="1"/>
  <c r="AR224" i="46" s="1"/>
  <c r="BF223" i="46"/>
  <c r="BE223" i="46"/>
  <c r="BB223" i="46"/>
  <c r="BA223" i="46"/>
  <c r="AY223" i="46"/>
  <c r="AW223" i="46"/>
  <c r="AU223" i="46"/>
  <c r="AS223" i="46"/>
  <c r="AB223" i="46"/>
  <c r="Z223" i="46"/>
  <c r="AA223" i="46" s="1"/>
  <c r="AV223" i="46"/>
  <c r="G223" i="46"/>
  <c r="F223" i="46"/>
  <c r="AR223" i="46" s="1" a="1"/>
  <c r="AR223" i="46" s="1"/>
  <c r="BF222" i="46"/>
  <c r="BE222" i="46"/>
  <c r="BB222" i="46"/>
  <c r="BA222" i="46"/>
  <c r="AY222" i="46"/>
  <c r="AW222" i="46"/>
  <c r="AU222" i="46"/>
  <c r="AS222" i="46"/>
  <c r="AB222" i="46"/>
  <c r="Z222" i="46"/>
  <c r="AA222" i="46" s="1"/>
  <c r="G222" i="46"/>
  <c r="F222" i="46"/>
  <c r="AR222" i="46" s="1" a="1"/>
  <c r="AR222" i="46" s="1"/>
  <c r="BF221" i="46"/>
  <c r="BE221" i="46"/>
  <c r="BB221" i="46"/>
  <c r="BA221" i="46"/>
  <c r="AY221" i="46"/>
  <c r="AW221" i="46"/>
  <c r="AU221" i="46"/>
  <c r="AS221" i="46"/>
  <c r="AB221" i="46"/>
  <c r="Z221" i="46"/>
  <c r="AA221" i="46" s="1"/>
  <c r="G221" i="46"/>
  <c r="F221" i="46"/>
  <c r="AR221" i="46" s="1" a="1"/>
  <c r="AR221" i="46" s="1"/>
  <c r="BF220" i="46"/>
  <c r="BE220" i="46"/>
  <c r="BB220" i="46"/>
  <c r="BA220" i="46"/>
  <c r="AY220" i="46"/>
  <c r="AW220" i="46"/>
  <c r="AU220" i="46"/>
  <c r="AS220" i="46"/>
  <c r="AB220" i="46"/>
  <c r="Z220" i="46"/>
  <c r="AA220" i="46" s="1"/>
  <c r="G220" i="46"/>
  <c r="F220" i="46"/>
  <c r="BF219" i="46"/>
  <c r="BE219" i="46"/>
  <c r="BB219" i="46"/>
  <c r="BA219" i="46"/>
  <c r="AY219" i="46"/>
  <c r="AW219" i="46"/>
  <c r="AU219" i="46"/>
  <c r="AS219" i="46"/>
  <c r="AB219" i="46"/>
  <c r="Z219" i="46"/>
  <c r="AA219" i="46" s="1"/>
  <c r="G219" i="46"/>
  <c r="F219" i="46"/>
  <c r="AR219" i="46" s="1" a="1"/>
  <c r="AR219" i="46" s="1"/>
  <c r="BF218" i="46"/>
  <c r="BE218" i="46"/>
  <c r="BB218" i="46"/>
  <c r="BA218" i="46"/>
  <c r="AY218" i="46"/>
  <c r="AW218" i="46"/>
  <c r="AU218" i="46"/>
  <c r="AS218" i="46"/>
  <c r="AB218" i="46"/>
  <c r="Z218" i="46"/>
  <c r="AA218" i="46" s="1"/>
  <c r="AV218" i="46"/>
  <c r="G218" i="46"/>
  <c r="F218" i="46"/>
  <c r="BF217" i="46"/>
  <c r="BE217" i="46"/>
  <c r="BB217" i="46"/>
  <c r="BA217" i="46"/>
  <c r="AY217" i="46"/>
  <c r="AW217" i="46"/>
  <c r="AU217" i="46"/>
  <c r="AS217" i="46"/>
  <c r="AB217" i="46"/>
  <c r="Z217" i="46"/>
  <c r="AA217" i="46" s="1"/>
  <c r="G217" i="46"/>
  <c r="F217" i="46"/>
  <c r="BF216" i="46"/>
  <c r="BE216" i="46"/>
  <c r="BB216" i="46"/>
  <c r="BA216" i="46"/>
  <c r="AY216" i="46"/>
  <c r="AW216" i="46"/>
  <c r="AU216" i="46"/>
  <c r="AS216" i="46"/>
  <c r="AB216" i="46"/>
  <c r="Z216" i="46"/>
  <c r="AA216" i="46" s="1"/>
  <c r="AV216" i="46"/>
  <c r="G216" i="46"/>
  <c r="F216" i="46"/>
  <c r="BF215" i="46"/>
  <c r="BE215" i="46"/>
  <c r="BB215" i="46"/>
  <c r="BA215" i="46"/>
  <c r="AY215" i="46"/>
  <c r="AW215" i="46"/>
  <c r="AU215" i="46"/>
  <c r="AS215" i="46"/>
  <c r="AB215" i="46"/>
  <c r="Z215" i="46"/>
  <c r="AA215" i="46" s="1"/>
  <c r="G215" i="46"/>
  <c r="F215" i="46"/>
  <c r="BF214" i="46"/>
  <c r="BE214" i="46"/>
  <c r="BB214" i="46"/>
  <c r="BA214" i="46"/>
  <c r="AY214" i="46"/>
  <c r="AW214" i="46"/>
  <c r="AU214" i="46"/>
  <c r="AS214" i="46"/>
  <c r="AB214" i="46"/>
  <c r="Z214" i="46"/>
  <c r="AA214" i="46" s="1"/>
  <c r="G214" i="46"/>
  <c r="F214" i="46"/>
  <c r="BF213" i="46"/>
  <c r="BE213" i="46"/>
  <c r="BB213" i="46"/>
  <c r="BA213" i="46"/>
  <c r="AY213" i="46"/>
  <c r="AW213" i="46"/>
  <c r="AU213" i="46"/>
  <c r="AS213" i="46"/>
  <c r="AB213" i="46"/>
  <c r="Z213" i="46"/>
  <c r="AA213" i="46" s="1"/>
  <c r="G213" i="46"/>
  <c r="F213" i="46"/>
  <c r="BF212" i="46"/>
  <c r="BE212" i="46"/>
  <c r="BB212" i="46"/>
  <c r="BA212" i="46"/>
  <c r="AY212" i="46"/>
  <c r="AW212" i="46"/>
  <c r="AU212" i="46"/>
  <c r="AS212" i="46"/>
  <c r="AB212" i="46"/>
  <c r="Z212" i="46"/>
  <c r="AA212" i="46" s="1"/>
  <c r="G212" i="46"/>
  <c r="F212" i="46"/>
  <c r="BF211" i="46"/>
  <c r="BE211" i="46"/>
  <c r="BB211" i="46"/>
  <c r="BA211" i="46"/>
  <c r="AY211" i="46"/>
  <c r="AW211" i="46"/>
  <c r="AU211" i="46"/>
  <c r="AS211" i="46"/>
  <c r="AB211" i="46"/>
  <c r="Z211" i="46"/>
  <c r="AA211" i="46" s="1"/>
  <c r="G211" i="46"/>
  <c r="F211" i="46"/>
  <c r="AR211" i="46" s="1" a="1"/>
  <c r="AR211" i="46" s="1"/>
  <c r="BF210" i="46"/>
  <c r="BE210" i="46"/>
  <c r="BB210" i="46"/>
  <c r="BA210" i="46"/>
  <c r="AY210" i="46"/>
  <c r="AW210" i="46"/>
  <c r="AU210" i="46"/>
  <c r="AS210" i="46"/>
  <c r="AB210" i="46"/>
  <c r="Z210" i="46"/>
  <c r="AA210" i="46" s="1"/>
  <c r="G210" i="46"/>
  <c r="F210" i="46"/>
  <c r="BF209" i="46"/>
  <c r="BE209" i="46"/>
  <c r="BB209" i="46"/>
  <c r="BA209" i="46"/>
  <c r="AY209" i="46"/>
  <c r="AW209" i="46"/>
  <c r="AU209" i="46"/>
  <c r="AS209" i="46"/>
  <c r="AB209" i="46"/>
  <c r="Z209" i="46"/>
  <c r="AA209" i="46" s="1"/>
  <c r="AV209" i="46"/>
  <c r="G209" i="46"/>
  <c r="F209" i="46"/>
  <c r="AR209" i="46" s="1" a="1"/>
  <c r="AR209" i="46" s="1"/>
  <c r="BF208" i="46"/>
  <c r="BE208" i="46"/>
  <c r="BB208" i="46"/>
  <c r="BA208" i="46"/>
  <c r="AY208" i="46"/>
  <c r="AW208" i="46"/>
  <c r="AU208" i="46"/>
  <c r="AS208" i="46"/>
  <c r="AB208" i="46"/>
  <c r="Z208" i="46"/>
  <c r="AA208" i="46" s="1"/>
  <c r="AV208" i="46"/>
  <c r="G208" i="46"/>
  <c r="F208" i="46"/>
  <c r="BF207" i="46"/>
  <c r="BE207" i="46"/>
  <c r="BB207" i="46"/>
  <c r="BA207" i="46"/>
  <c r="AY207" i="46"/>
  <c r="AW207" i="46"/>
  <c r="AU207" i="46"/>
  <c r="AS207" i="46"/>
  <c r="AB207" i="46"/>
  <c r="Z207" i="46"/>
  <c r="AA207" i="46" s="1"/>
  <c r="G207" i="46"/>
  <c r="F207" i="46"/>
  <c r="BF206" i="46"/>
  <c r="BE206" i="46"/>
  <c r="BB206" i="46"/>
  <c r="BA206" i="46"/>
  <c r="AY206" i="46"/>
  <c r="AW206" i="46"/>
  <c r="AU206" i="46"/>
  <c r="AS206" i="46"/>
  <c r="AB206" i="46"/>
  <c r="Z206" i="46"/>
  <c r="AA206" i="46" s="1"/>
  <c r="G206" i="46"/>
  <c r="F206" i="46"/>
  <c r="AR206" i="46" s="1" a="1"/>
  <c r="AR206" i="46" s="1"/>
  <c r="BF205" i="46"/>
  <c r="BE205" i="46"/>
  <c r="BB205" i="46"/>
  <c r="BA205" i="46"/>
  <c r="AY205" i="46"/>
  <c r="AW205" i="46"/>
  <c r="AU205" i="46"/>
  <c r="AS205" i="46"/>
  <c r="AB205" i="46"/>
  <c r="Z205" i="46"/>
  <c r="AA205" i="46" s="1"/>
  <c r="G205" i="46"/>
  <c r="F205" i="46"/>
  <c r="BF204" i="46"/>
  <c r="BE204" i="46"/>
  <c r="BB204" i="46"/>
  <c r="BA204" i="46"/>
  <c r="AY204" i="46"/>
  <c r="AW204" i="46"/>
  <c r="AU204" i="46"/>
  <c r="AS204" i="46"/>
  <c r="AB204" i="46"/>
  <c r="Z204" i="46"/>
  <c r="AA204" i="46" s="1"/>
  <c r="AV204" i="46"/>
  <c r="G204" i="46"/>
  <c r="F204" i="46"/>
  <c r="AR204" i="46" s="1" a="1"/>
  <c r="AR204" i="46" s="1"/>
  <c r="BF203" i="46"/>
  <c r="BE203" i="46"/>
  <c r="BB203" i="46"/>
  <c r="BA203" i="46"/>
  <c r="AY203" i="46"/>
  <c r="AW203" i="46"/>
  <c r="AU203" i="46"/>
  <c r="AS203" i="46"/>
  <c r="AB203" i="46"/>
  <c r="Z203" i="46"/>
  <c r="AA203" i="46" s="1"/>
  <c r="G203" i="46"/>
  <c r="F203" i="46"/>
  <c r="AR203" i="46" s="1" a="1"/>
  <c r="AR203" i="46" s="1"/>
  <c r="BF202" i="46"/>
  <c r="BE202" i="46"/>
  <c r="BB202" i="46"/>
  <c r="BA202" i="46"/>
  <c r="AY202" i="46"/>
  <c r="AW202" i="46"/>
  <c r="AU202" i="46"/>
  <c r="AS202" i="46"/>
  <c r="AB202" i="46"/>
  <c r="Z202" i="46"/>
  <c r="AA202" i="46" s="1"/>
  <c r="G202" i="46"/>
  <c r="F202" i="46"/>
  <c r="BF201" i="46"/>
  <c r="BE201" i="46"/>
  <c r="BB201" i="46"/>
  <c r="BA201" i="46"/>
  <c r="AY201" i="46"/>
  <c r="AW201" i="46"/>
  <c r="AU201" i="46"/>
  <c r="AS201" i="46"/>
  <c r="AB201" i="46"/>
  <c r="Z201" i="46"/>
  <c r="AA201" i="46" s="1"/>
  <c r="AV201" i="46"/>
  <c r="G201" i="46"/>
  <c r="F201" i="46"/>
  <c r="BF200" i="46"/>
  <c r="BE200" i="46"/>
  <c r="BB200" i="46"/>
  <c r="BA200" i="46"/>
  <c r="AY200" i="46"/>
  <c r="AW200" i="46"/>
  <c r="AU200" i="46"/>
  <c r="AS200" i="46"/>
  <c r="AB200" i="46"/>
  <c r="Z200" i="46"/>
  <c r="AA200" i="46" s="1"/>
  <c r="G200" i="46"/>
  <c r="F200" i="46"/>
  <c r="BF199" i="46"/>
  <c r="BE199" i="46"/>
  <c r="BB199" i="46"/>
  <c r="BA199" i="46"/>
  <c r="AY199" i="46"/>
  <c r="AW199" i="46"/>
  <c r="AU199" i="46"/>
  <c r="AS199" i="46"/>
  <c r="AB199" i="46"/>
  <c r="Z199" i="46"/>
  <c r="AA199" i="46" s="1"/>
  <c r="G199" i="46"/>
  <c r="F199" i="46"/>
  <c r="AR199" i="46" s="1" a="1"/>
  <c r="AR199" i="46" s="1"/>
  <c r="BF198" i="46"/>
  <c r="BE198" i="46"/>
  <c r="BB198" i="46"/>
  <c r="BA198" i="46"/>
  <c r="AY198" i="46"/>
  <c r="AW198" i="46"/>
  <c r="AU198" i="46"/>
  <c r="AS198" i="46"/>
  <c r="AB198" i="46"/>
  <c r="Z198" i="46"/>
  <c r="AA198" i="46" s="1"/>
  <c r="AV198" i="46"/>
  <c r="G198" i="46"/>
  <c r="F198" i="46"/>
  <c r="BF197" i="46"/>
  <c r="BE197" i="46"/>
  <c r="BB197" i="46"/>
  <c r="BA197" i="46"/>
  <c r="AY197" i="46"/>
  <c r="AW197" i="46"/>
  <c r="AU197" i="46"/>
  <c r="AS197" i="46"/>
  <c r="AB197" i="46"/>
  <c r="Z197" i="46"/>
  <c r="AA197" i="46" s="1"/>
  <c r="AV197" i="46"/>
  <c r="G197" i="46"/>
  <c r="F197" i="46"/>
  <c r="BF196" i="46"/>
  <c r="BE196" i="46"/>
  <c r="BB196" i="46"/>
  <c r="BA196" i="46"/>
  <c r="AY196" i="46"/>
  <c r="AW196" i="46"/>
  <c r="AU196" i="46"/>
  <c r="AS196" i="46"/>
  <c r="AB196" i="46"/>
  <c r="Z196" i="46"/>
  <c r="AA196" i="46" s="1"/>
  <c r="AV196" i="46"/>
  <c r="G196" i="46"/>
  <c r="F196" i="46"/>
  <c r="BF195" i="46"/>
  <c r="BE195" i="46"/>
  <c r="BB195" i="46"/>
  <c r="BA195" i="46"/>
  <c r="AY195" i="46"/>
  <c r="AW195" i="46"/>
  <c r="AU195" i="46"/>
  <c r="AS195" i="46"/>
  <c r="AB195" i="46"/>
  <c r="Z195" i="46"/>
  <c r="AA195" i="46" s="1"/>
  <c r="G195" i="46"/>
  <c r="F195" i="46"/>
  <c r="BF194" i="46"/>
  <c r="BE194" i="46"/>
  <c r="BB194" i="46"/>
  <c r="BA194" i="46"/>
  <c r="AY194" i="46"/>
  <c r="AW194" i="46"/>
  <c r="AU194" i="46"/>
  <c r="AS194" i="46"/>
  <c r="AB194" i="46"/>
  <c r="Z194" i="46"/>
  <c r="AA194" i="46" s="1"/>
  <c r="AV194" i="46"/>
  <c r="G194" i="46"/>
  <c r="F194" i="46"/>
  <c r="BF193" i="46"/>
  <c r="BE193" i="46"/>
  <c r="BB193" i="46"/>
  <c r="BA193" i="46"/>
  <c r="AY193" i="46"/>
  <c r="AW193" i="46"/>
  <c r="AU193" i="46"/>
  <c r="AS193" i="46"/>
  <c r="AB193" i="46"/>
  <c r="Z193" i="46"/>
  <c r="AA193" i="46" s="1"/>
  <c r="AV193" i="46"/>
  <c r="G193" i="46"/>
  <c r="F193" i="46"/>
  <c r="BF192" i="46"/>
  <c r="BE192" i="46"/>
  <c r="BB192" i="46"/>
  <c r="BA192" i="46"/>
  <c r="AY192" i="46"/>
  <c r="AW192" i="46"/>
  <c r="AU192" i="46"/>
  <c r="AS192" i="46"/>
  <c r="AB192" i="46"/>
  <c r="Z192" i="46"/>
  <c r="AA192" i="46" s="1"/>
  <c r="AV192" i="46"/>
  <c r="G192" i="46"/>
  <c r="F192" i="46"/>
  <c r="BF191" i="46"/>
  <c r="BE191" i="46"/>
  <c r="BB191" i="46"/>
  <c r="BA191" i="46"/>
  <c r="AY191" i="46"/>
  <c r="AW191" i="46"/>
  <c r="AU191" i="46"/>
  <c r="AS191" i="46"/>
  <c r="AB191" i="46"/>
  <c r="Z191" i="46"/>
  <c r="AA191" i="46" s="1"/>
  <c r="G191" i="46"/>
  <c r="F191" i="46"/>
  <c r="AR191" i="46" s="1" a="1"/>
  <c r="AR191" i="46" s="1"/>
  <c r="BF190" i="46"/>
  <c r="BE190" i="46"/>
  <c r="BB190" i="46"/>
  <c r="BA190" i="46"/>
  <c r="AY190" i="46"/>
  <c r="AW190" i="46"/>
  <c r="AU190" i="46"/>
  <c r="AS190" i="46"/>
  <c r="AB190" i="46"/>
  <c r="Z190" i="46"/>
  <c r="AA190" i="46" s="1"/>
  <c r="G190" i="46"/>
  <c r="F190" i="46"/>
  <c r="BF189" i="46"/>
  <c r="BE189" i="46"/>
  <c r="BB189" i="46"/>
  <c r="BA189" i="46"/>
  <c r="AY189" i="46"/>
  <c r="AW189" i="46"/>
  <c r="AU189" i="46"/>
  <c r="AS189" i="46"/>
  <c r="AB189" i="46"/>
  <c r="Z189" i="46"/>
  <c r="AA189" i="46" s="1"/>
  <c r="G189" i="46"/>
  <c r="F189" i="46"/>
  <c r="BF188" i="46"/>
  <c r="BE188" i="46"/>
  <c r="BB188" i="46"/>
  <c r="BA188" i="46"/>
  <c r="AY188" i="46"/>
  <c r="AW188" i="46"/>
  <c r="AU188" i="46"/>
  <c r="AS188" i="46"/>
  <c r="AB188" i="46"/>
  <c r="Z188" i="46"/>
  <c r="AA188" i="46" s="1"/>
  <c r="AV188" i="46"/>
  <c r="G188" i="46"/>
  <c r="F188" i="46"/>
  <c r="BF187" i="46"/>
  <c r="BE187" i="46"/>
  <c r="BB187" i="46"/>
  <c r="BA187" i="46"/>
  <c r="AY187" i="46"/>
  <c r="AW187" i="46"/>
  <c r="AU187" i="46"/>
  <c r="AS187" i="46"/>
  <c r="AB187" i="46"/>
  <c r="Z187" i="46"/>
  <c r="AA187" i="46" s="1"/>
  <c r="AV187" i="46"/>
  <c r="G187" i="46"/>
  <c r="F187" i="46"/>
  <c r="BF186" i="46"/>
  <c r="BE186" i="46"/>
  <c r="BB186" i="46"/>
  <c r="BA186" i="46"/>
  <c r="AY186" i="46"/>
  <c r="AW186" i="46"/>
  <c r="AU186" i="46"/>
  <c r="AS186" i="46"/>
  <c r="AB186" i="46"/>
  <c r="Z186" i="46"/>
  <c r="AA186" i="46" s="1"/>
  <c r="AV186" i="46"/>
  <c r="G186" i="46"/>
  <c r="F186" i="46"/>
  <c r="AR186" i="46" s="1" a="1"/>
  <c r="AR186" i="46" s="1"/>
  <c r="BF185" i="46"/>
  <c r="BE185" i="46"/>
  <c r="BB185" i="46"/>
  <c r="BA185" i="46"/>
  <c r="AY185" i="46"/>
  <c r="AW185" i="46"/>
  <c r="AU185" i="46"/>
  <c r="AS185" i="46"/>
  <c r="AB185" i="46"/>
  <c r="Z185" i="46"/>
  <c r="AA185" i="46" s="1"/>
  <c r="G185" i="46"/>
  <c r="F185" i="46"/>
  <c r="BF184" i="46"/>
  <c r="BE184" i="46"/>
  <c r="BB184" i="46"/>
  <c r="BA184" i="46"/>
  <c r="AY184" i="46"/>
  <c r="AW184" i="46"/>
  <c r="AU184" i="46"/>
  <c r="AS184" i="46"/>
  <c r="AB184" i="46"/>
  <c r="Z184" i="46"/>
  <c r="AA184" i="46" s="1"/>
  <c r="AV184" i="46"/>
  <c r="G184" i="46"/>
  <c r="F184" i="46"/>
  <c r="BF183" i="46"/>
  <c r="BE183" i="46"/>
  <c r="BB183" i="46"/>
  <c r="BA183" i="46"/>
  <c r="AY183" i="46"/>
  <c r="AW183" i="46"/>
  <c r="AU183" i="46"/>
  <c r="AS183" i="46"/>
  <c r="AB183" i="46"/>
  <c r="Z183" i="46"/>
  <c r="AA183" i="46" s="1"/>
  <c r="G183" i="46"/>
  <c r="F183" i="46"/>
  <c r="BF182" i="46"/>
  <c r="BE182" i="46"/>
  <c r="BB182" i="46"/>
  <c r="BA182" i="46"/>
  <c r="AY182" i="46"/>
  <c r="AW182" i="46"/>
  <c r="AU182" i="46"/>
  <c r="AS182" i="46"/>
  <c r="AB182" i="46"/>
  <c r="Z182" i="46"/>
  <c r="AA182" i="46" s="1"/>
  <c r="AV182" i="46"/>
  <c r="G182" i="46"/>
  <c r="F182" i="46"/>
  <c r="AR182" i="46" s="1" a="1"/>
  <c r="AR182" i="46" s="1"/>
  <c r="BF181" i="46"/>
  <c r="BE181" i="46"/>
  <c r="BB181" i="46"/>
  <c r="BA181" i="46"/>
  <c r="AY181" i="46"/>
  <c r="AW181" i="46"/>
  <c r="AU181" i="46"/>
  <c r="AS181" i="46"/>
  <c r="AB181" i="46"/>
  <c r="Z181" i="46"/>
  <c r="AA181" i="46" s="1"/>
  <c r="G181" i="46"/>
  <c r="F181" i="46"/>
  <c r="BF180" i="46"/>
  <c r="BE180" i="46"/>
  <c r="BB180" i="46"/>
  <c r="BA180" i="46"/>
  <c r="AY180" i="46"/>
  <c r="AW180" i="46"/>
  <c r="AU180" i="46"/>
  <c r="AS180" i="46"/>
  <c r="AB180" i="46"/>
  <c r="Z180" i="46"/>
  <c r="AA180" i="46" s="1"/>
  <c r="G180" i="46"/>
  <c r="F180" i="46"/>
  <c r="AR180" i="46" s="1" a="1"/>
  <c r="AR180" i="46" s="1"/>
  <c r="BF179" i="46"/>
  <c r="BE179" i="46"/>
  <c r="BB179" i="46"/>
  <c r="BA179" i="46"/>
  <c r="AY179" i="46"/>
  <c r="AW179" i="46"/>
  <c r="AU179" i="46"/>
  <c r="AS179" i="46"/>
  <c r="AB179" i="46"/>
  <c r="Z179" i="46"/>
  <c r="AA179" i="46" s="1"/>
  <c r="G179" i="46"/>
  <c r="F179" i="46"/>
  <c r="BB178" i="46"/>
  <c r="BA178" i="46"/>
  <c r="AY178" i="46"/>
  <c r="AW178" i="46"/>
  <c r="AU178" i="46"/>
  <c r="AS178" i="46"/>
  <c r="BB148" i="46"/>
  <c r="BA148" i="46"/>
  <c r="AY148" i="46"/>
  <c r="AW148" i="46"/>
  <c r="AU148" i="46"/>
  <c r="AS148" i="46"/>
  <c r="BB147" i="46"/>
  <c r="BA147" i="46"/>
  <c r="AY147" i="46"/>
  <c r="AW147" i="46"/>
  <c r="AU147" i="46"/>
  <c r="AS147" i="46"/>
  <c r="BB146" i="46"/>
  <c r="BA146" i="46"/>
  <c r="AY146" i="46"/>
  <c r="AW146" i="46"/>
  <c r="AU146" i="46"/>
  <c r="AS146" i="46"/>
  <c r="BB145" i="46"/>
  <c r="BA145" i="46"/>
  <c r="AY145" i="46"/>
  <c r="AW145" i="46"/>
  <c r="AU145" i="46"/>
  <c r="AS145" i="46"/>
  <c r="BB144" i="46"/>
  <c r="BA144" i="46"/>
  <c r="AY144" i="46"/>
  <c r="AW144" i="46"/>
  <c r="AU144" i="46"/>
  <c r="AS144" i="46"/>
  <c r="BB143" i="46"/>
  <c r="BA143" i="46"/>
  <c r="AY143" i="46"/>
  <c r="AW143" i="46"/>
  <c r="AU143" i="46"/>
  <c r="AS143" i="46"/>
  <c r="BB142" i="46"/>
  <c r="BA142" i="46"/>
  <c r="AY142" i="46"/>
  <c r="AW142" i="46"/>
  <c r="AU142" i="46"/>
  <c r="AS142" i="46"/>
  <c r="BB141" i="46"/>
  <c r="BA141" i="46"/>
  <c r="AY141" i="46"/>
  <c r="AW141" i="46"/>
  <c r="AU141" i="46"/>
  <c r="AS141" i="46"/>
  <c r="BB140" i="46"/>
  <c r="BA140" i="46"/>
  <c r="AY140" i="46"/>
  <c r="AW140" i="46"/>
  <c r="AU140" i="46"/>
  <c r="AS140" i="46"/>
  <c r="BB139" i="46"/>
  <c r="BA139" i="46"/>
  <c r="AY139" i="46"/>
  <c r="AW139" i="46"/>
  <c r="AU139" i="46"/>
  <c r="AS139" i="46"/>
  <c r="BB138" i="46"/>
  <c r="BA138" i="46"/>
  <c r="AY138" i="46"/>
  <c r="AW138" i="46"/>
  <c r="AU138" i="46"/>
  <c r="AS138" i="46"/>
  <c r="BB137" i="46"/>
  <c r="BA137" i="46"/>
  <c r="AY137" i="46"/>
  <c r="AW137" i="46"/>
  <c r="AU137" i="46"/>
  <c r="AS137" i="46"/>
  <c r="BB136" i="46"/>
  <c r="BA136" i="46"/>
  <c r="AY136" i="46"/>
  <c r="AW136" i="46"/>
  <c r="AU136" i="46"/>
  <c r="AS136" i="46"/>
  <c r="BB135" i="46"/>
  <c r="BA135" i="46"/>
  <c r="AY135" i="46"/>
  <c r="AW135" i="46"/>
  <c r="AU135" i="46"/>
  <c r="AS135" i="46"/>
  <c r="BB134" i="46"/>
  <c r="BA134" i="46"/>
  <c r="AY134" i="46"/>
  <c r="AW134" i="46"/>
  <c r="AU134" i="46"/>
  <c r="AS134" i="46"/>
  <c r="BB133" i="46"/>
  <c r="BA133" i="46"/>
  <c r="AY133" i="46"/>
  <c r="AW133" i="46"/>
  <c r="AU133" i="46"/>
  <c r="AS133" i="46"/>
  <c r="BB132" i="46"/>
  <c r="BA132" i="46"/>
  <c r="AY132" i="46"/>
  <c r="AW132" i="46"/>
  <c r="AU132" i="46"/>
  <c r="AS132" i="46"/>
  <c r="BB131" i="46"/>
  <c r="BA131" i="46"/>
  <c r="AY131" i="46"/>
  <c r="AW131" i="46"/>
  <c r="AU131" i="46"/>
  <c r="AS131" i="46"/>
  <c r="BB130" i="46"/>
  <c r="BA130" i="46"/>
  <c r="AY130" i="46"/>
  <c r="AW130" i="46"/>
  <c r="AU130" i="46"/>
  <c r="AS130" i="46"/>
  <c r="BB129" i="46"/>
  <c r="BA129" i="46"/>
  <c r="AY129" i="46"/>
  <c r="AW129" i="46"/>
  <c r="AU129" i="46"/>
  <c r="AS129" i="46"/>
  <c r="BB128" i="46"/>
  <c r="BA128" i="46"/>
  <c r="AY128" i="46"/>
  <c r="AW128" i="46"/>
  <c r="AU128" i="46"/>
  <c r="AS128" i="46"/>
  <c r="BB127" i="46"/>
  <c r="BA127" i="46"/>
  <c r="AY127" i="46"/>
  <c r="AW127" i="46"/>
  <c r="AU127" i="46"/>
  <c r="AS127" i="46"/>
  <c r="BB126" i="46"/>
  <c r="BA126" i="46"/>
  <c r="AY126" i="46"/>
  <c r="AW126" i="46"/>
  <c r="AU126" i="46"/>
  <c r="AS126" i="46"/>
  <c r="BB125" i="46"/>
  <c r="BA125" i="46"/>
  <c r="AY125" i="46"/>
  <c r="AW125" i="46"/>
  <c r="AU125" i="46"/>
  <c r="AS125" i="46"/>
  <c r="BB124" i="46"/>
  <c r="BA124" i="46"/>
  <c r="AY124" i="46"/>
  <c r="AW124" i="46"/>
  <c r="AU124" i="46"/>
  <c r="AS124" i="46"/>
  <c r="BB123" i="46"/>
  <c r="BA123" i="46"/>
  <c r="AY123" i="46"/>
  <c r="AW123" i="46"/>
  <c r="AU123" i="46"/>
  <c r="AS123" i="46"/>
  <c r="BB122" i="46"/>
  <c r="BA122" i="46"/>
  <c r="AY122" i="46"/>
  <c r="AW122" i="46"/>
  <c r="AU122" i="46"/>
  <c r="AS122" i="46"/>
  <c r="BB121" i="46"/>
  <c r="BA121" i="46"/>
  <c r="AY121" i="46"/>
  <c r="AW121" i="46"/>
  <c r="AU121" i="46"/>
  <c r="AS121" i="46"/>
  <c r="BB120" i="46"/>
  <c r="BA120" i="46"/>
  <c r="AY120" i="46"/>
  <c r="AW120" i="46"/>
  <c r="AU120" i="46"/>
  <c r="AS120" i="46"/>
  <c r="BB119" i="46"/>
  <c r="BA119" i="46"/>
  <c r="AY119" i="46"/>
  <c r="AW119" i="46"/>
  <c r="AU119" i="46"/>
  <c r="AS119" i="46"/>
  <c r="BB118" i="46"/>
  <c r="BA118" i="46"/>
  <c r="AY118" i="46"/>
  <c r="AW118" i="46"/>
  <c r="AU118" i="46"/>
  <c r="AS118" i="46"/>
  <c r="BB117" i="46"/>
  <c r="BA117" i="46"/>
  <c r="AY117" i="46"/>
  <c r="AW117" i="46"/>
  <c r="AU117" i="46"/>
  <c r="AS117" i="46"/>
  <c r="BB116" i="46"/>
  <c r="BA116" i="46"/>
  <c r="AY116" i="46"/>
  <c r="AW116" i="46"/>
  <c r="AU116" i="46"/>
  <c r="AS116" i="46"/>
  <c r="BB115" i="46"/>
  <c r="BA115" i="46"/>
  <c r="AY115" i="46"/>
  <c r="AW115" i="46"/>
  <c r="AU115" i="46"/>
  <c r="AS115" i="46"/>
  <c r="BB114" i="46"/>
  <c r="BA114" i="46"/>
  <c r="AY114" i="46"/>
  <c r="AW114" i="46"/>
  <c r="AU114" i="46"/>
  <c r="AS114" i="46"/>
  <c r="BB113" i="46"/>
  <c r="BA113" i="46"/>
  <c r="AY113" i="46"/>
  <c r="AW113" i="46"/>
  <c r="AU113" i="46"/>
  <c r="AS113" i="46"/>
  <c r="BB112" i="46"/>
  <c r="BA112" i="46"/>
  <c r="AY112" i="46"/>
  <c r="AW112" i="46"/>
  <c r="AU112" i="46"/>
  <c r="AS112" i="46"/>
  <c r="BB111" i="46"/>
  <c r="BA111" i="46"/>
  <c r="AY111" i="46"/>
  <c r="AW111" i="46"/>
  <c r="AU111" i="46"/>
  <c r="AS111" i="46"/>
  <c r="BB110" i="46"/>
  <c r="BA110" i="46"/>
  <c r="AY110" i="46"/>
  <c r="AW110" i="46"/>
  <c r="AU110" i="46"/>
  <c r="AS110" i="46"/>
  <c r="BB109" i="46"/>
  <c r="BA109" i="46"/>
  <c r="AY109" i="46"/>
  <c r="AW109" i="46"/>
  <c r="AU109" i="46"/>
  <c r="AS109" i="46"/>
  <c r="BB108" i="46"/>
  <c r="BA108" i="46"/>
  <c r="AY108" i="46"/>
  <c r="AW108" i="46"/>
  <c r="AU108" i="46"/>
  <c r="AS108" i="46"/>
  <c r="BB107" i="46"/>
  <c r="BA107" i="46"/>
  <c r="AY107" i="46"/>
  <c r="AW107" i="46"/>
  <c r="AU107" i="46"/>
  <c r="AS107" i="46"/>
  <c r="BB106" i="46"/>
  <c r="BA106" i="46"/>
  <c r="AY106" i="46"/>
  <c r="AW106" i="46"/>
  <c r="AU106" i="46"/>
  <c r="AS106" i="46"/>
  <c r="BB105" i="46"/>
  <c r="BA105" i="46"/>
  <c r="AY105" i="46"/>
  <c r="AW105" i="46"/>
  <c r="AU105" i="46"/>
  <c r="AS105" i="46"/>
  <c r="BB104" i="46"/>
  <c r="BA104" i="46"/>
  <c r="AY104" i="46"/>
  <c r="AW104" i="46"/>
  <c r="AU104" i="46"/>
  <c r="AS104" i="46"/>
  <c r="BB103" i="46"/>
  <c r="BA103" i="46"/>
  <c r="AY103" i="46"/>
  <c r="AW103" i="46"/>
  <c r="AU103" i="46"/>
  <c r="AS103" i="46"/>
  <c r="BB102" i="46"/>
  <c r="BA102" i="46"/>
  <c r="AY102" i="46"/>
  <c r="AW102" i="46"/>
  <c r="AU102" i="46"/>
  <c r="AS102" i="46"/>
  <c r="BB101" i="46"/>
  <c r="BA101" i="46"/>
  <c r="AY101" i="46"/>
  <c r="AW101" i="46"/>
  <c r="AU101" i="46"/>
  <c r="AS101" i="46"/>
  <c r="BB100" i="46"/>
  <c r="BA100" i="46"/>
  <c r="AY100" i="46"/>
  <c r="AW100" i="46"/>
  <c r="AU100" i="46"/>
  <c r="AS100" i="46"/>
  <c r="BB99" i="46"/>
  <c r="BA99" i="46"/>
  <c r="AY99" i="46"/>
  <c r="AW99" i="46"/>
  <c r="AU99" i="46"/>
  <c r="AS99" i="46"/>
  <c r="BB98" i="46"/>
  <c r="BA98" i="46"/>
  <c r="AY98" i="46"/>
  <c r="AW98" i="46"/>
  <c r="AU98" i="46"/>
  <c r="AS98" i="46"/>
  <c r="BB97" i="46"/>
  <c r="BA97" i="46"/>
  <c r="AY97" i="46"/>
  <c r="AW97" i="46"/>
  <c r="AU97" i="46"/>
  <c r="AS97" i="46"/>
  <c r="BB96" i="46"/>
  <c r="BA96" i="46"/>
  <c r="AY96" i="46"/>
  <c r="AW96" i="46"/>
  <c r="AU96" i="46"/>
  <c r="AS96" i="46"/>
  <c r="BB95" i="46"/>
  <c r="BA95" i="46"/>
  <c r="AY95" i="46"/>
  <c r="AW95" i="46"/>
  <c r="AU95" i="46"/>
  <c r="AS95" i="46"/>
  <c r="BB94" i="46"/>
  <c r="BA94" i="46"/>
  <c r="AY94" i="46"/>
  <c r="AW94" i="46"/>
  <c r="AU94" i="46"/>
  <c r="AS94" i="46"/>
  <c r="BB93" i="46"/>
  <c r="BA93" i="46"/>
  <c r="AY93" i="46"/>
  <c r="AW93" i="46"/>
  <c r="AU93" i="46"/>
  <c r="AS93" i="46"/>
  <c r="BB92" i="46"/>
  <c r="BA92" i="46"/>
  <c r="AY92" i="46"/>
  <c r="AW92" i="46"/>
  <c r="AU92" i="46"/>
  <c r="AS92" i="46"/>
  <c r="BB91" i="46"/>
  <c r="BA91" i="46"/>
  <c r="AY91" i="46"/>
  <c r="AW91" i="46"/>
  <c r="AU91" i="46"/>
  <c r="AS91" i="46"/>
  <c r="BB90" i="46"/>
  <c r="BA90" i="46"/>
  <c r="AY90" i="46"/>
  <c r="AW90" i="46"/>
  <c r="AU90" i="46"/>
  <c r="AS90" i="46"/>
  <c r="BB89" i="46"/>
  <c r="BA89" i="46"/>
  <c r="AY89" i="46"/>
  <c r="AW89" i="46"/>
  <c r="AU89" i="46"/>
  <c r="AS89" i="46"/>
  <c r="BB169" i="46"/>
  <c r="BA169" i="46"/>
  <c r="AY169" i="46"/>
  <c r="AW169" i="46"/>
  <c r="AU169" i="46"/>
  <c r="AS169" i="46"/>
  <c r="BB168" i="46"/>
  <c r="BA168" i="46"/>
  <c r="AY168" i="46"/>
  <c r="AW168" i="46"/>
  <c r="AU168" i="46"/>
  <c r="AS168" i="46"/>
  <c r="BB167" i="46"/>
  <c r="BA167" i="46"/>
  <c r="AY167" i="46"/>
  <c r="AW167" i="46"/>
  <c r="AU167" i="46"/>
  <c r="AS167" i="46"/>
  <c r="BB88" i="46"/>
  <c r="BA88" i="46"/>
  <c r="AY88" i="46"/>
  <c r="AW88" i="46"/>
  <c r="AU88" i="46"/>
  <c r="AS88" i="46"/>
  <c r="BB87" i="46"/>
  <c r="BA87" i="46"/>
  <c r="AY87" i="46"/>
  <c r="AW87" i="46"/>
  <c r="AU87" i="46"/>
  <c r="AS87" i="46"/>
  <c r="BB86" i="46"/>
  <c r="BA86" i="46"/>
  <c r="AY86" i="46"/>
  <c r="AW86" i="46"/>
  <c r="AU86" i="46"/>
  <c r="AS86" i="46"/>
  <c r="BB85" i="46"/>
  <c r="BA85" i="46"/>
  <c r="AY85" i="46"/>
  <c r="AW85" i="46"/>
  <c r="AU85" i="46"/>
  <c r="AS85" i="46"/>
  <c r="BB84" i="46"/>
  <c r="BA84" i="46"/>
  <c r="AY84" i="46"/>
  <c r="AW84" i="46"/>
  <c r="AU84" i="46"/>
  <c r="AS84" i="46"/>
  <c r="BB83" i="46"/>
  <c r="BA83" i="46"/>
  <c r="AY83" i="46"/>
  <c r="AW83" i="46"/>
  <c r="AU83" i="46"/>
  <c r="AS83" i="46"/>
  <c r="BB22" i="46"/>
  <c r="BA22" i="46"/>
  <c r="AY22" i="46"/>
  <c r="AW22" i="46"/>
  <c r="AU22" i="46"/>
  <c r="AS22" i="46"/>
  <c r="BB158" i="46"/>
  <c r="BA158" i="46"/>
  <c r="AY158" i="46"/>
  <c r="AW158" i="46"/>
  <c r="AU158" i="46"/>
  <c r="AS158" i="46"/>
  <c r="BB177" i="46"/>
  <c r="BA177" i="46"/>
  <c r="AY177" i="46"/>
  <c r="AW177" i="46"/>
  <c r="AU177" i="46"/>
  <c r="AS177" i="46"/>
  <c r="BB176" i="46"/>
  <c r="BA176" i="46"/>
  <c r="AY176" i="46"/>
  <c r="AW176" i="46"/>
  <c r="AU176" i="46"/>
  <c r="AS176" i="46"/>
  <c r="BB175" i="46"/>
  <c r="BA175" i="46"/>
  <c r="AY175" i="46"/>
  <c r="AW175" i="46"/>
  <c r="AU175" i="46"/>
  <c r="AS175" i="46"/>
  <c r="BB157" i="46"/>
  <c r="BA157" i="46"/>
  <c r="AY157" i="46"/>
  <c r="AW157" i="46"/>
  <c r="AU157" i="46"/>
  <c r="AS157" i="46"/>
  <c r="BB156" i="46"/>
  <c r="BA156" i="46"/>
  <c r="AY156" i="46"/>
  <c r="AW156" i="46"/>
  <c r="AU156" i="46"/>
  <c r="AS156" i="46"/>
  <c r="BB155" i="46"/>
  <c r="BA155" i="46"/>
  <c r="AY155" i="46"/>
  <c r="AW155" i="46"/>
  <c r="AU155" i="46"/>
  <c r="AS155" i="46"/>
  <c r="BB154" i="46"/>
  <c r="BA154" i="46"/>
  <c r="AY154" i="46"/>
  <c r="AW154" i="46"/>
  <c r="AU154" i="46"/>
  <c r="AS154" i="46"/>
  <c r="BB166" i="46"/>
  <c r="BA166" i="46"/>
  <c r="AY166" i="46"/>
  <c r="AW166" i="46"/>
  <c r="AU166" i="46"/>
  <c r="AS166" i="46"/>
  <c r="BB165" i="46"/>
  <c r="BA165" i="46"/>
  <c r="AY165" i="46"/>
  <c r="AW165" i="46"/>
  <c r="AU165" i="46"/>
  <c r="AS165" i="46"/>
  <c r="BB164" i="46"/>
  <c r="BA164" i="46"/>
  <c r="AY164" i="46"/>
  <c r="AW164" i="46"/>
  <c r="AU164" i="46"/>
  <c r="AS164" i="46"/>
  <c r="BB163" i="46"/>
  <c r="BA163" i="46"/>
  <c r="AY163" i="46"/>
  <c r="AW163" i="46"/>
  <c r="AU163" i="46"/>
  <c r="AS163" i="46"/>
  <c r="BB162" i="46"/>
  <c r="BA162" i="46"/>
  <c r="AY162" i="46"/>
  <c r="AW162" i="46"/>
  <c r="AU162" i="46"/>
  <c r="AS162" i="46"/>
  <c r="BB161" i="46"/>
  <c r="BA161" i="46"/>
  <c r="AY161" i="46"/>
  <c r="AW161" i="46"/>
  <c r="AU161" i="46"/>
  <c r="AS161" i="46"/>
  <c r="BB153" i="46"/>
  <c r="BA153" i="46"/>
  <c r="AY153" i="46"/>
  <c r="AW153" i="46"/>
  <c r="AU153" i="46"/>
  <c r="AS153" i="46"/>
  <c r="BB152" i="46"/>
  <c r="BA152" i="46"/>
  <c r="AY152" i="46"/>
  <c r="AW152" i="46"/>
  <c r="AU152" i="46"/>
  <c r="AS152" i="46"/>
  <c r="BB151" i="46"/>
  <c r="BA151" i="46"/>
  <c r="AY151" i="46"/>
  <c r="AW151" i="46"/>
  <c r="AU151" i="46"/>
  <c r="AS151" i="46"/>
  <c r="BB34" i="46"/>
  <c r="BA34" i="46"/>
  <c r="AY34" i="46"/>
  <c r="AW34" i="46"/>
  <c r="AU34" i="46"/>
  <c r="AS34" i="46"/>
  <c r="BB33" i="46"/>
  <c r="BA33" i="46"/>
  <c r="AY33" i="46"/>
  <c r="AW33" i="46"/>
  <c r="AU33" i="46"/>
  <c r="AS33" i="46"/>
  <c r="BB72" i="46"/>
  <c r="BA72" i="46"/>
  <c r="AY72" i="46"/>
  <c r="AW72" i="46"/>
  <c r="AU72" i="46"/>
  <c r="AS72" i="46"/>
  <c r="BB71" i="46"/>
  <c r="BA71" i="46"/>
  <c r="AY71" i="46"/>
  <c r="AW71" i="46"/>
  <c r="AU71" i="46"/>
  <c r="AS71" i="46"/>
  <c r="BB70" i="46"/>
  <c r="BA70" i="46"/>
  <c r="AY70" i="46"/>
  <c r="AW70" i="46"/>
  <c r="AU70" i="46"/>
  <c r="AS70" i="46"/>
  <c r="BB69" i="46"/>
  <c r="BA69" i="46"/>
  <c r="AY69" i="46"/>
  <c r="AW69" i="46"/>
  <c r="AU69" i="46"/>
  <c r="AS69" i="46"/>
  <c r="BB68" i="46"/>
  <c r="BA68" i="46"/>
  <c r="AY68" i="46"/>
  <c r="AW68" i="46"/>
  <c r="AU68" i="46"/>
  <c r="AS68" i="46"/>
  <c r="BB67" i="46"/>
  <c r="BA67" i="46"/>
  <c r="AY67" i="46"/>
  <c r="AW67" i="46"/>
  <c r="AU67" i="46"/>
  <c r="AS67" i="46"/>
  <c r="BB66" i="46"/>
  <c r="BA66" i="46"/>
  <c r="AY66" i="46"/>
  <c r="AW66" i="46"/>
  <c r="AU66" i="46"/>
  <c r="AS66" i="46"/>
  <c r="BB65" i="46"/>
  <c r="BA65" i="46"/>
  <c r="AY65" i="46"/>
  <c r="AW65" i="46"/>
  <c r="AU65" i="46"/>
  <c r="AS65" i="46"/>
  <c r="BB64" i="46"/>
  <c r="BA64" i="46"/>
  <c r="AY64" i="46"/>
  <c r="AW64" i="46"/>
  <c r="AU64" i="46"/>
  <c r="AS64" i="46"/>
  <c r="BB63" i="46"/>
  <c r="BA63" i="46"/>
  <c r="AY63" i="46"/>
  <c r="AW63" i="46"/>
  <c r="AU63" i="46"/>
  <c r="AS63" i="46"/>
  <c r="BB62" i="46"/>
  <c r="BA62" i="46"/>
  <c r="AY62" i="46"/>
  <c r="AW62" i="46"/>
  <c r="AU62" i="46"/>
  <c r="AS62" i="46"/>
  <c r="BB32" i="46"/>
  <c r="BA32" i="46"/>
  <c r="AY32" i="46"/>
  <c r="AW32" i="46"/>
  <c r="AU32" i="46"/>
  <c r="AS32" i="46"/>
  <c r="BB61" i="46"/>
  <c r="BA61" i="46"/>
  <c r="AY61" i="46"/>
  <c r="AW61" i="46"/>
  <c r="AU61" i="46"/>
  <c r="AS61" i="46"/>
  <c r="BB60" i="46"/>
  <c r="BA60" i="46"/>
  <c r="AY60" i="46"/>
  <c r="AW60" i="46"/>
  <c r="AU60" i="46"/>
  <c r="AS60" i="46"/>
  <c r="BB59" i="46"/>
  <c r="BA59" i="46"/>
  <c r="AY59" i="46"/>
  <c r="AW59" i="46"/>
  <c r="AU59" i="46"/>
  <c r="AS59" i="46"/>
  <c r="BB58" i="46"/>
  <c r="BA58" i="46"/>
  <c r="AY58" i="46"/>
  <c r="AW58" i="46"/>
  <c r="AU58" i="46"/>
  <c r="AS58" i="46"/>
  <c r="BB57" i="46"/>
  <c r="BA57" i="46"/>
  <c r="AY57" i="46"/>
  <c r="AW57" i="46"/>
  <c r="AU57" i="46"/>
  <c r="AS57" i="46"/>
  <c r="BB56" i="46"/>
  <c r="BA56" i="46"/>
  <c r="AY56" i="46"/>
  <c r="AW56" i="46"/>
  <c r="AU56" i="46"/>
  <c r="AS56" i="46"/>
  <c r="BB55" i="46"/>
  <c r="BA55" i="46"/>
  <c r="AY55" i="46"/>
  <c r="AW55" i="46"/>
  <c r="AU55" i="46"/>
  <c r="AS55" i="46"/>
  <c r="BB54" i="46"/>
  <c r="BA54" i="46"/>
  <c r="AY54" i="46"/>
  <c r="AW54" i="46"/>
  <c r="AU54" i="46"/>
  <c r="AS54" i="46"/>
  <c r="BB53" i="46"/>
  <c r="BA53" i="46"/>
  <c r="AY53" i="46"/>
  <c r="AW53" i="46"/>
  <c r="AU53" i="46"/>
  <c r="AS53" i="46"/>
  <c r="BB52" i="46"/>
  <c r="BA52" i="46"/>
  <c r="AY52" i="46"/>
  <c r="AW52" i="46"/>
  <c r="AU52" i="46"/>
  <c r="AS52" i="46"/>
  <c r="BB51" i="46"/>
  <c r="BA51" i="46"/>
  <c r="AY51" i="46"/>
  <c r="AW51" i="46"/>
  <c r="AU51" i="46"/>
  <c r="AS51" i="46"/>
  <c r="BB50" i="46"/>
  <c r="BA50" i="46"/>
  <c r="AY50" i="46"/>
  <c r="AW50" i="46"/>
  <c r="AU50" i="46"/>
  <c r="AS50" i="46"/>
  <c r="BB49" i="46"/>
  <c r="BA49" i="46"/>
  <c r="AY49" i="46"/>
  <c r="AW49" i="46"/>
  <c r="AU49" i="46"/>
  <c r="AS49" i="46"/>
  <c r="BB48" i="46"/>
  <c r="BA48" i="46"/>
  <c r="AY48" i="46"/>
  <c r="AW48" i="46"/>
  <c r="AU48" i="46"/>
  <c r="AS48" i="46"/>
  <c r="BB47" i="46"/>
  <c r="BA47" i="46"/>
  <c r="AY47" i="46"/>
  <c r="AW47" i="46"/>
  <c r="AU47" i="46"/>
  <c r="AS47" i="46"/>
  <c r="BB82" i="46"/>
  <c r="BA82" i="46"/>
  <c r="AY82" i="46"/>
  <c r="AW82" i="46"/>
  <c r="AU82" i="46"/>
  <c r="AS82" i="46"/>
  <c r="BB81" i="46"/>
  <c r="BA81" i="46"/>
  <c r="AY81" i="46"/>
  <c r="AW81" i="46"/>
  <c r="AU81" i="46"/>
  <c r="AS81" i="46"/>
  <c r="BB80" i="46"/>
  <c r="BA80" i="46"/>
  <c r="AY80" i="46"/>
  <c r="AW80" i="46"/>
  <c r="AU80" i="46"/>
  <c r="AS80" i="46"/>
  <c r="BB79" i="46"/>
  <c r="BA79" i="46"/>
  <c r="AY79" i="46"/>
  <c r="AW79" i="46"/>
  <c r="AU79" i="46"/>
  <c r="AS79" i="46"/>
  <c r="BB46" i="46"/>
  <c r="BA46" i="46"/>
  <c r="AY46" i="46"/>
  <c r="AW46" i="46"/>
  <c r="AU46" i="46"/>
  <c r="AS46" i="46"/>
  <c r="BB45" i="46"/>
  <c r="BA45" i="46"/>
  <c r="AY45" i="46"/>
  <c r="AW45" i="46"/>
  <c r="AU45" i="46"/>
  <c r="AS45" i="46"/>
  <c r="BB44" i="46"/>
  <c r="BA44" i="46"/>
  <c r="AY44" i="46"/>
  <c r="AW44" i="46"/>
  <c r="AU44" i="46"/>
  <c r="AS44" i="46"/>
  <c r="BB43" i="46"/>
  <c r="BA43" i="46"/>
  <c r="AY43" i="46"/>
  <c r="AW43" i="46"/>
  <c r="AU43" i="46"/>
  <c r="AS43" i="46"/>
  <c r="BB42" i="46"/>
  <c r="BA42" i="46"/>
  <c r="AY42" i="46"/>
  <c r="AW42" i="46"/>
  <c r="AU42" i="46"/>
  <c r="AS42" i="46"/>
  <c r="BB41" i="46"/>
  <c r="BA41" i="46"/>
  <c r="AY41" i="46"/>
  <c r="AW41" i="46"/>
  <c r="AU41" i="46"/>
  <c r="AS41" i="46"/>
  <c r="BB174" i="46"/>
  <c r="BA174" i="46"/>
  <c r="AY174" i="46"/>
  <c r="AW174" i="46"/>
  <c r="AU174" i="46"/>
  <c r="AS174" i="46"/>
  <c r="BB173" i="46"/>
  <c r="BA173" i="46"/>
  <c r="AY173" i="46"/>
  <c r="AW173" i="46"/>
  <c r="AU173" i="46"/>
  <c r="AS173" i="46"/>
  <c r="BB160" i="46"/>
  <c r="BA160" i="46"/>
  <c r="AY160" i="46"/>
  <c r="AW160" i="46"/>
  <c r="AU160" i="46"/>
  <c r="AS160" i="46"/>
  <c r="BB159" i="46"/>
  <c r="BA159" i="46"/>
  <c r="AY159" i="46"/>
  <c r="AW159" i="46"/>
  <c r="AU159" i="46"/>
  <c r="AS159" i="46"/>
  <c r="BB31" i="46"/>
  <c r="BA31" i="46"/>
  <c r="AY31" i="46"/>
  <c r="AW31" i="46"/>
  <c r="AU31" i="46"/>
  <c r="AS31" i="46"/>
  <c r="BB30" i="46"/>
  <c r="BA30" i="46"/>
  <c r="AY30" i="46"/>
  <c r="AW30" i="46"/>
  <c r="AU30" i="46"/>
  <c r="AS30" i="46"/>
  <c r="BB29" i="46"/>
  <c r="BA29" i="46"/>
  <c r="AY29" i="46"/>
  <c r="AW29" i="46"/>
  <c r="AU29" i="46"/>
  <c r="AS29" i="46"/>
  <c r="BB28" i="46"/>
  <c r="BA28" i="46"/>
  <c r="AY28" i="46"/>
  <c r="AW28" i="46"/>
  <c r="AU28" i="46"/>
  <c r="AS28" i="46"/>
  <c r="BB27" i="46"/>
  <c r="BA27" i="46"/>
  <c r="AY27" i="46"/>
  <c r="AW27" i="46"/>
  <c r="AU27" i="46"/>
  <c r="AS27" i="46"/>
  <c r="BB40" i="46"/>
  <c r="BA40" i="46"/>
  <c r="AY40" i="46"/>
  <c r="AW40" i="46"/>
  <c r="AU40" i="46"/>
  <c r="AS40" i="46"/>
  <c r="BB39" i="46"/>
  <c r="BA39" i="46"/>
  <c r="AY39" i="46"/>
  <c r="AW39" i="46"/>
  <c r="AU39" i="46"/>
  <c r="AS39" i="46"/>
  <c r="BB38" i="46"/>
  <c r="BA38" i="46"/>
  <c r="AY38" i="46"/>
  <c r="AW38" i="46"/>
  <c r="AU38" i="46"/>
  <c r="AS38" i="46"/>
  <c r="BB37" i="46"/>
  <c r="BA37" i="46"/>
  <c r="AY37" i="46"/>
  <c r="AW37" i="46"/>
  <c r="AU37" i="46"/>
  <c r="AS37" i="46"/>
  <c r="BB36" i="46"/>
  <c r="BA36" i="46"/>
  <c r="AY36" i="46"/>
  <c r="AW36" i="46"/>
  <c r="AU36" i="46"/>
  <c r="AS36" i="46"/>
  <c r="BB35" i="46"/>
  <c r="BA35" i="46"/>
  <c r="AY35" i="46"/>
  <c r="AW35" i="46"/>
  <c r="AU35" i="46"/>
  <c r="AS35" i="46"/>
  <c r="BB26" i="46"/>
  <c r="BA26" i="46"/>
  <c r="AY26" i="46"/>
  <c r="AW26" i="46"/>
  <c r="AU26" i="46"/>
  <c r="AS26" i="46"/>
  <c r="BB25" i="46"/>
  <c r="BA25" i="46"/>
  <c r="AY25" i="46"/>
  <c r="AW25" i="46"/>
  <c r="AU25" i="46"/>
  <c r="AS25" i="46"/>
  <c r="BB24" i="46"/>
  <c r="BA24" i="46"/>
  <c r="AY24" i="46"/>
  <c r="AW24" i="46"/>
  <c r="AU24" i="46"/>
  <c r="AS24" i="46"/>
  <c r="BB78" i="46"/>
  <c r="BA78" i="46"/>
  <c r="AY78" i="46"/>
  <c r="AW78" i="46"/>
  <c r="AU78" i="46"/>
  <c r="AS78" i="46"/>
  <c r="BB77" i="46"/>
  <c r="BA77" i="46"/>
  <c r="AY77" i="46"/>
  <c r="AW77" i="46"/>
  <c r="AU77" i="46"/>
  <c r="AS77" i="46"/>
  <c r="BB21" i="46"/>
  <c r="BA21" i="46"/>
  <c r="AY21" i="46"/>
  <c r="AW21" i="46"/>
  <c r="AU21" i="46"/>
  <c r="AS21" i="46"/>
  <c r="BB20" i="46"/>
  <c r="BA20" i="46"/>
  <c r="AY20" i="46"/>
  <c r="AW20" i="46"/>
  <c r="AU20" i="46"/>
  <c r="AS20" i="46"/>
  <c r="BB19" i="46"/>
  <c r="BA19" i="46"/>
  <c r="AY19" i="46"/>
  <c r="AW19" i="46"/>
  <c r="AU19" i="46"/>
  <c r="AS19" i="46"/>
  <c r="BB172" i="46"/>
  <c r="BA172" i="46"/>
  <c r="AY172" i="46"/>
  <c r="AW172" i="46"/>
  <c r="AU172" i="46"/>
  <c r="AS172" i="46"/>
  <c r="BB18" i="46"/>
  <c r="BA18" i="46"/>
  <c r="AY18" i="46"/>
  <c r="AW18" i="46"/>
  <c r="AU18" i="46"/>
  <c r="AS18" i="46"/>
  <c r="BB23" i="46"/>
  <c r="BA23" i="46"/>
  <c r="AY23" i="46"/>
  <c r="AW23" i="46"/>
  <c r="AU23" i="46"/>
  <c r="AS23" i="46"/>
  <c r="BB17" i="46"/>
  <c r="BA17" i="46"/>
  <c r="AY17" i="46"/>
  <c r="AW17" i="46"/>
  <c r="AU17" i="46"/>
  <c r="AS17" i="46"/>
  <c r="BB171" i="46"/>
  <c r="BA171" i="46"/>
  <c r="AY171" i="46"/>
  <c r="AW171" i="46"/>
  <c r="AU171" i="46"/>
  <c r="AS171" i="46"/>
  <c r="BB16" i="46"/>
  <c r="BA16" i="46"/>
  <c r="AY16" i="46"/>
  <c r="AW16" i="46"/>
  <c r="AU16" i="46"/>
  <c r="AS16" i="46"/>
  <c r="BB170" i="46"/>
  <c r="BA170" i="46"/>
  <c r="AY170" i="46"/>
  <c r="AW170" i="46"/>
  <c r="AU170" i="46"/>
  <c r="AS170" i="46"/>
  <c r="BB15" i="46"/>
  <c r="BA15" i="46"/>
  <c r="AY15" i="46"/>
  <c r="AW15" i="46"/>
  <c r="AU15" i="46"/>
  <c r="AS15" i="46"/>
  <c r="BB14" i="46"/>
  <c r="BA14" i="46"/>
  <c r="AY14" i="46"/>
  <c r="AW14" i="46"/>
  <c r="AU14" i="46"/>
  <c r="AS14" i="46"/>
  <c r="BB76" i="46"/>
  <c r="BA76" i="46"/>
  <c r="AY76" i="46"/>
  <c r="AW76" i="46"/>
  <c r="AU76" i="46"/>
  <c r="AS76" i="46"/>
  <c r="BB75" i="46"/>
  <c r="BA75" i="46"/>
  <c r="AY75" i="46"/>
  <c r="AW75" i="46"/>
  <c r="AU75" i="46"/>
  <c r="AS75" i="46"/>
  <c r="BB74" i="46"/>
  <c r="BA74" i="46"/>
  <c r="AY74" i="46"/>
  <c r="AW74" i="46"/>
  <c r="AU74" i="46"/>
  <c r="AS74" i="46"/>
  <c r="BB73" i="46"/>
  <c r="BA73" i="46"/>
  <c r="AY73" i="46"/>
  <c r="AW73" i="46"/>
  <c r="AU73" i="46"/>
  <c r="AS73" i="46"/>
  <c r="BB150" i="46"/>
  <c r="BA150" i="46"/>
  <c r="AY150" i="46"/>
  <c r="AW150" i="46"/>
  <c r="AU150" i="46"/>
  <c r="AS150" i="46"/>
  <c r="BB149" i="46"/>
  <c r="BA149" i="46"/>
  <c r="AY149" i="46"/>
  <c r="AW149" i="46"/>
  <c r="AU149" i="46"/>
  <c r="AS149" i="46"/>
  <c r="X13" i="46"/>
  <c r="V13" i="46"/>
  <c r="T13" i="46"/>
  <c r="R13" i="46"/>
  <c r="P13" i="46"/>
  <c r="N13" i="46"/>
  <c r="L13" i="46"/>
  <c r="J13" i="46"/>
  <c r="H1" i="46" a="1"/>
  <c r="H1" i="46" s="1"/>
  <c r="K3" i="5" s="1"/>
  <c r="G160" i="46" l="1"/>
  <c r="F173" i="46"/>
  <c r="G171" i="47"/>
  <c r="G31" i="47"/>
  <c r="F55" i="47"/>
  <c r="AR55" i="47" s="1" a="1"/>
  <c r="AR55" i="47" s="1"/>
  <c r="G177" i="47"/>
  <c r="F100" i="47"/>
  <c r="AR100" i="47" s="1" a="1"/>
  <c r="AR100" i="47" s="1"/>
  <c r="G141" i="47"/>
  <c r="F45" i="47"/>
  <c r="AR45" i="47" s="1" a="1"/>
  <c r="AR45" i="47" s="1"/>
  <c r="F25" i="46"/>
  <c r="F79" i="46"/>
  <c r="G77" i="47"/>
  <c r="G44" i="47"/>
  <c r="G151" i="47"/>
  <c r="G88" i="47"/>
  <c r="F108" i="47"/>
  <c r="F122" i="47"/>
  <c r="AR122" i="47" s="1" a="1"/>
  <c r="AR122" i="47" s="1"/>
  <c r="F145" i="47"/>
  <c r="AR145" i="47" s="1" a="1"/>
  <c r="AR145" i="47" s="1"/>
  <c r="F146" i="47"/>
  <c r="F78" i="47"/>
  <c r="AR78" i="47" s="1" a="1"/>
  <c r="AR78" i="47" s="1"/>
  <c r="F14" i="46"/>
  <c r="AR14" i="46" s="1" a="1"/>
  <c r="AR14" i="46" s="1"/>
  <c r="G24" i="46"/>
  <c r="G46" i="46"/>
  <c r="F145" i="46"/>
  <c r="AR145" i="46" s="1" a="1"/>
  <c r="AR145" i="46" s="1"/>
  <c r="F146" i="46"/>
  <c r="F147" i="46"/>
  <c r="AR147" i="46" s="1" a="1"/>
  <c r="AR147" i="46" s="1"/>
  <c r="F148" i="46"/>
  <c r="F178" i="46"/>
  <c r="AR178" i="46" s="1" a="1"/>
  <c r="AR178" i="46" s="1"/>
  <c r="F32" i="47"/>
  <c r="G107" i="47"/>
  <c r="G121" i="47"/>
  <c r="F135" i="47"/>
  <c r="AR135" i="47" s="1" a="1"/>
  <c r="AR135" i="47" s="1"/>
  <c r="G145" i="47"/>
  <c r="G146" i="47"/>
  <c r="F147" i="47"/>
  <c r="F148" i="47"/>
  <c r="F152" i="47"/>
  <c r="AR152" i="47" s="1" a="1"/>
  <c r="AR152" i="47" s="1"/>
  <c r="F167" i="47"/>
  <c r="AR167" i="47" s="1" a="1"/>
  <c r="AR167" i="47" s="1"/>
  <c r="G99" i="47"/>
  <c r="G76" i="46"/>
  <c r="G14" i="46"/>
  <c r="G145" i="46"/>
  <c r="G146" i="46"/>
  <c r="G147" i="46"/>
  <c r="G148" i="46"/>
  <c r="G178" i="46"/>
  <c r="F48" i="47"/>
  <c r="AR48" i="47" s="1" a="1"/>
  <c r="AR48" i="47" s="1"/>
  <c r="F116" i="47"/>
  <c r="AR116" i="47" s="1" a="1"/>
  <c r="AR116" i="47" s="1"/>
  <c r="G134" i="47"/>
  <c r="G147" i="47"/>
  <c r="G148" i="47"/>
  <c r="F178" i="47"/>
  <c r="AF76" i="46"/>
  <c r="AF18" i="46"/>
  <c r="AF25" i="46"/>
  <c r="AF27" i="46"/>
  <c r="AF174" i="46"/>
  <c r="AF80" i="46"/>
  <c r="AF52" i="46"/>
  <c r="AF60" i="46"/>
  <c r="AF67" i="46"/>
  <c r="AF151" i="46"/>
  <c r="AF166" i="46"/>
  <c r="AF158" i="46"/>
  <c r="AF167" i="46"/>
  <c r="AF94" i="46"/>
  <c r="AF102" i="46"/>
  <c r="AF110" i="46"/>
  <c r="AF118" i="46"/>
  <c r="AF126" i="46"/>
  <c r="AF134" i="46"/>
  <c r="AF142" i="46"/>
  <c r="AF74" i="46"/>
  <c r="AF39" i="46"/>
  <c r="AF160" i="46"/>
  <c r="AF46" i="46"/>
  <c r="AF58" i="46"/>
  <c r="AF87" i="46"/>
  <c r="AF140" i="46"/>
  <c r="AF14" i="46"/>
  <c r="AF172" i="46"/>
  <c r="AF26" i="46"/>
  <c r="AF28" i="46"/>
  <c r="AF41" i="46"/>
  <c r="AF81" i="46"/>
  <c r="AF53" i="46"/>
  <c r="AF61" i="46"/>
  <c r="AF68" i="46"/>
  <c r="AF152" i="46"/>
  <c r="AF154" i="46"/>
  <c r="AF22" i="46"/>
  <c r="AF168" i="46"/>
  <c r="AF95" i="46"/>
  <c r="AF103" i="46"/>
  <c r="AF111" i="46"/>
  <c r="AF119" i="46"/>
  <c r="AF127" i="46"/>
  <c r="AF135" i="46"/>
  <c r="AF143" i="46"/>
  <c r="AF17" i="46"/>
  <c r="AF65" i="46"/>
  <c r="AF100" i="46"/>
  <c r="AF124" i="46"/>
  <c r="AF15" i="46"/>
  <c r="AF19" i="46"/>
  <c r="AF35" i="46"/>
  <c r="AF29" i="46"/>
  <c r="AF42" i="46"/>
  <c r="AF82" i="46"/>
  <c r="AF54" i="46"/>
  <c r="AF32" i="46"/>
  <c r="AF69" i="46"/>
  <c r="AF153" i="46"/>
  <c r="AF155" i="46"/>
  <c r="AF83" i="46"/>
  <c r="AF169" i="46"/>
  <c r="AF96" i="46"/>
  <c r="AF104" i="46"/>
  <c r="AF112" i="46"/>
  <c r="AF120" i="46"/>
  <c r="AF128" i="46"/>
  <c r="AF136" i="46"/>
  <c r="AF144" i="46"/>
  <c r="AF108" i="46"/>
  <c r="AF170" i="46"/>
  <c r="AF20" i="46"/>
  <c r="AF36" i="46"/>
  <c r="AF30" i="46"/>
  <c r="AF43" i="46"/>
  <c r="AF47" i="46"/>
  <c r="AF55" i="46"/>
  <c r="AF62" i="46"/>
  <c r="AF70" i="46"/>
  <c r="AF161" i="46"/>
  <c r="AF156" i="46"/>
  <c r="AF84" i="46"/>
  <c r="AF89" i="46"/>
  <c r="AF97" i="46"/>
  <c r="AF105" i="46"/>
  <c r="AF113" i="46"/>
  <c r="AF121" i="46"/>
  <c r="AF129" i="46"/>
  <c r="AF137" i="46"/>
  <c r="AF145" i="46"/>
  <c r="AF50" i="46"/>
  <c r="AF176" i="46"/>
  <c r="AF148" i="46"/>
  <c r="AF150" i="46"/>
  <c r="AF16" i="46"/>
  <c r="AF21" i="46"/>
  <c r="AF37" i="46"/>
  <c r="AF31" i="46"/>
  <c r="AF44" i="46"/>
  <c r="AF48" i="46"/>
  <c r="AF56" i="46"/>
  <c r="AF63" i="46"/>
  <c r="AF71" i="46"/>
  <c r="AF162" i="46"/>
  <c r="AF157" i="46"/>
  <c r="AF85" i="46"/>
  <c r="AF90" i="46"/>
  <c r="AF98" i="46"/>
  <c r="AF106" i="46"/>
  <c r="AF114" i="46"/>
  <c r="AF122" i="46"/>
  <c r="AF130" i="46"/>
  <c r="AF138" i="46"/>
  <c r="AF146" i="46"/>
  <c r="AF164" i="46"/>
  <c r="AF73" i="46"/>
  <c r="AF171" i="46"/>
  <c r="AF77" i="46"/>
  <c r="AF38" i="46"/>
  <c r="AF159" i="46"/>
  <c r="AF45" i="46"/>
  <c r="AF49" i="46"/>
  <c r="AF57" i="46"/>
  <c r="AF64" i="46"/>
  <c r="AF72" i="46"/>
  <c r="AF163" i="46"/>
  <c r="AF175" i="46"/>
  <c r="AF86" i="46"/>
  <c r="AF91" i="46"/>
  <c r="AF99" i="46"/>
  <c r="AF107" i="46"/>
  <c r="AF115" i="46"/>
  <c r="AF123" i="46"/>
  <c r="AF131" i="46"/>
  <c r="AF139" i="46"/>
  <c r="AF147" i="46"/>
  <c r="AF132" i="46"/>
  <c r="AF116" i="46"/>
  <c r="AF75" i="46"/>
  <c r="AF23" i="46"/>
  <c r="AF24" i="46"/>
  <c r="AF40" i="46"/>
  <c r="AF173" i="46"/>
  <c r="AF79" i="46"/>
  <c r="AF51" i="46"/>
  <c r="AF59" i="46"/>
  <c r="AF66" i="46"/>
  <c r="AF34" i="46"/>
  <c r="AF165" i="46"/>
  <c r="AF177" i="46"/>
  <c r="AF88" i="46"/>
  <c r="AF93" i="46"/>
  <c r="AF101" i="46"/>
  <c r="AF109" i="46"/>
  <c r="AF117" i="46"/>
  <c r="AF125" i="46"/>
  <c r="AF133" i="46"/>
  <c r="AF141" i="46"/>
  <c r="AF178" i="46"/>
  <c r="AF78" i="46"/>
  <c r="AF33" i="46"/>
  <c r="AF92" i="46"/>
  <c r="R178" i="46"/>
  <c r="J178" i="46"/>
  <c r="AI178" i="46"/>
  <c r="N178" i="46"/>
  <c r="O178" i="46" s="1"/>
  <c r="F74" i="47"/>
  <c r="F38" i="47"/>
  <c r="AR38" i="47" s="1" a="1"/>
  <c r="AR38" i="47" s="1"/>
  <c r="F69" i="47"/>
  <c r="AR69" i="47" s="1" a="1"/>
  <c r="AR69" i="47" s="1"/>
  <c r="F166" i="47"/>
  <c r="AR166" i="47" s="1" a="1"/>
  <c r="AR166" i="47" s="1"/>
  <c r="G115" i="47"/>
  <c r="G178" i="47"/>
  <c r="F172" i="46"/>
  <c r="F40" i="46"/>
  <c r="AR40" i="46" s="1" a="1"/>
  <c r="AR40" i="46" s="1"/>
  <c r="Z178" i="46"/>
  <c r="AA178" i="46" s="1"/>
  <c r="G73" i="47"/>
  <c r="G37" i="47"/>
  <c r="G68" i="47"/>
  <c r="G165" i="47"/>
  <c r="G92" i="47"/>
  <c r="Z178" i="47"/>
  <c r="AA178" i="47" s="1"/>
  <c r="AF74" i="47"/>
  <c r="AF17" i="47"/>
  <c r="AF78" i="47"/>
  <c r="AF39" i="47"/>
  <c r="AF160" i="47"/>
  <c r="AF46" i="47"/>
  <c r="AF50" i="47"/>
  <c r="AF58" i="47"/>
  <c r="AF65" i="47"/>
  <c r="AF33" i="47"/>
  <c r="AF164" i="47"/>
  <c r="AF176" i="47"/>
  <c r="AF87" i="47"/>
  <c r="AF92" i="47"/>
  <c r="AF100" i="47"/>
  <c r="AF108" i="47"/>
  <c r="AF116" i="47"/>
  <c r="AF124" i="47"/>
  <c r="AF132" i="47"/>
  <c r="AF140" i="47"/>
  <c r="AF148" i="47"/>
  <c r="AF75" i="47"/>
  <c r="AF23" i="47"/>
  <c r="AF24" i="47"/>
  <c r="AF40" i="47"/>
  <c r="AF173" i="47"/>
  <c r="AF79" i="47"/>
  <c r="AF51" i="47"/>
  <c r="AF59" i="47"/>
  <c r="AF66" i="47"/>
  <c r="AF34" i="47"/>
  <c r="AF165" i="47"/>
  <c r="AF177" i="47"/>
  <c r="AF88" i="47"/>
  <c r="AF93" i="47"/>
  <c r="AF101" i="47"/>
  <c r="AF109" i="47"/>
  <c r="AF117" i="47"/>
  <c r="AF125" i="47"/>
  <c r="AF133" i="47"/>
  <c r="AF141" i="47"/>
  <c r="AF178" i="47"/>
  <c r="AF76" i="47"/>
  <c r="AF18" i="47"/>
  <c r="AF25" i="47"/>
  <c r="AF27" i="47"/>
  <c r="AF174" i="47"/>
  <c r="AF80" i="47"/>
  <c r="AF52" i="47"/>
  <c r="AF60" i="47"/>
  <c r="AF67" i="47"/>
  <c r="AF151" i="47"/>
  <c r="AF166" i="47"/>
  <c r="AF158" i="47"/>
  <c r="AF167" i="47"/>
  <c r="AF94" i="47"/>
  <c r="AF102" i="47"/>
  <c r="AF110" i="47"/>
  <c r="AF118" i="47"/>
  <c r="AF126" i="47"/>
  <c r="AF134" i="47"/>
  <c r="AF142" i="47"/>
  <c r="AF14" i="47"/>
  <c r="AF172" i="47"/>
  <c r="AF26" i="47"/>
  <c r="AF28" i="47"/>
  <c r="AF41" i="47"/>
  <c r="AF81" i="47"/>
  <c r="AF53" i="47"/>
  <c r="AF61" i="47"/>
  <c r="AF68" i="47"/>
  <c r="AF152" i="47"/>
  <c r="AF154" i="47"/>
  <c r="AF22" i="47"/>
  <c r="AF168" i="47"/>
  <c r="AF95" i="47"/>
  <c r="AF103" i="47"/>
  <c r="AF111" i="47"/>
  <c r="AF119" i="47"/>
  <c r="AF127" i="47"/>
  <c r="AF135" i="47"/>
  <c r="AF143" i="47"/>
  <c r="AF15" i="47"/>
  <c r="AF19" i="47"/>
  <c r="AF35" i="47"/>
  <c r="AF29" i="47"/>
  <c r="AF42" i="47"/>
  <c r="AF82" i="47"/>
  <c r="AF54" i="47"/>
  <c r="AF32" i="47"/>
  <c r="AF69" i="47"/>
  <c r="AF153" i="47"/>
  <c r="AF155" i="47"/>
  <c r="AF83" i="47"/>
  <c r="AF169" i="47"/>
  <c r="AF96" i="47"/>
  <c r="AF104" i="47"/>
  <c r="AF112" i="47"/>
  <c r="AF120" i="47"/>
  <c r="AF128" i="47"/>
  <c r="AF136" i="47"/>
  <c r="AF144" i="47"/>
  <c r="AF170" i="47"/>
  <c r="AF20" i="47"/>
  <c r="AF36" i="47"/>
  <c r="AF30" i="47"/>
  <c r="AF43" i="47"/>
  <c r="AF47" i="47"/>
  <c r="AF55" i="47"/>
  <c r="AF62" i="47"/>
  <c r="AF70" i="47"/>
  <c r="AF161" i="47"/>
  <c r="AF156" i="47"/>
  <c r="AF84" i="47"/>
  <c r="AF89" i="47"/>
  <c r="AF97" i="47"/>
  <c r="AF105" i="47"/>
  <c r="AF113" i="47"/>
  <c r="AF121" i="47"/>
  <c r="AF129" i="47"/>
  <c r="AF137" i="47"/>
  <c r="AF145" i="47"/>
  <c r="AF150" i="47"/>
  <c r="AF16" i="47"/>
  <c r="AF21" i="47"/>
  <c r="AF37" i="47"/>
  <c r="AF31" i="47"/>
  <c r="AF44" i="47"/>
  <c r="AF48" i="47"/>
  <c r="AF56" i="47"/>
  <c r="AF63" i="47"/>
  <c r="AF71" i="47"/>
  <c r="AF162" i="47"/>
  <c r="AF157" i="47"/>
  <c r="AF85" i="47"/>
  <c r="AF90" i="47"/>
  <c r="AF98" i="47"/>
  <c r="AF106" i="47"/>
  <c r="AF114" i="47"/>
  <c r="AF122" i="47"/>
  <c r="AF130" i="47"/>
  <c r="AF138" i="47"/>
  <c r="AF146" i="47"/>
  <c r="AF73" i="47"/>
  <c r="AF171" i="47"/>
  <c r="AF77" i="47"/>
  <c r="AF38" i="47"/>
  <c r="AF159" i="47"/>
  <c r="AF45" i="47"/>
  <c r="AF49" i="47"/>
  <c r="AF57" i="47"/>
  <c r="AF64" i="47"/>
  <c r="AF72" i="47"/>
  <c r="AF163" i="47"/>
  <c r="AF175" i="47"/>
  <c r="AF86" i="47"/>
  <c r="AF91" i="47"/>
  <c r="AF99" i="47"/>
  <c r="AF107" i="47"/>
  <c r="AF115" i="47"/>
  <c r="AF123" i="47"/>
  <c r="AF131" i="47"/>
  <c r="AF139" i="47"/>
  <c r="AF147" i="47"/>
  <c r="J178" i="47"/>
  <c r="K178" i="47" s="1"/>
  <c r="L178" i="47" s="1"/>
  <c r="N178" i="47"/>
  <c r="O178" i="47" s="1"/>
  <c r="P178" i="47" s="1"/>
  <c r="AI178" i="47"/>
  <c r="R178" i="47"/>
  <c r="G54" i="47"/>
  <c r="G18" i="46"/>
  <c r="G39" i="46"/>
  <c r="AB178" i="46"/>
  <c r="F17" i="47"/>
  <c r="AR17" i="47" s="1" a="1"/>
  <c r="AR17" i="47" s="1"/>
  <c r="F159" i="47"/>
  <c r="AR159" i="47" s="1" a="1"/>
  <c r="AR159" i="47" s="1"/>
  <c r="F158" i="47"/>
  <c r="F128" i="47"/>
  <c r="AR128" i="47" s="1" a="1"/>
  <c r="AR128" i="47" s="1"/>
  <c r="F142" i="47"/>
  <c r="AB178" i="47"/>
  <c r="L7" i="47"/>
  <c r="J7" i="47"/>
  <c r="L6" i="47"/>
  <c r="J6" i="47"/>
  <c r="J6" i="46"/>
  <c r="L6" i="46"/>
  <c r="L7" i="46"/>
  <c r="J7" i="46"/>
  <c r="S208" i="46"/>
  <c r="T208" i="46" s="1"/>
  <c r="K208" i="46"/>
  <c r="L208" i="46" s="1"/>
  <c r="K211" i="46"/>
  <c r="L211" i="46" s="1"/>
  <c r="S211" i="46"/>
  <c r="T211" i="46" s="1"/>
  <c r="S233" i="46"/>
  <c r="T233" i="46" s="1"/>
  <c r="K233" i="46"/>
  <c r="L233" i="46" s="1"/>
  <c r="S243" i="46"/>
  <c r="T243" i="46" s="1"/>
  <c r="K243" i="46"/>
  <c r="L243" i="46" s="1"/>
  <c r="K183" i="46"/>
  <c r="L183" i="46" s="1"/>
  <c r="S183" i="46"/>
  <c r="T183" i="46" s="1"/>
  <c r="S189" i="46"/>
  <c r="T189" i="46" s="1"/>
  <c r="K189" i="46"/>
  <c r="L189" i="46" s="1"/>
  <c r="S191" i="46"/>
  <c r="T191" i="46" s="1"/>
  <c r="K191" i="46"/>
  <c r="L191" i="46" s="1"/>
  <c r="S218" i="46"/>
  <c r="T218" i="46" s="1"/>
  <c r="K218" i="46"/>
  <c r="L218" i="46" s="1"/>
  <c r="S223" i="46"/>
  <c r="T223" i="46" s="1"/>
  <c r="K223" i="46"/>
  <c r="L223" i="46" s="1"/>
  <c r="S228" i="46"/>
  <c r="T228" i="46" s="1"/>
  <c r="K228" i="46"/>
  <c r="L228" i="46" s="1"/>
  <c r="S248" i="46"/>
  <c r="T248" i="46" s="1"/>
  <c r="K248" i="46"/>
  <c r="L248" i="46" s="1"/>
  <c r="K183" i="47"/>
  <c r="L183" i="47" s="1"/>
  <c r="S183" i="47"/>
  <c r="T183" i="47" s="1"/>
  <c r="S200" i="47"/>
  <c r="T200" i="47" s="1"/>
  <c r="K200" i="47"/>
  <c r="L200" i="47" s="1"/>
  <c r="S207" i="47"/>
  <c r="T207" i="47" s="1"/>
  <c r="K207" i="47"/>
  <c r="L207" i="47" s="1"/>
  <c r="S217" i="47"/>
  <c r="T217" i="47" s="1"/>
  <c r="K217" i="47"/>
  <c r="L217" i="47" s="1"/>
  <c r="K230" i="47"/>
  <c r="L230" i="47" s="1"/>
  <c r="S230" i="47"/>
  <c r="T230" i="47" s="1"/>
  <c r="S238" i="47"/>
  <c r="T238" i="47" s="1"/>
  <c r="K238" i="47"/>
  <c r="L238" i="47" s="1"/>
  <c r="S241" i="47"/>
  <c r="T241" i="47" s="1"/>
  <c r="K241" i="47"/>
  <c r="L241" i="47" s="1"/>
  <c r="S244" i="47"/>
  <c r="T244" i="47" s="1"/>
  <c r="K244" i="47"/>
  <c r="L244" i="47" s="1"/>
  <c r="S249" i="47"/>
  <c r="T249" i="47" s="1"/>
  <c r="K249" i="47"/>
  <c r="L249" i="47" s="1"/>
  <c r="S226" i="46"/>
  <c r="T226" i="46" s="1"/>
  <c r="K226" i="46"/>
  <c r="L226" i="46" s="1"/>
  <c r="K240" i="46"/>
  <c r="L240" i="46" s="1"/>
  <c r="S240" i="46"/>
  <c r="T240" i="46" s="1"/>
  <c r="K185" i="46"/>
  <c r="L185" i="46" s="1"/>
  <c r="S185" i="46"/>
  <c r="T185" i="46" s="1"/>
  <c r="S194" i="46"/>
  <c r="T194" i="46" s="1"/>
  <c r="K194" i="46"/>
  <c r="L194" i="46" s="1"/>
  <c r="S197" i="46"/>
  <c r="T197" i="46" s="1"/>
  <c r="K197" i="46"/>
  <c r="L197" i="46" s="1"/>
  <c r="S203" i="46"/>
  <c r="T203" i="46" s="1"/>
  <c r="K203" i="46"/>
  <c r="L203" i="46" s="1"/>
  <c r="S213" i="46"/>
  <c r="T213" i="46" s="1"/>
  <c r="K213" i="46"/>
  <c r="L213" i="46" s="1"/>
  <c r="S230" i="46"/>
  <c r="T230" i="46" s="1"/>
  <c r="K230" i="46"/>
  <c r="L230" i="46" s="1"/>
  <c r="K232" i="46"/>
  <c r="L232" i="46" s="1"/>
  <c r="S232" i="46"/>
  <c r="T232" i="46" s="1"/>
  <c r="S235" i="46"/>
  <c r="T235" i="46" s="1"/>
  <c r="K235" i="46"/>
  <c r="L235" i="46" s="1"/>
  <c r="S242" i="46"/>
  <c r="T242" i="46" s="1"/>
  <c r="K242" i="46"/>
  <c r="L242" i="46" s="1"/>
  <c r="K245" i="46"/>
  <c r="L245" i="46" s="1"/>
  <c r="S245" i="46"/>
  <c r="T245" i="46" s="1"/>
  <c r="S180" i="47"/>
  <c r="T180" i="47" s="1"/>
  <c r="K180" i="47"/>
  <c r="L180" i="47" s="1"/>
  <c r="S186" i="47"/>
  <c r="T186" i="47" s="1"/>
  <c r="K186" i="47"/>
  <c r="L186" i="47" s="1"/>
  <c r="S193" i="47"/>
  <c r="T193" i="47" s="1"/>
  <c r="K193" i="47"/>
  <c r="L193" i="47" s="1"/>
  <c r="K195" i="47"/>
  <c r="L195" i="47" s="1"/>
  <c r="S195" i="47"/>
  <c r="T195" i="47" s="1"/>
  <c r="S202" i="47"/>
  <c r="T202" i="47" s="1"/>
  <c r="K202" i="47"/>
  <c r="L202" i="47" s="1"/>
  <c r="K204" i="47"/>
  <c r="L204" i="47" s="1"/>
  <c r="S204" i="47"/>
  <c r="T204" i="47" s="1"/>
  <c r="K212" i="47"/>
  <c r="L212" i="47" s="1"/>
  <c r="S212" i="47"/>
  <c r="T212" i="47" s="1"/>
  <c r="S219" i="47"/>
  <c r="T219" i="47" s="1"/>
  <c r="K219" i="47"/>
  <c r="L219" i="47" s="1"/>
  <c r="K224" i="47"/>
  <c r="L224" i="47" s="1"/>
  <c r="S224" i="47"/>
  <c r="T224" i="47" s="1"/>
  <c r="K221" i="46"/>
  <c r="L221" i="46" s="1"/>
  <c r="S221" i="46"/>
  <c r="T221" i="46" s="1"/>
  <c r="K180" i="46"/>
  <c r="L180" i="46" s="1"/>
  <c r="S180" i="46"/>
  <c r="T180" i="46" s="1"/>
  <c r="K182" i="46"/>
  <c r="L182" i="46" s="1"/>
  <c r="S182" i="46"/>
  <c r="T182" i="46" s="1"/>
  <c r="K188" i="46"/>
  <c r="L188" i="46" s="1"/>
  <c r="S188" i="46"/>
  <c r="T188" i="46" s="1"/>
  <c r="K200" i="46"/>
  <c r="L200" i="46" s="1"/>
  <c r="S200" i="46"/>
  <c r="T200" i="46" s="1"/>
  <c r="K205" i="46"/>
  <c r="L205" i="46" s="1"/>
  <c r="S205" i="46"/>
  <c r="T205" i="46" s="1"/>
  <c r="K210" i="46"/>
  <c r="L210" i="46" s="1"/>
  <c r="S210" i="46"/>
  <c r="T210" i="46" s="1"/>
  <c r="S215" i="46"/>
  <c r="T215" i="46" s="1"/>
  <c r="K215" i="46"/>
  <c r="L215" i="46" s="1"/>
  <c r="S220" i="46"/>
  <c r="T220" i="46" s="1"/>
  <c r="K220" i="46"/>
  <c r="L220" i="46" s="1"/>
  <c r="S237" i="46"/>
  <c r="T237" i="46" s="1"/>
  <c r="K237" i="46"/>
  <c r="L237" i="46" s="1"/>
  <c r="S250" i="46"/>
  <c r="T250" i="46" s="1"/>
  <c r="K250" i="46"/>
  <c r="L250" i="46" s="1"/>
  <c r="K182" i="47"/>
  <c r="L182" i="47" s="1"/>
  <c r="S182" i="47"/>
  <c r="T182" i="47" s="1"/>
  <c r="S188" i="47"/>
  <c r="T188" i="47" s="1"/>
  <c r="K188" i="47"/>
  <c r="L188" i="47" s="1"/>
  <c r="S190" i="47"/>
  <c r="T190" i="47" s="1"/>
  <c r="K190" i="47"/>
  <c r="L190" i="47" s="1"/>
  <c r="S197" i="47"/>
  <c r="T197" i="47" s="1"/>
  <c r="K197" i="47"/>
  <c r="L197" i="47" s="1"/>
  <c r="K209" i="47"/>
  <c r="L209" i="47" s="1"/>
  <c r="S209" i="47"/>
  <c r="T209" i="47" s="1"/>
  <c r="K214" i="47"/>
  <c r="L214" i="47" s="1"/>
  <c r="S214" i="47"/>
  <c r="T214" i="47" s="1"/>
  <c r="S221" i="47"/>
  <c r="T221" i="47" s="1"/>
  <c r="K221" i="47"/>
  <c r="L221" i="47" s="1"/>
  <c r="K226" i="47"/>
  <c r="L226" i="47" s="1"/>
  <c r="S226" i="47"/>
  <c r="T226" i="47" s="1"/>
  <c r="S229" i="47"/>
  <c r="T229" i="47" s="1"/>
  <c r="K229" i="47"/>
  <c r="L229" i="47" s="1"/>
  <c r="K232" i="47"/>
  <c r="L232" i="47" s="1"/>
  <c r="S232" i="47"/>
  <c r="T232" i="47" s="1"/>
  <c r="S235" i="47"/>
  <c r="T235" i="47" s="1"/>
  <c r="K235" i="47"/>
  <c r="L235" i="47" s="1"/>
  <c r="K237" i="47"/>
  <c r="L237" i="47" s="1"/>
  <c r="S237" i="47"/>
  <c r="T237" i="47" s="1"/>
  <c r="S240" i="47"/>
  <c r="T240" i="47" s="1"/>
  <c r="K240" i="47"/>
  <c r="L240" i="47" s="1"/>
  <c r="S195" i="46"/>
  <c r="T195" i="46" s="1"/>
  <c r="K195" i="46"/>
  <c r="L195" i="46" s="1"/>
  <c r="S198" i="46"/>
  <c r="T198" i="46" s="1"/>
  <c r="K198" i="46"/>
  <c r="L198" i="46" s="1"/>
  <c r="S193" i="46"/>
  <c r="T193" i="46" s="1"/>
  <c r="K193" i="46"/>
  <c r="L193" i="46" s="1"/>
  <c r="S207" i="46"/>
  <c r="T207" i="46" s="1"/>
  <c r="K207" i="46"/>
  <c r="L207" i="46" s="1"/>
  <c r="S225" i="46"/>
  <c r="T225" i="46" s="1"/>
  <c r="K225" i="46"/>
  <c r="L225" i="46" s="1"/>
  <c r="S239" i="46"/>
  <c r="T239" i="46" s="1"/>
  <c r="K239" i="46"/>
  <c r="L239" i="46" s="1"/>
  <c r="S247" i="46"/>
  <c r="T247" i="46" s="1"/>
  <c r="K247" i="46"/>
  <c r="L247" i="46" s="1"/>
  <c r="K199" i="47"/>
  <c r="L199" i="47" s="1"/>
  <c r="S199" i="47"/>
  <c r="T199" i="47" s="1"/>
  <c r="S206" i="47"/>
  <c r="T206" i="47" s="1"/>
  <c r="K206" i="47"/>
  <c r="L206" i="47" s="1"/>
  <c r="K243" i="47"/>
  <c r="L243" i="47" s="1"/>
  <c r="S243" i="47"/>
  <c r="T243" i="47" s="1"/>
  <c r="S201" i="46"/>
  <c r="T201" i="46" s="1"/>
  <c r="K201" i="46"/>
  <c r="L201" i="46" s="1"/>
  <c r="K184" i="46"/>
  <c r="L184" i="46" s="1"/>
  <c r="S184" i="46"/>
  <c r="T184" i="46" s="1"/>
  <c r="S187" i="46"/>
  <c r="T187" i="46" s="1"/>
  <c r="K187" i="46"/>
  <c r="L187" i="46" s="1"/>
  <c r="K190" i="46"/>
  <c r="L190" i="46" s="1"/>
  <c r="S190" i="46"/>
  <c r="T190" i="46" s="1"/>
  <c r="S196" i="46"/>
  <c r="T196" i="46" s="1"/>
  <c r="K196" i="46"/>
  <c r="L196" i="46" s="1"/>
  <c r="K212" i="46"/>
  <c r="L212" i="46" s="1"/>
  <c r="S212" i="46"/>
  <c r="T212" i="46" s="1"/>
  <c r="K217" i="46"/>
  <c r="L217" i="46" s="1"/>
  <c r="S217" i="46"/>
  <c r="T217" i="46" s="1"/>
  <c r="K222" i="46"/>
  <c r="L222" i="46" s="1"/>
  <c r="S222" i="46"/>
  <c r="T222" i="46" s="1"/>
  <c r="K227" i="46"/>
  <c r="L227" i="46" s="1"/>
  <c r="S227" i="46"/>
  <c r="T227" i="46" s="1"/>
  <c r="S229" i="46"/>
  <c r="T229" i="46" s="1"/>
  <c r="K229" i="46"/>
  <c r="L229" i="46" s="1"/>
  <c r="S234" i="46"/>
  <c r="T234" i="46" s="1"/>
  <c r="K234" i="46"/>
  <c r="L234" i="46" s="1"/>
  <c r="S244" i="46"/>
  <c r="T244" i="46" s="1"/>
  <c r="K244" i="46"/>
  <c r="L244" i="46" s="1"/>
  <c r="S179" i="47"/>
  <c r="T179" i="47" s="1"/>
  <c r="K179" i="47"/>
  <c r="L179" i="47" s="1"/>
  <c r="S185" i="47"/>
  <c r="T185" i="47" s="1"/>
  <c r="K185" i="47"/>
  <c r="L185" i="47" s="1"/>
  <c r="S211" i="47"/>
  <c r="T211" i="47" s="1"/>
  <c r="K211" i="47"/>
  <c r="L211" i="47" s="1"/>
  <c r="K216" i="47"/>
  <c r="L216" i="47" s="1"/>
  <c r="S216" i="47"/>
  <c r="T216" i="47" s="1"/>
  <c r="K223" i="47"/>
  <c r="L223" i="47" s="1"/>
  <c r="S223" i="47"/>
  <c r="T223" i="47" s="1"/>
  <c r="K231" i="47"/>
  <c r="L231" i="47" s="1"/>
  <c r="S231" i="47"/>
  <c r="T231" i="47" s="1"/>
  <c r="S234" i="47"/>
  <c r="T234" i="47" s="1"/>
  <c r="K234" i="47"/>
  <c r="L234" i="47" s="1"/>
  <c r="K192" i="46"/>
  <c r="L192" i="46" s="1"/>
  <c r="S192" i="46"/>
  <c r="T192" i="46" s="1"/>
  <c r="K199" i="46"/>
  <c r="L199" i="46" s="1"/>
  <c r="S199" i="46"/>
  <c r="T199" i="46" s="1"/>
  <c r="S202" i="46"/>
  <c r="T202" i="46" s="1"/>
  <c r="K202" i="46"/>
  <c r="L202" i="46" s="1"/>
  <c r="S204" i="46"/>
  <c r="T204" i="46" s="1"/>
  <c r="K204" i="46"/>
  <c r="L204" i="46" s="1"/>
  <c r="S209" i="46"/>
  <c r="T209" i="46" s="1"/>
  <c r="K209" i="46"/>
  <c r="L209" i="46" s="1"/>
  <c r="S224" i="46"/>
  <c r="T224" i="46" s="1"/>
  <c r="K224" i="46"/>
  <c r="L224" i="46" s="1"/>
  <c r="K231" i="46"/>
  <c r="L231" i="46" s="1"/>
  <c r="S231" i="46"/>
  <c r="T231" i="46" s="1"/>
  <c r="K236" i="46"/>
  <c r="L236" i="46" s="1"/>
  <c r="S236" i="46"/>
  <c r="T236" i="46" s="1"/>
  <c r="K241" i="46"/>
  <c r="L241" i="46" s="1"/>
  <c r="S241" i="46"/>
  <c r="T241" i="46" s="1"/>
  <c r="S192" i="47"/>
  <c r="T192" i="47" s="1"/>
  <c r="K192" i="47"/>
  <c r="L192" i="47" s="1"/>
  <c r="K194" i="47"/>
  <c r="L194" i="47" s="1"/>
  <c r="S194" i="47"/>
  <c r="T194" i="47" s="1"/>
  <c r="S201" i="47"/>
  <c r="T201" i="47" s="1"/>
  <c r="K201" i="47"/>
  <c r="L201" i="47" s="1"/>
  <c r="S203" i="47"/>
  <c r="T203" i="47" s="1"/>
  <c r="K203" i="47"/>
  <c r="L203" i="47" s="1"/>
  <c r="K208" i="47"/>
  <c r="L208" i="47" s="1"/>
  <c r="S208" i="47"/>
  <c r="T208" i="47" s="1"/>
  <c r="S213" i="47"/>
  <c r="T213" i="47" s="1"/>
  <c r="K213" i="47"/>
  <c r="L213" i="47" s="1"/>
  <c r="S218" i="47"/>
  <c r="T218" i="47" s="1"/>
  <c r="K218" i="47"/>
  <c r="L218" i="47" s="1"/>
  <c r="K228" i="47"/>
  <c r="L228" i="47" s="1"/>
  <c r="S228" i="47"/>
  <c r="T228" i="47" s="1"/>
  <c r="S242" i="47"/>
  <c r="T242" i="47" s="1"/>
  <c r="K242" i="47"/>
  <c r="L242" i="47" s="1"/>
  <c r="K247" i="47"/>
  <c r="L247" i="47" s="1"/>
  <c r="S247" i="47"/>
  <c r="T247" i="47" s="1"/>
  <c r="K250" i="47"/>
  <c r="L250" i="47" s="1"/>
  <c r="S250" i="47"/>
  <c r="T250" i="47" s="1"/>
  <c r="K179" i="46"/>
  <c r="L179" i="46" s="1"/>
  <c r="S179" i="46"/>
  <c r="T179" i="46" s="1"/>
  <c r="S181" i="46"/>
  <c r="T181" i="46" s="1"/>
  <c r="K181" i="46"/>
  <c r="L181" i="46" s="1"/>
  <c r="S186" i="46"/>
  <c r="T186" i="46" s="1"/>
  <c r="K186" i="46"/>
  <c r="L186" i="46" s="1"/>
  <c r="K206" i="46"/>
  <c r="L206" i="46" s="1"/>
  <c r="S206" i="46"/>
  <c r="T206" i="46" s="1"/>
  <c r="S214" i="46"/>
  <c r="T214" i="46" s="1"/>
  <c r="K214" i="46"/>
  <c r="L214" i="46" s="1"/>
  <c r="K216" i="46"/>
  <c r="L216" i="46" s="1"/>
  <c r="S216" i="46"/>
  <c r="T216" i="46" s="1"/>
  <c r="S219" i="46"/>
  <c r="T219" i="46" s="1"/>
  <c r="K219" i="46"/>
  <c r="L219" i="46" s="1"/>
  <c r="S238" i="46"/>
  <c r="T238" i="46" s="1"/>
  <c r="K238" i="46"/>
  <c r="L238" i="46" s="1"/>
  <c r="S246" i="46"/>
  <c r="T246" i="46" s="1"/>
  <c r="K246" i="46"/>
  <c r="L246" i="46" s="1"/>
  <c r="S249" i="46"/>
  <c r="T249" i="46" s="1"/>
  <c r="K249" i="46"/>
  <c r="L249" i="46" s="1"/>
  <c r="S181" i="47"/>
  <c r="T181" i="47" s="1"/>
  <c r="K181" i="47"/>
  <c r="L181" i="47" s="1"/>
  <c r="S184" i="47"/>
  <c r="T184" i="47" s="1"/>
  <c r="K184" i="47"/>
  <c r="L184" i="47" s="1"/>
  <c r="K187" i="47"/>
  <c r="L187" i="47" s="1"/>
  <c r="S187" i="47"/>
  <c r="T187" i="47" s="1"/>
  <c r="S189" i="47"/>
  <c r="T189" i="47" s="1"/>
  <c r="K189" i="47"/>
  <c r="L189" i="47" s="1"/>
  <c r="S196" i="47"/>
  <c r="T196" i="47" s="1"/>
  <c r="K196" i="47"/>
  <c r="L196" i="47" s="1"/>
  <c r="K198" i="47"/>
  <c r="L198" i="47" s="1"/>
  <c r="S198" i="47"/>
  <c r="T198" i="47" s="1"/>
  <c r="S205" i="47"/>
  <c r="T205" i="47" s="1"/>
  <c r="K205" i="47"/>
  <c r="L205" i="47" s="1"/>
  <c r="S215" i="47"/>
  <c r="T215" i="47" s="1"/>
  <c r="K215" i="47"/>
  <c r="L215" i="47" s="1"/>
  <c r="S220" i="47"/>
  <c r="T220" i="47" s="1"/>
  <c r="K220" i="47"/>
  <c r="L220" i="47" s="1"/>
  <c r="K225" i="47"/>
  <c r="L225" i="47" s="1"/>
  <c r="S225" i="47"/>
  <c r="T225" i="47" s="1"/>
  <c r="K236" i="47"/>
  <c r="L236" i="47" s="1"/>
  <c r="S236" i="47"/>
  <c r="T236" i="47" s="1"/>
  <c r="S178" i="47"/>
  <c r="T178" i="47" s="1"/>
  <c r="K191" i="47"/>
  <c r="L191" i="47" s="1"/>
  <c r="S191" i="47"/>
  <c r="T191" i="47" s="1"/>
  <c r="K210" i="47"/>
  <c r="L210" i="47" s="1"/>
  <c r="S210" i="47"/>
  <c r="T210" i="47" s="1"/>
  <c r="K222" i="47"/>
  <c r="L222" i="47" s="1"/>
  <c r="S222" i="47"/>
  <c r="T222" i="47" s="1"/>
  <c r="S227" i="47"/>
  <c r="T227" i="47" s="1"/>
  <c r="K227" i="47"/>
  <c r="L227" i="47" s="1"/>
  <c r="S233" i="47"/>
  <c r="T233" i="47" s="1"/>
  <c r="K233" i="47"/>
  <c r="L233" i="47" s="1"/>
  <c r="S246" i="47"/>
  <c r="T246" i="47" s="1"/>
  <c r="K246" i="47"/>
  <c r="L246" i="47" s="1"/>
  <c r="K248" i="47"/>
  <c r="L248" i="47" s="1"/>
  <c r="S248" i="47"/>
  <c r="T248" i="47" s="1"/>
  <c r="S239" i="47"/>
  <c r="T239" i="47" s="1"/>
  <c r="K239" i="47"/>
  <c r="L239" i="47" s="1"/>
  <c r="S245" i="47"/>
  <c r="T245" i="47" s="1"/>
  <c r="K245" i="47"/>
  <c r="L245" i="47" s="1"/>
  <c r="F143" i="46"/>
  <c r="AR143" i="46" s="1" a="1"/>
  <c r="AR143" i="46" s="1"/>
  <c r="G142" i="46"/>
  <c r="F135" i="46"/>
  <c r="G134" i="46"/>
  <c r="F127" i="46"/>
  <c r="AR127" i="46" s="1" a="1"/>
  <c r="AR127" i="46" s="1"/>
  <c r="G126" i="46"/>
  <c r="F119" i="46"/>
  <c r="AR119" i="46" s="1" a="1"/>
  <c r="AR119" i="46" s="1"/>
  <c r="G118" i="46"/>
  <c r="F111" i="46"/>
  <c r="AR111" i="46" s="1" a="1"/>
  <c r="AR111" i="46" s="1"/>
  <c r="G110" i="46"/>
  <c r="F103" i="46"/>
  <c r="AR103" i="46" s="1" a="1"/>
  <c r="AR103" i="46" s="1"/>
  <c r="G102" i="46"/>
  <c r="F141" i="46"/>
  <c r="AR141" i="46" s="1" a="1"/>
  <c r="AR141" i="46" s="1"/>
  <c r="G140" i="46"/>
  <c r="F133" i="46"/>
  <c r="AR133" i="46" s="1" a="1"/>
  <c r="AR133" i="46" s="1"/>
  <c r="G132" i="46"/>
  <c r="F125" i="46"/>
  <c r="AR125" i="46" s="1" a="1"/>
  <c r="AR125" i="46" s="1"/>
  <c r="G124" i="46"/>
  <c r="F117" i="46"/>
  <c r="AR117" i="46" s="1" a="1"/>
  <c r="AR117" i="46" s="1"/>
  <c r="G116" i="46"/>
  <c r="F109" i="46"/>
  <c r="AR109" i="46" s="1" a="1"/>
  <c r="AR109" i="46" s="1"/>
  <c r="G108" i="46"/>
  <c r="F101" i="46"/>
  <c r="AR101" i="46" s="1" a="1"/>
  <c r="AR101" i="46" s="1"/>
  <c r="G100" i="46"/>
  <c r="F140" i="46"/>
  <c r="AR140" i="46" s="1" a="1"/>
  <c r="AR140" i="46" s="1"/>
  <c r="G139" i="46"/>
  <c r="F132" i="46"/>
  <c r="G131" i="46"/>
  <c r="F124" i="46"/>
  <c r="AR124" i="46" s="1" a="1"/>
  <c r="AR124" i="46" s="1"/>
  <c r="G123" i="46"/>
  <c r="F116" i="46"/>
  <c r="AR116" i="46" s="1" a="1"/>
  <c r="AR116" i="46" s="1"/>
  <c r="G115" i="46"/>
  <c r="F108" i="46"/>
  <c r="AR108" i="46" s="1" a="1"/>
  <c r="AR108" i="46" s="1"/>
  <c r="G107" i="46"/>
  <c r="F100" i="46"/>
  <c r="F139" i="46"/>
  <c r="AR139" i="46" s="1" a="1"/>
  <c r="AR139" i="46" s="1"/>
  <c r="G138" i="46"/>
  <c r="F131" i="46"/>
  <c r="AR131" i="46" s="1" a="1"/>
  <c r="AR131" i="46" s="1"/>
  <c r="G130" i="46"/>
  <c r="F123" i="46"/>
  <c r="AR123" i="46" s="1" a="1"/>
  <c r="AR123" i="46" s="1"/>
  <c r="G122" i="46"/>
  <c r="F115" i="46"/>
  <c r="AR115" i="46" s="1" a="1"/>
  <c r="AR115" i="46" s="1"/>
  <c r="G114" i="46"/>
  <c r="F107" i="46"/>
  <c r="AR107" i="46" s="1" a="1"/>
  <c r="AR107" i="46" s="1"/>
  <c r="G106" i="46"/>
  <c r="G137" i="46"/>
  <c r="G121" i="46"/>
  <c r="G105" i="46"/>
  <c r="G99" i="46"/>
  <c r="F92" i="46"/>
  <c r="G91" i="46"/>
  <c r="F87" i="46"/>
  <c r="AR87" i="46" s="1" a="1"/>
  <c r="AR87" i="46" s="1"/>
  <c r="G86" i="46"/>
  <c r="F158" i="46"/>
  <c r="AR158" i="46" s="1" a="1"/>
  <c r="AR158" i="46" s="1"/>
  <c r="G177" i="46"/>
  <c r="F154" i="46"/>
  <c r="AR154" i="46" s="1" a="1"/>
  <c r="AR154" i="46" s="1"/>
  <c r="G166" i="46"/>
  <c r="F152" i="46"/>
  <c r="AR152" i="46" s="1" a="1"/>
  <c r="AR152" i="46" s="1"/>
  <c r="G151" i="46"/>
  <c r="F68" i="46"/>
  <c r="AR68" i="46" s="1" a="1"/>
  <c r="AR68" i="46" s="1"/>
  <c r="G67" i="46"/>
  <c r="F61" i="46"/>
  <c r="G60" i="46"/>
  <c r="F53" i="46"/>
  <c r="AR53" i="46" s="1" a="1"/>
  <c r="AR53" i="46" s="1"/>
  <c r="G52" i="46"/>
  <c r="F81" i="46"/>
  <c r="AR81" i="46" s="1" a="1"/>
  <c r="AR81" i="46" s="1"/>
  <c r="G80" i="46"/>
  <c r="F41" i="46"/>
  <c r="AR41" i="46" s="1" a="1"/>
  <c r="AR41" i="46" s="1"/>
  <c r="G174" i="46"/>
  <c r="F28" i="46"/>
  <c r="AR28" i="46" s="1" a="1"/>
  <c r="AR28" i="46" s="1"/>
  <c r="G27" i="46"/>
  <c r="F35" i="46"/>
  <c r="AR35" i="46" s="1" a="1"/>
  <c r="AR35" i="46" s="1"/>
  <c r="G26" i="46"/>
  <c r="G19" i="46"/>
  <c r="F170" i="46"/>
  <c r="AR170" i="46" s="1" a="1"/>
  <c r="AR170" i="46" s="1"/>
  <c r="G15" i="46"/>
  <c r="F138" i="46"/>
  <c r="AR138" i="46" s="1" a="1"/>
  <c r="AR138" i="46" s="1"/>
  <c r="F137" i="46"/>
  <c r="AR137" i="46" s="1" a="1"/>
  <c r="AR137" i="46" s="1"/>
  <c r="G136" i="46"/>
  <c r="G133" i="46"/>
  <c r="F122" i="46"/>
  <c r="AR122" i="46" s="1" a="1"/>
  <c r="AR122" i="46" s="1"/>
  <c r="F121" i="46"/>
  <c r="AR121" i="46" s="1" a="1"/>
  <c r="AR121" i="46" s="1"/>
  <c r="G117" i="46"/>
  <c r="G98" i="46"/>
  <c r="G85" i="46"/>
  <c r="G176" i="46"/>
  <c r="G59" i="46"/>
  <c r="F52" i="46"/>
  <c r="AR52" i="46" s="1" a="1"/>
  <c r="AR52" i="46" s="1"/>
  <c r="G51" i="46"/>
  <c r="F80" i="46"/>
  <c r="AR80" i="46" s="1" a="1"/>
  <c r="AR80" i="46" s="1"/>
  <c r="G79" i="46"/>
  <c r="G173" i="46"/>
  <c r="F27" i="46"/>
  <c r="AR27" i="46" s="1" a="1"/>
  <c r="AR27" i="46" s="1"/>
  <c r="G40" i="46"/>
  <c r="G25" i="46"/>
  <c r="F15" i="46"/>
  <c r="AR15" i="46" s="1" a="1"/>
  <c r="AR15" i="46" s="1"/>
  <c r="G120" i="46"/>
  <c r="F106" i="46"/>
  <c r="F105" i="46"/>
  <c r="G104" i="46"/>
  <c r="G101" i="46"/>
  <c r="F99" i="46"/>
  <c r="AR99" i="46" s="1" a="1"/>
  <c r="AR99" i="46" s="1"/>
  <c r="F91" i="46"/>
  <c r="AR91" i="46" s="1" a="1"/>
  <c r="AR91" i="46" s="1"/>
  <c r="G90" i="46"/>
  <c r="F86" i="46"/>
  <c r="AR86" i="46" s="1" a="1"/>
  <c r="AR86" i="46" s="1"/>
  <c r="F177" i="46"/>
  <c r="AR177" i="46" s="1" a="1"/>
  <c r="AR177" i="46" s="1"/>
  <c r="F166" i="46"/>
  <c r="G165" i="46"/>
  <c r="F151" i="46"/>
  <c r="AR151" i="46" s="1" a="1"/>
  <c r="AR151" i="46" s="1"/>
  <c r="G34" i="46"/>
  <c r="F67" i="46"/>
  <c r="AR67" i="46" s="1" a="1"/>
  <c r="AR67" i="46" s="1"/>
  <c r="G66" i="46"/>
  <c r="F60" i="46"/>
  <c r="AR60" i="46" s="1" a="1"/>
  <c r="AR60" i="46" s="1"/>
  <c r="F174" i="46"/>
  <c r="AR174" i="46" s="1" a="1"/>
  <c r="AR174" i="46" s="1"/>
  <c r="F26" i="46"/>
  <c r="AR26" i="46" s="1" a="1"/>
  <c r="AR26" i="46" s="1"/>
  <c r="F19" i="46"/>
  <c r="AR19" i="46" s="1" a="1"/>
  <c r="AR19" i="46" s="1"/>
  <c r="G172" i="46"/>
  <c r="F136" i="46"/>
  <c r="AR136" i="46" s="1" a="1"/>
  <c r="AR136" i="46" s="1"/>
  <c r="G135" i="46"/>
  <c r="F134" i="46"/>
  <c r="AR134" i="46" s="1" a="1"/>
  <c r="AR134" i="46" s="1"/>
  <c r="F120" i="46"/>
  <c r="AR120" i="46" s="1" a="1"/>
  <c r="AR120" i="46" s="1"/>
  <c r="G119" i="46"/>
  <c r="F118" i="46"/>
  <c r="AR118" i="46" s="1" a="1"/>
  <c r="AR118" i="46" s="1"/>
  <c r="F104" i="46"/>
  <c r="AR104" i="46" s="1" a="1"/>
  <c r="AR104" i="46" s="1"/>
  <c r="G103" i="46"/>
  <c r="F102" i="46"/>
  <c r="AR102" i="46" s="1" a="1"/>
  <c r="AR102" i="46" s="1"/>
  <c r="F98" i="46"/>
  <c r="AR98" i="46" s="1" a="1"/>
  <c r="AR98" i="46" s="1"/>
  <c r="G97" i="46"/>
  <c r="F90" i="46"/>
  <c r="AR90" i="46" s="1" a="1"/>
  <c r="AR90" i="46" s="1"/>
  <c r="G89" i="46"/>
  <c r="F85" i="46"/>
  <c r="AR85" i="46" s="1" a="1"/>
  <c r="AR85" i="46" s="1"/>
  <c r="G84" i="46"/>
  <c r="F176" i="46"/>
  <c r="G175" i="46"/>
  <c r="F165" i="46"/>
  <c r="AR165" i="46" s="1" a="1"/>
  <c r="AR165" i="46" s="1"/>
  <c r="G164" i="46"/>
  <c r="F34" i="46"/>
  <c r="AR34" i="46" s="1" a="1"/>
  <c r="AR34" i="46" s="1"/>
  <c r="G33" i="46"/>
  <c r="F66" i="46"/>
  <c r="AR66" i="46" s="1" a="1"/>
  <c r="AR66" i="46" s="1"/>
  <c r="G65" i="46"/>
  <c r="F59" i="46"/>
  <c r="G58" i="46"/>
  <c r="F51" i="46"/>
  <c r="AR51" i="46" s="1" a="1"/>
  <c r="AR51" i="46" s="1"/>
  <c r="G50" i="46"/>
  <c r="F97" i="46"/>
  <c r="AR97" i="46" s="1" a="1"/>
  <c r="AR97" i="46" s="1"/>
  <c r="G96" i="46"/>
  <c r="F89" i="46"/>
  <c r="G169" i="46"/>
  <c r="F84" i="46"/>
  <c r="AR84" i="46" s="1" a="1"/>
  <c r="AR84" i="46" s="1"/>
  <c r="F175" i="46"/>
  <c r="AR175" i="46" s="1" a="1"/>
  <c r="AR175" i="46" s="1"/>
  <c r="G157" i="46"/>
  <c r="F164" i="46"/>
  <c r="AR164" i="46" s="1" a="1"/>
  <c r="AR164" i="46" s="1"/>
  <c r="G163" i="46"/>
  <c r="F33" i="46"/>
  <c r="AR33" i="46" s="1" a="1"/>
  <c r="AR33" i="46" s="1"/>
  <c r="G72" i="46"/>
  <c r="F65" i="46"/>
  <c r="G64" i="46"/>
  <c r="F58" i="46"/>
  <c r="AR58" i="46" s="1" a="1"/>
  <c r="AR58" i="46" s="1"/>
  <c r="G57" i="46"/>
  <c r="F50" i="46"/>
  <c r="AR50" i="46" s="1" a="1"/>
  <c r="AR50" i="46" s="1"/>
  <c r="G49" i="46"/>
  <c r="F46" i="46"/>
  <c r="AR46" i="46" s="1" a="1"/>
  <c r="AR46" i="46" s="1"/>
  <c r="G45" i="46"/>
  <c r="F160" i="46"/>
  <c r="AR160" i="46" s="1" a="1"/>
  <c r="AR160" i="46" s="1"/>
  <c r="G159" i="46"/>
  <c r="F39" i="46"/>
  <c r="AR39" i="46" s="1" a="1"/>
  <c r="AR39" i="46" s="1"/>
  <c r="G38" i="46"/>
  <c r="F24" i="46"/>
  <c r="AR24" i="46" s="1" a="1"/>
  <c r="AR24" i="46" s="1"/>
  <c r="G78" i="46"/>
  <c r="F18" i="46"/>
  <c r="G23" i="46"/>
  <c r="F76" i="46"/>
  <c r="AR76" i="46" s="1" a="1"/>
  <c r="AR76" i="46" s="1"/>
  <c r="G75" i="46"/>
  <c r="G154" i="46"/>
  <c r="G68" i="46"/>
  <c r="G41" i="46"/>
  <c r="F20" i="46"/>
  <c r="AR20" i="46" s="1" a="1"/>
  <c r="AR20" i="46" s="1"/>
  <c r="G144" i="46"/>
  <c r="G129" i="46"/>
  <c r="G113" i="46"/>
  <c r="F96" i="46"/>
  <c r="G95" i="46"/>
  <c r="F169" i="46"/>
  <c r="G168" i="46"/>
  <c r="G83" i="46"/>
  <c r="F157" i="46"/>
  <c r="AR157" i="46" s="1" a="1"/>
  <c r="AR157" i="46" s="1"/>
  <c r="G156" i="46"/>
  <c r="F163" i="46"/>
  <c r="AR163" i="46" s="1" a="1"/>
  <c r="AR163" i="46" s="1"/>
  <c r="G162" i="46"/>
  <c r="F72" i="46"/>
  <c r="AR72" i="46" s="1" a="1"/>
  <c r="AR72" i="46" s="1"/>
  <c r="G71" i="46"/>
  <c r="F64" i="46"/>
  <c r="AR64" i="46" s="1" a="1"/>
  <c r="AR64" i="46" s="1"/>
  <c r="G63" i="46"/>
  <c r="F57" i="46"/>
  <c r="AR57" i="46" s="1" a="1"/>
  <c r="AR57" i="46" s="1"/>
  <c r="G56" i="46"/>
  <c r="F49" i="46"/>
  <c r="G48" i="46"/>
  <c r="F45" i="46"/>
  <c r="AR45" i="46" s="1" a="1"/>
  <c r="AR45" i="46" s="1"/>
  <c r="G44" i="46"/>
  <c r="F159" i="46"/>
  <c r="AR159" i="46" s="1" a="1"/>
  <c r="AR159" i="46" s="1"/>
  <c r="G31" i="46"/>
  <c r="F38" i="46"/>
  <c r="AR38" i="46" s="1" a="1"/>
  <c r="AR38" i="46" s="1"/>
  <c r="G37" i="46"/>
  <c r="F78" i="46"/>
  <c r="AR78" i="46" s="1" a="1"/>
  <c r="AR78" i="46" s="1"/>
  <c r="G77" i="46"/>
  <c r="F23" i="46"/>
  <c r="AR23" i="46" s="1" a="1"/>
  <c r="AR23" i="46" s="1"/>
  <c r="G17" i="46"/>
  <c r="F75" i="46"/>
  <c r="AR75" i="46" s="1" a="1"/>
  <c r="AR75" i="46" s="1"/>
  <c r="G74" i="46"/>
  <c r="F155" i="46"/>
  <c r="AR155" i="46" s="1" a="1"/>
  <c r="AR155" i="46" s="1"/>
  <c r="G152" i="46"/>
  <c r="F69" i="46"/>
  <c r="F32" i="46"/>
  <c r="AR32" i="46" s="1" a="1"/>
  <c r="AR32" i="46" s="1"/>
  <c r="F29" i="46"/>
  <c r="AR29" i="46" s="1" a="1"/>
  <c r="AR29" i="46" s="1"/>
  <c r="F36" i="46"/>
  <c r="AR36" i="46" s="1" a="1"/>
  <c r="AR36" i="46" s="1"/>
  <c r="G170" i="46"/>
  <c r="F150" i="46"/>
  <c r="AR150" i="46" s="1" a="1"/>
  <c r="AR150" i="46" s="1"/>
  <c r="F144" i="46"/>
  <c r="G141" i="46"/>
  <c r="F130" i="46"/>
  <c r="AR130" i="46" s="1" a="1"/>
  <c r="AR130" i="46" s="1"/>
  <c r="F129" i="46"/>
  <c r="AR129" i="46" s="1" a="1"/>
  <c r="AR129" i="46" s="1"/>
  <c r="G128" i="46"/>
  <c r="G125" i="46"/>
  <c r="F114" i="46"/>
  <c r="AR114" i="46" s="1" a="1"/>
  <c r="AR114" i="46" s="1"/>
  <c r="F113" i="46"/>
  <c r="AR113" i="46" s="1" a="1"/>
  <c r="AR113" i="46" s="1"/>
  <c r="G112" i="46"/>
  <c r="G109" i="46"/>
  <c r="F95" i="46"/>
  <c r="AR95" i="46" s="1" a="1"/>
  <c r="AR95" i="46" s="1"/>
  <c r="G94" i="46"/>
  <c r="F168" i="46"/>
  <c r="AR168" i="46" s="1" a="1"/>
  <c r="AR168" i="46" s="1"/>
  <c r="G167" i="46"/>
  <c r="F83" i="46"/>
  <c r="AR83" i="46" s="1" a="1"/>
  <c r="AR83" i="46" s="1"/>
  <c r="G22" i="46"/>
  <c r="F156" i="46"/>
  <c r="AR156" i="46" s="1" a="1"/>
  <c r="AR156" i="46" s="1"/>
  <c r="F162" i="46"/>
  <c r="AR162" i="46" s="1" a="1"/>
  <c r="AR162" i="46" s="1"/>
  <c r="G161" i="46"/>
  <c r="F71" i="46"/>
  <c r="AR71" i="46" s="1" a="1"/>
  <c r="AR71" i="46" s="1"/>
  <c r="G70" i="46"/>
  <c r="F63" i="46"/>
  <c r="AR63" i="46" s="1" a="1"/>
  <c r="AR63" i="46" s="1"/>
  <c r="G62" i="46"/>
  <c r="F56" i="46"/>
  <c r="AR56" i="46" s="1" a="1"/>
  <c r="AR56" i="46" s="1"/>
  <c r="G55" i="46"/>
  <c r="F48" i="46"/>
  <c r="AR48" i="46" s="1" a="1"/>
  <c r="AR48" i="46" s="1"/>
  <c r="G47" i="46"/>
  <c r="F44" i="46"/>
  <c r="AR44" i="46" s="1" a="1"/>
  <c r="AR44" i="46" s="1"/>
  <c r="G43" i="46"/>
  <c r="F31" i="46"/>
  <c r="AR31" i="46" s="1" a="1"/>
  <c r="AR31" i="46" s="1"/>
  <c r="G30" i="46"/>
  <c r="F37" i="46"/>
  <c r="AR37" i="46" s="1" a="1"/>
  <c r="AR37" i="46" s="1"/>
  <c r="F77" i="46"/>
  <c r="AR77" i="46" s="1" a="1"/>
  <c r="AR77" i="46" s="1"/>
  <c r="G21" i="46"/>
  <c r="F17" i="46"/>
  <c r="AR17" i="46" s="1" a="1"/>
  <c r="AR17" i="46" s="1"/>
  <c r="G171" i="46"/>
  <c r="F74" i="46"/>
  <c r="AR74" i="46" s="1" a="1"/>
  <c r="AR74" i="46" s="1"/>
  <c r="G73" i="46"/>
  <c r="G92" i="46"/>
  <c r="F88" i="46"/>
  <c r="AR88" i="46" s="1" a="1"/>
  <c r="AR88" i="46" s="1"/>
  <c r="G87" i="46"/>
  <c r="G158" i="46"/>
  <c r="F153" i="46"/>
  <c r="AR153" i="46" s="1" a="1"/>
  <c r="AR153" i="46" s="1"/>
  <c r="F54" i="46"/>
  <c r="AR54" i="46" s="1" a="1"/>
  <c r="AR54" i="46" s="1"/>
  <c r="F82" i="46"/>
  <c r="AR82" i="46" s="1" a="1"/>
  <c r="AR82" i="46" s="1"/>
  <c r="F42" i="46"/>
  <c r="AR42" i="46" s="1" a="1"/>
  <c r="AR42" i="46" s="1"/>
  <c r="G28" i="46"/>
  <c r="G35" i="46"/>
  <c r="F16" i="46"/>
  <c r="G143" i="46"/>
  <c r="F142" i="46"/>
  <c r="F128" i="46"/>
  <c r="AR128" i="46" s="1" a="1"/>
  <c r="AR128" i="46" s="1"/>
  <c r="G127" i="46"/>
  <c r="F126" i="46"/>
  <c r="AR126" i="46" s="1" a="1"/>
  <c r="AR126" i="46" s="1"/>
  <c r="F112" i="46"/>
  <c r="AR112" i="46" s="1" a="1"/>
  <c r="AR112" i="46" s="1"/>
  <c r="G111" i="46"/>
  <c r="F110" i="46"/>
  <c r="AR110" i="46" s="1" a="1"/>
  <c r="AR110" i="46" s="1"/>
  <c r="F94" i="46"/>
  <c r="AR94" i="46" s="1" a="1"/>
  <c r="AR94" i="46" s="1"/>
  <c r="G93" i="46"/>
  <c r="F167" i="46"/>
  <c r="AR167" i="46" s="1" a="1"/>
  <c r="AR167" i="46" s="1"/>
  <c r="G88" i="46"/>
  <c r="F22" i="46"/>
  <c r="AR22" i="46" s="1" a="1"/>
  <c r="AR22" i="46" s="1"/>
  <c r="G155" i="46"/>
  <c r="F161" i="46"/>
  <c r="AR161" i="46" s="1" a="1"/>
  <c r="AR161" i="46" s="1"/>
  <c r="G153" i="46"/>
  <c r="F70" i="46"/>
  <c r="G69" i="46"/>
  <c r="F62" i="46"/>
  <c r="G32" i="46"/>
  <c r="F55" i="46"/>
  <c r="AR55" i="46" s="1" a="1"/>
  <c r="AR55" i="46" s="1"/>
  <c r="G54" i="46"/>
  <c r="F47" i="46"/>
  <c r="AR47" i="46" s="1" a="1"/>
  <c r="AR47" i="46" s="1"/>
  <c r="G82" i="46"/>
  <c r="F43" i="46"/>
  <c r="AR43" i="46" s="1" a="1"/>
  <c r="AR43" i="46" s="1"/>
  <c r="G42" i="46"/>
  <c r="F30" i="46"/>
  <c r="AR30" i="46" s="1" a="1"/>
  <c r="AR30" i="46" s="1"/>
  <c r="G29" i="46"/>
  <c r="G36" i="46"/>
  <c r="F21" i="46"/>
  <c r="AR21" i="46" s="1" a="1"/>
  <c r="AR21" i="46" s="1"/>
  <c r="G20" i="46"/>
  <c r="F171" i="46"/>
  <c r="G16" i="46"/>
  <c r="F73" i="46"/>
  <c r="AR73" i="46" s="1" a="1"/>
  <c r="AR73" i="46" s="1"/>
  <c r="G150" i="46"/>
  <c r="G81" i="46"/>
  <c r="G53" i="46"/>
  <c r="G61" i="46"/>
  <c r="F93" i="46"/>
  <c r="AR93" i="46" s="1" a="1"/>
  <c r="AR93" i="46" s="1"/>
  <c r="F141" i="47"/>
  <c r="AR141" i="47" s="1" a="1"/>
  <c r="AR141" i="47" s="1"/>
  <c r="F134" i="47"/>
  <c r="AR134" i="47" s="1" a="1"/>
  <c r="AR134" i="47" s="1"/>
  <c r="G133" i="47"/>
  <c r="G127" i="47"/>
  <c r="F121" i="47"/>
  <c r="AR121" i="47" s="1" a="1"/>
  <c r="AR121" i="47" s="1"/>
  <c r="G120" i="47"/>
  <c r="F115" i="47"/>
  <c r="AR115" i="47" s="1" a="1"/>
  <c r="AR115" i="47" s="1"/>
  <c r="G114" i="47"/>
  <c r="F107" i="47"/>
  <c r="AR107" i="47" s="1" a="1"/>
  <c r="AR107" i="47" s="1"/>
  <c r="G106" i="47"/>
  <c r="F99" i="47"/>
  <c r="G98" i="47"/>
  <c r="F92" i="47"/>
  <c r="AR92" i="47" s="1" a="1"/>
  <c r="AR92" i="47" s="1"/>
  <c r="G91" i="47"/>
  <c r="F88" i="47"/>
  <c r="AR88" i="47" s="1" a="1"/>
  <c r="AR88" i="47" s="1"/>
  <c r="G87" i="47"/>
  <c r="F177" i="47"/>
  <c r="AR177" i="47" s="1" a="1"/>
  <c r="AR177" i="47" s="1"/>
  <c r="G176" i="47"/>
  <c r="F165" i="47"/>
  <c r="AR165" i="47" s="1" a="1"/>
  <c r="AR165" i="47" s="1"/>
  <c r="G164" i="47"/>
  <c r="F151" i="47"/>
  <c r="AR151" i="47" s="1" a="1"/>
  <c r="AR151" i="47" s="1"/>
  <c r="G34" i="47"/>
  <c r="F68" i="47"/>
  <c r="AR68" i="47" s="1" a="1"/>
  <c r="AR68" i="47" s="1"/>
  <c r="G67" i="47"/>
  <c r="G61" i="47"/>
  <c r="F54" i="47"/>
  <c r="AR54" i="47" s="1" a="1"/>
  <c r="AR54" i="47" s="1"/>
  <c r="G53" i="47"/>
  <c r="G47" i="47"/>
  <c r="F44" i="47"/>
  <c r="AR44" i="47" s="1" a="1"/>
  <c r="AR44" i="47" s="1"/>
  <c r="G43" i="47"/>
  <c r="F31" i="47"/>
  <c r="AR31" i="47" s="1" a="1"/>
  <c r="AR31" i="47" s="1"/>
  <c r="G30" i="47"/>
  <c r="F37" i="47"/>
  <c r="AR37" i="47" s="1" a="1"/>
  <c r="AR37" i="47" s="1"/>
  <c r="G36" i="47"/>
  <c r="F77" i="47"/>
  <c r="G21" i="47"/>
  <c r="F171" i="47"/>
  <c r="AR171" i="47" s="1" a="1"/>
  <c r="AR171" i="47" s="1"/>
  <c r="G16" i="47"/>
  <c r="F73" i="47"/>
  <c r="AR73" i="47" s="1" a="1"/>
  <c r="AR73" i="47" s="1"/>
  <c r="G150" i="47"/>
  <c r="AV231" i="46"/>
  <c r="G74" i="47"/>
  <c r="F75" i="47"/>
  <c r="G17" i="47"/>
  <c r="F23" i="47"/>
  <c r="AR23" i="47" s="1" a="1"/>
  <c r="AR23" i="47" s="1"/>
  <c r="G78" i="47"/>
  <c r="F24" i="47"/>
  <c r="AR24" i="47" s="1" a="1"/>
  <c r="AR24" i="47" s="1"/>
  <c r="G38" i="47"/>
  <c r="F39" i="47"/>
  <c r="AR39" i="47" s="1" a="1"/>
  <c r="AR39" i="47" s="1"/>
  <c r="G159" i="47"/>
  <c r="F160" i="47"/>
  <c r="G45" i="47"/>
  <c r="F46" i="47"/>
  <c r="AR46" i="47" s="1" a="1"/>
  <c r="AR46" i="47" s="1"/>
  <c r="G48" i="47"/>
  <c r="F49" i="47"/>
  <c r="AR49" i="47" s="1" a="1"/>
  <c r="AR49" i="47" s="1"/>
  <c r="G55" i="47"/>
  <c r="F56" i="47"/>
  <c r="AR56" i="47" s="1" a="1"/>
  <c r="AR56" i="47" s="1"/>
  <c r="G32" i="47"/>
  <c r="F62" i="47"/>
  <c r="G69" i="47"/>
  <c r="F70" i="47"/>
  <c r="AR70" i="47" s="1" a="1"/>
  <c r="AR70" i="47" s="1"/>
  <c r="G152" i="47"/>
  <c r="G166" i="47"/>
  <c r="F154" i="47"/>
  <c r="AR154" i="47" s="1" a="1"/>
  <c r="AR154" i="47" s="1"/>
  <c r="G158" i="47"/>
  <c r="F22" i="47"/>
  <c r="G167" i="47"/>
  <c r="F168" i="47"/>
  <c r="F93" i="47"/>
  <c r="AR93" i="47" s="1" a="1"/>
  <c r="AR93" i="47" s="1"/>
  <c r="G100" i="47"/>
  <c r="F101" i="47"/>
  <c r="AR101" i="47" s="1" a="1"/>
  <c r="AR101" i="47" s="1"/>
  <c r="G108" i="47"/>
  <c r="F109" i="47"/>
  <c r="AR109" i="47" s="1" a="1"/>
  <c r="AR109" i="47" s="1"/>
  <c r="G116" i="47"/>
  <c r="F117" i="47"/>
  <c r="G122" i="47"/>
  <c r="F123" i="47"/>
  <c r="AR123" i="47" s="1" a="1"/>
  <c r="AR123" i="47" s="1"/>
  <c r="G128" i="47"/>
  <c r="F129" i="47"/>
  <c r="AR129" i="47" s="1" a="1"/>
  <c r="AR129" i="47" s="1"/>
  <c r="G135" i="47"/>
  <c r="F136" i="47"/>
  <c r="AR136" i="47" s="1" a="1"/>
  <c r="AR136" i="47" s="1"/>
  <c r="G142" i="47"/>
  <c r="F143" i="47"/>
  <c r="G75" i="47"/>
  <c r="F76" i="47"/>
  <c r="AR76" i="47" s="1" a="1"/>
  <c r="AR76" i="47" s="1"/>
  <c r="G23" i="47"/>
  <c r="F18" i="47"/>
  <c r="AR18" i="47" s="1" a="1"/>
  <c r="AR18" i="47" s="1"/>
  <c r="G24" i="47"/>
  <c r="F25" i="47"/>
  <c r="AR25" i="47" s="1" a="1"/>
  <c r="AR25" i="47" s="1"/>
  <c r="G39" i="47"/>
  <c r="F40" i="47"/>
  <c r="G160" i="47"/>
  <c r="F173" i="47"/>
  <c r="AR173" i="47" s="1" a="1"/>
  <c r="AR173" i="47" s="1"/>
  <c r="G46" i="47"/>
  <c r="F79" i="47"/>
  <c r="AR79" i="47" s="1" a="1"/>
  <c r="AR79" i="47" s="1"/>
  <c r="G49" i="47"/>
  <c r="F50" i="47"/>
  <c r="AR50" i="47" s="1" a="1"/>
  <c r="AR50" i="47" s="1"/>
  <c r="G56" i="47"/>
  <c r="F57" i="47"/>
  <c r="G62" i="47"/>
  <c r="F63" i="47"/>
  <c r="AR63" i="47" s="1" a="1"/>
  <c r="AR63" i="47" s="1"/>
  <c r="G70" i="47"/>
  <c r="F71" i="47"/>
  <c r="AR71" i="47" s="1" a="1"/>
  <c r="AR71" i="47" s="1"/>
  <c r="F153" i="47"/>
  <c r="AR153" i="47" s="1" a="1"/>
  <c r="AR153" i="47" s="1"/>
  <c r="G154" i="47"/>
  <c r="F155" i="47"/>
  <c r="G22" i="47"/>
  <c r="F83" i="47"/>
  <c r="AR83" i="47" s="1" a="1"/>
  <c r="AR83" i="47" s="1"/>
  <c r="G168" i="47"/>
  <c r="G93" i="47"/>
  <c r="F94" i="47"/>
  <c r="AR94" i="47" s="1" a="1"/>
  <c r="AR94" i="47" s="1"/>
  <c r="G101" i="47"/>
  <c r="F102" i="47"/>
  <c r="AR102" i="47" s="1" a="1"/>
  <c r="AR102" i="47" s="1"/>
  <c r="G109" i="47"/>
  <c r="F110" i="47"/>
  <c r="AR110" i="47" s="1" a="1"/>
  <c r="AR110" i="47" s="1"/>
  <c r="G117" i="47"/>
  <c r="F118" i="47"/>
  <c r="AR118" i="47" s="1" a="1"/>
  <c r="AR118" i="47" s="1"/>
  <c r="G123" i="47"/>
  <c r="F124" i="47"/>
  <c r="AR124" i="47" s="1" a="1"/>
  <c r="AR124" i="47" s="1"/>
  <c r="G129" i="47"/>
  <c r="F130" i="47"/>
  <c r="G136" i="47"/>
  <c r="F137" i="47"/>
  <c r="G143" i="47"/>
  <c r="F144" i="47"/>
  <c r="AR144" i="47" s="1" a="1"/>
  <c r="AR144" i="47" s="1"/>
  <c r="G76" i="47"/>
  <c r="F14" i="47"/>
  <c r="AR14" i="47" s="1" a="1"/>
  <c r="AR14" i="47" s="1"/>
  <c r="G18" i="47"/>
  <c r="F172" i="47"/>
  <c r="G25" i="47"/>
  <c r="F26" i="47"/>
  <c r="AR26" i="47" s="1" a="1"/>
  <c r="AR26" i="47" s="1"/>
  <c r="G40" i="47"/>
  <c r="F27" i="47"/>
  <c r="AR27" i="47" s="1" a="1"/>
  <c r="AR27" i="47" s="1"/>
  <c r="G173" i="47"/>
  <c r="F174" i="47"/>
  <c r="AR174" i="47" s="1" a="1"/>
  <c r="AR174" i="47" s="1"/>
  <c r="G79" i="47"/>
  <c r="F80" i="47"/>
  <c r="AR80" i="47" s="1" a="1"/>
  <c r="AR80" i="47" s="1"/>
  <c r="G50" i="47"/>
  <c r="F51" i="47"/>
  <c r="AR51" i="47" s="1" a="1"/>
  <c r="AR51" i="47" s="1"/>
  <c r="G57" i="47"/>
  <c r="F58" i="47"/>
  <c r="AR58" i="47" s="1" a="1"/>
  <c r="AR58" i="47" s="1"/>
  <c r="G63" i="47"/>
  <c r="F64" i="47"/>
  <c r="AR64" i="47" s="1" a="1"/>
  <c r="AR64" i="47" s="1"/>
  <c r="G71" i="47"/>
  <c r="G153" i="47"/>
  <c r="F161" i="47"/>
  <c r="AR161" i="47" s="1" a="1"/>
  <c r="AR161" i="47" s="1"/>
  <c r="G155" i="47"/>
  <c r="F156" i="47"/>
  <c r="G83" i="47"/>
  <c r="F84" i="47"/>
  <c r="AR84" i="47" s="1" a="1"/>
  <c r="AR84" i="47" s="1"/>
  <c r="F169" i="47"/>
  <c r="AR169" i="47" s="1" a="1"/>
  <c r="AR169" i="47" s="1"/>
  <c r="G94" i="47"/>
  <c r="F95" i="47"/>
  <c r="AR95" i="47" s="1" a="1"/>
  <c r="AR95" i="47" s="1"/>
  <c r="G102" i="47"/>
  <c r="F103" i="47"/>
  <c r="AR103" i="47" s="1" a="1"/>
  <c r="AR103" i="47" s="1"/>
  <c r="G110" i="47"/>
  <c r="F111" i="47"/>
  <c r="AR111" i="47" s="1" a="1"/>
  <c r="AR111" i="47" s="1"/>
  <c r="G118" i="47"/>
  <c r="G124" i="47"/>
  <c r="F125" i="47"/>
  <c r="AR125" i="47" s="1" a="1"/>
  <c r="AR125" i="47" s="1"/>
  <c r="G130" i="47"/>
  <c r="G137" i="47"/>
  <c r="F138" i="47"/>
  <c r="AR138" i="47" s="1" a="1"/>
  <c r="AR138" i="47" s="1"/>
  <c r="G144" i="47"/>
  <c r="AX192" i="47"/>
  <c r="AT221" i="46"/>
  <c r="G14" i="47"/>
  <c r="F15" i="47"/>
  <c r="AR15" i="47" s="1" a="1"/>
  <c r="AR15" i="47" s="1"/>
  <c r="G172" i="47"/>
  <c r="F19" i="47"/>
  <c r="AR19" i="47" s="1" a="1"/>
  <c r="AR19" i="47" s="1"/>
  <c r="G26" i="47"/>
  <c r="F35" i="47"/>
  <c r="AR35" i="47" s="1" a="1"/>
  <c r="AR35" i="47" s="1"/>
  <c r="G27" i="47"/>
  <c r="F28" i="47"/>
  <c r="AR28" i="47" s="1" a="1"/>
  <c r="AR28" i="47" s="1"/>
  <c r="G174" i="47"/>
  <c r="F41" i="47"/>
  <c r="AR41" i="47" s="1" a="1"/>
  <c r="AR41" i="47" s="1"/>
  <c r="G80" i="47"/>
  <c r="F81" i="47"/>
  <c r="G51" i="47"/>
  <c r="F52" i="47"/>
  <c r="AR52" i="47" s="1" a="1"/>
  <c r="AR52" i="47" s="1"/>
  <c r="G58" i="47"/>
  <c r="F59" i="47"/>
  <c r="G64" i="47"/>
  <c r="F65" i="47"/>
  <c r="AR65" i="47" s="1" a="1"/>
  <c r="AR65" i="47" s="1"/>
  <c r="F72" i="47"/>
  <c r="AR72" i="47" s="1" a="1"/>
  <c r="AR72" i="47" s="1"/>
  <c r="G161" i="47"/>
  <c r="F162" i="47"/>
  <c r="AR162" i="47" s="1" a="1"/>
  <c r="AR162" i="47" s="1"/>
  <c r="G156" i="47"/>
  <c r="F157" i="47"/>
  <c r="AR157" i="47" s="1" a="1"/>
  <c r="AR157" i="47" s="1"/>
  <c r="G84" i="47"/>
  <c r="F85" i="47"/>
  <c r="AR85" i="47" s="1" a="1"/>
  <c r="AR85" i="47" s="1"/>
  <c r="G169" i="47"/>
  <c r="F89" i="47"/>
  <c r="AR89" i="47" s="1" a="1"/>
  <c r="AR89" i="47" s="1"/>
  <c r="G95" i="47"/>
  <c r="F96" i="47"/>
  <c r="AR96" i="47" s="1" a="1"/>
  <c r="AR96" i="47" s="1"/>
  <c r="G103" i="47"/>
  <c r="F104" i="47"/>
  <c r="AR104" i="47" s="1" a="1"/>
  <c r="AR104" i="47" s="1"/>
  <c r="G111" i="47"/>
  <c r="F112" i="47"/>
  <c r="AR112" i="47" s="1" a="1"/>
  <c r="AR112" i="47" s="1"/>
  <c r="F119" i="47"/>
  <c r="AR119" i="47" s="1" a="1"/>
  <c r="AR119" i="47" s="1"/>
  <c r="G125" i="47"/>
  <c r="F126" i="47"/>
  <c r="AR126" i="47" s="1" a="1"/>
  <c r="AR126" i="47" s="1"/>
  <c r="F131" i="47"/>
  <c r="AR131" i="47" s="1" a="1"/>
  <c r="AR131" i="47" s="1"/>
  <c r="G138" i="47"/>
  <c r="F139" i="47"/>
  <c r="AR139" i="47" s="1" a="1"/>
  <c r="AR139" i="47" s="1"/>
  <c r="G15" i="47"/>
  <c r="F170" i="47"/>
  <c r="AR170" i="47" s="1" a="1"/>
  <c r="AR170" i="47" s="1"/>
  <c r="G19" i="47"/>
  <c r="F20" i="47"/>
  <c r="AR20" i="47" s="1" a="1"/>
  <c r="AR20" i="47" s="1"/>
  <c r="G35" i="47"/>
  <c r="G28" i="47"/>
  <c r="F29" i="47"/>
  <c r="AR29" i="47" s="1" a="1"/>
  <c r="AR29" i="47" s="1"/>
  <c r="G41" i="47"/>
  <c r="F42" i="47"/>
  <c r="AR42" i="47" s="1" a="1"/>
  <c r="AR42" i="47" s="1"/>
  <c r="G81" i="47"/>
  <c r="F82" i="47"/>
  <c r="AR82" i="47" s="1" a="1"/>
  <c r="AR82" i="47" s="1"/>
  <c r="G52" i="47"/>
  <c r="G59" i="47"/>
  <c r="F60" i="47"/>
  <c r="AR60" i="47" s="1" a="1"/>
  <c r="AR60" i="47" s="1"/>
  <c r="G65" i="47"/>
  <c r="F66" i="47"/>
  <c r="G72" i="47"/>
  <c r="F33" i="47"/>
  <c r="AR33" i="47" s="1" a="1"/>
  <c r="AR33" i="47" s="1"/>
  <c r="G162" i="47"/>
  <c r="F163" i="47"/>
  <c r="AR163" i="47" s="1" a="1"/>
  <c r="AR163" i="47" s="1"/>
  <c r="G157" i="47"/>
  <c r="F175" i="47"/>
  <c r="AR175" i="47" s="1" a="1"/>
  <c r="AR175" i="47" s="1"/>
  <c r="G85" i="47"/>
  <c r="F86" i="47"/>
  <c r="AR86" i="47" s="1" a="1"/>
  <c r="AR86" i="47" s="1"/>
  <c r="G89" i="47"/>
  <c r="F90" i="47"/>
  <c r="AR90" i="47" s="1" a="1"/>
  <c r="AR90" i="47" s="1"/>
  <c r="G96" i="47"/>
  <c r="F97" i="47"/>
  <c r="AR97" i="47" s="1" a="1"/>
  <c r="AR97" i="47" s="1"/>
  <c r="G104" i="47"/>
  <c r="F105" i="47"/>
  <c r="AR105" i="47" s="1" a="1"/>
  <c r="AR105" i="47" s="1"/>
  <c r="G112" i="47"/>
  <c r="F113" i="47"/>
  <c r="AR113" i="47" s="1" a="1"/>
  <c r="AR113" i="47" s="1"/>
  <c r="G119" i="47"/>
  <c r="G126" i="47"/>
  <c r="AR130" i="47" a="1"/>
  <c r="AR130" i="47" s="1"/>
  <c r="G131" i="47"/>
  <c r="F132" i="47"/>
  <c r="AR132" i="47" s="1" a="1"/>
  <c r="AR132" i="47" s="1"/>
  <c r="G139" i="47"/>
  <c r="F140" i="47"/>
  <c r="AR140" i="47" s="1" a="1"/>
  <c r="AR140" i="47" s="1"/>
  <c r="AX215" i="47"/>
  <c r="F150" i="47"/>
  <c r="AR150" i="47" s="1" a="1"/>
  <c r="AR150" i="47" s="1"/>
  <c r="G170" i="47"/>
  <c r="F16" i="47"/>
  <c r="AR16" i="47" s="1" a="1"/>
  <c r="AR16" i="47" s="1"/>
  <c r="G20" i="47"/>
  <c r="F21" i="47"/>
  <c r="AR21" i="47" s="1" a="1"/>
  <c r="AR21" i="47" s="1"/>
  <c r="F36" i="47"/>
  <c r="AR36" i="47" s="1" a="1"/>
  <c r="AR36" i="47" s="1"/>
  <c r="G29" i="47"/>
  <c r="F30" i="47"/>
  <c r="AR30" i="47" s="1" a="1"/>
  <c r="AR30" i="47" s="1"/>
  <c r="G42" i="47"/>
  <c r="F43" i="47"/>
  <c r="AR43" i="47" s="1" a="1"/>
  <c r="AR43" i="47" s="1"/>
  <c r="G82" i="47"/>
  <c r="F47" i="47"/>
  <c r="AR47" i="47" s="1" a="1"/>
  <c r="AR47" i="47" s="1"/>
  <c r="F53" i="47"/>
  <c r="AR53" i="47" s="1" a="1"/>
  <c r="AR53" i="47" s="1"/>
  <c r="G60" i="47"/>
  <c r="F61" i="47"/>
  <c r="G66" i="47"/>
  <c r="F67" i="47"/>
  <c r="AR67" i="47" s="1" a="1"/>
  <c r="AR67" i="47" s="1"/>
  <c r="G33" i="47"/>
  <c r="F34" i="47"/>
  <c r="AR34" i="47" s="1" a="1"/>
  <c r="AR34" i="47" s="1"/>
  <c r="G163" i="47"/>
  <c r="F164" i="47"/>
  <c r="AR164" i="47" s="1" a="1"/>
  <c r="AR164" i="47" s="1"/>
  <c r="G175" i="47"/>
  <c r="F176" i="47"/>
  <c r="AR176" i="47" s="1" a="1"/>
  <c r="AR176" i="47" s="1"/>
  <c r="G86" i="47"/>
  <c r="F87" i="47"/>
  <c r="AR87" i="47" s="1" a="1"/>
  <c r="AR87" i="47" s="1"/>
  <c r="G90" i="47"/>
  <c r="F91" i="47"/>
  <c r="AR91" i="47" s="1" a="1"/>
  <c r="AR91" i="47" s="1"/>
  <c r="G97" i="47"/>
  <c r="F98" i="47"/>
  <c r="AR98" i="47" s="1" a="1"/>
  <c r="AR98" i="47" s="1"/>
  <c r="G105" i="47"/>
  <c r="F106" i="47"/>
  <c r="AR106" i="47" s="1" a="1"/>
  <c r="AR106" i="47" s="1"/>
  <c r="G113" i="47"/>
  <c r="F114" i="47"/>
  <c r="AR114" i="47" s="1" a="1"/>
  <c r="AR114" i="47" s="1"/>
  <c r="F120" i="47"/>
  <c r="AR120" i="47" s="1" a="1"/>
  <c r="AR120" i="47" s="1"/>
  <c r="F127" i="47"/>
  <c r="AR127" i="47" s="1" a="1"/>
  <c r="AR127" i="47" s="1"/>
  <c r="G132" i="47"/>
  <c r="F133" i="47"/>
  <c r="AR133" i="47" s="1" a="1"/>
  <c r="AR133" i="47" s="1"/>
  <c r="G140" i="47"/>
  <c r="AV180" i="46"/>
  <c r="AX221" i="47"/>
  <c r="AR62" i="47" a="1"/>
  <c r="AR62" i="47" s="1"/>
  <c r="AR188" i="47" a="1"/>
  <c r="AR188" i="47" s="1"/>
  <c r="AX204" i="47"/>
  <c r="AX236" i="47"/>
  <c r="AR238" i="47" a="1"/>
  <c r="AR238" i="47" s="1"/>
  <c r="AR225" i="47" a="1"/>
  <c r="AR225" i="47" s="1"/>
  <c r="AR137" i="47" a="1"/>
  <c r="AR137" i="47" s="1"/>
  <c r="AR201" i="47" a="1"/>
  <c r="AR201" i="47" s="1"/>
  <c r="AV225" i="46"/>
  <c r="AR220" i="46" a="1"/>
  <c r="AR220" i="46" s="1"/>
  <c r="AX222" i="46"/>
  <c r="AR18" i="46" a="1"/>
  <c r="AR18" i="46" s="1"/>
  <c r="AR194" i="46" a="1"/>
  <c r="AR194" i="46" s="1"/>
  <c r="AT225" i="46"/>
  <c r="AR96" i="46" a="1"/>
  <c r="AR96" i="46" s="1"/>
  <c r="AV241" i="46"/>
  <c r="AR172" i="46" a="1"/>
  <c r="AR172" i="46" s="1"/>
  <c r="AX213" i="46"/>
  <c r="AV235" i="46"/>
  <c r="AR189" i="47" a="1"/>
  <c r="AR189" i="47" s="1"/>
  <c r="AR168" i="47" a="1"/>
  <c r="AR168" i="47" s="1"/>
  <c r="AR148" i="47" a="1"/>
  <c r="AR148" i="47" s="1"/>
  <c r="AR59" i="47" a="1"/>
  <c r="AR59" i="47" s="1"/>
  <c r="AR249" i="47" a="1"/>
  <c r="AR249" i="47" s="1"/>
  <c r="AR57" i="47" a="1"/>
  <c r="AR57" i="47" s="1"/>
  <c r="AV214" i="47"/>
  <c r="AV247" i="47"/>
  <c r="AT222" i="47"/>
  <c r="AR243" i="47" a="1"/>
  <c r="AR243" i="47" s="1"/>
  <c r="AR250" i="47" a="1"/>
  <c r="AR250" i="47" s="1"/>
  <c r="AR185" i="47" a="1"/>
  <c r="AR185" i="47" s="1"/>
  <c r="AT193" i="47"/>
  <c r="AX222" i="47"/>
  <c r="AR233" i="47" a="1"/>
  <c r="AR233" i="47" s="1"/>
  <c r="AR32" i="47" a="1"/>
  <c r="AR32" i="47" s="1"/>
  <c r="AR117" i="47" a="1"/>
  <c r="AR117" i="47" s="1"/>
  <c r="AR202" i="47" a="1"/>
  <c r="AR202" i="47" s="1"/>
  <c r="AR221" i="47" a="1"/>
  <c r="AR221" i="47" s="1"/>
  <c r="AR231" i="47" a="1"/>
  <c r="AR231" i="47" s="1"/>
  <c r="AR241" i="47" a="1"/>
  <c r="AR241" i="47" s="1"/>
  <c r="AR180" i="47" a="1"/>
  <c r="AR180" i="47" s="1"/>
  <c r="AR192" i="47" a="1"/>
  <c r="AR192" i="47" s="1"/>
  <c r="AR223" i="47" a="1"/>
  <c r="AR223" i="47" s="1"/>
  <c r="AX230" i="47"/>
  <c r="AR237" i="47" a="1"/>
  <c r="AR237" i="47" s="1"/>
  <c r="AR160" i="47" a="1"/>
  <c r="AR160" i="47" s="1"/>
  <c r="AR74" i="47" a="1"/>
  <c r="AR74" i="47" s="1"/>
  <c r="AR40" i="47" a="1"/>
  <c r="AR40" i="47" s="1"/>
  <c r="AR81" i="47" a="1"/>
  <c r="AR81" i="47" s="1"/>
  <c r="AR155" i="47" a="1"/>
  <c r="AR155" i="47" s="1"/>
  <c r="AR75" i="47" a="1"/>
  <c r="AR75" i="47" s="1"/>
  <c r="AR172" i="47" a="1"/>
  <c r="AR172" i="47" s="1"/>
  <c r="AR156" i="47" a="1"/>
  <c r="AR156" i="47" s="1"/>
  <c r="AR22" i="47" a="1"/>
  <c r="AR22" i="47" s="1"/>
  <c r="AV199" i="47"/>
  <c r="AR193" i="47" a="1"/>
  <c r="AR193" i="47" s="1"/>
  <c r="AV201" i="47"/>
  <c r="AV230" i="47"/>
  <c r="AR181" i="47" a="1"/>
  <c r="AR181" i="47" s="1"/>
  <c r="AV203" i="47"/>
  <c r="AT205" i="47"/>
  <c r="AV232" i="47"/>
  <c r="AV197" i="47"/>
  <c r="AV200" i="47"/>
  <c r="AV211" i="47"/>
  <c r="AR178" i="47" a="1"/>
  <c r="AR178" i="47" s="1"/>
  <c r="AV179" i="47"/>
  <c r="AV187" i="47"/>
  <c r="AV219" i="47"/>
  <c r="AV224" i="47"/>
  <c r="AV238" i="47"/>
  <c r="AV217" i="47"/>
  <c r="AV233" i="47"/>
  <c r="AV241" i="47"/>
  <c r="AV246" i="47"/>
  <c r="AR142" i="47" a="1"/>
  <c r="AR142" i="47" s="1"/>
  <c r="AV216" i="47"/>
  <c r="AR203" i="47" a="1"/>
  <c r="AR203" i="47" s="1"/>
  <c r="AV215" i="47"/>
  <c r="AV235" i="47"/>
  <c r="AT206" i="47"/>
  <c r="AT218" i="47"/>
  <c r="AX232" i="47"/>
  <c r="AX235" i="47"/>
  <c r="AR146" i="47" a="1"/>
  <c r="AR146" i="47" s="1"/>
  <c r="AV193" i="47"/>
  <c r="AV210" i="47"/>
  <c r="AV221" i="47"/>
  <c r="AV225" i="47"/>
  <c r="AV239" i="47"/>
  <c r="AX226" i="47"/>
  <c r="AX227" i="47"/>
  <c r="AV208" i="47"/>
  <c r="AV228" i="46"/>
  <c r="AR190" i="46" a="1"/>
  <c r="AR190" i="46" s="1"/>
  <c r="AR192" i="46" a="1"/>
  <c r="AR192" i="46" s="1"/>
  <c r="AR218" i="46" a="1"/>
  <c r="AR218" i="46" s="1"/>
  <c r="AV237" i="46"/>
  <c r="AR100" i="46" a="1"/>
  <c r="AR100" i="46" s="1"/>
  <c r="AR198" i="46" a="1"/>
  <c r="AR198" i="46" s="1"/>
  <c r="AR226" i="46" a="1"/>
  <c r="AR226" i="46" s="1"/>
  <c r="AR189" i="46" a="1"/>
  <c r="AR189" i="46" s="1"/>
  <c r="AT179" i="46"/>
  <c r="AR193" i="46" a="1"/>
  <c r="AR193" i="46" s="1"/>
  <c r="AR212" i="46" a="1"/>
  <c r="AR212" i="46" s="1"/>
  <c r="AR79" i="46" a="1"/>
  <c r="AR79" i="46" s="1"/>
  <c r="AR171" i="46" a="1"/>
  <c r="AR171" i="46" s="1"/>
  <c r="AR173" i="46" a="1"/>
  <c r="AR173" i="46" s="1"/>
  <c r="AR166" i="46" a="1"/>
  <c r="AR166" i="46" s="1"/>
  <c r="AV205" i="46"/>
  <c r="AR62" i="46" a="1"/>
  <c r="AR62" i="46" s="1"/>
  <c r="AR59" i="46" a="1"/>
  <c r="AR59" i="46" s="1"/>
  <c r="AR188" i="46" a="1"/>
  <c r="AR188" i="46" s="1"/>
  <c r="AR176" i="46" a="1"/>
  <c r="AR176" i="46" s="1"/>
  <c r="AR69" i="46" a="1"/>
  <c r="AR69" i="46" s="1"/>
  <c r="AV200" i="46"/>
  <c r="AR210" i="46" a="1"/>
  <c r="AR210" i="46" s="1"/>
  <c r="AR144" i="46" a="1"/>
  <c r="AR144" i="46" s="1"/>
  <c r="AV191" i="46"/>
  <c r="AV220" i="46"/>
  <c r="AR184" i="46" a="1"/>
  <c r="AR184" i="46" s="1"/>
  <c r="AR106" i="46" a="1"/>
  <c r="AR106" i="46" s="1"/>
  <c r="AV190" i="46"/>
  <c r="AR196" i="46" a="1"/>
  <c r="AR196" i="46" s="1"/>
  <c r="AR207" i="46" a="1"/>
  <c r="AR207" i="46" s="1"/>
  <c r="AV227" i="46"/>
  <c r="AR135" i="46" a="1"/>
  <c r="AR135" i="46" s="1"/>
  <c r="AV221" i="46"/>
  <c r="AR195" i="46" a="1"/>
  <c r="AR195" i="46" s="1"/>
  <c r="AR202" i="46" a="1"/>
  <c r="AR202" i="46" s="1"/>
  <c r="AR229" i="46" a="1"/>
  <c r="AR229" i="46" s="1"/>
  <c r="AX206" i="46"/>
  <c r="AR208" i="46" a="1"/>
  <c r="AR208" i="46" s="1"/>
  <c r="AR215" i="46" a="1"/>
  <c r="AR215" i="46" s="1"/>
  <c r="AR217" i="46" a="1"/>
  <c r="AR217" i="46" s="1"/>
  <c r="AR237" i="46" a="1"/>
  <c r="AR237" i="46" s="1"/>
  <c r="AR239" i="46" a="1"/>
  <c r="AR239" i="46" s="1"/>
  <c r="AR231" i="46" a="1"/>
  <c r="AR231" i="46" s="1"/>
  <c r="AR234" i="46" a="1"/>
  <c r="AR234" i="46" s="1"/>
  <c r="AR142" i="46" a="1"/>
  <c r="AR142" i="46" s="1"/>
  <c r="AR181" i="46" a="1"/>
  <c r="AR181" i="46" s="1"/>
  <c r="AR236" i="46" a="1"/>
  <c r="AR236" i="46" s="1"/>
  <c r="AX244" i="46"/>
  <c r="AT246" i="46"/>
  <c r="AR233" i="46" a="1"/>
  <c r="AR233" i="46" s="1"/>
  <c r="AR213" i="46" a="1"/>
  <c r="AR213" i="46" s="1"/>
  <c r="AR216" i="46" a="1"/>
  <c r="AR216" i="46" s="1"/>
  <c r="AT222" i="46"/>
  <c r="AT233" i="46"/>
  <c r="AR238" i="46" a="1"/>
  <c r="AR238" i="46" s="1"/>
  <c r="AR244" i="46" a="1"/>
  <c r="AR244" i="46" s="1"/>
  <c r="AV199" i="46"/>
  <c r="AR200" i="46" a="1"/>
  <c r="AR200" i="46" s="1"/>
  <c r="AV203" i="46"/>
  <c r="AT244" i="46"/>
  <c r="AV239" i="46"/>
  <c r="AV226" i="46"/>
  <c r="AT200" i="46"/>
  <c r="AR214" i="46" a="1"/>
  <c r="AR214" i="46" s="1"/>
  <c r="AX221" i="46"/>
  <c r="AR77" i="47" a="1"/>
  <c r="AR77" i="47" s="1"/>
  <c r="AR158" i="47" a="1"/>
  <c r="AR158" i="47" s="1"/>
  <c r="AR108" i="47" a="1"/>
  <c r="AR108" i="47" s="1"/>
  <c r="AR99" i="47" a="1"/>
  <c r="AR99" i="47" s="1"/>
  <c r="AR143" i="47" a="1"/>
  <c r="AR143" i="47" s="1"/>
  <c r="AR179" i="47" a="1"/>
  <c r="AR179" i="47" s="1"/>
  <c r="AV194" i="47"/>
  <c r="AV181" i="47"/>
  <c r="AV178" i="47"/>
  <c r="AR147" i="47" a="1"/>
  <c r="AR147" i="47" s="1"/>
  <c r="AV185" i="47"/>
  <c r="AV189" i="47"/>
  <c r="AR194" i="47" a="1"/>
  <c r="AR194" i="47" s="1"/>
  <c r="AR182" i="47" a="1"/>
  <c r="AR182" i="47" s="1"/>
  <c r="AR190" i="47" a="1"/>
  <c r="AR190" i="47" s="1"/>
  <c r="AV198" i="47"/>
  <c r="AV206" i="47"/>
  <c r="AV196" i="47"/>
  <c r="AV192" i="47"/>
  <c r="AT203" i="47"/>
  <c r="AV188" i="47"/>
  <c r="AR195" i="47" a="1"/>
  <c r="AR195" i="47" s="1"/>
  <c r="AR198" i="47" a="1"/>
  <c r="AR198" i="47" s="1"/>
  <c r="AR191" i="47" a="1"/>
  <c r="AR191" i="47" s="1"/>
  <c r="AV186" i="47"/>
  <c r="AR187" i="47" a="1"/>
  <c r="AR187" i="47" s="1"/>
  <c r="AV190" i="47"/>
  <c r="AV202" i="47"/>
  <c r="AV222" i="47"/>
  <c r="AR210" i="47" a="1"/>
  <c r="AR210" i="47" s="1"/>
  <c r="AV204" i="47"/>
  <c r="AV209" i="47"/>
  <c r="AX216" i="47"/>
  <c r="AV212" i="47"/>
  <c r="AV218" i="47"/>
  <c r="AV213" i="47"/>
  <c r="AV220" i="47"/>
  <c r="AT216" i="47"/>
  <c r="AV223" i="47"/>
  <c r="AV226" i="47"/>
  <c r="AR214" i="47" a="1"/>
  <c r="AR214" i="47" s="1"/>
  <c r="AV228" i="47"/>
  <c r="AV236" i="47"/>
  <c r="AV240" i="47"/>
  <c r="AV244" i="47"/>
  <c r="AV250" i="47"/>
  <c r="AR16" i="46" a="1"/>
  <c r="AR16" i="46" s="1"/>
  <c r="AR49" i="46" a="1"/>
  <c r="AR49" i="46" s="1"/>
  <c r="AR25" i="46" a="1"/>
  <c r="AR25" i="46" s="1"/>
  <c r="AR61" i="46" a="1"/>
  <c r="AR61" i="46" s="1"/>
  <c r="AR65" i="46" a="1"/>
  <c r="AR65" i="46" s="1"/>
  <c r="AR70" i="46" a="1"/>
  <c r="AR70" i="46" s="1"/>
  <c r="AR89" i="46" a="1"/>
  <c r="AR89" i="46" s="1"/>
  <c r="AR169" i="46" a="1"/>
  <c r="AR169" i="46" s="1"/>
  <c r="AR92" i="46" a="1"/>
  <c r="AR92" i="46" s="1"/>
  <c r="AR105" i="46" a="1"/>
  <c r="AR105" i="46" s="1"/>
  <c r="AR132" i="46" a="1"/>
  <c r="AR132" i="46" s="1"/>
  <c r="AR179" i="46" a="1"/>
  <c r="AR179" i="46" s="1"/>
  <c r="AV181" i="46"/>
  <c r="AR187" i="46" a="1"/>
  <c r="AR187" i="46" s="1"/>
  <c r="AV183" i="46"/>
  <c r="AV185" i="46"/>
  <c r="AT203" i="46"/>
  <c r="AR146" i="46" a="1"/>
  <c r="AR146" i="46" s="1"/>
  <c r="AR183" i="46" a="1"/>
  <c r="AR183" i="46" s="1"/>
  <c r="AR185" i="46" a="1"/>
  <c r="AR185" i="46" s="1"/>
  <c r="AV179" i="46"/>
  <c r="AR148" i="46" a="1"/>
  <c r="AR148" i="46" s="1"/>
  <c r="AV189" i="46"/>
  <c r="AV195" i="46"/>
  <c r="AR197" i="46" a="1"/>
  <c r="AR197" i="46" s="1"/>
  <c r="AV202" i="46"/>
  <c r="AV212" i="46"/>
  <c r="AV217" i="46"/>
  <c r="AR205" i="46" a="1"/>
  <c r="AR205" i="46" s="1"/>
  <c r="AV207" i="46"/>
  <c r="AV206" i="46"/>
  <c r="AV219" i="46"/>
  <c r="AV213" i="46"/>
  <c r="AV214" i="46"/>
  <c r="AX198" i="46"/>
  <c r="AT211" i="46"/>
  <c r="AV215" i="46"/>
  <c r="AR201" i="46" a="1"/>
  <c r="AR201" i="46" s="1"/>
  <c r="AV210" i="46"/>
  <c r="AV211" i="46"/>
  <c r="AV249" i="46"/>
  <c r="AV230" i="46"/>
  <c r="AV222" i="46"/>
  <c r="AV234" i="46"/>
  <c r="AV250" i="46"/>
  <c r="AX200" i="47" l="1"/>
  <c r="AX241" i="47"/>
  <c r="AT202" i="47"/>
  <c r="AT194" i="47"/>
  <c r="AX220" i="47"/>
  <c r="AX223" i="47"/>
  <c r="AT209" i="47"/>
  <c r="AX208" i="47"/>
  <c r="AT189" i="47"/>
  <c r="AT192" i="47"/>
  <c r="AT231" i="47"/>
  <c r="AT199" i="47"/>
  <c r="K178" i="46"/>
  <c r="L178" i="46" s="1"/>
  <c r="AX235" i="46"/>
  <c r="AX195" i="46"/>
  <c r="AX203" i="46"/>
  <c r="AT227" i="46"/>
  <c r="AT183" i="46"/>
  <c r="AX182" i="46"/>
  <c r="AX227" i="46"/>
  <c r="AT249" i="46"/>
  <c r="S178" i="46"/>
  <c r="T178" i="46" s="1"/>
  <c r="AT228" i="46"/>
  <c r="AX179" i="46"/>
  <c r="AT247" i="46"/>
  <c r="AT181" i="46"/>
  <c r="AT198" i="46"/>
  <c r="AT207" i="46"/>
  <c r="AX232" i="46"/>
  <c r="AX210" i="46"/>
  <c r="AT201" i="46"/>
  <c r="AT188" i="46"/>
  <c r="AT197" i="46"/>
  <c r="AT226" i="46"/>
  <c r="AX250" i="46"/>
  <c r="AX229" i="47"/>
  <c r="AX187" i="46"/>
  <c r="AX234" i="46"/>
  <c r="AX201" i="46"/>
  <c r="AT232" i="46"/>
  <c r="AX219" i="47"/>
  <c r="AT198" i="47"/>
  <c r="AX207" i="46"/>
  <c r="AT210" i="46"/>
  <c r="AX184" i="47"/>
  <c r="P178" i="46"/>
  <c r="AV178" i="46"/>
  <c r="AT212" i="47"/>
  <c r="K7" i="46"/>
  <c r="AX243" i="46"/>
  <c r="AX193" i="47"/>
  <c r="K6" i="46"/>
  <c r="AF149" i="46"/>
  <c r="AF149" i="47"/>
  <c r="AT237" i="47"/>
  <c r="AX196" i="47"/>
  <c r="AX230" i="46"/>
  <c r="AX237" i="46"/>
  <c r="AX247" i="46"/>
  <c r="AX228" i="46"/>
  <c r="AX217" i="47"/>
  <c r="K6" i="47"/>
  <c r="AT245" i="46"/>
  <c r="AX218" i="47"/>
  <c r="K7" i="47"/>
  <c r="AX240" i="46"/>
  <c r="AX213" i="47"/>
  <c r="AT195" i="46"/>
  <c r="AT233" i="47"/>
  <c r="AX241" i="46"/>
  <c r="AT180" i="47"/>
  <c r="AX199" i="46"/>
  <c r="AT205" i="46"/>
  <c r="AT185" i="47"/>
  <c r="AX224" i="47"/>
  <c r="AX231" i="46"/>
  <c r="AX180" i="47"/>
  <c r="AX237" i="47"/>
  <c r="AT215" i="47"/>
  <c r="AT230" i="46"/>
  <c r="AT206" i="46"/>
  <c r="AX186" i="46"/>
  <c r="AT225" i="47"/>
  <c r="AX242" i="46"/>
  <c r="AT199" i="46"/>
  <c r="AX212" i="47"/>
  <c r="AX245" i="46"/>
  <c r="AX239" i="46"/>
  <c r="AX236" i="46"/>
  <c r="AT208" i="47"/>
  <c r="AX183" i="46"/>
  <c r="AT234" i="46"/>
  <c r="AT189" i="46"/>
  <c r="AT183" i="47"/>
  <c r="AX191" i="46"/>
  <c r="AT180" i="46"/>
  <c r="AX192" i="46"/>
  <c r="AX182" i="47"/>
  <c r="AT235" i="46"/>
  <c r="AT213" i="47"/>
  <c r="AX239" i="47"/>
  <c r="AT216" i="46"/>
  <c r="AT179" i="47"/>
  <c r="AX217" i="46"/>
  <c r="AT217" i="47"/>
  <c r="AT229" i="47"/>
  <c r="AX225" i="46"/>
  <c r="AT207" i="47"/>
  <c r="AT218" i="46"/>
  <c r="AX202" i="46"/>
  <c r="AX181" i="46"/>
  <c r="AX240" i="47"/>
  <c r="AT202" i="46"/>
  <c r="AT188" i="47"/>
  <c r="AT191" i="46"/>
  <c r="AX190" i="47"/>
  <c r="AX181" i="47"/>
  <c r="AX246" i="46"/>
  <c r="AT178" i="47"/>
  <c r="AT182" i="46"/>
  <c r="AX188" i="46"/>
  <c r="AT200" i="47"/>
  <c r="AT204" i="47"/>
  <c r="AT242" i="46"/>
  <c r="AT226" i="47"/>
  <c r="AX238" i="46"/>
  <c r="AX226" i="46"/>
  <c r="AT194" i="46"/>
  <c r="AX189" i="46"/>
  <c r="AX184" i="46"/>
  <c r="AX203" i="47"/>
  <c r="AT181" i="47"/>
  <c r="AT186" i="47"/>
  <c r="AX194" i="47"/>
  <c r="AT184" i="47"/>
  <c r="AT214" i="46"/>
  <c r="AT178" i="46"/>
  <c r="AT197" i="47"/>
  <c r="AT193" i="46"/>
  <c r="AX196" i="46"/>
  <c r="AT209" i="46"/>
  <c r="AX207" i="47"/>
  <c r="AT220" i="47"/>
  <c r="AX188" i="47"/>
  <c r="AX190" i="46"/>
  <c r="AX185" i="46"/>
  <c r="AT184" i="46"/>
  <c r="AX238" i="47"/>
  <c r="AR66" i="47" a="1"/>
  <c r="AR66" i="47" s="1"/>
  <c r="AX189" i="47"/>
  <c r="AR61" i="47" a="1"/>
  <c r="AR61" i="47" s="1"/>
  <c r="AX219" i="46"/>
  <c r="AT211" i="47"/>
  <c r="AX197" i="47"/>
  <c r="AX209" i="47"/>
  <c r="AX231" i="47"/>
  <c r="AX186" i="47"/>
  <c r="AX211" i="47"/>
  <c r="AX233" i="47"/>
  <c r="AX228" i="47"/>
  <c r="AX205" i="47"/>
  <c r="AX225" i="47"/>
  <c r="AT196" i="47"/>
  <c r="AX178" i="47"/>
  <c r="AT190" i="47"/>
  <c r="AX199" i="47"/>
  <c r="AX185" i="47"/>
  <c r="AT187" i="46"/>
  <c r="AT243" i="46"/>
  <c r="AT240" i="46"/>
  <c r="AT186" i="46"/>
  <c r="AT237" i="46"/>
  <c r="AX211" i="46"/>
  <c r="AT217" i="46"/>
  <c r="AT185" i="46"/>
  <c r="AT241" i="46"/>
  <c r="AX180" i="46"/>
  <c r="AT236" i="46"/>
  <c r="AT229" i="46"/>
  <c r="AX200" i="46"/>
  <c r="AT250" i="46"/>
  <c r="AX229" i="46"/>
  <c r="AT231" i="46"/>
  <c r="AX248" i="46"/>
  <c r="AX215" i="46"/>
  <c r="AT248" i="46"/>
  <c r="AT215" i="46"/>
  <c r="AT213" i="46"/>
  <c r="AT239" i="46"/>
  <c r="AX233" i="46"/>
  <c r="AT192" i="46"/>
  <c r="AT238" i="46"/>
  <c r="AT219" i="46"/>
  <c r="AX249" i="46"/>
  <c r="AX178" i="46"/>
  <c r="AT190" i="46"/>
  <c r="AT241" i="47"/>
  <c r="AX244" i="47"/>
  <c r="AT238" i="47"/>
  <c r="AX243" i="47"/>
  <c r="AX234" i="47"/>
  <c r="AT182" i="47"/>
  <c r="AT232" i="47"/>
  <c r="AT195" i="47"/>
  <c r="AT187" i="47"/>
  <c r="AT236" i="47"/>
  <c r="AX179" i="47"/>
  <c r="AX187" i="47"/>
  <c r="AT239" i="47"/>
  <c r="AX206" i="47"/>
  <c r="AT227" i="47"/>
  <c r="AX242" i="47"/>
  <c r="AX198" i="47"/>
  <c r="AT228" i="47"/>
  <c r="AT244" i="47"/>
  <c r="AX202" i="47"/>
  <c r="AX214" i="47"/>
  <c r="AX195" i="47"/>
  <c r="AT214" i="47"/>
  <c r="AX246" i="47"/>
  <c r="AT235" i="47"/>
  <c r="AX248" i="47"/>
  <c r="AX245" i="47"/>
  <c r="AT221" i="47"/>
  <c r="AX210" i="47"/>
  <c r="AT219" i="47"/>
  <c r="AX191" i="47"/>
  <c r="AT243" i="47"/>
  <c r="AT246" i="47"/>
  <c r="AX250" i="47"/>
  <c r="AT230" i="47"/>
  <c r="AT224" i="47"/>
  <c r="AT201" i="47"/>
  <c r="G149" i="47"/>
  <c r="V2" i="55" s="1" a="1"/>
  <c r="V2" i="55" s="1"/>
  <c r="F149" i="47"/>
  <c r="AT234" i="47"/>
  <c r="AX249" i="47"/>
  <c r="AX247" i="47"/>
  <c r="AT248" i="47"/>
  <c r="AT245" i="47"/>
  <c r="AT210" i="47"/>
  <c r="AT191" i="47"/>
  <c r="AT240" i="47"/>
  <c r="AT249" i="47"/>
  <c r="AT247" i="47"/>
  <c r="AT250" i="47"/>
  <c r="AT223" i="47"/>
  <c r="AT242" i="47"/>
  <c r="AX201" i="47"/>
  <c r="AX183" i="47"/>
  <c r="AX214" i="46"/>
  <c r="AX194" i="46"/>
  <c r="AT220" i="46"/>
  <c r="AX204" i="46"/>
  <c r="AX220" i="46"/>
  <c r="AX208" i="46"/>
  <c r="AT204" i="46"/>
  <c r="AX209" i="46"/>
  <c r="AT208" i="46"/>
  <c r="AX224" i="46"/>
  <c r="AX216" i="46"/>
  <c r="AT223" i="46"/>
  <c r="AX212" i="46"/>
  <c r="AX193" i="46"/>
  <c r="AX197" i="46"/>
  <c r="F149" i="46"/>
  <c r="G149" i="46"/>
  <c r="L2" i="55" s="1" a="1"/>
  <c r="L2" i="55" s="1"/>
  <c r="AX223" i="46"/>
  <c r="AT212" i="46"/>
  <c r="AX205" i="46"/>
  <c r="AT224" i="46"/>
  <c r="AX218" i="46"/>
  <c r="AT196" i="46"/>
  <c r="Z5" i="47" l="1"/>
  <c r="J5" i="47"/>
  <c r="X5" i="47"/>
  <c r="T5" i="47"/>
  <c r="R5" i="47"/>
  <c r="AB5" i="47"/>
  <c r="L5" i="47"/>
  <c r="V5" i="47"/>
  <c r="N5" i="47"/>
  <c r="P5" i="47"/>
  <c r="N5" i="46"/>
  <c r="AB5" i="46"/>
  <c r="L5" i="46"/>
  <c r="X5" i="46"/>
  <c r="V5" i="46"/>
  <c r="P5" i="46"/>
  <c r="Z5" i="46"/>
  <c r="T5" i="46"/>
  <c r="R5" i="46"/>
  <c r="J5" i="46"/>
  <c r="AR149" i="47" a="1"/>
  <c r="AR149" i="47" s="1"/>
  <c r="AR149" i="46" a="1"/>
  <c r="AR149" i="46" s="1"/>
  <c r="AA5" i="47" l="1"/>
  <c r="K5" i="47"/>
  <c r="W5" i="46"/>
  <c r="O5" i="46"/>
  <c r="O5" i="47"/>
  <c r="K5" i="46"/>
  <c r="AA5" i="46"/>
  <c r="W5" i="47"/>
  <c r="S5" i="46"/>
  <c r="S5" i="47"/>
  <c r="AB178" i="7"/>
  <c r="AB179" i="7"/>
  <c r="AB180" i="7"/>
  <c r="AB181" i="7"/>
  <c r="AB182" i="7"/>
  <c r="AB183" i="7"/>
  <c r="AB184" i="7"/>
  <c r="AB185" i="7"/>
  <c r="AB186" i="7"/>
  <c r="AB187" i="7"/>
  <c r="AB188" i="7"/>
  <c r="AB189" i="7"/>
  <c r="AB190" i="7"/>
  <c r="AB191" i="7"/>
  <c r="AB192" i="7"/>
  <c r="AB193" i="7"/>
  <c r="AB194" i="7"/>
  <c r="AB195" i="7"/>
  <c r="AB196" i="7"/>
  <c r="AB197" i="7"/>
  <c r="AB198" i="7"/>
  <c r="AB199" i="7"/>
  <c r="AB200" i="7"/>
  <c r="AB201" i="7"/>
  <c r="AB202" i="7"/>
  <c r="AB203" i="7"/>
  <c r="AB204" i="7"/>
  <c r="AB205" i="7"/>
  <c r="AB206" i="7"/>
  <c r="AB207" i="7"/>
  <c r="AB208" i="7"/>
  <c r="AB209" i="7"/>
  <c r="AB210" i="7"/>
  <c r="AB211" i="7"/>
  <c r="AB212" i="7"/>
  <c r="AB213" i="7"/>
  <c r="AB214" i="7"/>
  <c r="AB215" i="7"/>
  <c r="AB216" i="7"/>
  <c r="AB217" i="7"/>
  <c r="AB218" i="7"/>
  <c r="AB219" i="7"/>
  <c r="AB220" i="7"/>
  <c r="AB221" i="7"/>
  <c r="AB222" i="7"/>
  <c r="AB223" i="7"/>
  <c r="AB224" i="7"/>
  <c r="AB225" i="7"/>
  <c r="AB226" i="7"/>
  <c r="AB227" i="7"/>
  <c r="AB228" i="7"/>
  <c r="AB229" i="7"/>
  <c r="AB230" i="7"/>
  <c r="AB231" i="7"/>
  <c r="AB232" i="7"/>
  <c r="AB233" i="7"/>
  <c r="AB234" i="7"/>
  <c r="AB235" i="7"/>
  <c r="AB236" i="7"/>
  <c r="AB237" i="7"/>
  <c r="AB238" i="7"/>
  <c r="AB239" i="7"/>
  <c r="AB240" i="7"/>
  <c r="AB241" i="7"/>
  <c r="AB242" i="7"/>
  <c r="AB243" i="7"/>
  <c r="AB244" i="7"/>
  <c r="AB245" i="7"/>
  <c r="AB246" i="7"/>
  <c r="AB247" i="7"/>
  <c r="AB248" i="7"/>
  <c r="AB249" i="7"/>
  <c r="AB250" i="7"/>
  <c r="Z178" i="7"/>
  <c r="Z179" i="7"/>
  <c r="Z180" i="7"/>
  <c r="Z181" i="7"/>
  <c r="Z182" i="7"/>
  <c r="Z183" i="7"/>
  <c r="Z184" i="7"/>
  <c r="Z185" i="7"/>
  <c r="Z186" i="7"/>
  <c r="Z187" i="7"/>
  <c r="Z188" i="7"/>
  <c r="Z189" i="7"/>
  <c r="Z190" i="7"/>
  <c r="Z191" i="7"/>
  <c r="Z192" i="7"/>
  <c r="Z193" i="7"/>
  <c r="Z194" i="7"/>
  <c r="Z195" i="7"/>
  <c r="Z196" i="7"/>
  <c r="Z197" i="7"/>
  <c r="Z198" i="7"/>
  <c r="Z199" i="7"/>
  <c r="Z200" i="7"/>
  <c r="Z201" i="7"/>
  <c r="Z202" i="7"/>
  <c r="Z203" i="7"/>
  <c r="Z204" i="7"/>
  <c r="Z205" i="7"/>
  <c r="Z206" i="7"/>
  <c r="Z207" i="7"/>
  <c r="Z208" i="7"/>
  <c r="Z209" i="7"/>
  <c r="Z210" i="7"/>
  <c r="Z211" i="7"/>
  <c r="Z212" i="7"/>
  <c r="Z213" i="7"/>
  <c r="Z214" i="7"/>
  <c r="Z215" i="7"/>
  <c r="Z216" i="7"/>
  <c r="Z217" i="7"/>
  <c r="Z218" i="7"/>
  <c r="Z219" i="7"/>
  <c r="Z220" i="7"/>
  <c r="Z221" i="7"/>
  <c r="Z222" i="7"/>
  <c r="Z223" i="7"/>
  <c r="Z224" i="7"/>
  <c r="Z225" i="7"/>
  <c r="Z226" i="7"/>
  <c r="Z227" i="7"/>
  <c r="Z228" i="7"/>
  <c r="Z229" i="7"/>
  <c r="Z230" i="7"/>
  <c r="Z231" i="7"/>
  <c r="Z232" i="7"/>
  <c r="Z233" i="7"/>
  <c r="Z234" i="7"/>
  <c r="Z235" i="7"/>
  <c r="Z236" i="7"/>
  <c r="Z237" i="7"/>
  <c r="Z238" i="7"/>
  <c r="Z239" i="7"/>
  <c r="Z240" i="7"/>
  <c r="Z241" i="7"/>
  <c r="Z242" i="7"/>
  <c r="Z243" i="7"/>
  <c r="Z244" i="7"/>
  <c r="Z245" i="7"/>
  <c r="Z246" i="7"/>
  <c r="Z247" i="7"/>
  <c r="Z248" i="7"/>
  <c r="Z249" i="7"/>
  <c r="Z250" i="7"/>
  <c r="M2" i="52" l="1"/>
  <c r="AA178" i="7"/>
  <c r="AA179" i="7"/>
  <c r="AA180" i="7"/>
  <c r="AA181" i="7"/>
  <c r="AA182" i="7"/>
  <c r="AA183" i="7"/>
  <c r="AA184" i="7"/>
  <c r="AA185" i="7"/>
  <c r="AA186" i="7"/>
  <c r="AA187" i="7"/>
  <c r="AA188" i="7"/>
  <c r="AA189" i="7"/>
  <c r="AA190" i="7"/>
  <c r="AA191" i="7"/>
  <c r="AA192" i="7"/>
  <c r="AA193" i="7"/>
  <c r="AA194" i="7"/>
  <c r="AA195" i="7"/>
  <c r="AA196" i="7"/>
  <c r="AA197" i="7"/>
  <c r="AA198" i="7"/>
  <c r="AA199" i="7"/>
  <c r="AA200" i="7"/>
  <c r="AA201" i="7"/>
  <c r="AA202" i="7"/>
  <c r="AA203" i="7"/>
  <c r="AA204" i="7"/>
  <c r="AA205" i="7"/>
  <c r="AA206" i="7"/>
  <c r="AA207" i="7"/>
  <c r="AA208" i="7"/>
  <c r="AA209" i="7"/>
  <c r="AA210" i="7"/>
  <c r="AA211" i="7"/>
  <c r="AA212" i="7"/>
  <c r="AA213" i="7"/>
  <c r="AA214" i="7"/>
  <c r="AA215" i="7"/>
  <c r="AA216" i="7"/>
  <c r="AA217" i="7"/>
  <c r="AA218" i="7"/>
  <c r="AA219" i="7"/>
  <c r="AA220" i="7"/>
  <c r="AA221" i="7"/>
  <c r="AA222" i="7"/>
  <c r="AA223" i="7"/>
  <c r="AA224" i="7"/>
  <c r="AA225" i="7"/>
  <c r="AA226" i="7"/>
  <c r="AA227" i="7"/>
  <c r="AA228" i="7"/>
  <c r="AA229" i="7"/>
  <c r="AA230" i="7"/>
  <c r="AA231" i="7"/>
  <c r="AA232" i="7"/>
  <c r="AA233" i="7"/>
  <c r="AA234" i="7"/>
  <c r="AA235" i="7"/>
  <c r="AA236" i="7"/>
  <c r="AA237" i="7"/>
  <c r="AA238" i="7"/>
  <c r="AA239" i="7"/>
  <c r="AA240" i="7"/>
  <c r="AA241" i="7"/>
  <c r="AA242" i="7"/>
  <c r="AA243" i="7"/>
  <c r="AA244" i="7"/>
  <c r="AA245" i="7"/>
  <c r="AA246" i="7"/>
  <c r="AA247" i="7"/>
  <c r="AA248" i="7"/>
  <c r="AA249" i="7"/>
  <c r="AA250" i="7"/>
  <c r="Z144" i="47" l="1"/>
  <c r="AB147" i="46"/>
  <c r="Z146" i="47"/>
  <c r="Z146" i="7"/>
  <c r="Z147" i="47"/>
  <c r="Z148" i="47"/>
  <c r="Z147" i="7"/>
  <c r="Z146" i="46"/>
  <c r="Z141" i="47"/>
  <c r="AB145" i="7"/>
  <c r="Z148" i="7"/>
  <c r="Z145" i="7"/>
  <c r="AB145" i="47"/>
  <c r="AB146" i="47"/>
  <c r="AB144" i="47"/>
  <c r="AA144" i="47" s="1"/>
  <c r="Z148" i="46"/>
  <c r="AB148" i="47"/>
  <c r="AB146" i="7"/>
  <c r="AB144" i="46"/>
  <c r="AB147" i="47"/>
  <c r="Z145" i="46"/>
  <c r="AB147" i="7"/>
  <c r="Z144" i="46"/>
  <c r="AB146" i="46"/>
  <c r="Z147" i="46"/>
  <c r="AB148" i="7"/>
  <c r="AB145" i="46"/>
  <c r="AB148" i="46"/>
  <c r="Z145" i="47"/>
  <c r="AA145" i="47" s="1"/>
  <c r="AB75" i="46"/>
  <c r="AB78" i="46"/>
  <c r="Z28" i="46"/>
  <c r="Z74" i="46"/>
  <c r="AB40" i="46"/>
  <c r="AB41" i="46"/>
  <c r="Z31" i="46"/>
  <c r="Z16" i="46"/>
  <c r="Z17" i="46"/>
  <c r="AB20" i="46"/>
  <c r="AB60" i="46"/>
  <c r="AB18" i="46"/>
  <c r="AB82" i="46"/>
  <c r="Z153" i="46"/>
  <c r="Z55" i="46"/>
  <c r="AB48" i="46"/>
  <c r="Z91" i="46"/>
  <c r="AB63" i="46"/>
  <c r="Z51" i="46"/>
  <c r="Z59" i="46"/>
  <c r="Z82" i="46"/>
  <c r="AA82" i="46" s="1"/>
  <c r="Z34" i="46"/>
  <c r="AB97" i="46"/>
  <c r="AB128" i="46"/>
  <c r="AB122" i="46"/>
  <c r="Z152" i="46"/>
  <c r="Z92" i="46"/>
  <c r="Z124" i="46"/>
  <c r="Z175" i="46"/>
  <c r="Z109" i="46"/>
  <c r="AB175" i="46"/>
  <c r="AB109" i="46"/>
  <c r="AB154" i="46"/>
  <c r="AB102" i="46"/>
  <c r="AB137" i="46"/>
  <c r="Z169" i="46"/>
  <c r="Z120" i="46"/>
  <c r="AB162" i="46"/>
  <c r="AB96" i="46"/>
  <c r="AB127" i="46"/>
  <c r="AB21" i="47"/>
  <c r="Z74" i="47"/>
  <c r="Z171" i="47"/>
  <c r="Z17" i="47"/>
  <c r="Z14" i="47"/>
  <c r="AB14" i="47"/>
  <c r="Z44" i="47"/>
  <c r="Z36" i="47"/>
  <c r="Z24" i="47"/>
  <c r="Z81" i="47"/>
  <c r="Z66" i="47"/>
  <c r="AB165" i="47"/>
  <c r="Z67" i="47"/>
  <c r="Z28" i="47"/>
  <c r="AB32" i="47"/>
  <c r="Z163" i="47"/>
  <c r="AB162" i="47"/>
  <c r="AB62" i="47"/>
  <c r="Z53" i="47"/>
  <c r="AB19" i="47"/>
  <c r="AB48" i="47"/>
  <c r="AB70" i="47"/>
  <c r="Z86" i="47"/>
  <c r="AB111" i="47"/>
  <c r="AB141" i="47"/>
  <c r="AA141" i="47" s="1"/>
  <c r="AB106" i="47"/>
  <c r="Z138" i="47"/>
  <c r="AB101" i="47"/>
  <c r="Z125" i="47"/>
  <c r="Z88" i="47"/>
  <c r="AB114" i="47"/>
  <c r="AB143" i="47"/>
  <c r="AB115" i="47"/>
  <c r="AB156" i="47"/>
  <c r="AB110" i="47"/>
  <c r="AB83" i="47"/>
  <c r="Z121" i="47"/>
  <c r="Z85" i="47"/>
  <c r="AB117" i="47"/>
  <c r="AB23" i="46"/>
  <c r="Z25" i="46"/>
  <c r="Z160" i="46"/>
  <c r="AB24" i="46"/>
  <c r="AB27" i="46"/>
  <c r="Z76" i="46"/>
  <c r="Z81" i="46"/>
  <c r="Z171" i="46"/>
  <c r="AB172" i="46"/>
  <c r="AB21" i="46"/>
  <c r="Z61" i="46"/>
  <c r="Z172" i="46"/>
  <c r="Z47" i="46"/>
  <c r="Z161" i="46"/>
  <c r="AB32" i="46"/>
  <c r="Z49" i="46"/>
  <c r="Z99" i="46"/>
  <c r="Z64" i="46"/>
  <c r="AB57" i="46"/>
  <c r="AB65" i="46"/>
  <c r="Z52" i="46"/>
  <c r="AB163" i="46"/>
  <c r="Z98" i="46"/>
  <c r="Z129" i="46"/>
  <c r="Z123" i="46"/>
  <c r="Z165" i="46"/>
  <c r="AB99" i="46"/>
  <c r="AB130" i="46"/>
  <c r="AB22" i="46"/>
  <c r="AB116" i="46"/>
  <c r="Z176" i="46"/>
  <c r="Z110" i="46"/>
  <c r="AB176" i="46"/>
  <c r="Z103" i="46"/>
  <c r="Z138" i="46"/>
  <c r="AB95" i="46"/>
  <c r="AB126" i="46"/>
  <c r="Z163" i="46"/>
  <c r="AA163" i="46" s="1"/>
  <c r="Z97" i="46"/>
  <c r="Z128" i="46"/>
  <c r="AB77" i="47"/>
  <c r="AB16" i="47"/>
  <c r="Z172" i="47"/>
  <c r="AB18" i="47"/>
  <c r="AB17" i="47"/>
  <c r="AB23" i="47"/>
  <c r="Z46" i="47"/>
  <c r="Z37" i="47"/>
  <c r="Z26" i="47"/>
  <c r="AB49" i="47"/>
  <c r="AB71" i="47"/>
  <c r="AB157" i="47"/>
  <c r="Z72" i="47"/>
  <c r="AB173" i="47"/>
  <c r="AB67" i="47"/>
  <c r="Z156" i="47"/>
  <c r="Z155" i="47"/>
  <c r="Z63" i="47"/>
  <c r="AB58" i="47"/>
  <c r="Z20" i="47"/>
  <c r="Z49" i="47"/>
  <c r="Z71" i="47"/>
  <c r="AB169" i="47"/>
  <c r="Z112" i="47"/>
  <c r="Z177" i="47"/>
  <c r="Z107" i="47"/>
  <c r="Z142" i="47"/>
  <c r="Z102" i="47"/>
  <c r="Z128" i="47"/>
  <c r="AB90" i="47"/>
  <c r="Z115" i="47"/>
  <c r="AB91" i="47"/>
  <c r="Z120" i="47"/>
  <c r="Z157" i="47"/>
  <c r="Z116" i="47"/>
  <c r="Z84" i="47"/>
  <c r="AB130" i="47"/>
  <c r="AB168" i="47"/>
  <c r="Z118" i="47"/>
  <c r="AB77" i="46"/>
  <c r="Z26" i="46"/>
  <c r="Z173" i="46"/>
  <c r="AB25" i="46"/>
  <c r="AB28" i="46"/>
  <c r="Z150" i="46"/>
  <c r="AB30" i="46"/>
  <c r="Z19" i="46"/>
  <c r="AB19" i="46"/>
  <c r="Z77" i="46"/>
  <c r="AB67" i="46"/>
  <c r="AB37" i="46"/>
  <c r="AB53" i="46"/>
  <c r="AB86" i="46"/>
  <c r="Z62" i="46"/>
  <c r="AB55" i="46"/>
  <c r="Z107" i="46"/>
  <c r="AB71" i="46"/>
  <c r="Z58" i="46"/>
  <c r="Z66" i="46"/>
  <c r="AB59" i="46"/>
  <c r="Z164" i="46"/>
  <c r="AB105" i="46"/>
  <c r="AB133" i="46"/>
  <c r="AB129" i="46"/>
  <c r="AB156" i="46"/>
  <c r="Z100" i="46"/>
  <c r="Z131" i="46"/>
  <c r="AB88" i="46"/>
  <c r="Z117" i="46"/>
  <c r="Z83" i="46"/>
  <c r="AB117" i="46"/>
  <c r="Z177" i="46"/>
  <c r="AB110" i="46"/>
  <c r="AB161" i="46"/>
  <c r="Z96" i="46"/>
  <c r="AA96" i="46" s="1"/>
  <c r="Z127" i="46"/>
  <c r="AB155" i="46"/>
  <c r="AB104" i="46"/>
  <c r="AB139" i="46"/>
  <c r="AB24" i="47"/>
  <c r="AB28" i="47"/>
  <c r="Z19" i="47"/>
  <c r="AB172" i="47"/>
  <c r="Z23" i="47"/>
  <c r="AA23" i="47" s="1"/>
  <c r="Z38" i="47"/>
  <c r="Z62" i="47"/>
  <c r="AB47" i="47"/>
  <c r="AB36" i="47"/>
  <c r="Z50" i="47"/>
  <c r="AB152" i="47"/>
  <c r="AB88" i="47"/>
  <c r="Z153" i="47"/>
  <c r="Z45" i="47"/>
  <c r="Z68" i="47"/>
  <c r="Z22" i="47"/>
  <c r="AB22" i="47"/>
  <c r="AB69" i="47"/>
  <c r="Z59" i="47"/>
  <c r="AB25" i="47"/>
  <c r="AB53" i="47"/>
  <c r="AB151" i="47"/>
  <c r="Z89" i="47"/>
  <c r="AB118" i="47"/>
  <c r="AB86" i="47"/>
  <c r="AB112" i="47"/>
  <c r="AB154" i="47"/>
  <c r="AB107" i="47"/>
  <c r="AB133" i="47"/>
  <c r="Z91" i="47"/>
  <c r="AB119" i="47"/>
  <c r="Z92" i="47"/>
  <c r="Z126" i="47"/>
  <c r="Z83" i="47"/>
  <c r="AB120" i="47"/>
  <c r="Z168" i="47"/>
  <c r="AA168" i="47" s="1"/>
  <c r="AB136" i="47"/>
  <c r="Z169" i="47"/>
  <c r="AA169" i="47" s="1"/>
  <c r="AB121" i="47"/>
  <c r="Z78" i="46"/>
  <c r="Z35" i="46"/>
  <c r="Z174" i="46"/>
  <c r="AB26" i="46"/>
  <c r="Z29" i="46"/>
  <c r="AB74" i="46"/>
  <c r="Z79" i="46"/>
  <c r="AB14" i="46"/>
  <c r="Z20" i="46"/>
  <c r="AB80" i="46"/>
  <c r="Z68" i="46"/>
  <c r="Z38" i="46"/>
  <c r="Z54" i="46"/>
  <c r="AB45" i="46"/>
  <c r="AB69" i="46"/>
  <c r="Z56" i="46"/>
  <c r="AB79" i="46"/>
  <c r="Z72" i="46"/>
  <c r="AB64" i="46"/>
  <c r="Z151" i="46"/>
  <c r="Z60" i="46"/>
  <c r="AB158" i="46"/>
  <c r="Z106" i="46"/>
  <c r="Z134" i="46"/>
  <c r="Z130" i="46"/>
  <c r="Z157" i="46"/>
  <c r="AB107" i="46"/>
  <c r="AB135" i="46"/>
  <c r="AB92" i="46"/>
  <c r="AB124" i="46"/>
  <c r="Z167" i="46"/>
  <c r="Z118" i="46"/>
  <c r="AB83" i="46"/>
  <c r="Z111" i="46"/>
  <c r="Z162" i="46"/>
  <c r="AB103" i="46"/>
  <c r="AB132" i="46"/>
  <c r="Z158" i="46"/>
  <c r="AA158" i="46" s="1"/>
  <c r="Z105" i="46"/>
  <c r="Z140" i="46"/>
  <c r="AB26" i="47"/>
  <c r="AB29" i="47"/>
  <c r="Z174" i="47"/>
  <c r="Z27" i="47"/>
  <c r="Z39" i="47"/>
  <c r="AB39" i="47"/>
  <c r="Z150" i="47"/>
  <c r="AB150" i="47"/>
  <c r="AB37" i="47"/>
  <c r="AB54" i="47"/>
  <c r="AB166" i="47"/>
  <c r="AB44" i="47"/>
  <c r="AB164" i="47"/>
  <c r="AB82" i="47"/>
  <c r="AB72" i="47"/>
  <c r="AB68" i="47"/>
  <c r="Z167" i="47"/>
  <c r="AB34" i="47"/>
  <c r="AB63" i="47"/>
  <c r="AB38" i="47"/>
  <c r="Z54" i="47"/>
  <c r="AA54" i="47" s="1"/>
  <c r="Z152" i="47"/>
  <c r="AB93" i="47"/>
  <c r="AB122" i="47"/>
  <c r="Z87" i="47"/>
  <c r="Z113" i="47"/>
  <c r="AB177" i="47"/>
  <c r="Z108" i="47"/>
  <c r="Z134" i="47"/>
  <c r="AB95" i="47"/>
  <c r="AB125" i="47"/>
  <c r="AB96" i="47"/>
  <c r="AB129" i="47"/>
  <c r="AB167" i="47"/>
  <c r="AB126" i="47"/>
  <c r="Z98" i="47"/>
  <c r="Z137" i="47"/>
  <c r="Z93" i="47"/>
  <c r="Z122" i="47"/>
  <c r="Z149" i="47"/>
  <c r="Z24" i="46"/>
  <c r="Z36" i="46"/>
  <c r="Z41" i="46"/>
  <c r="AB35" i="46"/>
  <c r="AB159" i="46"/>
  <c r="Z75" i="46"/>
  <c r="AB76" i="46"/>
  <c r="AB15" i="46"/>
  <c r="Z21" i="46"/>
  <c r="AB43" i="46"/>
  <c r="AB34" i="46"/>
  <c r="AB31" i="46"/>
  <c r="AB61" i="46"/>
  <c r="Z46" i="46"/>
  <c r="Z70" i="46"/>
  <c r="AB62" i="46"/>
  <c r="AB49" i="46"/>
  <c r="AB152" i="46"/>
  <c r="Z65" i="46"/>
  <c r="Z166" i="46"/>
  <c r="AB66" i="46"/>
  <c r="AB85" i="46"/>
  <c r="AB113" i="46"/>
  <c r="AB140" i="46"/>
  <c r="AB134" i="46"/>
  <c r="Z22" i="46"/>
  <c r="Z108" i="46"/>
  <c r="Z136" i="46"/>
  <c r="Z93" i="46"/>
  <c r="AB136" i="46"/>
  <c r="AB93" i="46"/>
  <c r="Z125" i="46"/>
  <c r="AB167" i="46"/>
  <c r="AB118" i="46"/>
  <c r="Z155" i="46"/>
  <c r="Z104" i="46"/>
  <c r="Z133" i="46"/>
  <c r="AA133" i="46" s="1"/>
  <c r="AB84" i="46"/>
  <c r="AB112" i="46"/>
  <c r="Z73" i="47"/>
  <c r="Z29" i="47"/>
  <c r="Z42" i="47"/>
  <c r="Z41" i="47"/>
  <c r="Z173" i="47"/>
  <c r="AA173" i="47" s="1"/>
  <c r="Z40" i="47"/>
  <c r="AB40" i="47"/>
  <c r="Z15" i="47"/>
  <c r="AB15" i="47"/>
  <c r="Z30" i="47"/>
  <c r="Z55" i="47"/>
  <c r="AB50" i="47"/>
  <c r="Z82" i="47"/>
  <c r="Z18" i="47"/>
  <c r="Z47" i="47"/>
  <c r="AA47" i="47" s="1"/>
  <c r="Z33" i="47"/>
  <c r="Z69" i="47"/>
  <c r="AB46" i="47"/>
  <c r="Z154" i="47"/>
  <c r="Z64" i="47"/>
  <c r="AB30" i="47"/>
  <c r="AB59" i="47"/>
  <c r="Z166" i="47"/>
  <c r="AA166" i="47" s="1"/>
  <c r="Z94" i="47"/>
  <c r="Z123" i="47"/>
  <c r="AB89" i="47"/>
  <c r="AB123" i="47"/>
  <c r="Z158" i="47"/>
  <c r="AB113" i="47"/>
  <c r="AB138" i="47"/>
  <c r="Z96" i="47"/>
  <c r="AA96" i="47" s="1"/>
  <c r="AB128" i="47"/>
  <c r="Z97" i="47"/>
  <c r="Z135" i="47"/>
  <c r="AB92" i="47"/>
  <c r="Z130" i="47"/>
  <c r="AB104" i="47"/>
  <c r="Z165" i="47"/>
  <c r="AB98" i="47"/>
  <c r="Z127" i="47"/>
  <c r="AB149" i="46"/>
  <c r="AB51" i="46"/>
  <c r="Z39" i="46"/>
  <c r="Z42" i="46"/>
  <c r="AB36" i="46"/>
  <c r="AB160" i="46"/>
  <c r="Z37" i="46"/>
  <c r="Z14" i="46"/>
  <c r="AB170" i="46"/>
  <c r="AB17" i="46"/>
  <c r="Z44" i="46"/>
  <c r="AB90" i="46"/>
  <c r="Z159" i="46"/>
  <c r="Z32" i="46"/>
  <c r="AA32" i="46" s="1"/>
  <c r="AB47" i="46"/>
  <c r="AB153" i="46"/>
  <c r="Z63" i="46"/>
  <c r="Z50" i="46"/>
  <c r="Z87" i="46"/>
  <c r="AB72" i="46"/>
  <c r="AB42" i="46"/>
  <c r="Z67" i="46"/>
  <c r="Z86" i="46"/>
  <c r="Z114" i="46"/>
  <c r="Z141" i="46"/>
  <c r="Z135" i="46"/>
  <c r="AB87" i="46"/>
  <c r="AB115" i="46"/>
  <c r="AB142" i="46"/>
  <c r="AB100" i="46"/>
  <c r="AB143" i="46"/>
  <c r="Z94" i="46"/>
  <c r="AB131" i="46"/>
  <c r="Z168" i="46"/>
  <c r="Z119" i="46"/>
  <c r="AB177" i="46"/>
  <c r="AB111" i="46"/>
  <c r="AB138" i="46"/>
  <c r="Z85" i="46"/>
  <c r="AA85" i="46" s="1"/>
  <c r="Z113" i="46"/>
  <c r="AA113" i="46" s="1"/>
  <c r="AB170" i="47"/>
  <c r="AB43" i="47"/>
  <c r="AB45" i="47"/>
  <c r="AB75" i="47"/>
  <c r="AB174" i="47"/>
  <c r="Z159" i="47"/>
  <c r="AB31" i="47"/>
  <c r="Z78" i="47"/>
  <c r="Z170" i="47"/>
  <c r="AA170" i="47" s="1"/>
  <c r="AB81" i="47"/>
  <c r="AB60" i="47"/>
  <c r="AB55" i="47"/>
  <c r="Z51" i="47"/>
  <c r="AB78" i="47"/>
  <c r="AB51" i="47"/>
  <c r="AB153" i="47"/>
  <c r="AB33" i="47"/>
  <c r="Z79" i="47"/>
  <c r="AB155" i="47"/>
  <c r="Z70" i="47"/>
  <c r="AA70" i="47" s="1"/>
  <c r="Z31" i="47"/>
  <c r="Z60" i="47"/>
  <c r="AA60" i="47" s="1"/>
  <c r="AB158" i="47"/>
  <c r="AB99" i="47"/>
  <c r="AB127" i="47"/>
  <c r="AB94" i="47"/>
  <c r="Z124" i="47"/>
  <c r="AB87" i="47"/>
  <c r="Z114" i="47"/>
  <c r="Z139" i="47"/>
  <c r="AB102" i="47"/>
  <c r="Z129" i="47"/>
  <c r="AA129" i="47" s="1"/>
  <c r="Z103" i="47"/>
  <c r="Z140" i="47"/>
  <c r="AB97" i="47"/>
  <c r="AB135" i="47"/>
  <c r="Z105" i="47"/>
  <c r="AB175" i="47"/>
  <c r="Z99" i="47"/>
  <c r="Z131" i="47"/>
  <c r="AB149" i="47"/>
  <c r="AB150" i="46"/>
  <c r="Z40" i="46"/>
  <c r="AA40" i="46" s="1"/>
  <c r="AB46" i="46"/>
  <c r="AB38" i="46"/>
  <c r="AB173" i="46"/>
  <c r="AB29" i="46"/>
  <c r="Z15" i="46"/>
  <c r="AB16" i="46"/>
  <c r="Z23" i="46"/>
  <c r="AB52" i="46"/>
  <c r="AB98" i="46"/>
  <c r="AB44" i="46"/>
  <c r="AB68" i="46"/>
  <c r="Z48" i="46"/>
  <c r="AB165" i="46"/>
  <c r="AB70" i="46"/>
  <c r="AB56" i="46"/>
  <c r="Z80" i="46"/>
  <c r="AA80" i="46" s="1"/>
  <c r="AB164" i="46"/>
  <c r="Z43" i="46"/>
  <c r="AB151" i="46"/>
  <c r="AB89" i="46"/>
  <c r="AB121" i="46"/>
  <c r="AB114" i="46"/>
  <c r="AB141" i="46"/>
  <c r="Z88" i="46"/>
  <c r="Z116" i="46"/>
  <c r="Z143" i="46"/>
  <c r="Z101" i="46"/>
  <c r="AB166" i="46"/>
  <c r="AB101" i="46"/>
  <c r="Z132" i="46"/>
  <c r="AB94" i="46"/>
  <c r="AB125" i="46"/>
  <c r="Z84" i="46"/>
  <c r="Z112" i="46"/>
  <c r="Z139" i="46"/>
  <c r="AA139" i="46" s="1"/>
  <c r="AB169" i="46"/>
  <c r="AB120" i="46"/>
  <c r="Z16" i="47"/>
  <c r="AB57" i="47"/>
  <c r="AB74" i="47"/>
  <c r="Z76" i="47"/>
  <c r="AB41" i="47"/>
  <c r="Z160" i="47"/>
  <c r="AB159" i="47"/>
  <c r="Z25" i="47"/>
  <c r="Z21" i="47"/>
  <c r="Z43" i="47"/>
  <c r="AA43" i="47" s="1"/>
  <c r="Z61" i="47"/>
  <c r="AB61" i="47"/>
  <c r="Z56" i="47"/>
  <c r="AB35" i="47"/>
  <c r="AB56" i="47"/>
  <c r="Z161" i="47"/>
  <c r="Z34" i="47"/>
  <c r="AB52" i="47"/>
  <c r="AB79" i="47"/>
  <c r="Z151" i="47"/>
  <c r="AB42" i="47"/>
  <c r="AB64" i="47"/>
  <c r="AB176" i="47"/>
  <c r="Z100" i="47"/>
  <c r="AB131" i="47"/>
  <c r="AB100" i="47"/>
  <c r="AB132" i="47"/>
  <c r="Z90" i="47"/>
  <c r="AA90" i="47" s="1"/>
  <c r="Z119" i="47"/>
  <c r="AA119" i="47" s="1"/>
  <c r="AB142" i="47"/>
  <c r="AB108" i="47"/>
  <c r="AB134" i="47"/>
  <c r="AB109" i="47"/>
  <c r="AB163" i="47"/>
  <c r="AB103" i="47"/>
  <c r="Z136" i="47"/>
  <c r="AB116" i="47"/>
  <c r="Z176" i="47"/>
  <c r="AB105" i="47"/>
  <c r="AB137" i="47"/>
  <c r="Z149" i="46"/>
  <c r="Z73" i="46"/>
  <c r="Z27" i="46"/>
  <c r="AB73" i="46"/>
  <c r="AB39" i="46"/>
  <c r="AB174" i="46"/>
  <c r="Z30" i="46"/>
  <c r="AA30" i="46" s="1"/>
  <c r="Z170" i="46"/>
  <c r="AB171" i="46"/>
  <c r="Z18" i="46"/>
  <c r="Z53" i="46"/>
  <c r="AB106" i="46"/>
  <c r="Z45" i="46"/>
  <c r="Z69" i="46"/>
  <c r="AB54" i="46"/>
  <c r="Z156" i="46"/>
  <c r="Z71" i="46"/>
  <c r="Z57" i="46"/>
  <c r="AB50" i="46"/>
  <c r="AB58" i="46"/>
  <c r="AB81" i="46"/>
  <c r="AB33" i="46"/>
  <c r="Z90" i="46"/>
  <c r="Z122" i="46"/>
  <c r="Z115" i="46"/>
  <c r="Z142" i="46"/>
  <c r="AB91" i="46"/>
  <c r="AB123" i="46"/>
  <c r="AB157" i="46"/>
  <c r="AB108" i="46"/>
  <c r="Z154" i="46"/>
  <c r="Z102" i="46"/>
  <c r="Z137" i="46"/>
  <c r="Z95" i="46"/>
  <c r="Z126" i="46"/>
  <c r="AB168" i="46"/>
  <c r="AB119" i="46"/>
  <c r="Z33" i="46"/>
  <c r="AA33" i="46" s="1"/>
  <c r="Z89" i="46"/>
  <c r="AA89" i="46" s="1"/>
  <c r="Z121" i="46"/>
  <c r="AA121" i="46" s="1"/>
  <c r="AB20" i="47"/>
  <c r="AB73" i="47"/>
  <c r="Z75" i="47"/>
  <c r="AB171" i="47"/>
  <c r="AB76" i="47"/>
  <c r="Z52" i="47"/>
  <c r="AA52" i="47" s="1"/>
  <c r="AB160" i="47"/>
  <c r="Z35" i="47"/>
  <c r="Z77" i="47"/>
  <c r="AA77" i="47" s="1"/>
  <c r="AB80" i="47"/>
  <c r="AB65" i="47"/>
  <c r="AB66" i="47"/>
  <c r="Z32" i="47"/>
  <c r="AB27" i="47"/>
  <c r="Z57" i="47"/>
  <c r="AA57" i="47" s="1"/>
  <c r="Z162" i="47"/>
  <c r="AB161" i="47"/>
  <c r="Z58" i="47"/>
  <c r="Z48" i="47"/>
  <c r="AA48" i="47" s="1"/>
  <c r="Z175" i="47"/>
  <c r="Z80" i="47"/>
  <c r="Z65" i="47"/>
  <c r="AB85" i="47"/>
  <c r="Z106" i="47"/>
  <c r="Z132" i="47"/>
  <c r="Z101" i="47"/>
  <c r="Z133" i="47"/>
  <c r="Z95" i="47"/>
  <c r="AB124" i="47"/>
  <c r="Z143" i="47"/>
  <c r="AA143" i="47" s="1"/>
  <c r="Z109" i="47"/>
  <c r="AA109" i="47" s="1"/>
  <c r="AB139" i="47"/>
  <c r="Z110" i="47"/>
  <c r="Z164" i="47"/>
  <c r="Z104" i="47"/>
  <c r="AB140" i="47"/>
  <c r="Z117" i="47"/>
  <c r="AB84" i="47"/>
  <c r="Z111" i="47"/>
  <c r="AA111" i="47" s="1"/>
  <c r="H18" i="11"/>
  <c r="Z7" i="10"/>
  <c r="BF179" i="7"/>
  <c r="BF180" i="7"/>
  <c r="BF181" i="7"/>
  <c r="BF182" i="7"/>
  <c r="BF183" i="7"/>
  <c r="BF184" i="7"/>
  <c r="BF185" i="7"/>
  <c r="BF186" i="7"/>
  <c r="BF187" i="7"/>
  <c r="BF188" i="7"/>
  <c r="BF189" i="7"/>
  <c r="BF190" i="7"/>
  <c r="BF191" i="7"/>
  <c r="BF192" i="7"/>
  <c r="BF193" i="7"/>
  <c r="BF194" i="7"/>
  <c r="BF195" i="7"/>
  <c r="BF196" i="7"/>
  <c r="BF197" i="7"/>
  <c r="BF198" i="7"/>
  <c r="BF199" i="7"/>
  <c r="BF200" i="7"/>
  <c r="BF201" i="7"/>
  <c r="BF202" i="7"/>
  <c r="BF203" i="7"/>
  <c r="BF204" i="7"/>
  <c r="BF205" i="7"/>
  <c r="BF206" i="7"/>
  <c r="BF207" i="7"/>
  <c r="BF208" i="7"/>
  <c r="BF209" i="7"/>
  <c r="BF210" i="7"/>
  <c r="BF211" i="7"/>
  <c r="BF212" i="7"/>
  <c r="BF213" i="7"/>
  <c r="BF214" i="7"/>
  <c r="BF215" i="7"/>
  <c r="BF216" i="7"/>
  <c r="BF217" i="7"/>
  <c r="BF218" i="7"/>
  <c r="BF219" i="7"/>
  <c r="BF220" i="7"/>
  <c r="BF221" i="7"/>
  <c r="BF222" i="7"/>
  <c r="BF223" i="7"/>
  <c r="BF224" i="7"/>
  <c r="BF225" i="7"/>
  <c r="BF226" i="7"/>
  <c r="BF227" i="7"/>
  <c r="BF228" i="7"/>
  <c r="BF229" i="7"/>
  <c r="BF230" i="7"/>
  <c r="BF231" i="7"/>
  <c r="BF232" i="7"/>
  <c r="BF233" i="7"/>
  <c r="BF234" i="7"/>
  <c r="BF235" i="7"/>
  <c r="BF236" i="7"/>
  <c r="BF237" i="7"/>
  <c r="BF238" i="7"/>
  <c r="BF239" i="7"/>
  <c r="BF240" i="7"/>
  <c r="BF241" i="7"/>
  <c r="BF242" i="7"/>
  <c r="BF243" i="7"/>
  <c r="BF244" i="7"/>
  <c r="BF245" i="7"/>
  <c r="BF246" i="7"/>
  <c r="BF247" i="7"/>
  <c r="BF248" i="7"/>
  <c r="BF249" i="7"/>
  <c r="BF250" i="7"/>
  <c r="AC202" i="1"/>
  <c r="BE179" i="7"/>
  <c r="BE180" i="7"/>
  <c r="BE181" i="7"/>
  <c r="BE182" i="7"/>
  <c r="BE183" i="7"/>
  <c r="BE184" i="7"/>
  <c r="BE185" i="7"/>
  <c r="BE186" i="7"/>
  <c r="BE187" i="7"/>
  <c r="BE188" i="7"/>
  <c r="BE189" i="7"/>
  <c r="BE190" i="7"/>
  <c r="BE191" i="7"/>
  <c r="BE192" i="7"/>
  <c r="BE193" i="7"/>
  <c r="BE194" i="7"/>
  <c r="BE195" i="7"/>
  <c r="BE196" i="7"/>
  <c r="BE197" i="7"/>
  <c r="BE198" i="7"/>
  <c r="BE199" i="7"/>
  <c r="BE200" i="7"/>
  <c r="BE201" i="7"/>
  <c r="BE202" i="7"/>
  <c r="BE203" i="7"/>
  <c r="BE204" i="7"/>
  <c r="BE205" i="7"/>
  <c r="BE206" i="7"/>
  <c r="BE207" i="7"/>
  <c r="BE208" i="7"/>
  <c r="BE209" i="7"/>
  <c r="BE210" i="7"/>
  <c r="BE211" i="7"/>
  <c r="BE212" i="7"/>
  <c r="BE213" i="7"/>
  <c r="BE214" i="7"/>
  <c r="BE215" i="7"/>
  <c r="BE216" i="7"/>
  <c r="BE217" i="7"/>
  <c r="BE218" i="7"/>
  <c r="BE219" i="7"/>
  <c r="BE220" i="7"/>
  <c r="BE221" i="7"/>
  <c r="BE222" i="7"/>
  <c r="BE223" i="7"/>
  <c r="BE224" i="7"/>
  <c r="BE225" i="7"/>
  <c r="BE226" i="7"/>
  <c r="BE227" i="7"/>
  <c r="BE228" i="7"/>
  <c r="BE229" i="7"/>
  <c r="BE230" i="7"/>
  <c r="BE231" i="7"/>
  <c r="BE232" i="7"/>
  <c r="BE233" i="7"/>
  <c r="BE234" i="7"/>
  <c r="BE235" i="7"/>
  <c r="BE236" i="7"/>
  <c r="BE237" i="7"/>
  <c r="BE238" i="7"/>
  <c r="BE239" i="7"/>
  <c r="BE240" i="7"/>
  <c r="BE241" i="7"/>
  <c r="BE242" i="7"/>
  <c r="BE243" i="7"/>
  <c r="BE244" i="7"/>
  <c r="BE245" i="7"/>
  <c r="BE246" i="7"/>
  <c r="BE247" i="7"/>
  <c r="BE248" i="7"/>
  <c r="BE249" i="7"/>
  <c r="BE250" i="7"/>
  <c r="AA145" i="7" l="1"/>
  <c r="AA60" i="46"/>
  <c r="AA110" i="47"/>
  <c r="AA137" i="46"/>
  <c r="AA86" i="46"/>
  <c r="AA69" i="46"/>
  <c r="AA165" i="47"/>
  <c r="AA19" i="47"/>
  <c r="AA151" i="47"/>
  <c r="AA130" i="47"/>
  <c r="AA155" i="46"/>
  <c r="AA83" i="47"/>
  <c r="AA126" i="46"/>
  <c r="AA27" i="46"/>
  <c r="AA22" i="46"/>
  <c r="AA45" i="46"/>
  <c r="AA101" i="47"/>
  <c r="AA18" i="46"/>
  <c r="AA112" i="46"/>
  <c r="AA18" i="47"/>
  <c r="AA65" i="46"/>
  <c r="AA82" i="47"/>
  <c r="AA133" i="47"/>
  <c r="AA75" i="47"/>
  <c r="AA53" i="46"/>
  <c r="AA88" i="46"/>
  <c r="AA95" i="46"/>
  <c r="AA24" i="46"/>
  <c r="AA130" i="46"/>
  <c r="AA95" i="47"/>
  <c r="AA69" i="47"/>
  <c r="AA136" i="47"/>
  <c r="AA65" i="47"/>
  <c r="AA176" i="47"/>
  <c r="AA122" i="47"/>
  <c r="AA41" i="46"/>
  <c r="AA162" i="46"/>
  <c r="AA128" i="46"/>
  <c r="AA23" i="46"/>
  <c r="AA115" i="46"/>
  <c r="AA71" i="46"/>
  <c r="AA156" i="46"/>
  <c r="AA90" i="46"/>
  <c r="AA48" i="46"/>
  <c r="AA127" i="46"/>
  <c r="AA143" i="46"/>
  <c r="AA104" i="46"/>
  <c r="AA144" i="46"/>
  <c r="AA84" i="46"/>
  <c r="AA116" i="46"/>
  <c r="AA170" i="46"/>
  <c r="AA15" i="46"/>
  <c r="AA14" i="46"/>
  <c r="AA105" i="46"/>
  <c r="AA150" i="47"/>
  <c r="AA117" i="47"/>
  <c r="AA32" i="47"/>
  <c r="AA43" i="46"/>
  <c r="AA114" i="47"/>
  <c r="AA31" i="47"/>
  <c r="AA159" i="46"/>
  <c r="AA157" i="47"/>
  <c r="AA175" i="47"/>
  <c r="AA77" i="46"/>
  <c r="AA164" i="47"/>
  <c r="AA58" i="47"/>
  <c r="AA57" i="46"/>
  <c r="AA29" i="47"/>
  <c r="AA20" i="46"/>
  <c r="AA78" i="46"/>
  <c r="AA97" i="46"/>
  <c r="AA132" i="47"/>
  <c r="AA34" i="47"/>
  <c r="AA132" i="46"/>
  <c r="AA63" i="46"/>
  <c r="AA62" i="47"/>
  <c r="AA71" i="47"/>
  <c r="AA156" i="47"/>
  <c r="AA106" i="47"/>
  <c r="AA35" i="47"/>
  <c r="AA102" i="46"/>
  <c r="AA25" i="47"/>
  <c r="AA91" i="47"/>
  <c r="AA37" i="46"/>
  <c r="AA67" i="46"/>
  <c r="AA104" i="47"/>
  <c r="AA154" i="47"/>
  <c r="AA142" i="46"/>
  <c r="AA135" i="46"/>
  <c r="AA21" i="46"/>
  <c r="AA115" i="47"/>
  <c r="AA21" i="47"/>
  <c r="AA16" i="47"/>
  <c r="AA162" i="47"/>
  <c r="AA122" i="46"/>
  <c r="AA15" i="47"/>
  <c r="AA49" i="47"/>
  <c r="AA154" i="46"/>
  <c r="AA75" i="46"/>
  <c r="AA152" i="47"/>
  <c r="AA148" i="46"/>
  <c r="AA146" i="46"/>
  <c r="AA80" i="47"/>
  <c r="Z4" i="46"/>
  <c r="AA147" i="7"/>
  <c r="AA148" i="47"/>
  <c r="AA145" i="46"/>
  <c r="AA147" i="47"/>
  <c r="AB4" i="46"/>
  <c r="AA146" i="7"/>
  <c r="Z3" i="46"/>
  <c r="AB3" i="47"/>
  <c r="AB3" i="46"/>
  <c r="Z3" i="47"/>
  <c r="AA175" i="46"/>
  <c r="AA148" i="7"/>
  <c r="AA146" i="47"/>
  <c r="AA100" i="47"/>
  <c r="AB4" i="47"/>
  <c r="Z4" i="47"/>
  <c r="AA99" i="47"/>
  <c r="AA93" i="47"/>
  <c r="AA172" i="46"/>
  <c r="AA147" i="46"/>
  <c r="AA61" i="47"/>
  <c r="AA124" i="47"/>
  <c r="AA119" i="46"/>
  <c r="AA87" i="46"/>
  <c r="AA44" i="46"/>
  <c r="AA39" i="46"/>
  <c r="AA55" i="47"/>
  <c r="AA42" i="47"/>
  <c r="AA36" i="46"/>
  <c r="AA113" i="47"/>
  <c r="AA111" i="46"/>
  <c r="AA157" i="46"/>
  <c r="AA72" i="46"/>
  <c r="AA35" i="46"/>
  <c r="AA126" i="47"/>
  <c r="AA177" i="46"/>
  <c r="AA107" i="46"/>
  <c r="AA112" i="47"/>
  <c r="AA37" i="47"/>
  <c r="AA110" i="46"/>
  <c r="AA129" i="46"/>
  <c r="AA49" i="46"/>
  <c r="AA171" i="46"/>
  <c r="AA86" i="47"/>
  <c r="AA44" i="47"/>
  <c r="AA55" i="46"/>
  <c r="AA31" i="46"/>
  <c r="AA73" i="46"/>
  <c r="AA140" i="47"/>
  <c r="AA79" i="47"/>
  <c r="AA168" i="46"/>
  <c r="AA50" i="46"/>
  <c r="AA135" i="47"/>
  <c r="AA30" i="47"/>
  <c r="AA87" i="47"/>
  <c r="AA167" i="47"/>
  <c r="AA92" i="47"/>
  <c r="AA22" i="47"/>
  <c r="AA19" i="46"/>
  <c r="AA118" i="47"/>
  <c r="AA46" i="47"/>
  <c r="AA176" i="46"/>
  <c r="AA98" i="46"/>
  <c r="AA81" i="46"/>
  <c r="AA85" i="47"/>
  <c r="AA88" i="47"/>
  <c r="AA28" i="47"/>
  <c r="AA109" i="46"/>
  <c r="AA34" i="46"/>
  <c r="AA153" i="46"/>
  <c r="AA149" i="46"/>
  <c r="AA103" i="47"/>
  <c r="AA141" i="46"/>
  <c r="AA97" i="47"/>
  <c r="AA123" i="47"/>
  <c r="AA73" i="47"/>
  <c r="AA125" i="46"/>
  <c r="AA149" i="47"/>
  <c r="AA140" i="46"/>
  <c r="AA118" i="46"/>
  <c r="AA134" i="46"/>
  <c r="AA56" i="46"/>
  <c r="AA89" i="47"/>
  <c r="AA68" i="47"/>
  <c r="AA83" i="46"/>
  <c r="AA62" i="46"/>
  <c r="AA161" i="46"/>
  <c r="AA76" i="46"/>
  <c r="AA121" i="47"/>
  <c r="AA125" i="47"/>
  <c r="AA67" i="47"/>
  <c r="AA14" i="47"/>
  <c r="AA120" i="46"/>
  <c r="AA161" i="47"/>
  <c r="AA131" i="47"/>
  <c r="AA78" i="47"/>
  <c r="AA94" i="46"/>
  <c r="AA114" i="46"/>
  <c r="AA127" i="47"/>
  <c r="AA94" i="47"/>
  <c r="AA33" i="47"/>
  <c r="AA70" i="46"/>
  <c r="AA167" i="46"/>
  <c r="AA106" i="46"/>
  <c r="AA79" i="46"/>
  <c r="AA45" i="47"/>
  <c r="AA38" i="47"/>
  <c r="AA117" i="46"/>
  <c r="AA164" i="46"/>
  <c r="AA150" i="46"/>
  <c r="AA128" i="47"/>
  <c r="AA72" i="47"/>
  <c r="AA52" i="46"/>
  <c r="AA47" i="46"/>
  <c r="AA17" i="47"/>
  <c r="AA169" i="46"/>
  <c r="AA124" i="46"/>
  <c r="AA59" i="46"/>
  <c r="AA74" i="46"/>
  <c r="AA46" i="46"/>
  <c r="AA153" i="47"/>
  <c r="AA84" i="47"/>
  <c r="AA102" i="47"/>
  <c r="AA20" i="47"/>
  <c r="AA138" i="47"/>
  <c r="AA53" i="47"/>
  <c r="AA66" i="47"/>
  <c r="AA171" i="47"/>
  <c r="AA92" i="46"/>
  <c r="AA51" i="46"/>
  <c r="AA28" i="46"/>
  <c r="AA160" i="47"/>
  <c r="AA101" i="46"/>
  <c r="AA139" i="47"/>
  <c r="AA159" i="47"/>
  <c r="AA40" i="47"/>
  <c r="AA93" i="46"/>
  <c r="AA137" i="47"/>
  <c r="AA134" i="47"/>
  <c r="AA39" i="47"/>
  <c r="AA54" i="46"/>
  <c r="AA29" i="46"/>
  <c r="AA131" i="46"/>
  <c r="AA66" i="46"/>
  <c r="AA116" i="47"/>
  <c r="AA142" i="47"/>
  <c r="AA172" i="47"/>
  <c r="AA138" i="46"/>
  <c r="AA61" i="46"/>
  <c r="AA160" i="46"/>
  <c r="AA81" i="47"/>
  <c r="AA74" i="47"/>
  <c r="AA152" i="46"/>
  <c r="AA56" i="47"/>
  <c r="AA105" i="47"/>
  <c r="AA51" i="47"/>
  <c r="AA136" i="46"/>
  <c r="AA166" i="46"/>
  <c r="AA98" i="47"/>
  <c r="AA108" i="47"/>
  <c r="AA27" i="47"/>
  <c r="AA151" i="46"/>
  <c r="AA38" i="46"/>
  <c r="AA59" i="47"/>
  <c r="AA100" i="46"/>
  <c r="AA58" i="46"/>
  <c r="AA173" i="46"/>
  <c r="AA107" i="47"/>
  <c r="AA63" i="47"/>
  <c r="AA103" i="46"/>
  <c r="AA165" i="46"/>
  <c r="AA64" i="46"/>
  <c r="AA25" i="46"/>
  <c r="AA24" i="47"/>
  <c r="AA91" i="46"/>
  <c r="AA17" i="46"/>
  <c r="AA76" i="47"/>
  <c r="AA42" i="46"/>
  <c r="AA158" i="47"/>
  <c r="AA64" i="47"/>
  <c r="AA41" i="47"/>
  <c r="AA108" i="46"/>
  <c r="AA174" i="47"/>
  <c r="AA68" i="46"/>
  <c r="AA174" i="46"/>
  <c r="AA50" i="47"/>
  <c r="AA26" i="46"/>
  <c r="AA120" i="47"/>
  <c r="AA177" i="47"/>
  <c r="AA155" i="47"/>
  <c r="AA26" i="47"/>
  <c r="AA123" i="46"/>
  <c r="AA99" i="46"/>
  <c r="AA163" i="47"/>
  <c r="AA36" i="47"/>
  <c r="AA16" i="46"/>
  <c r="AB16" i="7"/>
  <c r="AB21" i="7"/>
  <c r="AB37" i="7"/>
  <c r="AB31" i="7"/>
  <c r="AB44" i="7"/>
  <c r="AB48" i="7"/>
  <c r="AB73" i="7"/>
  <c r="AB171" i="7"/>
  <c r="AB77" i="7"/>
  <c r="AB38" i="7"/>
  <c r="AB159" i="7"/>
  <c r="AB45" i="7"/>
  <c r="AB74" i="7"/>
  <c r="AB17" i="7"/>
  <c r="AB78" i="7"/>
  <c r="AB39" i="7"/>
  <c r="AB160" i="7"/>
  <c r="AB46" i="7"/>
  <c r="AB75" i="7"/>
  <c r="AB23" i="7"/>
  <c r="AB24" i="7"/>
  <c r="AB40" i="7"/>
  <c r="AB173" i="7"/>
  <c r="AB79" i="7"/>
  <c r="AB76" i="7"/>
  <c r="AB18" i="7"/>
  <c r="AB25" i="7"/>
  <c r="AB27" i="7"/>
  <c r="AB174" i="7"/>
  <c r="AB80" i="7"/>
  <c r="AB14" i="7"/>
  <c r="AB172" i="7"/>
  <c r="AB26" i="7"/>
  <c r="AB28" i="7"/>
  <c r="AB41" i="7"/>
  <c r="AB81" i="7"/>
  <c r="AB15" i="7"/>
  <c r="AB19" i="7"/>
  <c r="AB35" i="7"/>
  <c r="AB29" i="7"/>
  <c r="AB42" i="7"/>
  <c r="AB82" i="7"/>
  <c r="AB36" i="7"/>
  <c r="AB53" i="7"/>
  <c r="AB61" i="7"/>
  <c r="AB68" i="7"/>
  <c r="AB152" i="7"/>
  <c r="AB154" i="7"/>
  <c r="AB22" i="7"/>
  <c r="AB168" i="7"/>
  <c r="AB95" i="7"/>
  <c r="AB103" i="7"/>
  <c r="AB111" i="7"/>
  <c r="AB119" i="7"/>
  <c r="AB127" i="7"/>
  <c r="AB135" i="7"/>
  <c r="AB143" i="7"/>
  <c r="Z74" i="7"/>
  <c r="Z17" i="7"/>
  <c r="Z78" i="7"/>
  <c r="Z39" i="7"/>
  <c r="Z160" i="7"/>
  <c r="Z46" i="7"/>
  <c r="Z50" i="7"/>
  <c r="Z58" i="7"/>
  <c r="Z65" i="7"/>
  <c r="Z33" i="7"/>
  <c r="Z164" i="7"/>
  <c r="Z176" i="7"/>
  <c r="Z87" i="7"/>
  <c r="Z92" i="7"/>
  <c r="Z100" i="7"/>
  <c r="Z108" i="7"/>
  <c r="Z116" i="7"/>
  <c r="Z124" i="7"/>
  <c r="Z132" i="7"/>
  <c r="Z140" i="7"/>
  <c r="AB60" i="7"/>
  <c r="AB102" i="7"/>
  <c r="Z159" i="7"/>
  <c r="Z163" i="7"/>
  <c r="Z115" i="7"/>
  <c r="AB30" i="7"/>
  <c r="AB54" i="7"/>
  <c r="AB32" i="7"/>
  <c r="AB69" i="7"/>
  <c r="AB153" i="7"/>
  <c r="AB155" i="7"/>
  <c r="AB83" i="7"/>
  <c r="AB169" i="7"/>
  <c r="AB96" i="7"/>
  <c r="AB104" i="7"/>
  <c r="AB112" i="7"/>
  <c r="AB120" i="7"/>
  <c r="AB128" i="7"/>
  <c r="AB136" i="7"/>
  <c r="AB144" i="7"/>
  <c r="Z75" i="7"/>
  <c r="Z23" i="7"/>
  <c r="Z24" i="7"/>
  <c r="Z40" i="7"/>
  <c r="Z173" i="7"/>
  <c r="Z79" i="7"/>
  <c r="Z51" i="7"/>
  <c r="Z59" i="7"/>
  <c r="Z66" i="7"/>
  <c r="Z34" i="7"/>
  <c r="Z165" i="7"/>
  <c r="Z177" i="7"/>
  <c r="Z88" i="7"/>
  <c r="Z93" i="7"/>
  <c r="Z101" i="7"/>
  <c r="Z109" i="7"/>
  <c r="Z117" i="7"/>
  <c r="Z125" i="7"/>
  <c r="Z133" i="7"/>
  <c r="Z141" i="7"/>
  <c r="AB167" i="7"/>
  <c r="Z38" i="7"/>
  <c r="Z139" i="7"/>
  <c r="AB43" i="7"/>
  <c r="AB55" i="7"/>
  <c r="AB62" i="7"/>
  <c r="AB70" i="7"/>
  <c r="AB161" i="7"/>
  <c r="AB156" i="7"/>
  <c r="AB84" i="7"/>
  <c r="AB89" i="7"/>
  <c r="AB97" i="7"/>
  <c r="AB105" i="7"/>
  <c r="AB113" i="7"/>
  <c r="AB121" i="7"/>
  <c r="AB129" i="7"/>
  <c r="AB137" i="7"/>
  <c r="Z76" i="7"/>
  <c r="Z18" i="7"/>
  <c r="Z25" i="7"/>
  <c r="Z27" i="7"/>
  <c r="Z174" i="7"/>
  <c r="Z80" i="7"/>
  <c r="Z52" i="7"/>
  <c r="Z60" i="7"/>
  <c r="AA60" i="7" s="1"/>
  <c r="Z67" i="7"/>
  <c r="Z151" i="7"/>
  <c r="Z166" i="7"/>
  <c r="Z158" i="7"/>
  <c r="Z167" i="7"/>
  <c r="Z94" i="7"/>
  <c r="Z102" i="7"/>
  <c r="Z110" i="7"/>
  <c r="Z118" i="7"/>
  <c r="Z126" i="7"/>
  <c r="Z134" i="7"/>
  <c r="Z142" i="7"/>
  <c r="AB166" i="7"/>
  <c r="AB126" i="7"/>
  <c r="Z77" i="7"/>
  <c r="Z72" i="7"/>
  <c r="Z107" i="7"/>
  <c r="AB47" i="7"/>
  <c r="AB56" i="7"/>
  <c r="AB63" i="7"/>
  <c r="AB71" i="7"/>
  <c r="AB162" i="7"/>
  <c r="AB157" i="7"/>
  <c r="AB85" i="7"/>
  <c r="AB90" i="7"/>
  <c r="AB98" i="7"/>
  <c r="AB106" i="7"/>
  <c r="AB114" i="7"/>
  <c r="AB122" i="7"/>
  <c r="AB130" i="7"/>
  <c r="AB138" i="7"/>
  <c r="Z14" i="7"/>
  <c r="Z172" i="7"/>
  <c r="Z26" i="7"/>
  <c r="Z28" i="7"/>
  <c r="Z41" i="7"/>
  <c r="Z81" i="7"/>
  <c r="Z53" i="7"/>
  <c r="AA53" i="7" s="1"/>
  <c r="Z61" i="7"/>
  <c r="AA61" i="7" s="1"/>
  <c r="Z68" i="7"/>
  <c r="AA68" i="7" s="1"/>
  <c r="Z152" i="7"/>
  <c r="AA152" i="7" s="1"/>
  <c r="Z154" i="7"/>
  <c r="AA154" i="7" s="1"/>
  <c r="Z22" i="7"/>
  <c r="AA22" i="7" s="1"/>
  <c r="Z168" i="7"/>
  <c r="AA168" i="7" s="1"/>
  <c r="Z95" i="7"/>
  <c r="AA95" i="7" s="1"/>
  <c r="Z103" i="7"/>
  <c r="AA103" i="7" s="1"/>
  <c r="Z111" i="7"/>
  <c r="AA111" i="7" s="1"/>
  <c r="Z119" i="7"/>
  <c r="AA119" i="7" s="1"/>
  <c r="Z127" i="7"/>
  <c r="AA127" i="7" s="1"/>
  <c r="Z135" i="7"/>
  <c r="AA135" i="7" s="1"/>
  <c r="Z143" i="7"/>
  <c r="AA143" i="7" s="1"/>
  <c r="AB151" i="7"/>
  <c r="AB118" i="7"/>
  <c r="Z57" i="7"/>
  <c r="Z91" i="7"/>
  <c r="AB49" i="7"/>
  <c r="AB57" i="7"/>
  <c r="AB64" i="7"/>
  <c r="AB72" i="7"/>
  <c r="AB163" i="7"/>
  <c r="AB175" i="7"/>
  <c r="AB86" i="7"/>
  <c r="AB91" i="7"/>
  <c r="AB99" i="7"/>
  <c r="AB107" i="7"/>
  <c r="AB115" i="7"/>
  <c r="AB123" i="7"/>
  <c r="AB131" i="7"/>
  <c r="AB139" i="7"/>
  <c r="Z15" i="7"/>
  <c r="Z19" i="7"/>
  <c r="Z35" i="7"/>
  <c r="Z29" i="7"/>
  <c r="Z42" i="7"/>
  <c r="Z82" i="7"/>
  <c r="Z54" i="7"/>
  <c r="Z32" i="7"/>
  <c r="Z69" i="7"/>
  <c r="Z153" i="7"/>
  <c r="Z155" i="7"/>
  <c r="Z83" i="7"/>
  <c r="Z169" i="7"/>
  <c r="Z96" i="7"/>
  <c r="Z104" i="7"/>
  <c r="Z112" i="7"/>
  <c r="Z120" i="7"/>
  <c r="Z128" i="7"/>
  <c r="Z136" i="7"/>
  <c r="Z144" i="7"/>
  <c r="AB67" i="7"/>
  <c r="AB110" i="7"/>
  <c r="Z45" i="7"/>
  <c r="Z175" i="7"/>
  <c r="AA175" i="7" s="1"/>
  <c r="Z123" i="7"/>
  <c r="AB50" i="7"/>
  <c r="AB58" i="7"/>
  <c r="AB65" i="7"/>
  <c r="AB33" i="7"/>
  <c r="AB164" i="7"/>
  <c r="AB176" i="7"/>
  <c r="AB87" i="7"/>
  <c r="AB92" i="7"/>
  <c r="AB100" i="7"/>
  <c r="AB108" i="7"/>
  <c r="AB116" i="7"/>
  <c r="AB124" i="7"/>
  <c r="AB132" i="7"/>
  <c r="AB140" i="7"/>
  <c r="Z170" i="7"/>
  <c r="Z20" i="7"/>
  <c r="Z36" i="7"/>
  <c r="Z30" i="7"/>
  <c r="Z43" i="7"/>
  <c r="Z47" i="7"/>
  <c r="AA47" i="7" s="1"/>
  <c r="Z55" i="7"/>
  <c r="Z62" i="7"/>
  <c r="Z70" i="7"/>
  <c r="Z161" i="7"/>
  <c r="Z156" i="7"/>
  <c r="Z84" i="7"/>
  <c r="Z89" i="7"/>
  <c r="Z97" i="7"/>
  <c r="Z105" i="7"/>
  <c r="Z113" i="7"/>
  <c r="Z121" i="7"/>
  <c r="Z129" i="7"/>
  <c r="Z137" i="7"/>
  <c r="AB20" i="7"/>
  <c r="AB158" i="7"/>
  <c r="AB134" i="7"/>
  <c r="Z171" i="7"/>
  <c r="AA171" i="7" s="1"/>
  <c r="Z64" i="7"/>
  <c r="Z99" i="7"/>
  <c r="AB170" i="7"/>
  <c r="AB51" i="7"/>
  <c r="AB59" i="7"/>
  <c r="AB66" i="7"/>
  <c r="AB34" i="7"/>
  <c r="AB165" i="7"/>
  <c r="AB177" i="7"/>
  <c r="AB88" i="7"/>
  <c r="AB93" i="7"/>
  <c r="AB101" i="7"/>
  <c r="AB109" i="7"/>
  <c r="AB117" i="7"/>
  <c r="AB125" i="7"/>
  <c r="AB133" i="7"/>
  <c r="AB141" i="7"/>
  <c r="Z16" i="7"/>
  <c r="Z21" i="7"/>
  <c r="Z37" i="7"/>
  <c r="Z31" i="7"/>
  <c r="Z44" i="7"/>
  <c r="Z48" i="7"/>
  <c r="Z56" i="7"/>
  <c r="AA56" i="7" s="1"/>
  <c r="Z63" i="7"/>
  <c r="AA63" i="7" s="1"/>
  <c r="Z71" i="7"/>
  <c r="AA71" i="7" s="1"/>
  <c r="Z162" i="7"/>
  <c r="AA162" i="7" s="1"/>
  <c r="Z157" i="7"/>
  <c r="AA157" i="7" s="1"/>
  <c r="Z85" i="7"/>
  <c r="AA85" i="7" s="1"/>
  <c r="Z90" i="7"/>
  <c r="AA90" i="7" s="1"/>
  <c r="Z98" i="7"/>
  <c r="AA98" i="7" s="1"/>
  <c r="Z106" i="7"/>
  <c r="AA106" i="7" s="1"/>
  <c r="Z114" i="7"/>
  <c r="AA114" i="7" s="1"/>
  <c r="Z122" i="7"/>
  <c r="AA122" i="7" s="1"/>
  <c r="Z130" i="7"/>
  <c r="AA130" i="7" s="1"/>
  <c r="Z138" i="7"/>
  <c r="AA138" i="7" s="1"/>
  <c r="AB52" i="7"/>
  <c r="AB94" i="7"/>
  <c r="AB142" i="7"/>
  <c r="Z73" i="7"/>
  <c r="Z49" i="7"/>
  <c r="Z86" i="7"/>
  <c r="Z131" i="7"/>
  <c r="AB150" i="7"/>
  <c r="Z150" i="7"/>
  <c r="V18" i="11"/>
  <c r="R18" i="11"/>
  <c r="S18" i="11"/>
  <c r="U18" i="11"/>
  <c r="W18" i="11"/>
  <c r="Y18" i="11" s="1"/>
  <c r="Q18" i="11"/>
  <c r="AA41" i="7" l="1"/>
  <c r="AA75" i="7"/>
  <c r="AA25" i="7"/>
  <c r="AA159" i="7"/>
  <c r="AA96" i="7"/>
  <c r="AA113" i="7"/>
  <c r="AA30" i="7"/>
  <c r="AA62" i="7"/>
  <c r="AA37" i="7"/>
  <c r="AA36" i="7"/>
  <c r="AA112" i="7"/>
  <c r="AA32" i="7"/>
  <c r="AA174" i="7"/>
  <c r="AA74" i="7"/>
  <c r="AA161" i="7"/>
  <c r="AA15" i="7"/>
  <c r="AA24" i="7"/>
  <c r="AA4" i="46"/>
  <c r="AA129" i="7"/>
  <c r="AA44" i="7"/>
  <c r="AA48" i="7"/>
  <c r="AA14" i="7"/>
  <c r="AA84" i="7"/>
  <c r="AA35" i="7"/>
  <c r="AA73" i="7"/>
  <c r="AA137" i="7"/>
  <c r="AA156" i="7"/>
  <c r="AA19" i="7"/>
  <c r="AA40" i="7"/>
  <c r="AA120" i="7"/>
  <c r="AA69" i="7"/>
  <c r="AA80" i="7"/>
  <c r="AA64" i="7"/>
  <c r="AA42" i="7"/>
  <c r="AA89" i="7"/>
  <c r="AA43" i="7"/>
  <c r="AA144" i="7"/>
  <c r="AA83" i="7"/>
  <c r="AA29" i="7"/>
  <c r="AA172" i="7"/>
  <c r="AA79" i="7"/>
  <c r="AA136" i="7"/>
  <c r="AA155" i="7"/>
  <c r="AA77" i="7"/>
  <c r="AA39" i="7"/>
  <c r="AA16" i="7"/>
  <c r="AA97" i="7"/>
  <c r="AA26" i="7"/>
  <c r="AA76" i="7"/>
  <c r="AA160" i="7"/>
  <c r="AA105" i="7"/>
  <c r="AA55" i="7"/>
  <c r="AA82" i="7"/>
  <c r="AA28" i="7"/>
  <c r="AA169" i="7"/>
  <c r="AA18" i="7"/>
  <c r="AA38" i="7"/>
  <c r="AA46" i="7"/>
  <c r="AA131" i="7"/>
  <c r="AA21" i="7"/>
  <c r="AA173" i="7"/>
  <c r="AA128" i="7"/>
  <c r="AA153" i="7"/>
  <c r="AA3" i="47"/>
  <c r="AA3" i="46"/>
  <c r="AA4" i="47"/>
  <c r="AA20" i="7"/>
  <c r="AA123" i="7"/>
  <c r="AA57" i="7"/>
  <c r="AA94" i="7"/>
  <c r="AA133" i="7"/>
  <c r="AA165" i="7"/>
  <c r="AA132" i="7"/>
  <c r="AA164" i="7"/>
  <c r="AA78" i="7"/>
  <c r="AA102" i="7"/>
  <c r="AA99" i="7"/>
  <c r="AA167" i="7"/>
  <c r="AA17" i="7"/>
  <c r="AA49" i="7"/>
  <c r="AA86" i="7"/>
  <c r="AA121" i="7"/>
  <c r="AA70" i="7"/>
  <c r="AA170" i="7"/>
  <c r="AA81" i="7"/>
  <c r="AA125" i="7"/>
  <c r="AA34" i="7"/>
  <c r="AA23" i="7"/>
  <c r="AA124" i="7"/>
  <c r="AA33" i="7"/>
  <c r="AA45" i="7"/>
  <c r="AA104" i="7"/>
  <c r="AA54" i="7"/>
  <c r="AA142" i="7"/>
  <c r="AA158" i="7"/>
  <c r="AA27" i="7"/>
  <c r="AA117" i="7"/>
  <c r="AA66" i="7"/>
  <c r="AA115" i="7"/>
  <c r="AA116" i="7"/>
  <c r="AA65" i="7"/>
  <c r="AA134" i="7"/>
  <c r="AA166" i="7"/>
  <c r="AA109" i="7"/>
  <c r="AA59" i="7"/>
  <c r="AA163" i="7"/>
  <c r="AA108" i="7"/>
  <c r="AA58" i="7"/>
  <c r="AA126" i="7"/>
  <c r="AA151" i="7"/>
  <c r="AA139" i="7"/>
  <c r="AA101" i="7"/>
  <c r="AA51" i="7"/>
  <c r="AA100" i="7"/>
  <c r="AA50" i="7"/>
  <c r="AA150" i="7"/>
  <c r="AA107" i="7"/>
  <c r="AA118" i="7"/>
  <c r="AA67" i="7"/>
  <c r="AA93" i="7"/>
  <c r="AA92" i="7"/>
  <c r="AA31" i="7"/>
  <c r="AA72" i="7"/>
  <c r="AA110" i="7"/>
  <c r="AA88" i="7"/>
  <c r="AA87" i="7"/>
  <c r="AA91" i="7"/>
  <c r="AA52" i="7"/>
  <c r="AA141" i="7"/>
  <c r="AA177" i="7"/>
  <c r="AA140" i="7"/>
  <c r="AA176" i="7"/>
  <c r="AB149" i="7"/>
  <c r="Z149" i="7"/>
  <c r="M4" i="5" a="1"/>
  <c r="M4" i="5" s="1"/>
  <c r="AA149" i="7" l="1"/>
  <c r="S25" i="41" l="1"/>
  <c r="R25" i="41"/>
  <c r="Q25" i="41"/>
  <c r="O25" i="41"/>
  <c r="N25" i="41"/>
  <c r="M25" i="41"/>
  <c r="K25" i="41"/>
  <c r="J25" i="41"/>
  <c r="I25" i="41"/>
  <c r="V9" i="7" l="1"/>
  <c r="G248" i="7" l="1"/>
  <c r="G249" i="7"/>
  <c r="G250" i="7"/>
  <c r="S250" i="7" l="1"/>
  <c r="T250" i="7" s="1"/>
  <c r="K250" i="7"/>
  <c r="L250" i="7" s="1"/>
  <c r="S249" i="7"/>
  <c r="T249" i="7" s="1"/>
  <c r="K249" i="7"/>
  <c r="L249" i="7" s="1"/>
  <c r="K248" i="7"/>
  <c r="L248" i="7" s="1"/>
  <c r="S248" i="7"/>
  <c r="T248" i="7" s="1"/>
  <c r="AC59" i="1"/>
  <c r="F248" i="7" l="1"/>
  <c r="F249" i="7"/>
  <c r="F250" i="7"/>
  <c r="AC60" i="1"/>
  <c r="A14" i="10" l="1"/>
  <c r="I2" i="52" s="1"/>
  <c r="K2" i="52"/>
  <c r="BA150" i="7" l="1"/>
  <c r="BB150" i="7"/>
  <c r="BA73" i="7"/>
  <c r="BB73" i="7"/>
  <c r="BA74" i="7"/>
  <c r="BB74" i="7"/>
  <c r="BA75" i="7"/>
  <c r="BB75" i="7"/>
  <c r="BA76" i="7"/>
  <c r="BB76" i="7"/>
  <c r="BA14" i="7"/>
  <c r="BB14" i="7"/>
  <c r="BA15" i="7"/>
  <c r="BB15" i="7"/>
  <c r="BA170" i="7"/>
  <c r="BB170" i="7"/>
  <c r="BA16" i="7"/>
  <c r="BB16" i="7"/>
  <c r="BA171" i="7"/>
  <c r="BB171" i="7"/>
  <c r="BA17" i="7"/>
  <c r="BB17" i="7"/>
  <c r="BA23" i="7"/>
  <c r="BB23" i="7"/>
  <c r="BA18" i="7"/>
  <c r="BB18" i="7"/>
  <c r="BA172" i="7"/>
  <c r="BB172" i="7"/>
  <c r="BA19" i="7"/>
  <c r="BB19" i="7"/>
  <c r="BA20" i="7"/>
  <c r="BB20" i="7"/>
  <c r="BA21" i="7"/>
  <c r="BB21" i="7"/>
  <c r="BA77" i="7"/>
  <c r="BB77" i="7"/>
  <c r="BA78" i="7"/>
  <c r="BB78" i="7"/>
  <c r="BA24" i="7"/>
  <c r="BB24" i="7"/>
  <c r="BA25" i="7"/>
  <c r="BB25" i="7"/>
  <c r="BA26" i="7"/>
  <c r="BB26" i="7"/>
  <c r="BA35" i="7"/>
  <c r="BB35" i="7"/>
  <c r="BA36" i="7"/>
  <c r="BB36" i="7"/>
  <c r="BA37" i="7"/>
  <c r="BB37" i="7"/>
  <c r="BA38" i="7"/>
  <c r="BB38" i="7"/>
  <c r="BA39" i="7"/>
  <c r="BB39" i="7"/>
  <c r="BA40" i="7"/>
  <c r="BB40" i="7"/>
  <c r="BA27" i="7"/>
  <c r="BB27" i="7"/>
  <c r="BA28" i="7"/>
  <c r="BB28" i="7"/>
  <c r="BA29" i="7"/>
  <c r="BB29" i="7"/>
  <c r="BA30" i="7"/>
  <c r="BB30" i="7"/>
  <c r="BA31" i="7"/>
  <c r="BB31" i="7"/>
  <c r="BA159" i="7"/>
  <c r="BB159" i="7"/>
  <c r="BA160" i="7"/>
  <c r="BB160" i="7"/>
  <c r="BA173" i="7"/>
  <c r="BB173" i="7"/>
  <c r="BA174" i="7"/>
  <c r="BB174" i="7"/>
  <c r="BA41" i="7"/>
  <c r="BB41" i="7"/>
  <c r="BA42" i="7"/>
  <c r="BB42" i="7"/>
  <c r="BA43" i="7"/>
  <c r="BB43" i="7"/>
  <c r="BA44" i="7"/>
  <c r="BB44" i="7"/>
  <c r="BA45" i="7"/>
  <c r="BB45" i="7"/>
  <c r="BA46" i="7"/>
  <c r="BB46" i="7"/>
  <c r="BA79" i="7"/>
  <c r="BB79" i="7"/>
  <c r="BA80" i="7"/>
  <c r="BB80" i="7"/>
  <c r="BA81" i="7"/>
  <c r="BB81" i="7"/>
  <c r="BA82" i="7"/>
  <c r="BB82" i="7"/>
  <c r="BA47" i="7"/>
  <c r="BB47" i="7"/>
  <c r="BA48" i="7"/>
  <c r="BB48" i="7"/>
  <c r="BA49" i="7"/>
  <c r="BB49" i="7"/>
  <c r="BA50" i="7"/>
  <c r="BB50" i="7"/>
  <c r="BA51" i="7"/>
  <c r="BB51" i="7"/>
  <c r="BA52" i="7"/>
  <c r="BB52" i="7"/>
  <c r="BA53" i="7"/>
  <c r="BB53" i="7"/>
  <c r="BA54" i="7"/>
  <c r="BB54" i="7"/>
  <c r="BA55" i="7"/>
  <c r="BB55" i="7"/>
  <c r="BA56" i="7"/>
  <c r="BB56" i="7"/>
  <c r="BA57" i="7"/>
  <c r="BB57" i="7"/>
  <c r="BA58" i="7"/>
  <c r="BB58" i="7"/>
  <c r="BA59" i="7"/>
  <c r="BB59" i="7"/>
  <c r="BA60" i="7"/>
  <c r="BB60" i="7"/>
  <c r="BA61" i="7"/>
  <c r="BB61" i="7"/>
  <c r="BA32" i="7"/>
  <c r="BB32" i="7"/>
  <c r="BA62" i="7"/>
  <c r="BB62" i="7"/>
  <c r="BA63" i="7"/>
  <c r="BB63" i="7"/>
  <c r="BA64" i="7"/>
  <c r="BB64" i="7"/>
  <c r="BA65" i="7"/>
  <c r="BB65" i="7"/>
  <c r="BA66" i="7"/>
  <c r="BB66" i="7"/>
  <c r="BA67" i="7"/>
  <c r="BB67" i="7"/>
  <c r="BA68" i="7"/>
  <c r="BB68" i="7"/>
  <c r="BA69" i="7"/>
  <c r="BB69" i="7"/>
  <c r="BA70" i="7"/>
  <c r="BB70" i="7"/>
  <c r="BA71" i="7"/>
  <c r="BB71" i="7"/>
  <c r="BA72" i="7"/>
  <c r="BB72" i="7"/>
  <c r="BA33" i="7"/>
  <c r="BB33" i="7"/>
  <c r="BA34" i="7"/>
  <c r="BB34" i="7"/>
  <c r="BA151" i="7"/>
  <c r="BB151" i="7"/>
  <c r="BA152" i="7"/>
  <c r="BB152" i="7"/>
  <c r="BA153" i="7"/>
  <c r="BB153" i="7"/>
  <c r="BA161" i="7"/>
  <c r="BB161" i="7"/>
  <c r="BA162" i="7"/>
  <c r="BB162" i="7"/>
  <c r="BA163" i="7"/>
  <c r="BB163" i="7"/>
  <c r="BA164" i="7"/>
  <c r="BB164" i="7"/>
  <c r="BA165" i="7"/>
  <c r="BB165" i="7"/>
  <c r="BA166" i="7"/>
  <c r="BB166" i="7"/>
  <c r="BA154" i="7"/>
  <c r="BB154" i="7"/>
  <c r="BA155" i="7"/>
  <c r="BB155" i="7"/>
  <c r="BA156" i="7"/>
  <c r="BB156" i="7"/>
  <c r="BA157" i="7"/>
  <c r="BB157" i="7"/>
  <c r="BA175" i="7"/>
  <c r="BB175" i="7"/>
  <c r="BA176" i="7"/>
  <c r="BB176" i="7"/>
  <c r="BA177" i="7"/>
  <c r="BB177" i="7"/>
  <c r="BA158" i="7"/>
  <c r="BB158" i="7"/>
  <c r="BA22" i="7"/>
  <c r="BB22" i="7"/>
  <c r="BA83" i="7"/>
  <c r="BB83" i="7"/>
  <c r="BA84" i="7"/>
  <c r="BB84" i="7"/>
  <c r="BA85" i="7"/>
  <c r="BB85" i="7"/>
  <c r="BA86" i="7"/>
  <c r="BB86" i="7"/>
  <c r="BA87" i="7"/>
  <c r="BB87" i="7"/>
  <c r="BA88" i="7"/>
  <c r="BB88" i="7"/>
  <c r="BA167" i="7"/>
  <c r="BB167" i="7"/>
  <c r="BA168" i="7"/>
  <c r="BB168" i="7"/>
  <c r="BA169" i="7"/>
  <c r="BB169" i="7"/>
  <c r="BA89" i="7"/>
  <c r="BB89" i="7"/>
  <c r="BA90" i="7"/>
  <c r="BB90" i="7"/>
  <c r="BA91" i="7"/>
  <c r="BB91" i="7"/>
  <c r="BA92" i="7"/>
  <c r="BB92" i="7"/>
  <c r="BA93" i="7"/>
  <c r="BB93" i="7"/>
  <c r="BA94" i="7"/>
  <c r="BB94" i="7"/>
  <c r="BA95" i="7"/>
  <c r="BB95" i="7"/>
  <c r="BA96" i="7"/>
  <c r="BB96" i="7"/>
  <c r="BA97" i="7"/>
  <c r="BB97" i="7"/>
  <c r="BA98" i="7"/>
  <c r="BB98" i="7"/>
  <c r="BA99" i="7"/>
  <c r="BB99" i="7"/>
  <c r="BA100" i="7"/>
  <c r="BB100" i="7"/>
  <c r="BA101" i="7"/>
  <c r="BB101" i="7"/>
  <c r="BA102" i="7"/>
  <c r="BB102" i="7"/>
  <c r="BA103" i="7"/>
  <c r="BB103" i="7"/>
  <c r="BA104" i="7"/>
  <c r="BB104" i="7"/>
  <c r="BA105" i="7"/>
  <c r="BB105" i="7"/>
  <c r="BA106" i="7"/>
  <c r="BB106" i="7"/>
  <c r="BA107" i="7"/>
  <c r="BB107" i="7"/>
  <c r="BA108" i="7"/>
  <c r="BB108" i="7"/>
  <c r="BA109" i="7"/>
  <c r="BB109" i="7"/>
  <c r="BA110" i="7"/>
  <c r="BB110" i="7"/>
  <c r="BA111" i="7"/>
  <c r="BB111" i="7"/>
  <c r="BA112" i="7"/>
  <c r="BB112" i="7"/>
  <c r="BA113" i="7"/>
  <c r="BB113" i="7"/>
  <c r="BA114" i="7"/>
  <c r="BB114" i="7"/>
  <c r="BA115" i="7"/>
  <c r="BB115" i="7"/>
  <c r="BA116" i="7"/>
  <c r="BB116" i="7"/>
  <c r="BA117" i="7"/>
  <c r="BB117" i="7"/>
  <c r="BA118" i="7"/>
  <c r="BB118" i="7"/>
  <c r="BA119" i="7"/>
  <c r="BB119" i="7"/>
  <c r="BA120" i="7"/>
  <c r="BB120" i="7"/>
  <c r="BA121" i="7"/>
  <c r="BB121" i="7"/>
  <c r="BA122" i="7"/>
  <c r="BB122" i="7"/>
  <c r="BA123" i="7"/>
  <c r="BB123" i="7"/>
  <c r="BA124" i="7"/>
  <c r="BB124" i="7"/>
  <c r="BA125" i="7"/>
  <c r="BB125" i="7"/>
  <c r="BA126" i="7"/>
  <c r="BB126" i="7"/>
  <c r="BA127" i="7"/>
  <c r="BB127" i="7"/>
  <c r="BA128" i="7"/>
  <c r="BB128" i="7"/>
  <c r="BA129" i="7"/>
  <c r="BB129" i="7"/>
  <c r="BA130" i="7"/>
  <c r="BB130" i="7"/>
  <c r="BA131" i="7"/>
  <c r="BB131" i="7"/>
  <c r="BA132" i="7"/>
  <c r="BB132" i="7"/>
  <c r="BA133" i="7"/>
  <c r="BB133" i="7"/>
  <c r="BA134" i="7"/>
  <c r="BB134" i="7"/>
  <c r="BA135" i="7"/>
  <c r="BB135" i="7"/>
  <c r="BA136" i="7"/>
  <c r="BB136" i="7"/>
  <c r="BA137" i="7"/>
  <c r="BB137" i="7"/>
  <c r="BA138" i="7"/>
  <c r="BB138" i="7"/>
  <c r="BA139" i="7"/>
  <c r="BB139" i="7"/>
  <c r="BA140" i="7"/>
  <c r="BB140" i="7"/>
  <c r="BA141" i="7"/>
  <c r="BB141" i="7"/>
  <c r="BA142" i="7"/>
  <c r="BB142" i="7"/>
  <c r="BA143" i="7"/>
  <c r="BB143" i="7"/>
  <c r="BA144" i="7"/>
  <c r="BB144" i="7"/>
  <c r="BA145" i="7"/>
  <c r="BB145" i="7"/>
  <c r="BA146" i="7"/>
  <c r="BB146" i="7"/>
  <c r="BA147" i="7"/>
  <c r="BB147" i="7"/>
  <c r="BA148" i="7"/>
  <c r="BB148" i="7"/>
  <c r="BA178" i="7"/>
  <c r="BB178" i="7"/>
  <c r="BA179" i="7"/>
  <c r="BB179" i="7"/>
  <c r="BA180" i="7"/>
  <c r="BB180" i="7"/>
  <c r="BA181" i="7"/>
  <c r="BB181" i="7"/>
  <c r="BA182" i="7"/>
  <c r="BB182" i="7"/>
  <c r="BA183" i="7"/>
  <c r="BB183" i="7"/>
  <c r="BA184" i="7"/>
  <c r="BB184" i="7"/>
  <c r="BA185" i="7"/>
  <c r="BB185" i="7"/>
  <c r="BA186" i="7"/>
  <c r="BB186" i="7"/>
  <c r="BA187" i="7"/>
  <c r="BB187" i="7"/>
  <c r="BA188" i="7"/>
  <c r="BB188" i="7"/>
  <c r="BA189" i="7"/>
  <c r="BB189" i="7"/>
  <c r="BA190" i="7"/>
  <c r="BB190" i="7"/>
  <c r="BA191" i="7"/>
  <c r="BB191" i="7"/>
  <c r="BA192" i="7"/>
  <c r="BB192" i="7"/>
  <c r="BA193" i="7"/>
  <c r="BB193" i="7"/>
  <c r="BA194" i="7"/>
  <c r="BB194" i="7"/>
  <c r="BA195" i="7"/>
  <c r="BB195" i="7"/>
  <c r="BA196" i="7"/>
  <c r="BB196" i="7"/>
  <c r="BA197" i="7"/>
  <c r="BB197" i="7"/>
  <c r="BA198" i="7"/>
  <c r="BB198" i="7"/>
  <c r="BA199" i="7"/>
  <c r="BB199" i="7"/>
  <c r="BA200" i="7"/>
  <c r="BB200" i="7"/>
  <c r="BA201" i="7"/>
  <c r="BB201" i="7"/>
  <c r="BA202" i="7"/>
  <c r="BB202" i="7"/>
  <c r="BA203" i="7"/>
  <c r="BB203" i="7"/>
  <c r="BA204" i="7"/>
  <c r="BB204" i="7"/>
  <c r="BA205" i="7"/>
  <c r="BB205" i="7"/>
  <c r="BA206" i="7"/>
  <c r="BB206" i="7"/>
  <c r="BA207" i="7"/>
  <c r="BB207" i="7"/>
  <c r="BA208" i="7"/>
  <c r="BB208" i="7"/>
  <c r="BA209" i="7"/>
  <c r="BB209" i="7"/>
  <c r="BA210" i="7"/>
  <c r="BB210" i="7"/>
  <c r="BA211" i="7"/>
  <c r="BB211" i="7"/>
  <c r="BA212" i="7"/>
  <c r="BB212" i="7"/>
  <c r="BA213" i="7"/>
  <c r="BB213" i="7"/>
  <c r="BA214" i="7"/>
  <c r="BB214" i="7"/>
  <c r="BA215" i="7"/>
  <c r="BB215" i="7"/>
  <c r="BA216" i="7"/>
  <c r="BB216" i="7"/>
  <c r="BA217" i="7"/>
  <c r="BB217" i="7"/>
  <c r="BA218" i="7"/>
  <c r="BB218" i="7"/>
  <c r="BA219" i="7"/>
  <c r="BB219" i="7"/>
  <c r="BA220" i="7"/>
  <c r="BB220" i="7"/>
  <c r="BA221" i="7"/>
  <c r="BB221" i="7"/>
  <c r="BA222" i="7"/>
  <c r="BB222" i="7"/>
  <c r="BA223" i="7"/>
  <c r="BB223" i="7"/>
  <c r="BA224" i="7"/>
  <c r="BB224" i="7"/>
  <c r="BA225" i="7"/>
  <c r="BB225" i="7"/>
  <c r="BA226" i="7"/>
  <c r="BB226" i="7"/>
  <c r="BA227" i="7"/>
  <c r="BB227" i="7"/>
  <c r="BA228" i="7"/>
  <c r="BB228" i="7"/>
  <c r="BA229" i="7"/>
  <c r="BB229" i="7"/>
  <c r="BA230" i="7"/>
  <c r="BB230" i="7"/>
  <c r="BA231" i="7"/>
  <c r="BB231" i="7"/>
  <c r="BA232" i="7"/>
  <c r="BB232" i="7"/>
  <c r="BA233" i="7"/>
  <c r="BB233" i="7"/>
  <c r="BA234" i="7"/>
  <c r="BB234" i="7"/>
  <c r="BA235" i="7"/>
  <c r="BB235" i="7"/>
  <c r="BA236" i="7"/>
  <c r="BB236" i="7"/>
  <c r="BA237" i="7"/>
  <c r="BB237" i="7"/>
  <c r="BA238" i="7"/>
  <c r="BB238" i="7"/>
  <c r="BA239" i="7"/>
  <c r="BB239" i="7"/>
  <c r="BA240" i="7"/>
  <c r="BB240" i="7"/>
  <c r="BA241" i="7"/>
  <c r="BB241" i="7"/>
  <c r="BA242" i="7"/>
  <c r="BB242" i="7"/>
  <c r="BA243" i="7"/>
  <c r="BB243" i="7"/>
  <c r="BA244" i="7"/>
  <c r="BB244" i="7"/>
  <c r="BA245" i="7"/>
  <c r="BB245" i="7"/>
  <c r="BA246" i="7"/>
  <c r="BB246" i="7"/>
  <c r="BA247" i="7"/>
  <c r="BB247" i="7"/>
  <c r="BA248" i="7"/>
  <c r="BB248" i="7"/>
  <c r="BA249" i="7"/>
  <c r="BB249" i="7"/>
  <c r="BA250" i="7"/>
  <c r="BB250" i="7"/>
  <c r="BB149" i="7"/>
  <c r="BA149" i="7"/>
  <c r="AS149" i="7"/>
  <c r="H1" i="7" l="1" a="1"/>
  <c r="H1" i="7" s="1"/>
  <c r="K2" i="5" s="1"/>
  <c r="AS150" i="7" l="1"/>
  <c r="AU150" i="7"/>
  <c r="AW150" i="7"/>
  <c r="AY150" i="7"/>
  <c r="AS73" i="7"/>
  <c r="AU73" i="7"/>
  <c r="AW73" i="7"/>
  <c r="AY73" i="7"/>
  <c r="AS74" i="7"/>
  <c r="AU74" i="7"/>
  <c r="AW74" i="7"/>
  <c r="AY74" i="7"/>
  <c r="AS75" i="7"/>
  <c r="AU75" i="7"/>
  <c r="AW75" i="7"/>
  <c r="AY75" i="7"/>
  <c r="AS76" i="7"/>
  <c r="AU76" i="7"/>
  <c r="AW76" i="7"/>
  <c r="AY76" i="7"/>
  <c r="AS14" i="7"/>
  <c r="AU14" i="7"/>
  <c r="AW14" i="7"/>
  <c r="AY14" i="7"/>
  <c r="AS15" i="7"/>
  <c r="AU15" i="7"/>
  <c r="AW15" i="7"/>
  <c r="AY15" i="7"/>
  <c r="AS170" i="7"/>
  <c r="AU170" i="7"/>
  <c r="AW170" i="7"/>
  <c r="AY170" i="7"/>
  <c r="AS16" i="7"/>
  <c r="AU16" i="7"/>
  <c r="AW16" i="7"/>
  <c r="AY16" i="7"/>
  <c r="AS171" i="7"/>
  <c r="AU171" i="7"/>
  <c r="AW171" i="7"/>
  <c r="AY171" i="7"/>
  <c r="AS17" i="7"/>
  <c r="AU17" i="7"/>
  <c r="AW17" i="7"/>
  <c r="AY17" i="7"/>
  <c r="AS23" i="7"/>
  <c r="AU23" i="7"/>
  <c r="AW23" i="7"/>
  <c r="AY23" i="7"/>
  <c r="AS18" i="7"/>
  <c r="AU18" i="7"/>
  <c r="AW18" i="7"/>
  <c r="AY18" i="7"/>
  <c r="AS172" i="7"/>
  <c r="AU172" i="7"/>
  <c r="AW172" i="7"/>
  <c r="AY172" i="7"/>
  <c r="AS19" i="7"/>
  <c r="AU19" i="7"/>
  <c r="AW19" i="7"/>
  <c r="AY19" i="7"/>
  <c r="AS20" i="7"/>
  <c r="AU20" i="7"/>
  <c r="AW20" i="7"/>
  <c r="AY20" i="7"/>
  <c r="AS21" i="7"/>
  <c r="AU21" i="7"/>
  <c r="AW21" i="7"/>
  <c r="AY21" i="7"/>
  <c r="AS77" i="7"/>
  <c r="AU77" i="7"/>
  <c r="AW77" i="7"/>
  <c r="AY77" i="7"/>
  <c r="AS78" i="7"/>
  <c r="AU78" i="7"/>
  <c r="AW78" i="7"/>
  <c r="AY78" i="7"/>
  <c r="AS24" i="7"/>
  <c r="AU24" i="7"/>
  <c r="AW24" i="7"/>
  <c r="AY24" i="7"/>
  <c r="AS25" i="7"/>
  <c r="AU25" i="7"/>
  <c r="AW25" i="7"/>
  <c r="AY25" i="7"/>
  <c r="AS26" i="7"/>
  <c r="AU26" i="7"/>
  <c r="AW26" i="7"/>
  <c r="AY26" i="7"/>
  <c r="AS35" i="7"/>
  <c r="AU35" i="7"/>
  <c r="AW35" i="7"/>
  <c r="AY35" i="7"/>
  <c r="AS36" i="7"/>
  <c r="AU36" i="7"/>
  <c r="AW36" i="7"/>
  <c r="AY36" i="7"/>
  <c r="AS37" i="7"/>
  <c r="AU37" i="7"/>
  <c r="AW37" i="7"/>
  <c r="AY37" i="7"/>
  <c r="AS38" i="7"/>
  <c r="AU38" i="7"/>
  <c r="AW38" i="7"/>
  <c r="AY38" i="7"/>
  <c r="AS39" i="7"/>
  <c r="AU39" i="7"/>
  <c r="AW39" i="7"/>
  <c r="AY39" i="7"/>
  <c r="AS40" i="7"/>
  <c r="AU40" i="7"/>
  <c r="AW40" i="7"/>
  <c r="AY40" i="7"/>
  <c r="AS27" i="7"/>
  <c r="AU27" i="7"/>
  <c r="AW27" i="7"/>
  <c r="AY27" i="7"/>
  <c r="AS28" i="7"/>
  <c r="AU28" i="7"/>
  <c r="AW28" i="7"/>
  <c r="AY28" i="7"/>
  <c r="AS29" i="7"/>
  <c r="AU29" i="7"/>
  <c r="AW29" i="7"/>
  <c r="AY29" i="7"/>
  <c r="AS30" i="7"/>
  <c r="AU30" i="7"/>
  <c r="AW30" i="7"/>
  <c r="AY30" i="7"/>
  <c r="AS31" i="7"/>
  <c r="AU31" i="7"/>
  <c r="AW31" i="7"/>
  <c r="AY31" i="7"/>
  <c r="AS159" i="7"/>
  <c r="AU159" i="7"/>
  <c r="AW159" i="7"/>
  <c r="AY159" i="7"/>
  <c r="AS160" i="7"/>
  <c r="AU160" i="7"/>
  <c r="AW160" i="7"/>
  <c r="AY160" i="7"/>
  <c r="AS173" i="7"/>
  <c r="AU173" i="7"/>
  <c r="AW173" i="7"/>
  <c r="AY173" i="7"/>
  <c r="AS174" i="7"/>
  <c r="AU174" i="7"/>
  <c r="AW174" i="7"/>
  <c r="AY174" i="7"/>
  <c r="AS41" i="7"/>
  <c r="AU41" i="7"/>
  <c r="AW41" i="7"/>
  <c r="AY41" i="7"/>
  <c r="AS42" i="7"/>
  <c r="AU42" i="7"/>
  <c r="AW42" i="7"/>
  <c r="AY42" i="7"/>
  <c r="AS43" i="7"/>
  <c r="AU43" i="7"/>
  <c r="AW43" i="7"/>
  <c r="AY43" i="7"/>
  <c r="AS44" i="7"/>
  <c r="AU44" i="7"/>
  <c r="AW44" i="7"/>
  <c r="AY44" i="7"/>
  <c r="AS45" i="7"/>
  <c r="AU45" i="7"/>
  <c r="AW45" i="7"/>
  <c r="AY45" i="7"/>
  <c r="AS46" i="7"/>
  <c r="AU46" i="7"/>
  <c r="AW46" i="7"/>
  <c r="AY46" i="7"/>
  <c r="AS79" i="7"/>
  <c r="AU79" i="7"/>
  <c r="AW79" i="7"/>
  <c r="AY79" i="7"/>
  <c r="AS80" i="7"/>
  <c r="AU80" i="7"/>
  <c r="AW80" i="7"/>
  <c r="AY80" i="7"/>
  <c r="AS81" i="7"/>
  <c r="AU81" i="7"/>
  <c r="AW81" i="7"/>
  <c r="AY81" i="7"/>
  <c r="AS82" i="7"/>
  <c r="AU82" i="7"/>
  <c r="AW82" i="7"/>
  <c r="AY82" i="7"/>
  <c r="AS47" i="7"/>
  <c r="AU47" i="7"/>
  <c r="AW47" i="7"/>
  <c r="AY47" i="7"/>
  <c r="AS48" i="7"/>
  <c r="AU48" i="7"/>
  <c r="AW48" i="7"/>
  <c r="AY48" i="7"/>
  <c r="AS49" i="7"/>
  <c r="AU49" i="7"/>
  <c r="AW49" i="7"/>
  <c r="AY49" i="7"/>
  <c r="AS50" i="7"/>
  <c r="AU50" i="7"/>
  <c r="AW50" i="7"/>
  <c r="AY50" i="7"/>
  <c r="AS51" i="7"/>
  <c r="AU51" i="7"/>
  <c r="AW51" i="7"/>
  <c r="AY51" i="7"/>
  <c r="AS52" i="7"/>
  <c r="AU52" i="7"/>
  <c r="AW52" i="7"/>
  <c r="AY52" i="7"/>
  <c r="AS53" i="7"/>
  <c r="AU53" i="7"/>
  <c r="AW53" i="7"/>
  <c r="AY53" i="7"/>
  <c r="AS54" i="7"/>
  <c r="AU54" i="7"/>
  <c r="AW54" i="7"/>
  <c r="AY54" i="7"/>
  <c r="AS55" i="7"/>
  <c r="AU55" i="7"/>
  <c r="AW55" i="7"/>
  <c r="AY55" i="7"/>
  <c r="AS56" i="7"/>
  <c r="AU56" i="7"/>
  <c r="AW56" i="7"/>
  <c r="AY56" i="7"/>
  <c r="AS57" i="7"/>
  <c r="AU57" i="7"/>
  <c r="AW57" i="7"/>
  <c r="AY57" i="7"/>
  <c r="AS58" i="7"/>
  <c r="AU58" i="7"/>
  <c r="AW58" i="7"/>
  <c r="AY58" i="7"/>
  <c r="AS59" i="7"/>
  <c r="AU59" i="7"/>
  <c r="AW59" i="7"/>
  <c r="AY59" i="7"/>
  <c r="AS60" i="7"/>
  <c r="AU60" i="7"/>
  <c r="AW60" i="7"/>
  <c r="AY60" i="7"/>
  <c r="AS61" i="7"/>
  <c r="AU61" i="7"/>
  <c r="AW61" i="7"/>
  <c r="AY61" i="7"/>
  <c r="AS32" i="7"/>
  <c r="AU32" i="7"/>
  <c r="AW32" i="7"/>
  <c r="AY32" i="7"/>
  <c r="AS62" i="7"/>
  <c r="AU62" i="7"/>
  <c r="AW62" i="7"/>
  <c r="AY62" i="7"/>
  <c r="AS63" i="7"/>
  <c r="AU63" i="7"/>
  <c r="AW63" i="7"/>
  <c r="AY63" i="7"/>
  <c r="AS64" i="7"/>
  <c r="AU64" i="7"/>
  <c r="AW64" i="7"/>
  <c r="AY64" i="7"/>
  <c r="AS65" i="7"/>
  <c r="AU65" i="7"/>
  <c r="AW65" i="7"/>
  <c r="AY65" i="7"/>
  <c r="AS66" i="7"/>
  <c r="AU66" i="7"/>
  <c r="AW66" i="7"/>
  <c r="AY66" i="7"/>
  <c r="AS67" i="7"/>
  <c r="AU67" i="7"/>
  <c r="AW67" i="7"/>
  <c r="AY67" i="7"/>
  <c r="AS68" i="7"/>
  <c r="AU68" i="7"/>
  <c r="AW68" i="7"/>
  <c r="AY68" i="7"/>
  <c r="AS69" i="7"/>
  <c r="AU69" i="7"/>
  <c r="AW69" i="7"/>
  <c r="AY69" i="7"/>
  <c r="AS70" i="7"/>
  <c r="AU70" i="7"/>
  <c r="AW70" i="7"/>
  <c r="AY70" i="7"/>
  <c r="AS71" i="7"/>
  <c r="AU71" i="7"/>
  <c r="AW71" i="7"/>
  <c r="AY71" i="7"/>
  <c r="AS72" i="7"/>
  <c r="AU72" i="7"/>
  <c r="AW72" i="7"/>
  <c r="AY72" i="7"/>
  <c r="AS33" i="7"/>
  <c r="AU33" i="7"/>
  <c r="AW33" i="7"/>
  <c r="AY33" i="7"/>
  <c r="AS34" i="7"/>
  <c r="AU34" i="7"/>
  <c r="AW34" i="7"/>
  <c r="AY34" i="7"/>
  <c r="AS151" i="7"/>
  <c r="AU151" i="7"/>
  <c r="AW151" i="7"/>
  <c r="AY151" i="7"/>
  <c r="AS152" i="7"/>
  <c r="AU152" i="7"/>
  <c r="AW152" i="7"/>
  <c r="AY152" i="7"/>
  <c r="AS153" i="7"/>
  <c r="AU153" i="7"/>
  <c r="AW153" i="7"/>
  <c r="AY153" i="7"/>
  <c r="AS161" i="7"/>
  <c r="AU161" i="7"/>
  <c r="AW161" i="7"/>
  <c r="AY161" i="7"/>
  <c r="AS162" i="7"/>
  <c r="AU162" i="7"/>
  <c r="AW162" i="7"/>
  <c r="AY162" i="7"/>
  <c r="AS163" i="7"/>
  <c r="AU163" i="7"/>
  <c r="AW163" i="7"/>
  <c r="AY163" i="7"/>
  <c r="AS164" i="7"/>
  <c r="AU164" i="7"/>
  <c r="AW164" i="7"/>
  <c r="AY164" i="7"/>
  <c r="AS165" i="7"/>
  <c r="AU165" i="7"/>
  <c r="AW165" i="7"/>
  <c r="AY165" i="7"/>
  <c r="AS166" i="7"/>
  <c r="AU166" i="7"/>
  <c r="AW166" i="7"/>
  <c r="AY166" i="7"/>
  <c r="AS154" i="7"/>
  <c r="AU154" i="7"/>
  <c r="AW154" i="7"/>
  <c r="AY154" i="7"/>
  <c r="AS155" i="7"/>
  <c r="AU155" i="7"/>
  <c r="AW155" i="7"/>
  <c r="AY155" i="7"/>
  <c r="AS156" i="7"/>
  <c r="AU156" i="7"/>
  <c r="AW156" i="7"/>
  <c r="AY156" i="7"/>
  <c r="AS157" i="7"/>
  <c r="AU157" i="7"/>
  <c r="AW157" i="7"/>
  <c r="AY157" i="7"/>
  <c r="AS175" i="7"/>
  <c r="AU175" i="7"/>
  <c r="AW175" i="7"/>
  <c r="AY175" i="7"/>
  <c r="AS176" i="7"/>
  <c r="AU176" i="7"/>
  <c r="AW176" i="7"/>
  <c r="AY176" i="7"/>
  <c r="AS177" i="7"/>
  <c r="AU177" i="7"/>
  <c r="AW177" i="7"/>
  <c r="AY177" i="7"/>
  <c r="AS158" i="7"/>
  <c r="AU158" i="7"/>
  <c r="AW158" i="7"/>
  <c r="AY158" i="7"/>
  <c r="AS22" i="7"/>
  <c r="AU22" i="7"/>
  <c r="AW22" i="7"/>
  <c r="AY22" i="7"/>
  <c r="AS83" i="7"/>
  <c r="AU83" i="7"/>
  <c r="AW83" i="7"/>
  <c r="AY83" i="7"/>
  <c r="AS84" i="7"/>
  <c r="AU84" i="7"/>
  <c r="AW84" i="7"/>
  <c r="AY84" i="7"/>
  <c r="AS85" i="7"/>
  <c r="AU85" i="7"/>
  <c r="AW85" i="7"/>
  <c r="AY85" i="7"/>
  <c r="AS86" i="7"/>
  <c r="AU86" i="7"/>
  <c r="AW86" i="7"/>
  <c r="AY86" i="7"/>
  <c r="AS87" i="7"/>
  <c r="AU87" i="7"/>
  <c r="AW87" i="7"/>
  <c r="AY87" i="7"/>
  <c r="AS88" i="7"/>
  <c r="AU88" i="7"/>
  <c r="AW88" i="7"/>
  <c r="AY88" i="7"/>
  <c r="AS167" i="7"/>
  <c r="AU167" i="7"/>
  <c r="AW167" i="7"/>
  <c r="AY167" i="7"/>
  <c r="AS168" i="7"/>
  <c r="AU168" i="7"/>
  <c r="AW168" i="7"/>
  <c r="AY168" i="7"/>
  <c r="AS169" i="7"/>
  <c r="AU169" i="7"/>
  <c r="AW169" i="7"/>
  <c r="AY169" i="7"/>
  <c r="AS89" i="7"/>
  <c r="AU89" i="7"/>
  <c r="AW89" i="7"/>
  <c r="AY89" i="7"/>
  <c r="AS90" i="7"/>
  <c r="AU90" i="7"/>
  <c r="AW90" i="7"/>
  <c r="AY90" i="7"/>
  <c r="AS91" i="7"/>
  <c r="AU91" i="7"/>
  <c r="AW91" i="7"/>
  <c r="AY91" i="7"/>
  <c r="AS92" i="7"/>
  <c r="AU92" i="7"/>
  <c r="AW92" i="7"/>
  <c r="AY92" i="7"/>
  <c r="AS93" i="7"/>
  <c r="AU93" i="7"/>
  <c r="AW93" i="7"/>
  <c r="AY93" i="7"/>
  <c r="AS94" i="7"/>
  <c r="AU94" i="7"/>
  <c r="AW94" i="7"/>
  <c r="AY94" i="7"/>
  <c r="AS95" i="7"/>
  <c r="AU95" i="7"/>
  <c r="AW95" i="7"/>
  <c r="AY95" i="7"/>
  <c r="AS96" i="7"/>
  <c r="AU96" i="7"/>
  <c r="AW96" i="7"/>
  <c r="AY96" i="7"/>
  <c r="AS97" i="7"/>
  <c r="AU97" i="7"/>
  <c r="AW97" i="7"/>
  <c r="AY97" i="7"/>
  <c r="AS98" i="7"/>
  <c r="AU98" i="7"/>
  <c r="AW98" i="7"/>
  <c r="AY98" i="7"/>
  <c r="AS99" i="7"/>
  <c r="AU99" i="7"/>
  <c r="AW99" i="7"/>
  <c r="AY99" i="7"/>
  <c r="AS100" i="7"/>
  <c r="AU100" i="7"/>
  <c r="AW100" i="7"/>
  <c r="AY100" i="7"/>
  <c r="AS101" i="7"/>
  <c r="AU101" i="7"/>
  <c r="AW101" i="7"/>
  <c r="AY101" i="7"/>
  <c r="AS102" i="7"/>
  <c r="AU102" i="7"/>
  <c r="AW102" i="7"/>
  <c r="AY102" i="7"/>
  <c r="AS103" i="7"/>
  <c r="AU103" i="7"/>
  <c r="AW103" i="7"/>
  <c r="AY103" i="7"/>
  <c r="AS104" i="7"/>
  <c r="AU104" i="7"/>
  <c r="AW104" i="7"/>
  <c r="AY104" i="7"/>
  <c r="AS105" i="7"/>
  <c r="AU105" i="7"/>
  <c r="AW105" i="7"/>
  <c r="AY105" i="7"/>
  <c r="AS106" i="7"/>
  <c r="AU106" i="7"/>
  <c r="AW106" i="7"/>
  <c r="AY106" i="7"/>
  <c r="AS107" i="7"/>
  <c r="AU107" i="7"/>
  <c r="AW107" i="7"/>
  <c r="AY107" i="7"/>
  <c r="AS108" i="7"/>
  <c r="AU108" i="7"/>
  <c r="AW108" i="7"/>
  <c r="AY108" i="7"/>
  <c r="AS109" i="7"/>
  <c r="AU109" i="7"/>
  <c r="AW109" i="7"/>
  <c r="AY109" i="7"/>
  <c r="AS110" i="7"/>
  <c r="AU110" i="7"/>
  <c r="AW110" i="7"/>
  <c r="AY110" i="7"/>
  <c r="AS111" i="7"/>
  <c r="AU111" i="7"/>
  <c r="AW111" i="7"/>
  <c r="AY111" i="7"/>
  <c r="AS112" i="7"/>
  <c r="AU112" i="7"/>
  <c r="AW112" i="7"/>
  <c r="AY112" i="7"/>
  <c r="AS113" i="7"/>
  <c r="AU113" i="7"/>
  <c r="AW113" i="7"/>
  <c r="AY113" i="7"/>
  <c r="AS114" i="7"/>
  <c r="AU114" i="7"/>
  <c r="AW114" i="7"/>
  <c r="AY114" i="7"/>
  <c r="AS115" i="7"/>
  <c r="AU115" i="7"/>
  <c r="AW115" i="7"/>
  <c r="AY115" i="7"/>
  <c r="AS116" i="7"/>
  <c r="AU116" i="7"/>
  <c r="AW116" i="7"/>
  <c r="AY116" i="7"/>
  <c r="AS117" i="7"/>
  <c r="AU117" i="7"/>
  <c r="AW117" i="7"/>
  <c r="AY117" i="7"/>
  <c r="AS118" i="7"/>
  <c r="AU118" i="7"/>
  <c r="AW118" i="7"/>
  <c r="AY118" i="7"/>
  <c r="AS119" i="7"/>
  <c r="AU119" i="7"/>
  <c r="AW119" i="7"/>
  <c r="AY119" i="7"/>
  <c r="AS120" i="7"/>
  <c r="AU120" i="7"/>
  <c r="AW120" i="7"/>
  <c r="AY120" i="7"/>
  <c r="AS121" i="7"/>
  <c r="AU121" i="7"/>
  <c r="AW121" i="7"/>
  <c r="AY121" i="7"/>
  <c r="AS122" i="7"/>
  <c r="AU122" i="7"/>
  <c r="AW122" i="7"/>
  <c r="AY122" i="7"/>
  <c r="AS123" i="7"/>
  <c r="AU123" i="7"/>
  <c r="AW123" i="7"/>
  <c r="AY123" i="7"/>
  <c r="AS124" i="7"/>
  <c r="AU124" i="7"/>
  <c r="AW124" i="7"/>
  <c r="AY124" i="7"/>
  <c r="AS125" i="7"/>
  <c r="AU125" i="7"/>
  <c r="AW125" i="7"/>
  <c r="AY125" i="7"/>
  <c r="AS126" i="7"/>
  <c r="AU126" i="7"/>
  <c r="AW126" i="7"/>
  <c r="AY126" i="7"/>
  <c r="AS127" i="7"/>
  <c r="AU127" i="7"/>
  <c r="AW127" i="7"/>
  <c r="AY127" i="7"/>
  <c r="AS128" i="7"/>
  <c r="AU128" i="7"/>
  <c r="AW128" i="7"/>
  <c r="AY128" i="7"/>
  <c r="AS129" i="7"/>
  <c r="AU129" i="7"/>
  <c r="AW129" i="7"/>
  <c r="AY129" i="7"/>
  <c r="AS130" i="7"/>
  <c r="AU130" i="7"/>
  <c r="AW130" i="7"/>
  <c r="AY130" i="7"/>
  <c r="AS131" i="7"/>
  <c r="AU131" i="7"/>
  <c r="AW131" i="7"/>
  <c r="AY131" i="7"/>
  <c r="AS132" i="7"/>
  <c r="AU132" i="7"/>
  <c r="AW132" i="7"/>
  <c r="AY132" i="7"/>
  <c r="AS133" i="7"/>
  <c r="AU133" i="7"/>
  <c r="AW133" i="7"/>
  <c r="AY133" i="7"/>
  <c r="AS134" i="7"/>
  <c r="AU134" i="7"/>
  <c r="AW134" i="7"/>
  <c r="AY134" i="7"/>
  <c r="AS135" i="7"/>
  <c r="AU135" i="7"/>
  <c r="AW135" i="7"/>
  <c r="AY135" i="7"/>
  <c r="AS136" i="7"/>
  <c r="AU136" i="7"/>
  <c r="AW136" i="7"/>
  <c r="AY136" i="7"/>
  <c r="AS137" i="7"/>
  <c r="AU137" i="7"/>
  <c r="AW137" i="7"/>
  <c r="AY137" i="7"/>
  <c r="AS138" i="7"/>
  <c r="AU138" i="7"/>
  <c r="AW138" i="7"/>
  <c r="AY138" i="7"/>
  <c r="AS139" i="7"/>
  <c r="AU139" i="7"/>
  <c r="AW139" i="7"/>
  <c r="AY139" i="7"/>
  <c r="AS140" i="7"/>
  <c r="AU140" i="7"/>
  <c r="AW140" i="7"/>
  <c r="AY140" i="7"/>
  <c r="AS141" i="7"/>
  <c r="AU141" i="7"/>
  <c r="AW141" i="7"/>
  <c r="AY141" i="7"/>
  <c r="AS142" i="7"/>
  <c r="AU142" i="7"/>
  <c r="AW142" i="7"/>
  <c r="AY142" i="7"/>
  <c r="AS143" i="7"/>
  <c r="AU143" i="7"/>
  <c r="AW143" i="7"/>
  <c r="AY143" i="7"/>
  <c r="AS144" i="7"/>
  <c r="AU144" i="7"/>
  <c r="AW144" i="7"/>
  <c r="AY144" i="7"/>
  <c r="AS145" i="7"/>
  <c r="AU145" i="7"/>
  <c r="AW145" i="7"/>
  <c r="AY145" i="7"/>
  <c r="AS146" i="7"/>
  <c r="AU146" i="7"/>
  <c r="AW146" i="7"/>
  <c r="AY146" i="7"/>
  <c r="AS147" i="7"/>
  <c r="AU147" i="7"/>
  <c r="AW147" i="7"/>
  <c r="AY147" i="7"/>
  <c r="AS148" i="7"/>
  <c r="AU148" i="7"/>
  <c r="AW148" i="7"/>
  <c r="AY148" i="7"/>
  <c r="AS178" i="7"/>
  <c r="AU178" i="7"/>
  <c r="AW178" i="7"/>
  <c r="AY178" i="7"/>
  <c r="AS179" i="7"/>
  <c r="AU179" i="7"/>
  <c r="AW179" i="7"/>
  <c r="AY179" i="7"/>
  <c r="AS180" i="7"/>
  <c r="AU180" i="7"/>
  <c r="AW180" i="7"/>
  <c r="AY180" i="7"/>
  <c r="AS181" i="7"/>
  <c r="AU181" i="7"/>
  <c r="AW181" i="7"/>
  <c r="AY181" i="7"/>
  <c r="AS182" i="7"/>
  <c r="AU182" i="7"/>
  <c r="AW182" i="7"/>
  <c r="AY182" i="7"/>
  <c r="AS183" i="7"/>
  <c r="AU183" i="7"/>
  <c r="AW183" i="7"/>
  <c r="AY183" i="7"/>
  <c r="AS184" i="7"/>
  <c r="AU184" i="7"/>
  <c r="AW184" i="7"/>
  <c r="AY184" i="7"/>
  <c r="AS185" i="7"/>
  <c r="AU185" i="7"/>
  <c r="AW185" i="7"/>
  <c r="AY185" i="7"/>
  <c r="AS186" i="7"/>
  <c r="AU186" i="7"/>
  <c r="AW186" i="7"/>
  <c r="AY186" i="7"/>
  <c r="AS187" i="7"/>
  <c r="AU187" i="7"/>
  <c r="AW187" i="7"/>
  <c r="AY187" i="7"/>
  <c r="AS188" i="7"/>
  <c r="AU188" i="7"/>
  <c r="AW188" i="7"/>
  <c r="AY188" i="7"/>
  <c r="AS189" i="7"/>
  <c r="AU189" i="7"/>
  <c r="AW189" i="7"/>
  <c r="AY189" i="7"/>
  <c r="AS190" i="7"/>
  <c r="AU190" i="7"/>
  <c r="AW190" i="7"/>
  <c r="AY190" i="7"/>
  <c r="AS191" i="7"/>
  <c r="AU191" i="7"/>
  <c r="AW191" i="7"/>
  <c r="AY191" i="7"/>
  <c r="AS192" i="7"/>
  <c r="AU192" i="7"/>
  <c r="AW192" i="7"/>
  <c r="AY192" i="7"/>
  <c r="AS193" i="7"/>
  <c r="AU193" i="7"/>
  <c r="AW193" i="7"/>
  <c r="AY193" i="7"/>
  <c r="AS194" i="7"/>
  <c r="AU194" i="7"/>
  <c r="AW194" i="7"/>
  <c r="AY194" i="7"/>
  <c r="AS195" i="7"/>
  <c r="AU195" i="7"/>
  <c r="AW195" i="7"/>
  <c r="AY195" i="7"/>
  <c r="AS196" i="7"/>
  <c r="AU196" i="7"/>
  <c r="AW196" i="7"/>
  <c r="AY196" i="7"/>
  <c r="AS197" i="7"/>
  <c r="AU197" i="7"/>
  <c r="AW197" i="7"/>
  <c r="AY197" i="7"/>
  <c r="AS198" i="7"/>
  <c r="AU198" i="7"/>
  <c r="AW198" i="7"/>
  <c r="AY198" i="7"/>
  <c r="AS199" i="7"/>
  <c r="AU199" i="7"/>
  <c r="AW199" i="7"/>
  <c r="AY199" i="7"/>
  <c r="AS200" i="7"/>
  <c r="AU200" i="7"/>
  <c r="AW200" i="7"/>
  <c r="AY200" i="7"/>
  <c r="AS201" i="7"/>
  <c r="AU201" i="7"/>
  <c r="AW201" i="7"/>
  <c r="AY201" i="7"/>
  <c r="AS202" i="7"/>
  <c r="AU202" i="7"/>
  <c r="AW202" i="7"/>
  <c r="AY202" i="7"/>
  <c r="AS203" i="7"/>
  <c r="AU203" i="7"/>
  <c r="AW203" i="7"/>
  <c r="AY203" i="7"/>
  <c r="AS204" i="7"/>
  <c r="AU204" i="7"/>
  <c r="AW204" i="7"/>
  <c r="AY204" i="7"/>
  <c r="AS205" i="7"/>
  <c r="AU205" i="7"/>
  <c r="AW205" i="7"/>
  <c r="AY205" i="7"/>
  <c r="AS206" i="7"/>
  <c r="AU206" i="7"/>
  <c r="AW206" i="7"/>
  <c r="AY206" i="7"/>
  <c r="AS207" i="7"/>
  <c r="AU207" i="7"/>
  <c r="AW207" i="7"/>
  <c r="AY207" i="7"/>
  <c r="AS208" i="7"/>
  <c r="AU208" i="7"/>
  <c r="AW208" i="7"/>
  <c r="AY208" i="7"/>
  <c r="AS209" i="7"/>
  <c r="AU209" i="7"/>
  <c r="AW209" i="7"/>
  <c r="AY209" i="7"/>
  <c r="AS210" i="7"/>
  <c r="AU210" i="7"/>
  <c r="AW210" i="7"/>
  <c r="AY210" i="7"/>
  <c r="AS211" i="7"/>
  <c r="AU211" i="7"/>
  <c r="AW211" i="7"/>
  <c r="AY211" i="7"/>
  <c r="AS212" i="7"/>
  <c r="AU212" i="7"/>
  <c r="AW212" i="7"/>
  <c r="AY212" i="7"/>
  <c r="AS213" i="7"/>
  <c r="AU213" i="7"/>
  <c r="AW213" i="7"/>
  <c r="AY213" i="7"/>
  <c r="AS214" i="7"/>
  <c r="AU214" i="7"/>
  <c r="AW214" i="7"/>
  <c r="AY214" i="7"/>
  <c r="AS215" i="7"/>
  <c r="AU215" i="7"/>
  <c r="AW215" i="7"/>
  <c r="AY215" i="7"/>
  <c r="AS216" i="7"/>
  <c r="AU216" i="7"/>
  <c r="AW216" i="7"/>
  <c r="AY216" i="7"/>
  <c r="AS217" i="7"/>
  <c r="AU217" i="7"/>
  <c r="AW217" i="7"/>
  <c r="AY217" i="7"/>
  <c r="AS218" i="7"/>
  <c r="AU218" i="7"/>
  <c r="AW218" i="7"/>
  <c r="AY218" i="7"/>
  <c r="AS219" i="7"/>
  <c r="AU219" i="7"/>
  <c r="AW219" i="7"/>
  <c r="AY219" i="7"/>
  <c r="AS220" i="7"/>
  <c r="AU220" i="7"/>
  <c r="AW220" i="7"/>
  <c r="AY220" i="7"/>
  <c r="AS221" i="7"/>
  <c r="AU221" i="7"/>
  <c r="AW221" i="7"/>
  <c r="AY221" i="7"/>
  <c r="AS222" i="7"/>
  <c r="AU222" i="7"/>
  <c r="AW222" i="7"/>
  <c r="AY222" i="7"/>
  <c r="AS223" i="7"/>
  <c r="AU223" i="7"/>
  <c r="AW223" i="7"/>
  <c r="AY223" i="7"/>
  <c r="AS224" i="7"/>
  <c r="AU224" i="7"/>
  <c r="AW224" i="7"/>
  <c r="AY224" i="7"/>
  <c r="AS225" i="7"/>
  <c r="AU225" i="7"/>
  <c r="AW225" i="7"/>
  <c r="AY225" i="7"/>
  <c r="AS226" i="7"/>
  <c r="AU226" i="7"/>
  <c r="AW226" i="7"/>
  <c r="AY226" i="7"/>
  <c r="AS227" i="7"/>
  <c r="AU227" i="7"/>
  <c r="AW227" i="7"/>
  <c r="AY227" i="7"/>
  <c r="AS228" i="7"/>
  <c r="AU228" i="7"/>
  <c r="AW228" i="7"/>
  <c r="AY228" i="7"/>
  <c r="AS229" i="7"/>
  <c r="AU229" i="7"/>
  <c r="AW229" i="7"/>
  <c r="AY229" i="7"/>
  <c r="AS230" i="7"/>
  <c r="AU230" i="7"/>
  <c r="AW230" i="7"/>
  <c r="AY230" i="7"/>
  <c r="AS231" i="7"/>
  <c r="AU231" i="7"/>
  <c r="AW231" i="7"/>
  <c r="AY231" i="7"/>
  <c r="AS232" i="7"/>
  <c r="AU232" i="7"/>
  <c r="AW232" i="7"/>
  <c r="AY232" i="7"/>
  <c r="AS233" i="7"/>
  <c r="AU233" i="7"/>
  <c r="AW233" i="7"/>
  <c r="AY233" i="7"/>
  <c r="AS234" i="7"/>
  <c r="AU234" i="7"/>
  <c r="AW234" i="7"/>
  <c r="AY234" i="7"/>
  <c r="AS235" i="7"/>
  <c r="AU235" i="7"/>
  <c r="AW235" i="7"/>
  <c r="AY235" i="7"/>
  <c r="AS236" i="7"/>
  <c r="AU236" i="7"/>
  <c r="AW236" i="7"/>
  <c r="AY236" i="7"/>
  <c r="AS237" i="7"/>
  <c r="AU237" i="7"/>
  <c r="AW237" i="7"/>
  <c r="AY237" i="7"/>
  <c r="AS238" i="7"/>
  <c r="AU238" i="7"/>
  <c r="AW238" i="7"/>
  <c r="AY238" i="7"/>
  <c r="AS239" i="7"/>
  <c r="AU239" i="7"/>
  <c r="AW239" i="7"/>
  <c r="AY239" i="7"/>
  <c r="AS240" i="7"/>
  <c r="AU240" i="7"/>
  <c r="AW240" i="7"/>
  <c r="AY240" i="7"/>
  <c r="AS241" i="7"/>
  <c r="AU241" i="7"/>
  <c r="AW241" i="7"/>
  <c r="AY241" i="7"/>
  <c r="AS242" i="7"/>
  <c r="AU242" i="7"/>
  <c r="AW242" i="7"/>
  <c r="AY242" i="7"/>
  <c r="AS243" i="7"/>
  <c r="AU243" i="7"/>
  <c r="AW243" i="7"/>
  <c r="AY243" i="7"/>
  <c r="AS244" i="7"/>
  <c r="AU244" i="7"/>
  <c r="AW244" i="7"/>
  <c r="AY244" i="7"/>
  <c r="AS245" i="7"/>
  <c r="AU245" i="7"/>
  <c r="AW245" i="7"/>
  <c r="AY245" i="7"/>
  <c r="AS246" i="7"/>
  <c r="AU246" i="7"/>
  <c r="AW246" i="7"/>
  <c r="AY246" i="7"/>
  <c r="AS247" i="7"/>
  <c r="AU247" i="7"/>
  <c r="AW247" i="7"/>
  <c r="AY247" i="7"/>
  <c r="AS248" i="7"/>
  <c r="AU248" i="7"/>
  <c r="AW248" i="7"/>
  <c r="AY248" i="7"/>
  <c r="AS249" i="7"/>
  <c r="AU249" i="7"/>
  <c r="AW249" i="7"/>
  <c r="AY249" i="7"/>
  <c r="AS250" i="7"/>
  <c r="AU250" i="7"/>
  <c r="AW250" i="7"/>
  <c r="AY250" i="7"/>
  <c r="AY149" i="7"/>
  <c r="AW149" i="7"/>
  <c r="AU149" i="7"/>
  <c r="AR248" i="7" a="1"/>
  <c r="AR248" i="7" s="1"/>
  <c r="AR249" i="7" a="1"/>
  <c r="AR249" i="7" s="1"/>
  <c r="AR250" i="7" a="1"/>
  <c r="AR250" i="7" s="1"/>
  <c r="F18" i="7" l="1"/>
  <c r="F171" i="7"/>
  <c r="F16" i="7"/>
  <c r="G126" i="7"/>
  <c r="G134" i="7"/>
  <c r="G142" i="7"/>
  <c r="G195" i="7"/>
  <c r="G203" i="7"/>
  <c r="G211" i="7"/>
  <c r="G219" i="7"/>
  <c r="G227" i="7"/>
  <c r="G235" i="7"/>
  <c r="G243" i="7"/>
  <c r="G128" i="7"/>
  <c r="G144" i="7"/>
  <c r="G197" i="7"/>
  <c r="G213" i="7"/>
  <c r="G229" i="7"/>
  <c r="G245" i="7"/>
  <c r="G138" i="7"/>
  <c r="G199" i="7"/>
  <c r="G231" i="7"/>
  <c r="G127" i="7"/>
  <c r="G135" i="7"/>
  <c r="G143" i="7"/>
  <c r="G196" i="7"/>
  <c r="G204" i="7"/>
  <c r="G212" i="7"/>
  <c r="G220" i="7"/>
  <c r="G228" i="7"/>
  <c r="G236" i="7"/>
  <c r="G244" i="7"/>
  <c r="G120" i="7"/>
  <c r="G136" i="7"/>
  <c r="G189" i="7"/>
  <c r="G205" i="7"/>
  <c r="G237" i="7"/>
  <c r="G146" i="7"/>
  <c r="G191" i="7"/>
  <c r="G207" i="7"/>
  <c r="G239" i="7"/>
  <c r="G221" i="7"/>
  <c r="G122" i="7"/>
  <c r="G223" i="7"/>
  <c r="G247" i="7"/>
  <c r="G121" i="7"/>
  <c r="G129" i="7"/>
  <c r="G137" i="7"/>
  <c r="G145" i="7"/>
  <c r="G190" i="7"/>
  <c r="G198" i="7"/>
  <c r="G206" i="7"/>
  <c r="G214" i="7"/>
  <c r="G222" i="7"/>
  <c r="G230" i="7"/>
  <c r="G238" i="7"/>
  <c r="G246" i="7"/>
  <c r="G130" i="7"/>
  <c r="G215" i="7"/>
  <c r="G123" i="7"/>
  <c r="G131" i="7"/>
  <c r="G139" i="7"/>
  <c r="G147" i="7"/>
  <c r="G192" i="7"/>
  <c r="G200" i="7"/>
  <c r="G208" i="7"/>
  <c r="G216" i="7"/>
  <c r="G224" i="7"/>
  <c r="G232" i="7"/>
  <c r="G240" i="7"/>
  <c r="G141" i="7"/>
  <c r="G202" i="7"/>
  <c r="G234" i="7"/>
  <c r="G148" i="7"/>
  <c r="G209" i="7"/>
  <c r="G241" i="7"/>
  <c r="G178" i="7"/>
  <c r="G210" i="7"/>
  <c r="G242" i="7"/>
  <c r="G140" i="7"/>
  <c r="G201" i="7"/>
  <c r="G124" i="7"/>
  <c r="G217" i="7"/>
  <c r="G125" i="7"/>
  <c r="G186" i="7"/>
  <c r="G218" i="7"/>
  <c r="G132" i="7"/>
  <c r="G193" i="7"/>
  <c r="G225" i="7"/>
  <c r="G133" i="7"/>
  <c r="G194" i="7"/>
  <c r="G226" i="7"/>
  <c r="G233" i="7"/>
  <c r="F143" i="7"/>
  <c r="F180" i="7"/>
  <c r="F188" i="7"/>
  <c r="F196" i="7"/>
  <c r="AR196" i="7" s="1" a="1"/>
  <c r="AR196" i="7" s="1"/>
  <c r="F204" i="7"/>
  <c r="AR204" i="7" s="1" a="1"/>
  <c r="AR204" i="7" s="1"/>
  <c r="F212" i="7"/>
  <c r="AR212" i="7" s="1" a="1"/>
  <c r="AR212" i="7" s="1"/>
  <c r="F220" i="7"/>
  <c r="AR220" i="7" s="1" a="1"/>
  <c r="AR220" i="7" s="1"/>
  <c r="F228" i="7"/>
  <c r="AR228" i="7" s="1" a="1"/>
  <c r="AR228" i="7" s="1"/>
  <c r="F236" i="7"/>
  <c r="AR236" i="7" s="1" a="1"/>
  <c r="AR236" i="7" s="1"/>
  <c r="F244" i="7"/>
  <c r="AR244" i="7" s="1" a="1"/>
  <c r="AR244" i="7" s="1"/>
  <c r="F191" i="7"/>
  <c r="AR191" i="7" s="1" a="1"/>
  <c r="AR191" i="7" s="1"/>
  <c r="F239" i="7"/>
  <c r="AR239" i="7" s="1" a="1"/>
  <c r="AR239" i="7" s="1"/>
  <c r="F144" i="7"/>
  <c r="F189" i="7"/>
  <c r="AR189" i="7" s="1" a="1"/>
  <c r="AR189" i="7" s="1"/>
  <c r="F197" i="7"/>
  <c r="AR197" i="7" s="1" a="1"/>
  <c r="AR197" i="7" s="1"/>
  <c r="F205" i="7"/>
  <c r="AR205" i="7" s="1" a="1"/>
  <c r="AR205" i="7" s="1"/>
  <c r="F213" i="7"/>
  <c r="AR213" i="7" s="1" a="1"/>
  <c r="AR213" i="7" s="1"/>
  <c r="F221" i="7"/>
  <c r="AR221" i="7" s="1" a="1"/>
  <c r="AR221" i="7" s="1"/>
  <c r="F229" i="7"/>
  <c r="AR229" i="7" s="1" a="1"/>
  <c r="AR229" i="7" s="1"/>
  <c r="F237" i="7"/>
  <c r="AR237" i="7" s="1" a="1"/>
  <c r="AR237" i="7" s="1"/>
  <c r="F245" i="7"/>
  <c r="AR245" i="7" s="1" a="1"/>
  <c r="AR245" i="7" s="1"/>
  <c r="F199" i="7"/>
  <c r="AR199" i="7" s="1" a="1"/>
  <c r="AR199" i="7" s="1"/>
  <c r="F223" i="7"/>
  <c r="AR223" i="7" s="1" a="1"/>
  <c r="AR223" i="7" s="1"/>
  <c r="F145" i="7"/>
  <c r="F182" i="7"/>
  <c r="F190" i="7"/>
  <c r="AR190" i="7" s="1" a="1"/>
  <c r="AR190" i="7" s="1"/>
  <c r="F198" i="7"/>
  <c r="AR198" i="7" s="1" a="1"/>
  <c r="AR198" i="7" s="1"/>
  <c r="F206" i="7"/>
  <c r="AR206" i="7" s="1" a="1"/>
  <c r="AR206" i="7" s="1"/>
  <c r="F214" i="7"/>
  <c r="AR214" i="7" s="1" a="1"/>
  <c r="AR214" i="7" s="1"/>
  <c r="F222" i="7"/>
  <c r="AR222" i="7" s="1" a="1"/>
  <c r="AR222" i="7" s="1"/>
  <c r="F230" i="7"/>
  <c r="AR230" i="7" s="1" a="1"/>
  <c r="AR230" i="7" s="1"/>
  <c r="F238" i="7"/>
  <c r="F246" i="7"/>
  <c r="AR246" i="7" s="1" a="1"/>
  <c r="AR246" i="7" s="1"/>
  <c r="F139" i="7"/>
  <c r="F147" i="7"/>
  <c r="F192" i="7"/>
  <c r="AR192" i="7" s="1" a="1"/>
  <c r="AR192" i="7" s="1"/>
  <c r="F200" i="7"/>
  <c r="AR200" i="7" s="1" a="1"/>
  <c r="AR200" i="7" s="1"/>
  <c r="F208" i="7"/>
  <c r="AR208" i="7" s="1" a="1"/>
  <c r="AR208" i="7" s="1"/>
  <c r="F216" i="7"/>
  <c r="AR216" i="7" s="1" a="1"/>
  <c r="AR216" i="7" s="1"/>
  <c r="F224" i="7"/>
  <c r="AR224" i="7" s="1" a="1"/>
  <c r="AR224" i="7" s="1"/>
  <c r="F232" i="7"/>
  <c r="AR232" i="7" s="1" a="1"/>
  <c r="AR232" i="7" s="1"/>
  <c r="F240" i="7"/>
  <c r="AR240" i="7" s="1" a="1"/>
  <c r="AR240" i="7" s="1"/>
  <c r="F140" i="7"/>
  <c r="F148" i="7"/>
  <c r="F185" i="7"/>
  <c r="F193" i="7"/>
  <c r="AR193" i="7" s="1" a="1"/>
  <c r="AR193" i="7" s="1"/>
  <c r="F201" i="7"/>
  <c r="AR201" i="7" s="1" a="1"/>
  <c r="AR201" i="7" s="1"/>
  <c r="F209" i="7"/>
  <c r="AR209" i="7" s="1" a="1"/>
  <c r="AR209" i="7" s="1"/>
  <c r="F217" i="7"/>
  <c r="AR217" i="7" s="1" a="1"/>
  <c r="AR217" i="7" s="1"/>
  <c r="F225" i="7"/>
  <c r="AR225" i="7" s="1" a="1"/>
  <c r="AR225" i="7" s="1"/>
  <c r="F233" i="7"/>
  <c r="AR233" i="7" s="1" a="1"/>
  <c r="AR233" i="7" s="1"/>
  <c r="F241" i="7"/>
  <c r="AR241" i="7" s="1" a="1"/>
  <c r="AR241" i="7" s="1"/>
  <c r="F146" i="7"/>
  <c r="F207" i="7"/>
  <c r="AR207" i="7" s="1" a="1"/>
  <c r="AR207" i="7" s="1"/>
  <c r="F247" i="7"/>
  <c r="F141" i="7"/>
  <c r="F178" i="7"/>
  <c r="F186" i="7"/>
  <c r="AR186" i="7" s="1" a="1"/>
  <c r="AR186" i="7" s="1"/>
  <c r="F194" i="7"/>
  <c r="AR194" i="7" s="1" a="1"/>
  <c r="AR194" i="7" s="1"/>
  <c r="F202" i="7"/>
  <c r="AR202" i="7" s="1" a="1"/>
  <c r="AR202" i="7" s="1"/>
  <c r="F210" i="7"/>
  <c r="AR210" i="7" s="1" a="1"/>
  <c r="AR210" i="7" s="1"/>
  <c r="F218" i="7"/>
  <c r="AR218" i="7" s="1" a="1"/>
  <c r="AR218" i="7" s="1"/>
  <c r="F226" i="7"/>
  <c r="AR226" i="7" s="1" a="1"/>
  <c r="AR226" i="7" s="1"/>
  <c r="F234" i="7"/>
  <c r="AR234" i="7" s="1" a="1"/>
  <c r="AR234" i="7" s="1"/>
  <c r="F242" i="7"/>
  <c r="AR242" i="7" s="1" a="1"/>
  <c r="AR242" i="7" s="1"/>
  <c r="F142" i="7"/>
  <c r="F187" i="7"/>
  <c r="F195" i="7"/>
  <c r="AR195" i="7" s="1" a="1"/>
  <c r="AR195" i="7" s="1"/>
  <c r="F203" i="7"/>
  <c r="AR203" i="7" s="1" a="1"/>
  <c r="AR203" i="7" s="1"/>
  <c r="F211" i="7"/>
  <c r="AR211" i="7" s="1" a="1"/>
  <c r="AR211" i="7" s="1"/>
  <c r="F219" i="7"/>
  <c r="AR219" i="7" s="1" a="1"/>
  <c r="AR219" i="7" s="1"/>
  <c r="F227" i="7"/>
  <c r="AR227" i="7" s="1" a="1"/>
  <c r="AR227" i="7" s="1"/>
  <c r="F235" i="7"/>
  <c r="AR235" i="7" s="1" a="1"/>
  <c r="AR235" i="7" s="1"/>
  <c r="F243" i="7"/>
  <c r="AR243" i="7" s="1" a="1"/>
  <c r="AR243" i="7" s="1"/>
  <c r="F183" i="7"/>
  <c r="F215" i="7"/>
  <c r="AR215" i="7" s="1" a="1"/>
  <c r="AR215" i="7" s="1"/>
  <c r="F231" i="7"/>
  <c r="AR231" i="7" s="1" a="1"/>
  <c r="AR231" i="7" s="1"/>
  <c r="AR238" i="7" a="1"/>
  <c r="AR238" i="7" s="1"/>
  <c r="F172" i="7"/>
  <c r="G119" i="7"/>
  <c r="G117" i="7"/>
  <c r="G118" i="7"/>
  <c r="G150" i="7"/>
  <c r="G16" i="7"/>
  <c r="G21" i="7"/>
  <c r="G37" i="7"/>
  <c r="G31" i="7"/>
  <c r="G44" i="7"/>
  <c r="G48" i="7"/>
  <c r="G56" i="7"/>
  <c r="G63" i="7"/>
  <c r="G71" i="7"/>
  <c r="G162" i="7"/>
  <c r="G157" i="7"/>
  <c r="G85" i="7"/>
  <c r="G90" i="7"/>
  <c r="G98" i="7"/>
  <c r="G106" i="7"/>
  <c r="G114" i="7"/>
  <c r="G20" i="7"/>
  <c r="G161" i="7"/>
  <c r="G113" i="7"/>
  <c r="G73" i="7"/>
  <c r="G171" i="7"/>
  <c r="G77" i="7"/>
  <c r="G38" i="7"/>
  <c r="G159" i="7"/>
  <c r="G45" i="7"/>
  <c r="G49" i="7"/>
  <c r="G57" i="7"/>
  <c r="G64" i="7"/>
  <c r="G72" i="7"/>
  <c r="G163" i="7"/>
  <c r="G175" i="7"/>
  <c r="G86" i="7"/>
  <c r="G91" i="7"/>
  <c r="G99" i="7"/>
  <c r="G107" i="7"/>
  <c r="G115" i="7"/>
  <c r="G170" i="7"/>
  <c r="G55" i="7"/>
  <c r="G89" i="7"/>
  <c r="G74" i="7"/>
  <c r="G17" i="7"/>
  <c r="G78" i="7"/>
  <c r="G39" i="7"/>
  <c r="G160" i="7"/>
  <c r="G46" i="7"/>
  <c r="G50" i="7"/>
  <c r="G58" i="7"/>
  <c r="G65" i="7"/>
  <c r="G33" i="7"/>
  <c r="G164" i="7"/>
  <c r="G176" i="7"/>
  <c r="G87" i="7"/>
  <c r="G92" i="7"/>
  <c r="G100" i="7"/>
  <c r="G108" i="7"/>
  <c r="G116" i="7"/>
  <c r="G30" i="7"/>
  <c r="G156" i="7"/>
  <c r="G75" i="7"/>
  <c r="G23" i="7"/>
  <c r="G24" i="7"/>
  <c r="G40" i="7"/>
  <c r="G173" i="7"/>
  <c r="G79" i="7"/>
  <c r="G51" i="7"/>
  <c r="G59" i="7"/>
  <c r="G66" i="7"/>
  <c r="G34" i="7"/>
  <c r="G165" i="7"/>
  <c r="G177" i="7"/>
  <c r="G88" i="7"/>
  <c r="G93" i="7"/>
  <c r="G101" i="7"/>
  <c r="G109" i="7"/>
  <c r="G36" i="7"/>
  <c r="G70" i="7"/>
  <c r="G105" i="7"/>
  <c r="G76" i="7"/>
  <c r="G18" i="7"/>
  <c r="G25" i="7"/>
  <c r="G27" i="7"/>
  <c r="G174" i="7"/>
  <c r="G80" i="7"/>
  <c r="G52" i="7"/>
  <c r="G60" i="7"/>
  <c r="G67" i="7"/>
  <c r="G151" i="7"/>
  <c r="G166" i="7"/>
  <c r="G158" i="7"/>
  <c r="G167" i="7"/>
  <c r="G94" i="7"/>
  <c r="G102" i="7"/>
  <c r="G110" i="7"/>
  <c r="G43" i="7"/>
  <c r="G84" i="7"/>
  <c r="G14" i="7"/>
  <c r="G172" i="7"/>
  <c r="G26" i="7"/>
  <c r="G28" i="7"/>
  <c r="G41" i="7"/>
  <c r="G81" i="7"/>
  <c r="G53" i="7"/>
  <c r="G61" i="7"/>
  <c r="G68" i="7"/>
  <c r="G152" i="7"/>
  <c r="G154" i="7"/>
  <c r="G22" i="7"/>
  <c r="G168" i="7"/>
  <c r="G95" i="7"/>
  <c r="G103" i="7"/>
  <c r="G111" i="7"/>
  <c r="G62" i="7"/>
  <c r="G15" i="7"/>
  <c r="G19" i="7"/>
  <c r="G35" i="7"/>
  <c r="G29" i="7"/>
  <c r="G42" i="7"/>
  <c r="G82" i="7"/>
  <c r="G54" i="7"/>
  <c r="G32" i="7"/>
  <c r="G69" i="7"/>
  <c r="G153" i="7"/>
  <c r="G155" i="7"/>
  <c r="G83" i="7"/>
  <c r="G169" i="7"/>
  <c r="G96" i="7"/>
  <c r="G104" i="7"/>
  <c r="G112" i="7"/>
  <c r="G47" i="7"/>
  <c r="G97" i="7"/>
  <c r="AR187" i="7" l="1" a="1"/>
  <c r="AR187" i="7" s="1"/>
  <c r="AR188" i="7" a="1"/>
  <c r="AR188" i="7" s="1"/>
  <c r="AR185" i="7" a="1"/>
  <c r="AR185" i="7" s="1"/>
  <c r="AR184" i="7" a="1"/>
  <c r="AR184" i="7" s="1"/>
  <c r="AR183" i="7" a="1"/>
  <c r="AR183" i="7" s="1"/>
  <c r="AR182" i="7" a="1"/>
  <c r="AR182" i="7" s="1"/>
  <c r="AR181" i="7" a="1"/>
  <c r="AR181" i="7" s="1"/>
  <c r="AR180" i="7" a="1"/>
  <c r="AR180" i="7" s="1"/>
  <c r="AR179" i="7" a="1"/>
  <c r="AR179" i="7" s="1"/>
  <c r="J6" i="7"/>
  <c r="L7" i="7"/>
  <c r="J7" i="7"/>
  <c r="B2" i="55" a="1"/>
  <c r="AS2" i="52"/>
  <c r="AR2" i="52" s="1"/>
  <c r="AV2" i="52"/>
  <c r="AT2" i="52" s="1"/>
  <c r="AI2" i="52"/>
  <c r="S226" i="7"/>
  <c r="T226" i="7" s="1"/>
  <c r="K226" i="7"/>
  <c r="L226" i="7" s="1"/>
  <c r="K232" i="7"/>
  <c r="L232" i="7" s="1"/>
  <c r="S232" i="7"/>
  <c r="T232" i="7" s="1"/>
  <c r="S222" i="7"/>
  <c r="T222" i="7" s="1"/>
  <c r="K222" i="7"/>
  <c r="L222" i="7" s="1"/>
  <c r="K188" i="7"/>
  <c r="L188" i="7" s="1"/>
  <c r="S188" i="7"/>
  <c r="T188" i="7" s="1"/>
  <c r="S245" i="7"/>
  <c r="T245" i="7" s="1"/>
  <c r="K245" i="7"/>
  <c r="L245" i="7" s="1"/>
  <c r="K227" i="7"/>
  <c r="L227" i="7" s="1"/>
  <c r="S227" i="7"/>
  <c r="T227" i="7" s="1"/>
  <c r="K194" i="7"/>
  <c r="L194" i="7" s="1"/>
  <c r="S194" i="7"/>
  <c r="T194" i="7" s="1"/>
  <c r="K217" i="7"/>
  <c r="L217" i="7" s="1"/>
  <c r="S217" i="7"/>
  <c r="T217" i="7" s="1"/>
  <c r="K241" i="7"/>
  <c r="L241" i="7" s="1"/>
  <c r="S241" i="7"/>
  <c r="T241" i="7" s="1"/>
  <c r="S224" i="7"/>
  <c r="T224" i="7" s="1"/>
  <c r="K224" i="7"/>
  <c r="L224" i="7" s="1"/>
  <c r="S214" i="7"/>
  <c r="T214" i="7" s="1"/>
  <c r="K214" i="7"/>
  <c r="L214" i="7" s="1"/>
  <c r="K207" i="7"/>
  <c r="L207" i="7" s="1"/>
  <c r="S207" i="7"/>
  <c r="T207" i="7" s="1"/>
  <c r="K244" i="7"/>
  <c r="L244" i="7" s="1"/>
  <c r="S244" i="7"/>
  <c r="T244" i="7" s="1"/>
  <c r="S180" i="7"/>
  <c r="T180" i="7" s="1"/>
  <c r="K180" i="7"/>
  <c r="L180" i="7" s="1"/>
  <c r="S229" i="7"/>
  <c r="T229" i="7" s="1"/>
  <c r="K229" i="7"/>
  <c r="L229" i="7" s="1"/>
  <c r="K219" i="7"/>
  <c r="L219" i="7" s="1"/>
  <c r="S219" i="7"/>
  <c r="T219" i="7" s="1"/>
  <c r="K185" i="7"/>
  <c r="L185" i="7" s="1"/>
  <c r="S185" i="7"/>
  <c r="T185" i="7" s="1"/>
  <c r="S209" i="7"/>
  <c r="T209" i="7" s="1"/>
  <c r="K209" i="7"/>
  <c r="L209" i="7" s="1"/>
  <c r="K216" i="7"/>
  <c r="L216" i="7" s="1"/>
  <c r="S216" i="7"/>
  <c r="T216" i="7" s="1"/>
  <c r="S206" i="7"/>
  <c r="T206" i="7" s="1"/>
  <c r="K206" i="7"/>
  <c r="L206" i="7" s="1"/>
  <c r="S247" i="7"/>
  <c r="T247" i="7" s="1"/>
  <c r="K247" i="7"/>
  <c r="L247" i="7" s="1"/>
  <c r="S191" i="7"/>
  <c r="T191" i="7" s="1"/>
  <c r="K191" i="7"/>
  <c r="L191" i="7" s="1"/>
  <c r="K236" i="7"/>
  <c r="L236" i="7" s="1"/>
  <c r="S236" i="7"/>
  <c r="T236" i="7" s="1"/>
  <c r="S213" i="7"/>
  <c r="T213" i="7" s="1"/>
  <c r="K213" i="7"/>
  <c r="L213" i="7" s="1"/>
  <c r="K211" i="7"/>
  <c r="L211" i="7" s="1"/>
  <c r="S211" i="7"/>
  <c r="T211" i="7" s="1"/>
  <c r="K225" i="7"/>
  <c r="L225" i="7" s="1"/>
  <c r="S225" i="7"/>
  <c r="T225" i="7" s="1"/>
  <c r="S208" i="7"/>
  <c r="T208" i="7" s="1"/>
  <c r="K208" i="7"/>
  <c r="L208" i="7" s="1"/>
  <c r="K215" i="7"/>
  <c r="L215" i="7" s="1"/>
  <c r="S215" i="7"/>
  <c r="T215" i="7" s="1"/>
  <c r="S198" i="7"/>
  <c r="T198" i="7" s="1"/>
  <c r="K198" i="7"/>
  <c r="L198" i="7" s="1"/>
  <c r="S223" i="7"/>
  <c r="T223" i="7" s="1"/>
  <c r="K223" i="7"/>
  <c r="L223" i="7" s="1"/>
  <c r="K228" i="7"/>
  <c r="L228" i="7" s="1"/>
  <c r="S228" i="7"/>
  <c r="T228" i="7" s="1"/>
  <c r="K197" i="7"/>
  <c r="L197" i="7" s="1"/>
  <c r="S197" i="7"/>
  <c r="T197" i="7" s="1"/>
  <c r="S203" i="7"/>
  <c r="T203" i="7" s="1"/>
  <c r="K203" i="7"/>
  <c r="L203" i="7" s="1"/>
  <c r="K178" i="7"/>
  <c r="L178" i="7" s="1"/>
  <c r="S178" i="7"/>
  <c r="T178" i="7" s="1"/>
  <c r="K239" i="7"/>
  <c r="L239" i="7" s="1"/>
  <c r="S239" i="7"/>
  <c r="T239" i="7" s="1"/>
  <c r="K193" i="7"/>
  <c r="L193" i="7" s="1"/>
  <c r="S193" i="7"/>
  <c r="T193" i="7" s="1"/>
  <c r="S201" i="7"/>
  <c r="T201" i="7" s="1"/>
  <c r="K201" i="7"/>
  <c r="L201" i="7" s="1"/>
  <c r="S234" i="7"/>
  <c r="T234" i="7" s="1"/>
  <c r="K234" i="7"/>
  <c r="L234" i="7" s="1"/>
  <c r="K200" i="7"/>
  <c r="L200" i="7" s="1"/>
  <c r="S200" i="7"/>
  <c r="T200" i="7" s="1"/>
  <c r="S190" i="7"/>
  <c r="T190" i="7" s="1"/>
  <c r="K190" i="7"/>
  <c r="L190" i="7" s="1"/>
  <c r="K183" i="7"/>
  <c r="L183" i="7" s="1"/>
  <c r="S183" i="7"/>
  <c r="T183" i="7" s="1"/>
  <c r="K237" i="7"/>
  <c r="L237" i="7" s="1"/>
  <c r="S237" i="7"/>
  <c r="T237" i="7" s="1"/>
  <c r="S220" i="7"/>
  <c r="T220" i="7" s="1"/>
  <c r="K220" i="7"/>
  <c r="L220" i="7" s="1"/>
  <c r="K195" i="7"/>
  <c r="L195" i="7" s="1"/>
  <c r="S195" i="7"/>
  <c r="T195" i="7" s="1"/>
  <c r="K202" i="7"/>
  <c r="L202" i="7" s="1"/>
  <c r="S202" i="7"/>
  <c r="T202" i="7" s="1"/>
  <c r="S192" i="7"/>
  <c r="T192" i="7" s="1"/>
  <c r="K192" i="7"/>
  <c r="L192" i="7" s="1"/>
  <c r="S246" i="7"/>
  <c r="T246" i="7" s="1"/>
  <c r="K246" i="7"/>
  <c r="L246" i="7" s="1"/>
  <c r="S182" i="7"/>
  <c r="T182" i="7" s="1"/>
  <c r="K182" i="7"/>
  <c r="L182" i="7" s="1"/>
  <c r="K205" i="7"/>
  <c r="L205" i="7" s="1"/>
  <c r="S205" i="7"/>
  <c r="T205" i="7" s="1"/>
  <c r="K212" i="7"/>
  <c r="L212" i="7" s="1"/>
  <c r="S212" i="7"/>
  <c r="T212" i="7" s="1"/>
  <c r="S231" i="7"/>
  <c r="T231" i="7" s="1"/>
  <c r="K231" i="7"/>
  <c r="L231" i="7" s="1"/>
  <c r="K187" i="7"/>
  <c r="L187" i="7" s="1"/>
  <c r="S187" i="7"/>
  <c r="T187" i="7" s="1"/>
  <c r="K218" i="7"/>
  <c r="L218" i="7" s="1"/>
  <c r="S218" i="7"/>
  <c r="T218" i="7" s="1"/>
  <c r="K242" i="7"/>
  <c r="L242" i="7" s="1"/>
  <c r="S242" i="7"/>
  <c r="T242" i="7" s="1"/>
  <c r="S184" i="7"/>
  <c r="T184" i="7" s="1"/>
  <c r="K184" i="7"/>
  <c r="L184" i="7" s="1"/>
  <c r="S238" i="7"/>
  <c r="T238" i="7" s="1"/>
  <c r="K238" i="7"/>
  <c r="L238" i="7" s="1"/>
  <c r="K221" i="7"/>
  <c r="L221" i="7" s="1"/>
  <c r="S221" i="7"/>
  <c r="T221" i="7" s="1"/>
  <c r="S189" i="7"/>
  <c r="T189" i="7" s="1"/>
  <c r="K189" i="7"/>
  <c r="L189" i="7" s="1"/>
  <c r="S204" i="7"/>
  <c r="T204" i="7" s="1"/>
  <c r="K204" i="7"/>
  <c r="L204" i="7" s="1"/>
  <c r="S199" i="7"/>
  <c r="T199" i="7" s="1"/>
  <c r="K199" i="7"/>
  <c r="L199" i="7" s="1"/>
  <c r="S243" i="7"/>
  <c r="T243" i="7" s="1"/>
  <c r="K243" i="7"/>
  <c r="L243" i="7" s="1"/>
  <c r="K179" i="7"/>
  <c r="L179" i="7" s="1"/>
  <c r="S179" i="7"/>
  <c r="T179" i="7" s="1"/>
  <c r="S233" i="7"/>
  <c r="T233" i="7" s="1"/>
  <c r="K233" i="7"/>
  <c r="L233" i="7" s="1"/>
  <c r="K186" i="7"/>
  <c r="L186" i="7" s="1"/>
  <c r="S186" i="7"/>
  <c r="T186" i="7" s="1"/>
  <c r="K210" i="7"/>
  <c r="L210" i="7" s="1"/>
  <c r="S210" i="7"/>
  <c r="T210" i="7" s="1"/>
  <c r="K240" i="7"/>
  <c r="L240" i="7" s="1"/>
  <c r="S240" i="7"/>
  <c r="T240" i="7" s="1"/>
  <c r="S230" i="7"/>
  <c r="T230" i="7" s="1"/>
  <c r="K230" i="7"/>
  <c r="L230" i="7" s="1"/>
  <c r="S181" i="7"/>
  <c r="T181" i="7" s="1"/>
  <c r="K181" i="7"/>
  <c r="L181" i="7" s="1"/>
  <c r="S196" i="7"/>
  <c r="T196" i="7" s="1"/>
  <c r="K196" i="7"/>
  <c r="L196" i="7" s="1"/>
  <c r="K235" i="7"/>
  <c r="L235" i="7" s="1"/>
  <c r="S235" i="7"/>
  <c r="T235" i="7" s="1"/>
  <c r="AR247" i="7" a="1"/>
  <c r="AR247" i="7" s="1"/>
  <c r="F121" i="7"/>
  <c r="AR121" i="7" s="1" a="1"/>
  <c r="AR121" i="7" s="1"/>
  <c r="F135" i="7"/>
  <c r="AR135" i="7" s="1" a="1"/>
  <c r="AR135" i="7" s="1"/>
  <c r="F137" i="7"/>
  <c r="AR137" i="7" s="1" a="1"/>
  <c r="AR137" i="7" s="1"/>
  <c r="F128" i="7"/>
  <c r="F136" i="7"/>
  <c r="AR136" i="7" s="1" a="1"/>
  <c r="AR136" i="7" s="1"/>
  <c r="F129" i="7"/>
  <c r="AR129" i="7" s="1" a="1"/>
  <c r="AR129" i="7" s="1"/>
  <c r="F122" i="7"/>
  <c r="AR122" i="7" s="1" a="1"/>
  <c r="AR122" i="7" s="1"/>
  <c r="F130" i="7"/>
  <c r="AR130" i="7" s="1" a="1"/>
  <c r="AR130" i="7" s="1"/>
  <c r="F138" i="7"/>
  <c r="AR138" i="7" s="1" a="1"/>
  <c r="AR138" i="7" s="1"/>
  <c r="F131" i="7"/>
  <c r="F123" i="7"/>
  <c r="AR123" i="7" s="1" a="1"/>
  <c r="AR123" i="7" s="1"/>
  <c r="F133" i="7"/>
  <c r="AR133" i="7" s="1" a="1"/>
  <c r="AR133" i="7" s="1"/>
  <c r="F124" i="7"/>
  <c r="F132" i="7"/>
  <c r="AR132" i="7" s="1" a="1"/>
  <c r="AR132" i="7" s="1"/>
  <c r="F125" i="7"/>
  <c r="F126" i="7"/>
  <c r="AR126" i="7" s="1" a="1"/>
  <c r="AR126" i="7" s="1"/>
  <c r="F134" i="7"/>
  <c r="AR134" i="7" s="1" a="1"/>
  <c r="AR134" i="7" s="1"/>
  <c r="F127" i="7"/>
  <c r="AR127" i="7" s="1" a="1"/>
  <c r="AR127" i="7" s="1"/>
  <c r="F15" i="7"/>
  <c r="AR15" i="7" s="1" a="1"/>
  <c r="AR15" i="7" s="1"/>
  <c r="F19" i="7"/>
  <c r="F35" i="7"/>
  <c r="F29" i="7"/>
  <c r="F42" i="7"/>
  <c r="F82" i="7"/>
  <c r="F54" i="7"/>
  <c r="AR54" i="7" s="1" a="1"/>
  <c r="AR54" i="7" s="1"/>
  <c r="F32" i="7"/>
  <c r="F69" i="7"/>
  <c r="F153" i="7"/>
  <c r="F155" i="7"/>
  <c r="F83" i="7"/>
  <c r="F169" i="7"/>
  <c r="AR169" i="7" s="1" a="1"/>
  <c r="AR169" i="7" s="1"/>
  <c r="F96" i="7"/>
  <c r="AR96" i="7" s="1" a="1"/>
  <c r="AR96" i="7" s="1"/>
  <c r="F104" i="7"/>
  <c r="F112" i="7"/>
  <c r="AR112" i="7" s="1" a="1"/>
  <c r="AR112" i="7" s="1"/>
  <c r="F120" i="7"/>
  <c r="F150" i="7"/>
  <c r="F21" i="7"/>
  <c r="F37" i="7"/>
  <c r="AR37" i="7" s="1" a="1"/>
  <c r="AR37" i="7" s="1"/>
  <c r="F31" i="7"/>
  <c r="F44" i="7"/>
  <c r="F48" i="7"/>
  <c r="F56" i="7"/>
  <c r="F63" i="7"/>
  <c r="F71" i="7"/>
  <c r="F162" i="7"/>
  <c r="F157" i="7"/>
  <c r="AR157" i="7" s="1" a="1"/>
  <c r="AR157" i="7" s="1"/>
  <c r="F85" i="7"/>
  <c r="AR85" i="7" s="1" a="1"/>
  <c r="AR85" i="7" s="1"/>
  <c r="F90" i="7"/>
  <c r="F98" i="7"/>
  <c r="F106" i="7"/>
  <c r="F114" i="7"/>
  <c r="F73" i="7"/>
  <c r="F77" i="7"/>
  <c r="F38" i="7"/>
  <c r="F159" i="7"/>
  <c r="F45" i="7"/>
  <c r="F49" i="7"/>
  <c r="AR49" i="7" s="1" a="1"/>
  <c r="AR49" i="7" s="1"/>
  <c r="F57" i="7"/>
  <c r="AR57" i="7" s="1" a="1"/>
  <c r="AR57" i="7" s="1"/>
  <c r="F64" i="7"/>
  <c r="F72" i="7"/>
  <c r="F163" i="7"/>
  <c r="AR163" i="7" s="1" a="1"/>
  <c r="AR163" i="7" s="1"/>
  <c r="F175" i="7"/>
  <c r="F86" i="7"/>
  <c r="F91" i="7"/>
  <c r="AR91" i="7" s="1" a="1"/>
  <c r="AR91" i="7" s="1"/>
  <c r="F99" i="7"/>
  <c r="AR99" i="7" s="1" a="1"/>
  <c r="AR99" i="7" s="1"/>
  <c r="F107" i="7"/>
  <c r="F115" i="7"/>
  <c r="F75" i="7"/>
  <c r="F23" i="7"/>
  <c r="F24" i="7"/>
  <c r="AR24" i="7" s="1" a="1"/>
  <c r="AR24" i="7" s="1"/>
  <c r="F40" i="7"/>
  <c r="F173" i="7"/>
  <c r="F79" i="7"/>
  <c r="AR79" i="7" s="1" a="1"/>
  <c r="AR79" i="7" s="1"/>
  <c r="F51" i="7"/>
  <c r="F59" i="7"/>
  <c r="F66" i="7"/>
  <c r="F34" i="7"/>
  <c r="F165" i="7"/>
  <c r="F177" i="7"/>
  <c r="F88" i="7"/>
  <c r="F93" i="7"/>
  <c r="AR93" i="7" s="1" a="1"/>
  <c r="AR93" i="7" s="1"/>
  <c r="F101" i="7"/>
  <c r="F109" i="7"/>
  <c r="F117" i="7"/>
  <c r="F76" i="7"/>
  <c r="AR18" i="7" a="1"/>
  <c r="AR18" i="7" s="1"/>
  <c r="F25" i="7"/>
  <c r="F27" i="7"/>
  <c r="AR27" i="7" s="1" a="1"/>
  <c r="AR27" i="7" s="1"/>
  <c r="F174" i="7"/>
  <c r="AR174" i="7" s="1" a="1"/>
  <c r="AR174" i="7" s="1"/>
  <c r="F80" i="7"/>
  <c r="F52" i="7"/>
  <c r="F60" i="7"/>
  <c r="F67" i="7"/>
  <c r="F151" i="7"/>
  <c r="F166" i="7"/>
  <c r="F158" i="7"/>
  <c r="F167" i="7"/>
  <c r="AR167" i="7" s="1" a="1"/>
  <c r="AR167" i="7" s="1"/>
  <c r="F94" i="7"/>
  <c r="F102" i="7"/>
  <c r="F110" i="7"/>
  <c r="F118" i="7"/>
  <c r="F26" i="7"/>
  <c r="F46" i="7"/>
  <c r="F62" i="7"/>
  <c r="F154" i="7"/>
  <c r="F92" i="7"/>
  <c r="F113" i="7"/>
  <c r="F65" i="7"/>
  <c r="F95" i="7"/>
  <c r="F68" i="7"/>
  <c r="F160" i="7"/>
  <c r="F74" i="7"/>
  <c r="F36" i="7"/>
  <c r="AR36" i="7" s="1" a="1"/>
  <c r="AR36" i="7" s="1"/>
  <c r="F81" i="7"/>
  <c r="F156" i="7"/>
  <c r="F116" i="7"/>
  <c r="F39" i="7"/>
  <c r="F87" i="7"/>
  <c r="F47" i="7"/>
  <c r="F97" i="7"/>
  <c r="F170" i="7"/>
  <c r="F28" i="7"/>
  <c r="F50" i="7"/>
  <c r="F70" i="7"/>
  <c r="F22" i="7"/>
  <c r="F100" i="7"/>
  <c r="AR100" i="7" s="1" a="1"/>
  <c r="AR100" i="7" s="1"/>
  <c r="F152" i="7"/>
  <c r="F17" i="7"/>
  <c r="F30" i="7"/>
  <c r="F53" i="7"/>
  <c r="AR53" i="7" s="1" a="1"/>
  <c r="AR53" i="7" s="1"/>
  <c r="F33" i="7"/>
  <c r="F84" i="7"/>
  <c r="AR84" i="7" s="1" a="1"/>
  <c r="AR84" i="7" s="1"/>
  <c r="F103" i="7"/>
  <c r="F55" i="7"/>
  <c r="F20" i="7"/>
  <c r="F41" i="7"/>
  <c r="AR41" i="7" s="1" a="1"/>
  <c r="AR41" i="7" s="1"/>
  <c r="F58" i="7"/>
  <c r="F161" i="7"/>
  <c r="F168" i="7"/>
  <c r="F108" i="7"/>
  <c r="F78" i="7"/>
  <c r="F43" i="7"/>
  <c r="F61" i="7"/>
  <c r="F164" i="7"/>
  <c r="F89" i="7"/>
  <c r="F111" i="7"/>
  <c r="AR111" i="7" s="1" a="1"/>
  <c r="AR111" i="7" s="1"/>
  <c r="F14" i="7"/>
  <c r="F176" i="7"/>
  <c r="F119" i="7"/>
  <c r="AR119" i="7" s="1" a="1"/>
  <c r="AR119" i="7" s="1"/>
  <c r="F105" i="7"/>
  <c r="AR105" i="7" s="1" a="1"/>
  <c r="AR105" i="7" s="1"/>
  <c r="AR146" i="7" a="1"/>
  <c r="AR146" i="7" s="1"/>
  <c r="AR139" i="7" a="1"/>
  <c r="AR139" i="7" s="1"/>
  <c r="AR140" i="7" a="1"/>
  <c r="AR140" i="7" s="1"/>
  <c r="AR142" i="7" a="1"/>
  <c r="AR142" i="7" s="1"/>
  <c r="AR143" i="7" a="1"/>
  <c r="AR143" i="7" s="1"/>
  <c r="AR141" i="7" a="1"/>
  <c r="AR141" i="7" s="1"/>
  <c r="AR178" i="7" a="1"/>
  <c r="AR178" i="7" s="1"/>
  <c r="AR148" i="7" a="1"/>
  <c r="AR148" i="7" s="1"/>
  <c r="AR147" i="7" a="1"/>
  <c r="AR147" i="7" s="1"/>
  <c r="AR145" i="7" a="1"/>
  <c r="AR145" i="7" s="1"/>
  <c r="AR144" i="7" a="1"/>
  <c r="AR144" i="7" s="1"/>
  <c r="R36" i="55" l="1"/>
  <c r="Q36" i="55"/>
  <c r="O36" i="55"/>
  <c r="S36" i="55"/>
  <c r="P36" i="55"/>
  <c r="N36" i="55"/>
  <c r="M36" i="55"/>
  <c r="C36" i="55"/>
  <c r="AD36" i="55"/>
  <c r="AC36" i="55"/>
  <c r="D36" i="55"/>
  <c r="AB36" i="55"/>
  <c r="E36" i="55"/>
  <c r="AA36" i="55"/>
  <c r="F36" i="55"/>
  <c r="Z36" i="55"/>
  <c r="G36" i="55"/>
  <c r="Y36" i="55"/>
  <c r="H36" i="55"/>
  <c r="X36" i="55"/>
  <c r="I36" i="55"/>
  <c r="W36" i="55"/>
  <c r="J36" i="55"/>
  <c r="T36" i="55"/>
  <c r="L6" i="7"/>
  <c r="C35" i="55"/>
  <c r="D35" i="55"/>
  <c r="E35" i="55"/>
  <c r="F35" i="55"/>
  <c r="H35" i="55"/>
  <c r="AD35" i="55"/>
  <c r="AC35" i="55"/>
  <c r="T35" i="55"/>
  <c r="S35" i="55"/>
  <c r="AB35" i="55"/>
  <c r="R35" i="55"/>
  <c r="AA35" i="55"/>
  <c r="Q35" i="55"/>
  <c r="Z35" i="55"/>
  <c r="P35" i="55"/>
  <c r="Y35" i="55"/>
  <c r="O35" i="55"/>
  <c r="X35" i="55"/>
  <c r="N35" i="55"/>
  <c r="W35" i="55"/>
  <c r="M35" i="55"/>
  <c r="G35" i="55"/>
  <c r="AD34" i="55"/>
  <c r="I34" i="55"/>
  <c r="AC34" i="55"/>
  <c r="J34" i="55"/>
  <c r="AB34" i="55"/>
  <c r="AA34" i="55"/>
  <c r="Z34" i="55"/>
  <c r="Y34" i="55"/>
  <c r="X34" i="55"/>
  <c r="W34" i="55"/>
  <c r="S34" i="55"/>
  <c r="P34" i="55"/>
  <c r="T34" i="55"/>
  <c r="R34" i="55"/>
  <c r="Q34" i="55"/>
  <c r="O34" i="55"/>
  <c r="N34" i="55"/>
  <c r="E34" i="55"/>
  <c r="F34" i="55"/>
  <c r="M34" i="55"/>
  <c r="D34" i="55"/>
  <c r="C34" i="55"/>
  <c r="G34" i="55"/>
  <c r="H34" i="55"/>
  <c r="T33" i="55"/>
  <c r="S33" i="55"/>
  <c r="R33" i="55"/>
  <c r="Q33" i="55"/>
  <c r="P33" i="55"/>
  <c r="AD33" i="55"/>
  <c r="N33" i="55"/>
  <c r="O33" i="55"/>
  <c r="AC33" i="55"/>
  <c r="M33" i="55"/>
  <c r="AB33" i="55"/>
  <c r="C33" i="55"/>
  <c r="AA33" i="55"/>
  <c r="D33" i="55"/>
  <c r="Z33" i="55"/>
  <c r="E33" i="55"/>
  <c r="Y33" i="55"/>
  <c r="F33" i="55"/>
  <c r="X33" i="55"/>
  <c r="G33" i="55"/>
  <c r="W33" i="55"/>
  <c r="H33" i="55"/>
  <c r="X32" i="55"/>
  <c r="P32" i="55"/>
  <c r="N32" i="55"/>
  <c r="D32" i="55"/>
  <c r="W32" i="55"/>
  <c r="O32" i="55"/>
  <c r="M32" i="55"/>
  <c r="E32" i="55"/>
  <c r="C32" i="55"/>
  <c r="F32" i="55"/>
  <c r="G32" i="55"/>
  <c r="H32" i="55"/>
  <c r="S32" i="55"/>
  <c r="R32" i="55"/>
  <c r="Y32" i="55"/>
  <c r="Q32" i="55"/>
  <c r="AD32" i="55"/>
  <c r="AA32" i="55"/>
  <c r="Z32" i="55"/>
  <c r="AC32" i="55"/>
  <c r="AB32" i="55"/>
  <c r="T32" i="55"/>
  <c r="E31" i="55"/>
  <c r="F31" i="55"/>
  <c r="Z31" i="55"/>
  <c r="AD31" i="55"/>
  <c r="G31" i="55"/>
  <c r="AC31" i="55"/>
  <c r="H31" i="55"/>
  <c r="AA31" i="55"/>
  <c r="J31" i="55"/>
  <c r="T31" i="55"/>
  <c r="AB31" i="55"/>
  <c r="I31" i="55"/>
  <c r="Y31" i="55"/>
  <c r="X31" i="55"/>
  <c r="W31" i="55"/>
  <c r="S31" i="55"/>
  <c r="M31" i="55"/>
  <c r="R31" i="55"/>
  <c r="N31" i="55"/>
  <c r="C31" i="55"/>
  <c r="D31" i="55"/>
  <c r="Q31" i="55"/>
  <c r="P31" i="55"/>
  <c r="O31" i="55"/>
  <c r="B2" i="55"/>
  <c r="AD30" i="55"/>
  <c r="T30" i="55"/>
  <c r="H30" i="55"/>
  <c r="AC30" i="55"/>
  <c r="S30" i="55"/>
  <c r="I30" i="55"/>
  <c r="AB30" i="55"/>
  <c r="R30" i="55"/>
  <c r="J30" i="55"/>
  <c r="AA30" i="55"/>
  <c r="Q30" i="55"/>
  <c r="C30" i="55"/>
  <c r="Z30" i="55"/>
  <c r="P30" i="55"/>
  <c r="D30" i="55"/>
  <c r="Y30" i="55"/>
  <c r="O30" i="55"/>
  <c r="E30" i="55"/>
  <c r="F30" i="55"/>
  <c r="X30" i="55"/>
  <c r="N30" i="55"/>
  <c r="W30" i="55"/>
  <c r="M30" i="55"/>
  <c r="G30" i="55"/>
  <c r="N5" i="7"/>
  <c r="P5" i="7"/>
  <c r="T5" i="7"/>
  <c r="AB5" i="7"/>
  <c r="R5" i="7"/>
  <c r="L5" i="7"/>
  <c r="J5" i="7"/>
  <c r="X5" i="7"/>
  <c r="AB4" i="7"/>
  <c r="V5" i="7"/>
  <c r="Z4" i="7"/>
  <c r="Z5" i="7"/>
  <c r="Z3" i="7"/>
  <c r="AB3" i="7"/>
  <c r="L2" i="52"/>
  <c r="AR164" i="7" a="1"/>
  <c r="AR164" i="7" s="1"/>
  <c r="AR75" i="7" a="1"/>
  <c r="AR75" i="7" s="1"/>
  <c r="AR161" i="7" a="1"/>
  <c r="AR161" i="7" s="1"/>
  <c r="AR81" i="7" a="1"/>
  <c r="AR81" i="7" s="1"/>
  <c r="AR80" i="7" a="1"/>
  <c r="AR80" i="7" s="1"/>
  <c r="AR101" i="7" a="1"/>
  <c r="AR101" i="7" s="1"/>
  <c r="AR51" i="7" a="1"/>
  <c r="AR51" i="7" s="1"/>
  <c r="AR107" i="7" a="1"/>
  <c r="AR107" i="7" s="1"/>
  <c r="AR106" i="7" a="1"/>
  <c r="AR106" i="7" s="1"/>
  <c r="AR56" i="7" a="1"/>
  <c r="AR56" i="7" s="1"/>
  <c r="AR32" i="7" a="1"/>
  <c r="AR32" i="7" s="1"/>
  <c r="AR70" i="7" a="1"/>
  <c r="AR70" i="7" s="1"/>
  <c r="AR117" i="7" a="1"/>
  <c r="AR117" i="7" s="1"/>
  <c r="AR109" i="7" a="1"/>
  <c r="AR109" i="7" s="1"/>
  <c r="AR114" i="7" a="1"/>
  <c r="AR114" i="7" s="1"/>
  <c r="AR120" i="7" a="1"/>
  <c r="AR120" i="7" s="1"/>
  <c r="AR89" i="7" a="1"/>
  <c r="AR89" i="7" s="1"/>
  <c r="AR30" i="7" a="1"/>
  <c r="AR30" i="7" s="1"/>
  <c r="AR170" i="7" a="1"/>
  <c r="AR170" i="7" s="1"/>
  <c r="AR98" i="7" a="1"/>
  <c r="AR98" i="7" s="1"/>
  <c r="AR108" i="7" a="1"/>
  <c r="AR108" i="7" s="1"/>
  <c r="AR110" i="7" a="1"/>
  <c r="AR110" i="7" s="1"/>
  <c r="AR33" i="7" a="1"/>
  <c r="AR33" i="7" s="1"/>
  <c r="AR115" i="7" a="1"/>
  <c r="AR115" i="7" s="1"/>
  <c r="AR17" i="7" a="1"/>
  <c r="AR17" i="7" s="1"/>
  <c r="AR62" i="7" a="1"/>
  <c r="AR62" i="7" s="1"/>
  <c r="AR82" i="7" a="1"/>
  <c r="AR82" i="7" s="1"/>
  <c r="AR116" i="7" a="1"/>
  <c r="AR116" i="7" s="1"/>
  <c r="AR19" i="7" a="1"/>
  <c r="AR19" i="7" s="1"/>
  <c r="AR168" i="7" a="1"/>
  <c r="AR168" i="7" s="1"/>
  <c r="AR113" i="7" a="1"/>
  <c r="AR113" i="7" s="1"/>
  <c r="AR52" i="7" a="1"/>
  <c r="AR52" i="7" s="1"/>
  <c r="AR55" i="7" a="1"/>
  <c r="AR55" i="7" s="1"/>
  <c r="AR26" i="7" a="1"/>
  <c r="AR26" i="7" s="1"/>
  <c r="AR69" i="7" a="1"/>
  <c r="AR69" i="7" s="1"/>
  <c r="AR78" i="7" a="1"/>
  <c r="AR78" i="7" s="1"/>
  <c r="AR162" i="7" a="1"/>
  <c r="AR162" i="7" s="1"/>
  <c r="AR124" i="7" a="1"/>
  <c r="AR124" i="7" s="1"/>
  <c r="AR86" i="7" a="1"/>
  <c r="AR86" i="7" s="1"/>
  <c r="AR103" i="7" a="1"/>
  <c r="AR103" i="7" s="1"/>
  <c r="AR71" i="7" a="1"/>
  <c r="AR71" i="7" s="1"/>
  <c r="AR74" i="7" a="1"/>
  <c r="AR74" i="7" s="1"/>
  <c r="AR45" i="7" a="1"/>
  <c r="AR45" i="7" s="1"/>
  <c r="AR165" i="7" a="1"/>
  <c r="AR165" i="7" s="1"/>
  <c r="AR171" i="7" a="1"/>
  <c r="AR171" i="7" s="1"/>
  <c r="AR46" i="7" a="1"/>
  <c r="AR46" i="7" s="1"/>
  <c r="AR48" i="7" a="1"/>
  <c r="AR48" i="7" s="1"/>
  <c r="AR72" i="7" a="1"/>
  <c r="AR72" i="7" s="1"/>
  <c r="AR92" i="7" a="1"/>
  <c r="AR92" i="7" s="1"/>
  <c r="AR155" i="7" a="1"/>
  <c r="AR155" i="7" s="1"/>
  <c r="AR118" i="7" a="1"/>
  <c r="AR118" i="7" s="1"/>
  <c r="AR128" i="7" a="1"/>
  <c r="AR128" i="7" s="1"/>
  <c r="AR97" i="7" a="1"/>
  <c r="AR97" i="7" s="1"/>
  <c r="AR153" i="7" a="1"/>
  <c r="AR153" i="7" s="1"/>
  <c r="AR67" i="7" a="1"/>
  <c r="AR67" i="7" s="1"/>
  <c r="AR38" i="7" a="1"/>
  <c r="AR38" i="7" s="1"/>
  <c r="AR63" i="7" a="1"/>
  <c r="AR63" i="7" s="1"/>
  <c r="AR87" i="7" a="1"/>
  <c r="AR87" i="7" s="1"/>
  <c r="AR43" i="7" a="1"/>
  <c r="AR43" i="7" s="1"/>
  <c r="AR76" i="7" a="1"/>
  <c r="AR76" i="7" s="1"/>
  <c r="AR21" i="7" a="1"/>
  <c r="AR21" i="7" s="1"/>
  <c r="AR22" i="7" a="1"/>
  <c r="AR22" i="7" s="1"/>
  <c r="AR68" i="7" a="1"/>
  <c r="AR68" i="7" s="1"/>
  <c r="AR176" i="7" a="1"/>
  <c r="AR176" i="7" s="1"/>
  <c r="AR90" i="7" a="1"/>
  <c r="AR90" i="7" s="1"/>
  <c r="AR73" i="7" a="1"/>
  <c r="AR73" i="7" s="1"/>
  <c r="AR102" i="7" a="1"/>
  <c r="AR102" i="7" s="1"/>
  <c r="AR125" i="7" a="1"/>
  <c r="AR125" i="7" s="1"/>
  <c r="AR50" i="7" a="1"/>
  <c r="AR50" i="7" s="1"/>
  <c r="AR42" i="7" a="1"/>
  <c r="AR42" i="7" s="1"/>
  <c r="AR104" i="7" a="1"/>
  <c r="AR104" i="7" s="1"/>
  <c r="AR95" i="7" a="1"/>
  <c r="AR95" i="7" s="1"/>
  <c r="AR150" i="7" a="1"/>
  <c r="AR150" i="7" s="1"/>
  <c r="AR20" i="7" a="1"/>
  <c r="AR20" i="7" s="1"/>
  <c r="AR58" i="7" a="1"/>
  <c r="AR58" i="7" s="1"/>
  <c r="AR175" i="7" a="1"/>
  <c r="AR175" i="7" s="1"/>
  <c r="AR40" i="7" a="1"/>
  <c r="AR40" i="7" s="1"/>
  <c r="AR156" i="7" a="1"/>
  <c r="AR156" i="7" s="1"/>
  <c r="AR65" i="7" a="1"/>
  <c r="AR65" i="7" s="1"/>
  <c r="AR66" i="7" a="1"/>
  <c r="AR66" i="7" s="1"/>
  <c r="AR77" i="7" a="1"/>
  <c r="AR77" i="7" s="1"/>
  <c r="AR94" i="7" a="1"/>
  <c r="AR94" i="7" s="1"/>
  <c r="AR131" i="7" a="1"/>
  <c r="AR131" i="7" s="1"/>
  <c r="AR172" i="7" a="1"/>
  <c r="AR172" i="7" s="1"/>
  <c r="AR166" i="7" a="1"/>
  <c r="AR166" i="7" s="1"/>
  <c r="AR158" i="7" a="1"/>
  <c r="AR158" i="7" s="1"/>
  <c r="AR88" i="7" a="1"/>
  <c r="AR88" i="7" s="1"/>
  <c r="AR34" i="7" a="1"/>
  <c r="AR34" i="7" s="1"/>
  <c r="AR154" i="7" a="1"/>
  <c r="AR154" i="7" s="1"/>
  <c r="AR31" i="7" a="1"/>
  <c r="AR31" i="7" s="1"/>
  <c r="AR159" i="7" a="1"/>
  <c r="AR159" i="7" s="1"/>
  <c r="AR14" i="7" a="1"/>
  <c r="AR14" i="7" s="1"/>
  <c r="AR59" i="7" a="1"/>
  <c r="AR59" i="7" s="1"/>
  <c r="AR160" i="7" a="1"/>
  <c r="AR160" i="7" s="1"/>
  <c r="AR25" i="7" a="1"/>
  <c r="AR25" i="7" s="1"/>
  <c r="AR152" i="7" a="1"/>
  <c r="AR152" i="7" s="1"/>
  <c r="AR35" i="7" a="1"/>
  <c r="AR35" i="7" s="1"/>
  <c r="AR60" i="7" a="1"/>
  <c r="AR60" i="7" s="1"/>
  <c r="AR151" i="7" a="1"/>
  <c r="AR151" i="7" s="1"/>
  <c r="AR83" i="7" a="1"/>
  <c r="AR83" i="7" s="1"/>
  <c r="AR29" i="7" a="1"/>
  <c r="AR29" i="7" s="1"/>
  <c r="AR23" i="7" a="1"/>
  <c r="AR23" i="7" s="1"/>
  <c r="AR177" i="7" a="1"/>
  <c r="AR177" i="7" s="1"/>
  <c r="AR47" i="7" a="1"/>
  <c r="AR47" i="7" s="1"/>
  <c r="AR16" i="7" a="1"/>
  <c r="AR16" i="7" s="1"/>
  <c r="AR28" i="7" a="1"/>
  <c r="AR28" i="7" s="1"/>
  <c r="AR173" i="7" a="1"/>
  <c r="AR173" i="7" s="1"/>
  <c r="AR64" i="7" a="1"/>
  <c r="AR64" i="7" s="1"/>
  <c r="AR44" i="7" a="1"/>
  <c r="AR44" i="7" s="1"/>
  <c r="AR39" i="7" a="1"/>
  <c r="AR39" i="7" s="1"/>
  <c r="AR61" i="7" a="1"/>
  <c r="AR61" i="7" s="1"/>
  <c r="AC535" i="1"/>
  <c r="AC442" i="1"/>
  <c r="AC249" i="1"/>
  <c r="AC178" i="1"/>
  <c r="AC181" i="1"/>
  <c r="AC154" i="1"/>
  <c r="AC65" i="1"/>
  <c r="AC522" i="1"/>
  <c r="AC148" i="1"/>
  <c r="AC191" i="1"/>
  <c r="AC192" i="1"/>
  <c r="AC193" i="1"/>
  <c r="AC697" i="1"/>
  <c r="AC456" i="1"/>
  <c r="AC177" i="1"/>
  <c r="AC44" i="1"/>
  <c r="AC219" i="1"/>
  <c r="AC146" i="1"/>
  <c r="AC147" i="1"/>
  <c r="AC149" i="1"/>
  <c r="AC150" i="1"/>
  <c r="AC403" i="1"/>
  <c r="AC402" i="1"/>
  <c r="AC30" i="1"/>
  <c r="AC33" i="1"/>
  <c r="AC29" i="1"/>
  <c r="AC517" i="1"/>
  <c r="AC704" i="1"/>
  <c r="AC550" i="1"/>
  <c r="AC401" i="1"/>
  <c r="AC551" i="1"/>
  <c r="AC552" i="1"/>
  <c r="AC34" i="1"/>
  <c r="AC35" i="1"/>
  <c r="AC106" i="1"/>
  <c r="AC539" i="1"/>
  <c r="AC540" i="1"/>
  <c r="AC548" i="1"/>
  <c r="AC549" i="1"/>
  <c r="AC681" i="1"/>
  <c r="AC541" i="1"/>
  <c r="AC684" i="1"/>
  <c r="AC272" i="1"/>
  <c r="AC269" i="1"/>
  <c r="AC271" i="1"/>
  <c r="AC107" i="1"/>
  <c r="AC114" i="1"/>
  <c r="AC115" i="1"/>
  <c r="AC727" i="1"/>
  <c r="AC717" i="1"/>
  <c r="AC713" i="1"/>
  <c r="AC68" i="1"/>
  <c r="AC705" i="1"/>
  <c r="AC277" i="1"/>
  <c r="AC285" i="1"/>
  <c r="AC292" i="1"/>
  <c r="AC288" i="1"/>
  <c r="AC296" i="1"/>
  <c r="AC278" i="1"/>
  <c r="AC728" i="1"/>
  <c r="AC718" i="1"/>
  <c r="AC729" i="1"/>
  <c r="AC714" i="1"/>
  <c r="AC719" i="1"/>
  <c r="AC724" i="1"/>
  <c r="AC163" i="1"/>
  <c r="AC164" i="1"/>
  <c r="AC504" i="1"/>
  <c r="AC505" i="1"/>
  <c r="AC372" i="1"/>
  <c r="AC383" i="1"/>
  <c r="AC373" i="1"/>
  <c r="AC386" i="1"/>
  <c r="AC395" i="1"/>
  <c r="AC396" i="1"/>
  <c r="AC324" i="1"/>
  <c r="AC155" i="1"/>
  <c r="AC159" i="1"/>
  <c r="AC45" i="1"/>
  <c r="AC174" i="1"/>
  <c r="AC172" i="1"/>
  <c r="AC302" i="1"/>
  <c r="AC49" i="1"/>
  <c r="AC40" i="1"/>
  <c r="AC414" i="1"/>
  <c r="AC36" i="1"/>
  <c r="AC312" i="1"/>
  <c r="AC224" i="1"/>
  <c r="AC243" i="1"/>
  <c r="AC432" i="1"/>
  <c r="AC436" i="1"/>
  <c r="AC439" i="1"/>
  <c r="AC207" i="1"/>
  <c r="AC315" i="1"/>
  <c r="AC205" i="1"/>
  <c r="AC316" i="1"/>
  <c r="AC101" i="1"/>
  <c r="AC95" i="1"/>
  <c r="AC330" i="1"/>
  <c r="AC336" i="1"/>
  <c r="AC674" i="1"/>
  <c r="AC460" i="1"/>
  <c r="AC662" i="1"/>
  <c r="AC571" i="1"/>
  <c r="AC629" i="1"/>
  <c r="AC361" i="1"/>
  <c r="AC357" i="1"/>
  <c r="AC27" i="1"/>
  <c r="AC20" i="1"/>
  <c r="AC24" i="1"/>
  <c r="AC22" i="1"/>
  <c r="AC693" i="1"/>
  <c r="AC626" i="1"/>
  <c r="AC630" i="1"/>
  <c r="AC631" i="1"/>
  <c r="AC346" i="1"/>
  <c r="AC732" i="1"/>
  <c r="AC733" i="1"/>
  <c r="AC512" i="1"/>
  <c r="AC513" i="1"/>
  <c r="AC273" i="1"/>
  <c r="AC274" i="1"/>
  <c r="AC566" i="1"/>
  <c r="AC567" i="1"/>
  <c r="AC570" i="1"/>
  <c r="AC725" i="1"/>
  <c r="AC726" i="1"/>
  <c r="AC116" i="1"/>
  <c r="AC117" i="1"/>
  <c r="AC118" i="1"/>
  <c r="AC119" i="1"/>
  <c r="AC384" i="1"/>
  <c r="AC387" i="1"/>
  <c r="AC379" i="1"/>
  <c r="AC69" i="1"/>
  <c r="AC70" i="1"/>
  <c r="AC75" i="1"/>
  <c r="AC685" i="1"/>
  <c r="AC682" i="1"/>
  <c r="AC686" i="1"/>
  <c r="AC683" i="1"/>
  <c r="AC462" i="1"/>
  <c r="AC4" i="1"/>
  <c r="AC11" i="1"/>
  <c r="AC5" i="1"/>
  <c r="AC501" i="1"/>
  <c r="AC12" i="1"/>
  <c r="AC240" i="1"/>
  <c r="AC194" i="1"/>
  <c r="AC487" i="1"/>
  <c r="AC232" i="1"/>
  <c r="AC235" i="1"/>
  <c r="AC469" i="1"/>
  <c r="AC185" i="1"/>
  <c r="AC557" i="1"/>
  <c r="AC465" i="1"/>
  <c r="AC448" i="1"/>
  <c r="AC675" i="1"/>
  <c r="AC449" i="1"/>
  <c r="AC676" i="1"/>
  <c r="AC606" i="1"/>
  <c r="AC612" i="1"/>
  <c r="AC607" i="1"/>
  <c r="AC614" i="1"/>
  <c r="AC654" i="1"/>
  <c r="AC660" i="1"/>
  <c r="AC655" i="1"/>
  <c r="AC389" i="1"/>
  <c r="AC428" i="1"/>
  <c r="AC429" i="1"/>
  <c r="AC390" i="1"/>
  <c r="AC391" i="1"/>
  <c r="AC430" i="1"/>
  <c r="AC431" i="1"/>
  <c r="AC392" i="1"/>
  <c r="AC703" i="1"/>
  <c r="AC80" i="1"/>
  <c r="AC169" i="1"/>
  <c r="AC140" i="1"/>
  <c r="AC170" i="1"/>
  <c r="AC53" i="1"/>
  <c r="AC54" i="1"/>
  <c r="AC58" i="1"/>
  <c r="AC61" i="1"/>
  <c r="AC342" i="1"/>
  <c r="AC343" i="1"/>
  <c r="AC340" i="1"/>
  <c r="AC341" i="1"/>
  <c r="AC264" i="1"/>
  <c r="AC267" i="1"/>
  <c r="AC256" i="1"/>
  <c r="AC259" i="1"/>
  <c r="AC254" i="1"/>
  <c r="AC260" i="1"/>
  <c r="AC458" i="1"/>
  <c r="AC200" i="1"/>
  <c r="AC203" i="1"/>
  <c r="AC204" i="1"/>
  <c r="AC198" i="1"/>
  <c r="AC199" i="1"/>
  <c r="AC454" i="1"/>
  <c r="AC470" i="1"/>
  <c r="AC455" i="1"/>
  <c r="AC471" i="1"/>
  <c r="AC481" i="1"/>
  <c r="AC475" i="1"/>
  <c r="AC482" i="1"/>
  <c r="AC476" i="1"/>
  <c r="AC720" i="1"/>
  <c r="AC721" i="1"/>
  <c r="AC730" i="1"/>
  <c r="AC715" i="1"/>
  <c r="AC731" i="1"/>
  <c r="AC716" i="1"/>
  <c r="AC108" i="1"/>
  <c r="AC109" i="1"/>
  <c r="AC120" i="1"/>
  <c r="AC121" i="1"/>
  <c r="AC122" i="1"/>
  <c r="AC123" i="1"/>
  <c r="AC374" i="1"/>
  <c r="AC375" i="1"/>
  <c r="AC380" i="1"/>
  <c r="AC404" i="1"/>
  <c r="AC706" i="1"/>
  <c r="AC707" i="1"/>
  <c r="AC229" i="1"/>
  <c r="AC279" i="1"/>
  <c r="AC289" i="1"/>
  <c r="AC280" i="1"/>
  <c r="AC293" i="1"/>
  <c r="AC297" i="1"/>
  <c r="AC92" i="1"/>
  <c r="AC89" i="1"/>
  <c r="AC85" i="1"/>
  <c r="AC86" i="1"/>
  <c r="AC87" i="1"/>
  <c r="AC83" i="1"/>
  <c r="AC519" i="1"/>
  <c r="AC536" i="1"/>
  <c r="AC532" i="1"/>
  <c r="AC141" i="1"/>
  <c r="AC443" i="1"/>
  <c r="AC553" i="1"/>
  <c r="AC250" i="1"/>
  <c r="AC554" i="1"/>
  <c r="AC251" i="1"/>
  <c r="AC211" i="1"/>
  <c r="AC212" i="1"/>
  <c r="AC215" i="1"/>
  <c r="AC220" i="1"/>
  <c r="AC216" i="1"/>
  <c r="AC221" i="1"/>
  <c r="AC425" i="1"/>
  <c r="AC542" i="1"/>
  <c r="AC543" i="1"/>
  <c r="AC688" i="1"/>
  <c r="AC689" i="1"/>
  <c r="AC325" i="1"/>
  <c r="AC156" i="1"/>
  <c r="AC326" i="1"/>
  <c r="AC160" i="1"/>
  <c r="AC46" i="1"/>
  <c r="AC173" i="1"/>
  <c r="AC303" i="1"/>
  <c r="AC50" i="1"/>
  <c r="AC304" i="1"/>
  <c r="AC41" i="1"/>
  <c r="AC37" i="1"/>
  <c r="AC496" i="1"/>
  <c r="AC497" i="1"/>
  <c r="AC415" i="1"/>
  <c r="AC416" i="1"/>
  <c r="AC347" i="1"/>
  <c r="AC78" i="1"/>
  <c r="AC348" i="1"/>
  <c r="AC308" i="1"/>
  <c r="AC309" i="1"/>
  <c r="AC175" i="1"/>
  <c r="AC467" i="1"/>
  <c r="AC225" i="1"/>
  <c r="AC490" i="1"/>
  <c r="AC226" i="1"/>
  <c r="AC491" i="1"/>
  <c r="AC365" i="1"/>
  <c r="AC364" i="1"/>
  <c r="AC244" i="1"/>
  <c r="AC245" i="1"/>
  <c r="AC433" i="1"/>
  <c r="AC437" i="1"/>
  <c r="AC434" i="1"/>
  <c r="AC440" i="1"/>
  <c r="AC197" i="1"/>
  <c r="AC555" i="1"/>
  <c r="AC152" i="1"/>
  <c r="AC208" i="1"/>
  <c r="AC96" i="1"/>
  <c r="AC331" i="1"/>
  <c r="AC332" i="1"/>
  <c r="AC97" i="1"/>
  <c r="AC410" i="1"/>
  <c r="AC411" i="1"/>
  <c r="AC317" i="1"/>
  <c r="AC318" i="1"/>
  <c r="AC700" i="1"/>
  <c r="AC102" i="1"/>
  <c r="AC701" i="1"/>
  <c r="AC337" i="1"/>
  <c r="AC514" i="1"/>
  <c r="AC344" i="1"/>
  <c r="AC345" i="1"/>
  <c r="AC568" i="1"/>
  <c r="AC569" i="1"/>
  <c r="AC230" i="1"/>
  <c r="AC376" i="1"/>
  <c r="AC381" i="1"/>
  <c r="AC385" i="1"/>
  <c r="AC388" i="1"/>
  <c r="AC71" i="1"/>
  <c r="AC72" i="1"/>
  <c r="AC366" i="1"/>
  <c r="AC698" i="1"/>
  <c r="AC367" i="1"/>
  <c r="AC699" i="1"/>
  <c r="AC201" i="1"/>
  <c r="AC477" i="1"/>
  <c r="AC478" i="1"/>
  <c r="AC483" i="1"/>
  <c r="AC484" i="1"/>
  <c r="AC368" i="1"/>
  <c r="AC397" i="1"/>
  <c r="AC398" i="1"/>
  <c r="AC369" i="1"/>
  <c r="AC370" i="1"/>
  <c r="AC371" i="1"/>
  <c r="AC663" i="1"/>
  <c r="AC664" i="1"/>
  <c r="AC596" i="1"/>
  <c r="AC322" i="1"/>
  <c r="AC597" i="1"/>
  <c r="AC639" i="1"/>
  <c r="AC640" i="1"/>
  <c r="AC595" i="1"/>
  <c r="AC643" i="1"/>
  <c r="AC667" i="1"/>
  <c r="AC668" i="1"/>
  <c r="AC622" i="1"/>
  <c r="AC628" i="1"/>
  <c r="AC623" i="1"/>
  <c r="AC585" i="1"/>
  <c r="AC586" i="1"/>
  <c r="AC617" i="1"/>
  <c r="AC602" i="1"/>
  <c r="AC603" i="1"/>
  <c r="AC644" i="1"/>
  <c r="AC618" i="1"/>
  <c r="AC587" i="1"/>
  <c r="AC637" i="1"/>
  <c r="AC619" i="1"/>
  <c r="AC638" i="1"/>
  <c r="AC605" i="1"/>
  <c r="AC604" i="1"/>
  <c r="AC636" i="1"/>
  <c r="AC588" i="1"/>
  <c r="AC589" i="1"/>
  <c r="AC620" i="1"/>
  <c r="AC600" i="1"/>
  <c r="AC621" i="1"/>
  <c r="AC520" i="1"/>
  <c r="AC533" i="1"/>
  <c r="AC537" i="1"/>
  <c r="AC426" i="1"/>
  <c r="AC444" i="1"/>
  <c r="AC142" i="1"/>
  <c r="AC143" i="1"/>
  <c r="AC702" i="1"/>
  <c r="AC66" i="1"/>
  <c r="AC252" i="1"/>
  <c r="AC67" i="1"/>
  <c r="AC253" i="1"/>
  <c r="AC179" i="1"/>
  <c r="AC180" i="1"/>
  <c r="AC182" i="1"/>
  <c r="AC183" i="1"/>
  <c r="AC405" i="1"/>
  <c r="AC165" i="1"/>
  <c r="AC166" i="1"/>
  <c r="AC31" i="1"/>
  <c r="AC32" i="1"/>
  <c r="AC695" i="1"/>
  <c r="AC393" i="1"/>
  <c r="AC394" i="1"/>
  <c r="AC687" i="1"/>
  <c r="AC544" i="1"/>
  <c r="AC545" i="1"/>
  <c r="AC421" i="1"/>
  <c r="AC422" i="1"/>
  <c r="AC420" i="1"/>
  <c r="AC424" i="1"/>
  <c r="AC353" i="1"/>
  <c r="AC515" i="1"/>
  <c r="AC510" i="1"/>
  <c r="AC265" i="1"/>
  <c r="AC257" i="1"/>
  <c r="AC255" i="1"/>
  <c r="AC261" i="1"/>
  <c r="AC459" i="1"/>
  <c r="AC262" i="1"/>
  <c r="AC268" i="1"/>
  <c r="AC171" i="1"/>
  <c r="AC270" i="1"/>
  <c r="AC275" i="1"/>
  <c r="AC472" i="1"/>
  <c r="AC473" i="1"/>
  <c r="AC76" i="1"/>
  <c r="AC77" i="1"/>
  <c r="AC474" i="1"/>
  <c r="AC461" i="1"/>
  <c r="AC110" i="1"/>
  <c r="AC124" i="1"/>
  <c r="AC111" i="1"/>
  <c r="AC125" i="1"/>
  <c r="AC126" i="1"/>
  <c r="AC127" i="1"/>
  <c r="AC128" i="1"/>
  <c r="AC129" i="1"/>
  <c r="AC130" i="1"/>
  <c r="AC131" i="1"/>
  <c r="AC132" i="1"/>
  <c r="AC133" i="1"/>
  <c r="AC93" i="1"/>
  <c r="AC90" i="1"/>
  <c r="AC708" i="1"/>
  <c r="AC709" i="1"/>
  <c r="AC377" i="1"/>
  <c r="AC382" i="1"/>
  <c r="AC281" i="1"/>
  <c r="AC299" i="1"/>
  <c r="AC290" i="1"/>
  <c r="AC294" i="1"/>
  <c r="AC55" i="1"/>
  <c r="AC56" i="1"/>
  <c r="AC62" i="1"/>
  <c r="AC355" i="1"/>
  <c r="AC356" i="1"/>
  <c r="AC327" i="1"/>
  <c r="AC157" i="1"/>
  <c r="AC328" i="1"/>
  <c r="AC161" i="1"/>
  <c r="AC176" i="1"/>
  <c r="AC145" i="1"/>
  <c r="AC305" i="1"/>
  <c r="AC51" i="1"/>
  <c r="AC306" i="1"/>
  <c r="AC42" i="1"/>
  <c r="AC47" i="1"/>
  <c r="AC38" i="1"/>
  <c r="AC498" i="1"/>
  <c r="AC499" i="1"/>
  <c r="AC564" i="1"/>
  <c r="AC565" i="1"/>
  <c r="AC417" i="1"/>
  <c r="AC418" i="1"/>
  <c r="AC79" i="1"/>
  <c r="AC310" i="1"/>
  <c r="AC468" i="1"/>
  <c r="AC311" i="1"/>
  <c r="AC349" i="1"/>
  <c r="AC350" i="1"/>
  <c r="AC227" i="1"/>
  <c r="AC492" i="1"/>
  <c r="AC313" i="1"/>
  <c r="AC493" i="1"/>
  <c r="AC435" i="1"/>
  <c r="AC438" i="1"/>
  <c r="AC441" i="1"/>
  <c r="AC144" i="1"/>
  <c r="AC209" i="1"/>
  <c r="AC319" i="1"/>
  <c r="AC320" i="1"/>
  <c r="AC333" i="1"/>
  <c r="AC334" i="1"/>
  <c r="AC189" i="1"/>
  <c r="AC338" i="1"/>
  <c r="AC2" i="1"/>
  <c r="AC3" i="1"/>
  <c r="AC98" i="1"/>
  <c r="AC412" i="1"/>
  <c r="AC413" i="1"/>
  <c r="AC99" i="1"/>
  <c r="AC103" i="1"/>
  <c r="AC206" i="1"/>
  <c r="AC246" i="1"/>
  <c r="AC247" i="1"/>
  <c r="AC188" i="1"/>
  <c r="AC358" i="1"/>
  <c r="AC362" i="1"/>
  <c r="AC359" i="1"/>
  <c r="AC363" i="1"/>
  <c r="AC186" i="1"/>
  <c r="AC187" i="1"/>
  <c r="AC677" i="1"/>
  <c r="AC678" i="1"/>
  <c r="AC463" i="1"/>
  <c r="AC151" i="1"/>
  <c r="AC276" i="1"/>
  <c r="AC6" i="1"/>
  <c r="AC7" i="1"/>
  <c r="AC13" i="1"/>
  <c r="AC502" i="1"/>
  <c r="AC14" i="1"/>
  <c r="AC488" i="1"/>
  <c r="AC195" i="1"/>
  <c r="AC241" i="1"/>
  <c r="AC168" i="1"/>
  <c r="AC190" i="1"/>
  <c r="AC558" i="1"/>
  <c r="AC559" i="1"/>
  <c r="AC560" i="1"/>
  <c r="AC236" i="1"/>
  <c r="AC561" i="1"/>
  <c r="AC233" i="1"/>
  <c r="AC10" i="1"/>
  <c r="AC446" i="1"/>
  <c r="AC447" i="1"/>
  <c r="AC81" i="1"/>
  <c r="AC82" i="1"/>
  <c r="AC598" i="1"/>
  <c r="AC594" i="1"/>
  <c r="AC599" i="1"/>
  <c r="AC641" i="1"/>
  <c r="AC457" i="1"/>
  <c r="AC642" i="1"/>
  <c r="AC665" i="1"/>
  <c r="AC323" i="1"/>
  <c r="AC666" i="1"/>
  <c r="AC645" i="1"/>
  <c r="AC624" i="1"/>
  <c r="AC625" i="1"/>
  <c r="AC104" i="1"/>
  <c r="AC184" i="1"/>
  <c r="AC248" i="1"/>
  <c r="AC722" i="1"/>
  <c r="AC723" i="1"/>
  <c r="AC378" i="1"/>
  <c r="AC105" i="1"/>
  <c r="AC507" i="1"/>
  <c r="AC690" i="1"/>
  <c r="AC506" i="1"/>
  <c r="AC508" i="1"/>
  <c r="AC509" i="1"/>
  <c r="AC406" i="1"/>
  <c r="AC408" i="1"/>
  <c r="AC300" i="1"/>
  <c r="AC282" i="1"/>
  <c r="AC287" i="1"/>
  <c r="AC286" i="1"/>
  <c r="AC266" i="1"/>
  <c r="AC258" i="1"/>
  <c r="AC263" i="1"/>
  <c r="AC57" i="1"/>
  <c r="AC352" i="1"/>
  <c r="AC710" i="1"/>
  <c r="AC511" i="1"/>
  <c r="AC516" i="1"/>
  <c r="AC423" i="1"/>
  <c r="AC354" i="1"/>
  <c r="AC696" i="1"/>
  <c r="AC360" i="1"/>
  <c r="AC329" i="1"/>
  <c r="AC158" i="1"/>
  <c r="AC162" i="1"/>
  <c r="AC48" i="1"/>
  <c r="AC307" i="1"/>
  <c r="AC43" i="1"/>
  <c r="AC500" i="1"/>
  <c r="AC39" i="1"/>
  <c r="AC419" i="1"/>
  <c r="AC52" i="1"/>
  <c r="AC314" i="1"/>
  <c r="AC228" i="1"/>
  <c r="AC210" i="1"/>
  <c r="AC321" i="1"/>
  <c r="AC335" i="1"/>
  <c r="AC100" i="1"/>
  <c r="AC339" i="1"/>
  <c r="AC479" i="1"/>
  <c r="AC485" i="1"/>
  <c r="AC480" i="1"/>
  <c r="AC486" i="1"/>
  <c r="AC494" i="1"/>
  <c r="AC495" i="1"/>
  <c r="AC407" i="1"/>
  <c r="AC521" i="1"/>
  <c r="AC534" i="1"/>
  <c r="AC523" i="1"/>
  <c r="AC445" i="1"/>
  <c r="AC524" i="1"/>
  <c r="AC525" i="1"/>
  <c r="AC526" i="1"/>
  <c r="AC527" i="1"/>
  <c r="AC528" i="1"/>
  <c r="AC529" i="1"/>
  <c r="AC530" i="1"/>
  <c r="AC531" i="1"/>
  <c r="AC427" i="1"/>
  <c r="AC409" i="1"/>
  <c r="AC217" i="1"/>
  <c r="AC218" i="1"/>
  <c r="AC222" i="1"/>
  <c r="AC223" i="1"/>
  <c r="AC213" i="1"/>
  <c r="AC214" i="1"/>
  <c r="AC63" i="1"/>
  <c r="AC64" i="1"/>
  <c r="AC538" i="1"/>
  <c r="AC546" i="1"/>
  <c r="AC691" i="1"/>
  <c r="AC547" i="1"/>
  <c r="AC692" i="1"/>
  <c r="AC679" i="1"/>
  <c r="AC680" i="1"/>
  <c r="AC450" i="1"/>
  <c r="AC451" i="1"/>
  <c r="AC399" i="1"/>
  <c r="AC400" i="1"/>
  <c r="AC112" i="1"/>
  <c r="AC134" i="1"/>
  <c r="AC113" i="1"/>
  <c r="AC135" i="1"/>
  <c r="AC136" i="1"/>
  <c r="AC137" i="1"/>
  <c r="AC138" i="1"/>
  <c r="AC139" i="1"/>
  <c r="AC73" i="1"/>
  <c r="AC74" i="1"/>
  <c r="AC283" i="1"/>
  <c r="AC301" i="1"/>
  <c r="AC284" i="1"/>
  <c r="AC295" i="1"/>
  <c r="AC291" i="1"/>
  <c r="AC298" i="1"/>
  <c r="AC711" i="1"/>
  <c r="AC231" i="1"/>
  <c r="AC712" i="1"/>
  <c r="AC351" i="1"/>
  <c r="AC94" i="1"/>
  <c r="AC91" i="1"/>
  <c r="AC88" i="1"/>
  <c r="AC84" i="1"/>
  <c r="AC608" i="1"/>
  <c r="AC656" i="1"/>
  <c r="AC609" i="1"/>
  <c r="AC613" i="1"/>
  <c r="AC657" i="1"/>
  <c r="AC615" i="1"/>
  <c r="AC616" i="1"/>
  <c r="AC661" i="1"/>
  <c r="AC581" i="1"/>
  <c r="AC167" i="1"/>
  <c r="AC582" i="1"/>
  <c r="AC646" i="1"/>
  <c r="AC590" i="1"/>
  <c r="AC601" i="1"/>
  <c r="AC591" i="1"/>
  <c r="AC627" i="1"/>
  <c r="AC632" i="1"/>
  <c r="AC647" i="1"/>
  <c r="AC633" i="1"/>
  <c r="AC653" i="1"/>
  <c r="AC673" i="1"/>
  <c r="AC648" i="1"/>
  <c r="AC652" i="1"/>
  <c r="AC649" i="1"/>
  <c r="AC669" i="1"/>
  <c r="AC670" i="1"/>
  <c r="AC610" i="1"/>
  <c r="AC611" i="1"/>
  <c r="AC658" i="1"/>
  <c r="AC659" i="1"/>
  <c r="AC671" i="1"/>
  <c r="AC634" i="1"/>
  <c r="AC635" i="1"/>
  <c r="AC672" i="1"/>
  <c r="AC464" i="1"/>
  <c r="AC238" i="1"/>
  <c r="AC239" i="1"/>
  <c r="AC15" i="1"/>
  <c r="AC16" i="1"/>
  <c r="AC466" i="1"/>
  <c r="AC8" i="1"/>
  <c r="AC9" i="1"/>
  <c r="AC503" i="1"/>
  <c r="AC234" i="1"/>
  <c r="AC489" i="1"/>
  <c r="AC196" i="1"/>
  <c r="AC242" i="1"/>
  <c r="AC17" i="1"/>
  <c r="AC18" i="1"/>
  <c r="AC237" i="1"/>
  <c r="AC19" i="1"/>
  <c r="AC562" i="1"/>
  <c r="AC563" i="1"/>
  <c r="AC452" i="1"/>
  <c r="AC453" i="1"/>
  <c r="AC28" i="1"/>
  <c r="AC23" i="1"/>
  <c r="AC25" i="1"/>
  <c r="AC21" i="1"/>
  <c r="AC694" i="1"/>
  <c r="AC26" i="1"/>
  <c r="AC572" i="1"/>
  <c r="AC573" i="1"/>
  <c r="AC574" i="1"/>
  <c r="AC575" i="1"/>
  <c r="AC576" i="1"/>
  <c r="AC577" i="1"/>
  <c r="AC578" i="1"/>
  <c r="AC579" i="1"/>
  <c r="AC580" i="1"/>
  <c r="AC556" i="1"/>
  <c r="AC153" i="1"/>
  <c r="AC650" i="1"/>
  <c r="AC651" i="1"/>
  <c r="AC583" i="1"/>
  <c r="AC584" i="1"/>
  <c r="AC592" i="1"/>
  <c r="AC59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914" i="1"/>
  <c r="AC915" i="1"/>
  <c r="AC916" i="1"/>
  <c r="AC917" i="1"/>
  <c r="AC918" i="1"/>
  <c r="AC919" i="1"/>
  <c r="AC920" i="1"/>
  <c r="AC921" i="1"/>
  <c r="AC922" i="1"/>
  <c r="AC923" i="1"/>
  <c r="AC924" i="1"/>
  <c r="AC925" i="1"/>
  <c r="AC926" i="1"/>
  <c r="AC927" i="1"/>
  <c r="AC928" i="1"/>
  <c r="AC929" i="1"/>
  <c r="AC930" i="1"/>
  <c r="AC931" i="1"/>
  <c r="AC932" i="1"/>
  <c r="AC933" i="1"/>
  <c r="AC934" i="1"/>
  <c r="AC935" i="1"/>
  <c r="AC936" i="1"/>
  <c r="AC937" i="1"/>
  <c r="AC938" i="1"/>
  <c r="AC939" i="1"/>
  <c r="AC940" i="1"/>
  <c r="AC941" i="1"/>
  <c r="AC942" i="1"/>
  <c r="AC943" i="1"/>
  <c r="AC944" i="1"/>
  <c r="AC945" i="1"/>
  <c r="AC946" i="1"/>
  <c r="AC947" i="1"/>
  <c r="AC948" i="1"/>
  <c r="AC949" i="1"/>
  <c r="AC950" i="1"/>
  <c r="AC951" i="1"/>
  <c r="AC952" i="1"/>
  <c r="AC953" i="1"/>
  <c r="AC954" i="1"/>
  <c r="AC955" i="1"/>
  <c r="AC956" i="1"/>
  <c r="AC957" i="1"/>
  <c r="AC958" i="1"/>
  <c r="AC959" i="1"/>
  <c r="AC960" i="1"/>
  <c r="AC961" i="1"/>
  <c r="AC962" i="1"/>
  <c r="AC963" i="1"/>
  <c r="AC964" i="1"/>
  <c r="AC965" i="1"/>
  <c r="AC966" i="1"/>
  <c r="AC967" i="1"/>
  <c r="AC968" i="1"/>
  <c r="AC969" i="1"/>
  <c r="AC970" i="1"/>
  <c r="AC971" i="1"/>
  <c r="AC972" i="1"/>
  <c r="AC973" i="1"/>
  <c r="AC974" i="1"/>
  <c r="AC975" i="1"/>
  <c r="AC976" i="1"/>
  <c r="AC977" i="1"/>
  <c r="AC978" i="1"/>
  <c r="AC979" i="1"/>
  <c r="AC980" i="1"/>
  <c r="AC981" i="1"/>
  <c r="AC982" i="1"/>
  <c r="AC983" i="1"/>
  <c r="AC984" i="1"/>
  <c r="AC985" i="1"/>
  <c r="AC986" i="1"/>
  <c r="AC987" i="1"/>
  <c r="AC988" i="1"/>
  <c r="AC989" i="1"/>
  <c r="AC990" i="1"/>
  <c r="AC991" i="1"/>
  <c r="AC992" i="1"/>
  <c r="AC993" i="1"/>
  <c r="AC994" i="1"/>
  <c r="AC995" i="1"/>
  <c r="AC996" i="1"/>
  <c r="AC997" i="1"/>
  <c r="AC998" i="1"/>
  <c r="AC999" i="1"/>
  <c r="AC1000" i="1"/>
  <c r="AC1001" i="1"/>
  <c r="AC1002" i="1"/>
  <c r="AC1003" i="1"/>
  <c r="AC1004" i="1"/>
  <c r="AC518" i="1"/>
  <c r="N132" i="46" l="1"/>
  <c r="O132" i="46" s="1"/>
  <c r="P132" i="46" s="1"/>
  <c r="N111" i="46"/>
  <c r="O111" i="46" s="1"/>
  <c r="P111" i="46" s="1"/>
  <c r="R134" i="46"/>
  <c r="S134" i="46" s="1"/>
  <c r="T134" i="46" s="1"/>
  <c r="N113" i="46"/>
  <c r="O113" i="46" s="1"/>
  <c r="P113" i="46" s="1"/>
  <c r="J137" i="46"/>
  <c r="K137" i="46" s="1"/>
  <c r="L137" i="46" s="1"/>
  <c r="R115" i="46"/>
  <c r="S115" i="46" s="1"/>
  <c r="T115" i="46" s="1"/>
  <c r="J142" i="46"/>
  <c r="K142" i="46" s="1"/>
  <c r="L142" i="46" s="1"/>
  <c r="R120" i="46"/>
  <c r="S120" i="46" s="1"/>
  <c r="T120" i="46" s="1"/>
  <c r="R143" i="46"/>
  <c r="S143" i="46" s="1"/>
  <c r="T143" i="46" s="1"/>
  <c r="R122" i="46"/>
  <c r="S122" i="46" s="1"/>
  <c r="T122" i="46" s="1"/>
  <c r="N138" i="46"/>
  <c r="O138" i="46" s="1"/>
  <c r="P138" i="46" s="1"/>
  <c r="N96" i="46"/>
  <c r="O96" i="46" s="1"/>
  <c r="P96" i="46" s="1"/>
  <c r="R175" i="46"/>
  <c r="S175" i="46" s="1"/>
  <c r="T175" i="46" s="1"/>
  <c r="N68" i="46"/>
  <c r="O68" i="46" s="1"/>
  <c r="P68" i="46" s="1"/>
  <c r="J48" i="46"/>
  <c r="J40" i="46"/>
  <c r="K40" i="46" s="1"/>
  <c r="L40" i="46" s="1"/>
  <c r="N15" i="46"/>
  <c r="O15" i="46" s="1"/>
  <c r="P15" i="46" s="1"/>
  <c r="R116" i="46"/>
  <c r="S116" i="46" s="1"/>
  <c r="T116" i="46" s="1"/>
  <c r="J169" i="46"/>
  <c r="K169" i="46" s="1"/>
  <c r="L169" i="46" s="1"/>
  <c r="R163" i="46"/>
  <c r="S163" i="46" s="1"/>
  <c r="T163" i="46" s="1"/>
  <c r="J61" i="46"/>
  <c r="K61" i="46" s="1"/>
  <c r="L61" i="46" s="1"/>
  <c r="R43" i="46"/>
  <c r="S43" i="46" s="1"/>
  <c r="T43" i="46" s="1"/>
  <c r="J24" i="46"/>
  <c r="N98" i="46"/>
  <c r="O98" i="46" s="1"/>
  <c r="P98" i="46" s="1"/>
  <c r="N177" i="46"/>
  <c r="O29" i="55" s="1"/>
  <c r="N70" i="46"/>
  <c r="O70" i="46" s="1"/>
  <c r="P70" i="46" s="1"/>
  <c r="J50" i="46"/>
  <c r="K50" i="46" s="1"/>
  <c r="L50" i="46" s="1"/>
  <c r="J28" i="46"/>
  <c r="K28" i="46" s="1"/>
  <c r="L28" i="46" s="1"/>
  <c r="J16" i="46"/>
  <c r="K16" i="46" s="1"/>
  <c r="L16" i="46" s="1"/>
  <c r="J122" i="46"/>
  <c r="K122" i="46" s="1"/>
  <c r="L122" i="46" s="1"/>
  <c r="J90" i="46"/>
  <c r="K90" i="46" s="1"/>
  <c r="L90" i="46" s="1"/>
  <c r="R165" i="46"/>
  <c r="S165" i="46" s="1"/>
  <c r="T165" i="46" s="1"/>
  <c r="J62" i="46"/>
  <c r="R45" i="46"/>
  <c r="S45" i="46" s="1"/>
  <c r="T45" i="46" s="1"/>
  <c r="R25" i="46"/>
  <c r="S25" i="46" s="1"/>
  <c r="T25" i="46" s="1"/>
  <c r="J150" i="46"/>
  <c r="K150" i="46" s="1"/>
  <c r="L150" i="46" s="1"/>
  <c r="R102" i="46"/>
  <c r="S102" i="46" s="1"/>
  <c r="T102" i="46" s="1"/>
  <c r="R84" i="46"/>
  <c r="S84" i="46" s="1"/>
  <c r="T84" i="46" s="1"/>
  <c r="R34" i="46"/>
  <c r="S34" i="46" s="1"/>
  <c r="T34" i="46" s="1"/>
  <c r="N54" i="46"/>
  <c r="J159" i="46"/>
  <c r="N18" i="46"/>
  <c r="O18" i="46" s="1"/>
  <c r="P18" i="46" s="1"/>
  <c r="R96" i="46"/>
  <c r="S96" i="46" s="1"/>
  <c r="T96" i="46" s="1"/>
  <c r="R54" i="46"/>
  <c r="N135" i="46"/>
  <c r="O135" i="46" s="1"/>
  <c r="P135" i="46" s="1"/>
  <c r="N34" i="46"/>
  <c r="O34" i="46" s="1"/>
  <c r="P34" i="46" s="1"/>
  <c r="J84" i="46"/>
  <c r="K84" i="46" s="1"/>
  <c r="L84" i="46" s="1"/>
  <c r="R42" i="46"/>
  <c r="S42" i="46" s="1"/>
  <c r="T42" i="46" s="1"/>
  <c r="R48" i="46"/>
  <c r="N22" i="46"/>
  <c r="J42" i="46"/>
  <c r="K42" i="46" s="1"/>
  <c r="L42" i="46" s="1"/>
  <c r="R111" i="46"/>
  <c r="S111" i="46" s="1"/>
  <c r="T111" i="46" s="1"/>
  <c r="N64" i="46"/>
  <c r="O64" i="46" s="1"/>
  <c r="P64" i="46" s="1"/>
  <c r="N171" i="46"/>
  <c r="O171" i="46" s="1"/>
  <c r="P171" i="46" s="1"/>
  <c r="R69" i="46"/>
  <c r="S69" i="46" s="1"/>
  <c r="T69" i="46" s="1"/>
  <c r="J97" i="46"/>
  <c r="K97" i="46" s="1"/>
  <c r="L97" i="46" s="1"/>
  <c r="R106" i="46"/>
  <c r="S106" i="46" s="1"/>
  <c r="T106" i="46" s="1"/>
  <c r="R63" i="46"/>
  <c r="S63" i="46" s="1"/>
  <c r="T63" i="46" s="1"/>
  <c r="J171" i="46"/>
  <c r="K171" i="46" s="1"/>
  <c r="L171" i="46" s="1"/>
  <c r="J35" i="46"/>
  <c r="N25" i="46"/>
  <c r="O25" i="46" s="1"/>
  <c r="P25" i="46" s="1"/>
  <c r="R129" i="46"/>
  <c r="S129" i="46" s="1"/>
  <c r="T129" i="46" s="1"/>
  <c r="R108" i="46"/>
  <c r="S108" i="46" s="1"/>
  <c r="T108" i="46" s="1"/>
  <c r="J132" i="46"/>
  <c r="K132" i="46" s="1"/>
  <c r="L132" i="46" s="1"/>
  <c r="J111" i="46"/>
  <c r="K111" i="46" s="1"/>
  <c r="L111" i="46" s="1"/>
  <c r="N134" i="46"/>
  <c r="O134" i="46" s="1"/>
  <c r="P134" i="46" s="1"/>
  <c r="J113" i="46"/>
  <c r="K113" i="46" s="1"/>
  <c r="L113" i="46" s="1"/>
  <c r="N139" i="46"/>
  <c r="O139" i="46" s="1"/>
  <c r="P139" i="46" s="1"/>
  <c r="J118" i="46"/>
  <c r="K118" i="46" s="1"/>
  <c r="L118" i="46" s="1"/>
  <c r="N141" i="46"/>
  <c r="O141" i="46" s="1"/>
  <c r="P141" i="46" s="1"/>
  <c r="J120" i="46"/>
  <c r="K120" i="46" s="1"/>
  <c r="L120" i="46" s="1"/>
  <c r="J131" i="46"/>
  <c r="K131" i="46" s="1"/>
  <c r="L131" i="46" s="1"/>
  <c r="R93" i="46"/>
  <c r="S93" i="46" s="1"/>
  <c r="T93" i="46" s="1"/>
  <c r="N156" i="46"/>
  <c r="O156" i="46" s="1"/>
  <c r="P156" i="46" s="1"/>
  <c r="R65" i="46"/>
  <c r="S65" i="46" s="1"/>
  <c r="T65" i="46" s="1"/>
  <c r="N81" i="46"/>
  <c r="O81" i="46" s="1"/>
  <c r="P81" i="46" s="1"/>
  <c r="N37" i="46"/>
  <c r="O37" i="46" s="1"/>
  <c r="P37" i="46" s="1"/>
  <c r="R75" i="46"/>
  <c r="S75" i="46" s="1"/>
  <c r="T75" i="46" s="1"/>
  <c r="N109" i="46"/>
  <c r="O109" i="46" s="1"/>
  <c r="P109" i="46" s="1"/>
  <c r="R88" i="46"/>
  <c r="S88" i="46" s="1"/>
  <c r="T88" i="46" s="1"/>
  <c r="N161" i="46"/>
  <c r="O161" i="46" s="1"/>
  <c r="P161" i="46" s="1"/>
  <c r="N58" i="46"/>
  <c r="O58" i="46" s="1"/>
  <c r="P58" i="46" s="1"/>
  <c r="J41" i="46"/>
  <c r="N21" i="46"/>
  <c r="O21" i="46" s="1"/>
  <c r="P21" i="46" s="1"/>
  <c r="N136" i="46"/>
  <c r="O136" i="46" s="1"/>
  <c r="P136" i="46" s="1"/>
  <c r="R95" i="46"/>
  <c r="S95" i="46" s="1"/>
  <c r="T95" i="46" s="1"/>
  <c r="J175" i="46"/>
  <c r="K175" i="46" s="1"/>
  <c r="L175" i="46" s="1"/>
  <c r="R67" i="46"/>
  <c r="S67" i="46" s="1"/>
  <c r="T67" i="46" s="1"/>
  <c r="N47" i="46"/>
  <c r="N39" i="46"/>
  <c r="O39" i="46" s="1"/>
  <c r="P39" i="46" s="1"/>
  <c r="R14" i="46"/>
  <c r="N114" i="46"/>
  <c r="O114" i="46" s="1"/>
  <c r="P114" i="46" s="1"/>
  <c r="N168" i="46"/>
  <c r="O168" i="46" s="1"/>
  <c r="P168" i="46" s="1"/>
  <c r="N163" i="46"/>
  <c r="O163" i="46" s="1"/>
  <c r="P163" i="46" s="1"/>
  <c r="N60" i="46"/>
  <c r="O60" i="46" s="1"/>
  <c r="P60" i="46" s="1"/>
  <c r="J43" i="46"/>
  <c r="K43" i="46" s="1"/>
  <c r="L43" i="46" s="1"/>
  <c r="N78" i="46"/>
  <c r="O78" i="46" s="1"/>
  <c r="P78" i="46" s="1"/>
  <c r="N148" i="46"/>
  <c r="O148" i="46" s="1"/>
  <c r="J100" i="46"/>
  <c r="K100" i="46" s="1"/>
  <c r="L100" i="46" s="1"/>
  <c r="J22" i="46"/>
  <c r="J72" i="46"/>
  <c r="K72" i="46" s="1"/>
  <c r="L72" i="46" s="1"/>
  <c r="R51" i="46"/>
  <c r="S51" i="46" s="1"/>
  <c r="T51" i="46" s="1"/>
  <c r="N29" i="46"/>
  <c r="O29" i="46" s="1"/>
  <c r="P29" i="46" s="1"/>
  <c r="R171" i="46"/>
  <c r="S171" i="46" s="1"/>
  <c r="T171" i="46" s="1"/>
  <c r="J89" i="46"/>
  <c r="N48" i="46"/>
  <c r="R117" i="46"/>
  <c r="S117" i="46" s="1"/>
  <c r="T117" i="46" s="1"/>
  <c r="J67" i="46"/>
  <c r="K67" i="46" s="1"/>
  <c r="L67" i="46" s="1"/>
  <c r="J18" i="46"/>
  <c r="K18" i="46" s="1"/>
  <c r="L18" i="46" s="1"/>
  <c r="J157" i="46"/>
  <c r="K157" i="46" s="1"/>
  <c r="L157" i="46" s="1"/>
  <c r="N31" i="46"/>
  <c r="O31" i="46" s="1"/>
  <c r="P31" i="46" s="1"/>
  <c r="R40" i="46"/>
  <c r="S40" i="46" s="1"/>
  <c r="T40" i="46" s="1"/>
  <c r="R156" i="46"/>
  <c r="S156" i="46" s="1"/>
  <c r="T156" i="46" s="1"/>
  <c r="R29" i="46"/>
  <c r="S29" i="46" s="1"/>
  <c r="T29" i="46" s="1"/>
  <c r="R99" i="46"/>
  <c r="S99" i="46" s="1"/>
  <c r="T99" i="46" s="1"/>
  <c r="J59" i="46"/>
  <c r="K59" i="46" s="1"/>
  <c r="L59" i="46" s="1"/>
  <c r="N74" i="46"/>
  <c r="O74" i="46" s="1"/>
  <c r="P74" i="46" s="1"/>
  <c r="R56" i="46"/>
  <c r="S56" i="46" s="1"/>
  <c r="T56" i="46" s="1"/>
  <c r="N176" i="46"/>
  <c r="O176" i="46" s="1"/>
  <c r="P176" i="46" s="1"/>
  <c r="N99" i="46"/>
  <c r="O99" i="46" s="1"/>
  <c r="P99" i="46" s="1"/>
  <c r="N57" i="46"/>
  <c r="O57" i="46" s="1"/>
  <c r="P57" i="46" s="1"/>
  <c r="R73" i="46"/>
  <c r="N170" i="46"/>
  <c r="O170" i="46" s="1"/>
  <c r="P170" i="46" s="1"/>
  <c r="R130" i="47"/>
  <c r="S130" i="47" s="1"/>
  <c r="T130" i="47" s="1"/>
  <c r="R109" i="47"/>
  <c r="S109" i="47" s="1"/>
  <c r="T109" i="47" s="1"/>
  <c r="R169" i="47"/>
  <c r="S169" i="47" s="1"/>
  <c r="T169" i="47" s="1"/>
  <c r="N163" i="47"/>
  <c r="O163" i="47" s="1"/>
  <c r="P163" i="47" s="1"/>
  <c r="N60" i="47"/>
  <c r="O60" i="47" s="1"/>
  <c r="P60" i="47" s="1"/>
  <c r="J43" i="47"/>
  <c r="K43" i="47" s="1"/>
  <c r="L43" i="47" s="1"/>
  <c r="J78" i="47"/>
  <c r="K78" i="47" s="1"/>
  <c r="L78" i="47" s="1"/>
  <c r="N145" i="46"/>
  <c r="N124" i="46"/>
  <c r="O124" i="46" s="1"/>
  <c r="P124" i="46" s="1"/>
  <c r="R147" i="46"/>
  <c r="S147" i="46" s="1"/>
  <c r="R126" i="46"/>
  <c r="S126" i="46" s="1"/>
  <c r="T126" i="46" s="1"/>
  <c r="R105" i="46"/>
  <c r="S105" i="46" s="1"/>
  <c r="T105" i="46" s="1"/>
  <c r="J129" i="46"/>
  <c r="K129" i="46" s="1"/>
  <c r="L129" i="46" s="1"/>
  <c r="J108" i="46"/>
  <c r="K108" i="46" s="1"/>
  <c r="L108" i="46" s="1"/>
  <c r="J134" i="46"/>
  <c r="K134" i="46" s="1"/>
  <c r="L134" i="46" s="1"/>
  <c r="R112" i="46"/>
  <c r="S112" i="46" s="1"/>
  <c r="T112" i="46" s="1"/>
  <c r="J136" i="46"/>
  <c r="K136" i="46" s="1"/>
  <c r="L136" i="46" s="1"/>
  <c r="R114" i="46"/>
  <c r="S114" i="46" s="1"/>
  <c r="T114" i="46" s="1"/>
  <c r="J117" i="46"/>
  <c r="K117" i="46" s="1"/>
  <c r="L117" i="46" s="1"/>
  <c r="N169" i="46"/>
  <c r="O169" i="46" s="1"/>
  <c r="P169" i="46" s="1"/>
  <c r="J164" i="46"/>
  <c r="K164" i="46" s="1"/>
  <c r="L164" i="46" s="1"/>
  <c r="N61" i="46"/>
  <c r="O61" i="46" s="1"/>
  <c r="P61" i="46" s="1"/>
  <c r="J44" i="46"/>
  <c r="K44" i="46" s="1"/>
  <c r="L44" i="46" s="1"/>
  <c r="N24" i="46"/>
  <c r="N101" i="46"/>
  <c r="O101" i="46" s="1"/>
  <c r="P101" i="46" s="1"/>
  <c r="N83" i="46"/>
  <c r="N33" i="46"/>
  <c r="J53" i="46"/>
  <c r="K53" i="46" s="1"/>
  <c r="L53" i="46" s="1"/>
  <c r="R30" i="46"/>
  <c r="S30" i="46" s="1"/>
  <c r="T30" i="46" s="1"/>
  <c r="J23" i="46"/>
  <c r="K23" i="46" s="1"/>
  <c r="L23" i="46" s="1"/>
  <c r="N122" i="46"/>
  <c r="O122" i="46" s="1"/>
  <c r="P122" i="46" s="1"/>
  <c r="N90" i="46"/>
  <c r="O90" i="46" s="1"/>
  <c r="P90" i="46" s="1"/>
  <c r="J166" i="46"/>
  <c r="K166" i="46" s="1"/>
  <c r="L166" i="46" s="1"/>
  <c r="N62" i="46"/>
  <c r="J46" i="46"/>
  <c r="K46" i="46" s="1"/>
  <c r="L46" i="46" s="1"/>
  <c r="J26" i="46"/>
  <c r="K26" i="46" s="1"/>
  <c r="L26" i="46" s="1"/>
  <c r="N150" i="46"/>
  <c r="O150" i="46" s="1"/>
  <c r="P150" i="46" s="1"/>
  <c r="N103" i="46"/>
  <c r="O103" i="46" s="1"/>
  <c r="P103" i="46" s="1"/>
  <c r="N85" i="46"/>
  <c r="O85" i="46" s="1"/>
  <c r="P85" i="46" s="1"/>
  <c r="N151" i="46"/>
  <c r="J55" i="46"/>
  <c r="K55" i="46" s="1"/>
  <c r="L55" i="46" s="1"/>
  <c r="R159" i="46"/>
  <c r="J172" i="46"/>
  <c r="K172" i="46" s="1"/>
  <c r="L172" i="46" s="1"/>
  <c r="R133" i="46"/>
  <c r="S133" i="46" s="1"/>
  <c r="T133" i="46" s="1"/>
  <c r="R94" i="46"/>
  <c r="S94" i="46" s="1"/>
  <c r="T94" i="46" s="1"/>
  <c r="N157" i="46"/>
  <c r="O157" i="46" s="1"/>
  <c r="P157" i="46" s="1"/>
  <c r="R66" i="46"/>
  <c r="S66" i="46" s="1"/>
  <c r="T66" i="46" s="1"/>
  <c r="N82" i="46"/>
  <c r="O82" i="46" s="1"/>
  <c r="P82" i="46" s="1"/>
  <c r="N38" i="46"/>
  <c r="O38" i="46" s="1"/>
  <c r="P38" i="46" s="1"/>
  <c r="R76" i="46"/>
  <c r="S76" i="46" s="1"/>
  <c r="T76" i="46" s="1"/>
  <c r="J176" i="46"/>
  <c r="K176" i="46" s="1"/>
  <c r="L176" i="46" s="1"/>
  <c r="N159" i="46"/>
  <c r="J95" i="46"/>
  <c r="K95" i="46" s="1"/>
  <c r="L95" i="46" s="1"/>
  <c r="J54" i="46"/>
  <c r="J133" i="46"/>
  <c r="K133" i="46" s="1"/>
  <c r="L133" i="46" s="1"/>
  <c r="J34" i="46"/>
  <c r="K34" i="46" s="1"/>
  <c r="L34" i="46" s="1"/>
  <c r="J78" i="46"/>
  <c r="K78" i="46" s="1"/>
  <c r="L78" i="46" s="1"/>
  <c r="R132" i="46"/>
  <c r="S132" i="46" s="1"/>
  <c r="T132" i="46" s="1"/>
  <c r="N72" i="46"/>
  <c r="O72" i="46" s="1"/>
  <c r="P72" i="46" s="1"/>
  <c r="N77" i="46"/>
  <c r="O15" i="55" s="1"/>
  <c r="N167" i="46"/>
  <c r="J80" i="46"/>
  <c r="K80" i="46" s="1"/>
  <c r="L80" i="46" s="1"/>
  <c r="J125" i="46"/>
  <c r="K125" i="46" s="1"/>
  <c r="L125" i="46" s="1"/>
  <c r="N27" i="46"/>
  <c r="N56" i="46"/>
  <c r="O56" i="46" s="1"/>
  <c r="P56" i="46" s="1"/>
  <c r="R87" i="46"/>
  <c r="S87" i="46" s="1"/>
  <c r="T87" i="46" s="1"/>
  <c r="N79" i="46"/>
  <c r="R176" i="46"/>
  <c r="S176" i="46" s="1"/>
  <c r="T176" i="46" s="1"/>
  <c r="R86" i="46"/>
  <c r="S86" i="46" s="1"/>
  <c r="T86" i="46" s="1"/>
  <c r="N146" i="47"/>
  <c r="O146" i="47" s="1"/>
  <c r="N125" i="47"/>
  <c r="O125" i="47" s="1"/>
  <c r="P125" i="47" s="1"/>
  <c r="N104" i="47"/>
  <c r="O104" i="47" s="1"/>
  <c r="P104" i="47" s="1"/>
  <c r="N86" i="47"/>
  <c r="O86" i="47" s="1"/>
  <c r="P86" i="47" s="1"/>
  <c r="J151" i="47"/>
  <c r="J55" i="47"/>
  <c r="K55" i="47" s="1"/>
  <c r="L55" i="47" s="1"/>
  <c r="R159" i="47"/>
  <c r="R18" i="47"/>
  <c r="S18" i="47" s="1"/>
  <c r="T18" i="47" s="1"/>
  <c r="J143" i="46"/>
  <c r="K143" i="46" s="1"/>
  <c r="L143" i="46" s="1"/>
  <c r="R121" i="46"/>
  <c r="S121" i="46" s="1"/>
  <c r="T121" i="46" s="1"/>
  <c r="J145" i="46"/>
  <c r="J124" i="46"/>
  <c r="K124" i="46" s="1"/>
  <c r="L124" i="46" s="1"/>
  <c r="N147" i="46"/>
  <c r="O147" i="46" s="1"/>
  <c r="N126" i="46"/>
  <c r="O126" i="46" s="1"/>
  <c r="P126" i="46" s="1"/>
  <c r="N105" i="46"/>
  <c r="O105" i="46" s="1"/>
  <c r="P105" i="46" s="1"/>
  <c r="N131" i="46"/>
  <c r="O131" i="46" s="1"/>
  <c r="P131" i="46" s="1"/>
  <c r="N110" i="46"/>
  <c r="O110" i="46" s="1"/>
  <c r="P110" i="46" s="1"/>
  <c r="N133" i="46"/>
  <c r="O133" i="46" s="1"/>
  <c r="P133" i="46" s="1"/>
  <c r="N112" i="46"/>
  <c r="O112" i="46" s="1"/>
  <c r="P112" i="46" s="1"/>
  <c r="J110" i="46"/>
  <c r="K110" i="46" s="1"/>
  <c r="L110" i="46" s="1"/>
  <c r="J167" i="46"/>
  <c r="R161" i="46"/>
  <c r="S161" i="46" s="1"/>
  <c r="T161" i="46" s="1"/>
  <c r="R58" i="46"/>
  <c r="S58" i="46" s="1"/>
  <c r="T58" i="46" s="1"/>
  <c r="N41" i="46"/>
  <c r="R21" i="46"/>
  <c r="S21" i="46" s="1"/>
  <c r="T21" i="46" s="1"/>
  <c r="J144" i="46"/>
  <c r="K144" i="46" s="1"/>
  <c r="R98" i="46"/>
  <c r="S98" i="46" s="1"/>
  <c r="T98" i="46" s="1"/>
  <c r="R177" i="46"/>
  <c r="Q29" i="55" s="1"/>
  <c r="R70" i="46"/>
  <c r="S70" i="46" s="1"/>
  <c r="T70" i="46" s="1"/>
  <c r="N50" i="46"/>
  <c r="O50" i="46" s="1"/>
  <c r="P50" i="46" s="1"/>
  <c r="N28" i="46"/>
  <c r="O28" i="46" s="1"/>
  <c r="P28" i="46" s="1"/>
  <c r="N16" i="46"/>
  <c r="O16" i="46" s="1"/>
  <c r="P16" i="46" s="1"/>
  <c r="J115" i="46"/>
  <c r="K115" i="46" s="1"/>
  <c r="L115" i="46" s="1"/>
  <c r="R168" i="46"/>
  <c r="S168" i="46" s="1"/>
  <c r="T168" i="46" s="1"/>
  <c r="R60" i="46"/>
  <c r="S60" i="46" s="1"/>
  <c r="T60" i="46" s="1"/>
  <c r="N43" i="46"/>
  <c r="O43" i="46" s="1"/>
  <c r="P43" i="46" s="1"/>
  <c r="R78" i="46"/>
  <c r="S78" i="46" s="1"/>
  <c r="T78" i="46" s="1"/>
  <c r="R100" i="46"/>
  <c r="S100" i="46" s="1"/>
  <c r="T100" i="46" s="1"/>
  <c r="R22" i="46"/>
  <c r="R72" i="46"/>
  <c r="S72" i="46" s="1"/>
  <c r="T72" i="46" s="1"/>
  <c r="N52" i="46"/>
  <c r="O52" i="46" s="1"/>
  <c r="P52" i="46" s="1"/>
  <c r="J30" i="46"/>
  <c r="K30" i="46" s="1"/>
  <c r="L30" i="46" s="1"/>
  <c r="N17" i="46"/>
  <c r="N127" i="46"/>
  <c r="O127" i="46" s="1"/>
  <c r="P127" i="46" s="1"/>
  <c r="J92" i="46"/>
  <c r="K92" i="46" s="1"/>
  <c r="L92" i="46" s="1"/>
  <c r="R154" i="46"/>
  <c r="J64" i="46"/>
  <c r="K64" i="46" s="1"/>
  <c r="L64" i="46" s="1"/>
  <c r="R79" i="46"/>
  <c r="R35" i="46"/>
  <c r="J74" i="46"/>
  <c r="K74" i="46" s="1"/>
  <c r="L74" i="46" s="1"/>
  <c r="R164" i="46"/>
  <c r="S164" i="46" s="1"/>
  <c r="T164" i="46" s="1"/>
  <c r="N40" i="46"/>
  <c r="O40" i="46" s="1"/>
  <c r="P40" i="46" s="1"/>
  <c r="R169" i="46"/>
  <c r="S169" i="46" s="1"/>
  <c r="T169" i="46" s="1"/>
  <c r="R82" i="46"/>
  <c r="S82" i="46" s="1"/>
  <c r="T82" i="46" s="1"/>
  <c r="J114" i="46"/>
  <c r="K114" i="46" s="1"/>
  <c r="L114" i="46" s="1"/>
  <c r="N66" i="46"/>
  <c r="O66" i="46" s="1"/>
  <c r="P66" i="46" s="1"/>
  <c r="R23" i="46"/>
  <c r="S23" i="46" s="1"/>
  <c r="T23" i="46" s="1"/>
  <c r="J112" i="46"/>
  <c r="K112" i="46" s="1"/>
  <c r="L112" i="46" s="1"/>
  <c r="J66" i="46"/>
  <c r="K66" i="46" s="1"/>
  <c r="L66" i="46" s="1"/>
  <c r="J17" i="46"/>
  <c r="R158" i="46"/>
  <c r="R41" i="46"/>
  <c r="J105" i="46"/>
  <c r="K105" i="46" s="1"/>
  <c r="L105" i="46" s="1"/>
  <c r="R19" i="46"/>
  <c r="S19" i="46" s="1"/>
  <c r="T19" i="46" s="1"/>
  <c r="J173" i="46"/>
  <c r="K173" i="46" s="1"/>
  <c r="L173" i="46" s="1"/>
  <c r="N158" i="46"/>
  <c r="J174" i="46"/>
  <c r="K174" i="46" s="1"/>
  <c r="L174" i="46" s="1"/>
  <c r="J153" i="46"/>
  <c r="K153" i="46" s="1"/>
  <c r="L153" i="46" s="1"/>
  <c r="J69" i="46"/>
  <c r="K69" i="46" s="1"/>
  <c r="L69" i="46" s="1"/>
  <c r="R143" i="47"/>
  <c r="S143" i="47" s="1"/>
  <c r="T143" i="47" s="1"/>
  <c r="J123" i="47"/>
  <c r="K123" i="47" s="1"/>
  <c r="L123" i="47" s="1"/>
  <c r="R101" i="47"/>
  <c r="S101" i="47" s="1"/>
  <c r="T101" i="47" s="1"/>
  <c r="R83" i="47"/>
  <c r="N72" i="47"/>
  <c r="O72" i="47" s="1"/>
  <c r="P72" i="47" s="1"/>
  <c r="N52" i="47"/>
  <c r="O52" i="47" s="1"/>
  <c r="P52" i="47" s="1"/>
  <c r="J30" i="47"/>
  <c r="K30" i="47" s="1"/>
  <c r="L30" i="47" s="1"/>
  <c r="N17" i="47"/>
  <c r="R140" i="47"/>
  <c r="S140" i="47" s="1"/>
  <c r="T140" i="47" s="1"/>
  <c r="J120" i="47"/>
  <c r="K120" i="47" s="1"/>
  <c r="L120" i="47" s="1"/>
  <c r="J99" i="47"/>
  <c r="K99" i="47" s="1"/>
  <c r="L99" i="47" s="1"/>
  <c r="R177" i="47"/>
  <c r="AA29" i="55" s="1"/>
  <c r="N69" i="47"/>
  <c r="O69" i="47" s="1"/>
  <c r="P69" i="47" s="1"/>
  <c r="N49" i="47"/>
  <c r="O49" i="47" s="1"/>
  <c r="P49" i="47" s="1"/>
  <c r="J27" i="47"/>
  <c r="N170" i="47"/>
  <c r="O170" i="47" s="1"/>
  <c r="P170" i="47" s="1"/>
  <c r="J138" i="47"/>
  <c r="K138" i="47" s="1"/>
  <c r="L138" i="47" s="1"/>
  <c r="J135" i="46"/>
  <c r="K135" i="46" s="1"/>
  <c r="L135" i="46" s="1"/>
  <c r="R113" i="46"/>
  <c r="S113" i="46" s="1"/>
  <c r="T113" i="46" s="1"/>
  <c r="N137" i="46"/>
  <c r="O137" i="46" s="1"/>
  <c r="P137" i="46" s="1"/>
  <c r="J116" i="46"/>
  <c r="K116" i="46" s="1"/>
  <c r="L116" i="46" s="1"/>
  <c r="R139" i="46"/>
  <c r="S139" i="46" s="1"/>
  <c r="T139" i="46" s="1"/>
  <c r="N118" i="46"/>
  <c r="O118" i="46" s="1"/>
  <c r="P118" i="46" s="1"/>
  <c r="N144" i="46"/>
  <c r="O144" i="46" s="1"/>
  <c r="N123" i="46"/>
  <c r="O123" i="46" s="1"/>
  <c r="P123" i="46" s="1"/>
  <c r="N146" i="46"/>
  <c r="O146" i="46" s="1"/>
  <c r="N125" i="46"/>
  <c r="O125" i="46" s="1"/>
  <c r="P125" i="46" s="1"/>
  <c r="R145" i="46"/>
  <c r="J99" i="46"/>
  <c r="K99" i="46" s="1"/>
  <c r="L99" i="46" s="1"/>
  <c r="J158" i="46"/>
  <c r="J71" i="46"/>
  <c r="K71" i="46" s="1"/>
  <c r="L71" i="46" s="1"/>
  <c r="R50" i="46"/>
  <c r="S50" i="46" s="1"/>
  <c r="T50" i="46" s="1"/>
  <c r="R16" i="46"/>
  <c r="S16" i="46" s="1"/>
  <c r="T16" i="46" s="1"/>
  <c r="J123" i="46"/>
  <c r="K123" i="46" s="1"/>
  <c r="L123" i="46" s="1"/>
  <c r="R90" i="46"/>
  <c r="S90" i="46" s="1"/>
  <c r="T90" i="46" s="1"/>
  <c r="N166" i="46"/>
  <c r="O166" i="46" s="1"/>
  <c r="P166" i="46" s="1"/>
  <c r="R62" i="46"/>
  <c r="N46" i="46"/>
  <c r="O46" i="46" s="1"/>
  <c r="P46" i="46" s="1"/>
  <c r="N26" i="46"/>
  <c r="O26" i="46" s="1"/>
  <c r="P26" i="46" s="1"/>
  <c r="R150" i="46"/>
  <c r="S150" i="46" s="1"/>
  <c r="T150" i="46" s="1"/>
  <c r="J101" i="46"/>
  <c r="K101" i="46" s="1"/>
  <c r="L101" i="46" s="1"/>
  <c r="J83" i="46"/>
  <c r="J33" i="46"/>
  <c r="R52" i="46"/>
  <c r="S52" i="46" s="1"/>
  <c r="T52" i="46" s="1"/>
  <c r="N30" i="46"/>
  <c r="O30" i="46" s="1"/>
  <c r="P30" i="46" s="1"/>
  <c r="R17" i="46"/>
  <c r="N128" i="46"/>
  <c r="O128" i="46" s="1"/>
  <c r="P128" i="46" s="1"/>
  <c r="R92" i="46"/>
  <c r="S92" i="46" s="1"/>
  <c r="T92" i="46" s="1"/>
  <c r="N155" i="46"/>
  <c r="O155" i="46" s="1"/>
  <c r="P155" i="46" s="1"/>
  <c r="R64" i="46"/>
  <c r="S64" i="46" s="1"/>
  <c r="T64" i="46" s="1"/>
  <c r="N80" i="46"/>
  <c r="O80" i="46" s="1"/>
  <c r="P80" i="46" s="1"/>
  <c r="N36" i="46"/>
  <c r="O36" i="46" s="1"/>
  <c r="P36" i="46" s="1"/>
  <c r="R74" i="46"/>
  <c r="S74" i="46" s="1"/>
  <c r="T74" i="46" s="1"/>
  <c r="N106" i="46"/>
  <c r="O106" i="46" s="1"/>
  <c r="P106" i="46" s="1"/>
  <c r="N87" i="46"/>
  <c r="O87" i="46" s="1"/>
  <c r="P87" i="46" s="1"/>
  <c r="N153" i="46"/>
  <c r="O153" i="46" s="1"/>
  <c r="P153" i="46" s="1"/>
  <c r="J57" i="46"/>
  <c r="K57" i="46" s="1"/>
  <c r="L57" i="46" s="1"/>
  <c r="R173" i="46"/>
  <c r="S173" i="46" s="1"/>
  <c r="T173" i="46" s="1"/>
  <c r="J20" i="46"/>
  <c r="K20" i="46" s="1"/>
  <c r="L20" i="46" s="1"/>
  <c r="J103" i="46"/>
  <c r="K103" i="46" s="1"/>
  <c r="L103" i="46" s="1"/>
  <c r="J32" i="46"/>
  <c r="K32" i="46" s="1"/>
  <c r="L32" i="46" s="1"/>
  <c r="N164" i="46"/>
  <c r="O164" i="46" s="1"/>
  <c r="P164" i="46" s="1"/>
  <c r="R38" i="46"/>
  <c r="S38" i="46" s="1"/>
  <c r="T38" i="46" s="1"/>
  <c r="J168" i="46"/>
  <c r="K168" i="46" s="1"/>
  <c r="L168" i="46" s="1"/>
  <c r="J82" i="46"/>
  <c r="K82" i="46" s="1"/>
  <c r="L82" i="46" s="1"/>
  <c r="R32" i="46"/>
  <c r="S32" i="46" s="1"/>
  <c r="T32" i="46" s="1"/>
  <c r="R81" i="46"/>
  <c r="S81" i="46" s="1"/>
  <c r="T81" i="46" s="1"/>
  <c r="J106" i="46"/>
  <c r="K106" i="46" s="1"/>
  <c r="L106" i="46" s="1"/>
  <c r="N142" i="46"/>
  <c r="O142" i="46" s="1"/>
  <c r="P142" i="46" s="1"/>
  <c r="R128" i="46"/>
  <c r="S128" i="46" s="1"/>
  <c r="T128" i="46" s="1"/>
  <c r="N117" i="46"/>
  <c r="O117" i="46" s="1"/>
  <c r="P117" i="46" s="1"/>
  <c r="R83" i="46"/>
  <c r="R160" i="46"/>
  <c r="S160" i="46" s="1"/>
  <c r="T160" i="46" s="1"/>
  <c r="N130" i="46"/>
  <c r="O130" i="46" s="1"/>
  <c r="P130" i="46" s="1"/>
  <c r="J68" i="46"/>
  <c r="K68" i="46" s="1"/>
  <c r="L68" i="46" s="1"/>
  <c r="R172" i="46"/>
  <c r="S172" i="46" s="1"/>
  <c r="T172" i="46" s="1"/>
  <c r="R85" i="46"/>
  <c r="S85" i="46" s="1"/>
  <c r="T85" i="46" s="1"/>
  <c r="R174" i="46"/>
  <c r="S174" i="46" s="1"/>
  <c r="T174" i="46" s="1"/>
  <c r="R135" i="46"/>
  <c r="S135" i="46" s="1"/>
  <c r="T135" i="46" s="1"/>
  <c r="J70" i="46"/>
  <c r="K70" i="46" s="1"/>
  <c r="L70" i="46" s="1"/>
  <c r="R20" i="46"/>
  <c r="S20" i="46" s="1"/>
  <c r="T20" i="46" s="1"/>
  <c r="R167" i="46"/>
  <c r="J45" i="46"/>
  <c r="K45" i="46" s="1"/>
  <c r="L45" i="46" s="1"/>
  <c r="J85" i="46"/>
  <c r="K85" i="46" s="1"/>
  <c r="L85" i="46" s="1"/>
  <c r="J60" i="46"/>
  <c r="K60" i="46" s="1"/>
  <c r="L60" i="46" s="1"/>
  <c r="N162" i="46"/>
  <c r="J155" i="46"/>
  <c r="K155" i="46" s="1"/>
  <c r="L155" i="46" s="1"/>
  <c r="N91" i="46"/>
  <c r="O91" i="46" s="1"/>
  <c r="P91" i="46" s="1"/>
  <c r="N19" i="46"/>
  <c r="O19" i="46" s="1"/>
  <c r="P19" i="46" s="1"/>
  <c r="R28" i="46"/>
  <c r="S28" i="46" s="1"/>
  <c r="T28" i="46" s="1"/>
  <c r="N45" i="46"/>
  <c r="O45" i="46" s="1"/>
  <c r="P45" i="46" s="1"/>
  <c r="R138" i="47"/>
  <c r="S138" i="47" s="1"/>
  <c r="T138" i="47" s="1"/>
  <c r="J107" i="47"/>
  <c r="K107" i="47" s="1"/>
  <c r="L107" i="47" s="1"/>
  <c r="R155" i="47"/>
  <c r="S155" i="47" s="1"/>
  <c r="T155" i="47" s="1"/>
  <c r="R49" i="47"/>
  <c r="S49" i="47" s="1"/>
  <c r="T49" i="47" s="1"/>
  <c r="R25" i="47"/>
  <c r="S25" i="47" s="1"/>
  <c r="T25" i="47" s="1"/>
  <c r="N143" i="47"/>
  <c r="O143" i="47" s="1"/>
  <c r="P143" i="47" s="1"/>
  <c r="N117" i="47"/>
  <c r="O117" i="47" s="1"/>
  <c r="P117" i="47" s="1"/>
  <c r="R93" i="47"/>
  <c r="S93" i="47" s="1"/>
  <c r="T93" i="47" s="1"/>
  <c r="R165" i="47"/>
  <c r="S165" i="47" s="1"/>
  <c r="T165" i="47" s="1"/>
  <c r="J60" i="47"/>
  <c r="K60" i="47" s="1"/>
  <c r="L60" i="47" s="1"/>
  <c r="J174" i="47"/>
  <c r="K174" i="47" s="1"/>
  <c r="L174" i="47" s="1"/>
  <c r="J117" i="47"/>
  <c r="K117" i="47" s="1"/>
  <c r="L117" i="47" s="1"/>
  <c r="J96" i="47"/>
  <c r="K96" i="47" s="1"/>
  <c r="L96" i="47" s="1"/>
  <c r="R157" i="47"/>
  <c r="S157" i="47" s="1"/>
  <c r="T157" i="47" s="1"/>
  <c r="N66" i="47"/>
  <c r="O66" i="47" s="1"/>
  <c r="P66" i="47" s="1"/>
  <c r="N82" i="47"/>
  <c r="O82" i="47" s="1"/>
  <c r="P82" i="47" s="1"/>
  <c r="J38" i="47"/>
  <c r="K38" i="47" s="1"/>
  <c r="L38" i="47" s="1"/>
  <c r="N76" i="47"/>
  <c r="O76" i="47" s="1"/>
  <c r="P76" i="47" s="1"/>
  <c r="N132" i="47"/>
  <c r="O132" i="47" s="1"/>
  <c r="P132" i="47" s="1"/>
  <c r="N111" i="47"/>
  <c r="O111" i="47" s="1"/>
  <c r="P111" i="47" s="1"/>
  <c r="N90" i="47"/>
  <c r="O90" i="47" s="1"/>
  <c r="P90" i="47" s="1"/>
  <c r="J165" i="47"/>
  <c r="K165" i="47" s="1"/>
  <c r="L165" i="47" s="1"/>
  <c r="R61" i="47"/>
  <c r="S61" i="47" s="1"/>
  <c r="T61" i="47" s="1"/>
  <c r="R44" i="47"/>
  <c r="S44" i="47" s="1"/>
  <c r="T44" i="47" s="1"/>
  <c r="R24" i="47"/>
  <c r="N147" i="47"/>
  <c r="O147" i="47" s="1"/>
  <c r="N126" i="47"/>
  <c r="O126" i="47" s="1"/>
  <c r="P126" i="47" s="1"/>
  <c r="N105" i="47"/>
  <c r="O105" i="47" s="1"/>
  <c r="P105" i="47" s="1"/>
  <c r="N87" i="47"/>
  <c r="O87" i="47" s="1"/>
  <c r="P87" i="47" s="1"/>
  <c r="J152" i="47"/>
  <c r="K152" i="47" s="1"/>
  <c r="L152" i="47" s="1"/>
  <c r="J56" i="47"/>
  <c r="K56" i="47" s="1"/>
  <c r="L56" i="47" s="1"/>
  <c r="R160" i="47"/>
  <c r="S160" i="47" s="1"/>
  <c r="T160" i="47" s="1"/>
  <c r="R172" i="47"/>
  <c r="S172" i="47" s="1"/>
  <c r="T172" i="47" s="1"/>
  <c r="R134" i="47"/>
  <c r="S134" i="47" s="1"/>
  <c r="T134" i="47" s="1"/>
  <c r="R158" i="47"/>
  <c r="R174" i="47"/>
  <c r="S174" i="47" s="1"/>
  <c r="T174" i="47" s="1"/>
  <c r="R147" i="47"/>
  <c r="S147" i="47" s="1"/>
  <c r="J92" i="47"/>
  <c r="K92" i="47" s="1"/>
  <c r="L92" i="47" s="1"/>
  <c r="J50" i="47"/>
  <c r="K50" i="47" s="1"/>
  <c r="L50" i="47" s="1"/>
  <c r="J145" i="47"/>
  <c r="R133" i="47"/>
  <c r="S133" i="47" s="1"/>
  <c r="T133" i="47" s="1"/>
  <c r="R176" i="47"/>
  <c r="S176" i="47" s="1"/>
  <c r="T176" i="47" s="1"/>
  <c r="N160" i="47"/>
  <c r="O160" i="47" s="1"/>
  <c r="P160" i="47" s="1"/>
  <c r="N89" i="47"/>
  <c r="R125" i="47"/>
  <c r="S125" i="47" s="1"/>
  <c r="T125" i="47" s="1"/>
  <c r="R164" i="47"/>
  <c r="S164" i="47" s="1"/>
  <c r="T164" i="47" s="1"/>
  <c r="N39" i="47"/>
  <c r="O39" i="47" s="1"/>
  <c r="P39" i="47" s="1"/>
  <c r="R123" i="47"/>
  <c r="S123" i="47" s="1"/>
  <c r="T123" i="47" s="1"/>
  <c r="R163" i="47"/>
  <c r="S163" i="47" s="1"/>
  <c r="T163" i="47" s="1"/>
  <c r="N37" i="47"/>
  <c r="O37" i="47" s="1"/>
  <c r="P37" i="47" s="1"/>
  <c r="R80" i="47"/>
  <c r="S80" i="47" s="1"/>
  <c r="T80" i="47" s="1"/>
  <c r="N36" i="47"/>
  <c r="O36" i="47" s="1"/>
  <c r="P36" i="47" s="1"/>
  <c r="R74" i="47"/>
  <c r="S74" i="47" s="1"/>
  <c r="T74" i="47" s="1"/>
  <c r="N123" i="47"/>
  <c r="O123" i="47" s="1"/>
  <c r="P123" i="47" s="1"/>
  <c r="R72" i="47"/>
  <c r="S72" i="47" s="1"/>
  <c r="T72" i="47" s="1"/>
  <c r="N30" i="47"/>
  <c r="O30" i="47" s="1"/>
  <c r="P30" i="47" s="1"/>
  <c r="J81" i="47"/>
  <c r="K81" i="47" s="1"/>
  <c r="L81" i="47" s="1"/>
  <c r="R142" i="46"/>
  <c r="S142" i="46" s="1"/>
  <c r="T142" i="46" s="1"/>
  <c r="R131" i="46"/>
  <c r="S131" i="46" s="1"/>
  <c r="T131" i="46" s="1"/>
  <c r="J126" i="46"/>
  <c r="K126" i="46" s="1"/>
  <c r="L126" i="46" s="1"/>
  <c r="R109" i="46"/>
  <c r="S109" i="46" s="1"/>
  <c r="T109" i="46" s="1"/>
  <c r="R166" i="46"/>
  <c r="S166" i="46" s="1"/>
  <c r="T166" i="46" s="1"/>
  <c r="J31" i="46"/>
  <c r="K31" i="46" s="1"/>
  <c r="L31" i="46" s="1"/>
  <c r="J104" i="46"/>
  <c r="K104" i="46" s="1"/>
  <c r="L104" i="46" s="1"/>
  <c r="N65" i="46"/>
  <c r="O65" i="46" s="1"/>
  <c r="P65" i="46" s="1"/>
  <c r="J15" i="46"/>
  <c r="K15" i="46" s="1"/>
  <c r="L15" i="46" s="1"/>
  <c r="R155" i="46"/>
  <c r="S155" i="46" s="1"/>
  <c r="T155" i="46" s="1"/>
  <c r="J160" i="46"/>
  <c r="K160" i="46" s="1"/>
  <c r="L160" i="46" s="1"/>
  <c r="N107" i="46"/>
  <c r="O107" i="46" s="1"/>
  <c r="P107" i="46" s="1"/>
  <c r="N67" i="46"/>
  <c r="O67" i="46" s="1"/>
  <c r="P67" i="46" s="1"/>
  <c r="R170" i="46"/>
  <c r="S170" i="46" s="1"/>
  <c r="T170" i="46" s="1"/>
  <c r="N42" i="46"/>
  <c r="O42" i="46" s="1"/>
  <c r="P42" i="46" s="1"/>
  <c r="J151" i="46"/>
  <c r="R61" i="46"/>
  <c r="S61" i="46" s="1"/>
  <c r="T61" i="46" s="1"/>
  <c r="R53" i="46"/>
  <c r="S53" i="46" s="1"/>
  <c r="T53" i="46" s="1"/>
  <c r="N59" i="46"/>
  <c r="O59" i="46" s="1"/>
  <c r="P59" i="46" s="1"/>
  <c r="J162" i="46"/>
  <c r="J87" i="46"/>
  <c r="K87" i="46" s="1"/>
  <c r="L87" i="46" s="1"/>
  <c r="J146" i="46"/>
  <c r="K146" i="46" s="1"/>
  <c r="N35" i="46"/>
  <c r="R15" i="46"/>
  <c r="S15" i="46" s="1"/>
  <c r="T15" i="46" s="1"/>
  <c r="J136" i="47"/>
  <c r="K136" i="47" s="1"/>
  <c r="L136" i="47" s="1"/>
  <c r="N99" i="47"/>
  <c r="O99" i="47" s="1"/>
  <c r="P99" i="47" s="1"/>
  <c r="J166" i="47"/>
  <c r="K166" i="47" s="1"/>
  <c r="L166" i="47" s="1"/>
  <c r="J47" i="47"/>
  <c r="N20" i="47"/>
  <c r="O20" i="47" s="1"/>
  <c r="P20" i="47" s="1"/>
  <c r="N138" i="47"/>
  <c r="O138" i="47" s="1"/>
  <c r="P138" i="47" s="1"/>
  <c r="R114" i="47"/>
  <c r="S114" i="47" s="1"/>
  <c r="T114" i="47" s="1"/>
  <c r="J91" i="47"/>
  <c r="K91" i="47" s="1"/>
  <c r="L91" i="47" s="1"/>
  <c r="J163" i="47"/>
  <c r="K163" i="47" s="1"/>
  <c r="L163" i="47" s="1"/>
  <c r="N57" i="47"/>
  <c r="O57" i="47" s="1"/>
  <c r="P57" i="47" s="1"/>
  <c r="N159" i="47"/>
  <c r="J17" i="47"/>
  <c r="N135" i="47"/>
  <c r="O135" i="47" s="1"/>
  <c r="P135" i="47" s="1"/>
  <c r="N114" i="47"/>
  <c r="O114" i="47" s="1"/>
  <c r="P114" i="47" s="1"/>
  <c r="N93" i="47"/>
  <c r="O93" i="47" s="1"/>
  <c r="P93" i="47" s="1"/>
  <c r="J155" i="47"/>
  <c r="K155" i="47" s="1"/>
  <c r="L155" i="47" s="1"/>
  <c r="R63" i="47"/>
  <c r="S63" i="47" s="1"/>
  <c r="T63" i="47" s="1"/>
  <c r="R79" i="47"/>
  <c r="J74" i="47"/>
  <c r="K74" i="47" s="1"/>
  <c r="L74" i="47" s="1"/>
  <c r="R129" i="47"/>
  <c r="S129" i="47" s="1"/>
  <c r="T129" i="47" s="1"/>
  <c r="R108" i="47"/>
  <c r="S108" i="47" s="1"/>
  <c r="T108" i="47" s="1"/>
  <c r="R168" i="47"/>
  <c r="S168" i="47" s="1"/>
  <c r="T168" i="47" s="1"/>
  <c r="N162" i="47"/>
  <c r="N59" i="47"/>
  <c r="O59" i="47" s="1"/>
  <c r="P59" i="47" s="1"/>
  <c r="J42" i="47"/>
  <c r="K42" i="47" s="1"/>
  <c r="L42" i="47" s="1"/>
  <c r="J77" i="47"/>
  <c r="W15" i="55" s="1"/>
  <c r="R144" i="47"/>
  <c r="S144" i="47" s="1"/>
  <c r="J124" i="47"/>
  <c r="K124" i="47" s="1"/>
  <c r="L124" i="47" s="1"/>
  <c r="R102" i="47"/>
  <c r="S102" i="47" s="1"/>
  <c r="T102" i="47" s="1"/>
  <c r="R84" i="47"/>
  <c r="S84" i="47" s="1"/>
  <c r="T84" i="47" s="1"/>
  <c r="N33" i="47"/>
  <c r="N53" i="47"/>
  <c r="O53" i="47" s="1"/>
  <c r="P53" i="47" s="1"/>
  <c r="J31" i="47"/>
  <c r="K31" i="47" s="1"/>
  <c r="L31" i="47" s="1"/>
  <c r="N23" i="47"/>
  <c r="O23" i="47" s="1"/>
  <c r="P23" i="47" s="1"/>
  <c r="N128" i="47"/>
  <c r="O128" i="47" s="1"/>
  <c r="P128" i="47" s="1"/>
  <c r="N154" i="47"/>
  <c r="J28" i="47"/>
  <c r="K28" i="47" s="1"/>
  <c r="L28" i="47" s="1"/>
  <c r="N141" i="47"/>
  <c r="O141" i="47" s="1"/>
  <c r="P141" i="47" s="1"/>
  <c r="R87" i="47"/>
  <c r="S87" i="47" s="1"/>
  <c r="T87" i="47" s="1"/>
  <c r="N46" i="47"/>
  <c r="O46" i="47" s="1"/>
  <c r="P46" i="47" s="1"/>
  <c r="N124" i="47"/>
  <c r="O124" i="47" s="1"/>
  <c r="P124" i="47" s="1"/>
  <c r="J126" i="47"/>
  <c r="K126" i="47" s="1"/>
  <c r="L126" i="47" s="1"/>
  <c r="N166" i="47"/>
  <c r="O166" i="47" s="1"/>
  <c r="P166" i="47" s="1"/>
  <c r="J40" i="47"/>
  <c r="K40" i="47" s="1"/>
  <c r="L40" i="47" s="1"/>
  <c r="R175" i="47"/>
  <c r="S175" i="47" s="1"/>
  <c r="T175" i="47" s="1"/>
  <c r="N118" i="47"/>
  <c r="O118" i="47" s="1"/>
  <c r="P118" i="47" s="1"/>
  <c r="N151" i="47"/>
  <c r="N24" i="47"/>
  <c r="N116" i="47"/>
  <c r="O116" i="47" s="1"/>
  <c r="P116" i="47" s="1"/>
  <c r="J33" i="47"/>
  <c r="N78" i="47"/>
  <c r="O78" i="47" s="1"/>
  <c r="P78" i="47" s="1"/>
  <c r="R36" i="47"/>
  <c r="S36" i="47" s="1"/>
  <c r="T36" i="47" s="1"/>
  <c r="J75" i="47"/>
  <c r="K75" i="47" s="1"/>
  <c r="L75" i="47" s="1"/>
  <c r="R94" i="47"/>
  <c r="S94" i="47" s="1"/>
  <c r="T94" i="47" s="1"/>
  <c r="J51" i="47"/>
  <c r="K51" i="47" s="1"/>
  <c r="L51" i="47" s="1"/>
  <c r="R23" i="47"/>
  <c r="S23" i="47" s="1"/>
  <c r="T23" i="47" s="1"/>
  <c r="J39" i="47"/>
  <c r="K39" i="47" s="1"/>
  <c r="L39" i="47" s="1"/>
  <c r="J148" i="46"/>
  <c r="K148" i="46" s="1"/>
  <c r="J140" i="46"/>
  <c r="K140" i="46" s="1"/>
  <c r="L140" i="46" s="1"/>
  <c r="R123" i="46"/>
  <c r="S123" i="46" s="1"/>
  <c r="T123" i="46" s="1"/>
  <c r="N115" i="46"/>
  <c r="O115" i="46" s="1"/>
  <c r="P115" i="46" s="1"/>
  <c r="J107" i="46"/>
  <c r="K107" i="46" s="1"/>
  <c r="L107" i="46" s="1"/>
  <c r="N152" i="46"/>
  <c r="O152" i="46" s="1"/>
  <c r="P152" i="46" s="1"/>
  <c r="R26" i="46"/>
  <c r="S26" i="46" s="1"/>
  <c r="T26" i="46" s="1"/>
  <c r="J96" i="46"/>
  <c r="K96" i="46" s="1"/>
  <c r="L96" i="46" s="1"/>
  <c r="R55" i="46"/>
  <c r="S55" i="46" s="1"/>
  <c r="T55" i="46" s="1"/>
  <c r="N75" i="46"/>
  <c r="O75" i="46" s="1"/>
  <c r="P75" i="46" s="1"/>
  <c r="J161" i="46"/>
  <c r="K161" i="46" s="1"/>
  <c r="L161" i="46" s="1"/>
  <c r="R36" i="46"/>
  <c r="S36" i="46" s="1"/>
  <c r="T36" i="46" s="1"/>
  <c r="J98" i="46"/>
  <c r="K98" i="46" s="1"/>
  <c r="L98" i="46" s="1"/>
  <c r="R57" i="46"/>
  <c r="S57" i="46" s="1"/>
  <c r="T57" i="46" s="1"/>
  <c r="N14" i="46"/>
  <c r="J165" i="46"/>
  <c r="K165" i="46" s="1"/>
  <c r="L165" i="46" s="1"/>
  <c r="J27" i="46"/>
  <c r="R68" i="46"/>
  <c r="S68" i="46" s="1"/>
  <c r="T68" i="46" s="1"/>
  <c r="N44" i="46"/>
  <c r="O44" i="46" s="1"/>
  <c r="P44" i="46" s="1"/>
  <c r="J38" i="46"/>
  <c r="K38" i="46" s="1"/>
  <c r="L38" i="46" s="1"/>
  <c r="J52" i="46"/>
  <c r="K52" i="46" s="1"/>
  <c r="L52" i="46" s="1"/>
  <c r="R71" i="46"/>
  <c r="S71" i="46" s="1"/>
  <c r="T71" i="46" s="1"/>
  <c r="J154" i="46"/>
  <c r="R125" i="46"/>
  <c r="S125" i="46" s="1"/>
  <c r="T125" i="46" s="1"/>
  <c r="N20" i="46"/>
  <c r="O20" i="46" s="1"/>
  <c r="P20" i="46" s="1"/>
  <c r="N165" i="46"/>
  <c r="O165" i="46" s="1"/>
  <c r="P165" i="46" s="1"/>
  <c r="N140" i="46"/>
  <c r="O140" i="46" s="1"/>
  <c r="P140" i="46" s="1"/>
  <c r="N129" i="46"/>
  <c r="O129" i="46" s="1"/>
  <c r="P129" i="46" s="1"/>
  <c r="J121" i="46"/>
  <c r="K121" i="46" s="1"/>
  <c r="L121" i="46" s="1"/>
  <c r="R107" i="46"/>
  <c r="S107" i="46" s="1"/>
  <c r="T107" i="46" s="1"/>
  <c r="R124" i="46"/>
  <c r="S124" i="46" s="1"/>
  <c r="T124" i="46" s="1"/>
  <c r="R33" i="46"/>
  <c r="J19" i="46"/>
  <c r="K19" i="46" s="1"/>
  <c r="L19" i="46" s="1"/>
  <c r="N93" i="46"/>
  <c r="O93" i="46" s="1"/>
  <c r="P93" i="46" s="1"/>
  <c r="R47" i="46"/>
  <c r="J130" i="46"/>
  <c r="K130" i="46" s="1"/>
  <c r="L130" i="46" s="1"/>
  <c r="R151" i="46"/>
  <c r="J21" i="46"/>
  <c r="K21" i="46" s="1"/>
  <c r="L21" i="46" s="1"/>
  <c r="N95" i="46"/>
  <c r="O95" i="46" s="1"/>
  <c r="P95" i="46" s="1"/>
  <c r="R49" i="46"/>
  <c r="S49" i="46" s="1"/>
  <c r="T49" i="46" s="1"/>
  <c r="J141" i="46"/>
  <c r="K141" i="46" s="1"/>
  <c r="L141" i="46" s="1"/>
  <c r="R162" i="46"/>
  <c r="J25" i="46"/>
  <c r="K25" i="46" s="1"/>
  <c r="L25" i="46" s="1"/>
  <c r="R44" i="46"/>
  <c r="S44" i="46" s="1"/>
  <c r="T44" i="46" s="1"/>
  <c r="R31" i="46"/>
  <c r="S31" i="46" s="1"/>
  <c r="T31" i="46" s="1"/>
  <c r="N76" i="46"/>
  <c r="O76" i="46" s="1"/>
  <c r="P76" i="46" s="1"/>
  <c r="R37" i="46"/>
  <c r="S37" i="46" s="1"/>
  <c r="T37" i="46" s="1"/>
  <c r="N51" i="46"/>
  <c r="O51" i="46" s="1"/>
  <c r="P51" i="46" s="1"/>
  <c r="J79" i="46"/>
  <c r="R91" i="46"/>
  <c r="S91" i="46" s="1"/>
  <c r="T91" i="46" s="1"/>
  <c r="R97" i="46"/>
  <c r="S97" i="46" s="1"/>
  <c r="T97" i="46" s="1"/>
  <c r="J128" i="47"/>
  <c r="K128" i="47" s="1"/>
  <c r="L128" i="47" s="1"/>
  <c r="J94" i="47"/>
  <c r="K94" i="47" s="1"/>
  <c r="L94" i="47" s="1"/>
  <c r="R69" i="47"/>
  <c r="S69" i="47" s="1"/>
  <c r="T69" i="47" s="1"/>
  <c r="R45" i="47"/>
  <c r="S45" i="47" s="1"/>
  <c r="T45" i="47" s="1"/>
  <c r="J14" i="47"/>
  <c r="J133" i="47"/>
  <c r="K133" i="47" s="1"/>
  <c r="L133" i="47" s="1"/>
  <c r="N109" i="47"/>
  <c r="O109" i="47" s="1"/>
  <c r="P109" i="47" s="1"/>
  <c r="R88" i="47"/>
  <c r="S88" i="47" s="1"/>
  <c r="T88" i="47" s="1"/>
  <c r="R34" i="47"/>
  <c r="S34" i="47" s="1"/>
  <c r="T34" i="47" s="1"/>
  <c r="J52" i="47"/>
  <c r="K52" i="47" s="1"/>
  <c r="L52" i="47" s="1"/>
  <c r="N38" i="47"/>
  <c r="O38" i="47" s="1"/>
  <c r="P38" i="47" s="1"/>
  <c r="N74" i="47"/>
  <c r="O74" i="47" s="1"/>
  <c r="P74" i="47" s="1"/>
  <c r="J130" i="47"/>
  <c r="K130" i="47" s="1"/>
  <c r="L130" i="47" s="1"/>
  <c r="J109" i="47"/>
  <c r="K109" i="47" s="1"/>
  <c r="L109" i="47" s="1"/>
  <c r="J169" i="47"/>
  <c r="K169" i="47" s="1"/>
  <c r="L169" i="47" s="1"/>
  <c r="R162" i="47"/>
  <c r="R59" i="47"/>
  <c r="S59" i="47" s="1"/>
  <c r="T59" i="47" s="1"/>
  <c r="N42" i="47"/>
  <c r="O42" i="47" s="1"/>
  <c r="P42" i="47" s="1"/>
  <c r="N77" i="47"/>
  <c r="N145" i="47"/>
  <c r="Y19" i="55" s="1"/>
  <c r="N103" i="47"/>
  <c r="O103" i="47" s="1"/>
  <c r="P103" i="47" s="1"/>
  <c r="N85" i="47"/>
  <c r="O85" i="47" s="1"/>
  <c r="P85" i="47" s="1"/>
  <c r="J34" i="47"/>
  <c r="K34" i="47" s="1"/>
  <c r="L34" i="47" s="1"/>
  <c r="J54" i="47"/>
  <c r="R31" i="47"/>
  <c r="S31" i="47" s="1"/>
  <c r="T31" i="47" s="1"/>
  <c r="J18" i="47"/>
  <c r="K18" i="47" s="1"/>
  <c r="L18" i="47" s="1"/>
  <c r="R139" i="47"/>
  <c r="S139" i="47" s="1"/>
  <c r="T139" i="47" s="1"/>
  <c r="R118" i="47"/>
  <c r="S118" i="47" s="1"/>
  <c r="T118" i="47" s="1"/>
  <c r="R97" i="47"/>
  <c r="S97" i="47" s="1"/>
  <c r="T97" i="47" s="1"/>
  <c r="N176" i="47"/>
  <c r="O176" i="47" s="1"/>
  <c r="P176" i="47" s="1"/>
  <c r="J68" i="47"/>
  <c r="K68" i="47" s="1"/>
  <c r="L68" i="47" s="1"/>
  <c r="J48" i="47"/>
  <c r="R39" i="47"/>
  <c r="S39" i="47" s="1"/>
  <c r="T39" i="47" s="1"/>
  <c r="J15" i="47"/>
  <c r="K15" i="47" s="1"/>
  <c r="L15" i="47" s="1"/>
  <c r="R113" i="47"/>
  <c r="S113" i="47" s="1"/>
  <c r="T113" i="47" s="1"/>
  <c r="N70" i="47"/>
  <c r="O70" i="47" s="1"/>
  <c r="P70" i="47" s="1"/>
  <c r="R20" i="47"/>
  <c r="S20" i="47" s="1"/>
  <c r="T20" i="47" s="1"/>
  <c r="R126" i="47"/>
  <c r="S126" i="47" s="1"/>
  <c r="T126" i="47" s="1"/>
  <c r="R166" i="47"/>
  <c r="S166" i="47" s="1"/>
  <c r="T166" i="47" s="1"/>
  <c r="R27" i="47"/>
  <c r="J97" i="47"/>
  <c r="K97" i="47" s="1"/>
  <c r="L97" i="47" s="1"/>
  <c r="R112" i="47"/>
  <c r="S112" i="47" s="1"/>
  <c r="T112" i="47" s="1"/>
  <c r="N68" i="47"/>
  <c r="O68" i="47" s="1"/>
  <c r="P68" i="47" s="1"/>
  <c r="N172" i="47"/>
  <c r="O172" i="47" s="1"/>
  <c r="P172" i="47" s="1"/>
  <c r="R60" i="47"/>
  <c r="S60" i="47" s="1"/>
  <c r="T60" i="47" s="1"/>
  <c r="R104" i="47"/>
  <c r="S104" i="47" s="1"/>
  <c r="T104" i="47" s="1"/>
  <c r="N61" i="47"/>
  <c r="O61" i="47" s="1"/>
  <c r="P61" i="47" s="1"/>
  <c r="R14" i="47"/>
  <c r="N102" i="47"/>
  <c r="O102" i="47" s="1"/>
  <c r="P102" i="47" s="1"/>
  <c r="R75" i="47"/>
  <c r="S75" i="47" s="1"/>
  <c r="T75" i="47" s="1"/>
  <c r="N136" i="47"/>
  <c r="O136" i="47" s="1"/>
  <c r="P136" i="47" s="1"/>
  <c r="R137" i="46"/>
  <c r="S137" i="46" s="1"/>
  <c r="T137" i="46" s="1"/>
  <c r="N121" i="46"/>
  <c r="O121" i="46" s="1"/>
  <c r="P121" i="46" s="1"/>
  <c r="R110" i="46"/>
  <c r="S110" i="46" s="1"/>
  <c r="T110" i="46" s="1"/>
  <c r="N104" i="46"/>
  <c r="O104" i="46" s="1"/>
  <c r="P104" i="46" s="1"/>
  <c r="J63" i="46"/>
  <c r="K63" i="46" s="1"/>
  <c r="L63" i="46" s="1"/>
  <c r="N23" i="46"/>
  <c r="O23" i="46" s="1"/>
  <c r="P23" i="46" s="1"/>
  <c r="J86" i="46"/>
  <c r="K86" i="46" s="1"/>
  <c r="L86" i="46" s="1"/>
  <c r="J81" i="46"/>
  <c r="K81" i="46" s="1"/>
  <c r="L81" i="46" s="1"/>
  <c r="J109" i="46"/>
  <c r="K109" i="46" s="1"/>
  <c r="L109" i="46" s="1"/>
  <c r="J65" i="46"/>
  <c r="K65" i="46" s="1"/>
  <c r="L65" i="46" s="1"/>
  <c r="N172" i="46"/>
  <c r="O172" i="46" s="1"/>
  <c r="P172" i="46" s="1"/>
  <c r="J88" i="46"/>
  <c r="K88" i="46" s="1"/>
  <c r="L88" i="46" s="1"/>
  <c r="J47" i="46"/>
  <c r="R119" i="46"/>
  <c r="S119" i="46" s="1"/>
  <c r="T119" i="46" s="1"/>
  <c r="N69" i="46"/>
  <c r="O69" i="46" s="1"/>
  <c r="P69" i="46" s="1"/>
  <c r="R77" i="46"/>
  <c r="Q15" i="55" s="1"/>
  <c r="R24" i="46"/>
  <c r="J14" i="46"/>
  <c r="R89" i="46"/>
  <c r="J76" i="46"/>
  <c r="K76" i="46" s="1"/>
  <c r="L76" i="46" s="1"/>
  <c r="J29" i="46"/>
  <c r="K29" i="46" s="1"/>
  <c r="L29" i="46" s="1"/>
  <c r="N73" i="46"/>
  <c r="N154" i="46"/>
  <c r="N63" i="46"/>
  <c r="O63" i="46" s="1"/>
  <c r="P63" i="46" s="1"/>
  <c r="N120" i="47"/>
  <c r="O120" i="47" s="1"/>
  <c r="P120" i="47" s="1"/>
  <c r="N91" i="47"/>
  <c r="O91" i="47" s="1"/>
  <c r="P91" i="47" s="1"/>
  <c r="J67" i="47"/>
  <c r="K67" i="47" s="1"/>
  <c r="L67" i="47" s="1"/>
  <c r="N174" i="47"/>
  <c r="O174" i="47" s="1"/>
  <c r="P174" i="47" s="1"/>
  <c r="N130" i="47"/>
  <c r="O130" i="47" s="1"/>
  <c r="P130" i="47" s="1"/>
  <c r="R106" i="47"/>
  <c r="S106" i="47" s="1"/>
  <c r="T106" i="47" s="1"/>
  <c r="J86" i="47"/>
  <c r="K86" i="47" s="1"/>
  <c r="L86" i="47" s="1"/>
  <c r="J72" i="47"/>
  <c r="K72" i="47" s="1"/>
  <c r="L72" i="47" s="1"/>
  <c r="R82" i="47"/>
  <c r="S82" i="47" s="1"/>
  <c r="T82" i="47" s="1"/>
  <c r="R35" i="47"/>
  <c r="J150" i="47"/>
  <c r="K150" i="47" s="1"/>
  <c r="L150" i="47" s="1"/>
  <c r="N127" i="47"/>
  <c r="O127" i="47" s="1"/>
  <c r="P127" i="47" s="1"/>
  <c r="N106" i="47"/>
  <c r="O106" i="47" s="1"/>
  <c r="P106" i="47" s="1"/>
  <c r="N88" i="47"/>
  <c r="O88" i="47" s="1"/>
  <c r="P88" i="47" s="1"/>
  <c r="J153" i="47"/>
  <c r="K153" i="47" s="1"/>
  <c r="L153" i="47" s="1"/>
  <c r="J57" i="47"/>
  <c r="K57" i="47" s="1"/>
  <c r="L57" i="47" s="1"/>
  <c r="R173" i="47"/>
  <c r="S173" i="47" s="1"/>
  <c r="T173" i="47" s="1"/>
  <c r="R19" i="47"/>
  <c r="S19" i="47" s="1"/>
  <c r="T19" i="47" s="1"/>
  <c r="R142" i="47"/>
  <c r="S142" i="47" s="1"/>
  <c r="T142" i="47" s="1"/>
  <c r="J122" i="47"/>
  <c r="K122" i="47" s="1"/>
  <c r="L122" i="47" s="1"/>
  <c r="R100" i="47"/>
  <c r="S100" i="47" s="1"/>
  <c r="T100" i="47" s="1"/>
  <c r="R22" i="47"/>
  <c r="N71" i="47"/>
  <c r="O71" i="47" s="1"/>
  <c r="P71" i="47" s="1"/>
  <c r="N51" i="47"/>
  <c r="O51" i="47" s="1"/>
  <c r="P51" i="47" s="1"/>
  <c r="J29" i="47"/>
  <c r="K29" i="47" s="1"/>
  <c r="L29" i="47" s="1"/>
  <c r="N171" i="47"/>
  <c r="O171" i="47" s="1"/>
  <c r="P171" i="47" s="1"/>
  <c r="J137" i="47"/>
  <c r="K137" i="47" s="1"/>
  <c r="L137" i="47" s="1"/>
  <c r="J116" i="47"/>
  <c r="K116" i="47" s="1"/>
  <c r="L116" i="47" s="1"/>
  <c r="J95" i="47"/>
  <c r="K95" i="47" s="1"/>
  <c r="L95" i="47" s="1"/>
  <c r="R156" i="47"/>
  <c r="S156" i="47" s="1"/>
  <c r="T156" i="47" s="1"/>
  <c r="N65" i="47"/>
  <c r="O65" i="47" s="1"/>
  <c r="P65" i="47" s="1"/>
  <c r="N81" i="47"/>
  <c r="O81" i="47" s="1"/>
  <c r="P81" i="47" s="1"/>
  <c r="J37" i="47"/>
  <c r="K37" i="47" s="1"/>
  <c r="L37" i="47" s="1"/>
  <c r="N75" i="47"/>
  <c r="O75" i="47" s="1"/>
  <c r="P75" i="47" s="1"/>
  <c r="N107" i="47"/>
  <c r="O107" i="47" s="1"/>
  <c r="P107" i="47" s="1"/>
  <c r="J63" i="47"/>
  <c r="K63" i="47" s="1"/>
  <c r="L63" i="47" s="1"/>
  <c r="N16" i="47"/>
  <c r="O16" i="47" s="1"/>
  <c r="P16" i="47" s="1"/>
  <c r="R120" i="47"/>
  <c r="S120" i="47" s="1"/>
  <c r="T120" i="47" s="1"/>
  <c r="N152" i="47"/>
  <c r="O152" i="47" s="1"/>
  <c r="P152" i="47" s="1"/>
  <c r="N26" i="47"/>
  <c r="O26" i="47" s="1"/>
  <c r="P26" i="47" s="1"/>
  <c r="J85" i="47"/>
  <c r="K85" i="47" s="1"/>
  <c r="L85" i="47" s="1"/>
  <c r="J105" i="47"/>
  <c r="K105" i="47" s="1"/>
  <c r="L105" i="47" s="1"/>
  <c r="J62" i="47"/>
  <c r="N15" i="47"/>
  <c r="O15" i="47" s="1"/>
  <c r="P15" i="47" s="1"/>
  <c r="N47" i="47"/>
  <c r="N97" i="47"/>
  <c r="O97" i="47" s="1"/>
  <c r="P97" i="47" s="1"/>
  <c r="N55" i="47"/>
  <c r="O55" i="47" s="1"/>
  <c r="P55" i="47" s="1"/>
  <c r="N131" i="47"/>
  <c r="O131" i="47" s="1"/>
  <c r="P131" i="47" s="1"/>
  <c r="N95" i="47"/>
  <c r="O95" i="47" s="1"/>
  <c r="P95" i="47" s="1"/>
  <c r="J53" i="47"/>
  <c r="K53" i="47" s="1"/>
  <c r="L53" i="47" s="1"/>
  <c r="R136" i="47"/>
  <c r="S136" i="47" s="1"/>
  <c r="T136" i="47" s="1"/>
  <c r="R107" i="47"/>
  <c r="S107" i="47" s="1"/>
  <c r="T107" i="47" s="1"/>
  <c r="N156" i="47"/>
  <c r="O156" i="47" s="1"/>
  <c r="P156" i="47" s="1"/>
  <c r="J156" i="47"/>
  <c r="K156" i="47" s="1"/>
  <c r="L156" i="47" s="1"/>
  <c r="N31" i="47"/>
  <c r="O31" i="47" s="1"/>
  <c r="P31" i="47" s="1"/>
  <c r="R121" i="47"/>
  <c r="S121" i="47" s="1"/>
  <c r="T121" i="47" s="1"/>
  <c r="N142" i="47"/>
  <c r="O142" i="47" s="1"/>
  <c r="P142" i="47" s="1"/>
  <c r="N116" i="46"/>
  <c r="O116" i="46" s="1"/>
  <c r="P116" i="46" s="1"/>
  <c r="R144" i="46"/>
  <c r="S144" i="46" s="1"/>
  <c r="R136" i="46"/>
  <c r="S136" i="46" s="1"/>
  <c r="T136" i="46" s="1"/>
  <c r="J128" i="46"/>
  <c r="K128" i="46" s="1"/>
  <c r="L128" i="46" s="1"/>
  <c r="N86" i="46"/>
  <c r="O86" i="46" s="1"/>
  <c r="P86" i="46" s="1"/>
  <c r="R46" i="46"/>
  <c r="S46" i="46" s="1"/>
  <c r="T46" i="46" s="1"/>
  <c r="J138" i="46"/>
  <c r="K138" i="46" s="1"/>
  <c r="L138" i="46" s="1"/>
  <c r="J152" i="46"/>
  <c r="K152" i="46" s="1"/>
  <c r="L152" i="46" s="1"/>
  <c r="J37" i="46"/>
  <c r="K37" i="46" s="1"/>
  <c r="L37" i="46" s="1"/>
  <c r="N88" i="46"/>
  <c r="O88" i="46" s="1"/>
  <c r="P88" i="46" s="1"/>
  <c r="R80" i="46"/>
  <c r="S80" i="46" s="1"/>
  <c r="T80" i="46" s="1"/>
  <c r="N143" i="46"/>
  <c r="O143" i="46" s="1"/>
  <c r="P143" i="46" s="1"/>
  <c r="R153" i="46"/>
  <c r="S153" i="46" s="1"/>
  <c r="T153" i="46" s="1"/>
  <c r="J39" i="46"/>
  <c r="K39" i="46" s="1"/>
  <c r="L39" i="46" s="1"/>
  <c r="N89" i="46"/>
  <c r="J49" i="46"/>
  <c r="K49" i="46" s="1"/>
  <c r="L49" i="46" s="1"/>
  <c r="N119" i="46"/>
  <c r="O119" i="46" s="1"/>
  <c r="P119" i="46" s="1"/>
  <c r="N84" i="46"/>
  <c r="O84" i="46" s="1"/>
  <c r="P84" i="46" s="1"/>
  <c r="J163" i="46"/>
  <c r="K163" i="46" s="1"/>
  <c r="L163" i="46" s="1"/>
  <c r="J94" i="46"/>
  <c r="K94" i="46" s="1"/>
  <c r="L94" i="46" s="1"/>
  <c r="N92" i="46"/>
  <c r="O92" i="46" s="1"/>
  <c r="P92" i="46" s="1"/>
  <c r="R141" i="46"/>
  <c r="S141" i="46" s="1"/>
  <c r="T141" i="46" s="1"/>
  <c r="R152" i="46"/>
  <c r="S152" i="46" s="1"/>
  <c r="T152" i="46" s="1"/>
  <c r="J51" i="46"/>
  <c r="K51" i="46" s="1"/>
  <c r="L51" i="46" s="1"/>
  <c r="N120" i="46"/>
  <c r="O120" i="46" s="1"/>
  <c r="P120" i="46" s="1"/>
  <c r="J141" i="47"/>
  <c r="K141" i="47" s="1"/>
  <c r="L141" i="47" s="1"/>
  <c r="N112" i="47"/>
  <c r="O112" i="47" s="1"/>
  <c r="P112" i="47" s="1"/>
  <c r="N175" i="47"/>
  <c r="O175" i="47" s="1"/>
  <c r="P175" i="47" s="1"/>
  <c r="R57" i="47"/>
  <c r="S57" i="47" s="1"/>
  <c r="T57" i="47" s="1"/>
  <c r="J36" i="47"/>
  <c r="K36" i="47" s="1"/>
  <c r="L36" i="47" s="1"/>
  <c r="J146" i="47"/>
  <c r="K146" i="47" s="1"/>
  <c r="R122" i="47"/>
  <c r="S122" i="47" s="1"/>
  <c r="T122" i="47" s="1"/>
  <c r="N96" i="47"/>
  <c r="O96" i="47" s="1"/>
  <c r="P96" i="47" s="1"/>
  <c r="N155" i="47"/>
  <c r="O155" i="47" s="1"/>
  <c r="P155" i="47" s="1"/>
  <c r="N32" i="47"/>
  <c r="O32" i="47" s="1"/>
  <c r="P32" i="47" s="1"/>
  <c r="R42" i="47"/>
  <c r="S42" i="47" s="1"/>
  <c r="T42" i="47" s="1"/>
  <c r="J20" i="47"/>
  <c r="K20" i="47" s="1"/>
  <c r="L20" i="47" s="1"/>
  <c r="J143" i="47"/>
  <c r="K143" i="47" s="1"/>
  <c r="L143" i="47" s="1"/>
  <c r="R119" i="47"/>
  <c r="S119" i="47" s="1"/>
  <c r="T119" i="47" s="1"/>
  <c r="R98" i="47"/>
  <c r="S98" i="47" s="1"/>
  <c r="T98" i="47" s="1"/>
  <c r="N177" i="47"/>
  <c r="Y29" i="55" s="1"/>
  <c r="J69" i="47"/>
  <c r="K69" i="47" s="1"/>
  <c r="L69" i="47" s="1"/>
  <c r="J49" i="47"/>
  <c r="K49" i="47" s="1"/>
  <c r="L49" i="47" s="1"/>
  <c r="R40" i="47"/>
  <c r="S40" i="47" s="1"/>
  <c r="T40" i="47" s="1"/>
  <c r="J170" i="47"/>
  <c r="K170" i="47" s="1"/>
  <c r="L170" i="47" s="1"/>
  <c r="J135" i="47"/>
  <c r="K135" i="47" s="1"/>
  <c r="L135" i="47" s="1"/>
  <c r="J114" i="47"/>
  <c r="K114" i="47" s="1"/>
  <c r="L114" i="47" s="1"/>
  <c r="R138" i="46"/>
  <c r="S138" i="46" s="1"/>
  <c r="T138" i="46" s="1"/>
  <c r="N175" i="46"/>
  <c r="O175" i="46" s="1"/>
  <c r="P175" i="46" s="1"/>
  <c r="J75" i="46"/>
  <c r="K75" i="46" s="1"/>
  <c r="L75" i="46" s="1"/>
  <c r="N32" i="46"/>
  <c r="O32" i="46" s="1"/>
  <c r="P32" i="46" s="1"/>
  <c r="R148" i="46"/>
  <c r="S148" i="46" s="1"/>
  <c r="J158" i="47"/>
  <c r="N150" i="47"/>
  <c r="O150" i="47" s="1"/>
  <c r="P150" i="47" s="1"/>
  <c r="N169" i="47"/>
  <c r="O169" i="47" s="1"/>
  <c r="P169" i="47" s="1"/>
  <c r="N45" i="47"/>
  <c r="O45" i="47" s="1"/>
  <c r="P45" i="47" s="1"/>
  <c r="R124" i="47"/>
  <c r="S124" i="47" s="1"/>
  <c r="T124" i="47" s="1"/>
  <c r="N165" i="47"/>
  <c r="O165" i="47" s="1"/>
  <c r="P165" i="47" s="1"/>
  <c r="N29" i="47"/>
  <c r="O29" i="47" s="1"/>
  <c r="P29" i="47" s="1"/>
  <c r="N119" i="47"/>
  <c r="O119" i="47" s="1"/>
  <c r="P119" i="47" s="1"/>
  <c r="N157" i="47"/>
  <c r="O157" i="47" s="1"/>
  <c r="P157" i="47" s="1"/>
  <c r="J82" i="47"/>
  <c r="K82" i="47" s="1"/>
  <c r="L82" i="47" s="1"/>
  <c r="J76" i="47"/>
  <c r="K76" i="47" s="1"/>
  <c r="L76" i="47" s="1"/>
  <c r="R110" i="47"/>
  <c r="S110" i="47" s="1"/>
  <c r="T110" i="47" s="1"/>
  <c r="N164" i="47"/>
  <c r="O164" i="47" s="1"/>
  <c r="P164" i="47" s="1"/>
  <c r="J44" i="47"/>
  <c r="K44" i="47" s="1"/>
  <c r="L44" i="47" s="1"/>
  <c r="N50" i="47"/>
  <c r="O50" i="47" s="1"/>
  <c r="P50" i="47" s="1"/>
  <c r="R105" i="47"/>
  <c r="S105" i="47" s="1"/>
  <c r="T105" i="47" s="1"/>
  <c r="J16" i="47"/>
  <c r="K16" i="47" s="1"/>
  <c r="L16" i="47" s="1"/>
  <c r="R91" i="47"/>
  <c r="S91" i="47" s="1"/>
  <c r="T91" i="47" s="1"/>
  <c r="J139" i="47"/>
  <c r="K139" i="47" s="1"/>
  <c r="L139" i="47" s="1"/>
  <c r="R86" i="47"/>
  <c r="S86" i="47" s="1"/>
  <c r="T86" i="47" s="1"/>
  <c r="N137" i="47"/>
  <c r="O137" i="47" s="1"/>
  <c r="P137" i="47" s="1"/>
  <c r="N43" i="47"/>
  <c r="O43" i="47" s="1"/>
  <c r="P43" i="47" s="1"/>
  <c r="R64" i="47"/>
  <c r="S64" i="47" s="1"/>
  <c r="T64" i="47" s="1"/>
  <c r="R128" i="47"/>
  <c r="S128" i="47" s="1"/>
  <c r="T128" i="47" s="1"/>
  <c r="J144" i="47"/>
  <c r="K144" i="47" s="1"/>
  <c r="R17" i="47"/>
  <c r="J167" i="47"/>
  <c r="J159" i="47"/>
  <c r="J177" i="47"/>
  <c r="W29" i="55" s="1"/>
  <c r="J113" i="47"/>
  <c r="K113" i="47" s="1"/>
  <c r="L113" i="47" s="1"/>
  <c r="N22" i="47"/>
  <c r="J127" i="46"/>
  <c r="K127" i="46" s="1"/>
  <c r="L127" i="46" s="1"/>
  <c r="R130" i="46"/>
  <c r="S130" i="46" s="1"/>
  <c r="T130" i="46" s="1"/>
  <c r="J156" i="46"/>
  <c r="K156" i="46" s="1"/>
  <c r="L156" i="46" s="1"/>
  <c r="R59" i="46"/>
  <c r="S59" i="46" s="1"/>
  <c r="T59" i="46" s="1"/>
  <c r="N100" i="46"/>
  <c r="O100" i="46" s="1"/>
  <c r="P100" i="46" s="1"/>
  <c r="N71" i="46"/>
  <c r="O71" i="46" s="1"/>
  <c r="P71" i="46" s="1"/>
  <c r="R153" i="47"/>
  <c r="S153" i="47" s="1"/>
  <c r="T153" i="47" s="1"/>
  <c r="R148" i="47"/>
  <c r="S148" i="47" s="1"/>
  <c r="N83" i="47"/>
  <c r="R29" i="47"/>
  <c r="S29" i="47" s="1"/>
  <c r="T29" i="47" s="1"/>
  <c r="N122" i="47"/>
  <c r="O122" i="47" s="1"/>
  <c r="P122" i="47" s="1"/>
  <c r="N34" i="47"/>
  <c r="O34" i="47" s="1"/>
  <c r="P34" i="47" s="1"/>
  <c r="J25" i="47"/>
  <c r="K25" i="47" s="1"/>
  <c r="L25" i="47" s="1"/>
  <c r="R116" i="47"/>
  <c r="S116" i="47" s="1"/>
  <c r="T116" i="47" s="1"/>
  <c r="R154" i="47"/>
  <c r="N79" i="47"/>
  <c r="R73" i="47"/>
  <c r="J108" i="47"/>
  <c r="K108" i="47" s="1"/>
  <c r="L108" i="47" s="1"/>
  <c r="R161" i="47"/>
  <c r="S161" i="47" s="1"/>
  <c r="T161" i="47" s="1"/>
  <c r="N41" i="47"/>
  <c r="R141" i="47"/>
  <c r="S141" i="47" s="1"/>
  <c r="T141" i="47" s="1"/>
  <c r="J79" i="47"/>
  <c r="R99" i="47"/>
  <c r="S99" i="47" s="1"/>
  <c r="T99" i="47" s="1"/>
  <c r="R150" i="47"/>
  <c r="S150" i="47" s="1"/>
  <c r="T150" i="47" s="1"/>
  <c r="J87" i="47"/>
  <c r="K87" i="47" s="1"/>
  <c r="L87" i="47" s="1"/>
  <c r="J103" i="47"/>
  <c r="K103" i="47" s="1"/>
  <c r="L103" i="47" s="1"/>
  <c r="J176" i="47"/>
  <c r="K176" i="47" s="1"/>
  <c r="L176" i="47" s="1"/>
  <c r="J131" i="47"/>
  <c r="K131" i="47" s="1"/>
  <c r="L131" i="47" s="1"/>
  <c r="R30" i="47"/>
  <c r="S30" i="47" s="1"/>
  <c r="T30" i="47" s="1"/>
  <c r="R43" i="47"/>
  <c r="S43" i="47" s="1"/>
  <c r="T43" i="47" s="1"/>
  <c r="R115" i="47"/>
  <c r="S115" i="47" s="1"/>
  <c r="T115" i="47" s="1"/>
  <c r="N115" i="47"/>
  <c r="O115" i="47" s="1"/>
  <c r="P115" i="47" s="1"/>
  <c r="N97" i="46"/>
  <c r="O97" i="46" s="1"/>
  <c r="P97" i="46" s="1"/>
  <c r="J127" i="47"/>
  <c r="K127" i="47" s="1"/>
  <c r="L127" i="47" s="1"/>
  <c r="N113" i="47"/>
  <c r="O113" i="47" s="1"/>
  <c r="P113" i="47" s="1"/>
  <c r="J98" i="47"/>
  <c r="K98" i="47" s="1"/>
  <c r="L98" i="47" s="1"/>
  <c r="J119" i="46"/>
  <c r="K119" i="46" s="1"/>
  <c r="L119" i="46" s="1"/>
  <c r="R101" i="46"/>
  <c r="S101" i="46" s="1"/>
  <c r="T101" i="46" s="1"/>
  <c r="N160" i="46"/>
  <c r="O160" i="46" s="1"/>
  <c r="P160" i="46" s="1"/>
  <c r="J177" i="46"/>
  <c r="M29" i="55" s="1"/>
  <c r="J170" i="46"/>
  <c r="K170" i="46" s="1"/>
  <c r="L170" i="46" s="1"/>
  <c r="R146" i="46"/>
  <c r="S146" i="46" s="1"/>
  <c r="N49" i="46"/>
  <c r="O49" i="46" s="1"/>
  <c r="P49" i="46" s="1"/>
  <c r="N64" i="47"/>
  <c r="O64" i="47" s="1"/>
  <c r="P64" i="47" s="1"/>
  <c r="R135" i="47"/>
  <c r="S135" i="47" s="1"/>
  <c r="T135" i="47" s="1"/>
  <c r="J175" i="47"/>
  <c r="K175" i="47" s="1"/>
  <c r="L175" i="47" s="1"/>
  <c r="N25" i="47"/>
  <c r="O25" i="47" s="1"/>
  <c r="P25" i="47" s="1"/>
  <c r="R111" i="47"/>
  <c r="S111" i="47" s="1"/>
  <c r="T111" i="47" s="1"/>
  <c r="R71" i="47"/>
  <c r="S71" i="47" s="1"/>
  <c r="T71" i="47" s="1"/>
  <c r="N18" i="47"/>
  <c r="O18" i="47" s="1"/>
  <c r="P18" i="47" s="1"/>
  <c r="J106" i="47"/>
  <c r="K106" i="47" s="1"/>
  <c r="L106" i="47" s="1"/>
  <c r="R152" i="47"/>
  <c r="S152" i="47" s="1"/>
  <c r="T152" i="47" s="1"/>
  <c r="N173" i="47"/>
  <c r="O173" i="47" s="1"/>
  <c r="P173" i="47" s="1"/>
  <c r="J142" i="47"/>
  <c r="K142" i="47" s="1"/>
  <c r="L142" i="47" s="1"/>
  <c r="N100" i="47"/>
  <c r="O100" i="47" s="1"/>
  <c r="P100" i="47" s="1"/>
  <c r="R70" i="47"/>
  <c r="S70" i="47" s="1"/>
  <c r="T70" i="47" s="1"/>
  <c r="N28" i="47"/>
  <c r="O28" i="47" s="1"/>
  <c r="P28" i="47" s="1"/>
  <c r="J121" i="47"/>
  <c r="K121" i="47" s="1"/>
  <c r="L121" i="47" s="1"/>
  <c r="J35" i="47"/>
  <c r="N158" i="47"/>
  <c r="N110" i="47"/>
  <c r="O110" i="47" s="1"/>
  <c r="P110" i="47" s="1"/>
  <c r="R151" i="47"/>
  <c r="R33" i="47"/>
  <c r="R67" i="47"/>
  <c r="S67" i="47" s="1"/>
  <c r="T67" i="47" s="1"/>
  <c r="J110" i="47"/>
  <c r="K110" i="47" s="1"/>
  <c r="L110" i="47" s="1"/>
  <c r="J23" i="47"/>
  <c r="K23" i="47" s="1"/>
  <c r="L23" i="47" s="1"/>
  <c r="N129" i="47"/>
  <c r="O129" i="47" s="1"/>
  <c r="P129" i="47" s="1"/>
  <c r="N58" i="47"/>
  <c r="O58" i="47" s="1"/>
  <c r="P58" i="47" s="1"/>
  <c r="R28" i="47"/>
  <c r="S28" i="47" s="1"/>
  <c r="T28" i="47" s="1"/>
  <c r="R167" i="47"/>
  <c r="R104" i="46"/>
  <c r="S104" i="46" s="1"/>
  <c r="T104" i="46" s="1"/>
  <c r="N101" i="47"/>
  <c r="O101" i="47" s="1"/>
  <c r="P101" i="47" s="1"/>
  <c r="R48" i="47"/>
  <c r="J58" i="47"/>
  <c r="K58" i="47" s="1"/>
  <c r="L58" i="47" s="1"/>
  <c r="J21" i="47"/>
  <c r="K21" i="47" s="1"/>
  <c r="L21" i="47" s="1"/>
  <c r="R118" i="46"/>
  <c r="S118" i="46" s="1"/>
  <c r="T118" i="46" s="1"/>
  <c r="J91" i="46"/>
  <c r="K91" i="46" s="1"/>
  <c r="L91" i="46" s="1"/>
  <c r="R39" i="46"/>
  <c r="S39" i="46" s="1"/>
  <c r="T39" i="46" s="1"/>
  <c r="R157" i="46"/>
  <c r="S157" i="46" s="1"/>
  <c r="T157" i="46" s="1"/>
  <c r="J139" i="46"/>
  <c r="K139" i="46" s="1"/>
  <c r="L139" i="46" s="1"/>
  <c r="R127" i="46"/>
  <c r="S127" i="46" s="1"/>
  <c r="T127" i="46" s="1"/>
  <c r="N173" i="46"/>
  <c r="O173" i="46" s="1"/>
  <c r="P173" i="46" s="1"/>
  <c r="N133" i="47"/>
  <c r="O133" i="47" s="1"/>
  <c r="P133" i="47" s="1"/>
  <c r="R32" i="47"/>
  <c r="S32" i="47" s="1"/>
  <c r="T32" i="47" s="1"/>
  <c r="R127" i="47"/>
  <c r="S127" i="47" s="1"/>
  <c r="T127" i="47" s="1"/>
  <c r="N153" i="47"/>
  <c r="O153" i="47" s="1"/>
  <c r="P153" i="47" s="1"/>
  <c r="R77" i="47"/>
  <c r="R103" i="47"/>
  <c r="S103" i="47" s="1"/>
  <c r="T103" i="47" s="1"/>
  <c r="J32" i="47"/>
  <c r="K32" i="47" s="1"/>
  <c r="L32" i="47" s="1"/>
  <c r="R171" i="47"/>
  <c r="S171" i="47" s="1"/>
  <c r="T171" i="47" s="1"/>
  <c r="N98" i="47"/>
  <c r="O98" i="47" s="1"/>
  <c r="P98" i="47" s="1"/>
  <c r="R68" i="47"/>
  <c r="S68" i="47" s="1"/>
  <c r="T68" i="47" s="1"/>
  <c r="N40" i="47"/>
  <c r="O40" i="47" s="1"/>
  <c r="P40" i="47" s="1"/>
  <c r="N134" i="47"/>
  <c r="O134" i="47" s="1"/>
  <c r="P134" i="47" s="1"/>
  <c r="N92" i="47"/>
  <c r="O92" i="47" s="1"/>
  <c r="P92" i="47" s="1"/>
  <c r="R62" i="47"/>
  <c r="R26" i="47"/>
  <c r="S26" i="47" s="1"/>
  <c r="T26" i="47" s="1"/>
  <c r="J100" i="47"/>
  <c r="K100" i="47" s="1"/>
  <c r="L100" i="47" s="1"/>
  <c r="N73" i="47"/>
  <c r="J70" i="47"/>
  <c r="K70" i="47" s="1"/>
  <c r="L70" i="47" s="1"/>
  <c r="J164" i="47"/>
  <c r="K164" i="47" s="1"/>
  <c r="L164" i="47" s="1"/>
  <c r="R55" i="47"/>
  <c r="S55" i="47" s="1"/>
  <c r="T55" i="47" s="1"/>
  <c r="R146" i="47"/>
  <c r="S146" i="47" s="1"/>
  <c r="R47" i="47"/>
  <c r="J89" i="47"/>
  <c r="N108" i="47"/>
  <c r="O108" i="47" s="1"/>
  <c r="P108" i="47" s="1"/>
  <c r="J102" i="47"/>
  <c r="K102" i="47" s="1"/>
  <c r="L102" i="47" s="1"/>
  <c r="J41" i="47"/>
  <c r="J71" i="47"/>
  <c r="K71" i="47" s="1"/>
  <c r="L71" i="47" s="1"/>
  <c r="R132" i="47"/>
  <c r="S132" i="47" s="1"/>
  <c r="T132" i="47" s="1"/>
  <c r="J154" i="47"/>
  <c r="R81" i="47"/>
  <c r="S81" i="47" s="1"/>
  <c r="T81" i="47" s="1"/>
  <c r="N108" i="46"/>
  <c r="O108" i="46" s="1"/>
  <c r="P108" i="46" s="1"/>
  <c r="J56" i="46"/>
  <c r="K56" i="46" s="1"/>
  <c r="L56" i="46" s="1"/>
  <c r="R103" i="46"/>
  <c r="S103" i="46" s="1"/>
  <c r="T103" i="46" s="1"/>
  <c r="N174" i="46"/>
  <c r="O174" i="46" s="1"/>
  <c r="P174" i="46" s="1"/>
  <c r="R18" i="46"/>
  <c r="S18" i="46" s="1"/>
  <c r="T18" i="46" s="1"/>
  <c r="J36" i="46"/>
  <c r="K36" i="46" s="1"/>
  <c r="L36" i="46" s="1"/>
  <c r="R117" i="47"/>
  <c r="S117" i="47" s="1"/>
  <c r="T117" i="47" s="1"/>
  <c r="N80" i="47"/>
  <c r="O80" i="47" s="1"/>
  <c r="P80" i="47" s="1"/>
  <c r="J125" i="47"/>
  <c r="K125" i="47" s="1"/>
  <c r="L125" i="47" s="1"/>
  <c r="R66" i="47"/>
  <c r="S66" i="47" s="1"/>
  <c r="T66" i="47" s="1"/>
  <c r="R76" i="47"/>
  <c r="S76" i="47" s="1"/>
  <c r="T76" i="47" s="1"/>
  <c r="J101" i="47"/>
  <c r="K101" i="47" s="1"/>
  <c r="L101" i="47" s="1"/>
  <c r="N54" i="47"/>
  <c r="J148" i="47"/>
  <c r="K148" i="47" s="1"/>
  <c r="R95" i="47"/>
  <c r="S95" i="47" s="1"/>
  <c r="T95" i="47" s="1"/>
  <c r="J66" i="47"/>
  <c r="K66" i="47" s="1"/>
  <c r="L66" i="47" s="1"/>
  <c r="R37" i="47"/>
  <c r="S37" i="47" s="1"/>
  <c r="T37" i="47" s="1"/>
  <c r="R131" i="47"/>
  <c r="S131" i="47" s="1"/>
  <c r="T131" i="47" s="1"/>
  <c r="R89" i="47"/>
  <c r="J61" i="47"/>
  <c r="K61" i="47" s="1"/>
  <c r="L61" i="47" s="1"/>
  <c r="J24" i="47"/>
  <c r="R92" i="47"/>
  <c r="S92" i="47" s="1"/>
  <c r="T92" i="47" s="1"/>
  <c r="J118" i="47"/>
  <c r="K118" i="47" s="1"/>
  <c r="L118" i="47" s="1"/>
  <c r="N62" i="47"/>
  <c r="J147" i="47"/>
  <c r="K147" i="47" s="1"/>
  <c r="N48" i="47"/>
  <c r="N139" i="47"/>
  <c r="O139" i="47" s="1"/>
  <c r="P139" i="47" s="1"/>
  <c r="N44" i="47"/>
  <c r="O44" i="47" s="1"/>
  <c r="P44" i="47" s="1"/>
  <c r="N84" i="47"/>
  <c r="O84" i="47" s="1"/>
  <c r="P84" i="47" s="1"/>
  <c r="J84" i="47"/>
  <c r="K84" i="47" s="1"/>
  <c r="L84" i="47" s="1"/>
  <c r="J59" i="47"/>
  <c r="K59" i="47" s="1"/>
  <c r="L59" i="47" s="1"/>
  <c r="R21" i="47"/>
  <c r="S21" i="47" s="1"/>
  <c r="T21" i="47" s="1"/>
  <c r="N94" i="47"/>
  <c r="O94" i="47" s="1"/>
  <c r="P94" i="47" s="1"/>
  <c r="J171" i="47"/>
  <c r="K171" i="47" s="1"/>
  <c r="L171" i="47" s="1"/>
  <c r="N94" i="46"/>
  <c r="O94" i="46" s="1"/>
  <c r="P94" i="46" s="1"/>
  <c r="J83" i="47"/>
  <c r="J73" i="47"/>
  <c r="J90" i="47"/>
  <c r="K90" i="47" s="1"/>
  <c r="L90" i="47" s="1"/>
  <c r="N53" i="46"/>
  <c r="O53" i="46" s="1"/>
  <c r="P53" i="46" s="1"/>
  <c r="J93" i="46"/>
  <c r="K93" i="46" s="1"/>
  <c r="L93" i="46" s="1"/>
  <c r="R27" i="46"/>
  <c r="N102" i="46"/>
  <c r="O102" i="46" s="1"/>
  <c r="P102" i="46" s="1"/>
  <c r="J77" i="46"/>
  <c r="M15" i="55" s="1"/>
  <c r="J115" i="47"/>
  <c r="K115" i="47" s="1"/>
  <c r="L115" i="47" s="1"/>
  <c r="N27" i="47"/>
  <c r="J112" i="47"/>
  <c r="K112" i="47" s="1"/>
  <c r="L112" i="47" s="1"/>
  <c r="J64" i="47"/>
  <c r="K64" i="47" s="1"/>
  <c r="L64" i="47" s="1"/>
  <c r="N148" i="47"/>
  <c r="O148" i="47" s="1"/>
  <c r="R90" i="47"/>
  <c r="S90" i="47" s="1"/>
  <c r="T90" i="47" s="1"/>
  <c r="R51" i="47"/>
  <c r="S51" i="47" s="1"/>
  <c r="T51" i="47" s="1"/>
  <c r="N140" i="47"/>
  <c r="O140" i="47" s="1"/>
  <c r="P140" i="47" s="1"/>
  <c r="J93" i="47"/>
  <c r="K93" i="47" s="1"/>
  <c r="L93" i="47" s="1"/>
  <c r="N63" i="47"/>
  <c r="O63" i="47" s="1"/>
  <c r="P63" i="47" s="1"/>
  <c r="N35" i="47"/>
  <c r="J129" i="47"/>
  <c r="K129" i="47" s="1"/>
  <c r="L129" i="47" s="1"/>
  <c r="J168" i="47"/>
  <c r="K168" i="47" s="1"/>
  <c r="L168" i="47" s="1"/>
  <c r="R58" i="47"/>
  <c r="S58" i="47" s="1"/>
  <c r="T58" i="47" s="1"/>
  <c r="N21" i="47"/>
  <c r="O21" i="47" s="1"/>
  <c r="P21" i="47" s="1"/>
  <c r="N167" i="47"/>
  <c r="N67" i="47"/>
  <c r="O67" i="47" s="1"/>
  <c r="P67" i="47" s="1"/>
  <c r="N56" i="47"/>
  <c r="O56" i="47" s="1"/>
  <c r="P56" i="47" s="1"/>
  <c r="J140" i="47"/>
  <c r="K140" i="47" s="1"/>
  <c r="L140" i="47" s="1"/>
  <c r="J46" i="47"/>
  <c r="K46" i="47" s="1"/>
  <c r="L46" i="47" s="1"/>
  <c r="J132" i="47"/>
  <c r="K132" i="47" s="1"/>
  <c r="L132" i="47" s="1"/>
  <c r="J160" i="47"/>
  <c r="K160" i="47" s="1"/>
  <c r="L160" i="47" s="1"/>
  <c r="J157" i="47"/>
  <c r="K157" i="47" s="1"/>
  <c r="L157" i="47" s="1"/>
  <c r="J65" i="47"/>
  <c r="K65" i="47" s="1"/>
  <c r="L65" i="47" s="1"/>
  <c r="R41" i="47"/>
  <c r="J162" i="47"/>
  <c r="N161" i="47"/>
  <c r="O161" i="47" s="1"/>
  <c r="P161" i="47" s="1"/>
  <c r="N55" i="46"/>
  <c r="O55" i="46" s="1"/>
  <c r="P55" i="46" s="1"/>
  <c r="J80" i="47"/>
  <c r="K80" i="47" s="1"/>
  <c r="L80" i="47" s="1"/>
  <c r="R15" i="47"/>
  <c r="S15" i="47" s="1"/>
  <c r="T15" i="47" s="1"/>
  <c r="J19" i="47"/>
  <c r="K19" i="47" s="1"/>
  <c r="L19" i="47" s="1"/>
  <c r="N168" i="47"/>
  <c r="O168" i="47" s="1"/>
  <c r="P168" i="47" s="1"/>
  <c r="J147" i="46"/>
  <c r="K147" i="46" s="1"/>
  <c r="J73" i="46"/>
  <c r="J58" i="46"/>
  <c r="K58" i="46" s="1"/>
  <c r="L58" i="46" s="1"/>
  <c r="J102" i="46"/>
  <c r="K102" i="46" s="1"/>
  <c r="L102" i="46" s="1"/>
  <c r="R140" i="46"/>
  <c r="S140" i="46" s="1"/>
  <c r="T140" i="46" s="1"/>
  <c r="R96" i="47"/>
  <c r="S96" i="47" s="1"/>
  <c r="T96" i="47" s="1"/>
  <c r="R38" i="47"/>
  <c r="S38" i="47" s="1"/>
  <c r="T38" i="47" s="1"/>
  <c r="J104" i="47"/>
  <c r="K104" i="47" s="1"/>
  <c r="L104" i="47" s="1"/>
  <c r="R54" i="47"/>
  <c r="R145" i="47"/>
  <c r="R85" i="47"/>
  <c r="S85" i="47" s="1"/>
  <c r="T85" i="47" s="1"/>
  <c r="J45" i="47"/>
  <c r="K45" i="47" s="1"/>
  <c r="L45" i="47" s="1"/>
  <c r="R137" i="47"/>
  <c r="S137" i="47" s="1"/>
  <c r="T137" i="47" s="1"/>
  <c r="J88" i="47"/>
  <c r="K88" i="47" s="1"/>
  <c r="L88" i="47" s="1"/>
  <c r="R56" i="47"/>
  <c r="S56" i="47" s="1"/>
  <c r="T56" i="47" s="1"/>
  <c r="N19" i="47"/>
  <c r="O19" i="47" s="1"/>
  <c r="P19" i="47" s="1"/>
  <c r="N121" i="47"/>
  <c r="O121" i="47" s="1"/>
  <c r="P121" i="47" s="1"/>
  <c r="J22" i="47"/>
  <c r="R50" i="47"/>
  <c r="S50" i="47" s="1"/>
  <c r="T50" i="47" s="1"/>
  <c r="R16" i="47"/>
  <c r="S16" i="47" s="1"/>
  <c r="T16" i="47" s="1"/>
  <c r="J161" i="47"/>
  <c r="K161" i="47" s="1"/>
  <c r="L161" i="47" s="1"/>
  <c r="J134" i="47"/>
  <c r="K134" i="47" s="1"/>
  <c r="L134" i="47" s="1"/>
  <c r="J173" i="47"/>
  <c r="K173" i="47" s="1"/>
  <c r="L173" i="47" s="1"/>
  <c r="J119" i="47"/>
  <c r="K119" i="47" s="1"/>
  <c r="L119" i="47" s="1"/>
  <c r="J26" i="47"/>
  <c r="K26" i="47" s="1"/>
  <c r="L26" i="47" s="1"/>
  <c r="J111" i="47"/>
  <c r="K111" i="47" s="1"/>
  <c r="L111" i="47" s="1"/>
  <c r="J172" i="47"/>
  <c r="K172" i="47" s="1"/>
  <c r="L172" i="47" s="1"/>
  <c r="R65" i="47"/>
  <c r="S65" i="47" s="1"/>
  <c r="T65" i="47" s="1"/>
  <c r="N14" i="47"/>
  <c r="R78" i="47"/>
  <c r="S78" i="47" s="1"/>
  <c r="T78" i="47" s="1"/>
  <c r="R53" i="47"/>
  <c r="S53" i="47" s="1"/>
  <c r="T53" i="47" s="1"/>
  <c r="R52" i="47"/>
  <c r="S52" i="47" s="1"/>
  <c r="T52" i="47" s="1"/>
  <c r="R170" i="47"/>
  <c r="S170" i="47" s="1"/>
  <c r="T170" i="47" s="1"/>
  <c r="R46" i="47"/>
  <c r="S46" i="47" s="1"/>
  <c r="T46" i="47" s="1"/>
  <c r="N144" i="47"/>
  <c r="O144" i="47" s="1"/>
  <c r="AJ275" i="7"/>
  <c r="AJ275" i="47"/>
  <c r="AJ275" i="46"/>
  <c r="AJ292" i="47"/>
  <c r="AJ292" i="46"/>
  <c r="AJ292" i="7"/>
  <c r="AJ263" i="47"/>
  <c r="AJ263" i="7"/>
  <c r="AJ263" i="46"/>
  <c r="AJ291" i="7"/>
  <c r="AJ291" i="47"/>
  <c r="AJ291" i="46"/>
  <c r="AJ295" i="7"/>
  <c r="AJ295" i="47"/>
  <c r="AJ295" i="46"/>
  <c r="AJ253" i="7"/>
  <c r="AJ253" i="46"/>
  <c r="AJ253" i="47"/>
  <c r="AJ271" i="47"/>
  <c r="AJ271" i="46"/>
  <c r="AJ271" i="7"/>
  <c r="AJ294" i="7"/>
  <c r="AJ294" i="47"/>
  <c r="AJ294" i="46"/>
  <c r="AJ252" i="7"/>
  <c r="AJ252" i="47"/>
  <c r="AJ252" i="46"/>
  <c r="AJ273" i="7"/>
  <c r="AJ273" i="46"/>
  <c r="AJ273" i="47"/>
  <c r="AJ285" i="7"/>
  <c r="AJ285" i="47"/>
  <c r="AJ285" i="46"/>
  <c r="AJ270" i="7"/>
  <c r="AJ270" i="46"/>
  <c r="AJ270" i="47"/>
  <c r="AJ268" i="7"/>
  <c r="AJ268" i="46"/>
  <c r="AJ268" i="47"/>
  <c r="AJ297" i="7"/>
  <c r="AJ297" i="47"/>
  <c r="AJ297" i="46"/>
  <c r="AJ262" i="46"/>
  <c r="AJ262" i="7"/>
  <c r="AJ262" i="47"/>
  <c r="AK300" i="7"/>
  <c r="H299" i="7" a="1"/>
  <c r="H299" i="7" s="1"/>
  <c r="AK293" i="7"/>
  <c r="H293" i="7" a="1"/>
  <c r="H293" i="7" s="1"/>
  <c r="H287" i="7" a="1"/>
  <c r="H287" i="7" s="1"/>
  <c r="AK282" i="7"/>
  <c r="AK275" i="7"/>
  <c r="AK274" i="7"/>
  <c r="AK273" i="7"/>
  <c r="AK264" i="7"/>
  <c r="H264" i="7" a="1"/>
  <c r="H264" i="7" s="1"/>
  <c r="AK251" i="7"/>
  <c r="AK298" i="47"/>
  <c r="H298" i="47" a="1"/>
  <c r="H298" i="47" s="1"/>
  <c r="H295" i="47" a="1"/>
  <c r="H295" i="47" s="1"/>
  <c r="AK293" i="47"/>
  <c r="AK290" i="47"/>
  <c r="AK286" i="47"/>
  <c r="AK279" i="47"/>
  <c r="AK290" i="7"/>
  <c r="H289" i="7" a="1"/>
  <c r="H289" i="7" s="1"/>
  <c r="AK283" i="7"/>
  <c r="H282" i="7" a="1"/>
  <c r="H282" i="7" s="1"/>
  <c r="H279" i="7" a="1"/>
  <c r="H279" i="7" s="1"/>
  <c r="H278" i="7" a="1"/>
  <c r="H278" i="7" s="1"/>
  <c r="H272" i="7" a="1"/>
  <c r="H272" i="7" s="1"/>
  <c r="AK269" i="7"/>
  <c r="AK268" i="7"/>
  <c r="AK262" i="7"/>
  <c r="AK259" i="7"/>
  <c r="AK255" i="7"/>
  <c r="AK252" i="7"/>
  <c r="AJ251" i="7"/>
  <c r="H251" i="7" a="1"/>
  <c r="H251" i="7" s="1"/>
  <c r="AK296" i="47"/>
  <c r="H293" i="47" a="1"/>
  <c r="H293" i="47" s="1"/>
  <c r="H282" i="47" a="1"/>
  <c r="H282" i="47" s="1"/>
  <c r="H278" i="47" a="1"/>
  <c r="H278" i="47" s="1"/>
  <c r="AK296" i="7"/>
  <c r="AK295" i="7"/>
  <c r="H290" i="7" a="1"/>
  <c r="H290" i="7" s="1"/>
  <c r="H286" i="7" a="1"/>
  <c r="H286" i="7" s="1"/>
  <c r="H280" i="7" a="1"/>
  <c r="H280" i="7" s="1"/>
  <c r="H273" i="7" a="1"/>
  <c r="H273" i="7" s="1"/>
  <c r="H271" i="7" a="1"/>
  <c r="H271" i="7" s="1"/>
  <c r="H270" i="7" a="1"/>
  <c r="H270" i="7" s="1"/>
  <c r="H269" i="7" a="1"/>
  <c r="H269" i="7" s="1"/>
  <c r="AK267" i="7"/>
  <c r="AK266" i="7"/>
  <c r="AK261" i="7"/>
  <c r="H258" i="7" a="1"/>
  <c r="H258" i="7" s="1"/>
  <c r="AK256" i="7"/>
  <c r="AK254" i="7"/>
  <c r="AK299" i="47"/>
  <c r="AK297" i="47"/>
  <c r="AK294" i="47"/>
  <c r="H284" i="47" a="1"/>
  <c r="H284" i="47" s="1"/>
  <c r="H279" i="47" a="1"/>
  <c r="H279" i="47" s="1"/>
  <c r="AK271" i="47"/>
  <c r="H271" i="47" a="1"/>
  <c r="H271" i="47" s="1"/>
  <c r="AK298" i="7"/>
  <c r="H294" i="7" a="1"/>
  <c r="H294" i="7" s="1"/>
  <c r="AK284" i="7"/>
  <c r="H283" i="7" a="1"/>
  <c r="H283" i="7" s="1"/>
  <c r="H276" i="7" a="1"/>
  <c r="H276" i="7" s="1"/>
  <c r="H275" i="7" a="1"/>
  <c r="H275" i="7" s="1"/>
  <c r="H265" i="7" a="1"/>
  <c r="H265" i="7" s="1"/>
  <c r="AK263" i="7"/>
  <c r="H260" i="7" a="1"/>
  <c r="H260" i="7" s="1"/>
  <c r="H253" i="7" a="1"/>
  <c r="H253" i="7" s="1"/>
  <c r="H252" i="7" a="1"/>
  <c r="H252" i="7" s="1"/>
  <c r="H297" i="47" a="1"/>
  <c r="H297" i="47" s="1"/>
  <c r="AK288" i="47"/>
  <c r="AK281" i="47"/>
  <c r="H280" i="47" a="1"/>
  <c r="H280" i="47" s="1"/>
  <c r="AK277" i="47"/>
  <c r="H276" i="47" a="1"/>
  <c r="H276" i="47" s="1"/>
  <c r="AK274" i="47"/>
  <c r="AK273" i="47"/>
  <c r="H269" i="47" a="1"/>
  <c r="H269" i="47" s="1"/>
  <c r="H266" i="47" a="1"/>
  <c r="H266" i="47" s="1"/>
  <c r="H264" i="47" a="1"/>
  <c r="H264" i="47" s="1"/>
  <c r="AK262" i="47"/>
  <c r="H297" i="7" a="1"/>
  <c r="H297" i="7" s="1"/>
  <c r="H296" i="7" a="1"/>
  <c r="H296" i="7" s="1"/>
  <c r="AK289" i="7"/>
  <c r="AK285" i="7"/>
  <c r="H285" i="7" a="1"/>
  <c r="H285" i="7" s="1"/>
  <c r="AK281" i="7"/>
  <c r="AK279" i="7"/>
  <c r="AK272" i="7"/>
  <c r="AK270" i="7"/>
  <c r="H268" i="7" a="1"/>
  <c r="H268" i="7" s="1"/>
  <c r="AK257" i="7"/>
  <c r="H257" i="7" a="1"/>
  <c r="H257" i="7" s="1"/>
  <c r="H300" i="47" a="1"/>
  <c r="H300" i="47" s="1"/>
  <c r="H289" i="47" a="1"/>
  <c r="H289" i="47" s="1"/>
  <c r="AK283" i="47"/>
  <c r="H274" i="47" a="1"/>
  <c r="H274" i="47" s="1"/>
  <c r="H272" i="47" a="1"/>
  <c r="H272" i="47" s="1"/>
  <c r="AK270" i="47"/>
  <c r="AK268" i="47"/>
  <c r="H265" i="47" a="1"/>
  <c r="H265" i="47" s="1"/>
  <c r="AK286" i="7"/>
  <c r="H267" i="7" a="1"/>
  <c r="H267" i="7" s="1"/>
  <c r="AK265" i="7"/>
  <c r="H254" i="7" a="1"/>
  <c r="H254" i="7" s="1"/>
  <c r="H292" i="47" a="1"/>
  <c r="H292" i="47" s="1"/>
  <c r="AK285" i="47"/>
  <c r="H285" i="47" a="1"/>
  <c r="H285" i="47" s="1"/>
  <c r="AK280" i="47"/>
  <c r="H268" i="47" a="1"/>
  <c r="H268" i="47" s="1"/>
  <c r="AK266" i="47"/>
  <c r="AK258" i="47"/>
  <c r="AK300" i="46"/>
  <c r="AK292" i="46"/>
  <c r="H292" i="46" a="1"/>
  <c r="H292" i="46" s="1"/>
  <c r="H279" i="46" a="1"/>
  <c r="H279" i="46" s="1"/>
  <c r="H274" i="46" a="1"/>
  <c r="H274" i="46" s="1"/>
  <c r="AK271" i="46"/>
  <c r="H264" i="46" a="1"/>
  <c r="H264" i="46" s="1"/>
  <c r="H262" i="46" a="1"/>
  <c r="H262" i="46" s="1"/>
  <c r="H260" i="46" a="1"/>
  <c r="H260" i="46" s="1"/>
  <c r="AK258" i="46"/>
  <c r="H257" i="46" a="1"/>
  <c r="H257" i="46" s="1"/>
  <c r="H251" i="46" a="1"/>
  <c r="H251" i="46" s="1"/>
  <c r="H258" i="46" a="1"/>
  <c r="H258" i="46" s="1"/>
  <c r="H256" i="46" a="1"/>
  <c r="H256" i="46" s="1"/>
  <c r="H295" i="7" a="1"/>
  <c r="H295" i="7" s="1"/>
  <c r="AK288" i="7"/>
  <c r="H288" i="7" a="1"/>
  <c r="H288" i="7" s="1"/>
  <c r="AK271" i="7"/>
  <c r="H259" i="7" a="1"/>
  <c r="H259" i="7" s="1"/>
  <c r="H299" i="47" a="1"/>
  <c r="H299" i="47" s="1"/>
  <c r="AK289" i="47"/>
  <c r="AK282" i="47"/>
  <c r="AK276" i="47"/>
  <c r="AK272" i="47"/>
  <c r="AK263" i="47"/>
  <c r="H263" i="47" a="1"/>
  <c r="H263" i="47" s="1"/>
  <c r="H262" i="47" a="1"/>
  <c r="H262" i="47" s="1"/>
  <c r="H258" i="47" a="1"/>
  <c r="H258" i="47" s="1"/>
  <c r="H300" i="46" a="1"/>
  <c r="H300" i="46" s="1"/>
  <c r="H297" i="46" a="1"/>
  <c r="H297" i="46" s="1"/>
  <c r="AK295" i="46"/>
  <c r="AK290" i="46"/>
  <c r="AK285" i="46"/>
  <c r="AK275" i="46"/>
  <c r="H271" i="46" a="1"/>
  <c r="H271" i="46" s="1"/>
  <c r="AK267" i="46"/>
  <c r="AK254" i="46"/>
  <c r="H280" i="46" a="1"/>
  <c r="H280" i="46" s="1"/>
  <c r="AK277" i="46"/>
  <c r="H267" i="46" a="1"/>
  <c r="H267" i="46" s="1"/>
  <c r="H272" i="46" a="1"/>
  <c r="H272" i="46" s="1"/>
  <c r="AK299" i="7"/>
  <c r="AK297" i="7"/>
  <c r="AK292" i="7"/>
  <c r="H263" i="7" a="1"/>
  <c r="H263" i="7" s="1"/>
  <c r="H261" i="7" a="1"/>
  <c r="H261" i="7" s="1"/>
  <c r="AK295" i="47"/>
  <c r="AK287" i="47"/>
  <c r="H287" i="47" a="1"/>
  <c r="H287" i="47" s="1"/>
  <c r="AK259" i="47"/>
  <c r="AK252" i="47"/>
  <c r="H252" i="47" a="1"/>
  <c r="H252" i="47" s="1"/>
  <c r="AK298" i="46"/>
  <c r="H295" i="46" a="1"/>
  <c r="H295" i="46" s="1"/>
  <c r="AK293" i="46"/>
  <c r="H290" i="46" a="1"/>
  <c r="H290" i="46" s="1"/>
  <c r="AK288" i="46"/>
  <c r="H288" i="46" a="1"/>
  <c r="H288" i="46" s="1"/>
  <c r="AK283" i="46"/>
  <c r="H282" i="46" a="1"/>
  <c r="H282" i="46" s="1"/>
  <c r="AK280" i="46"/>
  <c r="H275" i="46" a="1"/>
  <c r="H275" i="46" s="1"/>
  <c r="AK272" i="46"/>
  <c r="AK268" i="46"/>
  <c r="AK265" i="46"/>
  <c r="H254" i="46" a="1"/>
  <c r="H254" i="46" s="1"/>
  <c r="H255" i="46" a="1"/>
  <c r="H255" i="46" s="1"/>
  <c r="H292" i="7" a="1"/>
  <c r="H292" i="7" s="1"/>
  <c r="AK280" i="7"/>
  <c r="AK278" i="7"/>
  <c r="AK276" i="7"/>
  <c r="H266" i="7" a="1"/>
  <c r="H266" i="7" s="1"/>
  <c r="H294" i="47" a="1"/>
  <c r="H294" i="47" s="1"/>
  <c r="H281" i="47" a="1"/>
  <c r="H281" i="47" s="1"/>
  <c r="H275" i="47" a="1"/>
  <c r="H275" i="47" s="1"/>
  <c r="AK269" i="47"/>
  <c r="H261" i="47" a="1"/>
  <c r="H261" i="47" s="1"/>
  <c r="AK255" i="47"/>
  <c r="H255" i="47" a="1"/>
  <c r="H255" i="47" s="1"/>
  <c r="H254" i="47" a="1"/>
  <c r="H254" i="47" s="1"/>
  <c r="AK286" i="46"/>
  <c r="H285" i="46" a="1"/>
  <c r="H285" i="46" s="1"/>
  <c r="H283" i="46" a="1"/>
  <c r="H283" i="46" s="1"/>
  <c r="AK276" i="46"/>
  <c r="AK269" i="46"/>
  <c r="AK264" i="46"/>
  <c r="AK263" i="46"/>
  <c r="AK259" i="46"/>
  <c r="AK264" i="47"/>
  <c r="AK296" i="46"/>
  <c r="H269" i="46" a="1"/>
  <c r="H269" i="46" s="1"/>
  <c r="AK261" i="46"/>
  <c r="AK291" i="47"/>
  <c r="H291" i="47" a="1"/>
  <c r="H291" i="47" s="1"/>
  <c r="AK284" i="47"/>
  <c r="AK275" i="47"/>
  <c r="AK267" i="47"/>
  <c r="H267" i="47" a="1"/>
  <c r="H267" i="47" s="1"/>
  <c r="H259" i="47" a="1"/>
  <c r="H259" i="47" s="1"/>
  <c r="AK257" i="47"/>
  <c r="H257" i="47" a="1"/>
  <c r="H257" i="47" s="1"/>
  <c r="H298" i="46" a="1"/>
  <c r="H298" i="46" s="1"/>
  <c r="H293" i="46" a="1"/>
  <c r="H293" i="46" s="1"/>
  <c r="AK291" i="46"/>
  <c r="AK278" i="46"/>
  <c r="AK273" i="46"/>
  <c r="H263" i="46" a="1"/>
  <c r="H263" i="46" s="1"/>
  <c r="AK260" i="46"/>
  <c r="AK255" i="46"/>
  <c r="AK251" i="47"/>
  <c r="AK299" i="46"/>
  <c r="AK281" i="46"/>
  <c r="AK256" i="46"/>
  <c r="AK287" i="7"/>
  <c r="H255" i="7" a="1"/>
  <c r="H255" i="7" s="1"/>
  <c r="AK253" i="7"/>
  <c r="H286" i="47" a="1"/>
  <c r="H286" i="47" s="1"/>
  <c r="AK278" i="47"/>
  <c r="H251" i="47" a="1"/>
  <c r="H251" i="47" s="1"/>
  <c r="H296" i="46" a="1"/>
  <c r="H296" i="46" s="1"/>
  <c r="AK266" i="46"/>
  <c r="H259" i="46" a="1"/>
  <c r="H259" i="46" s="1"/>
  <c r="AK291" i="7"/>
  <c r="H291" i="7" a="1"/>
  <c r="H291" i="7" s="1"/>
  <c r="H284" i="7" a="1"/>
  <c r="H284" i="7" s="1"/>
  <c r="H281" i="7" a="1"/>
  <c r="H281" i="7" s="1"/>
  <c r="AK260" i="7"/>
  <c r="H256" i="7" a="1"/>
  <c r="H256" i="7" s="1"/>
  <c r="AK292" i="47"/>
  <c r="AK256" i="47"/>
  <c r="H256" i="47" a="1"/>
  <c r="H256" i="47" s="1"/>
  <c r="AK254" i="47"/>
  <c r="H253" i="47" a="1"/>
  <c r="H253" i="47" s="1"/>
  <c r="AK297" i="46"/>
  <c r="H294" i="46" a="1"/>
  <c r="H294" i="46" s="1"/>
  <c r="H289" i="46" a="1"/>
  <c r="H289" i="46" s="1"/>
  <c r="H287" i="46" a="1"/>
  <c r="H287" i="46" s="1"/>
  <c r="AK282" i="46"/>
  <c r="H281" i="46" a="1"/>
  <c r="H281" i="46" s="1"/>
  <c r="H278" i="46" a="1"/>
  <c r="H278" i="46" s="1"/>
  <c r="H277" i="46" a="1"/>
  <c r="H277" i="46" s="1"/>
  <c r="AK274" i="46"/>
  <c r="H273" i="46" a="1"/>
  <c r="H273" i="46" s="1"/>
  <c r="H270" i="46" a="1"/>
  <c r="H270" i="46" s="1"/>
  <c r="AK262" i="46"/>
  <c r="H261" i="46" a="1"/>
  <c r="H261" i="46" s="1"/>
  <c r="AK253" i="46"/>
  <c r="H253" i="46" a="1"/>
  <c r="H253" i="46" s="1"/>
  <c r="H252" i="46" a="1"/>
  <c r="H252" i="46" s="1"/>
  <c r="H291" i="46" a="1"/>
  <c r="H291" i="46" s="1"/>
  <c r="AK289" i="46"/>
  <c r="H283" i="47" a="1"/>
  <c r="H283" i="47" s="1"/>
  <c r="H260" i="47" a="1"/>
  <c r="H260" i="47" s="1"/>
  <c r="AK253" i="47"/>
  <c r="AK284" i="46"/>
  <c r="H265" i="46" a="1"/>
  <c r="H265" i="46" s="1"/>
  <c r="AK270" i="46"/>
  <c r="H284" i="46" a="1"/>
  <c r="H284" i="46" s="1"/>
  <c r="AJ251" i="46"/>
  <c r="H298" i="7" a="1"/>
  <c r="H298" i="7" s="1"/>
  <c r="H277" i="7" a="1"/>
  <c r="H277" i="7" s="1"/>
  <c r="AK260" i="47"/>
  <c r="AJ251" i="47"/>
  <c r="AK279" i="46"/>
  <c r="AK277" i="7"/>
  <c r="AK300" i="47"/>
  <c r="H288" i="47" a="1"/>
  <c r="H288" i="47" s="1"/>
  <c r="AK294" i="7"/>
  <c r="H277" i="47" a="1"/>
  <c r="H277" i="47" s="1"/>
  <c r="AK251" i="46"/>
  <c r="H274" i="7" a="1"/>
  <c r="H274" i="7" s="1"/>
  <c r="H262" i="7" a="1"/>
  <c r="H262" i="7" s="1"/>
  <c r="H273" i="47" a="1"/>
  <c r="H273" i="47" s="1"/>
  <c r="AK258" i="7"/>
  <c r="H270" i="47" a="1"/>
  <c r="H270" i="47" s="1"/>
  <c r="H299" i="46" a="1"/>
  <c r="H299" i="46" s="1"/>
  <c r="H268" i="46" a="1"/>
  <c r="H268" i="46" s="1"/>
  <c r="AK257" i="46"/>
  <c r="AK252" i="46"/>
  <c r="AK294" i="46"/>
  <c r="H296" i="47" a="1"/>
  <c r="H296" i="47" s="1"/>
  <c r="H300" i="7" a="1"/>
  <c r="H300" i="7" s="1"/>
  <c r="AK287" i="46"/>
  <c r="H290" i="47" a="1"/>
  <c r="H290" i="47" s="1"/>
  <c r="AK265" i="47"/>
  <c r="H266" i="46" a="1"/>
  <c r="H266" i="46" s="1"/>
  <c r="AK261" i="47"/>
  <c r="H286" i="46" a="1"/>
  <c r="H286" i="46" s="1"/>
  <c r="H276" i="46" a="1"/>
  <c r="H276" i="46" s="1"/>
  <c r="H149" i="7" a="1"/>
  <c r="H149" i="7" s="1"/>
  <c r="R149" i="7"/>
  <c r="N149" i="7"/>
  <c r="J149" i="7"/>
  <c r="H240" i="47" a="1"/>
  <c r="H240" i="47" s="1"/>
  <c r="H235" i="47" a="1"/>
  <c r="H235" i="47" s="1"/>
  <c r="H219" i="47" a="1"/>
  <c r="H219" i="47" s="1"/>
  <c r="H213" i="47" a="1"/>
  <c r="H213" i="47" s="1"/>
  <c r="H209" i="47" a="1"/>
  <c r="H209" i="47" s="1"/>
  <c r="H204" i="47" a="1"/>
  <c r="H204" i="47" s="1"/>
  <c r="H246" i="47" a="1"/>
  <c r="H246" i="47" s="1"/>
  <c r="H241" i="47" a="1"/>
  <c r="H241" i="47" s="1"/>
  <c r="H229" i="47" a="1"/>
  <c r="H229" i="47" s="1"/>
  <c r="H249" i="47" a="1"/>
  <c r="H249" i="47" s="1"/>
  <c r="H242" i="47" a="1"/>
  <c r="H242" i="47" s="1"/>
  <c r="H236" i="47" a="1"/>
  <c r="H236" i="47" s="1"/>
  <c r="H230" i="47" a="1"/>
  <c r="H230" i="47" s="1"/>
  <c r="H220" i="47" a="1"/>
  <c r="H220" i="47" s="1"/>
  <c r="H248" i="47" a="1"/>
  <c r="H248" i="47" s="1"/>
  <c r="H247" i="47" a="1"/>
  <c r="H247" i="47" s="1"/>
  <c r="H243" i="47" a="1"/>
  <c r="H243" i="47" s="1"/>
  <c r="H225" i="47" a="1"/>
  <c r="H225" i="47" s="1"/>
  <c r="H221" i="47" a="1"/>
  <c r="H221" i="47" s="1"/>
  <c r="H211" i="47" a="1"/>
  <c r="H211" i="47" s="1"/>
  <c r="H207" i="47" a="1"/>
  <c r="H207" i="47" s="1"/>
  <c r="H250" i="47" a="1"/>
  <c r="H250" i="47" s="1"/>
  <c r="H237" i="47" a="1"/>
  <c r="H237" i="47" s="1"/>
  <c r="H231" i="47" a="1"/>
  <c r="H231" i="47" s="1"/>
  <c r="H226" i="47" a="1"/>
  <c r="H226" i="47" s="1"/>
  <c r="H224" i="47" a="1"/>
  <c r="H224" i="47" s="1"/>
  <c r="H223" i="47" a="1"/>
  <c r="H223" i="47" s="1"/>
  <c r="H222" i="47" a="1"/>
  <c r="H222" i="47" s="1"/>
  <c r="H215" i="47" a="1"/>
  <c r="H215" i="47" s="1"/>
  <c r="H244" i="47" a="1"/>
  <c r="H244" i="47" s="1"/>
  <c r="H238" i="47" a="1"/>
  <c r="H238" i="47" s="1"/>
  <c r="H232" i="47" a="1"/>
  <c r="H232" i="47" s="1"/>
  <c r="H216" i="47" a="1"/>
  <c r="H216" i="47" s="1"/>
  <c r="H212" i="47" a="1"/>
  <c r="H212" i="47" s="1"/>
  <c r="H208" i="47" a="1"/>
  <c r="H208" i="47" s="1"/>
  <c r="H203" i="47" a="1"/>
  <c r="H203" i="47" s="1"/>
  <c r="H199" i="47" a="1"/>
  <c r="H199" i="47" s="1"/>
  <c r="H233" i="47" a="1"/>
  <c r="H233" i="47" s="1"/>
  <c r="H227" i="47" a="1"/>
  <c r="H227" i="47" s="1"/>
  <c r="H217" i="47" a="1"/>
  <c r="H217" i="47" s="1"/>
  <c r="H245" i="47" a="1"/>
  <c r="H245" i="47" s="1"/>
  <c r="H239" i="47" a="1"/>
  <c r="H239" i="47" s="1"/>
  <c r="H234" i="47" a="1"/>
  <c r="H234" i="47" s="1"/>
  <c r="H228" i="47" a="1"/>
  <c r="H228" i="47" s="1"/>
  <c r="H194" i="47" a="1"/>
  <c r="H194" i="47" s="1"/>
  <c r="H190" i="47" a="1"/>
  <c r="H190" i="47" s="1"/>
  <c r="H183" i="47" a="1"/>
  <c r="H183" i="47" s="1"/>
  <c r="H123" i="47" a="1"/>
  <c r="H123" i="47" s="1"/>
  <c r="H117" i="47" a="1"/>
  <c r="H117" i="47" s="1"/>
  <c r="H102" i="47" a="1"/>
  <c r="H102" i="47" s="1"/>
  <c r="H84" i="47" a="1"/>
  <c r="H84" i="47" s="1"/>
  <c r="H155" i="47" a="1"/>
  <c r="H155" i="47" s="1"/>
  <c r="H164" i="47" a="1"/>
  <c r="H164" i="47" s="1"/>
  <c r="H55" i="47" a="1"/>
  <c r="H55" i="47" s="1"/>
  <c r="H47" i="47" a="1"/>
  <c r="H47" i="47" s="1"/>
  <c r="H82" i="47" a="1"/>
  <c r="H82" i="47" s="1"/>
  <c r="H205" i="47" a="1"/>
  <c r="H205" i="47" s="1"/>
  <c r="H200" i="47" a="1"/>
  <c r="H200" i="47" s="1"/>
  <c r="H180" i="47" a="1"/>
  <c r="H180" i="47" s="1"/>
  <c r="H178" i="47" a="1"/>
  <c r="H178" i="47" s="1"/>
  <c r="H146" i="47" a="1"/>
  <c r="H146" i="47" s="1"/>
  <c r="H145" i="47" a="1"/>
  <c r="H145" i="47" s="1"/>
  <c r="H139" i="47" a="1"/>
  <c r="H139" i="47" s="1"/>
  <c r="H138" i="47" a="1"/>
  <c r="H138" i="47" s="1"/>
  <c r="H137" i="47" a="1"/>
  <c r="H137" i="47" s="1"/>
  <c r="H133" i="47" a="1"/>
  <c r="H133" i="47" s="1"/>
  <c r="H129" i="47" a="1"/>
  <c r="H129" i="47" s="1"/>
  <c r="H128" i="47" a="1"/>
  <c r="H128" i="47" s="1"/>
  <c r="H122" i="47" a="1"/>
  <c r="H122" i="47" s="1"/>
  <c r="H121" i="47" a="1"/>
  <c r="H121" i="47" s="1"/>
  <c r="H113" i="47" a="1"/>
  <c r="H113" i="47" s="1"/>
  <c r="H191" i="47" a="1"/>
  <c r="H191" i="47" s="1"/>
  <c r="H184" i="47" a="1"/>
  <c r="H184" i="47" s="1"/>
  <c r="H179" i="47" a="1"/>
  <c r="H179" i="47" s="1"/>
  <c r="H143" i="47" a="1"/>
  <c r="H143" i="47" s="1"/>
  <c r="H140" i="47" a="1"/>
  <c r="H140" i="47" s="1"/>
  <c r="H130" i="47" a="1"/>
  <c r="H130" i="47" s="1"/>
  <c r="H124" i="47" a="1"/>
  <c r="H124" i="47" s="1"/>
  <c r="H118" i="47" a="1"/>
  <c r="H118" i="47" s="1"/>
  <c r="H114" i="47" a="1"/>
  <c r="H114" i="47" s="1"/>
  <c r="H108" i="47" a="1"/>
  <c r="H108" i="47" s="1"/>
  <c r="H103" i="47" a="1"/>
  <c r="H103" i="47" s="1"/>
  <c r="H99" i="47" a="1"/>
  <c r="H99" i="47" s="1"/>
  <c r="H94" i="47" a="1"/>
  <c r="H94" i="47" s="1"/>
  <c r="H93" i="47" a="1"/>
  <c r="H93" i="47" s="1"/>
  <c r="H167" i="47" a="1"/>
  <c r="H167" i="47" s="1"/>
  <c r="H85" i="47" a="1"/>
  <c r="H85" i="47" s="1"/>
  <c r="H22" i="47" a="1"/>
  <c r="H22" i="47" s="1"/>
  <c r="H175" i="47" a="1"/>
  <c r="H175" i="47" s="1"/>
  <c r="H156" i="47" a="1"/>
  <c r="H156" i="47" s="1"/>
  <c r="H161" i="47" a="1"/>
  <c r="H161" i="47" s="1"/>
  <c r="H152" i="47" a="1"/>
  <c r="H152" i="47" s="1"/>
  <c r="H67" i="47" a="1"/>
  <c r="H67" i="47" s="1"/>
  <c r="H62" i="47" a="1"/>
  <c r="H62" i="47" s="1"/>
  <c r="H56" i="47" a="1"/>
  <c r="H56" i="47" s="1"/>
  <c r="H51" i="47" a="1"/>
  <c r="H51" i="47" s="1"/>
  <c r="H50" i="47" a="1"/>
  <c r="H50" i="47" s="1"/>
  <c r="H210" i="47" a="1"/>
  <c r="H210" i="47" s="1"/>
  <c r="H201" i="47" a="1"/>
  <c r="H201" i="47" s="1"/>
  <c r="H198" i="47" a="1"/>
  <c r="H198" i="47" s="1"/>
  <c r="H195" i="47" a="1"/>
  <c r="H195" i="47" s="1"/>
  <c r="H188" i="47" a="1"/>
  <c r="H188" i="47" s="1"/>
  <c r="H187" i="47" a="1"/>
  <c r="H187" i="47" s="1"/>
  <c r="H185" i="47" a="1"/>
  <c r="H185" i="47" s="1"/>
  <c r="H181" i="47" a="1"/>
  <c r="H181" i="47" s="1"/>
  <c r="H142" i="47" a="1"/>
  <c r="H142" i="47" s="1"/>
  <c r="H141" i="47" a="1"/>
  <c r="H141" i="47" s="1"/>
  <c r="H98" i="47" a="1"/>
  <c r="H98" i="47" s="1"/>
  <c r="H97" i="47" a="1"/>
  <c r="H97" i="47" s="1"/>
  <c r="H96" i="47" a="1"/>
  <c r="H96" i="47" s="1"/>
  <c r="H95" i="47" a="1"/>
  <c r="H95" i="47" s="1"/>
  <c r="H89" i="47" a="1"/>
  <c r="H89" i="47" s="1"/>
  <c r="H168" i="47" a="1"/>
  <c r="H168" i="47" s="1"/>
  <c r="H87" i="47" a="1"/>
  <c r="H87" i="47" s="1"/>
  <c r="H86" i="47" a="1"/>
  <c r="H86" i="47" s="1"/>
  <c r="H157" i="47" a="1"/>
  <c r="H157" i="47" s="1"/>
  <c r="H218" i="47" a="1"/>
  <c r="H218" i="47" s="1"/>
  <c r="H214" i="47" a="1"/>
  <c r="H214" i="47" s="1"/>
  <c r="H206" i="47" a="1"/>
  <c r="H206" i="47" s="1"/>
  <c r="H192" i="47" a="1"/>
  <c r="H192" i="47" s="1"/>
  <c r="H186" i="47" a="1"/>
  <c r="H186" i="47" s="1"/>
  <c r="H147" i="47" a="1"/>
  <c r="H147" i="47" s="1"/>
  <c r="H134" i="47" a="1"/>
  <c r="H134" i="47" s="1"/>
  <c r="H125" i="47" a="1"/>
  <c r="H125" i="47" s="1"/>
  <c r="H119" i="47" a="1"/>
  <c r="H119" i="47" s="1"/>
  <c r="H115" i="47" a="1"/>
  <c r="H115" i="47" s="1"/>
  <c r="H110" i="47" a="1"/>
  <c r="H110" i="47" s="1"/>
  <c r="H90" i="47" a="1"/>
  <c r="H90" i="47" s="1"/>
  <c r="H169" i="47" a="1"/>
  <c r="H169" i="47" s="1"/>
  <c r="H88" i="47" a="1"/>
  <c r="H88" i="47" s="1"/>
  <c r="H176" i="47" a="1"/>
  <c r="H176" i="47" s="1"/>
  <c r="H165" i="47" a="1"/>
  <c r="H165" i="47" s="1"/>
  <c r="H162" i="47" a="1"/>
  <c r="H162" i="47" s="1"/>
  <c r="H33" i="47" a="1"/>
  <c r="H33" i="47" s="1"/>
  <c r="H72" i="47" a="1"/>
  <c r="H72" i="47" s="1"/>
  <c r="H69" i="47" a="1"/>
  <c r="H69" i="47" s="1"/>
  <c r="H57" i="47" a="1"/>
  <c r="H57" i="47" s="1"/>
  <c r="H53" i="47" a="1"/>
  <c r="H53" i="47" s="1"/>
  <c r="H196" i="47" a="1"/>
  <c r="H196" i="47" s="1"/>
  <c r="H189" i="47" a="1"/>
  <c r="H189" i="47" s="1"/>
  <c r="H144" i="47" a="1"/>
  <c r="H144" i="47" s="1"/>
  <c r="H131" i="47" a="1"/>
  <c r="H131" i="47" s="1"/>
  <c r="H126" i="47" a="1"/>
  <c r="H126" i="47" s="1"/>
  <c r="H111" i="47" a="1"/>
  <c r="H111" i="47" s="1"/>
  <c r="H106" i="47" a="1"/>
  <c r="H106" i="47" s="1"/>
  <c r="H104" i="47" a="1"/>
  <c r="H104" i="47" s="1"/>
  <c r="H100" i="47" a="1"/>
  <c r="H100" i="47" s="1"/>
  <c r="H91" i="47" a="1"/>
  <c r="H91" i="47" s="1"/>
  <c r="H83" i="47" a="1"/>
  <c r="H83" i="47" s="1"/>
  <c r="H177" i="47" a="1"/>
  <c r="H177" i="47" s="1"/>
  <c r="H154" i="47" a="1"/>
  <c r="H154" i="47" s="1"/>
  <c r="H166" i="47" a="1"/>
  <c r="H166" i="47" s="1"/>
  <c r="H34" i="47" a="1"/>
  <c r="H34" i="47" s="1"/>
  <c r="H70" i="47" a="1"/>
  <c r="H70" i="47" s="1"/>
  <c r="H64" i="47" a="1"/>
  <c r="H64" i="47" s="1"/>
  <c r="H182" i="47" a="1"/>
  <c r="H182" i="47" s="1"/>
  <c r="H135" i="47" a="1"/>
  <c r="H135" i="47" s="1"/>
  <c r="H127" i="47" a="1"/>
  <c r="H127" i="47" s="1"/>
  <c r="H116" i="47" a="1"/>
  <c r="H116" i="47" s="1"/>
  <c r="H109" i="47" a="1"/>
  <c r="H109" i="47" s="1"/>
  <c r="H105" i="47" a="1"/>
  <c r="H105" i="47" s="1"/>
  <c r="H163" i="47" a="1"/>
  <c r="H163" i="47" s="1"/>
  <c r="H71" i="47" a="1"/>
  <c r="H71" i="47" s="1"/>
  <c r="H59" i="47" a="1"/>
  <c r="H59" i="47" s="1"/>
  <c r="H58" i="47" a="1"/>
  <c r="H58" i="47" s="1"/>
  <c r="H80" i="47" a="1"/>
  <c r="H80" i="47" s="1"/>
  <c r="H202" i="47" a="1"/>
  <c r="H202" i="47" s="1"/>
  <c r="H197" i="47" a="1"/>
  <c r="H197" i="47" s="1"/>
  <c r="H193" i="47" a="1"/>
  <c r="H193" i="47" s="1"/>
  <c r="H148" i="47" a="1"/>
  <c r="H148" i="47" s="1"/>
  <c r="H136" i="47" a="1"/>
  <c r="H136" i="47" s="1"/>
  <c r="H132" i="47" a="1"/>
  <c r="H132" i="47" s="1"/>
  <c r="H120" i="47" a="1"/>
  <c r="H120" i="47" s="1"/>
  <c r="H112" i="47" a="1"/>
  <c r="H112" i="47" s="1"/>
  <c r="H107" i="47" a="1"/>
  <c r="H107" i="47" s="1"/>
  <c r="H101" i="47" a="1"/>
  <c r="H101" i="47" s="1"/>
  <c r="H92" i="47" a="1"/>
  <c r="H92" i="47" s="1"/>
  <c r="H158" i="47" a="1"/>
  <c r="H158" i="47" s="1"/>
  <c r="H151" i="47" a="1"/>
  <c r="H151" i="47" s="1"/>
  <c r="H66" i="47" a="1"/>
  <c r="H66" i="47" s="1"/>
  <c r="H65" i="47" a="1"/>
  <c r="H65" i="47" s="1"/>
  <c r="H60" i="47" a="1"/>
  <c r="H60" i="47" s="1"/>
  <c r="H54" i="47" a="1"/>
  <c r="H54" i="47" s="1"/>
  <c r="H48" i="47" a="1"/>
  <c r="H48" i="47" s="1"/>
  <c r="H68" i="47" a="1"/>
  <c r="H68" i="47" s="1"/>
  <c r="H49" i="47" a="1"/>
  <c r="H49" i="47" s="1"/>
  <c r="H28" i="47" a="1"/>
  <c r="H28" i="47" s="1"/>
  <c r="H27" i="47" a="1"/>
  <c r="H27" i="47" s="1"/>
  <c r="H36" i="47" a="1"/>
  <c r="H36" i="47" s="1"/>
  <c r="H35" i="47" a="1"/>
  <c r="H35" i="47" s="1"/>
  <c r="H78" i="47" a="1"/>
  <c r="H78" i="47" s="1"/>
  <c r="H234" i="46" a="1"/>
  <c r="H234" i="46" s="1"/>
  <c r="H225" i="46" a="1"/>
  <c r="H225" i="46" s="1"/>
  <c r="H208" i="46" a="1"/>
  <c r="H208" i="46" s="1"/>
  <c r="H197" i="46" a="1"/>
  <c r="H197" i="46" s="1"/>
  <c r="H195" i="46" a="1"/>
  <c r="H195" i="46" s="1"/>
  <c r="H183" i="46" a="1"/>
  <c r="H183" i="46" s="1"/>
  <c r="H145" i="46" a="1"/>
  <c r="H145" i="46" s="1"/>
  <c r="H128" i="46" a="1"/>
  <c r="H128" i="46" s="1"/>
  <c r="H113" i="46" a="1"/>
  <c r="H113" i="46" s="1"/>
  <c r="H63" i="47" a="1"/>
  <c r="H63" i="47" s="1"/>
  <c r="H42" i="47" a="1"/>
  <c r="H42" i="47" s="1"/>
  <c r="H30" i="47" a="1"/>
  <c r="H30" i="47" s="1"/>
  <c r="H29" i="47" a="1"/>
  <c r="H29" i="47" s="1"/>
  <c r="H24" i="47" a="1"/>
  <c r="H24" i="47" s="1"/>
  <c r="H170" i="47" a="1"/>
  <c r="H170" i="47" s="1"/>
  <c r="H15" i="47" a="1"/>
  <c r="H15" i="47" s="1"/>
  <c r="H249" i="46" a="1"/>
  <c r="H249" i="46" s="1"/>
  <c r="H248" i="46" a="1"/>
  <c r="H248" i="46" s="1"/>
  <c r="H244" i="46" a="1"/>
  <c r="H244" i="46" s="1"/>
  <c r="H239" i="46" a="1"/>
  <c r="H239" i="46" s="1"/>
  <c r="H235" i="46" a="1"/>
  <c r="H235" i="46" s="1"/>
  <c r="H230" i="46" a="1"/>
  <c r="H230" i="46" s="1"/>
  <c r="H220" i="46" a="1"/>
  <c r="H220" i="46" s="1"/>
  <c r="H215" i="46" a="1"/>
  <c r="H215" i="46" s="1"/>
  <c r="H209" i="46" a="1"/>
  <c r="H209" i="46" s="1"/>
  <c r="H204" i="46" a="1"/>
  <c r="H204" i="46" s="1"/>
  <c r="H198" i="46" a="1"/>
  <c r="H198" i="46" s="1"/>
  <c r="H191" i="46" a="1"/>
  <c r="H191" i="46" s="1"/>
  <c r="H180" i="46" a="1"/>
  <c r="H180" i="46" s="1"/>
  <c r="H147" i="46" a="1"/>
  <c r="H147" i="46" s="1"/>
  <c r="H146" i="46" a="1"/>
  <c r="H146" i="46" s="1"/>
  <c r="H143" i="46" a="1"/>
  <c r="H143" i="46" s="1"/>
  <c r="H134" i="46" a="1"/>
  <c r="H134" i="46" s="1"/>
  <c r="H133" i="46" a="1"/>
  <c r="H133" i="46" s="1"/>
  <c r="H32" i="47" a="1"/>
  <c r="H32" i="47" s="1"/>
  <c r="H52" i="47" a="1"/>
  <c r="H52" i="47" s="1"/>
  <c r="H43" i="47" a="1"/>
  <c r="H43" i="47" s="1"/>
  <c r="H31" i="47" a="1"/>
  <c r="H31" i="47" s="1"/>
  <c r="H16" i="47" a="1"/>
  <c r="H16" i="47" s="1"/>
  <c r="H75" i="47" a="1"/>
  <c r="H75" i="47" s="1"/>
  <c r="H74" i="47" a="1"/>
  <c r="H74" i="47" s="1"/>
  <c r="H226" i="46" a="1"/>
  <c r="H226" i="46" s="1"/>
  <c r="H221" i="46" a="1"/>
  <c r="H221" i="46" s="1"/>
  <c r="H192" i="46" a="1"/>
  <c r="H192" i="46" s="1"/>
  <c r="H148" i="46" a="1"/>
  <c r="H148" i="46" s="1"/>
  <c r="H144" i="46" a="1"/>
  <c r="H144" i="46" s="1"/>
  <c r="H138" i="46" a="1"/>
  <c r="H138" i="46" s="1"/>
  <c r="H129" i="46" a="1"/>
  <c r="H129" i="46" s="1"/>
  <c r="H153" i="47" a="1"/>
  <c r="H153" i="47" s="1"/>
  <c r="H81" i="47" a="1"/>
  <c r="H81" i="47" s="1"/>
  <c r="H159" i="47" a="1"/>
  <c r="H159" i="47" s="1"/>
  <c r="H37" i="47" a="1"/>
  <c r="H37" i="47" s="1"/>
  <c r="H171" i="47" a="1"/>
  <c r="H171" i="47" s="1"/>
  <c r="H250" i="46" a="1"/>
  <c r="H250" i="46" s="1"/>
  <c r="H245" i="46" a="1"/>
  <c r="H245" i="46" s="1"/>
  <c r="H240" i="46" a="1"/>
  <c r="H240" i="46" s="1"/>
  <c r="H236" i="46" a="1"/>
  <c r="H236" i="46" s="1"/>
  <c r="H231" i="46" a="1"/>
  <c r="H231" i="46" s="1"/>
  <c r="H227" i="46" a="1"/>
  <c r="H227" i="46" s="1"/>
  <c r="H222" i="46" a="1"/>
  <c r="H222" i="46" s="1"/>
  <c r="H216" i="46" a="1"/>
  <c r="H216" i="46" s="1"/>
  <c r="H210" i="46" a="1"/>
  <c r="H210" i="46" s="1"/>
  <c r="H205" i="46" a="1"/>
  <c r="H205" i="46" s="1"/>
  <c r="H199" i="46" a="1"/>
  <c r="H199" i="46" s="1"/>
  <c r="H189" i="46" a="1"/>
  <c r="H189" i="46" s="1"/>
  <c r="H186" i="46" a="1"/>
  <c r="H186" i="46" s="1"/>
  <c r="H184" i="46" a="1"/>
  <c r="H184" i="46" s="1"/>
  <c r="H181" i="46" a="1"/>
  <c r="H181" i="46" s="1"/>
  <c r="H178" i="46" a="1"/>
  <c r="H178" i="46" s="1"/>
  <c r="H141" i="46" a="1"/>
  <c r="H141" i="46" s="1"/>
  <c r="H135" i="46" a="1"/>
  <c r="H135" i="46" s="1"/>
  <c r="H124" i="46" a="1"/>
  <c r="H124" i="46" s="1"/>
  <c r="H123" i="46" a="1"/>
  <c r="H123" i="46" s="1"/>
  <c r="H160" i="47" a="1"/>
  <c r="H160" i="47" s="1"/>
  <c r="H38" i="47" a="1"/>
  <c r="H38" i="47" s="1"/>
  <c r="H25" i="47" a="1"/>
  <c r="H25" i="47" s="1"/>
  <c r="H23" i="47" a="1"/>
  <c r="H23" i="47" s="1"/>
  <c r="H17" i="47" a="1"/>
  <c r="H17" i="47" s="1"/>
  <c r="H241" i="46" a="1"/>
  <c r="H241" i="46" s="1"/>
  <c r="H217" i="46" a="1"/>
  <c r="H217" i="46" s="1"/>
  <c r="H211" i="46" a="1"/>
  <c r="H211" i="46" s="1"/>
  <c r="H201" i="46" a="1"/>
  <c r="H201" i="46" s="1"/>
  <c r="H200" i="46" a="1"/>
  <c r="H200" i="46" s="1"/>
  <c r="H193" i="46" a="1"/>
  <c r="H193" i="46" s="1"/>
  <c r="H188" i="46" a="1"/>
  <c r="H188" i="46" s="1"/>
  <c r="H185" i="46" a="1"/>
  <c r="H185" i="46" s="1"/>
  <c r="H139" i="46" a="1"/>
  <c r="H139" i="46" s="1"/>
  <c r="H130" i="46" a="1"/>
  <c r="H130" i="46" s="1"/>
  <c r="H126" i="46" a="1"/>
  <c r="H126" i="46" s="1"/>
  <c r="H125" i="46" a="1"/>
  <c r="H125" i="46" s="1"/>
  <c r="H119" i="46" a="1"/>
  <c r="H119" i="46" s="1"/>
  <c r="H44" i="47" a="1"/>
  <c r="H44" i="47" s="1"/>
  <c r="H173" i="47" a="1"/>
  <c r="H173" i="47" s="1"/>
  <c r="H18" i="47" a="1"/>
  <c r="H18" i="47" s="1"/>
  <c r="H76" i="47" a="1"/>
  <c r="H76" i="47" s="1"/>
  <c r="H246" i="46" a="1"/>
  <c r="H246" i="46" s="1"/>
  <c r="H237" i="46" a="1"/>
  <c r="H237" i="46" s="1"/>
  <c r="H232" i="46" a="1"/>
  <c r="H232" i="46" s="1"/>
  <c r="H228" i="46" a="1"/>
  <c r="H228" i="46" s="1"/>
  <c r="H223" i="46" a="1"/>
  <c r="H223" i="46" s="1"/>
  <c r="H212" i="46" a="1"/>
  <c r="H212" i="46" s="1"/>
  <c r="H206" i="46" a="1"/>
  <c r="H206" i="46" s="1"/>
  <c r="H202" i="46" a="1"/>
  <c r="H202" i="46" s="1"/>
  <c r="H190" i="46" a="1"/>
  <c r="H190" i="46" s="1"/>
  <c r="H187" i="46" a="1"/>
  <c r="H187" i="46" s="1"/>
  <c r="H142" i="46" a="1"/>
  <c r="H142" i="46" s="1"/>
  <c r="H127" i="46" a="1"/>
  <c r="H127" i="46" s="1"/>
  <c r="H116" i="46" a="1"/>
  <c r="H116" i="46" s="1"/>
  <c r="H61" i="47" a="1"/>
  <c r="H61" i="47" s="1"/>
  <c r="H79" i="47" a="1"/>
  <c r="H79" i="47" s="1"/>
  <c r="H45" i="47" a="1"/>
  <c r="H45" i="47" s="1"/>
  <c r="H174" i="47" a="1"/>
  <c r="H174" i="47" s="1"/>
  <c r="H40" i="47" a="1"/>
  <c r="H40" i="47" s="1"/>
  <c r="H39" i="47" a="1"/>
  <c r="H39" i="47" s="1"/>
  <c r="H26" i="47" a="1"/>
  <c r="H26" i="47" s="1"/>
  <c r="H21" i="47" a="1"/>
  <c r="H21" i="47" s="1"/>
  <c r="H19" i="47" a="1"/>
  <c r="H19" i="47" s="1"/>
  <c r="H14" i="47" a="1"/>
  <c r="H14" i="47" s="1"/>
  <c r="H150" i="47" a="1"/>
  <c r="H150" i="47" s="1"/>
  <c r="H242" i="46" a="1"/>
  <c r="H242" i="46" s="1"/>
  <c r="H233" i="46" a="1"/>
  <c r="H233" i="46" s="1"/>
  <c r="H218" i="46" a="1"/>
  <c r="H218" i="46" s="1"/>
  <c r="H213" i="46" a="1"/>
  <c r="H213" i="46" s="1"/>
  <c r="H207" i="46" a="1"/>
  <c r="H207" i="46" s="1"/>
  <c r="H196" i="46" a="1"/>
  <c r="H196" i="46" s="1"/>
  <c r="H194" i="46" a="1"/>
  <c r="H194" i="46" s="1"/>
  <c r="H182" i="46" a="1"/>
  <c r="H182" i="46" s="1"/>
  <c r="H179" i="46" a="1"/>
  <c r="H179" i="46" s="1"/>
  <c r="H136" i="46" a="1"/>
  <c r="H136" i="46" s="1"/>
  <c r="H131" i="46" a="1"/>
  <c r="H131" i="46" s="1"/>
  <c r="H110" i="46" a="1"/>
  <c r="H110" i="46" s="1"/>
  <c r="H46" i="47" a="1"/>
  <c r="H46" i="47" s="1"/>
  <c r="H41" i="47" a="1"/>
  <c r="H41" i="47" s="1"/>
  <c r="H77" i="47" a="1"/>
  <c r="H77" i="47" s="1"/>
  <c r="H20" i="47" a="1"/>
  <c r="H20" i="47" s="1"/>
  <c r="H172" i="47" a="1"/>
  <c r="H172" i="47" s="1"/>
  <c r="H73" i="47" a="1"/>
  <c r="H73" i="47" s="1"/>
  <c r="H247" i="46" a="1"/>
  <c r="H247" i="46" s="1"/>
  <c r="H243" i="46" a="1"/>
  <c r="H243" i="46" s="1"/>
  <c r="H238" i="46" a="1"/>
  <c r="H238" i="46" s="1"/>
  <c r="H229" i="46" a="1"/>
  <c r="H229" i="46" s="1"/>
  <c r="H224" i="46" a="1"/>
  <c r="H224" i="46" s="1"/>
  <c r="H219" i="46" a="1"/>
  <c r="H219" i="46" s="1"/>
  <c r="H214" i="46" a="1"/>
  <c r="H214" i="46" s="1"/>
  <c r="H203" i="46" a="1"/>
  <c r="H203" i="46" s="1"/>
  <c r="H140" i="46" a="1"/>
  <c r="H140" i="46" s="1"/>
  <c r="H137" i="46" a="1"/>
  <c r="H137" i="46" s="1"/>
  <c r="H132" i="46" a="1"/>
  <c r="H132" i="46" s="1"/>
  <c r="H120" i="46" a="1"/>
  <c r="H120" i="46" s="1"/>
  <c r="H117" i="46" a="1"/>
  <c r="H117" i="46" s="1"/>
  <c r="H107" i="46" a="1"/>
  <c r="H107" i="46" s="1"/>
  <c r="H91" i="46" a="1"/>
  <c r="H91" i="46" s="1"/>
  <c r="H86" i="46" a="1"/>
  <c r="H86" i="46" s="1"/>
  <c r="H151" i="46" a="1"/>
  <c r="H151" i="46" s="1"/>
  <c r="H33" i="46" a="1"/>
  <c r="H33" i="46" s="1"/>
  <c r="H68" i="46" a="1"/>
  <c r="H68" i="46" s="1"/>
  <c r="H67" i="46" a="1"/>
  <c r="H67" i="46" s="1"/>
  <c r="H62" i="46" a="1"/>
  <c r="H62" i="46" s="1"/>
  <c r="H56" i="46" a="1"/>
  <c r="H56" i="46" s="1"/>
  <c r="H82" i="46" a="1"/>
  <c r="H82" i="46" s="1"/>
  <c r="H81" i="46" a="1"/>
  <c r="H81" i="46" s="1"/>
  <c r="H45" i="46" a="1"/>
  <c r="H45" i="46" s="1"/>
  <c r="H29" i="46" a="1"/>
  <c r="H29" i="46" s="1"/>
  <c r="H24" i="46" a="1"/>
  <c r="H24" i="46" s="1"/>
  <c r="H78" i="46" a="1"/>
  <c r="H78" i="46" s="1"/>
  <c r="H172" i="46" a="1"/>
  <c r="H172" i="46" s="1"/>
  <c r="H15" i="46" a="1"/>
  <c r="H15" i="46" s="1"/>
  <c r="H121" i="46" a="1"/>
  <c r="H121" i="46" s="1"/>
  <c r="H103" i="46" a="1"/>
  <c r="H103" i="46" s="1"/>
  <c r="H83" i="46" a="1"/>
  <c r="H83" i="46" s="1"/>
  <c r="H165" i="46" a="1"/>
  <c r="H165" i="46" s="1"/>
  <c r="H163" i="46" a="1"/>
  <c r="H163" i="46" s="1"/>
  <c r="H72" i="46" a="1"/>
  <c r="H72" i="46" s="1"/>
  <c r="H69" i="46" a="1"/>
  <c r="H69" i="46" s="1"/>
  <c r="H53" i="46" a="1"/>
  <c r="H53" i="46" s="1"/>
  <c r="H48" i="46" a="1"/>
  <c r="H48" i="46" s="1"/>
  <c r="H41" i="46" a="1"/>
  <c r="H41" i="46" s="1"/>
  <c r="H30" i="46" a="1"/>
  <c r="H30" i="46" s="1"/>
  <c r="H28" i="46" a="1"/>
  <c r="H28" i="46" s="1"/>
  <c r="H25" i="46" a="1"/>
  <c r="H25" i="46" s="1"/>
  <c r="H19" i="46" a="1"/>
  <c r="H19" i="46" s="1"/>
  <c r="H16" i="46" a="1"/>
  <c r="H16" i="46" s="1"/>
  <c r="H170" i="46" a="1"/>
  <c r="H170" i="46" s="1"/>
  <c r="H74" i="46" a="1"/>
  <c r="H74" i="46" s="1"/>
  <c r="H112" i="46" a="1"/>
  <c r="H112" i="46" s="1"/>
  <c r="H108" i="46" a="1"/>
  <c r="H108" i="46" s="1"/>
  <c r="H155" i="46" a="1"/>
  <c r="H155" i="46" s="1"/>
  <c r="H164" i="46" a="1"/>
  <c r="H164" i="46" s="1"/>
  <c r="H152" i="46" a="1"/>
  <c r="H152" i="46" s="1"/>
  <c r="H54" i="46" a="1"/>
  <c r="H54" i="46" s="1"/>
  <c r="H50" i="46" a="1"/>
  <c r="H50" i="46" s="1"/>
  <c r="H49" i="46" a="1"/>
  <c r="H49" i="46" s="1"/>
  <c r="H46" i="46" a="1"/>
  <c r="H46" i="46" s="1"/>
  <c r="H160" i="46" a="1"/>
  <c r="H160" i="46" s="1"/>
  <c r="H27" i="46" a="1"/>
  <c r="H27" i="46" s="1"/>
  <c r="H35" i="46" a="1"/>
  <c r="H35" i="46" s="1"/>
  <c r="H26" i="46" a="1"/>
  <c r="H26" i="46" s="1"/>
  <c r="H20" i="46" a="1"/>
  <c r="H20" i="46" s="1"/>
  <c r="H75" i="46" a="1"/>
  <c r="H75" i="46" s="1"/>
  <c r="H168" i="46" a="1"/>
  <c r="H168" i="46" s="1"/>
  <c r="H87" i="46" a="1"/>
  <c r="H87" i="46" s="1"/>
  <c r="H84" i="46" a="1"/>
  <c r="H84" i="46" s="1"/>
  <c r="H177" i="46" a="1"/>
  <c r="H177" i="46" s="1"/>
  <c r="H70" i="46" a="1"/>
  <c r="H70" i="46" s="1"/>
  <c r="H63" i="46" a="1"/>
  <c r="H63" i="46" s="1"/>
  <c r="H57" i="46" a="1"/>
  <c r="H57" i="46" s="1"/>
  <c r="H51" i="46" a="1"/>
  <c r="H51" i="46" s="1"/>
  <c r="H43" i="46" a="1"/>
  <c r="H43" i="46" s="1"/>
  <c r="H42" i="46" a="1"/>
  <c r="H42" i="46" s="1"/>
  <c r="H39" i="46" a="1"/>
  <c r="H39" i="46" s="1"/>
  <c r="H23" i="46" a="1"/>
  <c r="H23" i="46" s="1"/>
  <c r="H76" i="46" a="1"/>
  <c r="H76" i="46" s="1"/>
  <c r="H118" i="46" a="1"/>
  <c r="H118" i="46" s="1"/>
  <c r="H109" i="46" a="1"/>
  <c r="H109" i="46" s="1"/>
  <c r="H92" i="46" a="1"/>
  <c r="H92" i="46" s="1"/>
  <c r="H89" i="46" a="1"/>
  <c r="H89" i="46" s="1"/>
  <c r="H169" i="46" a="1"/>
  <c r="H169" i="46" s="1"/>
  <c r="H158" i="46" a="1"/>
  <c r="H158" i="46" s="1"/>
  <c r="H176" i="46" a="1"/>
  <c r="H176" i="46" s="1"/>
  <c r="H175" i="46" a="1"/>
  <c r="H175" i="46" s="1"/>
  <c r="H157" i="46" a="1"/>
  <c r="H157" i="46" s="1"/>
  <c r="H156" i="46" a="1"/>
  <c r="H156" i="46" s="1"/>
  <c r="H166" i="46" a="1"/>
  <c r="H166" i="46" s="1"/>
  <c r="H153" i="46" a="1"/>
  <c r="H153" i="46" s="1"/>
  <c r="H79" i="46" a="1"/>
  <c r="H79" i="46" s="1"/>
  <c r="H44" i="46" a="1"/>
  <c r="H44" i="46" s="1"/>
  <c r="H173" i="46" a="1"/>
  <c r="H173" i="46" s="1"/>
  <c r="H31" i="46" a="1"/>
  <c r="H31" i="46" s="1"/>
  <c r="H40" i="46" a="1"/>
  <c r="H40" i="46" s="1"/>
  <c r="H36" i="46" a="1"/>
  <c r="H36" i="46" s="1"/>
  <c r="H21" i="46" a="1"/>
  <c r="H21" i="46" s="1"/>
  <c r="H171" i="46" a="1"/>
  <c r="H171" i="46" s="1"/>
  <c r="H122" i="46" a="1"/>
  <c r="H122" i="46" s="1"/>
  <c r="H114" i="46" a="1"/>
  <c r="H114" i="46" s="1"/>
  <c r="H104" i="46" a="1"/>
  <c r="H104" i="46" s="1"/>
  <c r="H101" i="46" a="1"/>
  <c r="H101" i="46" s="1"/>
  <c r="H99" i="46" a="1"/>
  <c r="H99" i="46" s="1"/>
  <c r="H94" i="46" a="1"/>
  <c r="H94" i="46" s="1"/>
  <c r="H93" i="46" a="1"/>
  <c r="H93" i="46" s="1"/>
  <c r="H90" i="46" a="1"/>
  <c r="H90" i="46" s="1"/>
  <c r="H167" i="46" a="1"/>
  <c r="H167" i="46" s="1"/>
  <c r="H88" i="46" a="1"/>
  <c r="H88" i="46" s="1"/>
  <c r="H85" i="46" a="1"/>
  <c r="H85" i="46" s="1"/>
  <c r="H22" i="46" a="1"/>
  <c r="H22" i="46" s="1"/>
  <c r="H161" i="46" a="1"/>
  <c r="H161" i="46" s="1"/>
  <c r="H71" i="46" a="1"/>
  <c r="H71" i="46" s="1"/>
  <c r="H58" i="46" a="1"/>
  <c r="H58" i="46" s="1"/>
  <c r="H55" i="46" a="1"/>
  <c r="H55" i="46" s="1"/>
  <c r="H52" i="46" a="1"/>
  <c r="H52" i="46" s="1"/>
  <c r="H18" i="46" a="1"/>
  <c r="H18" i="46" s="1"/>
  <c r="H17" i="46" a="1"/>
  <c r="H17" i="46" s="1"/>
  <c r="H14" i="46" a="1"/>
  <c r="H14" i="46" s="1"/>
  <c r="H150" i="46" a="1"/>
  <c r="H150" i="46" s="1"/>
  <c r="H115" i="46" a="1"/>
  <c r="H115" i="46" s="1"/>
  <c r="H111" i="46" a="1"/>
  <c r="H111" i="46" s="1"/>
  <c r="H100" i="46" a="1"/>
  <c r="H100" i="46" s="1"/>
  <c r="H98" i="46" a="1"/>
  <c r="H98" i="46" s="1"/>
  <c r="H154" i="46" a="1"/>
  <c r="H154" i="46" s="1"/>
  <c r="H162" i="46" a="1"/>
  <c r="H162" i="46" s="1"/>
  <c r="H66" i="46" a="1"/>
  <c r="H66" i="46" s="1"/>
  <c r="H64" i="46" a="1"/>
  <c r="H64" i="46" s="1"/>
  <c r="H60" i="46" a="1"/>
  <c r="H60" i="46" s="1"/>
  <c r="H59" i="46" a="1"/>
  <c r="H59" i="46" s="1"/>
  <c r="H80" i="46" a="1"/>
  <c r="H80" i="46" s="1"/>
  <c r="H37" i="46" a="1"/>
  <c r="H37" i="46" s="1"/>
  <c r="H106" i="46" a="1"/>
  <c r="H106" i="46" s="1"/>
  <c r="H105" i="46" a="1"/>
  <c r="H105" i="46" s="1"/>
  <c r="H102" i="46" a="1"/>
  <c r="H102" i="46" s="1"/>
  <c r="H97" i="46" a="1"/>
  <c r="H97" i="46" s="1"/>
  <c r="H96" i="46" a="1"/>
  <c r="H96" i="46" s="1"/>
  <c r="H95" i="46" a="1"/>
  <c r="H95" i="46" s="1"/>
  <c r="H34" i="46" a="1"/>
  <c r="H34" i="46" s="1"/>
  <c r="H65" i="46" a="1"/>
  <c r="H65" i="46" s="1"/>
  <c r="H32" i="46" a="1"/>
  <c r="H32" i="46" s="1"/>
  <c r="H61" i="46" a="1"/>
  <c r="H61" i="46" s="1"/>
  <c r="H47" i="46" a="1"/>
  <c r="H47" i="46" s="1"/>
  <c r="H174" i="46" a="1"/>
  <c r="H174" i="46" s="1"/>
  <c r="H159" i="46" a="1"/>
  <c r="H159" i="46" s="1"/>
  <c r="H38" i="46" a="1"/>
  <c r="H38" i="46" s="1"/>
  <c r="H77" i="46" a="1"/>
  <c r="H77" i="46" s="1"/>
  <c r="H73" i="46" a="1"/>
  <c r="H73" i="46" s="1"/>
  <c r="H75" i="7" a="1"/>
  <c r="H75" i="7" s="1"/>
  <c r="H171" i="7" a="1"/>
  <c r="H171" i="7" s="1"/>
  <c r="H35" i="7" a="1"/>
  <c r="H35" i="7" s="1"/>
  <c r="H27" i="7" a="1"/>
  <c r="H27" i="7" s="1"/>
  <c r="H173" i="7" a="1"/>
  <c r="H173" i="7" s="1"/>
  <c r="H45" i="7" a="1"/>
  <c r="H45" i="7" s="1"/>
  <c r="H54" i="7" a="1"/>
  <c r="H54" i="7" s="1"/>
  <c r="H60" i="7" a="1"/>
  <c r="H60" i="7" s="1"/>
  <c r="H66" i="7" a="1"/>
  <c r="H66" i="7" s="1"/>
  <c r="H72" i="7" a="1"/>
  <c r="H72" i="7" s="1"/>
  <c r="H155" i="7" a="1"/>
  <c r="H155" i="7" s="1"/>
  <c r="H158" i="7" a="1"/>
  <c r="H158" i="7" s="1"/>
  <c r="H88" i="7" a="1"/>
  <c r="H88" i="7" s="1"/>
  <c r="H91" i="7" a="1"/>
  <c r="H91" i="7" s="1"/>
  <c r="H104" i="7" a="1"/>
  <c r="H104" i="7" s="1"/>
  <c r="H110" i="7" a="1"/>
  <c r="H110" i="7" s="1"/>
  <c r="H117" i="7" a="1"/>
  <c r="H117" i="7" s="1"/>
  <c r="H123" i="7" a="1"/>
  <c r="H123" i="7" s="1"/>
  <c r="H136" i="7" a="1"/>
  <c r="H136" i="7" s="1"/>
  <c r="H142" i="7" a="1"/>
  <c r="H142" i="7" s="1"/>
  <c r="H178" i="7" a="1"/>
  <c r="H178" i="7" s="1"/>
  <c r="H17" i="7" a="1"/>
  <c r="H17" i="7" s="1"/>
  <c r="H21" i="7" a="1"/>
  <c r="H21" i="7" s="1"/>
  <c r="H36" i="7" a="1"/>
  <c r="H36" i="7" s="1"/>
  <c r="H28" i="7" a="1"/>
  <c r="H28" i="7" s="1"/>
  <c r="H46" i="7" a="1"/>
  <c r="H46" i="7" s="1"/>
  <c r="H48" i="7" a="1"/>
  <c r="H48" i="7" s="1"/>
  <c r="H55" i="7" a="1"/>
  <c r="H55" i="7" s="1"/>
  <c r="H61" i="7" a="1"/>
  <c r="H61" i="7" s="1"/>
  <c r="H33" i="7" a="1"/>
  <c r="H33" i="7" s="1"/>
  <c r="H162" i="7" a="1"/>
  <c r="H162" i="7" s="1"/>
  <c r="H156" i="7" a="1"/>
  <c r="H156" i="7" s="1"/>
  <c r="H22" i="7" a="1"/>
  <c r="H22" i="7" s="1"/>
  <c r="H92" i="7" a="1"/>
  <c r="H92" i="7" s="1"/>
  <c r="H98" i="7" a="1"/>
  <c r="H98" i="7" s="1"/>
  <c r="H105" i="7" a="1"/>
  <c r="H105" i="7" s="1"/>
  <c r="H111" i="7" a="1"/>
  <c r="H111" i="7" s="1"/>
  <c r="H124" i="7" a="1"/>
  <c r="H124" i="7" s="1"/>
  <c r="H130" i="7" a="1"/>
  <c r="H130" i="7" s="1"/>
  <c r="H137" i="7" a="1"/>
  <c r="H137" i="7" s="1"/>
  <c r="H143" i="7" a="1"/>
  <c r="H143" i="7" s="1"/>
  <c r="H191" i="7" a="1"/>
  <c r="H191" i="7" s="1"/>
  <c r="H198" i="7" a="1"/>
  <c r="H198" i="7" s="1"/>
  <c r="H204" i="7" a="1"/>
  <c r="H204" i="7" s="1"/>
  <c r="H76" i="7" a="1"/>
  <c r="H76" i="7" s="1"/>
  <c r="H23" i="7" a="1"/>
  <c r="H23" i="7" s="1"/>
  <c r="H77" i="7" a="1"/>
  <c r="H77" i="7" s="1"/>
  <c r="H29" i="7" a="1"/>
  <c r="H29" i="7" s="1"/>
  <c r="H174" i="7" a="1"/>
  <c r="H174" i="7" s="1"/>
  <c r="H79" i="7" a="1"/>
  <c r="H79" i="7" s="1"/>
  <c r="H49" i="7" a="1"/>
  <c r="H49" i="7" s="1"/>
  <c r="H32" i="7" a="1"/>
  <c r="H32" i="7" s="1"/>
  <c r="H67" i="7" a="1"/>
  <c r="H67" i="7" s="1"/>
  <c r="H34" i="7" a="1"/>
  <c r="H34" i="7" s="1"/>
  <c r="H163" i="7" a="1"/>
  <c r="H163" i="7" s="1"/>
  <c r="H83" i="7" a="1"/>
  <c r="H83" i="7" s="1"/>
  <c r="H167" i="7" a="1"/>
  <c r="H167" i="7" s="1"/>
  <c r="H93" i="7" a="1"/>
  <c r="H93" i="7" s="1"/>
  <c r="H99" i="7" a="1"/>
  <c r="H99" i="7" s="1"/>
  <c r="H112" i="7" a="1"/>
  <c r="H112" i="7" s="1"/>
  <c r="H118" i="7" a="1"/>
  <c r="H118" i="7" s="1"/>
  <c r="H14" i="7" a="1"/>
  <c r="H14" i="7" s="1"/>
  <c r="H78" i="7" a="1"/>
  <c r="H78" i="7" s="1"/>
  <c r="H37" i="7" a="1"/>
  <c r="H37" i="7" s="1"/>
  <c r="H30" i="7" a="1"/>
  <c r="H30" i="7" s="1"/>
  <c r="H41" i="7" a="1"/>
  <c r="H41" i="7" s="1"/>
  <c r="H50" i="7" a="1"/>
  <c r="H50" i="7" s="1"/>
  <c r="H56" i="7" a="1"/>
  <c r="H56" i="7" s="1"/>
  <c r="H62" i="7" a="1"/>
  <c r="H62" i="7" s="1"/>
  <c r="H68" i="7" a="1"/>
  <c r="H68" i="7" s="1"/>
  <c r="H164" i="7" a="1"/>
  <c r="H164" i="7" s="1"/>
  <c r="H157" i="7" a="1"/>
  <c r="H157" i="7" s="1"/>
  <c r="H84" i="7" a="1"/>
  <c r="H84" i="7" s="1"/>
  <c r="H168" i="7" a="1"/>
  <c r="H168" i="7" s="1"/>
  <c r="H100" i="7" a="1"/>
  <c r="H100" i="7" s="1"/>
  <c r="H106" i="7" a="1"/>
  <c r="H106" i="7" s="1"/>
  <c r="H113" i="7" a="1"/>
  <c r="H113" i="7" s="1"/>
  <c r="H119" i="7" a="1"/>
  <c r="H119" i="7" s="1"/>
  <c r="H132" i="7" a="1"/>
  <c r="H132" i="7" s="1"/>
  <c r="H138" i="7" a="1"/>
  <c r="H138" i="7" s="1"/>
  <c r="H145" i="7" a="1"/>
  <c r="H145" i="7" s="1"/>
  <c r="H193" i="7" a="1"/>
  <c r="H193" i="7" s="1"/>
  <c r="H199" i="7" a="1"/>
  <c r="H199" i="7" s="1"/>
  <c r="H206" i="7" a="1"/>
  <c r="H206" i="7" s="1"/>
  <c r="H15" i="7" a="1"/>
  <c r="H15" i="7" s="1"/>
  <c r="H18" i="7" a="1"/>
  <c r="H18" i="7" s="1"/>
  <c r="H24" i="7" a="1"/>
  <c r="H24" i="7" s="1"/>
  <c r="H38" i="7" a="1"/>
  <c r="H38" i="7" s="1"/>
  <c r="H42" i="7" a="1"/>
  <c r="H42" i="7" s="1"/>
  <c r="H80" i="7" a="1"/>
  <c r="H80" i="7" s="1"/>
  <c r="H51" i="7" a="1"/>
  <c r="H51" i="7" s="1"/>
  <c r="H57" i="7" a="1"/>
  <c r="H57" i="7" s="1"/>
  <c r="H69" i="7" a="1"/>
  <c r="H69" i="7" s="1"/>
  <c r="H151" i="7" a="1"/>
  <c r="H151" i="7" s="1"/>
  <c r="H165" i="7" a="1"/>
  <c r="H165" i="7" s="1"/>
  <c r="H175" i="7" a="1"/>
  <c r="H175" i="7" s="1"/>
  <c r="H169" i="7" a="1"/>
  <c r="H169" i="7" s="1"/>
  <c r="H94" i="7" a="1"/>
  <c r="H94" i="7" s="1"/>
  <c r="H101" i="7" a="1"/>
  <c r="H101" i="7" s="1"/>
  <c r="H107" i="7" a="1"/>
  <c r="H107" i="7" s="1"/>
  <c r="H120" i="7" a="1"/>
  <c r="H120" i="7" s="1"/>
  <c r="H126" i="7" a="1"/>
  <c r="H126" i="7" s="1"/>
  <c r="H133" i="7" a="1"/>
  <c r="H133" i="7" s="1"/>
  <c r="H139" i="7" a="1"/>
  <c r="H139" i="7" s="1"/>
  <c r="H194" i="7" a="1"/>
  <c r="H194" i="7" s="1"/>
  <c r="H200" i="7" a="1"/>
  <c r="H200" i="7" s="1"/>
  <c r="H213" i="7" a="1"/>
  <c r="H213" i="7" s="1"/>
  <c r="H219" i="7" a="1"/>
  <c r="H219" i="7" s="1"/>
  <c r="H226" i="7" a="1"/>
  <c r="H226" i="7" s="1"/>
  <c r="H232" i="7" a="1"/>
  <c r="H232" i="7" s="1"/>
  <c r="H245" i="7" a="1"/>
  <c r="H245" i="7" s="1"/>
  <c r="H150" i="7" a="1"/>
  <c r="H150" i="7" s="1"/>
  <c r="H170" i="7" a="1"/>
  <c r="H170" i="7" s="1"/>
  <c r="H172" i="7" a="1"/>
  <c r="H172" i="7" s="1"/>
  <c r="H39" i="7" a="1"/>
  <c r="H39" i="7" s="1"/>
  <c r="H31" i="7" a="1"/>
  <c r="H31" i="7" s="1"/>
  <c r="H43" i="7" a="1"/>
  <c r="H43" i="7" s="1"/>
  <c r="H81" i="7" a="1"/>
  <c r="H81" i="7" s="1"/>
  <c r="H58" i="7" a="1"/>
  <c r="H58" i="7" s="1"/>
  <c r="H63" i="7" a="1"/>
  <c r="H63" i="7" s="1"/>
  <c r="H70" i="7" a="1"/>
  <c r="H70" i="7" s="1"/>
  <c r="H152" i="7" a="1"/>
  <c r="H152" i="7" s="1"/>
  <c r="H176" i="7" a="1"/>
  <c r="H176" i="7" s="1"/>
  <c r="H85" i="7" a="1"/>
  <c r="H85" i="7" s="1"/>
  <c r="H89" i="7" a="1"/>
  <c r="H89" i="7" s="1"/>
  <c r="H95" i="7" a="1"/>
  <c r="H95" i="7" s="1"/>
  <c r="H108" i="7" a="1"/>
  <c r="H108" i="7" s="1"/>
  <c r="H114" i="7" a="1"/>
  <c r="H114" i="7" s="1"/>
  <c r="H121" i="7" a="1"/>
  <c r="H121" i="7" s="1"/>
  <c r="H127" i="7" a="1"/>
  <c r="H127" i="7" s="1"/>
  <c r="H140" i="7" a="1"/>
  <c r="H140" i="7" s="1"/>
  <c r="H146" i="7" a="1"/>
  <c r="H146" i="7" s="1"/>
  <c r="H201" i="7" a="1"/>
  <c r="H201" i="7" s="1"/>
  <c r="H207" i="7" a="1"/>
  <c r="H207" i="7" s="1"/>
  <c r="H214" i="7" a="1"/>
  <c r="H214" i="7" s="1"/>
  <c r="H220" i="7" a="1"/>
  <c r="H220" i="7" s="1"/>
  <c r="H233" i="7" a="1"/>
  <c r="H233" i="7" s="1"/>
  <c r="H239" i="7" a="1"/>
  <c r="H239" i="7" s="1"/>
  <c r="H246" i="7" a="1"/>
  <c r="H246" i="7" s="1"/>
  <c r="H73" i="7" a="1"/>
  <c r="H73" i="7" s="1"/>
  <c r="H19" i="7" a="1"/>
  <c r="H19" i="7" s="1"/>
  <c r="H25" i="7" a="1"/>
  <c r="H25" i="7" s="1"/>
  <c r="H40" i="7" a="1"/>
  <c r="H40" i="7" s="1"/>
  <c r="H159" i="7" a="1"/>
  <c r="H159" i="7" s="1"/>
  <c r="H82" i="7" a="1"/>
  <c r="H82" i="7" s="1"/>
  <c r="H52" i="7" a="1"/>
  <c r="H52" i="7" s="1"/>
  <c r="H59" i="7" a="1"/>
  <c r="H59" i="7" s="1"/>
  <c r="H64" i="7" a="1"/>
  <c r="H64" i="7" s="1"/>
  <c r="H153" i="7" a="1"/>
  <c r="H153" i="7" s="1"/>
  <c r="H166" i="7" a="1"/>
  <c r="H166" i="7" s="1"/>
  <c r="H177" i="7" a="1"/>
  <c r="H177" i="7" s="1"/>
  <c r="H86" i="7" a="1"/>
  <c r="H86" i="7" s="1"/>
  <c r="H96" i="7" a="1"/>
  <c r="H96" i="7" s="1"/>
  <c r="H102" i="7" a="1"/>
  <c r="H102" i="7" s="1"/>
  <c r="H109" i="7" a="1"/>
  <c r="H109" i="7" s="1"/>
  <c r="H115" i="7" a="1"/>
  <c r="H115" i="7" s="1"/>
  <c r="H128" i="7" a="1"/>
  <c r="H128" i="7" s="1"/>
  <c r="H134" i="7" a="1"/>
  <c r="H134" i="7" s="1"/>
  <c r="H141" i="7" a="1"/>
  <c r="H141" i="7" s="1"/>
  <c r="H147" i="7" a="1"/>
  <c r="H147" i="7" s="1"/>
  <c r="H189" i="7" a="1"/>
  <c r="H189" i="7" s="1"/>
  <c r="H195" i="7" a="1"/>
  <c r="H195" i="7" s="1"/>
  <c r="H202" i="7" a="1"/>
  <c r="H202" i="7" s="1"/>
  <c r="H208" i="7" a="1"/>
  <c r="H208" i="7" s="1"/>
  <c r="H221" i="7" a="1"/>
  <c r="H221" i="7" s="1"/>
  <c r="H227" i="7" a="1"/>
  <c r="H227" i="7" s="1"/>
  <c r="H234" i="7" a="1"/>
  <c r="H234" i="7" s="1"/>
  <c r="H240" i="7" a="1"/>
  <c r="H240" i="7" s="1"/>
  <c r="H74" i="7" a="1"/>
  <c r="H74" i="7" s="1"/>
  <c r="H16" i="7" a="1"/>
  <c r="H16" i="7" s="1"/>
  <c r="H20" i="7" a="1"/>
  <c r="H20" i="7" s="1"/>
  <c r="H26" i="7" a="1"/>
  <c r="H26" i="7" s="1"/>
  <c r="H160" i="7" a="1"/>
  <c r="H160" i="7" s="1"/>
  <c r="H44" i="7" a="1"/>
  <c r="H44" i="7" s="1"/>
  <c r="H47" i="7" a="1"/>
  <c r="H47" i="7" s="1"/>
  <c r="H53" i="7" a="1"/>
  <c r="H53" i="7" s="1"/>
  <c r="H65" i="7" a="1"/>
  <c r="H65" i="7" s="1"/>
  <c r="H71" i="7" a="1"/>
  <c r="H71" i="7" s="1"/>
  <c r="H161" i="7" a="1"/>
  <c r="H161" i="7" s="1"/>
  <c r="H154" i="7" a="1"/>
  <c r="H154" i="7" s="1"/>
  <c r="H87" i="7" a="1"/>
  <c r="H87" i="7" s="1"/>
  <c r="H90" i="7" a="1"/>
  <c r="H90" i="7" s="1"/>
  <c r="H97" i="7" a="1"/>
  <c r="H97" i="7" s="1"/>
  <c r="H103" i="7" a="1"/>
  <c r="H103" i="7" s="1"/>
  <c r="H116" i="7" a="1"/>
  <c r="H116" i="7" s="1"/>
  <c r="H122" i="7" a="1"/>
  <c r="H122" i="7" s="1"/>
  <c r="H129" i="7" a="1"/>
  <c r="H129" i="7" s="1"/>
  <c r="H135" i="7" a="1"/>
  <c r="H135" i="7" s="1"/>
  <c r="H148" i="7" a="1"/>
  <c r="H148" i="7" s="1"/>
  <c r="H190" i="7" a="1"/>
  <c r="H190" i="7" s="1"/>
  <c r="H196" i="7" a="1"/>
  <c r="H196" i="7" s="1"/>
  <c r="H209" i="7" a="1"/>
  <c r="H209" i="7" s="1"/>
  <c r="H215" i="7" a="1"/>
  <c r="H215" i="7" s="1"/>
  <c r="H222" i="7" a="1"/>
  <c r="H222" i="7" s="1"/>
  <c r="H228" i="7" a="1"/>
  <c r="H228" i="7" s="1"/>
  <c r="H241" i="7" a="1"/>
  <c r="H241" i="7" s="1"/>
  <c r="H247" i="7" a="1"/>
  <c r="H247" i="7" s="1"/>
  <c r="H186" i="7" a="1"/>
  <c r="H186" i="7" s="1"/>
  <c r="H223" i="7" a="1"/>
  <c r="H223" i="7" s="1"/>
  <c r="H236" i="7" a="1"/>
  <c r="H236" i="7" s="1"/>
  <c r="H249" i="7" a="1"/>
  <c r="H249" i="7" s="1"/>
  <c r="R73" i="7"/>
  <c r="N76" i="7"/>
  <c r="O76" i="7" s="1"/>
  <c r="P76" i="7" s="1"/>
  <c r="J170" i="7"/>
  <c r="K170" i="7" s="1"/>
  <c r="L170" i="7" s="1"/>
  <c r="R171" i="7"/>
  <c r="S171" i="7" s="1"/>
  <c r="T171" i="7" s="1"/>
  <c r="N18" i="7"/>
  <c r="O18" i="7" s="1"/>
  <c r="P18" i="7" s="1"/>
  <c r="J20" i="7"/>
  <c r="K20" i="7" s="1"/>
  <c r="L20" i="7" s="1"/>
  <c r="R77" i="7"/>
  <c r="N25" i="7"/>
  <c r="O25" i="7" s="1"/>
  <c r="P25" i="7" s="1"/>
  <c r="J36" i="7"/>
  <c r="K36" i="7" s="1"/>
  <c r="L36" i="7" s="1"/>
  <c r="R38" i="7"/>
  <c r="S38" i="7" s="1"/>
  <c r="T38" i="7" s="1"/>
  <c r="N27" i="7"/>
  <c r="J30" i="7"/>
  <c r="K30" i="7" s="1"/>
  <c r="L30" i="7" s="1"/>
  <c r="R159" i="7"/>
  <c r="N174" i="7"/>
  <c r="O174" i="7" s="1"/>
  <c r="P174" i="7" s="1"/>
  <c r="J43" i="7"/>
  <c r="K43" i="7" s="1"/>
  <c r="L43" i="7" s="1"/>
  <c r="R45" i="7"/>
  <c r="S45" i="7" s="1"/>
  <c r="T45" i="7" s="1"/>
  <c r="N80" i="7"/>
  <c r="O80" i="7" s="1"/>
  <c r="P80" i="7" s="1"/>
  <c r="J47" i="7"/>
  <c r="R49" i="7"/>
  <c r="S49" i="7" s="1"/>
  <c r="T49" i="7" s="1"/>
  <c r="N52" i="7"/>
  <c r="O52" i="7" s="1"/>
  <c r="P52" i="7" s="1"/>
  <c r="J55" i="7"/>
  <c r="K55" i="7" s="1"/>
  <c r="L55" i="7" s="1"/>
  <c r="R57" i="7"/>
  <c r="S57" i="7" s="1"/>
  <c r="T57" i="7" s="1"/>
  <c r="N60" i="7"/>
  <c r="O60" i="7" s="1"/>
  <c r="P60" i="7" s="1"/>
  <c r="J62" i="7"/>
  <c r="R64" i="7"/>
  <c r="S64" i="7" s="1"/>
  <c r="T64" i="7" s="1"/>
  <c r="N67" i="7"/>
  <c r="O67" i="7" s="1"/>
  <c r="P67" i="7" s="1"/>
  <c r="J70" i="7"/>
  <c r="K70" i="7" s="1"/>
  <c r="L70" i="7" s="1"/>
  <c r="R72" i="7"/>
  <c r="S72" i="7" s="1"/>
  <c r="T72" i="7" s="1"/>
  <c r="N151" i="7"/>
  <c r="J161" i="7"/>
  <c r="K161" i="7" s="1"/>
  <c r="L161" i="7" s="1"/>
  <c r="R163" i="7"/>
  <c r="S163" i="7" s="1"/>
  <c r="T163" i="7" s="1"/>
  <c r="N166" i="7"/>
  <c r="O166" i="7" s="1"/>
  <c r="P166" i="7" s="1"/>
  <c r="J156" i="7"/>
  <c r="K156" i="7" s="1"/>
  <c r="L156" i="7" s="1"/>
  <c r="R175" i="7"/>
  <c r="S175" i="7" s="1"/>
  <c r="T175" i="7" s="1"/>
  <c r="N158" i="7"/>
  <c r="J84" i="7"/>
  <c r="K84" i="7" s="1"/>
  <c r="L84" i="7" s="1"/>
  <c r="R86" i="7"/>
  <c r="S86" i="7" s="1"/>
  <c r="T86" i="7" s="1"/>
  <c r="N167" i="7"/>
  <c r="J89" i="7"/>
  <c r="R91" i="7"/>
  <c r="S91" i="7" s="1"/>
  <c r="T91" i="7" s="1"/>
  <c r="N94" i="7"/>
  <c r="O94" i="7" s="1"/>
  <c r="P94" i="7" s="1"/>
  <c r="J97" i="7"/>
  <c r="K97" i="7" s="1"/>
  <c r="L97" i="7" s="1"/>
  <c r="R99" i="7"/>
  <c r="S99" i="7" s="1"/>
  <c r="T99" i="7" s="1"/>
  <c r="N102" i="7"/>
  <c r="O102" i="7" s="1"/>
  <c r="P102" i="7" s="1"/>
  <c r="J105" i="7"/>
  <c r="K105" i="7" s="1"/>
  <c r="L105" i="7" s="1"/>
  <c r="R107" i="7"/>
  <c r="S107" i="7" s="1"/>
  <c r="T107" i="7" s="1"/>
  <c r="N110" i="7"/>
  <c r="O110" i="7" s="1"/>
  <c r="P110" i="7" s="1"/>
  <c r="J113" i="7"/>
  <c r="K113" i="7" s="1"/>
  <c r="L113" i="7" s="1"/>
  <c r="R115" i="7"/>
  <c r="S115" i="7" s="1"/>
  <c r="T115" i="7" s="1"/>
  <c r="N118" i="7"/>
  <c r="O118" i="7" s="1"/>
  <c r="P118" i="7" s="1"/>
  <c r="J121" i="7"/>
  <c r="K121" i="7" s="1"/>
  <c r="L121" i="7" s="1"/>
  <c r="R123" i="7"/>
  <c r="S123" i="7" s="1"/>
  <c r="T123" i="7" s="1"/>
  <c r="N126" i="7"/>
  <c r="O126" i="7" s="1"/>
  <c r="P126" i="7" s="1"/>
  <c r="J129" i="7"/>
  <c r="K129" i="7" s="1"/>
  <c r="L129" i="7" s="1"/>
  <c r="R131" i="7"/>
  <c r="S131" i="7" s="1"/>
  <c r="T131" i="7" s="1"/>
  <c r="N134" i="7"/>
  <c r="O134" i="7" s="1"/>
  <c r="P134" i="7" s="1"/>
  <c r="J137" i="7"/>
  <c r="K137" i="7" s="1"/>
  <c r="L137" i="7" s="1"/>
  <c r="R139" i="7"/>
  <c r="S139" i="7" s="1"/>
  <c r="T139" i="7" s="1"/>
  <c r="N142" i="7"/>
  <c r="O142" i="7" s="1"/>
  <c r="P142" i="7" s="1"/>
  <c r="R147" i="7"/>
  <c r="S147" i="7" s="1"/>
  <c r="T147" i="7" s="1"/>
  <c r="H211" i="7" a="1"/>
  <c r="H211" i="7" s="1"/>
  <c r="H224" i="7" a="1"/>
  <c r="H224" i="7" s="1"/>
  <c r="H237" i="7" a="1"/>
  <c r="H237" i="7" s="1"/>
  <c r="H250" i="7" a="1"/>
  <c r="H250" i="7" s="1"/>
  <c r="J74" i="7"/>
  <c r="K74" i="7" s="1"/>
  <c r="L74" i="7" s="1"/>
  <c r="R76" i="7"/>
  <c r="S76" i="7" s="1"/>
  <c r="T76" i="7" s="1"/>
  <c r="N170" i="7"/>
  <c r="O170" i="7" s="1"/>
  <c r="P170" i="7" s="1"/>
  <c r="J17" i="7"/>
  <c r="R18" i="7"/>
  <c r="S18" i="7" s="1"/>
  <c r="T18" i="7" s="1"/>
  <c r="N20" i="7"/>
  <c r="O20" i="7" s="1"/>
  <c r="P20" i="7" s="1"/>
  <c r="J78" i="7"/>
  <c r="K78" i="7" s="1"/>
  <c r="L78" i="7" s="1"/>
  <c r="R25" i="7"/>
  <c r="S25" i="7" s="1"/>
  <c r="T25" i="7" s="1"/>
  <c r="N36" i="7"/>
  <c r="O36" i="7" s="1"/>
  <c r="P36" i="7" s="1"/>
  <c r="J39" i="7"/>
  <c r="K39" i="7" s="1"/>
  <c r="L39" i="7" s="1"/>
  <c r="R27" i="7"/>
  <c r="N30" i="7"/>
  <c r="O30" i="7" s="1"/>
  <c r="P30" i="7" s="1"/>
  <c r="J160" i="7"/>
  <c r="K160" i="7" s="1"/>
  <c r="L160" i="7" s="1"/>
  <c r="R174" i="7"/>
  <c r="S174" i="7" s="1"/>
  <c r="T174" i="7" s="1"/>
  <c r="N43" i="7"/>
  <c r="O43" i="7" s="1"/>
  <c r="P43" i="7" s="1"/>
  <c r="J46" i="7"/>
  <c r="K46" i="7" s="1"/>
  <c r="L46" i="7" s="1"/>
  <c r="R80" i="7"/>
  <c r="S80" i="7" s="1"/>
  <c r="T80" i="7" s="1"/>
  <c r="N47" i="7"/>
  <c r="J50" i="7"/>
  <c r="K50" i="7" s="1"/>
  <c r="L50" i="7" s="1"/>
  <c r="R52" i="7"/>
  <c r="S52" i="7" s="1"/>
  <c r="T52" i="7" s="1"/>
  <c r="N55" i="7"/>
  <c r="O55" i="7" s="1"/>
  <c r="P55" i="7" s="1"/>
  <c r="J58" i="7"/>
  <c r="K58" i="7" s="1"/>
  <c r="L58" i="7" s="1"/>
  <c r="R60" i="7"/>
  <c r="S60" i="7" s="1"/>
  <c r="T60" i="7" s="1"/>
  <c r="N62" i="7"/>
  <c r="J65" i="7"/>
  <c r="K65" i="7" s="1"/>
  <c r="L65" i="7" s="1"/>
  <c r="R67" i="7"/>
  <c r="S67" i="7" s="1"/>
  <c r="T67" i="7" s="1"/>
  <c r="N70" i="7"/>
  <c r="O70" i="7" s="1"/>
  <c r="P70" i="7" s="1"/>
  <c r="J33" i="7"/>
  <c r="R151" i="7"/>
  <c r="N161" i="7"/>
  <c r="O161" i="7" s="1"/>
  <c r="P161" i="7" s="1"/>
  <c r="J164" i="7"/>
  <c r="K164" i="7" s="1"/>
  <c r="L164" i="7" s="1"/>
  <c r="R166" i="7"/>
  <c r="S166" i="7" s="1"/>
  <c r="T166" i="7" s="1"/>
  <c r="N156" i="7"/>
  <c r="O156" i="7" s="1"/>
  <c r="P156" i="7" s="1"/>
  <c r="J176" i="7"/>
  <c r="K176" i="7" s="1"/>
  <c r="L176" i="7" s="1"/>
  <c r="R158" i="7"/>
  <c r="N84" i="7"/>
  <c r="O84" i="7" s="1"/>
  <c r="P84" i="7" s="1"/>
  <c r="J87" i="7"/>
  <c r="K87" i="7" s="1"/>
  <c r="L87" i="7" s="1"/>
  <c r="R167" i="7"/>
  <c r="N89" i="7"/>
  <c r="J92" i="7"/>
  <c r="K92" i="7" s="1"/>
  <c r="L92" i="7" s="1"/>
  <c r="R94" i="7"/>
  <c r="S94" i="7" s="1"/>
  <c r="T94" i="7" s="1"/>
  <c r="N97" i="7"/>
  <c r="O97" i="7" s="1"/>
  <c r="P97" i="7" s="1"/>
  <c r="J100" i="7"/>
  <c r="K100" i="7" s="1"/>
  <c r="L100" i="7" s="1"/>
  <c r="R102" i="7"/>
  <c r="S102" i="7" s="1"/>
  <c r="T102" i="7" s="1"/>
  <c r="N105" i="7"/>
  <c r="O105" i="7" s="1"/>
  <c r="P105" i="7" s="1"/>
  <c r="J108" i="7"/>
  <c r="K108" i="7" s="1"/>
  <c r="L108" i="7" s="1"/>
  <c r="R110" i="7"/>
  <c r="S110" i="7" s="1"/>
  <c r="T110" i="7" s="1"/>
  <c r="N113" i="7"/>
  <c r="O113" i="7" s="1"/>
  <c r="P113" i="7" s="1"/>
  <c r="J116" i="7"/>
  <c r="K116" i="7" s="1"/>
  <c r="L116" i="7" s="1"/>
  <c r="R118" i="7"/>
  <c r="S118" i="7" s="1"/>
  <c r="T118" i="7" s="1"/>
  <c r="N121" i="7"/>
  <c r="O121" i="7" s="1"/>
  <c r="P121" i="7" s="1"/>
  <c r="J124" i="7"/>
  <c r="K124" i="7" s="1"/>
  <c r="L124" i="7" s="1"/>
  <c r="R126" i="7"/>
  <c r="S126" i="7" s="1"/>
  <c r="T126" i="7" s="1"/>
  <c r="N129" i="7"/>
  <c r="O129" i="7" s="1"/>
  <c r="P129" i="7" s="1"/>
  <c r="J132" i="7"/>
  <c r="K132" i="7" s="1"/>
  <c r="L132" i="7" s="1"/>
  <c r="R134" i="7"/>
  <c r="S134" i="7" s="1"/>
  <c r="T134" i="7" s="1"/>
  <c r="N137" i="7"/>
  <c r="O137" i="7" s="1"/>
  <c r="P137" i="7" s="1"/>
  <c r="J140" i="7"/>
  <c r="K140" i="7" s="1"/>
  <c r="L140" i="7" s="1"/>
  <c r="R142" i="7"/>
  <c r="S142" i="7" s="1"/>
  <c r="T142" i="7" s="1"/>
  <c r="H125" i="7" a="1"/>
  <c r="H125" i="7" s="1"/>
  <c r="H192" i="7" a="1"/>
  <c r="H192" i="7" s="1"/>
  <c r="H212" i="7" a="1"/>
  <c r="H212" i="7" s="1"/>
  <c r="H225" i="7" a="1"/>
  <c r="H225" i="7" s="1"/>
  <c r="H238" i="7" a="1"/>
  <c r="H238" i="7" s="1"/>
  <c r="N74" i="7"/>
  <c r="O74" i="7" s="1"/>
  <c r="P74" i="7" s="1"/>
  <c r="J14" i="7"/>
  <c r="R170" i="7"/>
  <c r="S170" i="7" s="1"/>
  <c r="T170" i="7" s="1"/>
  <c r="N17" i="7"/>
  <c r="J172" i="7"/>
  <c r="K172" i="7" s="1"/>
  <c r="L172" i="7" s="1"/>
  <c r="R20" i="7"/>
  <c r="S20" i="7" s="1"/>
  <c r="T20" i="7" s="1"/>
  <c r="N78" i="7"/>
  <c r="O78" i="7" s="1"/>
  <c r="P78" i="7" s="1"/>
  <c r="J26" i="7"/>
  <c r="K26" i="7" s="1"/>
  <c r="L26" i="7" s="1"/>
  <c r="R36" i="7"/>
  <c r="S36" i="7" s="1"/>
  <c r="T36" i="7" s="1"/>
  <c r="N39" i="7"/>
  <c r="O39" i="7" s="1"/>
  <c r="P39" i="7" s="1"/>
  <c r="J28" i="7"/>
  <c r="K28" i="7" s="1"/>
  <c r="L28" i="7" s="1"/>
  <c r="R30" i="7"/>
  <c r="S30" i="7" s="1"/>
  <c r="T30" i="7" s="1"/>
  <c r="N160" i="7"/>
  <c r="O160" i="7" s="1"/>
  <c r="P160" i="7" s="1"/>
  <c r="J41" i="7"/>
  <c r="R43" i="7"/>
  <c r="S43" i="7" s="1"/>
  <c r="T43" i="7" s="1"/>
  <c r="N46" i="7"/>
  <c r="O46" i="7" s="1"/>
  <c r="P46" i="7" s="1"/>
  <c r="J81" i="7"/>
  <c r="K81" i="7" s="1"/>
  <c r="L81" i="7" s="1"/>
  <c r="R47" i="7"/>
  <c r="N50" i="7"/>
  <c r="O50" i="7" s="1"/>
  <c r="P50" i="7" s="1"/>
  <c r="J53" i="7"/>
  <c r="K53" i="7" s="1"/>
  <c r="L53" i="7" s="1"/>
  <c r="R55" i="7"/>
  <c r="S55" i="7" s="1"/>
  <c r="T55" i="7" s="1"/>
  <c r="N58" i="7"/>
  <c r="O58" i="7" s="1"/>
  <c r="P58" i="7" s="1"/>
  <c r="J61" i="7"/>
  <c r="K61" i="7" s="1"/>
  <c r="L61" i="7" s="1"/>
  <c r="R62" i="7"/>
  <c r="N65" i="7"/>
  <c r="O65" i="7" s="1"/>
  <c r="P65" i="7" s="1"/>
  <c r="J68" i="7"/>
  <c r="K68" i="7" s="1"/>
  <c r="L68" i="7" s="1"/>
  <c r="R70" i="7"/>
  <c r="S70" i="7" s="1"/>
  <c r="T70" i="7" s="1"/>
  <c r="N33" i="7"/>
  <c r="J152" i="7"/>
  <c r="K152" i="7" s="1"/>
  <c r="L152" i="7" s="1"/>
  <c r="R161" i="7"/>
  <c r="S161" i="7" s="1"/>
  <c r="T161" i="7" s="1"/>
  <c r="N164" i="7"/>
  <c r="O164" i="7" s="1"/>
  <c r="P164" i="7" s="1"/>
  <c r="J154" i="7"/>
  <c r="R156" i="7"/>
  <c r="S156" i="7" s="1"/>
  <c r="T156" i="7" s="1"/>
  <c r="N176" i="7"/>
  <c r="O176" i="7" s="1"/>
  <c r="P176" i="7" s="1"/>
  <c r="J22" i="7"/>
  <c r="R84" i="7"/>
  <c r="S84" i="7" s="1"/>
  <c r="T84" i="7" s="1"/>
  <c r="N87" i="7"/>
  <c r="O87" i="7" s="1"/>
  <c r="P87" i="7" s="1"/>
  <c r="J168" i="7"/>
  <c r="K168" i="7" s="1"/>
  <c r="L168" i="7" s="1"/>
  <c r="R89" i="7"/>
  <c r="N92" i="7"/>
  <c r="O92" i="7" s="1"/>
  <c r="P92" i="7" s="1"/>
  <c r="J95" i="7"/>
  <c r="K95" i="7" s="1"/>
  <c r="L95" i="7" s="1"/>
  <c r="R97" i="7"/>
  <c r="S97" i="7" s="1"/>
  <c r="T97" i="7" s="1"/>
  <c r="N100" i="7"/>
  <c r="O100" i="7" s="1"/>
  <c r="P100" i="7" s="1"/>
  <c r="J103" i="7"/>
  <c r="K103" i="7" s="1"/>
  <c r="L103" i="7" s="1"/>
  <c r="R105" i="7"/>
  <c r="S105" i="7" s="1"/>
  <c r="T105" i="7" s="1"/>
  <c r="N108" i="7"/>
  <c r="O108" i="7" s="1"/>
  <c r="P108" i="7" s="1"/>
  <c r="J111" i="7"/>
  <c r="K111" i="7" s="1"/>
  <c r="L111" i="7" s="1"/>
  <c r="R113" i="7"/>
  <c r="S113" i="7" s="1"/>
  <c r="T113" i="7" s="1"/>
  <c r="N116" i="7"/>
  <c r="O116" i="7" s="1"/>
  <c r="P116" i="7" s="1"/>
  <c r="J119" i="7"/>
  <c r="K119" i="7" s="1"/>
  <c r="L119" i="7" s="1"/>
  <c r="R121" i="7"/>
  <c r="S121" i="7" s="1"/>
  <c r="T121" i="7" s="1"/>
  <c r="N124" i="7"/>
  <c r="O124" i="7" s="1"/>
  <c r="P124" i="7" s="1"/>
  <c r="J127" i="7"/>
  <c r="K127" i="7" s="1"/>
  <c r="L127" i="7" s="1"/>
  <c r="R129" i="7"/>
  <c r="S129" i="7" s="1"/>
  <c r="T129" i="7" s="1"/>
  <c r="N132" i="7"/>
  <c r="O132" i="7" s="1"/>
  <c r="P132" i="7" s="1"/>
  <c r="J135" i="7"/>
  <c r="K135" i="7" s="1"/>
  <c r="L135" i="7" s="1"/>
  <c r="R137" i="7"/>
  <c r="S137" i="7" s="1"/>
  <c r="T137" i="7" s="1"/>
  <c r="N140" i="7"/>
  <c r="O140" i="7" s="1"/>
  <c r="P140" i="7" s="1"/>
  <c r="J143" i="7"/>
  <c r="K143" i="7" s="1"/>
  <c r="L143" i="7" s="1"/>
  <c r="H131" i="7" a="1"/>
  <c r="H131" i="7" s="1"/>
  <c r="H197" i="7" a="1"/>
  <c r="H197" i="7" s="1"/>
  <c r="H216" i="7" a="1"/>
  <c r="H216" i="7" s="1"/>
  <c r="H229" i="7" a="1"/>
  <c r="H229" i="7" s="1"/>
  <c r="H242" i="7" a="1"/>
  <c r="H242" i="7" s="1"/>
  <c r="J150" i="7"/>
  <c r="K150" i="7" s="1"/>
  <c r="L150" i="7" s="1"/>
  <c r="R74" i="7"/>
  <c r="S74" i="7" s="1"/>
  <c r="T74" i="7" s="1"/>
  <c r="N14" i="7"/>
  <c r="J16" i="7"/>
  <c r="K16" i="7" s="1"/>
  <c r="L16" i="7" s="1"/>
  <c r="R17" i="7"/>
  <c r="N172" i="7"/>
  <c r="O172" i="7" s="1"/>
  <c r="P172" i="7" s="1"/>
  <c r="J21" i="7"/>
  <c r="K21" i="7" s="1"/>
  <c r="L21" i="7" s="1"/>
  <c r="R78" i="7"/>
  <c r="S78" i="7" s="1"/>
  <c r="T78" i="7" s="1"/>
  <c r="N26" i="7"/>
  <c r="O26" i="7" s="1"/>
  <c r="P26" i="7" s="1"/>
  <c r="J37" i="7"/>
  <c r="K37" i="7" s="1"/>
  <c r="L37" i="7" s="1"/>
  <c r="R39" i="7"/>
  <c r="S39" i="7" s="1"/>
  <c r="T39" i="7" s="1"/>
  <c r="N28" i="7"/>
  <c r="O28" i="7" s="1"/>
  <c r="P28" i="7" s="1"/>
  <c r="J31" i="7"/>
  <c r="K31" i="7" s="1"/>
  <c r="L31" i="7" s="1"/>
  <c r="R160" i="7"/>
  <c r="S160" i="7" s="1"/>
  <c r="T160" i="7" s="1"/>
  <c r="N41" i="7"/>
  <c r="J44" i="7"/>
  <c r="K44" i="7" s="1"/>
  <c r="L44" i="7" s="1"/>
  <c r="R46" i="7"/>
  <c r="S46" i="7" s="1"/>
  <c r="T46" i="7" s="1"/>
  <c r="N81" i="7"/>
  <c r="O81" i="7" s="1"/>
  <c r="P81" i="7" s="1"/>
  <c r="J48" i="7"/>
  <c r="R50" i="7"/>
  <c r="S50" i="7" s="1"/>
  <c r="T50" i="7" s="1"/>
  <c r="N53" i="7"/>
  <c r="O53" i="7" s="1"/>
  <c r="P53" i="7" s="1"/>
  <c r="J56" i="7"/>
  <c r="K56" i="7" s="1"/>
  <c r="L56" i="7" s="1"/>
  <c r="R58" i="7"/>
  <c r="S58" i="7" s="1"/>
  <c r="T58" i="7" s="1"/>
  <c r="N61" i="7"/>
  <c r="O61" i="7" s="1"/>
  <c r="P61" i="7" s="1"/>
  <c r="J63" i="7"/>
  <c r="K63" i="7" s="1"/>
  <c r="L63" i="7" s="1"/>
  <c r="R65" i="7"/>
  <c r="S65" i="7" s="1"/>
  <c r="T65" i="7" s="1"/>
  <c r="N68" i="7"/>
  <c r="O68" i="7" s="1"/>
  <c r="P68" i="7" s="1"/>
  <c r="J71" i="7"/>
  <c r="K71" i="7" s="1"/>
  <c r="L71" i="7" s="1"/>
  <c r="R33" i="7"/>
  <c r="N152" i="7"/>
  <c r="O152" i="7" s="1"/>
  <c r="P152" i="7" s="1"/>
  <c r="J162" i="7"/>
  <c r="R164" i="7"/>
  <c r="S164" i="7" s="1"/>
  <c r="T164" i="7" s="1"/>
  <c r="N154" i="7"/>
  <c r="J157" i="7"/>
  <c r="K157" i="7" s="1"/>
  <c r="L157" i="7" s="1"/>
  <c r="R176" i="7"/>
  <c r="S176" i="7" s="1"/>
  <c r="T176" i="7" s="1"/>
  <c r="N22" i="7"/>
  <c r="J85" i="7"/>
  <c r="K85" i="7" s="1"/>
  <c r="L85" i="7" s="1"/>
  <c r="R87" i="7"/>
  <c r="S87" i="7" s="1"/>
  <c r="T87" i="7" s="1"/>
  <c r="N168" i="7"/>
  <c r="O168" i="7" s="1"/>
  <c r="P168" i="7" s="1"/>
  <c r="J90" i="7"/>
  <c r="K90" i="7" s="1"/>
  <c r="L90" i="7" s="1"/>
  <c r="R92" i="7"/>
  <c r="S92" i="7" s="1"/>
  <c r="T92" i="7" s="1"/>
  <c r="N95" i="7"/>
  <c r="O95" i="7" s="1"/>
  <c r="P95" i="7" s="1"/>
  <c r="J98" i="7"/>
  <c r="K98" i="7" s="1"/>
  <c r="L98" i="7" s="1"/>
  <c r="R100" i="7"/>
  <c r="S100" i="7" s="1"/>
  <c r="T100" i="7" s="1"/>
  <c r="N103" i="7"/>
  <c r="O103" i="7" s="1"/>
  <c r="P103" i="7" s="1"/>
  <c r="J106" i="7"/>
  <c r="K106" i="7" s="1"/>
  <c r="L106" i="7" s="1"/>
  <c r="R108" i="7"/>
  <c r="S108" i="7" s="1"/>
  <c r="T108" i="7" s="1"/>
  <c r="N111" i="7"/>
  <c r="O111" i="7" s="1"/>
  <c r="P111" i="7" s="1"/>
  <c r="J114" i="7"/>
  <c r="K114" i="7" s="1"/>
  <c r="L114" i="7" s="1"/>
  <c r="R116" i="7"/>
  <c r="S116" i="7" s="1"/>
  <c r="T116" i="7" s="1"/>
  <c r="N119" i="7"/>
  <c r="O119" i="7" s="1"/>
  <c r="P119" i="7" s="1"/>
  <c r="J122" i="7"/>
  <c r="K122" i="7" s="1"/>
  <c r="L122" i="7" s="1"/>
  <c r="R124" i="7"/>
  <c r="S124" i="7" s="1"/>
  <c r="T124" i="7" s="1"/>
  <c r="N127" i="7"/>
  <c r="O127" i="7" s="1"/>
  <c r="P127" i="7" s="1"/>
  <c r="J130" i="7"/>
  <c r="K130" i="7" s="1"/>
  <c r="L130" i="7" s="1"/>
  <c r="R132" i="7"/>
  <c r="S132" i="7" s="1"/>
  <c r="T132" i="7" s="1"/>
  <c r="N135" i="7"/>
  <c r="O135" i="7" s="1"/>
  <c r="P135" i="7" s="1"/>
  <c r="J138" i="7"/>
  <c r="K138" i="7" s="1"/>
  <c r="L138" i="7" s="1"/>
  <c r="R140" i="7"/>
  <c r="S140" i="7" s="1"/>
  <c r="T140" i="7" s="1"/>
  <c r="N143" i="7"/>
  <c r="O143" i="7" s="1"/>
  <c r="P143" i="7" s="1"/>
  <c r="J146" i="7"/>
  <c r="K146" i="7" s="1"/>
  <c r="L146" i="7" s="1"/>
  <c r="R148" i="7"/>
  <c r="S148" i="7" s="1"/>
  <c r="T148" i="7" s="1"/>
  <c r="J148" i="7"/>
  <c r="K148" i="7" s="1"/>
  <c r="L148" i="7" s="1"/>
  <c r="N148" i="7"/>
  <c r="O148" i="7" s="1"/>
  <c r="P148" i="7" s="1"/>
  <c r="H217" i="7" a="1"/>
  <c r="H217" i="7" s="1"/>
  <c r="H230" i="7" a="1"/>
  <c r="H230" i="7" s="1"/>
  <c r="N150" i="7"/>
  <c r="O150" i="7" s="1"/>
  <c r="P150" i="7" s="1"/>
  <c r="J75" i="7"/>
  <c r="K75" i="7" s="1"/>
  <c r="L75" i="7" s="1"/>
  <c r="R14" i="7"/>
  <c r="N16" i="7"/>
  <c r="O16" i="7" s="1"/>
  <c r="P16" i="7" s="1"/>
  <c r="J23" i="7"/>
  <c r="K23" i="7" s="1"/>
  <c r="L23" i="7" s="1"/>
  <c r="R172" i="7"/>
  <c r="S172" i="7" s="1"/>
  <c r="T172" i="7" s="1"/>
  <c r="N21" i="7"/>
  <c r="O21" i="7" s="1"/>
  <c r="P21" i="7" s="1"/>
  <c r="J24" i="7"/>
  <c r="R26" i="7"/>
  <c r="S26" i="7" s="1"/>
  <c r="T26" i="7" s="1"/>
  <c r="N37" i="7"/>
  <c r="O37" i="7" s="1"/>
  <c r="P37" i="7" s="1"/>
  <c r="J40" i="7"/>
  <c r="K40" i="7" s="1"/>
  <c r="L40" i="7" s="1"/>
  <c r="R28" i="7"/>
  <c r="S28" i="7" s="1"/>
  <c r="T28" i="7" s="1"/>
  <c r="N31" i="7"/>
  <c r="O31" i="7" s="1"/>
  <c r="P31" i="7" s="1"/>
  <c r="J173" i="7"/>
  <c r="K173" i="7" s="1"/>
  <c r="L173" i="7" s="1"/>
  <c r="R41" i="7"/>
  <c r="N44" i="7"/>
  <c r="O44" i="7" s="1"/>
  <c r="P44" i="7" s="1"/>
  <c r="J79" i="7"/>
  <c r="R81" i="7"/>
  <c r="S81" i="7" s="1"/>
  <c r="T81" i="7" s="1"/>
  <c r="N48" i="7"/>
  <c r="J51" i="7"/>
  <c r="K51" i="7" s="1"/>
  <c r="L51" i="7" s="1"/>
  <c r="R53" i="7"/>
  <c r="S53" i="7" s="1"/>
  <c r="T53" i="7" s="1"/>
  <c r="N56" i="7"/>
  <c r="O56" i="7" s="1"/>
  <c r="P56" i="7" s="1"/>
  <c r="J59" i="7"/>
  <c r="K59" i="7" s="1"/>
  <c r="L59" i="7" s="1"/>
  <c r="R61" i="7"/>
  <c r="S61" i="7" s="1"/>
  <c r="T61" i="7" s="1"/>
  <c r="N63" i="7"/>
  <c r="O63" i="7" s="1"/>
  <c r="P63" i="7" s="1"/>
  <c r="J66" i="7"/>
  <c r="K66" i="7" s="1"/>
  <c r="L66" i="7" s="1"/>
  <c r="R68" i="7"/>
  <c r="S68" i="7" s="1"/>
  <c r="T68" i="7" s="1"/>
  <c r="N71" i="7"/>
  <c r="O71" i="7" s="1"/>
  <c r="P71" i="7" s="1"/>
  <c r="J34" i="7"/>
  <c r="K34" i="7" s="1"/>
  <c r="L34" i="7" s="1"/>
  <c r="R152" i="7"/>
  <c r="S152" i="7" s="1"/>
  <c r="T152" i="7" s="1"/>
  <c r="N162" i="7"/>
  <c r="J165" i="7"/>
  <c r="K165" i="7" s="1"/>
  <c r="L165" i="7" s="1"/>
  <c r="R154" i="7"/>
  <c r="N157" i="7"/>
  <c r="O157" i="7" s="1"/>
  <c r="P157" i="7" s="1"/>
  <c r="J177" i="7"/>
  <c r="C29" i="55" s="1"/>
  <c r="R22" i="7"/>
  <c r="N85" i="7"/>
  <c r="O85" i="7" s="1"/>
  <c r="P85" i="7" s="1"/>
  <c r="J88" i="7"/>
  <c r="K88" i="7" s="1"/>
  <c r="L88" i="7" s="1"/>
  <c r="R168" i="7"/>
  <c r="S168" i="7" s="1"/>
  <c r="T168" i="7" s="1"/>
  <c r="N90" i="7"/>
  <c r="O90" i="7" s="1"/>
  <c r="P90" i="7" s="1"/>
  <c r="J93" i="7"/>
  <c r="K93" i="7" s="1"/>
  <c r="L93" i="7" s="1"/>
  <c r="R95" i="7"/>
  <c r="S95" i="7" s="1"/>
  <c r="T95" i="7" s="1"/>
  <c r="N98" i="7"/>
  <c r="O98" i="7" s="1"/>
  <c r="P98" i="7" s="1"/>
  <c r="J101" i="7"/>
  <c r="K101" i="7" s="1"/>
  <c r="L101" i="7" s="1"/>
  <c r="R103" i="7"/>
  <c r="S103" i="7" s="1"/>
  <c r="T103" i="7" s="1"/>
  <c r="N106" i="7"/>
  <c r="O106" i="7" s="1"/>
  <c r="P106" i="7" s="1"/>
  <c r="J109" i="7"/>
  <c r="K109" i="7" s="1"/>
  <c r="L109" i="7" s="1"/>
  <c r="R111" i="7"/>
  <c r="S111" i="7" s="1"/>
  <c r="T111" i="7" s="1"/>
  <c r="N114" i="7"/>
  <c r="O114" i="7" s="1"/>
  <c r="P114" i="7" s="1"/>
  <c r="J117" i="7"/>
  <c r="K117" i="7" s="1"/>
  <c r="L117" i="7" s="1"/>
  <c r="R119" i="7"/>
  <c r="S119" i="7" s="1"/>
  <c r="T119" i="7" s="1"/>
  <c r="N122" i="7"/>
  <c r="O122" i="7" s="1"/>
  <c r="P122" i="7" s="1"/>
  <c r="J125" i="7"/>
  <c r="K125" i="7" s="1"/>
  <c r="L125" i="7" s="1"/>
  <c r="R127" i="7"/>
  <c r="S127" i="7" s="1"/>
  <c r="T127" i="7" s="1"/>
  <c r="N130" i="7"/>
  <c r="O130" i="7" s="1"/>
  <c r="P130" i="7" s="1"/>
  <c r="J133" i="7"/>
  <c r="K133" i="7" s="1"/>
  <c r="L133" i="7" s="1"/>
  <c r="R135" i="7"/>
  <c r="S135" i="7" s="1"/>
  <c r="T135" i="7" s="1"/>
  <c r="N138" i="7"/>
  <c r="O138" i="7" s="1"/>
  <c r="P138" i="7" s="1"/>
  <c r="J141" i="7"/>
  <c r="K141" i="7" s="1"/>
  <c r="L141" i="7" s="1"/>
  <c r="R143" i="7"/>
  <c r="S143" i="7" s="1"/>
  <c r="T143" i="7" s="1"/>
  <c r="N146" i="7"/>
  <c r="O146" i="7" s="1"/>
  <c r="P146" i="7" s="1"/>
  <c r="J144" i="7"/>
  <c r="K144" i="7" s="1"/>
  <c r="L144" i="7" s="1"/>
  <c r="R145" i="7"/>
  <c r="H144" i="7" a="1"/>
  <c r="H144" i="7" s="1"/>
  <c r="H203" i="7" a="1"/>
  <c r="H203" i="7" s="1"/>
  <c r="H218" i="7" a="1"/>
  <c r="H218" i="7" s="1"/>
  <c r="H243" i="7" a="1"/>
  <c r="H243" i="7" s="1"/>
  <c r="R150" i="7"/>
  <c r="S150" i="7" s="1"/>
  <c r="T150" i="7" s="1"/>
  <c r="N75" i="7"/>
  <c r="O75" i="7" s="1"/>
  <c r="P75" i="7" s="1"/>
  <c r="J15" i="7"/>
  <c r="K15" i="7" s="1"/>
  <c r="L15" i="7" s="1"/>
  <c r="R16" i="7"/>
  <c r="S16" i="7" s="1"/>
  <c r="T16" i="7" s="1"/>
  <c r="N23" i="7"/>
  <c r="O23" i="7" s="1"/>
  <c r="P23" i="7" s="1"/>
  <c r="J19" i="7"/>
  <c r="K19" i="7" s="1"/>
  <c r="L19" i="7" s="1"/>
  <c r="R21" i="7"/>
  <c r="S21" i="7" s="1"/>
  <c r="T21" i="7" s="1"/>
  <c r="N24" i="7"/>
  <c r="J35" i="7"/>
  <c r="R37" i="7"/>
  <c r="S37" i="7" s="1"/>
  <c r="T37" i="7" s="1"/>
  <c r="N40" i="7"/>
  <c r="O40" i="7" s="1"/>
  <c r="P40" i="7" s="1"/>
  <c r="J29" i="7"/>
  <c r="K29" i="7" s="1"/>
  <c r="L29" i="7" s="1"/>
  <c r="R31" i="7"/>
  <c r="S31" i="7" s="1"/>
  <c r="T31" i="7" s="1"/>
  <c r="N173" i="7"/>
  <c r="O173" i="7" s="1"/>
  <c r="P173" i="7" s="1"/>
  <c r="J42" i="7"/>
  <c r="K42" i="7" s="1"/>
  <c r="L42" i="7" s="1"/>
  <c r="R44" i="7"/>
  <c r="S44" i="7" s="1"/>
  <c r="T44" i="7" s="1"/>
  <c r="N79" i="7"/>
  <c r="J82" i="7"/>
  <c r="K82" i="7" s="1"/>
  <c r="L82" i="7" s="1"/>
  <c r="R48" i="7"/>
  <c r="N51" i="7"/>
  <c r="O51" i="7" s="1"/>
  <c r="P51" i="7" s="1"/>
  <c r="J54" i="7"/>
  <c r="R56" i="7"/>
  <c r="S56" i="7" s="1"/>
  <c r="T56" i="7" s="1"/>
  <c r="N59" i="7"/>
  <c r="O59" i="7" s="1"/>
  <c r="P59" i="7" s="1"/>
  <c r="J32" i="7"/>
  <c r="K32" i="7" s="1"/>
  <c r="L32" i="7" s="1"/>
  <c r="R63" i="7"/>
  <c r="S63" i="7" s="1"/>
  <c r="T63" i="7" s="1"/>
  <c r="N66" i="7"/>
  <c r="O66" i="7" s="1"/>
  <c r="P66" i="7" s="1"/>
  <c r="J69" i="7"/>
  <c r="K69" i="7" s="1"/>
  <c r="L69" i="7" s="1"/>
  <c r="R71" i="7"/>
  <c r="S71" i="7" s="1"/>
  <c r="T71" i="7" s="1"/>
  <c r="N34" i="7"/>
  <c r="O34" i="7" s="1"/>
  <c r="P34" i="7" s="1"/>
  <c r="J153" i="7"/>
  <c r="K153" i="7" s="1"/>
  <c r="L153" i="7" s="1"/>
  <c r="R162" i="7"/>
  <c r="N165" i="7"/>
  <c r="O165" i="7" s="1"/>
  <c r="P165" i="7" s="1"/>
  <c r="J155" i="7"/>
  <c r="K155" i="7" s="1"/>
  <c r="L155" i="7" s="1"/>
  <c r="R157" i="7"/>
  <c r="S157" i="7" s="1"/>
  <c r="T157" i="7" s="1"/>
  <c r="N177" i="7"/>
  <c r="E29" i="55" s="1"/>
  <c r="J83" i="7"/>
  <c r="R85" i="7"/>
  <c r="S85" i="7" s="1"/>
  <c r="T85" i="7" s="1"/>
  <c r="N88" i="7"/>
  <c r="O88" i="7" s="1"/>
  <c r="P88" i="7" s="1"/>
  <c r="J169" i="7"/>
  <c r="K169" i="7" s="1"/>
  <c r="L169" i="7" s="1"/>
  <c r="R90" i="7"/>
  <c r="S90" i="7" s="1"/>
  <c r="T90" i="7" s="1"/>
  <c r="N93" i="7"/>
  <c r="O93" i="7" s="1"/>
  <c r="P93" i="7" s="1"/>
  <c r="J96" i="7"/>
  <c r="K96" i="7" s="1"/>
  <c r="L96" i="7" s="1"/>
  <c r="R98" i="7"/>
  <c r="S98" i="7" s="1"/>
  <c r="T98" i="7" s="1"/>
  <c r="N101" i="7"/>
  <c r="O101" i="7" s="1"/>
  <c r="P101" i="7" s="1"/>
  <c r="J104" i="7"/>
  <c r="K104" i="7" s="1"/>
  <c r="L104" i="7" s="1"/>
  <c r="R106" i="7"/>
  <c r="S106" i="7" s="1"/>
  <c r="T106" i="7" s="1"/>
  <c r="N109" i="7"/>
  <c r="O109" i="7" s="1"/>
  <c r="P109" i="7" s="1"/>
  <c r="J112" i="7"/>
  <c r="K112" i="7" s="1"/>
  <c r="L112" i="7" s="1"/>
  <c r="R114" i="7"/>
  <c r="S114" i="7" s="1"/>
  <c r="T114" i="7" s="1"/>
  <c r="N117" i="7"/>
  <c r="O117" i="7" s="1"/>
  <c r="P117" i="7" s="1"/>
  <c r="J120" i="7"/>
  <c r="K120" i="7" s="1"/>
  <c r="L120" i="7" s="1"/>
  <c r="R122" i="7"/>
  <c r="S122" i="7" s="1"/>
  <c r="T122" i="7" s="1"/>
  <c r="N125" i="7"/>
  <c r="O125" i="7" s="1"/>
  <c r="P125" i="7" s="1"/>
  <c r="J128" i="7"/>
  <c r="K128" i="7" s="1"/>
  <c r="L128" i="7" s="1"/>
  <c r="R130" i="7"/>
  <c r="S130" i="7" s="1"/>
  <c r="T130" i="7" s="1"/>
  <c r="N133" i="7"/>
  <c r="O133" i="7" s="1"/>
  <c r="P133" i="7" s="1"/>
  <c r="J136" i="7"/>
  <c r="K136" i="7" s="1"/>
  <c r="L136" i="7" s="1"/>
  <c r="R138" i="7"/>
  <c r="S138" i="7" s="1"/>
  <c r="T138" i="7" s="1"/>
  <c r="N141" i="7"/>
  <c r="O141" i="7" s="1"/>
  <c r="P141" i="7" s="1"/>
  <c r="R146" i="7"/>
  <c r="S146" i="7" s="1"/>
  <c r="T146" i="7" s="1"/>
  <c r="H205" i="7" a="1"/>
  <c r="H205" i="7" s="1"/>
  <c r="H231" i="7" a="1"/>
  <c r="H231" i="7" s="1"/>
  <c r="H244" i="7" a="1"/>
  <c r="H244" i="7" s="1"/>
  <c r="J73" i="7"/>
  <c r="R75" i="7"/>
  <c r="S75" i="7" s="1"/>
  <c r="T75" i="7" s="1"/>
  <c r="N15" i="7"/>
  <c r="O15" i="7" s="1"/>
  <c r="P15" i="7" s="1"/>
  <c r="J171" i="7"/>
  <c r="K171" i="7" s="1"/>
  <c r="L171" i="7" s="1"/>
  <c r="R23" i="7"/>
  <c r="T23" i="7" s="1"/>
  <c r="N19" i="7"/>
  <c r="O19" i="7" s="1"/>
  <c r="P19" i="7" s="1"/>
  <c r="J77" i="7"/>
  <c r="C15" i="55" s="1"/>
  <c r="R24" i="7"/>
  <c r="N35" i="7"/>
  <c r="J38" i="7"/>
  <c r="K38" i="7" s="1"/>
  <c r="L38" i="7" s="1"/>
  <c r="R40" i="7"/>
  <c r="S40" i="7" s="1"/>
  <c r="T40" i="7" s="1"/>
  <c r="N29" i="7"/>
  <c r="O29" i="7" s="1"/>
  <c r="P29" i="7" s="1"/>
  <c r="J159" i="7"/>
  <c r="R173" i="7"/>
  <c r="S173" i="7" s="1"/>
  <c r="T173" i="7" s="1"/>
  <c r="N42" i="7"/>
  <c r="O42" i="7" s="1"/>
  <c r="P42" i="7" s="1"/>
  <c r="J45" i="7"/>
  <c r="K45" i="7" s="1"/>
  <c r="L45" i="7" s="1"/>
  <c r="R79" i="7"/>
  <c r="N82" i="7"/>
  <c r="O82" i="7" s="1"/>
  <c r="P82" i="7" s="1"/>
  <c r="J49" i="7"/>
  <c r="K49" i="7" s="1"/>
  <c r="L49" i="7" s="1"/>
  <c r="R51" i="7"/>
  <c r="S51" i="7" s="1"/>
  <c r="T51" i="7" s="1"/>
  <c r="N54" i="7"/>
  <c r="J57" i="7"/>
  <c r="K57" i="7" s="1"/>
  <c r="L57" i="7" s="1"/>
  <c r="R59" i="7"/>
  <c r="S59" i="7" s="1"/>
  <c r="T59" i="7" s="1"/>
  <c r="N32" i="7"/>
  <c r="O32" i="7" s="1"/>
  <c r="P32" i="7" s="1"/>
  <c r="J64" i="7"/>
  <c r="K64" i="7" s="1"/>
  <c r="L64" i="7" s="1"/>
  <c r="R66" i="7"/>
  <c r="S66" i="7" s="1"/>
  <c r="T66" i="7" s="1"/>
  <c r="N69" i="7"/>
  <c r="O69" i="7" s="1"/>
  <c r="P69" i="7" s="1"/>
  <c r="J72" i="7"/>
  <c r="K72" i="7" s="1"/>
  <c r="L72" i="7" s="1"/>
  <c r="R34" i="7"/>
  <c r="S34" i="7" s="1"/>
  <c r="T34" i="7" s="1"/>
  <c r="N153" i="7"/>
  <c r="O153" i="7" s="1"/>
  <c r="P153" i="7" s="1"/>
  <c r="J163" i="7"/>
  <c r="K163" i="7" s="1"/>
  <c r="L163" i="7" s="1"/>
  <c r="R165" i="7"/>
  <c r="S165" i="7" s="1"/>
  <c r="T165" i="7" s="1"/>
  <c r="N155" i="7"/>
  <c r="O155" i="7" s="1"/>
  <c r="P155" i="7" s="1"/>
  <c r="J175" i="7"/>
  <c r="K175" i="7" s="1"/>
  <c r="L175" i="7" s="1"/>
  <c r="R177" i="7"/>
  <c r="G29" i="55" s="1"/>
  <c r="N83" i="7"/>
  <c r="J86" i="7"/>
  <c r="K86" i="7" s="1"/>
  <c r="L86" i="7" s="1"/>
  <c r="R88" i="7"/>
  <c r="S88" i="7" s="1"/>
  <c r="T88" i="7" s="1"/>
  <c r="N169" i="7"/>
  <c r="O169" i="7" s="1"/>
  <c r="P169" i="7" s="1"/>
  <c r="J91" i="7"/>
  <c r="K91" i="7" s="1"/>
  <c r="L91" i="7" s="1"/>
  <c r="R93" i="7"/>
  <c r="S93" i="7" s="1"/>
  <c r="T93" i="7" s="1"/>
  <c r="N96" i="7"/>
  <c r="O96" i="7" s="1"/>
  <c r="P96" i="7" s="1"/>
  <c r="J99" i="7"/>
  <c r="K99" i="7" s="1"/>
  <c r="L99" i="7" s="1"/>
  <c r="R101" i="7"/>
  <c r="S101" i="7" s="1"/>
  <c r="T101" i="7" s="1"/>
  <c r="N104" i="7"/>
  <c r="O104" i="7" s="1"/>
  <c r="P104" i="7" s="1"/>
  <c r="J107" i="7"/>
  <c r="K107" i="7" s="1"/>
  <c r="L107" i="7" s="1"/>
  <c r="R109" i="7"/>
  <c r="S109" i="7" s="1"/>
  <c r="T109" i="7" s="1"/>
  <c r="N112" i="7"/>
  <c r="O112" i="7" s="1"/>
  <c r="P112" i="7" s="1"/>
  <c r="J115" i="7"/>
  <c r="K115" i="7" s="1"/>
  <c r="L115" i="7" s="1"/>
  <c r="R117" i="7"/>
  <c r="S117" i="7" s="1"/>
  <c r="T117" i="7" s="1"/>
  <c r="N120" i="7"/>
  <c r="O120" i="7" s="1"/>
  <c r="P120" i="7" s="1"/>
  <c r="J123" i="7"/>
  <c r="K123" i="7" s="1"/>
  <c r="L123" i="7" s="1"/>
  <c r="R125" i="7"/>
  <c r="S125" i="7" s="1"/>
  <c r="T125" i="7" s="1"/>
  <c r="N128" i="7"/>
  <c r="O128" i="7" s="1"/>
  <c r="P128" i="7" s="1"/>
  <c r="J131" i="7"/>
  <c r="K131" i="7" s="1"/>
  <c r="L131" i="7" s="1"/>
  <c r="R133" i="7"/>
  <c r="S133" i="7" s="1"/>
  <c r="T133" i="7" s="1"/>
  <c r="N136" i="7"/>
  <c r="O136" i="7" s="1"/>
  <c r="P136" i="7" s="1"/>
  <c r="J139" i="7"/>
  <c r="K139" i="7" s="1"/>
  <c r="L139" i="7" s="1"/>
  <c r="R141" i="7"/>
  <c r="S141" i="7" s="1"/>
  <c r="T141" i="7" s="1"/>
  <c r="N144" i="7"/>
  <c r="O144" i="7" s="1"/>
  <c r="P144" i="7" s="1"/>
  <c r="J147" i="7"/>
  <c r="K147" i="7" s="1"/>
  <c r="L147" i="7" s="1"/>
  <c r="N145" i="7"/>
  <c r="H210" i="7" a="1"/>
  <c r="H210" i="7" s="1"/>
  <c r="H235" i="7" a="1"/>
  <c r="H235" i="7" s="1"/>
  <c r="H248" i="7" a="1"/>
  <c r="H248" i="7" s="1"/>
  <c r="N73" i="7"/>
  <c r="J76" i="7"/>
  <c r="K76" i="7" s="1"/>
  <c r="L76" i="7" s="1"/>
  <c r="R15" i="7"/>
  <c r="S15" i="7" s="1"/>
  <c r="T15" i="7" s="1"/>
  <c r="N171" i="7"/>
  <c r="O171" i="7" s="1"/>
  <c r="P171" i="7" s="1"/>
  <c r="J18" i="7"/>
  <c r="K18" i="7" s="1"/>
  <c r="L18" i="7" s="1"/>
  <c r="R19" i="7"/>
  <c r="S19" i="7" s="1"/>
  <c r="T19" i="7" s="1"/>
  <c r="N77" i="7"/>
  <c r="E15" i="55" s="1"/>
  <c r="J25" i="7"/>
  <c r="K25" i="7" s="1"/>
  <c r="L25" i="7" s="1"/>
  <c r="R35" i="7"/>
  <c r="N38" i="7"/>
  <c r="O38" i="7" s="1"/>
  <c r="P38" i="7" s="1"/>
  <c r="J27" i="7"/>
  <c r="R29" i="7"/>
  <c r="S29" i="7" s="1"/>
  <c r="T29" i="7" s="1"/>
  <c r="N159" i="7"/>
  <c r="J174" i="7"/>
  <c r="K174" i="7" s="1"/>
  <c r="L174" i="7" s="1"/>
  <c r="R42" i="7"/>
  <c r="S42" i="7" s="1"/>
  <c r="T42" i="7" s="1"/>
  <c r="N45" i="7"/>
  <c r="O45" i="7" s="1"/>
  <c r="P45" i="7" s="1"/>
  <c r="J80" i="7"/>
  <c r="K80" i="7" s="1"/>
  <c r="L80" i="7" s="1"/>
  <c r="R82" i="7"/>
  <c r="S82" i="7" s="1"/>
  <c r="T82" i="7" s="1"/>
  <c r="N49" i="7"/>
  <c r="O49" i="7" s="1"/>
  <c r="P49" i="7" s="1"/>
  <c r="J52" i="7"/>
  <c r="K52" i="7" s="1"/>
  <c r="L52" i="7" s="1"/>
  <c r="R54" i="7"/>
  <c r="N57" i="7"/>
  <c r="O57" i="7" s="1"/>
  <c r="P57" i="7" s="1"/>
  <c r="J60" i="7"/>
  <c r="K60" i="7" s="1"/>
  <c r="L60" i="7" s="1"/>
  <c r="R32" i="7"/>
  <c r="S32" i="7" s="1"/>
  <c r="T32" i="7" s="1"/>
  <c r="N64" i="7"/>
  <c r="O64" i="7" s="1"/>
  <c r="P64" i="7" s="1"/>
  <c r="J67" i="7"/>
  <c r="K67" i="7" s="1"/>
  <c r="L67" i="7" s="1"/>
  <c r="R69" i="7"/>
  <c r="S69" i="7" s="1"/>
  <c r="T69" i="7" s="1"/>
  <c r="N72" i="7"/>
  <c r="O72" i="7" s="1"/>
  <c r="P72" i="7" s="1"/>
  <c r="J151" i="7"/>
  <c r="R153" i="7"/>
  <c r="S153" i="7" s="1"/>
  <c r="T153" i="7" s="1"/>
  <c r="N163" i="7"/>
  <c r="O163" i="7" s="1"/>
  <c r="P163" i="7" s="1"/>
  <c r="J166" i="7"/>
  <c r="K166" i="7" s="1"/>
  <c r="L166" i="7" s="1"/>
  <c r="R155" i="7"/>
  <c r="S155" i="7" s="1"/>
  <c r="T155" i="7" s="1"/>
  <c r="N175" i="7"/>
  <c r="O175" i="7" s="1"/>
  <c r="P175" i="7" s="1"/>
  <c r="J158" i="7"/>
  <c r="R83" i="7"/>
  <c r="N86" i="7"/>
  <c r="O86" i="7" s="1"/>
  <c r="P86" i="7" s="1"/>
  <c r="J167" i="7"/>
  <c r="R169" i="7"/>
  <c r="S169" i="7" s="1"/>
  <c r="T169" i="7" s="1"/>
  <c r="N91" i="7"/>
  <c r="O91" i="7" s="1"/>
  <c r="P91" i="7" s="1"/>
  <c r="J94" i="7"/>
  <c r="K94" i="7" s="1"/>
  <c r="L94" i="7" s="1"/>
  <c r="R96" i="7"/>
  <c r="S96" i="7" s="1"/>
  <c r="T96" i="7" s="1"/>
  <c r="N99" i="7"/>
  <c r="O99" i="7" s="1"/>
  <c r="P99" i="7" s="1"/>
  <c r="J102" i="7"/>
  <c r="K102" i="7" s="1"/>
  <c r="L102" i="7" s="1"/>
  <c r="R104" i="7"/>
  <c r="S104" i="7" s="1"/>
  <c r="T104" i="7" s="1"/>
  <c r="N107" i="7"/>
  <c r="O107" i="7" s="1"/>
  <c r="P107" i="7" s="1"/>
  <c r="J110" i="7"/>
  <c r="K110" i="7" s="1"/>
  <c r="L110" i="7" s="1"/>
  <c r="R112" i="7"/>
  <c r="S112" i="7" s="1"/>
  <c r="T112" i="7" s="1"/>
  <c r="N115" i="7"/>
  <c r="O115" i="7" s="1"/>
  <c r="P115" i="7" s="1"/>
  <c r="J118" i="7"/>
  <c r="K118" i="7" s="1"/>
  <c r="L118" i="7" s="1"/>
  <c r="R120" i="7"/>
  <c r="S120" i="7" s="1"/>
  <c r="T120" i="7" s="1"/>
  <c r="N123" i="7"/>
  <c r="O123" i="7" s="1"/>
  <c r="P123" i="7" s="1"/>
  <c r="J126" i="7"/>
  <c r="K126" i="7" s="1"/>
  <c r="L126" i="7" s="1"/>
  <c r="R128" i="7"/>
  <c r="S128" i="7" s="1"/>
  <c r="T128" i="7" s="1"/>
  <c r="N131" i="7"/>
  <c r="O131" i="7" s="1"/>
  <c r="P131" i="7" s="1"/>
  <c r="J134" i="7"/>
  <c r="K134" i="7" s="1"/>
  <c r="L134" i="7" s="1"/>
  <c r="R136" i="7"/>
  <c r="S136" i="7" s="1"/>
  <c r="T136" i="7" s="1"/>
  <c r="N139" i="7"/>
  <c r="O139" i="7" s="1"/>
  <c r="P139" i="7" s="1"/>
  <c r="J142" i="7"/>
  <c r="K142" i="7" s="1"/>
  <c r="L142" i="7" s="1"/>
  <c r="R144" i="7"/>
  <c r="S144" i="7" s="1"/>
  <c r="T144" i="7" s="1"/>
  <c r="N147" i="7"/>
  <c r="O147" i="7" s="1"/>
  <c r="P147" i="7" s="1"/>
  <c r="J145" i="7"/>
  <c r="C19" i="55" s="1"/>
  <c r="R149" i="46"/>
  <c r="N149" i="46"/>
  <c r="N149" i="47"/>
  <c r="H149" i="46" a="1"/>
  <c r="H149" i="46" s="1"/>
  <c r="J149" i="47"/>
  <c r="H149" i="47" a="1"/>
  <c r="H149" i="47" s="1"/>
  <c r="R149" i="47"/>
  <c r="J149" i="46"/>
  <c r="AJ300" i="7"/>
  <c r="AJ300" i="46"/>
  <c r="AJ300" i="47"/>
  <c r="AJ281" i="7"/>
  <c r="AJ281" i="47"/>
  <c r="AJ281" i="46"/>
  <c r="AJ286" i="47"/>
  <c r="AJ286" i="7"/>
  <c r="AJ286" i="46"/>
  <c r="AJ269" i="47"/>
  <c r="AJ269" i="46"/>
  <c r="AJ269" i="7"/>
  <c r="AJ274" i="7"/>
  <c r="AJ274" i="46"/>
  <c r="AJ274" i="47"/>
  <c r="AJ258" i="7"/>
  <c r="AJ258" i="47"/>
  <c r="AJ258" i="46"/>
  <c r="AJ256" i="7"/>
  <c r="AJ256" i="47"/>
  <c r="AJ256" i="46"/>
  <c r="AJ280" i="47"/>
  <c r="AJ280" i="7"/>
  <c r="AJ280" i="46"/>
  <c r="AJ290" i="47"/>
  <c r="AJ290" i="46"/>
  <c r="AJ290" i="7"/>
  <c r="AJ276" i="47"/>
  <c r="AJ276" i="7"/>
  <c r="AJ276" i="46"/>
  <c r="AJ289" i="7"/>
  <c r="AJ289" i="47"/>
  <c r="AJ289" i="46"/>
  <c r="AJ272" i="7"/>
  <c r="AJ272" i="47"/>
  <c r="AJ272" i="46"/>
  <c r="AJ267" i="7"/>
  <c r="AJ267" i="46"/>
  <c r="AJ267" i="47"/>
  <c r="AJ257" i="7"/>
  <c r="AJ257" i="47"/>
  <c r="AJ257" i="46"/>
  <c r="AJ259" i="7"/>
  <c r="AJ259" i="47"/>
  <c r="AJ259" i="46"/>
  <c r="AJ255" i="7"/>
  <c r="AJ255" i="47"/>
  <c r="AJ255" i="46"/>
  <c r="AJ261" i="7"/>
  <c r="AJ261" i="47"/>
  <c r="AJ261" i="46"/>
  <c r="AJ298" i="47"/>
  <c r="AJ298" i="46"/>
  <c r="AJ298" i="7"/>
  <c r="AJ277" i="46"/>
  <c r="AJ277" i="7"/>
  <c r="AJ277" i="47"/>
  <c r="AJ266" i="7"/>
  <c r="AJ266" i="47"/>
  <c r="AJ266" i="46"/>
  <c r="AJ299" i="47"/>
  <c r="AJ299" i="7"/>
  <c r="AJ299" i="46"/>
  <c r="AJ284" i="47"/>
  <c r="AJ284" i="7"/>
  <c r="AJ284" i="46"/>
  <c r="AJ278" i="7"/>
  <c r="AJ278" i="47"/>
  <c r="AJ278" i="46"/>
  <c r="AJ265" i="7"/>
  <c r="AJ265" i="46"/>
  <c r="AJ265" i="47"/>
  <c r="AJ288" i="7"/>
  <c r="AJ288" i="46"/>
  <c r="AJ288" i="47"/>
  <c r="AJ287" i="47"/>
  <c r="AJ287" i="7"/>
  <c r="AJ287" i="46"/>
  <c r="AJ254" i="7"/>
  <c r="AJ254" i="47"/>
  <c r="AJ254" i="46"/>
  <c r="AJ283" i="47"/>
  <c r="AJ283" i="7"/>
  <c r="AJ283" i="46"/>
  <c r="AJ282" i="7"/>
  <c r="AJ282" i="46"/>
  <c r="AJ282" i="47"/>
  <c r="AJ264" i="7"/>
  <c r="AJ264" i="46"/>
  <c r="AJ264" i="47"/>
  <c r="AJ296" i="7"/>
  <c r="AJ296" i="46"/>
  <c r="AJ296" i="47"/>
  <c r="AJ260" i="7"/>
  <c r="AJ260" i="46"/>
  <c r="AJ260" i="47"/>
  <c r="AJ279" i="7"/>
  <c r="AJ279" i="47"/>
  <c r="AJ279" i="46"/>
  <c r="AJ293" i="7"/>
  <c r="AJ293" i="47"/>
  <c r="AJ293" i="46"/>
  <c r="AK250" i="47"/>
  <c r="AJ244" i="47"/>
  <c r="AK242" i="47"/>
  <c r="AK240" i="47"/>
  <c r="AK238" i="47"/>
  <c r="AJ232" i="47"/>
  <c r="AK230" i="47"/>
  <c r="AJ224" i="47"/>
  <c r="AK222" i="47"/>
  <c r="AK220" i="47"/>
  <c r="AJ215" i="47"/>
  <c r="AK213" i="47"/>
  <c r="AJ207" i="47"/>
  <c r="AJ202" i="47"/>
  <c r="AK198" i="47"/>
  <c r="AJ192" i="47"/>
  <c r="AK190" i="47"/>
  <c r="AJ184" i="47"/>
  <c r="AJ179" i="47"/>
  <c r="AK148" i="47"/>
  <c r="AJ145" i="47"/>
  <c r="AJ143" i="47"/>
  <c r="AK141" i="47"/>
  <c r="AK139" i="47"/>
  <c r="AJ136" i="47"/>
  <c r="AK134" i="47"/>
  <c r="AK129" i="47"/>
  <c r="AK127" i="47"/>
  <c r="AK125" i="47"/>
  <c r="AJ117" i="47"/>
  <c r="AK115" i="47"/>
  <c r="AK110" i="47"/>
  <c r="AJ104" i="47"/>
  <c r="AK102" i="47"/>
  <c r="AJ96" i="47"/>
  <c r="AK94" i="47"/>
  <c r="AJ91" i="47"/>
  <c r="AK89" i="47"/>
  <c r="AJ167" i="47"/>
  <c r="AK87" i="47"/>
  <c r="AJ158" i="47"/>
  <c r="AK176" i="47"/>
  <c r="AJ166" i="47"/>
  <c r="AK164" i="47"/>
  <c r="AJ33" i="47"/>
  <c r="AJ68" i="47"/>
  <c r="AK66" i="47"/>
  <c r="AJ56" i="47"/>
  <c r="AK52" i="47"/>
  <c r="AJ49" i="47"/>
  <c r="AJ47" i="47"/>
  <c r="AK81" i="47"/>
  <c r="AJ46" i="47"/>
  <c r="AJ41" i="47"/>
  <c r="AK173" i="47"/>
  <c r="AJ28" i="47"/>
  <c r="AK38" i="47"/>
  <c r="AJ35" i="47"/>
  <c r="AK78" i="47"/>
  <c r="AK172" i="47"/>
  <c r="AJ170" i="47"/>
  <c r="AK14" i="47"/>
  <c r="AK249" i="46"/>
  <c r="AK244" i="46"/>
  <c r="AK239" i="46"/>
  <c r="AJ236" i="46"/>
  <c r="AJ229" i="46"/>
  <c r="AJ224" i="46"/>
  <c r="AK222" i="46"/>
  <c r="AJ219" i="46"/>
  <c r="AJ249" i="47"/>
  <c r="AK247" i="47"/>
  <c r="AJ241" i="47"/>
  <c r="AJ237" i="47"/>
  <c r="AK235" i="47"/>
  <c r="AJ229" i="47"/>
  <c r="AK227" i="47"/>
  <c r="AJ221" i="47"/>
  <c r="AJ219" i="47"/>
  <c r="AK217" i="47"/>
  <c r="AJ212" i="47"/>
  <c r="AK210" i="47"/>
  <c r="AK205" i="47"/>
  <c r="AJ197" i="47"/>
  <c r="AK195" i="47"/>
  <c r="AJ189" i="47"/>
  <c r="AK187" i="47"/>
  <c r="AK182" i="47"/>
  <c r="AJ147" i="47"/>
  <c r="AJ138" i="47"/>
  <c r="AJ133" i="47"/>
  <c r="AK131" i="47"/>
  <c r="AJ128" i="47"/>
  <c r="AJ124" i="47"/>
  <c r="AK122" i="47"/>
  <c r="AJ119" i="47"/>
  <c r="AJ114" i="47"/>
  <c r="AK112" i="47"/>
  <c r="AJ109" i="47"/>
  <c r="AK107" i="47"/>
  <c r="AJ101" i="47"/>
  <c r="AK99" i="47"/>
  <c r="AJ93" i="47"/>
  <c r="AJ169" i="47"/>
  <c r="AJ86" i="47"/>
  <c r="AK84" i="47"/>
  <c r="AJ175" i="47"/>
  <c r="AK156" i="47"/>
  <c r="AJ163" i="47"/>
  <c r="AK161" i="47"/>
  <c r="AK152" i="47"/>
  <c r="AK71" i="47"/>
  <c r="AJ65" i="47"/>
  <c r="AK63" i="47"/>
  <c r="AJ61" i="47"/>
  <c r="AK59" i="47"/>
  <c r="AK54" i="47"/>
  <c r="AJ51" i="47"/>
  <c r="AJ80" i="47"/>
  <c r="AK44" i="47"/>
  <c r="AJ160" i="47"/>
  <c r="AK31" i="47"/>
  <c r="AK40" i="47"/>
  <c r="AJ37" i="47"/>
  <c r="AK25" i="47"/>
  <c r="AJ77" i="47"/>
  <c r="AK20" i="47"/>
  <c r="AJ18" i="47"/>
  <c r="AK17" i="47"/>
  <c r="AJ76" i="47"/>
  <c r="AK74" i="47"/>
  <c r="AJ248" i="46"/>
  <c r="AK246" i="46"/>
  <c r="AJ243" i="46"/>
  <c r="AK241" i="46"/>
  <c r="AJ238" i="46"/>
  <c r="AK234" i="46"/>
  <c r="AJ231" i="46"/>
  <c r="AK227" i="46"/>
  <c r="AJ221" i="46"/>
  <c r="AJ246" i="47"/>
  <c r="AK244" i="47"/>
  <c r="AJ239" i="47"/>
  <c r="AJ234" i="47"/>
  <c r="AK232" i="47"/>
  <c r="AJ226" i="47"/>
  <c r="AK224" i="47"/>
  <c r="AJ216" i="47"/>
  <c r="AK215" i="47"/>
  <c r="AJ209" i="47"/>
  <c r="AK207" i="47"/>
  <c r="AJ204" i="47"/>
  <c r="AK202" i="47"/>
  <c r="AK200" i="47"/>
  <c r="AJ194" i="47"/>
  <c r="AK192" i="47"/>
  <c r="AJ186" i="47"/>
  <c r="AK184" i="47"/>
  <c r="AJ181" i="47"/>
  <c r="AK179" i="47"/>
  <c r="AK145" i="47"/>
  <c r="AK143" i="47"/>
  <c r="AJ140" i="47"/>
  <c r="AK136" i="47"/>
  <c r="AJ126" i="47"/>
  <c r="AJ121" i="47"/>
  <c r="AK117" i="47"/>
  <c r="AJ111" i="47"/>
  <c r="AJ106" i="47"/>
  <c r="AK104" i="47"/>
  <c r="AJ98" i="47"/>
  <c r="AK96" i="47"/>
  <c r="AK91" i="47"/>
  <c r="AK167" i="47"/>
  <c r="AJ83" i="47"/>
  <c r="AK158" i="47"/>
  <c r="AJ155" i="47"/>
  <c r="AK166" i="47"/>
  <c r="AJ151" i="47"/>
  <c r="AK33" i="47"/>
  <c r="AJ70" i="47"/>
  <c r="AK68" i="47"/>
  <c r="AJ62" i="47"/>
  <c r="AJ58" i="47"/>
  <c r="AK56" i="47"/>
  <c r="AJ53" i="47"/>
  <c r="AK49" i="47"/>
  <c r="AK47" i="47"/>
  <c r="AK46" i="47"/>
  <c r="AJ43" i="47"/>
  <c r="AK41" i="47"/>
  <c r="AJ30" i="47"/>
  <c r="AJ39" i="47"/>
  <c r="AK35" i="47"/>
  <c r="AJ24" i="47"/>
  <c r="AJ19" i="47"/>
  <c r="AJ171" i="47"/>
  <c r="AK170" i="47"/>
  <c r="AJ73" i="47"/>
  <c r="AJ250" i="46"/>
  <c r="AJ245" i="46"/>
  <c r="AJ240" i="46"/>
  <c r="AK236" i="46"/>
  <c r="AJ233" i="46"/>
  <c r="AK229" i="46"/>
  <c r="AJ226" i="46"/>
  <c r="AK224" i="46"/>
  <c r="AK219" i="46"/>
  <c r="AK249" i="47"/>
  <c r="AJ243" i="47"/>
  <c r="AK237" i="47"/>
  <c r="AJ231" i="47"/>
  <c r="AK229" i="47"/>
  <c r="AJ223" i="47"/>
  <c r="AK221" i="47"/>
  <c r="AK219" i="47"/>
  <c r="AJ214" i="47"/>
  <c r="AK212" i="47"/>
  <c r="AJ201" i="47"/>
  <c r="AJ199" i="47"/>
  <c r="AK197" i="47"/>
  <c r="AJ191" i="47"/>
  <c r="AK189" i="47"/>
  <c r="AJ178" i="47"/>
  <c r="AJ144" i="47"/>
  <c r="AJ142" i="47"/>
  <c r="AJ135" i="47"/>
  <c r="AK133" i="47"/>
  <c r="AJ130" i="47"/>
  <c r="AK128" i="47"/>
  <c r="AK124" i="47"/>
  <c r="AK119" i="47"/>
  <c r="AJ116" i="47"/>
  <c r="AK114" i="47"/>
  <c r="AK109" i="47"/>
  <c r="AJ103" i="47"/>
  <c r="AK101" i="47"/>
  <c r="AJ95" i="47"/>
  <c r="AK93" i="47"/>
  <c r="AJ90" i="47"/>
  <c r="AK169" i="47"/>
  <c r="AJ88" i="47"/>
  <c r="AK86" i="47"/>
  <c r="AJ177" i="47"/>
  <c r="AK175" i="47"/>
  <c r="AJ165" i="47"/>
  <c r="AK163" i="47"/>
  <c r="AJ153" i="47"/>
  <c r="AJ72" i="47"/>
  <c r="AJ67" i="47"/>
  <c r="AK65" i="47"/>
  <c r="AK61" i="47"/>
  <c r="AJ55" i="47"/>
  <c r="AJ48" i="47"/>
  <c r="AJ82" i="47"/>
  <c r="AK80" i="47"/>
  <c r="AJ45" i="47"/>
  <c r="AJ174" i="47"/>
  <c r="AK160" i="47"/>
  <c r="AK28" i="47"/>
  <c r="AK37" i="47"/>
  <c r="AJ26" i="47"/>
  <c r="AK77" i="47"/>
  <c r="AK18" i="47"/>
  <c r="AJ15" i="47"/>
  <c r="AK76" i="47"/>
  <c r="AK248" i="46"/>
  <c r="AK243" i="46"/>
  <c r="AK238" i="46"/>
  <c r="AJ235" i="46"/>
  <c r="AJ228" i="46"/>
  <c r="AJ223" i="46"/>
  <c r="AJ218" i="46"/>
  <c r="AJ248" i="47"/>
  <c r="AK246" i="47"/>
  <c r="AK241" i="47"/>
  <c r="AJ236" i="47"/>
  <c r="AK234" i="47"/>
  <c r="AJ228" i="47"/>
  <c r="AK226" i="47"/>
  <c r="AJ220" i="47"/>
  <c r="AJ218" i="47"/>
  <c r="AJ211" i="47"/>
  <c r="AK209" i="47"/>
  <c r="AJ206" i="47"/>
  <c r="AK204" i="47"/>
  <c r="AJ196" i="47"/>
  <c r="AK194" i="47"/>
  <c r="AJ188" i="47"/>
  <c r="AK186" i="47"/>
  <c r="AJ183" i="47"/>
  <c r="AK181" i="47"/>
  <c r="AK147" i="47"/>
  <c r="AK138" i="47"/>
  <c r="AJ132" i="47"/>
  <c r="AJ123" i="47"/>
  <c r="AK121" i="47"/>
  <c r="AJ113" i="47"/>
  <c r="AK111" i="47"/>
  <c r="AJ108" i="47"/>
  <c r="AK106" i="47"/>
  <c r="AJ100" i="47"/>
  <c r="AK98" i="47"/>
  <c r="AJ168" i="47"/>
  <c r="AJ85" i="47"/>
  <c r="AK83" i="47"/>
  <c r="AJ157" i="47"/>
  <c r="AK155" i="47"/>
  <c r="AJ162" i="47"/>
  <c r="AK151" i="47"/>
  <c r="AK70" i="47"/>
  <c r="AJ64" i="47"/>
  <c r="AK62" i="47"/>
  <c r="AJ60" i="47"/>
  <c r="AK58" i="47"/>
  <c r="AK53" i="47"/>
  <c r="AK51" i="47"/>
  <c r="AJ79" i="47"/>
  <c r="AK43" i="47"/>
  <c r="AJ159" i="47"/>
  <c r="AK30" i="47"/>
  <c r="AJ27" i="47"/>
  <c r="AJ36" i="47"/>
  <c r="AK24" i="47"/>
  <c r="AJ21" i="47"/>
  <c r="AJ23" i="47"/>
  <c r="AK171" i="47"/>
  <c r="AJ75" i="47"/>
  <c r="AK73" i="47"/>
  <c r="AJ247" i="46"/>
  <c r="AJ242" i="46"/>
  <c r="AJ237" i="46"/>
  <c r="AK233" i="46"/>
  <c r="AK231" i="46"/>
  <c r="AK226" i="46"/>
  <c r="AK221" i="46"/>
  <c r="AJ245" i="47"/>
  <c r="AK243" i="47"/>
  <c r="AK239" i="47"/>
  <c r="AJ233" i="47"/>
  <c r="AK231" i="47"/>
  <c r="AJ225" i="47"/>
  <c r="AK223" i="47"/>
  <c r="AJ250" i="47"/>
  <c r="AK248" i="47"/>
  <c r="AJ242" i="47"/>
  <c r="AJ240" i="47"/>
  <c r="AJ238" i="47"/>
  <c r="AK236" i="47"/>
  <c r="AJ230" i="47"/>
  <c r="AK228" i="47"/>
  <c r="AJ222" i="47"/>
  <c r="AK218" i="47"/>
  <c r="AK216" i="47"/>
  <c r="AJ213" i="47"/>
  <c r="AK211" i="47"/>
  <c r="AK206" i="47"/>
  <c r="AJ198" i="47"/>
  <c r="AK196" i="47"/>
  <c r="AJ190" i="47"/>
  <c r="AK188" i="47"/>
  <c r="AK183" i="47"/>
  <c r="AJ148" i="47"/>
  <c r="AJ141" i="47"/>
  <c r="AJ139" i="47"/>
  <c r="AJ134" i="47"/>
  <c r="AK132" i="47"/>
  <c r="AJ129" i="47"/>
  <c r="AJ125" i="47"/>
  <c r="AK123" i="47"/>
  <c r="AJ115" i="47"/>
  <c r="AK113" i="47"/>
  <c r="AK108" i="47"/>
  <c r="AJ102" i="47"/>
  <c r="AK100" i="47"/>
  <c r="AJ94" i="47"/>
  <c r="AJ89" i="47"/>
  <c r="AJ87" i="47"/>
  <c r="AK85" i="47"/>
  <c r="AJ176" i="47"/>
  <c r="AK157" i="47"/>
  <c r="AJ164" i="47"/>
  <c r="AK162" i="47"/>
  <c r="AJ66" i="47"/>
  <c r="AK64" i="47"/>
  <c r="AK60" i="47"/>
  <c r="AK55" i="47"/>
  <c r="AJ52" i="47"/>
  <c r="AK48" i="47"/>
  <c r="AJ81" i="47"/>
  <c r="AJ44" i="47"/>
  <c r="AJ173" i="47"/>
  <c r="AK159" i="47"/>
  <c r="AK27" i="47"/>
  <c r="AJ38" i="47"/>
  <c r="AK36" i="47"/>
  <c r="AJ25" i="47"/>
  <c r="AK21" i="47"/>
  <c r="AJ172" i="47"/>
  <c r="AK23" i="47"/>
  <c r="AJ14" i="47"/>
  <c r="AK75" i="47"/>
  <c r="AJ247" i="47"/>
  <c r="AK245" i="47"/>
  <c r="AJ235" i="47"/>
  <c r="AK233" i="47"/>
  <c r="AJ227" i="47"/>
  <c r="AK225" i="47"/>
  <c r="AJ217" i="47"/>
  <c r="AJ210" i="47"/>
  <c r="AK208" i="47"/>
  <c r="AJ205" i="47"/>
  <c r="AK203" i="47"/>
  <c r="AJ200" i="47"/>
  <c r="AJ195" i="47"/>
  <c r="AK193" i="47"/>
  <c r="AJ187" i="47"/>
  <c r="AK185" i="47"/>
  <c r="AJ182" i="47"/>
  <c r="AK180" i="47"/>
  <c r="AK146" i="47"/>
  <c r="AK144" i="47"/>
  <c r="AK137" i="47"/>
  <c r="AJ131" i="47"/>
  <c r="AJ122" i="47"/>
  <c r="AK120" i="47"/>
  <c r="AK118" i="47"/>
  <c r="AJ112" i="47"/>
  <c r="AJ107" i="47"/>
  <c r="AK105" i="47"/>
  <c r="AJ99" i="47"/>
  <c r="AK97" i="47"/>
  <c r="AK92" i="47"/>
  <c r="AK168" i="47"/>
  <c r="AJ84" i="47"/>
  <c r="AK22" i="47"/>
  <c r="AJ156" i="47"/>
  <c r="AK154" i="47"/>
  <c r="AJ161" i="47"/>
  <c r="AJ152" i="47"/>
  <c r="AK34" i="47"/>
  <c r="AJ71" i="47"/>
  <c r="AK69" i="47"/>
  <c r="AJ63" i="47"/>
  <c r="AK32" i="47"/>
  <c r="AJ59" i="47"/>
  <c r="AK57" i="47"/>
  <c r="AJ54" i="47"/>
  <c r="AK50" i="47"/>
  <c r="AK79" i="47"/>
  <c r="AK42" i="47"/>
  <c r="AJ31" i="47"/>
  <c r="AK29" i="47"/>
  <c r="AJ40" i="47"/>
  <c r="AJ20" i="47"/>
  <c r="AJ17" i="47"/>
  <c r="AK16" i="47"/>
  <c r="AJ74" i="47"/>
  <c r="AK150" i="47"/>
  <c r="AJ246" i="46"/>
  <c r="AJ241" i="46"/>
  <c r="AK237" i="46"/>
  <c r="AJ234" i="46"/>
  <c r="AK232" i="46"/>
  <c r="AK230" i="46"/>
  <c r="AK225" i="46"/>
  <c r="AK220" i="46"/>
  <c r="AK214" i="47"/>
  <c r="AK191" i="47"/>
  <c r="AJ120" i="47"/>
  <c r="AJ97" i="47"/>
  <c r="AJ92" i="47"/>
  <c r="AK201" i="47"/>
  <c r="AK178" i="47"/>
  <c r="AK130" i="47"/>
  <c r="AK116" i="47"/>
  <c r="AJ22" i="47"/>
  <c r="AK140" i="47"/>
  <c r="AK135" i="47"/>
  <c r="AK126" i="47"/>
  <c r="AK103" i="47"/>
  <c r="AJ193" i="47"/>
  <c r="AK95" i="47"/>
  <c r="AK90" i="47"/>
  <c r="AJ203" i="47"/>
  <c r="AJ180" i="47"/>
  <c r="AJ146" i="47"/>
  <c r="AK142" i="47"/>
  <c r="AJ127" i="47"/>
  <c r="AJ118" i="47"/>
  <c r="AK177" i="47"/>
  <c r="AJ208" i="47"/>
  <c r="AK199" i="47"/>
  <c r="AJ185" i="47"/>
  <c r="AJ137" i="47"/>
  <c r="AJ105" i="47"/>
  <c r="AJ110" i="47"/>
  <c r="AJ154" i="47"/>
  <c r="AJ34" i="47"/>
  <c r="AJ69" i="47"/>
  <c r="AJ29" i="47"/>
  <c r="AK19" i="47"/>
  <c r="AK88" i="47"/>
  <c r="AJ57" i="47"/>
  <c r="AJ32" i="47"/>
  <c r="AK165" i="47"/>
  <c r="AK153" i="47"/>
  <c r="AK72" i="47"/>
  <c r="AK67" i="47"/>
  <c r="AJ50" i="47"/>
  <c r="AK82" i="47"/>
  <c r="AK15" i="47"/>
  <c r="AJ227" i="46"/>
  <c r="AK39" i="47"/>
  <c r="AK247" i="46"/>
  <c r="AK242" i="46"/>
  <c r="AJ222" i="46"/>
  <c r="AJ217" i="46"/>
  <c r="AK215" i="46"/>
  <c r="AK213" i="46"/>
  <c r="AK211" i="46"/>
  <c r="AJ205" i="46"/>
  <c r="AK201" i="46"/>
  <c r="AJ195" i="46"/>
  <c r="AK193" i="46"/>
  <c r="AJ187" i="46"/>
  <c r="AK185" i="46"/>
  <c r="AK183" i="46"/>
  <c r="AJ180" i="46"/>
  <c r="AK145" i="46"/>
  <c r="AJ142" i="46"/>
  <c r="AJ140" i="46"/>
  <c r="AK138" i="46"/>
  <c r="AJ135" i="46"/>
  <c r="AJ128" i="46"/>
  <c r="AK126" i="46"/>
  <c r="AJ123" i="46"/>
  <c r="AJ118" i="46"/>
  <c r="AK116" i="46"/>
  <c r="AJ111" i="46"/>
  <c r="AK109" i="46"/>
  <c r="AJ103" i="46"/>
  <c r="AK101" i="46"/>
  <c r="AJ95" i="46"/>
  <c r="AK93" i="46"/>
  <c r="AJ168" i="46"/>
  <c r="AJ85" i="46"/>
  <c r="AJ156" i="46"/>
  <c r="AK155" i="46"/>
  <c r="AK45" i="47"/>
  <c r="AJ214" i="46"/>
  <c r="AJ212" i="46"/>
  <c r="AJ210" i="46"/>
  <c r="AK208" i="46"/>
  <c r="AK203" i="46"/>
  <c r="AJ200" i="46"/>
  <c r="AK198" i="46"/>
  <c r="AJ192" i="46"/>
  <c r="AK190" i="46"/>
  <c r="AJ184" i="46"/>
  <c r="AJ182" i="46"/>
  <c r="AK147" i="46"/>
  <c r="AJ144" i="46"/>
  <c r="AJ137" i="46"/>
  <c r="AK133" i="46"/>
  <c r="AK131" i="46"/>
  <c r="AJ125" i="46"/>
  <c r="AK121" i="46"/>
  <c r="AJ115" i="46"/>
  <c r="AJ113" i="46"/>
  <c r="AK174" i="47"/>
  <c r="AJ230" i="46"/>
  <c r="AK217" i="46"/>
  <c r="AJ207" i="46"/>
  <c r="AK205" i="46"/>
  <c r="AJ202" i="46"/>
  <c r="AJ197" i="46"/>
  <c r="AK195" i="46"/>
  <c r="AJ189" i="46"/>
  <c r="AK187" i="46"/>
  <c r="AJ146" i="46"/>
  <c r="AK140" i="46"/>
  <c r="AK135" i="46"/>
  <c r="AJ132" i="46"/>
  <c r="AJ130" i="46"/>
  <c r="AK128" i="46"/>
  <c r="AK123" i="46"/>
  <c r="AJ120" i="46"/>
  <c r="AK118" i="46"/>
  <c r="AK111" i="46"/>
  <c r="AJ105" i="46"/>
  <c r="AK103" i="46"/>
  <c r="AJ97" i="46"/>
  <c r="AK95" i="46"/>
  <c r="AJ89" i="46"/>
  <c r="AK168" i="46"/>
  <c r="AJ87" i="46"/>
  <c r="AK85" i="46"/>
  <c r="AJ22" i="46"/>
  <c r="AJ175" i="46"/>
  <c r="AK156" i="46"/>
  <c r="AK165" i="46"/>
  <c r="AJ162" i="46"/>
  <c r="AJ42" i="47"/>
  <c r="AJ16" i="47"/>
  <c r="AK250" i="46"/>
  <c r="AK245" i="46"/>
  <c r="AK240" i="46"/>
  <c r="AK235" i="46"/>
  <c r="AJ225" i="46"/>
  <c r="AJ249" i="46"/>
  <c r="AJ244" i="46"/>
  <c r="AJ239" i="46"/>
  <c r="AJ211" i="46"/>
  <c r="AJ209" i="46"/>
  <c r="AK207" i="46"/>
  <c r="AJ199" i="46"/>
  <c r="AK197" i="46"/>
  <c r="AJ191" i="46"/>
  <c r="AK189" i="46"/>
  <c r="AK184" i="46"/>
  <c r="AK182" i="46"/>
  <c r="AJ179" i="46"/>
  <c r="AJ148" i="46"/>
  <c r="AJ141" i="46"/>
  <c r="AJ136" i="46"/>
  <c r="AK130" i="46"/>
  <c r="AK120" i="46"/>
  <c r="AK26" i="47"/>
  <c r="AJ78" i="47"/>
  <c r="AJ150" i="47"/>
  <c r="AK216" i="46"/>
  <c r="AK214" i="46"/>
  <c r="AJ206" i="46"/>
  <c r="AK204" i="46"/>
  <c r="AK202" i="46"/>
  <c r="AJ196" i="46"/>
  <c r="AK194" i="46"/>
  <c r="AJ188" i="46"/>
  <c r="AK186" i="46"/>
  <c r="AJ183" i="46"/>
  <c r="AJ181" i="46"/>
  <c r="AK146" i="46"/>
  <c r="AJ143" i="46"/>
  <c r="AK139" i="46"/>
  <c r="AK134" i="46"/>
  <c r="AK132" i="46"/>
  <c r="AJ129" i="46"/>
  <c r="AK127" i="46"/>
  <c r="AJ124" i="46"/>
  <c r="AJ119" i="46"/>
  <c r="AK117" i="46"/>
  <c r="AJ232" i="46"/>
  <c r="AK228" i="46"/>
  <c r="AJ215" i="46"/>
  <c r="AJ213" i="46"/>
  <c r="AK209" i="46"/>
  <c r="AJ203" i="46"/>
  <c r="AJ201" i="46"/>
  <c r="AK199" i="46"/>
  <c r="AJ193" i="46"/>
  <c r="AK191" i="46"/>
  <c r="AJ185" i="46"/>
  <c r="AK179" i="46"/>
  <c r="AK148" i="46"/>
  <c r="AJ145" i="46"/>
  <c r="AJ138" i="46"/>
  <c r="AJ133" i="46"/>
  <c r="AJ131" i="46"/>
  <c r="AJ126" i="46"/>
  <c r="AK122" i="46"/>
  <c r="AJ116" i="46"/>
  <c r="AJ109" i="46"/>
  <c r="AK107" i="46"/>
  <c r="AJ101" i="46"/>
  <c r="AK99" i="46"/>
  <c r="AJ93" i="46"/>
  <c r="AK91" i="46"/>
  <c r="AJ88" i="46"/>
  <c r="AK177" i="46"/>
  <c r="AK166" i="46"/>
  <c r="AK164" i="46"/>
  <c r="AJ216" i="46"/>
  <c r="AK206" i="46"/>
  <c r="AK196" i="46"/>
  <c r="AJ190" i="46"/>
  <c r="AK180" i="46"/>
  <c r="AK129" i="46"/>
  <c r="AJ114" i="46"/>
  <c r="AJ107" i="46"/>
  <c r="AK97" i="46"/>
  <c r="AK90" i="46"/>
  <c r="AJ165" i="46"/>
  <c r="AK153" i="46"/>
  <c r="AJ71" i="46"/>
  <c r="AJ66" i="46"/>
  <c r="AK64" i="46"/>
  <c r="AK60" i="46"/>
  <c r="AK58" i="46"/>
  <c r="AJ52" i="46"/>
  <c r="AJ47" i="46"/>
  <c r="AK79" i="46"/>
  <c r="AJ41" i="46"/>
  <c r="AK173" i="46"/>
  <c r="AK27" i="46"/>
  <c r="AK26" i="46"/>
  <c r="AJ78" i="46"/>
  <c r="AK21" i="46"/>
  <c r="AJ172" i="46"/>
  <c r="AJ16" i="46"/>
  <c r="AJ75" i="46"/>
  <c r="AJ73" i="46"/>
  <c r="AJ21" i="46"/>
  <c r="AK142" i="46"/>
  <c r="AK137" i="46"/>
  <c r="AK124" i="46"/>
  <c r="AK119" i="46"/>
  <c r="AJ110" i="46"/>
  <c r="AK104" i="46"/>
  <c r="AK100" i="46"/>
  <c r="AJ96" i="46"/>
  <c r="AJ92" i="46"/>
  <c r="AK167" i="46"/>
  <c r="AK86" i="46"/>
  <c r="AK83" i="46"/>
  <c r="AK175" i="46"/>
  <c r="AK162" i="46"/>
  <c r="AJ152" i="46"/>
  <c r="AK34" i="46"/>
  <c r="AK69" i="46"/>
  <c r="AJ63" i="46"/>
  <c r="AK32" i="46"/>
  <c r="AJ59" i="46"/>
  <c r="AJ57" i="46"/>
  <c r="AK55" i="46"/>
  <c r="AK50" i="46"/>
  <c r="AK81" i="46"/>
  <c r="AJ46" i="46"/>
  <c r="AK44" i="46"/>
  <c r="AJ160" i="46"/>
  <c r="AK31" i="46"/>
  <c r="AK29" i="46"/>
  <c r="AJ40" i="46"/>
  <c r="AK38" i="46"/>
  <c r="AK36" i="46"/>
  <c r="AJ25" i="46"/>
  <c r="AJ20" i="46"/>
  <c r="AK23" i="46"/>
  <c r="AK15" i="46"/>
  <c r="AJ220" i="46"/>
  <c r="AK210" i="46"/>
  <c r="AJ204" i="46"/>
  <c r="AK200" i="46"/>
  <c r="AJ194" i="46"/>
  <c r="AJ178" i="46"/>
  <c r="AJ127" i="46"/>
  <c r="AK114" i="46"/>
  <c r="AJ106" i="46"/>
  <c r="AJ99" i="46"/>
  <c r="AK89" i="46"/>
  <c r="AK158" i="46"/>
  <c r="AJ157" i="46"/>
  <c r="AJ164" i="46"/>
  <c r="AJ161" i="46"/>
  <c r="AJ33" i="46"/>
  <c r="AK71" i="46"/>
  <c r="AJ68" i="46"/>
  <c r="AK66" i="46"/>
  <c r="AJ61" i="46"/>
  <c r="AJ54" i="46"/>
  <c r="AK52" i="46"/>
  <c r="AJ49" i="46"/>
  <c r="AK47" i="46"/>
  <c r="AJ80" i="46"/>
  <c r="AJ43" i="46"/>
  <c r="AK41" i="46"/>
  <c r="AJ28" i="46"/>
  <c r="AJ37" i="46"/>
  <c r="AJ35" i="46"/>
  <c r="AK78" i="46"/>
  <c r="AJ17" i="46"/>
  <c r="AK16" i="46"/>
  <c r="AJ14" i="46"/>
  <c r="AK39" i="46"/>
  <c r="AK141" i="46"/>
  <c r="AJ122" i="46"/>
  <c r="AJ117" i="46"/>
  <c r="AK110" i="46"/>
  <c r="AJ102" i="46"/>
  <c r="AK96" i="46"/>
  <c r="AK92" i="46"/>
  <c r="AJ169" i="46"/>
  <c r="AJ84" i="46"/>
  <c r="AJ177" i="46"/>
  <c r="AJ154" i="46"/>
  <c r="AK152" i="46"/>
  <c r="AJ70" i="46"/>
  <c r="AJ65" i="46"/>
  <c r="AK63" i="46"/>
  <c r="AK57" i="46"/>
  <c r="AJ51" i="46"/>
  <c r="AJ82" i="46"/>
  <c r="AK46" i="46"/>
  <c r="AJ174" i="46"/>
  <c r="AK160" i="46"/>
  <c r="AJ30" i="46"/>
  <c r="AK40" i="46"/>
  <c r="AK25" i="46"/>
  <c r="AJ77" i="46"/>
  <c r="AK20" i="46"/>
  <c r="AK172" i="46"/>
  <c r="AJ170" i="46"/>
  <c r="AK75" i="46"/>
  <c r="AK73" i="46"/>
  <c r="AJ208" i="46"/>
  <c r="AJ198" i="46"/>
  <c r="AK188" i="46"/>
  <c r="AK178" i="46"/>
  <c r="AK144" i="46"/>
  <c r="AK136" i="46"/>
  <c r="AK113" i="46"/>
  <c r="AK106" i="46"/>
  <c r="AJ98" i="46"/>
  <c r="AJ91" i="46"/>
  <c r="AK88" i="46"/>
  <c r="AK22" i="46"/>
  <c r="AK157" i="46"/>
  <c r="AK161" i="46"/>
  <c r="AJ151" i="46"/>
  <c r="AK33" i="46"/>
  <c r="AK68" i="46"/>
  <c r="AJ62" i="46"/>
  <c r="AJ56" i="46"/>
  <c r="AK54" i="46"/>
  <c r="AK49" i="46"/>
  <c r="AJ45" i="46"/>
  <c r="AK43" i="46"/>
  <c r="AJ159" i="46"/>
  <c r="AJ39" i="46"/>
  <c r="AK37" i="46"/>
  <c r="AJ24" i="46"/>
  <c r="AJ18" i="46"/>
  <c r="AK17" i="46"/>
  <c r="AK14" i="46"/>
  <c r="AJ74" i="46"/>
  <c r="AJ150" i="46"/>
  <c r="AJ139" i="46"/>
  <c r="AJ121" i="46"/>
  <c r="AJ112" i="46"/>
  <c r="AJ108" i="46"/>
  <c r="AK102" i="46"/>
  <c r="AJ94" i="46"/>
  <c r="AK169" i="46"/>
  <c r="AK84" i="46"/>
  <c r="AJ176" i="46"/>
  <c r="AK154" i="46"/>
  <c r="AJ163" i="46"/>
  <c r="AJ153" i="46"/>
  <c r="AJ72" i="46"/>
  <c r="AK70" i="46"/>
  <c r="AJ67" i="46"/>
  <c r="AK65" i="46"/>
  <c r="AK61" i="46"/>
  <c r="AK59" i="46"/>
  <c r="AJ53" i="46"/>
  <c r="AJ48" i="46"/>
  <c r="AK80" i="46"/>
  <c r="AJ42" i="46"/>
  <c r="AK174" i="46"/>
  <c r="AK28" i="46"/>
  <c r="AK35" i="46"/>
  <c r="AK77" i="46"/>
  <c r="AJ19" i="46"/>
  <c r="AJ171" i="46"/>
  <c r="AK170" i="46"/>
  <c r="AJ76" i="46"/>
  <c r="AJ36" i="46"/>
  <c r="AJ26" i="46"/>
  <c r="AK18" i="46"/>
  <c r="AK218" i="46"/>
  <c r="AK212" i="46"/>
  <c r="AK192" i="46"/>
  <c r="AJ186" i="46"/>
  <c r="AK181" i="46"/>
  <c r="AJ147" i="46"/>
  <c r="AJ134" i="46"/>
  <c r="AK125" i="46"/>
  <c r="AK105" i="46"/>
  <c r="AK98" i="46"/>
  <c r="AJ90" i="46"/>
  <c r="AK87" i="46"/>
  <c r="AJ158" i="46"/>
  <c r="AJ166" i="46"/>
  <c r="AK151" i="46"/>
  <c r="AJ64" i="46"/>
  <c r="AK62" i="46"/>
  <c r="AJ60" i="46"/>
  <c r="AJ58" i="46"/>
  <c r="AK56" i="46"/>
  <c r="AK51" i="46"/>
  <c r="AK82" i="46"/>
  <c r="AJ79" i="46"/>
  <c r="AK45" i="46"/>
  <c r="AJ173" i="46"/>
  <c r="AK159" i="46"/>
  <c r="AK30" i="46"/>
  <c r="AJ27" i="46"/>
  <c r="AK223" i="46"/>
  <c r="AK143" i="46"/>
  <c r="AK115" i="46"/>
  <c r="AK112" i="46"/>
  <c r="AK108" i="46"/>
  <c r="AJ104" i="46"/>
  <c r="AJ100" i="46"/>
  <c r="AK94" i="46"/>
  <c r="AJ167" i="46"/>
  <c r="AJ86" i="46"/>
  <c r="AJ83" i="46"/>
  <c r="AK176" i="46"/>
  <c r="AJ155" i="46"/>
  <c r="AK163" i="46"/>
  <c r="AJ34" i="46"/>
  <c r="AK72" i="46"/>
  <c r="AJ69" i="46"/>
  <c r="AK67" i="46"/>
  <c r="AJ32" i="46"/>
  <c r="AJ55" i="46"/>
  <c r="AK53" i="46"/>
  <c r="AJ50" i="46"/>
  <c r="AK48" i="46"/>
  <c r="AJ81" i="46"/>
  <c r="AJ44" i="46"/>
  <c r="AK42" i="46"/>
  <c r="AJ31" i="46"/>
  <c r="AJ29" i="46"/>
  <c r="AJ38" i="46"/>
  <c r="AK24" i="46"/>
  <c r="AK19" i="46"/>
  <c r="AJ23" i="46"/>
  <c r="AK171" i="46"/>
  <c r="AK76" i="46"/>
  <c r="AK74" i="46"/>
  <c r="AK150" i="46"/>
  <c r="AJ15" i="46"/>
  <c r="AK149" i="46"/>
  <c r="AK149" i="47"/>
  <c r="AJ149" i="47"/>
  <c r="AJ149" i="46"/>
  <c r="AK146" i="7"/>
  <c r="AK183" i="7"/>
  <c r="AK191" i="7"/>
  <c r="AK199" i="7"/>
  <c r="AK207" i="7"/>
  <c r="AK215" i="7"/>
  <c r="AK223" i="7"/>
  <c r="AK231" i="7"/>
  <c r="AK239" i="7"/>
  <c r="AK247" i="7"/>
  <c r="AK233" i="7"/>
  <c r="AK145" i="7"/>
  <c r="AK206" i="7"/>
  <c r="AK246" i="7"/>
  <c r="AK147" i="7"/>
  <c r="AK184" i="7"/>
  <c r="AK192" i="7"/>
  <c r="AK200" i="7"/>
  <c r="AK208" i="7"/>
  <c r="AK216" i="7"/>
  <c r="AK224" i="7"/>
  <c r="AK232" i="7"/>
  <c r="AK240" i="7"/>
  <c r="AK248" i="7"/>
  <c r="AK225" i="7"/>
  <c r="AK241" i="7"/>
  <c r="AK249" i="7"/>
  <c r="AK198" i="7"/>
  <c r="AK222" i="7"/>
  <c r="AK148" i="7"/>
  <c r="AK185" i="7"/>
  <c r="AK193" i="7"/>
  <c r="AK201" i="7"/>
  <c r="AK209" i="7"/>
  <c r="AK217" i="7"/>
  <c r="AK178" i="7"/>
  <c r="AK186" i="7"/>
  <c r="AK194" i="7"/>
  <c r="AK202" i="7"/>
  <c r="AK210" i="7"/>
  <c r="AK218" i="7"/>
  <c r="AK226" i="7"/>
  <c r="AK234" i="7"/>
  <c r="AK242" i="7"/>
  <c r="AK250" i="7"/>
  <c r="AK197" i="7"/>
  <c r="AK213" i="7"/>
  <c r="AK237" i="7"/>
  <c r="AK190" i="7"/>
  <c r="AK230" i="7"/>
  <c r="AK179" i="7"/>
  <c r="AK187" i="7"/>
  <c r="AK195" i="7"/>
  <c r="AK203" i="7"/>
  <c r="AK211" i="7"/>
  <c r="AK219" i="7"/>
  <c r="AK227" i="7"/>
  <c r="AK235" i="7"/>
  <c r="AK243" i="7"/>
  <c r="AK181" i="7"/>
  <c r="AK205" i="7"/>
  <c r="AK229" i="7"/>
  <c r="AK182" i="7"/>
  <c r="AK214" i="7"/>
  <c r="AK238" i="7"/>
  <c r="AK180" i="7"/>
  <c r="AK188" i="7"/>
  <c r="AK196" i="7"/>
  <c r="AK204" i="7"/>
  <c r="AK212" i="7"/>
  <c r="AK220" i="7"/>
  <c r="AK228" i="7"/>
  <c r="AK236" i="7"/>
  <c r="AK244" i="7"/>
  <c r="AK189" i="7"/>
  <c r="AK221" i="7"/>
  <c r="AK245" i="7"/>
  <c r="AK150" i="7"/>
  <c r="AK63" i="7"/>
  <c r="AK114" i="7"/>
  <c r="AK73" i="7"/>
  <c r="AK64" i="7"/>
  <c r="AK115" i="7"/>
  <c r="AK129" i="7"/>
  <c r="AK58" i="7"/>
  <c r="AK108" i="7"/>
  <c r="AK40" i="7"/>
  <c r="AK177" i="7"/>
  <c r="AK141" i="7"/>
  <c r="AK120" i="7"/>
  <c r="AK18" i="7"/>
  <c r="AK151" i="7"/>
  <c r="AK126" i="7"/>
  <c r="AK169" i="7"/>
  <c r="AK172" i="7"/>
  <c r="AK152" i="7"/>
  <c r="AK127" i="7"/>
  <c r="AK16" i="7"/>
  <c r="AK71" i="7"/>
  <c r="AK122" i="7"/>
  <c r="AK171" i="7"/>
  <c r="AK72" i="7"/>
  <c r="AK123" i="7"/>
  <c r="AK74" i="7"/>
  <c r="AK65" i="7"/>
  <c r="AK116" i="7"/>
  <c r="AK173" i="7"/>
  <c r="AK88" i="7"/>
  <c r="AK35" i="7"/>
  <c r="AK144" i="7"/>
  <c r="AK25" i="7"/>
  <c r="AK166" i="7"/>
  <c r="AK134" i="7"/>
  <c r="AK104" i="7"/>
  <c r="AK26" i="7"/>
  <c r="AK154" i="7"/>
  <c r="AK135" i="7"/>
  <c r="AK21" i="7"/>
  <c r="AK162" i="7"/>
  <c r="AK130" i="7"/>
  <c r="AK77" i="7"/>
  <c r="AK163" i="7"/>
  <c r="AK131" i="7"/>
  <c r="AK17" i="7"/>
  <c r="AK33" i="7"/>
  <c r="AK124" i="7"/>
  <c r="AK79" i="7"/>
  <c r="AK93" i="7"/>
  <c r="AK29" i="7"/>
  <c r="AK30" i="7"/>
  <c r="AK27" i="7"/>
  <c r="AK158" i="7"/>
  <c r="AK142" i="7"/>
  <c r="AK128" i="7"/>
  <c r="AK28" i="7"/>
  <c r="AK22" i="7"/>
  <c r="AK143" i="7"/>
  <c r="AK37" i="7"/>
  <c r="AK157" i="7"/>
  <c r="AK138" i="7"/>
  <c r="AK38" i="7"/>
  <c r="AK175" i="7"/>
  <c r="AK139" i="7"/>
  <c r="AK78" i="7"/>
  <c r="AK164" i="7"/>
  <c r="AK132" i="7"/>
  <c r="AK51" i="7"/>
  <c r="AK101" i="7"/>
  <c r="AK82" i="7"/>
  <c r="AK47" i="7"/>
  <c r="AK174" i="7"/>
  <c r="AK167" i="7"/>
  <c r="AK19" i="7"/>
  <c r="AK20" i="7"/>
  <c r="AK41" i="7"/>
  <c r="AK168" i="7"/>
  <c r="AK15" i="7"/>
  <c r="AK31" i="7"/>
  <c r="AK85" i="7"/>
  <c r="AK170" i="7"/>
  <c r="AK159" i="7"/>
  <c r="AK86" i="7"/>
  <c r="AK36" i="7"/>
  <c r="AK39" i="7"/>
  <c r="AK176" i="7"/>
  <c r="AK140" i="7"/>
  <c r="AK59" i="7"/>
  <c r="AK109" i="7"/>
  <c r="AK32" i="7"/>
  <c r="AK70" i="7"/>
  <c r="AK80" i="7"/>
  <c r="AK94" i="7"/>
  <c r="AK42" i="7"/>
  <c r="AK55" i="7"/>
  <c r="AK81" i="7"/>
  <c r="AK95" i="7"/>
  <c r="AK112" i="7"/>
  <c r="AK44" i="7"/>
  <c r="AK90" i="7"/>
  <c r="AK62" i="7"/>
  <c r="AK45" i="7"/>
  <c r="AK91" i="7"/>
  <c r="AK43" i="7"/>
  <c r="AK160" i="7"/>
  <c r="AK87" i="7"/>
  <c r="AK75" i="7"/>
  <c r="AK66" i="7"/>
  <c r="AK117" i="7"/>
  <c r="AK153" i="7"/>
  <c r="AK97" i="7"/>
  <c r="AK52" i="7"/>
  <c r="AK102" i="7"/>
  <c r="AK54" i="7"/>
  <c r="AK156" i="7"/>
  <c r="AK53" i="7"/>
  <c r="AK103" i="7"/>
  <c r="AK136" i="7"/>
  <c r="AK48" i="7"/>
  <c r="AK98" i="7"/>
  <c r="AK84" i="7"/>
  <c r="AK49" i="7"/>
  <c r="AK99" i="7"/>
  <c r="AK161" i="7"/>
  <c r="AK46" i="7"/>
  <c r="AK92" i="7"/>
  <c r="AK23" i="7"/>
  <c r="AK34" i="7"/>
  <c r="AK125" i="7"/>
  <c r="AK83" i="7"/>
  <c r="AK137" i="7"/>
  <c r="AK60" i="7"/>
  <c r="AK110" i="7"/>
  <c r="AK69" i="7"/>
  <c r="AK113" i="7"/>
  <c r="AK61" i="7"/>
  <c r="AK111" i="7"/>
  <c r="AK105" i="7"/>
  <c r="AK56" i="7"/>
  <c r="AK106" i="7"/>
  <c r="AK121" i="7"/>
  <c r="AK57" i="7"/>
  <c r="AK107" i="7"/>
  <c r="AK89" i="7"/>
  <c r="AK50" i="7"/>
  <c r="AK100" i="7"/>
  <c r="AK24" i="7"/>
  <c r="AK165" i="7"/>
  <c r="AK133" i="7"/>
  <c r="AK96" i="7"/>
  <c r="AK76" i="7"/>
  <c r="AK67" i="7"/>
  <c r="AK118" i="7"/>
  <c r="AK155" i="7"/>
  <c r="AK14" i="7"/>
  <c r="AK68" i="7"/>
  <c r="AK119" i="7"/>
  <c r="AK149" i="7"/>
  <c r="AV178" i="7"/>
  <c r="AV188" i="7"/>
  <c r="AV199" i="7"/>
  <c r="AV142" i="7"/>
  <c r="AV185" i="7"/>
  <c r="AV141" i="7"/>
  <c r="AV191" i="7"/>
  <c r="AV192" i="7"/>
  <c r="AV195" i="7"/>
  <c r="AV197" i="7"/>
  <c r="AV196" i="7"/>
  <c r="AV148" i="7"/>
  <c r="AV198" i="7"/>
  <c r="AV189" i="7"/>
  <c r="AV194" i="7"/>
  <c r="AV183" i="7"/>
  <c r="AV187" i="7"/>
  <c r="AV144" i="7"/>
  <c r="AV180" i="7"/>
  <c r="AV184" i="7"/>
  <c r="AV201" i="7"/>
  <c r="AV140" i="7"/>
  <c r="AV181" i="7"/>
  <c r="AV186" i="7"/>
  <c r="AV200" i="7"/>
  <c r="AV146" i="7"/>
  <c r="AV190" i="7"/>
  <c r="AV179" i="7"/>
  <c r="AV182" i="7"/>
  <c r="AV193" i="7"/>
  <c r="AV125" i="7"/>
  <c r="AV121" i="7"/>
  <c r="AV135" i="7"/>
  <c r="AV120" i="7"/>
  <c r="AV134" i="7"/>
  <c r="AV137" i="7"/>
  <c r="AV132" i="7"/>
  <c r="AV130" i="7"/>
  <c r="AV123" i="7"/>
  <c r="AV117" i="7"/>
  <c r="AV119" i="7"/>
  <c r="AV118" i="7"/>
  <c r="AV101" i="7"/>
  <c r="AV49" i="7"/>
  <c r="AV34" i="7"/>
  <c r="AV88" i="7"/>
  <c r="AV38" i="7"/>
  <c r="AV76" i="7"/>
  <c r="AV100" i="7"/>
  <c r="AV29" i="7"/>
  <c r="AV110" i="7"/>
  <c r="AV116" i="7"/>
  <c r="AV95" i="7"/>
  <c r="AV64" i="7"/>
  <c r="AV92" i="7"/>
  <c r="AV90" i="7"/>
  <c r="AV60" i="7"/>
  <c r="AV156" i="7"/>
  <c r="AV65" i="7"/>
  <c r="AV81" i="7"/>
  <c r="AV166" i="7"/>
  <c r="AV46" i="7"/>
  <c r="AV26" i="7"/>
  <c r="AV170" i="7"/>
  <c r="AV113" i="7"/>
  <c r="AV82" i="7"/>
  <c r="AV97" i="7"/>
  <c r="AV40" i="7"/>
  <c r="AV43" i="7"/>
  <c r="AV152" i="7"/>
  <c r="AV56" i="7"/>
  <c r="AV23" i="7"/>
  <c r="AV91" i="7"/>
  <c r="AV80" i="7"/>
  <c r="AV85" i="7"/>
  <c r="AV51" i="7"/>
  <c r="AV31" i="7"/>
  <c r="AV164" i="7"/>
  <c r="AV61" i="7"/>
  <c r="AV45" i="7"/>
  <c r="AV21" i="7"/>
  <c r="AV104" i="7"/>
  <c r="AV111" i="7"/>
  <c r="AV153" i="7"/>
  <c r="AV66" i="7"/>
  <c r="AV68" i="7"/>
  <c r="AV75" i="7"/>
  <c r="AV67" i="7"/>
  <c r="AV19" i="7"/>
  <c r="AV70" i="7"/>
  <c r="AV50" i="7"/>
  <c r="AV25" i="7"/>
  <c r="AV176" i="7"/>
  <c r="AV173" i="7"/>
  <c r="AV15" i="7"/>
  <c r="AV44" i="7"/>
  <c r="AV114" i="7"/>
  <c r="AV78" i="7"/>
  <c r="AV74" i="7"/>
  <c r="AV168" i="7"/>
  <c r="AV115" i="7"/>
  <c r="AV96" i="7"/>
  <c r="AV94" i="7"/>
  <c r="AV99" i="7"/>
  <c r="AV175" i="7"/>
  <c r="AV36" i="7"/>
  <c r="AV63" i="7"/>
  <c r="AV39" i="7"/>
  <c r="AV106" i="7"/>
  <c r="AJ248" i="7"/>
  <c r="AJ239" i="7"/>
  <c r="AJ232" i="7"/>
  <c r="AJ230" i="7"/>
  <c r="AJ215" i="7"/>
  <c r="AJ213" i="7"/>
  <c r="AJ211" i="7"/>
  <c r="AJ209" i="7"/>
  <c r="AJ207" i="7"/>
  <c r="AJ188" i="7"/>
  <c r="AJ186" i="7"/>
  <c r="AJ184" i="7"/>
  <c r="AJ182" i="7"/>
  <c r="AJ142" i="7"/>
  <c r="AJ120" i="7"/>
  <c r="AJ111" i="7"/>
  <c r="AJ104" i="7"/>
  <c r="AJ102" i="7"/>
  <c r="AJ168" i="7"/>
  <c r="AJ48" i="7"/>
  <c r="AJ82" i="7"/>
  <c r="AJ80" i="7"/>
  <c r="AJ46" i="7"/>
  <c r="AJ44" i="7"/>
  <c r="AJ42" i="7"/>
  <c r="AJ174" i="7"/>
  <c r="AJ160" i="7"/>
  <c r="AJ36" i="7"/>
  <c r="AJ19" i="7"/>
  <c r="AJ18" i="7"/>
  <c r="AJ17" i="7"/>
  <c r="AJ16" i="7"/>
  <c r="AJ15" i="7"/>
  <c r="AJ246" i="7"/>
  <c r="AJ228" i="7"/>
  <c r="AJ226" i="7"/>
  <c r="AJ224" i="7"/>
  <c r="AJ205" i="7"/>
  <c r="AJ203" i="7"/>
  <c r="AJ140" i="7"/>
  <c r="AJ138" i="7"/>
  <c r="AJ127" i="7"/>
  <c r="AJ118" i="7"/>
  <c r="AJ100" i="7"/>
  <c r="AJ98" i="7"/>
  <c r="AJ96" i="7"/>
  <c r="AJ88" i="7"/>
  <c r="AJ86" i="7"/>
  <c r="AJ162" i="7"/>
  <c r="AJ62" i="7"/>
  <c r="AJ61" i="7"/>
  <c r="AJ59" i="7"/>
  <c r="AJ26" i="7"/>
  <c r="AJ24" i="7"/>
  <c r="AJ76" i="7"/>
  <c r="AJ74" i="7"/>
  <c r="AJ163" i="7"/>
  <c r="AJ63" i="7"/>
  <c r="AJ81" i="7"/>
  <c r="AJ43" i="7"/>
  <c r="AJ20" i="7"/>
  <c r="AJ171" i="7"/>
  <c r="AJ244" i="7"/>
  <c r="AJ237" i="7"/>
  <c r="AJ235" i="7"/>
  <c r="AJ222" i="7"/>
  <c r="AJ220" i="7"/>
  <c r="AJ201" i="7"/>
  <c r="AJ199" i="7"/>
  <c r="AJ197" i="7"/>
  <c r="AJ195" i="7"/>
  <c r="AJ180" i="7"/>
  <c r="AJ178" i="7"/>
  <c r="AJ147" i="7"/>
  <c r="AJ145" i="7"/>
  <c r="AJ136" i="7"/>
  <c r="AJ134" i="7"/>
  <c r="AJ116" i="7"/>
  <c r="AJ114" i="7"/>
  <c r="AJ109" i="7"/>
  <c r="AJ84" i="7"/>
  <c r="AJ22" i="7"/>
  <c r="AJ177" i="7"/>
  <c r="AJ175" i="7"/>
  <c r="AJ153" i="7"/>
  <c r="AJ151" i="7"/>
  <c r="AJ33" i="7"/>
  <c r="AJ71" i="7"/>
  <c r="AJ69" i="7"/>
  <c r="AJ67" i="7"/>
  <c r="AJ57" i="7"/>
  <c r="AJ31" i="7"/>
  <c r="AJ29" i="7"/>
  <c r="AJ27" i="7"/>
  <c r="AJ77" i="7"/>
  <c r="AJ150" i="7"/>
  <c r="AJ183" i="7"/>
  <c r="AJ128" i="7"/>
  <c r="AJ103" i="7"/>
  <c r="AJ79" i="7"/>
  <c r="AJ41" i="7"/>
  <c r="AJ23" i="7"/>
  <c r="AJ249" i="7"/>
  <c r="AJ242" i="7"/>
  <c r="AJ233" i="7"/>
  <c r="AJ218" i="7"/>
  <c r="AJ193" i="7"/>
  <c r="AJ191" i="7"/>
  <c r="AJ143" i="7"/>
  <c r="AJ132" i="7"/>
  <c r="AJ130" i="7"/>
  <c r="AJ125" i="7"/>
  <c r="AJ123" i="7"/>
  <c r="AJ121" i="7"/>
  <c r="AJ112" i="7"/>
  <c r="AJ107" i="7"/>
  <c r="AJ105" i="7"/>
  <c r="AJ94" i="7"/>
  <c r="AJ92" i="7"/>
  <c r="AJ90" i="7"/>
  <c r="AJ169" i="7"/>
  <c r="AJ156" i="7"/>
  <c r="AJ154" i="7"/>
  <c r="AJ165" i="7"/>
  <c r="AJ65" i="7"/>
  <c r="AJ55" i="7"/>
  <c r="AJ53" i="7"/>
  <c r="AJ51" i="7"/>
  <c r="AJ49" i="7"/>
  <c r="AJ39" i="7"/>
  <c r="AJ37" i="7"/>
  <c r="AJ185" i="7"/>
  <c r="AJ119" i="7"/>
  <c r="AJ47" i="7"/>
  <c r="AJ45" i="7"/>
  <c r="AJ173" i="7"/>
  <c r="AJ35" i="7"/>
  <c r="AJ172" i="7"/>
  <c r="AJ170" i="7"/>
  <c r="AJ247" i="7"/>
  <c r="AJ240" i="7"/>
  <c r="AJ231" i="7"/>
  <c r="AJ216" i="7"/>
  <c r="AJ214" i="7"/>
  <c r="AJ212" i="7"/>
  <c r="AJ210" i="7"/>
  <c r="AJ208" i="7"/>
  <c r="AJ189" i="7"/>
  <c r="AJ187" i="7"/>
  <c r="AJ238" i="7"/>
  <c r="AJ229" i="7"/>
  <c r="AJ227" i="7"/>
  <c r="AJ225" i="7"/>
  <c r="AJ223" i="7"/>
  <c r="AJ206" i="7"/>
  <c r="AJ204" i="7"/>
  <c r="AJ181" i="7"/>
  <c r="AJ141" i="7"/>
  <c r="AJ139" i="7"/>
  <c r="AJ137" i="7"/>
  <c r="AJ110" i="7"/>
  <c r="AJ101" i="7"/>
  <c r="AJ99" i="7"/>
  <c r="AJ97" i="7"/>
  <c r="AJ167" i="7"/>
  <c r="AJ87" i="7"/>
  <c r="AJ85" i="7"/>
  <c r="AJ32" i="7"/>
  <c r="AJ60" i="7"/>
  <c r="AJ159" i="7"/>
  <c r="AJ25" i="7"/>
  <c r="AJ78" i="7"/>
  <c r="AJ14" i="7"/>
  <c r="AJ75" i="7"/>
  <c r="AJ83" i="7"/>
  <c r="AJ157" i="7"/>
  <c r="AJ152" i="7"/>
  <c r="AJ72" i="7"/>
  <c r="AJ68" i="7"/>
  <c r="AJ58" i="7"/>
  <c r="AJ30" i="7"/>
  <c r="AJ245" i="7"/>
  <c r="AJ243" i="7"/>
  <c r="AJ236" i="7"/>
  <c r="AJ221" i="7"/>
  <c r="AJ219" i="7"/>
  <c r="AJ202" i="7"/>
  <c r="AJ200" i="7"/>
  <c r="AJ198" i="7"/>
  <c r="AJ196" i="7"/>
  <c r="AJ179" i="7"/>
  <c r="AJ148" i="7"/>
  <c r="AJ146" i="7"/>
  <c r="AJ135" i="7"/>
  <c r="AJ126" i="7"/>
  <c r="AJ117" i="7"/>
  <c r="AJ115" i="7"/>
  <c r="AJ113" i="7"/>
  <c r="AJ95" i="7"/>
  <c r="AJ158" i="7"/>
  <c r="AJ176" i="7"/>
  <c r="AJ161" i="7"/>
  <c r="AJ34" i="7"/>
  <c r="AJ70" i="7"/>
  <c r="AJ66" i="7"/>
  <c r="AJ56" i="7"/>
  <c r="AJ28" i="7"/>
  <c r="AJ73" i="7"/>
  <c r="AJ241" i="7"/>
  <c r="AJ106" i="7"/>
  <c r="AJ89" i="7"/>
  <c r="AJ190" i="7"/>
  <c r="AJ129" i="7"/>
  <c r="AJ108" i="7"/>
  <c r="AJ91" i="7"/>
  <c r="AJ52" i="7"/>
  <c r="AJ192" i="7"/>
  <c r="AJ131" i="7"/>
  <c r="AJ122" i="7"/>
  <c r="AJ93" i="7"/>
  <c r="AJ64" i="7"/>
  <c r="AJ38" i="7"/>
  <c r="AJ50" i="7"/>
  <c r="AJ250" i="7"/>
  <c r="AJ194" i="7"/>
  <c r="AJ133" i="7"/>
  <c r="AJ124" i="7"/>
  <c r="AJ40" i="7"/>
  <c r="AJ217" i="7"/>
  <c r="AJ234" i="7"/>
  <c r="AJ155" i="7"/>
  <c r="AJ54" i="7"/>
  <c r="AJ164" i="7"/>
  <c r="AJ166" i="7"/>
  <c r="AJ144" i="7"/>
  <c r="AJ21" i="7"/>
  <c r="AJ149" i="7"/>
  <c r="A21" i="10"/>
  <c r="AT210" i="7"/>
  <c r="AT230" i="7"/>
  <c r="AX244" i="7"/>
  <c r="AT216" i="7"/>
  <c r="AT247" i="7"/>
  <c r="AX228" i="7"/>
  <c r="AT228" i="7"/>
  <c r="AT239" i="7"/>
  <c r="AT214" i="7"/>
  <c r="AT204" i="7"/>
  <c r="AT235" i="7"/>
  <c r="AT242" i="7"/>
  <c r="AT233" i="7"/>
  <c r="AT226" i="7"/>
  <c r="AT248" i="7"/>
  <c r="AT213" i="7"/>
  <c r="AT207" i="7"/>
  <c r="AR149" i="7" a="1"/>
  <c r="AR149" i="7" s="1"/>
  <c r="AV235" i="7"/>
  <c r="AV206" i="7"/>
  <c r="AV214" i="7"/>
  <c r="AV222" i="7"/>
  <c r="AV207" i="7"/>
  <c r="AV230" i="7"/>
  <c r="AV215" i="7"/>
  <c r="AV223" i="7"/>
  <c r="AV231" i="7"/>
  <c r="AV239" i="7"/>
  <c r="AV247" i="7"/>
  <c r="AV208" i="7"/>
  <c r="AV225" i="7"/>
  <c r="AV212" i="7"/>
  <c r="AV250" i="7"/>
  <c r="AV216" i="7"/>
  <c r="AV236" i="7"/>
  <c r="AV226" i="7"/>
  <c r="AV203" i="7"/>
  <c r="AV209" i="7"/>
  <c r="AV224" i="7"/>
  <c r="AV246" i="7"/>
  <c r="AV237" i="7"/>
  <c r="AV217" i="7"/>
  <c r="AV220" i="7"/>
  <c r="AV210" i="7"/>
  <c r="AT227" i="7"/>
  <c r="AV232" i="7"/>
  <c r="AV249" i="7"/>
  <c r="AV228" i="7"/>
  <c r="AV234" i="7"/>
  <c r="AV240" i="7"/>
  <c r="AV202" i="7"/>
  <c r="AV241" i="7"/>
  <c r="AV244" i="7"/>
  <c r="AV248" i="7"/>
  <c r="AV213" i="7"/>
  <c r="AT202" i="7"/>
  <c r="AV245" i="7"/>
  <c r="AV227" i="7"/>
  <c r="AV229" i="7"/>
  <c r="AV243" i="7"/>
  <c r="AV204" i="7"/>
  <c r="AV211" i="7"/>
  <c r="AV233" i="7"/>
  <c r="AT229" i="7"/>
  <c r="AV205" i="7"/>
  <c r="AV218" i="7"/>
  <c r="AV238" i="7"/>
  <c r="AT234" i="7"/>
  <c r="AV242" i="7"/>
  <c r="AV221" i="7"/>
  <c r="AV219" i="7"/>
  <c r="AT232" i="7"/>
  <c r="AV150" i="7" l="1"/>
  <c r="AV171" i="7"/>
  <c r="AV72" i="7"/>
  <c r="AV174" i="7"/>
  <c r="AV129" i="7"/>
  <c r="AV128" i="7"/>
  <c r="AV55" i="7"/>
  <c r="AV105" i="7"/>
  <c r="AV169" i="7"/>
  <c r="AV84" i="7"/>
  <c r="AV109" i="7"/>
  <c r="AV59" i="7"/>
  <c r="AV69" i="7"/>
  <c r="AV28" i="7"/>
  <c r="Y15" i="55"/>
  <c r="W19" i="55"/>
  <c r="AA15" i="55"/>
  <c r="AA19" i="55"/>
  <c r="Q19" i="55"/>
  <c r="M19" i="55"/>
  <c r="O19" i="55"/>
  <c r="E19" i="55"/>
  <c r="G19" i="55"/>
  <c r="G15" i="55"/>
  <c r="AV163" i="7"/>
  <c r="AV108" i="7"/>
  <c r="AV155" i="7"/>
  <c r="AV122" i="7"/>
  <c r="AV58" i="7"/>
  <c r="AV131" i="7"/>
  <c r="AV172" i="7"/>
  <c r="AV161" i="7"/>
  <c r="AV16" i="7"/>
  <c r="AV93" i="7"/>
  <c r="AV136" i="7"/>
  <c r="AV127" i="7"/>
  <c r="AV71" i="7"/>
  <c r="AV20" i="7"/>
  <c r="K177" i="7"/>
  <c r="L177" i="7" s="1"/>
  <c r="D29" i="55" s="1"/>
  <c r="C22" i="55"/>
  <c r="AV107" i="7"/>
  <c r="K151" i="7"/>
  <c r="L151" i="7" s="1"/>
  <c r="C18" i="55"/>
  <c r="O159" i="7"/>
  <c r="E9" i="55"/>
  <c r="S162" i="7"/>
  <c r="T162" i="7" s="1"/>
  <c r="G20" i="55"/>
  <c r="O22" i="7"/>
  <c r="E24" i="55"/>
  <c r="AV52" i="7"/>
  <c r="AV126" i="7"/>
  <c r="O77" i="7"/>
  <c r="E5" i="55"/>
  <c r="S79" i="7"/>
  <c r="T79" i="7" s="1"/>
  <c r="G11" i="55"/>
  <c r="O35" i="7"/>
  <c r="E7" i="55"/>
  <c r="K73" i="7"/>
  <c r="L73" i="7" s="1"/>
  <c r="C3" i="55"/>
  <c r="O79" i="7"/>
  <c r="E11" i="55"/>
  <c r="K35" i="7"/>
  <c r="L35" i="7" s="1"/>
  <c r="C7" i="55"/>
  <c r="S22" i="7"/>
  <c r="T22" i="7" s="1"/>
  <c r="H3" i="55" s="1"/>
  <c r="G24" i="55"/>
  <c r="K41" i="7"/>
  <c r="L41" i="7" s="1"/>
  <c r="C10" i="55"/>
  <c r="S167" i="7"/>
  <c r="T167" i="7" s="1"/>
  <c r="G26" i="55"/>
  <c r="O167" i="7"/>
  <c r="E26" i="55"/>
  <c r="S54" i="47"/>
  <c r="T54" i="47" s="1"/>
  <c r="AA14" i="55"/>
  <c r="L147" i="46"/>
  <c r="AT147" i="46"/>
  <c r="AA10" i="55"/>
  <c r="S41" i="47"/>
  <c r="T41" i="47" s="1"/>
  <c r="K83" i="47"/>
  <c r="L83" i="47" s="1"/>
  <c r="W25" i="55"/>
  <c r="W10" i="55"/>
  <c r="K41" i="47"/>
  <c r="L41" i="47" s="1"/>
  <c r="O158" i="47"/>
  <c r="P158" i="47" s="1"/>
  <c r="Y23" i="55"/>
  <c r="O41" i="47"/>
  <c r="P41" i="47" s="1"/>
  <c r="Y10" i="55"/>
  <c r="W26" i="55"/>
  <c r="K167" i="47"/>
  <c r="L167" i="47" s="1"/>
  <c r="X26" i="55" s="1"/>
  <c r="L146" i="47"/>
  <c r="AT146" i="47"/>
  <c r="O89" i="46"/>
  <c r="P89" i="46" s="1"/>
  <c r="O27" i="55"/>
  <c r="Q5" i="55"/>
  <c r="S77" i="46"/>
  <c r="T77" i="46" s="1"/>
  <c r="O77" i="47"/>
  <c r="P77" i="47" s="1"/>
  <c r="Y5" i="55"/>
  <c r="O151" i="47"/>
  <c r="P151" i="47" s="1"/>
  <c r="Y18" i="55"/>
  <c r="O33" i="47"/>
  <c r="P33" i="47" s="1"/>
  <c r="Y17" i="55"/>
  <c r="O162" i="47"/>
  <c r="P162" i="47" s="1"/>
  <c r="Z20" i="55" s="1"/>
  <c r="Y20" i="55"/>
  <c r="O35" i="46"/>
  <c r="P35" i="46" s="1"/>
  <c r="O7" i="55"/>
  <c r="K145" i="47"/>
  <c r="W28" i="55"/>
  <c r="M17" i="55"/>
  <c r="K33" i="46"/>
  <c r="L33" i="46" s="1"/>
  <c r="S79" i="46"/>
  <c r="T79" i="46" s="1"/>
  <c r="Q11" i="55"/>
  <c r="O41" i="46"/>
  <c r="P41" i="46" s="1"/>
  <c r="O10" i="55"/>
  <c r="O167" i="46"/>
  <c r="P167" i="46" s="1"/>
  <c r="P26" i="55" s="1"/>
  <c r="O26" i="55"/>
  <c r="O54" i="46"/>
  <c r="P54" i="46" s="1"/>
  <c r="O14" i="55"/>
  <c r="K145" i="7"/>
  <c r="L145" i="7" s="1"/>
  <c r="D19" i="55" s="1"/>
  <c r="C28" i="55"/>
  <c r="O24" i="7"/>
  <c r="E6" i="55"/>
  <c r="O167" i="47"/>
  <c r="P167" i="47" s="1"/>
  <c r="Z26" i="55" s="1"/>
  <c r="Y26" i="55"/>
  <c r="M5" i="55"/>
  <c r="K77" i="46"/>
  <c r="L77" i="46" s="1"/>
  <c r="S89" i="47"/>
  <c r="T89" i="47" s="1"/>
  <c r="AA27" i="55"/>
  <c r="O73" i="47"/>
  <c r="P73" i="47" s="1"/>
  <c r="Y3" i="55"/>
  <c r="K35" i="47"/>
  <c r="L35" i="47" s="1"/>
  <c r="W7" i="55"/>
  <c r="S17" i="47"/>
  <c r="T17" i="47" s="1"/>
  <c r="R4" i="47"/>
  <c r="O154" i="46"/>
  <c r="P154" i="46" s="1"/>
  <c r="O21" i="55"/>
  <c r="Q18" i="55"/>
  <c r="S151" i="46"/>
  <c r="T151" i="46" s="1"/>
  <c r="L146" i="46"/>
  <c r="AT146" i="46"/>
  <c r="Q26" i="55"/>
  <c r="S167" i="46"/>
  <c r="T167" i="46" s="1"/>
  <c r="R26" i="55" s="1"/>
  <c r="K83" i="46"/>
  <c r="L83" i="46" s="1"/>
  <c r="M25" i="55"/>
  <c r="P146" i="46"/>
  <c r="AV146" i="46"/>
  <c r="Q24" i="55"/>
  <c r="S22" i="46"/>
  <c r="T22" i="46" s="1"/>
  <c r="S159" i="47"/>
  <c r="T159" i="47" s="1"/>
  <c r="AA9" i="55"/>
  <c r="O77" i="46"/>
  <c r="P77" i="46" s="1"/>
  <c r="O5" i="55"/>
  <c r="O159" i="46"/>
  <c r="P159" i="46" s="1"/>
  <c r="P9" i="55" s="1"/>
  <c r="O9" i="55"/>
  <c r="M6" i="55"/>
  <c r="K24" i="46"/>
  <c r="L24" i="46" s="1"/>
  <c r="N6" i="55" s="1"/>
  <c r="M13" i="55"/>
  <c r="K48" i="46"/>
  <c r="L48" i="46" s="1"/>
  <c r="O48" i="47"/>
  <c r="P48" i="47" s="1"/>
  <c r="Y13" i="55"/>
  <c r="T146" i="46"/>
  <c r="AX146" i="46"/>
  <c r="L144" i="47"/>
  <c r="AT144" i="47"/>
  <c r="W23" i="55"/>
  <c r="K158" i="47"/>
  <c r="L158" i="47" s="1"/>
  <c r="AA24" i="55"/>
  <c r="S22" i="47"/>
  <c r="T22" i="47" s="1"/>
  <c r="O73" i="46"/>
  <c r="P73" i="46" s="1"/>
  <c r="O3" i="55"/>
  <c r="Q10" i="55"/>
  <c r="S41" i="46"/>
  <c r="T41" i="46" s="1"/>
  <c r="S154" i="46"/>
  <c r="T154" i="46" s="1"/>
  <c r="Q21" i="55"/>
  <c r="O79" i="46"/>
  <c r="P79" i="46" s="1"/>
  <c r="O11" i="55"/>
  <c r="O17" i="55"/>
  <c r="O33" i="46"/>
  <c r="P33" i="46" s="1"/>
  <c r="AV87" i="7"/>
  <c r="S83" i="7"/>
  <c r="T83" i="7" s="1"/>
  <c r="G25" i="55"/>
  <c r="O145" i="7"/>
  <c r="E28" i="55"/>
  <c r="S154" i="7"/>
  <c r="T154" i="7" s="1"/>
  <c r="G21" i="55"/>
  <c r="K79" i="7"/>
  <c r="L79" i="7" s="1"/>
  <c r="D16" i="55" s="1"/>
  <c r="C11" i="55"/>
  <c r="K48" i="7"/>
  <c r="L48" i="7" s="1"/>
  <c r="C13" i="55"/>
  <c r="O14" i="7"/>
  <c r="E4" i="55"/>
  <c r="K22" i="7"/>
  <c r="L22" i="7" s="1"/>
  <c r="C24" i="55"/>
  <c r="S158" i="7"/>
  <c r="T158" i="7" s="1"/>
  <c r="G23" i="55"/>
  <c r="S27" i="7"/>
  <c r="T27" i="7" s="1"/>
  <c r="G8" i="55"/>
  <c r="O158" i="7"/>
  <c r="E23" i="55"/>
  <c r="O27" i="7"/>
  <c r="E8" i="55"/>
  <c r="S27" i="46"/>
  <c r="T27" i="46" s="1"/>
  <c r="Q8" i="55"/>
  <c r="L147" i="47"/>
  <c r="AT147" i="47"/>
  <c r="K89" i="47"/>
  <c r="L89" i="47" s="1"/>
  <c r="W27" i="55"/>
  <c r="S48" i="47"/>
  <c r="T48" i="47" s="1"/>
  <c r="AA13" i="55"/>
  <c r="S73" i="47"/>
  <c r="T73" i="47" s="1"/>
  <c r="AB14" i="55" s="1"/>
  <c r="AA3" i="55"/>
  <c r="O83" i="47"/>
  <c r="P83" i="47" s="1"/>
  <c r="Y25" i="55"/>
  <c r="T148" i="46"/>
  <c r="AX148" i="46"/>
  <c r="O47" i="47"/>
  <c r="P47" i="47" s="1"/>
  <c r="Y12" i="55"/>
  <c r="M12" i="55"/>
  <c r="K47" i="46"/>
  <c r="L47" i="46" s="1"/>
  <c r="AA4" i="55"/>
  <c r="S14" i="47"/>
  <c r="T14" i="47" s="1"/>
  <c r="S27" i="47"/>
  <c r="T27" i="47" s="1"/>
  <c r="AA8" i="55"/>
  <c r="W13" i="55"/>
  <c r="K48" i="47"/>
  <c r="L48" i="47" s="1"/>
  <c r="K54" i="47"/>
  <c r="L54" i="47" s="1"/>
  <c r="W14" i="55"/>
  <c r="S162" i="47"/>
  <c r="T162" i="47" s="1"/>
  <c r="AB20" i="55" s="1"/>
  <c r="AA20" i="55"/>
  <c r="Q12" i="55"/>
  <c r="S47" i="46"/>
  <c r="T47" i="46" s="1"/>
  <c r="O154" i="47"/>
  <c r="P154" i="47" s="1"/>
  <c r="Y21" i="55"/>
  <c r="K17" i="47"/>
  <c r="L17" i="47" s="1"/>
  <c r="J4" i="47"/>
  <c r="W12" i="55"/>
  <c r="K47" i="47"/>
  <c r="L47" i="47" s="1"/>
  <c r="K162" i="46"/>
  <c r="L162" i="46" s="1"/>
  <c r="N20" i="55" s="1"/>
  <c r="M20" i="55"/>
  <c r="T147" i="47"/>
  <c r="AX147" i="47"/>
  <c r="S83" i="46"/>
  <c r="T83" i="46" s="1"/>
  <c r="Q25" i="55"/>
  <c r="P144" i="46"/>
  <c r="AV144" i="46"/>
  <c r="O17" i="47"/>
  <c r="P17" i="47" s="1"/>
  <c r="N4" i="47"/>
  <c r="Q23" i="55"/>
  <c r="S158" i="46"/>
  <c r="T158" i="46" s="1"/>
  <c r="R23" i="55" s="1"/>
  <c r="K167" i="46"/>
  <c r="L167" i="46" s="1"/>
  <c r="N26" i="55" s="1"/>
  <c r="M26" i="55"/>
  <c r="P147" i="46"/>
  <c r="AV147" i="46"/>
  <c r="W18" i="55"/>
  <c r="K151" i="47"/>
  <c r="L151" i="47" s="1"/>
  <c r="S159" i="46"/>
  <c r="T159" i="46" s="1"/>
  <c r="Q9" i="55"/>
  <c r="O62" i="46"/>
  <c r="P62" i="46" s="1"/>
  <c r="O16" i="55"/>
  <c r="O83" i="46"/>
  <c r="P83" i="46" s="1"/>
  <c r="P25" i="55" s="1"/>
  <c r="O25" i="55"/>
  <c r="T147" i="46"/>
  <c r="AX147" i="46"/>
  <c r="K158" i="7"/>
  <c r="L158" i="7" s="1"/>
  <c r="C23" i="55"/>
  <c r="K27" i="7"/>
  <c r="L27" i="7" s="1"/>
  <c r="C8" i="55"/>
  <c r="O54" i="7"/>
  <c r="E14" i="55"/>
  <c r="K159" i="7"/>
  <c r="L159" i="7" s="1"/>
  <c r="C9" i="55"/>
  <c r="K54" i="7"/>
  <c r="L54" i="7" s="1"/>
  <c r="C14" i="55"/>
  <c r="K24" i="7"/>
  <c r="L24" i="7" s="1"/>
  <c r="C6" i="55"/>
  <c r="S47" i="7"/>
  <c r="T47" i="7" s="1"/>
  <c r="G12" i="55"/>
  <c r="K14" i="7"/>
  <c r="L14" i="7" s="1"/>
  <c r="C4" i="55"/>
  <c r="O47" i="7"/>
  <c r="E12" i="55"/>
  <c r="K47" i="7"/>
  <c r="L47" i="7" s="1"/>
  <c r="C12" i="55"/>
  <c r="O14" i="47"/>
  <c r="P14" i="47" s="1"/>
  <c r="Y4" i="55"/>
  <c r="P148" i="47"/>
  <c r="AV148" i="47"/>
  <c r="O62" i="47"/>
  <c r="P62" i="47" s="1"/>
  <c r="Y16" i="55"/>
  <c r="AA12" i="55"/>
  <c r="S47" i="47"/>
  <c r="T47" i="47" s="1"/>
  <c r="AB12" i="55" s="1"/>
  <c r="S62" i="47"/>
  <c r="T62" i="47" s="1"/>
  <c r="AA16" i="55"/>
  <c r="M22" i="55"/>
  <c r="K177" i="46"/>
  <c r="L177" i="46" s="1"/>
  <c r="O79" i="47"/>
  <c r="P79" i="47" s="1"/>
  <c r="Z11" i="55" s="1"/>
  <c r="Y11" i="55"/>
  <c r="T148" i="47"/>
  <c r="AX148" i="47"/>
  <c r="O22" i="47"/>
  <c r="P22" i="47" s="1"/>
  <c r="Z24" i="55" s="1"/>
  <c r="Y24" i="55"/>
  <c r="S162" i="46"/>
  <c r="T162" i="46" s="1"/>
  <c r="R20" i="55" s="1"/>
  <c r="Q20" i="55"/>
  <c r="T144" i="47"/>
  <c r="AX144" i="47"/>
  <c r="O159" i="47"/>
  <c r="P159" i="47" s="1"/>
  <c r="Z9" i="55" s="1"/>
  <c r="Y9" i="55"/>
  <c r="O89" i="47"/>
  <c r="P89" i="47" s="1"/>
  <c r="Y27" i="55"/>
  <c r="K27" i="47"/>
  <c r="L27" i="47" s="1"/>
  <c r="X8" i="55" s="1"/>
  <c r="W8" i="55"/>
  <c r="K17" i="46"/>
  <c r="L17" i="46" s="1"/>
  <c r="J4" i="46"/>
  <c r="Q22" i="55"/>
  <c r="S177" i="46"/>
  <c r="T177" i="46" s="1"/>
  <c r="M24" i="55"/>
  <c r="K22" i="46"/>
  <c r="L22" i="46" s="1"/>
  <c r="K35" i="46"/>
  <c r="L35" i="46" s="1"/>
  <c r="N7" i="55" s="1"/>
  <c r="M7" i="55"/>
  <c r="S54" i="46"/>
  <c r="T54" i="46" s="1"/>
  <c r="Q14" i="55"/>
  <c r="K167" i="7"/>
  <c r="L167" i="7" s="1"/>
  <c r="C26" i="55"/>
  <c r="S14" i="7"/>
  <c r="T14" i="7" s="1"/>
  <c r="G4" i="55"/>
  <c r="S151" i="7"/>
  <c r="T151" i="7" s="1"/>
  <c r="G18" i="55"/>
  <c r="O151" i="7"/>
  <c r="E18" i="55"/>
  <c r="AV133" i="7"/>
  <c r="K17" i="7"/>
  <c r="L17" i="7" s="1"/>
  <c r="J4" i="7"/>
  <c r="AV42" i="7"/>
  <c r="AV112" i="7"/>
  <c r="AV37" i="7"/>
  <c r="AV57" i="7"/>
  <c r="AV143" i="7"/>
  <c r="O83" i="7"/>
  <c r="E25" i="55"/>
  <c r="K83" i="7"/>
  <c r="L83" i="7" s="1"/>
  <c r="C25" i="55"/>
  <c r="S145" i="7"/>
  <c r="T145" i="7" s="1"/>
  <c r="H19" i="55" s="1"/>
  <c r="G28" i="55"/>
  <c r="O162" i="7"/>
  <c r="E20" i="55"/>
  <c r="S41" i="7"/>
  <c r="T41" i="7" s="1"/>
  <c r="G10" i="55"/>
  <c r="O154" i="7"/>
  <c r="E21" i="55"/>
  <c r="S73" i="7"/>
  <c r="T73" i="7" s="1"/>
  <c r="G3" i="55"/>
  <c r="K154" i="47"/>
  <c r="L154" i="47" s="1"/>
  <c r="W21" i="55"/>
  <c r="T146" i="47"/>
  <c r="AX146" i="47"/>
  <c r="AA5" i="55"/>
  <c r="S77" i="47"/>
  <c r="T77" i="47" s="1"/>
  <c r="AA17" i="55"/>
  <c r="S33" i="47"/>
  <c r="T33" i="47" s="1"/>
  <c r="S154" i="47"/>
  <c r="T154" i="47" s="1"/>
  <c r="AA21" i="55"/>
  <c r="T144" i="46"/>
  <c r="AX144" i="46"/>
  <c r="K62" i="47"/>
  <c r="L62" i="47" s="1"/>
  <c r="W16" i="55"/>
  <c r="S89" i="46"/>
  <c r="T89" i="46" s="1"/>
  <c r="Q27" i="55"/>
  <c r="M11" i="55"/>
  <c r="K79" i="46"/>
  <c r="L79" i="46" s="1"/>
  <c r="N11" i="55" s="1"/>
  <c r="K27" i="46"/>
  <c r="L27" i="46" s="1"/>
  <c r="M8" i="55"/>
  <c r="L148" i="46"/>
  <c r="AT148" i="46"/>
  <c r="W17" i="55"/>
  <c r="K33" i="47"/>
  <c r="L33" i="47" s="1"/>
  <c r="K77" i="47"/>
  <c r="L77" i="47" s="1"/>
  <c r="X15" i="55" s="1"/>
  <c r="W5" i="55"/>
  <c r="S79" i="47"/>
  <c r="T79" i="47" s="1"/>
  <c r="AA11" i="55"/>
  <c r="AA23" i="55"/>
  <c r="S158" i="47"/>
  <c r="T158" i="47" s="1"/>
  <c r="O162" i="46"/>
  <c r="P162" i="46" s="1"/>
  <c r="P20" i="55" s="1"/>
  <c r="O20" i="55"/>
  <c r="S17" i="46"/>
  <c r="T17" i="46" s="1"/>
  <c r="T4" i="46" s="1"/>
  <c r="R4" i="46"/>
  <c r="M23" i="55"/>
  <c r="K158" i="46"/>
  <c r="L158" i="46" s="1"/>
  <c r="O17" i="46"/>
  <c r="P17" i="46" s="1"/>
  <c r="N4" i="46"/>
  <c r="K145" i="46"/>
  <c r="M28" i="55"/>
  <c r="O27" i="46"/>
  <c r="P27" i="46" s="1"/>
  <c r="P8" i="55" s="1"/>
  <c r="O8" i="55"/>
  <c r="O151" i="46"/>
  <c r="P151" i="46" s="1"/>
  <c r="O18" i="55"/>
  <c r="O6" i="55"/>
  <c r="O24" i="46"/>
  <c r="P24" i="46" s="1"/>
  <c r="P6" i="55" s="1"/>
  <c r="O145" i="46"/>
  <c r="O28" i="55"/>
  <c r="S14" i="46"/>
  <c r="T14" i="46" s="1"/>
  <c r="Q4" i="55"/>
  <c r="K41" i="46"/>
  <c r="L41" i="46" s="1"/>
  <c r="M10" i="55"/>
  <c r="S24" i="7"/>
  <c r="T24" i="7" s="1"/>
  <c r="G6" i="55"/>
  <c r="O48" i="7"/>
  <c r="E13" i="55"/>
  <c r="S33" i="7"/>
  <c r="T33" i="7" s="1"/>
  <c r="G17" i="55"/>
  <c r="AV18" i="7"/>
  <c r="AV160" i="7"/>
  <c r="AV102" i="7"/>
  <c r="AV147" i="7"/>
  <c r="AV103" i="7"/>
  <c r="AV32" i="7"/>
  <c r="AV86" i="7"/>
  <c r="AV157" i="7"/>
  <c r="AV98" i="7"/>
  <c r="AV124" i="7"/>
  <c r="AV138" i="7"/>
  <c r="S35" i="7"/>
  <c r="T35" i="7" s="1"/>
  <c r="G7" i="55"/>
  <c r="O73" i="7"/>
  <c r="E3" i="55"/>
  <c r="S177" i="7"/>
  <c r="T177" i="7" s="1"/>
  <c r="G22" i="55"/>
  <c r="O177" i="7"/>
  <c r="E22" i="55"/>
  <c r="S48" i="7"/>
  <c r="T48" i="7" s="1"/>
  <c r="G13" i="55"/>
  <c r="K154" i="7"/>
  <c r="L154" i="7" s="1"/>
  <c r="C21" i="55"/>
  <c r="S62" i="7"/>
  <c r="T62" i="7" s="1"/>
  <c r="G16" i="55"/>
  <c r="O62" i="7"/>
  <c r="E16" i="55"/>
  <c r="K62" i="7"/>
  <c r="L62" i="7" s="1"/>
  <c r="C16" i="55"/>
  <c r="J3" i="7"/>
  <c r="B59" i="10" s="1"/>
  <c r="P144" i="47"/>
  <c r="AV144" i="47"/>
  <c r="O35" i="47"/>
  <c r="P35" i="47" s="1"/>
  <c r="Z7" i="55" s="1"/>
  <c r="Y7" i="55"/>
  <c r="L148" i="47"/>
  <c r="AT148" i="47"/>
  <c r="S167" i="47"/>
  <c r="T167" i="47" s="1"/>
  <c r="AB26" i="55" s="1"/>
  <c r="AA26" i="55"/>
  <c r="AA18" i="55"/>
  <c r="S151" i="47"/>
  <c r="T151" i="47" s="1"/>
  <c r="W11" i="55"/>
  <c r="K79" i="47"/>
  <c r="L79" i="47" s="1"/>
  <c r="X11" i="55" s="1"/>
  <c r="W22" i="55"/>
  <c r="K177" i="47"/>
  <c r="L177" i="47" s="1"/>
  <c r="O177" i="47"/>
  <c r="P177" i="47" s="1"/>
  <c r="Y22" i="55"/>
  <c r="S35" i="47"/>
  <c r="T35" i="47" s="1"/>
  <c r="AA7" i="55"/>
  <c r="K14" i="46"/>
  <c r="L14" i="46" s="1"/>
  <c r="M4" i="55"/>
  <c r="K14" i="47"/>
  <c r="L14" i="47" s="1"/>
  <c r="W4" i="55"/>
  <c r="Q17" i="55"/>
  <c r="S33" i="46"/>
  <c r="T33" i="46" s="1"/>
  <c r="R17" i="55" s="1"/>
  <c r="P147" i="47"/>
  <c r="AV147" i="47"/>
  <c r="Q16" i="55"/>
  <c r="S62" i="46"/>
  <c r="T62" i="46" s="1"/>
  <c r="R16" i="55" s="1"/>
  <c r="O23" i="55"/>
  <c r="O158" i="46"/>
  <c r="P158" i="46" s="1"/>
  <c r="P23" i="55" s="1"/>
  <c r="L144" i="46"/>
  <c r="AT144" i="46"/>
  <c r="X5" i="55"/>
  <c r="Q3" i="55"/>
  <c r="S73" i="46"/>
  <c r="T73" i="46" s="1"/>
  <c r="O48" i="46"/>
  <c r="P48" i="46" s="1"/>
  <c r="P13" i="55" s="1"/>
  <c r="O13" i="55"/>
  <c r="P148" i="46"/>
  <c r="AV148" i="46"/>
  <c r="O22" i="46"/>
  <c r="P22" i="46" s="1"/>
  <c r="P24" i="55" s="1"/>
  <c r="O24" i="55"/>
  <c r="S17" i="7"/>
  <c r="T17" i="7" s="1"/>
  <c r="R4" i="7"/>
  <c r="S159" i="7"/>
  <c r="T159" i="7" s="1"/>
  <c r="G9" i="55"/>
  <c r="S54" i="7"/>
  <c r="T54" i="7" s="1"/>
  <c r="G14" i="55"/>
  <c r="K77" i="7"/>
  <c r="L77" i="7" s="1"/>
  <c r="D15" i="55" s="1"/>
  <c r="C5" i="55"/>
  <c r="O33" i="7"/>
  <c r="E17" i="55"/>
  <c r="O17" i="7"/>
  <c r="N4" i="7"/>
  <c r="K33" i="7"/>
  <c r="L33" i="7" s="1"/>
  <c r="C17" i="55"/>
  <c r="AV30" i="7"/>
  <c r="AV53" i="7"/>
  <c r="AV165" i="7"/>
  <c r="K162" i="7"/>
  <c r="L162" i="7" s="1"/>
  <c r="C20" i="55"/>
  <c r="O41" i="7"/>
  <c r="E10" i="55"/>
  <c r="S89" i="7"/>
  <c r="T89" i="7" s="1"/>
  <c r="G27" i="55"/>
  <c r="O89" i="7"/>
  <c r="E27" i="55"/>
  <c r="K89" i="7"/>
  <c r="L89" i="7" s="1"/>
  <c r="C27" i="55"/>
  <c r="S77" i="7"/>
  <c r="T77" i="7" s="1"/>
  <c r="H15" i="55" s="1"/>
  <c r="G5" i="55"/>
  <c r="W24" i="55"/>
  <c r="K22" i="47"/>
  <c r="L22" i="47" s="1"/>
  <c r="X24" i="55" s="1"/>
  <c r="S145" i="47"/>
  <c r="AA28" i="55"/>
  <c r="K73" i="46"/>
  <c r="L73" i="46" s="1"/>
  <c r="N3" i="55" s="1"/>
  <c r="M3" i="55"/>
  <c r="K162" i="47"/>
  <c r="L162" i="47" s="1"/>
  <c r="X20" i="55" s="1"/>
  <c r="W20" i="55"/>
  <c r="O27" i="47"/>
  <c r="P27" i="47" s="1"/>
  <c r="Z8" i="55" s="1"/>
  <c r="Y8" i="55"/>
  <c r="K73" i="47"/>
  <c r="L73" i="47" s="1"/>
  <c r="W3" i="55"/>
  <c r="W6" i="55"/>
  <c r="K24" i="47"/>
  <c r="L24" i="47" s="1"/>
  <c r="X6" i="55" s="1"/>
  <c r="O54" i="47"/>
  <c r="P54" i="47" s="1"/>
  <c r="Y14" i="55"/>
  <c r="W9" i="55"/>
  <c r="K159" i="47"/>
  <c r="L159" i="47" s="1"/>
  <c r="X9" i="55" s="1"/>
  <c r="Q6" i="55"/>
  <c r="S24" i="46"/>
  <c r="T24" i="46" s="1"/>
  <c r="R6" i="55" s="1"/>
  <c r="O145" i="47"/>
  <c r="Y28" i="55"/>
  <c r="K154" i="46"/>
  <c r="L154" i="46" s="1"/>
  <c r="M21" i="55"/>
  <c r="O14" i="46"/>
  <c r="P14" i="46" s="1"/>
  <c r="P4" i="55" s="1"/>
  <c r="O4" i="55"/>
  <c r="O24" i="47"/>
  <c r="P24" i="47" s="1"/>
  <c r="Z6" i="55" s="1"/>
  <c r="Y6" i="55"/>
  <c r="K151" i="46"/>
  <c r="L151" i="46" s="1"/>
  <c r="M18" i="55"/>
  <c r="AA6" i="55"/>
  <c r="S24" i="47"/>
  <c r="T24" i="47" s="1"/>
  <c r="AB6" i="55" s="1"/>
  <c r="Q28" i="55"/>
  <c r="S145" i="46"/>
  <c r="AA22" i="55"/>
  <c r="S177" i="47"/>
  <c r="T177" i="47" s="1"/>
  <c r="AA25" i="55"/>
  <c r="S83" i="47"/>
  <c r="T83" i="47" s="1"/>
  <c r="AB25" i="55" s="1"/>
  <c r="S35" i="46"/>
  <c r="T35" i="46" s="1"/>
  <c r="Q7" i="55"/>
  <c r="P146" i="47"/>
  <c r="AV146" i="47"/>
  <c r="K54" i="46"/>
  <c r="L54" i="46" s="1"/>
  <c r="M14" i="55"/>
  <c r="K89" i="46"/>
  <c r="L89" i="46" s="1"/>
  <c r="N27" i="55" s="1"/>
  <c r="M27" i="55"/>
  <c r="O47" i="46"/>
  <c r="P47" i="46" s="1"/>
  <c r="P12" i="55" s="1"/>
  <c r="O12" i="55"/>
  <c r="S48" i="46"/>
  <c r="T48" i="46" s="1"/>
  <c r="Q13" i="55"/>
  <c r="M9" i="55"/>
  <c r="K159" i="46"/>
  <c r="L159" i="46" s="1"/>
  <c r="N9" i="55" s="1"/>
  <c r="K62" i="46"/>
  <c r="L62" i="46" s="1"/>
  <c r="M16" i="55"/>
  <c r="O177" i="46"/>
  <c r="P177" i="46" s="1"/>
  <c r="O22" i="55"/>
  <c r="AV139" i="7"/>
  <c r="H26" i="55"/>
  <c r="H8" i="55"/>
  <c r="H13" i="55"/>
  <c r="O149" i="47"/>
  <c r="P149" i="47" s="1"/>
  <c r="N3" i="47"/>
  <c r="Y2" i="55"/>
  <c r="V242" i="7" a="1"/>
  <c r="V242" i="7" s="1"/>
  <c r="W242" i="7" s="1" a="1"/>
  <c r="W242" i="7" s="1"/>
  <c r="AZ242" i="7" s="1"/>
  <c r="I242" i="7"/>
  <c r="I238" i="7"/>
  <c r="V238" i="7" a="1"/>
  <c r="V238" i="7" s="1"/>
  <c r="W238" i="7" s="1" a="1"/>
  <c r="W238" i="7" s="1"/>
  <c r="V250" i="7" a="1"/>
  <c r="V250" i="7" s="1"/>
  <c r="W250" i="7" s="1" a="1"/>
  <c r="W250" i="7" s="1"/>
  <c r="I250" i="7"/>
  <c r="I249" i="7"/>
  <c r="V249" i="7" a="1"/>
  <c r="V249" i="7" s="1"/>
  <c r="W249" i="7" s="1" a="1"/>
  <c r="W249" i="7" s="1"/>
  <c r="I215" i="7"/>
  <c r="V215" i="7" a="1"/>
  <c r="V215" i="7" s="1"/>
  <c r="W215" i="7" s="1" a="1"/>
  <c r="W215" i="7" s="1"/>
  <c r="V122" i="7" a="1"/>
  <c r="V122" i="7" s="1"/>
  <c r="W122" i="7" s="1" a="1"/>
  <c r="W122" i="7" s="1"/>
  <c r="I71" i="7"/>
  <c r="V71" i="7" a="1"/>
  <c r="V71" i="7" s="1"/>
  <c r="W71" i="7" s="1" a="1"/>
  <c r="W71" i="7" s="1"/>
  <c r="V16" i="7" a="1"/>
  <c r="V16" i="7" s="1"/>
  <c r="W16" i="7" s="1" a="1"/>
  <c r="W16" i="7" s="1"/>
  <c r="AZ16" i="7" s="1"/>
  <c r="I16" i="7"/>
  <c r="V195" i="7" a="1"/>
  <c r="V195" i="7" s="1"/>
  <c r="W195" i="7" s="1" a="1"/>
  <c r="W195" i="7" s="1"/>
  <c r="I195" i="7"/>
  <c r="V102" i="7" a="1"/>
  <c r="V102" i="7" s="1"/>
  <c r="W102" i="7" s="1" a="1"/>
  <c r="W102" i="7" s="1"/>
  <c r="I102" i="7" s="1"/>
  <c r="V52" i="7" a="1"/>
  <c r="V52" i="7" s="1"/>
  <c r="W52" i="7" s="1" a="1"/>
  <c r="W52" i="7" s="1"/>
  <c r="I239" i="7"/>
  <c r="V239" i="7" a="1"/>
  <c r="V239" i="7" s="1"/>
  <c r="W239" i="7" s="1" a="1"/>
  <c r="W239" i="7" s="1"/>
  <c r="V146" i="7" a="1"/>
  <c r="V146" i="7" s="1"/>
  <c r="W146" i="7" s="1" a="1"/>
  <c r="W146" i="7" s="1"/>
  <c r="I85" i="7"/>
  <c r="V85" i="7" a="1"/>
  <c r="V85" i="7" s="1"/>
  <c r="W85" i="7" s="1" a="1"/>
  <c r="W85" i="7" s="1"/>
  <c r="V31" i="7" a="1"/>
  <c r="V31" i="7" s="1"/>
  <c r="W31" i="7" s="1" a="1"/>
  <c r="W31" i="7" s="1"/>
  <c r="AZ31" i="7" s="1"/>
  <c r="I31" i="7"/>
  <c r="V219" i="7" a="1"/>
  <c r="V219" i="7" s="1"/>
  <c r="W219" i="7" s="1" a="1"/>
  <c r="W219" i="7" s="1"/>
  <c r="I219" i="7"/>
  <c r="V126" i="7" a="1"/>
  <c r="V126" i="7" s="1"/>
  <c r="W126" i="7" s="1" a="1"/>
  <c r="W126" i="7" s="1"/>
  <c r="I126" i="7"/>
  <c r="V151" i="7" a="1"/>
  <c r="V151" i="7" s="1"/>
  <c r="V18" i="7" a="1"/>
  <c r="V18" i="7" s="1"/>
  <c r="W18" i="7" s="1" a="1"/>
  <c r="W18" i="7" s="1"/>
  <c r="I18" i="7"/>
  <c r="I132" i="7"/>
  <c r="V132" i="7" a="1"/>
  <c r="V132" i="7" s="1"/>
  <c r="W132" i="7" s="1" a="1"/>
  <c r="W132" i="7" s="1"/>
  <c r="V164" i="7" a="1"/>
  <c r="V164" i="7" s="1"/>
  <c r="W164" i="7" s="1" a="1"/>
  <c r="W164" i="7" s="1"/>
  <c r="V78" i="7" a="1"/>
  <c r="V78" i="7" s="1"/>
  <c r="W78" i="7" s="1" a="1"/>
  <c r="W78" i="7" s="1"/>
  <c r="I78" i="7"/>
  <c r="V163" i="7" a="1"/>
  <c r="V163" i="7" s="1"/>
  <c r="W163" i="7" s="1" a="1"/>
  <c r="W163" i="7" s="1"/>
  <c r="I163" i="7" s="1"/>
  <c r="V77" i="7" a="1"/>
  <c r="V77" i="7" s="1"/>
  <c r="I77" i="7"/>
  <c r="I137" i="7"/>
  <c r="V137" i="7" a="1"/>
  <c r="V137" i="7" s="1"/>
  <c r="W137" i="7" s="1" a="1"/>
  <c r="W137" i="7" s="1"/>
  <c r="I156" i="7"/>
  <c r="V156" i="7" a="1"/>
  <c r="V156" i="7" s="1"/>
  <c r="W156" i="7" s="1" a="1"/>
  <c r="W156" i="7" s="1"/>
  <c r="I36" i="7"/>
  <c r="V36" i="7" a="1"/>
  <c r="V36" i="7" s="1"/>
  <c r="W36" i="7" s="1" a="1"/>
  <c r="W36" i="7" s="1"/>
  <c r="X36" i="7" s="1" a="1"/>
  <c r="X36" i="7" s="1"/>
  <c r="V110" i="7" a="1"/>
  <c r="V110" i="7" s="1"/>
  <c r="W110" i="7" s="1" a="1"/>
  <c r="W110" i="7" s="1"/>
  <c r="I110" i="7"/>
  <c r="V60" i="7" a="1"/>
  <c r="V60" i="7" s="1"/>
  <c r="W60" i="7" s="1" a="1"/>
  <c r="W60" i="7" s="1"/>
  <c r="I60" i="7"/>
  <c r="I73" i="46"/>
  <c r="V73" i="46" a="1"/>
  <c r="V73" i="46" s="1"/>
  <c r="V65" i="46" a="1"/>
  <c r="V65" i="46" s="1"/>
  <c r="W65" i="46" s="1" a="1"/>
  <c r="W65" i="46" s="1"/>
  <c r="V37" i="46" a="1"/>
  <c r="V37" i="46" s="1"/>
  <c r="W37" i="46" s="1" a="1"/>
  <c r="W37" i="46" s="1"/>
  <c r="I37" i="46"/>
  <c r="I98" i="46"/>
  <c r="V98" i="46" a="1"/>
  <c r="V98" i="46" s="1"/>
  <c r="W98" i="46" s="1" a="1"/>
  <c r="W98" i="46" s="1"/>
  <c r="V52" i="46" a="1"/>
  <c r="V52" i="46" s="1"/>
  <c r="W52" i="46" s="1" a="1"/>
  <c r="W52" i="46" s="1"/>
  <c r="V167" i="46" a="1"/>
  <c r="V167" i="46" s="1"/>
  <c r="V122" i="46" a="1"/>
  <c r="V122" i="46" s="1"/>
  <c r="W122" i="46" s="1" a="1"/>
  <c r="W122" i="46" s="1"/>
  <c r="I79" i="46"/>
  <c r="V79" i="46" a="1"/>
  <c r="V79" i="46" s="1"/>
  <c r="I169" i="46"/>
  <c r="V169" i="46" a="1"/>
  <c r="V169" i="46" s="1"/>
  <c r="W169" i="46" s="1" a="1"/>
  <c r="W169" i="46" s="1"/>
  <c r="V42" i="46" a="1"/>
  <c r="V42" i="46" s="1"/>
  <c r="W42" i="46" s="1" a="1"/>
  <c r="W42" i="46" s="1"/>
  <c r="I42" i="46"/>
  <c r="V87" i="46" a="1"/>
  <c r="V87" i="46" s="1"/>
  <c r="W87" i="46" s="1" a="1"/>
  <c r="W87" i="46" s="1"/>
  <c r="I87" i="46"/>
  <c r="I46" i="46"/>
  <c r="V46" i="46" a="1"/>
  <c r="V46" i="46" s="1"/>
  <c r="W46" i="46" s="1" a="1"/>
  <c r="W46" i="46" s="1"/>
  <c r="V112" i="46" a="1"/>
  <c r="V112" i="46" s="1"/>
  <c r="W112" i="46" s="1" a="1"/>
  <c r="W112" i="46" s="1"/>
  <c r="I112" i="46"/>
  <c r="V41" i="46" a="1"/>
  <c r="V41" i="46" s="1"/>
  <c r="I41" i="46"/>
  <c r="I103" i="46"/>
  <c r="V103" i="46" a="1"/>
  <c r="V103" i="46" s="1"/>
  <c r="W103" i="46" s="1" a="1"/>
  <c r="W103" i="46" s="1"/>
  <c r="V81" i="46" a="1"/>
  <c r="V81" i="46" s="1"/>
  <c r="W81" i="46" s="1" a="1"/>
  <c r="W81" i="46" s="1"/>
  <c r="AZ81" i="46" s="1"/>
  <c r="I81" i="46"/>
  <c r="V86" i="46" a="1"/>
  <c r="V86" i="46" s="1"/>
  <c r="W86" i="46" s="1" a="1"/>
  <c r="W86" i="46" s="1"/>
  <c r="I86" i="46"/>
  <c r="I203" i="46"/>
  <c r="V203" i="46" a="1"/>
  <c r="V203" i="46" s="1"/>
  <c r="W203" i="46" s="1" a="1"/>
  <c r="W203" i="46" s="1"/>
  <c r="V73" i="47" a="1"/>
  <c r="V73" i="47" s="1"/>
  <c r="I73" i="47"/>
  <c r="I136" i="46"/>
  <c r="V136" i="46" a="1"/>
  <c r="V136" i="46" s="1"/>
  <c r="W136" i="46" s="1" a="1"/>
  <c r="W136" i="46" s="1"/>
  <c r="I233" i="46"/>
  <c r="V233" i="46" a="1"/>
  <c r="V233" i="46" s="1"/>
  <c r="W233" i="46" s="1" a="1"/>
  <c r="W233" i="46" s="1"/>
  <c r="V40" i="47" a="1"/>
  <c r="V40" i="47" s="1"/>
  <c r="W40" i="47" s="1" a="1"/>
  <c r="W40" i="47" s="1"/>
  <c r="I40" i="47"/>
  <c r="I187" i="46"/>
  <c r="V187" i="46" a="1"/>
  <c r="V187" i="46" s="1"/>
  <c r="W187" i="46" s="1" a="1"/>
  <c r="W187" i="46" s="1"/>
  <c r="I237" i="46"/>
  <c r="V237" i="46" a="1"/>
  <c r="V237" i="46" s="1"/>
  <c r="W237" i="46" s="1" a="1"/>
  <c r="W237" i="46" s="1"/>
  <c r="I126" i="46"/>
  <c r="V126" i="46" a="1"/>
  <c r="V126" i="46" s="1"/>
  <c r="W126" i="46" s="1" a="1"/>
  <c r="W126" i="46" s="1"/>
  <c r="I211" i="46"/>
  <c r="V211" i="46" a="1"/>
  <c r="V211" i="46" s="1"/>
  <c r="W211" i="46" s="1" a="1"/>
  <c r="W211" i="46" s="1"/>
  <c r="I123" i="46"/>
  <c r="V123" i="46" a="1"/>
  <c r="V123" i="46" s="1"/>
  <c r="W123" i="46" s="1" a="1"/>
  <c r="W123" i="46" s="1"/>
  <c r="X123" i="46" s="1" a="1"/>
  <c r="X123" i="46" s="1"/>
  <c r="I189" i="46"/>
  <c r="V189" i="46" a="1"/>
  <c r="V189" i="46" s="1"/>
  <c r="W189" i="46" s="1" a="1"/>
  <c r="W189" i="46" s="1"/>
  <c r="I236" i="46"/>
  <c r="V236" i="46" a="1"/>
  <c r="V236" i="46" s="1"/>
  <c r="W236" i="46" s="1" a="1"/>
  <c r="W236" i="46" s="1"/>
  <c r="V153" i="47" a="1"/>
  <c r="V153" i="47" s="1"/>
  <c r="W153" i="47" s="1" a="1"/>
  <c r="W153" i="47" s="1"/>
  <c r="I153" i="47"/>
  <c r="V74" i="47" a="1"/>
  <c r="V74" i="47" s="1"/>
  <c r="W74" i="47" s="1" a="1"/>
  <c r="W74" i="47" s="1"/>
  <c r="I74" i="47"/>
  <c r="V134" i="46" a="1"/>
  <c r="V134" i="46" s="1"/>
  <c r="W134" i="46" s="1" a="1"/>
  <c r="W134" i="46" s="1"/>
  <c r="AZ134" i="46" s="1"/>
  <c r="I134" i="46"/>
  <c r="V209" i="46" a="1"/>
  <c r="V209" i="46" s="1"/>
  <c r="W209" i="46" s="1" a="1"/>
  <c r="W209" i="46" s="1"/>
  <c r="I209" i="46"/>
  <c r="I249" i="46"/>
  <c r="V249" i="46" a="1"/>
  <c r="V249" i="46" s="1"/>
  <c r="W249" i="46" s="1" a="1"/>
  <c r="W249" i="46" s="1"/>
  <c r="AZ249" i="46" s="1"/>
  <c r="V113" i="46" a="1"/>
  <c r="V113" i="46" s="1"/>
  <c r="W113" i="46" s="1" a="1"/>
  <c r="W113" i="46" s="1"/>
  <c r="I113" i="46"/>
  <c r="V234" i="46" a="1"/>
  <c r="V234" i="46" s="1"/>
  <c r="W234" i="46" s="1" a="1"/>
  <c r="W234" i="46" s="1"/>
  <c r="AZ234" i="46" s="1"/>
  <c r="I234" i="46"/>
  <c r="I48" i="47"/>
  <c r="V48" i="47" a="1"/>
  <c r="V48" i="47" s="1"/>
  <c r="I101" i="47"/>
  <c r="V101" i="47" a="1"/>
  <c r="V101" i="47" s="1"/>
  <c r="W101" i="47" s="1" a="1"/>
  <c r="W101" i="47" s="1"/>
  <c r="I197" i="47"/>
  <c r="V197" i="47" a="1"/>
  <c r="V197" i="47" s="1"/>
  <c r="W197" i="47" s="1" a="1"/>
  <c r="W197" i="47" s="1"/>
  <c r="I109" i="47"/>
  <c r="V109" i="47" a="1"/>
  <c r="V109" i="47" s="1"/>
  <c r="W109" i="47" s="1" a="1"/>
  <c r="W109" i="47" s="1"/>
  <c r="X109" i="47" s="1" a="1"/>
  <c r="X109" i="47" s="1"/>
  <c r="V166" i="47" a="1"/>
  <c r="V166" i="47" s="1"/>
  <c r="W166" i="47" s="1" a="1"/>
  <c r="W166" i="47" s="1"/>
  <c r="V111" i="47" a="1"/>
  <c r="V111" i="47" s="1"/>
  <c r="W111" i="47" s="1" a="1"/>
  <c r="W111" i="47" s="1"/>
  <c r="AZ111" i="47" s="1"/>
  <c r="I111" i="47"/>
  <c r="V69" i="47" a="1"/>
  <c r="V69" i="47" s="1"/>
  <c r="W69" i="47" s="1" a="1"/>
  <c r="W69" i="47" s="1"/>
  <c r="I69" i="47"/>
  <c r="V90" i="47" a="1"/>
  <c r="V90" i="47" s="1"/>
  <c r="W90" i="47" s="1" a="1"/>
  <c r="W90" i="47" s="1"/>
  <c r="X90" i="47" s="1" a="1"/>
  <c r="X90" i="47" s="1"/>
  <c r="I90" i="47"/>
  <c r="V192" i="47" a="1"/>
  <c r="V192" i="47" s="1"/>
  <c r="W192" i="47" s="1" a="1"/>
  <c r="W192" i="47" s="1"/>
  <c r="I192" i="47"/>
  <c r="V89" i="47" a="1"/>
  <c r="V89" i="47" s="1"/>
  <c r="I89" i="47"/>
  <c r="I185" i="47"/>
  <c r="V185" i="47" a="1"/>
  <c r="V185" i="47" s="1"/>
  <c r="W185" i="47" s="1" a="1"/>
  <c r="W185" i="47" s="1"/>
  <c r="V51" i="47" a="1"/>
  <c r="V51" i="47" s="1"/>
  <c r="W51" i="47" s="1" a="1"/>
  <c r="W51" i="47" s="1"/>
  <c r="I51" i="47" s="1"/>
  <c r="V22" i="47" a="1"/>
  <c r="V22" i="47" s="1"/>
  <c r="I114" i="47"/>
  <c r="V114" i="47" a="1"/>
  <c r="V114" i="47" s="1"/>
  <c r="W114" i="47" s="1" a="1"/>
  <c r="W114" i="47" s="1"/>
  <c r="V191" i="47" a="1"/>
  <c r="V191" i="47" s="1"/>
  <c r="W191" i="47" s="1" a="1"/>
  <c r="W191" i="47" s="1"/>
  <c r="AZ191" i="47" s="1"/>
  <c r="I191" i="47"/>
  <c r="I138" i="47"/>
  <c r="V138" i="47" a="1"/>
  <c r="V138" i="47" s="1"/>
  <c r="W138" i="47" s="1" a="1"/>
  <c r="W138" i="47" s="1"/>
  <c r="I82" i="47"/>
  <c r="V82" i="47" a="1"/>
  <c r="V82" i="47" s="1"/>
  <c r="W82" i="47" s="1" a="1"/>
  <c r="W82" i="47" s="1"/>
  <c r="I123" i="47"/>
  <c r="V123" i="47" a="1"/>
  <c r="V123" i="47" s="1"/>
  <c r="W123" i="47" s="1" a="1"/>
  <c r="W123" i="47" s="1"/>
  <c r="V217" i="47" a="1"/>
  <c r="V217" i="47" s="1"/>
  <c r="W217" i="47" s="1" a="1"/>
  <c r="W217" i="47" s="1"/>
  <c r="AZ217" i="47" s="1"/>
  <c r="I217" i="47"/>
  <c r="V232" i="47" a="1"/>
  <c r="V232" i="47" s="1"/>
  <c r="W232" i="47" s="1" a="1"/>
  <c r="W232" i="47" s="1"/>
  <c r="I232" i="47"/>
  <c r="V231" i="47" a="1"/>
  <c r="V231" i="47" s="1"/>
  <c r="W231" i="47" s="1" a="1"/>
  <c r="W231" i="47" s="1"/>
  <c r="I231" i="47"/>
  <c r="I247" i="47"/>
  <c r="V247" i="47" a="1"/>
  <c r="V247" i="47" s="1"/>
  <c r="W247" i="47" s="1" a="1"/>
  <c r="W247" i="47" s="1"/>
  <c r="V241" i="47" a="1"/>
  <c r="V241" i="47" s="1"/>
  <c r="W241" i="47" s="1" a="1"/>
  <c r="W241" i="47" s="1"/>
  <c r="AZ241" i="47" s="1"/>
  <c r="I241" i="47"/>
  <c r="K149" i="7"/>
  <c r="L149" i="7" s="1"/>
  <c r="C2" i="55"/>
  <c r="I268" i="46"/>
  <c r="V268" i="46" a="1"/>
  <c r="V268" i="46" s="1"/>
  <c r="I277" i="47"/>
  <c r="V277" i="47" a="1"/>
  <c r="V277" i="47" s="1"/>
  <c r="V277" i="7" a="1"/>
  <c r="V277" i="7" s="1"/>
  <c r="I277" i="7"/>
  <c r="I260" i="47"/>
  <c r="V260" i="47" a="1"/>
  <c r="V260" i="47" s="1"/>
  <c r="V287" i="46" a="1"/>
  <c r="V287" i="46" s="1"/>
  <c r="I287" i="46"/>
  <c r="I294" i="47"/>
  <c r="V294" i="47" a="1"/>
  <c r="V294" i="47" s="1"/>
  <c r="V287" i="47" a="1"/>
  <c r="V287" i="47" s="1"/>
  <c r="I287" i="47"/>
  <c r="I272" i="46"/>
  <c r="V272" i="46" a="1"/>
  <c r="V272" i="46" s="1"/>
  <c r="I288" i="7"/>
  <c r="V288" i="7" a="1"/>
  <c r="V288" i="7" s="1"/>
  <c r="V260" i="46" a="1"/>
  <c r="V260" i="46" s="1"/>
  <c r="I260" i="46"/>
  <c r="V254" i="7" a="1"/>
  <c r="V254" i="7" s="1"/>
  <c r="I254" i="7"/>
  <c r="I274" i="47"/>
  <c r="V274" i="47" a="1"/>
  <c r="V274" i="47" s="1"/>
  <c r="V280" i="47" a="1"/>
  <c r="V280" i="47" s="1"/>
  <c r="I280" i="47"/>
  <c r="I265" i="7"/>
  <c r="V265" i="7" a="1"/>
  <c r="V265" i="7" s="1"/>
  <c r="V258" i="7" a="1"/>
  <c r="V258" i="7" s="1"/>
  <c r="I258" i="7"/>
  <c r="I280" i="7"/>
  <c r="V280" i="7" a="1"/>
  <c r="V280" i="7" s="1"/>
  <c r="I264" i="7"/>
  <c r="V264" i="7" a="1"/>
  <c r="V264" i="7" s="1"/>
  <c r="O149" i="46"/>
  <c r="P149" i="46" s="1"/>
  <c r="N3" i="46"/>
  <c r="O2" i="55"/>
  <c r="I248" i="7"/>
  <c r="V248" i="7" a="1"/>
  <c r="V248" i="7" s="1"/>
  <c r="W248" i="7" s="1" a="1"/>
  <c r="W248" i="7" s="1"/>
  <c r="V229" i="7" a="1"/>
  <c r="V229" i="7" s="1"/>
  <c r="W229" i="7" s="1" a="1"/>
  <c r="W229" i="7" s="1"/>
  <c r="AZ229" i="7" s="1"/>
  <c r="I229" i="7"/>
  <c r="I225" i="7"/>
  <c r="V225" i="7" a="1"/>
  <c r="V225" i="7" s="1"/>
  <c r="W225" i="7" s="1" a="1"/>
  <c r="W225" i="7" s="1"/>
  <c r="AZ225" i="7" s="1"/>
  <c r="V237" i="7" a="1"/>
  <c r="V237" i="7" s="1"/>
  <c r="W237" i="7" s="1" a="1"/>
  <c r="W237" i="7" s="1"/>
  <c r="I237" i="7"/>
  <c r="V236" i="7" a="1"/>
  <c r="V236" i="7" s="1"/>
  <c r="W236" i="7" s="1" a="1"/>
  <c r="W236" i="7" s="1"/>
  <c r="I236" i="7"/>
  <c r="I209" i="7"/>
  <c r="V209" i="7" a="1"/>
  <c r="V209" i="7" s="1"/>
  <c r="W209" i="7" s="1" a="1"/>
  <c r="W209" i="7" s="1"/>
  <c r="AZ209" i="7" s="1"/>
  <c r="I116" i="7"/>
  <c r="V116" i="7" a="1"/>
  <c r="V116" i="7" s="1"/>
  <c r="W116" i="7" s="1" a="1"/>
  <c r="W116" i="7" s="1"/>
  <c r="X116" i="7" s="1" a="1"/>
  <c r="X116" i="7" s="1"/>
  <c r="V65" i="7" a="1"/>
  <c r="V65" i="7" s="1"/>
  <c r="W65" i="7" s="1" a="1"/>
  <c r="W65" i="7" s="1"/>
  <c r="I65" i="7" s="1"/>
  <c r="V74" i="7" a="1"/>
  <c r="V74" i="7" s="1"/>
  <c r="W74" i="7" s="1" a="1"/>
  <c r="W74" i="7" s="1"/>
  <c r="AZ74" i="7" s="1"/>
  <c r="I74" i="7"/>
  <c r="V189" i="7" a="1"/>
  <c r="V189" i="7" s="1"/>
  <c r="W189" i="7" s="1" a="1"/>
  <c r="W189" i="7" s="1"/>
  <c r="I189" i="7"/>
  <c r="V96" i="7" a="1"/>
  <c r="V96" i="7" s="1"/>
  <c r="W96" i="7" s="1" a="1"/>
  <c r="W96" i="7" s="1"/>
  <c r="I96" i="7"/>
  <c r="V82" i="7" a="1"/>
  <c r="V82" i="7" s="1"/>
  <c r="W82" i="7" s="1" a="1"/>
  <c r="W82" i="7" s="1"/>
  <c r="AZ82" i="7" s="1"/>
  <c r="I82" i="7"/>
  <c r="I233" i="7"/>
  <c r="V233" i="7" a="1"/>
  <c r="V233" i="7" s="1"/>
  <c r="W233" i="7" s="1" a="1"/>
  <c r="W233" i="7" s="1"/>
  <c r="I140" i="7"/>
  <c r="V140" i="7" a="1"/>
  <c r="V140" i="7" s="1"/>
  <c r="W140" i="7" s="1" a="1"/>
  <c r="W140" i="7" s="1"/>
  <c r="AZ140" i="7" s="1"/>
  <c r="I176" i="7"/>
  <c r="V176" i="7" a="1"/>
  <c r="V176" i="7" s="1"/>
  <c r="W176" i="7" s="1" a="1"/>
  <c r="W176" i="7" s="1"/>
  <c r="AZ176" i="7" s="1"/>
  <c r="V39" i="7" a="1"/>
  <c r="V39" i="7" s="1"/>
  <c r="W39" i="7" s="1" a="1"/>
  <c r="W39" i="7" s="1"/>
  <c r="AZ39" i="7" s="1"/>
  <c r="I39" i="7"/>
  <c r="V213" i="7" a="1"/>
  <c r="V213" i="7" s="1"/>
  <c r="W213" i="7" s="1" a="1"/>
  <c r="W213" i="7" s="1"/>
  <c r="AZ213" i="7" s="1"/>
  <c r="I213" i="7"/>
  <c r="V120" i="7" a="1"/>
  <c r="V120" i="7" s="1"/>
  <c r="W120" i="7" s="1" a="1"/>
  <c r="W120" i="7" s="1"/>
  <c r="I120" i="7"/>
  <c r="V69" i="7" a="1"/>
  <c r="V69" i="7" s="1"/>
  <c r="W69" i="7" s="1" a="1"/>
  <c r="W69" i="7" s="1"/>
  <c r="I69" i="7"/>
  <c r="V15" i="7" a="1"/>
  <c r="V15" i="7" s="1"/>
  <c r="W15" i="7" s="1" a="1"/>
  <c r="W15" i="7" s="1"/>
  <c r="AZ15" i="7" s="1"/>
  <c r="I15" i="7"/>
  <c r="V119" i="7" a="1"/>
  <c r="V119" i="7" s="1"/>
  <c r="W119" i="7" s="1" a="1"/>
  <c r="W119" i="7" s="1"/>
  <c r="AZ119" i="7" s="1"/>
  <c r="I119" i="7"/>
  <c r="V68" i="7" a="1"/>
  <c r="V68" i="7" s="1"/>
  <c r="W68" i="7" s="1" a="1"/>
  <c r="W68" i="7" s="1"/>
  <c r="I68" i="7"/>
  <c r="V14" i="7" a="1"/>
  <c r="V14" i="7" s="1"/>
  <c r="I34" i="7"/>
  <c r="V34" i="7" a="1"/>
  <c r="V34" i="7" s="1"/>
  <c r="W34" i="7" s="1" a="1"/>
  <c r="W34" i="7" s="1"/>
  <c r="AZ34" i="7" s="1"/>
  <c r="I23" i="7"/>
  <c r="V23" i="7" a="1"/>
  <c r="V23" i="7" s="1"/>
  <c r="W23" i="7" s="1" a="1"/>
  <c r="W23" i="7" s="1"/>
  <c r="AZ23" i="7" s="1"/>
  <c r="I130" i="7"/>
  <c r="V130" i="7" a="1"/>
  <c r="V130" i="7" s="1"/>
  <c r="W130" i="7" s="1" a="1"/>
  <c r="W130" i="7" s="1"/>
  <c r="X130" i="7" s="1" a="1"/>
  <c r="X130" i="7" s="1"/>
  <c r="I162" i="7"/>
  <c r="V162" i="7" a="1"/>
  <c r="V162" i="7" s="1"/>
  <c r="I21" i="7"/>
  <c r="V21" i="7" a="1"/>
  <c r="V21" i="7" s="1"/>
  <c r="W21" i="7" s="1" a="1"/>
  <c r="W21" i="7" s="1"/>
  <c r="AZ21" i="7" s="1"/>
  <c r="V104" i="7" a="1"/>
  <c r="V104" i="7" s="1"/>
  <c r="W104" i="7" s="1" a="1"/>
  <c r="W104" i="7" s="1"/>
  <c r="I104" i="7"/>
  <c r="V54" i="7" a="1"/>
  <c r="V54" i="7" s="1"/>
  <c r="V77" i="46" a="1"/>
  <c r="V77" i="46" s="1"/>
  <c r="I77" i="46"/>
  <c r="V34" i="46" a="1"/>
  <c r="V34" i="46" s="1"/>
  <c r="W34" i="46" s="1" a="1"/>
  <c r="W34" i="46" s="1"/>
  <c r="I34" i="46"/>
  <c r="V80" i="46" a="1"/>
  <c r="V80" i="46" s="1"/>
  <c r="W80" i="46" s="1" a="1"/>
  <c r="W80" i="46" s="1"/>
  <c r="X80" i="46" s="1" a="1"/>
  <c r="X80" i="46" s="1"/>
  <c r="I80" i="46"/>
  <c r="I100" i="46"/>
  <c r="V100" i="46" a="1"/>
  <c r="V100" i="46" s="1"/>
  <c r="W100" i="46" s="1" a="1"/>
  <c r="W100" i="46" s="1"/>
  <c r="I55" i="46"/>
  <c r="V55" i="46" a="1"/>
  <c r="V55" i="46" s="1"/>
  <c r="W55" i="46" s="1" a="1"/>
  <c r="W55" i="46" s="1"/>
  <c r="I90" i="46"/>
  <c r="V90" i="46" a="1"/>
  <c r="V90" i="46" s="1"/>
  <c r="W90" i="46" s="1" a="1"/>
  <c r="W90" i="46" s="1"/>
  <c r="V171" i="46" a="1"/>
  <c r="V171" i="46" s="1"/>
  <c r="W171" i="46" s="1" a="1"/>
  <c r="W171" i="46" s="1"/>
  <c r="X171" i="46" s="1" a="1"/>
  <c r="X171" i="46" s="1"/>
  <c r="I171" i="46"/>
  <c r="V153" i="46" a="1"/>
  <c r="V153" i="46" s="1"/>
  <c r="W153" i="46" s="1" a="1"/>
  <c r="W153" i="46" s="1"/>
  <c r="I153" i="46"/>
  <c r="I89" i="46"/>
  <c r="V89" i="46" a="1"/>
  <c r="V89" i="46" s="1"/>
  <c r="I43" i="46"/>
  <c r="V43" i="46" a="1"/>
  <c r="V43" i="46" s="1"/>
  <c r="W43" i="46" s="1" a="1"/>
  <c r="W43" i="46" s="1"/>
  <c r="AZ43" i="46" s="1"/>
  <c r="I168" i="46"/>
  <c r="V168" i="46" a="1"/>
  <c r="V168" i="46" s="1"/>
  <c r="W168" i="46" s="1" a="1"/>
  <c r="W168" i="46" s="1"/>
  <c r="V49" i="46" a="1"/>
  <c r="V49" i="46" s="1"/>
  <c r="W49" i="46" s="1" a="1"/>
  <c r="W49" i="46" s="1"/>
  <c r="I49" i="46"/>
  <c r="V74" i="46" a="1"/>
  <c r="V74" i="46" s="1"/>
  <c r="W74" i="46" s="1" a="1"/>
  <c r="W74" i="46" s="1"/>
  <c r="I74" i="46"/>
  <c r="V48" i="46" a="1"/>
  <c r="V48" i="46" s="1"/>
  <c r="I48" i="46"/>
  <c r="V121" i="46" a="1"/>
  <c r="V121" i="46" s="1"/>
  <c r="W121" i="46" s="1" a="1"/>
  <c r="W121" i="46" s="1"/>
  <c r="X121" i="46" s="1" a="1"/>
  <c r="X121" i="46" s="1"/>
  <c r="I121" i="46"/>
  <c r="V82" i="46" a="1"/>
  <c r="V82" i="46" s="1"/>
  <c r="W82" i="46" s="1" a="1"/>
  <c r="W82" i="46" s="1"/>
  <c r="I82" i="46"/>
  <c r="V91" i="46" a="1"/>
  <c r="V91" i="46" s="1"/>
  <c r="W91" i="46" s="1" a="1"/>
  <c r="W91" i="46" s="1"/>
  <c r="I91" i="46"/>
  <c r="I214" i="46"/>
  <c r="V214" i="46" a="1"/>
  <c r="V214" i="46" s="1"/>
  <c r="W214" i="46" s="1" a="1"/>
  <c r="W214" i="46" s="1"/>
  <c r="AZ214" i="46" s="1"/>
  <c r="I172" i="47"/>
  <c r="V172" i="47" a="1"/>
  <c r="V172" i="47" s="1"/>
  <c r="W172" i="47" s="1" a="1"/>
  <c r="W172" i="47" s="1"/>
  <c r="V179" i="46" a="1"/>
  <c r="V179" i="46" s="1"/>
  <c r="W179" i="46" s="1" a="1"/>
  <c r="W179" i="46" s="1"/>
  <c r="I179" i="46"/>
  <c r="V242" i="46" a="1"/>
  <c r="V242" i="46" s="1"/>
  <c r="W242" i="46" s="1" a="1"/>
  <c r="W242" i="46" s="1"/>
  <c r="I242" i="46"/>
  <c r="V174" i="47" a="1"/>
  <c r="V174" i="47" s="1"/>
  <c r="W174" i="47" s="1" a="1"/>
  <c r="W174" i="47" s="1"/>
  <c r="I174" i="47"/>
  <c r="I190" i="46"/>
  <c r="V190" i="46" a="1"/>
  <c r="V190" i="46" s="1"/>
  <c r="W190" i="46" s="1" a="1"/>
  <c r="W190" i="46" s="1"/>
  <c r="I246" i="46"/>
  <c r="V246" i="46" a="1"/>
  <c r="V246" i="46" s="1"/>
  <c r="W246" i="46" s="1" a="1"/>
  <c r="W246" i="46" s="1"/>
  <c r="V130" i="46" a="1"/>
  <c r="V130" i="46" s="1"/>
  <c r="W130" i="46" s="1" a="1"/>
  <c r="W130" i="46" s="1"/>
  <c r="I130" i="46"/>
  <c r="I217" i="46"/>
  <c r="V217" i="46" a="1"/>
  <c r="V217" i="46" s="1"/>
  <c r="W217" i="46" s="1" a="1"/>
  <c r="W217" i="46" s="1"/>
  <c r="I124" i="46"/>
  <c r="V124" i="46" a="1"/>
  <c r="V124" i="46" s="1"/>
  <c r="W124" i="46" s="1" a="1"/>
  <c r="W124" i="46" s="1"/>
  <c r="I199" i="46"/>
  <c r="V199" i="46" a="1"/>
  <c r="V199" i="46" s="1"/>
  <c r="W199" i="46" s="1" a="1"/>
  <c r="W199" i="46" s="1"/>
  <c r="V240" i="46" a="1"/>
  <c r="V240" i="46" s="1"/>
  <c r="W240" i="46" s="1" a="1"/>
  <c r="W240" i="46" s="1"/>
  <c r="I240" i="46"/>
  <c r="I129" i="46"/>
  <c r="V129" i="46" a="1"/>
  <c r="V129" i="46" s="1"/>
  <c r="W129" i="46" s="1" a="1"/>
  <c r="W129" i="46" s="1"/>
  <c r="AZ129" i="46" s="1"/>
  <c r="V75" i="47" a="1"/>
  <c r="V75" i="47" s="1"/>
  <c r="W75" i="47" s="1" a="1"/>
  <c r="W75" i="47" s="1"/>
  <c r="I75" i="47"/>
  <c r="V143" i="46" a="1"/>
  <c r="V143" i="46" s="1"/>
  <c r="W143" i="46" s="1" a="1"/>
  <c r="W143" i="46" s="1"/>
  <c r="I143" i="46"/>
  <c r="V215" i="46" a="1"/>
  <c r="V215" i="46" s="1"/>
  <c r="W215" i="46" s="1" a="1"/>
  <c r="W215" i="46" s="1"/>
  <c r="X215" i="46" s="1" a="1"/>
  <c r="X215" i="46" s="1"/>
  <c r="AD215" i="46" s="1"/>
  <c r="I215" i="46"/>
  <c r="I15" i="47"/>
  <c r="V15" i="47" a="1"/>
  <c r="V15" i="47" s="1"/>
  <c r="W15" i="47" s="1" a="1"/>
  <c r="W15" i="47" s="1"/>
  <c r="V128" i="46" a="1"/>
  <c r="V128" i="46" s="1"/>
  <c r="W128" i="46" s="1" a="1"/>
  <c r="W128" i="46" s="1"/>
  <c r="X128" i="46" s="1" a="1"/>
  <c r="X128" i="46" s="1"/>
  <c r="I128" i="46"/>
  <c r="V78" i="47" a="1"/>
  <c r="V78" i="47" s="1"/>
  <c r="W78" i="47" s="1" a="1"/>
  <c r="W78" i="47" s="1"/>
  <c r="AZ78" i="47" s="1"/>
  <c r="I78" i="47"/>
  <c r="V54" i="47" a="1"/>
  <c r="V54" i="47" s="1"/>
  <c r="V107" i="47" a="1"/>
  <c r="V107" i="47" s="1"/>
  <c r="W107" i="47" s="1" a="1"/>
  <c r="W107" i="47" s="1"/>
  <c r="I107" i="47"/>
  <c r="V202" i="47" a="1"/>
  <c r="V202" i="47" s="1"/>
  <c r="W202" i="47" s="1" a="1"/>
  <c r="W202" i="47" s="1"/>
  <c r="I202" i="47"/>
  <c r="I116" i="47"/>
  <c r="V116" i="47" a="1"/>
  <c r="V116" i="47" s="1"/>
  <c r="W116" i="47" s="1" a="1"/>
  <c r="W116" i="47" s="1"/>
  <c r="X116" i="47" s="1" a="1"/>
  <c r="X116" i="47" s="1"/>
  <c r="AD116" i="47" s="1"/>
  <c r="V154" i="47" a="1"/>
  <c r="V154" i="47" s="1"/>
  <c r="I126" i="47"/>
  <c r="V126" i="47" a="1"/>
  <c r="V126" i="47" s="1"/>
  <c r="W126" i="47" s="1" a="1"/>
  <c r="W126" i="47" s="1"/>
  <c r="V72" i="47" a="1"/>
  <c r="V72" i="47" s="1"/>
  <c r="W72" i="47" s="1" a="1"/>
  <c r="W72" i="47" s="1"/>
  <c r="X72" i="47" s="1" a="1"/>
  <c r="X72" i="47" s="1"/>
  <c r="I72" i="47"/>
  <c r="I110" i="47"/>
  <c r="V110" i="47" a="1"/>
  <c r="V110" i="47" s="1"/>
  <c r="W110" i="47" s="1" a="1"/>
  <c r="W110" i="47" s="1"/>
  <c r="V206" i="47" a="1"/>
  <c r="V206" i="47" s="1"/>
  <c r="W206" i="47" s="1" a="1"/>
  <c r="W206" i="47" s="1"/>
  <c r="I206" i="47"/>
  <c r="V95" i="47" a="1"/>
  <c r="V95" i="47" s="1"/>
  <c r="W95" i="47" s="1" a="1"/>
  <c r="W95" i="47" s="1"/>
  <c r="I95" i="47"/>
  <c r="I187" i="47"/>
  <c r="V187" i="47" a="1"/>
  <c r="V187" i="47" s="1"/>
  <c r="W187" i="47" s="1" a="1"/>
  <c r="W187" i="47" s="1"/>
  <c r="V56" i="47" a="1"/>
  <c r="V56" i="47" s="1"/>
  <c r="W56" i="47" s="1" a="1"/>
  <c r="W56" i="47" s="1"/>
  <c r="I56" i="47"/>
  <c r="I85" i="47"/>
  <c r="V85" i="47" a="1"/>
  <c r="V85" i="47" s="1"/>
  <c r="W85" i="47" s="1" a="1"/>
  <c r="W85" i="47" s="1"/>
  <c r="I118" i="47"/>
  <c r="V118" i="47" a="1"/>
  <c r="V118" i="47" s="1"/>
  <c r="W118" i="47" s="1" a="1"/>
  <c r="W118" i="47" s="1"/>
  <c r="V113" i="47" a="1"/>
  <c r="V113" i="47" s="1"/>
  <c r="W113" i="47" s="1" a="1"/>
  <c r="W113" i="47" s="1"/>
  <c r="X113" i="47" s="1" a="1"/>
  <c r="X113" i="47" s="1"/>
  <c r="I113" i="47"/>
  <c r="V139" i="47" a="1"/>
  <c r="V139" i="47" s="1"/>
  <c r="W139" i="47" s="1" a="1"/>
  <c r="W139" i="47" s="1"/>
  <c r="I139" i="47"/>
  <c r="V47" i="47" a="1"/>
  <c r="V47" i="47" s="1"/>
  <c r="I183" i="47"/>
  <c r="V183" i="47" a="1"/>
  <c r="V183" i="47" s="1"/>
  <c r="W183" i="47" s="1" a="1"/>
  <c r="W183" i="47" s="1"/>
  <c r="V227" i="47" a="1"/>
  <c r="V227" i="47" s="1"/>
  <c r="I227" i="47"/>
  <c r="I238" i="47"/>
  <c r="V238" i="47" a="1"/>
  <c r="V238" i="47" s="1"/>
  <c r="W238" i="47" s="1" a="1"/>
  <c r="W238" i="47" s="1"/>
  <c r="I237" i="47"/>
  <c r="V237" i="47" a="1"/>
  <c r="V237" i="47" s="1"/>
  <c r="W237" i="47" s="1" a="1"/>
  <c r="W237" i="47" s="1"/>
  <c r="AZ237" i="47" s="1"/>
  <c r="I248" i="47"/>
  <c r="V248" i="47" a="1"/>
  <c r="V248" i="47" s="1"/>
  <c r="W248" i="47" s="1" a="1"/>
  <c r="W248" i="47" s="1"/>
  <c r="I246" i="47"/>
  <c r="V246" i="47" a="1"/>
  <c r="V246" i="47" s="1"/>
  <c r="W246" i="47" s="1" a="1"/>
  <c r="W246" i="47" s="1"/>
  <c r="O149" i="7"/>
  <c r="N3" i="7"/>
  <c r="B53" i="10" s="1"/>
  <c r="E2" i="55"/>
  <c r="I290" i="47"/>
  <c r="V290" i="47" a="1"/>
  <c r="V290" i="47" s="1"/>
  <c r="I299" i="46"/>
  <c r="V299" i="46" a="1"/>
  <c r="V299" i="46" s="1"/>
  <c r="V298" i="7" a="1"/>
  <c r="V298" i="7" s="1"/>
  <c r="I298" i="7"/>
  <c r="I283" i="47"/>
  <c r="V283" i="47" a="1"/>
  <c r="V283" i="47" s="1"/>
  <c r="V270" i="46" a="1"/>
  <c r="V270" i="46" s="1"/>
  <c r="I270" i="46"/>
  <c r="I289" i="46"/>
  <c r="V289" i="46" a="1"/>
  <c r="V289" i="46" s="1"/>
  <c r="I256" i="7"/>
  <c r="V256" i="7" a="1"/>
  <c r="V256" i="7" s="1"/>
  <c r="V296" i="46" a="1"/>
  <c r="V296" i="46" s="1"/>
  <c r="I296" i="46"/>
  <c r="I254" i="47"/>
  <c r="V254" i="47" a="1"/>
  <c r="V254" i="47" s="1"/>
  <c r="V266" i="7" a="1"/>
  <c r="V266" i="7" s="1"/>
  <c r="I266" i="7"/>
  <c r="V290" i="46" a="1"/>
  <c r="V290" i="46" s="1"/>
  <c r="I290" i="46"/>
  <c r="I267" i="46"/>
  <c r="V267" i="46" a="1"/>
  <c r="V267" i="46" s="1"/>
  <c r="I262" i="46"/>
  <c r="V262" i="46" a="1"/>
  <c r="V262" i="46" s="1"/>
  <c r="I264" i="47"/>
  <c r="V264" i="47" a="1"/>
  <c r="V264" i="47" s="1"/>
  <c r="I275" i="7"/>
  <c r="V275" i="7" a="1"/>
  <c r="V275" i="7" s="1"/>
  <c r="I279" i="47"/>
  <c r="V279" i="47" a="1"/>
  <c r="V279" i="47" s="1"/>
  <c r="I286" i="7"/>
  <c r="V286" i="7" a="1"/>
  <c r="V286" i="7" s="1"/>
  <c r="I251" i="7"/>
  <c r="V251" i="7" a="1"/>
  <c r="V251" i="7" s="1"/>
  <c r="V272" i="7" a="1"/>
  <c r="V272" i="7" s="1"/>
  <c r="I272" i="7"/>
  <c r="I299" i="7"/>
  <c r="V299" i="7" a="1"/>
  <c r="V299" i="7" s="1"/>
  <c r="R3" i="46"/>
  <c r="S149" i="46"/>
  <c r="T149" i="46" s="1"/>
  <c r="Q2" i="55"/>
  <c r="V235" i="7" a="1"/>
  <c r="V235" i="7" s="1"/>
  <c r="W235" i="7" s="1" a="1"/>
  <c r="W235" i="7" s="1"/>
  <c r="AZ235" i="7" s="1"/>
  <c r="I235" i="7"/>
  <c r="I216" i="7"/>
  <c r="V216" i="7" a="1"/>
  <c r="V216" i="7" s="1"/>
  <c r="W216" i="7" s="1" a="1"/>
  <c r="W216" i="7" s="1"/>
  <c r="V212" i="7" a="1"/>
  <c r="V212" i="7" s="1"/>
  <c r="W212" i="7" s="1" a="1"/>
  <c r="W212" i="7" s="1"/>
  <c r="I212" i="7"/>
  <c r="I224" i="7"/>
  <c r="V224" i="7" a="1"/>
  <c r="V224" i="7" s="1"/>
  <c r="W224" i="7" s="1" a="1"/>
  <c r="W224" i="7" s="1"/>
  <c r="X224" i="7" s="1" a="1"/>
  <c r="X224" i="7" s="1"/>
  <c r="I223" i="7"/>
  <c r="V223" i="7" a="1"/>
  <c r="V223" i="7" s="1"/>
  <c r="W223" i="7" s="1" a="1"/>
  <c r="W223" i="7" s="1"/>
  <c r="AZ223" i="7" s="1"/>
  <c r="V196" i="7" a="1"/>
  <c r="V196" i="7" s="1"/>
  <c r="W196" i="7" s="1" a="1"/>
  <c r="W196" i="7" s="1"/>
  <c r="AZ196" i="7" s="1"/>
  <c r="I196" i="7"/>
  <c r="V103" i="7" a="1"/>
  <c r="V103" i="7" s="1"/>
  <c r="W103" i="7" s="1" a="1"/>
  <c r="W103" i="7" s="1"/>
  <c r="I103" i="7"/>
  <c r="V53" i="7" a="1"/>
  <c r="V53" i="7" s="1"/>
  <c r="W53" i="7" s="1" a="1"/>
  <c r="W53" i="7" s="1"/>
  <c r="I53" i="7"/>
  <c r="I240" i="7"/>
  <c r="V240" i="7" a="1"/>
  <c r="V240" i="7" s="1"/>
  <c r="W240" i="7" s="1" a="1"/>
  <c r="W240" i="7" s="1"/>
  <c r="AZ240" i="7" s="1"/>
  <c r="I147" i="7"/>
  <c r="V147" i="7" a="1"/>
  <c r="V147" i="7" s="1"/>
  <c r="W147" i="7" s="1" a="1"/>
  <c r="W147" i="7" s="1"/>
  <c r="AZ147" i="7" s="1"/>
  <c r="I86" i="7"/>
  <c r="V86" i="7" a="1"/>
  <c r="V86" i="7" s="1"/>
  <c r="W86" i="7" s="1" a="1"/>
  <c r="W86" i="7" s="1"/>
  <c r="AZ86" i="7" s="1"/>
  <c r="V159" i="7" a="1"/>
  <c r="V159" i="7" s="1"/>
  <c r="I159" i="7"/>
  <c r="V220" i="7" a="1"/>
  <c r="V220" i="7" s="1"/>
  <c r="W220" i="7" s="1" a="1"/>
  <c r="W220" i="7" s="1"/>
  <c r="AZ220" i="7" s="1"/>
  <c r="I220" i="7"/>
  <c r="V127" i="7" a="1"/>
  <c r="V127" i="7" s="1"/>
  <c r="W127" i="7" s="1" a="1"/>
  <c r="W127" i="7" s="1"/>
  <c r="I127" i="7"/>
  <c r="V152" i="7" a="1"/>
  <c r="V152" i="7" s="1"/>
  <c r="W152" i="7" s="1" a="1"/>
  <c r="W152" i="7" s="1"/>
  <c r="I152" i="7"/>
  <c r="V172" i="7" a="1"/>
  <c r="V172" i="7" s="1"/>
  <c r="W172" i="7" s="1" a="1"/>
  <c r="W172" i="7" s="1"/>
  <c r="I172" i="7"/>
  <c r="I200" i="7"/>
  <c r="V200" i="7" a="1"/>
  <c r="V200" i="7" s="1"/>
  <c r="W200" i="7" s="1" a="1"/>
  <c r="W200" i="7" s="1"/>
  <c r="AZ200" i="7" s="1"/>
  <c r="I107" i="7"/>
  <c r="V107" i="7" a="1"/>
  <c r="V107" i="7" s="1"/>
  <c r="W107" i="7" s="1" a="1"/>
  <c r="W107" i="7" s="1"/>
  <c r="AZ107" i="7" s="1"/>
  <c r="V57" i="7" a="1"/>
  <c r="V57" i="7" s="1"/>
  <c r="W57" i="7" s="1" a="1"/>
  <c r="W57" i="7" s="1"/>
  <c r="I57" i="7"/>
  <c r="I206" i="7"/>
  <c r="V206" i="7" a="1"/>
  <c r="V206" i="7" s="1"/>
  <c r="W206" i="7" s="1" a="1"/>
  <c r="W206" i="7" s="1"/>
  <c r="I113" i="7"/>
  <c r="V113" i="7" a="1"/>
  <c r="V113" i="7" s="1"/>
  <c r="W113" i="7" s="1" a="1"/>
  <c r="W113" i="7" s="1"/>
  <c r="V62" i="7" a="1"/>
  <c r="V62" i="7" s="1"/>
  <c r="V118" i="7" a="1"/>
  <c r="V118" i="7" s="1"/>
  <c r="W118" i="7" s="1" a="1"/>
  <c r="W118" i="7" s="1"/>
  <c r="I118" i="7"/>
  <c r="V67" i="7" a="1"/>
  <c r="V67" i="7" s="1"/>
  <c r="W67" i="7" s="1" a="1"/>
  <c r="W67" i="7" s="1"/>
  <c r="AZ67" i="7" s="1"/>
  <c r="I67" i="7"/>
  <c r="V76" i="7" a="1"/>
  <c r="V76" i="7" s="1"/>
  <c r="W76" i="7" s="1" a="1"/>
  <c r="W76" i="7" s="1"/>
  <c r="I76" i="7"/>
  <c r="I124" i="7"/>
  <c r="V124" i="7" a="1"/>
  <c r="V124" i="7" s="1"/>
  <c r="W124" i="7" s="1" a="1"/>
  <c r="W124" i="7" s="1"/>
  <c r="AZ124" i="7" s="1"/>
  <c r="V33" i="7" a="1"/>
  <c r="V33" i="7" s="1"/>
  <c r="I17" i="7"/>
  <c r="V17" i="7" a="1"/>
  <c r="V17" i="7" s="1"/>
  <c r="I91" i="7"/>
  <c r="V91" i="7" a="1"/>
  <c r="V91" i="7" s="1"/>
  <c r="W91" i="7" s="1" a="1"/>
  <c r="W91" i="7" s="1"/>
  <c r="V45" i="7" a="1"/>
  <c r="V45" i="7" s="1"/>
  <c r="W45" i="7" s="1" a="1"/>
  <c r="W45" i="7" s="1"/>
  <c r="AZ45" i="7" s="1"/>
  <c r="I45" i="7"/>
  <c r="I38" i="46"/>
  <c r="V38" i="46" a="1"/>
  <c r="V38" i="46" s="1"/>
  <c r="W38" i="46" s="1" a="1"/>
  <c r="W38" i="46" s="1"/>
  <c r="V95" i="46" a="1"/>
  <c r="V95" i="46" s="1"/>
  <c r="W95" i="46" s="1" a="1"/>
  <c r="W95" i="46" s="1"/>
  <c r="I95" i="46"/>
  <c r="I59" i="46"/>
  <c r="V59" i="46" a="1"/>
  <c r="V59" i="46" s="1"/>
  <c r="W59" i="46" s="1" a="1"/>
  <c r="W59" i="46" s="1"/>
  <c r="X59" i="46" s="1" a="1"/>
  <c r="X59" i="46" s="1"/>
  <c r="AD59" i="46" s="1"/>
  <c r="V111" i="46" a="1"/>
  <c r="V111" i="46" s="1"/>
  <c r="W111" i="46" s="1" a="1"/>
  <c r="W111" i="46" s="1"/>
  <c r="I111" i="46"/>
  <c r="V58" i="46" a="1"/>
  <c r="V58" i="46" s="1"/>
  <c r="W58" i="46" s="1" a="1"/>
  <c r="W58" i="46" s="1"/>
  <c r="I58" i="46"/>
  <c r="I93" i="46"/>
  <c r="V93" i="46" a="1"/>
  <c r="V93" i="46" s="1"/>
  <c r="W93" i="46" s="1" a="1"/>
  <c r="W93" i="46" s="1"/>
  <c r="X93" i="46" s="1" a="1"/>
  <c r="X93" i="46" s="1"/>
  <c r="V21" i="46" a="1"/>
  <c r="V21" i="46" s="1"/>
  <c r="W21" i="46" s="1" a="1"/>
  <c r="W21" i="46" s="1"/>
  <c r="I21" i="46"/>
  <c r="V166" i="46" a="1"/>
  <c r="V166" i="46" s="1"/>
  <c r="W166" i="46" s="1" a="1"/>
  <c r="W166" i="46" s="1"/>
  <c r="I166" i="46" s="1"/>
  <c r="I92" i="46"/>
  <c r="V92" i="46" a="1"/>
  <c r="V92" i="46" s="1"/>
  <c r="W92" i="46" s="1" a="1"/>
  <c r="W92" i="46" s="1"/>
  <c r="I51" i="46"/>
  <c r="V51" i="46" a="1"/>
  <c r="V51" i="46" s="1"/>
  <c r="W51" i="46" s="1" a="1"/>
  <c r="W51" i="46" s="1"/>
  <c r="I75" i="46"/>
  <c r="V75" i="46" a="1"/>
  <c r="V75" i="46" s="1"/>
  <c r="W75" i="46" s="1" a="1"/>
  <c r="W75" i="46" s="1"/>
  <c r="V50" i="46" a="1"/>
  <c r="V50" i="46" s="1"/>
  <c r="W50" i="46" s="1" a="1"/>
  <c r="W50" i="46" s="1"/>
  <c r="AZ50" i="46" s="1"/>
  <c r="I50" i="46"/>
  <c r="I170" i="46"/>
  <c r="V170" i="46" a="1"/>
  <c r="V170" i="46" s="1"/>
  <c r="W170" i="46" s="1" a="1"/>
  <c r="W170" i="46" s="1"/>
  <c r="I53" i="46"/>
  <c r="V53" i="46" a="1"/>
  <c r="V53" i="46" s="1"/>
  <c r="W53" i="46" s="1" a="1"/>
  <c r="W53" i="46" s="1"/>
  <c r="V15" i="46" a="1"/>
  <c r="V15" i="46" s="1"/>
  <c r="W15" i="46" s="1" a="1"/>
  <c r="W15" i="46" s="1"/>
  <c r="I15" i="46"/>
  <c r="I56" i="46"/>
  <c r="V56" i="46" a="1"/>
  <c r="V56" i="46" s="1"/>
  <c r="W56" i="46" s="1" a="1"/>
  <c r="W56" i="46" s="1"/>
  <c r="V107" i="46" a="1"/>
  <c r="V107" i="46" s="1"/>
  <c r="W107" i="46" s="1" a="1"/>
  <c r="W107" i="46" s="1"/>
  <c r="I107" i="46"/>
  <c r="I219" i="46"/>
  <c r="V219" i="46" a="1"/>
  <c r="V219" i="46" s="1"/>
  <c r="W219" i="46" s="1" a="1"/>
  <c r="W219" i="46" s="1"/>
  <c r="I20" i="47"/>
  <c r="V20" i="47" a="1"/>
  <c r="V20" i="47" s="1"/>
  <c r="W20" i="47" s="1" a="1"/>
  <c r="W20" i="47" s="1"/>
  <c r="V182" i="46" a="1"/>
  <c r="V182" i="46" s="1"/>
  <c r="W182" i="46" s="1" a="1"/>
  <c r="W182" i="46" s="1"/>
  <c r="AZ182" i="46" s="1"/>
  <c r="I182" i="46"/>
  <c r="V150" i="47" a="1"/>
  <c r="V150" i="47" s="1"/>
  <c r="I150" i="47"/>
  <c r="I45" i="47"/>
  <c r="V45" i="47" a="1"/>
  <c r="V45" i="47" s="1"/>
  <c r="W45" i="47" s="1" a="1"/>
  <c r="W45" i="47" s="1"/>
  <c r="I202" i="46"/>
  <c r="V202" i="46" a="1"/>
  <c r="V202" i="46" s="1"/>
  <c r="W202" i="46" s="1" a="1"/>
  <c r="W202" i="46" s="1"/>
  <c r="V76" i="47" a="1"/>
  <c r="V76" i="47" s="1"/>
  <c r="W76" i="47" s="1" a="1"/>
  <c r="W76" i="47" s="1"/>
  <c r="I76" i="47"/>
  <c r="I139" i="46"/>
  <c r="V139" i="46" a="1"/>
  <c r="V139" i="46" s="1"/>
  <c r="W139" i="46" s="1" a="1"/>
  <c r="W139" i="46" s="1"/>
  <c r="I241" i="46"/>
  <c r="V241" i="46" a="1"/>
  <c r="V241" i="46" s="1"/>
  <c r="W241" i="46" s="1" a="1"/>
  <c r="W241" i="46" s="1"/>
  <c r="I135" i="46"/>
  <c r="V135" i="46" a="1"/>
  <c r="V135" i="46" s="1"/>
  <c r="W135" i="46" s="1" a="1"/>
  <c r="W135" i="46" s="1"/>
  <c r="I205" i="46"/>
  <c r="V205" i="46" a="1"/>
  <c r="V205" i="46" s="1"/>
  <c r="W205" i="46" s="1" a="1"/>
  <c r="W205" i="46" s="1"/>
  <c r="I245" i="46"/>
  <c r="V245" i="46" a="1"/>
  <c r="V245" i="46" s="1"/>
  <c r="W245" i="46" s="1" a="1"/>
  <c r="W245" i="46" s="1"/>
  <c r="AZ245" i="46" s="1"/>
  <c r="I138" i="46"/>
  <c r="V138" i="46" a="1"/>
  <c r="V138" i="46" s="1"/>
  <c r="W138" i="46" s="1" a="1"/>
  <c r="W138" i="46" s="1"/>
  <c r="I16" i="47"/>
  <c r="V16" i="47" a="1"/>
  <c r="V16" i="47" s="1"/>
  <c r="W16" i="47" s="1" a="1"/>
  <c r="W16" i="47" s="1"/>
  <c r="V146" i="46" a="1"/>
  <c r="V146" i="46" s="1"/>
  <c r="W146" i="46" s="1" a="1"/>
  <c r="W146" i="46" s="1"/>
  <c r="I146" i="46" s="1"/>
  <c r="V220" i="46" a="1"/>
  <c r="V220" i="46" s="1"/>
  <c r="W220" i="46" s="1" a="1"/>
  <c r="W220" i="46" s="1"/>
  <c r="I220" i="46"/>
  <c r="V170" i="47" a="1"/>
  <c r="V170" i="47" s="1"/>
  <c r="W170" i="47" s="1" a="1"/>
  <c r="W170" i="47" s="1"/>
  <c r="I170" i="47"/>
  <c r="V145" i="46" a="1"/>
  <c r="V145" i="46" s="1"/>
  <c r="I145" i="46"/>
  <c r="V35" i="47" a="1"/>
  <c r="V35" i="47" s="1"/>
  <c r="I60" i="47"/>
  <c r="V60" i="47" a="1"/>
  <c r="V60" i="47" s="1"/>
  <c r="W60" i="47" s="1" a="1"/>
  <c r="W60" i="47" s="1"/>
  <c r="I112" i="47"/>
  <c r="V112" i="47" a="1"/>
  <c r="V112" i="47" s="1"/>
  <c r="W112" i="47" s="1" a="1"/>
  <c r="W112" i="47" s="1"/>
  <c r="V80" i="47" a="1"/>
  <c r="V80" i="47" s="1"/>
  <c r="W80" i="47" s="1" a="1"/>
  <c r="W80" i="47" s="1"/>
  <c r="I80" i="47"/>
  <c r="I127" i="47"/>
  <c r="V127" i="47" a="1"/>
  <c r="V127" i="47" s="1"/>
  <c r="W127" i="47" s="1" a="1"/>
  <c r="W127" i="47" s="1"/>
  <c r="V177" i="47" a="1"/>
  <c r="V177" i="47" s="1"/>
  <c r="AC29" i="55" s="1"/>
  <c r="I177" i="47"/>
  <c r="V131" i="47" a="1"/>
  <c r="V131" i="47" s="1"/>
  <c r="W131" i="47" s="1" a="1"/>
  <c r="W131" i="47" s="1"/>
  <c r="X131" i="47" s="1" a="1"/>
  <c r="X131" i="47" s="1"/>
  <c r="AD131" i="47" s="1"/>
  <c r="I131" i="47"/>
  <c r="V33" i="47" a="1"/>
  <c r="V33" i="47" s="1"/>
  <c r="V115" i="47" a="1"/>
  <c r="V115" i="47" s="1"/>
  <c r="W115" i="47" s="1" a="1"/>
  <c r="W115" i="47" s="1"/>
  <c r="I115" i="47"/>
  <c r="V214" i="47" a="1"/>
  <c r="V214" i="47" s="1"/>
  <c r="W214" i="47" s="1" a="1"/>
  <c r="W214" i="47" s="1"/>
  <c r="I214" i="47"/>
  <c r="V96" i="47" a="1"/>
  <c r="V96" i="47" s="1"/>
  <c r="W96" i="47" s="1" a="1"/>
  <c r="W96" i="47" s="1"/>
  <c r="I96" i="47"/>
  <c r="V188" i="47" a="1"/>
  <c r="V188" i="47" s="1"/>
  <c r="W188" i="47" s="1" a="1"/>
  <c r="W188" i="47" s="1"/>
  <c r="I188" i="47"/>
  <c r="V62" i="47" a="1"/>
  <c r="V62" i="47" s="1"/>
  <c r="V167" i="47" a="1"/>
  <c r="V167" i="47" s="1"/>
  <c r="I124" i="47"/>
  <c r="V124" i="47" a="1"/>
  <c r="V124" i="47" s="1"/>
  <c r="W124" i="47" s="1" a="1"/>
  <c r="W124" i="47" s="1"/>
  <c r="V121" i="47" a="1"/>
  <c r="V121" i="47" s="1"/>
  <c r="W121" i="47" s="1" a="1"/>
  <c r="W121" i="47" s="1"/>
  <c r="I121" i="47"/>
  <c r="V145" i="47" a="1"/>
  <c r="V145" i="47" s="1"/>
  <c r="I145" i="47"/>
  <c r="I55" i="47"/>
  <c r="V55" i="47" a="1"/>
  <c r="V55" i="47" s="1"/>
  <c r="W55" i="47" s="1" a="1"/>
  <c r="W55" i="47" s="1"/>
  <c r="V190" i="47" a="1"/>
  <c r="V190" i="47" s="1"/>
  <c r="I190" i="47"/>
  <c r="V233" i="47" a="1"/>
  <c r="V233" i="47" s="1"/>
  <c r="W233" i="47" s="1" a="1"/>
  <c r="W233" i="47" s="1"/>
  <c r="I233" i="47"/>
  <c r="I244" i="47"/>
  <c r="V244" i="47" a="1"/>
  <c r="V244" i="47" s="1"/>
  <c r="W244" i="47" s="1" a="1"/>
  <c r="W244" i="47" s="1"/>
  <c r="I250" i="47"/>
  <c r="V250" i="47" a="1"/>
  <c r="V250" i="47" s="1"/>
  <c r="W250" i="47" s="1" a="1"/>
  <c r="W250" i="47" s="1"/>
  <c r="V220" i="47" a="1"/>
  <c r="V220" i="47" s="1"/>
  <c r="W220" i="47" s="1" a="1"/>
  <c r="W220" i="47" s="1"/>
  <c r="I220" i="47"/>
  <c r="V204" i="47" a="1"/>
  <c r="V204" i="47" s="1"/>
  <c r="I204" i="47"/>
  <c r="R3" i="7"/>
  <c r="S149" i="7"/>
  <c r="T149" i="7" s="1"/>
  <c r="G2" i="55"/>
  <c r="I270" i="47"/>
  <c r="V270" i="47" a="1"/>
  <c r="V270" i="47" s="1"/>
  <c r="V288" i="47" a="1"/>
  <c r="V288" i="47" s="1"/>
  <c r="I288" i="47"/>
  <c r="V273" i="46" a="1"/>
  <c r="V273" i="46" s="1"/>
  <c r="I273" i="46"/>
  <c r="I294" i="46"/>
  <c r="V294" i="46" a="1"/>
  <c r="V294" i="46" s="1"/>
  <c r="V251" i="47" a="1"/>
  <c r="V251" i="47" s="1"/>
  <c r="I251" i="47"/>
  <c r="V293" i="46" a="1"/>
  <c r="V293" i="46" s="1"/>
  <c r="I293" i="46"/>
  <c r="V255" i="47" a="1"/>
  <c r="V255" i="47" s="1"/>
  <c r="I255" i="47"/>
  <c r="I295" i="7"/>
  <c r="V295" i="7" a="1"/>
  <c r="V295" i="7" s="1"/>
  <c r="V264" i="46" a="1"/>
  <c r="V264" i="46" s="1"/>
  <c r="I264" i="46"/>
  <c r="V267" i="7" a="1"/>
  <c r="V267" i="7" s="1"/>
  <c r="I267" i="7"/>
  <c r="V289" i="47" a="1"/>
  <c r="V289" i="47" s="1"/>
  <c r="I289" i="47"/>
  <c r="V266" i="47" a="1"/>
  <c r="V266" i="47" s="1"/>
  <c r="I266" i="47"/>
  <c r="V276" i="7" a="1"/>
  <c r="V276" i="7" s="1"/>
  <c r="I276" i="7"/>
  <c r="V284" i="47" a="1"/>
  <c r="V284" i="47" s="1"/>
  <c r="I284" i="47"/>
  <c r="V290" i="7" a="1"/>
  <c r="V290" i="7" s="1"/>
  <c r="I290" i="7"/>
  <c r="I278" i="7"/>
  <c r="V278" i="7" a="1"/>
  <c r="V278" i="7" s="1"/>
  <c r="J3" i="46"/>
  <c r="K149" i="46"/>
  <c r="L149" i="46" s="1"/>
  <c r="M2" i="55"/>
  <c r="V210" i="7" a="1"/>
  <c r="V210" i="7" s="1"/>
  <c r="W210" i="7" s="1" a="1"/>
  <c r="W210" i="7" s="1"/>
  <c r="AZ210" i="7" s="1"/>
  <c r="I210" i="7"/>
  <c r="V244" i="7" a="1"/>
  <c r="V244" i="7" s="1"/>
  <c r="W244" i="7" s="1" a="1"/>
  <c r="W244" i="7" s="1"/>
  <c r="I244" i="7"/>
  <c r="V243" i="7" a="1"/>
  <c r="V243" i="7" s="1"/>
  <c r="W243" i="7" s="1" a="1"/>
  <c r="W243" i="7" s="1"/>
  <c r="I243" i="7"/>
  <c r="V197" i="7" a="1"/>
  <c r="V197" i="7" s="1"/>
  <c r="W197" i="7" s="1" a="1"/>
  <c r="W197" i="7" s="1"/>
  <c r="I197" i="7"/>
  <c r="I192" i="7"/>
  <c r="V192" i="7" a="1"/>
  <c r="V192" i="7" s="1"/>
  <c r="W192" i="7" s="1" a="1"/>
  <c r="W192" i="7" s="1"/>
  <c r="AZ192" i="7" s="1"/>
  <c r="V211" i="7" a="1"/>
  <c r="V211" i="7" s="1"/>
  <c r="W211" i="7" s="1" a="1"/>
  <c r="W211" i="7" s="1"/>
  <c r="I211" i="7"/>
  <c r="V186" i="7" a="1"/>
  <c r="V186" i="7" s="1"/>
  <c r="W186" i="7" s="1" a="1"/>
  <c r="W186" i="7" s="1"/>
  <c r="I186" i="7"/>
  <c r="I190" i="7"/>
  <c r="V190" i="7" a="1"/>
  <c r="V190" i="7" s="1"/>
  <c r="W190" i="7" s="1" a="1"/>
  <c r="W190" i="7" s="1"/>
  <c r="X190" i="7" s="1" a="1"/>
  <c r="X190" i="7" s="1"/>
  <c r="I97" i="7"/>
  <c r="V97" i="7" a="1"/>
  <c r="V97" i="7" s="1"/>
  <c r="W97" i="7" s="1" a="1"/>
  <c r="W97" i="7" s="1"/>
  <c r="AZ97" i="7" s="1"/>
  <c r="V47" i="7" a="1"/>
  <c r="V47" i="7" s="1"/>
  <c r="V234" i="7" a="1"/>
  <c r="V234" i="7" s="1"/>
  <c r="W234" i="7" s="1" a="1"/>
  <c r="W234" i="7" s="1"/>
  <c r="I234" i="7"/>
  <c r="V141" i="7" a="1"/>
  <c r="V141" i="7" s="1"/>
  <c r="W141" i="7" s="1" a="1"/>
  <c r="W141" i="7" s="1"/>
  <c r="I141" i="7"/>
  <c r="V177" i="7" a="1"/>
  <c r="V177" i="7" s="1"/>
  <c r="I29" i="55" s="1"/>
  <c r="I177" i="7"/>
  <c r="V40" i="7" a="1"/>
  <c r="V40" i="7" s="1"/>
  <c r="W40" i="7" s="1" a="1"/>
  <c r="W40" i="7" s="1"/>
  <c r="I40" i="7"/>
  <c r="I214" i="7"/>
  <c r="V214" i="7" a="1"/>
  <c r="V214" i="7" s="1"/>
  <c r="W214" i="7" s="1" a="1"/>
  <c r="W214" i="7" s="1"/>
  <c r="I121" i="7"/>
  <c r="V121" i="7" a="1"/>
  <c r="V121" i="7" s="1"/>
  <c r="W121" i="7" s="1" a="1"/>
  <c r="W121" i="7" s="1"/>
  <c r="I70" i="7"/>
  <c r="V70" i="7" a="1"/>
  <c r="V70" i="7" s="1"/>
  <c r="W70" i="7" s="1" a="1"/>
  <c r="W70" i="7" s="1"/>
  <c r="V170" i="7" a="1"/>
  <c r="V170" i="7" s="1"/>
  <c r="W170" i="7" s="1" a="1"/>
  <c r="W170" i="7" s="1"/>
  <c r="I170" i="7"/>
  <c r="V194" i="7" a="1"/>
  <c r="V194" i="7" s="1"/>
  <c r="W194" i="7" s="1" a="1"/>
  <c r="W194" i="7" s="1"/>
  <c r="I194" i="7"/>
  <c r="V101" i="7" a="1"/>
  <c r="V101" i="7" s="1"/>
  <c r="W101" i="7" s="1" a="1"/>
  <c r="W101" i="7" s="1"/>
  <c r="I101" i="7"/>
  <c r="V51" i="7" a="1"/>
  <c r="V51" i="7" s="1"/>
  <c r="W51" i="7" s="1" a="1"/>
  <c r="W51" i="7" s="1"/>
  <c r="I51" i="7" s="1"/>
  <c r="I199" i="7"/>
  <c r="V199" i="7" a="1"/>
  <c r="V199" i="7" s="1"/>
  <c r="W199" i="7" s="1" a="1"/>
  <c r="W199" i="7" s="1"/>
  <c r="AZ199" i="7" s="1"/>
  <c r="I106" i="7"/>
  <c r="V106" i="7" a="1"/>
  <c r="V106" i="7" s="1"/>
  <c r="W106" i="7" s="1" a="1"/>
  <c r="W106" i="7" s="1"/>
  <c r="X106" i="7" s="1" a="1"/>
  <c r="X106" i="7" s="1"/>
  <c r="V56" i="7" a="1"/>
  <c r="V56" i="7" s="1"/>
  <c r="W56" i="7" s="1" a="1"/>
  <c r="W56" i="7" s="1"/>
  <c r="I56" i="7"/>
  <c r="V112" i="7" a="1"/>
  <c r="V112" i="7" s="1"/>
  <c r="W112" i="7" s="1" a="1"/>
  <c r="W112" i="7" s="1"/>
  <c r="I112" i="7"/>
  <c r="V32" i="7" a="1"/>
  <c r="V32" i="7" s="1"/>
  <c r="W32" i="7" s="1" a="1"/>
  <c r="W32" i="7" s="1"/>
  <c r="I32" i="7"/>
  <c r="V204" i="7" a="1"/>
  <c r="V204" i="7" s="1"/>
  <c r="W204" i="7" s="1" a="1"/>
  <c r="W204" i="7" s="1"/>
  <c r="I204" i="7"/>
  <c r="V111" i="7" a="1"/>
  <c r="V111" i="7" s="1"/>
  <c r="W111" i="7" s="1" a="1"/>
  <c r="W111" i="7" s="1"/>
  <c r="I111" i="7"/>
  <c r="V61" i="7" a="1"/>
  <c r="V61" i="7" s="1"/>
  <c r="W61" i="7" s="1" a="1"/>
  <c r="W61" i="7" s="1"/>
  <c r="I61" i="7"/>
  <c r="V178" i="7" a="1"/>
  <c r="V178" i="7" s="1"/>
  <c r="W178" i="7" s="1" a="1"/>
  <c r="W178" i="7" s="1"/>
  <c r="I178" i="7"/>
  <c r="V88" i="7" a="1"/>
  <c r="V88" i="7" s="1"/>
  <c r="W88" i="7" s="1" a="1"/>
  <c r="W88" i="7" s="1"/>
  <c r="AZ88" i="7" s="1"/>
  <c r="I88" i="7"/>
  <c r="V173" i="7" a="1"/>
  <c r="V173" i="7" s="1"/>
  <c r="W173" i="7" s="1" a="1"/>
  <c r="W173" i="7" s="1"/>
  <c r="I173" i="7"/>
  <c r="V159" i="46" a="1"/>
  <c r="V159" i="46" s="1"/>
  <c r="I159" i="46"/>
  <c r="V96" i="46" a="1"/>
  <c r="V96" i="46" s="1"/>
  <c r="W96" i="46" s="1" a="1"/>
  <c r="W96" i="46" s="1"/>
  <c r="I96" i="46"/>
  <c r="V60" i="46" a="1"/>
  <c r="V60" i="46" s="1"/>
  <c r="W60" i="46" s="1" a="1"/>
  <c r="W60" i="46" s="1"/>
  <c r="I60" i="46"/>
  <c r="I115" i="46"/>
  <c r="V115" i="46" a="1"/>
  <c r="V115" i="46" s="1"/>
  <c r="W115" i="46" s="1" a="1"/>
  <c r="W115" i="46" s="1"/>
  <c r="V71" i="46" a="1"/>
  <c r="V71" i="46" s="1"/>
  <c r="W71" i="46" s="1" a="1"/>
  <c r="W71" i="46" s="1"/>
  <c r="I71" i="46"/>
  <c r="V94" i="46" a="1"/>
  <c r="V94" i="46" s="1"/>
  <c r="W94" i="46" s="1" a="1"/>
  <c r="W94" i="46" s="1"/>
  <c r="I94" i="46"/>
  <c r="I36" i="46"/>
  <c r="V36" i="46" a="1"/>
  <c r="V36" i="46" s="1"/>
  <c r="W36" i="46" s="1" a="1"/>
  <c r="W36" i="46" s="1"/>
  <c r="I156" i="46"/>
  <c r="V156" i="46" a="1"/>
  <c r="V156" i="46" s="1"/>
  <c r="W156" i="46" s="1" a="1"/>
  <c r="W156" i="46" s="1"/>
  <c r="I109" i="46"/>
  <c r="V109" i="46" a="1"/>
  <c r="V109" i="46" s="1"/>
  <c r="W109" i="46" s="1" a="1"/>
  <c r="W109" i="46" s="1"/>
  <c r="X109" i="46" s="1" a="1"/>
  <c r="X109" i="46" s="1"/>
  <c r="AD109" i="46" s="1"/>
  <c r="I57" i="46"/>
  <c r="V57" i="46" a="1"/>
  <c r="V57" i="46" s="1"/>
  <c r="W57" i="46" s="1" a="1"/>
  <c r="W57" i="46" s="1"/>
  <c r="V20" i="46" a="1"/>
  <c r="V20" i="46" s="1"/>
  <c r="W20" i="46" s="1" a="1"/>
  <c r="W20" i="46" s="1"/>
  <c r="I20" i="46"/>
  <c r="V54" i="46" a="1"/>
  <c r="V54" i="46" s="1"/>
  <c r="V16" i="46" a="1"/>
  <c r="V16" i="46" s="1"/>
  <c r="W16" i="46" s="1" a="1"/>
  <c r="W16" i="46" s="1"/>
  <c r="X16" i="46" s="1" a="1"/>
  <c r="X16" i="46" s="1"/>
  <c r="I16" i="46"/>
  <c r="V69" i="46" a="1"/>
  <c r="V69" i="46" s="1"/>
  <c r="W69" i="46" s="1" a="1"/>
  <c r="W69" i="46" s="1"/>
  <c r="AZ69" i="46" s="1"/>
  <c r="I69" i="46"/>
  <c r="V172" i="46" a="1"/>
  <c r="V172" i="46" s="1"/>
  <c r="W172" i="46" s="1" a="1"/>
  <c r="W172" i="46" s="1"/>
  <c r="I172" i="46"/>
  <c r="V62" i="46" a="1"/>
  <c r="V62" i="46" s="1"/>
  <c r="I117" i="46"/>
  <c r="V117" i="46" a="1"/>
  <c r="V117" i="46" s="1"/>
  <c r="W117" i="46" s="1" a="1"/>
  <c r="W117" i="46" s="1"/>
  <c r="V224" i="46" a="1"/>
  <c r="V224" i="46" s="1"/>
  <c r="W224" i="46" s="1" a="1"/>
  <c r="W224" i="46" s="1"/>
  <c r="I224" i="46"/>
  <c r="V77" i="47" a="1"/>
  <c r="V77" i="47" s="1"/>
  <c r="I77" i="47"/>
  <c r="V194" i="46" a="1"/>
  <c r="V194" i="46" s="1"/>
  <c r="I194" i="46"/>
  <c r="V14" i="47" a="1"/>
  <c r="V14" i="47" s="1"/>
  <c r="V79" i="47" a="1"/>
  <c r="V79" i="47" s="1"/>
  <c r="I79" i="47"/>
  <c r="V206" i="46" a="1"/>
  <c r="V206" i="46" s="1"/>
  <c r="W206" i="46" s="1" a="1"/>
  <c r="W206" i="46" s="1"/>
  <c r="X206" i="46" s="1" a="1"/>
  <c r="X206" i="46" s="1"/>
  <c r="AD206" i="46" s="1"/>
  <c r="I206" i="46"/>
  <c r="I18" i="47"/>
  <c r="V18" i="47" a="1"/>
  <c r="V18" i="47" s="1"/>
  <c r="W18" i="47" s="1" a="1"/>
  <c r="W18" i="47" s="1"/>
  <c r="I185" i="46"/>
  <c r="V185" i="46" a="1"/>
  <c r="V185" i="46" s="1"/>
  <c r="W185" i="46" s="1" a="1"/>
  <c r="W185" i="46" s="1"/>
  <c r="I17" i="47"/>
  <c r="V17" i="47" a="1"/>
  <c r="V17" i="47" s="1"/>
  <c r="I141" i="46"/>
  <c r="V141" i="46" a="1"/>
  <c r="V141" i="46" s="1"/>
  <c r="W141" i="46" s="1" a="1"/>
  <c r="W141" i="46" s="1"/>
  <c r="V210" i="46" a="1"/>
  <c r="V210" i="46" s="1"/>
  <c r="W210" i="46" s="1" a="1"/>
  <c r="W210" i="46" s="1"/>
  <c r="I210" i="46"/>
  <c r="V250" i="46" a="1"/>
  <c r="V250" i="46" s="1"/>
  <c r="W250" i="46" s="1" a="1"/>
  <c r="W250" i="46" s="1"/>
  <c r="I250" i="46"/>
  <c r="I144" i="46"/>
  <c r="V144" i="46" a="1"/>
  <c r="V144" i="46" s="1"/>
  <c r="W144" i="46" s="1" a="1"/>
  <c r="W144" i="46" s="1"/>
  <c r="I31" i="47"/>
  <c r="V31" i="47" a="1"/>
  <c r="V31" i="47" s="1"/>
  <c r="W31" i="47" s="1" a="1"/>
  <c r="W31" i="47" s="1"/>
  <c r="I147" i="46"/>
  <c r="V147" i="46" a="1"/>
  <c r="V147" i="46" s="1"/>
  <c r="W147" i="46" s="1" a="1"/>
  <c r="W147" i="46" s="1"/>
  <c r="AZ147" i="46" s="1"/>
  <c r="AI147" i="46" s="1"/>
  <c r="I230" i="46"/>
  <c r="V230" i="46" a="1"/>
  <c r="V230" i="46" s="1"/>
  <c r="W230" i="46" s="1" a="1"/>
  <c r="W230" i="46" s="1"/>
  <c r="V24" i="47" a="1"/>
  <c r="V24" i="47" s="1"/>
  <c r="I183" i="46"/>
  <c r="V183" i="46" a="1"/>
  <c r="V183" i="46" s="1"/>
  <c r="W183" i="46" s="1" a="1"/>
  <c r="W183" i="46" s="1"/>
  <c r="V36" i="47" a="1"/>
  <c r="V36" i="47" s="1"/>
  <c r="W36" i="47" s="1" a="1"/>
  <c r="W36" i="47" s="1"/>
  <c r="I36" i="47"/>
  <c r="V65" i="47" a="1"/>
  <c r="V65" i="47" s="1"/>
  <c r="W65" i="47" s="1" a="1"/>
  <c r="W65" i="47" s="1"/>
  <c r="V120" i="47" a="1"/>
  <c r="V120" i="47" s="1"/>
  <c r="W120" i="47" s="1" a="1"/>
  <c r="W120" i="47" s="1"/>
  <c r="I120" i="47"/>
  <c r="I58" i="47"/>
  <c r="V58" i="47" a="1"/>
  <c r="V58" i="47" s="1"/>
  <c r="W58" i="47" s="1" a="1"/>
  <c r="W58" i="47" s="1"/>
  <c r="I135" i="47"/>
  <c r="V135" i="47" a="1"/>
  <c r="V135" i="47" s="1"/>
  <c r="W135" i="47" s="1" a="1"/>
  <c r="W135" i="47" s="1"/>
  <c r="I83" i="47"/>
  <c r="V83" i="47" a="1"/>
  <c r="V83" i="47" s="1"/>
  <c r="I144" i="47"/>
  <c r="V144" i="47" a="1"/>
  <c r="V144" i="47" s="1"/>
  <c r="W144" i="47" s="1" a="1"/>
  <c r="W144" i="47" s="1"/>
  <c r="X144" i="47" s="1" a="1"/>
  <c r="X144" i="47" s="1"/>
  <c r="I162" i="47"/>
  <c r="V162" i="47" a="1"/>
  <c r="V162" i="47" s="1"/>
  <c r="V119" i="47" a="1"/>
  <c r="V119" i="47" s="1"/>
  <c r="W119" i="47" s="1" a="1"/>
  <c r="W119" i="47" s="1"/>
  <c r="I119" i="47"/>
  <c r="I218" i="47"/>
  <c r="V218" i="47" a="1"/>
  <c r="V218" i="47" s="1"/>
  <c r="W218" i="47" s="1" a="1"/>
  <c r="W218" i="47" s="1"/>
  <c r="I97" i="47"/>
  <c r="V97" i="47" a="1"/>
  <c r="V97" i="47" s="1"/>
  <c r="W97" i="47" s="1" a="1"/>
  <c r="W97" i="47" s="1"/>
  <c r="X97" i="47" s="1" a="1"/>
  <c r="X97" i="47" s="1"/>
  <c r="I195" i="47"/>
  <c r="V195" i="47" a="1"/>
  <c r="V195" i="47" s="1"/>
  <c r="W195" i="47" s="1" a="1"/>
  <c r="W195" i="47" s="1"/>
  <c r="AZ195" i="47" s="1"/>
  <c r="V67" i="47" a="1"/>
  <c r="V67" i="47" s="1"/>
  <c r="W67" i="47" s="1" a="1"/>
  <c r="W67" i="47" s="1"/>
  <c r="I67" i="47"/>
  <c r="I93" i="47"/>
  <c r="V93" i="47" a="1"/>
  <c r="V93" i="47" s="1"/>
  <c r="W93" i="47" s="1" a="1"/>
  <c r="W93" i="47" s="1"/>
  <c r="I130" i="47"/>
  <c r="V130" i="47" a="1"/>
  <c r="V130" i="47" s="1"/>
  <c r="W130" i="47" s="1" a="1"/>
  <c r="W130" i="47" s="1"/>
  <c r="X130" i="47" s="1" a="1"/>
  <c r="X130" i="47" s="1"/>
  <c r="V122" i="47" a="1"/>
  <c r="V122" i="47" s="1"/>
  <c r="W122" i="47" s="1" a="1"/>
  <c r="W122" i="47" s="1"/>
  <c r="AZ122" i="47" s="1"/>
  <c r="V146" i="47" a="1"/>
  <c r="V146" i="47" s="1"/>
  <c r="W146" i="47" s="1" a="1"/>
  <c r="W146" i="47" s="1"/>
  <c r="I146" i="47" s="1"/>
  <c r="V164" i="47" a="1"/>
  <c r="V164" i="47" s="1"/>
  <c r="W164" i="47" s="1" a="1"/>
  <c r="W164" i="47" s="1"/>
  <c r="I164" i="47" s="1"/>
  <c r="I194" i="47"/>
  <c r="V194" i="47" a="1"/>
  <c r="V194" i="47" s="1"/>
  <c r="W194" i="47" s="1" a="1"/>
  <c r="W194" i="47" s="1"/>
  <c r="V199" i="47" a="1"/>
  <c r="V199" i="47" s="1"/>
  <c r="I199" i="47"/>
  <c r="I215" i="47"/>
  <c r="V215" i="47" a="1"/>
  <c r="V215" i="47" s="1"/>
  <c r="W215" i="47" s="1" a="1"/>
  <c r="W215" i="47" s="1"/>
  <c r="AZ215" i="47" s="1"/>
  <c r="I207" i="47"/>
  <c r="V207" i="47" a="1"/>
  <c r="V207" i="47" s="1"/>
  <c r="W207" i="47" s="1" a="1"/>
  <c r="W207" i="47" s="1"/>
  <c r="V230" i="47" a="1"/>
  <c r="V230" i="47" s="1"/>
  <c r="W230" i="47" s="1" a="1"/>
  <c r="W230" i="47" s="1"/>
  <c r="I230" i="47"/>
  <c r="V209" i="47" a="1"/>
  <c r="V209" i="47" s="1"/>
  <c r="I209" i="47"/>
  <c r="V149" i="7" a="1"/>
  <c r="V149" i="7" s="1"/>
  <c r="I149" i="7"/>
  <c r="V300" i="7" a="1"/>
  <c r="V300" i="7" s="1"/>
  <c r="I300" i="7"/>
  <c r="V284" i="46" a="1"/>
  <c r="V284" i="46" s="1"/>
  <c r="I284" i="46"/>
  <c r="V291" i="46" a="1"/>
  <c r="V291" i="46" s="1"/>
  <c r="I291" i="46"/>
  <c r="I281" i="7"/>
  <c r="V281" i="7" a="1"/>
  <c r="V281" i="7" s="1"/>
  <c r="I298" i="46"/>
  <c r="V298" i="46" a="1"/>
  <c r="V298" i="46" s="1"/>
  <c r="V291" i="47" a="1"/>
  <c r="V291" i="47" s="1"/>
  <c r="I291" i="47"/>
  <c r="I275" i="46"/>
  <c r="V275" i="46" a="1"/>
  <c r="V275" i="46" s="1"/>
  <c r="V295" i="46" a="1"/>
  <c r="V295" i="46" s="1"/>
  <c r="I295" i="46"/>
  <c r="V261" i="7" a="1"/>
  <c r="V261" i="7" s="1"/>
  <c r="I261" i="7"/>
  <c r="V280" i="46" a="1"/>
  <c r="V280" i="46" s="1"/>
  <c r="I280" i="46"/>
  <c r="V297" i="46" a="1"/>
  <c r="V297" i="46" s="1"/>
  <c r="I297" i="46"/>
  <c r="I256" i="46"/>
  <c r="V256" i="46" a="1"/>
  <c r="V256" i="46" s="1"/>
  <c r="I268" i="47"/>
  <c r="V268" i="47" a="1"/>
  <c r="V268" i="47" s="1"/>
  <c r="V300" i="47" a="1"/>
  <c r="V300" i="47" s="1"/>
  <c r="I300" i="47"/>
  <c r="I285" i="7"/>
  <c r="V285" i="7" a="1"/>
  <c r="V285" i="7" s="1"/>
  <c r="V269" i="47" a="1"/>
  <c r="V269" i="47" s="1"/>
  <c r="I269" i="47"/>
  <c r="V297" i="47" a="1"/>
  <c r="V297" i="47" s="1"/>
  <c r="I297" i="47"/>
  <c r="I283" i="7"/>
  <c r="V283" i="7" a="1"/>
  <c r="V283" i="7" s="1"/>
  <c r="V279" i="7" a="1"/>
  <c r="V279" i="7" s="1"/>
  <c r="I279" i="7"/>
  <c r="S149" i="47"/>
  <c r="T149" i="47" s="1"/>
  <c r="R3" i="47"/>
  <c r="AA2" i="55"/>
  <c r="I184" i="7"/>
  <c r="W184" i="7" a="1"/>
  <c r="W184" i="7" s="1"/>
  <c r="AZ184" i="7" s="1"/>
  <c r="I231" i="7"/>
  <c r="V231" i="7" a="1"/>
  <c r="V231" i="7" s="1"/>
  <c r="W231" i="7" s="1" a="1"/>
  <c r="W231" i="7" s="1"/>
  <c r="V218" i="7" a="1"/>
  <c r="V218" i="7" s="1"/>
  <c r="W218" i="7" s="1" a="1"/>
  <c r="W218" i="7" s="1"/>
  <c r="AZ218" i="7" s="1"/>
  <c r="I218" i="7"/>
  <c r="I131" i="7"/>
  <c r="V131" i="7" a="1"/>
  <c r="V131" i="7" s="1"/>
  <c r="W131" i="7" s="1" a="1"/>
  <c r="W131" i="7" s="1"/>
  <c r="V125" i="7" a="1"/>
  <c r="V125" i="7" s="1"/>
  <c r="W125" i="7" s="1" a="1"/>
  <c r="W125" i="7" s="1"/>
  <c r="I125" i="7"/>
  <c r="I247" i="7"/>
  <c r="V247" i="7" a="1"/>
  <c r="V247" i="7" s="1"/>
  <c r="W247" i="7" s="1" a="1"/>
  <c r="W247" i="7" s="1"/>
  <c r="I183" i="7"/>
  <c r="V183" i="7" a="1"/>
  <c r="V183" i="7" s="1"/>
  <c r="W183" i="7" s="1" a="1"/>
  <c r="W183" i="7" s="1"/>
  <c r="AZ183" i="7" s="1"/>
  <c r="I90" i="7"/>
  <c r="V90" i="7" a="1"/>
  <c r="V90" i="7" s="1"/>
  <c r="W90" i="7" s="1" a="1"/>
  <c r="W90" i="7" s="1"/>
  <c r="I44" i="7"/>
  <c r="V44" i="7" a="1"/>
  <c r="V44" i="7" s="1"/>
  <c r="W44" i="7" s="1" a="1"/>
  <c r="W44" i="7" s="1"/>
  <c r="AZ44" i="7" s="1"/>
  <c r="V227" i="7" a="1"/>
  <c r="V227" i="7" s="1"/>
  <c r="W227" i="7" s="1" a="1"/>
  <c r="W227" i="7" s="1"/>
  <c r="AZ227" i="7" s="1"/>
  <c r="I227" i="7"/>
  <c r="V134" i="7" a="1"/>
  <c r="V134" i="7" s="1"/>
  <c r="W134" i="7" s="1" a="1"/>
  <c r="W134" i="7" s="1"/>
  <c r="AZ134" i="7" s="1"/>
  <c r="I134" i="7"/>
  <c r="V166" i="7" a="1"/>
  <c r="V166" i="7" s="1"/>
  <c r="W166" i="7" s="1" a="1"/>
  <c r="W166" i="7" s="1"/>
  <c r="AZ166" i="7" s="1"/>
  <c r="V25" i="7" a="1"/>
  <c r="V25" i="7" s="1"/>
  <c r="W25" i="7" s="1" a="1"/>
  <c r="W25" i="7" s="1"/>
  <c r="I25" i="7" s="1"/>
  <c r="I207" i="7"/>
  <c r="V207" i="7" a="1"/>
  <c r="V207" i="7" s="1"/>
  <c r="W207" i="7" s="1" a="1"/>
  <c r="W207" i="7" s="1"/>
  <c r="I114" i="7"/>
  <c r="V114" i="7" a="1"/>
  <c r="V114" i="7" s="1"/>
  <c r="W114" i="7" s="1" a="1"/>
  <c r="W114" i="7" s="1"/>
  <c r="V63" i="7" a="1"/>
  <c r="V63" i="7" s="1"/>
  <c r="W63" i="7" s="1" a="1"/>
  <c r="W63" i="7" s="1"/>
  <c r="AZ63" i="7" s="1"/>
  <c r="V150" i="7" a="1"/>
  <c r="V150" i="7" s="1"/>
  <c r="W150" i="7" s="1" a="1"/>
  <c r="W150" i="7" s="1"/>
  <c r="I150" i="7"/>
  <c r="W187" i="7" a="1"/>
  <c r="W187" i="7" s="1"/>
  <c r="AZ187" i="7" s="1"/>
  <c r="I187" i="7"/>
  <c r="V94" i="7" a="1"/>
  <c r="V94" i="7" s="1"/>
  <c r="W94" i="7" s="1" a="1"/>
  <c r="W94" i="7" s="1"/>
  <c r="I94" i="7"/>
  <c r="V80" i="7" a="1"/>
  <c r="V80" i="7" s="1"/>
  <c r="W80" i="7" s="1" a="1"/>
  <c r="W80" i="7" s="1"/>
  <c r="AZ80" i="7" s="1"/>
  <c r="I80" i="7"/>
  <c r="I193" i="7"/>
  <c r="V193" i="7" a="1"/>
  <c r="V193" i="7" s="1"/>
  <c r="W193" i="7" s="1" a="1"/>
  <c r="W193" i="7" s="1"/>
  <c r="AZ193" i="7" s="1"/>
  <c r="I100" i="7"/>
  <c r="V100" i="7" a="1"/>
  <c r="V100" i="7" s="1"/>
  <c r="W100" i="7" s="1" a="1"/>
  <c r="W100" i="7" s="1"/>
  <c r="V50" i="7" a="1"/>
  <c r="V50" i="7" s="1"/>
  <c r="W50" i="7" s="1" a="1"/>
  <c r="W50" i="7" s="1"/>
  <c r="AZ50" i="7" s="1"/>
  <c r="I50" i="7"/>
  <c r="I99" i="7"/>
  <c r="V99" i="7" a="1"/>
  <c r="V99" i="7" s="1"/>
  <c r="W99" i="7" s="1" a="1"/>
  <c r="W99" i="7" s="1"/>
  <c r="AZ99" i="7" s="1"/>
  <c r="I49" i="7"/>
  <c r="V49" i="7" a="1"/>
  <c r="V49" i="7" s="1"/>
  <c r="W49" i="7" s="1" a="1"/>
  <c r="W49" i="7" s="1"/>
  <c r="I198" i="7"/>
  <c r="V198" i="7" a="1"/>
  <c r="V198" i="7" s="1"/>
  <c r="W198" i="7" s="1" a="1"/>
  <c r="W198" i="7" s="1"/>
  <c r="I105" i="7"/>
  <c r="V105" i="7" a="1"/>
  <c r="V105" i="7" s="1"/>
  <c r="W105" i="7" s="1" a="1"/>
  <c r="W105" i="7" s="1"/>
  <c r="AZ105" i="7" s="1"/>
  <c r="I55" i="7"/>
  <c r="V55" i="7" a="1"/>
  <c r="V55" i="7" s="1"/>
  <c r="W55" i="7" s="1" a="1"/>
  <c r="W55" i="7" s="1"/>
  <c r="AZ55" i="7" s="1"/>
  <c r="V142" i="7" a="1"/>
  <c r="V142" i="7" s="1"/>
  <c r="W142" i="7" s="1" a="1"/>
  <c r="W142" i="7" s="1"/>
  <c r="AZ142" i="7" s="1"/>
  <c r="I142" i="7"/>
  <c r="V158" i="7" a="1"/>
  <c r="V158" i="7" s="1"/>
  <c r="I158" i="7"/>
  <c r="V27" i="7" a="1"/>
  <c r="V27" i="7" s="1"/>
  <c r="I174" i="46"/>
  <c r="V174" i="46" a="1"/>
  <c r="V174" i="46" s="1"/>
  <c r="W174" i="46" s="1" a="1"/>
  <c r="W174" i="46" s="1"/>
  <c r="AZ174" i="46" s="1"/>
  <c r="V97" i="46" a="1"/>
  <c r="V97" i="46" s="1"/>
  <c r="W97" i="46" s="1" a="1"/>
  <c r="W97" i="46" s="1"/>
  <c r="I97" i="46"/>
  <c r="V64" i="46" a="1"/>
  <c r="V64" i="46" s="1"/>
  <c r="W64" i="46" s="1" a="1"/>
  <c r="W64" i="46" s="1"/>
  <c r="I150" i="46"/>
  <c r="V150" i="46" a="1"/>
  <c r="V150" i="46" s="1"/>
  <c r="W150" i="46" s="1" a="1"/>
  <c r="W150" i="46" s="1"/>
  <c r="AZ150" i="46" s="1"/>
  <c r="V161" i="46" a="1"/>
  <c r="V161" i="46" s="1"/>
  <c r="W161" i="46" s="1" a="1"/>
  <c r="W161" i="46" s="1"/>
  <c r="I99" i="46"/>
  <c r="V99" i="46" a="1"/>
  <c r="V99" i="46" s="1"/>
  <c r="W99" i="46" s="1" a="1"/>
  <c r="W99" i="46" s="1"/>
  <c r="AZ99" i="46" s="1"/>
  <c r="I40" i="46"/>
  <c r="V40" i="46" a="1"/>
  <c r="V40" i="46" s="1"/>
  <c r="W40" i="46" s="1" a="1"/>
  <c r="W40" i="46" s="1"/>
  <c r="X40" i="46" s="1" a="1"/>
  <c r="X40" i="46" s="1"/>
  <c r="AD40" i="46" s="1"/>
  <c r="V157" i="46" a="1"/>
  <c r="V157" i="46" s="1"/>
  <c r="W157" i="46" s="1" a="1"/>
  <c r="W157" i="46" s="1"/>
  <c r="I157" i="46" s="1"/>
  <c r="I118" i="46"/>
  <c r="V118" i="46" a="1"/>
  <c r="V118" i="46" s="1"/>
  <c r="W118" i="46" s="1" a="1"/>
  <c r="W118" i="46" s="1"/>
  <c r="V63" i="46" a="1"/>
  <c r="V63" i="46" s="1"/>
  <c r="W63" i="46" s="1" a="1"/>
  <c r="W63" i="46" s="1"/>
  <c r="I63" i="46" s="1"/>
  <c r="V26" i="46" a="1"/>
  <c r="V26" i="46" s="1"/>
  <c r="W26" i="46" s="1" a="1"/>
  <c r="W26" i="46" s="1"/>
  <c r="I26" i="46"/>
  <c r="V152" i="46" a="1"/>
  <c r="V152" i="46" s="1"/>
  <c r="W152" i="46" s="1" a="1"/>
  <c r="W152" i="46" s="1"/>
  <c r="I152" i="46"/>
  <c r="V19" i="46" a="1"/>
  <c r="V19" i="46" s="1"/>
  <c r="W19" i="46" s="1" a="1"/>
  <c r="W19" i="46" s="1"/>
  <c r="I19" i="46"/>
  <c r="V72" i="46" a="1"/>
  <c r="V72" i="46" s="1"/>
  <c r="W72" i="46" s="1" a="1"/>
  <c r="W72" i="46" s="1"/>
  <c r="AZ72" i="46" s="1"/>
  <c r="I72" i="46"/>
  <c r="V78" i="46" a="1"/>
  <c r="V78" i="46" s="1"/>
  <c r="W78" i="46" s="1" a="1"/>
  <c r="W78" i="46" s="1"/>
  <c r="I78" i="46"/>
  <c r="V67" i="46" a="1"/>
  <c r="V67" i="46" s="1"/>
  <c r="W67" i="46" s="1" a="1"/>
  <c r="W67" i="46" s="1"/>
  <c r="I67" i="46"/>
  <c r="V120" i="46" a="1"/>
  <c r="V120" i="46" s="1"/>
  <c r="W120" i="46" s="1" a="1"/>
  <c r="W120" i="46" s="1"/>
  <c r="X120" i="46" s="1" a="1"/>
  <c r="X120" i="46" s="1"/>
  <c r="I120" i="46"/>
  <c r="I229" i="46"/>
  <c r="V229" i="46" a="1"/>
  <c r="V229" i="46" s="1"/>
  <c r="W229" i="46" s="1" a="1"/>
  <c r="W229" i="46" s="1"/>
  <c r="V41" i="47" a="1"/>
  <c r="V41" i="47" s="1"/>
  <c r="I41" i="47"/>
  <c r="V196" i="46" a="1"/>
  <c r="V196" i="46" s="1"/>
  <c r="W196" i="46" s="1" a="1"/>
  <c r="W196" i="46" s="1"/>
  <c r="I196" i="46"/>
  <c r="V19" i="47" a="1"/>
  <c r="V19" i="47" s="1"/>
  <c r="W19" i="47" s="1" a="1"/>
  <c r="W19" i="47" s="1"/>
  <c r="AZ19" i="47" s="1"/>
  <c r="I19" i="47"/>
  <c r="V61" i="47" a="1"/>
  <c r="V61" i="47" s="1"/>
  <c r="W61" i="47" s="1" a="1"/>
  <c r="W61" i="47" s="1"/>
  <c r="I61" i="47"/>
  <c r="V212" i="46" a="1"/>
  <c r="V212" i="46" s="1"/>
  <c r="W212" i="46" s="1" a="1"/>
  <c r="W212" i="46" s="1"/>
  <c r="I212" i="46"/>
  <c r="V173" i="47" a="1"/>
  <c r="V173" i="47" s="1"/>
  <c r="W173" i="47" s="1" a="1"/>
  <c r="W173" i="47" s="1"/>
  <c r="I173" i="47"/>
  <c r="I188" i="46"/>
  <c r="V188" i="46" a="1"/>
  <c r="V188" i="46" s="1"/>
  <c r="W188" i="46" s="1" a="1"/>
  <c r="W188" i="46" s="1"/>
  <c r="V23" i="47" a="1"/>
  <c r="V23" i="47" s="1"/>
  <c r="W23" i="47" s="1" a="1"/>
  <c r="W23" i="47" s="1"/>
  <c r="I23" i="47"/>
  <c r="I178" i="46"/>
  <c r="V178" i="46" a="1"/>
  <c r="V178" i="46" s="1"/>
  <c r="W178" i="46" s="1" a="1"/>
  <c r="W178" i="46" s="1"/>
  <c r="V216" i="46" a="1"/>
  <c r="V216" i="46" s="1"/>
  <c r="W216" i="46" s="1" a="1"/>
  <c r="W216" i="46" s="1"/>
  <c r="I216" i="46"/>
  <c r="V171" i="47" a="1"/>
  <c r="V171" i="47" s="1"/>
  <c r="W171" i="47" s="1" a="1"/>
  <c r="W171" i="47" s="1"/>
  <c r="AZ171" i="47" s="1"/>
  <c r="I171" i="47"/>
  <c r="I148" i="46"/>
  <c r="V148" i="46" a="1"/>
  <c r="V148" i="46" s="1"/>
  <c r="W148" i="46" s="1" a="1"/>
  <c r="W148" i="46" s="1"/>
  <c r="I43" i="47"/>
  <c r="V43" i="47" a="1"/>
  <c r="V43" i="47" s="1"/>
  <c r="W43" i="47" s="1" a="1"/>
  <c r="W43" i="47" s="1"/>
  <c r="I180" i="46"/>
  <c r="V180" i="46" a="1"/>
  <c r="V180" i="46" s="1"/>
  <c r="W180" i="46" s="1" a="1"/>
  <c r="W180" i="46" s="1"/>
  <c r="I235" i="46"/>
  <c r="V235" i="46" a="1"/>
  <c r="V235" i="46" s="1"/>
  <c r="W235" i="46" s="1" a="1"/>
  <c r="W235" i="46" s="1"/>
  <c r="I29" i="47"/>
  <c r="V29" i="47" a="1"/>
  <c r="V29" i="47" s="1"/>
  <c r="W29" i="47" s="1" a="1"/>
  <c r="W29" i="47" s="1"/>
  <c r="I195" i="46"/>
  <c r="V195" i="46" a="1"/>
  <c r="V195" i="46" s="1"/>
  <c r="W195" i="46" s="1" a="1"/>
  <c r="W195" i="46" s="1"/>
  <c r="V27" i="47" a="1"/>
  <c r="V27" i="47" s="1"/>
  <c r="V66" i="47" a="1"/>
  <c r="V66" i="47" s="1"/>
  <c r="W66" i="47" s="1" a="1"/>
  <c r="W66" i="47" s="1"/>
  <c r="V132" i="47" a="1"/>
  <c r="V132" i="47" s="1"/>
  <c r="W132" i="47" s="1" a="1"/>
  <c r="W132" i="47" s="1"/>
  <c r="AZ132" i="47" s="1"/>
  <c r="I132" i="47"/>
  <c r="V59" i="47" a="1"/>
  <c r="V59" i="47" s="1"/>
  <c r="W59" i="47" s="1" a="1"/>
  <c r="W59" i="47" s="1"/>
  <c r="I59" i="47"/>
  <c r="I182" i="47"/>
  <c r="V182" i="47" a="1"/>
  <c r="V182" i="47" s="1"/>
  <c r="W182" i="47" s="1" a="1"/>
  <c r="W182" i="47" s="1"/>
  <c r="V91" i="47" a="1"/>
  <c r="V91" i="47" s="1"/>
  <c r="W91" i="47" s="1" a="1"/>
  <c r="W91" i="47" s="1"/>
  <c r="I91" i="47"/>
  <c r="V189" i="47" a="1"/>
  <c r="V189" i="47" s="1"/>
  <c r="W189" i="47" s="1" a="1"/>
  <c r="W189" i="47" s="1"/>
  <c r="AZ189" i="47" s="1"/>
  <c r="I189" i="47"/>
  <c r="V165" i="47" a="1"/>
  <c r="V165" i="47" s="1"/>
  <c r="W165" i="47" s="1" a="1"/>
  <c r="W165" i="47" s="1"/>
  <c r="I125" i="47"/>
  <c r="V125" i="47" a="1"/>
  <c r="V125" i="47" s="1"/>
  <c r="W125" i="47" s="1" a="1"/>
  <c r="W125" i="47" s="1"/>
  <c r="V157" i="47" a="1"/>
  <c r="V157" i="47" s="1"/>
  <c r="W157" i="47" s="1" a="1"/>
  <c r="W157" i="47" s="1"/>
  <c r="I157" i="47" s="1"/>
  <c r="I98" i="47"/>
  <c r="V98" i="47" a="1"/>
  <c r="V98" i="47" s="1"/>
  <c r="W98" i="47" s="1" a="1"/>
  <c r="W98" i="47" s="1"/>
  <c r="I198" i="47"/>
  <c r="V198" i="47" a="1"/>
  <c r="V198" i="47" s="1"/>
  <c r="W198" i="47" s="1" a="1"/>
  <c r="W198" i="47" s="1"/>
  <c r="V152" i="47" a="1"/>
  <c r="V152" i="47" s="1"/>
  <c r="W152" i="47" s="1" a="1"/>
  <c r="W152" i="47" s="1"/>
  <c r="I152" i="47"/>
  <c r="V94" i="47" a="1"/>
  <c r="V94" i="47" s="1"/>
  <c r="W94" i="47" s="1" a="1"/>
  <c r="W94" i="47" s="1"/>
  <c r="I94" i="47"/>
  <c r="I140" i="47"/>
  <c r="V140" i="47" a="1"/>
  <c r="V140" i="47" s="1"/>
  <c r="W140" i="47" s="1" a="1"/>
  <c r="W140" i="47" s="1"/>
  <c r="I128" i="47"/>
  <c r="V128" i="47" a="1"/>
  <c r="V128" i="47" s="1"/>
  <c r="W128" i="47" s="1" a="1"/>
  <c r="W128" i="47" s="1"/>
  <c r="V178" i="47" a="1"/>
  <c r="V178" i="47" s="1"/>
  <c r="W178" i="47" s="1" a="1"/>
  <c r="W178" i="47" s="1"/>
  <c r="I178" i="47"/>
  <c r="V155" i="47" a="1"/>
  <c r="V155" i="47" s="1"/>
  <c r="W155" i="47" s="1" a="1"/>
  <c r="W155" i="47" s="1"/>
  <c r="V228" i="47" a="1"/>
  <c r="V228" i="47" s="1"/>
  <c r="W228" i="47" s="1" a="1"/>
  <c r="W228" i="47" s="1"/>
  <c r="I228" i="47"/>
  <c r="I203" i="47"/>
  <c r="V203" i="47" a="1"/>
  <c r="V203" i="47" s="1"/>
  <c r="W203" i="47" s="1" a="1"/>
  <c r="W203" i="47" s="1"/>
  <c r="V222" i="47" a="1"/>
  <c r="V222" i="47" s="1"/>
  <c r="W222" i="47" s="1" a="1"/>
  <c r="W222" i="47" s="1"/>
  <c r="I222" i="47"/>
  <c r="V211" i="47" a="1"/>
  <c r="V211" i="47" s="1"/>
  <c r="I211" i="47"/>
  <c r="I236" i="47"/>
  <c r="V236" i="47" a="1"/>
  <c r="V236" i="47" s="1"/>
  <c r="W236" i="47" s="1" a="1"/>
  <c r="W236" i="47" s="1"/>
  <c r="V213" i="47" a="1"/>
  <c r="V213" i="47" s="1"/>
  <c r="W213" i="47" s="1" a="1"/>
  <c r="W213" i="47" s="1"/>
  <c r="I213" i="47"/>
  <c r="I276" i="46"/>
  <c r="V276" i="46" a="1"/>
  <c r="V276" i="46" s="1"/>
  <c r="V296" i="47" a="1"/>
  <c r="V296" i="47" s="1"/>
  <c r="I296" i="47"/>
  <c r="V273" i="47" a="1"/>
  <c r="V273" i="47" s="1"/>
  <c r="I273" i="47"/>
  <c r="I252" i="46"/>
  <c r="V252" i="46" a="1"/>
  <c r="V252" i="46" s="1"/>
  <c r="I277" i="46"/>
  <c r="V277" i="46" a="1"/>
  <c r="V277" i="46" s="1"/>
  <c r="I253" i="47"/>
  <c r="V253" i="47" a="1"/>
  <c r="V253" i="47" s="1"/>
  <c r="V284" i="7" a="1"/>
  <c r="V284" i="7" s="1"/>
  <c r="I284" i="7"/>
  <c r="I286" i="47"/>
  <c r="V286" i="47" a="1"/>
  <c r="V286" i="47" s="1"/>
  <c r="V257" i="47" a="1"/>
  <c r="V257" i="47" s="1"/>
  <c r="I257" i="47"/>
  <c r="I261" i="47"/>
  <c r="V261" i="47" a="1"/>
  <c r="V261" i="47" s="1"/>
  <c r="V263" i="7" a="1"/>
  <c r="V263" i="7" s="1"/>
  <c r="I263" i="7"/>
  <c r="V300" i="46" a="1"/>
  <c r="V300" i="46" s="1"/>
  <c r="I300" i="46"/>
  <c r="V258" i="46" a="1"/>
  <c r="V258" i="46" s="1"/>
  <c r="I258" i="46"/>
  <c r="I274" i="46"/>
  <c r="V274" i="46" a="1"/>
  <c r="V274" i="46" s="1"/>
  <c r="I265" i="47"/>
  <c r="V265" i="47" a="1"/>
  <c r="V265" i="47" s="1"/>
  <c r="I257" i="7"/>
  <c r="V257" i="7" a="1"/>
  <c r="V257" i="7" s="1"/>
  <c r="I252" i="7"/>
  <c r="V252" i="7" a="1"/>
  <c r="V252" i="7" s="1"/>
  <c r="V269" i="7" a="1"/>
  <c r="V269" i="7" s="1"/>
  <c r="I269" i="7"/>
  <c r="I282" i="7"/>
  <c r="V282" i="7" a="1"/>
  <c r="V282" i="7" s="1"/>
  <c r="I295" i="47"/>
  <c r="V295" i="47" a="1"/>
  <c r="V295" i="47" s="1"/>
  <c r="I149" i="47"/>
  <c r="V149" i="47" a="1"/>
  <c r="V149" i="47" s="1"/>
  <c r="V205" i="7" a="1"/>
  <c r="V205" i="7" s="1"/>
  <c r="W205" i="7" s="1" a="1"/>
  <c r="W205" i="7" s="1"/>
  <c r="AZ205" i="7" s="1"/>
  <c r="I205" i="7"/>
  <c r="V203" i="7" a="1"/>
  <c r="V203" i="7" s="1"/>
  <c r="W203" i="7" s="1" a="1"/>
  <c r="W203" i="7" s="1"/>
  <c r="AZ203" i="7" s="1"/>
  <c r="I203" i="7"/>
  <c r="I241" i="7"/>
  <c r="V241" i="7" a="1"/>
  <c r="V241" i="7" s="1"/>
  <c r="W241" i="7" s="1" a="1"/>
  <c r="W241" i="7" s="1"/>
  <c r="I148" i="7"/>
  <c r="V148" i="7" a="1"/>
  <c r="V148" i="7" s="1"/>
  <c r="W148" i="7" s="1" a="1"/>
  <c r="W148" i="7" s="1"/>
  <c r="I87" i="7"/>
  <c r="V87" i="7" a="1"/>
  <c r="V87" i="7" s="1"/>
  <c r="W87" i="7" s="1" a="1"/>
  <c r="W87" i="7" s="1"/>
  <c r="AZ87" i="7" s="1"/>
  <c r="I160" i="7"/>
  <c r="V160" i="7" a="1"/>
  <c r="V160" i="7" s="1"/>
  <c r="W160" i="7" s="1" a="1"/>
  <c r="W160" i="7" s="1"/>
  <c r="AZ160" i="7" s="1"/>
  <c r="V221" i="7" a="1"/>
  <c r="V221" i="7" s="1"/>
  <c r="W221" i="7" s="1" a="1"/>
  <c r="W221" i="7" s="1"/>
  <c r="I221" i="7"/>
  <c r="V128" i="7" a="1"/>
  <c r="V128" i="7" s="1"/>
  <c r="W128" i="7" s="1" a="1"/>
  <c r="W128" i="7" s="1"/>
  <c r="AZ128" i="7" s="1"/>
  <c r="I128" i="7"/>
  <c r="V153" i="7" a="1"/>
  <c r="V153" i="7" s="1"/>
  <c r="W153" i="7" s="1" a="1"/>
  <c r="W153" i="7" s="1"/>
  <c r="AZ153" i="7" s="1"/>
  <c r="I153" i="7"/>
  <c r="V19" i="7" a="1"/>
  <c r="V19" i="7" s="1"/>
  <c r="W19" i="7" s="1" a="1"/>
  <c r="W19" i="7" s="1"/>
  <c r="AZ19" i="7" s="1"/>
  <c r="I19" i="7"/>
  <c r="I201" i="7"/>
  <c r="V201" i="7" a="1"/>
  <c r="V201" i="7" s="1"/>
  <c r="W201" i="7" s="1" a="1"/>
  <c r="W201" i="7" s="1"/>
  <c r="I108" i="7"/>
  <c r="V108" i="7" a="1"/>
  <c r="V108" i="7" s="1"/>
  <c r="W108" i="7" s="1" a="1"/>
  <c r="W108" i="7" s="1"/>
  <c r="AZ108" i="7" s="1"/>
  <c r="V58" i="7" a="1"/>
  <c r="V58" i="7" s="1"/>
  <c r="W58" i="7" s="1" a="1"/>
  <c r="W58" i="7" s="1"/>
  <c r="AZ58" i="7" s="1"/>
  <c r="I58" i="7"/>
  <c r="V245" i="7" a="1"/>
  <c r="V245" i="7" s="1"/>
  <c r="W245" i="7" s="1" a="1"/>
  <c r="W245" i="7" s="1"/>
  <c r="I245" i="7"/>
  <c r="V181" i="7" a="1"/>
  <c r="V181" i="7" s="1"/>
  <c r="W181" i="7" s="1" a="1"/>
  <c r="W181" i="7" s="1"/>
  <c r="AZ181" i="7" s="1"/>
  <c r="I181" i="7"/>
  <c r="V169" i="7" a="1"/>
  <c r="V169" i="7" s="1"/>
  <c r="W169" i="7" s="1" a="1"/>
  <c r="W169" i="7" s="1"/>
  <c r="I169" i="7"/>
  <c r="V42" i="7" a="1"/>
  <c r="V42" i="7" s="1"/>
  <c r="W42" i="7" s="1" a="1"/>
  <c r="W42" i="7" s="1"/>
  <c r="AZ42" i="7" s="1"/>
  <c r="I42" i="7"/>
  <c r="I180" i="7"/>
  <c r="V168" i="7" a="1"/>
  <c r="V168" i="7" s="1"/>
  <c r="W168" i="7" s="1" a="1"/>
  <c r="W168" i="7" s="1"/>
  <c r="I168" i="7" s="1"/>
  <c r="V41" i="7" a="1"/>
  <c r="V41" i="7" s="1"/>
  <c r="I41" i="7"/>
  <c r="V93" i="7" a="1"/>
  <c r="V93" i="7" s="1"/>
  <c r="W93" i="7" s="1" a="1"/>
  <c r="W93" i="7" s="1"/>
  <c r="I93" i="7"/>
  <c r="V79" i="7" a="1"/>
  <c r="V79" i="7" s="1"/>
  <c r="I79" i="7"/>
  <c r="I191" i="7"/>
  <c r="V191" i="7" a="1"/>
  <c r="V191" i="7" s="1"/>
  <c r="W191" i="7" s="1" a="1"/>
  <c r="W191" i="7" s="1"/>
  <c r="I98" i="7"/>
  <c r="V98" i="7" a="1"/>
  <c r="V98" i="7" s="1"/>
  <c r="W98" i="7" s="1" a="1"/>
  <c r="W98" i="7" s="1"/>
  <c r="AZ98" i="7" s="1"/>
  <c r="I48" i="7"/>
  <c r="V48" i="7" a="1"/>
  <c r="V48" i="7" s="1"/>
  <c r="V136" i="7" a="1"/>
  <c r="V136" i="7" s="1"/>
  <c r="W136" i="7" s="1" a="1"/>
  <c r="W136" i="7" s="1"/>
  <c r="AZ136" i="7" s="1"/>
  <c r="I136" i="7"/>
  <c r="V155" i="7" a="1"/>
  <c r="V155" i="7" s="1"/>
  <c r="W155" i="7" s="1" a="1"/>
  <c r="W155" i="7" s="1"/>
  <c r="I155" i="7" s="1"/>
  <c r="V35" i="7" a="1"/>
  <c r="V35" i="7" s="1"/>
  <c r="V47" i="46" a="1"/>
  <c r="V47" i="46" s="1"/>
  <c r="V102" i="46" a="1"/>
  <c r="V102" i="46" s="1"/>
  <c r="W102" i="46" s="1" a="1"/>
  <c r="W102" i="46" s="1"/>
  <c r="V66" i="46" a="1"/>
  <c r="V66" i="46" s="1"/>
  <c r="W66" i="46" s="1" a="1"/>
  <c r="W66" i="46" s="1"/>
  <c r="V14" i="46" a="1"/>
  <c r="V14" i="46" s="1"/>
  <c r="V22" i="46" a="1"/>
  <c r="V22" i="46" s="1"/>
  <c r="I101" i="46"/>
  <c r="V101" i="46" a="1"/>
  <c r="V101" i="46" s="1"/>
  <c r="W101" i="46" s="1" a="1"/>
  <c r="W101" i="46" s="1"/>
  <c r="V31" i="46" a="1"/>
  <c r="V31" i="46" s="1"/>
  <c r="W31" i="46" s="1" a="1"/>
  <c r="W31" i="46" s="1"/>
  <c r="I31" i="46"/>
  <c r="V175" i="46" a="1"/>
  <c r="V175" i="46" s="1"/>
  <c r="W175" i="46" s="1" a="1"/>
  <c r="W175" i="46" s="1"/>
  <c r="I175" i="46"/>
  <c r="V76" i="46" a="1"/>
  <c r="V76" i="46" s="1"/>
  <c r="W76" i="46" s="1" a="1"/>
  <c r="W76" i="46" s="1"/>
  <c r="I76" i="46"/>
  <c r="V70" i="46" a="1"/>
  <c r="V70" i="46" s="1"/>
  <c r="W70" i="46" s="1" a="1"/>
  <c r="W70" i="46" s="1"/>
  <c r="I70" i="46"/>
  <c r="V35" i="46" a="1"/>
  <c r="V35" i="46" s="1"/>
  <c r="V164" i="46" a="1"/>
  <c r="V164" i="46" s="1"/>
  <c r="W164" i="46" s="1" a="1"/>
  <c r="W164" i="46" s="1"/>
  <c r="I164" i="46" s="1"/>
  <c r="V25" i="46" a="1"/>
  <c r="V25" i="46" s="1"/>
  <c r="W25" i="46" s="1" a="1"/>
  <c r="W25" i="46" s="1"/>
  <c r="V163" i="46" a="1"/>
  <c r="V163" i="46" s="1"/>
  <c r="W163" i="46" s="1" a="1"/>
  <c r="W163" i="46" s="1"/>
  <c r="I163" i="46" s="1"/>
  <c r="V24" i="46" a="1"/>
  <c r="V24" i="46" s="1"/>
  <c r="V68" i="46" a="1"/>
  <c r="V68" i="46" s="1"/>
  <c r="W68" i="46" s="1" a="1"/>
  <c r="W68" i="46" s="1"/>
  <c r="I68" i="46"/>
  <c r="V132" i="46" a="1"/>
  <c r="V132" i="46" s="1"/>
  <c r="W132" i="46" s="1" a="1"/>
  <c r="W132" i="46" s="1"/>
  <c r="I132" i="46"/>
  <c r="I238" i="46"/>
  <c r="V238" i="46" a="1"/>
  <c r="V238" i="46" s="1"/>
  <c r="W238" i="46" s="1" a="1"/>
  <c r="W238" i="46" s="1"/>
  <c r="I46" i="47"/>
  <c r="V46" i="47" a="1"/>
  <c r="V46" i="47" s="1"/>
  <c r="W46" i="47" s="1" a="1"/>
  <c r="W46" i="47" s="1"/>
  <c r="I207" i="46"/>
  <c r="V207" i="46" a="1"/>
  <c r="V207" i="46" s="1"/>
  <c r="W207" i="46" s="1" a="1"/>
  <c r="W207" i="46" s="1"/>
  <c r="AZ207" i="46" s="1"/>
  <c r="V21" i="47" a="1"/>
  <c r="V21" i="47" s="1"/>
  <c r="I21" i="47"/>
  <c r="I116" i="46"/>
  <c r="V116" i="46" a="1"/>
  <c r="V116" i="46" s="1"/>
  <c r="W116" i="46" s="1" a="1"/>
  <c r="W116" i="46" s="1"/>
  <c r="I223" i="46"/>
  <c r="V223" i="46" a="1"/>
  <c r="V223" i="46" s="1"/>
  <c r="W223" i="46" s="1" a="1"/>
  <c r="W223" i="46" s="1"/>
  <c r="I44" i="47"/>
  <c r="V44" i="47" a="1"/>
  <c r="V44" i="47" s="1"/>
  <c r="W44" i="47" s="1" a="1"/>
  <c r="W44" i="47" s="1"/>
  <c r="X44" i="47" s="1" a="1"/>
  <c r="X44" i="47" s="1"/>
  <c r="I193" i="46"/>
  <c r="V193" i="46" a="1"/>
  <c r="V193" i="46" s="1"/>
  <c r="W193" i="46" s="1" a="1"/>
  <c r="W193" i="46" s="1"/>
  <c r="V25" i="47" a="1"/>
  <c r="V25" i="47" s="1"/>
  <c r="W25" i="47" s="1" a="1"/>
  <c r="W25" i="47" s="1"/>
  <c r="AZ25" i="47" s="1"/>
  <c r="V181" i="46" a="1"/>
  <c r="V181" i="46" s="1"/>
  <c r="W181" i="46" s="1" a="1"/>
  <c r="W181" i="46" s="1"/>
  <c r="I181" i="46"/>
  <c r="I222" i="46"/>
  <c r="V222" i="46" a="1"/>
  <c r="V222" i="46" s="1"/>
  <c r="W222" i="46" s="1" a="1"/>
  <c r="W222" i="46" s="1"/>
  <c r="I37" i="47"/>
  <c r="V37" i="47" a="1"/>
  <c r="V37" i="47" s="1"/>
  <c r="W37" i="47" s="1" a="1"/>
  <c r="W37" i="47" s="1"/>
  <c r="V192" i="46" a="1"/>
  <c r="V192" i="46" s="1"/>
  <c r="I192" i="46"/>
  <c r="V52" i="47" a="1"/>
  <c r="V52" i="47" s="1"/>
  <c r="W52" i="47" s="1" a="1"/>
  <c r="W52" i="47" s="1"/>
  <c r="I52" i="47" s="1"/>
  <c r="I191" i="46"/>
  <c r="V191" i="46" a="1"/>
  <c r="V191" i="46" s="1"/>
  <c r="W191" i="46" s="1" a="1"/>
  <c r="W191" i="46" s="1"/>
  <c r="AZ191" i="46" s="1"/>
  <c r="I239" i="46"/>
  <c r="V239" i="46" a="1"/>
  <c r="V239" i="46" s="1"/>
  <c r="W239" i="46" s="1" a="1"/>
  <c r="W239" i="46" s="1"/>
  <c r="V30" i="47" a="1"/>
  <c r="V30" i="47" s="1"/>
  <c r="I30" i="47"/>
  <c r="V197" i="46" a="1"/>
  <c r="V197" i="46" s="1"/>
  <c r="W197" i="46" s="1" a="1"/>
  <c r="W197" i="46" s="1"/>
  <c r="I197" i="46"/>
  <c r="V28" i="47" a="1"/>
  <c r="V28" i="47" s="1"/>
  <c r="W28" i="47" s="1" a="1"/>
  <c r="W28" i="47" s="1"/>
  <c r="V151" i="47" a="1"/>
  <c r="V151" i="47" s="1"/>
  <c r="V136" i="47" a="1"/>
  <c r="V136" i="47" s="1"/>
  <c r="W136" i="47" s="1" a="1"/>
  <c r="W136" i="47" s="1"/>
  <c r="I136" i="47"/>
  <c r="I71" i="47"/>
  <c r="V71" i="47" a="1"/>
  <c r="V71" i="47" s="1"/>
  <c r="W71" i="47" s="1" a="1"/>
  <c r="W71" i="47" s="1"/>
  <c r="V64" i="47" a="1"/>
  <c r="V64" i="47" s="1"/>
  <c r="W64" i="47" s="1" a="1"/>
  <c r="W64" i="47" s="1"/>
  <c r="I64" i="47" s="1"/>
  <c r="I100" i="47"/>
  <c r="V100" i="47" a="1"/>
  <c r="V100" i="47" s="1"/>
  <c r="W100" i="47" s="1" a="1"/>
  <c r="W100" i="47" s="1"/>
  <c r="I196" i="47"/>
  <c r="V196" i="47" a="1"/>
  <c r="V196" i="47" s="1"/>
  <c r="W196" i="47" s="1" a="1"/>
  <c r="W196" i="47" s="1"/>
  <c r="I176" i="47"/>
  <c r="V176" i="47" a="1"/>
  <c r="V176" i="47" s="1"/>
  <c r="W176" i="47" s="1" a="1"/>
  <c r="W176" i="47" s="1"/>
  <c r="V134" i="47" a="1"/>
  <c r="V134" i="47" s="1"/>
  <c r="W134" i="47" s="1" a="1"/>
  <c r="W134" i="47" s="1"/>
  <c r="I134" i="47"/>
  <c r="I86" i="47"/>
  <c r="V86" i="47" a="1"/>
  <c r="V86" i="47" s="1"/>
  <c r="W86" i="47" s="1" a="1"/>
  <c r="W86" i="47" s="1"/>
  <c r="I141" i="47"/>
  <c r="V141" i="47" a="1"/>
  <c r="V141" i="47" s="1"/>
  <c r="W141" i="47" s="1" a="1"/>
  <c r="W141" i="47" s="1"/>
  <c r="V201" i="47" a="1"/>
  <c r="V201" i="47" s="1"/>
  <c r="W201" i="47" s="1" a="1"/>
  <c r="W201" i="47" s="1"/>
  <c r="I201" i="47"/>
  <c r="V161" i="47" a="1"/>
  <c r="V161" i="47" s="1"/>
  <c r="W161" i="47" s="1" a="1"/>
  <c r="W161" i="47" s="1"/>
  <c r="I99" i="47"/>
  <c r="V99" i="47" a="1"/>
  <c r="V99" i="47" s="1"/>
  <c r="W99" i="47" s="1" a="1"/>
  <c r="W99" i="47" s="1"/>
  <c r="V143" i="47" a="1"/>
  <c r="V143" i="47" s="1"/>
  <c r="W143" i="47" s="1" a="1"/>
  <c r="W143" i="47" s="1"/>
  <c r="I143" i="47"/>
  <c r="V129" i="47" a="1"/>
  <c r="V129" i="47" s="1"/>
  <c r="W129" i="47" s="1" a="1"/>
  <c r="W129" i="47" s="1"/>
  <c r="I129" i="47"/>
  <c r="I180" i="47"/>
  <c r="V180" i="47" a="1"/>
  <c r="V180" i="47" s="1"/>
  <c r="W180" i="47" s="1" a="1"/>
  <c r="W180" i="47" s="1"/>
  <c r="X180" i="47" s="1" a="1"/>
  <c r="X180" i="47" s="1"/>
  <c r="V84" i="47" a="1"/>
  <c r="V84" i="47" s="1"/>
  <c r="W84" i="47" s="1" a="1"/>
  <c r="W84" i="47" s="1"/>
  <c r="I84" i="47"/>
  <c r="V234" i="47" a="1"/>
  <c r="V234" i="47" s="1"/>
  <c r="W234" i="47" s="1" a="1"/>
  <c r="W234" i="47" s="1"/>
  <c r="I234" i="47"/>
  <c r="V208" i="47" a="1"/>
  <c r="V208" i="47" s="1"/>
  <c r="I208" i="47"/>
  <c r="I223" i="47"/>
  <c r="V223" i="47" a="1"/>
  <c r="V223" i="47" s="1"/>
  <c r="W223" i="47" s="1" a="1"/>
  <c r="W223" i="47" s="1"/>
  <c r="X223" i="47" s="1" a="1"/>
  <c r="X223" i="47" s="1"/>
  <c r="I221" i="47"/>
  <c r="V221" i="47" a="1"/>
  <c r="V221" i="47" s="1"/>
  <c r="W221" i="47" s="1" a="1"/>
  <c r="W221" i="47" s="1"/>
  <c r="AZ221" i="47" s="1"/>
  <c r="V242" i="47" a="1"/>
  <c r="V242" i="47" s="1"/>
  <c r="W242" i="47" s="1" a="1"/>
  <c r="W242" i="47" s="1"/>
  <c r="AZ242" i="47" s="1"/>
  <c r="I242" i="47"/>
  <c r="I219" i="47"/>
  <c r="V219" i="47" a="1"/>
  <c r="V219" i="47" s="1"/>
  <c r="W219" i="47" s="1" a="1"/>
  <c r="W219" i="47" s="1"/>
  <c r="I286" i="46"/>
  <c r="V286" i="46" a="1"/>
  <c r="V286" i="46" s="1"/>
  <c r="I262" i="7"/>
  <c r="V262" i="7" a="1"/>
  <c r="V262" i="7" s="1"/>
  <c r="V265" i="46" a="1"/>
  <c r="V265" i="46" s="1"/>
  <c r="I265" i="46"/>
  <c r="V253" i="46" a="1"/>
  <c r="V253" i="46" s="1"/>
  <c r="I253" i="46"/>
  <c r="V278" i="46" a="1"/>
  <c r="V278" i="46" s="1"/>
  <c r="I278" i="46"/>
  <c r="I291" i="7"/>
  <c r="V291" i="7" a="1"/>
  <c r="V291" i="7" s="1"/>
  <c r="I292" i="7"/>
  <c r="V292" i="7" a="1"/>
  <c r="V292" i="7" s="1"/>
  <c r="I282" i="46"/>
  <c r="V282" i="46" a="1"/>
  <c r="V282" i="46" s="1"/>
  <c r="V252" i="47" a="1"/>
  <c r="V252" i="47" s="1"/>
  <c r="I252" i="47"/>
  <c r="I258" i="47"/>
  <c r="V258" i="47" a="1"/>
  <c r="V258" i="47" s="1"/>
  <c r="I299" i="47"/>
  <c r="V299" i="47" a="1"/>
  <c r="V299" i="47" s="1"/>
  <c r="I251" i="46"/>
  <c r="V251" i="46" a="1"/>
  <c r="V251" i="46" s="1"/>
  <c r="V279" i="46" a="1"/>
  <c r="V279" i="46" s="1"/>
  <c r="I279" i="46"/>
  <c r="V285" i="47" a="1"/>
  <c r="V285" i="47" s="1"/>
  <c r="I285" i="47"/>
  <c r="V253" i="7" a="1"/>
  <c r="V253" i="7" s="1"/>
  <c r="I253" i="7"/>
  <c r="I294" i="7"/>
  <c r="V294" i="7" a="1"/>
  <c r="V294" i="7" s="1"/>
  <c r="I270" i="7"/>
  <c r="V270" i="7" a="1"/>
  <c r="V270" i="7" s="1"/>
  <c r="V278" i="47" a="1"/>
  <c r="V278" i="47" s="1"/>
  <c r="I278" i="47"/>
  <c r="I298" i="47"/>
  <c r="V298" i="47" a="1"/>
  <c r="V298" i="47" s="1"/>
  <c r="K149" i="47"/>
  <c r="L149" i="47" s="1"/>
  <c r="J3" i="47"/>
  <c r="D59" i="10" s="1"/>
  <c r="W2" i="55"/>
  <c r="W179" i="7" a="1"/>
  <c r="W179" i="7" s="1"/>
  <c r="AZ179" i="7" s="1"/>
  <c r="I179" i="7"/>
  <c r="V144" i="7" a="1"/>
  <c r="V144" i="7" s="1"/>
  <c r="W144" i="7" s="1" a="1"/>
  <c r="W144" i="7" s="1"/>
  <c r="AZ144" i="7" s="1"/>
  <c r="I144" i="7"/>
  <c r="I230" i="7"/>
  <c r="V230" i="7" a="1"/>
  <c r="V230" i="7" s="1"/>
  <c r="W230" i="7" s="1" a="1"/>
  <c r="W230" i="7" s="1"/>
  <c r="V228" i="7" a="1"/>
  <c r="V228" i="7" s="1"/>
  <c r="W228" i="7" s="1" a="1"/>
  <c r="W228" i="7" s="1"/>
  <c r="I228" i="7"/>
  <c r="V135" i="7" a="1"/>
  <c r="V135" i="7" s="1"/>
  <c r="W135" i="7" s="1" a="1"/>
  <c r="W135" i="7" s="1"/>
  <c r="AZ135" i="7" s="1"/>
  <c r="I135" i="7"/>
  <c r="V154" i="7" a="1"/>
  <c r="V154" i="7" s="1"/>
  <c r="V26" i="7" a="1"/>
  <c r="V26" i="7" s="1"/>
  <c r="W26" i="7" s="1" a="1"/>
  <c r="W26" i="7" s="1"/>
  <c r="I26" i="7"/>
  <c r="I208" i="7"/>
  <c r="V208" i="7" a="1"/>
  <c r="V208" i="7" s="1"/>
  <c r="W208" i="7" s="1" a="1"/>
  <c r="W208" i="7" s="1"/>
  <c r="AZ208" i="7" s="1"/>
  <c r="I115" i="7"/>
  <c r="V115" i="7" a="1"/>
  <c r="V115" i="7" s="1"/>
  <c r="W115" i="7" s="1" a="1"/>
  <c r="W115" i="7" s="1"/>
  <c r="AZ115" i="7" s="1"/>
  <c r="V64" i="7" a="1"/>
  <c r="V64" i="7" s="1"/>
  <c r="W64" i="7" s="1" a="1"/>
  <c r="W64" i="7" s="1"/>
  <c r="AZ64" i="7" s="1"/>
  <c r="V73" i="7" a="1"/>
  <c r="V73" i="7" s="1"/>
  <c r="I73" i="7"/>
  <c r="I188" i="7"/>
  <c r="V95" i="7" a="1"/>
  <c r="V95" i="7" s="1"/>
  <c r="W95" i="7" s="1" a="1"/>
  <c r="W95" i="7" s="1"/>
  <c r="AZ95" i="7" s="1"/>
  <c r="I95" i="7"/>
  <c r="V81" i="7" a="1"/>
  <c r="V81" i="7" s="1"/>
  <c r="W81" i="7" s="1" a="1"/>
  <c r="W81" i="7" s="1"/>
  <c r="AZ81" i="7" s="1"/>
  <c r="I81" i="7"/>
  <c r="I232" i="7"/>
  <c r="V232" i="7" a="1"/>
  <c r="V232" i="7" s="1"/>
  <c r="W232" i="7" s="1" a="1"/>
  <c r="W232" i="7" s="1"/>
  <c r="AZ232" i="7" s="1"/>
  <c r="I139" i="7"/>
  <c r="V139" i="7" a="1"/>
  <c r="V139" i="7" s="1"/>
  <c r="W139" i="7" s="1" a="1"/>
  <c r="W139" i="7" s="1"/>
  <c r="AZ139" i="7" s="1"/>
  <c r="I175" i="7"/>
  <c r="V175" i="7" a="1"/>
  <c r="V175" i="7" s="1"/>
  <c r="W175" i="7" s="1" a="1"/>
  <c r="W175" i="7" s="1"/>
  <c r="AZ175" i="7" s="1"/>
  <c r="V38" i="7" a="1"/>
  <c r="V38" i="7" s="1"/>
  <c r="W38" i="7" s="1" a="1"/>
  <c r="W38" i="7" s="1"/>
  <c r="AZ38" i="7" s="1"/>
  <c r="I38" i="7"/>
  <c r="I145" i="7"/>
  <c r="V145" i="7" a="1"/>
  <c r="V145" i="7" s="1"/>
  <c r="I84" i="7"/>
  <c r="V84" i="7" a="1"/>
  <c r="V84" i="7" s="1"/>
  <c r="W84" i="7" s="1" a="1"/>
  <c r="W84" i="7" s="1"/>
  <c r="AZ84" i="7" s="1"/>
  <c r="V30" i="7" a="1"/>
  <c r="V30" i="7" s="1"/>
  <c r="W30" i="7" s="1" a="1"/>
  <c r="W30" i="7" s="1"/>
  <c r="AZ30" i="7" s="1"/>
  <c r="I30" i="7"/>
  <c r="V167" i="7" a="1"/>
  <c r="V167" i="7" s="1"/>
  <c r="V174" i="7" a="1"/>
  <c r="V174" i="7" s="1"/>
  <c r="W174" i="7" s="1" a="1"/>
  <c r="W174" i="7" s="1"/>
  <c r="I174" i="7"/>
  <c r="I185" i="7"/>
  <c r="V185" i="7" a="1"/>
  <c r="V185" i="7" s="1"/>
  <c r="I92" i="7"/>
  <c r="V92" i="7" a="1"/>
  <c r="V92" i="7" s="1"/>
  <c r="W92" i="7" s="1" a="1"/>
  <c r="W92" i="7" s="1"/>
  <c r="AZ92" i="7" s="1"/>
  <c r="V46" i="7" a="1"/>
  <c r="V46" i="7" s="1"/>
  <c r="W46" i="7" s="1" a="1"/>
  <c r="W46" i="7" s="1"/>
  <c r="AZ46" i="7" s="1"/>
  <c r="I46" i="7"/>
  <c r="I123" i="7"/>
  <c r="V123" i="7" a="1"/>
  <c r="V123" i="7" s="1"/>
  <c r="W123" i="7" s="1" a="1"/>
  <c r="W123" i="7" s="1"/>
  <c r="AZ123" i="7" s="1"/>
  <c r="I72" i="7"/>
  <c r="V72" i="7" a="1"/>
  <c r="V72" i="7" s="1"/>
  <c r="W72" i="7" s="1" a="1"/>
  <c r="W72" i="7" s="1"/>
  <c r="AZ72" i="7" s="1"/>
  <c r="V171" i="7" a="1"/>
  <c r="V171" i="7" s="1"/>
  <c r="W171" i="7" s="1" a="1"/>
  <c r="W171" i="7" s="1"/>
  <c r="AZ171" i="7" s="1"/>
  <c r="I171" i="7"/>
  <c r="V61" i="46" a="1"/>
  <c r="V61" i="46" s="1"/>
  <c r="W61" i="46" s="1" a="1"/>
  <c r="W61" i="46" s="1"/>
  <c r="I61" i="46"/>
  <c r="V105" i="46" a="1"/>
  <c r="V105" i="46" s="1"/>
  <c r="W105" i="46" s="1" a="1"/>
  <c r="W105" i="46" s="1"/>
  <c r="I105" i="46"/>
  <c r="V162" i="46" a="1"/>
  <c r="V162" i="46" s="1"/>
  <c r="I162" i="46"/>
  <c r="I17" i="46"/>
  <c r="V17" i="46" a="1"/>
  <c r="V17" i="46" s="1"/>
  <c r="I85" i="46"/>
  <c r="V85" i="46" a="1"/>
  <c r="V85" i="46" s="1"/>
  <c r="W85" i="46" s="1" a="1"/>
  <c r="W85" i="46" s="1"/>
  <c r="V104" i="46" a="1"/>
  <c r="V104" i="46" s="1"/>
  <c r="W104" i="46" s="1" a="1"/>
  <c r="W104" i="46" s="1"/>
  <c r="I104" i="46"/>
  <c r="V173" i="46" a="1"/>
  <c r="V173" i="46" s="1"/>
  <c r="W173" i="46" s="1" a="1"/>
  <c r="W173" i="46" s="1"/>
  <c r="I173" i="46"/>
  <c r="V176" i="46" a="1"/>
  <c r="V176" i="46" s="1"/>
  <c r="W176" i="46" s="1" a="1"/>
  <c r="W176" i="46" s="1"/>
  <c r="AZ176" i="46" s="1"/>
  <c r="I176" i="46"/>
  <c r="I23" i="46"/>
  <c r="V23" i="46" a="1"/>
  <c r="V23" i="46" s="1"/>
  <c r="W23" i="46" s="1" a="1"/>
  <c r="W23" i="46" s="1"/>
  <c r="V177" i="46" a="1"/>
  <c r="V177" i="46" s="1"/>
  <c r="S29" i="55" s="1"/>
  <c r="I177" i="46"/>
  <c r="V27" i="46" a="1"/>
  <c r="V27" i="46" s="1"/>
  <c r="V155" i="46" a="1"/>
  <c r="V155" i="46" s="1"/>
  <c r="W155" i="46" s="1" a="1"/>
  <c r="W155" i="46" s="1"/>
  <c r="AZ155" i="46" s="1"/>
  <c r="V28" i="46" a="1"/>
  <c r="V28" i="46" s="1"/>
  <c r="W28" i="46" s="1" a="1"/>
  <c r="W28" i="46" s="1"/>
  <c r="AZ28" i="46" s="1"/>
  <c r="V165" i="46" a="1"/>
  <c r="V165" i="46" s="1"/>
  <c r="W165" i="46" s="1" a="1"/>
  <c r="W165" i="46" s="1"/>
  <c r="I29" i="46"/>
  <c r="V29" i="46" a="1"/>
  <c r="V29" i="46" s="1"/>
  <c r="W29" i="46" s="1" a="1"/>
  <c r="W29" i="46" s="1"/>
  <c r="V33" i="46" a="1"/>
  <c r="V33" i="46" s="1"/>
  <c r="V137" i="46" a="1"/>
  <c r="V137" i="46" s="1"/>
  <c r="W137" i="46" s="1" a="1"/>
  <c r="W137" i="46" s="1"/>
  <c r="AZ137" i="46" s="1"/>
  <c r="I137" i="46"/>
  <c r="I243" i="46"/>
  <c r="V243" i="46" a="1"/>
  <c r="V243" i="46" s="1"/>
  <c r="W243" i="46" s="1" a="1"/>
  <c r="W243" i="46" s="1"/>
  <c r="AZ243" i="46" s="1"/>
  <c r="V110" i="46" a="1"/>
  <c r="V110" i="46" s="1"/>
  <c r="W110" i="46" s="1" a="1"/>
  <c r="W110" i="46" s="1"/>
  <c r="I110" i="46"/>
  <c r="I213" i="46"/>
  <c r="V213" i="46" a="1"/>
  <c r="V213" i="46" s="1"/>
  <c r="W213" i="46" s="1" a="1"/>
  <c r="W213" i="46" s="1"/>
  <c r="AZ213" i="46" s="1"/>
  <c r="V26" i="47" a="1"/>
  <c r="V26" i="47" s="1"/>
  <c r="W26" i="47" s="1" a="1"/>
  <c r="W26" i="47" s="1"/>
  <c r="I26" i="47"/>
  <c r="V127" i="46" a="1"/>
  <c r="V127" i="46" s="1"/>
  <c r="W127" i="46" s="1" a="1"/>
  <c r="W127" i="46" s="1"/>
  <c r="I127" i="46"/>
  <c r="I228" i="46"/>
  <c r="V228" i="46" a="1"/>
  <c r="V228" i="46" s="1"/>
  <c r="W228" i="46" s="1" a="1"/>
  <c r="W228" i="46" s="1"/>
  <c r="AZ228" i="46" s="1"/>
  <c r="V119" i="46" a="1"/>
  <c r="V119" i="46" s="1"/>
  <c r="W119" i="46" s="1" a="1"/>
  <c r="W119" i="46" s="1"/>
  <c r="I119" i="46"/>
  <c r="V200" i="46" a="1"/>
  <c r="V200" i="46" s="1"/>
  <c r="W200" i="46" s="1" a="1"/>
  <c r="W200" i="46" s="1"/>
  <c r="I200" i="46"/>
  <c r="I38" i="47"/>
  <c r="V38" i="47" a="1"/>
  <c r="V38" i="47" s="1"/>
  <c r="W38" i="47" s="1" a="1"/>
  <c r="W38" i="47" s="1"/>
  <c r="I184" i="46"/>
  <c r="V184" i="46" a="1"/>
  <c r="V184" i="46" s="1"/>
  <c r="W184" i="46" s="1" a="1"/>
  <c r="W184" i="46" s="1"/>
  <c r="AZ184" i="46" s="1"/>
  <c r="I227" i="46"/>
  <c r="V227" i="46" a="1"/>
  <c r="V227" i="46" s="1"/>
  <c r="W227" i="46" s="1" a="1"/>
  <c r="W227" i="46" s="1"/>
  <c r="AZ227" i="46" s="1"/>
  <c r="V159" i="47" a="1"/>
  <c r="V159" i="47" s="1"/>
  <c r="I159" i="47"/>
  <c r="I221" i="46"/>
  <c r="V221" i="46" a="1"/>
  <c r="V221" i="46" s="1"/>
  <c r="W221" i="46" s="1" a="1"/>
  <c r="W221" i="46" s="1"/>
  <c r="AZ221" i="46" s="1"/>
  <c r="I32" i="47"/>
  <c r="V32" i="47" a="1"/>
  <c r="V32" i="47" s="1"/>
  <c r="W32" i="47" s="1" a="1"/>
  <c r="W32" i="47" s="1"/>
  <c r="I198" i="46"/>
  <c r="V198" i="46" a="1"/>
  <c r="V198" i="46" s="1"/>
  <c r="W198" i="46" s="1" a="1"/>
  <c r="W198" i="46" s="1"/>
  <c r="AZ198" i="46" s="1"/>
  <c r="I244" i="46"/>
  <c r="V244" i="46" a="1"/>
  <c r="V244" i="46" s="1"/>
  <c r="W244" i="46" s="1" a="1"/>
  <c r="W244" i="46" s="1"/>
  <c r="AZ244" i="46" s="1"/>
  <c r="V42" i="47" a="1"/>
  <c r="V42" i="47" s="1"/>
  <c r="W42" i="47" s="1" a="1"/>
  <c r="W42" i="47" s="1"/>
  <c r="I42" i="47"/>
  <c r="V208" i="46" a="1"/>
  <c r="V208" i="46" s="1"/>
  <c r="W208" i="46" s="1" a="1"/>
  <c r="W208" i="46" s="1"/>
  <c r="I208" i="46"/>
  <c r="V49" i="47" a="1"/>
  <c r="V49" i="47" s="1"/>
  <c r="W49" i="47" s="1" a="1"/>
  <c r="W49" i="47" s="1"/>
  <c r="I49" i="47"/>
  <c r="I158" i="47"/>
  <c r="V158" i="47" a="1"/>
  <c r="V158" i="47" s="1"/>
  <c r="I148" i="47"/>
  <c r="V148" i="47" a="1"/>
  <c r="V148" i="47" s="1"/>
  <c r="W148" i="47" s="1" a="1"/>
  <c r="W148" i="47" s="1"/>
  <c r="V163" i="47" a="1"/>
  <c r="V163" i="47" s="1"/>
  <c r="W163" i="47" s="1" a="1"/>
  <c r="W163" i="47" s="1"/>
  <c r="V70" i="47" a="1"/>
  <c r="V70" i="47" s="1"/>
  <c r="W70" i="47" s="1" a="1"/>
  <c r="W70" i="47" s="1"/>
  <c r="AZ70" i="47" s="1"/>
  <c r="I70" i="47"/>
  <c r="V104" i="47" a="1"/>
  <c r="V104" i="47" s="1"/>
  <c r="W104" i="47" s="1" a="1"/>
  <c r="W104" i="47" s="1"/>
  <c r="X104" i="47" s="1" a="1"/>
  <c r="X104" i="47" s="1"/>
  <c r="AD104" i="47" s="1"/>
  <c r="I104" i="47"/>
  <c r="I53" i="47"/>
  <c r="V53" i="47" a="1"/>
  <c r="V53" i="47" s="1"/>
  <c r="W53" i="47" s="1" a="1"/>
  <c r="W53" i="47" s="1"/>
  <c r="I88" i="47"/>
  <c r="V88" i="47" a="1"/>
  <c r="V88" i="47" s="1"/>
  <c r="W88" i="47" s="1" a="1"/>
  <c r="W88" i="47" s="1"/>
  <c r="V147" i="47" a="1"/>
  <c r="V147" i="47" s="1"/>
  <c r="W147" i="47" s="1" a="1"/>
  <c r="W147" i="47" s="1"/>
  <c r="I147" i="47"/>
  <c r="V87" i="47" a="1"/>
  <c r="V87" i="47" s="1"/>
  <c r="W87" i="47" s="1" a="1"/>
  <c r="W87" i="47" s="1"/>
  <c r="X87" i="47" s="1" a="1"/>
  <c r="X87" i="47" s="1"/>
  <c r="AD87" i="47" s="1"/>
  <c r="I87" i="47"/>
  <c r="V142" i="47" a="1"/>
  <c r="V142" i="47" s="1"/>
  <c r="W142" i="47" s="1" a="1"/>
  <c r="W142" i="47" s="1"/>
  <c r="AZ142" i="47" s="1"/>
  <c r="I142" i="47"/>
  <c r="V210" i="47" a="1"/>
  <c r="V210" i="47" s="1"/>
  <c r="W210" i="47" s="1" a="1"/>
  <c r="W210" i="47" s="1"/>
  <c r="I210" i="47"/>
  <c r="V156" i="47" a="1"/>
  <c r="V156" i="47" s="1"/>
  <c r="W156" i="47" s="1" a="1"/>
  <c r="W156" i="47" s="1"/>
  <c r="I156" i="47"/>
  <c r="V103" i="47" a="1"/>
  <c r="V103" i="47" s="1"/>
  <c r="W103" i="47" s="1" a="1"/>
  <c r="W103" i="47" s="1"/>
  <c r="X103" i="47" s="1" a="1"/>
  <c r="X103" i="47" s="1"/>
  <c r="AD103" i="47" s="1"/>
  <c r="I103" i="47"/>
  <c r="I179" i="47"/>
  <c r="V179" i="47" a="1"/>
  <c r="V179" i="47" s="1"/>
  <c r="W179" i="47" s="1" a="1"/>
  <c r="W179" i="47" s="1"/>
  <c r="I133" i="47"/>
  <c r="V133" i="47" a="1"/>
  <c r="V133" i="47" s="1"/>
  <c r="W133" i="47" s="1" a="1"/>
  <c r="W133" i="47" s="1"/>
  <c r="V200" i="47" a="1"/>
  <c r="V200" i="47" s="1"/>
  <c r="W200" i="47" s="1" a="1"/>
  <c r="W200" i="47" s="1"/>
  <c r="I200" i="47"/>
  <c r="V102" i="47" a="1"/>
  <c r="V102" i="47" s="1"/>
  <c r="W102" i="47" s="1" a="1"/>
  <c r="W102" i="47" s="1"/>
  <c r="AZ102" i="47" s="1"/>
  <c r="V239" i="47" a="1"/>
  <c r="V239" i="47" s="1"/>
  <c r="W239" i="47" s="1" a="1"/>
  <c r="W239" i="47" s="1"/>
  <c r="AZ239" i="47" s="1"/>
  <c r="I239" i="47"/>
  <c r="V212" i="47" a="1"/>
  <c r="V212" i="47" s="1"/>
  <c r="W212" i="47" s="1" a="1"/>
  <c r="W212" i="47" s="1"/>
  <c r="I212" i="47"/>
  <c r="I224" i="47"/>
  <c r="V224" i="47" a="1"/>
  <c r="V224" i="47" s="1"/>
  <c r="W224" i="47" s="1" a="1"/>
  <c r="W224" i="47" s="1"/>
  <c r="V225" i="47" a="1"/>
  <c r="V225" i="47" s="1"/>
  <c r="W225" i="47" s="1" a="1"/>
  <c r="W225" i="47" s="1"/>
  <c r="AZ225" i="47" s="1"/>
  <c r="I225" i="47"/>
  <c r="V249" i="47" a="1"/>
  <c r="V249" i="47" s="1"/>
  <c r="W249" i="47" s="1" a="1"/>
  <c r="W249" i="47" s="1"/>
  <c r="I249" i="47"/>
  <c r="I235" i="47"/>
  <c r="V235" i="47" a="1"/>
  <c r="V235" i="47" s="1"/>
  <c r="W235" i="47" s="1" a="1"/>
  <c r="W235" i="47" s="1"/>
  <c r="I274" i="7"/>
  <c r="V274" i="7" a="1"/>
  <c r="V274" i="7" s="1"/>
  <c r="V281" i="46" a="1"/>
  <c r="V281" i="46" s="1"/>
  <c r="I281" i="46"/>
  <c r="I256" i="47"/>
  <c r="V256" i="47" a="1"/>
  <c r="V256" i="47" s="1"/>
  <c r="I255" i="7"/>
  <c r="V255" i="7" a="1"/>
  <c r="V255" i="7" s="1"/>
  <c r="I263" i="46"/>
  <c r="V263" i="46" a="1"/>
  <c r="V263" i="46" s="1"/>
  <c r="V259" i="47" a="1"/>
  <c r="V259" i="47" s="1"/>
  <c r="I259" i="47"/>
  <c r="V269" i="46" a="1"/>
  <c r="V269" i="46" s="1"/>
  <c r="I269" i="46"/>
  <c r="V283" i="46" a="1"/>
  <c r="V283" i="46" s="1"/>
  <c r="I283" i="46"/>
  <c r="V275" i="47" a="1"/>
  <c r="V275" i="47" s="1"/>
  <c r="I275" i="47"/>
  <c r="V255" i="46" a="1"/>
  <c r="V255" i="46" s="1"/>
  <c r="I255" i="46"/>
  <c r="I271" i="46"/>
  <c r="V271" i="46" a="1"/>
  <c r="V271" i="46" s="1"/>
  <c r="V262" i="47" a="1"/>
  <c r="V262" i="47" s="1"/>
  <c r="I262" i="47"/>
  <c r="V259" i="7" a="1"/>
  <c r="V259" i="7" s="1"/>
  <c r="I259" i="7"/>
  <c r="V257" i="46" a="1"/>
  <c r="V257" i="46" s="1"/>
  <c r="I257" i="46"/>
  <c r="V292" i="46" a="1"/>
  <c r="V292" i="46" s="1"/>
  <c r="I292" i="46"/>
  <c r="V268" i="7" a="1"/>
  <c r="V268" i="7" s="1"/>
  <c r="I268" i="7"/>
  <c r="I296" i="7"/>
  <c r="V296" i="7" a="1"/>
  <c r="V296" i="7" s="1"/>
  <c r="I276" i="47"/>
  <c r="V276" i="47" a="1"/>
  <c r="V276" i="47" s="1"/>
  <c r="V260" i="7" a="1"/>
  <c r="V260" i="7" s="1"/>
  <c r="I260" i="7"/>
  <c r="V271" i="7" a="1"/>
  <c r="V271" i="7" s="1"/>
  <c r="I271" i="7"/>
  <c r="I282" i="47"/>
  <c r="V282" i="47" a="1"/>
  <c r="V282" i="47" s="1"/>
  <c r="I289" i="7"/>
  <c r="V289" i="7" a="1"/>
  <c r="V289" i="7" s="1"/>
  <c r="V287" i="7" a="1"/>
  <c r="V287" i="7" s="1"/>
  <c r="I287" i="7"/>
  <c r="I149" i="46"/>
  <c r="V149" i="46" a="1"/>
  <c r="V149" i="46" s="1"/>
  <c r="I217" i="7"/>
  <c r="V217" i="7" a="1"/>
  <c r="V217" i="7" s="1"/>
  <c r="W217" i="7" s="1" a="1"/>
  <c r="W217" i="7" s="1"/>
  <c r="I222" i="7"/>
  <c r="V222" i="7" a="1"/>
  <c r="V222" i="7" s="1"/>
  <c r="W222" i="7" s="1" a="1"/>
  <c r="W222" i="7" s="1"/>
  <c r="AZ222" i="7" s="1"/>
  <c r="I129" i="7"/>
  <c r="V129" i="7" a="1"/>
  <c r="V129" i="7" s="1"/>
  <c r="W129" i="7" s="1" a="1"/>
  <c r="W129" i="7" s="1"/>
  <c r="AZ129" i="7" s="1"/>
  <c r="V161" i="7" a="1"/>
  <c r="V161" i="7" s="1"/>
  <c r="W161" i="7" s="1" a="1"/>
  <c r="W161" i="7" s="1"/>
  <c r="AZ161" i="7" s="1"/>
  <c r="V20" i="7" a="1"/>
  <c r="V20" i="7" s="1"/>
  <c r="W20" i="7" s="1" a="1"/>
  <c r="W20" i="7" s="1"/>
  <c r="I20" i="7"/>
  <c r="V202" i="7" a="1"/>
  <c r="V202" i="7" s="1"/>
  <c r="W202" i="7" s="1" a="1"/>
  <c r="W202" i="7" s="1"/>
  <c r="AZ202" i="7" s="1"/>
  <c r="I202" i="7"/>
  <c r="V109" i="7" a="1"/>
  <c r="V109" i="7" s="1"/>
  <c r="W109" i="7" s="1" a="1"/>
  <c r="W109" i="7" s="1"/>
  <c r="I109" i="7"/>
  <c r="V59" i="7" a="1"/>
  <c r="V59" i="7" s="1"/>
  <c r="W59" i="7" s="1" a="1"/>
  <c r="W59" i="7" s="1"/>
  <c r="I59" i="7"/>
  <c r="I246" i="7"/>
  <c r="V246" i="7" a="1"/>
  <c r="V246" i="7" s="1"/>
  <c r="W246" i="7" s="1" a="1"/>
  <c r="W246" i="7" s="1"/>
  <c r="AZ246" i="7" s="1"/>
  <c r="I182" i="7"/>
  <c r="V182" i="7" a="1"/>
  <c r="V182" i="7" s="1"/>
  <c r="I89" i="7"/>
  <c r="V89" i="7" a="1"/>
  <c r="V89" i="7" s="1"/>
  <c r="V43" i="7" a="1"/>
  <c r="V43" i="7" s="1"/>
  <c r="W43" i="7" s="1" a="1"/>
  <c r="W43" i="7" s="1"/>
  <c r="AZ43" i="7" s="1"/>
  <c r="I43" i="7"/>
  <c r="V226" i="7" a="1"/>
  <c r="V226" i="7" s="1"/>
  <c r="W226" i="7" s="1" a="1"/>
  <c r="W226" i="7" s="1"/>
  <c r="AZ226" i="7" s="1"/>
  <c r="I226" i="7"/>
  <c r="V133" i="7" a="1"/>
  <c r="V133" i="7" s="1"/>
  <c r="W133" i="7" s="1" a="1"/>
  <c r="W133" i="7" s="1"/>
  <c r="I133" i="7"/>
  <c r="V165" i="7" a="1"/>
  <c r="V165" i="7" s="1"/>
  <c r="W165" i="7" s="1" a="1"/>
  <c r="W165" i="7" s="1"/>
  <c r="I165" i="7" s="1"/>
  <c r="V24" i="7" a="1"/>
  <c r="V24" i="7" s="1"/>
  <c r="I138" i="7"/>
  <c r="V138" i="7" a="1"/>
  <c r="V138" i="7" s="1"/>
  <c r="W138" i="7" s="1" a="1"/>
  <c r="W138" i="7" s="1"/>
  <c r="AZ138" i="7" s="1"/>
  <c r="V157" i="7" a="1"/>
  <c r="V157" i="7" s="1"/>
  <c r="W157" i="7" s="1" a="1"/>
  <c r="W157" i="7" s="1"/>
  <c r="AZ157" i="7" s="1"/>
  <c r="V37" i="7" a="1"/>
  <c r="V37" i="7" s="1"/>
  <c r="W37" i="7" s="1" a="1"/>
  <c r="W37" i="7" s="1"/>
  <c r="AZ37" i="7" s="1"/>
  <c r="I37" i="7"/>
  <c r="V83" i="7" a="1"/>
  <c r="V83" i="7" s="1"/>
  <c r="I83" i="7"/>
  <c r="V29" i="7" a="1"/>
  <c r="V29" i="7" s="1"/>
  <c r="W29" i="7" s="1" a="1"/>
  <c r="W29" i="7" s="1"/>
  <c r="AZ29" i="7" s="1"/>
  <c r="I29" i="7"/>
  <c r="V143" i="7" a="1"/>
  <c r="V143" i="7" s="1"/>
  <c r="W143" i="7" s="1" a="1"/>
  <c r="W143" i="7" s="1"/>
  <c r="I143" i="7"/>
  <c r="V22" i="7" a="1"/>
  <c r="V22" i="7" s="1"/>
  <c r="V28" i="7" a="1"/>
  <c r="V28" i="7" s="1"/>
  <c r="W28" i="7" s="1" a="1"/>
  <c r="W28" i="7" s="1"/>
  <c r="AZ28" i="7" s="1"/>
  <c r="V117" i="7" a="1"/>
  <c r="V117" i="7" s="1"/>
  <c r="W117" i="7" s="1" a="1"/>
  <c r="W117" i="7" s="1"/>
  <c r="I117" i="7"/>
  <c r="V66" i="7" a="1"/>
  <c r="V66" i="7" s="1"/>
  <c r="W66" i="7" s="1" a="1"/>
  <c r="W66" i="7" s="1"/>
  <c r="AZ66" i="7" s="1"/>
  <c r="V75" i="7" a="1"/>
  <c r="V75" i="7" s="1"/>
  <c r="W75" i="7" s="1" a="1"/>
  <c r="W75" i="7" s="1"/>
  <c r="I75" i="7"/>
  <c r="V32" i="46" a="1"/>
  <c r="V32" i="46" s="1"/>
  <c r="W32" i="46" s="1" a="1"/>
  <c r="W32" i="46" s="1"/>
  <c r="I32" i="46"/>
  <c r="V106" i="46" a="1"/>
  <c r="V106" i="46" s="1"/>
  <c r="W106" i="46" s="1" a="1"/>
  <c r="W106" i="46" s="1"/>
  <c r="I106" i="46"/>
  <c r="V154" i="46" a="1"/>
  <c r="V154" i="46" s="1"/>
  <c r="V18" i="46" a="1"/>
  <c r="V18" i="46" s="1"/>
  <c r="W18" i="46" s="1" a="1"/>
  <c r="W18" i="46" s="1"/>
  <c r="I18" i="46"/>
  <c r="V88" i="46" a="1"/>
  <c r="V88" i="46" s="1"/>
  <c r="W88" i="46" s="1" a="1"/>
  <c r="W88" i="46" s="1"/>
  <c r="I88" i="46"/>
  <c r="I114" i="46"/>
  <c r="V114" i="46" a="1"/>
  <c r="V114" i="46" s="1"/>
  <c r="W114" i="46" s="1" a="1"/>
  <c r="W114" i="46" s="1"/>
  <c r="I44" i="46"/>
  <c r="V44" i="46" a="1"/>
  <c r="V44" i="46" s="1"/>
  <c r="W44" i="46" s="1" a="1"/>
  <c r="W44" i="46" s="1"/>
  <c r="I158" i="46"/>
  <c r="V158" i="46" a="1"/>
  <c r="V158" i="46" s="1"/>
  <c r="I39" i="46"/>
  <c r="V39" i="46" a="1"/>
  <c r="V39" i="46" s="1"/>
  <c r="W39" i="46" s="1" a="1"/>
  <c r="W39" i="46" s="1"/>
  <c r="AZ39" i="46" s="1"/>
  <c r="I84" i="46"/>
  <c r="V84" i="46" a="1"/>
  <c r="V84" i="46" s="1"/>
  <c r="W84" i="46" s="1" a="1"/>
  <c r="W84" i="46" s="1"/>
  <c r="V160" i="46" a="1"/>
  <c r="V160" i="46" s="1"/>
  <c r="W160" i="46" s="1" a="1"/>
  <c r="W160" i="46" s="1"/>
  <c r="I160" i="46"/>
  <c r="I108" i="46"/>
  <c r="V108" i="46" a="1"/>
  <c r="V108" i="46" s="1"/>
  <c r="W108" i="46" s="1" a="1"/>
  <c r="W108" i="46" s="1"/>
  <c r="I30" i="46"/>
  <c r="V30" i="46" a="1"/>
  <c r="V30" i="46" s="1"/>
  <c r="W30" i="46" s="1" a="1"/>
  <c r="W30" i="46" s="1"/>
  <c r="AZ30" i="46" s="1"/>
  <c r="I83" i="46"/>
  <c r="V83" i="46" a="1"/>
  <c r="V83" i="46" s="1"/>
  <c r="I45" i="46"/>
  <c r="V45" i="46" a="1"/>
  <c r="V45" i="46" s="1"/>
  <c r="W45" i="46" s="1" a="1"/>
  <c r="W45" i="46" s="1"/>
  <c r="AZ45" i="46" s="1"/>
  <c r="V151" i="46" a="1"/>
  <c r="V151" i="46" s="1"/>
  <c r="I140" i="46"/>
  <c r="V140" i="46" a="1"/>
  <c r="V140" i="46" s="1"/>
  <c r="W140" i="46" s="1" a="1"/>
  <c r="W140" i="46" s="1"/>
  <c r="AZ140" i="46" s="1"/>
  <c r="I247" i="46"/>
  <c r="V247" i="46" a="1"/>
  <c r="V247" i="46" s="1"/>
  <c r="W247" i="46" s="1" a="1"/>
  <c r="W247" i="46" s="1"/>
  <c r="V131" i="46" a="1"/>
  <c r="V131" i="46" s="1"/>
  <c r="W131" i="46" s="1" a="1"/>
  <c r="W131" i="46" s="1"/>
  <c r="I131" i="46"/>
  <c r="V218" i="46" a="1"/>
  <c r="V218" i="46" s="1"/>
  <c r="W218" i="46" s="1" a="1"/>
  <c r="W218" i="46" s="1"/>
  <c r="AZ218" i="46" s="1"/>
  <c r="I218" i="46"/>
  <c r="I39" i="47"/>
  <c r="V39" i="47" a="1"/>
  <c r="V39" i="47" s="1"/>
  <c r="W39" i="47" s="1" a="1"/>
  <c r="W39" i="47" s="1"/>
  <c r="AZ39" i="47" s="1"/>
  <c r="V142" i="46" a="1"/>
  <c r="V142" i="46" s="1"/>
  <c r="W142" i="46" s="1" a="1"/>
  <c r="W142" i="46" s="1"/>
  <c r="I142" i="46"/>
  <c r="V232" i="46" a="1"/>
  <c r="V232" i="46" s="1"/>
  <c r="W232" i="46" s="1" a="1"/>
  <c r="W232" i="46" s="1"/>
  <c r="I232" i="46"/>
  <c r="I125" i="46"/>
  <c r="V125" i="46" a="1"/>
  <c r="V125" i="46" s="1"/>
  <c r="W125" i="46" s="1" a="1"/>
  <c r="W125" i="46" s="1"/>
  <c r="I201" i="46"/>
  <c r="V201" i="46" a="1"/>
  <c r="V201" i="46" s="1"/>
  <c r="W201" i="46" s="1" a="1"/>
  <c r="W201" i="46" s="1"/>
  <c r="V160" i="47" a="1"/>
  <c r="V160" i="47" s="1"/>
  <c r="W160" i="47" s="1" a="1"/>
  <c r="W160" i="47" s="1"/>
  <c r="I160" i="47"/>
  <c r="V186" i="46" a="1"/>
  <c r="V186" i="46" s="1"/>
  <c r="I186" i="46"/>
  <c r="I231" i="46"/>
  <c r="V231" i="46" a="1"/>
  <c r="V231" i="46" s="1"/>
  <c r="W231" i="46" s="1" a="1"/>
  <c r="W231" i="46" s="1"/>
  <c r="AZ231" i="46" s="1"/>
  <c r="I81" i="47"/>
  <c r="V81" i="47" a="1"/>
  <c r="V81" i="47" s="1"/>
  <c r="W81" i="47" s="1" a="1"/>
  <c r="W81" i="47" s="1"/>
  <c r="AZ81" i="47" s="1"/>
  <c r="V226" i="46" a="1"/>
  <c r="V226" i="46" s="1"/>
  <c r="W226" i="46" s="1" a="1"/>
  <c r="W226" i="46" s="1"/>
  <c r="AZ226" i="46" s="1"/>
  <c r="I226" i="46"/>
  <c r="V133" i="46" a="1"/>
  <c r="V133" i="46" s="1"/>
  <c r="W133" i="46" s="1" a="1"/>
  <c r="W133" i="46" s="1"/>
  <c r="I133" i="46"/>
  <c r="V204" i="46" a="1"/>
  <c r="V204" i="46" s="1"/>
  <c r="W204" i="46" s="1" a="1"/>
  <c r="W204" i="46" s="1"/>
  <c r="AZ204" i="46" s="1"/>
  <c r="I204" i="46"/>
  <c r="I248" i="46"/>
  <c r="V248" i="46" a="1"/>
  <c r="V248" i="46" s="1"/>
  <c r="W248" i="46" s="1" a="1"/>
  <c r="W248" i="46" s="1"/>
  <c r="AZ248" i="46" s="1"/>
  <c r="V63" i="47" a="1"/>
  <c r="V63" i="47" s="1"/>
  <c r="W63" i="47" s="1" a="1"/>
  <c r="W63" i="47" s="1"/>
  <c r="I225" i="46"/>
  <c r="V225" i="46" a="1"/>
  <c r="V225" i="46" s="1"/>
  <c r="W225" i="46" s="1" a="1"/>
  <c r="W225" i="46" s="1"/>
  <c r="AZ225" i="46" s="1"/>
  <c r="I68" i="47"/>
  <c r="V68" i="47" a="1"/>
  <c r="V68" i="47" s="1"/>
  <c r="W68" i="47" s="1" a="1"/>
  <c r="W68" i="47" s="1"/>
  <c r="I92" i="47"/>
  <c r="V92" i="47" a="1"/>
  <c r="V92" i="47" s="1"/>
  <c r="W92" i="47" s="1" a="1"/>
  <c r="W92" i="47" s="1"/>
  <c r="I193" i="47"/>
  <c r="V193" i="47" a="1"/>
  <c r="V193" i="47" s="1"/>
  <c r="W193" i="47" s="1" a="1"/>
  <c r="W193" i="47" s="1"/>
  <c r="I105" i="47"/>
  <c r="V105" i="47" a="1"/>
  <c r="V105" i="47" s="1"/>
  <c r="W105" i="47" s="1" a="1"/>
  <c r="W105" i="47" s="1"/>
  <c r="I34" i="47"/>
  <c r="V34" i="47" a="1"/>
  <c r="V34" i="47" s="1"/>
  <c r="W34" i="47" s="1" a="1"/>
  <c r="W34" i="47" s="1"/>
  <c r="V106" i="47" a="1"/>
  <c r="V106" i="47" s="1"/>
  <c r="W106" i="47" s="1" a="1"/>
  <c r="W106" i="47" s="1"/>
  <c r="I106" i="47"/>
  <c r="I57" i="47"/>
  <c r="V57" i="47" a="1"/>
  <c r="V57" i="47" s="1"/>
  <c r="W57" i="47" s="1" a="1"/>
  <c r="W57" i="47" s="1"/>
  <c r="I169" i="47"/>
  <c r="V169" i="47" a="1"/>
  <c r="V169" i="47" s="1"/>
  <c r="W169" i="47" s="1" a="1"/>
  <c r="W169" i="47" s="1"/>
  <c r="I186" i="47"/>
  <c r="V186" i="47" a="1"/>
  <c r="V186" i="47" s="1"/>
  <c r="W186" i="47" s="1" a="1"/>
  <c r="W186" i="47" s="1"/>
  <c r="V168" i="47" a="1"/>
  <c r="V168" i="47" s="1"/>
  <c r="W168" i="47" s="1" a="1"/>
  <c r="W168" i="47" s="1"/>
  <c r="V181" i="47" a="1"/>
  <c r="V181" i="47" s="1"/>
  <c r="W181" i="47" s="1" a="1"/>
  <c r="W181" i="47" s="1"/>
  <c r="AZ181" i="47" s="1"/>
  <c r="I181" i="47"/>
  <c r="V50" i="47" a="1"/>
  <c r="V50" i="47" s="1"/>
  <c r="W50" i="47" s="1" a="1"/>
  <c r="W50" i="47" s="1"/>
  <c r="I50" i="47"/>
  <c r="I175" i="47"/>
  <c r="V175" i="47" a="1"/>
  <c r="V175" i="47" s="1"/>
  <c r="W175" i="47" s="1" a="1"/>
  <c r="W175" i="47" s="1"/>
  <c r="V108" i="47" a="1"/>
  <c r="V108" i="47" s="1"/>
  <c r="W108" i="47" s="1" a="1"/>
  <c r="W108" i="47" s="1"/>
  <c r="X108" i="47" s="1" a="1"/>
  <c r="X108" i="47" s="1"/>
  <c r="AD108" i="47" s="1"/>
  <c r="I108" i="47"/>
  <c r="I184" i="47"/>
  <c r="V184" i="47" a="1"/>
  <c r="V184" i="47" s="1"/>
  <c r="W184" i="47" s="1" a="1"/>
  <c r="W184" i="47" s="1"/>
  <c r="V137" i="47" a="1"/>
  <c r="V137" i="47" s="1"/>
  <c r="W137" i="47" s="1" a="1"/>
  <c r="W137" i="47" s="1"/>
  <c r="I137" i="47"/>
  <c r="I205" i="47"/>
  <c r="V205" i="47" a="1"/>
  <c r="V205" i="47" s="1"/>
  <c r="W205" i="47" s="1" a="1"/>
  <c r="W205" i="47" s="1"/>
  <c r="I117" i="47"/>
  <c r="V117" i="47" a="1"/>
  <c r="V117" i="47" s="1"/>
  <c r="W117" i="47" s="1" a="1"/>
  <c r="W117" i="47" s="1"/>
  <c r="I245" i="47"/>
  <c r="V245" i="47" a="1"/>
  <c r="V245" i="47" s="1"/>
  <c r="W245" i="47" s="1" a="1"/>
  <c r="W245" i="47" s="1"/>
  <c r="AZ245" i="47" s="1"/>
  <c r="V216" i="47" a="1"/>
  <c r="V216" i="47" s="1"/>
  <c r="W216" i="47" s="1" a="1"/>
  <c r="W216" i="47" s="1"/>
  <c r="I216" i="47"/>
  <c r="V226" i="47" a="1"/>
  <c r="V226" i="47" s="1"/>
  <c r="W226" i="47" s="1" a="1"/>
  <c r="W226" i="47" s="1"/>
  <c r="AZ226" i="47" s="1"/>
  <c r="I226" i="47"/>
  <c r="I243" i="47"/>
  <c r="V243" i="47" a="1"/>
  <c r="V243" i="47" s="1"/>
  <c r="W243" i="47" s="1" a="1"/>
  <c r="W243" i="47" s="1"/>
  <c r="AZ243" i="47" s="1"/>
  <c r="V229" i="47" a="1"/>
  <c r="V229" i="47" s="1"/>
  <c r="W229" i="47" s="1" a="1"/>
  <c r="W229" i="47" s="1"/>
  <c r="AZ229" i="47" s="1"/>
  <c r="I229" i="47"/>
  <c r="V240" i="47" a="1"/>
  <c r="V240" i="47" s="1"/>
  <c r="W240" i="47" s="1" a="1"/>
  <c r="W240" i="47" s="1"/>
  <c r="I240" i="47"/>
  <c r="V266" i="46" a="1"/>
  <c r="V266" i="46" s="1"/>
  <c r="I266" i="46"/>
  <c r="V261" i="46" a="1"/>
  <c r="V261" i="46" s="1"/>
  <c r="I261" i="46"/>
  <c r="I259" i="46"/>
  <c r="V259" i="46" a="1"/>
  <c r="V259" i="46" s="1"/>
  <c r="V267" i="47" a="1"/>
  <c r="V267" i="47" s="1"/>
  <c r="I267" i="47"/>
  <c r="I285" i="46"/>
  <c r="V285" i="46" a="1"/>
  <c r="V285" i="46" s="1"/>
  <c r="V281" i="47" a="1"/>
  <c r="V281" i="47" s="1"/>
  <c r="I281" i="47"/>
  <c r="V254" i="46" a="1"/>
  <c r="V254" i="46" s="1"/>
  <c r="I254" i="46"/>
  <c r="V288" i="46" a="1"/>
  <c r="V288" i="46" s="1"/>
  <c r="I288" i="46"/>
  <c r="V263" i="47" a="1"/>
  <c r="V263" i="47" s="1"/>
  <c r="I263" i="47"/>
  <c r="V292" i="47" a="1"/>
  <c r="V292" i="47" s="1"/>
  <c r="I292" i="47"/>
  <c r="I272" i="47"/>
  <c r="V272" i="47" a="1"/>
  <c r="V272" i="47" s="1"/>
  <c r="V297" i="7" a="1"/>
  <c r="V297" i="7" s="1"/>
  <c r="I297" i="7"/>
  <c r="I271" i="47"/>
  <c r="V271" i="47" a="1"/>
  <c r="V271" i="47" s="1"/>
  <c r="V273" i="7" a="1"/>
  <c r="V273" i="7" s="1"/>
  <c r="I273" i="7"/>
  <c r="V293" i="47" a="1"/>
  <c r="V293" i="47" s="1"/>
  <c r="I293" i="47"/>
  <c r="V293" i="7" a="1"/>
  <c r="V293" i="7" s="1"/>
  <c r="I293" i="7"/>
  <c r="AZ233" i="7"/>
  <c r="AZ172" i="7"/>
  <c r="AZ76" i="7"/>
  <c r="AZ65" i="7"/>
  <c r="AZ207" i="7"/>
  <c r="AZ146" i="7"/>
  <c r="AZ32" i="7"/>
  <c r="AZ137" i="7"/>
  <c r="AZ67" i="46"/>
  <c r="AZ59" i="46"/>
  <c r="AZ45" i="47"/>
  <c r="AZ170" i="46"/>
  <c r="AZ51" i="47"/>
  <c r="AZ34" i="46"/>
  <c r="AZ134" i="47"/>
  <c r="AZ20" i="47"/>
  <c r="AZ144" i="47"/>
  <c r="AI144" i="47" s="1"/>
  <c r="AZ60" i="47"/>
  <c r="AZ97" i="47"/>
  <c r="AD97" i="47"/>
  <c r="AZ156" i="46"/>
  <c r="AZ103" i="46"/>
  <c r="AZ136" i="47"/>
  <c r="AZ56" i="46"/>
  <c r="AZ143" i="46"/>
  <c r="AZ166" i="46"/>
  <c r="AZ90" i="47"/>
  <c r="AZ241" i="46"/>
  <c r="AZ238" i="47"/>
  <c r="AZ190" i="46"/>
  <c r="AZ194" i="47"/>
  <c r="AZ183" i="47"/>
  <c r="AZ217" i="46"/>
  <c r="AZ185" i="47"/>
  <c r="AZ180" i="47"/>
  <c r="AZ207" i="47"/>
  <c r="AZ187" i="46"/>
  <c r="AZ233" i="46"/>
  <c r="AZ67" i="47"/>
  <c r="AZ233" i="47"/>
  <c r="AZ192" i="47"/>
  <c r="AZ60" i="7"/>
  <c r="AZ93" i="7"/>
  <c r="AZ125" i="7"/>
  <c r="AZ236" i="7"/>
  <c r="AZ211" i="7"/>
  <c r="AZ214" i="7"/>
  <c r="AZ104" i="7"/>
  <c r="AZ172" i="47"/>
  <c r="AZ21" i="46"/>
  <c r="AZ40" i="47"/>
  <c r="AZ92" i="46"/>
  <c r="AZ65" i="47"/>
  <c r="AZ165" i="46"/>
  <c r="AZ157" i="46"/>
  <c r="AZ101" i="47"/>
  <c r="AZ110" i="47"/>
  <c r="AZ118" i="46"/>
  <c r="AZ55" i="46"/>
  <c r="AZ75" i="47"/>
  <c r="AZ107" i="47"/>
  <c r="AZ49" i="46"/>
  <c r="AZ86" i="47"/>
  <c r="AZ210" i="46"/>
  <c r="AZ197" i="47"/>
  <c r="AZ78" i="46"/>
  <c r="AZ224" i="46"/>
  <c r="AZ213" i="47"/>
  <c r="AZ222" i="46"/>
  <c r="AZ127" i="47"/>
  <c r="AZ183" i="46"/>
  <c r="AZ222" i="47"/>
  <c r="AZ16" i="47"/>
  <c r="AZ181" i="46"/>
  <c r="AZ56" i="7"/>
  <c r="AZ102" i="7"/>
  <c r="AZ219" i="7"/>
  <c r="AZ197" i="7"/>
  <c r="AZ120" i="7"/>
  <c r="AZ52" i="7"/>
  <c r="AZ25" i="7"/>
  <c r="AZ189" i="7"/>
  <c r="AZ122" i="46"/>
  <c r="AZ82" i="46"/>
  <c r="AZ29" i="47"/>
  <c r="AZ152" i="47"/>
  <c r="AZ57" i="46"/>
  <c r="AZ28" i="47"/>
  <c r="AZ152" i="46"/>
  <c r="AZ131" i="47"/>
  <c r="AZ153" i="46"/>
  <c r="AZ123" i="46"/>
  <c r="AZ80" i="47"/>
  <c r="AZ68" i="46"/>
  <c r="AZ100" i="46"/>
  <c r="AZ64" i="47"/>
  <c r="AZ126" i="47"/>
  <c r="AZ98" i="46"/>
  <c r="AZ99" i="47"/>
  <c r="AZ49" i="47"/>
  <c r="AZ93" i="46"/>
  <c r="AZ143" i="47"/>
  <c r="AZ155" i="47"/>
  <c r="AZ55" i="47"/>
  <c r="AZ193" i="46"/>
  <c r="AZ230" i="46"/>
  <c r="AZ218" i="47"/>
  <c r="AZ247" i="46"/>
  <c r="AZ231" i="47"/>
  <c r="AZ188" i="47"/>
  <c r="AZ36" i="47"/>
  <c r="AZ216" i="46"/>
  <c r="AZ236" i="47"/>
  <c r="AZ112" i="7"/>
  <c r="AZ224" i="7"/>
  <c r="AZ51" i="7"/>
  <c r="AZ121" i="7"/>
  <c r="AZ169" i="7"/>
  <c r="AZ26" i="7"/>
  <c r="AZ115" i="47"/>
  <c r="AZ118" i="47"/>
  <c r="AZ100" i="47"/>
  <c r="AZ140" i="47"/>
  <c r="AZ164" i="46"/>
  <c r="AZ124" i="46"/>
  <c r="AZ56" i="47"/>
  <c r="AZ109" i="47"/>
  <c r="AD109" i="47"/>
  <c r="AZ25" i="46"/>
  <c r="AZ161" i="46"/>
  <c r="AZ171" i="46"/>
  <c r="AD171" i="46"/>
  <c r="AZ38" i="47"/>
  <c r="AZ130" i="47"/>
  <c r="AZ102" i="46"/>
  <c r="AZ52" i="47"/>
  <c r="AZ26" i="46"/>
  <c r="AZ117" i="46"/>
  <c r="AZ185" i="46"/>
  <c r="AZ230" i="47"/>
  <c r="AZ53" i="47"/>
  <c r="AZ250" i="47"/>
  <c r="AZ38" i="46"/>
  <c r="AZ250" i="46"/>
  <c r="AZ234" i="47"/>
  <c r="AZ179" i="46"/>
  <c r="AZ164" i="47"/>
  <c r="AZ229" i="46"/>
  <c r="AZ187" i="47"/>
  <c r="AZ219" i="46"/>
  <c r="AZ201" i="47"/>
  <c r="AZ61" i="47"/>
  <c r="AZ70" i="7"/>
  <c r="AZ110" i="7"/>
  <c r="AZ245" i="7"/>
  <c r="AZ68" i="7"/>
  <c r="AZ248" i="7"/>
  <c r="AZ113" i="47"/>
  <c r="AD113" i="47"/>
  <c r="AZ111" i="46"/>
  <c r="AZ69" i="47"/>
  <c r="AZ42" i="46"/>
  <c r="AZ58" i="47"/>
  <c r="AZ113" i="46"/>
  <c r="AZ116" i="46"/>
  <c r="AZ86" i="46"/>
  <c r="AZ139" i="46"/>
  <c r="AZ15" i="46"/>
  <c r="AZ37" i="47"/>
  <c r="AZ120" i="46"/>
  <c r="AD120" i="46"/>
  <c r="AZ132" i="46"/>
  <c r="AZ124" i="47"/>
  <c r="AZ90" i="46"/>
  <c r="AZ80" i="46"/>
  <c r="AZ51" i="46"/>
  <c r="AZ71" i="46"/>
  <c r="AZ19" i="46"/>
  <c r="AZ84" i="47"/>
  <c r="AZ18" i="47"/>
  <c r="AZ98" i="47"/>
  <c r="AZ249" i="47"/>
  <c r="AZ120" i="47"/>
  <c r="AZ223" i="47"/>
  <c r="AZ75" i="46"/>
  <c r="AZ239" i="46"/>
  <c r="AZ228" i="47"/>
  <c r="AZ205" i="46"/>
  <c r="AZ188" i="46"/>
  <c r="AZ216" i="7"/>
  <c r="AZ53" i="7"/>
  <c r="AZ215" i="7"/>
  <c r="AZ111" i="7"/>
  <c r="AZ244" i="7"/>
  <c r="AZ130" i="7"/>
  <c r="AZ94" i="7"/>
  <c r="AZ101" i="7"/>
  <c r="AZ249" i="7"/>
  <c r="AZ138" i="47"/>
  <c r="AZ138" i="46"/>
  <c r="AZ37" i="46"/>
  <c r="AZ121" i="46"/>
  <c r="AD121" i="46"/>
  <c r="AZ44" i="47"/>
  <c r="AZ61" i="46"/>
  <c r="AZ31" i="46"/>
  <c r="AZ170" i="47"/>
  <c r="AZ42" i="47"/>
  <c r="AZ66" i="47"/>
  <c r="AZ64" i="46"/>
  <c r="AZ139" i="47"/>
  <c r="AZ112" i="46"/>
  <c r="AZ96" i="46"/>
  <c r="AZ101" i="46"/>
  <c r="AZ53" i="46"/>
  <c r="AZ96" i="47"/>
  <c r="AZ70" i="46"/>
  <c r="AZ135" i="47"/>
  <c r="AZ95" i="47"/>
  <c r="AZ115" i="46"/>
  <c r="AZ175" i="46"/>
  <c r="AZ72" i="47"/>
  <c r="AD72" i="47"/>
  <c r="AZ129" i="47"/>
  <c r="AZ147" i="47"/>
  <c r="AI147" i="47" s="1"/>
  <c r="AZ244" i="47"/>
  <c r="AZ220" i="47"/>
  <c r="AZ189" i="46"/>
  <c r="AZ235" i="46"/>
  <c r="AZ76" i="46"/>
  <c r="AZ196" i="46"/>
  <c r="AZ146" i="47"/>
  <c r="AZ248" i="47"/>
  <c r="AZ199" i="46"/>
  <c r="AZ164" i="7"/>
  <c r="AZ150" i="7"/>
  <c r="AZ61" i="7"/>
  <c r="AZ221" i="7"/>
  <c r="AZ148" i="7"/>
  <c r="AZ91" i="7"/>
  <c r="AZ173" i="7"/>
  <c r="AZ195" i="7"/>
  <c r="AZ206" i="7"/>
  <c r="AZ90" i="7"/>
  <c r="AZ26" i="47"/>
  <c r="AZ125" i="47"/>
  <c r="AZ36" i="46"/>
  <c r="AZ119" i="47"/>
  <c r="AZ163" i="46"/>
  <c r="AZ161" i="47"/>
  <c r="AZ15" i="47"/>
  <c r="AZ23" i="47"/>
  <c r="AZ74" i="47"/>
  <c r="AZ94" i="47"/>
  <c r="AZ32" i="47"/>
  <c r="AZ65" i="46"/>
  <c r="AZ93" i="47"/>
  <c r="AZ121" i="47"/>
  <c r="AZ88" i="47"/>
  <c r="AZ76" i="47"/>
  <c r="AZ105" i="46"/>
  <c r="AZ136" i="46"/>
  <c r="AZ97" i="46"/>
  <c r="AZ168" i="46"/>
  <c r="AZ247" i="47"/>
  <c r="AZ196" i="47"/>
  <c r="AZ232" i="47"/>
  <c r="AZ114" i="47"/>
  <c r="AZ176" i="47"/>
  <c r="AZ180" i="46"/>
  <c r="AZ211" i="46"/>
  <c r="AZ209" i="46"/>
  <c r="AZ178" i="47"/>
  <c r="AZ224" i="47"/>
  <c r="AZ132" i="7"/>
  <c r="AZ114" i="7"/>
  <c r="AZ237" i="7"/>
  <c r="AZ174" i="7"/>
  <c r="AZ49" i="7"/>
  <c r="AZ230" i="7"/>
  <c r="AZ190" i="7"/>
  <c r="AZ127" i="7"/>
  <c r="AZ18" i="7"/>
  <c r="AZ59" i="47"/>
  <c r="AZ46" i="46"/>
  <c r="AZ63" i="46"/>
  <c r="AZ95" i="46"/>
  <c r="AZ173" i="47"/>
  <c r="AZ135" i="46"/>
  <c r="AZ112" i="47"/>
  <c r="AZ85" i="47"/>
  <c r="AZ144" i="46"/>
  <c r="AI144" i="46" s="1"/>
  <c r="AZ87" i="46"/>
  <c r="AZ141" i="46"/>
  <c r="AZ94" i="46"/>
  <c r="AZ123" i="47"/>
  <c r="AZ153" i="47"/>
  <c r="AZ31" i="47"/>
  <c r="AZ16" i="46"/>
  <c r="AZ157" i="47"/>
  <c r="AZ128" i="46"/>
  <c r="AZ29" i="46"/>
  <c r="AZ127" i="46"/>
  <c r="AZ104" i="46"/>
  <c r="AZ202" i="47"/>
  <c r="AZ246" i="46"/>
  <c r="AZ238" i="46"/>
  <c r="AZ235" i="47"/>
  <c r="AZ246" i="47"/>
  <c r="AZ182" i="47"/>
  <c r="AZ91" i="47"/>
  <c r="AZ197" i="46"/>
  <c r="AZ212" i="46"/>
  <c r="AZ237" i="46"/>
  <c r="AZ201" i="46"/>
  <c r="AZ200" i="47"/>
  <c r="AZ148" i="46"/>
  <c r="AI148" i="46" s="1"/>
  <c r="AZ203" i="46"/>
  <c r="AZ202" i="46"/>
  <c r="AZ200" i="46"/>
  <c r="AV171" i="46"/>
  <c r="AV81" i="46"/>
  <c r="AV45" i="46"/>
  <c r="AV74" i="46"/>
  <c r="AV154" i="46"/>
  <c r="AV20" i="46"/>
  <c r="AV27" i="46"/>
  <c r="AV82" i="46"/>
  <c r="AV61" i="46"/>
  <c r="AV32" i="46"/>
  <c r="AV166" i="46"/>
  <c r="AV118" i="46"/>
  <c r="AV137" i="46"/>
  <c r="AV169" i="46"/>
  <c r="AV104" i="46"/>
  <c r="AV120" i="46"/>
  <c r="AV87" i="46"/>
  <c r="AV99" i="46"/>
  <c r="AV115" i="46"/>
  <c r="AV130" i="46"/>
  <c r="AX107" i="46"/>
  <c r="AV80" i="47"/>
  <c r="AV36" i="47"/>
  <c r="AV57" i="47"/>
  <c r="AV62" i="47"/>
  <c r="AV169" i="47"/>
  <c r="AV50" i="47"/>
  <c r="AV78" i="47"/>
  <c r="AV110" i="47"/>
  <c r="AV140" i="47"/>
  <c r="AV121" i="47"/>
  <c r="AV137" i="47"/>
  <c r="AV132" i="47"/>
  <c r="AV134" i="47"/>
  <c r="AV30" i="46"/>
  <c r="AV75" i="46"/>
  <c r="AV41" i="46"/>
  <c r="AV38" i="46"/>
  <c r="AV159" i="46"/>
  <c r="AV176" i="46"/>
  <c r="AV101" i="46"/>
  <c r="AV117" i="46"/>
  <c r="AT138" i="46"/>
  <c r="AV85" i="46"/>
  <c r="AV97" i="46"/>
  <c r="AV113" i="46"/>
  <c r="AV128" i="46"/>
  <c r="AV134" i="46"/>
  <c r="AV157" i="46"/>
  <c r="AV92" i="46"/>
  <c r="AV108" i="46"/>
  <c r="AV124" i="46"/>
  <c r="AV14" i="47"/>
  <c r="AV37" i="47"/>
  <c r="AV26" i="47"/>
  <c r="AV60" i="47"/>
  <c r="AV171" i="47"/>
  <c r="AV45" i="47"/>
  <c r="AV58" i="47"/>
  <c r="AV38" i="47"/>
  <c r="AV67" i="47"/>
  <c r="AV109" i="47"/>
  <c r="AV97" i="47"/>
  <c r="AV105" i="47"/>
  <c r="AV118" i="47"/>
  <c r="AV89" i="47"/>
  <c r="AV95" i="47"/>
  <c r="AV108" i="47"/>
  <c r="AV37" i="46"/>
  <c r="AV31" i="46"/>
  <c r="AV172" i="46"/>
  <c r="AV77" i="46"/>
  <c r="AV18" i="46"/>
  <c r="AV42" i="46"/>
  <c r="AV39" i="46"/>
  <c r="AV160" i="46"/>
  <c r="AV79" i="46"/>
  <c r="AV56" i="46"/>
  <c r="AV71" i="46"/>
  <c r="AV52" i="46"/>
  <c r="AV67" i="46"/>
  <c r="AV155" i="46"/>
  <c r="AV177" i="46"/>
  <c r="AV126" i="46"/>
  <c r="AV139" i="46"/>
  <c r="AV90" i="46"/>
  <c r="AV106" i="46"/>
  <c r="AV122" i="46"/>
  <c r="AV156" i="46"/>
  <c r="AV143" i="46"/>
  <c r="AV174" i="47"/>
  <c r="AV16" i="47"/>
  <c r="AV49" i="47"/>
  <c r="AV70" i="47"/>
  <c r="AV154" i="47"/>
  <c r="AV175" i="47"/>
  <c r="AV66" i="47"/>
  <c r="AV35" i="47"/>
  <c r="AV173" i="47"/>
  <c r="AV51" i="47"/>
  <c r="AV164" i="47"/>
  <c r="AV22" i="47"/>
  <c r="AV96" i="47"/>
  <c r="AV167" i="47"/>
  <c r="AV106" i="47"/>
  <c r="AV133" i="47"/>
  <c r="AV139" i="47"/>
  <c r="AV15" i="46"/>
  <c r="AV19" i="46"/>
  <c r="AV150" i="46"/>
  <c r="AV28" i="46"/>
  <c r="AV40" i="46"/>
  <c r="AV173" i="46"/>
  <c r="AV50" i="46"/>
  <c r="AV64" i="46"/>
  <c r="AV65" i="46"/>
  <c r="AV66" i="46"/>
  <c r="AV55" i="46"/>
  <c r="AV70" i="46"/>
  <c r="AV125" i="46"/>
  <c r="AV95" i="46"/>
  <c r="AV111" i="46"/>
  <c r="AV135" i="46"/>
  <c r="AV152" i="46"/>
  <c r="AV22" i="46"/>
  <c r="AV41" i="47"/>
  <c r="AV159" i="47"/>
  <c r="AV65" i="47"/>
  <c r="AX36" i="47"/>
  <c r="AV28" i="47"/>
  <c r="AV162" i="47"/>
  <c r="AV52" i="47"/>
  <c r="AV79" i="47"/>
  <c r="AV19" i="47"/>
  <c r="AV30" i="47"/>
  <c r="AV177" i="47"/>
  <c r="AV55" i="47"/>
  <c r="AV165" i="47"/>
  <c r="AV103" i="47"/>
  <c r="AV83" i="47"/>
  <c r="AV116" i="47"/>
  <c r="AV130" i="47"/>
  <c r="AV94" i="47"/>
  <c r="AV123" i="47"/>
  <c r="AV124" i="47"/>
  <c r="AV125" i="47"/>
  <c r="AV14" i="46"/>
  <c r="AV170" i="46"/>
  <c r="AV78" i="46"/>
  <c r="AV73" i="46"/>
  <c r="AV25" i="46"/>
  <c r="AV33" i="46"/>
  <c r="AV35" i="46"/>
  <c r="AV174" i="46"/>
  <c r="AV167" i="46"/>
  <c r="AV51" i="46"/>
  <c r="AV53" i="46"/>
  <c r="AV68" i="46"/>
  <c r="AV69" i="46"/>
  <c r="AV46" i="46"/>
  <c r="AV175" i="46"/>
  <c r="AV161" i="46"/>
  <c r="AV84" i="46"/>
  <c r="AV96" i="46"/>
  <c r="AV112" i="46"/>
  <c r="AV127" i="46"/>
  <c r="AV91" i="46"/>
  <c r="AV107" i="46"/>
  <c r="AV123" i="46"/>
  <c r="AV131" i="46"/>
  <c r="AV18" i="47"/>
  <c r="AV23" i="47"/>
  <c r="AV160" i="47"/>
  <c r="AV21" i="47"/>
  <c r="AV29" i="47"/>
  <c r="AV47" i="47"/>
  <c r="AV68" i="47"/>
  <c r="AV163" i="47"/>
  <c r="AV69" i="47"/>
  <c r="AV85" i="47"/>
  <c r="AV56" i="47"/>
  <c r="AV72" i="47"/>
  <c r="AV88" i="47"/>
  <c r="AV135" i="47"/>
  <c r="AV141" i="47"/>
  <c r="AV87" i="47"/>
  <c r="AV113" i="47"/>
  <c r="AV128" i="47"/>
  <c r="AV143" i="47"/>
  <c r="AV44" i="46"/>
  <c r="AV21" i="46"/>
  <c r="AV23" i="46"/>
  <c r="AV43" i="46"/>
  <c r="AV24" i="46"/>
  <c r="AV26" i="46"/>
  <c r="AV16" i="46"/>
  <c r="AV94" i="46"/>
  <c r="AV93" i="46"/>
  <c r="AV109" i="46"/>
  <c r="AT85" i="46"/>
  <c r="AV89" i="46"/>
  <c r="AV105" i="46"/>
  <c r="AV121" i="46"/>
  <c r="AV141" i="46"/>
  <c r="AV100" i="46"/>
  <c r="AV116" i="46"/>
  <c r="AV172" i="47"/>
  <c r="AV150" i="47"/>
  <c r="AV77" i="47"/>
  <c r="AV75" i="47"/>
  <c r="AV81" i="47"/>
  <c r="AT153" i="47"/>
  <c r="AV27" i="47"/>
  <c r="AV129" i="47"/>
  <c r="AV120" i="47"/>
  <c r="AV136" i="47"/>
  <c r="AV98" i="47"/>
  <c r="AV117" i="47"/>
  <c r="AV93" i="47"/>
  <c r="AV111" i="47"/>
  <c r="AV127" i="47"/>
  <c r="AV86" i="47"/>
  <c r="AV101" i="47"/>
  <c r="AV90" i="47"/>
  <c r="AV114" i="47"/>
  <c r="AV36" i="46"/>
  <c r="AV29" i="46"/>
  <c r="AV49" i="46"/>
  <c r="AV63" i="46"/>
  <c r="AV102" i="46"/>
  <c r="AV60" i="46"/>
  <c r="AV164" i="46"/>
  <c r="AV34" i="46"/>
  <c r="AV153" i="46"/>
  <c r="AV132" i="46"/>
  <c r="AV86" i="46"/>
  <c r="AV98" i="46"/>
  <c r="AV114" i="46"/>
  <c r="AV129" i="46"/>
  <c r="AV165" i="46"/>
  <c r="AV88" i="46"/>
  <c r="AT101" i="46"/>
  <c r="AV73" i="47"/>
  <c r="AV176" i="47"/>
  <c r="AV64" i="47"/>
  <c r="AV151" i="47"/>
  <c r="AV61" i="47"/>
  <c r="AV115" i="47"/>
  <c r="AV92" i="47"/>
  <c r="AV104" i="47"/>
  <c r="AV166" i="47"/>
  <c r="AV100" i="47"/>
  <c r="AV142" i="47"/>
  <c r="AV102" i="47"/>
  <c r="AV54" i="46"/>
  <c r="AV163" i="46"/>
  <c r="AV57" i="46"/>
  <c r="AV72" i="46"/>
  <c r="AV110" i="46"/>
  <c r="AV58" i="46"/>
  <c r="AV59" i="46"/>
  <c r="AV162" i="46"/>
  <c r="AV151" i="46"/>
  <c r="AV48" i="46"/>
  <c r="AV62" i="46"/>
  <c r="AV168" i="46"/>
  <c r="AV103" i="46"/>
  <c r="AV119" i="46"/>
  <c r="AV138" i="46"/>
  <c r="AV133" i="46"/>
  <c r="AV158" i="46"/>
  <c r="AV140" i="46"/>
  <c r="AV142" i="46"/>
  <c r="AV136" i="46"/>
  <c r="AV39" i="47"/>
  <c r="AV15" i="47"/>
  <c r="AV170" i="47"/>
  <c r="AV46" i="47"/>
  <c r="AV24" i="47"/>
  <c r="AV43" i="47"/>
  <c r="AV33" i="47"/>
  <c r="AV34" i="47"/>
  <c r="AV155" i="47"/>
  <c r="AV42" i="47"/>
  <c r="AV53" i="47"/>
  <c r="AT166" i="47"/>
  <c r="AV82" i="47"/>
  <c r="AV32" i="47"/>
  <c r="AV153" i="47"/>
  <c r="AV91" i="47"/>
  <c r="AV126" i="47"/>
  <c r="AV157" i="47"/>
  <c r="AV168" i="47"/>
  <c r="AV158" i="47"/>
  <c r="AV119" i="47"/>
  <c r="AT149" i="47"/>
  <c r="D53" i="10"/>
  <c r="AT15" i="46"/>
  <c r="AX16" i="46"/>
  <c r="AT74" i="46"/>
  <c r="AT35" i="46"/>
  <c r="AT159" i="46"/>
  <c r="AX28" i="46"/>
  <c r="AX41" i="46"/>
  <c r="AX48" i="46"/>
  <c r="AX62" i="46"/>
  <c r="AX153" i="46"/>
  <c r="AT36" i="46"/>
  <c r="AT41" i="46"/>
  <c r="AT111" i="46"/>
  <c r="AX59" i="46"/>
  <c r="AX162" i="46"/>
  <c r="AT54" i="46"/>
  <c r="AT69" i="46"/>
  <c r="AT70" i="46"/>
  <c r="AT79" i="46"/>
  <c r="AT33" i="46"/>
  <c r="AX152" i="46"/>
  <c r="AT176" i="46"/>
  <c r="AT125" i="46"/>
  <c r="AX143" i="46"/>
  <c r="AT162" i="46"/>
  <c r="AT84" i="46"/>
  <c r="AT133" i="46"/>
  <c r="AT97" i="46"/>
  <c r="AT113" i="46"/>
  <c r="AT128" i="46"/>
  <c r="AX155" i="46"/>
  <c r="AX85" i="46"/>
  <c r="AX97" i="46"/>
  <c r="AX113" i="46"/>
  <c r="AX128" i="46"/>
  <c r="AT22" i="46"/>
  <c r="AT92" i="46"/>
  <c r="AT108" i="46"/>
  <c r="AT124" i="46"/>
  <c r="AX87" i="46"/>
  <c r="AX45" i="47"/>
  <c r="AX18" i="47"/>
  <c r="AT159" i="47"/>
  <c r="AT35" i="47"/>
  <c r="AT73" i="47"/>
  <c r="AX25" i="47"/>
  <c r="AT29" i="47"/>
  <c r="AX20" i="47"/>
  <c r="AT50" i="47"/>
  <c r="AX51" i="47"/>
  <c r="AT69" i="47"/>
  <c r="AX164" i="47"/>
  <c r="AX57" i="47"/>
  <c r="AV156" i="47"/>
  <c r="AV48" i="47"/>
  <c r="AT64" i="47"/>
  <c r="AX24" i="47"/>
  <c r="AX63" i="47"/>
  <c r="AX70" i="47"/>
  <c r="AX60" i="47"/>
  <c r="AX61" i="47"/>
  <c r="AT45" i="47"/>
  <c r="AT57" i="47"/>
  <c r="AT33" i="47"/>
  <c r="AX157" i="47"/>
  <c r="AT167" i="47"/>
  <c r="AX102" i="47"/>
  <c r="AX114" i="47"/>
  <c r="AX143" i="47"/>
  <c r="AX91" i="47"/>
  <c r="AT136" i="47"/>
  <c r="AX103" i="47"/>
  <c r="AT85" i="47"/>
  <c r="AT131" i="47"/>
  <c r="AX165" i="47"/>
  <c r="AX99" i="47"/>
  <c r="AV112" i="47"/>
  <c r="AT114" i="47"/>
  <c r="AT155" i="47"/>
  <c r="AX101" i="47"/>
  <c r="AT129" i="47"/>
  <c r="AD144" i="47"/>
  <c r="AD180" i="47"/>
  <c r="AX25" i="46"/>
  <c r="AT14" i="46"/>
  <c r="AT170" i="46"/>
  <c r="AX171" i="46"/>
  <c r="AT77" i="46"/>
  <c r="AX172" i="46"/>
  <c r="AT45" i="46"/>
  <c r="AX23" i="46"/>
  <c r="AT42" i="46"/>
  <c r="AT160" i="46"/>
  <c r="AX35" i="46"/>
  <c r="AX42" i="46"/>
  <c r="AT171" i="46"/>
  <c r="AX56" i="46"/>
  <c r="AX71" i="46"/>
  <c r="AX57" i="46"/>
  <c r="AX72" i="46"/>
  <c r="AX58" i="46"/>
  <c r="AD80" i="46"/>
  <c r="AT34" i="46"/>
  <c r="AX47" i="46"/>
  <c r="AX32" i="46"/>
  <c r="AX34" i="46"/>
  <c r="AX22" i="46"/>
  <c r="AT94" i="46"/>
  <c r="AT110" i="46"/>
  <c r="AX167" i="46"/>
  <c r="AX102" i="46"/>
  <c r="AX118" i="46"/>
  <c r="AX137" i="46"/>
  <c r="AT90" i="46"/>
  <c r="AT106" i="46"/>
  <c r="AT122" i="46"/>
  <c r="AX139" i="46"/>
  <c r="AT142" i="46"/>
  <c r="AD128" i="46"/>
  <c r="AX141" i="46"/>
  <c r="AT117" i="46"/>
  <c r="AX135" i="46"/>
  <c r="AX75" i="47"/>
  <c r="AX19" i="47"/>
  <c r="AX172" i="47"/>
  <c r="AT160" i="47"/>
  <c r="AT38" i="47"/>
  <c r="AT36" i="47"/>
  <c r="AX15" i="47"/>
  <c r="AT26" i="47"/>
  <c r="AV44" i="47"/>
  <c r="AX30" i="47"/>
  <c r="AX21" i="47"/>
  <c r="AT42" i="47"/>
  <c r="AX28" i="47"/>
  <c r="AX53" i="47"/>
  <c r="AT52" i="47"/>
  <c r="AX72" i="47"/>
  <c r="AT58" i="47"/>
  <c r="AX52" i="47"/>
  <c r="AV25" i="47"/>
  <c r="AX41" i="47"/>
  <c r="AV71" i="47"/>
  <c r="AX152" i="47"/>
  <c r="AX50" i="47"/>
  <c r="AT32" i="47"/>
  <c r="AT164" i="47"/>
  <c r="AT28" i="47"/>
  <c r="AX90" i="47"/>
  <c r="AT103" i="47"/>
  <c r="AX156" i="47"/>
  <c r="AX167" i="47"/>
  <c r="AX120" i="47"/>
  <c r="AT137" i="47"/>
  <c r="AT99" i="47"/>
  <c r="AT118" i="47"/>
  <c r="AT94" i="47"/>
  <c r="AT112" i="47"/>
  <c r="AD130" i="47"/>
  <c r="AT87" i="47"/>
  <c r="AT113" i="47"/>
  <c r="AX127" i="47"/>
  <c r="AX141" i="47"/>
  <c r="AX89" i="47"/>
  <c r="AT102" i="47"/>
  <c r="AT128" i="47"/>
  <c r="AX177" i="47"/>
  <c r="AT91" i="47"/>
  <c r="AT115" i="47"/>
  <c r="C53" i="10"/>
  <c r="AX37" i="46"/>
  <c r="AT55" i="46"/>
  <c r="AT16" i="46"/>
  <c r="AX44" i="46"/>
  <c r="AT43" i="46"/>
  <c r="AX19" i="46"/>
  <c r="AX15" i="46"/>
  <c r="AX18" i="46"/>
  <c r="AX43" i="46"/>
  <c r="AT38" i="46"/>
  <c r="AT173" i="46"/>
  <c r="AX73" i="46"/>
  <c r="AX36" i="46"/>
  <c r="AT30" i="46"/>
  <c r="AT50" i="46"/>
  <c r="AT64" i="46"/>
  <c r="AX40" i="46"/>
  <c r="AX79" i="46"/>
  <c r="AX81" i="46"/>
  <c r="AT61" i="46"/>
  <c r="AX60" i="46"/>
  <c r="AX61" i="46"/>
  <c r="AT161" i="46"/>
  <c r="AX161" i="46"/>
  <c r="AX165" i="46"/>
  <c r="AT83" i="46"/>
  <c r="AX131" i="46"/>
  <c r="AX117" i="46"/>
  <c r="AX154" i="46"/>
  <c r="AX168" i="46"/>
  <c r="AX103" i="46"/>
  <c r="AX119" i="46"/>
  <c r="AT87" i="46"/>
  <c r="AT99" i="46"/>
  <c r="AT115" i="46"/>
  <c r="AT130" i="46"/>
  <c r="AX86" i="46"/>
  <c r="AX98" i="46"/>
  <c r="AX114" i="46"/>
  <c r="AX129" i="46"/>
  <c r="AT166" i="46"/>
  <c r="AT27" i="47"/>
  <c r="AT61" i="47"/>
  <c r="AX173" i="47"/>
  <c r="AT150" i="47"/>
  <c r="AT37" i="47"/>
  <c r="AT44" i="47"/>
  <c r="AX35" i="47"/>
  <c r="AT74" i="47"/>
  <c r="AT43" i="47"/>
  <c r="AX73" i="47"/>
  <c r="AX29" i="47"/>
  <c r="AX56" i="47"/>
  <c r="AT156" i="47"/>
  <c r="AX84" i="47"/>
  <c r="AT53" i="47"/>
  <c r="AX69" i="47"/>
  <c r="AT65" i="47"/>
  <c r="AT152" i="47"/>
  <c r="AX151" i="47"/>
  <c r="AX49" i="47"/>
  <c r="AT51" i="47"/>
  <c r="AT165" i="47"/>
  <c r="AX77" i="47"/>
  <c r="AX168" i="47"/>
  <c r="AX119" i="47"/>
  <c r="AX134" i="47"/>
  <c r="AX22" i="47"/>
  <c r="AX109" i="47"/>
  <c r="AT105" i="47"/>
  <c r="AT121" i="47"/>
  <c r="AX140" i="47"/>
  <c r="AT169" i="47"/>
  <c r="AX136" i="47"/>
  <c r="AX98" i="47"/>
  <c r="AV131" i="47"/>
  <c r="AT154" i="47"/>
  <c r="AT101" i="47"/>
  <c r="AX131" i="47"/>
  <c r="AT142" i="47"/>
  <c r="AT90" i="47"/>
  <c r="AX106" i="47"/>
  <c r="AT143" i="47"/>
  <c r="AX133" i="47"/>
  <c r="AX29" i="46"/>
  <c r="AT150" i="46"/>
  <c r="AT23" i="46"/>
  <c r="AT48" i="46"/>
  <c r="AX20" i="46"/>
  <c r="AD16" i="46"/>
  <c r="AT39" i="46"/>
  <c r="AT174" i="46"/>
  <c r="AT37" i="46"/>
  <c r="AT31" i="46"/>
  <c r="AV80" i="46"/>
  <c r="AT58" i="46"/>
  <c r="AX33" i="46"/>
  <c r="AT59" i="46"/>
  <c r="AT152" i="46"/>
  <c r="AT60" i="46"/>
  <c r="AT155" i="46"/>
  <c r="AX175" i="46"/>
  <c r="AT49" i="46"/>
  <c r="AT63" i="46"/>
  <c r="AT163" i="46"/>
  <c r="AX100" i="46"/>
  <c r="AX116" i="46"/>
  <c r="AT132" i="46"/>
  <c r="AT169" i="46"/>
  <c r="AT104" i="46"/>
  <c r="AT120" i="46"/>
  <c r="C59" i="10"/>
  <c r="AX84" i="46"/>
  <c r="AX96" i="46"/>
  <c r="AX112" i="46"/>
  <c r="AX127" i="46"/>
  <c r="AT141" i="46"/>
  <c r="AX164" i="46"/>
  <c r="AT143" i="46"/>
  <c r="AX156" i="46"/>
  <c r="AX91" i="46"/>
  <c r="AX123" i="46"/>
  <c r="AT14" i="47"/>
  <c r="AX174" i="47"/>
  <c r="AV40" i="47"/>
  <c r="AT170" i="47"/>
  <c r="AX38" i="47"/>
  <c r="AT16" i="47"/>
  <c r="AX59" i="47"/>
  <c r="AV74" i="47"/>
  <c r="AT81" i="47"/>
  <c r="AT174" i="47"/>
  <c r="AD44" i="47"/>
  <c r="AT34" i="47"/>
  <c r="AT70" i="47"/>
  <c r="AX37" i="47"/>
  <c r="AT54" i="47"/>
  <c r="AV152" i="47"/>
  <c r="AX175" i="47"/>
  <c r="AX66" i="47"/>
  <c r="AX166" i="47"/>
  <c r="AT47" i="47"/>
  <c r="AT161" i="47"/>
  <c r="AT92" i="47"/>
  <c r="AX108" i="47"/>
  <c r="AT120" i="47"/>
  <c r="AT135" i="47"/>
  <c r="AT83" i="47"/>
  <c r="AX96" i="47"/>
  <c r="AT175" i="47"/>
  <c r="AX126" i="47"/>
  <c r="AX104" i="47"/>
  <c r="AV99" i="47"/>
  <c r="AX117" i="47"/>
  <c r="AT132" i="47"/>
  <c r="AX169" i="47"/>
  <c r="AX118" i="47"/>
  <c r="AT158" i="47"/>
  <c r="AV107" i="47"/>
  <c r="AT119" i="47"/>
  <c r="AX107" i="47"/>
  <c r="AT44" i="46"/>
  <c r="AT17" i="46"/>
  <c r="AT18" i="46"/>
  <c r="AX21" i="46"/>
  <c r="AX17" i="46"/>
  <c r="AT82" i="46"/>
  <c r="AX78" i="46"/>
  <c r="AT40" i="46"/>
  <c r="AT75" i="46"/>
  <c r="AX46" i="46"/>
  <c r="AX55" i="46"/>
  <c r="AX70" i="46"/>
  <c r="AT21" i="46"/>
  <c r="AT28" i="46"/>
  <c r="AX163" i="46"/>
  <c r="AT81" i="46"/>
  <c r="AT177" i="46"/>
  <c r="AX66" i="46"/>
  <c r="AX82" i="46"/>
  <c r="AT32" i="46"/>
  <c r="AX166" i="46"/>
  <c r="AT62" i="46"/>
  <c r="AX93" i="46"/>
  <c r="AT154" i="46"/>
  <c r="AX88" i="46"/>
  <c r="AT119" i="46"/>
  <c r="AX176" i="46"/>
  <c r="AD93" i="46"/>
  <c r="AX125" i="46"/>
  <c r="AT89" i="46"/>
  <c r="AT105" i="46"/>
  <c r="AT121" i="46"/>
  <c r="AX138" i="46"/>
  <c r="AX89" i="46"/>
  <c r="AX105" i="46"/>
  <c r="AX121" i="46"/>
  <c r="AT165" i="46"/>
  <c r="AT88" i="46"/>
  <c r="AT100" i="46"/>
  <c r="AT116" i="46"/>
  <c r="AT131" i="46"/>
  <c r="AX142" i="46"/>
  <c r="AX171" i="47"/>
  <c r="AT173" i="47"/>
  <c r="AX14" i="47"/>
  <c r="AX39" i="47"/>
  <c r="AX48" i="47"/>
  <c r="AT21" i="47"/>
  <c r="AX170" i="47"/>
  <c r="AX47" i="47"/>
  <c r="AT75" i="47"/>
  <c r="AT41" i="47"/>
  <c r="AX32" i="47"/>
  <c r="AX153" i="47"/>
  <c r="AT176" i="47"/>
  <c r="AT63" i="47"/>
  <c r="AX161" i="47"/>
  <c r="AX79" i="47"/>
  <c r="AX58" i="47"/>
  <c r="AX65" i="47"/>
  <c r="AT86" i="47"/>
  <c r="AX55" i="47"/>
  <c r="AT67" i="47"/>
  <c r="AT157" i="47"/>
  <c r="AX26" i="47"/>
  <c r="AX160" i="47"/>
  <c r="AT163" i="47"/>
  <c r="AX158" i="47"/>
  <c r="AX95" i="47"/>
  <c r="AX88" i="47"/>
  <c r="AX129" i="47"/>
  <c r="AX92" i="47"/>
  <c r="AX110" i="47"/>
  <c r="AT122" i="47"/>
  <c r="AT100" i="47"/>
  <c r="AX176" i="47"/>
  <c r="AT133" i="47"/>
  <c r="AX94" i="47"/>
  <c r="AT108" i="47"/>
  <c r="AX132" i="47"/>
  <c r="AX138" i="47"/>
  <c r="AD223" i="47"/>
  <c r="AT46" i="46"/>
  <c r="AX30" i="46"/>
  <c r="AT172" i="46"/>
  <c r="AX14" i="46"/>
  <c r="AX53" i="46"/>
  <c r="AX24" i="46"/>
  <c r="AT27" i="46"/>
  <c r="AX49" i="46"/>
  <c r="AX63" i="46"/>
  <c r="AX64" i="46"/>
  <c r="AX65" i="46"/>
  <c r="AT168" i="46"/>
  <c r="AT47" i="46"/>
  <c r="AX54" i="46"/>
  <c r="AX69" i="46"/>
  <c r="AX101" i="46"/>
  <c r="AT167" i="46"/>
  <c r="AT102" i="46"/>
  <c r="AT118" i="46"/>
  <c r="AX136" i="46"/>
  <c r="AX94" i="46"/>
  <c r="AX110" i="46"/>
  <c r="AX177" i="46"/>
  <c r="AT86" i="46"/>
  <c r="AT98" i="46"/>
  <c r="AT114" i="46"/>
  <c r="AT129" i="46"/>
  <c r="AT156" i="46"/>
  <c r="AT135" i="46"/>
  <c r="AX134" i="46"/>
  <c r="AX151" i="46"/>
  <c r="AT175" i="46"/>
  <c r="AT93" i="46"/>
  <c r="AT109" i="46"/>
  <c r="AV17" i="47"/>
  <c r="AT39" i="47"/>
  <c r="AT48" i="47"/>
  <c r="AT15" i="47"/>
  <c r="AV31" i="47"/>
  <c r="AT55" i="47"/>
  <c r="AT77" i="47"/>
  <c r="AT17" i="47"/>
  <c r="AX42" i="47"/>
  <c r="AT46" i="47"/>
  <c r="AT62" i="47"/>
  <c r="AV161" i="47"/>
  <c r="AX162" i="47"/>
  <c r="AX46" i="47"/>
  <c r="AT59" i="47"/>
  <c r="AX34" i="47"/>
  <c r="AT80" i="47"/>
  <c r="AV59" i="47"/>
  <c r="AX54" i="47"/>
  <c r="AT56" i="47"/>
  <c r="AX83" i="47"/>
  <c r="AT68" i="47"/>
  <c r="AT110" i="47"/>
  <c r="AX125" i="47"/>
  <c r="AX139" i="47"/>
  <c r="AX115" i="47"/>
  <c r="AT130" i="47"/>
  <c r="AT93" i="47"/>
  <c r="AT141" i="47"/>
  <c r="AX121" i="47"/>
  <c r="AX137" i="47"/>
  <c r="AT177" i="47"/>
  <c r="AX93" i="47"/>
  <c r="AX122" i="47"/>
  <c r="AT95" i="47"/>
  <c r="AX123" i="47"/>
  <c r="AT162" i="47"/>
  <c r="AX87" i="47"/>
  <c r="AT96" i="47"/>
  <c r="AT109" i="47"/>
  <c r="AX124" i="47"/>
  <c r="AX38" i="46"/>
  <c r="AX159" i="46"/>
  <c r="AX31" i="46"/>
  <c r="AT19" i="46"/>
  <c r="AT78" i="46"/>
  <c r="AX77" i="46"/>
  <c r="AX150" i="46"/>
  <c r="AT25" i="46"/>
  <c r="AT80" i="46"/>
  <c r="AT57" i="46"/>
  <c r="AT72" i="46"/>
  <c r="AX26" i="46"/>
  <c r="AX173" i="46"/>
  <c r="AX50" i="46"/>
  <c r="AX51" i="46"/>
  <c r="AT95" i="46"/>
  <c r="AT53" i="46"/>
  <c r="AT68" i="46"/>
  <c r="AX52" i="46"/>
  <c r="AX67" i="46"/>
  <c r="AX68" i="46"/>
  <c r="AX45" i="46"/>
  <c r="AX109" i="46"/>
  <c r="AX157" i="46"/>
  <c r="AD123" i="46"/>
  <c r="AT137" i="46"/>
  <c r="AT158" i="46"/>
  <c r="AT127" i="46"/>
  <c r="AX95" i="46"/>
  <c r="AX111" i="46"/>
  <c r="AX126" i="46"/>
  <c r="AT140" i="46"/>
  <c r="AX133" i="46"/>
  <c r="AX158" i="46"/>
  <c r="AT91" i="46"/>
  <c r="AT107" i="46"/>
  <c r="AT123" i="46"/>
  <c r="AT157" i="46"/>
  <c r="AX90" i="46"/>
  <c r="AX106" i="46"/>
  <c r="AX122" i="46"/>
  <c r="AX130" i="46"/>
  <c r="AT23" i="47"/>
  <c r="AX17" i="47"/>
  <c r="AT40" i="47"/>
  <c r="AV54" i="47"/>
  <c r="AT78" i="47"/>
  <c r="AX31" i="47"/>
  <c r="AX78" i="47"/>
  <c r="AT30" i="47"/>
  <c r="AV20" i="47"/>
  <c r="AT66" i="47"/>
  <c r="AX16" i="47"/>
  <c r="AT172" i="47"/>
  <c r="AX43" i="47"/>
  <c r="AX82" i="47"/>
  <c r="AX67" i="47"/>
  <c r="AX68" i="47"/>
  <c r="AX163" i="47"/>
  <c r="AX62" i="47"/>
  <c r="AT151" i="47"/>
  <c r="AT60" i="47"/>
  <c r="AT71" i="47"/>
  <c r="AX155" i="47"/>
  <c r="AX81" i="47"/>
  <c r="AT72" i="47"/>
  <c r="AT97" i="47"/>
  <c r="AT126" i="47"/>
  <c r="AT140" i="47"/>
  <c r="AT168" i="47"/>
  <c r="AT116" i="47"/>
  <c r="AX97" i="47"/>
  <c r="AT111" i="47"/>
  <c r="AT127" i="47"/>
  <c r="AX105" i="47"/>
  <c r="AV122" i="47"/>
  <c r="AT138" i="47"/>
  <c r="AT107" i="47"/>
  <c r="AX86" i="47"/>
  <c r="AX112" i="47"/>
  <c r="AT134" i="47"/>
  <c r="AT88" i="47"/>
  <c r="AX142" i="47"/>
  <c r="AT149" i="46"/>
  <c r="AX74" i="46"/>
  <c r="AX39" i="46"/>
  <c r="AX160" i="46"/>
  <c r="AX75" i="46"/>
  <c r="AT20" i="46"/>
  <c r="AT24" i="46"/>
  <c r="AT73" i="46"/>
  <c r="AT26" i="46"/>
  <c r="AT29" i="46"/>
  <c r="AX80" i="46"/>
  <c r="AX27" i="46"/>
  <c r="AX174" i="46"/>
  <c r="AX170" i="46"/>
  <c r="AT51" i="46"/>
  <c r="AT65" i="46"/>
  <c r="AT66" i="46"/>
  <c r="AT52" i="46"/>
  <c r="AT67" i="46"/>
  <c r="AT103" i="46"/>
  <c r="AT151" i="46"/>
  <c r="AT56" i="46"/>
  <c r="AT71" i="46"/>
  <c r="AX92" i="46"/>
  <c r="AX108" i="46"/>
  <c r="AX124" i="46"/>
  <c r="AT126" i="46"/>
  <c r="AX83" i="46"/>
  <c r="AT96" i="46"/>
  <c r="AT112" i="46"/>
  <c r="AX132" i="46"/>
  <c r="AT164" i="46"/>
  <c r="AX169" i="46"/>
  <c r="AX104" i="46"/>
  <c r="AX120" i="46"/>
  <c r="AT134" i="46"/>
  <c r="AX140" i="46"/>
  <c r="AT136" i="46"/>
  <c r="AT153" i="46"/>
  <c r="AX99" i="46"/>
  <c r="AX115" i="46"/>
  <c r="AX27" i="47"/>
  <c r="AX64" i="47"/>
  <c r="AX23" i="47"/>
  <c r="AT25" i="47"/>
  <c r="AX159" i="47"/>
  <c r="AX150" i="47"/>
  <c r="AT24" i="47"/>
  <c r="AT171" i="47"/>
  <c r="AX74" i="47"/>
  <c r="AT19" i="47"/>
  <c r="AT79" i="47"/>
  <c r="AV63" i="47"/>
  <c r="AT20" i="47"/>
  <c r="AT31" i="47"/>
  <c r="AT49" i="47"/>
  <c r="AX80" i="47"/>
  <c r="AX71" i="47"/>
  <c r="AT82" i="47"/>
  <c r="AT18" i="47"/>
  <c r="AX40" i="47"/>
  <c r="AX44" i="47"/>
  <c r="AX128" i="47"/>
  <c r="AD90" i="47"/>
  <c r="AT104" i="47"/>
  <c r="AT84" i="47"/>
  <c r="AT98" i="47"/>
  <c r="AT117" i="47"/>
  <c r="AX135" i="47"/>
  <c r="AV84" i="47"/>
  <c r="AX116" i="47"/>
  <c r="AX130" i="47"/>
  <c r="AT89" i="47"/>
  <c r="AT106" i="47"/>
  <c r="AT123" i="47"/>
  <c r="AX85" i="47"/>
  <c r="AX111" i="47"/>
  <c r="AT124" i="47"/>
  <c r="AV138" i="47"/>
  <c r="AX100" i="47"/>
  <c r="AT125" i="47"/>
  <c r="AX154" i="47"/>
  <c r="AX113" i="47"/>
  <c r="A22" i="10"/>
  <c r="AX141" i="7"/>
  <c r="AX185" i="7"/>
  <c r="AX188" i="7"/>
  <c r="AX186" i="7"/>
  <c r="AX187" i="7"/>
  <c r="AX194" i="7"/>
  <c r="AX191" i="7"/>
  <c r="AX179" i="7"/>
  <c r="AX197" i="7"/>
  <c r="AX190" i="7"/>
  <c r="AX193" i="7"/>
  <c r="AX198" i="7"/>
  <c r="AX196" i="7"/>
  <c r="AX183" i="7"/>
  <c r="AX199" i="7"/>
  <c r="AX189" i="7"/>
  <c r="AX200" i="7"/>
  <c r="AX184" i="7"/>
  <c r="AX201" i="7"/>
  <c r="AX195" i="7"/>
  <c r="AX192" i="7"/>
  <c r="AX182" i="7"/>
  <c r="AX180" i="7"/>
  <c r="AX181" i="7"/>
  <c r="AT148" i="7"/>
  <c r="AT193" i="7"/>
  <c r="AT190" i="7"/>
  <c r="AT146" i="7"/>
  <c r="AT194" i="7"/>
  <c r="AT141" i="7"/>
  <c r="AT191" i="7"/>
  <c r="AT188" i="7"/>
  <c r="AT179" i="7"/>
  <c r="AT192" i="7"/>
  <c r="AT142" i="7"/>
  <c r="AT183" i="7"/>
  <c r="AT181" i="7"/>
  <c r="AT200" i="7"/>
  <c r="AT144" i="7"/>
  <c r="AT140" i="7"/>
  <c r="AT199" i="7"/>
  <c r="AT201" i="7"/>
  <c r="AT184" i="7"/>
  <c r="AX140" i="7"/>
  <c r="AT186" i="7"/>
  <c r="AT180" i="7"/>
  <c r="AT198" i="7"/>
  <c r="AT145" i="7"/>
  <c r="AT196" i="7"/>
  <c r="AT178" i="7"/>
  <c r="AT185" i="7"/>
  <c r="AT197" i="7"/>
  <c r="AT195" i="7"/>
  <c r="AT147" i="7"/>
  <c r="AT182" i="7"/>
  <c r="AT189" i="7"/>
  <c r="AT187" i="7"/>
  <c r="AT131" i="7"/>
  <c r="AX125" i="7"/>
  <c r="AT126" i="7"/>
  <c r="AX124" i="7"/>
  <c r="AX126" i="7"/>
  <c r="AT123" i="7"/>
  <c r="AT134" i="7"/>
  <c r="AT133" i="7"/>
  <c r="AT135" i="7"/>
  <c r="AT139" i="7"/>
  <c r="AT121" i="7"/>
  <c r="AT127" i="7"/>
  <c r="AT124" i="7"/>
  <c r="AT120" i="7"/>
  <c r="AX122" i="7"/>
  <c r="AT136" i="7"/>
  <c r="AT132" i="7"/>
  <c r="AT137" i="7"/>
  <c r="AX130" i="7"/>
  <c r="AX129" i="7"/>
  <c r="AT125" i="7"/>
  <c r="AX139" i="7"/>
  <c r="AT122" i="7"/>
  <c r="AT130" i="7"/>
  <c r="AX138" i="7"/>
  <c r="AX135" i="7"/>
  <c r="AX134" i="7"/>
  <c r="AT128" i="7"/>
  <c r="AX131" i="7"/>
  <c r="AX123" i="7"/>
  <c r="AX136" i="7"/>
  <c r="AX128" i="7"/>
  <c r="AX137" i="7"/>
  <c r="AT138" i="7"/>
  <c r="AX121" i="7"/>
  <c r="AT129" i="7"/>
  <c r="AX132" i="7"/>
  <c r="AX133" i="7"/>
  <c r="AX127" i="7"/>
  <c r="AX120" i="7"/>
  <c r="AT119" i="7"/>
  <c r="AX117" i="7"/>
  <c r="AX118" i="7"/>
  <c r="AT118" i="7"/>
  <c r="AT117" i="7"/>
  <c r="AX119" i="7"/>
  <c r="AT16" i="7"/>
  <c r="AX160" i="7"/>
  <c r="AT166" i="7"/>
  <c r="AX54" i="7"/>
  <c r="AX95" i="7"/>
  <c r="AX28" i="7"/>
  <c r="AT112" i="7"/>
  <c r="AT72" i="7"/>
  <c r="AT65" i="7"/>
  <c r="AT33" i="7"/>
  <c r="AX15" i="7"/>
  <c r="AX85" i="7"/>
  <c r="AX100" i="7"/>
  <c r="AT92" i="7"/>
  <c r="AX46" i="7"/>
  <c r="AX111" i="7"/>
  <c r="AX49" i="7"/>
  <c r="AT68" i="7"/>
  <c r="AT71" i="7"/>
  <c r="AX19" i="7"/>
  <c r="AX164" i="7"/>
  <c r="AX17" i="7"/>
  <c r="AT31" i="7"/>
  <c r="AT80" i="7"/>
  <c r="AX155" i="7"/>
  <c r="AT96" i="7"/>
  <c r="AX39" i="7"/>
  <c r="AT18" i="7"/>
  <c r="AX167" i="7"/>
  <c r="AT38" i="7"/>
  <c r="AT66" i="7"/>
  <c r="AT81" i="7"/>
  <c r="AT48" i="7"/>
  <c r="AT154" i="7"/>
  <c r="AT23" i="7"/>
  <c r="AT35" i="7"/>
  <c r="AT53" i="7"/>
  <c r="AT152" i="7"/>
  <c r="AT51" i="7"/>
  <c r="AT63" i="7"/>
  <c r="AT88" i="7"/>
  <c r="AT91" i="7"/>
  <c r="AT115" i="7"/>
  <c r="AT49" i="7"/>
  <c r="AX92" i="7"/>
  <c r="AX153" i="7"/>
  <c r="AX87" i="7"/>
  <c r="AX69" i="7"/>
  <c r="AT36" i="7"/>
  <c r="AT30" i="7"/>
  <c r="AX176" i="7"/>
  <c r="AX32" i="7"/>
  <c r="AT172" i="7"/>
  <c r="AX23" i="7"/>
  <c r="AX104" i="7"/>
  <c r="AT170" i="7"/>
  <c r="AX33" i="7"/>
  <c r="AX82" i="7"/>
  <c r="AX57" i="7"/>
  <c r="AX99" i="7"/>
  <c r="AX36" i="7"/>
  <c r="AT67" i="7"/>
  <c r="AT156" i="7"/>
  <c r="AT25" i="7"/>
  <c r="AT62" i="7"/>
  <c r="AT28" i="7"/>
  <c r="AT113" i="7"/>
  <c r="AT70" i="7"/>
  <c r="AT95" i="7"/>
  <c r="AT76" i="7"/>
  <c r="AT61" i="7"/>
  <c r="AT75" i="7"/>
  <c r="AT19" i="7"/>
  <c r="AT29" i="7"/>
  <c r="AT20" i="7"/>
  <c r="AT60" i="7"/>
  <c r="AX86" i="7"/>
  <c r="AX152" i="7"/>
  <c r="AX175" i="7"/>
  <c r="AX68" i="7"/>
  <c r="AT151" i="7"/>
  <c r="AX163" i="7"/>
  <c r="AX61" i="7"/>
  <c r="AT55" i="7"/>
  <c r="AX78" i="7"/>
  <c r="AX103" i="7"/>
  <c r="AT159" i="7"/>
  <c r="AX64" i="7"/>
  <c r="AX81" i="7"/>
  <c r="AX31" i="7"/>
  <c r="AX174" i="7"/>
  <c r="AX157" i="7"/>
  <c r="AX50" i="7"/>
  <c r="AX35" i="7"/>
  <c r="AT171" i="7"/>
  <c r="AT57" i="7"/>
  <c r="AT93" i="7"/>
  <c r="AT176" i="7"/>
  <c r="AT160" i="7"/>
  <c r="AT77" i="7"/>
  <c r="AT114" i="7"/>
  <c r="AT52" i="7"/>
  <c r="AT164" i="7"/>
  <c r="AT83" i="7"/>
  <c r="AT150" i="7"/>
  <c r="AT54" i="7"/>
  <c r="AT64" i="7"/>
  <c r="AT163" i="7"/>
  <c r="AX172" i="7"/>
  <c r="AX38" i="7"/>
  <c r="AX14" i="7"/>
  <c r="AT155" i="7"/>
  <c r="AX77" i="7"/>
  <c r="AX110" i="7"/>
  <c r="AX72" i="7"/>
  <c r="AX53" i="7"/>
  <c r="AT169" i="7"/>
  <c r="AX73" i="7"/>
  <c r="AX94" i="7"/>
  <c r="AX109" i="7"/>
  <c r="AX89" i="7"/>
  <c r="AX37" i="7"/>
  <c r="AX27" i="7"/>
  <c r="AX91" i="7"/>
  <c r="AX154" i="7"/>
  <c r="AT84" i="7"/>
  <c r="AT97" i="7"/>
  <c r="AT82" i="7"/>
  <c r="AT174" i="7"/>
  <c r="AT107" i="7"/>
  <c r="AT14" i="7"/>
  <c r="AT153" i="7"/>
  <c r="AT104" i="7"/>
  <c r="AT44" i="7"/>
  <c r="AT73" i="7"/>
  <c r="AT165" i="7"/>
  <c r="AT59" i="7"/>
  <c r="AT157" i="7"/>
  <c r="AT34" i="7"/>
  <c r="AT90" i="7"/>
  <c r="AX71" i="7"/>
  <c r="AX151" i="7"/>
  <c r="AX63" i="7"/>
  <c r="AX67" i="7"/>
  <c r="AT69" i="7"/>
  <c r="AX56" i="7"/>
  <c r="AX60" i="7"/>
  <c r="AX171" i="7"/>
  <c r="AX102" i="7"/>
  <c r="AX44" i="7"/>
  <c r="AX80" i="7"/>
  <c r="AX59" i="7"/>
  <c r="AX43" i="7"/>
  <c r="AX101" i="7"/>
  <c r="AX84" i="7"/>
  <c r="AX45" i="7"/>
  <c r="AX26" i="7"/>
  <c r="AT46" i="7"/>
  <c r="AT26" i="7"/>
  <c r="AT158" i="7"/>
  <c r="AT102" i="7"/>
  <c r="AT175" i="7"/>
  <c r="AT101" i="7"/>
  <c r="AT161" i="7"/>
  <c r="AT40" i="7"/>
  <c r="AT108" i="7"/>
  <c r="AT21" i="7"/>
  <c r="AT74" i="7"/>
  <c r="AT100" i="7"/>
  <c r="AT111" i="7"/>
  <c r="AX114" i="7"/>
  <c r="AX16" i="7"/>
  <c r="AX18" i="7"/>
  <c r="AX107" i="7"/>
  <c r="AX150" i="7"/>
  <c r="AX76" i="7"/>
  <c r="AX106" i="7"/>
  <c r="AX113" i="7"/>
  <c r="AT32" i="7"/>
  <c r="AT177" i="7"/>
  <c r="AT106" i="7"/>
  <c r="AX48" i="7"/>
  <c r="AX52" i="7"/>
  <c r="AT85" i="7"/>
  <c r="AX90" i="7"/>
  <c r="AX97" i="7"/>
  <c r="AX116" i="7"/>
  <c r="AX169" i="7"/>
  <c r="AX51" i="7"/>
  <c r="AX30" i="7"/>
  <c r="AX162" i="7"/>
  <c r="AX166" i="7"/>
  <c r="AT99" i="7"/>
  <c r="AT168" i="7"/>
  <c r="AT109" i="7"/>
  <c r="AT15" i="7"/>
  <c r="AT41" i="7"/>
  <c r="AT87" i="7"/>
  <c r="AT173" i="7"/>
  <c r="AT78" i="7"/>
  <c r="AT116" i="7"/>
  <c r="AT58" i="7"/>
  <c r="AX88" i="7"/>
  <c r="AX161" i="7"/>
  <c r="AX70" i="7"/>
  <c r="AX165" i="7"/>
  <c r="AT98" i="7"/>
  <c r="AX98" i="7"/>
  <c r="AX105" i="7"/>
  <c r="AT103" i="7"/>
  <c r="AX66" i="7"/>
  <c r="AX47" i="7"/>
  <c r="AX65" i="7"/>
  <c r="AX42" i="7"/>
  <c r="AX108" i="7"/>
  <c r="AX83" i="7"/>
  <c r="AX115" i="7"/>
  <c r="AX21" i="7"/>
  <c r="AX25" i="7"/>
  <c r="AT50" i="7"/>
  <c r="AT42" i="7"/>
  <c r="AT37" i="7"/>
  <c r="AT56" i="7"/>
  <c r="AT43" i="7"/>
  <c r="AT86" i="7"/>
  <c r="AT105" i="7"/>
  <c r="AT45" i="7"/>
  <c r="AT94" i="7"/>
  <c r="AT110" i="7"/>
  <c r="AT39" i="7"/>
  <c r="AX173" i="7"/>
  <c r="AX20" i="7"/>
  <c r="AX40" i="7"/>
  <c r="AX170" i="7"/>
  <c r="AT17" i="7"/>
  <c r="AX24" i="7"/>
  <c r="AX112" i="7"/>
  <c r="AX34" i="7"/>
  <c r="AX55" i="7"/>
  <c r="AX75" i="7"/>
  <c r="AX96" i="7"/>
  <c r="AX74" i="7"/>
  <c r="AX168" i="7"/>
  <c r="AX58" i="7"/>
  <c r="AX29" i="7"/>
  <c r="AX93" i="7"/>
  <c r="AX156" i="7"/>
  <c r="AT149" i="7"/>
  <c r="AA5" i="7"/>
  <c r="S5" i="7"/>
  <c r="K5" i="7"/>
  <c r="AA3" i="7"/>
  <c r="O5" i="7"/>
  <c r="AA4" i="7"/>
  <c r="AT221" i="7"/>
  <c r="AT236" i="7"/>
  <c r="AT231" i="7"/>
  <c r="AT205" i="7"/>
  <c r="AT220" i="7"/>
  <c r="AT241" i="7"/>
  <c r="AT249" i="7"/>
  <c r="AT244" i="7"/>
  <c r="AT224" i="7"/>
  <c r="AT250" i="7"/>
  <c r="AT206" i="7"/>
  <c r="AT209" i="7"/>
  <c r="AT217" i="7"/>
  <c r="AT225" i="7"/>
  <c r="AT215" i="7"/>
  <c r="AT243" i="7"/>
  <c r="AT240" i="7"/>
  <c r="AT218" i="7"/>
  <c r="AT208" i="7"/>
  <c r="AT245" i="7"/>
  <c r="AT223" i="7"/>
  <c r="AT222" i="7"/>
  <c r="AT203" i="7"/>
  <c r="AT238" i="7"/>
  <c r="AT211" i="7"/>
  <c r="AT246" i="7"/>
  <c r="AT219" i="7"/>
  <c r="AT237" i="7"/>
  <c r="AT212" i="7"/>
  <c r="AX238" i="7"/>
  <c r="AX203" i="7"/>
  <c r="AX212" i="7"/>
  <c r="AX214" i="7"/>
  <c r="AX209" i="7"/>
  <c r="AX215" i="7"/>
  <c r="AX143" i="7"/>
  <c r="AX145" i="7"/>
  <c r="AX240" i="7"/>
  <c r="AX233" i="7"/>
  <c r="AX210" i="7"/>
  <c r="AX246" i="7"/>
  <c r="AX250" i="7"/>
  <c r="AX205" i="7"/>
  <c r="AX211" i="7"/>
  <c r="AX237" i="7"/>
  <c r="AX216" i="7"/>
  <c r="AX239" i="7"/>
  <c r="AX235" i="7"/>
  <c r="AX178" i="7"/>
  <c r="AX223" i="7"/>
  <c r="AX232" i="7"/>
  <c r="AX218" i="7"/>
  <c r="AX220" i="7"/>
  <c r="AX222" i="7"/>
  <c r="AX144" i="7"/>
  <c r="AX217" i="7"/>
  <c r="AX146" i="7"/>
  <c r="AX142" i="7"/>
  <c r="AX147" i="7"/>
  <c r="AX226" i="7"/>
  <c r="AX219" i="7"/>
  <c r="AX241" i="7"/>
  <c r="AX242" i="7"/>
  <c r="AX221" i="7"/>
  <c r="AX227" i="7"/>
  <c r="AX234" i="7"/>
  <c r="AX148" i="7"/>
  <c r="AX245" i="7"/>
  <c r="AX248" i="7"/>
  <c r="AX247" i="7"/>
  <c r="AX204" i="7"/>
  <c r="AX206" i="7"/>
  <c r="AX213" i="7"/>
  <c r="AX202" i="7"/>
  <c r="AX249" i="7"/>
  <c r="AX207" i="7"/>
  <c r="AX230" i="7"/>
  <c r="AX208" i="7"/>
  <c r="AX225" i="7"/>
  <c r="AX243" i="7"/>
  <c r="AX224" i="7"/>
  <c r="AX229" i="7"/>
  <c r="AX231" i="7"/>
  <c r="AX236" i="7"/>
  <c r="AI187" i="7" l="1"/>
  <c r="W185" i="7" a="1"/>
  <c r="W185" i="7" s="1"/>
  <c r="AZ185" i="7" s="1"/>
  <c r="AI185" i="7" s="1"/>
  <c r="I35" i="55"/>
  <c r="AI184" i="7"/>
  <c r="AI183" i="7"/>
  <c r="W182" i="7" a="1"/>
  <c r="W182" i="7" s="1"/>
  <c r="AZ182" i="7" s="1"/>
  <c r="AI182" i="7" s="1"/>
  <c r="I33" i="55"/>
  <c r="AI181" i="7"/>
  <c r="W180" i="7" a="1"/>
  <c r="W180" i="7" s="1"/>
  <c r="AZ180" i="7" s="1"/>
  <c r="AI180" i="7" s="1"/>
  <c r="I32" i="55"/>
  <c r="AI179" i="7"/>
  <c r="AX149" i="7"/>
  <c r="AZ116" i="7"/>
  <c r="X170" i="7" a="1"/>
  <c r="X170" i="7" s="1"/>
  <c r="X40" i="7" a="1"/>
  <c r="X40" i="7" s="1"/>
  <c r="X78" i="7" a="1"/>
  <c r="X78" i="7" s="1"/>
  <c r="X126" i="7" a="1"/>
  <c r="X126" i="7" s="1"/>
  <c r="X250" i="7" a="1"/>
  <c r="X250" i="7" s="1"/>
  <c r="X238" i="7" a="1"/>
  <c r="X238" i="7" s="1"/>
  <c r="I19" i="55"/>
  <c r="AX159" i="7"/>
  <c r="AZ36" i="7"/>
  <c r="AZ106" i="7"/>
  <c r="AZ163" i="7"/>
  <c r="AI163" i="7" s="1"/>
  <c r="X85" i="7" a="1"/>
  <c r="X85" i="7" s="1"/>
  <c r="X113" i="7" a="1"/>
  <c r="X113" i="7" s="1"/>
  <c r="X239" i="7" a="1"/>
  <c r="X239" i="7" s="1"/>
  <c r="X71" i="7" a="1"/>
  <c r="X71" i="7" s="1"/>
  <c r="AT22" i="7"/>
  <c r="X249" i="7" a="1"/>
  <c r="X249" i="7" s="1"/>
  <c r="AX79" i="7"/>
  <c r="X108" i="7" a="1"/>
  <c r="X108" i="7" s="1"/>
  <c r="X148" i="7" a="1"/>
  <c r="X148" i="7" s="1"/>
  <c r="X248" i="7" a="1"/>
  <c r="X248" i="7" s="1"/>
  <c r="AX62" i="7"/>
  <c r="AX177" i="7"/>
  <c r="AZ155" i="7"/>
  <c r="AI155" i="7" s="1"/>
  <c r="AZ168" i="7"/>
  <c r="AI168" i="7" s="1"/>
  <c r="X4" i="55"/>
  <c r="X16" i="55"/>
  <c r="AB16" i="55"/>
  <c r="X84" i="46" a="1"/>
  <c r="X84" i="46" s="1"/>
  <c r="AD84" i="46" s="1"/>
  <c r="X114" i="46" a="1"/>
  <c r="X114" i="46" s="1"/>
  <c r="AD114" i="46" s="1"/>
  <c r="X217" i="7" a="1"/>
  <c r="X217" i="7" s="1"/>
  <c r="X93" i="47" a="1"/>
  <c r="X93" i="47" s="1"/>
  <c r="AD93" i="47" s="1"/>
  <c r="X16" i="7" a="1"/>
  <c r="X16" i="7" s="1"/>
  <c r="X36" i="47" a="1"/>
  <c r="X36" i="47" s="1"/>
  <c r="AD36" i="47" s="1"/>
  <c r="Z21" i="55"/>
  <c r="Z12" i="55"/>
  <c r="AB13" i="55"/>
  <c r="AB24" i="55"/>
  <c r="Z3" i="55"/>
  <c r="X18" i="55"/>
  <c r="X12" i="55"/>
  <c r="X57" i="47" a="1"/>
  <c r="X57" i="47" s="1"/>
  <c r="AD57" i="47" s="1"/>
  <c r="X148" i="47" a="1"/>
  <c r="X148" i="47" s="1"/>
  <c r="AD148" i="47" s="1"/>
  <c r="X38" i="47" a="1"/>
  <c r="X38" i="47" s="1"/>
  <c r="AD38" i="47" s="1"/>
  <c r="X3" i="55"/>
  <c r="AB7" i="55"/>
  <c r="X25" i="55"/>
  <c r="X205" i="47" a="1"/>
  <c r="X205" i="47" s="1"/>
  <c r="AD205" i="47" s="1"/>
  <c r="AI146" i="47"/>
  <c r="X105" i="47" a="1"/>
  <c r="X105" i="47" s="1"/>
  <c r="AD105" i="47" s="1"/>
  <c r="X224" i="47" a="1"/>
  <c r="X224" i="47" s="1"/>
  <c r="AD224" i="47" s="1"/>
  <c r="X32" i="47" a="1"/>
  <c r="X32" i="47" s="1"/>
  <c r="AD32" i="47" s="1"/>
  <c r="AT22" i="47"/>
  <c r="AX33" i="47"/>
  <c r="AB9" i="55"/>
  <c r="AZ116" i="47"/>
  <c r="X193" i="47" a="1"/>
  <c r="X193" i="47" s="1"/>
  <c r="AD193" i="47" s="1"/>
  <c r="X210" i="47" a="1"/>
  <c r="X210" i="47" s="1"/>
  <c r="AD210" i="47" s="1"/>
  <c r="X141" i="47" a="1"/>
  <c r="X141" i="47" s="1"/>
  <c r="AD141" i="47" s="1"/>
  <c r="X196" i="47" a="1"/>
  <c r="X196" i="47" s="1"/>
  <c r="AD196" i="47" s="1"/>
  <c r="AC15" i="55"/>
  <c r="X67" i="47" a="1"/>
  <c r="X67" i="47" s="1"/>
  <c r="AD67" i="47" s="1"/>
  <c r="X124" i="47" a="1"/>
  <c r="X124" i="47" s="1"/>
  <c r="AD124" i="47" s="1"/>
  <c r="X76" i="47" a="1"/>
  <c r="X76" i="47" s="1"/>
  <c r="X248" i="47" a="1"/>
  <c r="X248" i="47" s="1"/>
  <c r="AD248" i="47" s="1"/>
  <c r="X183" i="47" a="1"/>
  <c r="X183" i="47" s="1"/>
  <c r="AD183" i="47" s="1"/>
  <c r="X95" i="47" a="1"/>
  <c r="X95" i="47" s="1"/>
  <c r="AD95" i="47" s="1"/>
  <c r="AB22" i="55"/>
  <c r="AB29" i="55"/>
  <c r="AB18" i="55"/>
  <c r="X13" i="55"/>
  <c r="AB21" i="55"/>
  <c r="X21" i="55"/>
  <c r="Z16" i="55"/>
  <c r="Z5" i="55"/>
  <c r="Z15" i="55"/>
  <c r="X132" i="47" a="1"/>
  <c r="X132" i="47" s="1"/>
  <c r="AD132" i="47" s="1"/>
  <c r="X171" i="47" a="1"/>
  <c r="X171" i="47" s="1"/>
  <c r="AD171" i="47" s="1"/>
  <c r="X19" i="47" a="1"/>
  <c r="X19" i="47" s="1"/>
  <c r="AD19" i="47" s="1"/>
  <c r="X206" i="47" a="1"/>
  <c r="X206" i="47" s="1"/>
  <c r="AD206" i="47" s="1"/>
  <c r="X78" i="47" a="1"/>
  <c r="X78" i="47" s="1"/>
  <c r="AD78" i="47" s="1"/>
  <c r="X241" i="47" a="1"/>
  <c r="X241" i="47" s="1"/>
  <c r="AD241" i="47" s="1"/>
  <c r="X217" i="47" a="1"/>
  <c r="X217" i="47" s="1"/>
  <c r="AD217" i="47" s="1"/>
  <c r="X191" i="47" a="1"/>
  <c r="X191" i="47" s="1"/>
  <c r="AD191" i="47" s="1"/>
  <c r="X17" i="55"/>
  <c r="AB17" i="55"/>
  <c r="AB10" i="55"/>
  <c r="X115" i="47" a="1"/>
  <c r="X115" i="47" s="1"/>
  <c r="AD115" i="47" s="1"/>
  <c r="Z22" i="55"/>
  <c r="Z29" i="55"/>
  <c r="AB8" i="55"/>
  <c r="X27" i="55"/>
  <c r="Z13" i="55"/>
  <c r="Z10" i="55"/>
  <c r="AI75" i="47"/>
  <c r="AZ141" i="47"/>
  <c r="X244" i="47" a="1"/>
  <c r="X244" i="47" s="1"/>
  <c r="AD244" i="47" s="1"/>
  <c r="X139" i="47" a="1"/>
  <c r="X139" i="47" s="1"/>
  <c r="AD139" i="47" s="1"/>
  <c r="X56" i="47" a="1"/>
  <c r="X56" i="47" s="1"/>
  <c r="AD56" i="47" s="1"/>
  <c r="X75" i="47" a="1"/>
  <c r="X75" i="47" s="1"/>
  <c r="AD75" i="47" s="1"/>
  <c r="X22" i="55"/>
  <c r="X29" i="55"/>
  <c r="AB23" i="55"/>
  <c r="AB5" i="55"/>
  <c r="AB15" i="55"/>
  <c r="AB4" i="55"/>
  <c r="X23" i="55"/>
  <c r="AC19" i="55"/>
  <c r="Z14" i="55"/>
  <c r="Z4" i="55"/>
  <c r="Z25" i="55"/>
  <c r="Z17" i="55"/>
  <c r="Z23" i="55"/>
  <c r="X10" i="55"/>
  <c r="AI66" i="47"/>
  <c r="AB11" i="55"/>
  <c r="X14" i="55"/>
  <c r="AB3" i="55"/>
  <c r="X7" i="55"/>
  <c r="Z18" i="55"/>
  <c r="AZ206" i="46"/>
  <c r="X34" i="46" a="1"/>
  <c r="X34" i="46" s="1"/>
  <c r="AD34" i="46" s="1"/>
  <c r="N16" i="55"/>
  <c r="R3" i="55"/>
  <c r="N4" i="55"/>
  <c r="N10" i="55"/>
  <c r="P18" i="55"/>
  <c r="R4" i="55"/>
  <c r="S4" i="46"/>
  <c r="R9" i="55"/>
  <c r="AV47" i="46"/>
  <c r="AZ146" i="46"/>
  <c r="AI146" i="46" s="1"/>
  <c r="AZ109" i="46"/>
  <c r="X86" i="46" a="1"/>
  <c r="X86" i="46" s="1"/>
  <c r="AD86" i="46" s="1"/>
  <c r="X112" i="46" a="1"/>
  <c r="X112" i="46" s="1"/>
  <c r="AD112" i="46" s="1"/>
  <c r="R13" i="55"/>
  <c r="AV17" i="46"/>
  <c r="AV83" i="46"/>
  <c r="X189" i="46" a="1"/>
  <c r="X189" i="46" s="1"/>
  <c r="AD189" i="46" s="1"/>
  <c r="X237" i="46" a="1"/>
  <c r="X237" i="46" s="1"/>
  <c r="AD237" i="46" s="1"/>
  <c r="X136" i="46" a="1"/>
  <c r="X136" i="46" s="1"/>
  <c r="AD136" i="46" s="1"/>
  <c r="X46" i="46" a="1"/>
  <c r="X46" i="46" s="1"/>
  <c r="AD46" i="46" s="1"/>
  <c r="AI156" i="46"/>
  <c r="X221" i="46" a="1"/>
  <c r="X221" i="46" s="1"/>
  <c r="AD221" i="46" s="1"/>
  <c r="X243" i="46" a="1"/>
  <c r="X243" i="46" s="1"/>
  <c r="AD243" i="46" s="1"/>
  <c r="X207" i="46" a="1"/>
  <c r="X207" i="46" s="1"/>
  <c r="AD207" i="46" s="1"/>
  <c r="X99" i="46" a="1"/>
  <c r="X99" i="46" s="1"/>
  <c r="AD99" i="46" s="1"/>
  <c r="X174" i="46" a="1"/>
  <c r="X174" i="46" s="1"/>
  <c r="AD174" i="46" s="1"/>
  <c r="R7" i="55"/>
  <c r="R10" i="55"/>
  <c r="X173" i="46" a="1"/>
  <c r="X173" i="46" s="1"/>
  <c r="AD173" i="46" s="1"/>
  <c r="N8" i="55"/>
  <c r="P16" i="55"/>
  <c r="L4" i="46"/>
  <c r="K4" i="46" s="1"/>
  <c r="AZ114" i="46"/>
  <c r="X36" i="46" a="1"/>
  <c r="X36" i="46" s="1"/>
  <c r="AD36" i="46" s="1"/>
  <c r="N24" i="55"/>
  <c r="R21" i="55"/>
  <c r="N13" i="55"/>
  <c r="N5" i="55"/>
  <c r="N15" i="55"/>
  <c r="N17" i="55"/>
  <c r="P22" i="55"/>
  <c r="P29" i="55"/>
  <c r="N21" i="55"/>
  <c r="P14" i="55"/>
  <c r="X172" i="46" a="1"/>
  <c r="X172" i="46" s="1"/>
  <c r="AD172" i="46" s="1"/>
  <c r="X107" i="46" a="1"/>
  <c r="X107" i="46" s="1"/>
  <c r="AD107" i="46" s="1"/>
  <c r="N23" i="55"/>
  <c r="R22" i="55"/>
  <c r="R29" i="55"/>
  <c r="N12" i="55"/>
  <c r="R24" i="55"/>
  <c r="AI164" i="46"/>
  <c r="N18" i="55"/>
  <c r="R25" i="55"/>
  <c r="R8" i="55"/>
  <c r="P17" i="55"/>
  <c r="AI136" i="46"/>
  <c r="S15" i="55"/>
  <c r="P3" i="55"/>
  <c r="R18" i="55"/>
  <c r="N14" i="55"/>
  <c r="R14" i="55"/>
  <c r="P10" i="55"/>
  <c r="P7" i="55"/>
  <c r="X29" i="46" a="1"/>
  <c r="X29" i="46" s="1"/>
  <c r="AD29" i="46" s="1"/>
  <c r="X23" i="46" a="1"/>
  <c r="X23" i="46" s="1"/>
  <c r="AD23" i="46" s="1"/>
  <c r="X85" i="46" a="1"/>
  <c r="X85" i="46" s="1"/>
  <c r="AD85" i="46" s="1"/>
  <c r="N22" i="55"/>
  <c r="N29" i="55"/>
  <c r="R12" i="55"/>
  <c r="P11" i="55"/>
  <c r="R5" i="55"/>
  <c r="R15" i="55"/>
  <c r="S19" i="55"/>
  <c r="P5" i="55"/>
  <c r="P15" i="55"/>
  <c r="N25" i="55"/>
  <c r="P21" i="55"/>
  <c r="R11" i="55"/>
  <c r="AI166" i="7"/>
  <c r="X101" i="7" a="1"/>
  <c r="X101" i="7" s="1"/>
  <c r="X141" i="7" a="1"/>
  <c r="X141" i="7" s="1"/>
  <c r="I15" i="55"/>
  <c r="X110" i="7" a="1"/>
  <c r="X110" i="7" s="1"/>
  <c r="H29" i="55"/>
  <c r="AI87" i="7"/>
  <c r="AT24" i="7"/>
  <c r="AI65" i="7"/>
  <c r="D4" i="55"/>
  <c r="AX41" i="7"/>
  <c r="AZ141" i="7"/>
  <c r="AI141" i="7" s="1"/>
  <c r="X26" i="7" a="1"/>
  <c r="X26" i="7" s="1"/>
  <c r="AT89" i="7"/>
  <c r="AT162" i="7"/>
  <c r="AT27" i="7"/>
  <c r="AT47" i="7"/>
  <c r="AZ40" i="7"/>
  <c r="AI40" i="7" s="1"/>
  <c r="L3" i="7"/>
  <c r="AX158" i="7"/>
  <c r="AI164" i="7"/>
  <c r="AI174" i="7"/>
  <c r="AX22" i="7"/>
  <c r="AT79" i="7"/>
  <c r="AZ78" i="7"/>
  <c r="AI78" i="7" s="1"/>
  <c r="AZ126" i="7"/>
  <c r="AI126" i="7" s="1"/>
  <c r="X109" i="7" a="1"/>
  <c r="X109" i="7" s="1"/>
  <c r="T4" i="7"/>
  <c r="H22" i="55"/>
  <c r="AI148" i="7"/>
  <c r="AT167" i="7"/>
  <c r="AZ239" i="7"/>
  <c r="X115" i="7" a="1"/>
  <c r="X115" i="7" s="1"/>
  <c r="X86" i="7" a="1"/>
  <c r="X86" i="7" s="1"/>
  <c r="AI18" i="7"/>
  <c r="AZ71" i="7"/>
  <c r="AI71" i="7" s="1"/>
  <c r="AI104" i="7"/>
  <c r="AZ170" i="7"/>
  <c r="X118" i="7" a="1"/>
  <c r="X118" i="7" s="1"/>
  <c r="D8" i="55"/>
  <c r="AZ250" i="7"/>
  <c r="AI108" i="7"/>
  <c r="X20" i="7" a="1"/>
  <c r="X20" i="7" s="1"/>
  <c r="X84" i="7" a="1"/>
  <c r="X84" i="7" s="1"/>
  <c r="X139" i="7" a="1"/>
  <c r="X139" i="7" s="1"/>
  <c r="X230" i="7" a="1"/>
  <c r="X230" i="7" s="1"/>
  <c r="X80" i="7" a="1"/>
  <c r="X80" i="7" s="1"/>
  <c r="X114" i="7" a="1"/>
  <c r="X114" i="7" s="1"/>
  <c r="X247" i="7" a="1"/>
  <c r="X247" i="7" s="1"/>
  <c r="X231" i="7" a="1"/>
  <c r="X231" i="7" s="1"/>
  <c r="AI171" i="46"/>
  <c r="AZ104" i="47"/>
  <c r="AI104" i="47" s="1"/>
  <c r="X117" i="7" a="1"/>
  <c r="X117" i="7" s="1"/>
  <c r="X119" i="46" a="1"/>
  <c r="X119" i="46" s="1"/>
  <c r="AD119" i="46" s="1"/>
  <c r="X160" i="46" a="1"/>
  <c r="X160" i="46" s="1"/>
  <c r="AD160" i="46" s="1"/>
  <c r="X225" i="47" a="1"/>
  <c r="X225" i="47" s="1"/>
  <c r="AD225" i="47" s="1"/>
  <c r="AI34" i="7"/>
  <c r="AI55" i="47"/>
  <c r="X195" i="7" a="1"/>
  <c r="X195" i="7" s="1"/>
  <c r="AI95" i="47"/>
  <c r="X49" i="47" a="1"/>
  <c r="X49" i="47" s="1"/>
  <c r="AD49" i="47" s="1"/>
  <c r="AI64" i="7"/>
  <c r="AI49" i="7"/>
  <c r="AI19" i="7"/>
  <c r="AZ87" i="47"/>
  <c r="AI146" i="7"/>
  <c r="AZ20" i="7"/>
  <c r="AI20" i="7" s="1"/>
  <c r="AZ119" i="46"/>
  <c r="AZ148" i="47"/>
  <c r="AI148" i="47" s="1"/>
  <c r="AZ103" i="47"/>
  <c r="X37" i="47" a="1"/>
  <c r="X37" i="47" s="1"/>
  <c r="AD37" i="47" s="1"/>
  <c r="X160" i="7" a="1"/>
  <c r="X160" i="7" s="1"/>
  <c r="X236" i="47" a="1"/>
  <c r="X236" i="47" s="1"/>
  <c r="AD236" i="47" s="1"/>
  <c r="X15" i="7" a="1"/>
  <c r="X15" i="7" s="1"/>
  <c r="X37" i="46" a="1"/>
  <c r="X37" i="46" s="1"/>
  <c r="AD37" i="46" s="1"/>
  <c r="AZ117" i="7"/>
  <c r="AI117" i="7" s="1"/>
  <c r="X125" i="47" a="1"/>
  <c r="X125" i="47" s="1"/>
  <c r="AD125" i="47" s="1"/>
  <c r="X78" i="46" a="1"/>
  <c r="X78" i="46" s="1"/>
  <c r="AD78" i="46" s="1"/>
  <c r="X26" i="46" a="1"/>
  <c r="X26" i="46" s="1"/>
  <c r="AD26" i="46" s="1"/>
  <c r="AI140" i="7"/>
  <c r="AI115" i="46"/>
  <c r="X108" i="46" a="1"/>
  <c r="X108" i="46" s="1"/>
  <c r="AD108" i="46" s="1"/>
  <c r="AI43" i="7"/>
  <c r="AI129" i="7"/>
  <c r="X94" i="46" a="1"/>
  <c r="X94" i="46" s="1"/>
  <c r="AD94" i="46" s="1"/>
  <c r="X96" i="46" a="1"/>
  <c r="X96" i="46" s="1"/>
  <c r="AD96" i="46" s="1"/>
  <c r="X210" i="7" a="1"/>
  <c r="X210" i="7" s="1"/>
  <c r="X233" i="47" a="1"/>
  <c r="X233" i="47" s="1"/>
  <c r="AD233" i="47" s="1"/>
  <c r="X121" i="47" a="1"/>
  <c r="X121" i="47" s="1"/>
  <c r="AD121" i="47" s="1"/>
  <c r="X55" i="46" a="1"/>
  <c r="X55" i="46" s="1"/>
  <c r="AD55" i="46" s="1"/>
  <c r="X113" i="46" a="1"/>
  <c r="X113" i="46" s="1"/>
  <c r="AD113" i="46" s="1"/>
  <c r="X87" i="46" a="1"/>
  <c r="X87" i="46" s="1"/>
  <c r="AD87" i="46" s="1"/>
  <c r="AI112" i="7"/>
  <c r="H17" i="55"/>
  <c r="X104" i="46" a="1"/>
  <c r="X104" i="46" s="1"/>
  <c r="AD104" i="46" s="1"/>
  <c r="X105" i="46" a="1"/>
  <c r="X105" i="46" s="1"/>
  <c r="AD105" i="46" s="1"/>
  <c r="X174" i="7" a="1"/>
  <c r="X174" i="7" s="1"/>
  <c r="X84" i="47" a="1"/>
  <c r="X84" i="47" s="1"/>
  <c r="AD84" i="47" s="1"/>
  <c r="X116" i="46" a="1"/>
  <c r="X116" i="46" s="1"/>
  <c r="AD116" i="46" s="1"/>
  <c r="X238" i="46" a="1"/>
  <c r="X238" i="46" s="1"/>
  <c r="AD238" i="46" s="1"/>
  <c r="X90" i="7" a="1"/>
  <c r="X90" i="7" s="1"/>
  <c r="X98" i="46" a="1"/>
  <c r="X98" i="46" s="1"/>
  <c r="AD98" i="46" s="1"/>
  <c r="X104" i="7" a="1"/>
  <c r="X104" i="7" s="1"/>
  <c r="AI153" i="46"/>
  <c r="AI29" i="46"/>
  <c r="AI135" i="46"/>
  <c r="AI66" i="7"/>
  <c r="AI68" i="7"/>
  <c r="AI32" i="7"/>
  <c r="X88" i="46" a="1"/>
  <c r="X88" i="46" s="1"/>
  <c r="AD88" i="46" s="1"/>
  <c r="X143" i="7" a="1"/>
  <c r="X143" i="7" s="1"/>
  <c r="X138" i="7" a="1"/>
  <c r="X138" i="7" s="1"/>
  <c r="X179" i="47" a="1"/>
  <c r="X179" i="47" s="1"/>
  <c r="AD179" i="47" s="1"/>
  <c r="X53" i="47" a="1"/>
  <c r="X53" i="47" s="1"/>
  <c r="AD53" i="47" s="1"/>
  <c r="X70" i="46" a="1"/>
  <c r="X70" i="46" s="1"/>
  <c r="AD70" i="46" s="1"/>
  <c r="X134" i="7" a="1"/>
  <c r="X134" i="7" s="1"/>
  <c r="X194" i="7" a="1"/>
  <c r="X194" i="7" s="1"/>
  <c r="X234" i="7" a="1"/>
  <c r="X234" i="7" s="1"/>
  <c r="X80" i="47" a="1"/>
  <c r="X80" i="47" s="1"/>
  <c r="AD80" i="47" s="1"/>
  <c r="X218" i="47" a="1"/>
  <c r="X218" i="47" s="1"/>
  <c r="AD218" i="47" s="1"/>
  <c r="X147" i="46" a="1"/>
  <c r="X147" i="46" s="1"/>
  <c r="AD147" i="46" s="1"/>
  <c r="X18" i="47" a="1"/>
  <c r="X18" i="47" s="1"/>
  <c r="AD18" i="47" s="1"/>
  <c r="X20" i="46" a="1"/>
  <c r="X20" i="46" s="1"/>
  <c r="AD20" i="46" s="1"/>
  <c r="X60" i="46" a="1"/>
  <c r="X60" i="46" s="1"/>
  <c r="AD60" i="46" s="1"/>
  <c r="X88" i="7" a="1"/>
  <c r="X88" i="7" s="1"/>
  <c r="X170" i="47" a="1"/>
  <c r="X170" i="47" s="1"/>
  <c r="AD170" i="47" s="1"/>
  <c r="X58" i="46" a="1"/>
  <c r="X58" i="46" s="1"/>
  <c r="AD58" i="46" s="1"/>
  <c r="X127" i="7" a="1"/>
  <c r="X127" i="7" s="1"/>
  <c r="X202" i="47" a="1"/>
  <c r="X202" i="47" s="1"/>
  <c r="AD202" i="47" s="1"/>
  <c r="X176" i="7" a="1"/>
  <c r="X176" i="7" s="1"/>
  <c r="AI65" i="46"/>
  <c r="AI80" i="46"/>
  <c r="AI109" i="46"/>
  <c r="AI147" i="7"/>
  <c r="AI92" i="7"/>
  <c r="AI84" i="7"/>
  <c r="X231" i="46" a="1"/>
  <c r="X231" i="46" s="1"/>
  <c r="AD231" i="46" s="1"/>
  <c r="X125" i="46" a="1"/>
  <c r="X125" i="46" s="1"/>
  <c r="AD125" i="46" s="1"/>
  <c r="X200" i="46" a="1"/>
  <c r="X200" i="46" s="1"/>
  <c r="AD200" i="46" s="1"/>
  <c r="X26" i="47" a="1"/>
  <c r="X26" i="47" s="1"/>
  <c r="AD26" i="47" s="1"/>
  <c r="X137" i="46" a="1"/>
  <c r="X137" i="46" s="1"/>
  <c r="AD137" i="46" s="1"/>
  <c r="X144" i="7" a="1"/>
  <c r="X144" i="7" s="1"/>
  <c r="X42" i="7" a="1"/>
  <c r="X42" i="7" s="1"/>
  <c r="X58" i="7" a="1"/>
  <c r="X58" i="7" s="1"/>
  <c r="X153" i="7" a="1"/>
  <c r="X153" i="7" s="1"/>
  <c r="X205" i="7" a="1"/>
  <c r="X205" i="7" s="1"/>
  <c r="X29" i="47" a="1"/>
  <c r="X29" i="47" s="1"/>
  <c r="AD29" i="47" s="1"/>
  <c r="X148" i="46" a="1"/>
  <c r="X148" i="46" s="1"/>
  <c r="AD148" i="46" s="1"/>
  <c r="X229" i="46" a="1"/>
  <c r="X229" i="46" s="1"/>
  <c r="AD229" i="46" s="1"/>
  <c r="X105" i="7" a="1"/>
  <c r="X105" i="7" s="1"/>
  <c r="X194" i="47" a="1"/>
  <c r="X194" i="47" s="1"/>
  <c r="AD194" i="47" s="1"/>
  <c r="AI95" i="46"/>
  <c r="AI23" i="7"/>
  <c r="X186" i="47" a="1"/>
  <c r="X186" i="47" s="1"/>
  <c r="AD186" i="47" s="1"/>
  <c r="X34" i="47" a="1"/>
  <c r="X34" i="47" s="1"/>
  <c r="AD34" i="47" s="1"/>
  <c r="X68" i="47" a="1"/>
  <c r="X68" i="47" s="1"/>
  <c r="AD68" i="47" s="1"/>
  <c r="X32" i="7" a="1"/>
  <c r="X32" i="7" s="1"/>
  <c r="X70" i="7" a="1"/>
  <c r="X70" i="7" s="1"/>
  <c r="X60" i="47" a="1"/>
  <c r="X60" i="47" s="1"/>
  <c r="AD60" i="47" s="1"/>
  <c r="X205" i="46" a="1"/>
  <c r="X205" i="46" s="1"/>
  <c r="AD205" i="46" s="1"/>
  <c r="X56" i="46" a="1"/>
  <c r="X56" i="46" s="1"/>
  <c r="AD56" i="46" s="1"/>
  <c r="X118" i="47" a="1"/>
  <c r="X118" i="47" s="1"/>
  <c r="AD118" i="47" s="1"/>
  <c r="X126" i="47" a="1"/>
  <c r="X126" i="47" s="1"/>
  <c r="AD126" i="47" s="1"/>
  <c r="AI37" i="47"/>
  <c r="AI81" i="46"/>
  <c r="AI161" i="47"/>
  <c r="X175" i="46" a="1"/>
  <c r="X175" i="46" s="1"/>
  <c r="AD175" i="46" s="1"/>
  <c r="X98" i="7" a="1"/>
  <c r="X98" i="7" s="1"/>
  <c r="X128" i="47" a="1"/>
  <c r="X128" i="47" s="1"/>
  <c r="AD128" i="47" s="1"/>
  <c r="X198" i="47" a="1"/>
  <c r="X198" i="47" s="1"/>
  <c r="AD198" i="47" s="1"/>
  <c r="X125" i="7" a="1"/>
  <c r="X125" i="7" s="1"/>
  <c r="X119" i="47" a="1"/>
  <c r="X119" i="47" s="1"/>
  <c r="AD119" i="47" s="1"/>
  <c r="X68" i="7" a="1"/>
  <c r="X68" i="7" s="1"/>
  <c r="X120" i="7" a="1"/>
  <c r="X120" i="7" s="1"/>
  <c r="X69" i="47" a="1"/>
  <c r="X69" i="47" s="1"/>
  <c r="AD69" i="47" s="1"/>
  <c r="X101" i="47" a="1"/>
  <c r="X101" i="47" s="1"/>
  <c r="AD101" i="47" s="1"/>
  <c r="X137" i="7" a="1"/>
  <c r="X137" i="7" s="1"/>
  <c r="AI152" i="46"/>
  <c r="AI153" i="7"/>
  <c r="AI96" i="46"/>
  <c r="AI72" i="7"/>
  <c r="AI172" i="7"/>
  <c r="X133" i="46" a="1"/>
  <c r="X133" i="46" s="1"/>
  <c r="AD133" i="46" s="1"/>
  <c r="X232" i="46" a="1"/>
  <c r="X232" i="46" s="1"/>
  <c r="AD232" i="46" s="1"/>
  <c r="X19" i="46" a="1"/>
  <c r="X19" i="46" s="1"/>
  <c r="AD19" i="46" s="1"/>
  <c r="X58" i="47" a="1"/>
  <c r="X58" i="47" s="1"/>
  <c r="AD58" i="47" s="1"/>
  <c r="X144" i="46" a="1"/>
  <c r="X144" i="46" s="1"/>
  <c r="AD144" i="46" s="1"/>
  <c r="X214" i="47" a="1"/>
  <c r="X214" i="47" s="1"/>
  <c r="AD214" i="47" s="1"/>
  <c r="X127" i="47" a="1"/>
  <c r="X127" i="47" s="1"/>
  <c r="AD127" i="47" s="1"/>
  <c r="X16" i="47" a="1"/>
  <c r="X16" i="47" s="1"/>
  <c r="AD16" i="47" s="1"/>
  <c r="X135" i="46" a="1"/>
  <c r="X135" i="46" s="1"/>
  <c r="AD135" i="46" s="1"/>
  <c r="X202" i="46" a="1"/>
  <c r="X202" i="46" s="1"/>
  <c r="AD202" i="46" s="1"/>
  <c r="X20" i="47" a="1"/>
  <c r="X20" i="47" s="1"/>
  <c r="AD20" i="47" s="1"/>
  <c r="X75" i="46" a="1"/>
  <c r="X75" i="46" s="1"/>
  <c r="AD75" i="46" s="1"/>
  <c r="X21" i="46" a="1"/>
  <c r="X21" i="46" s="1"/>
  <c r="AD21" i="46" s="1"/>
  <c r="X172" i="7" a="1"/>
  <c r="X172" i="7" s="1"/>
  <c r="X53" i="7" a="1"/>
  <c r="X53" i="7" s="1"/>
  <c r="X199" i="46" a="1"/>
  <c r="X199" i="46" s="1"/>
  <c r="AD199" i="46" s="1"/>
  <c r="X246" i="46" a="1"/>
  <c r="X246" i="46" s="1"/>
  <c r="AD246" i="46" s="1"/>
  <c r="X100" i="46" a="1"/>
  <c r="X100" i="46" s="1"/>
  <c r="AD100" i="46" s="1"/>
  <c r="X233" i="7" a="1"/>
  <c r="X233" i="7" s="1"/>
  <c r="AI119" i="47"/>
  <c r="AI124" i="47"/>
  <c r="AI103" i="47"/>
  <c r="AI36" i="47"/>
  <c r="AI45" i="46"/>
  <c r="AZ193" i="47"/>
  <c r="AI29" i="7"/>
  <c r="AI160" i="7"/>
  <c r="AI175" i="7"/>
  <c r="AI134" i="7"/>
  <c r="X131" i="46" a="1"/>
  <c r="X131" i="46" s="1"/>
  <c r="AD131" i="46" s="1"/>
  <c r="AI169" i="7"/>
  <c r="AI141" i="47"/>
  <c r="AI141" i="46"/>
  <c r="AI64" i="46"/>
  <c r="AZ131" i="46"/>
  <c r="AI131" i="46" s="1"/>
  <c r="AI116" i="7"/>
  <c r="X247" i="46" a="1"/>
  <c r="X247" i="46" s="1"/>
  <c r="AD247" i="46" s="1"/>
  <c r="X92" i="7" a="1"/>
  <c r="X92" i="7" s="1"/>
  <c r="X30" i="7" a="1"/>
  <c r="X30" i="7" s="1"/>
  <c r="X95" i="7" a="1"/>
  <c r="X95" i="7" s="1"/>
  <c r="X228" i="7" a="1"/>
  <c r="X228" i="7" s="1"/>
  <c r="X219" i="47" a="1"/>
  <c r="X219" i="47" s="1"/>
  <c r="AD219" i="47" s="1"/>
  <c r="X180" i="46" a="1"/>
  <c r="X180" i="46" s="1"/>
  <c r="AD180" i="46" s="1"/>
  <c r="X49" i="7" a="1"/>
  <c r="X49" i="7" s="1"/>
  <c r="X193" i="7" a="1"/>
  <c r="X193" i="7" s="1"/>
  <c r="X215" i="47" a="1"/>
  <c r="X215" i="47" s="1"/>
  <c r="AD215" i="47" s="1"/>
  <c r="X156" i="46" a="1"/>
  <c r="X156" i="46" s="1"/>
  <c r="AD156" i="46" s="1"/>
  <c r="X115" i="46" a="1"/>
  <c r="X115" i="46" s="1"/>
  <c r="AD115" i="46" s="1"/>
  <c r="X55" i="47" a="1"/>
  <c r="X55" i="47" s="1"/>
  <c r="AD55" i="47" s="1"/>
  <c r="X111" i="47" a="1"/>
  <c r="X111" i="47" s="1"/>
  <c r="AD111" i="47" s="1"/>
  <c r="X236" i="46" a="1"/>
  <c r="X236" i="46" s="1"/>
  <c r="AD236" i="46" s="1"/>
  <c r="AI67" i="7"/>
  <c r="W83" i="46" a="1"/>
  <c r="W83" i="46" s="1"/>
  <c r="S25" i="55"/>
  <c r="AI28" i="7"/>
  <c r="AI74" i="7"/>
  <c r="AI134" i="47"/>
  <c r="AI127" i="47"/>
  <c r="AI97" i="47"/>
  <c r="AI40" i="47"/>
  <c r="AI123" i="46"/>
  <c r="AI93" i="47"/>
  <c r="AI98" i="46"/>
  <c r="AI119" i="46"/>
  <c r="AI21" i="46"/>
  <c r="AI142" i="47"/>
  <c r="AI32" i="47"/>
  <c r="AI34" i="46"/>
  <c r="AI131" i="47"/>
  <c r="AI69" i="46"/>
  <c r="AI44" i="7"/>
  <c r="AI80" i="7"/>
  <c r="AI121" i="7"/>
  <c r="AI42" i="7"/>
  <c r="AI157" i="7"/>
  <c r="AI78" i="47"/>
  <c r="AI99" i="7"/>
  <c r="AI157" i="47"/>
  <c r="AI19" i="47"/>
  <c r="AI26" i="46"/>
  <c r="AI111" i="47"/>
  <c r="AI135" i="47"/>
  <c r="AI122" i="46"/>
  <c r="AI37" i="7"/>
  <c r="AI55" i="7"/>
  <c r="AI101" i="7"/>
  <c r="AI119" i="7"/>
  <c r="AI38" i="7"/>
  <c r="AI97" i="7"/>
  <c r="AI56" i="7"/>
  <c r="AI46" i="7"/>
  <c r="AI82" i="7"/>
  <c r="AI93" i="7"/>
  <c r="AI31" i="46"/>
  <c r="X92" i="47" a="1"/>
  <c r="X92" i="47" s="1"/>
  <c r="AD92" i="47" s="1"/>
  <c r="AZ92" i="47"/>
  <c r="AI71" i="46"/>
  <c r="AI127" i="46"/>
  <c r="AI96" i="47"/>
  <c r="AI150" i="46"/>
  <c r="AI150" i="7"/>
  <c r="AI94" i="7"/>
  <c r="AZ232" i="46"/>
  <c r="AI49" i="47"/>
  <c r="AI72" i="47"/>
  <c r="AI72" i="46"/>
  <c r="AI161" i="46"/>
  <c r="AI52" i="47"/>
  <c r="AI86" i="7"/>
  <c r="AI114" i="7"/>
  <c r="AI91" i="7"/>
  <c r="AI124" i="7"/>
  <c r="AI110" i="7"/>
  <c r="AZ217" i="7"/>
  <c r="AI25" i="7"/>
  <c r="AI123" i="47"/>
  <c r="AI98" i="47"/>
  <c r="AI137" i="46"/>
  <c r="AI117" i="46"/>
  <c r="AI90" i="7"/>
  <c r="AI70" i="7"/>
  <c r="AI125" i="7"/>
  <c r="W83" i="7" a="1"/>
  <c r="W83" i="7" s="1"/>
  <c r="I25" i="55"/>
  <c r="X133" i="7" a="1"/>
  <c r="X133" i="7" s="1"/>
  <c r="AZ133" i="7"/>
  <c r="AI133" i="7" s="1"/>
  <c r="X202" i="7" a="1"/>
  <c r="X202" i="7" s="1"/>
  <c r="X106" i="46" a="1"/>
  <c r="X106" i="46" s="1"/>
  <c r="AD106" i="46" s="1"/>
  <c r="AI118" i="46"/>
  <c r="AI82" i="46"/>
  <c r="AI152" i="47"/>
  <c r="AI87" i="46"/>
  <c r="AI70" i="46"/>
  <c r="AI132" i="7"/>
  <c r="AZ105" i="47"/>
  <c r="AI105" i="47" s="1"/>
  <c r="AZ84" i="46"/>
  <c r="AI84" i="46" s="1"/>
  <c r="AI21" i="7"/>
  <c r="AI120" i="7"/>
  <c r="AI102" i="7"/>
  <c r="AI16" i="7"/>
  <c r="AI86" i="47"/>
  <c r="AI42" i="47"/>
  <c r="AI69" i="47"/>
  <c r="AI95" i="7"/>
  <c r="AI61" i="7"/>
  <c r="AI130" i="7"/>
  <c r="AI26" i="7"/>
  <c r="AI142" i="7"/>
  <c r="AI170" i="7"/>
  <c r="X216" i="47" a="1"/>
  <c r="X216" i="47" s="1"/>
  <c r="AD216" i="47" s="1"/>
  <c r="X50" i="47" a="1"/>
  <c r="X50" i="47" s="1"/>
  <c r="AD50" i="47" s="1"/>
  <c r="AI134" i="46"/>
  <c r="AI138" i="47"/>
  <c r="AI109" i="47"/>
  <c r="AI15" i="47"/>
  <c r="AI114" i="46"/>
  <c r="AI143" i="46"/>
  <c r="AI163" i="46"/>
  <c r="AI16" i="46"/>
  <c r="AI99" i="47"/>
  <c r="AI164" i="47"/>
  <c r="AI113" i="46"/>
  <c r="AI127" i="7"/>
  <c r="AI50" i="7"/>
  <c r="AI107" i="7"/>
  <c r="AI144" i="7"/>
  <c r="AZ113" i="7"/>
  <c r="AI113" i="7" s="1"/>
  <c r="AI45" i="7"/>
  <c r="AI53" i="7"/>
  <c r="AI88" i="7"/>
  <c r="AI115" i="7"/>
  <c r="AZ143" i="7"/>
  <c r="AI51" i="7"/>
  <c r="AI98" i="7"/>
  <c r="AI52" i="7"/>
  <c r="AZ85" i="46"/>
  <c r="AI85" i="46" s="1"/>
  <c r="AI128" i="7"/>
  <c r="AI161" i="7"/>
  <c r="AI67" i="46"/>
  <c r="AI19" i="46"/>
  <c r="AI130" i="47"/>
  <c r="AI104" i="46"/>
  <c r="AI53" i="47"/>
  <c r="AI58" i="47"/>
  <c r="AI114" i="47"/>
  <c r="AI45" i="47"/>
  <c r="AZ216" i="47"/>
  <c r="AI36" i="7"/>
  <c r="AI39" i="7"/>
  <c r="AI173" i="7"/>
  <c r="AI63" i="7"/>
  <c r="AI111" i="7"/>
  <c r="AI106" i="7"/>
  <c r="AI15" i="7"/>
  <c r="AI81" i="7"/>
  <c r="AI58" i="7"/>
  <c r="AI137" i="7"/>
  <c r="AI135" i="7"/>
  <c r="AI176" i="7"/>
  <c r="X117" i="47" a="1"/>
  <c r="X117" i="47" s="1"/>
  <c r="AD117" i="47" s="1"/>
  <c r="AZ117" i="47"/>
  <c r="AI117" i="47" s="1"/>
  <c r="X106" i="47" a="1"/>
  <c r="X106" i="47" s="1"/>
  <c r="AD106" i="47" s="1"/>
  <c r="W158" i="46" a="1"/>
  <c r="W158" i="46" s="1"/>
  <c r="X158" i="46" s="1" a="1"/>
  <c r="X158" i="46" s="1"/>
  <c r="S23" i="55"/>
  <c r="X75" i="7" a="1"/>
  <c r="X75" i="7" s="1"/>
  <c r="AZ75" i="7"/>
  <c r="AI75" i="7" s="1"/>
  <c r="W22" i="46" a="1"/>
  <c r="W22" i="46" s="1"/>
  <c r="AZ22" i="46" s="1"/>
  <c r="AI22" i="46" s="1"/>
  <c r="S24" i="55"/>
  <c r="W24" i="46" a="1"/>
  <c r="W24" i="46" s="1"/>
  <c r="S6" i="55"/>
  <c r="X174" i="47" a="1"/>
  <c r="X174" i="47" s="1"/>
  <c r="AD174" i="47" s="1"/>
  <c r="AZ174" i="47"/>
  <c r="AI174" i="47" s="1"/>
  <c r="W48" i="46" a="1"/>
  <c r="W48" i="46" s="1"/>
  <c r="S13" i="55"/>
  <c r="W177" i="46" a="1"/>
  <c r="W177" i="46" s="1"/>
  <c r="S22" i="55"/>
  <c r="X178" i="7" a="1"/>
  <c r="X178" i="7" s="1"/>
  <c r="AZ178" i="7"/>
  <c r="W167" i="7" a="1"/>
  <c r="W167" i="7" s="1"/>
  <c r="AZ167" i="7" s="1"/>
  <c r="I26" i="55"/>
  <c r="X38" i="7" a="1"/>
  <c r="X38" i="7" s="1"/>
  <c r="X81" i="7" a="1"/>
  <c r="X81" i="7" s="1"/>
  <c r="X135" i="7" a="1"/>
  <c r="X135" i="7" s="1"/>
  <c r="X200" i="47" a="1"/>
  <c r="X200" i="47" s="1"/>
  <c r="AD200" i="47" s="1"/>
  <c r="X156" i="47" a="1"/>
  <c r="X156" i="47" s="1"/>
  <c r="AD156" i="47" s="1"/>
  <c r="X147" i="47" a="1"/>
  <c r="X147" i="47" s="1"/>
  <c r="AD147" i="47" s="1"/>
  <c r="X70" i="47" a="1"/>
  <c r="X70" i="47" s="1"/>
  <c r="AD70" i="47" s="1"/>
  <c r="X131" i="7" a="1"/>
  <c r="X131" i="7" s="1"/>
  <c r="AZ131" i="7"/>
  <c r="AI131" i="7" s="1"/>
  <c r="AI70" i="47"/>
  <c r="AI61" i="46"/>
  <c r="AI138" i="7"/>
  <c r="X240" i="47" a="1"/>
  <c r="X240" i="47" s="1"/>
  <c r="AD240" i="47" s="1"/>
  <c r="AZ240" i="47"/>
  <c r="X137" i="47" a="1"/>
  <c r="X137" i="47" s="1"/>
  <c r="AD137" i="47" s="1"/>
  <c r="W22" i="7" a="1"/>
  <c r="W22" i="7" s="1"/>
  <c r="I24" i="55"/>
  <c r="X37" i="7" a="1"/>
  <c r="X37" i="7" s="1"/>
  <c r="W79" i="46" a="1"/>
  <c r="W79" i="46" s="1"/>
  <c r="S11" i="55"/>
  <c r="X18" i="7" a="1"/>
  <c r="X18" i="7" s="1"/>
  <c r="X31" i="7" a="1"/>
  <c r="X31" i="7" s="1"/>
  <c r="X242" i="7" a="1"/>
  <c r="X242" i="7" s="1"/>
  <c r="P33" i="7"/>
  <c r="AV33" i="7"/>
  <c r="H16" i="55"/>
  <c r="D12" i="55"/>
  <c r="D6" i="55"/>
  <c r="P167" i="7"/>
  <c r="AV167" i="7"/>
  <c r="D7" i="55"/>
  <c r="H11" i="55"/>
  <c r="H20" i="55"/>
  <c r="X134" i="47" a="1"/>
  <c r="X134" i="47" s="1"/>
  <c r="AD134" i="47" s="1"/>
  <c r="X76" i="46" a="1"/>
  <c r="X76" i="46" s="1"/>
  <c r="X19" i="7" a="1"/>
  <c r="X19" i="7" s="1"/>
  <c r="X91" i="47" a="1"/>
  <c r="X91" i="47" s="1"/>
  <c r="AD91" i="47" s="1"/>
  <c r="W27" i="47" a="1"/>
  <c r="W27" i="47" s="1"/>
  <c r="AC8" i="55"/>
  <c r="X173" i="47" a="1"/>
  <c r="X173" i="47" s="1"/>
  <c r="AD173" i="47" s="1"/>
  <c r="X67" i="46" a="1"/>
  <c r="X67" i="46" s="1"/>
  <c r="AD67" i="46" s="1"/>
  <c r="X152" i="46" a="1"/>
  <c r="X152" i="46" s="1"/>
  <c r="AD152" i="46" s="1"/>
  <c r="X142" i="7" a="1"/>
  <c r="X142" i="7" s="1"/>
  <c r="X150" i="7" a="1"/>
  <c r="X150" i="7" s="1"/>
  <c r="W162" i="47" a="1"/>
  <c r="W162" i="47" s="1"/>
  <c r="AC20" i="55"/>
  <c r="X69" i="46" a="1"/>
  <c r="X69" i="46" s="1"/>
  <c r="AD69" i="46" s="1"/>
  <c r="W177" i="7" a="1"/>
  <c r="W177" i="7" s="1"/>
  <c r="I22" i="55"/>
  <c r="X96" i="47" a="1"/>
  <c r="X96" i="47" s="1"/>
  <c r="AD96" i="47" s="1"/>
  <c r="X220" i="46" a="1"/>
  <c r="X220" i="46" s="1"/>
  <c r="AD220" i="46" s="1"/>
  <c r="X111" i="46" a="1"/>
  <c r="X111" i="46" s="1"/>
  <c r="AD111" i="46" s="1"/>
  <c r="X45" i="7" a="1"/>
  <c r="X45" i="7" s="1"/>
  <c r="X220" i="7" a="1"/>
  <c r="X220" i="7" s="1"/>
  <c r="X235" i="7" a="1"/>
  <c r="X235" i="7" s="1"/>
  <c r="X107" i="47" a="1"/>
  <c r="X107" i="47" s="1"/>
  <c r="AD107" i="47" s="1"/>
  <c r="W89" i="46" a="1"/>
  <c r="W89" i="46" s="1"/>
  <c r="S27" i="55"/>
  <c r="W162" i="7" a="1"/>
  <c r="W162" i="7" s="1"/>
  <c r="I20" i="55"/>
  <c r="W14" i="7" a="1"/>
  <c r="W14" i="7" s="1"/>
  <c r="AZ14" i="7" s="1"/>
  <c r="I4" i="55"/>
  <c r="X69" i="7" a="1"/>
  <c r="X69" i="7" s="1"/>
  <c r="X96" i="7" a="1"/>
  <c r="X96" i="7" s="1"/>
  <c r="X82" i="47" a="1"/>
  <c r="X82" i="47" s="1"/>
  <c r="AD82" i="47" s="1"/>
  <c r="W22" i="47" a="1"/>
  <c r="W22" i="47" s="1"/>
  <c r="I22" i="47" s="1"/>
  <c r="X22" i="47" s="1" a="1"/>
  <c r="X22" i="47" s="1"/>
  <c r="AC24" i="55"/>
  <c r="X134" i="46" a="1"/>
  <c r="X134" i="46" s="1"/>
  <c r="AD134" i="46" s="1"/>
  <c r="X81" i="46" a="1"/>
  <c r="X81" i="46" s="1"/>
  <c r="AD81" i="46" s="1"/>
  <c r="T145" i="46"/>
  <c r="AX145" i="46"/>
  <c r="T145" i="47"/>
  <c r="AX145" i="47"/>
  <c r="P89" i="7"/>
  <c r="AV89" i="7"/>
  <c r="P162" i="7"/>
  <c r="AV162" i="7"/>
  <c r="P151" i="7"/>
  <c r="AV151" i="7"/>
  <c r="D13" i="55"/>
  <c r="H25" i="55"/>
  <c r="AB27" i="55"/>
  <c r="D28" i="55"/>
  <c r="AI171" i="7"/>
  <c r="AI105" i="7"/>
  <c r="AI123" i="7"/>
  <c r="AI60" i="7"/>
  <c r="AI136" i="7"/>
  <c r="AI76" i="7"/>
  <c r="X245" i="47" a="1"/>
  <c r="X245" i="47" s="1"/>
  <c r="AD245" i="47" s="1"/>
  <c r="X184" i="47" a="1"/>
  <c r="X184" i="47" s="1"/>
  <c r="AD184" i="47" s="1"/>
  <c r="X81" i="47" a="1"/>
  <c r="X81" i="47" s="1"/>
  <c r="AD81" i="47" s="1"/>
  <c r="X39" i="47" a="1"/>
  <c r="X39" i="47" s="1"/>
  <c r="AD39" i="47" s="1"/>
  <c r="X140" i="46" a="1"/>
  <c r="X140" i="46" s="1"/>
  <c r="AD140" i="46" s="1"/>
  <c r="X30" i="46" a="1"/>
  <c r="X30" i="46" s="1"/>
  <c r="AD30" i="46" s="1"/>
  <c r="X39" i="46" a="1"/>
  <c r="X39" i="46" s="1"/>
  <c r="AD39" i="46" s="1"/>
  <c r="X32" i="46" a="1"/>
  <c r="X32" i="46" s="1"/>
  <c r="AD32" i="46" s="1"/>
  <c r="X246" i="7" a="1"/>
  <c r="X246" i="7" s="1"/>
  <c r="X88" i="47" a="1"/>
  <c r="X88" i="47" s="1"/>
  <c r="AD88" i="47" s="1"/>
  <c r="X208" i="46" a="1"/>
  <c r="X208" i="46" s="1"/>
  <c r="AD208" i="46" s="1"/>
  <c r="X110" i="46" a="1"/>
  <c r="X110" i="46" s="1"/>
  <c r="AD110" i="46" s="1"/>
  <c r="X61" i="46" a="1"/>
  <c r="X61" i="46" s="1"/>
  <c r="AD61" i="46" s="1"/>
  <c r="X46" i="7" a="1"/>
  <c r="X46" i="7" s="1"/>
  <c r="X175" i="7" a="1"/>
  <c r="X175" i="7" s="1"/>
  <c r="X176" i="47" a="1"/>
  <c r="X176" i="47" s="1"/>
  <c r="AD176" i="47" s="1"/>
  <c r="X71" i="47" a="1"/>
  <c r="X71" i="47" s="1"/>
  <c r="AD71" i="47" s="1"/>
  <c r="W14" i="46" a="1"/>
  <c r="W14" i="46" s="1"/>
  <c r="S4" i="55"/>
  <c r="X136" i="7" a="1"/>
  <c r="X136" i="7" s="1"/>
  <c r="W79" i="7" a="1"/>
  <c r="W79" i="7" s="1"/>
  <c r="I11" i="55"/>
  <c r="X87" i="7" a="1"/>
  <c r="X87" i="7" s="1"/>
  <c r="X94" i="47" a="1"/>
  <c r="X94" i="47" s="1"/>
  <c r="AD94" i="47" s="1"/>
  <c r="X182" i="47" a="1"/>
  <c r="X182" i="47" s="1"/>
  <c r="AD182" i="47" s="1"/>
  <c r="X195" i="46" a="1"/>
  <c r="X195" i="46" s="1"/>
  <c r="AD195" i="46" s="1"/>
  <c r="X43" i="47" a="1"/>
  <c r="X43" i="47" s="1"/>
  <c r="AD43" i="47" s="1"/>
  <c r="X178" i="46" a="1"/>
  <c r="X178" i="46" s="1"/>
  <c r="AD178" i="46" s="1"/>
  <c r="X97" i="46" a="1"/>
  <c r="X97" i="46" s="1"/>
  <c r="AD97" i="46" s="1"/>
  <c r="X55" i="7" a="1"/>
  <c r="X55" i="7" s="1"/>
  <c r="X99" i="7" a="1"/>
  <c r="X99" i="7" s="1"/>
  <c r="X183" i="7" a="1"/>
  <c r="X183" i="7" s="1"/>
  <c r="W24" i="47" a="1"/>
  <c r="W24" i="47" s="1"/>
  <c r="AC6" i="55"/>
  <c r="W79" i="47" a="1"/>
  <c r="W79" i="47" s="1"/>
  <c r="AC11" i="55"/>
  <c r="X117" i="46" a="1"/>
  <c r="X117" i="46" s="1"/>
  <c r="AD117" i="46" s="1"/>
  <c r="X71" i="46" a="1"/>
  <c r="X71" i="46" s="1"/>
  <c r="AD71" i="46" s="1"/>
  <c r="W159" i="46" a="1"/>
  <c r="W159" i="46" s="1"/>
  <c r="S9" i="55"/>
  <c r="X61" i="7" a="1"/>
  <c r="X61" i="7" s="1"/>
  <c r="X112" i="7" a="1"/>
  <c r="X112" i="7" s="1"/>
  <c r="X121" i="7" a="1"/>
  <c r="X121" i="7" s="1"/>
  <c r="W177" i="47" a="1"/>
  <c r="W177" i="47" s="1"/>
  <c r="X177" i="47" s="1" a="1"/>
  <c r="X177" i="47" s="1"/>
  <c r="AD29" i="55" s="1"/>
  <c r="AC22" i="55"/>
  <c r="X50" i="46" a="1"/>
  <c r="X50" i="46" s="1"/>
  <c r="AD50" i="46" s="1"/>
  <c r="X91" i="7" a="1"/>
  <c r="X91" i="7" s="1"/>
  <c r="X76" i="7" a="1"/>
  <c r="X76" i="7" s="1"/>
  <c r="W54" i="47" a="1"/>
  <c r="W54" i="47" s="1"/>
  <c r="AZ54" i="47" s="1"/>
  <c r="AI54" i="47" s="1"/>
  <c r="AC14" i="55"/>
  <c r="X240" i="46" a="1"/>
  <c r="X240" i="46" s="1"/>
  <c r="AD240" i="46" s="1"/>
  <c r="X130" i="46" a="1"/>
  <c r="X130" i="46" s="1"/>
  <c r="AD130" i="46" s="1"/>
  <c r="X242" i="46" a="1"/>
  <c r="X242" i="46" s="1"/>
  <c r="AD242" i="46" s="1"/>
  <c r="X91" i="46" a="1"/>
  <c r="X91" i="46" s="1"/>
  <c r="AD91" i="46" s="1"/>
  <c r="X74" i="46" a="1"/>
  <c r="X74" i="46" s="1"/>
  <c r="AD74" i="46" s="1"/>
  <c r="W77" i="46" a="1"/>
  <c r="W77" i="46" s="1"/>
  <c r="X77" i="46" s="1" a="1"/>
  <c r="X77" i="46" s="1"/>
  <c r="S5" i="55"/>
  <c r="X140" i="7" a="1"/>
  <c r="X140" i="7" s="1"/>
  <c r="X209" i="7" a="1"/>
  <c r="X209" i="7" s="1"/>
  <c r="X103" i="46" a="1"/>
  <c r="X103" i="46" s="1"/>
  <c r="AD103" i="46" s="1"/>
  <c r="W73" i="46" a="1"/>
  <c r="W73" i="46" s="1"/>
  <c r="X73" i="46" s="1" a="1"/>
  <c r="X73" i="46" s="1"/>
  <c r="AD73" i="46" s="1"/>
  <c r="S3" i="55"/>
  <c r="X156" i="7" a="1"/>
  <c r="X156" i="7" s="1"/>
  <c r="W151" i="7" a="1"/>
  <c r="W151" i="7" s="1"/>
  <c r="I18" i="55"/>
  <c r="D5" i="55"/>
  <c r="D21" i="55"/>
  <c r="P73" i="7"/>
  <c r="AV73" i="7"/>
  <c r="P47" i="7"/>
  <c r="AV47" i="7"/>
  <c r="D14" i="55"/>
  <c r="D23" i="55"/>
  <c r="L4" i="47"/>
  <c r="K4" i="47" s="1"/>
  <c r="P79" i="7"/>
  <c r="AV79" i="7"/>
  <c r="P77" i="7"/>
  <c r="AV77" i="7"/>
  <c r="P159" i="7"/>
  <c r="AV159" i="7"/>
  <c r="W48" i="7" a="1"/>
  <c r="W48" i="7" s="1"/>
  <c r="I13" i="55"/>
  <c r="W41" i="47" a="1"/>
  <c r="W41" i="47" s="1"/>
  <c r="AC10" i="55"/>
  <c r="W14" i="47" a="1"/>
  <c r="W14" i="47" s="1"/>
  <c r="AZ14" i="47" s="1"/>
  <c r="AI14" i="47" s="1"/>
  <c r="AC4" i="55"/>
  <c r="W167" i="47" a="1"/>
  <c r="W167" i="47" s="1"/>
  <c r="AC26" i="55"/>
  <c r="W35" i="47" a="1"/>
  <c r="W35" i="47" s="1"/>
  <c r="AC7" i="55"/>
  <c r="W159" i="7" a="1"/>
  <c r="W159" i="7" s="1"/>
  <c r="AZ159" i="7" s="1"/>
  <c r="I9" i="55"/>
  <c r="X85" i="47" a="1"/>
  <c r="X85" i="47" s="1"/>
  <c r="AD85" i="47" s="1"/>
  <c r="W154" i="47" a="1"/>
  <c r="W154" i="47" s="1"/>
  <c r="AZ154" i="47" s="1"/>
  <c r="AC21" i="55"/>
  <c r="X138" i="47" a="1"/>
  <c r="X138" i="47" s="1"/>
  <c r="AD138" i="47" s="1"/>
  <c r="X185" i="47" a="1"/>
  <c r="X185" i="47" s="1"/>
  <c r="AD185" i="47" s="1"/>
  <c r="X74" i="47" a="1"/>
  <c r="X74" i="47" s="1"/>
  <c r="AD74" i="47" s="1"/>
  <c r="W73" i="47" a="1"/>
  <c r="W73" i="47" s="1"/>
  <c r="AC3" i="55"/>
  <c r="W167" i="46" a="1"/>
  <c r="W167" i="46" s="1"/>
  <c r="AZ167" i="46" s="1"/>
  <c r="AI167" i="46" s="1"/>
  <c r="S26" i="55"/>
  <c r="H27" i="55"/>
  <c r="P48" i="7"/>
  <c r="AV48" i="7"/>
  <c r="P145" i="46"/>
  <c r="P3" i="46" s="1"/>
  <c r="O3" i="46" s="1"/>
  <c r="AV145" i="46"/>
  <c r="L145" i="46"/>
  <c r="AT145" i="46"/>
  <c r="R27" i="55"/>
  <c r="H28" i="55"/>
  <c r="H18" i="55"/>
  <c r="H23" i="55"/>
  <c r="D11" i="55"/>
  <c r="T4" i="47"/>
  <c r="S4" i="47" s="1"/>
  <c r="P27" i="55"/>
  <c r="X212" i="47" a="1"/>
  <c r="X212" i="47" s="1"/>
  <c r="AD212" i="47" s="1"/>
  <c r="X42" i="47" a="1"/>
  <c r="X42" i="47" s="1"/>
  <c r="AD42" i="47" s="1"/>
  <c r="X127" i="46" a="1"/>
  <c r="X127" i="46" s="1"/>
  <c r="AD127" i="46" s="1"/>
  <c r="X176" i="46" a="1"/>
  <c r="X176" i="46" s="1"/>
  <c r="AD176" i="46" s="1"/>
  <c r="X171" i="7" a="1"/>
  <c r="X171" i="7" s="1"/>
  <c r="X129" i="47" a="1"/>
  <c r="X129" i="47" s="1"/>
  <c r="AD129" i="47" s="1"/>
  <c r="X132" i="46" a="1"/>
  <c r="X132" i="46" s="1"/>
  <c r="AD132" i="46" s="1"/>
  <c r="X93" i="7" a="1"/>
  <c r="X93" i="7" s="1"/>
  <c r="X178" i="47" a="1"/>
  <c r="X178" i="47" s="1"/>
  <c r="AD178" i="47" s="1"/>
  <c r="X152" i="47" a="1"/>
  <c r="X152" i="47" s="1"/>
  <c r="AD152" i="47" s="1"/>
  <c r="X120" i="47" a="1"/>
  <c r="X120" i="47" s="1"/>
  <c r="AD120" i="47" s="1"/>
  <c r="X250" i="46" a="1"/>
  <c r="X250" i="46" s="1"/>
  <c r="AD250" i="46" s="1"/>
  <c r="W54" i="46" a="1"/>
  <c r="W54" i="46" s="1"/>
  <c r="AZ54" i="46" s="1"/>
  <c r="S14" i="55"/>
  <c r="X173" i="7" a="1"/>
  <c r="X173" i="7" s="1"/>
  <c r="X111" i="7" a="1"/>
  <c r="X111" i="7" s="1"/>
  <c r="X56" i="7" a="1"/>
  <c r="X56" i="7" s="1"/>
  <c r="X186" i="7" a="1"/>
  <c r="X186" i="7" s="1"/>
  <c r="X243" i="7" a="1"/>
  <c r="X243" i="7" s="1"/>
  <c r="X15" i="46" a="1"/>
  <c r="X15" i="46" s="1"/>
  <c r="AD15" i="46" s="1"/>
  <c r="W17" i="7" a="1"/>
  <c r="W17" i="7" s="1"/>
  <c r="V4" i="7"/>
  <c r="X67" i="7" a="1"/>
  <c r="X67" i="7" s="1"/>
  <c r="W47" i="47" a="1"/>
  <c r="W47" i="47" s="1"/>
  <c r="AC12" i="55"/>
  <c r="X143" i="46" a="1"/>
  <c r="X143" i="46" s="1"/>
  <c r="AD143" i="46" s="1"/>
  <c r="X82" i="46" a="1"/>
  <c r="X82" i="46" s="1"/>
  <c r="AD82" i="46" s="1"/>
  <c r="X49" i="46" a="1"/>
  <c r="X49" i="46" s="1"/>
  <c r="AD49" i="46" s="1"/>
  <c r="X153" i="46" a="1"/>
  <c r="X153" i="46" s="1"/>
  <c r="AD153" i="46" s="1"/>
  <c r="W54" i="7" a="1"/>
  <c r="W54" i="7" s="1"/>
  <c r="I14" i="55"/>
  <c r="D17" i="55"/>
  <c r="H14" i="55"/>
  <c r="H7" i="55"/>
  <c r="D9" i="55"/>
  <c r="D10" i="55"/>
  <c r="D3" i="55"/>
  <c r="D18" i="55"/>
  <c r="W151" i="46" a="1"/>
  <c r="W151" i="46" s="1"/>
  <c r="S18" i="55"/>
  <c r="X18" i="46" a="1"/>
  <c r="X18" i="46" s="1"/>
  <c r="AD18" i="46" s="1"/>
  <c r="X29" i="7" a="1"/>
  <c r="X29" i="7" s="1"/>
  <c r="W24" i="7" a="1"/>
  <c r="W24" i="7" s="1"/>
  <c r="AZ24" i="7" s="1"/>
  <c r="I6" i="55"/>
  <c r="X43" i="7" a="1"/>
  <c r="X43" i="7" s="1"/>
  <c r="X59" i="7" a="1"/>
  <c r="X59" i="7" s="1"/>
  <c r="X129" i="7" a="1"/>
  <c r="X129" i="7" s="1"/>
  <c r="X142" i="47" a="1"/>
  <c r="X142" i="47" s="1"/>
  <c r="AD142" i="47" s="1"/>
  <c r="W158" i="47" a="1"/>
  <c r="W158" i="47" s="1"/>
  <c r="AC23" i="55"/>
  <c r="W27" i="46" a="1"/>
  <c r="W27" i="46" s="1"/>
  <c r="S8" i="55"/>
  <c r="X72" i="7" a="1"/>
  <c r="X72" i="7" s="1"/>
  <c r="X188" i="7" a="1"/>
  <c r="X188" i="7" s="1"/>
  <c r="X136" i="47" a="1"/>
  <c r="X136" i="47" s="1"/>
  <c r="AD136" i="47" s="1"/>
  <c r="W35" i="46" a="1"/>
  <c r="W35" i="46" s="1"/>
  <c r="AZ35" i="46" s="1"/>
  <c r="AI35" i="46" s="1"/>
  <c r="S7" i="55"/>
  <c r="X31" i="46" a="1"/>
  <c r="X31" i="46" s="1"/>
  <c r="AD31" i="46" s="1"/>
  <c r="W47" i="46" a="1"/>
  <c r="W47" i="46" s="1"/>
  <c r="AZ47" i="46" s="1"/>
  <c r="AI47" i="46" s="1"/>
  <c r="S12" i="55"/>
  <c r="X169" i="7" a="1"/>
  <c r="X169" i="7" s="1"/>
  <c r="X128" i="7" a="1"/>
  <c r="X128" i="7" s="1"/>
  <c r="X59" i="47" a="1"/>
  <c r="X59" i="47" s="1"/>
  <c r="AD59" i="47" s="1"/>
  <c r="X23" i="47" a="1"/>
  <c r="X23" i="47" s="1"/>
  <c r="AD23" i="47" s="1"/>
  <c r="X61" i="47" a="1"/>
  <c r="X61" i="47" s="1"/>
  <c r="AD61" i="47" s="1"/>
  <c r="X72" i="46" a="1"/>
  <c r="X72" i="46" s="1"/>
  <c r="AD72" i="46" s="1"/>
  <c r="W27" i="7" a="1"/>
  <c r="W27" i="7" s="1"/>
  <c r="AK2" i="52" s="1"/>
  <c r="I8" i="55"/>
  <c r="X50" i="7" a="1"/>
  <c r="X50" i="7" s="1"/>
  <c r="X94" i="7" a="1"/>
  <c r="X94" i="7" s="1"/>
  <c r="X207" i="7" a="1"/>
  <c r="X207" i="7" s="1"/>
  <c r="W83" i="47" a="1"/>
  <c r="W83" i="47" s="1"/>
  <c r="AC25" i="55"/>
  <c r="W62" i="46" a="1"/>
  <c r="W62" i="46" s="1"/>
  <c r="S16" i="55"/>
  <c r="W62" i="47" a="1"/>
  <c r="W62" i="47" s="1"/>
  <c r="AC16" i="55"/>
  <c r="W145" i="46" a="1"/>
  <c r="W145" i="46" s="1"/>
  <c r="S28" i="55"/>
  <c r="X138" i="46" a="1"/>
  <c r="X138" i="46" s="1"/>
  <c r="AD138" i="46" s="1"/>
  <c r="X241" i="46" a="1"/>
  <c r="X241" i="46" s="1"/>
  <c r="AD241" i="46" s="1"/>
  <c r="X45" i="47" a="1"/>
  <c r="X45" i="47" s="1"/>
  <c r="AD45" i="47" s="1"/>
  <c r="X219" i="46" a="1"/>
  <c r="X219" i="46" s="1"/>
  <c r="AD219" i="46" s="1"/>
  <c r="X53" i="46" a="1"/>
  <c r="X53" i="46" s="1"/>
  <c r="AD53" i="46" s="1"/>
  <c r="X95" i="46" a="1"/>
  <c r="X95" i="46" s="1"/>
  <c r="AD95" i="46" s="1"/>
  <c r="X57" i="7" a="1"/>
  <c r="X57" i="7" s="1"/>
  <c r="X152" i="7" a="1"/>
  <c r="X152" i="7" s="1"/>
  <c r="X103" i="7" a="1"/>
  <c r="X103" i="7" s="1"/>
  <c r="X212" i="7" a="1"/>
  <c r="X212" i="7" s="1"/>
  <c r="X110" i="47" a="1"/>
  <c r="X110" i="47" s="1"/>
  <c r="AD110" i="47" s="1"/>
  <c r="X124" i="46" a="1"/>
  <c r="X124" i="46" s="1"/>
  <c r="AD124" i="46" s="1"/>
  <c r="X190" i="46" a="1"/>
  <c r="X190" i="46" s="1"/>
  <c r="AD190" i="46" s="1"/>
  <c r="X172" i="47" a="1"/>
  <c r="X172" i="47" s="1"/>
  <c r="AD172" i="47" s="1"/>
  <c r="X23" i="7" a="1"/>
  <c r="X23" i="7" s="1"/>
  <c r="X119" i="7" a="1"/>
  <c r="X119" i="7" s="1"/>
  <c r="X74" i="7" a="1"/>
  <c r="X74" i="7" s="1"/>
  <c r="X153" i="47" a="1"/>
  <c r="X153" i="47" s="1"/>
  <c r="AD153" i="47" s="1"/>
  <c r="X40" i="47" a="1"/>
  <c r="X40" i="47" s="1"/>
  <c r="AD40" i="47" s="1"/>
  <c r="W41" i="46" a="1"/>
  <c r="W41" i="46" s="1"/>
  <c r="S10" i="55"/>
  <c r="X42" i="46" a="1"/>
  <c r="X42" i="46" s="1"/>
  <c r="AD42" i="46" s="1"/>
  <c r="X60" i="7" a="1"/>
  <c r="X60" i="7" s="1"/>
  <c r="X132" i="7" a="1"/>
  <c r="X132" i="7" s="1"/>
  <c r="H5" i="55"/>
  <c r="P41" i="7"/>
  <c r="AV41" i="7"/>
  <c r="H6" i="55"/>
  <c r="P4" i="46"/>
  <c r="O4" i="46" s="1"/>
  <c r="P154" i="7"/>
  <c r="AV154" i="7"/>
  <c r="D25" i="55"/>
  <c r="H4" i="55"/>
  <c r="Z27" i="55"/>
  <c r="P4" i="47"/>
  <c r="O4" i="47" s="1"/>
  <c r="P27" i="7"/>
  <c r="AV27" i="7"/>
  <c r="D24" i="55"/>
  <c r="H21" i="55"/>
  <c r="L145" i="47"/>
  <c r="AT145" i="47"/>
  <c r="X175" i="47" a="1"/>
  <c r="X175" i="47" s="1"/>
  <c r="AD175" i="47" s="1"/>
  <c r="X45" i="46" a="1"/>
  <c r="X45" i="46" s="1"/>
  <c r="AD45" i="46" s="1"/>
  <c r="W154" i="46" a="1"/>
  <c r="W154" i="46" s="1"/>
  <c r="AZ154" i="46" s="1"/>
  <c r="AI154" i="46" s="1"/>
  <c r="S21" i="55"/>
  <c r="W89" i="7" a="1"/>
  <c r="W89" i="7" s="1"/>
  <c r="X89" i="7" s="1" a="1"/>
  <c r="X89" i="7" s="1"/>
  <c r="I27" i="55"/>
  <c r="W159" i="47" a="1"/>
  <c r="W159" i="47" s="1"/>
  <c r="AC9" i="55"/>
  <c r="W162" i="46" a="1"/>
  <c r="W162" i="46" s="1"/>
  <c r="X162" i="46" s="1" a="1"/>
  <c r="X162" i="46" s="1"/>
  <c r="AD162" i="46" s="1"/>
  <c r="S20" i="55"/>
  <c r="W145" i="7" a="1"/>
  <c r="W145" i="7" s="1"/>
  <c r="I28" i="55"/>
  <c r="X232" i="7" a="1"/>
  <c r="X232" i="7" s="1"/>
  <c r="X143" i="47" a="1"/>
  <c r="X143" i="47" s="1"/>
  <c r="AD143" i="47" s="1"/>
  <c r="X86" i="47" a="1"/>
  <c r="X86" i="47" s="1"/>
  <c r="AD86" i="47" s="1"/>
  <c r="X100" i="47" a="1"/>
  <c r="X100" i="47" s="1"/>
  <c r="AD100" i="47" s="1"/>
  <c r="W151" i="47" a="1"/>
  <c r="W151" i="47" s="1"/>
  <c r="AZ151" i="47" s="1"/>
  <c r="AI151" i="47" s="1"/>
  <c r="AC18" i="55"/>
  <c r="X191" i="46" a="1"/>
  <c r="X191" i="46" s="1"/>
  <c r="AD191" i="46" s="1"/>
  <c r="X222" i="46" a="1"/>
  <c r="X222" i="46" s="1"/>
  <c r="AD222" i="46" s="1"/>
  <c r="X68" i="46" a="1"/>
  <c r="X68" i="46" s="1"/>
  <c r="AD68" i="46" s="1"/>
  <c r="X101" i="46" a="1"/>
  <c r="X101" i="46" s="1"/>
  <c r="AD101" i="46" s="1"/>
  <c r="W41" i="7" a="1"/>
  <c r="W41" i="7" s="1"/>
  <c r="I10" i="55"/>
  <c r="X201" i="7" a="1"/>
  <c r="X201" i="7" s="1"/>
  <c r="X241" i="7" a="1"/>
  <c r="X241" i="7" s="1"/>
  <c r="X203" i="47" a="1"/>
  <c r="X203" i="47" s="1"/>
  <c r="AD203" i="47" s="1"/>
  <c r="X118" i="46" a="1"/>
  <c r="X118" i="46" s="1"/>
  <c r="AD118" i="46" s="1"/>
  <c r="X150" i="46" a="1"/>
  <c r="X150" i="46" s="1"/>
  <c r="AD150" i="46" s="1"/>
  <c r="X198" i="7" a="1"/>
  <c r="X198" i="7" s="1"/>
  <c r="X100" i="7" a="1"/>
  <c r="X100" i="7" s="1"/>
  <c r="X44" i="7" a="1"/>
  <c r="X44" i="7" s="1"/>
  <c r="X184" i="7" a="1"/>
  <c r="X184" i="7" s="1"/>
  <c r="X204" i="7" a="1"/>
  <c r="X204" i="7" s="1"/>
  <c r="W47" i="7" a="1"/>
  <c r="W47" i="7" s="1"/>
  <c r="AZ47" i="7" s="1"/>
  <c r="I12" i="55"/>
  <c r="W145" i="47" a="1"/>
  <c r="W145" i="47" s="1"/>
  <c r="AC28" i="55"/>
  <c r="W33" i="47" a="1"/>
  <c r="W33" i="47" s="1"/>
  <c r="AZ33" i="47" s="1"/>
  <c r="AI33" i="47" s="1"/>
  <c r="AC17" i="55"/>
  <c r="X38" i="46" a="1"/>
  <c r="X38" i="46" s="1"/>
  <c r="AD38" i="46" s="1"/>
  <c r="W33" i="7" a="1"/>
  <c r="W33" i="7" s="1"/>
  <c r="AZ33" i="7" s="1"/>
  <c r="I17" i="55"/>
  <c r="X107" i="7" a="1"/>
  <c r="X107" i="7" s="1"/>
  <c r="X147" i="7" a="1"/>
  <c r="X147" i="7" s="1"/>
  <c r="X216" i="7" a="1"/>
  <c r="X216" i="7" s="1"/>
  <c r="X238" i="47" a="1"/>
  <c r="X238" i="47" s="1"/>
  <c r="AD238" i="47" s="1"/>
  <c r="W89" i="47" a="1"/>
  <c r="W89" i="47" s="1"/>
  <c r="AC27" i="55"/>
  <c r="W48" i="47" a="1"/>
  <c r="W48" i="47" s="1"/>
  <c r="X48" i="47" s="1" a="1"/>
  <c r="X48" i="47" s="1"/>
  <c r="AD48" i="47" s="1"/>
  <c r="AC13" i="55"/>
  <c r="X126" i="46" a="1"/>
  <c r="X126" i="46" s="1"/>
  <c r="AD126" i="46" s="1"/>
  <c r="X233" i="46" a="1"/>
  <c r="X233" i="46" s="1"/>
  <c r="AD233" i="46" s="1"/>
  <c r="X169" i="46" a="1"/>
  <c r="X169" i="46" s="1"/>
  <c r="AD169" i="46" s="1"/>
  <c r="P17" i="7"/>
  <c r="AV17" i="7"/>
  <c r="H9" i="55"/>
  <c r="P62" i="7"/>
  <c r="AV62" i="7"/>
  <c r="P177" i="7"/>
  <c r="AV177" i="7"/>
  <c r="L4" i="7"/>
  <c r="H12" i="55"/>
  <c r="P54" i="7"/>
  <c r="AV54" i="7"/>
  <c r="H24" i="55"/>
  <c r="P35" i="7"/>
  <c r="AV35" i="7"/>
  <c r="P22" i="7"/>
  <c r="AV22" i="7"/>
  <c r="X198" i="46" a="1"/>
  <c r="X198" i="46" s="1"/>
  <c r="AD198" i="46" s="1"/>
  <c r="X227" i="46" a="1"/>
  <c r="X227" i="46" s="1"/>
  <c r="AD227" i="46" s="1"/>
  <c r="X213" i="46" a="1"/>
  <c r="X213" i="46" s="1"/>
  <c r="AD213" i="46" s="1"/>
  <c r="W33" i="46" a="1"/>
  <c r="W33" i="46" s="1"/>
  <c r="AZ33" i="46" s="1"/>
  <c r="S17" i="55"/>
  <c r="X123" i="7" a="1"/>
  <c r="X123" i="7" s="1"/>
  <c r="W73" i="7" a="1"/>
  <c r="W73" i="7" s="1"/>
  <c r="I3" i="55"/>
  <c r="W154" i="7" a="1"/>
  <c r="W154" i="7" s="1"/>
  <c r="AZ154" i="7" s="1"/>
  <c r="I21" i="55"/>
  <c r="X99" i="47" a="1"/>
  <c r="X99" i="47" s="1"/>
  <c r="AD99" i="47" s="1"/>
  <c r="X223" i="46" a="1"/>
  <c r="X223" i="46" s="1"/>
  <c r="AD223" i="46" s="1"/>
  <c r="X46" i="47" a="1"/>
  <c r="X46" i="47" s="1"/>
  <c r="AD46" i="47" s="1"/>
  <c r="W35" i="7" a="1"/>
  <c r="W35" i="7" s="1"/>
  <c r="I7" i="55"/>
  <c r="X191" i="7" a="1"/>
  <c r="X191" i="7" s="1"/>
  <c r="X140" i="47" a="1"/>
  <c r="X140" i="47" s="1"/>
  <c r="AD140" i="47" s="1"/>
  <c r="X98" i="47" a="1"/>
  <c r="X98" i="47" s="1"/>
  <c r="AD98" i="47" s="1"/>
  <c r="W158" i="7" a="1"/>
  <c r="W158" i="7" s="1"/>
  <c r="I23" i="55"/>
  <c r="X207" i="47" a="1"/>
  <c r="X207" i="47" s="1"/>
  <c r="AD207" i="47" s="1"/>
  <c r="X135" i="47" a="1"/>
  <c r="X135" i="47" s="1"/>
  <c r="AD135" i="47" s="1"/>
  <c r="X31" i="47" a="1"/>
  <c r="X31" i="47" s="1"/>
  <c r="AD31" i="47" s="1"/>
  <c r="X141" i="46" a="1"/>
  <c r="X141" i="46" s="1"/>
  <c r="AD141" i="46" s="1"/>
  <c r="W77" i="47" a="1"/>
  <c r="W77" i="47" s="1"/>
  <c r="X77" i="47" s="1" a="1"/>
  <c r="X77" i="47" s="1"/>
  <c r="AC5" i="55"/>
  <c r="X57" i="46" a="1"/>
  <c r="X57" i="46" s="1"/>
  <c r="AD57" i="46" s="1"/>
  <c r="X199" i="7" a="1"/>
  <c r="X199" i="7" s="1"/>
  <c r="X97" i="7" a="1"/>
  <c r="X97" i="7" s="1"/>
  <c r="X192" i="7" a="1"/>
  <c r="X192" i="7" s="1"/>
  <c r="X112" i="47" a="1"/>
  <c r="X112" i="47" s="1"/>
  <c r="AD112" i="47" s="1"/>
  <c r="X139" i="46" a="1"/>
  <c r="X139" i="46" s="1"/>
  <c r="AD139" i="46" s="1"/>
  <c r="X170" i="46" a="1"/>
  <c r="X170" i="46" s="1"/>
  <c r="AD170" i="46" s="1"/>
  <c r="X92" i="46" a="1"/>
  <c r="X92" i="46" s="1"/>
  <c r="AD92" i="46" s="1"/>
  <c r="X124" i="7" a="1"/>
  <c r="X124" i="7" s="1"/>
  <c r="W62" i="7" a="1"/>
  <c r="W62" i="7" s="1"/>
  <c r="I16" i="55"/>
  <c r="X15" i="47" a="1"/>
  <c r="X15" i="47" s="1"/>
  <c r="AD15" i="47" s="1"/>
  <c r="X129" i="46" a="1"/>
  <c r="X129" i="46" s="1"/>
  <c r="AD129" i="46" s="1"/>
  <c r="X43" i="46" a="1"/>
  <c r="X43" i="46" s="1"/>
  <c r="AD43" i="46" s="1"/>
  <c r="X90" i="46" a="1"/>
  <c r="X90" i="46" s="1"/>
  <c r="AD90" i="46" s="1"/>
  <c r="X21" i="7" a="1"/>
  <c r="X21" i="7" s="1"/>
  <c r="X34" i="7" a="1"/>
  <c r="X34" i="7" s="1"/>
  <c r="X39" i="7" a="1"/>
  <c r="X39" i="7" s="1"/>
  <c r="X82" i="7" a="1"/>
  <c r="X82" i="7" s="1"/>
  <c r="X237" i="7" a="1"/>
  <c r="X237" i="7" s="1"/>
  <c r="X247" i="47" a="1"/>
  <c r="X247" i="47" s="1"/>
  <c r="AD247" i="47" s="1"/>
  <c r="X123" i="47" a="1"/>
  <c r="X123" i="47" s="1"/>
  <c r="AD123" i="47" s="1"/>
  <c r="X114" i="47" a="1"/>
  <c r="X114" i="47" s="1"/>
  <c r="AD114" i="47" s="1"/>
  <c r="W77" i="7" a="1"/>
  <c r="W77" i="7" s="1"/>
  <c r="I5" i="55"/>
  <c r="P145" i="47"/>
  <c r="P3" i="47" s="1"/>
  <c r="O3" i="47" s="1"/>
  <c r="AV145" i="47"/>
  <c r="D27" i="55"/>
  <c r="D20" i="55"/>
  <c r="H10" i="55"/>
  <c r="P83" i="7"/>
  <c r="AV83" i="7"/>
  <c r="D26" i="55"/>
  <c r="P158" i="7"/>
  <c r="AV158" i="7"/>
  <c r="P14" i="7"/>
  <c r="AV14" i="7"/>
  <c r="P145" i="7"/>
  <c r="AV145" i="7"/>
  <c r="P24" i="7"/>
  <c r="AV24" i="7"/>
  <c r="D22" i="55"/>
  <c r="AI31" i="47"/>
  <c r="AI132" i="47"/>
  <c r="AI46" i="46"/>
  <c r="AI100" i="47"/>
  <c r="AI67" i="47"/>
  <c r="AI75" i="46"/>
  <c r="AI174" i="46"/>
  <c r="AI91" i="47"/>
  <c r="AI87" i="47"/>
  <c r="AI128" i="46"/>
  <c r="AI54" i="46"/>
  <c r="AI101" i="46"/>
  <c r="AI138" i="46"/>
  <c r="AI25" i="46"/>
  <c r="AI80" i="47"/>
  <c r="AI39" i="46"/>
  <c r="AI65" i="47"/>
  <c r="AI94" i="46"/>
  <c r="AI64" i="47"/>
  <c r="AI92" i="46"/>
  <c r="AI36" i="46"/>
  <c r="AI107" i="47"/>
  <c r="AI101" i="47"/>
  <c r="AI116" i="47"/>
  <c r="AI110" i="47"/>
  <c r="AI122" i="47"/>
  <c r="AI176" i="47"/>
  <c r="AI116" i="46"/>
  <c r="AI81" i="47"/>
  <c r="AI120" i="46"/>
  <c r="AI63" i="46"/>
  <c r="AI143" i="47"/>
  <c r="AI121" i="47"/>
  <c r="AI166" i="46"/>
  <c r="AI99" i="46"/>
  <c r="AI50" i="46"/>
  <c r="AI112" i="47"/>
  <c r="AI103" i="46"/>
  <c r="AI28" i="46"/>
  <c r="AI154" i="47"/>
  <c r="AI26" i="47"/>
  <c r="AI170" i="46"/>
  <c r="AI111" i="46"/>
  <c r="X44" i="46" a="1"/>
  <c r="X44" i="46" s="1"/>
  <c r="AD44" i="46" s="1"/>
  <c r="AZ44" i="46"/>
  <c r="AI44" i="46" s="1"/>
  <c r="AI49" i="46"/>
  <c r="AI129" i="46"/>
  <c r="AI105" i="46"/>
  <c r="AI43" i="46"/>
  <c r="X169" i="47" a="1"/>
  <c r="X169" i="47" s="1"/>
  <c r="AD169" i="47" s="1"/>
  <c r="AZ169" i="47"/>
  <c r="AI169" i="47" s="1"/>
  <c r="AI140" i="47"/>
  <c r="AI68" i="46"/>
  <c r="AI78" i="46"/>
  <c r="AI93" i="46"/>
  <c r="AI30" i="7"/>
  <c r="AI25" i="47"/>
  <c r="AI88" i="47"/>
  <c r="AI126" i="47"/>
  <c r="AI60" i="47"/>
  <c r="AI172" i="47"/>
  <c r="AI157" i="46"/>
  <c r="AI140" i="46"/>
  <c r="AI53" i="46"/>
  <c r="AI57" i="46"/>
  <c r="AI56" i="47"/>
  <c r="AI59" i="47"/>
  <c r="AI175" i="46"/>
  <c r="AI173" i="47"/>
  <c r="AI165" i="46"/>
  <c r="AI155" i="46"/>
  <c r="AI51" i="47"/>
  <c r="AI61" i="47"/>
  <c r="AI28" i="47"/>
  <c r="AI90" i="46"/>
  <c r="AZ63" i="47"/>
  <c r="AI63" i="47" s="1"/>
  <c r="X160" i="47" a="1"/>
  <c r="X160" i="47" s="1"/>
  <c r="AD160" i="47" s="1"/>
  <c r="AZ160" i="47"/>
  <c r="AI160" i="47" s="1"/>
  <c r="X142" i="46" a="1"/>
  <c r="X142" i="46" s="1"/>
  <c r="AD142" i="46" s="1"/>
  <c r="AZ142" i="46"/>
  <c r="AI142" i="46" s="1"/>
  <c r="AI38" i="46"/>
  <c r="AI55" i="46"/>
  <c r="AI115" i="47"/>
  <c r="AI113" i="47"/>
  <c r="AI38" i="47"/>
  <c r="AI136" i="47"/>
  <c r="AI124" i="46"/>
  <c r="AI153" i="47"/>
  <c r="AZ57" i="47"/>
  <c r="AI57" i="47" s="1"/>
  <c r="X133" i="47" a="1"/>
  <c r="X133" i="47" s="1"/>
  <c r="AD133" i="47" s="1"/>
  <c r="AZ133" i="47"/>
  <c r="AI133" i="47" s="1"/>
  <c r="AZ163" i="47"/>
  <c r="AI163" i="47" s="1"/>
  <c r="I163" i="47"/>
  <c r="X163" i="47" s="1" a="1"/>
  <c r="X163" i="47" s="1"/>
  <c r="X65" i="7" a="1"/>
  <c r="X65" i="7" s="1"/>
  <c r="X25" i="7" a="1"/>
  <c r="X25" i="7" s="1"/>
  <c r="X164" i="47" a="1"/>
  <c r="X164" i="47" s="1"/>
  <c r="AD164" i="47" s="1"/>
  <c r="X146" i="46" a="1"/>
  <c r="X146" i="46" s="1"/>
  <c r="AD146" i="46" s="1"/>
  <c r="X166" i="46" a="1"/>
  <c r="X166" i="46" s="1"/>
  <c r="AD166" i="46" s="1"/>
  <c r="I164" i="7"/>
  <c r="X164" i="7" s="1" a="1"/>
  <c r="X164" i="7" s="1"/>
  <c r="I146" i="7"/>
  <c r="X146" i="7" s="1" a="1"/>
  <c r="X146" i="7" s="1"/>
  <c r="AI139" i="7"/>
  <c r="AI120" i="47"/>
  <c r="AI16" i="47"/>
  <c r="AI132" i="46"/>
  <c r="AI90" i="47"/>
  <c r="AI74" i="47"/>
  <c r="AI30" i="46"/>
  <c r="AI102" i="47"/>
  <c r="AI94" i="47"/>
  <c r="AI129" i="47"/>
  <c r="AI29" i="47"/>
  <c r="AI97" i="46"/>
  <c r="AI176" i="46"/>
  <c r="I161" i="7"/>
  <c r="X161" i="7" s="1" a="1"/>
  <c r="X161" i="7" s="1"/>
  <c r="X64" i="47" a="1"/>
  <c r="X64" i="47" s="1"/>
  <c r="AD64" i="47" s="1"/>
  <c r="X52" i="47" a="1"/>
  <c r="X52" i="47" s="1"/>
  <c r="AD52" i="47" s="1"/>
  <c r="X63" i="46" a="1"/>
  <c r="X63" i="46" s="1"/>
  <c r="AD63" i="46" s="1"/>
  <c r="X163" i="46" a="1"/>
  <c r="X163" i="46" s="1"/>
  <c r="AD163" i="46" s="1"/>
  <c r="X155" i="7" a="1"/>
  <c r="X155" i="7" s="1"/>
  <c r="X168" i="7" a="1"/>
  <c r="X168" i="7" s="1"/>
  <c r="X146" i="47" a="1"/>
  <c r="X146" i="47" s="1"/>
  <c r="AD146" i="47" s="1"/>
  <c r="AI31" i="7"/>
  <c r="AI125" i="47"/>
  <c r="AI84" i="47"/>
  <c r="AI18" i="47"/>
  <c r="AI20" i="47"/>
  <c r="AI171" i="47"/>
  <c r="AI112" i="46"/>
  <c r="AI56" i="46"/>
  <c r="AI51" i="46"/>
  <c r="AI23" i="47"/>
  <c r="AI39" i="47"/>
  <c r="AI86" i="46"/>
  <c r="AI102" i="46"/>
  <c r="AI168" i="46"/>
  <c r="AI100" i="46"/>
  <c r="AI121" i="46"/>
  <c r="AI92" i="47"/>
  <c r="AI170" i="47"/>
  <c r="AI59" i="46"/>
  <c r="AI37" i="46"/>
  <c r="AI44" i="47"/>
  <c r="AI118" i="47"/>
  <c r="AI42" i="46"/>
  <c r="AI155" i="47"/>
  <c r="AI85" i="47"/>
  <c r="AI33" i="46"/>
  <c r="AI15" i="46"/>
  <c r="AZ18" i="46"/>
  <c r="AI18" i="46" s="1"/>
  <c r="AZ156" i="47"/>
  <c r="AI156" i="47" s="1"/>
  <c r="X165" i="7" a="1"/>
  <c r="X165" i="7" s="1"/>
  <c r="I161" i="46"/>
  <c r="X161" i="46" s="1" a="1"/>
  <c r="X161" i="46" s="1"/>
  <c r="AD161" i="46" s="1"/>
  <c r="X51" i="46" a="1"/>
  <c r="X51" i="46" s="1"/>
  <c r="AD51" i="46" s="1"/>
  <c r="AD77" i="46"/>
  <c r="X163" i="7" a="1"/>
  <c r="X163" i="7" s="1"/>
  <c r="AZ106" i="46"/>
  <c r="AI106" i="46" s="1"/>
  <c r="AZ23" i="46"/>
  <c r="AI23" i="46" s="1"/>
  <c r="X164" i="46" a="1"/>
  <c r="X164" i="46" s="1"/>
  <c r="AD164" i="46" s="1"/>
  <c r="X157" i="47" a="1"/>
  <c r="X157" i="47" s="1"/>
  <c r="AD157" i="47" s="1"/>
  <c r="I122" i="47"/>
  <c r="X122" i="47" s="1" a="1"/>
  <c r="X122" i="47" s="1"/>
  <c r="AD122" i="47" s="1"/>
  <c r="X51" i="47" a="1"/>
  <c r="X51" i="47" s="1"/>
  <c r="AD51" i="47" s="1"/>
  <c r="I65" i="46"/>
  <c r="X65" i="46" s="1" a="1"/>
  <c r="X65" i="46" s="1"/>
  <c r="AD65" i="46" s="1"/>
  <c r="AD158" i="46"/>
  <c r="X157" i="46" a="1"/>
  <c r="X157" i="46" s="1"/>
  <c r="AD157" i="46" s="1"/>
  <c r="X51" i="7" a="1"/>
  <c r="X51" i="7" s="1"/>
  <c r="X102" i="7" a="1"/>
  <c r="X102" i="7" s="1"/>
  <c r="I157" i="7"/>
  <c r="X157" i="7" s="1" a="1"/>
  <c r="X157" i="7" s="1"/>
  <c r="I64" i="7"/>
  <c r="X64" i="7" s="1" a="1"/>
  <c r="X64" i="7" s="1"/>
  <c r="I64" i="46"/>
  <c r="X64" i="46" s="1" a="1"/>
  <c r="X64" i="46" s="1"/>
  <c r="AD64" i="46" s="1"/>
  <c r="AD177" i="47"/>
  <c r="X168" i="46" a="1"/>
  <c r="X168" i="46" s="1"/>
  <c r="AD168" i="46" s="1"/>
  <c r="W292" i="47" a="1"/>
  <c r="W292" i="47" s="1"/>
  <c r="AZ292" i="47" s="1"/>
  <c r="W271" i="7" a="1"/>
  <c r="W271" i="7" s="1"/>
  <c r="AZ271" i="7" s="1"/>
  <c r="W295" i="47" a="1"/>
  <c r="W295" i="47" s="1"/>
  <c r="AZ295" i="47" s="1"/>
  <c r="W295" i="7" a="1"/>
  <c r="W295" i="7" s="1"/>
  <c r="AZ295" i="7" s="1"/>
  <c r="W299" i="7" a="1"/>
  <c r="W299" i="7" s="1"/>
  <c r="AZ299" i="7" s="1"/>
  <c r="AZ178" i="46"/>
  <c r="AZ212" i="7"/>
  <c r="AZ186" i="47"/>
  <c r="AZ242" i="46"/>
  <c r="AZ85" i="7"/>
  <c r="AI85" i="7" s="1"/>
  <c r="AZ243" i="7"/>
  <c r="AZ241" i="7"/>
  <c r="AZ107" i="46"/>
  <c r="AI107" i="46" s="1"/>
  <c r="AZ88" i="46"/>
  <c r="AI88" i="46" s="1"/>
  <c r="AZ34" i="47"/>
  <c r="AI34" i="47" s="1"/>
  <c r="AZ247" i="7"/>
  <c r="AZ194" i="7"/>
  <c r="AZ206" i="47"/>
  <c r="AZ184" i="47"/>
  <c r="AZ137" i="47"/>
  <c r="AI137" i="47" s="1"/>
  <c r="AZ234" i="7"/>
  <c r="AZ100" i="7"/>
  <c r="AI100" i="7" s="1"/>
  <c r="AZ125" i="46"/>
  <c r="AI125" i="46" s="1"/>
  <c r="AZ108" i="46"/>
  <c r="AI108" i="46" s="1"/>
  <c r="AZ198" i="7"/>
  <c r="AZ212" i="47"/>
  <c r="AZ172" i="46"/>
  <c r="AI172" i="46" s="1"/>
  <c r="AZ133" i="46"/>
  <c r="AI133" i="46" s="1"/>
  <c r="AZ158" i="46"/>
  <c r="AI158" i="46" s="1"/>
  <c r="AZ77" i="46"/>
  <c r="AI77" i="46" s="1"/>
  <c r="AZ32" i="46"/>
  <c r="AI32" i="46" s="1"/>
  <c r="X243" i="47" a="1"/>
  <c r="X243" i="47" s="1"/>
  <c r="AD243" i="47" s="1"/>
  <c r="I168" i="47"/>
  <c r="X168" i="47" s="1" a="1"/>
  <c r="X168" i="47" s="1"/>
  <c r="AD168" i="47" s="1"/>
  <c r="X248" i="46" a="1"/>
  <c r="X248" i="46" s="1"/>
  <c r="AD248" i="46" s="1"/>
  <c r="X201" i="46" a="1"/>
  <c r="X201" i="46" s="1"/>
  <c r="AD201" i="46" s="1"/>
  <c r="I28" i="7"/>
  <c r="X28" i="7" s="1" a="1"/>
  <c r="X28" i="7" s="1"/>
  <c r="I24" i="7"/>
  <c r="X24" i="7" s="1" a="1"/>
  <c r="X24" i="7" s="1"/>
  <c r="W149" i="46" a="1"/>
  <c r="W149" i="46" s="1"/>
  <c r="V3" i="46"/>
  <c r="C45" i="10" s="1"/>
  <c r="C49" i="10" s="1"/>
  <c r="S2" i="55"/>
  <c r="W255" i="7" a="1"/>
  <c r="W255" i="7" s="1"/>
  <c r="AZ255" i="7" s="1"/>
  <c r="X235" i="47" a="1"/>
  <c r="X235" i="47" s="1"/>
  <c r="AD235" i="47" s="1"/>
  <c r="X184" i="46" a="1"/>
  <c r="X184" i="46" s="1"/>
  <c r="AD184" i="46" s="1"/>
  <c r="X228" i="46" a="1"/>
  <c r="X228" i="46" s="1"/>
  <c r="AD228" i="46" s="1"/>
  <c r="X185" i="7" a="1"/>
  <c r="X185" i="7" s="1"/>
  <c r="J35" i="55" s="1"/>
  <c r="X208" i="7" a="1"/>
  <c r="X208" i="7" s="1"/>
  <c r="W279" i="46" a="1"/>
  <c r="W279" i="46" s="1"/>
  <c r="AZ279" i="46" s="1"/>
  <c r="W252" i="47" a="1"/>
  <c r="W252" i="47" s="1"/>
  <c r="AZ252" i="47" s="1"/>
  <c r="W278" i="46" a="1"/>
  <c r="W278" i="46" s="1"/>
  <c r="AZ278" i="46" s="1"/>
  <c r="I161" i="47"/>
  <c r="X161" i="47" s="1" a="1"/>
  <c r="X161" i="47" s="1"/>
  <c r="AD161" i="47" s="1"/>
  <c r="I28" i="47"/>
  <c r="X28" i="47" s="1" a="1"/>
  <c r="X28" i="47" s="1"/>
  <c r="AD28" i="47" s="1"/>
  <c r="W258" i="46" a="1"/>
  <c r="W258" i="46" s="1"/>
  <c r="AZ258" i="46" s="1"/>
  <c r="W257" i="47" a="1"/>
  <c r="W257" i="47" s="1"/>
  <c r="AZ257" i="47" s="1"/>
  <c r="X222" i="47" a="1"/>
  <c r="X222" i="47" s="1"/>
  <c r="AD222" i="47" s="1"/>
  <c r="X216" i="46" a="1"/>
  <c r="X216" i="46" s="1"/>
  <c r="AD216" i="46" s="1"/>
  <c r="X196" i="46" a="1"/>
  <c r="X196" i="46" s="1"/>
  <c r="AD196" i="46" s="1"/>
  <c r="X218" i="7" a="1"/>
  <c r="X218" i="7" s="1"/>
  <c r="W285" i="7" a="1"/>
  <c r="W285" i="7" s="1"/>
  <c r="AZ285" i="7" s="1"/>
  <c r="W275" i="46" a="1"/>
  <c r="W275" i="46" s="1"/>
  <c r="AZ275" i="46" s="1"/>
  <c r="X195" i="47" a="1"/>
  <c r="X195" i="47" s="1"/>
  <c r="AD195" i="47" s="1"/>
  <c r="X183" i="46" a="1"/>
  <c r="X183" i="46" s="1"/>
  <c r="AD183" i="46" s="1"/>
  <c r="X214" i="7" a="1"/>
  <c r="X214" i="7" s="1"/>
  <c r="W276" i="7" a="1"/>
  <c r="W276" i="7" s="1"/>
  <c r="AZ276" i="7" s="1"/>
  <c r="W264" i="46" a="1"/>
  <c r="W264" i="46" s="1"/>
  <c r="AZ264" i="46" s="1"/>
  <c r="W251" i="47" a="1"/>
  <c r="W251" i="47" s="1"/>
  <c r="AZ251" i="47" s="1"/>
  <c r="X250" i="47" a="1"/>
  <c r="X250" i="47" s="1"/>
  <c r="AD250" i="47" s="1"/>
  <c r="I167" i="47"/>
  <c r="X167" i="47" s="1" a="1"/>
  <c r="X167" i="47" s="1"/>
  <c r="X245" i="46" a="1"/>
  <c r="X245" i="46" s="1"/>
  <c r="AD245" i="46" s="1"/>
  <c r="W270" i="46" a="1"/>
  <c r="W270" i="46" s="1"/>
  <c r="AZ270" i="46" s="1"/>
  <c r="X237" i="47" a="1"/>
  <c r="X237" i="47" s="1"/>
  <c r="AD237" i="47" s="1"/>
  <c r="I47" i="47"/>
  <c r="X47" i="47" s="1" a="1"/>
  <c r="X47" i="47" s="1"/>
  <c r="I154" i="47"/>
  <c r="X154" i="47" s="1" a="1"/>
  <c r="X154" i="47" s="1"/>
  <c r="I14" i="7"/>
  <c r="X14" i="7" s="1" a="1"/>
  <c r="X14" i="7" s="1"/>
  <c r="X225" i="7" a="1"/>
  <c r="X225" i="7" s="1"/>
  <c r="P2" i="55"/>
  <c r="W260" i="46" a="1"/>
  <c r="W260" i="46" s="1"/>
  <c r="AZ260" i="46" s="1"/>
  <c r="W273" i="7" a="1"/>
  <c r="W273" i="7" s="1"/>
  <c r="AZ273" i="7" s="1"/>
  <c r="W261" i="46" a="1"/>
  <c r="W261" i="46" s="1"/>
  <c r="AZ261" i="46" s="1"/>
  <c r="W262" i="47" a="1"/>
  <c r="W262" i="47" s="1"/>
  <c r="AZ262" i="47" s="1"/>
  <c r="W294" i="7" a="1"/>
  <c r="W294" i="7" s="1"/>
  <c r="AZ294" i="7" s="1"/>
  <c r="W257" i="7" a="1"/>
  <c r="W257" i="7" s="1"/>
  <c r="AZ257" i="7" s="1"/>
  <c r="W209" i="47" a="1"/>
  <c r="W209" i="47" s="1"/>
  <c r="AZ209" i="47" s="1"/>
  <c r="W288" i="7" a="1"/>
  <c r="W288" i="7" s="1"/>
  <c r="AZ288" i="7" s="1"/>
  <c r="W285" i="46" a="1"/>
  <c r="W285" i="46" s="1"/>
  <c r="AZ285" i="46" s="1"/>
  <c r="W271" i="46" a="1"/>
  <c r="W271" i="46" s="1"/>
  <c r="AZ271" i="46" s="1"/>
  <c r="W256" i="47" a="1"/>
  <c r="W256" i="47" s="1"/>
  <c r="AZ256" i="47" s="1"/>
  <c r="X2" i="55"/>
  <c r="W253" i="46" a="1"/>
  <c r="W253" i="46" s="1"/>
  <c r="AZ253" i="46" s="1"/>
  <c r="W208" i="47" a="1"/>
  <c r="W208" i="47" s="1"/>
  <c r="AZ208" i="47" s="1"/>
  <c r="X201" i="47" a="1"/>
  <c r="X201" i="47" s="1"/>
  <c r="AD201" i="47" s="1"/>
  <c r="X197" i="46" a="1"/>
  <c r="X197" i="46" s="1"/>
  <c r="AD197" i="46" s="1"/>
  <c r="X181" i="46" a="1"/>
  <c r="X181" i="46" s="1"/>
  <c r="AD181" i="46" s="1"/>
  <c r="I66" i="46"/>
  <c r="X66" i="46" s="1" a="1"/>
  <c r="X66" i="46" s="1"/>
  <c r="AD66" i="46" s="1"/>
  <c r="X181" i="7" a="1"/>
  <c r="X181" i="7" s="1"/>
  <c r="X221" i="7" a="1"/>
  <c r="X221" i="7" s="1"/>
  <c r="W300" i="46" a="1"/>
  <c r="W300" i="46" s="1"/>
  <c r="AZ300" i="46" s="1"/>
  <c r="X213" i="47" a="1"/>
  <c r="X213" i="47" s="1"/>
  <c r="AD213" i="47" s="1"/>
  <c r="I165" i="47"/>
  <c r="X165" i="47" s="1" a="1"/>
  <c r="X165" i="47" s="1"/>
  <c r="AD165" i="47" s="1"/>
  <c r="X212" i="46" a="1"/>
  <c r="X212" i="46" s="1"/>
  <c r="AD212" i="46" s="1"/>
  <c r="X187" i="7" a="1"/>
  <c r="X187" i="7" s="1"/>
  <c r="X227" i="7" a="1"/>
  <c r="X227" i="7" s="1"/>
  <c r="W283" i="7" a="1"/>
  <c r="W283" i="7" s="1"/>
  <c r="AZ283" i="7" s="1"/>
  <c r="W17" i="47" a="1"/>
  <c r="W17" i="47" s="1"/>
  <c r="V4" i="47"/>
  <c r="W266" i="47" a="1"/>
  <c r="W266" i="47" s="1"/>
  <c r="AZ266" i="47" s="1"/>
  <c r="T3" i="7"/>
  <c r="H2" i="55"/>
  <c r="W296" i="46" a="1"/>
  <c r="W296" i="46" s="1"/>
  <c r="AZ296" i="46" s="1"/>
  <c r="W280" i="47" a="1"/>
  <c r="W280" i="47" s="1"/>
  <c r="AZ280" i="47" s="1"/>
  <c r="W287" i="46" a="1"/>
  <c r="W287" i="46" s="1"/>
  <c r="AZ287" i="46" s="1"/>
  <c r="X231" i="47" a="1"/>
  <c r="X231" i="47" s="1"/>
  <c r="AD231" i="47" s="1"/>
  <c r="X192" i="47" a="1"/>
  <c r="X192" i="47" s="1"/>
  <c r="AD192" i="47" s="1"/>
  <c r="I166" i="47"/>
  <c r="X166" i="47" s="1" a="1"/>
  <c r="X166" i="47" s="1"/>
  <c r="AD166" i="47" s="1"/>
  <c r="X209" i="46" a="1"/>
  <c r="X209" i="46" s="1"/>
  <c r="AD209" i="46" s="1"/>
  <c r="I52" i="46"/>
  <c r="X52" i="46" s="1" a="1"/>
  <c r="X52" i="46" s="1"/>
  <c r="AD52" i="46" s="1"/>
  <c r="I122" i="7"/>
  <c r="X122" i="7" s="1" a="1"/>
  <c r="X122" i="7" s="1"/>
  <c r="W281" i="47" a="1"/>
  <c r="W281" i="47" s="1"/>
  <c r="AZ281" i="47" s="1"/>
  <c r="W286" i="47" a="1"/>
  <c r="W286" i="47" s="1"/>
  <c r="AZ286" i="47" s="1"/>
  <c r="W291" i="46" a="1"/>
  <c r="W291" i="46" s="1"/>
  <c r="AZ291" i="46" s="1"/>
  <c r="W294" i="46" a="1"/>
  <c r="W294" i="46" s="1"/>
  <c r="AZ294" i="46" s="1"/>
  <c r="W279" i="47" a="1"/>
  <c r="W279" i="47" s="1"/>
  <c r="AZ279" i="47" s="1"/>
  <c r="AZ43" i="47"/>
  <c r="AI43" i="47" s="1"/>
  <c r="AZ122" i="7"/>
  <c r="AI122" i="7" s="1"/>
  <c r="AZ118" i="7"/>
  <c r="AI118" i="7" s="1"/>
  <c r="W263" i="47" a="1"/>
  <c r="W263" i="47" s="1"/>
  <c r="AZ263" i="47" s="1"/>
  <c r="X226" i="47" a="1"/>
  <c r="X226" i="47" s="1"/>
  <c r="AD226" i="47" s="1"/>
  <c r="X218" i="46" a="1"/>
  <c r="X218" i="46" s="1"/>
  <c r="AD218" i="46" s="1"/>
  <c r="W287" i="7" a="1"/>
  <c r="W287" i="7" s="1"/>
  <c r="AZ287" i="7" s="1"/>
  <c r="W260" i="7" a="1"/>
  <c r="W260" i="7" s="1"/>
  <c r="AZ260" i="7" s="1"/>
  <c r="W292" i="46" a="1"/>
  <c r="W292" i="46" s="1"/>
  <c r="AZ292" i="46" s="1"/>
  <c r="W269" i="46" a="1"/>
  <c r="W269" i="46" s="1"/>
  <c r="AZ269" i="46" s="1"/>
  <c r="X249" i="47" a="1"/>
  <c r="X249" i="47" s="1"/>
  <c r="AD249" i="47" s="1"/>
  <c r="X239" i="47" a="1"/>
  <c r="X239" i="47" s="1"/>
  <c r="AD239" i="47" s="1"/>
  <c r="I165" i="46"/>
  <c r="X165" i="46" s="1" a="1"/>
  <c r="X165" i="46" s="1"/>
  <c r="W298" i="47" a="1"/>
  <c r="W298" i="47" s="1"/>
  <c r="AZ298" i="47" s="1"/>
  <c r="W299" i="47" a="1"/>
  <c r="W299" i="47" s="1"/>
  <c r="AZ299" i="47" s="1"/>
  <c r="W292" i="7" a="1"/>
  <c r="W292" i="7" s="1"/>
  <c r="AZ292" i="7" s="1"/>
  <c r="W282" i="7" a="1"/>
  <c r="W282" i="7" s="1"/>
  <c r="AZ282" i="7" s="1"/>
  <c r="W265" i="47" a="1"/>
  <c r="W265" i="47" s="1"/>
  <c r="AZ265" i="47" s="1"/>
  <c r="W300" i="47" a="1"/>
  <c r="W300" i="47" s="1"/>
  <c r="AZ300" i="47" s="1"/>
  <c r="W280" i="46" a="1"/>
  <c r="W280" i="46" s="1"/>
  <c r="AZ280" i="46" s="1"/>
  <c r="W291" i="47" a="1"/>
  <c r="W291" i="47" s="1"/>
  <c r="AZ291" i="47" s="1"/>
  <c r="W284" i="46" a="1"/>
  <c r="W284" i="46" s="1"/>
  <c r="AZ284" i="46" s="1"/>
  <c r="X230" i="47" a="1"/>
  <c r="X230" i="47" s="1"/>
  <c r="AD230" i="47" s="1"/>
  <c r="X224" i="46" a="1"/>
  <c r="X224" i="46" s="1"/>
  <c r="AD224" i="46" s="1"/>
  <c r="X211" i="7" a="1"/>
  <c r="X211" i="7" s="1"/>
  <c r="X244" i="7" a="1"/>
  <c r="X244" i="7" s="1"/>
  <c r="X182" i="46" a="1"/>
  <c r="X182" i="46" s="1"/>
  <c r="AD182" i="46" s="1"/>
  <c r="X196" i="7" a="1"/>
  <c r="X196" i="7" s="1"/>
  <c r="W275" i="7" a="1"/>
  <c r="W275" i="7" s="1"/>
  <c r="AZ275" i="7" s="1"/>
  <c r="W256" i="7" a="1"/>
  <c r="W256" i="7" s="1"/>
  <c r="AZ256" i="7" s="1"/>
  <c r="P149" i="7"/>
  <c r="AV149" i="7"/>
  <c r="X179" i="46" a="1"/>
  <c r="X179" i="46" s="1"/>
  <c r="AD179" i="46" s="1"/>
  <c r="X189" i="7" a="1"/>
  <c r="X189" i="7" s="1"/>
  <c r="X229" i="7" a="1"/>
  <c r="X229" i="7" s="1"/>
  <c r="W280" i="7" a="1"/>
  <c r="W280" i="7" s="1"/>
  <c r="AZ280" i="7" s="1"/>
  <c r="W274" i="47" a="1"/>
  <c r="W274" i="47" s="1"/>
  <c r="AZ274" i="47" s="1"/>
  <c r="W272" i="46" a="1"/>
  <c r="W272" i="46" s="1"/>
  <c r="AZ272" i="46" s="1"/>
  <c r="W260" i="47" a="1"/>
  <c r="W260" i="47" s="1"/>
  <c r="AZ260" i="47" s="1"/>
  <c r="X215" i="7" a="1"/>
  <c r="X215" i="7" s="1"/>
  <c r="W268" i="46" a="1"/>
  <c r="W268" i="46" s="1"/>
  <c r="AZ268" i="46" s="1"/>
  <c r="W271" i="47" a="1"/>
  <c r="W271" i="47" s="1"/>
  <c r="AZ271" i="47" s="1"/>
  <c r="AZ50" i="47"/>
  <c r="AI50" i="47" s="1"/>
  <c r="AZ73" i="46"/>
  <c r="AI73" i="46" s="1"/>
  <c r="AZ186" i="7"/>
  <c r="AZ106" i="47"/>
  <c r="AI106" i="47" s="1"/>
  <c r="AZ52" i="46"/>
  <c r="AI52" i="46" s="1"/>
  <c r="AZ215" i="46"/>
  <c r="AZ214" i="47"/>
  <c r="AZ58" i="46"/>
  <c r="AI58" i="46" s="1"/>
  <c r="AZ188" i="7"/>
  <c r="AI188" i="7" s="1"/>
  <c r="AZ203" i="47"/>
  <c r="W266" i="46" a="1"/>
  <c r="W266" i="46" s="1"/>
  <c r="AZ266" i="46" s="1"/>
  <c r="X204" i="46" a="1"/>
  <c r="X204" i="46" s="1"/>
  <c r="AD204" i="46" s="1"/>
  <c r="AZ66" i="46"/>
  <c r="AI66" i="46" s="1"/>
  <c r="AZ205" i="47"/>
  <c r="AZ130" i="46"/>
  <c r="AI130" i="46" s="1"/>
  <c r="AZ208" i="46"/>
  <c r="AZ160" i="46"/>
  <c r="AI160" i="46" s="1"/>
  <c r="AZ103" i="7"/>
  <c r="AI103" i="7" s="1"/>
  <c r="AZ179" i="47"/>
  <c r="AZ57" i="7"/>
  <c r="AI57" i="7" s="1"/>
  <c r="AZ236" i="46"/>
  <c r="AZ168" i="47"/>
  <c r="AI168" i="47" s="1"/>
  <c r="AZ40" i="46"/>
  <c r="AI40" i="46" s="1"/>
  <c r="AZ109" i="7"/>
  <c r="AI109" i="7" s="1"/>
  <c r="AZ59" i="7"/>
  <c r="AI59" i="7" s="1"/>
  <c r="AZ195" i="46"/>
  <c r="AZ60" i="46"/>
  <c r="AI60" i="46" s="1"/>
  <c r="AZ165" i="7"/>
  <c r="AI165" i="7" s="1"/>
  <c r="AZ74" i="46"/>
  <c r="AI74" i="46" s="1"/>
  <c r="AZ177" i="47"/>
  <c r="AI177" i="47" s="1"/>
  <c r="AZ238" i="7"/>
  <c r="X225" i="46" a="1"/>
  <c r="X225" i="46" s="1"/>
  <c r="AD225" i="46" s="1"/>
  <c r="I66" i="7"/>
  <c r="X66" i="7" s="1" a="1"/>
  <c r="X66" i="7" s="1"/>
  <c r="X182" i="7" a="1"/>
  <c r="X182" i="7" s="1"/>
  <c r="J33" i="55" s="1"/>
  <c r="X222" i="7" a="1"/>
  <c r="X222" i="7" s="1"/>
  <c r="W289" i="7" a="1"/>
  <c r="W289" i="7" s="1"/>
  <c r="AZ289" i="7" s="1"/>
  <c r="W276" i="47" a="1"/>
  <c r="W276" i="47" s="1"/>
  <c r="AZ276" i="47" s="1"/>
  <c r="I102" i="47"/>
  <c r="X102" i="47" s="1" a="1"/>
  <c r="X102" i="47" s="1"/>
  <c r="X244" i="46" a="1"/>
  <c r="X244" i="46" s="1"/>
  <c r="AD244" i="46" s="1"/>
  <c r="I28" i="46"/>
  <c r="X28" i="46" s="1" a="1"/>
  <c r="X28" i="46" s="1"/>
  <c r="AD28" i="46" s="1"/>
  <c r="W253" i="7" a="1"/>
  <c r="W253" i="7" s="1"/>
  <c r="AZ253" i="7" s="1"/>
  <c r="W265" i="46" a="1"/>
  <c r="W265" i="46" s="1"/>
  <c r="AZ265" i="46" s="1"/>
  <c r="X242" i="47" a="1"/>
  <c r="X242" i="47" s="1"/>
  <c r="AD242" i="47" s="1"/>
  <c r="X234" i="47" a="1"/>
  <c r="X234" i="47" s="1"/>
  <c r="AD234" i="47" s="1"/>
  <c r="W30" i="47" a="1"/>
  <c r="W30" i="47" s="1"/>
  <c r="AZ30" i="47" s="1"/>
  <c r="AI30" i="47" s="1"/>
  <c r="W192" i="46" a="1"/>
  <c r="W192" i="46" s="1"/>
  <c r="AZ192" i="46" s="1"/>
  <c r="I25" i="47"/>
  <c r="X25" i="47" s="1" a="1"/>
  <c r="X25" i="47" s="1"/>
  <c r="AD25" i="47" s="1"/>
  <c r="I102" i="46"/>
  <c r="X102" i="46" s="1" a="1"/>
  <c r="X102" i="46" s="1"/>
  <c r="X245" i="7" a="1"/>
  <c r="X245" i="7" s="1"/>
  <c r="X203" i="7" a="1"/>
  <c r="X203" i="7" s="1"/>
  <c r="W263" i="7" a="1"/>
  <c r="W263" i="7" s="1"/>
  <c r="AZ263" i="7" s="1"/>
  <c r="W284" i="7" a="1"/>
  <c r="W284" i="7" s="1"/>
  <c r="AZ284" i="7" s="1"/>
  <c r="W273" i="47" a="1"/>
  <c r="W273" i="47" s="1"/>
  <c r="AZ273" i="47" s="1"/>
  <c r="X228" i="47" a="1"/>
  <c r="X228" i="47" s="1"/>
  <c r="AD228" i="47" s="1"/>
  <c r="X189" i="47" a="1"/>
  <c r="X189" i="47" s="1"/>
  <c r="AD189" i="47" s="1"/>
  <c r="W268" i="47" a="1"/>
  <c r="W268" i="47" s="1"/>
  <c r="AZ268" i="47" s="1"/>
  <c r="W298" i="46" a="1"/>
  <c r="W298" i="46" s="1"/>
  <c r="AZ298" i="46" s="1"/>
  <c r="I65" i="47"/>
  <c r="X65" i="47" s="1" a="1"/>
  <c r="X65" i="47" s="1"/>
  <c r="AD65" i="47" s="1"/>
  <c r="X230" i="46" a="1"/>
  <c r="X230" i="46" s="1"/>
  <c r="AD230" i="46" s="1"/>
  <c r="X185" i="46" a="1"/>
  <c r="X185" i="46" s="1"/>
  <c r="AD185" i="46" s="1"/>
  <c r="W290" i="7" a="1"/>
  <c r="W290" i="7" s="1"/>
  <c r="AZ290" i="7" s="1"/>
  <c r="W289" i="47" a="1"/>
  <c r="W289" i="47" s="1"/>
  <c r="AZ289" i="47" s="1"/>
  <c r="W255" i="47" a="1"/>
  <c r="W255" i="47" s="1"/>
  <c r="AZ255" i="47" s="1"/>
  <c r="W273" i="46" a="1"/>
  <c r="W273" i="46" s="1"/>
  <c r="AZ273" i="46" s="1"/>
  <c r="X200" i="7" a="1"/>
  <c r="X200" i="7" s="1"/>
  <c r="X240" i="7" a="1"/>
  <c r="X240" i="7" s="1"/>
  <c r="X223" i="7" a="1"/>
  <c r="X223" i="7" s="1"/>
  <c r="W272" i="7" a="1"/>
  <c r="W272" i="7" s="1"/>
  <c r="AZ272" i="7" s="1"/>
  <c r="W290" i="46" a="1"/>
  <c r="W290" i="46" s="1"/>
  <c r="AZ290" i="46" s="1"/>
  <c r="W298" i="7" a="1"/>
  <c r="W298" i="7" s="1"/>
  <c r="AZ298" i="7" s="1"/>
  <c r="X246" i="47" a="1"/>
  <c r="X246" i="47" s="1"/>
  <c r="AD246" i="47" s="1"/>
  <c r="X187" i="47" a="1"/>
  <c r="X187" i="47" s="1"/>
  <c r="AD187" i="47" s="1"/>
  <c r="D2" i="55"/>
  <c r="X232" i="47" a="1"/>
  <c r="X232" i="47" s="1"/>
  <c r="AD232" i="47" s="1"/>
  <c r="X234" i="46" a="1"/>
  <c r="X234" i="46" s="1"/>
  <c r="AD234" i="46" s="1"/>
  <c r="W268" i="7" a="1"/>
  <c r="W268" i="7" s="1"/>
  <c r="AZ268" i="7" s="1"/>
  <c r="W199" i="47" a="1"/>
  <c r="W199" i="47" s="1"/>
  <c r="AZ199" i="47" s="1"/>
  <c r="W278" i="7" a="1"/>
  <c r="W278" i="7" s="1"/>
  <c r="AZ278" i="7" s="1"/>
  <c r="W150" i="47" a="1"/>
  <c r="W150" i="47" s="1"/>
  <c r="AZ150" i="47" s="1"/>
  <c r="AI150" i="47" s="1"/>
  <c r="AZ219" i="47"/>
  <c r="AZ169" i="46"/>
  <c r="AI169" i="46" s="1"/>
  <c r="AZ47" i="47"/>
  <c r="AI47" i="47" s="1"/>
  <c r="W297" i="7" a="1"/>
  <c r="W297" i="7" s="1"/>
  <c r="AZ297" i="7" s="1"/>
  <c r="W288" i="46" a="1"/>
  <c r="W288" i="46" s="1"/>
  <c r="AZ288" i="46" s="1"/>
  <c r="W186" i="46" a="1"/>
  <c r="W186" i="46" s="1"/>
  <c r="AZ186" i="46" s="1"/>
  <c r="W257" i="46" a="1"/>
  <c r="W257" i="46" s="1"/>
  <c r="AZ257" i="46" s="1"/>
  <c r="W255" i="46" a="1"/>
  <c r="W255" i="46" s="1"/>
  <c r="AZ255" i="46" s="1"/>
  <c r="W259" i="47" a="1"/>
  <c r="W259" i="47" s="1"/>
  <c r="AZ259" i="47" s="1"/>
  <c r="W281" i="46" a="1"/>
  <c r="W281" i="46" s="1"/>
  <c r="AZ281" i="46" s="1"/>
  <c r="W258" i="47" a="1"/>
  <c r="W258" i="47" s="1"/>
  <c r="AZ258" i="47" s="1"/>
  <c r="W291" i="7" a="1"/>
  <c r="W291" i="7" s="1"/>
  <c r="AZ291" i="7" s="1"/>
  <c r="W262" i="7" a="1"/>
  <c r="W262" i="7" s="1"/>
  <c r="AZ262" i="7" s="1"/>
  <c r="X221" i="47" a="1"/>
  <c r="X221" i="47" s="1"/>
  <c r="AD221" i="47" s="1"/>
  <c r="I151" i="47"/>
  <c r="X151" i="47" s="1" a="1"/>
  <c r="X151" i="47" s="1"/>
  <c r="X239" i="46" a="1"/>
  <c r="X239" i="46" s="1"/>
  <c r="AD239" i="46" s="1"/>
  <c r="X193" i="46" a="1"/>
  <c r="X193" i="46" s="1"/>
  <c r="AD193" i="46" s="1"/>
  <c r="I25" i="46"/>
  <c r="X25" i="46" s="1" a="1"/>
  <c r="X25" i="46" s="1"/>
  <c r="AD25" i="46" s="1"/>
  <c r="I22" i="46"/>
  <c r="X22" i="46" s="1" a="1"/>
  <c r="X22" i="46" s="1"/>
  <c r="T3" i="55" s="1"/>
  <c r="W274" i="46" a="1"/>
  <c r="W274" i="46" s="1"/>
  <c r="AZ274" i="46" s="1"/>
  <c r="W261" i="47" a="1"/>
  <c r="W261" i="47" s="1"/>
  <c r="AZ261" i="47" s="1"/>
  <c r="W253" i="47" a="1"/>
  <c r="W253" i="47" s="1"/>
  <c r="AZ253" i="47" s="1"/>
  <c r="I155" i="47"/>
  <c r="X155" i="47" s="1" a="1"/>
  <c r="X155" i="47" s="1"/>
  <c r="AD155" i="47" s="1"/>
  <c r="I66" i="47"/>
  <c r="X66" i="47" s="1" a="1"/>
  <c r="X66" i="47" s="1"/>
  <c r="AD66" i="47" s="1"/>
  <c r="X235" i="46" a="1"/>
  <c r="X235" i="46" s="1"/>
  <c r="AD235" i="46" s="1"/>
  <c r="X188" i="46" a="1"/>
  <c r="X188" i="46" s="1"/>
  <c r="AD188" i="46" s="1"/>
  <c r="I63" i="7"/>
  <c r="X63" i="7" s="1" a="1"/>
  <c r="X63" i="7" s="1"/>
  <c r="I166" i="7"/>
  <c r="X166" i="7" s="1" a="1"/>
  <c r="X166" i="7" s="1"/>
  <c r="W297" i="47" a="1"/>
  <c r="W297" i="47" s="1"/>
  <c r="AZ297" i="47" s="1"/>
  <c r="W261" i="7" a="1"/>
  <c r="W261" i="7" s="1"/>
  <c r="AZ261" i="7" s="1"/>
  <c r="W300" i="7" a="1"/>
  <c r="W300" i="7" s="1"/>
  <c r="AZ300" i="7" s="1"/>
  <c r="W204" i="47" a="1"/>
  <c r="W204" i="47" s="1"/>
  <c r="AZ204" i="47" s="1"/>
  <c r="X188" i="47" a="1"/>
  <c r="X188" i="47" s="1"/>
  <c r="AD188" i="47" s="1"/>
  <c r="W251" i="7" a="1"/>
  <c r="W251" i="7" s="1"/>
  <c r="AZ251" i="7" s="1"/>
  <c r="W264" i="47" a="1"/>
  <c r="W264" i="47" s="1"/>
  <c r="AZ264" i="47" s="1"/>
  <c r="W289" i="46" a="1"/>
  <c r="W289" i="46" s="1"/>
  <c r="AZ289" i="46" s="1"/>
  <c r="W299" i="46" a="1"/>
  <c r="W299" i="46" s="1"/>
  <c r="AZ299" i="46" s="1"/>
  <c r="W227" i="47" a="1"/>
  <c r="W227" i="47" s="1"/>
  <c r="AZ227" i="47" s="1"/>
  <c r="X213" i="7" a="1"/>
  <c r="X213" i="7" s="1"/>
  <c r="X236" i="7" a="1"/>
  <c r="X236" i="7" s="1"/>
  <c r="X197" i="47" a="1"/>
  <c r="X197" i="47" s="1"/>
  <c r="AD197" i="47" s="1"/>
  <c r="X187" i="46" a="1"/>
  <c r="X187" i="46" s="1"/>
  <c r="AD187" i="46" s="1"/>
  <c r="I122" i="46"/>
  <c r="X122" i="46" s="1" a="1"/>
  <c r="X122" i="46" s="1"/>
  <c r="AD122" i="46" s="1"/>
  <c r="W283" i="46" a="1"/>
  <c r="W283" i="46" s="1"/>
  <c r="AZ283" i="46" s="1"/>
  <c r="W282" i="46" a="1"/>
  <c r="W282" i="46" s="1"/>
  <c r="AZ282" i="46" s="1"/>
  <c r="W297" i="46" a="1"/>
  <c r="W297" i="46" s="1"/>
  <c r="AZ297" i="46" s="1"/>
  <c r="W283" i="47" a="1"/>
  <c r="W283" i="47" s="1"/>
  <c r="AZ283" i="47" s="1"/>
  <c r="W264" i="7" a="1"/>
  <c r="W264" i="7" s="1"/>
  <c r="AZ264" i="7" s="1"/>
  <c r="AZ198" i="47"/>
  <c r="AZ96" i="7"/>
  <c r="AI96" i="7" s="1"/>
  <c r="AZ165" i="47"/>
  <c r="AI165" i="47" s="1"/>
  <c r="AZ152" i="7"/>
  <c r="AI152" i="7" s="1"/>
  <c r="AZ204" i="7"/>
  <c r="AZ46" i="47"/>
  <c r="AI46" i="47" s="1"/>
  <c r="AZ69" i="7"/>
  <c r="AI69" i="7" s="1"/>
  <c r="W293" i="7" a="1"/>
  <c r="W293" i="7" s="1"/>
  <c r="AZ293" i="7" s="1"/>
  <c r="W267" i="47" a="1"/>
  <c r="W267" i="47" s="1"/>
  <c r="AZ267" i="47" s="1"/>
  <c r="W272" i="47" a="1"/>
  <c r="W272" i="47" s="1"/>
  <c r="AZ272" i="47" s="1"/>
  <c r="W282" i="47" a="1"/>
  <c r="W282" i="47" s="1"/>
  <c r="AZ282" i="47" s="1"/>
  <c r="W296" i="7" a="1"/>
  <c r="W296" i="7" s="1"/>
  <c r="AZ296" i="7" s="1"/>
  <c r="W263" i="46" a="1"/>
  <c r="W263" i="46" s="1"/>
  <c r="AZ263" i="46" s="1"/>
  <c r="W274" i="7" a="1"/>
  <c r="W274" i="7" s="1"/>
  <c r="AZ274" i="7" s="1"/>
  <c r="W17" i="46" a="1"/>
  <c r="W17" i="46" s="1"/>
  <c r="V4" i="46"/>
  <c r="W278" i="47" a="1"/>
  <c r="W278" i="47" s="1"/>
  <c r="AZ278" i="47" s="1"/>
  <c r="W285" i="47" a="1"/>
  <c r="W285" i="47" s="1"/>
  <c r="AZ285" i="47" s="1"/>
  <c r="W21" i="47" a="1"/>
  <c r="W21" i="47" s="1"/>
  <c r="AZ21" i="47" s="1"/>
  <c r="AI21" i="47" s="1"/>
  <c r="W269" i="7" a="1"/>
  <c r="W269" i="7" s="1"/>
  <c r="AZ269" i="7" s="1"/>
  <c r="W296" i="47" a="1"/>
  <c r="W296" i="47" s="1"/>
  <c r="AZ296" i="47" s="1"/>
  <c r="W211" i="47" a="1"/>
  <c r="W211" i="47" s="1"/>
  <c r="AZ211" i="47" s="1"/>
  <c r="W256" i="46" a="1"/>
  <c r="W256" i="46" s="1"/>
  <c r="AZ256" i="46" s="1"/>
  <c r="W281" i="7" a="1"/>
  <c r="W281" i="7" s="1"/>
  <c r="AZ281" i="7" s="1"/>
  <c r="W284" i="47" a="1"/>
  <c r="W284" i="47" s="1"/>
  <c r="AZ284" i="47" s="1"/>
  <c r="W267" i="7" a="1"/>
  <c r="W267" i="7" s="1"/>
  <c r="AZ267" i="7" s="1"/>
  <c r="W293" i="46" a="1"/>
  <c r="W293" i="46" s="1"/>
  <c r="AZ293" i="46" s="1"/>
  <c r="W288" i="47" a="1"/>
  <c r="W288" i="47" s="1"/>
  <c r="AZ288" i="47" s="1"/>
  <c r="X206" i="7" a="1"/>
  <c r="X206" i="7" s="1"/>
  <c r="W266" i="7" a="1"/>
  <c r="W266" i="7" s="1"/>
  <c r="AZ266" i="7" s="1"/>
  <c r="X217" i="46" a="1"/>
  <c r="X217" i="46" s="1"/>
  <c r="AD217" i="46" s="1"/>
  <c r="X214" i="46" a="1"/>
  <c r="X214" i="46" s="1"/>
  <c r="AD214" i="46" s="1"/>
  <c r="W258" i="7" a="1"/>
  <c r="W258" i="7" s="1"/>
  <c r="AZ258" i="7" s="1"/>
  <c r="W254" i="7" a="1"/>
  <c r="W254" i="7" s="1"/>
  <c r="AZ254" i="7" s="1"/>
  <c r="W287" i="47" a="1"/>
  <c r="W287" i="47" s="1"/>
  <c r="AZ287" i="47" s="1"/>
  <c r="W277" i="7" a="1"/>
  <c r="W277" i="7" s="1"/>
  <c r="AZ277" i="7" s="1"/>
  <c r="X219" i="7" a="1"/>
  <c r="X219" i="7" s="1"/>
  <c r="W251" i="46" a="1"/>
  <c r="W251" i="46" s="1"/>
  <c r="AZ251" i="46" s="1"/>
  <c r="W252" i="46" a="1"/>
  <c r="W252" i="46" s="1"/>
  <c r="AZ252" i="46" s="1"/>
  <c r="W279" i="7" a="1"/>
  <c r="W279" i="7" s="1"/>
  <c r="AZ279" i="7" s="1"/>
  <c r="W267" i="46" a="1"/>
  <c r="W267" i="46" s="1"/>
  <c r="AZ267" i="46" s="1"/>
  <c r="AZ126" i="46"/>
  <c r="AI126" i="46" s="1"/>
  <c r="AZ91" i="46"/>
  <c r="AI91" i="46" s="1"/>
  <c r="AZ20" i="46"/>
  <c r="AI20" i="46" s="1"/>
  <c r="AZ191" i="7"/>
  <c r="AZ167" i="47"/>
  <c r="AI167" i="47" s="1"/>
  <c r="AZ231" i="7"/>
  <c r="AZ82" i="47"/>
  <c r="AI82" i="47" s="1"/>
  <c r="AZ175" i="47"/>
  <c r="AI175" i="47" s="1"/>
  <c r="AZ228" i="7"/>
  <c r="AZ22" i="47"/>
  <c r="AI22" i="47" s="1"/>
  <c r="AZ110" i="46"/>
  <c r="AI110" i="46" s="1"/>
  <c r="AZ71" i="47"/>
  <c r="AI71" i="47" s="1"/>
  <c r="AZ210" i="47"/>
  <c r="AZ108" i="47"/>
  <c r="AI108" i="47" s="1"/>
  <c r="AZ68" i="47"/>
  <c r="AI68" i="47" s="1"/>
  <c r="AZ156" i="7"/>
  <c r="AI156" i="7" s="1"/>
  <c r="AZ223" i="46"/>
  <c r="AZ128" i="47"/>
  <c r="AI128" i="47" s="1"/>
  <c r="AZ201" i="7"/>
  <c r="AZ240" i="46"/>
  <c r="AZ220" i="46"/>
  <c r="AZ173" i="46"/>
  <c r="AI173" i="46" s="1"/>
  <c r="AZ166" i="47"/>
  <c r="AI166" i="47" s="1"/>
  <c r="W259" i="46" a="1"/>
  <c r="W259" i="46" s="1"/>
  <c r="AZ259" i="46" s="1"/>
  <c r="W293" i="47" a="1"/>
  <c r="W293" i="47" s="1"/>
  <c r="AZ293" i="47" s="1"/>
  <c r="W254" i="46" a="1"/>
  <c r="W254" i="46" s="1"/>
  <c r="AZ254" i="46" s="1"/>
  <c r="X229" i="47" a="1"/>
  <c r="X229" i="47" s="1"/>
  <c r="AD229" i="47" s="1"/>
  <c r="X181" i="47" a="1"/>
  <c r="X181" i="47" s="1"/>
  <c r="AD181" i="47" s="1"/>
  <c r="I63" i="47"/>
  <c r="X63" i="47" s="1" a="1"/>
  <c r="X63" i="47" s="1"/>
  <c r="AD63" i="47" s="1"/>
  <c r="X226" i="46" a="1"/>
  <c r="X226" i="46" s="1"/>
  <c r="AD226" i="46" s="1"/>
  <c r="X226" i="7" a="1"/>
  <c r="X226" i="7" s="1"/>
  <c r="W259" i="7" a="1"/>
  <c r="W259" i="7" s="1"/>
  <c r="AZ259" i="7" s="1"/>
  <c r="W275" i="47" a="1"/>
  <c r="W275" i="47" s="1"/>
  <c r="AZ275" i="47" s="1"/>
  <c r="I33" i="46"/>
  <c r="X33" i="46" s="1" a="1"/>
  <c r="X33" i="46" s="1"/>
  <c r="I155" i="46"/>
  <c r="X155" i="46" s="1" a="1"/>
  <c r="X155" i="46" s="1"/>
  <c r="AD155" i="46" s="1"/>
  <c r="X179" i="7" a="1"/>
  <c r="X179" i="7" s="1"/>
  <c r="W270" i="7" a="1"/>
  <c r="W270" i="7" s="1"/>
  <c r="AZ270" i="7" s="1"/>
  <c r="W286" i="46" a="1"/>
  <c r="W286" i="46" s="1"/>
  <c r="AZ286" i="46" s="1"/>
  <c r="W149" i="47" a="1"/>
  <c r="W149" i="47" s="1"/>
  <c r="V3" i="47"/>
  <c r="D45" i="10" s="1"/>
  <c r="D49" i="10" s="1"/>
  <c r="AC2" i="55"/>
  <c r="W252" i="7" a="1"/>
  <c r="W252" i="7" s="1"/>
  <c r="AZ252" i="7" s="1"/>
  <c r="W277" i="46" a="1"/>
  <c r="W277" i="46" s="1"/>
  <c r="AZ277" i="46" s="1"/>
  <c r="W276" i="46" a="1"/>
  <c r="W276" i="46" s="1"/>
  <c r="AZ276" i="46" s="1"/>
  <c r="T3" i="47"/>
  <c r="S3" i="47" s="1"/>
  <c r="AB2" i="55"/>
  <c r="W269" i="47" a="1"/>
  <c r="W269" i="47" s="1"/>
  <c r="AZ269" i="47" s="1"/>
  <c r="W295" i="46" a="1"/>
  <c r="W295" i="46" s="1"/>
  <c r="AZ295" i="46" s="1"/>
  <c r="V3" i="7"/>
  <c r="B45" i="10" s="1"/>
  <c r="B49" i="10" s="1"/>
  <c r="W149" i="7" a="1"/>
  <c r="W149" i="7" s="1"/>
  <c r="I2" i="55"/>
  <c r="X210" i="46" a="1"/>
  <c r="X210" i="46" s="1"/>
  <c r="AD210" i="46" s="1"/>
  <c r="W194" i="46" a="1"/>
  <c r="W194" i="46" s="1"/>
  <c r="AZ194" i="46" s="1"/>
  <c r="I54" i="46"/>
  <c r="X54" i="46" s="1" a="1"/>
  <c r="X54" i="46" s="1"/>
  <c r="X197" i="7" a="1"/>
  <c r="X197" i="7" s="1"/>
  <c r="N2" i="55"/>
  <c r="W270" i="47" a="1"/>
  <c r="W270" i="47" s="1"/>
  <c r="AZ270" i="47" s="1"/>
  <c r="X220" i="47" a="1"/>
  <c r="X220" i="47" s="1"/>
  <c r="AD220" i="47" s="1"/>
  <c r="W190" i="47" a="1"/>
  <c r="W190" i="47" s="1"/>
  <c r="AZ190" i="47" s="1"/>
  <c r="X159" i="7" a="1"/>
  <c r="X159" i="7" s="1"/>
  <c r="AJ2" i="52"/>
  <c r="T3" i="46"/>
  <c r="S3" i="46" s="1"/>
  <c r="R2" i="55"/>
  <c r="W286" i="7" a="1"/>
  <c r="W286" i="7" s="1"/>
  <c r="AZ286" i="7" s="1"/>
  <c r="W262" i="46" a="1"/>
  <c r="W262" i="46" s="1"/>
  <c r="AZ262" i="46" s="1"/>
  <c r="W254" i="47" a="1"/>
  <c r="W254" i="47" s="1"/>
  <c r="AZ254" i="47" s="1"/>
  <c r="W290" i="47" a="1"/>
  <c r="W290" i="47" s="1"/>
  <c r="AZ290" i="47" s="1"/>
  <c r="W265" i="7" a="1"/>
  <c r="W265" i="7" s="1"/>
  <c r="AZ265" i="7" s="1"/>
  <c r="W294" i="47" a="1"/>
  <c r="W294" i="47" s="1"/>
  <c r="AZ294" i="47" s="1"/>
  <c r="W277" i="47" a="1"/>
  <c r="W277" i="47" s="1"/>
  <c r="AZ277" i="47" s="1"/>
  <c r="X249" i="46" a="1"/>
  <c r="X249" i="46" s="1"/>
  <c r="AD249" i="46" s="1"/>
  <c r="X211" i="46" a="1"/>
  <c r="X211" i="46" s="1"/>
  <c r="AD211" i="46" s="1"/>
  <c r="X203" i="46" a="1"/>
  <c r="X203" i="46" s="1"/>
  <c r="AD203" i="46" s="1"/>
  <c r="I52" i="7"/>
  <c r="X52" i="7" s="1" a="1"/>
  <c r="X52" i="7" s="1"/>
  <c r="Z2" i="55"/>
  <c r="AV76" i="47"/>
  <c r="AV76" i="46"/>
  <c r="AX149" i="47"/>
  <c r="AT76" i="46"/>
  <c r="AX76" i="47"/>
  <c r="AT76" i="47"/>
  <c r="AV149" i="47"/>
  <c r="AT139" i="47"/>
  <c r="AI139" i="47" s="1"/>
  <c r="AX149" i="46"/>
  <c r="AX76" i="46"/>
  <c r="AT139" i="46"/>
  <c r="AI139" i="46" s="1"/>
  <c r="AV149" i="46"/>
  <c r="E183" i="10"/>
  <c r="E179" i="10"/>
  <c r="AT143" i="7"/>
  <c r="B179" i="10"/>
  <c r="X180" i="7" l="1" a="1"/>
  <c r="X180" i="7" s="1"/>
  <c r="J32" i="55" s="1"/>
  <c r="AI33" i="7"/>
  <c r="AZ89" i="7"/>
  <c r="AI89" i="7" s="1"/>
  <c r="I47" i="7"/>
  <c r="X47" i="7" s="1" a="1"/>
  <c r="X47" i="7" s="1"/>
  <c r="I167" i="7"/>
  <c r="X167" i="7" s="1" a="1"/>
  <c r="X167" i="7" s="1"/>
  <c r="X298" i="46" a="1"/>
  <c r="X298" i="46" s="1"/>
  <c r="AD298" i="46" s="1"/>
  <c r="X300" i="47" a="1"/>
  <c r="X300" i="47" s="1"/>
  <c r="AD300" i="47" s="1"/>
  <c r="AD22" i="55"/>
  <c r="Z28" i="55"/>
  <c r="Z19" i="55"/>
  <c r="I14" i="47"/>
  <c r="X14" i="47" s="1" a="1"/>
  <c r="X14" i="47" s="1"/>
  <c r="AD15" i="55"/>
  <c r="AB28" i="55"/>
  <c r="AB19" i="55"/>
  <c r="X28" i="55"/>
  <c r="X19" i="55"/>
  <c r="AZ48" i="47"/>
  <c r="AI48" i="47" s="1"/>
  <c r="I35" i="46"/>
  <c r="X35" i="46" s="1" a="1"/>
  <c r="X35" i="46" s="1"/>
  <c r="T15" i="55"/>
  <c r="AZ162" i="46"/>
  <c r="AI162" i="46" s="1"/>
  <c r="I154" i="46"/>
  <c r="X154" i="46" s="1" a="1"/>
  <c r="X154" i="46" s="1"/>
  <c r="T23" i="55" s="1"/>
  <c r="P28" i="55"/>
  <c r="P19" i="55"/>
  <c r="I47" i="46"/>
  <c r="X47" i="46" s="1" a="1"/>
  <c r="X47" i="46" s="1"/>
  <c r="AD47" i="46" s="1"/>
  <c r="R28" i="55"/>
  <c r="R19" i="55"/>
  <c r="N28" i="55"/>
  <c r="N19" i="55"/>
  <c r="F15" i="55"/>
  <c r="F19" i="55"/>
  <c r="F29" i="55"/>
  <c r="F4" i="55"/>
  <c r="C174" i="10"/>
  <c r="AI14" i="7"/>
  <c r="AI159" i="7"/>
  <c r="AI24" i="7"/>
  <c r="X251" i="7" a="1"/>
  <c r="X251" i="7" s="1"/>
  <c r="AD251" i="7" s="1"/>
  <c r="I33" i="7"/>
  <c r="X33" i="7" s="1" a="1"/>
  <c r="X33" i="7" s="1"/>
  <c r="AI154" i="7"/>
  <c r="X227" i="47" a="1"/>
  <c r="X227" i="47" s="1"/>
  <c r="AD227" i="47" s="1"/>
  <c r="X282" i="7" a="1"/>
  <c r="X282" i="7" s="1"/>
  <c r="AD282" i="7" s="1"/>
  <c r="L3" i="47"/>
  <c r="K3" i="47" s="1"/>
  <c r="X291" i="47" a="1"/>
  <c r="X291" i="47" s="1"/>
  <c r="AD291" i="47" s="1"/>
  <c r="I54" i="47"/>
  <c r="X54" i="47" s="1" a="1"/>
  <c r="X54" i="47" s="1"/>
  <c r="I167" i="46"/>
  <c r="X167" i="46" s="1" a="1"/>
  <c r="X167" i="46" s="1"/>
  <c r="AD167" i="46" s="1"/>
  <c r="AH2" i="52"/>
  <c r="AL2" i="52" s="1"/>
  <c r="AM2" i="52" s="1"/>
  <c r="L3" i="46"/>
  <c r="K3" i="46" s="1"/>
  <c r="X269" i="47" a="1"/>
  <c r="X269" i="47" s="1"/>
  <c r="AD269" i="47" s="1"/>
  <c r="X297" i="47" a="1"/>
  <c r="X297" i="47" s="1"/>
  <c r="AD297" i="47" s="1"/>
  <c r="X253" i="47" a="1"/>
  <c r="X253" i="47" s="1"/>
  <c r="AD253" i="47" s="1"/>
  <c r="X300" i="46" a="1"/>
  <c r="X300" i="46" s="1"/>
  <c r="AD300" i="46" s="1"/>
  <c r="X260" i="46" a="1"/>
  <c r="X260" i="46" s="1"/>
  <c r="AD260" i="46" s="1"/>
  <c r="AI47" i="7"/>
  <c r="AZ77" i="47"/>
  <c r="AI77" i="47" s="1"/>
  <c r="I154" i="7"/>
  <c r="X154" i="7" s="1" a="1"/>
  <c r="X154" i="7" s="1"/>
  <c r="I33" i="47"/>
  <c r="X33" i="47" s="1" a="1"/>
  <c r="X33" i="47" s="1"/>
  <c r="AD33" i="47" s="1"/>
  <c r="X278" i="46" a="1"/>
  <c r="X278" i="46" s="1"/>
  <c r="AD278" i="46" s="1"/>
  <c r="X258" i="7" a="1"/>
  <c r="X258" i="7" s="1"/>
  <c r="AD258" i="7" s="1"/>
  <c r="X292" i="7" a="1"/>
  <c r="X292" i="7" s="1"/>
  <c r="AD292" i="7" s="1"/>
  <c r="X296" i="46" a="1"/>
  <c r="X296" i="46" s="1"/>
  <c r="AD296" i="46" s="1"/>
  <c r="X279" i="46" a="1"/>
  <c r="X279" i="46" s="1"/>
  <c r="AD279" i="46" s="1"/>
  <c r="C175" i="10"/>
  <c r="X299" i="46" a="1"/>
  <c r="X299" i="46" s="1"/>
  <c r="AD299" i="46" s="1"/>
  <c r="X268" i="47" a="1"/>
  <c r="X268" i="47" s="1"/>
  <c r="AD268" i="47" s="1"/>
  <c r="X265" i="46" a="1"/>
  <c r="X265" i="46" s="1"/>
  <c r="AD265" i="46" s="1"/>
  <c r="X280" i="46" a="1"/>
  <c r="X280" i="46" s="1"/>
  <c r="AD280" i="46" s="1"/>
  <c r="X267" i="47" a="1"/>
  <c r="X267" i="47" s="1"/>
  <c r="AD267" i="47" s="1"/>
  <c r="X272" i="7" a="1"/>
  <c r="X272" i="7" s="1"/>
  <c r="AD272" i="7" s="1"/>
  <c r="X299" i="47" a="1"/>
  <c r="X299" i="47" s="1"/>
  <c r="AD299" i="47" s="1"/>
  <c r="AD77" i="47"/>
  <c r="X252" i="7" a="1"/>
  <c r="X252" i="7" s="1"/>
  <c r="AD252" i="7" s="1"/>
  <c r="X277" i="7" a="1"/>
  <c r="X277" i="7" s="1"/>
  <c r="AD277" i="7" s="1"/>
  <c r="X293" i="7" a="1"/>
  <c r="X293" i="7" s="1"/>
  <c r="AD293" i="7" s="1"/>
  <c r="X264" i="47" a="1"/>
  <c r="X264" i="47" s="1"/>
  <c r="AD264" i="47" s="1"/>
  <c r="X280" i="7" a="1"/>
  <c r="X280" i="7" s="1"/>
  <c r="AD280" i="7" s="1"/>
  <c r="X73" i="7" a="1"/>
  <c r="X73" i="7" s="1"/>
  <c r="AZ73" i="7"/>
  <c r="AI73" i="7" s="1"/>
  <c r="F24" i="55"/>
  <c r="F8" i="55"/>
  <c r="F21" i="55"/>
  <c r="AZ151" i="46"/>
  <c r="AI151" i="46" s="1"/>
  <c r="I151" i="46"/>
  <c r="X151" i="46" s="1" a="1"/>
  <c r="X151" i="46" s="1"/>
  <c r="I54" i="7"/>
  <c r="X54" i="7" s="1" a="1"/>
  <c r="X54" i="7" s="1"/>
  <c r="AZ54" i="7"/>
  <c r="AI54" i="7" s="1"/>
  <c r="F9" i="55"/>
  <c r="X79" i="47" a="1"/>
  <c r="X79" i="47" s="1"/>
  <c r="AZ79" i="47"/>
  <c r="AI79" i="47" s="1"/>
  <c r="X194" i="46" a="1"/>
  <c r="X194" i="46" s="1"/>
  <c r="AD194" i="46" s="1"/>
  <c r="F6" i="55"/>
  <c r="I35" i="7"/>
  <c r="X35" i="7" s="1" a="1"/>
  <c r="X35" i="7" s="1"/>
  <c r="AZ35" i="7"/>
  <c r="AI35" i="7" s="1"/>
  <c r="X89" i="47" a="1"/>
  <c r="X89" i="47" s="1"/>
  <c r="AD89" i="47" s="1"/>
  <c r="AZ89" i="47"/>
  <c r="AI89" i="47" s="1"/>
  <c r="X145" i="46" a="1"/>
  <c r="X145" i="46" s="1"/>
  <c r="T19" i="55" s="1"/>
  <c r="AZ145" i="46"/>
  <c r="AI145" i="46" s="1"/>
  <c r="X17" i="7" a="1"/>
  <c r="X17" i="7" s="1"/>
  <c r="AZ17" i="7"/>
  <c r="AI17" i="7" s="1"/>
  <c r="I14" i="46"/>
  <c r="X14" i="46" s="1" a="1"/>
  <c r="X14" i="46" s="1"/>
  <c r="AD14" i="46" s="1"/>
  <c r="AZ14" i="46"/>
  <c r="AI14" i="46" s="1"/>
  <c r="F18" i="55"/>
  <c r="I27" i="47"/>
  <c r="X27" i="47" s="1" a="1"/>
  <c r="X27" i="47" s="1"/>
  <c r="AZ27" i="47"/>
  <c r="AI27" i="47" s="1"/>
  <c r="I24" i="46"/>
  <c r="X24" i="46" s="1" a="1"/>
  <c r="X24" i="46" s="1"/>
  <c r="T6" i="55" s="1"/>
  <c r="AZ24" i="46"/>
  <c r="AI24" i="46" s="1"/>
  <c r="X276" i="47" a="1"/>
  <c r="X276" i="47" s="1"/>
  <c r="AD276" i="47" s="1"/>
  <c r="X265" i="47" a="1"/>
  <c r="X265" i="47" s="1"/>
  <c r="AD265" i="47" s="1"/>
  <c r="X298" i="47" a="1"/>
  <c r="X298" i="47" s="1"/>
  <c r="AD298" i="47" s="1"/>
  <c r="X262" i="47" a="1"/>
  <c r="X262" i="47" s="1"/>
  <c r="AD262" i="47" s="1"/>
  <c r="F7" i="55"/>
  <c r="P4" i="7"/>
  <c r="O4" i="7" s="1"/>
  <c r="X41" i="7" a="1"/>
  <c r="X41" i="7" s="1"/>
  <c r="AZ41" i="7"/>
  <c r="AI41" i="7" s="1"/>
  <c r="X159" i="47" a="1"/>
  <c r="X159" i="47" s="1"/>
  <c r="AZ159" i="47"/>
  <c r="AI159" i="47" s="1"/>
  <c r="F5" i="55"/>
  <c r="I24" i="47"/>
  <c r="X24" i="47" s="1" a="1"/>
  <c r="X24" i="47" s="1"/>
  <c r="AZ24" i="47"/>
  <c r="AI24" i="47" s="1"/>
  <c r="X162" i="47" a="1"/>
  <c r="X162" i="47" s="1"/>
  <c r="AD162" i="47" s="1"/>
  <c r="AZ162" i="47"/>
  <c r="AI162" i="47" s="1"/>
  <c r="X79" i="46" a="1"/>
  <c r="X79" i="46" s="1"/>
  <c r="AZ79" i="46"/>
  <c r="AI79" i="46" s="1"/>
  <c r="AI143" i="7"/>
  <c r="X270" i="47" a="1"/>
  <c r="X270" i="47" s="1"/>
  <c r="AD270" i="47" s="1"/>
  <c r="X275" i="47" a="1"/>
  <c r="X275" i="47" s="1"/>
  <c r="AD275" i="47" s="1"/>
  <c r="F28" i="55"/>
  <c r="F25" i="55"/>
  <c r="I62" i="7"/>
  <c r="X62" i="7" s="1" a="1"/>
  <c r="X62" i="7" s="1"/>
  <c r="AZ62" i="7"/>
  <c r="AI62" i="7" s="1"/>
  <c r="I62" i="47"/>
  <c r="X62" i="47" s="1" a="1"/>
  <c r="X62" i="47" s="1"/>
  <c r="AD13" i="55" s="1"/>
  <c r="AZ62" i="47"/>
  <c r="AI62" i="47" s="1"/>
  <c r="F12" i="55"/>
  <c r="I151" i="7"/>
  <c r="X151" i="7" s="1" a="1"/>
  <c r="X151" i="7" s="1"/>
  <c r="J18" i="55" s="1"/>
  <c r="AZ151" i="7"/>
  <c r="AI151" i="7" s="1"/>
  <c r="F20" i="55"/>
  <c r="X177" i="46" a="1"/>
  <c r="X177" i="46" s="1"/>
  <c r="T29" i="55" s="1"/>
  <c r="AZ177" i="46"/>
  <c r="AI177" i="46" s="1"/>
  <c r="X83" i="7" a="1"/>
  <c r="X83" i="7" s="1"/>
  <c r="J17" i="55" s="1"/>
  <c r="AZ83" i="7"/>
  <c r="AI83" i="7" s="1"/>
  <c r="X274" i="46" a="1"/>
  <c r="X274" i="46" s="1"/>
  <c r="AD274" i="46" s="1"/>
  <c r="X260" i="47" a="1"/>
  <c r="X260" i="47" s="1"/>
  <c r="AD260" i="47" s="1"/>
  <c r="X158" i="7" a="1"/>
  <c r="X158" i="7" s="1"/>
  <c r="AZ158" i="7"/>
  <c r="AI158" i="7" s="1"/>
  <c r="F22" i="55"/>
  <c r="X145" i="47" a="1"/>
  <c r="X145" i="47" s="1"/>
  <c r="AD19" i="55" s="1"/>
  <c r="AZ145" i="47"/>
  <c r="AI145" i="47" s="1"/>
  <c r="X41" i="46" a="1"/>
  <c r="X41" i="46" s="1"/>
  <c r="AZ41" i="46"/>
  <c r="AI41" i="46" s="1"/>
  <c r="I27" i="7"/>
  <c r="X27" i="7" s="1" a="1"/>
  <c r="X27" i="7" s="1"/>
  <c r="AQ2" i="52" s="1"/>
  <c r="AP2" i="52" s="1"/>
  <c r="AZ27" i="7"/>
  <c r="AI27" i="7" s="1"/>
  <c r="I27" i="46"/>
  <c r="X27" i="46" s="1" a="1"/>
  <c r="X27" i="46" s="1"/>
  <c r="T5" i="55" s="1"/>
  <c r="AZ27" i="46"/>
  <c r="AI27" i="46" s="1"/>
  <c r="X73" i="47" a="1"/>
  <c r="X73" i="47" s="1"/>
  <c r="AD14" i="55" s="1"/>
  <c r="AZ73" i="47"/>
  <c r="AI73" i="47" s="1"/>
  <c r="X41" i="47" a="1"/>
  <c r="X41" i="47" s="1"/>
  <c r="AZ41" i="47"/>
  <c r="AI41" i="47" s="1"/>
  <c r="F11" i="55"/>
  <c r="X159" i="46" a="1"/>
  <c r="X159" i="46" s="1"/>
  <c r="AZ159" i="46"/>
  <c r="AI159" i="46" s="1"/>
  <c r="X162" i="7" a="1"/>
  <c r="X162" i="7" s="1"/>
  <c r="AZ162" i="7"/>
  <c r="AI162" i="7" s="1"/>
  <c r="X276" i="46" a="1"/>
  <c r="X276" i="46" s="1"/>
  <c r="AD276" i="46" s="1"/>
  <c r="X259" i="7" a="1"/>
  <c r="X259" i="7" s="1"/>
  <c r="AD259" i="7" s="1"/>
  <c r="X287" i="47" a="1"/>
  <c r="X287" i="47" s="1"/>
  <c r="AD287" i="47" s="1"/>
  <c r="X266" i="7" a="1"/>
  <c r="X266" i="7" s="1"/>
  <c r="AD266" i="7" s="1"/>
  <c r="X300" i="7" a="1"/>
  <c r="X300" i="7" s="1"/>
  <c r="AD300" i="7" s="1"/>
  <c r="X298" i="7" a="1"/>
  <c r="X298" i="7" s="1"/>
  <c r="AD298" i="7" s="1"/>
  <c r="X284" i="7" a="1"/>
  <c r="X284" i="7" s="1"/>
  <c r="AD284" i="7" s="1"/>
  <c r="X287" i="46" a="1"/>
  <c r="X287" i="46" s="1"/>
  <c r="AD287" i="46" s="1"/>
  <c r="X273" i="7" a="1"/>
  <c r="X273" i="7" s="1"/>
  <c r="AD273" i="7" s="1"/>
  <c r="X77" i="7" a="1"/>
  <c r="X77" i="7" s="1"/>
  <c r="J15" i="55" s="1"/>
  <c r="AZ77" i="7"/>
  <c r="AI77" i="7" s="1"/>
  <c r="F10" i="55"/>
  <c r="I62" i="46"/>
  <c r="X62" i="46" s="1" a="1"/>
  <c r="X62" i="46" s="1"/>
  <c r="AZ62" i="46"/>
  <c r="AI62" i="46" s="1"/>
  <c r="F3" i="55"/>
  <c r="F27" i="55"/>
  <c r="F26" i="55"/>
  <c r="F17" i="55"/>
  <c r="I22" i="7"/>
  <c r="X22" i="7" s="1" a="1"/>
  <c r="X22" i="7" s="1"/>
  <c r="AZ22" i="7"/>
  <c r="AI22" i="7" s="1"/>
  <c r="X48" i="46" a="1"/>
  <c r="X48" i="46" s="1"/>
  <c r="AZ48" i="46"/>
  <c r="AI48" i="46" s="1"/>
  <c r="X83" i="46" a="1"/>
  <c r="X83" i="46" s="1"/>
  <c r="T17" i="55" s="1"/>
  <c r="AZ83" i="46"/>
  <c r="AI83" i="46" s="1"/>
  <c r="F14" i="55"/>
  <c r="F16" i="55"/>
  <c r="X145" i="7" a="1"/>
  <c r="X145" i="7" s="1"/>
  <c r="AZ145" i="7"/>
  <c r="AI145" i="7" s="1"/>
  <c r="X158" i="47" a="1"/>
  <c r="X158" i="47" s="1"/>
  <c r="AD24" i="55" s="1"/>
  <c r="AZ158" i="47"/>
  <c r="AI158" i="47" s="1"/>
  <c r="F13" i="55"/>
  <c r="I35" i="47"/>
  <c r="X35" i="47" s="1" a="1"/>
  <c r="X35" i="47" s="1"/>
  <c r="AD35" i="47" s="1"/>
  <c r="AZ35" i="47"/>
  <c r="AI35" i="47" s="1"/>
  <c r="X48" i="7" a="1"/>
  <c r="X48" i="7" s="1"/>
  <c r="AZ48" i="7"/>
  <c r="AI48" i="7" s="1"/>
  <c r="X79" i="7" a="1"/>
  <c r="X79" i="7" s="1"/>
  <c r="AZ79" i="7"/>
  <c r="AI79" i="7" s="1"/>
  <c r="X89" i="46" a="1"/>
  <c r="X89" i="46" s="1"/>
  <c r="AD89" i="46" s="1"/>
  <c r="AZ89" i="46"/>
  <c r="AI89" i="46" s="1"/>
  <c r="X295" i="46" a="1"/>
  <c r="X295" i="46" s="1"/>
  <c r="AD295" i="46" s="1"/>
  <c r="X277" i="46" a="1"/>
  <c r="X277" i="46" s="1"/>
  <c r="AD277" i="46" s="1"/>
  <c r="X254" i="7" a="1"/>
  <c r="X254" i="7" s="1"/>
  <c r="AD254" i="7" s="1"/>
  <c r="X261" i="7" a="1"/>
  <c r="X261" i="7" s="1"/>
  <c r="AD261" i="7" s="1"/>
  <c r="X290" i="46" a="1"/>
  <c r="X290" i="46" s="1"/>
  <c r="AD290" i="46" s="1"/>
  <c r="X263" i="7" a="1"/>
  <c r="X263" i="7" s="1"/>
  <c r="AD263" i="7" s="1"/>
  <c r="X30" i="47" a="1"/>
  <c r="X30" i="47" s="1"/>
  <c r="AD30" i="47" s="1"/>
  <c r="X274" i="47" a="1"/>
  <c r="X274" i="47" s="1"/>
  <c r="AD274" i="47" s="1"/>
  <c r="X264" i="46" a="1"/>
  <c r="X264" i="46" s="1"/>
  <c r="AD264" i="46" s="1"/>
  <c r="F23" i="55"/>
  <c r="X83" i="47" a="1"/>
  <c r="X83" i="47" s="1"/>
  <c r="AZ83" i="47"/>
  <c r="AI83" i="47" s="1"/>
  <c r="X177" i="7" a="1"/>
  <c r="X177" i="7" s="1"/>
  <c r="AZ177" i="7"/>
  <c r="AI177" i="7" s="1"/>
  <c r="AI167" i="7"/>
  <c r="AD154" i="47"/>
  <c r="T12" i="55"/>
  <c r="J26" i="55"/>
  <c r="AD54" i="47"/>
  <c r="J6" i="55"/>
  <c r="AD47" i="47"/>
  <c r="AD12" i="55"/>
  <c r="AD163" i="47"/>
  <c r="AD20" i="55"/>
  <c r="AD102" i="47"/>
  <c r="AD33" i="46"/>
  <c r="AD17" i="55"/>
  <c r="AD14" i="47"/>
  <c r="T14" i="55"/>
  <c r="AD54" i="46"/>
  <c r="AD18" i="55"/>
  <c r="AD151" i="47"/>
  <c r="AD22" i="47"/>
  <c r="AD35" i="46"/>
  <c r="T7" i="55"/>
  <c r="T24" i="55"/>
  <c r="AD22" i="46"/>
  <c r="T26" i="55"/>
  <c r="AD102" i="46"/>
  <c r="AD165" i="46"/>
  <c r="T20" i="55"/>
  <c r="AD167" i="47"/>
  <c r="AD26" i="55"/>
  <c r="J4" i="55"/>
  <c r="T8" i="55"/>
  <c r="AI76" i="46"/>
  <c r="J8" i="55"/>
  <c r="J7" i="55"/>
  <c r="J24" i="55"/>
  <c r="J9" i="55"/>
  <c r="AD16" i="55"/>
  <c r="AD27" i="47"/>
  <c r="AI76" i="47"/>
  <c r="J27" i="55"/>
  <c r="X290" i="47" a="1"/>
  <c r="X290" i="47" s="1"/>
  <c r="AD290" i="47" s="1"/>
  <c r="X267" i="46" a="1"/>
  <c r="X267" i="46" s="1"/>
  <c r="AD267" i="46" s="1"/>
  <c r="X293" i="46" a="1"/>
  <c r="X293" i="46" s="1"/>
  <c r="AD293" i="46" s="1"/>
  <c r="X256" i="46" a="1"/>
  <c r="X256" i="46" s="1"/>
  <c r="AD256" i="46" s="1"/>
  <c r="X21" i="47" a="1"/>
  <c r="X21" i="47" s="1"/>
  <c r="AD21" i="47" s="1"/>
  <c r="X274" i="7" a="1"/>
  <c r="X274" i="7" s="1"/>
  <c r="AD274" i="7" s="1"/>
  <c r="X272" i="47" a="1"/>
  <c r="X272" i="47" s="1"/>
  <c r="AD272" i="47" s="1"/>
  <c r="X283" i="47" a="1"/>
  <c r="X283" i="47" s="1"/>
  <c r="AD283" i="47" s="1"/>
  <c r="X258" i="47" a="1"/>
  <c r="X258" i="47" s="1"/>
  <c r="AD258" i="47" s="1"/>
  <c r="X257" i="46" a="1"/>
  <c r="X257" i="46" s="1"/>
  <c r="AD257" i="46" s="1"/>
  <c r="X199" i="47" a="1"/>
  <c r="X199" i="47" s="1"/>
  <c r="AD199" i="47" s="1"/>
  <c r="X289" i="47" a="1"/>
  <c r="X289" i="47" s="1"/>
  <c r="AD289" i="47" s="1"/>
  <c r="X292" i="46" a="1"/>
  <c r="X292" i="46" s="1"/>
  <c r="AD292" i="46" s="1"/>
  <c r="X263" i="47" a="1"/>
  <c r="X263" i="47" s="1"/>
  <c r="AD263" i="47" s="1"/>
  <c r="X294" i="46" a="1"/>
  <c r="X294" i="46" s="1"/>
  <c r="AD294" i="46" s="1"/>
  <c r="X266" i="47" a="1"/>
  <c r="X266" i="47" s="1"/>
  <c r="AD266" i="47" s="1"/>
  <c r="X288" i="7" a="1"/>
  <c r="X288" i="7" s="1"/>
  <c r="AD288" i="7" s="1"/>
  <c r="X295" i="7" a="1"/>
  <c r="X295" i="7" s="1"/>
  <c r="AD295" i="7" s="1"/>
  <c r="X149" i="47" a="1"/>
  <c r="X149" i="47" s="1"/>
  <c r="AZ149" i="47"/>
  <c r="AI149" i="47" s="1"/>
  <c r="X289" i="46" a="1"/>
  <c r="X289" i="46" s="1"/>
  <c r="AD289" i="46" s="1"/>
  <c r="X204" i="47" a="1"/>
  <c r="X204" i="47" s="1"/>
  <c r="AD204" i="47" s="1"/>
  <c r="X261" i="47" a="1"/>
  <c r="X261" i="47" s="1"/>
  <c r="AD261" i="47" s="1"/>
  <c r="X192" i="46" a="1"/>
  <c r="X192" i="46" s="1"/>
  <c r="AD192" i="46" s="1"/>
  <c r="X253" i="7" a="1"/>
  <c r="X253" i="7" s="1"/>
  <c r="AD253" i="7" s="1"/>
  <c r="X289" i="7" a="1"/>
  <c r="X289" i="7" s="1"/>
  <c r="AD289" i="7" s="1"/>
  <c r="X272" i="46" a="1"/>
  <c r="X272" i="46" s="1"/>
  <c r="AD272" i="46" s="1"/>
  <c r="X284" i="46" a="1"/>
  <c r="X284" i="46" s="1"/>
  <c r="AD284" i="46" s="1"/>
  <c r="X280" i="47" a="1"/>
  <c r="X280" i="47" s="1"/>
  <c r="AD280" i="47" s="1"/>
  <c r="X270" i="46" a="1"/>
  <c r="X270" i="46" s="1"/>
  <c r="AD270" i="46" s="1"/>
  <c r="X285" i="7" a="1"/>
  <c r="X285" i="7" s="1"/>
  <c r="AD285" i="7" s="1"/>
  <c r="X257" i="47" a="1"/>
  <c r="X257" i="47" s="1"/>
  <c r="AD257" i="47" s="1"/>
  <c r="X252" i="47" a="1"/>
  <c r="X252" i="47" s="1"/>
  <c r="AD252" i="47" s="1"/>
  <c r="X149" i="7" a="1"/>
  <c r="X149" i="7" s="1"/>
  <c r="J21" i="55" s="1"/>
  <c r="AZ149" i="7"/>
  <c r="AI149" i="7" s="1"/>
  <c r="X277" i="47" a="1"/>
  <c r="X277" i="47" s="1"/>
  <c r="AD277" i="47" s="1"/>
  <c r="X254" i="47" a="1"/>
  <c r="X254" i="47" s="1"/>
  <c r="AD254" i="47" s="1"/>
  <c r="X286" i="46" a="1"/>
  <c r="X286" i="46" s="1"/>
  <c r="AD286" i="46" s="1"/>
  <c r="X254" i="46" a="1"/>
  <c r="X254" i="46" s="1"/>
  <c r="AD254" i="46" s="1"/>
  <c r="X279" i="7" a="1"/>
  <c r="X279" i="7" s="1"/>
  <c r="AD279" i="7" s="1"/>
  <c r="X267" i="7" a="1"/>
  <c r="X267" i="7" s="1"/>
  <c r="AD267" i="7" s="1"/>
  <c r="X211" i="47" a="1"/>
  <c r="X211" i="47" s="1"/>
  <c r="AD211" i="47" s="1"/>
  <c r="X285" i="47" a="1"/>
  <c r="X285" i="47" s="1"/>
  <c r="AD285" i="47" s="1"/>
  <c r="X263" i="46" a="1"/>
  <c r="X263" i="46" s="1"/>
  <c r="AD263" i="46" s="1"/>
  <c r="X297" i="46" a="1"/>
  <c r="X297" i="46" s="1"/>
  <c r="AD297" i="46" s="1"/>
  <c r="X281" i="46" a="1"/>
  <c r="X281" i="46" s="1"/>
  <c r="AD281" i="46" s="1"/>
  <c r="X186" i="46" a="1"/>
  <c r="X186" i="46" s="1"/>
  <c r="AD186" i="46" s="1"/>
  <c r="X268" i="7" a="1"/>
  <c r="X268" i="7" s="1"/>
  <c r="AD268" i="7" s="1"/>
  <c r="X290" i="7" a="1"/>
  <c r="X290" i="7" s="1"/>
  <c r="AD290" i="7" s="1"/>
  <c r="X271" i="47" a="1"/>
  <c r="X271" i="47" s="1"/>
  <c r="AD271" i="47" s="1"/>
  <c r="X260" i="7" a="1"/>
  <c r="X260" i="7" s="1"/>
  <c r="AD260" i="7" s="1"/>
  <c r="X291" i="46" a="1"/>
  <c r="X291" i="46" s="1"/>
  <c r="AD291" i="46" s="1"/>
  <c r="X256" i="47" a="1"/>
  <c r="X256" i="47" s="1"/>
  <c r="AD256" i="47" s="1"/>
  <c r="X209" i="47" a="1"/>
  <c r="X209" i="47" s="1"/>
  <c r="AD209" i="47" s="1"/>
  <c r="X261" i="46" a="1"/>
  <c r="X261" i="46" s="1"/>
  <c r="AD261" i="46" s="1"/>
  <c r="X276" i="7" a="1"/>
  <c r="X276" i="7" s="1"/>
  <c r="AD276" i="7" s="1"/>
  <c r="X255" i="7" a="1"/>
  <c r="X255" i="7" s="1"/>
  <c r="AD255" i="7" s="1"/>
  <c r="X295" i="47" a="1"/>
  <c r="X295" i="47" s="1"/>
  <c r="AD295" i="47" s="1"/>
  <c r="P3" i="7"/>
  <c r="B55" i="10" s="1"/>
  <c r="V2" i="52" s="1"/>
  <c r="F2" i="55"/>
  <c r="X17" i="47" a="1"/>
  <c r="X17" i="47" s="1"/>
  <c r="AZ17" i="47"/>
  <c r="AI17" i="47" s="1"/>
  <c r="X258" i="46" a="1"/>
  <c r="X258" i="46" s="1"/>
  <c r="AD258" i="46" s="1"/>
  <c r="X294" i="47" a="1"/>
  <c r="X294" i="47" s="1"/>
  <c r="AD294" i="47" s="1"/>
  <c r="X262" i="46" a="1"/>
  <c r="X262" i="46" s="1"/>
  <c r="AD262" i="46" s="1"/>
  <c r="X190" i="47" a="1"/>
  <c r="X190" i="47" s="1"/>
  <c r="AD190" i="47" s="1"/>
  <c r="X270" i="7" a="1"/>
  <c r="X270" i="7" s="1"/>
  <c r="AD270" i="7" s="1"/>
  <c r="X293" i="47" a="1"/>
  <c r="X293" i="47" s="1"/>
  <c r="AD293" i="47" s="1"/>
  <c r="X252" i="46" a="1"/>
  <c r="X252" i="46" s="1"/>
  <c r="AD252" i="46" s="1"/>
  <c r="X284" i="47" a="1"/>
  <c r="X284" i="47" s="1"/>
  <c r="AD284" i="47" s="1"/>
  <c r="X296" i="47" a="1"/>
  <c r="X296" i="47" s="1"/>
  <c r="AD296" i="47" s="1"/>
  <c r="X278" i="47" a="1"/>
  <c r="X278" i="47" s="1"/>
  <c r="AD278" i="47" s="1"/>
  <c r="X296" i="7" a="1"/>
  <c r="X296" i="7" s="1"/>
  <c r="AD296" i="7" s="1"/>
  <c r="X282" i="46" a="1"/>
  <c r="X282" i="46" s="1"/>
  <c r="AD282" i="46" s="1"/>
  <c r="X262" i="7" a="1"/>
  <c r="X262" i="7" s="1"/>
  <c r="AD262" i="7" s="1"/>
  <c r="X259" i="47" a="1"/>
  <c r="X259" i="47" s="1"/>
  <c r="AD259" i="47" s="1"/>
  <c r="X288" i="46" a="1"/>
  <c r="X288" i="46" s="1"/>
  <c r="AD288" i="46" s="1"/>
  <c r="X150" i="47" a="1"/>
  <c r="X150" i="47" s="1"/>
  <c r="AD150" i="47" s="1"/>
  <c r="X273" i="46" a="1"/>
  <c r="X273" i="46" s="1"/>
  <c r="AD273" i="46" s="1"/>
  <c r="X266" i="46" a="1"/>
  <c r="X266" i="46" s="1"/>
  <c r="AD266" i="46" s="1"/>
  <c r="X268" i="46" a="1"/>
  <c r="X268" i="46" s="1"/>
  <c r="AD268" i="46" s="1"/>
  <c r="X256" i="7" a="1"/>
  <c r="X256" i="7" s="1"/>
  <c r="AD256" i="7" s="1"/>
  <c r="X287" i="7" a="1"/>
  <c r="X287" i="7" s="1"/>
  <c r="AD287" i="7" s="1"/>
  <c r="X286" i="47" a="1"/>
  <c r="X286" i="47" s="1"/>
  <c r="AD286" i="47" s="1"/>
  <c r="X283" i="7" a="1"/>
  <c r="X283" i="7" s="1"/>
  <c r="AD283" i="7" s="1"/>
  <c r="X208" i="47" a="1"/>
  <c r="X208" i="47" s="1"/>
  <c r="AD208" i="47" s="1"/>
  <c r="X271" i="46" a="1"/>
  <c r="X271" i="46" s="1"/>
  <c r="AD271" i="46" s="1"/>
  <c r="X257" i="7" a="1"/>
  <c r="X257" i="7" s="1"/>
  <c r="AD257" i="7" s="1"/>
  <c r="X271" i="7" a="1"/>
  <c r="X271" i="7" s="1"/>
  <c r="AD271" i="7" s="1"/>
  <c r="X265" i="7" a="1"/>
  <c r="X265" i="7" s="1"/>
  <c r="AD265" i="7" s="1"/>
  <c r="X286" i="7" a="1"/>
  <c r="X286" i="7" s="1"/>
  <c r="AD286" i="7" s="1"/>
  <c r="X259" i="46" a="1"/>
  <c r="X259" i="46" s="1"/>
  <c r="AD259" i="46" s="1"/>
  <c r="X251" i="46" a="1"/>
  <c r="X251" i="46" s="1"/>
  <c r="AD251" i="46" s="1"/>
  <c r="X288" i="47" a="1"/>
  <c r="X288" i="47" s="1"/>
  <c r="AD288" i="47" s="1"/>
  <c r="X281" i="7" a="1"/>
  <c r="X281" i="7" s="1"/>
  <c r="AD281" i="7" s="1"/>
  <c r="X269" i="7" a="1"/>
  <c r="X269" i="7" s="1"/>
  <c r="AD269" i="7" s="1"/>
  <c r="X282" i="47" a="1"/>
  <c r="X282" i="47" s="1"/>
  <c r="AD282" i="47" s="1"/>
  <c r="X264" i="7" a="1"/>
  <c r="X264" i="7" s="1"/>
  <c r="AD264" i="7" s="1"/>
  <c r="X283" i="46" a="1"/>
  <c r="X283" i="46" s="1"/>
  <c r="AD283" i="46" s="1"/>
  <c r="X291" i="7" a="1"/>
  <c r="X291" i="7" s="1"/>
  <c r="AD291" i="7" s="1"/>
  <c r="X255" i="46" a="1"/>
  <c r="X255" i="46" s="1"/>
  <c r="AD255" i="46" s="1"/>
  <c r="X297" i="7" a="1"/>
  <c r="X297" i="7" s="1"/>
  <c r="AD297" i="7" s="1"/>
  <c r="X278" i="7" a="1"/>
  <c r="X278" i="7" s="1"/>
  <c r="AD278" i="7" s="1"/>
  <c r="X255" i="47" a="1"/>
  <c r="X255" i="47" s="1"/>
  <c r="AD255" i="47" s="1"/>
  <c r="X273" i="47" a="1"/>
  <c r="X273" i="47" s="1"/>
  <c r="AD273" i="47" s="1"/>
  <c r="X275" i="7" a="1"/>
  <c r="X275" i="7" s="1"/>
  <c r="AD275" i="7" s="1"/>
  <c r="X269" i="46" a="1"/>
  <c r="X269" i="46" s="1"/>
  <c r="AD269" i="46" s="1"/>
  <c r="X279" i="47" a="1"/>
  <c r="X279" i="47" s="1"/>
  <c r="AD279" i="47" s="1"/>
  <c r="X281" i="47" a="1"/>
  <c r="X281" i="47" s="1"/>
  <c r="AD281" i="47" s="1"/>
  <c r="X253" i="46" a="1"/>
  <c r="X253" i="46" s="1"/>
  <c r="AD253" i="46" s="1"/>
  <c r="X285" i="46" a="1"/>
  <c r="X285" i="46" s="1"/>
  <c r="AD285" i="46" s="1"/>
  <c r="X294" i="7" a="1"/>
  <c r="X294" i="7" s="1"/>
  <c r="AD294" i="7" s="1"/>
  <c r="X251" i="47" a="1"/>
  <c r="X251" i="47" s="1"/>
  <c r="AD251" i="47" s="1"/>
  <c r="X149" i="46" a="1"/>
  <c r="X149" i="46" s="1"/>
  <c r="AD149" i="46" s="1"/>
  <c r="AZ149" i="46"/>
  <c r="AI149" i="46" s="1"/>
  <c r="X299" i="7" a="1"/>
  <c r="X299" i="7" s="1"/>
  <c r="AD299" i="7" s="1"/>
  <c r="X292" i="47" a="1"/>
  <c r="X292" i="47" s="1"/>
  <c r="AD292" i="47" s="1"/>
  <c r="X17" i="46" a="1"/>
  <c r="X17" i="46" s="1"/>
  <c r="AZ17" i="46"/>
  <c r="AI17" i="46" s="1"/>
  <c r="X275" i="46" a="1"/>
  <c r="X275" i="46" s="1"/>
  <c r="AD275" i="46" s="1"/>
  <c r="D61" i="10"/>
  <c r="D63" i="10" s="1"/>
  <c r="AD149" i="47"/>
  <c r="D55" i="10"/>
  <c r="D57" i="10" s="1"/>
  <c r="AD76" i="46"/>
  <c r="AD76" i="47"/>
  <c r="C55" i="10"/>
  <c r="C57" i="10" s="1"/>
  <c r="D179" i="10"/>
  <c r="C183" i="10"/>
  <c r="D183" i="10"/>
  <c r="B183" i="10"/>
  <c r="C179" i="10"/>
  <c r="B182" i="10"/>
  <c r="B178" i="10"/>
  <c r="K7" i="7"/>
  <c r="D178" i="10"/>
  <c r="C182" i="10"/>
  <c r="D182" i="10"/>
  <c r="E182" i="10"/>
  <c r="C178" i="10"/>
  <c r="E178" i="10"/>
  <c r="D174" i="10"/>
  <c r="B174" i="10"/>
  <c r="B175" i="10"/>
  <c r="D175" i="10"/>
  <c r="K6" i="7"/>
  <c r="S4" i="7"/>
  <c r="J14" i="55" l="1"/>
  <c r="J12" i="55"/>
  <c r="AD21" i="55"/>
  <c r="D9" i="10"/>
  <c r="AD5" i="55"/>
  <c r="AD62" i="47"/>
  <c r="AD7" i="55"/>
  <c r="T18" i="55"/>
  <c r="AD154" i="46"/>
  <c r="T21" i="55"/>
  <c r="AD27" i="46"/>
  <c r="T4" i="55"/>
  <c r="J29" i="55"/>
  <c r="J19" i="55"/>
  <c r="D7" i="10"/>
  <c r="X4" i="7"/>
  <c r="AO2" i="52"/>
  <c r="AN2" i="52" s="1"/>
  <c r="AD24" i="47"/>
  <c r="AD6" i="55"/>
  <c r="AD151" i="46"/>
  <c r="AD24" i="46"/>
  <c r="AD62" i="46"/>
  <c r="T16" i="55"/>
  <c r="J20" i="55"/>
  <c r="T27" i="55"/>
  <c r="AD8" i="55"/>
  <c r="D5" i="10"/>
  <c r="J13" i="55"/>
  <c r="J28" i="55"/>
  <c r="AD48" i="46"/>
  <c r="T13" i="55"/>
  <c r="J5" i="55"/>
  <c r="J23" i="55"/>
  <c r="AD79" i="47"/>
  <c r="AD11" i="55"/>
  <c r="AD79" i="46"/>
  <c r="T11" i="55"/>
  <c r="AD159" i="47"/>
  <c r="AD9" i="55"/>
  <c r="J16" i="55"/>
  <c r="AD41" i="47"/>
  <c r="AD10" i="55"/>
  <c r="AD41" i="46"/>
  <c r="T10" i="55"/>
  <c r="J10" i="55"/>
  <c r="AD73" i="47"/>
  <c r="AD3" i="55"/>
  <c r="AD145" i="47"/>
  <c r="AD28" i="55"/>
  <c r="J25" i="55"/>
  <c r="J22" i="55"/>
  <c r="J11" i="55"/>
  <c r="AD23" i="55"/>
  <c r="AD158" i="47"/>
  <c r="AD83" i="46"/>
  <c r="T25" i="55"/>
  <c r="AD159" i="46"/>
  <c r="T9" i="55"/>
  <c r="T22" i="55"/>
  <c r="AD177" i="46"/>
  <c r="J3" i="55"/>
  <c r="AD27" i="55"/>
  <c r="AD83" i="47"/>
  <c r="AD25" i="55"/>
  <c r="AD145" i="46"/>
  <c r="T28" i="55"/>
  <c r="B57" i="10"/>
  <c r="S2" i="52" s="1"/>
  <c r="AD4" i="55"/>
  <c r="O3" i="7"/>
  <c r="X3" i="47"/>
  <c r="AD2" i="55"/>
  <c r="X3" i="7"/>
  <c r="B47" i="10" s="1"/>
  <c r="B51" i="10" s="1"/>
  <c r="J2" i="55"/>
  <c r="X4" i="46"/>
  <c r="W4" i="46" s="1"/>
  <c r="AD17" i="46"/>
  <c r="X3" i="46"/>
  <c r="T2" i="55"/>
  <c r="X4" i="47"/>
  <c r="W4" i="47" s="1"/>
  <c r="AD17" i="47"/>
  <c r="S3" i="7"/>
  <c r="C61" i="10"/>
  <c r="C63" i="10" s="1"/>
  <c r="K4" i="7"/>
  <c r="D47" i="10" l="1"/>
  <c r="D51" i="10" s="1"/>
  <c r="W3" i="47"/>
  <c r="W3" i="46"/>
  <c r="C47" i="10"/>
  <c r="C51" i="10" s="1"/>
  <c r="K3" i="7"/>
  <c r="B61" i="10"/>
  <c r="AE2" i="52" s="1"/>
  <c r="S24" i="11"/>
  <c r="R24" i="11"/>
  <c r="Q24" i="11"/>
  <c r="O24" i="11"/>
  <c r="N24" i="11"/>
  <c r="M24" i="11"/>
  <c r="K24" i="11"/>
  <c r="J24" i="11"/>
  <c r="I24" i="11"/>
  <c r="C71" i="10" l="1"/>
  <c r="A8" i="10"/>
  <c r="C2" i="52" s="1"/>
  <c r="I171" i="10"/>
  <c r="E171" i="10"/>
  <c r="D171" i="10"/>
  <c r="I170" i="10"/>
  <c r="E170" i="10"/>
  <c r="D170" i="10"/>
  <c r="I169" i="10"/>
  <c r="E169" i="10"/>
  <c r="D169" i="10"/>
  <c r="I168" i="10"/>
  <c r="E168" i="10"/>
  <c r="D168" i="10"/>
  <c r="I167" i="10"/>
  <c r="E167" i="10"/>
  <c r="D167" i="10"/>
  <c r="I166" i="10"/>
  <c r="E166" i="10"/>
  <c r="D166" i="10"/>
  <c r="I165" i="10"/>
  <c r="E165" i="10"/>
  <c r="D165" i="10"/>
  <c r="I164" i="10"/>
  <c r="E164" i="10"/>
  <c r="D164" i="10"/>
  <c r="I163" i="10"/>
  <c r="E163" i="10"/>
  <c r="I162" i="10"/>
  <c r="E162" i="10"/>
  <c r="D162" i="10"/>
  <c r="I161" i="10"/>
  <c r="E161" i="10"/>
  <c r="D161" i="10"/>
  <c r="I160" i="10"/>
  <c r="E160" i="10"/>
  <c r="D160" i="10"/>
  <c r="I159" i="10"/>
  <c r="E159" i="10"/>
  <c r="D159" i="10"/>
  <c r="I158" i="10"/>
  <c r="E158" i="10"/>
  <c r="D158" i="10"/>
  <c r="I157" i="10"/>
  <c r="E157" i="10"/>
  <c r="D157" i="10"/>
  <c r="I156" i="10"/>
  <c r="E156" i="10"/>
  <c r="D156" i="10"/>
  <c r="I148" i="10"/>
  <c r="H148" i="10"/>
  <c r="E148" i="10"/>
  <c r="D148" i="10"/>
  <c r="I147" i="10"/>
  <c r="H147" i="10"/>
  <c r="E147" i="10"/>
  <c r="D147" i="10"/>
  <c r="I146" i="10"/>
  <c r="H146" i="10"/>
  <c r="E146" i="10"/>
  <c r="D146" i="10"/>
  <c r="I145" i="10"/>
  <c r="H145" i="10"/>
  <c r="E145" i="10"/>
  <c r="D145" i="10"/>
  <c r="I144" i="10"/>
  <c r="H144" i="10"/>
  <c r="E144" i="10"/>
  <c r="D144" i="10"/>
  <c r="I143" i="10"/>
  <c r="H143" i="10"/>
  <c r="E143" i="10"/>
  <c r="D143" i="10"/>
  <c r="I142" i="10"/>
  <c r="H142" i="10"/>
  <c r="E142" i="10"/>
  <c r="D142" i="10"/>
  <c r="I141" i="10"/>
  <c r="H141" i="10"/>
  <c r="E141" i="10"/>
  <c r="D141" i="10"/>
  <c r="I140" i="10"/>
  <c r="H140" i="10"/>
  <c r="E140" i="10"/>
  <c r="D140" i="10"/>
  <c r="I139" i="10"/>
  <c r="H139" i="10"/>
  <c r="E139" i="10"/>
  <c r="D139" i="10"/>
  <c r="I138" i="10"/>
  <c r="H138" i="10"/>
  <c r="E138" i="10"/>
  <c r="D138" i="10"/>
  <c r="I137" i="10"/>
  <c r="H137" i="10"/>
  <c r="E137" i="10"/>
  <c r="D137" i="10"/>
  <c r="I136" i="10"/>
  <c r="H136" i="10"/>
  <c r="E136" i="10"/>
  <c r="D136" i="10"/>
  <c r="I135" i="10"/>
  <c r="H135" i="10"/>
  <c r="E135" i="10"/>
  <c r="D135" i="10"/>
  <c r="I134" i="10"/>
  <c r="H134" i="10"/>
  <c r="E134" i="10"/>
  <c r="D134" i="10"/>
  <c r="I133" i="10"/>
  <c r="H133" i="10"/>
  <c r="E133" i="10"/>
  <c r="D133" i="10"/>
  <c r="I132" i="10"/>
  <c r="H132" i="10"/>
  <c r="E132" i="10"/>
  <c r="D132" i="10"/>
  <c r="I131" i="10"/>
  <c r="H131" i="10"/>
  <c r="E131" i="10"/>
  <c r="D131" i="10"/>
  <c r="I130" i="10"/>
  <c r="H130" i="10"/>
  <c r="E130" i="10"/>
  <c r="D130" i="10"/>
  <c r="I129" i="10"/>
  <c r="H129" i="10"/>
  <c r="E129" i="10"/>
  <c r="D129" i="10"/>
  <c r="I128" i="10"/>
  <c r="H128" i="10"/>
  <c r="E128" i="10"/>
  <c r="D128" i="10"/>
  <c r="I127" i="10"/>
  <c r="H127" i="10"/>
  <c r="E127" i="10"/>
  <c r="D127" i="10"/>
  <c r="I126" i="10"/>
  <c r="H126" i="10"/>
  <c r="E126" i="10"/>
  <c r="D126" i="10"/>
  <c r="I125" i="10"/>
  <c r="H125" i="10"/>
  <c r="E125" i="10"/>
  <c r="D125" i="10"/>
  <c r="I124" i="10"/>
  <c r="H124" i="10"/>
  <c r="E124" i="10"/>
  <c r="D124" i="10"/>
  <c r="I123" i="10"/>
  <c r="H123" i="10"/>
  <c r="E123" i="10"/>
  <c r="D123" i="10"/>
  <c r="I122" i="10"/>
  <c r="H122" i="10"/>
  <c r="E122" i="10"/>
  <c r="D122" i="10"/>
  <c r="I121" i="10"/>
  <c r="E121" i="10"/>
  <c r="I120" i="10"/>
  <c r="H120" i="10"/>
  <c r="E120" i="10"/>
  <c r="D120" i="10"/>
  <c r="I119" i="10"/>
  <c r="H119" i="10"/>
  <c r="E119" i="10"/>
  <c r="D119" i="10"/>
  <c r="I118" i="10"/>
  <c r="H118" i="10"/>
  <c r="E118" i="10"/>
  <c r="D118" i="10"/>
  <c r="I117" i="10"/>
  <c r="H117" i="10"/>
  <c r="E117" i="10"/>
  <c r="D117" i="10"/>
  <c r="I116" i="10"/>
  <c r="H116" i="10"/>
  <c r="E116" i="10"/>
  <c r="D116" i="10"/>
  <c r="I115" i="10"/>
  <c r="H115" i="10"/>
  <c r="E115" i="10"/>
  <c r="D115" i="10"/>
  <c r="I114" i="10"/>
  <c r="H114" i="10"/>
  <c r="E114" i="10"/>
  <c r="D114" i="10"/>
  <c r="D108" i="10"/>
  <c r="C108" i="10"/>
  <c r="B108" i="10"/>
  <c r="D101" i="10"/>
  <c r="C101" i="10"/>
  <c r="B100" i="10"/>
  <c r="B101" i="10" s="1"/>
  <c r="B67" i="10" s="1"/>
  <c r="D86" i="10"/>
  <c r="C86" i="10"/>
  <c r="B85" i="10"/>
  <c r="B86" i="10" s="1"/>
  <c r="B65" i="10" s="1"/>
  <c r="I71" i="10"/>
  <c r="H71" i="10"/>
  <c r="D69" i="10"/>
  <c r="B69" i="10"/>
  <c r="D67" i="10"/>
  <c r="D65" i="10"/>
  <c r="K34" i="10"/>
  <c r="C34" i="10"/>
  <c r="K33" i="10"/>
  <c r="J33" i="10"/>
  <c r="I33" i="10"/>
  <c r="H33" i="10"/>
  <c r="G33" i="10"/>
  <c r="F33" i="10"/>
  <c r="E33" i="10"/>
  <c r="D33" i="10"/>
  <c r="C33" i="10"/>
  <c r="K32" i="10"/>
  <c r="J32" i="10"/>
  <c r="J34" i="10" s="1"/>
  <c r="I32" i="10"/>
  <c r="I34" i="10" s="1"/>
  <c r="H32" i="10"/>
  <c r="H34" i="10" s="1"/>
  <c r="G32" i="10"/>
  <c r="G34" i="10" s="1"/>
  <c r="F32" i="10"/>
  <c r="F34" i="10" s="1"/>
  <c r="E32" i="10"/>
  <c r="E34" i="10" s="1"/>
  <c r="D32" i="10"/>
  <c r="D34" i="10" s="1"/>
  <c r="C32" i="10"/>
  <c r="A20" i="10"/>
  <c r="A4" i="10"/>
  <c r="X13" i="7" l="1"/>
  <c r="V13" i="7"/>
  <c r="T13" i="7"/>
  <c r="R13" i="7"/>
  <c r="P13" i="7"/>
  <c r="N13" i="7"/>
  <c r="L13" i="7"/>
  <c r="J13" i="7"/>
  <c r="A12" i="10"/>
  <c r="G2" i="52" s="1"/>
  <c r="A6" i="10"/>
  <c r="A2" i="52" s="1"/>
  <c r="B63" i="10" l="1"/>
  <c r="AB2" i="52" s="1"/>
  <c r="D71" i="10" l="1"/>
  <c r="AD247" i="7"/>
  <c r="AD248" i="7"/>
  <c r="AD249" i="7"/>
  <c r="AD250" i="7" l="1"/>
  <c r="AD188" i="7"/>
  <c r="AD205" i="7"/>
  <c r="AD221" i="7"/>
  <c r="AD208" i="7"/>
  <c r="AD207" i="7"/>
  <c r="AD209" i="7"/>
  <c r="AD235" i="7"/>
  <c r="AD203" i="7"/>
  <c r="AD204" i="7"/>
  <c r="AD242" i="7"/>
  <c r="AD206" i="7"/>
  <c r="AD179" i="7"/>
  <c r="AD222" i="7"/>
  <c r="AD213" i="7"/>
  <c r="AD185" i="7"/>
  <c r="AD225" i="7"/>
  <c r="AD240" i="7"/>
  <c r="AD241" i="7"/>
  <c r="AD243" i="7"/>
  <c r="AD202" i="7"/>
  <c r="AD218" i="7"/>
  <c r="AD198" i="7"/>
  <c r="AD237" i="7"/>
  <c r="AD195" i="7"/>
  <c r="AD216" i="7"/>
  <c r="AD224" i="7"/>
  <c r="AD214" i="7"/>
  <c r="AD234" i="7"/>
  <c r="AD184" i="7"/>
  <c r="AD223" i="7"/>
  <c r="AD239" i="7"/>
  <c r="AD233" i="7"/>
  <c r="AD238" i="7"/>
  <c r="AD211" i="7"/>
  <c r="AD244" i="7"/>
  <c r="AD194" i="7"/>
  <c r="AD189" i="7"/>
  <c r="AD229" i="7"/>
  <c r="AD228" i="7"/>
  <c r="AD190" i="7"/>
  <c r="AD181" i="7"/>
  <c r="AD230" i="7"/>
  <c r="AD245" i="7"/>
  <c r="AD210" i="7"/>
  <c r="AD219" i="7"/>
  <c r="AD220" i="7"/>
  <c r="AD183" i="7"/>
  <c r="AD186" i="7"/>
  <c r="AD236" i="7"/>
  <c r="AD192" i="7"/>
  <c r="AD182" i="7"/>
  <c r="AD217" i="7"/>
  <c r="AD215" i="7"/>
  <c r="AD180" i="7"/>
  <c r="AD201" i="7"/>
  <c r="AD196" i="7"/>
  <c r="AD246" i="7"/>
  <c r="AD191" i="7"/>
  <c r="AD231" i="7"/>
  <c r="AD197" i="7"/>
  <c r="AD232" i="7"/>
  <c r="AD226" i="7"/>
  <c r="AD212" i="7"/>
  <c r="AD200" i="7"/>
  <c r="AD187" i="7"/>
  <c r="AD227" i="7"/>
  <c r="AD193" i="7"/>
  <c r="AD199" i="7"/>
  <c r="AD178" i="7"/>
  <c r="AD149" i="7"/>
  <c r="W5" i="7" l="1"/>
  <c r="E175" i="10"/>
  <c r="E174" i="10"/>
  <c r="B30" i="10"/>
  <c r="B33" i="10" s="1"/>
  <c r="AD20" i="7"/>
  <c r="AD117" i="7"/>
  <c r="AD103" i="7"/>
  <c r="AD39" i="7"/>
  <c r="AD140" i="7"/>
  <c r="AD106" i="7"/>
  <c r="AD53" i="7"/>
  <c r="AD123" i="7"/>
  <c r="AD153" i="7"/>
  <c r="AD87" i="7"/>
  <c r="AD136" i="7"/>
  <c r="AD99" i="7"/>
  <c r="AD150" i="7"/>
  <c r="AD176" i="7"/>
  <c r="AD175" i="7"/>
  <c r="AD82" i="7"/>
  <c r="AD108" i="7"/>
  <c r="AD118" i="7"/>
  <c r="AD125" i="7"/>
  <c r="AD166" i="7"/>
  <c r="AD129" i="7"/>
  <c r="AD43" i="7"/>
  <c r="AD14" i="7"/>
  <c r="AD52" i="7"/>
  <c r="AD127" i="7"/>
  <c r="AD54" i="7"/>
  <c r="AD83" i="7"/>
  <c r="AD33" i="7"/>
  <c r="AD155" i="7"/>
  <c r="AD148" i="7"/>
  <c r="AD142" i="7"/>
  <c r="AD163" i="7"/>
  <c r="AD72" i="7"/>
  <c r="AD115" i="7"/>
  <c r="AD59" i="7"/>
  <c r="AD68" i="7"/>
  <c r="AD56" i="7"/>
  <c r="AD133" i="7"/>
  <c r="AD162" i="7"/>
  <c r="AD90" i="7"/>
  <c r="AD122" i="7"/>
  <c r="AD93" i="7"/>
  <c r="AD26" i="7"/>
  <c r="AD34" i="7"/>
  <c r="AD164" i="7"/>
  <c r="AD126" i="7"/>
  <c r="AD89" i="7"/>
  <c r="AD49" i="7"/>
  <c r="AD88" i="7"/>
  <c r="AD80" i="7"/>
  <c r="AD151" i="7"/>
  <c r="AD91" i="7"/>
  <c r="AD50" i="7"/>
  <c r="AD132" i="7"/>
  <c r="AD96" i="7"/>
  <c r="AD47" i="7"/>
  <c r="AD145" i="7"/>
  <c r="AD147" i="7"/>
  <c r="AD19" i="7"/>
  <c r="AD74" i="7"/>
  <c r="AD28" i="7"/>
  <c r="AD23" i="7"/>
  <c r="AD139" i="7"/>
  <c r="AD30" i="7"/>
  <c r="AD135" i="7"/>
  <c r="AD81" i="7"/>
  <c r="AD94" i="7"/>
  <c r="AD15" i="7"/>
  <c r="AD170" i="7"/>
  <c r="AD177" i="7"/>
  <c r="AD86" i="7"/>
  <c r="AD112" i="7"/>
  <c r="AD66" i="7"/>
  <c r="AD17" i="7"/>
  <c r="AD120" i="7"/>
  <c r="AD159" i="7"/>
  <c r="AD36" i="7"/>
  <c r="AD154" i="7"/>
  <c r="AD31" i="7"/>
  <c r="AD84" i="7"/>
  <c r="AD146" i="7"/>
  <c r="AD95" i="7"/>
  <c r="AD16" i="7"/>
  <c r="AD165" i="7"/>
  <c r="AD130" i="7"/>
  <c r="AD104" i="7"/>
  <c r="AD141" i="7"/>
  <c r="AD110" i="7"/>
  <c r="AD51" i="7"/>
  <c r="AD75" i="7"/>
  <c r="AD38" i="7"/>
  <c r="AD109" i="7"/>
  <c r="AD22" i="7"/>
  <c r="AD70" i="7"/>
  <c r="AD60" i="7"/>
  <c r="AD98" i="7"/>
  <c r="AD65" i="7"/>
  <c r="AD62" i="7"/>
  <c r="AD172" i="7"/>
  <c r="AD167" i="7"/>
  <c r="AD97" i="7"/>
  <c r="AD29" i="7"/>
  <c r="AD35" i="7"/>
  <c r="AD58" i="7"/>
  <c r="AD92" i="7"/>
  <c r="AD77" i="7"/>
  <c r="AD44" i="7"/>
  <c r="AD78" i="7"/>
  <c r="AD119" i="7"/>
  <c r="AD46" i="7"/>
  <c r="AD116" i="7"/>
  <c r="AD71" i="7"/>
  <c r="AD21" i="7"/>
  <c r="AD128" i="7"/>
  <c r="AD173" i="7"/>
  <c r="AD161" i="7"/>
  <c r="AD79" i="7"/>
  <c r="AD48" i="7"/>
  <c r="AD24" i="7"/>
  <c r="AD102" i="7"/>
  <c r="AD169" i="7"/>
  <c r="AD138" i="7"/>
  <c r="AD144" i="7"/>
  <c r="AD152" i="7"/>
  <c r="AD114" i="7"/>
  <c r="AD73" i="7"/>
  <c r="AD27" i="7"/>
  <c r="AD69" i="7"/>
  <c r="AD18" i="7"/>
  <c r="AD57" i="7"/>
  <c r="AD113" i="7"/>
  <c r="AD168" i="7"/>
  <c r="AD121" i="7"/>
  <c r="AD61" i="7"/>
  <c r="AD76" i="7"/>
  <c r="AD42" i="7"/>
  <c r="AD158" i="7"/>
  <c r="AD32" i="7"/>
  <c r="AD134" i="7"/>
  <c r="AD85" i="7"/>
  <c r="AD111" i="7"/>
  <c r="AD143" i="7"/>
  <c r="AD137" i="7"/>
  <c r="AD171" i="7"/>
  <c r="AD41" i="7"/>
  <c r="AD107" i="7"/>
  <c r="AD100" i="7"/>
  <c r="AD63" i="7"/>
  <c r="AD67" i="7"/>
  <c r="AD174" i="7"/>
  <c r="W4" i="7"/>
  <c r="AD156" i="7"/>
  <c r="AD160" i="7"/>
  <c r="AD45" i="7"/>
  <c r="AD55" i="7"/>
  <c r="AD131" i="7"/>
  <c r="AD157" i="7"/>
  <c r="AD25" i="7"/>
  <c r="AD105" i="7"/>
  <c r="AD37" i="7"/>
  <c r="AD64" i="7"/>
  <c r="AD40" i="7"/>
  <c r="AD124" i="7"/>
  <c r="AD101" i="7"/>
  <c r="W3" i="7" l="1"/>
  <c r="B31" i="10" s="1"/>
  <c r="B32" i="10" s="1"/>
  <c r="B34" i="10" s="1"/>
  <c r="B71" i="10"/>
  <c r="G215" i="41" a="1"/>
  <c r="AB25" i="1" a="1"/>
  <c r="AA21" i="1" a="1"/>
  <c r="AA751" i="1" a="1"/>
  <c r="H171" i="11" a="1"/>
  <c r="C252" i="41" a="1"/>
  <c r="AB440" i="1" a="1"/>
  <c r="AA207" i="1" a="1"/>
  <c r="C229" i="41" a="1"/>
  <c r="AB334" i="1" a="1"/>
  <c r="AB422" i="1" a="1"/>
  <c r="AA310" i="1" a="1"/>
  <c r="AB630" i="1" a="1"/>
  <c r="H235" i="41" a="1"/>
  <c r="AB140" i="1" a="1"/>
  <c r="AA410" i="1" a="1"/>
  <c r="AB473" i="1" a="1"/>
  <c r="AB238" i="1" a="1"/>
  <c r="C261" i="11" a="1"/>
  <c r="AB399" i="1" a="1"/>
  <c r="H194" i="41" a="1"/>
  <c r="G75" i="11" a="1"/>
  <c r="AB87" i="1" a="1"/>
  <c r="AB556" i="1" a="1"/>
  <c r="H114" i="11" a="1"/>
  <c r="H31" i="41" a="1"/>
  <c r="C202" i="11" a="1"/>
  <c r="AA348" i="1" a="1"/>
  <c r="H84" i="11" a="1"/>
  <c r="C183" i="41" a="1"/>
  <c r="AA648" i="1" a="1"/>
  <c r="AA68" i="1" a="1"/>
  <c r="AB23" i="1" a="1"/>
  <c r="G257" i="11" a="1"/>
  <c r="C182" i="11" a="1"/>
  <c r="G105" i="11" a="1"/>
  <c r="AA967" i="1" a="1"/>
  <c r="AA306" i="1" a="1"/>
  <c r="AA723" i="1" a="1"/>
  <c r="C247" i="11" a="1"/>
  <c r="H247" i="41" a="1"/>
  <c r="AA850" i="1" a="1"/>
  <c r="AB775" i="1" a="1"/>
  <c r="AA415" i="1" a="1"/>
  <c r="AA586" i="1" a="1"/>
  <c r="H223" i="11" a="1"/>
  <c r="H222" i="41" a="1"/>
  <c r="AB463" i="1" a="1"/>
  <c r="AB260" i="1" a="1"/>
  <c r="AA727" i="1" a="1"/>
  <c r="AB221" i="1" a="1"/>
  <c r="H167" i="41" a="1"/>
  <c r="H180" i="41" a="1"/>
  <c r="AA327" i="1" a="1"/>
  <c r="AA493" i="1" a="1"/>
  <c r="AA907" i="1" a="1"/>
  <c r="G39" i="11" a="1"/>
  <c r="G207" i="11" a="1"/>
  <c r="C186" i="11" a="1"/>
  <c r="AA735" i="1" a="1"/>
  <c r="C74" i="41" a="1"/>
  <c r="H44" i="41" a="1"/>
  <c r="C119" i="41" a="1"/>
  <c r="C174" i="11" a="1"/>
  <c r="G179" i="11" a="1"/>
  <c r="H224" i="11" a="1"/>
  <c r="AB34" i="1" a="1"/>
  <c r="AB671" i="1" a="1"/>
  <c r="AB28" i="1" a="1"/>
  <c r="G260" i="41" a="1"/>
  <c r="AB250" i="1" a="1"/>
  <c r="G184" i="41" a="1"/>
  <c r="AA972" i="1" a="1"/>
  <c r="H158" i="11" a="1"/>
  <c r="G185" i="41" a="1"/>
  <c r="AB577" i="1" a="1"/>
  <c r="AA753" i="1" a="1"/>
  <c r="AB312" i="1" a="1"/>
  <c r="AB659" i="1" a="1"/>
  <c r="G133" i="11" a="1"/>
  <c r="H37" i="41" a="1"/>
  <c r="C203" i="11" a="1"/>
  <c r="C91" i="11" a="1"/>
  <c r="H232" i="41" a="1"/>
  <c r="C72" i="41" a="1"/>
  <c r="G158" i="11" a="1"/>
  <c r="AA567" i="1" a="1"/>
  <c r="H105" i="11" a="1"/>
  <c r="AB940" i="1" a="1"/>
  <c r="C223" i="11" a="1"/>
  <c r="G211" i="11" a="1"/>
  <c r="G176" i="11" a="1"/>
  <c r="C246" i="11" a="1"/>
  <c r="C243" i="41" a="1"/>
  <c r="H204" i="11" a="1"/>
  <c r="G53" i="11" a="1"/>
  <c r="AA295" i="1" a="1"/>
  <c r="C170" i="11" a="1"/>
  <c r="AA275" i="1" a="1"/>
  <c r="AB435" i="1" a="1"/>
  <c r="AB871" i="1" a="1"/>
  <c r="H114" i="41" a="1"/>
  <c r="AA468" i="1" a="1"/>
  <c r="AA589" i="1" a="1"/>
  <c r="H108" i="41" a="1"/>
  <c r="AA925" i="1" a="1"/>
  <c r="AB449" i="1" a="1"/>
  <c r="AA634" i="1" a="1"/>
  <c r="AB409" i="1" a="1"/>
  <c r="G157" i="41" a="1"/>
  <c r="AA914" i="1" a="1"/>
  <c r="C198" i="11" a="1"/>
  <c r="AA285" i="1" a="1"/>
  <c r="G48" i="41" a="1"/>
  <c r="AA718" i="1" a="1"/>
  <c r="H133" i="11" a="1"/>
  <c r="AB491" i="1" a="1"/>
  <c r="H216" i="41" a="1"/>
  <c r="AA998" i="1" a="1"/>
  <c r="AA209" i="1" a="1"/>
  <c r="G259" i="41" a="1"/>
  <c r="G126" i="41" a="1"/>
  <c r="AA389" i="1" a="1"/>
  <c r="AA81" i="1" a="1"/>
  <c r="AA969" i="1" a="1"/>
  <c r="AA45" i="1" a="1"/>
  <c r="AA835" i="1" a="1"/>
  <c r="AB531" i="1" a="1"/>
  <c r="AA402" i="1" a="1"/>
  <c r="G27" i="11" a="1"/>
  <c r="C206" i="41" a="1"/>
  <c r="H229" i="41" a="1"/>
  <c r="AA863" i="1" a="1"/>
  <c r="G200" i="11" a="1"/>
  <c r="H145" i="41" a="1"/>
  <c r="G118" i="11" a="1"/>
  <c r="AB138" i="1" a="1"/>
  <c r="C55" i="41" a="1"/>
  <c r="C235" i="11" a="1"/>
  <c r="C255" i="11" a="1"/>
  <c r="H216" i="11" a="1"/>
  <c r="H253" i="11" a="1"/>
  <c r="AB1003" i="1" a="1"/>
  <c r="AB711" i="1" a="1"/>
  <c r="AB553" i="1" a="1"/>
  <c r="AB806" i="1" a="1"/>
  <c r="AA246" i="1" a="1"/>
  <c r="AA16" i="1" a="1"/>
  <c r="AA817" i="1" a="1"/>
  <c r="AB930" i="1" a="1"/>
  <c r="AA420" i="1" a="1"/>
  <c r="C210" i="41" a="1"/>
  <c r="AB220" i="1" a="1"/>
  <c r="H136" i="41" a="1"/>
  <c r="AA311" i="1" a="1"/>
  <c r="AB323" i="1" a="1"/>
  <c r="AA319" i="1" a="1"/>
  <c r="AA263" i="1" a="1"/>
  <c r="AB999" i="1" a="1"/>
  <c r="H56" i="11" a="1"/>
  <c r="AA995" i="1" a="1"/>
  <c r="AA6" i="1" a="1"/>
  <c r="AB726" i="1" a="1"/>
  <c r="C188" i="41" a="1"/>
  <c r="G28" i="41" a="1"/>
  <c r="C177" i="41" a="1"/>
  <c r="C155" i="11" a="1"/>
  <c r="AA825" i="1" a="1"/>
  <c r="AA127" i="1" a="1"/>
  <c r="AB955" i="1" a="1"/>
  <c r="AB179" i="1" a="1"/>
  <c r="AA579" i="1" a="1"/>
  <c r="G125" i="41" a="1"/>
  <c r="AA286" i="1" a="1"/>
  <c r="C116" i="41" a="1"/>
  <c r="H76" i="11" a="1"/>
  <c r="AA775" i="1" a="1"/>
  <c r="G71" i="41" a="1"/>
  <c r="AA959" i="1" a="1"/>
  <c r="G163" i="41" a="1"/>
  <c r="AB830" i="1" a="1"/>
  <c r="AB827" i="1" a="1"/>
  <c r="AA193" i="1" a="1"/>
  <c r="AB58" i="1" a="1"/>
  <c r="AA258" i="1" a="1"/>
  <c r="H40" i="11" a="1"/>
  <c r="AA591" i="1" a="1"/>
  <c r="G233" i="41" a="1"/>
  <c r="H222" i="11" a="1"/>
  <c r="AA912" i="1" a="1"/>
  <c r="AA307" i="1" a="1"/>
  <c r="H164" i="11" a="1"/>
  <c r="AB882" i="1" a="1"/>
  <c r="C135" i="11" a="1"/>
  <c r="AB166" i="1" a="1"/>
  <c r="G216" i="41" a="1"/>
  <c r="AA821" i="1" a="1"/>
  <c r="AB938" i="1" a="1"/>
  <c r="AA178" i="1" a="1"/>
  <c r="C179" i="11" a="1"/>
  <c r="C256" i="41" a="1"/>
  <c r="AB425" i="1" a="1"/>
  <c r="H135" i="41" a="1"/>
  <c r="AA245" i="1" a="1"/>
  <c r="AB954" i="1" a="1"/>
  <c r="AB986" i="1" a="1"/>
  <c r="AA792" i="1" a="1"/>
  <c r="AB163" i="1" a="1"/>
  <c r="AB301" i="1" a="1"/>
  <c r="AA896" i="1" a="1"/>
  <c r="AB879" i="1" a="1"/>
  <c r="AA64" i="1" a="1"/>
  <c r="C39" i="41" a="1"/>
  <c r="C130" i="41" a="1"/>
  <c r="AB313" i="1" a="1"/>
  <c r="AB933" i="1" a="1"/>
  <c r="AB519" i="1" a="1"/>
  <c r="AB418" i="1" a="1"/>
  <c r="AA520" i="1" a="1"/>
  <c r="AB855" i="1" a="1"/>
  <c r="C30" i="41" a="1"/>
  <c r="AB981" i="1" a="1"/>
  <c r="AA29" i="1" a="1"/>
  <c r="AB375" i="1" a="1"/>
  <c r="H27" i="41" a="1"/>
  <c r="H52" i="41" a="1"/>
  <c r="AA991" i="1" a="1"/>
  <c r="AA24" i="1" a="1"/>
  <c r="AB616" i="1" a="1"/>
  <c r="H143" i="41" a="1"/>
  <c r="AB430" i="1" a="1"/>
  <c r="AB863" i="1" a="1"/>
  <c r="C168" i="41" a="1"/>
  <c r="AB351" i="1" a="1"/>
  <c r="C35" i="11" a="1"/>
  <c r="AB996" i="1" a="1"/>
  <c r="G161" i="11" a="1"/>
  <c r="AA872" i="1" a="1"/>
  <c r="AB985" i="1" a="1"/>
  <c r="AB286" i="1" a="1"/>
  <c r="H198" i="41" a="1"/>
  <c r="AA816" i="1" a="1"/>
  <c r="G167" i="41" a="1"/>
  <c r="AA165" i="1" a="1"/>
  <c r="AA243" i="1" a="1"/>
  <c r="AB644" i="1" a="1"/>
  <c r="G104" i="41" a="1"/>
  <c r="AB980" i="1" a="1"/>
  <c r="C167" i="11" a="1"/>
  <c r="G64" i="11" a="1"/>
  <c r="AB567" i="1" a="1"/>
  <c r="G87" i="11" a="1"/>
  <c r="AA697" i="1" a="1"/>
  <c r="H214" i="41" a="1"/>
  <c r="AB61" i="1" a="1"/>
  <c r="AA639" i="1" a="1"/>
  <c r="G64" i="41" a="1"/>
  <c r="AA168" i="1" a="1"/>
  <c r="H137" i="41" a="1"/>
  <c r="AA774" i="1" a="1"/>
  <c r="C184" i="11" a="1"/>
  <c r="AA581" i="1" a="1"/>
  <c r="AB477" i="1" a="1"/>
  <c r="H241" i="41" a="1"/>
  <c r="H221" i="41" a="1"/>
  <c r="H175" i="41" a="1"/>
  <c r="G198" i="11" a="1"/>
  <c r="H174" i="11" a="1"/>
  <c r="C161" i="11" a="1"/>
  <c r="AB916" i="1" a="1"/>
  <c r="AA44" i="1" a="1"/>
  <c r="AB736" i="1" a="1"/>
  <c r="AA609" i="1" a="1"/>
  <c r="AB929" i="1" a="1"/>
  <c r="H251" i="11" a="1"/>
  <c r="C236" i="11" a="1"/>
  <c r="G137" i="11" a="1"/>
  <c r="C86" i="41" a="1"/>
  <c r="G38" i="11" a="1"/>
  <c r="AB297" i="1" a="1"/>
  <c r="AA548" i="1" a="1"/>
  <c r="AA171" i="1" a="1"/>
  <c r="AA757" i="1" a="1"/>
  <c r="G196" i="11" a="1"/>
  <c r="AA985" i="1" a="1"/>
  <c r="AA702" i="1" a="1"/>
  <c r="AA83" i="1" a="1"/>
  <c r="AB924" i="1" a="1"/>
  <c r="AB565" i="1" a="1"/>
  <c r="H208" i="41" a="1"/>
  <c r="H159" i="11" a="1"/>
  <c r="AA593" i="1" a="1"/>
  <c r="C196" i="11" a="1"/>
  <c r="H125" i="41" a="1"/>
  <c r="AB327" i="1" a="1"/>
  <c r="C105" i="41" a="1"/>
  <c r="G221" i="41" a="1"/>
  <c r="AA260" i="1" a="1"/>
  <c r="AA923" i="1" a="1"/>
  <c r="AB390" i="1" a="1"/>
  <c r="AB517" i="1" a="1"/>
  <c r="AA552" i="1" a="1"/>
  <c r="AB529" i="1" a="1"/>
  <c r="G118" i="41" a="1"/>
  <c r="C223" i="41" a="1"/>
  <c r="AB728" i="1" a="1"/>
  <c r="AB742" i="1" a="1"/>
  <c r="AB706" i="1" a="1"/>
  <c r="G231" i="41" a="1"/>
  <c r="H63" i="11" a="1"/>
  <c r="C139" i="11" a="1"/>
  <c r="AA230" i="1" a="1"/>
  <c r="AA481" i="1" a="1"/>
  <c r="G40" i="41" a="1"/>
  <c r="AB373" i="1" a="1"/>
  <c r="H26" i="41" a="1"/>
  <c r="AB831" i="1" a="1"/>
  <c r="G79" i="11" a="1"/>
  <c r="C38" i="11" a="1"/>
  <c r="G214" i="41" a="1"/>
  <c r="AB982" i="1" a="1"/>
  <c r="AA917" i="1" a="1"/>
  <c r="AA534" i="1" a="1"/>
  <c r="AA358" i="1" a="1"/>
  <c r="G162" i="11" a="1"/>
  <c r="AA28" i="1" a="1"/>
  <c r="AA423" i="1" a="1"/>
  <c r="AA201" i="1" a="1"/>
  <c r="C185" i="41" a="1"/>
  <c r="AB240" i="1" a="1"/>
  <c r="H158" i="41" a="1"/>
  <c r="AB681" i="1" a="1"/>
  <c r="AA916" i="1" a="1"/>
  <c r="C88" i="41" a="1"/>
  <c r="AA87" i="1" a="1"/>
  <c r="G129" i="11" a="1"/>
  <c r="H41" i="11" a="1"/>
  <c r="H233" i="41" a="1"/>
  <c r="AA224" i="1" a="1"/>
  <c r="G128" i="41" a="1"/>
  <c r="AB790" i="1" a="1"/>
  <c r="AB80" i="1" a="1"/>
  <c r="AB178" i="1" a="1"/>
  <c r="C235" i="41" a="1"/>
  <c r="G124" i="11" a="1"/>
  <c r="C101" i="11" a="1"/>
  <c r="AA956" i="1" a="1"/>
  <c r="C47" i="11" a="1"/>
  <c r="AB881" i="1" a="1"/>
  <c r="G86" i="11" a="1"/>
  <c r="AB244" i="1" a="1"/>
  <c r="AB607" i="1" a="1"/>
  <c r="G119" i="41" a="1"/>
  <c r="AB861" i="1" a="1"/>
  <c r="C58" i="11" a="1"/>
  <c r="AB787" i="1" a="1"/>
  <c r="AA383" i="1" a="1"/>
  <c r="AB578" i="1" a="1"/>
  <c r="H115" i="41" a="1"/>
  <c r="G107" i="41" a="1"/>
  <c r="AA368" i="1" a="1"/>
  <c r="G47" i="11" a="1"/>
  <c r="C109" i="11" a="1"/>
  <c r="AB300" i="1" a="1"/>
  <c r="C106" i="41" a="1"/>
  <c r="C147" i="41" a="1"/>
  <c r="AB266" i="1" a="1"/>
  <c r="G239" i="11" a="1"/>
  <c r="AA711" i="1" a="1"/>
  <c r="AA12" i="1" a="1"/>
  <c r="H129" i="41" a="1"/>
  <c r="AA516" i="1" a="1"/>
  <c r="G252" i="11" a="1"/>
  <c r="AA559" i="1" a="1"/>
  <c r="AA120" i="1" a="1"/>
  <c r="AA196" i="1" a="1"/>
  <c r="H53" i="11" a="1"/>
  <c r="C188" i="11" a="1"/>
  <c r="C99" i="41" a="1"/>
  <c r="AB364" i="1" a="1"/>
  <c r="AA80" i="1" a="1"/>
  <c r="G94" i="11" a="1"/>
  <c r="C68" i="41" a="1"/>
  <c r="AB842" i="1" a="1"/>
  <c r="AA561" i="1" a="1"/>
  <c r="AA162" i="1" a="1"/>
  <c r="AB769" i="1" a="1"/>
  <c r="AA343" i="1" a="1"/>
  <c r="AA370" i="1" a="1"/>
  <c r="H140" i="41" a="1"/>
  <c r="AA575" i="1" a="1"/>
  <c r="AB967" i="1" a="1"/>
  <c r="AA892" i="1" a="1"/>
  <c r="C166" i="11" a="1"/>
  <c r="H187" i="11" a="1"/>
  <c r="AA176" i="1" a="1"/>
  <c r="H243" i="11" a="1"/>
  <c r="AB922" i="1" a="1"/>
  <c r="H127" i="11" a="1"/>
  <c r="C242" i="41" a="1"/>
  <c r="AA332" i="1" a="1"/>
  <c r="AA547" i="1" a="1"/>
  <c r="AA809" i="1" a="1"/>
  <c r="AB331" i="1" a="1"/>
  <c r="H220" i="41" a="1"/>
  <c r="G85" i="41" a="1"/>
  <c r="AA479" i="1" a="1"/>
  <c r="AA527" i="1" a="1"/>
  <c r="AA42" i="1" a="1"/>
  <c r="AA875" i="1" a="1"/>
  <c r="C168" i="11" a="1"/>
  <c r="C40" i="11" a="1"/>
  <c r="G122" i="41" a="1"/>
  <c r="AA953" i="1" a="1"/>
  <c r="AB617" i="1" a="1"/>
  <c r="H194" i="11" a="1"/>
  <c r="AB338" i="1" a="1"/>
  <c r="C195" i="41" a="1"/>
  <c r="AB467" i="1" a="1"/>
  <c r="G237" i="41" a="1"/>
  <c r="AA428" i="1" a="1"/>
  <c r="AA102" i="1" a="1"/>
  <c r="AA313" i="1" a="1"/>
  <c r="AA731" i="1" a="1"/>
  <c r="C135" i="41" a="1"/>
  <c r="AA359" i="1" a="1"/>
  <c r="C83" i="41" a="1"/>
  <c r="H173" i="41" a="1"/>
  <c r="G25" i="11" a="1"/>
  <c r="H209" i="41" a="1"/>
  <c r="AA498" i="1" a="1"/>
  <c r="AB691" i="1" a="1"/>
  <c r="AA515" i="1" a="1"/>
  <c r="AB294" i="1" a="1"/>
  <c r="AB193" i="1" a="1"/>
  <c r="C45" i="11" a="1"/>
  <c r="G244" i="11" a="1"/>
  <c r="G239" i="41" a="1"/>
  <c r="AA654" i="1" a="1"/>
  <c r="G241" i="41" a="1"/>
  <c r="AB446" i="1" a="1"/>
  <c r="AB322" i="1" a="1"/>
  <c r="AB395" i="1" a="1"/>
  <c r="AA466" i="1" a="1"/>
  <c r="AB738" i="1" a="1"/>
  <c r="H224" i="41" a="1"/>
  <c r="AB186" i="1" a="1"/>
  <c r="AA730" i="1" a="1"/>
  <c r="G37" i="41" a="1"/>
  <c r="G148" i="41" a="1"/>
  <c r="C103" i="11" a="1"/>
  <c r="C190" i="41" a="1"/>
  <c r="AB796" i="1" a="1"/>
  <c r="H113" i="11" a="1"/>
  <c r="C105" i="11" a="1"/>
  <c r="AB153" i="1" a="1"/>
  <c r="G138" i="41" a="1"/>
  <c r="H172" i="41" a="1"/>
  <c r="H137" i="11" a="1"/>
  <c r="AA126" i="1" a="1"/>
  <c r="AB161" i="1" a="1"/>
  <c r="AB18" i="1" a="1"/>
  <c r="C129" i="41" a="1"/>
  <c r="G233" i="11" a="1"/>
  <c r="C37" i="11" a="1"/>
  <c r="H91" i="11" a="1"/>
  <c r="AA249" i="1" a="1"/>
  <c r="AB746" i="1" a="1"/>
  <c r="AB543" i="1" a="1"/>
  <c r="C107" i="11" a="1"/>
  <c r="AB1004" i="1" a="1"/>
  <c r="C228" i="41" a="1"/>
  <c r="H191" i="11" a="1"/>
  <c r="AB281" i="1" a="1"/>
  <c r="AB762" i="1" a="1"/>
  <c r="AB215" i="1" a="1"/>
  <c r="AB915" i="1" a="1"/>
  <c r="C121" i="41" a="1"/>
  <c r="G252" i="41" a="1"/>
  <c r="AA256" i="1" a="1"/>
  <c r="G169" i="41" a="1"/>
  <c r="AB403" i="1" a="1"/>
  <c r="AB141" i="1" a="1"/>
  <c r="AB188" i="1" a="1"/>
  <c r="AB269" i="1" a="1"/>
  <c r="AB363" i="1" a="1"/>
  <c r="AA30" i="1" a="1"/>
  <c r="C41" i="41" a="1"/>
  <c r="AA216" i="1" a="1"/>
  <c r="AB580" i="1" a="1"/>
  <c r="H210" i="11" a="1"/>
  <c r="H187" i="41" a="1"/>
  <c r="C191" i="41" a="1"/>
  <c r="AB122" i="1" a="1"/>
  <c r="AA597" i="1" a="1"/>
  <c r="AA960" i="1" a="1"/>
  <c r="C185" i="11" a="1"/>
  <c r="AB971" i="1" a="1"/>
  <c r="G164" i="41" a="1"/>
  <c r="C207" i="11" a="1"/>
  <c r="AA990" i="1" a="1"/>
  <c r="C113" i="41" a="1"/>
  <c r="H116" i="41" a="1"/>
  <c r="C147" i="11" a="1"/>
  <c r="G62" i="41" a="1"/>
  <c r="AB968" i="1" a="1"/>
  <c r="AA147" i="1" a="1"/>
  <c r="AA712" i="1" a="1"/>
  <c r="AB81" i="1" a="1"/>
  <c r="H240" i="41" a="1"/>
  <c r="AB43" i="1" a="1"/>
  <c r="H153" i="41" a="1"/>
  <c r="C145" i="11" a="1"/>
  <c r="G109" i="41" a="1"/>
  <c r="AB699" i="1" a="1"/>
  <c r="C90" i="11" a="1"/>
  <c r="AB970" i="1" a="1"/>
  <c r="AA13" i="1" a="1"/>
  <c r="AA470" i="1" a="1"/>
  <c r="H110" i="11" a="1"/>
  <c r="C221" i="41" a="1"/>
  <c r="AA623" i="1" a="1"/>
  <c r="AA964" i="1" a="1"/>
  <c r="H239" i="11" a="1"/>
  <c r="C212" i="41" a="1"/>
  <c r="AB695" i="1" a="1"/>
  <c r="G151" i="41" a="1"/>
  <c r="AB900" i="1" a="1"/>
  <c r="AB776" i="1" a="1"/>
  <c r="AA576" i="1" a="1"/>
  <c r="G241" i="11" a="1"/>
  <c r="AB656" i="1" a="1"/>
  <c r="AA544" i="1" a="1"/>
  <c r="AA804" i="1" a="1"/>
  <c r="AB267" i="1" a="1"/>
  <c r="AA214" i="1" a="1"/>
  <c r="AB901" i="1" a="1"/>
  <c r="AA163" i="1" a="1"/>
  <c r="AB835" i="1" a="1"/>
  <c r="AA353" i="1" a="1"/>
  <c r="G120" i="41" a="1"/>
  <c r="H64" i="11" a="1"/>
  <c r="AB62" i="1" a="1"/>
  <c r="C204" i="11" a="1"/>
  <c r="C27" i="11" a="1"/>
  <c r="H228" i="41" a="1"/>
  <c r="AB793" i="1" a="1"/>
  <c r="H200" i="11" a="1"/>
  <c r="AA797" i="1" a="1"/>
  <c r="H112" i="11" a="1"/>
  <c r="G57" i="11" a="1"/>
  <c r="G110" i="41" a="1"/>
  <c r="AB307" i="1" a="1"/>
  <c r="AB784" i="1" a="1"/>
  <c r="AA218" i="1" a="1"/>
  <c r="AB686" i="1" a="1"/>
  <c r="AA811" i="1" a="1"/>
  <c r="AB612" i="1" a="1"/>
  <c r="AB436" i="1" a="1"/>
  <c r="AA769" i="1" a="1"/>
  <c r="AB195" i="1" a="1"/>
  <c r="C157" i="41" a="1"/>
  <c r="AB461" i="1" a="1"/>
  <c r="G179" i="41" a="1"/>
  <c r="AA870" i="1" a="1"/>
  <c r="AB157" i="1" a="1"/>
  <c r="AB678" i="1" a="1"/>
  <c r="AA975" i="1" a="1"/>
  <c r="AB469" i="1" a="1"/>
  <c r="AB904" i="1" a="1"/>
  <c r="G258" i="41" a="1"/>
  <c r="H205" i="11" a="1"/>
  <c r="G159" i="11" a="1"/>
  <c r="AA139" i="1" a="1"/>
  <c r="AB763" i="1" a="1"/>
  <c r="C163" i="41" a="1"/>
  <c r="AA351" i="1" a="1"/>
  <c r="AB230" i="1" a="1"/>
  <c r="AB471" i="1" a="1"/>
  <c r="G78" i="11" a="1"/>
  <c r="AB959" i="1" a="1"/>
  <c r="H111" i="11" a="1"/>
  <c r="AB908" i="1" a="1"/>
  <c r="AB340" i="1" a="1"/>
  <c r="AB774" i="1" a="1"/>
  <c r="AB823" i="1" a="1"/>
  <c r="AA832" i="1" a="1"/>
  <c r="AA289" i="1" a="1"/>
  <c r="AA450" i="1" a="1"/>
  <c r="AA204" i="1" a="1"/>
  <c r="H217" i="41" a="1"/>
  <c r="AB499" i="1" a="1"/>
  <c r="AB149" i="1" a="1"/>
  <c r="G54" i="41" a="1"/>
  <c r="AA918" i="1" a="1"/>
  <c r="AB887" i="1" a="1"/>
  <c r="AA566" i="1" a="1"/>
  <c r="AA750" i="1" a="1"/>
  <c r="AA250" i="1" a="1"/>
  <c r="AB923" i="1" a="1"/>
  <c r="C25" i="11" a="1"/>
  <c r="AB548" i="1" a="1"/>
  <c r="G230" i="41" a="1"/>
  <c r="C54" i="41" a="1"/>
  <c r="AA904" i="1" a="1"/>
  <c r="AB96" i="1" a="1"/>
  <c r="C31" i="41" a="1"/>
  <c r="C254" i="11" a="1"/>
  <c r="AB158" i="1" a="1"/>
  <c r="C231" i="41" a="1"/>
  <c r="AB237" i="1" a="1"/>
  <c r="C73" i="41" a="1"/>
  <c r="AB309" i="1" a="1"/>
  <c r="AA407" i="1" a="1"/>
  <c r="G82" i="11" a="1"/>
  <c r="AA745" i="1" a="1"/>
  <c r="AB213" i="1" a="1"/>
  <c r="AB815" i="1" a="1"/>
  <c r="H145" i="11" a="1"/>
  <c r="C128" i="11" a="1"/>
  <c r="AB16" i="1" a="1"/>
  <c r="H239" i="41" a="1"/>
  <c r="C45" i="41" a="1"/>
  <c r="H176" i="11" a="1"/>
  <c r="AB865" i="1" a="1"/>
  <c r="C197" i="11" a="1"/>
  <c r="AA119" i="1" a="1"/>
  <c r="AA943" i="1" a="1"/>
  <c r="AB818" i="1" a="1"/>
  <c r="AB133" i="1" a="1"/>
  <c r="AA514" i="1" a="1"/>
  <c r="C69" i="11" a="1"/>
  <c r="AB989" i="1" a="1"/>
  <c r="AA85" i="1" a="1"/>
  <c r="G80" i="41" a="1"/>
  <c r="AB113" i="1" a="1"/>
  <c r="AA146" i="1" a="1"/>
  <c r="AA853" i="1" a="1"/>
  <c r="G195" i="41" a="1"/>
  <c r="H185" i="11" a="1"/>
  <c r="G149" i="41" a="1"/>
  <c r="C123" i="11" a="1"/>
  <c r="H87" i="11" a="1"/>
  <c r="AB509" i="1" a="1"/>
  <c r="G254" i="11" a="1"/>
  <c r="G238" i="41" a="1"/>
  <c r="G194" i="11" a="1"/>
  <c r="H161" i="41" a="1"/>
  <c r="AA501" i="1" a="1"/>
  <c r="H76" i="41" a="1"/>
  <c r="C79" i="11" a="1"/>
  <c r="AB226" i="1" a="1"/>
  <c r="AA452" i="1" a="1"/>
  <c r="AA965" i="1" a="1"/>
  <c r="C176" i="11" a="1"/>
  <c r="H102" i="11" a="1"/>
  <c r="AB822" i="1" a="1"/>
  <c r="G138" i="11" a="1"/>
  <c r="G183" i="41" a="1"/>
  <c r="C171" i="41" a="1"/>
  <c r="AA867" i="1" a="1"/>
  <c r="AB782" i="1" a="1"/>
  <c r="H233" i="11" a="1"/>
  <c r="G49" i="41" a="1"/>
  <c r="AB303" i="1" a="1"/>
  <c r="G183" i="11" a="1"/>
  <c r="H88" i="11" a="1"/>
  <c r="H38" i="41" a="1"/>
  <c r="G47" i="41" a="1"/>
  <c r="AA973" i="1" a="1"/>
  <c r="AB488" i="1" a="1"/>
  <c r="C76" i="41" a="1"/>
  <c r="AA454" i="1" a="1"/>
  <c r="H237" i="41" a="1"/>
  <c r="C171" i="11" a="1"/>
  <c r="H241" i="11" a="1"/>
  <c r="AB826" i="1" a="1"/>
  <c r="C129" i="11" a="1"/>
  <c r="G27" i="41" a="1"/>
  <c r="AA395" i="1" a="1"/>
  <c r="AA963" i="1" a="1"/>
  <c r="C220" i="11" a="1"/>
  <c r="C122" i="41" a="1"/>
  <c r="AA177" i="1" a="1"/>
  <c r="H218" i="41" a="1"/>
  <c r="H227" i="41" a="1"/>
  <c r="AB950" i="1" a="1"/>
  <c r="C181" i="11" a="1"/>
  <c r="AA504" i="1" a="1"/>
  <c r="G153" i="41" a="1"/>
  <c r="AA455" i="1" a="1"/>
  <c r="G36" i="11" a="1"/>
  <c r="AB256" i="1" a="1"/>
  <c r="C144" i="41" a="1"/>
  <c r="G97" i="41" a="1"/>
  <c r="AA741" i="1" a="1"/>
  <c r="AB743" i="1" a="1"/>
  <c r="G63" i="41" a="1"/>
  <c r="G178" i="41" a="1"/>
  <c r="C170" i="41" a="1"/>
  <c r="C157" i="11" a="1"/>
  <c r="AB236" i="1" a="1"/>
  <c r="AB697" i="1" a="1"/>
  <c r="G260" i="11" a="1"/>
  <c r="AB909" i="1" a="1"/>
  <c r="G206" i="11" a="1"/>
  <c r="AA9" i="1" a="1"/>
  <c r="AA476" i="1" a="1"/>
  <c r="AA27" i="1" a="1"/>
  <c r="AB466" i="1" a="1"/>
  <c r="H203" i="11" a="1"/>
  <c r="AB261" i="1" a="1"/>
  <c r="AA523" i="1" a="1"/>
  <c r="AB609" i="1" a="1"/>
  <c r="AA584" i="1" a="1"/>
  <c r="H203" i="41" a="1"/>
  <c r="G116" i="11" a="1"/>
  <c r="C249" i="11" a="1"/>
  <c r="AB600" i="1" a="1"/>
  <c r="AA583" i="1" a="1"/>
  <c r="G92" i="41" a="1"/>
  <c r="C117" i="41" a="1"/>
  <c r="AB837" i="1" a="1"/>
  <c r="AB159" i="1" a="1"/>
  <c r="AA113" i="1" a="1"/>
  <c r="H57" i="11" a="1"/>
  <c r="C142" i="11" a="1"/>
  <c r="H103" i="11" a="1"/>
  <c r="H59" i="41" a="1"/>
  <c r="AA148" i="1" a="1"/>
  <c r="C111" i="11" a="1"/>
  <c r="H34" i="41" a="1"/>
  <c r="H90" i="41" a="1"/>
  <c r="AA401" i="1" a="1"/>
  <c r="AA149" i="1" a="1"/>
  <c r="AB953" i="1" a="1"/>
  <c r="AB456" i="1" a="1"/>
  <c r="AB452" i="1" a="1"/>
  <c r="AA23" i="1" a="1"/>
  <c r="G173" i="11" a="1"/>
  <c r="C140" i="41" a="1"/>
  <c r="H172" i="11" a="1"/>
  <c r="H36" i="11" a="1"/>
  <c r="H200" i="41" a="1"/>
  <c r="G84" i="41" a="1"/>
  <c r="H60" i="41" a="1"/>
  <c r="AB766" i="1" a="1"/>
  <c r="C205" i="11" a="1"/>
  <c r="G177" i="41" a="1"/>
  <c r="AB336" i="1" a="1"/>
  <c r="AA607" i="1" a="1"/>
  <c r="C60" i="41" a="1"/>
  <c r="G80" i="11" a="1"/>
  <c r="AB889" i="1" a="1"/>
  <c r="AA564" i="1" a="1"/>
  <c r="AB148" i="1" a="1"/>
  <c r="C37" i="41" a="1"/>
  <c r="H173" i="11" a="1"/>
  <c r="AB768" i="1" a="1"/>
  <c r="AB587" i="1" a="1"/>
  <c r="AA321" i="1" a="1"/>
  <c r="AB555" i="1" a="1"/>
  <c r="AA114" i="1" a="1"/>
  <c r="AA1002" i="1" a="1"/>
  <c r="G34" i="11" a="1"/>
  <c r="C146" i="41" a="1"/>
  <c r="H153" i="11" a="1"/>
  <c r="AB126" i="1" a="1"/>
  <c r="AB447" i="1" a="1"/>
  <c r="AA367" i="1" a="1"/>
  <c r="AA958" i="1" a="1"/>
  <c r="AA75" i="1" a="1"/>
  <c r="AB479" i="1" a="1"/>
  <c r="AA264" i="1" a="1"/>
  <c r="AA647" i="1" a="1"/>
  <c r="G100" i="41" a="1"/>
  <c r="AB848" i="1" a="1"/>
  <c r="AA687" i="1" a="1"/>
  <c r="AB246" i="1" a="1"/>
  <c r="G240" i="41" a="1"/>
  <c r="H189" i="11" a="1"/>
  <c r="AB960" i="1" a="1"/>
  <c r="AA189" i="1" a="1"/>
  <c r="C133" i="41" a="1"/>
  <c r="AA262" i="1" a="1"/>
  <c r="AB79" i="1" a="1"/>
  <c r="AB756" i="1" a="1"/>
  <c r="AA121" i="1" a="1"/>
  <c r="AA924" i="1" a="1"/>
  <c r="AA719" i="1" a="1"/>
  <c r="AA52" i="1" a="1"/>
  <c r="G108" i="41" a="1"/>
  <c r="C245" i="41" a="1"/>
  <c r="AA949" i="1" a="1"/>
  <c r="AB156" i="1" a="1"/>
  <c r="G181" i="41" a="1"/>
  <c r="AA437" i="1" a="1"/>
  <c r="AB204" i="1" a="1"/>
  <c r="G75" i="41" a="1"/>
  <c r="AB118" i="1" a="1"/>
  <c r="G245" i="11" a="1"/>
  <c r="G228" i="41" a="1"/>
  <c r="AB280" i="1" a="1"/>
  <c r="AA984" i="1" a="1"/>
  <c r="AA199" i="1" a="1"/>
  <c r="C79" i="41" a="1"/>
  <c r="AB89" i="1" a="1"/>
  <c r="AA290" i="1" a="1"/>
  <c r="AA827" i="1" a="1"/>
  <c r="AA442" i="1" a="1"/>
  <c r="AA558" i="1" a="1"/>
  <c r="H50" i="11" a="1"/>
  <c r="AA781" i="1" a="1"/>
  <c r="AA852" i="1" a="1"/>
  <c r="H64" i="41" a="1"/>
  <c r="AA614" i="1" a="1"/>
  <c r="AB761" i="1" a="1"/>
  <c r="AA25" i="1" a="1"/>
  <c r="H181" i="41" a="1"/>
  <c r="AB462" i="1" a="1"/>
  <c r="G154" i="11" a="1"/>
  <c r="AB586" i="1" a="1"/>
  <c r="C244" i="41" a="1"/>
  <c r="AA179" i="1" a="1"/>
  <c r="AB605" i="1" a="1"/>
  <c r="AA940" i="1" a="1"/>
  <c r="C38" i="41" a="1"/>
  <c r="C250" i="41" a="1"/>
  <c r="AA803" i="1" a="1"/>
  <c r="C102" i="41" a="1"/>
  <c r="G72" i="41" a="1"/>
  <c r="C111" i="41" a="1"/>
  <c r="C165" i="11" a="1"/>
  <c r="AA948" i="1" a="1"/>
  <c r="AB939" i="1" a="1"/>
  <c r="AA483" i="1" a="1"/>
  <c r="H118" i="41" a="1"/>
  <c r="AB651" i="1" a="1"/>
  <c r="G50" i="41" a="1"/>
  <c r="H204" i="41" a="1"/>
  <c r="AA487" i="1" a="1"/>
  <c r="AB669" i="1" a="1"/>
  <c r="AA70" i="1" a="1"/>
  <c r="AB274" i="1" a="1"/>
  <c r="AB674" i="1" a="1"/>
  <c r="AB510" i="1" a="1"/>
  <c r="C115" i="11" a="1"/>
  <c r="AB964" i="1" a="1"/>
  <c r="AB124" i="1" a="1"/>
  <c r="C124" i="41" a="1"/>
  <c r="AA390" i="1" a="1"/>
  <c r="AA670" i="1" a="1"/>
  <c r="H106" i="11" a="1"/>
  <c r="AB131" i="1" a="1"/>
  <c r="C76" i="11" a="1"/>
  <c r="AB614" i="1" a="1"/>
  <c r="AB506" i="1" a="1"/>
  <c r="C26" i="11" a="1"/>
  <c r="AB424" i="1" a="1"/>
  <c r="AA977" i="1" a="1"/>
  <c r="AA839" i="1" a="1"/>
  <c r="C114" i="41" a="1"/>
  <c r="H193" i="11" a="1"/>
  <c r="C59" i="11" a="1"/>
  <c r="AB636" i="1" a="1"/>
  <c r="G236" i="41" a="1"/>
  <c r="AB139" i="1" a="1"/>
  <c r="AA841" i="1" a="1"/>
  <c r="AB527" i="1" a="1"/>
  <c r="G62" i="11" a="1"/>
  <c r="AB1002" i="1" a="1"/>
  <c r="H78" i="41" a="1"/>
  <c r="AB60" i="1" a="1"/>
  <c r="AB272" i="1" a="1"/>
  <c r="C234" i="11" a="1"/>
  <c r="H33" i="41" a="1"/>
  <c r="AB453" i="1" a="1"/>
  <c r="H92" i="11" a="1"/>
  <c r="G238" i="11" a="1"/>
  <c r="G256" i="41" a="1"/>
  <c r="C219" i="41" a="1"/>
  <c r="C98" i="41" a="1"/>
  <c r="AA778" i="1" a="1"/>
  <c r="AA690" i="1" a="1"/>
  <c r="C160" i="11" a="1"/>
  <c r="H252" i="41" a="1"/>
  <c r="AB176" i="1" a="1"/>
  <c r="G73" i="41" a="1"/>
  <c r="C40" i="41" a="1"/>
  <c r="C60" i="11" a="1"/>
  <c r="AA352" i="1" a="1"/>
  <c r="H33" i="11" a="1"/>
  <c r="AB544" i="1" a="1"/>
  <c r="AB883" i="1" a="1"/>
  <c r="AB347" i="1" a="1"/>
  <c r="AB662" i="1" a="1"/>
  <c r="AB228" i="1" a="1"/>
  <c r="AB927" i="1" a="1"/>
  <c r="AA157" i="1" a="1"/>
  <c r="G225" i="11" a="1"/>
  <c r="C199" i="41" a="1"/>
  <c r="AB869" i="1" a="1"/>
  <c r="AB679" i="1" a="1"/>
  <c r="AA372" i="1" a="1"/>
  <c r="AB393" i="1" a="1"/>
  <c r="AB224" i="1" a="1"/>
  <c r="AB459" i="1" a="1"/>
  <c r="AA187" i="1" a="1"/>
  <c r="G81" i="41" a="1"/>
  <c r="AB503" i="1" a="1"/>
  <c r="C232" i="41" a="1"/>
  <c r="AB642" i="1" a="1"/>
  <c r="AB532" i="1" a="1"/>
  <c r="AA78" i="1" a="1"/>
  <c r="AB252" i="1" a="1"/>
  <c r="AA637" i="1" a="1"/>
  <c r="G193" i="11" a="1"/>
  <c r="AB860" i="1" a="1"/>
  <c r="H72" i="11" a="1"/>
  <c r="AB731" i="1" a="1"/>
  <c r="AA101" i="1" a="1"/>
  <c r="AA188" i="1" a="1"/>
  <c r="AB925" i="1" a="1"/>
  <c r="AA37" i="1" a="1"/>
  <c r="H78" i="11" a="1"/>
  <c r="G137" i="41" a="1"/>
  <c r="AB803" i="1" a="1"/>
  <c r="C61" i="11" a="1"/>
  <c r="AB797" i="1" a="1"/>
  <c r="AA335" i="1" a="1"/>
  <c r="AA291" i="1" a="1"/>
  <c r="H170" i="41" a="1"/>
  <c r="C164" i="11" a="1"/>
  <c r="AA77" i="1" a="1"/>
  <c r="AB701" i="1" a="1"/>
  <c r="H218" i="11" a="1"/>
  <c r="AB676" i="1" a="1"/>
  <c r="C84" i="41" a="1"/>
  <c r="C44" i="11" a="1"/>
  <c r="AB198" i="1" a="1"/>
  <c r="AB42" i="1" a="1"/>
  <c r="AB745" i="1" a="1"/>
  <c r="AA458" i="1" a="1"/>
  <c r="C116" i="11" a="1"/>
  <c r="H202" i="41" a="1"/>
  <c r="H192" i="41" a="1"/>
  <c r="H141" i="41" a="1"/>
  <c r="G197" i="41" a="1"/>
  <c r="C237" i="11" a="1"/>
  <c r="G45" i="41" a="1"/>
  <c r="AB105" i="1" a="1"/>
  <c r="AB408" i="1" a="1"/>
  <c r="C93" i="41" a="1"/>
  <c r="AA411" i="1" a="1"/>
  <c r="AB243" i="1" a="1"/>
  <c r="AA714" i="1" a="1"/>
  <c r="C96" i="11" a="1"/>
  <c r="AB687" i="1" a="1"/>
  <c r="AB643" i="1" a="1"/>
  <c r="H97" i="11" a="1"/>
  <c r="G88" i="41" a="1"/>
  <c r="C200" i="41" a="1"/>
  <c r="G122" i="11" a="1"/>
  <c r="G117" i="41" a="1"/>
  <c r="AB432" i="1" a="1"/>
  <c r="AA937" i="1" a="1"/>
  <c r="H43" i="41" a="1"/>
  <c r="AA273" i="1" a="1"/>
  <c r="AA680" i="1" a="1"/>
  <c r="C214" i="11" a="1"/>
  <c r="H111" i="41" a="1"/>
  <c r="AA950" i="1" a="1"/>
  <c r="H164" i="41" a="1"/>
  <c r="AB918" i="1" a="1"/>
  <c r="AA456" i="1" a="1"/>
  <c r="AA651" i="1" a="1"/>
  <c r="H121" i="11" a="1"/>
  <c r="H123" i="11" a="1"/>
  <c r="H181" i="11" a="1"/>
  <c r="AB877" i="1" a="1"/>
  <c r="AB357" i="1" a="1"/>
  <c r="AB512" i="1" a="1"/>
  <c r="AA551" i="1" a="1"/>
  <c r="G174" i="41" a="1"/>
  <c r="AA939" i="1" a="1"/>
  <c r="AB702" i="1" a="1"/>
  <c r="AB3" i="1" a="1"/>
  <c r="H108" i="11" a="1"/>
  <c r="G65" i="41" a="1"/>
  <c r="AA676" i="1" a="1"/>
  <c r="AA334" i="1" a="1"/>
  <c r="AA143" i="1" a="1"/>
  <c r="G248" i="41" a="1"/>
  <c r="C233" i="41" a="1"/>
  <c r="AB9" i="1" a="1"/>
  <c r="AB65" i="1" a="1"/>
  <c r="C227" i="41" a="1"/>
  <c r="AB214" i="1" a="1"/>
  <c r="AA855" i="1" a="1"/>
  <c r="AB342" i="1" a="1"/>
  <c r="AA247" i="1" a="1"/>
  <c r="AB733" i="1" a="1"/>
  <c r="H156" i="41" a="1"/>
  <c r="AA464" i="1" a="1"/>
  <c r="H243" i="41" a="1"/>
  <c r="H226" i="41" a="1"/>
  <c r="H244" i="11" a="1"/>
  <c r="C186" i="41" a="1"/>
  <c r="AA887" i="1" a="1"/>
  <c r="AB704" i="1" a="1"/>
  <c r="AA282" i="1" a="1"/>
  <c r="G224" i="11" a="1"/>
  <c r="AB155" i="1" a="1"/>
  <c r="AB977" i="1" a="1"/>
  <c r="AA612" i="1" a="1"/>
  <c r="C208" i="41" a="1"/>
  <c r="G144" i="41" a="1"/>
  <c r="AB783" i="1" a="1"/>
  <c r="AA860" i="1" a="1"/>
  <c r="G131" i="41" a="1"/>
  <c r="AB507" i="1" a="1"/>
  <c r="AB932" i="1" a="1"/>
  <c r="AB631" i="1" a="1"/>
  <c r="AA325" i="1" a="1"/>
  <c r="C212" i="11" a="1"/>
  <c r="C191" i="11" a="1"/>
  <c r="AB615" i="1" a="1"/>
  <c r="C115" i="41" a="1"/>
  <c r="H230" i="41" a="1"/>
  <c r="AA666" i="1" a="1"/>
  <c r="C137" i="41" a="1"/>
  <c r="G54" i="11" a="1"/>
  <c r="AA920" i="1" a="1"/>
  <c r="G242" i="41" a="1"/>
  <c r="C173" i="11" a="1"/>
  <c r="AB515" i="1" a="1"/>
  <c r="AB31" i="1" a="1"/>
  <c r="AA707" i="1" a="1"/>
  <c r="AB173" i="1" a="1"/>
  <c r="H149" i="41" a="1"/>
  <c r="AB641" i="1" a="1"/>
  <c r="G117" i="11" a="1"/>
  <c r="AA709" i="1" a="1"/>
  <c r="AB905" i="1" a="1"/>
  <c r="AA503" i="1" a="1"/>
  <c r="AB892" i="1" a="1"/>
  <c r="AB217" i="1" a="1"/>
  <c r="AA878" i="1" a="1"/>
  <c r="AA345" i="1" a="1"/>
  <c r="AB851" i="1" a="1"/>
  <c r="G125" i="11" a="1"/>
  <c r="G248" i="11" a="1"/>
  <c r="C138" i="41" a="1"/>
  <c r="AA315" i="1" a="1"/>
  <c r="G243" i="41" a="1"/>
  <c r="AA398" i="1" a="1"/>
  <c r="AB169" i="1" a="1"/>
  <c r="AB568" i="1" a="1"/>
  <c r="AA288" i="1" a="1"/>
  <c r="AB862" i="1" a="1"/>
  <c r="AA150" i="1" a="1"/>
  <c r="G31" i="11" a="1"/>
  <c r="G91" i="11" a="1"/>
  <c r="H235" i="11" a="1"/>
  <c r="AA242" i="1" a="1"/>
  <c r="AB472" i="1" a="1"/>
  <c r="AB59" i="1" a="1"/>
  <c r="AB864" i="1" a="1"/>
  <c r="AB154" i="1" a="1"/>
  <c r="AA645" i="1" a="1"/>
  <c r="AA619" i="1" a="1"/>
  <c r="AB83" i="1" a="1"/>
  <c r="C70" i="41" a="1"/>
  <c r="AA759" i="1" a="1"/>
  <c r="AB538" i="1" a="1"/>
  <c r="AB723" i="1" a="1"/>
  <c r="H206" i="11" a="1"/>
  <c r="G187" i="41" a="1"/>
  <c r="G132" i="41" a="1"/>
  <c r="C50" i="11" a="1"/>
  <c r="H45" i="41" a="1"/>
  <c r="AA124" i="1" a="1"/>
  <c r="C71" i="41" a="1"/>
  <c r="AA592" i="1" a="1"/>
  <c r="H215" i="11" a="1"/>
  <c r="G237" i="11" a="1"/>
  <c r="AB137" i="1" a="1"/>
  <c r="AA436" i="1" a="1"/>
  <c r="AA239" i="1" a="1"/>
  <c r="AA185" i="1" a="1"/>
  <c r="C127" i="11" a="1"/>
  <c r="C178" i="41" a="1"/>
  <c r="G33" i="11" a="1"/>
  <c r="AA659" i="1" a="1"/>
  <c r="AA638" i="1" a="1"/>
  <c r="H120" i="11" a="1"/>
  <c r="C207" i="41" a="1"/>
  <c r="AA134" i="1" a="1"/>
  <c r="G249" i="41" a="1"/>
  <c r="AA62" i="1" a="1"/>
  <c r="H26" i="11" a="1"/>
  <c r="AA618" i="1" a="1"/>
  <c r="C118" i="11" a="1"/>
  <c r="H186" i="11" a="1"/>
  <c r="C78" i="11" a="1"/>
  <c r="AA717" i="1" a="1"/>
  <c r="AB450" i="1" a="1"/>
  <c r="AA932" i="1" a="1"/>
  <c r="AB259" i="1" a="1"/>
  <c r="AA142" i="1" a="1"/>
  <c r="AA854" i="1" a="1"/>
  <c r="H225" i="41" a="1"/>
  <c r="AB791" i="1" a="1"/>
  <c r="C62" i="11" a="1"/>
  <c r="G30" i="41" a="1"/>
  <c r="AB265" i="1" a="1"/>
  <c r="AA175" i="1" a="1"/>
  <c r="AB504" i="1" a="1"/>
  <c r="AA684" i="1" a="1"/>
  <c r="AB523" i="1" a="1"/>
  <c r="C226" i="41" a="1"/>
  <c r="AB167" i="1" a="1"/>
  <c r="H53" i="41" a="1"/>
  <c r="AA132" i="1" a="1"/>
  <c r="AB263" i="1" a="1"/>
  <c r="C242" i="11" a="1"/>
  <c r="AA181" i="1" a="1"/>
  <c r="AB808" i="1" a="1"/>
  <c r="AA56" i="1" a="1"/>
  <c r="G143" i="41" a="1"/>
  <c r="G155" i="41" a="1"/>
  <c r="AB165" i="1" a="1"/>
  <c r="AB362" i="1" a="1"/>
  <c r="G81" i="11" a="1"/>
  <c r="C174" i="41" a="1"/>
  <c r="AA752" i="1" a="1"/>
  <c r="C209" i="11" a="1"/>
  <c r="AB234" i="1" a="1"/>
  <c r="AA754" i="1" a="1"/>
  <c r="AB110" i="1" a="1"/>
  <c r="H182" i="11" a="1"/>
  <c r="G209" i="11" a="1"/>
  <c r="AA382" i="1" a="1"/>
  <c r="AB576" i="1" a="1"/>
  <c r="AA644" i="1" a="1"/>
  <c r="B4" i="41" a="1"/>
  <c r="AB765" i="1" a="1"/>
  <c r="AB550" i="1" a="1"/>
  <c r="AA683" i="1" a="1"/>
  <c r="AA669" i="1" a="1"/>
  <c r="G161" i="41" a="1"/>
  <c r="C180" i="41" a="1"/>
  <c r="AB464" i="1" a="1"/>
  <c r="C150" i="41" a="1"/>
  <c r="C159" i="41" a="1"/>
  <c r="AB629" i="1" a="1"/>
  <c r="AB969" i="1" a="1"/>
  <c r="H29" i="11" a="1"/>
  <c r="AA378" i="1" a="1"/>
  <c r="AA167" i="1" a="1"/>
  <c r="AA469" i="1" a="1"/>
  <c r="C136" i="11" a="1"/>
  <c r="AA580" i="1" a="1"/>
  <c r="C54" i="11" a="1"/>
  <c r="AA427" i="1" a="1"/>
  <c r="G160" i="11" a="1"/>
  <c r="AA708" i="1" a="1"/>
  <c r="AB270" i="1" a="1"/>
  <c r="AA889" i="1" a="1"/>
  <c r="AA777" i="1" a="1"/>
  <c r="H42" i="11" a="1"/>
  <c r="AA457" i="1" a="1"/>
  <c r="C87" i="11" a="1"/>
  <c r="C259" i="41" a="1"/>
  <c r="C254" i="41" a="1"/>
  <c r="AA210" i="1" a="1"/>
  <c r="H253" i="41" a="1"/>
  <c r="G228" i="11" a="1"/>
  <c r="G227" i="11" a="1"/>
  <c r="C28" i="41" a="1"/>
  <c r="AB708" i="1" a="1"/>
  <c r="G200" i="41" a="1"/>
  <c r="AA232" i="1" a="1"/>
  <c r="H190" i="41" a="1"/>
  <c r="AB41" i="1" a="1"/>
  <c r="AB349" i="1" a="1"/>
  <c r="AB987" i="1" a="1"/>
  <c r="AB551" i="1" a="1"/>
  <c r="G229" i="11" a="1"/>
  <c r="H62" i="11" a="1"/>
  <c r="AA471" i="1" a="1"/>
  <c r="G129" i="41" a="1"/>
  <c r="C49" i="11" a="1"/>
  <c r="AA604" i="1" a="1"/>
  <c r="G246" i="11" a="1"/>
  <c r="H112" i="41" a="1"/>
  <c r="AA47" i="1" a="1"/>
  <c r="C53" i="11" a="1"/>
  <c r="AB329" i="1" a="1"/>
  <c r="AB545" i="1" a="1"/>
  <c r="AA568" i="1" a="1"/>
  <c r="G150" i="11" a="1"/>
  <c r="AA259" i="1" a="1"/>
  <c r="AB594" i="1" a="1"/>
  <c r="H45" i="11" a="1"/>
  <c r="AB180" i="1" a="1"/>
  <c r="AA511" i="1" a="1"/>
  <c r="AA268" i="1" a="1"/>
  <c r="AA810" i="1" a="1"/>
  <c r="G182" i="41" a="1"/>
  <c r="AA701" i="1" a="1"/>
  <c r="AA26" i="1" a="1"/>
  <c r="AA786" i="1" a="1"/>
  <c r="H195" i="41" a="1"/>
  <c r="G201" i="41" a="1"/>
  <c r="G41" i="41" a="1"/>
  <c r="AA541" i="1" a="1"/>
  <c r="AA55" i="1" a="1"/>
  <c r="C81" i="11" a="1"/>
  <c r="AA525" i="1" a="1"/>
  <c r="AB481" i="1" a="1"/>
  <c r="C241" i="11" a="1"/>
  <c r="G202" i="11" a="1"/>
  <c r="AA823" i="1" a="1"/>
  <c r="AB242" i="1" a="1"/>
  <c r="AA788" i="1" a="1"/>
  <c r="G220" i="41" a="1"/>
  <c r="AB431" i="1" a="1"/>
  <c r="H140" i="11" a="1"/>
  <c r="C169" i="11" a="1"/>
  <c r="G128" i="11" a="1"/>
  <c r="C257" i="41" a="1"/>
  <c r="AA323" i="1" a="1"/>
  <c r="H154" i="41" a="1"/>
  <c r="AB703" i="1" a="1"/>
  <c r="AB836" i="1" a="1"/>
  <c r="AB22" i="1" a="1"/>
  <c r="H245" i="41" a="1"/>
  <c r="H152" i="11" a="1"/>
  <c r="AB569" i="1" a="1"/>
  <c r="AA849" i="1" a="1"/>
  <c r="G193" i="41" a="1"/>
  <c r="H62" i="41" a="1"/>
  <c r="AA272" i="1" a="1"/>
  <c r="AA219" i="1" a="1"/>
  <c r="AA50" i="1" a="1"/>
  <c r="AA530" i="1" a="1"/>
  <c r="AA482" i="1" a="1"/>
  <c r="AB874" i="1" a="1"/>
  <c r="AA197" i="1" a="1"/>
  <c r="C208" i="11" a="1"/>
  <c r="AB404" i="1" a="1"/>
  <c r="AA339" i="1" a="1"/>
  <c r="AB717" i="1" a="1"/>
  <c r="G174" i="11" a="1"/>
  <c r="AA502" i="1" a="1"/>
  <c r="AB17" i="1" a="1"/>
  <c r="AB572" i="1" a="1"/>
  <c r="H174" i="41" a="1"/>
  <c r="H57" i="41" a="1"/>
  <c r="AA497" i="1" a="1"/>
  <c r="AA978" i="1" a="1"/>
  <c r="H30" i="41" a="1"/>
  <c r="AA438" i="1" a="1"/>
  <c r="AA888" i="1" a="1"/>
  <c r="H146" i="11" a="1"/>
  <c r="AA915" i="1" a="1"/>
  <c r="AA565" i="1" a="1"/>
  <c r="AB801" i="1" a="1"/>
  <c r="H184" i="41" a="1"/>
  <c r="AB356" i="1" a="1"/>
  <c r="AB928" i="1" a="1"/>
  <c r="AB805" i="1" a="1"/>
  <c r="H39" i="41" a="1"/>
  <c r="C27" i="41" a="1"/>
  <c r="AA837" i="1" a="1"/>
  <c r="C182" i="41" a="1"/>
  <c r="AB700" i="1" a="1"/>
  <c r="H206" i="41" a="1"/>
  <c r="AA22" i="1" a="1"/>
  <c r="AB38" i="1" a="1"/>
  <c r="AA406" i="1" a="1"/>
  <c r="AB530" i="1" a="1"/>
  <c r="AB439" i="1" a="1"/>
  <c r="C141" i="41" a="1"/>
  <c r="AA117" i="1" a="1"/>
  <c r="G84" i="11" a="1"/>
  <c r="AB807" i="1" a="1"/>
  <c r="AA822" i="1" a="1"/>
  <c r="AB497" i="1" a="1"/>
  <c r="H238" i="11" a="1"/>
  <c r="AA53" i="1" a="1"/>
  <c r="C95" i="11" a="1"/>
  <c r="AA857" i="1" a="1"/>
  <c r="G92" i="11" a="1"/>
  <c r="AA640" i="1" a="1"/>
  <c r="AA843" i="1" a="1"/>
  <c r="C246" i="41" a="1"/>
  <c r="C130" i="11" a="1"/>
  <c r="AA418" i="1" a="1"/>
  <c r="H162" i="41" a="1"/>
  <c r="AA106" i="1" a="1"/>
  <c r="AB625" i="1" a="1"/>
  <c r="H86" i="11" a="1"/>
  <c r="H61" i="11" a="1"/>
  <c r="AB82" i="1" a="1"/>
  <c r="AA235" i="1" a="1"/>
  <c r="AB413" i="1" a="1"/>
  <c r="AA881" i="1" a="1"/>
  <c r="H186" i="41" a="1"/>
  <c r="AA380" i="1" a="1"/>
  <c r="C236" i="41" a="1"/>
  <c r="AB311" i="1" a="1"/>
  <c r="AB640" i="1" a="1"/>
  <c r="AA622" i="1" a="1"/>
  <c r="AA3" i="1" a="1"/>
  <c r="AA5" i="1" a="1"/>
  <c r="AA689" i="1" a="1"/>
  <c r="AB222" i="1" a="1"/>
  <c r="AB845" i="1" a="1"/>
  <c r="G98" i="11" a="1"/>
  <c r="AB712" i="1" a="1"/>
  <c r="AB7" i="1" a="1"/>
  <c r="AA947" i="1" a="1"/>
  <c r="AA601" i="1" a="1"/>
  <c r="AB897" i="1" a="1"/>
  <c r="C71" i="11" a="1"/>
  <c r="AA763" i="1" a="1"/>
  <c r="G52" i="41" a="1"/>
  <c r="AA240" i="1" a="1"/>
  <c r="AA109" i="1" a="1"/>
  <c r="G111" i="11" a="1"/>
  <c r="C31" i="11" a="1"/>
  <c r="H122" i="11" a="1"/>
  <c r="H217" i="11" a="1"/>
  <c r="AA536" i="1" a="1"/>
  <c r="AA715" i="1" a="1"/>
  <c r="H82" i="41" a="1"/>
  <c r="AB115" i="1" a="1"/>
  <c r="AA500" i="1" a="1"/>
  <c r="G186" i="11" a="1"/>
  <c r="G36" i="41" a="1"/>
  <c r="AB49" i="1" a="1"/>
  <c r="AA596" i="1" a="1"/>
  <c r="AB799" i="1" a="1"/>
  <c r="H116" i="11" a="1"/>
  <c r="AA682" i="1" a="1"/>
  <c r="AB170" i="1" a="1"/>
  <c r="AA633" i="1" a="1"/>
  <c r="H93" i="41" a="1"/>
  <c r="AB370" i="1" a="1"/>
  <c r="H126" i="11" a="1"/>
  <c r="H159" i="41" a="1"/>
  <c r="AA587" i="1" a="1"/>
  <c r="AA326" i="1" a="1"/>
  <c r="AB828" i="1" a="1"/>
  <c r="G202" i="41" a="1"/>
  <c r="AB672" i="1" a="1"/>
  <c r="AA190" i="1" a="1"/>
  <c r="G187" i="11" a="1"/>
  <c r="AA799" i="1" a="1"/>
  <c r="AB601" i="1" a="1"/>
  <c r="H227" i="11" a="1"/>
  <c r="AB498" i="1" a="1"/>
  <c r="G162" i="41" a="1"/>
  <c r="H28" i="11" a="1"/>
  <c r="H52" i="11" a="1"/>
  <c r="AA11" i="1" a="1"/>
  <c r="AB944" i="1" a="1"/>
  <c r="H69" i="11" a="1"/>
  <c r="AB223" i="1" a="1"/>
  <c r="G148" i="11" a="1"/>
  <c r="AB841" i="1" a="1"/>
  <c r="AB591" i="1" a="1"/>
  <c r="C158" i="41" a="1"/>
  <c r="AB429" i="1" a="1"/>
  <c r="H193" i="41" a="1"/>
  <c r="G156" i="11" a="1"/>
  <c r="AB667" i="1" a="1"/>
  <c r="H54" i="41" a="1"/>
  <c r="AB781" i="1" a="1"/>
  <c r="C32" i="41" a="1"/>
  <c r="AB752" i="1" a="1"/>
  <c r="AA555" i="1" a="1"/>
  <c r="AB903" i="1" a="1"/>
  <c r="AA318" i="1" a="1"/>
  <c r="AB255" i="1" a="1"/>
  <c r="AA490" i="1" a="1"/>
  <c r="AB635" i="1" a="1"/>
  <c r="G223" i="11" a="1"/>
  <c r="AA72" i="1" a="1"/>
  <c r="AA625" i="1" a="1"/>
  <c r="AB878" i="1" a="1"/>
  <c r="AA465" i="1" a="1"/>
  <c r="AB254" i="1" a="1"/>
  <c r="H66" i="11" a="1"/>
  <c r="H32" i="11" a="1"/>
  <c r="C154" i="11" a="1"/>
  <c r="AB196" i="1" a="1"/>
  <c r="AB592" i="1" a="1"/>
  <c r="AA971" i="1" a="1"/>
  <c r="C63" i="41" a="1"/>
  <c r="AB19" i="1" a="1"/>
  <c r="G235" i="41" a="1"/>
  <c r="AA913" i="1" a="1"/>
  <c r="AA910" i="1" a="1"/>
  <c r="C192" i="41" a="1"/>
  <c r="G150" i="41" a="1"/>
  <c r="H212" i="41" a="1"/>
  <c r="AA475" i="1" a="1"/>
  <c r="AA695" i="1" a="1"/>
  <c r="AA129" i="1" a="1"/>
  <c r="H79" i="41" a="1"/>
  <c r="AB525" i="1" a="1"/>
  <c r="H55" i="41" a="1"/>
  <c r="AB675" i="1" a="1"/>
  <c r="AA831" i="1" a="1"/>
  <c r="C179" i="41" a="1"/>
  <c r="AA898" i="1" a="1"/>
  <c r="AB867" i="1" a="1"/>
  <c r="AB203" i="1" a="1"/>
  <c r="C97" i="41" a="1"/>
  <c r="AB666" i="1" a="1"/>
  <c r="C51" i="11" a="1"/>
  <c r="AB912" i="1" a="1"/>
  <c r="AA417" i="1" a="1"/>
  <c r="AB257" i="1" a="1"/>
  <c r="H66" i="41" a="1"/>
  <c r="AB552" i="1" a="1"/>
  <c r="AB941" i="1" a="1"/>
  <c r="H100" i="41" a="1"/>
  <c r="AB584" i="1" a="1"/>
  <c r="C134" i="41" a="1"/>
  <c r="AA59" i="1" a="1"/>
  <c r="AB658" i="1" a="1"/>
  <c r="H79" i="11" a="1"/>
  <c r="AB73" i="1" a="1"/>
  <c r="G76" i="41" a="1"/>
  <c r="AB872" i="1" a="1"/>
  <c r="G261" i="11" a="1"/>
  <c r="C93" i="11" a="1"/>
  <c r="AB344" i="1" a="1"/>
  <c r="AA627" i="1" a="1"/>
  <c r="AA205" i="1" a="1"/>
  <c r="C64" i="11" a="1"/>
  <c r="H144" i="11" a="1"/>
  <c r="AB684" i="1" a="1"/>
  <c r="AB694" i="1" a="1"/>
  <c r="AA882" i="1" a="1"/>
  <c r="AB596" i="1" a="1"/>
  <c r="G26" i="11" a="1"/>
  <c r="AA903" i="1" a="1"/>
  <c r="AB951" i="1" a="1"/>
  <c r="AB20" i="1" a="1"/>
  <c r="H49" i="41" a="1"/>
  <c r="G111" i="41" a="1"/>
  <c r="AB914" i="1" a="1"/>
  <c r="AB91" i="1" a="1"/>
  <c r="H81" i="41" a="1"/>
  <c r="C66" i="11" a="1"/>
  <c r="AB239" i="1" a="1"/>
  <c r="AA663" i="1" a="1"/>
  <c r="G226" i="41" a="1"/>
  <c r="AB474" i="1" a="1"/>
  <c r="AB46" i="1" a="1"/>
  <c r="C80" i="11" a="1"/>
  <c r="H133" i="41" a="1"/>
  <c r="B4" i="11" a="1"/>
  <c r="AA938" i="1" a="1"/>
  <c r="H257" i="41" a="1"/>
  <c r="AA600" i="1" a="1"/>
  <c r="AA933" i="1" a="1"/>
  <c r="H119" i="11" a="1"/>
  <c r="G60" i="11" a="1"/>
  <c r="AA981" i="1" a="1"/>
  <c r="C206" i="11" a="1"/>
  <c r="AA460" i="1" a="1"/>
  <c r="AB206" i="1" a="1"/>
  <c r="AA951" i="1" a="1"/>
  <c r="H183" i="41" a="1"/>
  <c r="G59" i="11" a="1"/>
  <c r="AA215" i="1" a="1"/>
  <c r="AA257" i="1" a="1"/>
  <c r="AA333" i="1" a="1"/>
  <c r="AB846" i="1" a="1"/>
  <c r="AA693" i="1" a="1"/>
  <c r="C34" i="11" a="1"/>
  <c r="H151" i="11" a="1"/>
  <c r="AA164" i="1" a="1"/>
  <c r="AB209" i="1" a="1"/>
  <c r="H87" i="41" a="1"/>
  <c r="C172" i="41" a="1"/>
  <c r="AB326" i="1" a="1"/>
  <c r="H80" i="41" a="1"/>
  <c r="AA387" i="1" a="1"/>
  <c r="AB299" i="1" a="1"/>
  <c r="AB55" i="1" a="1"/>
  <c r="C125" i="41" a="1"/>
  <c r="G55" i="11" a="1"/>
  <c r="H150" i="11" a="1"/>
  <c r="AB628" i="1" a="1"/>
  <c r="AA131" i="1" a="1"/>
  <c r="AA265" i="1" a="1"/>
  <c r="C143" i="41" a="1"/>
  <c r="AA668" i="1" a="1"/>
  <c r="AB839" i="1" a="1"/>
  <c r="AA758" i="1" a="1"/>
  <c r="AB820" i="1" a="1"/>
  <c r="AA314" i="1" a="1"/>
  <c r="AA770" i="1" a="1"/>
  <c r="AB421" i="1" a="1"/>
  <c r="AA935" i="1" a="1"/>
  <c r="H234" i="11" a="1"/>
  <c r="AA884" i="1" a="1"/>
  <c r="AA540" i="1" a="1"/>
  <c r="AB714" i="1" a="1"/>
  <c r="H163" i="11" a="1"/>
  <c r="AB988" i="1" a="1"/>
  <c r="AB386" i="1" a="1"/>
  <c r="AB534" i="1" a="1"/>
  <c r="G224" i="41" a="1"/>
  <c r="G105" i="41" a="1"/>
  <c r="AB680" i="1" a="1"/>
  <c r="AA611" i="1" a="1"/>
  <c r="AA677" i="1" a="1"/>
  <c r="H247" i="11" a="1"/>
  <c r="AB854" i="1" a="1"/>
  <c r="AA57" i="1" a="1"/>
  <c r="AA813" i="1" a="1"/>
  <c r="G95" i="11" a="1"/>
  <c r="AA39" i="1" a="1"/>
  <c r="AA276" i="1" a="1"/>
  <c r="AB557" i="1" a="1"/>
  <c r="AA678" i="1" a="1"/>
  <c r="C196" i="41" a="1"/>
  <c r="AB809" i="1" a="1"/>
  <c r="AA658" i="1" a="1"/>
  <c r="AB392" i="1" a="1"/>
  <c r="C137" i="11" a="1"/>
  <c r="H152" i="41" a="1"/>
  <c r="AB734" i="1" a="1"/>
  <c r="AB899" i="1" a="1"/>
  <c r="AA93" i="1" a="1"/>
  <c r="C114" i="11" a="1"/>
  <c r="AA421" i="1" a="1"/>
  <c r="C199" i="11" a="1"/>
  <c r="H202" i="11" a="1"/>
  <c r="G101" i="11" a="1"/>
  <c r="H31" i="11" a="1"/>
  <c r="AB185" i="1" a="1"/>
  <c r="G234" i="41" a="1"/>
  <c r="H84" i="41" a="1"/>
  <c r="G250" i="41" a="1"/>
  <c r="H209" i="11" a="1"/>
  <c r="AB457" i="1" a="1"/>
  <c r="AB777" i="1" a="1"/>
  <c r="AA533" i="1" a="1"/>
  <c r="G106" i="11" a="1"/>
  <c r="AB564" i="1" a="1"/>
  <c r="G222" i="11" a="1"/>
  <c r="AB330" i="1" a="1"/>
  <c r="AA519" i="1" a="1"/>
  <c r="G60" i="41" a="1"/>
  <c r="AB416" i="1" a="1"/>
  <c r="C43" i="41" a="1"/>
  <c r="H121" i="41" a="1"/>
  <c r="AB850" i="1" a="1"/>
  <c r="G115" i="11" a="1"/>
  <c r="H51" i="11" a="1"/>
  <c r="G242" i="11" a="1"/>
  <c r="C89" i="11" a="1"/>
  <c r="AB657" i="1" a="1"/>
  <c r="AB624" i="1" a="1"/>
  <c r="G96" i="41" a="1"/>
  <c r="AA675" i="1" a="1"/>
  <c r="AA744" i="1" a="1"/>
  <c r="H255" i="41" a="1"/>
  <c r="H157" i="41" a="1"/>
  <c r="G261" i="41" a="1"/>
  <c r="C160" i="41" a="1"/>
  <c r="G199" i="41" a="1"/>
  <c r="G218" i="41" a="1"/>
  <c r="AB85" i="1" a="1"/>
  <c r="G177" i="11" a="1"/>
  <c r="AA616" i="1" a="1"/>
  <c r="H195" i="11" a="1"/>
  <c r="AA449" i="1" a="1"/>
  <c r="AA529" i="1" a="1"/>
  <c r="AA233" i="1" a="1"/>
  <c r="AB332" i="1" a="1"/>
  <c r="C222" i="41" a="1"/>
  <c r="H125" i="11" a="1"/>
  <c r="C230" i="11" a="1"/>
  <c r="AA69" i="1" a="1"/>
  <c r="AA522" i="1" a="1"/>
  <c r="AB314" i="1" a="1"/>
  <c r="H106" i="41" a="1"/>
  <c r="AB482" i="1" a="1"/>
  <c r="AA355" i="1" a="1"/>
  <c r="AA220" i="1" a="1"/>
  <c r="AA292" i="1" a="1"/>
  <c r="AB886" i="1" a="1"/>
  <c r="AB194" i="1" a="1"/>
  <c r="AB585" i="1" a="1"/>
  <c r="AB639" i="1" a="1"/>
  <c r="G151" i="11" a="1"/>
  <c r="AB282" i="1" a="1"/>
  <c r="G189" i="41" a="1"/>
  <c r="H198" i="11" a="1"/>
  <c r="H260" i="11" a="1"/>
  <c r="H74" i="11" a="1"/>
  <c r="H246" i="41" a="1"/>
  <c r="H41" i="41" a="1"/>
  <c r="H257" i="11" a="1"/>
  <c r="C148" i="41" a="1"/>
  <c r="AB562" i="1" a="1"/>
  <c r="H81" i="11" a="1"/>
  <c r="C123" i="41" a="1"/>
  <c r="G130" i="11" a="1"/>
  <c r="H160" i="11" a="1"/>
  <c r="G113" i="11" a="1"/>
  <c r="AA535" i="1" a="1"/>
  <c r="AB598" i="1" a="1"/>
  <c r="AB305" i="1" a="1"/>
  <c r="G210" i="41" a="1"/>
  <c r="AB109" i="1" a="1"/>
  <c r="AA779" i="1" a="1"/>
  <c r="AA281" i="1" a="1"/>
  <c r="G59" i="41" a="1"/>
  <c r="AB767" i="1" a="1"/>
  <c r="AA603" i="1" a="1"/>
  <c r="AB345" i="1" a="1"/>
  <c r="AA899" i="1" a="1"/>
  <c r="G66" i="11" a="1"/>
  <c r="AA785" i="1" a="1"/>
  <c r="AA41" i="1" a="1"/>
  <c r="H95" i="11" a="1"/>
  <c r="AB840" i="1" a="1"/>
  <c r="G77" i="41" a="1"/>
  <c r="G197" i="11" a="1"/>
  <c r="AB29" i="1" a="1"/>
  <c r="G208" i="11" a="1"/>
  <c r="H180" i="11" a="1"/>
  <c r="H175" i="11" a="1"/>
  <c r="AA664" i="1" a="1"/>
  <c r="AB715" i="1" a="1"/>
  <c r="H113" i="41" a="1"/>
  <c r="C216" i="11" a="1"/>
  <c r="C65" i="41" a="1"/>
  <c r="H83" i="41" a="1"/>
  <c r="AA140" i="1" a="1"/>
  <c r="H157" i="11" a="1"/>
  <c r="C107" i="41" a="1"/>
  <c r="H107" i="11" a="1"/>
  <c r="AB574" i="1" a="1"/>
  <c r="C94" i="11" a="1"/>
  <c r="AA571" i="1" a="1"/>
  <c r="C35" i="41" a="1"/>
  <c r="G180" i="11" a="1"/>
  <c r="AA976" i="1" a="1"/>
  <c r="C96" i="41" a="1"/>
  <c r="G207" i="41" a="1"/>
  <c r="G143" i="11" a="1"/>
  <c r="H58" i="11" a="1"/>
  <c r="AB292" i="1" a="1"/>
  <c r="AA184" i="1" a="1"/>
  <c r="H199" i="11" a="1"/>
  <c r="AA304" i="1" a="1"/>
  <c r="G103" i="41" a="1"/>
  <c r="G134" i="11" a="1"/>
  <c r="AB212" i="1" a="1"/>
  <c r="AA1003" i="1" a="1"/>
  <c r="AA833" i="1" a="1"/>
  <c r="AB622" i="1" a="1"/>
  <c r="AA100" i="1" a="1"/>
  <c r="AB100" i="1" a="1"/>
  <c r="AB189" i="1" a="1"/>
  <c r="C166" i="41" a="1"/>
  <c r="AB12" i="1" a="1"/>
  <c r="C99" i="11" a="1"/>
  <c r="G165" i="41" a="1"/>
  <c r="AB876" i="1" a="1"/>
  <c r="AB603" i="1" a="1"/>
  <c r="C205" i="41" a="1"/>
  <c r="H236" i="41" a="1"/>
  <c r="C101" i="41" a="1"/>
  <c r="H207" i="11" a="1"/>
  <c r="C119" i="11" a="1"/>
  <c r="G61" i="41" a="1"/>
  <c r="C161" i="41" a="1"/>
  <c r="AA191" i="1" a="1"/>
  <c r="G82" i="41" a="1"/>
  <c r="C153" i="41" a="1"/>
  <c r="G132" i="11" a="1"/>
  <c r="AB540" i="1" a="1"/>
  <c r="AB856" i="1" a="1"/>
  <c r="AB247" i="1" a="1"/>
  <c r="AA488" i="1" a="1"/>
  <c r="AB428" i="1" a="1"/>
  <c r="AA871" i="1" a="1"/>
  <c r="G93" i="11" a="1"/>
  <c r="G165" i="11" a="1"/>
  <c r="AB779" i="1" a="1"/>
  <c r="C209" i="41" a="1"/>
  <c r="H134" i="11" a="1"/>
  <c r="AB898" i="1" a="1"/>
  <c r="AB582" i="1" a="1"/>
  <c r="AA280" i="1" a="1"/>
  <c r="C251" i="11" a="1"/>
  <c r="AB947" i="1" a="1"/>
  <c r="H219" i="11" a="1"/>
  <c r="AA577" i="1" a="1"/>
  <c r="AB339" i="1" a="1"/>
  <c r="AA919" i="1" a="1"/>
  <c r="C190" i="11" a="1"/>
  <c r="AA344" i="1" a="1"/>
  <c r="AB653" i="1" a="1"/>
  <c r="AA381" i="1" a="1"/>
  <c r="C77" i="41" a="1"/>
  <c r="G109" i="11" a="1"/>
  <c r="AA180" i="1" a="1"/>
  <c r="AA409" i="1" a="1"/>
  <c r="H138" i="41" a="1"/>
  <c r="AA336" i="1" a="1"/>
  <c r="H68" i="11" a="1"/>
  <c r="AA931" i="1" a="1"/>
  <c r="AA542" i="1" a="1"/>
  <c r="AA97" i="1" a="1"/>
  <c r="C165" i="41" a="1"/>
  <c r="AB542" i="1" a="1"/>
  <c r="C260" i="11" a="1"/>
  <c r="AB685" i="1" a="1"/>
  <c r="H211" i="11" a="1"/>
  <c r="H178" i="41" a="1"/>
  <c r="AB411" i="1" a="1"/>
  <c r="G63" i="11" a="1"/>
  <c r="H177" i="41" a="1"/>
  <c r="C211" i="41" a="1"/>
  <c r="AA952" i="1" a="1"/>
  <c r="H225" i="11" a="1"/>
  <c r="G204" i="11" a="1"/>
  <c r="AB492" i="1" a="1"/>
  <c r="G76" i="11" a="1"/>
  <c r="AA996" i="1" a="1"/>
  <c r="AB285" i="1" a="1"/>
  <c r="AB528" i="1" a="1"/>
  <c r="C41" i="11" a="1"/>
  <c r="AB535" i="1" a="1"/>
  <c r="AA297" i="1" a="1"/>
  <c r="AB589" i="1" a="1"/>
  <c r="C250" i="11" a="1"/>
  <c r="H261" i="41" a="1"/>
  <c r="C88" i="11" a="1"/>
  <c r="H168" i="41" a="1"/>
  <c r="G142" i="41" a="1"/>
  <c r="AA448" i="1" a="1"/>
  <c r="AB485" i="1" a="1"/>
  <c r="AA901" i="1" a="1"/>
  <c r="H74" i="41" a="1"/>
  <c r="H208" i="11" a="1"/>
  <c r="AA14" i="1" a="1"/>
  <c r="C33" i="41" a="1"/>
  <c r="H136" i="11" a="1"/>
  <c r="G120" i="11" a="1"/>
  <c r="AA330" i="1" a="1"/>
  <c r="AB620" i="1" a="1"/>
  <c r="AA791" i="1" a="1"/>
  <c r="AB101" i="1" a="1"/>
  <c r="G189" i="11" a="1"/>
  <c r="C108" i="41" a="1"/>
  <c r="AB39" i="1" a="1"/>
  <c r="AB201" i="1" a="1"/>
  <c r="AB735" i="1" a="1"/>
  <c r="H34" i="11" a="1"/>
  <c r="AB792" i="1" a="1"/>
  <c r="AA283" i="1" a="1"/>
  <c r="AA783" i="1" a="1"/>
  <c r="C229" i="11" a="1"/>
  <c r="AA629" i="1" a="1"/>
  <c r="AB693" i="1" a="1"/>
  <c r="AA404" i="1" a="1"/>
  <c r="AA733" i="1" a="1"/>
  <c r="H38" i="11" a="1"/>
  <c r="AA621" i="1" a="1"/>
  <c r="H161" i="11" a="1"/>
  <c r="C187" i="41" a="1"/>
  <c r="AB98" i="1" a="1"/>
  <c r="AA166" i="1" a="1"/>
  <c r="H147" i="11" a="1"/>
  <c r="AB66" i="1" a="1"/>
  <c r="AB253" i="1" a="1"/>
  <c r="AB476" i="1" a="1"/>
  <c r="AB514" i="1" a="1"/>
  <c r="AB597" i="1" a="1"/>
  <c r="AA135" i="1" a="1"/>
  <c r="AB116" i="1" a="1"/>
  <c r="AB811" i="1" a="1"/>
  <c r="H124" i="11" a="1"/>
  <c r="C243" i="11" a="1"/>
  <c r="AA521" i="1" a="1"/>
  <c r="AA151" i="1" a="1"/>
  <c r="G127" i="11" a="1"/>
  <c r="G155" i="11" a="1"/>
  <c r="AA255" i="1" a="1"/>
  <c r="AB690" i="1" a="1"/>
  <c r="H70" i="41" a="1"/>
  <c r="G166" i="41" a="1"/>
  <c r="AB689" i="1" a="1"/>
  <c r="G121" i="11" a="1"/>
  <c r="AB302" i="1" a="1"/>
  <c r="H261" i="11" a="1"/>
  <c r="C189" i="41" a="1"/>
  <c r="AA451" i="1" a="1"/>
  <c r="AA982" i="1" a="1"/>
  <c r="H85" i="11" a="1"/>
  <c r="AA729" i="1" a="1"/>
  <c r="C221" i="11" a="1"/>
  <c r="AB812" i="1" a="1"/>
  <c r="C234" i="41" a="1"/>
  <c r="AB921" i="1" a="1"/>
  <c r="H176" i="41" a="1"/>
  <c r="G172" i="11" a="1"/>
  <c r="AB231" i="1" a="1"/>
  <c r="C230" i="41" a="1"/>
  <c r="AA107" i="1" a="1"/>
  <c r="C86" i="11" a="1"/>
  <c r="AB470" i="1" a="1"/>
  <c r="AA957" i="1" a="1"/>
  <c r="AB95" i="1" a="1"/>
  <c r="AB366" i="1" a="1"/>
  <c r="H192" i="11" a="1"/>
  <c r="AB51" i="1" a="1"/>
  <c r="AA726" i="1" a="1"/>
  <c r="AB69" i="1" a="1"/>
  <c r="AA342" i="1" a="1"/>
  <c r="G180" i="41" a="1"/>
  <c r="AB524" i="1" a="1"/>
  <c r="AA2" i="1" a="1"/>
  <c r="H70" i="11" a="1"/>
  <c r="G71" i="11" a="1"/>
  <c r="AA582" i="1" a="1"/>
  <c r="G33" i="41" a="1"/>
  <c r="H105" i="41" a="1"/>
  <c r="AB753" i="1" a="1"/>
  <c r="AA762" i="1" a="1"/>
  <c r="AB661" i="1" a="1"/>
  <c r="AB518" i="1" a="1"/>
  <c r="AB633" i="1" a="1"/>
  <c r="AA208" i="1" a="1"/>
  <c r="C251" i="41" a="1"/>
  <c r="AA997" i="1" a="1"/>
  <c r="C131" i="41" a="1"/>
  <c r="AA815" i="1" a="1"/>
  <c r="AB549" i="1" a="1"/>
  <c r="G99" i="11" a="1"/>
  <c r="G254" i="41" a="1"/>
  <c r="AB718" i="1" a="1"/>
  <c r="G154" i="41" a="1"/>
  <c r="AA91" i="1" a="1"/>
  <c r="AB719" i="1" a="1"/>
  <c r="AA324" i="1" a="1"/>
  <c r="AB107" i="1" a="1"/>
  <c r="H213" i="11" a="1"/>
  <c r="H43" i="11" a="1"/>
  <c r="G247" i="41" a="1"/>
  <c r="H163" i="41" a="1"/>
  <c r="AA473" i="1" a="1"/>
  <c r="AB834" i="1" a="1"/>
  <c r="AA818" i="1" a="1"/>
  <c r="H29" i="41" a="1"/>
  <c r="AA893" i="1" a="1"/>
  <c r="AB602" i="1" a="1"/>
  <c r="C245" i="11" a="1"/>
  <c r="AA200" i="1" a="1"/>
  <c r="C253" i="41" a="1"/>
  <c r="AA174" i="1" a="1"/>
  <c r="AB57" i="1" a="1"/>
  <c r="AB813" i="1" a="1"/>
  <c r="AA202" i="1" a="1"/>
  <c r="G121" i="41" a="1"/>
  <c r="C215" i="11" a="1"/>
  <c r="AB384" i="1" a="1"/>
  <c r="AB444" i="1" a="1"/>
  <c r="C134" i="11" a="1"/>
  <c r="AA560" i="1" a="1"/>
  <c r="AA692" i="1" a="1"/>
  <c r="AB120" i="1" a="1"/>
  <c r="AA447" i="1" a="1"/>
  <c r="AA340" i="1" a="1"/>
  <c r="H73" i="11" a="1"/>
  <c r="H85" i="41" a="1"/>
  <c r="H101" i="41" a="1"/>
  <c r="AA928" i="1" a="1"/>
  <c r="G39" i="41" a="1"/>
  <c r="AB278" i="1" a="1"/>
  <c r="AA641" i="1" a="1"/>
  <c r="AA61" i="1" a="1"/>
  <c r="AB751" i="1" a="1"/>
  <c r="H128" i="11" a="1"/>
  <c r="G115" i="41" a="1"/>
  <c r="H220" i="11" a="1"/>
  <c r="C36" i="11" a="1"/>
  <c r="AA838" i="1" a="1"/>
  <c r="C55" i="11" a="1"/>
  <c r="AA416" i="1" a="1"/>
  <c r="AA366" i="1" a="1"/>
  <c r="AA876" i="1" a="1"/>
  <c r="AB106" i="1" a="1"/>
  <c r="AA968" i="1" a="1"/>
  <c r="AA125" i="1" a="1"/>
  <c r="AA722" i="1" a="1"/>
  <c r="C53" i="41" a="1"/>
  <c r="G31" i="41" a="1"/>
  <c r="AB119" i="1" a="1"/>
  <c r="AB692" i="1" a="1"/>
  <c r="G257" i="41" a="1"/>
  <c r="AB847" i="1" a="1"/>
  <c r="AB710" i="1" a="1"/>
  <c r="G211" i="41" a="1"/>
  <c r="AA879" i="1" a="1"/>
  <c r="AA615" i="1" a="1"/>
  <c r="AA780" i="1" a="1"/>
  <c r="G205" i="41" a="1"/>
  <c r="AA626" i="1" a="1"/>
  <c r="C84" i="11" a="1"/>
  <c r="AB67" i="1" a="1"/>
  <c r="AA672" i="1" a="1"/>
  <c r="AA211" i="1" a="1"/>
  <c r="AA946" i="1" a="1"/>
  <c r="C48" i="41" a="1"/>
  <c r="AB135" i="1" a="1"/>
  <c r="G114" i="41" a="1"/>
  <c r="AB931" i="1" a="1"/>
  <c r="AA441" i="1" a="1"/>
  <c r="AB419" i="1" a="1"/>
  <c r="AA505" i="1" a="1"/>
  <c r="H219" i="41" a="1"/>
  <c r="H256" i="41" a="1"/>
  <c r="AB36" i="1" a="1"/>
  <c r="AB571" i="1" a="1"/>
  <c r="AB648" i="1" a="1"/>
  <c r="G53" i="41" a="1"/>
  <c r="AB27" i="1" a="1"/>
  <c r="AB304" i="1" a="1"/>
  <c r="G56" i="41" a="1"/>
  <c r="AA492" i="1" a="1"/>
  <c r="AA828" i="1" a="1"/>
  <c r="C193" i="11" a="1"/>
  <c r="G123" i="41" a="1"/>
  <c r="H238" i="41" a="1"/>
  <c r="C163" i="11" a="1"/>
  <c r="AB732" i="1" a="1"/>
  <c r="AB8" i="1" a="1"/>
  <c r="AB920" i="1" a="1"/>
  <c r="AA510" i="1" a="1"/>
  <c r="AA602" i="1" a="1"/>
  <c r="AA737" i="1" a="1"/>
  <c r="H210" i="41" a="1"/>
  <c r="G113" i="41" a="1"/>
  <c r="AA927" i="1" a="1"/>
  <c r="AA376" i="1" a="1"/>
  <c r="AB164" i="1" a="1"/>
  <c r="AB352" i="1" a="1"/>
  <c r="AA858" i="1" a="1"/>
  <c r="AB132" i="1" a="1"/>
  <c r="C87" i="41" a="1"/>
  <c r="AA369" i="1" a="1"/>
  <c r="AB389" i="1" a="1"/>
  <c r="H165" i="41" a="1"/>
  <c r="G159" i="41" a="1"/>
  <c r="H96" i="41" a="1"/>
  <c r="C144" i="11" a="1"/>
  <c r="H214" i="11" a="1"/>
  <c r="G186" i="41" a="1"/>
  <c r="C213" i="41" a="1"/>
  <c r="AA517" i="1" a="1"/>
  <c r="AA491" i="1" a="1"/>
  <c r="AA894" i="1" a="1"/>
  <c r="H166" i="41" a="1"/>
  <c r="H89" i="41" a="1"/>
  <c r="G98" i="41" a="1"/>
  <c r="H131" i="41" a="1"/>
  <c r="C151" i="41" a="1"/>
  <c r="C112" i="11" a="1"/>
  <c r="AA704" i="1" a="1"/>
  <c r="C181" i="41" a="1"/>
  <c r="AB949" i="1" a="1"/>
  <c r="G217" i="11" a="1"/>
  <c r="AB427" i="1" a="1"/>
  <c r="H155" i="11" a="1"/>
  <c r="AA434" i="1" a="1"/>
  <c r="AB400" i="1" a="1"/>
  <c r="AA266" i="1" a="1"/>
  <c r="G185" i="11" a="1"/>
  <c r="AA453" i="1" a="1"/>
  <c r="AB142" i="1" a="1"/>
  <c r="H183" i="11" a="1"/>
  <c r="AA373" i="1" a="1"/>
  <c r="AA435" i="1" a="1"/>
  <c r="AB402" i="1" a="1"/>
  <c r="AA99" i="1" a="1"/>
  <c r="AA819" i="1" a="1"/>
  <c r="AB385" i="1" a="1"/>
  <c r="AB346" i="1" a="1"/>
  <c r="H197" i="41" a="1"/>
  <c r="G226" i="11" a="1"/>
  <c r="C106" i="11" a="1"/>
  <c r="AA278" i="1" a="1"/>
  <c r="H68" i="41" a="1"/>
  <c r="C194" i="11" a="1"/>
  <c r="C29" i="11" a="1"/>
  <c r="AB825" i="1" a="1"/>
  <c r="AB92" i="1" a="1"/>
  <c r="AA545" i="1" a="1"/>
  <c r="AB533" i="1" a="1"/>
  <c r="H205" i="41" a="1"/>
  <c r="G35" i="11" a="1"/>
  <c r="AA945" i="1" a="1"/>
  <c r="AB705" i="1" a="1"/>
  <c r="AA646" i="1" a="1"/>
  <c r="G168" i="41" a="1"/>
  <c r="AB502" i="1" a="1"/>
  <c r="H256" i="11" a="1"/>
  <c r="AB910" i="1" a="1"/>
  <c r="AA236" i="1" a="1"/>
  <c r="AA738" i="1" a="1"/>
  <c r="G173" i="41" a="1"/>
  <c r="C91" i="41" a="1"/>
  <c r="AB613" i="1" a="1"/>
  <c r="AB14" i="1" a="1"/>
  <c r="G73" i="11" a="1"/>
  <c r="C201" i="41" a="1"/>
  <c r="G83" i="11" a="1"/>
  <c r="AA105" i="1" a="1"/>
  <c r="G169" i="11" a="1"/>
  <c r="AA270" i="1" a="1"/>
  <c r="AB750" i="1" a="1"/>
  <c r="AA461" i="1" a="1"/>
  <c r="C48" i="11" a="1"/>
  <c r="AA865" i="1" a="1"/>
  <c r="C197" i="41" a="1"/>
  <c r="C67" i="11" a="1"/>
  <c r="AA655" i="1" a="1"/>
  <c r="G51" i="41" a="1"/>
  <c r="AA231" i="1" a="1"/>
  <c r="AA36" i="1" a="1"/>
  <c r="AB182" i="1" a="1"/>
  <c r="AB664" i="1" a="1"/>
  <c r="H139" i="41" a="1"/>
  <c r="AB442" i="1" a="1"/>
  <c r="C52" i="11" a="1"/>
  <c r="AB401" i="1" a="1"/>
  <c r="C97" i="11" a="1"/>
  <c r="G229" i="41" a="1"/>
  <c r="C78" i="41" a="1"/>
  <c r="AA532" i="1" a="1"/>
  <c r="AA182" i="1" a="1"/>
  <c r="G112" i="11" a="1"/>
  <c r="AA869" i="1" a="1"/>
  <c r="AA144" i="1" a="1"/>
  <c r="G214" i="11" a="1"/>
  <c r="G168" i="11" a="1"/>
  <c r="AB870" i="1" a="1"/>
  <c r="G41" i="11" a="1"/>
  <c r="AA820" i="1" a="1"/>
  <c r="AA574" i="1" a="1"/>
  <c r="H44" i="11" a="1"/>
  <c r="AB310" i="1" a="1"/>
  <c r="H148" i="41" a="1"/>
  <c r="C33" i="11" a="1"/>
  <c r="H234" i="41" a="1"/>
  <c r="AA716" i="1" a="1"/>
  <c r="G124" i="41" a="1"/>
  <c r="AA944" i="1" a="1"/>
  <c r="H42" i="41" a="1"/>
  <c r="G99" i="41" a="1"/>
  <c r="G215" i="11" a="1"/>
  <c r="AB739" i="1" a="1"/>
  <c r="AA317" i="1" a="1"/>
  <c r="C118" i="41" a="1"/>
  <c r="AB755" i="1" a="1"/>
  <c r="AB833" i="1" a="1"/>
  <c r="G153" i="11" a="1"/>
  <c r="AB983" i="1" a="1"/>
  <c r="H132" i="41" a="1"/>
  <c r="AB560" i="1" a="1"/>
  <c r="AB501" i="1" a="1"/>
  <c r="H95" i="41" a="1"/>
  <c r="AA267" i="1" a="1"/>
  <c r="G203" i="41" a="1"/>
  <c r="H75" i="41" a="1"/>
  <c r="H67" i="41" a="1"/>
  <c r="AA642" i="1" a="1"/>
  <c r="AB291" i="1" a="1"/>
  <c r="H99" i="41" a="1"/>
  <c r="AB75" i="1" a="1"/>
  <c r="C175" i="41" a="1"/>
  <c r="AA349" i="1" a="1"/>
  <c r="C29" i="41" a="1"/>
  <c r="AB10" i="1" a="1"/>
  <c r="C259" i="11" a="1"/>
  <c r="G103" i="11" a="1"/>
  <c r="G29" i="41" a="1"/>
  <c r="AA724" i="1" a="1"/>
  <c r="AB610" i="1" a="1"/>
  <c r="C156" i="41" a="1"/>
  <c r="AB654" i="1" a="1"/>
  <c r="H169" i="11" a="1"/>
  <c r="AA375" i="1" a="1"/>
  <c r="AB44" i="1" a="1"/>
  <c r="AA793" i="1" a="1"/>
  <c r="AB143" i="1" a="1"/>
  <c r="AA183" i="1" a="1"/>
  <c r="G222" i="41" a="1"/>
  <c r="AA294" i="1" a="1"/>
  <c r="C127" i="41" a="1"/>
  <c r="H142" i="11" a="1"/>
  <c r="C187" i="11" a="1"/>
  <c r="AB11" i="1" a="1"/>
  <c r="AA728" i="1" a="1"/>
  <c r="AA674" i="1" a="1"/>
  <c r="G26" i="41" a="1"/>
  <c r="C257" i="11" a="1"/>
  <c r="H48" i="41" a="1"/>
  <c r="AB946" i="1" a="1"/>
  <c r="AB443" i="1" a="1"/>
  <c r="G175" i="41" a="1"/>
  <c r="AA572" i="1" a="1"/>
  <c r="AB819" i="1" a="1"/>
  <c r="AA66" i="1" a="1"/>
  <c r="C258" i="11" a="1"/>
  <c r="C100" i="41" a="1"/>
  <c r="H129" i="11" a="1"/>
  <c r="C184" i="41" a="1"/>
  <c r="AB802" i="1" a="1"/>
  <c r="H86" i="41" a="1"/>
  <c r="C102" i="11" a="1"/>
  <c r="AB698" i="1" a="1"/>
  <c r="AA653" i="1" a="1"/>
  <c r="H94" i="41" a="1"/>
  <c r="AA277" i="1" a="1"/>
  <c r="H201" i="41" a="1"/>
  <c r="AB957" i="1" a="1"/>
  <c r="AB995" i="1" a="1"/>
  <c r="AB478" i="1" a="1"/>
  <c r="AA866" i="1" a="1"/>
  <c r="G212" i="41" a="1"/>
  <c r="C162" i="41" a="1"/>
  <c r="AB219" i="1" a="1"/>
  <c r="C219" i="11" a="1"/>
  <c r="C228" i="11" a="1"/>
  <c r="G58" i="11" a="1"/>
  <c r="AA980" i="1" a="1"/>
  <c r="AB26" i="1" a="1"/>
  <c r="AA830" i="1" a="1"/>
  <c r="AA994" i="1" a="1"/>
  <c r="C218" i="41" a="1"/>
  <c r="AB150" i="1" a="1"/>
  <c r="AA800" i="1" a="1"/>
  <c r="AA156" i="1" a="1"/>
  <c r="AA748" i="1" a="1"/>
  <c r="G184" i="11" a="1"/>
  <c r="AA518" i="1" a="1"/>
  <c r="C75" i="11" a="1"/>
  <c r="AB800" i="1" a="1"/>
  <c r="AB355" i="1" a="1"/>
  <c r="H49" i="11" a="1"/>
  <c r="G83" i="41" a="1"/>
  <c r="AA173" i="1" a="1"/>
  <c r="G223" i="41" a="1"/>
  <c r="C238" i="41" a="1"/>
  <c r="AB248" i="1" a="1"/>
  <c r="AB902" i="1" a="1"/>
  <c r="AA76" i="1" a="1"/>
  <c r="AB441" i="1" a="1"/>
  <c r="G192" i="11" a="1"/>
  <c r="G204" i="41" a="1"/>
  <c r="AB381" i="1" a="1"/>
  <c r="C156" i="11" a="1"/>
  <c r="AA495" i="1" a="1"/>
  <c r="C237" i="41" a="1"/>
  <c r="G195" i="11" a="1"/>
  <c r="H54" i="11" a="1"/>
  <c r="AA222" i="1" a="1"/>
  <c r="H231" i="11" a="1"/>
  <c r="AA531" i="1" a="1"/>
  <c r="C169" i="41" a="1"/>
  <c r="AB487" i="1" a="1"/>
  <c r="G146" i="41" a="1"/>
  <c r="AA388" i="1" a="1"/>
  <c r="G57" i="41" a="1"/>
  <c r="AA95" i="1" a="1"/>
  <c r="AB290" i="1" a="1"/>
  <c r="AA974" i="1" a="1"/>
  <c r="AB683" i="1" a="1"/>
  <c r="G205" i="11" a="1"/>
  <c r="H75" i="11" a="1"/>
  <c r="C241" i="41" a="1"/>
  <c r="H97" i="41" a="1"/>
  <c r="AB721" i="1" a="1"/>
  <c r="G191" i="11" a="1"/>
  <c r="AB554" i="1" a="1"/>
  <c r="C128" i="41" a="1"/>
  <c r="H91" i="41" a="1"/>
  <c r="AA8" i="1" a="1"/>
  <c r="G141" i="11" a="1"/>
  <c r="G48" i="11" a="1"/>
  <c r="G102" i="11" a="1"/>
  <c r="AA298" i="1" a="1"/>
  <c r="G123" i="11" a="1"/>
  <c r="AA405" i="1" a="1"/>
  <c r="AA760" i="1" a="1"/>
  <c r="H98" i="41" a="1"/>
  <c r="C262" i="41" a="1"/>
  <c r="AB978" i="1" a="1"/>
  <c r="AB333" i="1" a="1"/>
  <c r="G201" i="11" a="1"/>
  <c r="G208" i="41" a="1"/>
  <c r="AB199" i="1" a="1"/>
  <c r="G91" i="41" a="1"/>
  <c r="AB475" i="1" a="1"/>
  <c r="C162" i="11" a="1"/>
  <c r="G227" i="41" a="1"/>
  <c r="AA305" i="1" a="1"/>
  <c r="G144" i="11" a="1"/>
  <c r="AA79" i="1" a="1"/>
  <c r="G190" i="41" a="1"/>
  <c r="C192" i="11" a="1"/>
  <c r="H147" i="41" a="1"/>
  <c r="H71" i="11" a="1"/>
  <c r="AA104" i="1" a="1"/>
  <c r="C98" i="11" a="1"/>
  <c r="AA1000" i="1" a="1"/>
  <c r="C224" i="11" a="1"/>
  <c r="C132" i="41" a="1"/>
  <c r="C126" i="41" a="1"/>
  <c r="G87" i="41" a="1"/>
  <c r="G94" i="41" a="1"/>
  <c r="G171" i="11" a="1"/>
  <c r="AB645" i="1" a="1"/>
  <c r="H215" i="41" a="1"/>
  <c r="AB337" i="1" a="1"/>
  <c r="G67" i="41" a="1"/>
  <c r="C139" i="41" a="1"/>
  <c r="AA794" i="1" a="1"/>
  <c r="H117" i="11" a="1"/>
  <c r="AA136" i="1" a="1"/>
  <c r="AB1000" i="1" a="1"/>
  <c r="AA84" i="1" a="1"/>
  <c r="AB396" i="1" a="1"/>
  <c r="AA880" i="1" a="1"/>
  <c r="AA617" i="1" a="1"/>
  <c r="AB315" i="1" a="1"/>
  <c r="AA361" i="1" a="1"/>
  <c r="C248" i="11" a="1"/>
  <c r="AB235" i="1" a="1"/>
  <c r="G51" i="11" a="1"/>
  <c r="AA526" i="1" a="1"/>
  <c r="G70" i="41" a="1"/>
  <c r="H55" i="11" a="1"/>
  <c r="AB495" i="1" a="1"/>
  <c r="C42" i="41" a="1"/>
  <c r="C36" i="41" a="1"/>
  <c r="AB536" i="1" a="1"/>
  <c r="H252" i="11" a="1"/>
  <c r="C211" i="11" a="1"/>
  <c r="AA649" i="1" a="1"/>
  <c r="AA725" i="1" a="1"/>
  <c r="G97" i="11" a="1"/>
  <c r="C255" i="41" a="1"/>
  <c r="AA652" i="1" a="1"/>
  <c r="H141" i="11" a="1"/>
  <c r="G156" i="41" a="1"/>
  <c r="AB328" i="1" a="1"/>
  <c r="AB271" i="1" a="1"/>
  <c r="AB319" i="1" a="1"/>
  <c r="G46" i="11" a="1"/>
  <c r="AA158" i="1" a="1"/>
  <c r="G231" i="11" a="1"/>
  <c r="AB868" i="1" a="1"/>
  <c r="H154" i="11" a="1"/>
  <c r="AB245" i="1" a="1"/>
  <c r="AB885" i="1" a="1"/>
  <c r="G55" i="41" a="1"/>
  <c r="AB426" i="1" a="1"/>
  <c r="C50" i="41" a="1"/>
  <c r="H240" i="11" a="1"/>
  <c r="G90" i="41" a="1"/>
  <c r="AA252" i="1" a="1"/>
  <c r="G93" i="41" a="1"/>
  <c r="G126" i="11" a="1"/>
  <c r="G219" i="11" a="1"/>
  <c r="AB410" i="1" a="1"/>
  <c r="AA557" i="1" a="1"/>
  <c r="C220" i="41" a="1"/>
  <c r="C34" i="41" a="1"/>
  <c r="H40" i="41" a="1"/>
  <c r="G147" i="11" a="1"/>
  <c r="H46" i="11" a="1"/>
  <c r="H48" i="11" a="1"/>
  <c r="C126" i="11" a="1"/>
  <c r="C244" i="11" a="1"/>
  <c r="H223" i="41" a="1"/>
  <c r="AA942" i="1" a="1"/>
  <c r="AB64" i="1" a="1"/>
  <c r="AA440" i="1" a="1"/>
  <c r="C112" i="41" a="1"/>
  <c r="AB740" i="1" a="1"/>
  <c r="G232" i="11" a="1"/>
  <c r="AA346" i="1" a="1"/>
  <c r="AB283" i="1" a="1"/>
  <c r="AA660" i="1" a="1"/>
  <c r="H93" i="11" a="1"/>
  <c r="AB590" i="1" a="1"/>
  <c r="H236" i="11" a="1"/>
  <c r="H177" i="11" a="1"/>
  <c r="H37" i="11" a="1"/>
  <c r="C136" i="41" a="1"/>
  <c r="AB192" i="1" a="1"/>
  <c r="AB709" i="1" a="1"/>
  <c r="G32" i="11" a="1"/>
  <c r="AB144" i="1" a="1"/>
  <c r="C261" i="41" a="1"/>
  <c r="H35" i="41" a="1"/>
  <c r="AB1001" i="1" a="1"/>
  <c r="AB993" i="1" a="1"/>
  <c r="AA413" i="1" a="1"/>
  <c r="AB563" i="1" a="1"/>
  <c r="AA365" i="1" a="1"/>
  <c r="C194" i="41" a="1"/>
  <c r="AA17" i="1" a="1"/>
  <c r="AB821" i="1" a="1"/>
  <c r="AA905" i="1" a="1"/>
  <c r="G135" i="41" a="1"/>
  <c r="AA988" i="1" a="1"/>
  <c r="G32" i="41" a="1"/>
  <c r="AB48" i="1" a="1"/>
  <c r="C231" i="11" a="1"/>
  <c r="AB608" i="1" a="1"/>
  <c r="AA322" i="1" a="1"/>
  <c r="AB468" i="1" a="1"/>
  <c r="H259" i="41" a="1"/>
  <c r="G43" i="41" a="1"/>
  <c r="AB744" i="1" a="1"/>
  <c r="H196" i="11" a="1"/>
  <c r="AA320" i="1" a="1"/>
  <c r="AA787" i="1" a="1"/>
  <c r="C138" i="11" a="1"/>
  <c r="AB208" i="1" a="1"/>
  <c r="C260" i="41" a="1"/>
  <c r="G106" i="41" a="1"/>
  <c r="AA194" i="1" a="1"/>
  <c r="AB78" i="1" a="1"/>
  <c r="C216" i="41" a="1"/>
  <c r="AB857" i="1" a="1"/>
  <c r="H196" i="41" a="1"/>
  <c r="AA856" i="1" a="1"/>
  <c r="G232" i="41" a="1"/>
  <c r="AB789" i="1" a="1"/>
  <c r="AB513" i="1" a="1"/>
  <c r="AB958" i="1" a="1"/>
  <c r="AB516" i="1" a="1"/>
  <c r="AA234" i="1" a="1"/>
  <c r="AB566" i="1" a="1"/>
  <c r="C63" i="11" a="1"/>
  <c r="AA834" i="1" a="1"/>
  <c r="G85" i="11" a="1"/>
  <c r="G196" i="41" a="1"/>
  <c r="H123" i="41" a="1"/>
  <c r="AA412" i="1" a="1"/>
  <c r="AA424" i="1" a="1"/>
  <c r="AB360" i="1" a="1"/>
  <c r="AB177" i="1" a="1"/>
  <c r="C175" i="11" a="1"/>
  <c r="G145" i="11" a="1"/>
  <c r="C56" i="41" a="1"/>
  <c r="AB546" i="1" a="1"/>
  <c r="AA198" i="1" a="1"/>
  <c r="C39" i="11" a="1"/>
  <c r="AA720" i="1" a="1"/>
  <c r="AB998" i="1" a="1"/>
  <c r="AA987" i="1" a="1"/>
  <c r="AB646" i="1" a="1"/>
  <c r="G142" i="11" a="1"/>
  <c r="AB647" i="1" a="1"/>
  <c r="C59" i="41" a="1"/>
  <c r="AA743" i="1" a="1"/>
  <c r="AA489" i="1" a="1"/>
  <c r="AA662" i="1" a="1"/>
  <c r="AB397" i="1" a="1"/>
  <c r="AB595" i="1" a="1"/>
  <c r="AA696" i="1" a="1"/>
  <c r="H126" i="41" a="1"/>
  <c r="AA798" i="1" a="1"/>
  <c r="G43" i="11" a="1"/>
  <c r="AA667" i="1" a="1"/>
  <c r="AA237" i="1" a="1"/>
  <c r="AB759" i="1" a="1"/>
  <c r="AA122" i="1" a="1"/>
  <c r="C155" i="41" a="1"/>
  <c r="AA226" i="1" a="1"/>
  <c r="AA392" i="1" a="1"/>
  <c r="AB233" i="1" a="1"/>
  <c r="AB771" i="1" a="1"/>
  <c r="AA537" i="1" a="1"/>
  <c r="AA337" i="1" a="1"/>
  <c r="AB884" i="1" a="1"/>
  <c r="AA859" i="1" a="1"/>
  <c r="G28" i="11" a="1"/>
  <c r="G34" i="41" a="1"/>
  <c r="AB741" i="1" a="1"/>
  <c r="AB707" i="1" a="1"/>
  <c r="C117" i="11" a="1"/>
  <c r="G170" i="41" a="1"/>
  <c r="AB229" i="1" a="1"/>
  <c r="AB251" i="1" a="1"/>
  <c r="AB573" i="1" a="1"/>
  <c r="G235" i="11" a="1"/>
  <c r="AB448" i="1" a="1"/>
  <c r="G52" i="11" a="1"/>
  <c r="AB88" i="1" a="1"/>
  <c r="AB979" i="1" a="1"/>
  <c r="G74" i="11" a="1"/>
  <c r="AB378" i="1" a="1"/>
  <c r="H250" i="11" a="1"/>
  <c r="AB888" i="1" a="1"/>
  <c r="AA767" i="1" a="1"/>
  <c r="H191" i="41" a="1"/>
  <c r="C113" i="11" a="1"/>
  <c r="AB668" i="1" a="1"/>
  <c r="AB688" i="1" a="1"/>
  <c r="AA433" i="1" a="1"/>
  <c r="AA979" i="1" a="1"/>
  <c r="AA739" i="1" a="1"/>
  <c r="AA496" i="1" a="1"/>
  <c r="AA585" i="1" a="1"/>
  <c r="AA153" i="1" a="1"/>
  <c r="AB343" i="1" a="1"/>
  <c r="AA1001" i="1" a="1"/>
  <c r="AA608" i="1" a="1"/>
  <c r="C222" i="11" a="1"/>
  <c r="C73" i="11" a="1"/>
  <c r="AB50" i="1" a="1"/>
  <c r="AA736" i="1" a="1"/>
  <c r="H246" i="11" a="1"/>
  <c r="G78" i="41" a="1"/>
  <c r="AB773" i="1" a="1"/>
  <c r="AB489" i="1" a="1"/>
  <c r="AA506" i="1" a="1"/>
  <c r="AB387" i="1" a="1"/>
  <c r="AB638" i="1" a="1"/>
  <c r="C213" i="11" a="1"/>
  <c r="G178" i="11" a="1"/>
  <c r="AA217" i="1" a="1"/>
  <c r="AB162" i="1" a="1"/>
  <c r="AB200" i="1" a="1"/>
  <c r="AB127" i="1" a="1"/>
  <c r="AB913" i="1" a="1"/>
  <c r="G89" i="41" a="1"/>
  <c r="AA698" i="1" a="1"/>
  <c r="AB730" i="1" a="1"/>
  <c r="AB852" i="1" a="1"/>
  <c r="H88" i="41" a="1"/>
  <c r="AA756" i="1" a="1"/>
  <c r="H248" i="41" a="1"/>
  <c r="AB382" i="1" a="1"/>
  <c r="C103" i="41" a="1"/>
  <c r="G90" i="11" a="1"/>
  <c r="AB451" i="1" a="1"/>
  <c r="G203" i="11" a="1"/>
  <c r="H228" i="11" a="1"/>
  <c r="G119" i="11" a="1"/>
  <c r="G206" i="41" a="1"/>
  <c r="G167" i="11" a="1"/>
  <c r="C120" i="11" a="1"/>
  <c r="G141" i="41" a="1"/>
  <c r="AB508" i="1" a="1"/>
  <c r="C62" i="41" a="1"/>
  <c r="C142" i="41" a="1"/>
  <c r="AA46" i="1" a="1"/>
  <c r="H168" i="11" a="1"/>
  <c r="AB218" i="1" a="1"/>
  <c r="AA836" i="1" a="1"/>
  <c r="AA244" i="1" a="1"/>
  <c r="G46" i="41" a="1"/>
  <c r="AA772" i="1" a="1"/>
  <c r="C173" i="41" a="1"/>
  <c r="G72" i="11" a="1"/>
  <c r="G258" i="11" a="1"/>
  <c r="AB174" i="1" a="1"/>
  <c r="AA909" i="1" a="1"/>
  <c r="AA874" i="1" a="1"/>
  <c r="C109" i="41" a="1"/>
  <c r="H99" i="11" a="1"/>
  <c r="AA732" i="1" a="1"/>
  <c r="AB896" i="1" a="1"/>
  <c r="G95" i="41" a="1"/>
  <c r="AB561" i="1" a="1"/>
  <c r="AB505" i="1" a="1"/>
  <c r="C104" i="11" a="1"/>
  <c r="H119" i="41" a="1"/>
  <c r="H138" i="11" a="1"/>
  <c r="AB725" i="1" a="1"/>
  <c r="AB795" i="1" a="1"/>
  <c r="AB794" i="1" a="1"/>
  <c r="AB112" i="1" a="1"/>
  <c r="G230" i="11" a="1"/>
  <c r="AB994" i="1" a="1"/>
  <c r="AB369" i="1" a="1"/>
  <c r="AA929" i="1" a="1"/>
  <c r="AB458" i="1" a="1"/>
  <c r="AA397" i="1" a="1"/>
  <c r="C61" i="41" a="1"/>
  <c r="G149" i="11" a="1"/>
  <c r="AB490" i="1" a="1"/>
  <c r="C240" i="11" a="1"/>
  <c r="AB937" i="1" a="1"/>
  <c r="H254" i="41" a="1"/>
  <c r="AB483" i="1" a="1"/>
  <c r="AB583" i="1" a="1"/>
  <c r="AA374" i="1" a="1"/>
  <c r="AB407" i="1" a="1"/>
  <c r="G56" i="11" a="1"/>
  <c r="G127" i="41" a="1"/>
  <c r="AA18" i="1" a="1"/>
  <c r="G139" i="11" a="1"/>
  <c r="H237" i="11" a="1"/>
  <c r="AA225" i="1" a="1"/>
  <c r="AA842" i="1" a="1"/>
  <c r="H131" i="11" a="1"/>
  <c r="AA509" i="1" a="1"/>
  <c r="H28" i="41" a="1"/>
  <c r="AA700" i="1" a="1"/>
  <c r="AA657" i="1" a="1"/>
  <c r="C201" i="11" a="1"/>
  <c r="AB324" i="1" a="1"/>
  <c r="AB604" i="1" a="1"/>
  <c r="AA628" i="1" a="1"/>
  <c r="H30" i="11" a="1"/>
  <c r="AA773" i="1" a="1"/>
  <c r="AB873" i="1" a="1"/>
  <c r="AA65" i="1" a="1"/>
  <c r="C232" i="11" a="1"/>
  <c r="AA766" i="1" a="1"/>
  <c r="H82" i="11" a="1"/>
  <c r="H25" i="11" a="1"/>
  <c r="AA474" i="1" a="1"/>
  <c r="AB288" i="1" a="1"/>
  <c r="AB786" i="1" a="1"/>
  <c r="AA141" i="1" a="1"/>
  <c r="AB415" i="1" a="1"/>
  <c r="H46" i="41" a="1"/>
  <c r="G68" i="41" a="1"/>
  <c r="AB637" i="1" a="1"/>
  <c r="G234" i="11" a="1"/>
  <c r="AA439" i="1" a="1"/>
  <c r="AA546" i="1" a="1"/>
  <c r="H130" i="41" a="1"/>
  <c r="AA549" i="1" a="1"/>
  <c r="AA539" i="1" a="1"/>
  <c r="G130" i="41" a="1"/>
  <c r="G69" i="41" a="1"/>
  <c r="G139" i="41" a="1"/>
  <c r="AA89" i="1" a="1"/>
  <c r="AA784" i="1" a="1"/>
  <c r="AB171" i="1" a="1"/>
  <c r="H213" i="41" a="1"/>
  <c r="AB84" i="1" a="1"/>
  <c r="AA970" i="1" a="1"/>
  <c r="C159" i="11" a="1"/>
  <c r="AA796" i="1" a="1"/>
  <c r="AB249" i="1" a="1"/>
  <c r="AB368" i="1" a="1"/>
  <c r="AA824" i="1" a="1"/>
  <c r="H146" i="41" a="1"/>
  <c r="AA814" i="1" a="1"/>
  <c r="AA32" i="1" a="1"/>
  <c r="AA771" i="1" a="1"/>
  <c r="AB129" i="1" a="1"/>
  <c r="H77" i="41" a="1"/>
  <c r="AA399" i="1" a="1"/>
  <c r="AB438" i="1" a="1"/>
  <c r="H258" i="11" a="1"/>
  <c r="AA513" i="1" a="1"/>
  <c r="AB365" i="1" a="1"/>
  <c r="AB379" i="1" a="1"/>
  <c r="G40" i="11" a="1"/>
  <c r="AB627" i="1" a="1"/>
  <c r="H107" i="41" a="1"/>
  <c r="AB72" i="1" a="1"/>
  <c r="AA922" i="1" a="1"/>
  <c r="H167" i="11" a="1"/>
  <c r="AB539" i="1" a="1"/>
  <c r="AB262" i="1" a="1"/>
  <c r="C258" i="41" a="1"/>
  <c r="AB146" i="1" a="1"/>
  <c r="AA111" i="1" a="1"/>
  <c r="G210" i="11" a="1"/>
  <c r="AA691" i="1" a="1"/>
  <c r="G170" i="11" a="1"/>
  <c r="AB579" i="1" a="1"/>
  <c r="AA386" i="1" a="1"/>
  <c r="AA613" i="1" a="1"/>
  <c r="H254" i="11" a="1"/>
  <c r="AB77" i="1" a="1"/>
  <c r="AA133" i="1" a="1"/>
  <c r="AB619" i="1" a="1"/>
  <c r="AA40" i="1" a="1"/>
  <c r="AB93" i="1" a="1"/>
  <c r="AA543" i="1" a="1"/>
  <c r="AB911" i="1" a="1"/>
  <c r="H32" i="41" a="1"/>
  <c r="AB754" i="1" a="1"/>
  <c r="AA805" i="1" a="1"/>
  <c r="H101" i="11" a="1"/>
  <c r="H117" i="41" a="1"/>
  <c r="AA4" i="1" a="1"/>
  <c r="C153" i="11" a="1"/>
  <c r="AB374" i="1" a="1"/>
  <c r="G146" i="11" a="1"/>
  <c r="H69" i="41" a="1"/>
  <c r="AB652" i="1" a="1"/>
  <c r="H244" i="41" a="1"/>
  <c r="AA930" i="1" a="1"/>
  <c r="AB618" i="1" a="1"/>
  <c r="G191" i="41" a="1"/>
  <c r="H260" i="41" a="1"/>
  <c r="AB526" i="1" a="1"/>
  <c r="H162" i="11" a="1"/>
  <c r="AB5" i="1" a="1"/>
  <c r="AA631" i="1" a="1"/>
  <c r="AA360" i="1" a="1"/>
  <c r="AA169" i="1" a="1"/>
  <c r="AA528" i="1" a="1"/>
  <c r="AB275" i="1" a="1"/>
  <c r="AB558" i="1" a="1"/>
  <c r="AA60" i="1" a="1"/>
  <c r="AB227" i="1" a="1"/>
  <c r="G158" i="41" a="1"/>
  <c r="H89" i="11" a="1"/>
  <c r="C94" i="41" a="1"/>
  <c r="G108" i="11" a="1"/>
  <c r="AA419" i="1" a="1"/>
  <c r="AB484" i="1" a="1"/>
  <c r="AA694" i="1" a="1"/>
  <c r="H242" i="41" a="1"/>
  <c r="AA103" i="1" a="1"/>
  <c r="AA302" i="1" a="1"/>
  <c r="AA499" i="1" a="1"/>
  <c r="AB997" i="1" a="1"/>
  <c r="C140" i="11" a="1"/>
  <c r="C120" i="41" a="1"/>
  <c r="AA740" i="1" a="1"/>
  <c r="AA384" i="1" a="1"/>
  <c r="H149" i="11" a="1"/>
  <c r="AA573" i="1" a="1"/>
  <c r="AB496" i="1" a="1"/>
  <c r="AA88" i="1" a="1"/>
  <c r="AA363" i="1" a="1"/>
  <c r="H211" i="41" a="1"/>
  <c r="AA152" i="1" a="1"/>
  <c r="AB935" i="1" a="1"/>
  <c r="AB907" i="1" a="1"/>
  <c r="AB966" i="1" a="1"/>
  <c r="AA186" i="1" a="1"/>
  <c r="AA20" i="1" a="1"/>
  <c r="AB757" i="1" a="1"/>
  <c r="G67" i="11" a="1"/>
  <c r="AB348" i="1" a="1"/>
  <c r="AA806" i="1" a="1"/>
  <c r="AB650" i="1" a="1"/>
  <c r="AB727" i="1" a="1"/>
  <c r="G220" i="11" a="1"/>
  <c r="C148" i="11" a="1"/>
  <c r="AB268" i="1" a="1"/>
  <c r="AA403" i="1" a="1"/>
  <c r="AB45" i="1" a="1"/>
  <c r="AA261" i="1" a="1"/>
  <c r="AA356" i="1" a="1"/>
  <c r="C247" i="41" a="1"/>
  <c r="AB258" i="1" a="1"/>
  <c r="AB325" i="1" a="1"/>
  <c r="AB367" i="1" a="1"/>
  <c r="H67" i="11" a="1"/>
  <c r="C176" i="41" a="1"/>
  <c r="AB104" i="1" a="1"/>
  <c r="G251" i="41" a="1"/>
  <c r="AB181" i="1" a="1"/>
  <c r="H226" i="11" a="1"/>
  <c r="H100" i="11" a="1"/>
  <c r="C143" i="11" a="1"/>
  <c r="AB660" i="1" a="1"/>
  <c r="AA713" i="1" a="1"/>
  <c r="H207" i="41" a="1"/>
  <c r="AB361" i="1" a="1"/>
  <c r="AA331" i="1" a="1"/>
  <c r="AB358" i="1" a="1"/>
  <c r="AB677" i="1" a="1"/>
  <c r="AB965" i="1" a="1"/>
  <c r="AB541" i="1" a="1"/>
  <c r="G251" i="11" a="1"/>
  <c r="C85" i="11" a="1"/>
  <c r="G134" i="41" a="1"/>
  <c r="C183" i="11" a="1"/>
  <c r="AB232" i="1" a="1"/>
  <c r="G256" i="11" a="1"/>
  <c r="G255" i="41" a="1"/>
  <c r="AA293" i="1" a="1"/>
  <c r="AA110" i="1" a="1"/>
  <c r="AB420" i="1" a="1"/>
  <c r="C158" i="11" a="1"/>
  <c r="AA992" i="1" a="1"/>
  <c r="H184" i="11" a="1"/>
  <c r="AA446" i="1" a="1"/>
  <c r="H249" i="41" a="1"/>
  <c r="AB670" i="1" a="1"/>
  <c r="H199" i="41" a="1"/>
  <c r="H221" i="11" a="1"/>
  <c r="AB770" i="1" a="1"/>
  <c r="AA98" i="1" a="1"/>
  <c r="AA408" i="1" a="1"/>
  <c r="AA414" i="1" a="1"/>
  <c r="C80" i="41" a="1"/>
  <c r="G253" i="11" a="1"/>
  <c r="AA308" i="1" a="1"/>
  <c r="AA681" i="1" a="1"/>
  <c r="AB975" i="1" a="1"/>
  <c r="AA74" i="1" a="1"/>
  <c r="C77" i="11" a="1"/>
  <c r="AA636" i="1" a="1"/>
  <c r="C145" i="41" a="1"/>
  <c r="AA599" i="1" a="1"/>
  <c r="G66" i="41" a="1"/>
  <c r="H90" i="11" a="1"/>
  <c r="AA338" i="1" a="1"/>
  <c r="H135" i="11" a="1"/>
  <c r="AB33" i="1" a="1"/>
  <c r="AB103" i="1" a="1"/>
  <c r="AB37" i="1" a="1"/>
  <c r="C56" i="11" a="1"/>
  <c r="AA606" i="1" a="1"/>
  <c r="G152" i="11" a="1"/>
  <c r="AB210" i="1" a="1"/>
  <c r="AA303" i="1" a="1"/>
  <c r="C217" i="41" a="1"/>
  <c r="H47" i="11" a="1"/>
  <c r="AB293" i="1" a="1"/>
  <c r="G225" i="41" a="1"/>
  <c r="C227" i="11" a="1"/>
  <c r="H92" i="41" a="1"/>
  <c r="G131" i="11" a="1"/>
  <c r="AA300" i="1" a="1"/>
  <c r="AA138" i="1" a="1"/>
  <c r="AB961" i="1" a="1"/>
  <c r="AB713" i="1" a="1"/>
  <c r="H258" i="41" a="1"/>
  <c r="AB147" i="1" a="1"/>
  <c r="H151" i="41" a="1"/>
  <c r="AB780" i="1" a="1"/>
  <c r="C239" i="11" a="1"/>
  <c r="AB673" i="1" a="1"/>
  <c r="G86" i="41" a="1"/>
  <c r="AA462" i="1" a="1"/>
  <c r="AA396" i="1" a="1"/>
  <c r="AA444" i="1" a="1"/>
  <c r="G42" i="11" a="1"/>
  <c r="AA650" i="1" a="1"/>
  <c r="AA553" i="1" a="1"/>
  <c r="G79" i="41" a="1"/>
  <c r="AA846" i="1" a="1"/>
  <c r="G114" i="11" a="1"/>
  <c r="H61" i="41" a="1"/>
  <c r="C178" i="11" a="1"/>
  <c r="H156" i="11" a="1"/>
  <c r="G243" i="11" a="1"/>
  <c r="AB264" i="1" a="1"/>
  <c r="AA734" i="1" a="1"/>
  <c r="AB417" i="1" a="1"/>
  <c r="H120" i="41" a="1"/>
  <c r="AA706" i="1" a="1"/>
  <c r="C65" i="11" a="1"/>
  <c r="C82" i="41" a="1"/>
  <c r="AA63" i="1" a="1"/>
  <c r="AB581" i="1" a="1"/>
  <c r="H259" i="11" a="1"/>
  <c r="H65" i="11" a="1"/>
  <c r="AA160" i="1" a="1"/>
  <c r="AB547" i="1" a="1"/>
  <c r="AB810" i="1" a="1"/>
  <c r="AA229" i="1" a="1"/>
  <c r="AB956" i="1" a="1"/>
  <c r="AB454" i="1" a="1"/>
  <c r="AA661" i="1" a="1"/>
  <c r="AA563" i="1" a="1"/>
  <c r="H94" i="11" a="1"/>
  <c r="AB917" i="1" a="1"/>
  <c r="AA808" i="1" a="1"/>
  <c r="H104" i="41" a="1"/>
  <c r="C122" i="11" a="1"/>
  <c r="AA685" i="1" a="1"/>
  <c r="AB760" i="1" a="1"/>
  <c r="G255" i="11" a="1"/>
  <c r="AB942" i="1" a="1"/>
  <c r="C57" i="41" a="1"/>
  <c r="AB486" i="1" a="1"/>
  <c r="AB696" i="1" a="1"/>
  <c r="AB136" i="1" a="1"/>
  <c r="AB991" i="1" a="1"/>
  <c r="AA507" i="1" a="1"/>
  <c r="AA742" i="1" a="1"/>
  <c r="H150" i="41" a="1"/>
  <c r="AB335" i="1" a="1"/>
  <c r="AA459" i="1" a="1"/>
  <c r="AA299" i="1" a="1"/>
  <c r="AA801" i="1" a="1"/>
  <c r="C28" i="11" a="1"/>
  <c r="H103" i="41" a="1"/>
  <c r="C26" i="41" a="1"/>
  <c r="AA90" i="1" a="1"/>
  <c r="H201" i="11" a="1"/>
  <c r="G116" i="41" a="1"/>
  <c r="H249" i="11" a="1"/>
  <c r="AA241" i="1" a="1"/>
  <c r="AB371" i="1" a="1"/>
  <c r="AA443" i="1" a="1"/>
  <c r="AB465" i="1" a="1"/>
  <c r="AA656" i="1" a="1"/>
  <c r="C132" i="11" a="1"/>
  <c r="AB134" i="1" a="1"/>
  <c r="H188" i="41" a="1"/>
  <c r="AA284" i="1" a="1"/>
  <c r="C67" i="41" a="1"/>
  <c r="AB611" i="1" a="1"/>
  <c r="AA673" i="1" a="1"/>
  <c r="G58" i="41" a="1"/>
  <c r="C152" i="11" a="1"/>
  <c r="AA377" i="1" a="1"/>
  <c r="C30" i="11" a="1"/>
  <c r="AA861" i="1" a="1"/>
  <c r="AB308" i="1" a="1"/>
  <c r="AB976" i="1" a="1"/>
  <c r="AB94" i="1" a="1"/>
  <c r="AB772" i="1" a="1"/>
  <c r="G89" i="11" a="1"/>
  <c r="H242" i="11" a="1"/>
  <c r="AB32" i="1" a="1"/>
  <c r="AA605" i="1" a="1"/>
  <c r="AB559" i="1" a="1"/>
  <c r="AB844" i="1" a="1"/>
  <c r="AB570" i="1" a="1"/>
  <c r="AB943" i="1" a="1"/>
  <c r="AA962" i="1" a="1"/>
  <c r="C110" i="11" a="1"/>
  <c r="H130" i="11" a="1"/>
  <c r="AB460" i="1" a="1"/>
  <c r="C252" i="11" a="1"/>
  <c r="AB152" i="1" a="1"/>
  <c r="G65" i="11" a="1"/>
  <c r="G249" i="11" a="1"/>
  <c r="AA221" i="1" a="1"/>
  <c r="AB316" i="1" a="1"/>
  <c r="AA556" i="1" a="1"/>
  <c r="AB990" i="1" a="1"/>
  <c r="G49" i="11" a="1"/>
  <c r="AB621" i="1" a="1"/>
  <c r="H182" i="41" a="1"/>
  <c r="C154" i="41" a="1"/>
  <c r="C253" i="11" a="1"/>
  <c r="AB974" i="1" a="1"/>
  <c r="AB175" i="1" a="1"/>
  <c r="AA328" i="1" a="1"/>
  <c r="C72" i="11" a="1"/>
  <c r="AB663" i="1" a="1"/>
  <c r="AA989" i="1" a="1"/>
  <c r="C92" i="11" a="1"/>
  <c r="AA431" i="1" a="1"/>
  <c r="C233" i="11" a="1"/>
  <c r="AA316" i="1" a="1"/>
  <c r="AA251" i="1" a="1"/>
  <c r="G175" i="11" a="1"/>
  <c r="AA845" i="1" a="1"/>
  <c r="AB858" i="1" a="1"/>
  <c r="G163" i="11" a="1"/>
  <c r="H189" i="41" a="1"/>
  <c r="H132" i="11" a="1"/>
  <c r="C85" i="41" a="1"/>
  <c r="C108" i="11" a="1"/>
  <c r="H39" i="11" a="1"/>
  <c r="G199" i="11" a="1"/>
  <c r="AA868" i="1" a="1"/>
  <c r="G133" i="41" a="1"/>
  <c r="H122" i="41" a="1"/>
  <c r="AB187" i="1" a="1"/>
  <c r="AA287" i="1" a="1"/>
  <c r="AA33" i="1" a="1"/>
  <c r="AB788" i="1" a="1"/>
  <c r="AB493" i="1" a="1"/>
  <c r="H143" i="11" a="1"/>
  <c r="AA362" i="1" a="1"/>
  <c r="AB785" i="1" a="1"/>
  <c r="H148" i="11" a="1"/>
  <c r="AA329" i="1" a="1"/>
  <c r="H83" i="11" a="1"/>
  <c r="AA848" i="1" a="1"/>
  <c r="AB353" i="1" a="1"/>
  <c r="G110" i="11" a="1"/>
  <c r="C82" i="11" a="1"/>
  <c r="C104" i="41" a="1"/>
  <c r="AB423" i="1" a="1"/>
  <c r="AA159" i="1" a="1"/>
  <c r="H96" i="11" a="1"/>
  <c r="AB341" i="1" a="1"/>
  <c r="AB634" i="1" a="1"/>
  <c r="AA203" i="1" a="1"/>
  <c r="AB875" i="1" a="1"/>
  <c r="AA35" i="1" a="1"/>
  <c r="H248" i="11" a="1"/>
  <c r="AA301" i="1" a="1"/>
  <c r="AB190" i="1" a="1"/>
  <c r="AA309" i="1" a="1"/>
  <c r="AB350" i="1" a="1"/>
  <c r="AB716" i="1" a="1"/>
  <c r="AB893" i="1" a="1"/>
  <c r="AA936" i="1" a="1"/>
  <c r="AA430" i="1" a="1"/>
  <c r="AB68" i="1" a="1"/>
  <c r="G166" i="11" a="1"/>
  <c r="AB729" i="1" a="1"/>
  <c r="AA598" i="1" a="1"/>
  <c r="AB973" i="1" a="1"/>
  <c r="AA891" i="1" a="1"/>
  <c r="AA155" i="1" a="1"/>
  <c r="AB289" i="1" a="1"/>
  <c r="G240" i="11" a="1"/>
  <c r="AB972" i="1" a="1"/>
  <c r="C151" i="11" a="1"/>
  <c r="AA897" i="1" a="1"/>
  <c r="AA19" i="1" a="1"/>
  <c r="G171" i="41" a="1"/>
  <c r="C121" i="11" a="1"/>
  <c r="AA840" i="1" a="1"/>
  <c r="C146" i="11" a="1"/>
  <c r="H262" i="41" a="1"/>
  <c r="AB71" i="1" a="1"/>
  <c r="AB778" i="1" a="1"/>
  <c r="AB906" i="1" a="1"/>
  <c r="AA494" i="1" a="1"/>
  <c r="G182" i="11" a="1"/>
  <c r="AA686" i="1" a="1"/>
  <c r="G245" i="41" a="1"/>
  <c r="C217" i="11" a="1"/>
  <c r="AA92" i="1" a="1"/>
  <c r="G140" i="11" a="1"/>
  <c r="AA570" i="1" a="1"/>
  <c r="AA195" i="1" a="1"/>
  <c r="AB455" i="1" a="1"/>
  <c r="C149" i="41" a="1"/>
  <c r="AB202" i="1" a="1"/>
  <c r="C49" i="41" a="1"/>
  <c r="AB880" i="1" a="1"/>
  <c r="AA790" i="1" a="1"/>
  <c r="G107" i="11" a="1"/>
  <c r="AA955" i="1" a="1"/>
  <c r="C92" i="41" a="1"/>
  <c r="C238" i="11" a="1"/>
  <c r="AA986" i="1" a="1"/>
  <c r="AA364" i="1" a="1"/>
  <c r="AA269" i="1" a="1"/>
  <c r="G181" i="11" a="1"/>
  <c r="C68" i="11" a="1"/>
  <c r="AA34" i="1" a="1"/>
  <c r="C200" i="11" a="1"/>
  <c r="C149" i="11" a="1"/>
  <c r="C204" i="41" a="1"/>
  <c r="H142" i="41" a="1"/>
  <c r="AA911" i="1" a="1"/>
  <c r="G247" i="11" a="1"/>
  <c r="C256" i="11" a="1"/>
  <c r="AA86" i="1" a="1"/>
  <c r="C224" i="41" a="1"/>
  <c r="AB737" i="1" a="1"/>
  <c r="G262" i="41" a="1"/>
  <c r="AB52" i="1" a="1"/>
  <c r="AA312" i="1" a="1"/>
  <c r="C52" i="41" a="1"/>
  <c r="AA123" i="1" a="1"/>
  <c r="C180" i="11" a="1"/>
  <c r="G50" i="11" a="1"/>
  <c r="H50" i="41" a="1"/>
  <c r="AA227" i="1" a="1"/>
  <c r="AB191" i="1" a="1"/>
  <c r="H232" i="11" a="1"/>
  <c r="AB406" i="1" a="1"/>
  <c r="AA385" i="1" a="1"/>
  <c r="AA761" i="1" a="1"/>
  <c r="AB86" i="1" a="1"/>
  <c r="AA934" i="1" a="1"/>
  <c r="AA721" i="1" a="1"/>
  <c r="AB287" i="1" a="1"/>
  <c r="AA921" i="1" a="1"/>
  <c r="AB383" i="1" a="1"/>
  <c r="AA49" i="1" a="1"/>
  <c r="G101" i="41" a="1"/>
  <c r="AA595" i="1" a="1"/>
  <c r="G30" i="11" a="1"/>
  <c r="H36" i="41" a="1"/>
  <c r="AB99" i="1" a="1"/>
  <c r="G164" i="11" a="1"/>
  <c r="AA847" i="1" a="1"/>
  <c r="AB76" i="1" a="1"/>
  <c r="AA15" i="1" a="1"/>
  <c r="AA445" i="1" a="1"/>
  <c r="AB117" i="1" a="1"/>
  <c r="AA486" i="1" a="1"/>
  <c r="C141" i="11" a="1"/>
  <c r="H139" i="11" a="1"/>
  <c r="AB866" i="1" a="1"/>
  <c r="AA900" i="1" a="1"/>
  <c r="AB317" i="1" a="1"/>
  <c r="AB445" i="1" a="1"/>
  <c r="G112" i="41" a="1"/>
  <c r="H169" i="41" a="1"/>
  <c r="C239" i="41" a="1"/>
  <c r="AA906" i="1" a="1"/>
  <c r="C89" i="41" a="1"/>
  <c r="AA341" i="1" a="1"/>
  <c r="AA357" i="1" a="1"/>
  <c r="G38" i="41" a="1"/>
  <c r="C214" i="41" a="1"/>
  <c r="AA746" i="1" a="1"/>
  <c r="AA192" i="1" a="1"/>
  <c r="AA524" i="1" a="1"/>
  <c r="AB747" i="1" a="1"/>
  <c r="G217" i="41" a="1"/>
  <c r="AA480" i="1" a="1"/>
  <c r="C44" i="41" a="1"/>
  <c r="AB936" i="1" a="1"/>
  <c r="AA632" i="1" a="1"/>
  <c r="AA512" i="1" a="1"/>
  <c r="AB480" i="1" a="1"/>
  <c r="C83" i="11" a="1"/>
  <c r="G77" i="11" a="1"/>
  <c r="AB599" i="1" a="1"/>
  <c r="AB414" i="1" a="1"/>
  <c r="C167" i="41" a="1"/>
  <c r="AB276" i="1" a="1"/>
  <c r="AA764" i="1" a="1"/>
  <c r="AA43" i="1" a="1"/>
  <c r="AB891" i="1" a="1"/>
  <c r="AA877" i="1" a="1"/>
  <c r="H60" i="11" a="1"/>
  <c r="AB130" i="1" a="1"/>
  <c r="AB53" i="1" a="1"/>
  <c r="AB748" i="1" a="1"/>
  <c r="C150" i="11" a="1"/>
  <c r="AA961" i="1" a="1"/>
  <c r="AB724" i="1" a="1"/>
  <c r="G198" i="41" a="1"/>
  <c r="AA864" i="1" a="1"/>
  <c r="AB859" i="1" a="1"/>
  <c r="AB926" i="1" a="1"/>
  <c r="C203" i="41" a="1"/>
  <c r="AB172" i="1" a="1"/>
  <c r="C58" i="41" a="1"/>
  <c r="G70" i="11" a="1"/>
  <c r="H59" i="11" a="1"/>
  <c r="G176" i="41" a="1"/>
  <c r="AA710" i="1" a="1"/>
  <c r="AA223" i="1" a="1"/>
  <c r="C218" i="11" a="1"/>
  <c r="C210" i="11" a="1"/>
  <c r="AB412" i="1" a="1"/>
  <c r="G212" i="11" a="1"/>
  <c r="G160" i="41" a="1"/>
  <c r="AB849" i="1" a="1"/>
  <c r="C43" i="11" a="1"/>
  <c r="AB74" i="1" a="1"/>
  <c r="AB626" i="1" a="1"/>
  <c r="H63" i="41" a="1"/>
  <c r="AB90" i="1" a="1"/>
  <c r="H72" i="41" a="1"/>
  <c r="G216" i="11" a="1"/>
  <c r="AA883" i="1" a="1"/>
  <c r="AB665" i="1" a="1"/>
  <c r="C202" i="41" a="1"/>
  <c r="AB47" i="1" a="1"/>
  <c r="G135" i="11" a="1"/>
  <c r="AA588" i="1" a="1"/>
  <c r="H27" i="11" a="1"/>
  <c r="AB894" i="1" a="1"/>
  <c r="AA51" i="1" a="1"/>
  <c r="AB521" i="1" a="1"/>
  <c r="G29" i="11" a="1"/>
  <c r="AB6" i="1" a="1"/>
  <c r="AA624" i="1" a="1"/>
  <c r="AB649" i="1" a="1"/>
  <c r="AA253" i="1" a="1"/>
  <c r="AB817" i="1" a="1"/>
  <c r="AB225" i="1" a="1"/>
  <c r="AB284" i="1" a="1"/>
  <c r="C133" i="11" a="1"/>
  <c r="AA238" i="1" a="1"/>
  <c r="AB749" i="1" a="1"/>
  <c r="AA768" i="1" a="1"/>
  <c r="AA54" i="1" a="1"/>
  <c r="AA765" i="1" a="1"/>
  <c r="AA67" i="1" a="1"/>
  <c r="C32" i="11" a="1"/>
  <c r="AA478" i="1" a="1"/>
  <c r="H128" i="41" a="1"/>
  <c r="AA296" i="1" a="1"/>
  <c r="H109" i="41" a="1"/>
  <c r="AA826" i="1" a="1"/>
  <c r="AB296" i="1" a="1"/>
  <c r="AB433" i="1" a="1"/>
  <c r="H115" i="11" a="1"/>
  <c r="H179" i="11" a="1"/>
  <c r="AB125" i="1" a="1"/>
  <c r="G221" i="11" a="1"/>
  <c r="AB102" i="1" a="1"/>
  <c r="AB394" i="1" a="1"/>
  <c r="AB279" i="1" a="1"/>
  <c r="C249" i="41" a="1"/>
  <c r="C164" i="41" a="1"/>
  <c r="AB758" i="1" a="1"/>
  <c r="AA755" i="1" a="1"/>
  <c r="G188" i="41" a="1"/>
  <c r="AB108" i="1" a="1"/>
  <c r="C195" i="11" a="1"/>
  <c r="AB306" i="1" a="1"/>
  <c r="AB160" i="1" a="1"/>
  <c r="H197" i="11" a="1"/>
  <c r="AA885" i="1" a="1"/>
  <c r="H165" i="11" a="1"/>
  <c r="AB945" i="1" a="1"/>
  <c r="AB405" i="1" a="1"/>
  <c r="AB895" i="1" a="1"/>
  <c r="AB963" i="1" a="1"/>
  <c r="H179" i="41" a="1"/>
  <c r="AB919" i="1" a="1"/>
  <c r="G96" i="11" a="1"/>
  <c r="AB934" i="1" a="1"/>
  <c r="AA844" i="1" a="1"/>
  <c r="H250" i="41" a="1"/>
  <c r="AA807" i="1" a="1"/>
  <c r="G37" i="11" a="1"/>
  <c r="C215" i="41" a="1"/>
  <c r="G172" i="41" a="1"/>
  <c r="AB814" i="1" a="1"/>
  <c r="H35" i="11" a="1"/>
  <c r="AA394" i="1" a="1"/>
  <c r="C64" i="41" a="1"/>
  <c r="AA116" i="1" a="1"/>
  <c r="G100" i="11" a="1"/>
  <c r="C193" i="41" a="1"/>
  <c r="AB56" i="1" a="1"/>
  <c r="AA118" i="1" a="1"/>
  <c r="G219" i="41" a="1"/>
  <c r="AA463" i="1" a="1"/>
  <c r="AB843" i="1" a="1"/>
  <c r="AA228" i="1" a="1"/>
  <c r="AA829" i="1" a="1"/>
  <c r="G188" i="11" a="1"/>
  <c r="AB391" i="1" a="1"/>
  <c r="AA983" i="1" a="1"/>
  <c r="AA379" i="1" a="1"/>
  <c r="G45" i="11" a="1"/>
  <c r="C70" i="11" a="1"/>
  <c r="AA747" i="1" a="1"/>
  <c r="C75" i="41" a="1"/>
  <c r="AA851" i="1" a="1"/>
  <c r="G88" i="11" a="1"/>
  <c r="AB205" i="1" a="1"/>
  <c r="G218" i="11" a="1"/>
  <c r="AA902" i="1" a="1"/>
  <c r="H231" i="41" a="1"/>
  <c r="AB722" i="1" a="1"/>
  <c r="AB804" i="1" a="1"/>
  <c r="AB537" i="1" a="1"/>
  <c r="AA393" i="1" a="1"/>
  <c r="AA812" i="1" a="1"/>
  <c r="AA467" i="1" a="1"/>
  <c r="H185" i="41" a="1"/>
  <c r="AA554" i="1" a="1"/>
  <c r="AA108" i="1" a="1"/>
  <c r="AB15" i="1" a="1"/>
  <c r="AA862" i="1" a="1"/>
  <c r="G44" i="41" a="1"/>
  <c r="G102" i="41" a="1"/>
  <c r="G42" i="41" a="1"/>
  <c r="AA749" i="1" a="1"/>
  <c r="AB298" i="1" a="1"/>
  <c r="C69" i="41" a="1"/>
  <c r="AB63" i="1" a="1"/>
  <c r="H127" i="41" a="1"/>
  <c r="C100" i="11" a="1"/>
  <c r="AB21" i="1" a="1"/>
  <c r="AA10" i="1" a="1"/>
  <c r="AA115" i="1" a="1"/>
  <c r="AA274" i="1" a="1"/>
  <c r="AA279" i="1" a="1"/>
  <c r="G69" i="11" a="1"/>
  <c r="AB354" i="1" a="1"/>
  <c r="H190" i="11" a="1"/>
  <c r="G213" i="11" a="1"/>
  <c r="AB372" i="1" a="1"/>
  <c r="H47" i="41" a="1"/>
  <c r="H118" i="11" a="1"/>
  <c r="AB184" i="1" a="1"/>
  <c r="H251" i="41" a="1"/>
  <c r="AA873" i="1" a="1"/>
  <c r="H98" i="11" a="1"/>
  <c r="AB128" i="1" a="1"/>
  <c r="AB70" i="1" a="1"/>
  <c r="H144" i="41" a="1"/>
  <c r="G213" i="41" a="1"/>
  <c r="C66" i="41" a="1"/>
  <c r="AB380" i="1" a="1"/>
  <c r="AA422" i="1" a="1"/>
  <c r="AA170" i="1" a="1"/>
  <c r="H160" i="41" a="1"/>
  <c r="AA699" i="1" a="1"/>
  <c r="H230" i="11" a="1"/>
  <c r="C177" i="11" a="1"/>
  <c r="AA432" i="1" a="1"/>
  <c r="AB655" i="1" a="1"/>
  <c r="C226" i="11" a="1"/>
  <c r="AB273" i="1" a="1"/>
  <c r="AA562" i="1" a="1"/>
  <c r="AB388" i="1" a="1"/>
  <c r="C47" i="41" a="1"/>
  <c r="AB984" i="1" a="1"/>
  <c r="AB606" i="1" a="1"/>
  <c r="H56" i="41" a="1"/>
  <c r="G68" i="11" a="1"/>
  <c r="AA347" i="1" a="1"/>
  <c r="G140" i="41" a="1"/>
  <c r="G147" i="41" a="1"/>
  <c r="AA508" i="1" a="1"/>
  <c r="C152" i="41" a="1"/>
  <c r="G253" i="41" a="1"/>
  <c r="AB437" i="1" a="1"/>
  <c r="AB211" i="1" a="1"/>
  <c r="AB241" i="1" a="1"/>
  <c r="AB494" i="1" a="1"/>
  <c r="AB320" i="1" a="1"/>
  <c r="AB54" i="1" a="1"/>
  <c r="AA795" i="1" a="1"/>
  <c r="AA400" i="1" a="1"/>
  <c r="AA886" i="1" a="1"/>
  <c r="AB398" i="1" a="1"/>
  <c r="AA1004" i="1" a="1"/>
  <c r="AA635" i="1" a="1"/>
  <c r="AB511" i="1" a="1"/>
  <c r="AA248" i="1" a="1"/>
  <c r="AB377" i="1" a="1"/>
  <c r="C57" i="11" a="1"/>
  <c r="H166" i="11" a="1"/>
  <c r="AB114" i="1" a="1"/>
  <c r="AA966" i="1" a="1"/>
  <c r="H212" i="11" a="1"/>
  <c r="AB168" i="1" a="1"/>
  <c r="AA993" i="1" a="1"/>
  <c r="AA538" i="1" a="1"/>
  <c r="AA137" i="1" a="1"/>
  <c r="G145" i="41" a="1"/>
  <c r="G136" i="11" a="1"/>
  <c r="AA477" i="1" a="1"/>
  <c r="AA895" i="1" a="1"/>
  <c r="G61" i="11" a="1"/>
  <c r="AA254" i="1" a="1"/>
  <c r="AA782" i="1" a="1"/>
  <c r="C131" i="11" a="1"/>
  <c r="AA128" i="1" a="1"/>
  <c r="AA908" i="1" a="1"/>
  <c r="AB2" i="1" a="1"/>
  <c r="AB623" i="1" a="1"/>
  <c r="AA890" i="1" a="1"/>
  <c r="AA776" i="1" a="1"/>
  <c r="AB682" i="1" a="1"/>
  <c r="AA802" i="1" a="1"/>
  <c r="AA206" i="1" a="1"/>
  <c r="H73" i="41" a="1"/>
  <c r="G152" i="41" a="1"/>
  <c r="AA31" i="1" a="1"/>
  <c r="AA71" i="1" a="1"/>
  <c r="G104" i="11" a="1"/>
  <c r="AA703" i="1" a="1"/>
  <c r="AA610" i="1" a="1"/>
  <c r="C225" i="41" a="1"/>
  <c r="AA954" i="1" a="1"/>
  <c r="AA429" i="1" a="1"/>
  <c r="AA789" i="1" a="1"/>
  <c r="G250" i="11" a="1"/>
  <c r="AB197" i="1" a="1"/>
  <c r="AA688" i="1" a="1"/>
  <c r="AB992" i="1" a="1"/>
  <c r="H110" i="41" a="1"/>
  <c r="G136" i="41" a="1"/>
  <c r="C46" i="41" a="1"/>
  <c r="AB500" i="1" a="1"/>
  <c r="C248" i="41" a="1"/>
  <c r="AA485" i="1" a="1"/>
  <c r="G259" i="11" a="1"/>
  <c r="AB207" i="1" a="1"/>
  <c r="AB24" i="1" a="1"/>
  <c r="AB318" i="1" a="1"/>
  <c r="H188" i="11" a="1"/>
  <c r="AB277" i="1" a="1"/>
  <c r="AA213" i="1" a="1"/>
  <c r="AA578" i="1" a="1"/>
  <c r="G244" i="41" a="1"/>
  <c r="AA371" i="1" a="1"/>
  <c r="C240" i="41" a="1"/>
  <c r="AB522" i="1" a="1"/>
  <c r="AA484" i="1" a="1"/>
  <c r="AA161" i="1" a="1"/>
  <c r="H102" i="41" a="1"/>
  <c r="AA94" i="1" a="1"/>
  <c r="C74" i="11" a="1"/>
  <c r="AA130" i="1" a="1"/>
  <c r="AB952" i="1" a="1"/>
  <c r="AA999" i="1" a="1"/>
  <c r="AB13" i="1" a="1"/>
  <c r="H58" i="41" a="1"/>
  <c r="AB816" i="1" a="1"/>
  <c r="AA926" i="1" a="1"/>
  <c r="H77" i="11" a="1"/>
  <c r="C81" i="41" a="1"/>
  <c r="AA354" i="1" a="1"/>
  <c r="H51" i="41" a="1"/>
  <c r="AB4" i="1" a="1"/>
  <c r="AA671" i="1" a="1"/>
  <c r="H170" i="11" a="1"/>
  <c r="AA643" i="1" a="1"/>
  <c r="C90" i="41" a="1"/>
  <c r="H134" i="41" a="1"/>
  <c r="H104" i="11" a="1"/>
  <c r="AA941" i="1" a="1"/>
  <c r="C95" i="41" a="1"/>
  <c r="G192" i="41" a="1"/>
  <c r="C124" i="11" a="1"/>
  <c r="AB764" i="1" a="1"/>
  <c r="AA426" i="1" a="1"/>
  <c r="AB593" i="1" a="1"/>
  <c r="AB121" i="1" a="1"/>
  <c r="AB295" i="1" a="1"/>
  <c r="AB434" i="1" a="1"/>
  <c r="AB824" i="1" a="1"/>
  <c r="AB145" i="1" a="1"/>
  <c r="AB30" i="1" a="1"/>
  <c r="C189" i="11" a="1"/>
  <c r="C42" i="11" a="1"/>
  <c r="H229" i="11" a="1"/>
  <c r="AA665" i="1" a="1"/>
  <c r="C125" i="11" a="1"/>
  <c r="AA48" i="1" a="1"/>
  <c r="AA569" i="1" a="1"/>
  <c r="AA38" i="1" a="1"/>
  <c r="C51" i="41" a="1"/>
  <c r="H245" i="11" a="1"/>
  <c r="H109" i="11" a="1"/>
  <c r="G246" i="41" a="1"/>
  <c r="AA590" i="1" a="1"/>
  <c r="AA350" i="1" a="1"/>
  <c r="AA112" i="1" a="1"/>
  <c r="H178" i="11" a="1"/>
  <c r="H80" i="11" a="1"/>
  <c r="AA82" i="1" a="1"/>
  <c r="AA472" i="1" a="1"/>
  <c r="AA96" i="1" a="1"/>
  <c r="AB720" i="1" a="1"/>
  <c r="H255" i="11" a="1"/>
  <c r="AA271" i="1" a="1"/>
  <c r="AA391" i="1" a="1"/>
  <c r="G35" i="41" a="1"/>
  <c r="H71" i="41" a="1"/>
  <c r="AA630" i="1" a="1"/>
  <c r="AB111" i="1" a="1"/>
  <c r="G209" i="41" a="1"/>
  <c r="C225" i="11" a="1"/>
  <c r="AB321" i="1" a="1"/>
  <c r="AB798" i="1" a="1"/>
  <c r="G157" i="11" a="1"/>
  <c r="AA145" i="1" a="1"/>
  <c r="AA705" i="1" a="1"/>
  <c r="AB520" i="1" a="1"/>
  <c r="AA154" i="1" a="1"/>
  <c r="AB890" i="1" a="1"/>
  <c r="G236" i="11" a="1"/>
  <c r="H65" i="41" a="1"/>
  <c r="G194" i="41" a="1"/>
  <c r="AB838" i="1" a="1"/>
  <c r="AB123" i="1" a="1"/>
  <c r="AA620" i="1" a="1"/>
  <c r="C46" i="11" a="1"/>
  <c r="AB948" i="1" a="1"/>
  <c r="AA550" i="1" a="1"/>
  <c r="AA212" i="1" a="1"/>
  <c r="AB575" i="1" a="1"/>
  <c r="C172" i="11" a="1"/>
  <c r="AA594" i="1" a="1"/>
  <c r="G190" i="11" a="1"/>
  <c r="H155" i="41" a="1"/>
  <c r="AB97" i="1" a="1"/>
  <c r="AB35" i="1" a="1"/>
  <c r="G74" i="41" a="1"/>
  <c r="AA73" i="1" a="1"/>
  <c r="AB40" i="1" a="1"/>
  <c r="AA425" i="1" a="1"/>
  <c r="C198" i="41" a="1"/>
  <c r="AA58" i="1" a="1"/>
  <c r="AB183" i="1" a="1"/>
  <c r="C110" i="41" a="1"/>
  <c r="AB216" i="1" a="1"/>
  <c r="AB359" i="1" a="1"/>
  <c r="G44" i="11" a="1"/>
  <c r="AB832" i="1" a="1"/>
  <c r="H171" i="41" a="1"/>
  <c r="AB853" i="1" a="1"/>
  <c r="AB632" i="1" a="1"/>
  <c r="AA679" i="1" a="1"/>
  <c r="AB588" i="1" a="1"/>
  <c r="AB829" i="1" a="1"/>
  <c r="AA172" i="1" a="1"/>
  <c r="H124" i="41" a="1"/>
  <c r="AA7" i="1" a="1"/>
  <c r="AB376" i="1" a="1"/>
  <c r="AB151" i="1" a="1"/>
  <c r="AB962" i="1" a="1"/>
  <c r="AB962" i="1" l="1"/>
  <c r="AB151" i="1"/>
  <c r="AB376" i="1"/>
  <c r="AA7" i="1"/>
  <c r="H124" i="41"/>
  <c r="AA172" i="1"/>
  <c r="AB829" i="1"/>
  <c r="AB588" i="1"/>
  <c r="AA679" i="1"/>
  <c r="AB632" i="1"/>
  <c r="AB853" i="1"/>
  <c r="H171" i="41"/>
  <c r="AB832" i="1"/>
  <c r="G44" i="11"/>
  <c r="AB359" i="1"/>
  <c r="AB216" i="1"/>
  <c r="C110" i="41"/>
  <c r="AB183" i="1"/>
  <c r="AA58" i="1"/>
  <c r="C198" i="41"/>
  <c r="AA425" i="1"/>
  <c r="AB40" i="1"/>
  <c r="AA73" i="1"/>
  <c r="G74" i="41"/>
  <c r="AB35" i="1"/>
  <c r="AB97" i="1"/>
  <c r="H155" i="41"/>
  <c r="G190" i="11"/>
  <c r="AA594" i="1"/>
  <c r="C172" i="11"/>
  <c r="AB575" i="1"/>
  <c r="AA212" i="1"/>
  <c r="AA550" i="1"/>
  <c r="AB948" i="1"/>
  <c r="C46" i="11"/>
  <c r="AA620" i="1"/>
  <c r="AB123" i="1"/>
  <c r="AB838" i="1"/>
  <c r="G194" i="41"/>
  <c r="H65" i="41"/>
  <c r="G236" i="11"/>
  <c r="AB890" i="1"/>
  <c r="AA154" i="1"/>
  <c r="AB520" i="1"/>
  <c r="AA705" i="1"/>
  <c r="AA145" i="1"/>
  <c r="G157" i="11"/>
  <c r="AB798" i="1"/>
  <c r="AB321" i="1"/>
  <c r="C225" i="11"/>
  <c r="G209" i="41"/>
  <c r="AB111" i="1"/>
  <c r="AA630" i="1"/>
  <c r="H71" i="41"/>
  <c r="G35" i="41"/>
  <c r="AA391" i="1"/>
  <c r="AA271" i="1"/>
  <c r="H255" i="11"/>
  <c r="AB720" i="1"/>
  <c r="AA96" i="1"/>
  <c r="AA472" i="1"/>
  <c r="AA82" i="1"/>
  <c r="H80" i="11"/>
  <c r="H178" i="11"/>
  <c r="AA112" i="1"/>
  <c r="AA350" i="1"/>
  <c r="AA590" i="1"/>
  <c r="G246" i="41"/>
  <c r="H109" i="11"/>
  <c r="H245" i="11"/>
  <c r="C51" i="41"/>
  <c r="AA38" i="1"/>
  <c r="AA569" i="1"/>
  <c r="AA48" i="1"/>
  <c r="C125" i="11"/>
  <c r="AA665" i="1"/>
  <c r="H229" i="11"/>
  <c r="C42" i="11"/>
  <c r="C189" i="11"/>
  <c r="AB30" i="1"/>
  <c r="AB145" i="1"/>
  <c r="AB824" i="1"/>
  <c r="AB434" i="1"/>
  <c r="AB295" i="1"/>
  <c r="AB121" i="1"/>
  <c r="AB593" i="1"/>
  <c r="AA426" i="1"/>
  <c r="AB764" i="1"/>
  <c r="C124" i="11"/>
  <c r="G192" i="41"/>
  <c r="C95" i="41"/>
  <c r="AA941" i="1"/>
  <c r="H104" i="11"/>
  <c r="H134" i="41"/>
  <c r="C90" i="41"/>
  <c r="AA643" i="1"/>
  <c r="H170" i="11"/>
  <c r="AA671" i="1"/>
  <c r="AB4" i="1"/>
  <c r="H51" i="41"/>
  <c r="AA354" i="1"/>
  <c r="C81" i="41"/>
  <c r="H77" i="11"/>
  <c r="AA926" i="1"/>
  <c r="AB816" i="1"/>
  <c r="H58" i="41"/>
  <c r="AB13" i="1"/>
  <c r="AA999" i="1"/>
  <c r="AB952" i="1"/>
  <c r="AA130" i="1"/>
  <c r="C74" i="11"/>
  <c r="AA94" i="1"/>
  <c r="H102" i="41"/>
  <c r="AA161" i="1"/>
  <c r="AA484" i="1"/>
  <c r="AB522" i="1"/>
  <c r="C240" i="41"/>
  <c r="AA371" i="1"/>
  <c r="G244" i="41"/>
  <c r="AA578" i="1"/>
  <c r="AA213" i="1"/>
  <c r="AB277" i="1"/>
  <c r="H188" i="11"/>
  <c r="AB318" i="1"/>
  <c r="AB24" i="1"/>
  <c r="AB207" i="1"/>
  <c r="G259" i="11"/>
  <c r="AA485" i="1"/>
  <c r="C248" i="41"/>
  <c r="AB500" i="1"/>
  <c r="C46" i="41"/>
  <c r="G136" i="41"/>
  <c r="H110" i="41"/>
  <c r="AB992" i="1"/>
  <c r="AA688" i="1"/>
  <c r="AB197" i="1"/>
  <c r="G250" i="11"/>
  <c r="AA789" i="1"/>
  <c r="AA429" i="1"/>
  <c r="AA954" i="1"/>
  <c r="C225" i="41"/>
  <c r="AA610" i="1"/>
  <c r="AA703" i="1"/>
  <c r="G104" i="11"/>
  <c r="AA71" i="1"/>
  <c r="AA31" i="1"/>
  <c r="G152" i="41"/>
  <c r="H73" i="41"/>
  <c r="AA206" i="1"/>
  <c r="AA802" i="1"/>
  <c r="AB682" i="1"/>
  <c r="AA776" i="1"/>
  <c r="AA890" i="1"/>
  <c r="AB623" i="1"/>
  <c r="AB2" i="1"/>
  <c r="AA908" i="1"/>
  <c r="AA128" i="1"/>
  <c r="C131" i="11"/>
  <c r="AA782" i="1"/>
  <c r="AA254" i="1"/>
  <c r="G61" i="11"/>
  <c r="AA895" i="1"/>
  <c r="AA477" i="1"/>
  <c r="G136" i="11"/>
  <c r="G145" i="41"/>
  <c r="AA137" i="1"/>
  <c r="AA538" i="1"/>
  <c r="AA993" i="1"/>
  <c r="AB168" i="1"/>
  <c r="H212" i="11"/>
  <c r="AA966" i="1"/>
  <c r="AB114" i="1"/>
  <c r="H166" i="11"/>
  <c r="C57" i="11"/>
  <c r="AB377" i="1"/>
  <c r="AA248" i="1"/>
  <c r="AB511" i="1"/>
  <c r="AA635" i="1"/>
  <c r="AA1004" i="1"/>
  <c r="AB398" i="1"/>
  <c r="AA886" i="1"/>
  <c r="AA400" i="1"/>
  <c r="AA795" i="1"/>
  <c r="AB54" i="1"/>
  <c r="AB320" i="1"/>
  <c r="AB494" i="1"/>
  <c r="AB241" i="1"/>
  <c r="AB211" i="1"/>
  <c r="AB437" i="1"/>
  <c r="G253" i="41"/>
  <c r="C152" i="41"/>
  <c r="AA508" i="1"/>
  <c r="G147" i="41"/>
  <c r="G140" i="41"/>
  <c r="AA347" i="1"/>
  <c r="G68" i="11"/>
  <c r="H56" i="41"/>
  <c r="AB606" i="1"/>
  <c r="AB984" i="1"/>
  <c r="C47" i="41"/>
  <c r="AB388" i="1"/>
  <c r="AA562" i="1"/>
  <c r="AB273" i="1"/>
  <c r="C226" i="11"/>
  <c r="AB655" i="1"/>
  <c r="AA432" i="1"/>
  <c r="C177" i="11"/>
  <c r="H230" i="11"/>
  <c r="AA699" i="1"/>
  <c r="H160" i="41"/>
  <c r="AA170" i="1"/>
  <c r="AA422" i="1"/>
  <c r="AB380" i="1"/>
  <c r="C66" i="41"/>
  <c r="G213" i="41"/>
  <c r="H144" i="41"/>
  <c r="AB70" i="1"/>
  <c r="AB128" i="1"/>
  <c r="H98" i="11"/>
  <c r="AA873" i="1"/>
  <c r="H251" i="41"/>
  <c r="AB184" i="1"/>
  <c r="H118" i="11"/>
  <c r="H47" i="41"/>
  <c r="AB372" i="1"/>
  <c r="G213" i="11"/>
  <c r="H190" i="11"/>
  <c r="AB354" i="1"/>
  <c r="G69" i="11"/>
  <c r="AA279" i="1"/>
  <c r="AA274" i="1"/>
  <c r="AA115" i="1"/>
  <c r="AA10" i="1"/>
  <c r="AB21" i="1"/>
  <c r="C100" i="11"/>
  <c r="H127" i="41"/>
  <c r="AB63" i="1"/>
  <c r="C69" i="41"/>
  <c r="AB298" i="1"/>
  <c r="AA749" i="1"/>
  <c r="G42" i="41"/>
  <c r="G102" i="41"/>
  <c r="G44" i="41"/>
  <c r="AA862" i="1"/>
  <c r="AB15" i="1"/>
  <c r="AA108" i="1"/>
  <c r="AA554" i="1"/>
  <c r="H185" i="41"/>
  <c r="AA467" i="1"/>
  <c r="AA812" i="1"/>
  <c r="AA393" i="1"/>
  <c r="AB537" i="1"/>
  <c r="AB804" i="1"/>
  <c r="AB722" i="1"/>
  <c r="H231" i="41"/>
  <c r="AA902" i="1"/>
  <c r="G218" i="11"/>
  <c r="AB205" i="1"/>
  <c r="G88" i="11"/>
  <c r="AA851" i="1"/>
  <c r="C75" i="41"/>
  <c r="AA747" i="1"/>
  <c r="C70" i="11"/>
  <c r="G45" i="11"/>
  <c r="AA379" i="1"/>
  <c r="AA983" i="1"/>
  <c r="AB391" i="1"/>
  <c r="G188" i="11"/>
  <c r="AA829" i="1"/>
  <c r="AA228" i="1"/>
  <c r="AB843" i="1"/>
  <c r="AA463" i="1"/>
  <c r="G219" i="41"/>
  <c r="AA118" i="1"/>
  <c r="AB56" i="1"/>
  <c r="C193" i="41"/>
  <c r="G100" i="11"/>
  <c r="AA116" i="1"/>
  <c r="C64" i="41"/>
  <c r="AA394" i="1"/>
  <c r="H35" i="11"/>
  <c r="AB814" i="1"/>
  <c r="G172" i="41"/>
  <c r="C215" i="41"/>
  <c r="G37" i="11"/>
  <c r="AA807" i="1"/>
  <c r="H250" i="41"/>
  <c r="AA844" i="1"/>
  <c r="AB934" i="1"/>
  <c r="G96" i="11"/>
  <c r="AB919" i="1"/>
  <c r="H179" i="41"/>
  <c r="AB963" i="1"/>
  <c r="AB895" i="1"/>
  <c r="AB405" i="1"/>
  <c r="AB945" i="1"/>
  <c r="H165" i="11"/>
  <c r="AA885" i="1"/>
  <c r="H197" i="11"/>
  <c r="AB160" i="1"/>
  <c r="AB306" i="1"/>
  <c r="C195" i="11"/>
  <c r="AB108" i="1"/>
  <c r="G188" i="41"/>
  <c r="AA755" i="1"/>
  <c r="AB758" i="1"/>
  <c r="C164" i="41"/>
  <c r="C249" i="41"/>
  <c r="AB279" i="1"/>
  <c r="AB394" i="1"/>
  <c r="AB102" i="1"/>
  <c r="G221" i="11"/>
  <c r="AB125" i="1"/>
  <c r="H179" i="11"/>
  <c r="H115" i="11"/>
  <c r="AB433" i="1"/>
  <c r="AB296" i="1"/>
  <c r="AA826" i="1"/>
  <c r="H109" i="41"/>
  <c r="AA296" i="1"/>
  <c r="H128" i="41"/>
  <c r="AA478" i="1"/>
  <c r="C32" i="11"/>
  <c r="AA67" i="1"/>
  <c r="AA765" i="1"/>
  <c r="AA54" i="1"/>
  <c r="AA768" i="1"/>
  <c r="AB749" i="1"/>
  <c r="AA238" i="1"/>
  <c r="C133" i="11"/>
  <c r="AB284" i="1"/>
  <c r="AB225" i="1"/>
  <c r="AB817" i="1"/>
  <c r="AA253" i="1"/>
  <c r="AB649" i="1"/>
  <c r="AA624" i="1"/>
  <c r="AB6" i="1"/>
  <c r="G29" i="11"/>
  <c r="AB521" i="1"/>
  <c r="AA51" i="1"/>
  <c r="AB894" i="1"/>
  <c r="H27" i="11"/>
  <c r="AA588" i="1"/>
  <c r="G135" i="11"/>
  <c r="AB47" i="1"/>
  <c r="C202" i="41"/>
  <c r="AB665" i="1"/>
  <c r="AA883" i="1"/>
  <c r="G216" i="11"/>
  <c r="H72" i="41"/>
  <c r="AB90" i="1"/>
  <c r="H63" i="41"/>
  <c r="AB626" i="1"/>
  <c r="AB74" i="1"/>
  <c r="C43" i="11"/>
  <c r="AB849" i="1"/>
  <c r="G160" i="41"/>
  <c r="G212" i="11"/>
  <c r="AB412" i="1"/>
  <c r="C210" i="11"/>
  <c r="C218" i="11"/>
  <c r="AA223" i="1"/>
  <c r="AA710" i="1"/>
  <c r="G176" i="41"/>
  <c r="H59" i="11"/>
  <c r="G70" i="11"/>
  <c r="C58" i="41"/>
  <c r="AB172" i="1"/>
  <c r="C203" i="41"/>
  <c r="AB926" i="1"/>
  <c r="AB859" i="1"/>
  <c r="AA864" i="1"/>
  <c r="G198" i="41"/>
  <c r="AB724" i="1"/>
  <c r="AA961" i="1"/>
  <c r="C150" i="11"/>
  <c r="AB748" i="1"/>
  <c r="AB53" i="1"/>
  <c r="AB130" i="1"/>
  <c r="H60" i="11"/>
  <c r="AA877" i="1"/>
  <c r="AB891" i="1"/>
  <c r="AA43" i="1"/>
  <c r="AA764" i="1"/>
  <c r="AB276" i="1"/>
  <c r="C167" i="41"/>
  <c r="AB414" i="1"/>
  <c r="AB599" i="1"/>
  <c r="G77" i="11"/>
  <c r="C83" i="11"/>
  <c r="AB480" i="1"/>
  <c r="AA512" i="1"/>
  <c r="AA632" i="1"/>
  <c r="AB936" i="1"/>
  <c r="C44" i="41"/>
  <c r="AA480" i="1"/>
  <c r="G217" i="41"/>
  <c r="AB747" i="1"/>
  <c r="AA524" i="1"/>
  <c r="AA192" i="1"/>
  <c r="AA746" i="1"/>
  <c r="C214" i="41"/>
  <c r="G38" i="41"/>
  <c r="AA357" i="1"/>
  <c r="AA341" i="1"/>
  <c r="C89" i="41"/>
  <c r="AA906" i="1"/>
  <c r="C239" i="41"/>
  <c r="H169" i="41"/>
  <c r="G112" i="41"/>
  <c r="AB445" i="1"/>
  <c r="AB317" i="1"/>
  <c r="AA900" i="1"/>
  <c r="AB866" i="1"/>
  <c r="H139" i="11"/>
  <c r="C141" i="11"/>
  <c r="AA486" i="1"/>
  <c r="AB117" i="1"/>
  <c r="AA445" i="1"/>
  <c r="AA15" i="1"/>
  <c r="AB76" i="1"/>
  <c r="AA847" i="1"/>
  <c r="G164" i="11"/>
  <c r="AB99" i="1"/>
  <c r="H36" i="41"/>
  <c r="G30" i="11"/>
  <c r="AA595" i="1"/>
  <c r="G101" i="41"/>
  <c r="AA49" i="1"/>
  <c r="AB383" i="1"/>
  <c r="AA921" i="1"/>
  <c r="AB287" i="1"/>
  <c r="AA721" i="1"/>
  <c r="AA934" i="1"/>
  <c r="AB86" i="1"/>
  <c r="AA761" i="1"/>
  <c r="AA385" i="1"/>
  <c r="AB406" i="1"/>
  <c r="H232" i="11"/>
  <c r="AB191" i="1"/>
  <c r="AA227" i="1"/>
  <c r="H50" i="41"/>
  <c r="G50" i="11"/>
  <c r="C180" i="11"/>
  <c r="AA123" i="1"/>
  <c r="C52" i="41"/>
  <c r="AA312" i="1"/>
  <c r="AB52" i="1"/>
  <c r="G262" i="41"/>
  <c r="AB737" i="1"/>
  <c r="C224" i="41"/>
  <c r="AA86" i="1"/>
  <c r="C256" i="11"/>
  <c r="G247" i="11"/>
  <c r="AA911" i="1"/>
  <c r="H142" i="41"/>
  <c r="C204" i="41"/>
  <c r="C149" i="11"/>
  <c r="C200" i="11"/>
  <c r="AA34" i="1"/>
  <c r="C68" i="11"/>
  <c r="G181" i="11"/>
  <c r="AA269" i="1"/>
  <c r="AA364" i="1"/>
  <c r="AA986" i="1"/>
  <c r="C238" i="11"/>
  <c r="C92" i="41"/>
  <c r="AA955" i="1"/>
  <c r="G107" i="11"/>
  <c r="AA790" i="1"/>
  <c r="AB880" i="1"/>
  <c r="C49" i="41"/>
  <c r="AB202" i="1"/>
  <c r="C149" i="41"/>
  <c r="AB455" i="1"/>
  <c r="AA195" i="1"/>
  <c r="AA570" i="1"/>
  <c r="G140" i="11"/>
  <c r="AA92" i="1"/>
  <c r="C217" i="11"/>
  <c r="G245" i="41"/>
  <c r="AA686" i="1"/>
  <c r="G182" i="11"/>
  <c r="AA494" i="1"/>
  <c r="AB906" i="1"/>
  <c r="AB778" i="1"/>
  <c r="AB71" i="1"/>
  <c r="H262" i="41"/>
  <c r="C146" i="11"/>
  <c r="AA840" i="1"/>
  <c r="C121" i="11"/>
  <c r="G171" i="41"/>
  <c r="AA19" i="1"/>
  <c r="AA897" i="1"/>
  <c r="C151" i="11"/>
  <c r="AB972" i="1"/>
  <c r="G240" i="11"/>
  <c r="AB289" i="1"/>
  <c r="AA155" i="1"/>
  <c r="AA891" i="1"/>
  <c r="AB973" i="1"/>
  <c r="AA598" i="1"/>
  <c r="AB729" i="1"/>
  <c r="G166" i="11"/>
  <c r="AB68" i="1"/>
  <c r="AA430" i="1"/>
  <c r="AA936" i="1"/>
  <c r="AB893" i="1"/>
  <c r="AB716" i="1"/>
  <c r="AB350" i="1"/>
  <c r="AA309" i="1"/>
  <c r="AB190" i="1"/>
  <c r="AA301" i="1"/>
  <c r="H248" i="11"/>
  <c r="AA35" i="1"/>
  <c r="AB875" i="1"/>
  <c r="AA203" i="1"/>
  <c r="AB634" i="1"/>
  <c r="AB341" i="1"/>
  <c r="H96" i="11"/>
  <c r="AA159" i="1"/>
  <c r="AB423" i="1"/>
  <c r="C104" i="41"/>
  <c r="C82" i="11"/>
  <c r="G110" i="11"/>
  <c r="AB353" i="1"/>
  <c r="AA848" i="1"/>
  <c r="H83" i="11"/>
  <c r="AA329" i="1"/>
  <c r="H148" i="11"/>
  <c r="AB785" i="1"/>
  <c r="AA362" i="1"/>
  <c r="H143" i="11"/>
  <c r="AB493" i="1"/>
  <c r="AB788" i="1"/>
  <c r="AA33" i="1"/>
  <c r="AA287" i="1"/>
  <c r="AB187" i="1"/>
  <c r="H122" i="41"/>
  <c r="G133" i="41"/>
  <c r="AA868" i="1"/>
  <c r="G199" i="11"/>
  <c r="H39" i="11"/>
  <c r="C108" i="11"/>
  <c r="C85" i="41"/>
  <c r="H132" i="11"/>
  <c r="H189" i="41"/>
  <c r="G163" i="11"/>
  <c r="AB858" i="1"/>
  <c r="AA845" i="1"/>
  <c r="G175" i="11"/>
  <c r="AA251" i="1"/>
  <c r="AA316" i="1"/>
  <c r="C233" i="11"/>
  <c r="AA431" i="1"/>
  <c r="C92" i="11"/>
  <c r="AA989" i="1"/>
  <c r="AB663" i="1"/>
  <c r="C72" i="11"/>
  <c r="AA328" i="1"/>
  <c r="AB175" i="1"/>
  <c r="AB974" i="1"/>
  <c r="C253" i="11"/>
  <c r="C154" i="41"/>
  <c r="H182" i="41"/>
  <c r="AB621" i="1"/>
  <c r="G49" i="11"/>
  <c r="AB990" i="1"/>
  <c r="AA556" i="1"/>
  <c r="AB316" i="1"/>
  <c r="AA221" i="1"/>
  <c r="G249" i="11"/>
  <c r="G65" i="11"/>
  <c r="AB152" i="1"/>
  <c r="C252" i="11"/>
  <c r="AB460" i="1"/>
  <c r="H130" i="11"/>
  <c r="C110" i="11"/>
  <c r="AA962" i="1"/>
  <c r="AB943" i="1"/>
  <c r="AB570" i="1"/>
  <c r="AB844" i="1"/>
  <c r="AB559" i="1"/>
  <c r="AA605" i="1"/>
  <c r="AB32" i="1"/>
  <c r="H242" i="11"/>
  <c r="G89" i="11"/>
  <c r="AB772" i="1"/>
  <c r="AB94" i="1"/>
  <c r="AB976" i="1"/>
  <c r="AB308" i="1"/>
  <c r="AA861" i="1"/>
  <c r="C30" i="11"/>
  <c r="AA377" i="1"/>
  <c r="C152" i="11"/>
  <c r="G58" i="41"/>
  <c r="AA673" i="1"/>
  <c r="AB611" i="1"/>
  <c r="C67" i="41"/>
  <c r="AA284" i="1"/>
  <c r="H188" i="41"/>
  <c r="AB134" i="1"/>
  <c r="C132" i="11"/>
  <c r="AA656" i="1"/>
  <c r="AB465" i="1"/>
  <c r="AA443" i="1"/>
  <c r="AB371" i="1"/>
  <c r="AA241" i="1"/>
  <c r="H249" i="11"/>
  <c r="G116" i="41"/>
  <c r="H201" i="11"/>
  <c r="AA90" i="1"/>
  <c r="C26" i="41"/>
  <c r="H103" i="41"/>
  <c r="C28" i="11"/>
  <c r="AA801" i="1"/>
  <c r="AA299" i="1"/>
  <c r="AA459" i="1"/>
  <c r="AB335" i="1"/>
  <c r="H150" i="41"/>
  <c r="AA742" i="1"/>
  <c r="AA507" i="1"/>
  <c r="AB991" i="1"/>
  <c r="AB136" i="1"/>
  <c r="AB696" i="1"/>
  <c r="AB486" i="1"/>
  <c r="C57" i="41"/>
  <c r="AB942" i="1"/>
  <c r="G255" i="11"/>
  <c r="AB760" i="1"/>
  <c r="AA685" i="1"/>
  <c r="C122" i="11"/>
  <c r="H104" i="41"/>
  <c r="AA808" i="1"/>
  <c r="AB917" i="1"/>
  <c r="H94" i="11"/>
  <c r="AA563" i="1"/>
  <c r="AA661" i="1"/>
  <c r="AB454" i="1"/>
  <c r="AB956" i="1"/>
  <c r="AA229" i="1"/>
  <c r="AB810" i="1"/>
  <c r="AB547" i="1"/>
  <c r="AA160" i="1"/>
  <c r="H65" i="11"/>
  <c r="H259" i="11"/>
  <c r="AB581" i="1"/>
  <c r="AA63" i="1"/>
  <c r="C82" i="41"/>
  <c r="C65" i="11"/>
  <c r="AA706" i="1"/>
  <c r="H120" i="41"/>
  <c r="AB417" i="1"/>
  <c r="AA734" i="1"/>
  <c r="AB264" i="1"/>
  <c r="G243" i="11"/>
  <c r="H156" i="11"/>
  <c r="C178" i="11"/>
  <c r="H61" i="41"/>
  <c r="G114" i="11"/>
  <c r="AA846" i="1"/>
  <c r="G79" i="41"/>
  <c r="AA553" i="1"/>
  <c r="AA650" i="1"/>
  <c r="G42" i="11"/>
  <c r="AA444" i="1"/>
  <c r="AA396" i="1"/>
  <c r="AA462" i="1"/>
  <c r="G86" i="41"/>
  <c r="AB673" i="1"/>
  <c r="C239" i="11"/>
  <c r="AB780" i="1"/>
  <c r="H151" i="41"/>
  <c r="AB147" i="1"/>
  <c r="H258" i="41"/>
  <c r="AB713" i="1"/>
  <c r="AB961" i="1"/>
  <c r="AA138" i="1"/>
  <c r="AA300" i="1"/>
  <c r="G131" i="11"/>
  <c r="H92" i="41"/>
  <c r="C227" i="11"/>
  <c r="G225" i="41"/>
  <c r="AB293" i="1"/>
  <c r="H47" i="11"/>
  <c r="C217" i="41"/>
  <c r="AA303" i="1"/>
  <c r="AB210" i="1"/>
  <c r="G152" i="11"/>
  <c r="AA606" i="1"/>
  <c r="C56" i="11"/>
  <c r="AB37" i="1"/>
  <c r="AB103" i="1"/>
  <c r="AB33" i="1"/>
  <c r="H135" i="11"/>
  <c r="AA338" i="1"/>
  <c r="H90" i="11"/>
  <c r="G66" i="41"/>
  <c r="AA599" i="1"/>
  <c r="C145" i="41"/>
  <c r="AA636" i="1"/>
  <c r="C77" i="11"/>
  <c r="AA74" i="1"/>
  <c r="AB975" i="1"/>
  <c r="AA681" i="1"/>
  <c r="AA308" i="1"/>
  <c r="G253" i="11"/>
  <c r="C80" i="41"/>
  <c r="AA414" i="1"/>
  <c r="AA408" i="1"/>
  <c r="AA98" i="1"/>
  <c r="AB770" i="1"/>
  <c r="H221" i="11"/>
  <c r="H199" i="41"/>
  <c r="AB670" i="1"/>
  <c r="H249" i="41"/>
  <c r="AA446" i="1"/>
  <c r="H184" i="11"/>
  <c r="AA992" i="1"/>
  <c r="C158" i="11"/>
  <c r="AB420" i="1"/>
  <c r="AA110" i="1"/>
  <c r="AA293" i="1"/>
  <c r="G255" i="41"/>
  <c r="G256" i="11"/>
  <c r="AB232" i="1"/>
  <c r="C183" i="11"/>
  <c r="G134" i="41"/>
  <c r="C85" i="11"/>
  <c r="G251" i="11"/>
  <c r="AB541" i="1"/>
  <c r="AB965" i="1"/>
  <c r="AB677" i="1"/>
  <c r="AB358" i="1"/>
  <c r="AA331" i="1"/>
  <c r="AB361" i="1"/>
  <c r="H207" i="41"/>
  <c r="AA713" i="1"/>
  <c r="AB660" i="1"/>
  <c r="C143" i="11"/>
  <c r="H100" i="11"/>
  <c r="H226" i="11"/>
  <c r="AB181" i="1"/>
  <c r="G251" i="41"/>
  <c r="AB104" i="1"/>
  <c r="C176" i="41"/>
  <c r="H67" i="11"/>
  <c r="AB367" i="1"/>
  <c r="AB325" i="1"/>
  <c r="AB258" i="1"/>
  <c r="C247" i="41"/>
  <c r="AA356" i="1"/>
  <c r="AA261" i="1"/>
  <c r="AB45" i="1"/>
  <c r="AA403" i="1"/>
  <c r="AB268" i="1"/>
  <c r="C148" i="11"/>
  <c r="G220" i="11"/>
  <c r="AB727" i="1"/>
  <c r="AB650" i="1"/>
  <c r="AA806" i="1"/>
  <c r="AB348" i="1"/>
  <c r="G67" i="11"/>
  <c r="AB757" i="1"/>
  <c r="AA20" i="1"/>
  <c r="AA186" i="1"/>
  <c r="AB966" i="1"/>
  <c r="AB907" i="1"/>
  <c r="AB935" i="1"/>
  <c r="AA152" i="1"/>
  <c r="H211" i="41"/>
  <c r="AA363" i="1"/>
  <c r="AA88" i="1"/>
  <c r="AB496" i="1"/>
  <c r="AA573" i="1"/>
  <c r="H149" i="11"/>
  <c r="AA384" i="1"/>
  <c r="AA740" i="1"/>
  <c r="C120" i="41"/>
  <c r="C140" i="11"/>
  <c r="AB997" i="1"/>
  <c r="AA499" i="1"/>
  <c r="AA302" i="1"/>
  <c r="AA103" i="1"/>
  <c r="H242" i="41"/>
  <c r="AA694" i="1"/>
  <c r="AB484" i="1"/>
  <c r="AA419" i="1"/>
  <c r="G108" i="11"/>
  <c r="C94" i="41"/>
  <c r="H89" i="11"/>
  <c r="G158" i="41"/>
  <c r="AB227" i="1"/>
  <c r="AA60" i="1"/>
  <c r="AB558" i="1"/>
  <c r="AB275" i="1"/>
  <c r="AA528" i="1"/>
  <c r="AA169" i="1"/>
  <c r="AA360" i="1"/>
  <c r="AA631" i="1"/>
  <c r="AB5" i="1"/>
  <c r="H162" i="11"/>
  <c r="AB526" i="1"/>
  <c r="H260" i="41"/>
  <c r="G191" i="41"/>
  <c r="AB618" i="1"/>
  <c r="AA930" i="1"/>
  <c r="H244" i="41"/>
  <c r="AB652" i="1"/>
  <c r="H69" i="41"/>
  <c r="G146" i="11"/>
  <c r="AB374" i="1"/>
  <c r="C153" i="11"/>
  <c r="AA4" i="1"/>
  <c r="H117" i="41"/>
  <c r="H101" i="11"/>
  <c r="AA805" i="1"/>
  <c r="AB754" i="1"/>
  <c r="H32" i="41"/>
  <c r="AB911" i="1"/>
  <c r="AA543" i="1"/>
  <c r="AB93" i="1"/>
  <c r="AA40" i="1"/>
  <c r="AB619" i="1"/>
  <c r="AA133" i="1"/>
  <c r="AB77" i="1"/>
  <c r="H254" i="11"/>
  <c r="AA613" i="1"/>
  <c r="AA386" i="1"/>
  <c r="AB579" i="1"/>
  <c r="G170" i="11"/>
  <c r="AA691" i="1"/>
  <c r="G210" i="11"/>
  <c r="AA111" i="1"/>
  <c r="AB146" i="1"/>
  <c r="C258" i="41"/>
  <c r="AB262" i="1"/>
  <c r="AB539" i="1"/>
  <c r="H167" i="11"/>
  <c r="AA922" i="1"/>
  <c r="AB72" i="1"/>
  <c r="H107" i="41"/>
  <c r="AB627" i="1"/>
  <c r="G40" i="11"/>
  <c r="AB379" i="1"/>
  <c r="AB365" i="1"/>
  <c r="AA513" i="1"/>
  <c r="H258" i="11"/>
  <c r="AB438" i="1"/>
  <c r="AA399" i="1"/>
  <c r="H77" i="41"/>
  <c r="AB129" i="1"/>
  <c r="AA771" i="1"/>
  <c r="AA32" i="1"/>
  <c r="AA814" i="1"/>
  <c r="H146" i="41"/>
  <c r="AA824" i="1"/>
  <c r="AB368" i="1"/>
  <c r="AB249" i="1"/>
  <c r="AA796" i="1"/>
  <c r="C159" i="11"/>
  <c r="AA970" i="1"/>
  <c r="AB84" i="1"/>
  <c r="H213" i="41"/>
  <c r="AB171" i="1"/>
  <c r="AA784" i="1"/>
  <c r="AA89" i="1"/>
  <c r="G139" i="41"/>
  <c r="G69" i="41"/>
  <c r="G130" i="41"/>
  <c r="AA539" i="1"/>
  <c r="AA549" i="1"/>
  <c r="H130" i="41"/>
  <c r="AA546" i="1"/>
  <c r="AA439" i="1"/>
  <c r="G234" i="11"/>
  <c r="AB637" i="1"/>
  <c r="G68" i="41"/>
  <c r="H46" i="41"/>
  <c r="AB415" i="1"/>
  <c r="AA141" i="1"/>
  <c r="AB786" i="1"/>
  <c r="AB288" i="1"/>
  <c r="AA474" i="1"/>
  <c r="H25" i="11"/>
  <c r="H82" i="11"/>
  <c r="AA766" i="1"/>
  <c r="C232" i="11"/>
  <c r="AA65" i="1"/>
  <c r="AB873" i="1"/>
  <c r="AA773" i="1"/>
  <c r="H30" i="11"/>
  <c r="AA628" i="1"/>
  <c r="AB604" i="1"/>
  <c r="AB324" i="1"/>
  <c r="C201" i="11"/>
  <c r="AA657" i="1"/>
  <c r="AA700" i="1"/>
  <c r="H28" i="41"/>
  <c r="AA509" i="1"/>
  <c r="H131" i="11"/>
  <c r="AA842" i="1"/>
  <c r="AA225" i="1"/>
  <c r="H237" i="11"/>
  <c r="G139" i="11"/>
  <c r="AA18" i="1"/>
  <c r="G127" i="41"/>
  <c r="G56" i="11"/>
  <c r="AB407" i="1"/>
  <c r="AA374" i="1"/>
  <c r="AB583" i="1"/>
  <c r="AB483" i="1"/>
  <c r="H254" i="41"/>
  <c r="AB937" i="1"/>
  <c r="C240" i="11"/>
  <c r="AB490" i="1"/>
  <c r="G149" i="11"/>
  <c r="C61" i="41"/>
  <c r="AA397" i="1"/>
  <c r="AB458" i="1"/>
  <c r="AA929" i="1"/>
  <c r="AB369" i="1"/>
  <c r="AB994" i="1"/>
  <c r="G230" i="11"/>
  <c r="AB112" i="1"/>
  <c r="AB794" i="1"/>
  <c r="AB795" i="1"/>
  <c r="AB725" i="1"/>
  <c r="H138" i="11"/>
  <c r="H119" i="41"/>
  <c r="C104" i="11"/>
  <c r="AB505" i="1"/>
  <c r="AB561" i="1"/>
  <c r="G95" i="41"/>
  <c r="AB896" i="1"/>
  <c r="AA732" i="1"/>
  <c r="H99" i="11"/>
  <c r="C109" i="41"/>
  <c r="AA874" i="1"/>
  <c r="AA909" i="1"/>
  <c r="AB174" i="1"/>
  <c r="G258" i="11"/>
  <c r="G72" i="11"/>
  <c r="C173" i="41"/>
  <c r="AA772" i="1"/>
  <c r="G46" i="41"/>
  <c r="AA244" i="1"/>
  <c r="AA836" i="1"/>
  <c r="AB218" i="1"/>
  <c r="H168" i="11"/>
  <c r="AA46" i="1"/>
  <c r="C142" i="41"/>
  <c r="C62" i="41"/>
  <c r="AB508" i="1"/>
  <c r="G141" i="41"/>
  <c r="C120" i="11"/>
  <c r="G167" i="11"/>
  <c r="G206" i="41"/>
  <c r="G119" i="11"/>
  <c r="H228" i="11"/>
  <c r="G203" i="11"/>
  <c r="AB451" i="1"/>
  <c r="G90" i="11"/>
  <c r="C103" i="41"/>
  <c r="AB382" i="1"/>
  <c r="H248" i="41"/>
  <c r="AA756" i="1"/>
  <c r="H88" i="41"/>
  <c r="AB852" i="1"/>
  <c r="AB730" i="1"/>
  <c r="AA698" i="1"/>
  <c r="G89" i="41"/>
  <c r="AB913" i="1"/>
  <c r="AB127" i="1"/>
  <c r="AB200" i="1"/>
  <c r="AB162" i="1"/>
  <c r="AA217" i="1"/>
  <c r="G178" i="11"/>
  <c r="C213" i="11"/>
  <c r="AB638" i="1"/>
  <c r="AB387" i="1"/>
  <c r="AA506" i="1"/>
  <c r="AB489" i="1"/>
  <c r="AB773" i="1"/>
  <c r="G78" i="41"/>
  <c r="H246" i="11"/>
  <c r="AA736" i="1"/>
  <c r="AB50" i="1"/>
  <c r="C73" i="11"/>
  <c r="C222" i="11"/>
  <c r="AA608" i="1"/>
  <c r="AA1001" i="1"/>
  <c r="AB343" i="1"/>
  <c r="AA153" i="1"/>
  <c r="AA585" i="1"/>
  <c r="AA496" i="1"/>
  <c r="AA739" i="1"/>
  <c r="AA979" i="1"/>
  <c r="AA433" i="1"/>
  <c r="AB688" i="1"/>
  <c r="AB668" i="1"/>
  <c r="C113" i="11"/>
  <c r="H191" i="41"/>
  <c r="AA767" i="1"/>
  <c r="AB888" i="1"/>
  <c r="H250" i="11"/>
  <c r="AB378" i="1"/>
  <c r="G74" i="11"/>
  <c r="AB979" i="1"/>
  <c r="AB88" i="1"/>
  <c r="G52" i="11"/>
  <c r="AB448" i="1"/>
  <c r="G235" i="11"/>
  <c r="AB573" i="1"/>
  <c r="AB251" i="1"/>
  <c r="AB229" i="1"/>
  <c r="G170" i="41"/>
  <c r="C117" i="11"/>
  <c r="AB707" i="1"/>
  <c r="AB741" i="1"/>
  <c r="G34" i="41"/>
  <c r="G28" i="11"/>
  <c r="AA859" i="1"/>
  <c r="AB884" i="1"/>
  <c r="AA337" i="1"/>
  <c r="AA537" i="1"/>
  <c r="AB771" i="1"/>
  <c r="AB233" i="1"/>
  <c r="AA392" i="1"/>
  <c r="AA226" i="1"/>
  <c r="C155" i="41"/>
  <c r="AA122" i="1"/>
  <c r="AB759" i="1"/>
  <c r="AA237" i="1"/>
  <c r="AA667" i="1"/>
  <c r="G43" i="11"/>
  <c r="AA798" i="1"/>
  <c r="H126" i="41"/>
  <c r="AA696" i="1"/>
  <c r="AB595" i="1"/>
  <c r="AB397" i="1"/>
  <c r="AA662" i="1"/>
  <c r="AA489" i="1"/>
  <c r="AA743" i="1"/>
  <c r="C59" i="41"/>
  <c r="AB647" i="1"/>
  <c r="G142" i="11"/>
  <c r="AB646" i="1"/>
  <c r="AA987" i="1"/>
  <c r="AB998" i="1"/>
  <c r="AA720" i="1"/>
  <c r="C39" i="11"/>
  <c r="AA198" i="1"/>
  <c r="AB546" i="1"/>
  <c r="C56" i="41"/>
  <c r="G145" i="11"/>
  <c r="C175" i="11"/>
  <c r="AB177" i="1"/>
  <c r="AB360" i="1"/>
  <c r="AA424" i="1"/>
  <c r="AA412" i="1"/>
  <c r="H123" i="41"/>
  <c r="G196" i="41"/>
  <c r="G85" i="11"/>
  <c r="AA834" i="1"/>
  <c r="C63" i="11"/>
  <c r="AB566" i="1"/>
  <c r="AA234" i="1"/>
  <c r="AB516" i="1"/>
  <c r="AB958" i="1"/>
  <c r="AB513" i="1"/>
  <c r="AB789" i="1"/>
  <c r="G232" i="41"/>
  <c r="AA856" i="1"/>
  <c r="H196" i="41"/>
  <c r="AB857" i="1"/>
  <c r="C216" i="41"/>
  <c r="AB78" i="1"/>
  <c r="AA194" i="1"/>
  <c r="G106" i="41"/>
  <c r="C260" i="41"/>
  <c r="AB208" i="1"/>
  <c r="C138" i="11"/>
  <c r="AA787" i="1"/>
  <c r="AA320" i="1"/>
  <c r="H196" i="11"/>
  <c r="AB744" i="1"/>
  <c r="G43" i="41"/>
  <c r="H259" i="41"/>
  <c r="AB468" i="1"/>
  <c r="AA322" i="1"/>
  <c r="AB608" i="1"/>
  <c r="C231" i="11"/>
  <c r="AB48" i="1"/>
  <c r="G32" i="41"/>
  <c r="AA988" i="1"/>
  <c r="G135" i="41"/>
  <c r="AA905" i="1"/>
  <c r="AB821" i="1"/>
  <c r="AA17" i="1"/>
  <c r="C194" i="41"/>
  <c r="AA365" i="1"/>
  <c r="AB563" i="1"/>
  <c r="AA413" i="1"/>
  <c r="AB993" i="1"/>
  <c r="AB1001" i="1"/>
  <c r="H35" i="41"/>
  <c r="C261" i="41"/>
  <c r="AB144" i="1"/>
  <c r="G32" i="11"/>
  <c r="AB709" i="1"/>
  <c r="AB192" i="1"/>
  <c r="C136" i="41"/>
  <c r="H37" i="11"/>
  <c r="H177" i="11"/>
  <c r="H236" i="11"/>
  <c r="AB590" i="1"/>
  <c r="H93" i="11"/>
  <c r="AA660" i="1"/>
  <c r="AB283" i="1"/>
  <c r="AA346" i="1"/>
  <c r="G232" i="11"/>
  <c r="AB740" i="1"/>
  <c r="C112" i="41"/>
  <c r="AA440" i="1"/>
  <c r="AB64" i="1"/>
  <c r="AA942" i="1"/>
  <c r="H223" i="41"/>
  <c r="C244" i="11"/>
  <c r="C126" i="11"/>
  <c r="H48" i="11"/>
  <c r="H46" i="11"/>
  <c r="G147" i="11"/>
  <c r="H40" i="41"/>
  <c r="C34" i="41"/>
  <c r="C220" i="41"/>
  <c r="AA557" i="1"/>
  <c r="AB410" i="1"/>
  <c r="G219" i="11"/>
  <c r="G126" i="11"/>
  <c r="G93" i="41"/>
  <c r="AA252" i="1"/>
  <c r="G90" i="41"/>
  <c r="H240" i="11"/>
  <c r="C50" i="41"/>
  <c r="AB426" i="1"/>
  <c r="G55" i="41"/>
  <c r="AB885" i="1"/>
  <c r="AB245" i="1"/>
  <c r="H154" i="11"/>
  <c r="AB868" i="1"/>
  <c r="G231" i="11"/>
  <c r="AA158" i="1"/>
  <c r="G46" i="11"/>
  <c r="AB319" i="1"/>
  <c r="AB271" i="1"/>
  <c r="AB328" i="1"/>
  <c r="G156" i="41"/>
  <c r="H141" i="11"/>
  <c r="AA652" i="1"/>
  <c r="C255" i="41"/>
  <c r="G97" i="11"/>
  <c r="AA725" i="1"/>
  <c r="AA649" i="1"/>
  <c r="C211" i="11"/>
  <c r="H252" i="11"/>
  <c r="AB536" i="1"/>
  <c r="C36" i="41"/>
  <c r="C42" i="41"/>
  <c r="AB495" i="1"/>
  <c r="H55" i="11"/>
  <c r="G70" i="41"/>
  <c r="AA526" i="1"/>
  <c r="G51" i="11"/>
  <c r="AB235" i="1"/>
  <c r="C248" i="11"/>
  <c r="AA361" i="1"/>
  <c r="AB315" i="1"/>
  <c r="AA617" i="1"/>
  <c r="AA880" i="1"/>
  <c r="AB396" i="1"/>
  <c r="AA84" i="1"/>
  <c r="AB1000" i="1"/>
  <c r="AA136" i="1"/>
  <c r="H117" i="11"/>
  <c r="AA794" i="1"/>
  <c r="C139" i="41"/>
  <c r="G67" i="41"/>
  <c r="AB337" i="1"/>
  <c r="H215" i="41"/>
  <c r="AB645" i="1"/>
  <c r="G171" i="11"/>
  <c r="G94" i="41"/>
  <c r="G87" i="41"/>
  <c r="C126" i="41"/>
  <c r="C132" i="41"/>
  <c r="C224" i="11"/>
  <c r="AA1000" i="1"/>
  <c r="C98" i="11"/>
  <c r="AA104" i="1"/>
  <c r="H71" i="11"/>
  <c r="H147" i="41"/>
  <c r="C192" i="11"/>
  <c r="G190" i="41"/>
  <c r="AA79" i="1"/>
  <c r="G144" i="11"/>
  <c r="AA305" i="1"/>
  <c r="G227" i="41"/>
  <c r="C162" i="11"/>
  <c r="AB475" i="1"/>
  <c r="G91" i="41"/>
  <c r="AB199" i="1"/>
  <c r="G208" i="41"/>
  <c r="G201" i="11"/>
  <c r="AB333" i="1"/>
  <c r="AB978" i="1"/>
  <c r="C262" i="41"/>
  <c r="H98" i="41"/>
  <c r="AA760" i="1"/>
  <c r="AA405" i="1"/>
  <c r="G123" i="11"/>
  <c r="AA298" i="1"/>
  <c r="G102" i="11"/>
  <c r="G48" i="11"/>
  <c r="G141" i="11"/>
  <c r="AA8" i="1"/>
  <c r="H91" i="41"/>
  <c r="C128" i="41"/>
  <c r="AB554" i="1"/>
  <c r="G191" i="11"/>
  <c r="AB721" i="1"/>
  <c r="H97" i="41"/>
  <c r="C241" i="41"/>
  <c r="H75" i="11"/>
  <c r="G205" i="11"/>
  <c r="AB683" i="1"/>
  <c r="AA974" i="1"/>
  <c r="AB290" i="1"/>
  <c r="AA95" i="1"/>
  <c r="G57" i="41"/>
  <c r="AA388" i="1"/>
  <c r="G146" i="41"/>
  <c r="AB487" i="1"/>
  <c r="C169" i="41"/>
  <c r="AA531" i="1"/>
  <c r="H231" i="11"/>
  <c r="AA222" i="1"/>
  <c r="H54" i="11"/>
  <c r="G195" i="11"/>
  <c r="C237" i="41"/>
  <c r="AA495" i="1"/>
  <c r="C156" i="11"/>
  <c r="AB381" i="1"/>
  <c r="G204" i="41"/>
  <c r="G192" i="11"/>
  <c r="AB441" i="1"/>
  <c r="AA76" i="1"/>
  <c r="AB902" i="1"/>
  <c r="AB248" i="1"/>
  <c r="C238" i="41"/>
  <c r="G223" i="41"/>
  <c r="AA173" i="1"/>
  <c r="G83" i="41"/>
  <c r="H49" i="11"/>
  <c r="AB355" i="1"/>
  <c r="AB800" i="1"/>
  <c r="C75" i="11"/>
  <c r="AA518" i="1"/>
  <c r="G184" i="11"/>
  <c r="AA748" i="1"/>
  <c r="AA156" i="1"/>
  <c r="AA800" i="1"/>
  <c r="AB150" i="1"/>
  <c r="C218" i="41"/>
  <c r="AA994" i="1"/>
  <c r="AA830" i="1"/>
  <c r="AB26" i="1"/>
  <c r="AA980" i="1"/>
  <c r="G58" i="11"/>
  <c r="C228" i="11"/>
  <c r="C219" i="11"/>
  <c r="AB219" i="1"/>
  <c r="C162" i="41"/>
  <c r="G212" i="41"/>
  <c r="AA866" i="1"/>
  <c r="AB478" i="1"/>
  <c r="AB995" i="1"/>
  <c r="AB957" i="1"/>
  <c r="H201" i="41"/>
  <c r="AA277" i="1"/>
  <c r="H94" i="41"/>
  <c r="AA653" i="1"/>
  <c r="AB698" i="1"/>
  <c r="C102" i="11"/>
  <c r="H86" i="41"/>
  <c r="AB802" i="1"/>
  <c r="C184" i="41"/>
  <c r="H129" i="11"/>
  <c r="C100" i="41"/>
  <c r="C258" i="11"/>
  <c r="AA66" i="1"/>
  <c r="AB819" i="1"/>
  <c r="AA572" i="1"/>
  <c r="G175" i="41"/>
  <c r="AB443" i="1"/>
  <c r="AB946" i="1"/>
  <c r="H48" i="41"/>
  <c r="C257" i="11"/>
  <c r="G26" i="41"/>
  <c r="AA674" i="1"/>
  <c r="AA728" i="1"/>
  <c r="AB11" i="1"/>
  <c r="C187" i="11"/>
  <c r="H142" i="11"/>
  <c r="C127" i="41"/>
  <c r="AA294" i="1"/>
  <c r="G222" i="41"/>
  <c r="AA183" i="1"/>
  <c r="AB143" i="1"/>
  <c r="AA793" i="1"/>
  <c r="AB44" i="1"/>
  <c r="AA375" i="1"/>
  <c r="H169" i="11"/>
  <c r="AB654" i="1"/>
  <c r="C156" i="41"/>
  <c r="AB610" i="1"/>
  <c r="AA724" i="1"/>
  <c r="G29" i="41"/>
  <c r="G103" i="11"/>
  <c r="C259" i="11"/>
  <c r="AB10" i="1"/>
  <c r="C29" i="41"/>
  <c r="AA349" i="1"/>
  <c r="C175" i="41"/>
  <c r="AB75" i="1"/>
  <c r="H99" i="41"/>
  <c r="AB291" i="1"/>
  <c r="AA642" i="1"/>
  <c r="H67" i="41"/>
  <c r="H75" i="41"/>
  <c r="G203" i="41"/>
  <c r="AA267" i="1"/>
  <c r="H95" i="41"/>
  <c r="AB501" i="1"/>
  <c r="AB560" i="1"/>
  <c r="H132" i="41"/>
  <c r="AB983" i="1"/>
  <c r="G153" i="11"/>
  <c r="AB833" i="1"/>
  <c r="AB755" i="1"/>
  <c r="C118" i="41"/>
  <c r="AA317" i="1"/>
  <c r="AB739" i="1"/>
  <c r="G215" i="11"/>
  <c r="G99" i="41"/>
  <c r="H42" i="41"/>
  <c r="AA944" i="1"/>
  <c r="G124" i="41"/>
  <c r="AA716" i="1"/>
  <c r="H234" i="41"/>
  <c r="C33" i="11"/>
  <c r="H148" i="41"/>
  <c r="AB310" i="1"/>
  <c r="H44" i="11"/>
  <c r="AA574" i="1"/>
  <c r="AA820" i="1"/>
  <c r="G41" i="11"/>
  <c r="AB870" i="1"/>
  <c r="G168" i="11"/>
  <c r="G214" i="11"/>
  <c r="AA144" i="1"/>
  <c r="AA869" i="1"/>
  <c r="G112" i="11"/>
  <c r="AA182" i="1"/>
  <c r="AA532" i="1"/>
  <c r="C78" i="41"/>
  <c r="G229" i="41"/>
  <c r="C97" i="11"/>
  <c r="AB401" i="1"/>
  <c r="C52" i="11"/>
  <c r="AB442" i="1"/>
  <c r="H139" i="41"/>
  <c r="AB664" i="1"/>
  <c r="AB182" i="1"/>
  <c r="AA36" i="1"/>
  <c r="AA231" i="1"/>
  <c r="G51" i="41"/>
  <c r="AA655" i="1"/>
  <c r="C67" i="11"/>
  <c r="C197" i="41"/>
  <c r="AA865" i="1"/>
  <c r="C48" i="11"/>
  <c r="AA461" i="1"/>
  <c r="AB750" i="1"/>
  <c r="AA270" i="1"/>
  <c r="G169" i="11"/>
  <c r="AA105" i="1"/>
  <c r="G83" i="11"/>
  <c r="C201" i="41"/>
  <c r="G73" i="11"/>
  <c r="AB14" i="1"/>
  <c r="AB613" i="1"/>
  <c r="C91" i="41"/>
  <c r="G173" i="41"/>
  <c r="AA738" i="1"/>
  <c r="AA236" i="1"/>
  <c r="AB910" i="1"/>
  <c r="H256" i="11"/>
  <c r="AB502" i="1"/>
  <c r="G168" i="41"/>
  <c r="AA646" i="1"/>
  <c r="AB705" i="1"/>
  <c r="AA945" i="1"/>
  <c r="G35" i="11"/>
  <c r="H205" i="41"/>
  <c r="AB533" i="1"/>
  <c r="AA545" i="1"/>
  <c r="AB92" i="1"/>
  <c r="AB825" i="1"/>
  <c r="C29" i="11"/>
  <c r="C194" i="11"/>
  <c r="H68" i="41"/>
  <c r="AA278" i="1"/>
  <c r="C106" i="11"/>
  <c r="G226" i="11"/>
  <c r="H197" i="41"/>
  <c r="AB346" i="1"/>
  <c r="AB385" i="1"/>
  <c r="AA819" i="1"/>
  <c r="AA99" i="1"/>
  <c r="AB402" i="1"/>
  <c r="AA435" i="1"/>
  <c r="AA373" i="1"/>
  <c r="H183" i="11"/>
  <c r="AB142" i="1"/>
  <c r="AA453" i="1"/>
  <c r="G185" i="11"/>
  <c r="AA266" i="1"/>
  <c r="AB400" i="1"/>
  <c r="AA434" i="1"/>
  <c r="H155" i="11"/>
  <c r="AB427" i="1"/>
  <c r="G217" i="11"/>
  <c r="AB949" i="1"/>
  <c r="C181" i="41"/>
  <c r="AA704" i="1"/>
  <c r="C112" i="11"/>
  <c r="C151" i="41"/>
  <c r="H131" i="41"/>
  <c r="G98" i="41"/>
  <c r="H89" i="41"/>
  <c r="H166" i="41"/>
  <c r="AA894" i="1"/>
  <c r="AA491" i="1"/>
  <c r="AA517" i="1"/>
  <c r="C213" i="41"/>
  <c r="G186" i="41"/>
  <c r="H214" i="11"/>
  <c r="C144" i="11"/>
  <c r="H96" i="41"/>
  <c r="G159" i="41"/>
  <c r="H165" i="41"/>
  <c r="AB389" i="1"/>
  <c r="AA369" i="1"/>
  <c r="C87" i="41"/>
  <c r="AB132" i="1"/>
  <c r="AA858" i="1"/>
  <c r="AB352" i="1"/>
  <c r="AB164" i="1"/>
  <c r="AA376" i="1"/>
  <c r="AA927" i="1"/>
  <c r="G113" i="41"/>
  <c r="H210" i="41"/>
  <c r="AA737" i="1"/>
  <c r="AA602" i="1"/>
  <c r="AA510" i="1"/>
  <c r="AB920" i="1"/>
  <c r="AB8" i="1"/>
  <c r="AB732" i="1"/>
  <c r="C163" i="11"/>
  <c r="H238" i="41"/>
  <c r="G123" i="41"/>
  <c r="C193" i="11"/>
  <c r="AA828" i="1"/>
  <c r="AA492" i="1"/>
  <c r="G56" i="41"/>
  <c r="AB304" i="1"/>
  <c r="AB27" i="1"/>
  <c r="G53" i="41"/>
  <c r="AB648" i="1"/>
  <c r="AB571" i="1"/>
  <c r="AB36" i="1"/>
  <c r="H256" i="41"/>
  <c r="H219" i="41"/>
  <c r="AA505" i="1"/>
  <c r="AB419" i="1"/>
  <c r="AA441" i="1"/>
  <c r="AB931" i="1"/>
  <c r="G114" i="41"/>
  <c r="AB135" i="1"/>
  <c r="C48" i="41"/>
  <c r="AA946" i="1"/>
  <c r="AA211" i="1"/>
  <c r="AA672" i="1"/>
  <c r="AB67" i="1"/>
  <c r="C84" i="11"/>
  <c r="AA626" i="1"/>
  <c r="G205" i="41"/>
  <c r="AA780" i="1"/>
  <c r="AA615" i="1"/>
  <c r="AA879" i="1"/>
  <c r="G211" i="41"/>
  <c r="AB710" i="1"/>
  <c r="AB847" i="1"/>
  <c r="G257" i="41"/>
  <c r="AB692" i="1"/>
  <c r="AB119" i="1"/>
  <c r="G31" i="41"/>
  <c r="C53" i="41"/>
  <c r="AA722" i="1"/>
  <c r="AA125" i="1"/>
  <c r="AA968" i="1"/>
  <c r="AB106" i="1"/>
  <c r="AA876" i="1"/>
  <c r="AA366" i="1"/>
  <c r="AA416" i="1"/>
  <c r="C55" i="11"/>
  <c r="AA838" i="1"/>
  <c r="C36" i="11"/>
  <c r="H220" i="11"/>
  <c r="G115" i="41"/>
  <c r="H128" i="11"/>
  <c r="AB751" i="1"/>
  <c r="AA61" i="1"/>
  <c r="AA641" i="1"/>
  <c r="AB278" i="1"/>
  <c r="G39" i="41"/>
  <c r="AA928" i="1"/>
  <c r="H101" i="41"/>
  <c r="H85" i="41"/>
  <c r="H73" i="11"/>
  <c r="AA340" i="1"/>
  <c r="AA447" i="1"/>
  <c r="AB120" i="1"/>
  <c r="AA692" i="1"/>
  <c r="AA560" i="1"/>
  <c r="C134" i="11"/>
  <c r="AB444" i="1"/>
  <c r="AB384" i="1"/>
  <c r="C215" i="11"/>
  <c r="G121" i="41"/>
  <c r="AA202" i="1"/>
  <c r="AB813" i="1"/>
  <c r="AB57" i="1"/>
  <c r="AA174" i="1"/>
  <c r="C253" i="41"/>
  <c r="AA200" i="1"/>
  <c r="C245" i="11"/>
  <c r="AB602" i="1"/>
  <c r="AA893" i="1"/>
  <c r="H29" i="41"/>
  <c r="AA818" i="1"/>
  <c r="AB834" i="1"/>
  <c r="AA473" i="1"/>
  <c r="H163" i="41"/>
  <c r="G247" i="41"/>
  <c r="H43" i="11"/>
  <c r="H213" i="11"/>
  <c r="AB107" i="1"/>
  <c r="AA324" i="1"/>
  <c r="AB719" i="1"/>
  <c r="AA91" i="1"/>
  <c r="G154" i="41"/>
  <c r="AB718" i="1"/>
  <c r="G254" i="41"/>
  <c r="G99" i="11"/>
  <c r="AB549" i="1"/>
  <c r="AA815" i="1"/>
  <c r="C131" i="41"/>
  <c r="AA997" i="1"/>
  <c r="C251" i="41"/>
  <c r="AA208" i="1"/>
  <c r="AB633" i="1"/>
  <c r="AB518" i="1"/>
  <c r="AB661" i="1"/>
  <c r="AA762" i="1"/>
  <c r="AB753" i="1"/>
  <c r="H105" i="41"/>
  <c r="G33" i="41"/>
  <c r="AA582" i="1"/>
  <c r="G71" i="11"/>
  <c r="H70" i="11"/>
  <c r="AA2" i="1"/>
  <c r="AB524" i="1"/>
  <c r="G180" i="41"/>
  <c r="AA342" i="1"/>
  <c r="AB69" i="1"/>
  <c r="AA726" i="1"/>
  <c r="AB51" i="1"/>
  <c r="H192" i="11"/>
  <c r="AB366" i="1"/>
  <c r="AB95" i="1"/>
  <c r="AA957" i="1"/>
  <c r="AB470" i="1"/>
  <c r="C86" i="11"/>
  <c r="AA107" i="1"/>
  <c r="C230" i="41"/>
  <c r="AB231" i="1"/>
  <c r="G172" i="11"/>
  <c r="H176" i="41"/>
  <c r="AB921" i="1"/>
  <c r="C234" i="41"/>
  <c r="AB812" i="1"/>
  <c r="C221" i="11"/>
  <c r="AA729" i="1"/>
  <c r="H85" i="11"/>
  <c r="AA982" i="1"/>
  <c r="AA451" i="1"/>
  <c r="C189" i="41"/>
  <c r="H261" i="11"/>
  <c r="AB302" i="1"/>
  <c r="G121" i="11"/>
  <c r="AB689" i="1"/>
  <c r="G166" i="41"/>
  <c r="H70" i="41"/>
  <c r="AB690" i="1"/>
  <c r="AA255" i="1"/>
  <c r="G155" i="11"/>
  <c r="G127" i="11"/>
  <c r="AA151" i="1"/>
  <c r="AA521" i="1"/>
  <c r="C243" i="11"/>
  <c r="H124" i="11"/>
  <c r="AB811" i="1"/>
  <c r="AB116" i="1"/>
  <c r="AA135" i="1"/>
  <c r="AB597" i="1"/>
  <c r="AB514" i="1"/>
  <c r="AB476" i="1"/>
  <c r="AB253" i="1"/>
  <c r="AB66" i="1"/>
  <c r="H147" i="11"/>
  <c r="AA166" i="1"/>
  <c r="AB98" i="1"/>
  <c r="C187" i="41"/>
  <c r="H161" i="11"/>
  <c r="AA621" i="1"/>
  <c r="H38" i="11"/>
  <c r="AA733" i="1"/>
  <c r="AA404" i="1"/>
  <c r="AB693" i="1"/>
  <c r="AA629" i="1"/>
  <c r="C229" i="11"/>
  <c r="AA783" i="1"/>
  <c r="AA283" i="1"/>
  <c r="AB792" i="1"/>
  <c r="H34" i="11"/>
  <c r="AB735" i="1"/>
  <c r="AB201" i="1"/>
  <c r="AB39" i="1"/>
  <c r="C108" i="41"/>
  <c r="G189" i="11"/>
  <c r="AB101" i="1"/>
  <c r="AA791" i="1"/>
  <c r="AB620" i="1"/>
  <c r="AA330" i="1"/>
  <c r="G120" i="11"/>
  <c r="H136" i="11"/>
  <c r="C33" i="41"/>
  <c r="AA14" i="1"/>
  <c r="H208" i="11"/>
  <c r="H74" i="41"/>
  <c r="AA901" i="1"/>
  <c r="AB485" i="1"/>
  <c r="AA448" i="1"/>
  <c r="G142" i="41"/>
  <c r="H168" i="41"/>
  <c r="C88" i="11"/>
  <c r="H261" i="41"/>
  <c r="C250" i="11"/>
  <c r="AB589" i="1"/>
  <c r="AA297" i="1"/>
  <c r="AB535" i="1"/>
  <c r="C41" i="11"/>
  <c r="AB528" i="1"/>
  <c r="AB285" i="1"/>
  <c r="AA996" i="1"/>
  <c r="G76" i="11"/>
  <c r="AB492" i="1"/>
  <c r="G204" i="11"/>
  <c r="H225" i="11"/>
  <c r="AA952" i="1"/>
  <c r="C211" i="41"/>
  <c r="H177" i="41"/>
  <c r="G63" i="11"/>
  <c r="AB411" i="1"/>
  <c r="H178" i="41"/>
  <c r="H211" i="11"/>
  <c r="AB685" i="1"/>
  <c r="C260" i="11"/>
  <c r="AB542" i="1"/>
  <c r="C165" i="41"/>
  <c r="AA97" i="1"/>
  <c r="AA542" i="1"/>
  <c r="AA931" i="1"/>
  <c r="H68" i="11"/>
  <c r="AA336" i="1"/>
  <c r="H138" i="41"/>
  <c r="AA409" i="1"/>
  <c r="AA180" i="1"/>
  <c r="G109" i="11"/>
  <c r="C77" i="41"/>
  <c r="AA381" i="1"/>
  <c r="AB653" i="1"/>
  <c r="AA344" i="1"/>
  <c r="C190" i="11"/>
  <c r="AA919" i="1"/>
  <c r="AB339" i="1"/>
  <c r="AA577" i="1"/>
  <c r="H219" i="11"/>
  <c r="AB947" i="1"/>
  <c r="C251" i="11"/>
  <c r="AA280" i="1"/>
  <c r="AB582" i="1"/>
  <c r="AB898" i="1"/>
  <c r="H134" i="11"/>
  <c r="C209" i="41"/>
  <c r="AB779" i="1"/>
  <c r="G165" i="11"/>
  <c r="G93" i="11"/>
  <c r="AA871" i="1"/>
  <c r="AB428" i="1"/>
  <c r="AA488" i="1"/>
  <c r="AB247" i="1"/>
  <c r="AB856" i="1"/>
  <c r="AB540" i="1"/>
  <c r="G132" i="11"/>
  <c r="C153" i="41"/>
  <c r="G82" i="41"/>
  <c r="AA191" i="1"/>
  <c r="C161" i="41"/>
  <c r="G61" i="41"/>
  <c r="C119" i="11"/>
  <c r="H207" i="11"/>
  <c r="C101" i="41"/>
  <c r="H236" i="41"/>
  <c r="C205" i="41"/>
  <c r="AB603" i="1"/>
  <c r="AB876" i="1"/>
  <c r="G165" i="41"/>
  <c r="C99" i="11"/>
  <c r="AB12" i="1"/>
  <c r="C166" i="41"/>
  <c r="AB189" i="1"/>
  <c r="AB100" i="1"/>
  <c r="AA100" i="1"/>
  <c r="AB622" i="1"/>
  <c r="AA833" i="1"/>
  <c r="AA1003" i="1"/>
  <c r="AB212" i="1"/>
  <c r="G134" i="11"/>
  <c r="G103" i="41"/>
  <c r="AA304" i="1"/>
  <c r="H199" i="11"/>
  <c r="AA184" i="1"/>
  <c r="AB292" i="1"/>
  <c r="H58" i="11"/>
  <c r="G143" i="11"/>
  <c r="G207" i="41"/>
  <c r="C96" i="41"/>
  <c r="AA976" i="1"/>
  <c r="G180" i="11"/>
  <c r="C35" i="41"/>
  <c r="AA571" i="1"/>
  <c r="C94" i="11"/>
  <c r="AB574" i="1"/>
  <c r="H107" i="11"/>
  <c r="C107" i="41"/>
  <c r="H157" i="11"/>
  <c r="AA140" i="1"/>
  <c r="H83" i="41"/>
  <c r="C65" i="41"/>
  <c r="C216" i="11"/>
  <c r="H113" i="41"/>
  <c r="AB715" i="1"/>
  <c r="AA664" i="1"/>
  <c r="H175" i="11"/>
  <c r="H180" i="11"/>
  <c r="G208" i="11"/>
  <c r="AB29" i="1"/>
  <c r="G197" i="11"/>
  <c r="G77" i="41"/>
  <c r="AB840" i="1"/>
  <c r="H95" i="11"/>
  <c r="AA41" i="1"/>
  <c r="AA785" i="1"/>
  <c r="G66" i="11"/>
  <c r="AA899" i="1"/>
  <c r="AB345" i="1"/>
  <c r="AA603" i="1"/>
  <c r="AB767" i="1"/>
  <c r="G59" i="41"/>
  <c r="AA281" i="1"/>
  <c r="AA779" i="1"/>
  <c r="AB109" i="1"/>
  <c r="G210" i="41"/>
  <c r="AB305" i="1"/>
  <c r="AB598" i="1"/>
  <c r="AA535" i="1"/>
  <c r="G113" i="11"/>
  <c r="H160" i="11"/>
  <c r="G130" i="11"/>
  <c r="C123" i="41"/>
  <c r="H81" i="11"/>
  <c r="AB562" i="1"/>
  <c r="C148" i="41"/>
  <c r="H257" i="11"/>
  <c r="H41" i="41"/>
  <c r="H246" i="41"/>
  <c r="H74" i="11"/>
  <c r="H260" i="11"/>
  <c r="H198" i="11"/>
  <c r="G189" i="41"/>
  <c r="AB282" i="1"/>
  <c r="G151" i="11"/>
  <c r="AB639" i="1"/>
  <c r="AB585" i="1"/>
  <c r="AB194" i="1"/>
  <c r="AB886" i="1"/>
  <c r="AA292" i="1"/>
  <c r="AA220" i="1"/>
  <c r="AA355" i="1"/>
  <c r="AB482" i="1"/>
  <c r="H106" i="41"/>
  <c r="AB314" i="1"/>
  <c r="AA522" i="1"/>
  <c r="AA69" i="1"/>
  <c r="C230" i="11"/>
  <c r="H125" i="11"/>
  <c r="C222" i="41"/>
  <c r="AB332" i="1"/>
  <c r="AA233" i="1"/>
  <c r="AA529" i="1"/>
  <c r="AA449" i="1"/>
  <c r="H195" i="11"/>
  <c r="AA616" i="1"/>
  <c r="G177" i="11"/>
  <c r="AB85" i="1"/>
  <c r="G218" i="41"/>
  <c r="G199" i="41"/>
  <c r="C160" i="41"/>
  <c r="G261" i="41"/>
  <c r="H157" i="41"/>
  <c r="H255" i="41"/>
  <c r="AA744" i="1"/>
  <c r="AA675" i="1"/>
  <c r="G96" i="41"/>
  <c r="AB624" i="1"/>
  <c r="AB657" i="1"/>
  <c r="C89" i="11"/>
  <c r="G242" i="11"/>
  <c r="H51" i="11"/>
  <c r="G115" i="11"/>
  <c r="AB850" i="1"/>
  <c r="H121" i="41"/>
  <c r="C43" i="41"/>
  <c r="AB416" i="1"/>
  <c r="G60" i="41"/>
  <c r="AA519" i="1"/>
  <c r="AB330" i="1"/>
  <c r="G222" i="11"/>
  <c r="AB564" i="1"/>
  <c r="G106" i="11"/>
  <c r="AA533" i="1"/>
  <c r="AB777" i="1"/>
  <c r="AB457" i="1"/>
  <c r="H209" i="11"/>
  <c r="G250" i="41"/>
  <c r="H84" i="41"/>
  <c r="G234" i="41"/>
  <c r="AB185" i="1"/>
  <c r="H31" i="11"/>
  <c r="G101" i="11"/>
  <c r="H202" i="11"/>
  <c r="C199" i="11"/>
  <c r="AA421" i="1"/>
  <c r="C114" i="11"/>
  <c r="AA93" i="1"/>
  <c r="AB899" i="1"/>
  <c r="AB734" i="1"/>
  <c r="H152" i="41"/>
  <c r="C137" i="11"/>
  <c r="AB392" i="1"/>
  <c r="AA658" i="1"/>
  <c r="AB809" i="1"/>
  <c r="C196" i="41"/>
  <c r="AA678" i="1"/>
  <c r="AB557" i="1"/>
  <c r="AA276" i="1"/>
  <c r="AA39" i="1"/>
  <c r="G95" i="11"/>
  <c r="AA813" i="1"/>
  <c r="AA57" i="1"/>
  <c r="AB854" i="1"/>
  <c r="H247" i="11"/>
  <c r="AA677" i="1"/>
  <c r="AA611" i="1"/>
  <c r="AB680" i="1"/>
  <c r="G105" i="41"/>
  <c r="G224" i="41"/>
  <c r="AB534" i="1"/>
  <c r="AB386" i="1"/>
  <c r="AB988" i="1"/>
  <c r="H163" i="11"/>
  <c r="AB714" i="1"/>
  <c r="AA540" i="1"/>
  <c r="AA884" i="1"/>
  <c r="H234" i="11"/>
  <c r="AA935" i="1"/>
  <c r="AB421" i="1"/>
  <c r="AA770" i="1"/>
  <c r="AA314" i="1"/>
  <c r="AB820" i="1"/>
  <c r="AA758" i="1"/>
  <c r="AB839" i="1"/>
  <c r="AA668" i="1"/>
  <c r="C143" i="41"/>
  <c r="AA265" i="1"/>
  <c r="AA131" i="1"/>
  <c r="AB628" i="1"/>
  <c r="H150" i="11"/>
  <c r="G55" i="11"/>
  <c r="C125" i="41"/>
  <c r="AB55" i="1"/>
  <c r="AB299" i="1"/>
  <c r="AA387" i="1"/>
  <c r="H80" i="41"/>
  <c r="AB326" i="1"/>
  <c r="C172" i="41"/>
  <c r="H87" i="41"/>
  <c r="AB209" i="1"/>
  <c r="AA164" i="1"/>
  <c r="H151" i="11"/>
  <c r="C34" i="11"/>
  <c r="AA693" i="1"/>
  <c r="AB846" i="1"/>
  <c r="AA333" i="1"/>
  <c r="AA257" i="1"/>
  <c r="AA215" i="1"/>
  <c r="G59" i="11"/>
  <c r="H183" i="41"/>
  <c r="AA951" i="1"/>
  <c r="AB206" i="1"/>
  <c r="AA460" i="1"/>
  <c r="C206" i="11"/>
  <c r="AA981" i="1"/>
  <c r="G60" i="11"/>
  <c r="H119" i="11"/>
  <c r="AA933" i="1"/>
  <c r="AA600" i="1"/>
  <c r="H257" i="41"/>
  <c r="AA938" i="1"/>
  <c r="B4" i="11"/>
  <c r="H133" i="41"/>
  <c r="C80" i="11"/>
  <c r="AB46" i="1"/>
  <c r="AB474" i="1"/>
  <c r="G226" i="41"/>
  <c r="AA663" i="1"/>
  <c r="AB239" i="1"/>
  <c r="C66" i="11"/>
  <c r="H81" i="41"/>
  <c r="AB91" i="1"/>
  <c r="AB914" i="1"/>
  <c r="G111" i="41"/>
  <c r="H49" i="41"/>
  <c r="AB20" i="1"/>
  <c r="AB951" i="1"/>
  <c r="AA903" i="1"/>
  <c r="G26" i="11"/>
  <c r="AB596" i="1"/>
  <c r="AA882" i="1"/>
  <c r="AB694" i="1"/>
  <c r="AB684" i="1"/>
  <c r="H144" i="11"/>
  <c r="C64" i="11"/>
  <c r="AA205" i="1"/>
  <c r="AA627" i="1"/>
  <c r="AB344" i="1"/>
  <c r="C93" i="11"/>
  <c r="G261" i="11"/>
  <c r="AB872" i="1"/>
  <c r="G76" i="41"/>
  <c r="AB73" i="1"/>
  <c r="H79" i="11"/>
  <c r="AB658" i="1"/>
  <c r="AA59" i="1"/>
  <c r="C134" i="41"/>
  <c r="AB584" i="1"/>
  <c r="H100" i="41"/>
  <c r="AB941" i="1"/>
  <c r="AB552" i="1"/>
  <c r="H66" i="41"/>
  <c r="AB257" i="1"/>
  <c r="AA417" i="1"/>
  <c r="AB912" i="1"/>
  <c r="C51" i="11"/>
  <c r="AB666" i="1"/>
  <c r="C97" i="41"/>
  <c r="AB203" i="1"/>
  <c r="AB867" i="1"/>
  <c r="AA898" i="1"/>
  <c r="C179" i="41"/>
  <c r="AA831" i="1"/>
  <c r="AB675" i="1"/>
  <c r="H55" i="41"/>
  <c r="AB525" i="1"/>
  <c r="H79" i="41"/>
  <c r="AA129" i="1"/>
  <c r="AA695" i="1"/>
  <c r="AA475" i="1"/>
  <c r="H212" i="41"/>
  <c r="G150" i="41"/>
  <c r="C192" i="41"/>
  <c r="AA910" i="1"/>
  <c r="AA913" i="1"/>
  <c r="G235" i="41"/>
  <c r="AB19" i="1"/>
  <c r="C63" i="41"/>
  <c r="AA971" i="1"/>
  <c r="AB592" i="1"/>
  <c r="AB196" i="1"/>
  <c r="C154" i="11"/>
  <c r="H32" i="11"/>
  <c r="H66" i="11"/>
  <c r="AB254" i="1"/>
  <c r="AA465" i="1"/>
  <c r="AB878" i="1"/>
  <c r="AA625" i="1"/>
  <c r="AA72" i="1"/>
  <c r="G223" i="11"/>
  <c r="AB635" i="1"/>
  <c r="AA490" i="1"/>
  <c r="AB255" i="1"/>
  <c r="AA318" i="1"/>
  <c r="AB903" i="1"/>
  <c r="AA555" i="1"/>
  <c r="AB752" i="1"/>
  <c r="C32" i="41"/>
  <c r="AB781" i="1"/>
  <c r="H54" i="41"/>
  <c r="AB667" i="1"/>
  <c r="G156" i="11"/>
  <c r="H193" i="41"/>
  <c r="AB429" i="1"/>
  <c r="C158" i="41"/>
  <c r="AB591" i="1"/>
  <c r="AB841" i="1"/>
  <c r="G148" i="11"/>
  <c r="AB223" i="1"/>
  <c r="H69" i="11"/>
  <c r="AB944" i="1"/>
  <c r="AA11" i="1"/>
  <c r="H52" i="11"/>
  <c r="H28" i="11"/>
  <c r="G162" i="41"/>
  <c r="AB498" i="1"/>
  <c r="H227" i="11"/>
  <c r="AB601" i="1"/>
  <c r="AA799" i="1"/>
  <c r="G187" i="11"/>
  <c r="AA190" i="1"/>
  <c r="AB672" i="1"/>
  <c r="G202" i="41"/>
  <c r="AB828" i="1"/>
  <c r="AA326" i="1"/>
  <c r="AA587" i="1"/>
  <c r="H159" i="41"/>
  <c r="H126" i="11"/>
  <c r="AB370" i="1"/>
  <c r="H93" i="41"/>
  <c r="AA633" i="1"/>
  <c r="AB170" i="1"/>
  <c r="AA682" i="1"/>
  <c r="H116" i="11"/>
  <c r="AB799" i="1"/>
  <c r="AA596" i="1"/>
  <c r="AB49" i="1"/>
  <c r="G36" i="41"/>
  <c r="G186" i="11"/>
  <c r="AA500" i="1"/>
  <c r="AB115" i="1"/>
  <c r="H82" i="41"/>
  <c r="AA715" i="1"/>
  <c r="AA536" i="1"/>
  <c r="H217" i="11"/>
  <c r="H122" i="11"/>
  <c r="C31" i="11"/>
  <c r="G111" i="11"/>
  <c r="AA109" i="1"/>
  <c r="AA240" i="1"/>
  <c r="G52" i="41"/>
  <c r="AA763" i="1"/>
  <c r="C71" i="11"/>
  <c r="AB897" i="1"/>
  <c r="AA601" i="1"/>
  <c r="AA947" i="1"/>
  <c r="AB7" i="1"/>
  <c r="AB712" i="1"/>
  <c r="G98" i="11"/>
  <c r="AB845" i="1"/>
  <c r="AB222" i="1"/>
  <c r="AA689" i="1"/>
  <c r="AA5" i="1"/>
  <c r="AA3" i="1"/>
  <c r="AA622" i="1"/>
  <c r="AB640" i="1"/>
  <c r="AB311" i="1"/>
  <c r="C236" i="41"/>
  <c r="AA380" i="1"/>
  <c r="H186" i="41"/>
  <c r="AA881" i="1"/>
  <c r="AB413" i="1"/>
  <c r="AA235" i="1"/>
  <c r="AB82" i="1"/>
  <c r="H61" i="11"/>
  <c r="H86" i="11"/>
  <c r="AB625" i="1"/>
  <c r="AA106" i="1"/>
  <c r="H162" i="41"/>
  <c r="AA418" i="1"/>
  <c r="C130" i="11"/>
  <c r="C246" i="41"/>
  <c r="AA843" i="1"/>
  <c r="AA640" i="1"/>
  <c r="G92" i="11"/>
  <c r="AA857" i="1"/>
  <c r="C95" i="11"/>
  <c r="AA53" i="1"/>
  <c r="H238" i="11"/>
  <c r="AB497" i="1"/>
  <c r="AA822" i="1"/>
  <c r="AB807" i="1"/>
  <c r="G84" i="11"/>
  <c r="AA117" i="1"/>
  <c r="C141" i="41"/>
  <c r="AB439" i="1"/>
  <c r="AB530" i="1"/>
  <c r="AA406" i="1"/>
  <c r="AB38" i="1"/>
  <c r="AA22" i="1"/>
  <c r="H206" i="41"/>
  <c r="AB700" i="1"/>
  <c r="C182" i="41"/>
  <c r="AA837" i="1"/>
  <c r="C27" i="41"/>
  <c r="H39" i="41"/>
  <c r="AB805" i="1"/>
  <c r="AB928" i="1"/>
  <c r="AB356" i="1"/>
  <c r="H184" i="41"/>
  <c r="AB801" i="1"/>
  <c r="AA565" i="1"/>
  <c r="AA915" i="1"/>
  <c r="H146" i="11"/>
  <c r="AA888" i="1"/>
  <c r="AA438" i="1"/>
  <c r="H30" i="41"/>
  <c r="AA978" i="1"/>
  <c r="AA497" i="1"/>
  <c r="H57" i="41"/>
  <c r="H174" i="41"/>
  <c r="AB572" i="1"/>
  <c r="AB17" i="1"/>
  <c r="AA502" i="1"/>
  <c r="G174" i="11"/>
  <c r="AB717" i="1"/>
  <c r="AA339" i="1"/>
  <c r="AB404" i="1"/>
  <c r="C208" i="11"/>
  <c r="AA197" i="1"/>
  <c r="AB874" i="1"/>
  <c r="AA482" i="1"/>
  <c r="AA530" i="1"/>
  <c r="AA50" i="1"/>
  <c r="AA219" i="1"/>
  <c r="AA272" i="1"/>
  <c r="H62" i="41"/>
  <c r="G193" i="41"/>
  <c r="AA849" i="1"/>
  <c r="AB569" i="1"/>
  <c r="H152" i="11"/>
  <c r="H245" i="41"/>
  <c r="AB22" i="1"/>
  <c r="AB836" i="1"/>
  <c r="AB703" i="1"/>
  <c r="H154" i="41"/>
  <c r="AA323" i="1"/>
  <c r="C257" i="41"/>
  <c r="G128" i="11"/>
  <c r="C169" i="11"/>
  <c r="H140" i="11"/>
  <c r="AB431" i="1"/>
  <c r="G220" i="41"/>
  <c r="AA788" i="1"/>
  <c r="AB242" i="1"/>
  <c r="AA823" i="1"/>
  <c r="G202" i="11"/>
  <c r="C241" i="11"/>
  <c r="AB481" i="1"/>
  <c r="AA525" i="1"/>
  <c r="C81" i="11"/>
  <c r="AA55" i="1"/>
  <c r="AA541" i="1"/>
  <c r="G41" i="41"/>
  <c r="G201" i="41"/>
  <c r="H195" i="41"/>
  <c r="AA786" i="1"/>
  <c r="AA26" i="1"/>
  <c r="AA701" i="1"/>
  <c r="G182" i="41"/>
  <c r="AA810" i="1"/>
  <c r="AA268" i="1"/>
  <c r="AA511" i="1"/>
  <c r="AB180" i="1"/>
  <c r="H45" i="11"/>
  <c r="AB594" i="1"/>
  <c r="AA259" i="1"/>
  <c r="G150" i="11"/>
  <c r="AA568" i="1"/>
  <c r="AB545" i="1"/>
  <c r="AB329" i="1"/>
  <c r="C53" i="11"/>
  <c r="AA47" i="1"/>
  <c r="H112" i="41"/>
  <c r="G246" i="11"/>
  <c r="AA604" i="1"/>
  <c r="C49" i="11"/>
  <c r="G129" i="41"/>
  <c r="AA471" i="1"/>
  <c r="H62" i="11"/>
  <c r="G229" i="11"/>
  <c r="AB551" i="1"/>
  <c r="AB987" i="1"/>
  <c r="AB349" i="1"/>
  <c r="AB41" i="1"/>
  <c r="H190" i="41"/>
  <c r="AA232" i="1"/>
  <c r="G200" i="41"/>
  <c r="AB708" i="1"/>
  <c r="C28" i="41"/>
  <c r="G227" i="11"/>
  <c r="G228" i="11"/>
  <c r="H253" i="41"/>
  <c r="AA210" i="1"/>
  <c r="C254" i="41"/>
  <c r="C259" i="41"/>
  <c r="C87" i="11"/>
  <c r="AA457" i="1"/>
  <c r="H42" i="11"/>
  <c r="AA777" i="1"/>
  <c r="AA889" i="1"/>
  <c r="AB270" i="1"/>
  <c r="AA708" i="1"/>
  <c r="G160" i="11"/>
  <c r="AA427" i="1"/>
  <c r="C54" i="11"/>
  <c r="AA580" i="1"/>
  <c r="C136" i="11"/>
  <c r="AA469" i="1"/>
  <c r="AA167" i="1"/>
  <c r="AA378" i="1"/>
  <c r="H29" i="11"/>
  <c r="AB969" i="1"/>
  <c r="AB629" i="1"/>
  <c r="C159" i="41"/>
  <c r="C150" i="41"/>
  <c r="AB464" i="1"/>
  <c r="C180" i="41"/>
  <c r="G161" i="41"/>
  <c r="AA669" i="1"/>
  <c r="AA683" i="1"/>
  <c r="AB550" i="1"/>
  <c r="AB765" i="1"/>
  <c r="B4" i="41"/>
  <c r="AA644" i="1"/>
  <c r="AB576" i="1"/>
  <c r="AA382" i="1"/>
  <c r="G209" i="11"/>
  <c r="H182" i="11"/>
  <c r="AB110" i="1"/>
  <c r="AA754" i="1"/>
  <c r="AB234" i="1"/>
  <c r="C209" i="11"/>
  <c r="AA752" i="1"/>
  <c r="C174" i="41"/>
  <c r="G81" i="11"/>
  <c r="AB362" i="1"/>
  <c r="AB165" i="1"/>
  <c r="G155" i="41"/>
  <c r="G143" i="41"/>
  <c r="AA56" i="1"/>
  <c r="AB808" i="1"/>
  <c r="AA181" i="1"/>
  <c r="C242" i="11"/>
  <c r="AB263" i="1"/>
  <c r="AA132" i="1"/>
  <c r="H53" i="41"/>
  <c r="AB167" i="1"/>
  <c r="C226" i="41"/>
  <c r="AB523" i="1"/>
  <c r="AA684" i="1"/>
  <c r="AB504" i="1"/>
  <c r="AA175" i="1"/>
  <c r="AB265" i="1"/>
  <c r="G30" i="41"/>
  <c r="C62" i="11"/>
  <c r="AB791" i="1"/>
  <c r="H225" i="41"/>
  <c r="AA854" i="1"/>
  <c r="AA142" i="1"/>
  <c r="AB259" i="1"/>
  <c r="AA932" i="1"/>
  <c r="AB450" i="1"/>
  <c r="AA717" i="1"/>
  <c r="C78" i="11"/>
  <c r="H186" i="11"/>
  <c r="C118" i="11"/>
  <c r="AA618" i="1"/>
  <c r="H26" i="11"/>
  <c r="AA62" i="1"/>
  <c r="G249" i="41"/>
  <c r="AA134" i="1"/>
  <c r="C207" i="41"/>
  <c r="H120" i="11"/>
  <c r="AA638" i="1"/>
  <c r="AA659" i="1"/>
  <c r="G33" i="11"/>
  <c r="C178" i="41"/>
  <c r="C127" i="11"/>
  <c r="AA185" i="1"/>
  <c r="AA239" i="1"/>
  <c r="AA436" i="1"/>
  <c r="AB137" i="1"/>
  <c r="G237" i="11"/>
  <c r="H215" i="11"/>
  <c r="AA592" i="1"/>
  <c r="C71" i="41"/>
  <c r="AA124" i="1"/>
  <c r="H45" i="41"/>
  <c r="C50" i="11"/>
  <c r="G132" i="41"/>
  <c r="G187" i="41"/>
  <c r="H206" i="11"/>
  <c r="AB723" i="1"/>
  <c r="AB538" i="1"/>
  <c r="AA759" i="1"/>
  <c r="C70" i="41"/>
  <c r="AB83" i="1"/>
  <c r="AA619" i="1"/>
  <c r="AA645" i="1"/>
  <c r="AB154" i="1"/>
  <c r="AB864" i="1"/>
  <c r="AB59" i="1"/>
  <c r="AB472" i="1"/>
  <c r="AA242" i="1"/>
  <c r="H235" i="11"/>
  <c r="G91" i="11"/>
  <c r="G31" i="11"/>
  <c r="AA150" i="1"/>
  <c r="AB862" i="1"/>
  <c r="AA288" i="1"/>
  <c r="AB568" i="1"/>
  <c r="AB169" i="1"/>
  <c r="AA398" i="1"/>
  <c r="G243" i="41"/>
  <c r="AA315" i="1"/>
  <c r="C138" i="41"/>
  <c r="G248" i="11"/>
  <c r="G125" i="11"/>
  <c r="AB851" i="1"/>
  <c r="AA345" i="1"/>
  <c r="AA878" i="1"/>
  <c r="AB217" i="1"/>
  <c r="AB892" i="1"/>
  <c r="AA503" i="1"/>
  <c r="AB905" i="1"/>
  <c r="AA709" i="1"/>
  <c r="G117" i="11"/>
  <c r="AB641" i="1"/>
  <c r="H149" i="41"/>
  <c r="AB173" i="1"/>
  <c r="AA707" i="1"/>
  <c r="AB31" i="1"/>
  <c r="AB515" i="1"/>
  <c r="C173" i="11"/>
  <c r="G242" i="41"/>
  <c r="AA920" i="1"/>
  <c r="G54" i="11"/>
  <c r="C137" i="41"/>
  <c r="AA666" i="1"/>
  <c r="H230" i="41"/>
  <c r="C115" i="41"/>
  <c r="AB615" i="1"/>
  <c r="C191" i="11"/>
  <c r="C212" i="11"/>
  <c r="AA325" i="1"/>
  <c r="AB631" i="1"/>
  <c r="AB932" i="1"/>
  <c r="AB507" i="1"/>
  <c r="G131" i="41"/>
  <c r="AA860" i="1"/>
  <c r="AB783" i="1"/>
  <c r="G144" i="41"/>
  <c r="C208" i="41"/>
  <c r="AA612" i="1"/>
  <c r="AB977" i="1"/>
  <c r="AB155" i="1"/>
  <c r="G224" i="11"/>
  <c r="AA282" i="1"/>
  <c r="AB704" i="1"/>
  <c r="AA887" i="1"/>
  <c r="C186" i="41"/>
  <c r="H244" i="11"/>
  <c r="H226" i="41"/>
  <c r="H243" i="41"/>
  <c r="AA464" i="1"/>
  <c r="H156" i="41"/>
  <c r="AB733" i="1"/>
  <c r="AA247" i="1"/>
  <c r="AB342" i="1"/>
  <c r="AA855" i="1"/>
  <c r="AB214" i="1"/>
  <c r="C227" i="41"/>
  <c r="AB65" i="1"/>
  <c r="AB9" i="1"/>
  <c r="C233" i="41"/>
  <c r="G248" i="41"/>
  <c r="AA143" i="1"/>
  <c r="AA334" i="1"/>
  <c r="AA676" i="1"/>
  <c r="G65" i="41"/>
  <c r="H108" i="11"/>
  <c r="AB3" i="1"/>
  <c r="AB702" i="1"/>
  <c r="AA939" i="1"/>
  <c r="G174" i="41"/>
  <c r="AA551" i="1"/>
  <c r="AB512" i="1"/>
  <c r="AB357" i="1"/>
  <c r="AB877" i="1"/>
  <c r="H181" i="11"/>
  <c r="H123" i="11"/>
  <c r="H121" i="11"/>
  <c r="AA651" i="1"/>
  <c r="AA456" i="1"/>
  <c r="AB918" i="1"/>
  <c r="H164" i="41"/>
  <c r="AA950" i="1"/>
  <c r="H111" i="41"/>
  <c r="C214" i="11"/>
  <c r="AA680" i="1"/>
  <c r="AA273" i="1"/>
  <c r="H43" i="41"/>
  <c r="AA937" i="1"/>
  <c r="AB432" i="1"/>
  <c r="G117" i="41"/>
  <c r="G122" i="11"/>
  <c r="C200" i="41"/>
  <c r="G88" i="41"/>
  <c r="H97" i="11"/>
  <c r="AB643" i="1"/>
  <c r="AB687" i="1"/>
  <c r="C96" i="11"/>
  <c r="AA714" i="1"/>
  <c r="AB243" i="1"/>
  <c r="AA411" i="1"/>
  <c r="C93" i="41"/>
  <c r="AB408" i="1"/>
  <c r="AB105" i="1"/>
  <c r="G45" i="41"/>
  <c r="C237" i="11"/>
  <c r="G197" i="41"/>
  <c r="H141" i="41"/>
  <c r="H192" i="41"/>
  <c r="H202" i="41"/>
  <c r="C116" i="11"/>
  <c r="AA458" i="1"/>
  <c r="AB745" i="1"/>
  <c r="AB42" i="1"/>
  <c r="AB198" i="1"/>
  <c r="C44" i="11"/>
  <c r="C84" i="41"/>
  <c r="AB676" i="1"/>
  <c r="H218" i="11"/>
  <c r="AB701" i="1"/>
  <c r="AA77" i="1"/>
  <c r="C164" i="11"/>
  <c r="H170" i="41"/>
  <c r="AA291" i="1"/>
  <c r="AA335" i="1"/>
  <c r="AB797" i="1"/>
  <c r="C61" i="11"/>
  <c r="AB803" i="1"/>
  <c r="G137" i="41"/>
  <c r="H78" i="11"/>
  <c r="AA37" i="1"/>
  <c r="AB925" i="1"/>
  <c r="AA188" i="1"/>
  <c r="AA101" i="1"/>
  <c r="AB731" i="1"/>
  <c r="H72" i="11"/>
  <c r="AB860" i="1"/>
  <c r="G193" i="11"/>
  <c r="AA637" i="1"/>
  <c r="AB252" i="1"/>
  <c r="AA78" i="1"/>
  <c r="AB532" i="1"/>
  <c r="AB642" i="1"/>
  <c r="C232" i="41"/>
  <c r="AB503" i="1"/>
  <c r="G81" i="41"/>
  <c r="AA187" i="1"/>
  <c r="AB459" i="1"/>
  <c r="AB224" i="1"/>
  <c r="AB393" i="1"/>
  <c r="AA372" i="1"/>
  <c r="AB679" i="1"/>
  <c r="AB869" i="1"/>
  <c r="C199" i="41"/>
  <c r="G225" i="11"/>
  <c r="AA157" i="1"/>
  <c r="AB927" i="1"/>
  <c r="AB228" i="1"/>
  <c r="AB662" i="1"/>
  <c r="AB347" i="1"/>
  <c r="AB883" i="1"/>
  <c r="AB544" i="1"/>
  <c r="H33" i="11"/>
  <c r="AA352" i="1"/>
  <c r="C60" i="11"/>
  <c r="C40" i="41"/>
  <c r="G73" i="41"/>
  <c r="AB176" i="1"/>
  <c r="H252" i="41"/>
  <c r="C160" i="11"/>
  <c r="AA690" i="1"/>
  <c r="AA778" i="1"/>
  <c r="C98" i="41"/>
  <c r="C219" i="41"/>
  <c r="G256" i="41"/>
  <c r="G238" i="11"/>
  <c r="H92" i="11"/>
  <c r="AB453" i="1"/>
  <c r="H33" i="41"/>
  <c r="C234" i="11"/>
  <c r="AB272" i="1"/>
  <c r="AB60" i="1"/>
  <c r="H78" i="41"/>
  <c r="AB1002" i="1"/>
  <c r="G62" i="11"/>
  <c r="AB527" i="1"/>
  <c r="AA841" i="1"/>
  <c r="AB139" i="1"/>
  <c r="G236" i="41"/>
  <c r="AB636" i="1"/>
  <c r="C59" i="11"/>
  <c r="H193" i="11"/>
  <c r="C114" i="41"/>
  <c r="AA839" i="1"/>
  <c r="AA977" i="1"/>
  <c r="AB424" i="1"/>
  <c r="C26" i="11"/>
  <c r="AB506" i="1"/>
  <c r="AB614" i="1"/>
  <c r="C76" i="11"/>
  <c r="AB131" i="1"/>
  <c r="H106" i="11"/>
  <c r="AA670" i="1"/>
  <c r="AA390" i="1"/>
  <c r="C124" i="41"/>
  <c r="AB124" i="1"/>
  <c r="AB964" i="1"/>
  <c r="C115" i="11"/>
  <c r="AB510" i="1"/>
  <c r="AB674" i="1"/>
  <c r="AB274" i="1"/>
  <c r="AA70" i="1"/>
  <c r="AB669" i="1"/>
  <c r="AA487" i="1"/>
  <c r="H204" i="41"/>
  <c r="G50" i="41"/>
  <c r="AB651" i="1"/>
  <c r="H118" i="41"/>
  <c r="AA483" i="1"/>
  <c r="AB939" i="1"/>
  <c r="AA948" i="1"/>
  <c r="C165" i="11"/>
  <c r="C111" i="41"/>
  <c r="G72" i="41"/>
  <c r="C102" i="41"/>
  <c r="AA803" i="1"/>
  <c r="C250" i="41"/>
  <c r="C38" i="41"/>
  <c r="AA940" i="1"/>
  <c r="AB605" i="1"/>
  <c r="AA179" i="1"/>
  <c r="C244" i="41"/>
  <c r="AB586" i="1"/>
  <c r="G154" i="11"/>
  <c r="AB462" i="1"/>
  <c r="H181" i="41"/>
  <c r="AA25" i="1"/>
  <c r="AB761" i="1"/>
  <c r="AA614" i="1"/>
  <c r="H64" i="41"/>
  <c r="AA852" i="1"/>
  <c r="AA781" i="1"/>
  <c r="H50" i="11"/>
  <c r="AA558" i="1"/>
  <c r="AA442" i="1"/>
  <c r="AA827" i="1"/>
  <c r="AA290" i="1"/>
  <c r="AB89" i="1"/>
  <c r="C79" i="41"/>
  <c r="AA199" i="1"/>
  <c r="AA984" i="1"/>
  <c r="AB280" i="1"/>
  <c r="G228" i="41"/>
  <c r="G245" i="11"/>
  <c r="AB118" i="1"/>
  <c r="G75" i="41"/>
  <c r="AB204" i="1"/>
  <c r="AA437" i="1"/>
  <c r="G181" i="41"/>
  <c r="AB156" i="1"/>
  <c r="AA949" i="1"/>
  <c r="C245" i="41"/>
  <c r="G108" i="41"/>
  <c r="AA52" i="1"/>
  <c r="AA719" i="1"/>
  <c r="AA924" i="1"/>
  <c r="AA121" i="1"/>
  <c r="AB756" i="1"/>
  <c r="AB79" i="1"/>
  <c r="AA262" i="1"/>
  <c r="C133" i="41"/>
  <c r="AA189" i="1"/>
  <c r="AB960" i="1"/>
  <c r="H189" i="11"/>
  <c r="G240" i="41"/>
  <c r="AB246" i="1"/>
  <c r="AA687" i="1"/>
  <c r="AB848" i="1"/>
  <c r="G100" i="41"/>
  <c r="AA647" i="1"/>
  <c r="AA264" i="1"/>
  <c r="AB479" i="1"/>
  <c r="AA75" i="1"/>
  <c r="AA958" i="1"/>
  <c r="AA367" i="1"/>
  <c r="AB447" i="1"/>
  <c r="AB126" i="1"/>
  <c r="H153" i="11"/>
  <c r="C146" i="41"/>
  <c r="G34" i="11"/>
  <c r="AA1002" i="1"/>
  <c r="AA114" i="1"/>
  <c r="AB555" i="1"/>
  <c r="AA321" i="1"/>
  <c r="AB587" i="1"/>
  <c r="AB768" i="1"/>
  <c r="H173" i="11"/>
  <c r="C37" i="41"/>
  <c r="AB148" i="1"/>
  <c r="AA564" i="1"/>
  <c r="AB889" i="1"/>
  <c r="G80" i="11"/>
  <c r="C60" i="41"/>
  <c r="AA607" i="1"/>
  <c r="AB336" i="1"/>
  <c r="G177" i="41"/>
  <c r="C205" i="11"/>
  <c r="AB766" i="1"/>
  <c r="H60" i="41"/>
  <c r="G84" i="41"/>
  <c r="H200" i="41"/>
  <c r="H36" i="11"/>
  <c r="H172" i="11"/>
  <c r="C140" i="41"/>
  <c r="G173" i="11"/>
  <c r="AA23" i="1"/>
  <c r="AB452" i="1"/>
  <c r="AB456" i="1"/>
  <c r="AB953" i="1"/>
  <c r="AA149" i="1"/>
  <c r="AA401" i="1"/>
  <c r="H90" i="41"/>
  <c r="H34" i="41"/>
  <c r="C111" i="11"/>
  <c r="AA148" i="1"/>
  <c r="H59" i="41"/>
  <c r="H103" i="11"/>
  <c r="C142" i="11"/>
  <c r="H57" i="11"/>
  <c r="AA113" i="1"/>
  <c r="AB159" i="1"/>
  <c r="AB837" i="1"/>
  <c r="C117" i="41"/>
  <c r="G92" i="41"/>
  <c r="AA583" i="1"/>
  <c r="AB600" i="1"/>
  <c r="C249" i="11"/>
  <c r="G116" i="11"/>
  <c r="H203" i="41"/>
  <c r="AA584" i="1"/>
  <c r="AB609" i="1"/>
  <c r="AA523" i="1"/>
  <c r="AB261" i="1"/>
  <c r="H203" i="11"/>
  <c r="AB466" i="1"/>
  <c r="AA27" i="1"/>
  <c r="AA476" i="1"/>
  <c r="AA9" i="1"/>
  <c r="G206" i="11"/>
  <c r="AB909" i="1"/>
  <c r="G260" i="11"/>
  <c r="AB697" i="1"/>
  <c r="AB236" i="1"/>
  <c r="C157" i="11"/>
  <c r="C170" i="41"/>
  <c r="G178" i="41"/>
  <c r="G63" i="41"/>
  <c r="AB743" i="1"/>
  <c r="AA741" i="1"/>
  <c r="G97" i="41"/>
  <c r="C144" i="41"/>
  <c r="AB256" i="1"/>
  <c r="G36" i="11"/>
  <c r="AA455" i="1"/>
  <c r="G153" i="41"/>
  <c r="AA504" i="1"/>
  <c r="C181" i="11"/>
  <c r="AB950" i="1"/>
  <c r="H227" i="41"/>
  <c r="H218" i="41"/>
  <c r="AA177" i="1"/>
  <c r="C122" i="41"/>
  <c r="C220" i="11"/>
  <c r="AA963" i="1"/>
  <c r="AA395" i="1"/>
  <c r="G27" i="41"/>
  <c r="C129" i="11"/>
  <c r="AB826" i="1"/>
  <c r="H241" i="11"/>
  <c r="C171" i="11"/>
  <c r="H237" i="41"/>
  <c r="AA454" i="1"/>
  <c r="C76" i="41"/>
  <c r="AB488" i="1"/>
  <c r="AA973" i="1"/>
  <c r="G47" i="41"/>
  <c r="H38" i="41"/>
  <c r="H88" i="11"/>
  <c r="G183" i="11"/>
  <c r="AB303" i="1"/>
  <c r="G49" i="41"/>
  <c r="H233" i="11"/>
  <c r="AB782" i="1"/>
  <c r="AA867" i="1"/>
  <c r="C171" i="41"/>
  <c r="G183" i="41"/>
  <c r="G138" i="11"/>
  <c r="AB822" i="1"/>
  <c r="H102" i="11"/>
  <c r="C176" i="11"/>
  <c r="AA965" i="1"/>
  <c r="AA452" i="1"/>
  <c r="AB226" i="1"/>
  <c r="C79" i="11"/>
  <c r="H76" i="41"/>
  <c r="AA501" i="1"/>
  <c r="H161" i="41"/>
  <c r="G194" i="11"/>
  <c r="G238" i="41"/>
  <c r="G254" i="11"/>
  <c r="AB509" i="1"/>
  <c r="H87" i="11"/>
  <c r="C123" i="11"/>
  <c r="G149" i="41"/>
  <c r="H185" i="11"/>
  <c r="G195" i="41"/>
  <c r="AA853" i="1"/>
  <c r="AA146" i="1"/>
  <c r="AB113" i="1"/>
  <c r="G80" i="41"/>
  <c r="AA85" i="1"/>
  <c r="AB989" i="1"/>
  <c r="C69" i="11"/>
  <c r="AA514" i="1"/>
  <c r="AB133" i="1"/>
  <c r="AB818" i="1"/>
  <c r="AA943" i="1"/>
  <c r="AA119" i="1"/>
  <c r="C197" i="11"/>
  <c r="AB865" i="1"/>
  <c r="H176" i="11"/>
  <c r="C45" i="41"/>
  <c r="H239" i="41"/>
  <c r="AB16" i="1"/>
  <c r="C128" i="11"/>
  <c r="H145" i="11"/>
  <c r="AB815" i="1"/>
  <c r="AB213" i="1"/>
  <c r="AA745" i="1"/>
  <c r="G82" i="11"/>
  <c r="AA407" i="1"/>
  <c r="AB309" i="1"/>
  <c r="C73" i="41"/>
  <c r="AB237" i="1"/>
  <c r="C231" i="41"/>
  <c r="AB158" i="1"/>
  <c r="C254" i="11"/>
  <c r="C31" i="41"/>
  <c r="AB96" i="1"/>
  <c r="AA904" i="1"/>
  <c r="C54" i="41"/>
  <c r="G230" i="41"/>
  <c r="AB548" i="1"/>
  <c r="C25" i="11"/>
  <c r="AB923" i="1"/>
  <c r="AA250" i="1"/>
  <c r="AA750" i="1"/>
  <c r="AA566" i="1"/>
  <c r="AB887" i="1"/>
  <c r="AA918" i="1"/>
  <c r="G54" i="41"/>
  <c r="AB149" i="1"/>
  <c r="AB499" i="1"/>
  <c r="H217" i="41"/>
  <c r="AA204" i="1"/>
  <c r="AA450" i="1"/>
  <c r="AA289" i="1"/>
  <c r="AA832" i="1"/>
  <c r="AB823" i="1"/>
  <c r="AB774" i="1"/>
  <c r="AB340" i="1"/>
  <c r="AB908" i="1"/>
  <c r="H111" i="11"/>
  <c r="AB959" i="1"/>
  <c r="G78" i="11"/>
  <c r="AB471" i="1"/>
  <c r="AB230" i="1"/>
  <c r="AA351" i="1"/>
  <c r="C163" i="41"/>
  <c r="AB763" i="1"/>
  <c r="AA139" i="1"/>
  <c r="G159" i="11"/>
  <c r="H205" i="11"/>
  <c r="G258" i="41"/>
  <c r="AB904" i="1"/>
  <c r="AB469" i="1"/>
  <c r="AA975" i="1"/>
  <c r="AB678" i="1"/>
  <c r="AB157" i="1"/>
  <c r="AA870" i="1"/>
  <c r="G179" i="41"/>
  <c r="AB461" i="1"/>
  <c r="C157" i="41"/>
  <c r="AB195" i="1"/>
  <c r="AA769" i="1"/>
  <c r="AB436" i="1"/>
  <c r="AB612" i="1"/>
  <c r="AA811" i="1"/>
  <c r="AB686" i="1"/>
  <c r="AA218" i="1"/>
  <c r="AB784" i="1"/>
  <c r="AB307" i="1"/>
  <c r="G110" i="41"/>
  <c r="G57" i="11"/>
  <c r="H112" i="11"/>
  <c r="AA797" i="1"/>
  <c r="H200" i="11"/>
  <c r="AB793" i="1"/>
  <c r="H228" i="41"/>
  <c r="C27" i="11"/>
  <c r="C204" i="11"/>
  <c r="AB62" i="1"/>
  <c r="H64" i="11"/>
  <c r="G120" i="41"/>
  <c r="AA353" i="1"/>
  <c r="AB835" i="1"/>
  <c r="AA163" i="1"/>
  <c r="AB901" i="1"/>
  <c r="AA214" i="1"/>
  <c r="AB267" i="1"/>
  <c r="AA804" i="1"/>
  <c r="AA544" i="1"/>
  <c r="AB656" i="1"/>
  <c r="G241" i="11"/>
  <c r="AA576" i="1"/>
  <c r="AB776" i="1"/>
  <c r="AB900" i="1"/>
  <c r="G151" i="41"/>
  <c r="AB695" i="1"/>
  <c r="C212" i="41"/>
  <c r="H239" i="11"/>
  <c r="AA964" i="1"/>
  <c r="AA623" i="1"/>
  <c r="C221" i="41"/>
  <c r="H110" i="11"/>
  <c r="AA470" i="1"/>
  <c r="AA13" i="1"/>
  <c r="AB970" i="1"/>
  <c r="C90" i="11"/>
  <c r="AB699" i="1"/>
  <c r="G109" i="41"/>
  <c r="C145" i="11"/>
  <c r="H153" i="41"/>
  <c r="AB43" i="1"/>
  <c r="H240" i="41"/>
  <c r="AB81" i="1"/>
  <c r="AA712" i="1"/>
  <c r="AA147" i="1"/>
  <c r="AB968" i="1"/>
  <c r="G62" i="41"/>
  <c r="C147" i="11"/>
  <c r="H116" i="41"/>
  <c r="C113" i="41"/>
  <c r="AA990" i="1"/>
  <c r="C207" i="11"/>
  <c r="G164" i="41"/>
  <c r="AB971" i="1"/>
  <c r="C185" i="11"/>
  <c r="AA960" i="1"/>
  <c r="AA597" i="1"/>
  <c r="AB122" i="1"/>
  <c r="C191" i="41"/>
  <c r="H187" i="41"/>
  <c r="H210" i="11"/>
  <c r="AB580" i="1"/>
  <c r="AA216" i="1"/>
  <c r="C41" i="41"/>
  <c r="AA30" i="1"/>
  <c r="AB363" i="1"/>
  <c r="AB269" i="1"/>
  <c r="AB188" i="1"/>
  <c r="AB141" i="1"/>
  <c r="AB403" i="1"/>
  <c r="G169" i="41"/>
  <c r="AA256" i="1"/>
  <c r="G252" i="41"/>
  <c r="C121" i="41"/>
  <c r="AB915" i="1"/>
  <c r="AB215" i="1"/>
  <c r="AB762" i="1"/>
  <c r="AB281" i="1"/>
  <c r="H191" i="11"/>
  <c r="C228" i="41"/>
  <c r="AB1004" i="1"/>
  <c r="C107" i="11"/>
  <c r="AB543" i="1"/>
  <c r="AB746" i="1"/>
  <c r="AA249" i="1"/>
  <c r="H91" i="11"/>
  <c r="C37" i="11"/>
  <c r="G233" i="11"/>
  <c r="C129" i="41"/>
  <c r="AB18" i="1"/>
  <c r="AB161" i="1"/>
  <c r="AA126" i="1"/>
  <c r="H137" i="11"/>
  <c r="H172" i="41"/>
  <c r="G138" i="41"/>
  <c r="AB153" i="1"/>
  <c r="C105" i="11"/>
  <c r="H113" i="11"/>
  <c r="AB796" i="1"/>
  <c r="C190" i="41"/>
  <c r="C103" i="11"/>
  <c r="G148" i="41"/>
  <c r="G37" i="41"/>
  <c r="AA730" i="1"/>
  <c r="AB186" i="1"/>
  <c r="H224" i="41"/>
  <c r="AB738" i="1"/>
  <c r="AA466" i="1"/>
  <c r="AB395" i="1"/>
  <c r="AB322" i="1"/>
  <c r="AB446" i="1"/>
  <c r="G241" i="41"/>
  <c r="AA654" i="1"/>
  <c r="G239" i="41"/>
  <c r="G244" i="11"/>
  <c r="C45" i="11"/>
  <c r="AB193" i="1"/>
  <c r="AB294" i="1"/>
  <c r="AA515" i="1"/>
  <c r="AB691" i="1"/>
  <c r="AA498" i="1"/>
  <c r="H209" i="41"/>
  <c r="G25" i="11"/>
  <c r="H173" i="41"/>
  <c r="C83" i="41"/>
  <c r="AA359" i="1"/>
  <c r="C135" i="41"/>
  <c r="AA731" i="1"/>
  <c r="AA313" i="1"/>
  <c r="AA102" i="1"/>
  <c r="AA428" i="1"/>
  <c r="G237" i="41"/>
  <c r="AB467" i="1"/>
  <c r="C195" i="41"/>
  <c r="AB338" i="1"/>
  <c r="H194" i="11"/>
  <c r="AB617" i="1"/>
  <c r="AA953" i="1"/>
  <c r="G122" i="41"/>
  <c r="C40" i="11"/>
  <c r="C168" i="11"/>
  <c r="AA875" i="1"/>
  <c r="AA42" i="1"/>
  <c r="AA527" i="1"/>
  <c r="AA479" i="1"/>
  <c r="G85" i="41"/>
  <c r="H220" i="41"/>
  <c r="AB331" i="1"/>
  <c r="AA809" i="1"/>
  <c r="AA547" i="1"/>
  <c r="AA332" i="1"/>
  <c r="C242" i="41"/>
  <c r="H127" i="11"/>
  <c r="AB922" i="1"/>
  <c r="H243" i="11"/>
  <c r="AA176" i="1"/>
  <c r="H187" i="11"/>
  <c r="C166" i="11"/>
  <c r="AA892" i="1"/>
  <c r="AB967" i="1"/>
  <c r="AA575" i="1"/>
  <c r="H140" i="41"/>
  <c r="AA370" i="1"/>
  <c r="AA343" i="1"/>
  <c r="AB769" i="1"/>
  <c r="AA162" i="1"/>
  <c r="AA561" i="1"/>
  <c r="AB842" i="1"/>
  <c r="C68" i="41"/>
  <c r="G94" i="11"/>
  <c r="AA80" i="1"/>
  <c r="AB364" i="1"/>
  <c r="C99" i="41"/>
  <c r="C188" i="11"/>
  <c r="H53" i="11"/>
  <c r="AA196" i="1"/>
  <c r="AA120" i="1"/>
  <c r="AA559" i="1"/>
  <c r="G252" i="11"/>
  <c r="AA516" i="1"/>
  <c r="H129" i="41"/>
  <c r="AA12" i="1"/>
  <c r="AA711" i="1"/>
  <c r="G239" i="11"/>
  <c r="AB266" i="1"/>
  <c r="C147" i="41"/>
  <c r="C106" i="41"/>
  <c r="AB300" i="1"/>
  <c r="C109" i="11"/>
  <c r="G47" i="11"/>
  <c r="AA368" i="1"/>
  <c r="G107" i="41"/>
  <c r="H115" i="41"/>
  <c r="AB578" i="1"/>
  <c r="AA383" i="1"/>
  <c r="AB787" i="1"/>
  <c r="C58" i="11"/>
  <c r="AB861" i="1"/>
  <c r="G119" i="41"/>
  <c r="AB607" i="1"/>
  <c r="AB244" i="1"/>
  <c r="G86" i="11"/>
  <c r="AB881" i="1"/>
  <c r="C47" i="11"/>
  <c r="AA956" i="1"/>
  <c r="C101" i="11"/>
  <c r="G124" i="11"/>
  <c r="C235" i="41"/>
  <c r="AB178" i="1"/>
  <c r="AB80" i="1"/>
  <c r="AB790" i="1"/>
  <c r="G128" i="41"/>
  <c r="AA224" i="1"/>
  <c r="H233" i="41"/>
  <c r="H41" i="11"/>
  <c r="G129" i="11"/>
  <c r="AA87" i="1"/>
  <c r="C88" i="41"/>
  <c r="AA916" i="1"/>
  <c r="AB681" i="1"/>
  <c r="H158" i="41"/>
  <c r="AB240" i="1"/>
  <c r="C185" i="41"/>
  <c r="AA201" i="1"/>
  <c r="AA423" i="1"/>
  <c r="AA28" i="1"/>
  <c r="G162" i="11"/>
  <c r="AA358" i="1"/>
  <c r="AA534" i="1"/>
  <c r="AA917" i="1"/>
  <c r="AB982" i="1"/>
  <c r="G214" i="41"/>
  <c r="C38" i="11"/>
  <c r="G79" i="11"/>
  <c r="AB831" i="1"/>
  <c r="H26" i="41"/>
  <c r="AB373" i="1"/>
  <c r="G40" i="41"/>
  <c r="AA481" i="1"/>
  <c r="AA230" i="1"/>
  <c r="C139" i="11"/>
  <c r="H63" i="11"/>
  <c r="G231" i="41"/>
  <c r="AB706" i="1"/>
  <c r="AB742" i="1"/>
  <c r="AB728" i="1"/>
  <c r="C223" i="41"/>
  <c r="G118" i="41"/>
  <c r="AB529" i="1"/>
  <c r="AA552" i="1"/>
  <c r="AB517" i="1"/>
  <c r="AB390" i="1"/>
  <c r="AA923" i="1"/>
  <c r="AA260" i="1"/>
  <c r="G221" i="41"/>
  <c r="C105" i="41"/>
  <c r="AB327" i="1"/>
  <c r="H125" i="41"/>
  <c r="C196" i="11"/>
  <c r="AA593" i="1"/>
  <c r="H159" i="11"/>
  <c r="H208" i="41"/>
  <c r="AB565" i="1"/>
  <c r="AB924" i="1"/>
  <c r="AA83" i="1"/>
  <c r="AA702" i="1"/>
  <c r="AA985" i="1"/>
  <c r="G196" i="11"/>
  <c r="AA757" i="1"/>
  <c r="AA171" i="1"/>
  <c r="AA548" i="1"/>
  <c r="AB297" i="1"/>
  <c r="G38" i="11"/>
  <c r="C86" i="41"/>
  <c r="G137" i="11"/>
  <c r="C236" i="11"/>
  <c r="H251" i="11"/>
  <c r="AB929" i="1"/>
  <c r="AA609" i="1"/>
  <c r="AB736" i="1"/>
  <c r="AA44" i="1"/>
  <c r="AB916" i="1"/>
  <c r="C161" i="11"/>
  <c r="H174" i="11"/>
  <c r="G198" i="11"/>
  <c r="H175" i="41"/>
  <c r="H221" i="41"/>
  <c r="H241" i="41"/>
  <c r="AB477" i="1"/>
  <c r="AA581" i="1"/>
  <c r="C184" i="11"/>
  <c r="AA774" i="1"/>
  <c r="H137" i="41"/>
  <c r="AA168" i="1"/>
  <c r="G64" i="41"/>
  <c r="AA639" i="1"/>
  <c r="AB61" i="1"/>
  <c r="H214" i="41"/>
  <c r="AA697" i="1"/>
  <c r="G87" i="11"/>
  <c r="AB567" i="1"/>
  <c r="G64" i="11"/>
  <c r="C167" i="11"/>
  <c r="AB980" i="1"/>
  <c r="G104" i="41"/>
  <c r="AB644" i="1"/>
  <c r="AA243" i="1"/>
  <c r="AA165" i="1"/>
  <c r="G167" i="41"/>
  <c r="AA816" i="1"/>
  <c r="H198" i="41"/>
  <c r="AB286" i="1"/>
  <c r="AB985" i="1"/>
  <c r="AA872" i="1"/>
  <c r="G161" i="11"/>
  <c r="AB996" i="1"/>
  <c r="C35" i="11"/>
  <c r="AB351" i="1"/>
  <c r="C168" i="41"/>
  <c r="AB863" i="1"/>
  <c r="AB430" i="1"/>
  <c r="H143" i="41"/>
  <c r="AB616" i="1"/>
  <c r="AA24" i="1"/>
  <c r="AA991" i="1"/>
  <c r="H52" i="41"/>
  <c r="H27" i="41"/>
  <c r="AB375" i="1"/>
  <c r="AA29" i="1"/>
  <c r="AB981" i="1"/>
  <c r="C30" i="41"/>
  <c r="AB855" i="1"/>
  <c r="AA520" i="1"/>
  <c r="AB418" i="1"/>
  <c r="AB519" i="1"/>
  <c r="AB933" i="1"/>
  <c r="AB313" i="1"/>
  <c r="C130" i="41"/>
  <c r="C39" i="41"/>
  <c r="AA64" i="1"/>
  <c r="AB879" i="1"/>
  <c r="AA896" i="1"/>
  <c r="AB301" i="1"/>
  <c r="AB163" i="1"/>
  <c r="AA792" i="1"/>
  <c r="AB986" i="1"/>
  <c r="AB954" i="1"/>
  <c r="AA245" i="1"/>
  <c r="H135" i="41"/>
  <c r="AB425" i="1"/>
  <c r="C256" i="41"/>
  <c r="C179" i="11"/>
  <c r="AA178" i="1"/>
  <c r="AB938" i="1"/>
  <c r="AA821" i="1"/>
  <c r="G216" i="41"/>
  <c r="AB166" i="1"/>
  <c r="C135" i="11"/>
  <c r="AB882" i="1"/>
  <c r="H164" i="11"/>
  <c r="AA307" i="1"/>
  <c r="AA912" i="1"/>
  <c r="H222" i="11"/>
  <c r="G233" i="41"/>
  <c r="AA591" i="1"/>
  <c r="H40" i="11"/>
  <c r="AA258" i="1"/>
  <c r="AB58" i="1"/>
  <c r="AA193" i="1"/>
  <c r="AB827" i="1"/>
  <c r="AB830" i="1"/>
  <c r="G163" i="41"/>
  <c r="AA959" i="1"/>
  <c r="G71" i="41"/>
  <c r="AA775" i="1"/>
  <c r="H76" i="11"/>
  <c r="C116" i="41"/>
  <c r="AA286" i="1"/>
  <c r="G125" i="41"/>
  <c r="AA579" i="1"/>
  <c r="AB179" i="1"/>
  <c r="AB955" i="1"/>
  <c r="AA127" i="1"/>
  <c r="AA825" i="1"/>
  <c r="C155" i="11"/>
  <c r="C177" i="41"/>
  <c r="G28" i="41"/>
  <c r="C188" i="41"/>
  <c r="AB726" i="1"/>
  <c r="AA6" i="1"/>
  <c r="AA995" i="1"/>
  <c r="H56" i="11"/>
  <c r="AB999" i="1"/>
  <c r="AA263" i="1"/>
  <c r="AA319" i="1"/>
  <c r="AB323" i="1"/>
  <c r="AA311" i="1"/>
  <c r="H136" i="41"/>
  <c r="AB220" i="1"/>
  <c r="C210" i="41"/>
  <c r="AA420" i="1"/>
  <c r="AB930" i="1"/>
  <c r="AA817" i="1"/>
  <c r="AA16" i="1"/>
  <c r="AA246" i="1"/>
  <c r="AB806" i="1"/>
  <c r="AB553" i="1"/>
  <c r="AB711" i="1"/>
  <c r="AB1003" i="1"/>
  <c r="H253" i="11"/>
  <c r="H216" i="11"/>
  <c r="C255" i="11"/>
  <c r="C235" i="11"/>
  <c r="C55" i="41"/>
  <c r="AB138" i="1"/>
  <c r="G118" i="11"/>
  <c r="H145" i="41"/>
  <c r="G200" i="11"/>
  <c r="AA863" i="1"/>
  <c r="H229" i="41"/>
  <c r="C206" i="41"/>
  <c r="G27" i="11"/>
  <c r="AA402" i="1"/>
  <c r="AB531" i="1"/>
  <c r="AA835" i="1"/>
  <c r="AA45" i="1"/>
  <c r="AA969" i="1"/>
  <c r="AA81" i="1"/>
  <c r="AA389" i="1"/>
  <c r="G126" i="41"/>
  <c r="G259" i="41"/>
  <c r="AA209" i="1"/>
  <c r="AA998" i="1"/>
  <c r="H216" i="41"/>
  <c r="AB491" i="1"/>
  <c r="H133" i="11"/>
  <c r="AA718" i="1"/>
  <c r="G48" i="41"/>
  <c r="AA285" i="1"/>
  <c r="C198" i="11"/>
  <c r="AA914" i="1"/>
  <c r="G157" i="41"/>
  <c r="AB409" i="1"/>
  <c r="AA634" i="1"/>
  <c r="AB449" i="1"/>
  <c r="AA925" i="1"/>
  <c r="H108" i="41"/>
  <c r="AA589" i="1"/>
  <c r="AA468" i="1"/>
  <c r="H114" i="41"/>
  <c r="AB871" i="1"/>
  <c r="AB435" i="1"/>
  <c r="AA275" i="1"/>
  <c r="C170" i="11"/>
  <c r="AA295" i="1"/>
  <c r="G53" i="11"/>
  <c r="H204" i="11"/>
  <c r="C243" i="41"/>
  <c r="C246" i="11"/>
  <c r="G176" i="11"/>
  <c r="G211" i="11"/>
  <c r="C223" i="11"/>
  <c r="AB940" i="1"/>
  <c r="H105" i="11"/>
  <c r="AA567" i="1"/>
  <c r="G158" i="11"/>
  <c r="C72" i="41"/>
  <c r="H232" i="41"/>
  <c r="C91" i="11"/>
  <c r="C203" i="11"/>
  <c r="H37" i="41"/>
  <c r="G133" i="11"/>
  <c r="AB659" i="1"/>
  <c r="AB312" i="1"/>
  <c r="AA753" i="1"/>
  <c r="AB577" i="1"/>
  <c r="G185" i="41"/>
  <c r="H158" i="11"/>
  <c r="AA972" i="1"/>
  <c r="G184" i="41"/>
  <c r="AB250" i="1"/>
  <c r="G260" i="41"/>
  <c r="AB28" i="1"/>
  <c r="AB671" i="1"/>
  <c r="AB34" i="1"/>
  <c r="H224" i="11"/>
  <c r="G179" i="11"/>
  <c r="C174" i="11"/>
  <c r="C119" i="41"/>
  <c r="H44" i="41"/>
  <c r="C74" i="41"/>
  <c r="AA735" i="1"/>
  <c r="C186" i="11"/>
  <c r="G207" i="11"/>
  <c r="G39" i="11"/>
  <c r="AA907" i="1"/>
  <c r="AA493" i="1"/>
  <c r="AA327" i="1"/>
  <c r="H180" i="41"/>
  <c r="H167" i="41"/>
  <c r="AB221" i="1"/>
  <c r="AA727" i="1"/>
  <c r="AB260" i="1"/>
  <c r="AB463" i="1"/>
  <c r="H222" i="41"/>
  <c r="H223" i="11"/>
  <c r="AA586" i="1"/>
  <c r="AA415" i="1"/>
  <c r="AB775" i="1"/>
  <c r="AA850" i="1"/>
  <c r="H247" i="41"/>
  <c r="C247" i="11"/>
  <c r="AA723" i="1"/>
  <c r="AA306" i="1"/>
  <c r="AA967" i="1"/>
  <c r="G105" i="11"/>
  <c r="C182" i="11"/>
  <c r="G257" i="11"/>
  <c r="AB23" i="1"/>
  <c r="AA68" i="1"/>
  <c r="AA648" i="1"/>
  <c r="C183" i="41"/>
  <c r="H84" i="11"/>
  <c r="AA348" i="1"/>
  <c r="C202" i="11"/>
  <c r="H31" i="41"/>
  <c r="H114" i="11"/>
  <c r="AB556" i="1"/>
  <c r="AB87" i="1"/>
  <c r="G75" i="11"/>
  <c r="H194" i="41"/>
  <c r="AB399" i="1"/>
  <c r="C261" i="11"/>
  <c r="AB238" i="1"/>
  <c r="AB473" i="1"/>
  <c r="AA410" i="1"/>
  <c r="AB140" i="1"/>
  <c r="H235" i="41"/>
  <c r="AB630" i="1"/>
  <c r="AA310" i="1"/>
  <c r="AB422" i="1"/>
  <c r="AB334" i="1"/>
  <c r="C229" i="41"/>
  <c r="AA207" i="1"/>
  <c r="AB440" i="1"/>
  <c r="C252" i="41"/>
  <c r="H171" i="11"/>
  <c r="AA751" i="1"/>
  <c r="AA21" i="1"/>
  <c r="AB25" i="1"/>
  <c r="G215" i="41"/>
  <c r="S247" i="11" l="1" a="1"/>
  <c r="S247" i="11" s="1"/>
  <c r="D247" i="11" a="1"/>
  <c r="D247" i="11" s="1"/>
  <c r="E247" i="11" a="1"/>
  <c r="E247" i="11" s="1"/>
  <c r="U247" i="11" a="1"/>
  <c r="U247" i="11" s="1"/>
  <c r="V247" i="11" s="1"/>
  <c r="M247" i="11" a="1"/>
  <c r="M247" i="11" s="1"/>
  <c r="N247" i="11" s="1"/>
  <c r="I247" i="11" a="1"/>
  <c r="I247" i="11" s="1"/>
  <c r="J247" i="11" s="1"/>
  <c r="W247" i="11" a="1"/>
  <c r="W247" i="11" s="1"/>
  <c r="Y247" i="11" s="1"/>
  <c r="K247" i="11" a="1"/>
  <c r="K247" i="11" s="1"/>
  <c r="F247" i="11" a="1"/>
  <c r="F247" i="11" s="1"/>
  <c r="O247" i="11" a="1"/>
  <c r="O247" i="11" s="1"/>
  <c r="Q247" i="11" a="1"/>
  <c r="Q247" i="11" s="1"/>
  <c r="R247" i="11" s="1"/>
  <c r="BF160" i="7"/>
  <c r="BF160" i="47"/>
  <c r="BF160" i="46"/>
  <c r="D40" i="11" a="1"/>
  <c r="D40" i="11" s="1"/>
  <c r="D54" i="41" a="1"/>
  <c r="D54" i="41" s="1"/>
  <c r="E205" i="11" a="1"/>
  <c r="E205" i="11" s="1"/>
  <c r="U205" i="11" a="1"/>
  <c r="U205" i="11" s="1"/>
  <c r="V205" i="11" s="1"/>
  <c r="S205" i="11" a="1"/>
  <c r="S205" i="11" s="1"/>
  <c r="I205" i="11" a="1"/>
  <c r="I205" i="11" s="1"/>
  <c r="J205" i="11" s="1"/>
  <c r="W205" i="11" a="1"/>
  <c r="W205" i="11" s="1"/>
  <c r="Y205" i="11" s="1"/>
  <c r="F205" i="11" a="1"/>
  <c r="F205" i="11" s="1"/>
  <c r="O205" i="11" a="1"/>
  <c r="O205" i="11" s="1"/>
  <c r="M205" i="11" a="1"/>
  <c r="M205" i="11" s="1"/>
  <c r="N205" i="11" s="1"/>
  <c r="D205" i="11" a="1"/>
  <c r="D205" i="11" s="1"/>
  <c r="K205" i="11" a="1"/>
  <c r="K205" i="11" s="1"/>
  <c r="Q205" i="11" a="1"/>
  <c r="Q205" i="11" s="1"/>
  <c r="R205" i="11" s="1"/>
  <c r="D111" i="41" a="1"/>
  <c r="D111" i="41" s="1"/>
  <c r="D28" i="41" a="1"/>
  <c r="D28" i="41" s="1"/>
  <c r="BF52" i="7"/>
  <c r="BF52" i="46"/>
  <c r="BF52" i="47"/>
  <c r="D182" i="11" a="1"/>
  <c r="D182" i="11" s="1"/>
  <c r="D186" i="11" a="1"/>
  <c r="D186" i="11" s="1"/>
  <c r="D91" i="11" a="1"/>
  <c r="D91" i="11" s="1"/>
  <c r="D206" i="41" a="1"/>
  <c r="D206" i="41" s="1"/>
  <c r="M206" i="41" a="1"/>
  <c r="M206" i="41" s="1"/>
  <c r="N206" i="41" s="1"/>
  <c r="S206" i="41" a="1"/>
  <c r="S206" i="41" s="1"/>
  <c r="Q206" i="41" a="1"/>
  <c r="Q206" i="41" s="1"/>
  <c r="R206" i="41" s="1"/>
  <c r="E206" i="41" a="1"/>
  <c r="E206" i="41" s="1"/>
  <c r="I206" i="41" a="1"/>
  <c r="I206" i="41" s="1"/>
  <c r="J206" i="41" s="1"/>
  <c r="K206" i="41" a="1"/>
  <c r="K206" i="41" s="1"/>
  <c r="F206" i="41" a="1"/>
  <c r="F206" i="41" s="1"/>
  <c r="O206" i="41" a="1"/>
  <c r="O206" i="41" s="1"/>
  <c r="D155" i="11" a="1"/>
  <c r="D155" i="11" s="1"/>
  <c r="BE49" i="7"/>
  <c r="BE49" i="47"/>
  <c r="BE49" i="46"/>
  <c r="D139" i="11" a="1"/>
  <c r="D139" i="11" s="1"/>
  <c r="BE52" i="46"/>
  <c r="BE52" i="47"/>
  <c r="BE52" i="7"/>
  <c r="D68" i="41" a="1"/>
  <c r="D68" i="41" s="1"/>
  <c r="D105" i="11" a="1"/>
  <c r="D105" i="11" s="1"/>
  <c r="D45" i="41" a="1"/>
  <c r="D45" i="41" s="1"/>
  <c r="D122" i="41" a="1"/>
  <c r="D122" i="41" s="1"/>
  <c r="BE14" i="47"/>
  <c r="BE14" i="7"/>
  <c r="BE14" i="46"/>
  <c r="D111" i="11" a="1"/>
  <c r="D111" i="11" s="1"/>
  <c r="BE30" i="46"/>
  <c r="BE30" i="47"/>
  <c r="BE30" i="7"/>
  <c r="D38" i="41" a="1"/>
  <c r="D38" i="41" s="1"/>
  <c r="Q234" i="11" a="1"/>
  <c r="Q234" i="11" s="1"/>
  <c r="R234" i="11" s="1"/>
  <c r="I234" i="11" a="1"/>
  <c r="I234" i="11" s="1"/>
  <c r="J234" i="11" s="1"/>
  <c r="M234" i="11" a="1"/>
  <c r="M234" i="11" s="1"/>
  <c r="N234" i="11" s="1"/>
  <c r="E234" i="11" a="1"/>
  <c r="E234" i="11" s="1"/>
  <c r="F234" i="11" a="1"/>
  <c r="F234" i="11" s="1"/>
  <c r="U234" i="11" a="1"/>
  <c r="U234" i="11" s="1"/>
  <c r="V234" i="11" s="1"/>
  <c r="O234" i="11" a="1"/>
  <c r="O234" i="11" s="1"/>
  <c r="D234" i="11" a="1"/>
  <c r="D234" i="11" s="1"/>
  <c r="S234" i="11" a="1"/>
  <c r="S234" i="11" s="1"/>
  <c r="K234" i="11" a="1"/>
  <c r="K234" i="11" s="1"/>
  <c r="W234" i="11" a="1"/>
  <c r="W234" i="11" s="1"/>
  <c r="Y234" i="11" s="1"/>
  <c r="BF101" i="46"/>
  <c r="BF101" i="47"/>
  <c r="BF101" i="7"/>
  <c r="BE167" i="46"/>
  <c r="BE167" i="7"/>
  <c r="BE167" i="47"/>
  <c r="I232" i="41" a="1"/>
  <c r="I232" i="41" s="1"/>
  <c r="J232" i="41" s="1"/>
  <c r="M232" i="41" a="1"/>
  <c r="M232" i="41" s="1"/>
  <c r="N232" i="41" s="1"/>
  <c r="E232" i="41" a="1"/>
  <c r="E232" i="41" s="1"/>
  <c r="Q232" i="41" a="1"/>
  <c r="Q232" i="41" s="1"/>
  <c r="R232" i="41" s="1"/>
  <c r="S232" i="41" a="1"/>
  <c r="S232" i="41" s="1"/>
  <c r="F232" i="41" a="1"/>
  <c r="F232" i="41" s="1"/>
  <c r="O232" i="41" a="1"/>
  <c r="O232" i="41" s="1"/>
  <c r="K232" i="41" a="1"/>
  <c r="K232" i="41" s="1"/>
  <c r="D232" i="41" a="1"/>
  <c r="D232" i="41" s="1"/>
  <c r="BF14" i="47"/>
  <c r="BF14" i="46"/>
  <c r="BF14" i="7"/>
  <c r="D137" i="41" a="1"/>
  <c r="D137" i="41" s="1"/>
  <c r="BF173" i="47"/>
  <c r="BF173" i="46"/>
  <c r="BF173" i="7"/>
  <c r="D127" i="11" a="1"/>
  <c r="D127" i="11" s="1"/>
  <c r="D118" i="11" a="1"/>
  <c r="D118" i="11" s="1"/>
  <c r="K254" i="41" a="1"/>
  <c r="K254" i="41" s="1"/>
  <c r="O254" i="41" a="1"/>
  <c r="O254" i="41" s="1"/>
  <c r="M254" i="41" a="1"/>
  <c r="M254" i="41" s="1"/>
  <c r="N254" i="41" s="1"/>
  <c r="E254" i="41" a="1"/>
  <c r="E254" i="41" s="1"/>
  <c r="I254" i="41" a="1"/>
  <c r="I254" i="41" s="1"/>
  <c r="J254" i="41" s="1"/>
  <c r="S254" i="41" a="1"/>
  <c r="S254" i="41" s="1"/>
  <c r="Q254" i="41" a="1"/>
  <c r="Q254" i="41" s="1"/>
  <c r="R254" i="41" s="1"/>
  <c r="F254" i="41" a="1"/>
  <c r="F254" i="41" s="1"/>
  <c r="D254" i="41" a="1"/>
  <c r="D254" i="41" s="1"/>
  <c r="BF135" i="7"/>
  <c r="BF135" i="47"/>
  <c r="BF135" i="46"/>
  <c r="BF28" i="46"/>
  <c r="BF28" i="7"/>
  <c r="BF28" i="47"/>
  <c r="D34" i="11" a="1"/>
  <c r="D34" i="11" s="1"/>
  <c r="D89" i="11" a="1"/>
  <c r="D89" i="11" s="1"/>
  <c r="BF51" i="7"/>
  <c r="BF51" i="47"/>
  <c r="BF51" i="46"/>
  <c r="BF170" i="7"/>
  <c r="BF170" i="46"/>
  <c r="BF170" i="47"/>
  <c r="U250" i="11" a="1"/>
  <c r="U250" i="11" s="1"/>
  <c r="V250" i="11" s="1"/>
  <c r="O250" i="11" a="1"/>
  <c r="O250" i="11" s="1"/>
  <c r="M250" i="11" a="1"/>
  <c r="M250" i="11" s="1"/>
  <c r="N250" i="11" s="1"/>
  <c r="W250" i="11" a="1"/>
  <c r="W250" i="11" s="1"/>
  <c r="Y250" i="11" s="1"/>
  <c r="K250" i="11" a="1"/>
  <c r="K250" i="11" s="1"/>
  <c r="F250" i="11" a="1"/>
  <c r="F250" i="11" s="1"/>
  <c r="I250" i="11" a="1"/>
  <c r="I250" i="11" s="1"/>
  <c r="J250" i="11" s="1"/>
  <c r="E250" i="11" a="1"/>
  <c r="E250" i="11" s="1"/>
  <c r="D250" i="11" a="1"/>
  <c r="D250" i="11" s="1"/>
  <c r="S250" i="11" a="1"/>
  <c r="S250" i="11" s="1"/>
  <c r="Q250" i="11" a="1"/>
  <c r="Q250" i="11" s="1"/>
  <c r="R250" i="11" s="1"/>
  <c r="BF60" i="47"/>
  <c r="BF60" i="7"/>
  <c r="BF60" i="46"/>
  <c r="D243" i="11" a="1"/>
  <c r="D243" i="11" s="1"/>
  <c r="O243" i="11" a="1"/>
  <c r="O243" i="11" s="1"/>
  <c r="S243" i="11" a="1"/>
  <c r="S243" i="11" s="1"/>
  <c r="E243" i="11" a="1"/>
  <c r="E243" i="11" s="1"/>
  <c r="K243" i="11" a="1"/>
  <c r="K243" i="11" s="1"/>
  <c r="U243" i="11" a="1"/>
  <c r="U243" i="11" s="1"/>
  <c r="V243" i="11" s="1"/>
  <c r="M243" i="11" a="1"/>
  <c r="M243" i="11" s="1"/>
  <c r="N243" i="11" s="1"/>
  <c r="I243" i="11" a="1"/>
  <c r="I243" i="11" s="1"/>
  <c r="J243" i="11" s="1"/>
  <c r="F243" i="11" a="1"/>
  <c r="F243" i="11" s="1"/>
  <c r="W243" i="11" a="1"/>
  <c r="W243" i="11" s="1"/>
  <c r="Y243" i="11" s="1"/>
  <c r="Q243" i="11" a="1"/>
  <c r="Q243" i="11" s="1"/>
  <c r="R243" i="11" s="1"/>
  <c r="BE54" i="7"/>
  <c r="BE54" i="47"/>
  <c r="BE54" i="46"/>
  <c r="D48" i="11" a="1"/>
  <c r="D48" i="11" s="1"/>
  <c r="D52" i="11" a="1"/>
  <c r="D52" i="11" s="1"/>
  <c r="D29" i="41" a="1"/>
  <c r="D29" i="41" s="1"/>
  <c r="K257" i="11" a="1"/>
  <c r="K257" i="11" s="1"/>
  <c r="S257" i="11" a="1"/>
  <c r="S257" i="11" s="1"/>
  <c r="I257" i="11" a="1"/>
  <c r="I257" i="11" s="1"/>
  <c r="J257" i="11" s="1"/>
  <c r="E257" i="11" a="1"/>
  <c r="E257" i="11" s="1"/>
  <c r="M257" i="11" a="1"/>
  <c r="M257" i="11" s="1"/>
  <c r="N257" i="11" s="1"/>
  <c r="F257" i="11" a="1"/>
  <c r="F257" i="11" s="1"/>
  <c r="W257" i="11" a="1"/>
  <c r="W257" i="11" s="1"/>
  <c r="Y257" i="11" s="1"/>
  <c r="D257" i="11" a="1"/>
  <c r="D257" i="11" s="1"/>
  <c r="Q257" i="11" a="1"/>
  <c r="Q257" i="11" s="1"/>
  <c r="R257" i="11" s="1"/>
  <c r="U257" i="11" a="1"/>
  <c r="U257" i="11" s="1"/>
  <c r="V257" i="11" s="1"/>
  <c r="O257" i="11" a="1"/>
  <c r="O257" i="11" s="1"/>
  <c r="K238" i="41" a="1"/>
  <c r="K238" i="41" s="1"/>
  <c r="S238" i="41" a="1"/>
  <c r="S238" i="41" s="1"/>
  <c r="D238" i="41" a="1"/>
  <c r="D238" i="41" s="1"/>
  <c r="O238" i="41" a="1"/>
  <c r="O238" i="41" s="1"/>
  <c r="I238" i="41" a="1"/>
  <c r="I238" i="41" s="1"/>
  <c r="J238" i="41" s="1"/>
  <c r="M238" i="41" a="1"/>
  <c r="M238" i="41" s="1"/>
  <c r="N238" i="41" s="1"/>
  <c r="Q238" i="41" a="1"/>
  <c r="Q238" i="41" s="1"/>
  <c r="R238" i="41" s="1"/>
  <c r="F238" i="41" a="1"/>
  <c r="F238" i="41" s="1"/>
  <c r="E238" i="41" a="1"/>
  <c r="E238" i="41" s="1"/>
  <c r="BF118" i="46"/>
  <c r="BF118" i="7"/>
  <c r="BF118" i="47"/>
  <c r="Q248" i="11" a="1"/>
  <c r="Q248" i="11" s="1"/>
  <c r="R248" i="11" s="1"/>
  <c r="D248" i="11" a="1"/>
  <c r="D248" i="11" s="1"/>
  <c r="S248" i="11" a="1"/>
  <c r="S248" i="11" s="1"/>
  <c r="M248" i="11" a="1"/>
  <c r="M248" i="11" s="1"/>
  <c r="N248" i="11" s="1"/>
  <c r="O248" i="11" a="1"/>
  <c r="O248" i="11" s="1"/>
  <c r="K248" i="11" a="1"/>
  <c r="K248" i="11" s="1"/>
  <c r="I248" i="11" a="1"/>
  <c r="I248" i="11" s="1"/>
  <c r="J248" i="11" s="1"/>
  <c r="W248" i="11" a="1"/>
  <c r="W248" i="11" s="1"/>
  <c r="Y248" i="11" s="1"/>
  <c r="U248" i="11" a="1"/>
  <c r="U248" i="11" s="1"/>
  <c r="V248" i="11" s="1"/>
  <c r="E248" i="11" a="1"/>
  <c r="E248" i="11" s="1"/>
  <c r="F248" i="11" a="1"/>
  <c r="F248" i="11" s="1"/>
  <c r="BE144" i="46"/>
  <c r="BE144" i="47"/>
  <c r="BE144" i="7"/>
  <c r="E232" i="11" a="1"/>
  <c r="E232" i="11" s="1"/>
  <c r="F232" i="11" a="1"/>
  <c r="F232" i="11" s="1"/>
  <c r="I232" i="11" a="1"/>
  <c r="I232" i="11" s="1"/>
  <c r="J232" i="11" s="1"/>
  <c r="U232" i="11" a="1"/>
  <c r="U232" i="11" s="1"/>
  <c r="V232" i="11" s="1"/>
  <c r="W232" i="11" a="1"/>
  <c r="W232" i="11" s="1"/>
  <c r="Y232" i="11" s="1"/>
  <c r="K232" i="11" a="1"/>
  <c r="K232" i="11" s="1"/>
  <c r="S232" i="11" a="1"/>
  <c r="S232" i="11" s="1"/>
  <c r="O232" i="11" a="1"/>
  <c r="O232" i="11" s="1"/>
  <c r="Q232" i="11" a="1"/>
  <c r="Q232" i="11" s="1"/>
  <c r="R232" i="11" s="1"/>
  <c r="M232" i="11" a="1"/>
  <c r="M232" i="11" s="1"/>
  <c r="N232" i="11" s="1"/>
  <c r="D232" i="11" a="1"/>
  <c r="D232" i="11" s="1"/>
  <c r="D140" i="11" a="1"/>
  <c r="D140" i="11" s="1"/>
  <c r="D158" i="11" a="1"/>
  <c r="D158" i="11" s="1"/>
  <c r="D80" i="41" a="1"/>
  <c r="D80" i="41" s="1"/>
  <c r="BE42" i="7"/>
  <c r="BE42" i="47"/>
  <c r="BE42" i="46"/>
  <c r="BF154" i="7"/>
  <c r="BF154" i="47"/>
  <c r="BF154" i="46"/>
  <c r="D154" i="41" a="1"/>
  <c r="D154" i="41" s="1"/>
  <c r="E217" i="11" a="1"/>
  <c r="E217" i="11" s="1"/>
  <c r="U217" i="11" a="1"/>
  <c r="U217" i="11" s="1"/>
  <c r="V217" i="11" s="1"/>
  <c r="I217" i="11" a="1"/>
  <c r="I217" i="11" s="1"/>
  <c r="J217" i="11" s="1"/>
  <c r="F217" i="11" a="1"/>
  <c r="F217" i="11" s="1"/>
  <c r="D217" i="11" a="1"/>
  <c r="D217" i="11" s="1"/>
  <c r="K217" i="11" a="1"/>
  <c r="K217" i="11" s="1"/>
  <c r="M217" i="11" a="1"/>
  <c r="M217" i="11" s="1"/>
  <c r="N217" i="11" s="1"/>
  <c r="O217" i="11" a="1"/>
  <c r="O217" i="11" s="1"/>
  <c r="S217" i="11" a="1"/>
  <c r="S217" i="11" s="1"/>
  <c r="Q217" i="11" a="1"/>
  <c r="Q217" i="11" s="1"/>
  <c r="R217" i="11" s="1"/>
  <c r="W217" i="11" a="1"/>
  <c r="W217" i="11" s="1"/>
  <c r="Y217" i="11" s="1"/>
  <c r="D180" i="11" a="1"/>
  <c r="D180" i="11" s="1"/>
  <c r="BE17" i="47"/>
  <c r="BE17" i="46"/>
  <c r="BE17" i="7"/>
  <c r="E239" i="41" a="1"/>
  <c r="E239" i="41" s="1"/>
  <c r="S239" i="41" a="1"/>
  <c r="S239" i="41" s="1"/>
  <c r="Q239" i="41" a="1"/>
  <c r="Q239" i="41" s="1"/>
  <c r="R239" i="41" s="1"/>
  <c r="K239" i="41" a="1"/>
  <c r="K239" i="41" s="1"/>
  <c r="O239" i="41" a="1"/>
  <c r="O239" i="41" s="1"/>
  <c r="D239" i="41" a="1"/>
  <c r="D239" i="41" s="1"/>
  <c r="I239" i="41" a="1"/>
  <c r="I239" i="41" s="1"/>
  <c r="J239" i="41" s="1"/>
  <c r="F239" i="41" a="1"/>
  <c r="F239" i="41" s="1"/>
  <c r="M239" i="41" a="1"/>
  <c r="M239" i="41" s="1"/>
  <c r="N239" i="41" s="1"/>
  <c r="S210" i="11" a="1"/>
  <c r="S210" i="11" s="1"/>
  <c r="I210" i="11" a="1"/>
  <c r="I210" i="11" s="1"/>
  <c r="J210" i="11" s="1"/>
  <c r="U210" i="11" a="1"/>
  <c r="U210" i="11" s="1"/>
  <c r="V210" i="11" s="1"/>
  <c r="O210" i="11" a="1"/>
  <c r="O210" i="11" s="1"/>
  <c r="Q210" i="11" a="1"/>
  <c r="Q210" i="11" s="1"/>
  <c r="R210" i="11" s="1"/>
  <c r="M210" i="11" a="1"/>
  <c r="M210" i="11" s="1"/>
  <c r="N210" i="11" s="1"/>
  <c r="K210" i="11" a="1"/>
  <c r="K210" i="11" s="1"/>
  <c r="D210" i="11" a="1"/>
  <c r="D210" i="11" s="1"/>
  <c r="W210" i="11" a="1"/>
  <c r="W210" i="11" s="1"/>
  <c r="Y210" i="11" s="1"/>
  <c r="F210" i="11" a="1"/>
  <c r="F210" i="11" s="1"/>
  <c r="E210" i="11" a="1"/>
  <c r="E210" i="11" s="1"/>
  <c r="BE44" i="47"/>
  <c r="BE44" i="7"/>
  <c r="BE44" i="46"/>
  <c r="BF169" i="7"/>
  <c r="BF169" i="46"/>
  <c r="BF169" i="47"/>
  <c r="Q226" i="11" a="1"/>
  <c r="Q226" i="11" s="1"/>
  <c r="R226" i="11" s="1"/>
  <c r="D226" i="11" a="1"/>
  <c r="D226" i="11" s="1"/>
  <c r="M226" i="11" a="1"/>
  <c r="M226" i="11" s="1"/>
  <c r="N226" i="11" s="1"/>
  <c r="U226" i="11" a="1"/>
  <c r="U226" i="11" s="1"/>
  <c r="V226" i="11" s="1"/>
  <c r="F226" i="11" a="1"/>
  <c r="F226" i="11" s="1"/>
  <c r="S226" i="11" a="1"/>
  <c r="S226" i="11" s="1"/>
  <c r="E226" i="11" a="1"/>
  <c r="E226" i="11" s="1"/>
  <c r="O226" i="11" a="1"/>
  <c r="O226" i="11" s="1"/>
  <c r="I226" i="11" a="1"/>
  <c r="I226" i="11" s="1"/>
  <c r="J226" i="11" s="1"/>
  <c r="W226" i="11" a="1"/>
  <c r="W226" i="11" s="1"/>
  <c r="Y226" i="11" s="1"/>
  <c r="K226" i="11" a="1"/>
  <c r="K226" i="11" s="1"/>
  <c r="BE26" i="7"/>
  <c r="BE26" i="47"/>
  <c r="BE26" i="46"/>
  <c r="BE58" i="46"/>
  <c r="BE58" i="7"/>
  <c r="BE58" i="47"/>
  <c r="D94" i="11" a="1"/>
  <c r="D94" i="11" s="1"/>
  <c r="I209" i="41" a="1"/>
  <c r="I209" i="41" s="1"/>
  <c r="J209" i="41" s="1"/>
  <c r="O209" i="41" a="1"/>
  <c r="O209" i="41" s="1"/>
  <c r="M209" i="41" a="1"/>
  <c r="M209" i="41" s="1"/>
  <c r="N209" i="41" s="1"/>
  <c r="F209" i="41" a="1"/>
  <c r="F209" i="41" s="1"/>
  <c r="K209" i="41" a="1"/>
  <c r="K209" i="41" s="1"/>
  <c r="E209" i="41" a="1"/>
  <c r="E209" i="41" s="1"/>
  <c r="S209" i="41" a="1"/>
  <c r="S209" i="41" s="1"/>
  <c r="D209" i="41" a="1"/>
  <c r="D209" i="41" s="1"/>
  <c r="Q209" i="41" a="1"/>
  <c r="Q209" i="41" s="1"/>
  <c r="R209" i="41" s="1"/>
  <c r="BE59" i="7"/>
  <c r="BE59" i="47"/>
  <c r="BE59" i="46"/>
  <c r="BE92" i="46"/>
  <c r="BE92" i="47"/>
  <c r="BE92" i="7"/>
  <c r="D189" i="41" a="1"/>
  <c r="D189" i="41" s="1"/>
  <c r="I230" i="41" a="1"/>
  <c r="I230" i="41" s="1"/>
  <c r="J230" i="41" s="1"/>
  <c r="F230" i="41" a="1"/>
  <c r="F230" i="41" s="1"/>
  <c r="M230" i="41" a="1"/>
  <c r="M230" i="41" s="1"/>
  <c r="N230" i="41" s="1"/>
  <c r="K230" i="41" a="1"/>
  <c r="K230" i="41" s="1"/>
  <c r="E230" i="41" a="1"/>
  <c r="E230" i="41" s="1"/>
  <c r="O230" i="41" a="1"/>
  <c r="O230" i="41" s="1"/>
  <c r="S230" i="41" a="1"/>
  <c r="S230" i="41" s="1"/>
  <c r="D230" i="41" a="1"/>
  <c r="D230" i="41" s="1"/>
  <c r="Q230" i="41" a="1"/>
  <c r="Q230" i="41" s="1"/>
  <c r="R230" i="41" s="1"/>
  <c r="D155" i="41" a="1"/>
  <c r="D155" i="41" s="1"/>
  <c r="BE178" i="47"/>
  <c r="BE178" i="46"/>
  <c r="BE178" i="7"/>
  <c r="BF50" i="46"/>
  <c r="BF50" i="7"/>
  <c r="BF50" i="47"/>
  <c r="D120" i="41" a="1"/>
  <c r="D120" i="41" s="1"/>
  <c r="W239" i="11" a="1"/>
  <c r="W239" i="11" s="1"/>
  <c r="Y239" i="11" s="1"/>
  <c r="M239" i="11" a="1"/>
  <c r="M239" i="11" s="1"/>
  <c r="N239" i="11" s="1"/>
  <c r="D239" i="11" a="1"/>
  <c r="D239" i="11" s="1"/>
  <c r="O239" i="11" a="1"/>
  <c r="O239" i="11" s="1"/>
  <c r="K239" i="11" a="1"/>
  <c r="K239" i="11" s="1"/>
  <c r="I239" i="11" a="1"/>
  <c r="I239" i="11" s="1"/>
  <c r="J239" i="11" s="1"/>
  <c r="Q239" i="11" a="1"/>
  <c r="Q239" i="11" s="1"/>
  <c r="R239" i="11" s="1"/>
  <c r="U239" i="11" a="1"/>
  <c r="U239" i="11" s="1"/>
  <c r="V239" i="11" s="1"/>
  <c r="F239" i="11" a="1"/>
  <c r="F239" i="11" s="1"/>
  <c r="S239" i="11" a="1"/>
  <c r="S239" i="11" s="1"/>
  <c r="E239" i="11" a="1"/>
  <c r="E239" i="11" s="1"/>
  <c r="D67" i="41" a="1"/>
  <c r="D67" i="41" s="1"/>
  <c r="W252" i="11" a="1"/>
  <c r="W252" i="11" s="1"/>
  <c r="Y252" i="11" s="1"/>
  <c r="U252" i="11" a="1"/>
  <c r="U252" i="11" s="1"/>
  <c r="V252" i="11" s="1"/>
  <c r="M252" i="11" a="1"/>
  <c r="M252" i="11" s="1"/>
  <c r="N252" i="11" s="1"/>
  <c r="F252" i="11" a="1"/>
  <c r="F252" i="11" s="1"/>
  <c r="Q252" i="11" a="1"/>
  <c r="Q252" i="11" s="1"/>
  <c r="R252" i="11" s="1"/>
  <c r="D252" i="11" a="1"/>
  <c r="D252" i="11" s="1"/>
  <c r="I252" i="11" a="1"/>
  <c r="I252" i="11" s="1"/>
  <c r="J252" i="11" s="1"/>
  <c r="S252" i="11" a="1"/>
  <c r="S252" i="11" s="1"/>
  <c r="O252" i="11" a="1"/>
  <c r="O252" i="11" s="1"/>
  <c r="K252" i="11" a="1"/>
  <c r="K252" i="11" s="1"/>
  <c r="E252" i="11" a="1"/>
  <c r="E252" i="11" s="1"/>
  <c r="I253" i="11" a="1"/>
  <c r="I253" i="11" s="1"/>
  <c r="J253" i="11" s="1"/>
  <c r="E253" i="11" a="1"/>
  <c r="E253" i="11" s="1"/>
  <c r="K253" i="11" a="1"/>
  <c r="K253" i="11" s="1"/>
  <c r="U253" i="11" a="1"/>
  <c r="U253" i="11" s="1"/>
  <c r="V253" i="11" s="1"/>
  <c r="W253" i="11" a="1"/>
  <c r="W253" i="11" s="1"/>
  <c r="Y253" i="11" s="1"/>
  <c r="S253" i="11" a="1"/>
  <c r="S253" i="11" s="1"/>
  <c r="F253" i="11" a="1"/>
  <c r="F253" i="11" s="1"/>
  <c r="M253" i="11" a="1"/>
  <c r="M253" i="11" s="1"/>
  <c r="N253" i="11" s="1"/>
  <c r="D253" i="11" a="1"/>
  <c r="D253" i="11" s="1"/>
  <c r="Q253" i="11" a="1"/>
  <c r="Q253" i="11" s="1"/>
  <c r="R253" i="11" s="1"/>
  <c r="O253" i="11" a="1"/>
  <c r="O253" i="11" s="1"/>
  <c r="D121" i="11" a="1"/>
  <c r="D121" i="11" s="1"/>
  <c r="D92" i="41" a="1"/>
  <c r="D92" i="41" s="1"/>
  <c r="D44" i="41" a="1"/>
  <c r="D44" i="41" s="1"/>
  <c r="BE38" i="46"/>
  <c r="BE38" i="7"/>
  <c r="BE38" i="47"/>
  <c r="D32" i="11" a="1"/>
  <c r="D32" i="11" s="1"/>
  <c r="BF159" i="46"/>
  <c r="BF159" i="47"/>
  <c r="BF159" i="7"/>
  <c r="D70" i="11" a="1"/>
  <c r="D70" i="11" s="1"/>
  <c r="D152" i="41" a="1"/>
  <c r="D152" i="41" s="1"/>
  <c r="BF149" i="47"/>
  <c r="BF149" i="46"/>
  <c r="BF149" i="7"/>
  <c r="D46" i="41" a="1"/>
  <c r="D46" i="41" s="1"/>
  <c r="BF16" i="47"/>
  <c r="BF16" i="46"/>
  <c r="BF16" i="7"/>
  <c r="D90" i="41" a="1"/>
  <c r="D90" i="41" s="1"/>
  <c r="D51" i="41" a="1"/>
  <c r="D51" i="41" s="1"/>
  <c r="D46" i="11" a="1"/>
  <c r="D46" i="11" s="1"/>
  <c r="BE79" i="46"/>
  <c r="BE79" i="7"/>
  <c r="BE79" i="47"/>
  <c r="BE19" i="7"/>
  <c r="BE19" i="46"/>
  <c r="BE19" i="47"/>
  <c r="D147" i="11" a="1"/>
  <c r="D147" i="11" s="1"/>
  <c r="BF84" i="46"/>
  <c r="BF84" i="47"/>
  <c r="BF84" i="7"/>
  <c r="D139" i="41" a="1"/>
  <c r="D139" i="41" s="1"/>
  <c r="BE115" i="47"/>
  <c r="BE115" i="7"/>
  <c r="BE115" i="46"/>
  <c r="D74" i="41" a="1"/>
  <c r="D74" i="41" s="1"/>
  <c r="D72" i="41" a="1"/>
  <c r="D72" i="41" s="1"/>
  <c r="BE37" i="46"/>
  <c r="BE37" i="7"/>
  <c r="BE37" i="47"/>
  <c r="D25" i="11" a="1"/>
  <c r="D25" i="11" s="1"/>
  <c r="BE22" i="46"/>
  <c r="BE22" i="7"/>
  <c r="BE22" i="47"/>
  <c r="D37" i="41" a="1"/>
  <c r="D37" i="41" s="1"/>
  <c r="E245" i="41" a="1"/>
  <c r="E245" i="41" s="1"/>
  <c r="Q245" i="41" a="1"/>
  <c r="Q245" i="41" s="1"/>
  <c r="R245" i="41" s="1"/>
  <c r="D245" i="41" a="1"/>
  <c r="D245" i="41" s="1"/>
  <c r="F245" i="41" a="1"/>
  <c r="F245" i="41" s="1"/>
  <c r="S245" i="41" a="1"/>
  <c r="S245" i="41" s="1"/>
  <c r="M245" i="41" a="1"/>
  <c r="M245" i="41" s="1"/>
  <c r="N245" i="41" s="1"/>
  <c r="K245" i="41" a="1"/>
  <c r="K245" i="41" s="1"/>
  <c r="O245" i="41" a="1"/>
  <c r="O245" i="41" s="1"/>
  <c r="I245" i="41" a="1"/>
  <c r="I245" i="41" s="1"/>
  <c r="J245" i="41" s="1"/>
  <c r="BE118" i="46"/>
  <c r="BE118" i="47"/>
  <c r="BE118" i="7"/>
  <c r="D40" i="41" a="1"/>
  <c r="D40" i="41" s="1"/>
  <c r="Q227" i="41" a="1"/>
  <c r="Q227" i="41" s="1"/>
  <c r="R227" i="41" s="1"/>
  <c r="D227" i="41" a="1"/>
  <c r="D227" i="41" s="1"/>
  <c r="O227" i="41" a="1"/>
  <c r="O227" i="41" s="1"/>
  <c r="E227" i="41" a="1"/>
  <c r="E227" i="41" s="1"/>
  <c r="F227" i="41" a="1"/>
  <c r="F227" i="41" s="1"/>
  <c r="I227" i="41" a="1"/>
  <c r="I227" i="41" s="1"/>
  <c r="J227" i="41" s="1"/>
  <c r="K227" i="41" a="1"/>
  <c r="K227" i="41" s="1"/>
  <c r="S227" i="41" a="1"/>
  <c r="S227" i="41" s="1"/>
  <c r="M227" i="41" a="1"/>
  <c r="M227" i="41" s="1"/>
  <c r="N227" i="41" s="1"/>
  <c r="BF95" i="47"/>
  <c r="BF95" i="7"/>
  <c r="BF95" i="46"/>
  <c r="D78" i="11" a="1"/>
  <c r="D78" i="11" s="1"/>
  <c r="BE100" i="46"/>
  <c r="BE100" i="47"/>
  <c r="BE100" i="7"/>
  <c r="BF148" i="7"/>
  <c r="BF148" i="47"/>
  <c r="BF148" i="46"/>
  <c r="D141" i="41" a="1"/>
  <c r="D141" i="41" s="1"/>
  <c r="D31" i="11" a="1"/>
  <c r="D31" i="11" s="1"/>
  <c r="D93" i="11" a="1"/>
  <c r="D93" i="11" s="1"/>
  <c r="BF40" i="47"/>
  <c r="BF40" i="46"/>
  <c r="BF40" i="7"/>
  <c r="BE90" i="47"/>
  <c r="BE90" i="46"/>
  <c r="BE90" i="7"/>
  <c r="D153" i="41" a="1"/>
  <c r="D153" i="41" s="1"/>
  <c r="D165" i="41" a="1"/>
  <c r="D165" i="41" s="1"/>
  <c r="D88" i="11" a="1"/>
  <c r="D88" i="11" s="1"/>
  <c r="BE126" i="47"/>
  <c r="BE126" i="7"/>
  <c r="BE126" i="46"/>
  <c r="K245" i="11" a="1"/>
  <c r="K245" i="11" s="1"/>
  <c r="S245" i="11" a="1"/>
  <c r="S245" i="11" s="1"/>
  <c r="Q245" i="11" a="1"/>
  <c r="Q245" i="11" s="1"/>
  <c r="R245" i="11" s="1"/>
  <c r="U245" i="11" a="1"/>
  <c r="U245" i="11" s="1"/>
  <c r="V245" i="11" s="1"/>
  <c r="O245" i="11" a="1"/>
  <c r="O245" i="11" s="1"/>
  <c r="M245" i="11" a="1"/>
  <c r="M245" i="11" s="1"/>
  <c r="N245" i="11" s="1"/>
  <c r="F245" i="11" a="1"/>
  <c r="F245" i="11" s="1"/>
  <c r="E245" i="11" a="1"/>
  <c r="E245" i="11" s="1"/>
  <c r="W245" i="11" a="1"/>
  <c r="W245" i="11" s="1"/>
  <c r="Y245" i="11" s="1"/>
  <c r="D245" i="11" a="1"/>
  <c r="D245" i="11" s="1"/>
  <c r="I245" i="11" a="1"/>
  <c r="I245" i="11" s="1"/>
  <c r="J245" i="11" s="1"/>
  <c r="BE41" i="47"/>
  <c r="BE41" i="46"/>
  <c r="BE41" i="7"/>
  <c r="D97" i="11" a="1"/>
  <c r="D97" i="11" s="1"/>
  <c r="W259" i="11" a="1"/>
  <c r="W259" i="11" s="1"/>
  <c r="Y259" i="11" s="1"/>
  <c r="F259" i="11" a="1"/>
  <c r="F259" i="11" s="1"/>
  <c r="O259" i="11" a="1"/>
  <c r="O259" i="11" s="1"/>
  <c r="M259" i="11" a="1"/>
  <c r="M259" i="11" s="1"/>
  <c r="N259" i="11" s="1"/>
  <c r="U259" i="11" a="1"/>
  <c r="U259" i="11" s="1"/>
  <c r="V259" i="11" s="1"/>
  <c r="Q259" i="11" a="1"/>
  <c r="Q259" i="11" s="1"/>
  <c r="R259" i="11" s="1"/>
  <c r="S259" i="11" a="1"/>
  <c r="S259" i="11" s="1"/>
  <c r="E259" i="11" a="1"/>
  <c r="E259" i="11" s="1"/>
  <c r="I259" i="11" a="1"/>
  <c r="I259" i="11" s="1"/>
  <c r="J259" i="11" s="1"/>
  <c r="K259" i="11" a="1"/>
  <c r="K259" i="11" s="1"/>
  <c r="D259" i="11" a="1"/>
  <c r="D259" i="11" s="1"/>
  <c r="BE105" i="47"/>
  <c r="BE105" i="7"/>
  <c r="BE105" i="46"/>
  <c r="D102" i="11" a="1"/>
  <c r="D102" i="11" s="1"/>
  <c r="BF82" i="47"/>
  <c r="BF82" i="46"/>
  <c r="BF82" i="7"/>
  <c r="D63" i="11" a="1"/>
  <c r="D63" i="11" s="1"/>
  <c r="D117" i="11" a="1"/>
  <c r="D117" i="11" s="1"/>
  <c r="BE73" i="47"/>
  <c r="BE73" i="46"/>
  <c r="BE73" i="7"/>
  <c r="D94" i="41" a="1"/>
  <c r="D94" i="41" s="1"/>
  <c r="BE108" i="46"/>
  <c r="BE108" i="47"/>
  <c r="BE108" i="7"/>
  <c r="M227" i="11" a="1"/>
  <c r="M227" i="11" s="1"/>
  <c r="N227" i="11" s="1"/>
  <c r="I227" i="11" a="1"/>
  <c r="I227" i="11" s="1"/>
  <c r="J227" i="11" s="1"/>
  <c r="D227" i="11" a="1"/>
  <c r="D227" i="11" s="1"/>
  <c r="O227" i="11" a="1"/>
  <c r="O227" i="11" s="1"/>
  <c r="F227" i="11" a="1"/>
  <c r="F227" i="11" s="1"/>
  <c r="U227" i="11" a="1"/>
  <c r="U227" i="11" s="1"/>
  <c r="V227" i="11" s="1"/>
  <c r="Q227" i="11" a="1"/>
  <c r="Q227" i="11" s="1"/>
  <c r="R227" i="11" s="1"/>
  <c r="E227" i="11" a="1"/>
  <c r="E227" i="11" s="1"/>
  <c r="S227" i="11" a="1"/>
  <c r="S227" i="11" s="1"/>
  <c r="W227" i="11" a="1"/>
  <c r="W227" i="11" s="1"/>
  <c r="Y227" i="11" s="1"/>
  <c r="K227" i="11" a="1"/>
  <c r="K227" i="11" s="1"/>
  <c r="D178" i="11" a="1"/>
  <c r="D178" i="11" s="1"/>
  <c r="BF86" i="46"/>
  <c r="BF86" i="7"/>
  <c r="BF86" i="47"/>
  <c r="BF109" i="47"/>
  <c r="BF109" i="46"/>
  <c r="BF109" i="7"/>
  <c r="I238" i="11" a="1"/>
  <c r="I238" i="11" s="1"/>
  <c r="J238" i="11" s="1"/>
  <c r="M238" i="11" a="1"/>
  <c r="M238" i="11" s="1"/>
  <c r="N238" i="11" s="1"/>
  <c r="E238" i="11" a="1"/>
  <c r="E238" i="11" s="1"/>
  <c r="D238" i="11" a="1"/>
  <c r="D238" i="11" s="1"/>
  <c r="U238" i="11" a="1"/>
  <c r="U238" i="11" s="1"/>
  <c r="V238" i="11" s="1"/>
  <c r="K238" i="11" a="1"/>
  <c r="K238" i="11" s="1"/>
  <c r="W238" i="11" a="1"/>
  <c r="W238" i="11" s="1"/>
  <c r="Y238" i="11" s="1"/>
  <c r="Q238" i="11" a="1"/>
  <c r="Q238" i="11" s="1"/>
  <c r="R238" i="11" s="1"/>
  <c r="S238" i="11" a="1"/>
  <c r="S238" i="11" s="1"/>
  <c r="O238" i="11" a="1"/>
  <c r="O238" i="11" s="1"/>
  <c r="F238" i="11" a="1"/>
  <c r="F238" i="11" s="1"/>
  <c r="D89" i="41" a="1"/>
  <c r="D89" i="41" s="1"/>
  <c r="O202" i="41" a="1"/>
  <c r="O202" i="41" s="1"/>
  <c r="S202" i="41" a="1"/>
  <c r="S202" i="41" s="1"/>
  <c r="Q202" i="41" a="1"/>
  <c r="Q202" i="41" s="1"/>
  <c r="R202" i="41" s="1"/>
  <c r="F202" i="41" a="1"/>
  <c r="F202" i="41" s="1"/>
  <c r="M202" i="41" a="1"/>
  <c r="M202" i="41" s="1"/>
  <c r="N202" i="41" s="1"/>
  <c r="D202" i="41" a="1"/>
  <c r="D202" i="41" s="1"/>
  <c r="E202" i="41" a="1"/>
  <c r="E202" i="41" s="1"/>
  <c r="I202" i="41" a="1"/>
  <c r="I202" i="41" s="1"/>
  <c r="J202" i="41" s="1"/>
  <c r="K202" i="41" a="1"/>
  <c r="K202" i="41" s="1"/>
  <c r="BE34" i="7"/>
  <c r="BE34" i="47"/>
  <c r="BE34" i="46"/>
  <c r="D69" i="41" a="1"/>
  <c r="D69" i="41" s="1"/>
  <c r="D66" i="41" a="1"/>
  <c r="D66" i="41" s="1"/>
  <c r="BE158" i="46"/>
  <c r="BE158" i="7"/>
  <c r="BE158" i="47"/>
  <c r="D90" i="11" a="1"/>
  <c r="D90" i="11" s="1"/>
  <c r="D163" i="41" a="1"/>
  <c r="D163" i="41" s="1"/>
  <c r="D73" i="41" a="1"/>
  <c r="D73" i="41" s="1"/>
  <c r="BF70" i="47"/>
  <c r="BF70" i="7"/>
  <c r="BF70" i="46"/>
  <c r="D171" i="41" a="1"/>
  <c r="D171" i="41" s="1"/>
  <c r="Q250" i="41" a="1"/>
  <c r="Q250" i="41" s="1"/>
  <c r="R250" i="41" s="1"/>
  <c r="E250" i="41" a="1"/>
  <c r="E250" i="41" s="1"/>
  <c r="M250" i="41" a="1"/>
  <c r="M250" i="41" s="1"/>
  <c r="N250" i="41" s="1"/>
  <c r="K250" i="41" a="1"/>
  <c r="K250" i="41" s="1"/>
  <c r="D250" i="41" a="1"/>
  <c r="D250" i="41" s="1"/>
  <c r="O250" i="41" a="1"/>
  <c r="O250" i="41" s="1"/>
  <c r="F250" i="41" a="1"/>
  <c r="F250" i="41" s="1"/>
  <c r="I250" i="41" a="1"/>
  <c r="I250" i="41" s="1"/>
  <c r="J250" i="41" s="1"/>
  <c r="S250" i="41" a="1"/>
  <c r="S250" i="41" s="1"/>
  <c r="D59" i="11" a="1"/>
  <c r="D59" i="11" s="1"/>
  <c r="D186" i="41" a="1"/>
  <c r="D186" i="41" s="1"/>
  <c r="D50" i="11" a="1"/>
  <c r="D50" i="11" s="1"/>
  <c r="D178" i="41" a="1"/>
  <c r="D178" i="41" s="1"/>
  <c r="D180" i="41" a="1"/>
  <c r="D180" i="41" s="1"/>
  <c r="I206" i="11" a="1"/>
  <c r="I206" i="11" s="1"/>
  <c r="J206" i="11" s="1"/>
  <c r="D206" i="11" a="1"/>
  <c r="D206" i="11" s="1"/>
  <c r="O206" i="11" a="1"/>
  <c r="O206" i="11" s="1"/>
  <c r="U206" i="11" a="1"/>
  <c r="U206" i="11" s="1"/>
  <c r="V206" i="11" s="1"/>
  <c r="Q206" i="11" a="1"/>
  <c r="Q206" i="11" s="1"/>
  <c r="R206" i="11" s="1"/>
  <c r="K206" i="11" a="1"/>
  <c r="K206" i="11" s="1"/>
  <c r="M206" i="11" a="1"/>
  <c r="M206" i="11" s="1"/>
  <c r="N206" i="11" s="1"/>
  <c r="W206" i="11" a="1"/>
  <c r="W206" i="11" s="1"/>
  <c r="Y206" i="11" s="1"/>
  <c r="S206" i="11" a="1"/>
  <c r="S206" i="11" s="1"/>
  <c r="E206" i="11" a="1"/>
  <c r="E206" i="11" s="1"/>
  <c r="F206" i="11" a="1"/>
  <c r="F206" i="11" s="1"/>
  <c r="D99" i="11" a="1"/>
  <c r="D99" i="11" s="1"/>
  <c r="D134" i="11" a="1"/>
  <c r="D134" i="11" s="1"/>
  <c r="BF65" i="46"/>
  <c r="BF65" i="7"/>
  <c r="BF65" i="47"/>
  <c r="D91" i="41" a="1"/>
  <c r="D91" i="41" s="1"/>
  <c r="BF176" i="46"/>
  <c r="BF176" i="7"/>
  <c r="BF176" i="47"/>
  <c r="D162" i="41" a="1"/>
  <c r="D162" i="41" s="1"/>
  <c r="BE88" i="46"/>
  <c r="BE88" i="7"/>
  <c r="BE88" i="47"/>
  <c r="BE135" i="47"/>
  <c r="BE135" i="7"/>
  <c r="BE135" i="46"/>
  <c r="D98" i="11" a="1"/>
  <c r="D98" i="11" s="1"/>
  <c r="D56" i="41" a="1"/>
  <c r="D56" i="41" s="1"/>
  <c r="O237" i="11" a="1"/>
  <c r="O237" i="11" s="1"/>
  <c r="D237" i="11" a="1"/>
  <c r="D237" i="11" s="1"/>
  <c r="E237" i="11" a="1"/>
  <c r="E237" i="11" s="1"/>
  <c r="Q237" i="11" a="1"/>
  <c r="Q237" i="11" s="1"/>
  <c r="R237" i="11" s="1"/>
  <c r="U237" i="11" a="1"/>
  <c r="U237" i="11" s="1"/>
  <c r="V237" i="11" s="1"/>
  <c r="K237" i="11" a="1"/>
  <c r="K237" i="11" s="1"/>
  <c r="S237" i="11" a="1"/>
  <c r="S237" i="11" s="1"/>
  <c r="F237" i="11" a="1"/>
  <c r="F237" i="11" s="1"/>
  <c r="M237" i="11" a="1"/>
  <c r="M237" i="11" s="1"/>
  <c r="N237" i="11" s="1"/>
  <c r="W237" i="11" a="1"/>
  <c r="W237" i="11" s="1"/>
  <c r="Y237" i="11" s="1"/>
  <c r="I237" i="11" a="1"/>
  <c r="I237" i="11" s="1"/>
  <c r="J237" i="11" s="1"/>
  <c r="BF87" i="47"/>
  <c r="BF87" i="7"/>
  <c r="BF87" i="46"/>
  <c r="BE159" i="47"/>
  <c r="BE159" i="46"/>
  <c r="BE159" i="7"/>
  <c r="BF20" i="47"/>
  <c r="BF20" i="46"/>
  <c r="BF20" i="7"/>
  <c r="D170" i="11" a="1"/>
  <c r="D170" i="11" s="1"/>
  <c r="D135" i="11" a="1"/>
  <c r="D135" i="11" s="1"/>
  <c r="D86" i="41" a="1"/>
  <c r="D86" i="41" s="1"/>
  <c r="BE21" i="46"/>
  <c r="BE21" i="7"/>
  <c r="BE21" i="47"/>
  <c r="BE89" i="46"/>
  <c r="BE89" i="7"/>
  <c r="BE89" i="47"/>
  <c r="D107" i="11" a="1"/>
  <c r="D107" i="11" s="1"/>
  <c r="BE16" i="46"/>
  <c r="BE16" i="47"/>
  <c r="BE16" i="7"/>
  <c r="BF167" i="46"/>
  <c r="BF167" i="7"/>
  <c r="BF167" i="47"/>
  <c r="BF141" i="7"/>
  <c r="BF141" i="46"/>
  <c r="BF141" i="47"/>
  <c r="BE123" i="47"/>
  <c r="BE123" i="46"/>
  <c r="BE123" i="7"/>
  <c r="E197" i="11" a="1"/>
  <c r="E197" i="11" s="1"/>
  <c r="W197" i="11" a="1"/>
  <c r="W197" i="11" s="1"/>
  <c r="Y197" i="11" s="1"/>
  <c r="M197" i="11" a="1"/>
  <c r="M197" i="11" s="1"/>
  <c r="N197" i="11" s="1"/>
  <c r="F197" i="11" a="1"/>
  <c r="F197" i="11" s="1"/>
  <c r="S197" i="11" a="1"/>
  <c r="S197" i="11" s="1"/>
  <c r="O197" i="11" a="1"/>
  <c r="O197" i="11" s="1"/>
  <c r="I197" i="11" a="1"/>
  <c r="I197" i="11" s="1"/>
  <c r="J197" i="11" s="1"/>
  <c r="U197" i="11" a="1"/>
  <c r="U197" i="11" s="1"/>
  <c r="V197" i="11" s="1"/>
  <c r="K197" i="11" a="1"/>
  <c r="K197" i="11" s="1"/>
  <c r="D197" i="11" a="1"/>
  <c r="D197" i="11" s="1"/>
  <c r="Q197" i="11" a="1"/>
  <c r="Q197" i="11" s="1"/>
  <c r="R197" i="11" s="1"/>
  <c r="D117" i="41" a="1"/>
  <c r="D117" i="41" s="1"/>
  <c r="D79" i="41" a="1"/>
  <c r="D79" i="41" s="1"/>
  <c r="BE20" i="47"/>
  <c r="BE20" i="46"/>
  <c r="BE20" i="7"/>
  <c r="D102" i="41" a="1"/>
  <c r="D102" i="41" s="1"/>
  <c r="D60" i="11" a="1"/>
  <c r="D60" i="11" s="1"/>
  <c r="BE82" i="47"/>
  <c r="BE82" i="7"/>
  <c r="BE82" i="46"/>
  <c r="D84" i="41" a="1"/>
  <c r="D84" i="41" s="1"/>
  <c r="BF130" i="47"/>
  <c r="BF130" i="7"/>
  <c r="BF130" i="46"/>
  <c r="BE161" i="46"/>
  <c r="BE161" i="47"/>
  <c r="BE161" i="7"/>
  <c r="D150" i="41" a="1"/>
  <c r="D150" i="41" s="1"/>
  <c r="BE117" i="7"/>
  <c r="BE117" i="47"/>
  <c r="BE117" i="46"/>
  <c r="Q246" i="41" a="1"/>
  <c r="Q246" i="41" s="1"/>
  <c r="R246" i="41" s="1"/>
  <c r="D246" i="41" a="1"/>
  <c r="D246" i="41" s="1"/>
  <c r="F246" i="41" a="1"/>
  <c r="F246" i="41" s="1"/>
  <c r="O246" i="41" a="1"/>
  <c r="O246" i="41" s="1"/>
  <c r="I246" i="41" a="1"/>
  <c r="I246" i="41" s="1"/>
  <c r="J246" i="41" s="1"/>
  <c r="S246" i="41" a="1"/>
  <c r="S246" i="41" s="1"/>
  <c r="K246" i="41" a="1"/>
  <c r="K246" i="41" s="1"/>
  <c r="E246" i="41" a="1"/>
  <c r="E246" i="41" s="1"/>
  <c r="M246" i="41" a="1"/>
  <c r="M246" i="41" s="1"/>
  <c r="N246" i="41" s="1"/>
  <c r="D32" i="41" a="1"/>
  <c r="D32" i="41" s="1"/>
  <c r="D179" i="41" a="1"/>
  <c r="D179" i="41" s="1"/>
  <c r="D80" i="11" a="1"/>
  <c r="D80" i="11" s="1"/>
  <c r="BF124" i="7"/>
  <c r="BF124" i="46"/>
  <c r="BF124" i="47"/>
  <c r="BF107" i="46"/>
  <c r="BF107" i="7"/>
  <c r="BF107" i="47"/>
  <c r="D35" i="41" a="1"/>
  <c r="D35" i="41" s="1"/>
  <c r="E229" i="11" a="1"/>
  <c r="E229" i="11" s="1"/>
  <c r="S229" i="11" a="1"/>
  <c r="S229" i="11" s="1"/>
  <c r="F229" i="11" a="1"/>
  <c r="F229" i="11" s="1"/>
  <c r="I229" i="11" a="1"/>
  <c r="I229" i="11" s="1"/>
  <c r="J229" i="11" s="1"/>
  <c r="O229" i="11" a="1"/>
  <c r="O229" i="11" s="1"/>
  <c r="Q229" i="11" a="1"/>
  <c r="Q229" i="11" s="1"/>
  <c r="R229" i="11" s="1"/>
  <c r="D229" i="11" a="1"/>
  <c r="D229" i="11" s="1"/>
  <c r="W229" i="11" a="1"/>
  <c r="W229" i="11" s="1"/>
  <c r="Y229" i="11" s="1"/>
  <c r="M229" i="11" a="1"/>
  <c r="M229" i="11" s="1"/>
  <c r="N229" i="11" s="1"/>
  <c r="U229" i="11" a="1"/>
  <c r="U229" i="11" s="1"/>
  <c r="V229" i="11" s="1"/>
  <c r="K229" i="11" a="1"/>
  <c r="K229" i="11" s="1"/>
  <c r="D86" i="11" a="1"/>
  <c r="D86" i="11" s="1"/>
  <c r="BE149" i="46"/>
  <c r="BE149" i="7"/>
  <c r="BE149" i="47"/>
  <c r="I251" i="41" a="1"/>
  <c r="I251" i="41" s="1"/>
  <c r="J251" i="41" s="1"/>
  <c r="O251" i="41" a="1"/>
  <c r="O251" i="41" s="1"/>
  <c r="E251" i="41" a="1"/>
  <c r="E251" i="41" s="1"/>
  <c r="Q251" i="41" a="1"/>
  <c r="Q251" i="41" s="1"/>
  <c r="R251" i="41" s="1"/>
  <c r="K251" i="41" a="1"/>
  <c r="K251" i="41" s="1"/>
  <c r="F251" i="41" a="1"/>
  <c r="F251" i="41" s="1"/>
  <c r="M251" i="41" a="1"/>
  <c r="M251" i="41" s="1"/>
  <c r="N251" i="41" s="1"/>
  <c r="D251" i="41" a="1"/>
  <c r="D251" i="41" s="1"/>
  <c r="S251" i="41" a="1"/>
  <c r="S251" i="41" s="1"/>
  <c r="BE119" i="46"/>
  <c r="BE119" i="7"/>
  <c r="BE119" i="47"/>
  <c r="BF171" i="46"/>
  <c r="BF171" i="47"/>
  <c r="BF171" i="7"/>
  <c r="D67" i="11" a="1"/>
  <c r="D67" i="11" s="1"/>
  <c r="F219" i="11" a="1"/>
  <c r="F219" i="11" s="1"/>
  <c r="U219" i="11" a="1"/>
  <c r="U219" i="11" s="1"/>
  <c r="V219" i="11" s="1"/>
  <c r="K219" i="11" a="1"/>
  <c r="K219" i="11" s="1"/>
  <c r="O219" i="11" a="1"/>
  <c r="O219" i="11" s="1"/>
  <c r="I219" i="11" a="1"/>
  <c r="I219" i="11" s="1"/>
  <c r="J219" i="11" s="1"/>
  <c r="M219" i="11" a="1"/>
  <c r="M219" i="11" s="1"/>
  <c r="N219" i="11" s="1"/>
  <c r="W219" i="11" a="1"/>
  <c r="W219" i="11" s="1"/>
  <c r="Y219" i="11" s="1"/>
  <c r="E219" i="11" a="1"/>
  <c r="E219" i="11" s="1"/>
  <c r="Q219" i="11" a="1"/>
  <c r="Q219" i="11" s="1"/>
  <c r="R219" i="11" s="1"/>
  <c r="D219" i="11" a="1"/>
  <c r="D219" i="11" s="1"/>
  <c r="S219" i="11" a="1"/>
  <c r="S219" i="11" s="1"/>
  <c r="BE81" i="47"/>
  <c r="BE81" i="7"/>
  <c r="BE81" i="46"/>
  <c r="O241" i="41" a="1"/>
  <c r="O241" i="41" s="1"/>
  <c r="D241" i="41" a="1"/>
  <c r="D241" i="41" s="1"/>
  <c r="E241" i="41" a="1"/>
  <c r="E241" i="41" s="1"/>
  <c r="F241" i="41" a="1"/>
  <c r="F241" i="41" s="1"/>
  <c r="K241" i="41" a="1"/>
  <c r="K241" i="41" s="1"/>
  <c r="S241" i="41" a="1"/>
  <c r="S241" i="41" s="1"/>
  <c r="I241" i="41" a="1"/>
  <c r="I241" i="41" s="1"/>
  <c r="J241" i="41" s="1"/>
  <c r="Q241" i="41" a="1"/>
  <c r="Q241" i="41" s="1"/>
  <c r="R241" i="41" s="1"/>
  <c r="M241" i="41" a="1"/>
  <c r="M241" i="41" s="1"/>
  <c r="N241" i="41" s="1"/>
  <c r="D162" i="11" a="1"/>
  <c r="D162" i="11" s="1"/>
  <c r="S224" i="11" a="1"/>
  <c r="S224" i="11" s="1"/>
  <c r="Q224" i="11" a="1"/>
  <c r="Q224" i="11" s="1"/>
  <c r="R224" i="11" s="1"/>
  <c r="D224" i="11" a="1"/>
  <c r="D224" i="11" s="1"/>
  <c r="O224" i="11" a="1"/>
  <c r="O224" i="11" s="1"/>
  <c r="E224" i="11" a="1"/>
  <c r="E224" i="11" s="1"/>
  <c r="I224" i="11" a="1"/>
  <c r="I224" i="11" s="1"/>
  <c r="J224" i="11" s="1"/>
  <c r="K224" i="11" a="1"/>
  <c r="K224" i="11" s="1"/>
  <c r="F224" i="11" a="1"/>
  <c r="F224" i="11" s="1"/>
  <c r="M224" i="11" a="1"/>
  <c r="M224" i="11" s="1"/>
  <c r="N224" i="11" s="1"/>
  <c r="U224" i="11" a="1"/>
  <c r="U224" i="11" s="1"/>
  <c r="V224" i="11" s="1"/>
  <c r="W224" i="11" a="1"/>
  <c r="W224" i="11" s="1"/>
  <c r="Y224" i="11" s="1"/>
  <c r="S255" i="41" a="1"/>
  <c r="S255" i="41" s="1"/>
  <c r="I255" i="41" a="1"/>
  <c r="I255" i="41" s="1"/>
  <c r="J255" i="41" s="1"/>
  <c r="F255" i="41" a="1"/>
  <c r="F255" i="41" s="1"/>
  <c r="Q255" i="41" a="1"/>
  <c r="Q255" i="41" s="1"/>
  <c r="R255" i="41" s="1"/>
  <c r="D255" i="41" a="1"/>
  <c r="D255" i="41" s="1"/>
  <c r="M255" i="41" a="1"/>
  <c r="M255" i="41" s="1"/>
  <c r="N255" i="41" s="1"/>
  <c r="E255" i="41" a="1"/>
  <c r="E255" i="41" s="1"/>
  <c r="O255" i="41" a="1"/>
  <c r="O255" i="41" s="1"/>
  <c r="K255" i="41" a="1"/>
  <c r="K255" i="41" s="1"/>
  <c r="D136" i="41" a="1"/>
  <c r="D136" i="41" s="1"/>
  <c r="S216" i="41" a="1"/>
  <c r="S216" i="41" s="1"/>
  <c r="O216" i="41" a="1"/>
  <c r="O216" i="41" s="1"/>
  <c r="D216" i="41" a="1"/>
  <c r="D216" i="41" s="1"/>
  <c r="Q216" i="41" a="1"/>
  <c r="Q216" i="41" s="1"/>
  <c r="R216" i="41" s="1"/>
  <c r="E216" i="41" a="1"/>
  <c r="E216" i="41" s="1"/>
  <c r="M216" i="41" a="1"/>
  <c r="M216" i="41" s="1"/>
  <c r="N216" i="41" s="1"/>
  <c r="I216" i="41" a="1"/>
  <c r="I216" i="41" s="1"/>
  <c r="J216" i="41" s="1"/>
  <c r="F216" i="41" a="1"/>
  <c r="F216" i="41" s="1"/>
  <c r="K216" i="41" a="1"/>
  <c r="K216" i="41" s="1"/>
  <c r="D159" i="11" a="1"/>
  <c r="D159" i="11" s="1"/>
  <c r="D153" i="11" a="1"/>
  <c r="D153" i="11" s="1"/>
  <c r="D85" i="11" a="1"/>
  <c r="D85" i="11" s="1"/>
  <c r="BF63" i="47"/>
  <c r="BF63" i="46"/>
  <c r="BF63" i="7"/>
  <c r="BF78" i="7"/>
  <c r="BF78" i="46"/>
  <c r="BF78" i="47"/>
  <c r="BF100" i="47"/>
  <c r="BF100" i="46"/>
  <c r="BF100" i="7"/>
  <c r="D146" i="11" a="1"/>
  <c r="D146" i="11" s="1"/>
  <c r="Q256" i="11" a="1"/>
  <c r="Q256" i="11" s="1"/>
  <c r="R256" i="11" s="1"/>
  <c r="F256" i="11" a="1"/>
  <c r="F256" i="11" s="1"/>
  <c r="U256" i="11" a="1"/>
  <c r="U256" i="11" s="1"/>
  <c r="V256" i="11" s="1"/>
  <c r="M256" i="11" a="1"/>
  <c r="M256" i="11" s="1"/>
  <c r="N256" i="11" s="1"/>
  <c r="W256" i="11" a="1"/>
  <c r="W256" i="11" s="1"/>
  <c r="Y256" i="11" s="1"/>
  <c r="E256" i="11" a="1"/>
  <c r="E256" i="11" s="1"/>
  <c r="O256" i="11" a="1"/>
  <c r="O256" i="11" s="1"/>
  <c r="S256" i="11" a="1"/>
  <c r="S256" i="11" s="1"/>
  <c r="K256" i="11" a="1"/>
  <c r="K256" i="11" s="1"/>
  <c r="D256" i="11" a="1"/>
  <c r="D256" i="11" s="1"/>
  <c r="I256" i="11" a="1"/>
  <c r="I256" i="11" s="1"/>
  <c r="J256" i="11" s="1"/>
  <c r="BE139" i="46"/>
  <c r="BE139" i="7"/>
  <c r="BE139" i="47"/>
  <c r="BE28" i="46"/>
  <c r="BE28" i="47"/>
  <c r="BE28" i="7"/>
  <c r="S203" i="41" a="1"/>
  <c r="S203" i="41" s="1"/>
  <c r="F203" i="41" a="1"/>
  <c r="F203" i="41" s="1"/>
  <c r="K203" i="41" a="1"/>
  <c r="K203" i="41" s="1"/>
  <c r="M203" i="41" a="1"/>
  <c r="M203" i="41" s="1"/>
  <c r="N203" i="41" s="1"/>
  <c r="I203" i="41" a="1"/>
  <c r="I203" i="41" s="1"/>
  <c r="J203" i="41" s="1"/>
  <c r="D203" i="41" a="1"/>
  <c r="D203" i="41" s="1"/>
  <c r="O203" i="41" a="1"/>
  <c r="O203" i="41" s="1"/>
  <c r="E203" i="41" a="1"/>
  <c r="E203" i="41" s="1"/>
  <c r="Q203" i="41" a="1"/>
  <c r="Q203" i="41" s="1"/>
  <c r="R203" i="41" s="1"/>
  <c r="BF27" i="47"/>
  <c r="BF27" i="7"/>
  <c r="BF27" i="46"/>
  <c r="D75" i="41" a="1"/>
  <c r="D75" i="41" s="1"/>
  <c r="BF42" i="47"/>
  <c r="BF42" i="7"/>
  <c r="BF42" i="46"/>
  <c r="E225" i="41" a="1"/>
  <c r="E225" i="41" s="1"/>
  <c r="O225" i="41" a="1"/>
  <c r="O225" i="41" s="1"/>
  <c r="S225" i="41" a="1"/>
  <c r="S225" i="41" s="1"/>
  <c r="Q225" i="41" a="1"/>
  <c r="Q225" i="41" s="1"/>
  <c r="R225" i="41" s="1"/>
  <c r="F225" i="41" a="1"/>
  <c r="F225" i="41" s="1"/>
  <c r="I225" i="41" a="1"/>
  <c r="I225" i="41" s="1"/>
  <c r="J225" i="41" s="1"/>
  <c r="M225" i="41" a="1"/>
  <c r="M225" i="41" s="1"/>
  <c r="N225" i="41" s="1"/>
  <c r="D225" i="41" a="1"/>
  <c r="D225" i="41" s="1"/>
  <c r="K225" i="41" a="1"/>
  <c r="K225" i="41" s="1"/>
  <c r="O248" i="41" a="1"/>
  <c r="O248" i="41" s="1"/>
  <c r="K248" i="41" a="1"/>
  <c r="K248" i="41" s="1"/>
  <c r="S248" i="41" a="1"/>
  <c r="S248" i="41" s="1"/>
  <c r="Q248" i="41" a="1"/>
  <c r="Q248" i="41" s="1"/>
  <c r="R248" i="41" s="1"/>
  <c r="E248" i="41" a="1"/>
  <c r="E248" i="41" s="1"/>
  <c r="I248" i="41" a="1"/>
  <c r="I248" i="41" s="1"/>
  <c r="J248" i="41" s="1"/>
  <c r="D248" i="41" a="1"/>
  <c r="D248" i="41" s="1"/>
  <c r="M248" i="41" a="1"/>
  <c r="M248" i="41" s="1"/>
  <c r="N248" i="41" s="1"/>
  <c r="F248" i="41" a="1"/>
  <c r="F248" i="41" s="1"/>
  <c r="M240" i="41" a="1"/>
  <c r="M240" i="41" s="1"/>
  <c r="N240" i="41" s="1"/>
  <c r="D240" i="41" a="1"/>
  <c r="D240" i="41" s="1"/>
  <c r="K240" i="41" a="1"/>
  <c r="K240" i="41" s="1"/>
  <c r="O240" i="41" a="1"/>
  <c r="O240" i="41" s="1"/>
  <c r="I240" i="41" a="1"/>
  <c r="I240" i="41" s="1"/>
  <c r="J240" i="41" s="1"/>
  <c r="F240" i="41" a="1"/>
  <c r="F240" i="41" s="1"/>
  <c r="Q240" i="41" a="1"/>
  <c r="Q240" i="41" s="1"/>
  <c r="R240" i="41" s="1"/>
  <c r="E240" i="41" a="1"/>
  <c r="E240" i="41" s="1"/>
  <c r="S240" i="41" a="1"/>
  <c r="S240" i="41" s="1"/>
  <c r="BF158" i="47"/>
  <c r="BF158" i="7"/>
  <c r="BF158" i="46"/>
  <c r="Q236" i="11" a="1"/>
  <c r="Q236" i="11" s="1"/>
  <c r="R236" i="11" s="1"/>
  <c r="K236" i="11" a="1"/>
  <c r="K236" i="11" s="1"/>
  <c r="S236" i="11" a="1"/>
  <c r="S236" i="11" s="1"/>
  <c r="I236" i="11" a="1"/>
  <c r="I236" i="11" s="1"/>
  <c r="J236" i="11" s="1"/>
  <c r="D236" i="11" a="1"/>
  <c r="D236" i="11" s="1"/>
  <c r="O236" i="11" a="1"/>
  <c r="O236" i="11" s="1"/>
  <c r="F236" i="11" a="1"/>
  <c r="F236" i="11" s="1"/>
  <c r="M236" i="11" a="1"/>
  <c r="M236" i="11" s="1"/>
  <c r="N236" i="11" s="1"/>
  <c r="E236" i="11" a="1"/>
  <c r="E236" i="11" s="1"/>
  <c r="U236" i="11" a="1"/>
  <c r="U236" i="11" s="1"/>
  <c r="V236" i="11" s="1"/>
  <c r="W236" i="11" a="1"/>
  <c r="W236" i="11" s="1"/>
  <c r="Y236" i="11" s="1"/>
  <c r="BE141" i="46"/>
  <c r="BE141" i="7"/>
  <c r="BE141" i="47"/>
  <c r="D47" i="11" a="1"/>
  <c r="D47" i="11" s="1"/>
  <c r="BE101" i="46"/>
  <c r="BE101" i="7"/>
  <c r="BE101" i="47"/>
  <c r="D76" i="41" a="1"/>
  <c r="D76" i="41" s="1"/>
  <c r="BF162" i="47"/>
  <c r="BF162" i="46"/>
  <c r="BF162" i="7"/>
  <c r="BF43" i="46"/>
  <c r="BF43" i="47"/>
  <c r="BF43" i="7"/>
  <c r="BF67" i="47"/>
  <c r="BF67" i="46"/>
  <c r="BF67" i="7"/>
  <c r="D54" i="11" a="1"/>
  <c r="D54" i="11" s="1"/>
  <c r="BE127" i="7"/>
  <c r="BE127" i="46"/>
  <c r="BE127" i="47"/>
  <c r="BE15" i="46"/>
  <c r="BE15" i="47"/>
  <c r="BE15" i="7"/>
  <c r="BE18" i="7"/>
  <c r="BE18" i="46"/>
  <c r="BE18" i="47"/>
  <c r="BF156" i="46"/>
  <c r="BF156" i="47"/>
  <c r="BF156" i="7"/>
  <c r="Q202" i="11" a="1"/>
  <c r="Q202" i="11" s="1"/>
  <c r="R202" i="11" s="1"/>
  <c r="E202" i="11" a="1"/>
  <c r="E202" i="11" s="1"/>
  <c r="K202" i="11" a="1"/>
  <c r="K202" i="11" s="1"/>
  <c r="D202" i="11" a="1"/>
  <c r="D202" i="11" s="1"/>
  <c r="M202" i="11" a="1"/>
  <c r="M202" i="11" s="1"/>
  <c r="N202" i="11" s="1"/>
  <c r="F202" i="11" a="1"/>
  <c r="F202" i="11" s="1"/>
  <c r="U202" i="11" a="1"/>
  <c r="U202" i="11" s="1"/>
  <c r="V202" i="11" s="1"/>
  <c r="W202" i="11" a="1"/>
  <c r="W202" i="11" s="1"/>
  <c r="Y202" i="11" s="1"/>
  <c r="S202" i="11" a="1"/>
  <c r="S202" i="11" s="1"/>
  <c r="O202" i="11" a="1"/>
  <c r="O202" i="11" s="1"/>
  <c r="I202" i="11" a="1"/>
  <c r="I202" i="11" s="1"/>
  <c r="J202" i="11" s="1"/>
  <c r="D119" i="41" a="1"/>
  <c r="D119" i="41" s="1"/>
  <c r="BE114" i="7"/>
  <c r="BE114" i="46"/>
  <c r="BE114" i="47"/>
  <c r="BF92" i="7"/>
  <c r="BF92" i="47"/>
  <c r="BF92" i="46"/>
  <c r="BF41" i="47"/>
  <c r="BF41" i="7"/>
  <c r="BF41" i="46"/>
  <c r="BE137" i="47"/>
  <c r="BE137" i="46"/>
  <c r="BE137" i="7"/>
  <c r="BF178" i="46"/>
  <c r="BF178" i="47"/>
  <c r="BF178" i="7"/>
  <c r="D109" i="11" a="1"/>
  <c r="D109" i="11" s="1"/>
  <c r="D168" i="11" a="1"/>
  <c r="D168" i="11" s="1"/>
  <c r="BF114" i="7"/>
  <c r="BF114" i="46"/>
  <c r="BF114" i="47"/>
  <c r="BF108" i="47"/>
  <c r="BF108" i="7"/>
  <c r="BF108" i="46"/>
  <c r="BF157" i="7"/>
  <c r="BF157" i="47"/>
  <c r="BF157" i="46"/>
  <c r="BE83" i="46"/>
  <c r="BE83" i="7"/>
  <c r="BE83" i="47"/>
  <c r="BE133" i="47"/>
  <c r="BE133" i="46"/>
  <c r="BE133" i="7"/>
  <c r="BE151" i="47"/>
  <c r="BE151" i="7"/>
  <c r="BE151" i="46"/>
  <c r="D79" i="11" a="1"/>
  <c r="D79" i="11" s="1"/>
  <c r="D171" i="11" a="1"/>
  <c r="D171" i="11" s="1"/>
  <c r="BE111" i="46"/>
  <c r="BE111" i="7"/>
  <c r="BE111" i="47"/>
  <c r="BF88" i="7"/>
  <c r="BF88" i="47"/>
  <c r="BF88" i="46"/>
  <c r="BF53" i="46"/>
  <c r="BF53" i="7"/>
  <c r="BF53" i="47"/>
  <c r="D76" i="11" a="1"/>
  <c r="D76" i="11" s="1"/>
  <c r="D44" i="11" a="1"/>
  <c r="D44" i="11" s="1"/>
  <c r="BF64" i="7"/>
  <c r="BF64" i="47"/>
  <c r="BF64" i="46"/>
  <c r="BF150" i="7"/>
  <c r="BF150" i="46"/>
  <c r="BF150" i="47"/>
  <c r="D173" i="11" a="1"/>
  <c r="D173" i="11" s="1"/>
  <c r="BF132" i="46"/>
  <c r="BF132" i="7"/>
  <c r="BF132" i="47"/>
  <c r="D71" i="41" a="1"/>
  <c r="D71" i="41" s="1"/>
  <c r="D159" i="41" a="1"/>
  <c r="D159" i="41" s="1"/>
  <c r="S208" i="11" a="1"/>
  <c r="S208" i="11" s="1"/>
  <c r="D208" i="11" a="1"/>
  <c r="D208" i="11" s="1"/>
  <c r="E208" i="11" a="1"/>
  <c r="E208" i="11" s="1"/>
  <c r="K208" i="11" a="1"/>
  <c r="K208" i="11" s="1"/>
  <c r="O208" i="11" a="1"/>
  <c r="O208" i="11" s="1"/>
  <c r="F208" i="11" a="1"/>
  <c r="F208" i="11" s="1"/>
  <c r="Q208" i="11" a="1"/>
  <c r="Q208" i="11" s="1"/>
  <c r="R208" i="11" s="1"/>
  <c r="U208" i="11" a="1"/>
  <c r="U208" i="11" s="1"/>
  <c r="V208" i="11" s="1"/>
  <c r="W208" i="11" a="1"/>
  <c r="W208" i="11" s="1"/>
  <c r="Y208" i="11" s="1"/>
  <c r="M208" i="11" a="1"/>
  <c r="M208" i="11" s="1"/>
  <c r="N208" i="11" s="1"/>
  <c r="I208" i="11" a="1"/>
  <c r="I208" i="11" s="1"/>
  <c r="J208" i="11" s="1"/>
  <c r="D27" i="41" a="1"/>
  <c r="D27" i="41" s="1"/>
  <c r="D130" i="11" a="1"/>
  <c r="D130" i="11" s="1"/>
  <c r="BF75" i="46"/>
  <c r="BF75" i="47"/>
  <c r="BF75" i="7"/>
  <c r="BE112" i="46"/>
  <c r="BE112" i="47"/>
  <c r="BE112" i="7"/>
  <c r="BF136" i="47"/>
  <c r="BF136" i="46"/>
  <c r="BF136" i="7"/>
  <c r="D137" i="11" a="1"/>
  <c r="D137" i="11" s="1"/>
  <c r="D77" i="41" a="1"/>
  <c r="D77" i="41" s="1"/>
  <c r="O260" i="11" a="1"/>
  <c r="O260" i="11" s="1"/>
  <c r="W260" i="11" a="1"/>
  <c r="W260" i="11" s="1"/>
  <c r="Y260" i="11" s="1"/>
  <c r="F260" i="11" a="1"/>
  <c r="F260" i="11" s="1"/>
  <c r="I260" i="11" a="1"/>
  <c r="I260" i="11" s="1"/>
  <c r="J260" i="11" s="1"/>
  <c r="Q260" i="11" a="1"/>
  <c r="Q260" i="11" s="1"/>
  <c r="R260" i="11" s="1"/>
  <c r="S260" i="11" a="1"/>
  <c r="S260" i="11" s="1"/>
  <c r="E260" i="11" a="1"/>
  <c r="E260" i="11" s="1"/>
  <c r="M260" i="11" a="1"/>
  <c r="M260" i="11" s="1"/>
  <c r="N260" i="11" s="1"/>
  <c r="K260" i="11" a="1"/>
  <c r="K260" i="11" s="1"/>
  <c r="D260" i="11" a="1"/>
  <c r="D260" i="11" s="1"/>
  <c r="U260" i="11" a="1"/>
  <c r="U260" i="11" s="1"/>
  <c r="V260" i="11" s="1"/>
  <c r="S253" i="41" a="1"/>
  <c r="S253" i="41" s="1"/>
  <c r="F253" i="41" a="1"/>
  <c r="F253" i="41" s="1"/>
  <c r="O253" i="41" a="1"/>
  <c r="O253" i="41" s="1"/>
  <c r="D253" i="41" a="1"/>
  <c r="D253" i="41" s="1"/>
  <c r="M253" i="41" a="1"/>
  <c r="M253" i="41" s="1"/>
  <c r="N253" i="41" s="1"/>
  <c r="I253" i="41" a="1"/>
  <c r="I253" i="41" s="1"/>
  <c r="J253" i="41" s="1"/>
  <c r="K253" i="41" a="1"/>
  <c r="K253" i="41" s="1"/>
  <c r="Q253" i="41" a="1"/>
  <c r="Q253" i="41" s="1"/>
  <c r="R253" i="41" s="1"/>
  <c r="E253" i="41" a="1"/>
  <c r="E253" i="41" s="1"/>
  <c r="D151" i="41" a="1"/>
  <c r="D151" i="41" s="1"/>
  <c r="D106" i="11" a="1"/>
  <c r="D106" i="11" s="1"/>
  <c r="D78" i="41" a="1"/>
  <c r="D78" i="41" s="1"/>
  <c r="F228" i="11" a="1"/>
  <c r="F228" i="11" s="1"/>
  <c r="M228" i="11" a="1"/>
  <c r="M228" i="11" s="1"/>
  <c r="N228" i="11" s="1"/>
  <c r="O228" i="11" a="1"/>
  <c r="O228" i="11" s="1"/>
  <c r="D228" i="11" a="1"/>
  <c r="D228" i="11" s="1"/>
  <c r="S228" i="11" a="1"/>
  <c r="S228" i="11" s="1"/>
  <c r="K228" i="11" a="1"/>
  <c r="K228" i="11" s="1"/>
  <c r="Q228" i="11" a="1"/>
  <c r="Q228" i="11" s="1"/>
  <c r="R228" i="11" s="1"/>
  <c r="E228" i="11" a="1"/>
  <c r="E228" i="11" s="1"/>
  <c r="W228" i="11" a="1"/>
  <c r="W228" i="11" s="1"/>
  <c r="Y228" i="11" s="1"/>
  <c r="I228" i="11" a="1"/>
  <c r="I228" i="11" s="1"/>
  <c r="J228" i="11" s="1"/>
  <c r="U228" i="11" a="1"/>
  <c r="U228" i="11" s="1"/>
  <c r="V228" i="11" s="1"/>
  <c r="D169" i="41" a="1"/>
  <c r="D169" i="41" s="1"/>
  <c r="D132" i="41" a="1"/>
  <c r="D132" i="41" s="1"/>
  <c r="BE154" i="46"/>
  <c r="BE154" i="47"/>
  <c r="BE154" i="7"/>
  <c r="M220" i="41" a="1"/>
  <c r="M220" i="41" s="1"/>
  <c r="N220" i="41" s="1"/>
  <c r="I220" i="41" a="1"/>
  <c r="I220" i="41" s="1"/>
  <c r="J220" i="41" s="1"/>
  <c r="D220" i="41" a="1"/>
  <c r="D220" i="41" s="1"/>
  <c r="S220" i="41" a="1"/>
  <c r="S220" i="41" s="1"/>
  <c r="O220" i="41" a="1"/>
  <c r="O220" i="41" s="1"/>
  <c r="E220" i="41" a="1"/>
  <c r="E220" i="41" s="1"/>
  <c r="F220" i="41" a="1"/>
  <c r="F220" i="41" s="1"/>
  <c r="Q220" i="41" a="1"/>
  <c r="Q220" i="41" s="1"/>
  <c r="R220" i="41" s="1"/>
  <c r="K220" i="41" a="1"/>
  <c r="K220" i="41" s="1"/>
  <c r="D112" i="41" a="1"/>
  <c r="D112" i="41" s="1"/>
  <c r="BF113" i="7"/>
  <c r="BF113" i="46"/>
  <c r="BF113" i="47"/>
  <c r="BE23" i="7"/>
  <c r="BE23" i="46"/>
  <c r="BE23" i="47"/>
  <c r="D39" i="11" a="1"/>
  <c r="D39" i="11" s="1"/>
  <c r="BF143" i="46"/>
  <c r="BF143" i="7"/>
  <c r="BF143" i="47"/>
  <c r="BF140" i="47"/>
  <c r="BF140" i="46"/>
  <c r="BF140" i="7"/>
  <c r="D120" i="11" a="1"/>
  <c r="D120" i="11" s="1"/>
  <c r="D173" i="41" a="1"/>
  <c r="D173" i="41" s="1"/>
  <c r="U201" i="11" a="1"/>
  <c r="U201" i="11" s="1"/>
  <c r="V201" i="11" s="1"/>
  <c r="Q201" i="11" a="1"/>
  <c r="Q201" i="11" s="1"/>
  <c r="R201" i="11" s="1"/>
  <c r="E201" i="11" a="1"/>
  <c r="E201" i="11" s="1"/>
  <c r="W201" i="11" a="1"/>
  <c r="W201" i="11" s="1"/>
  <c r="Y201" i="11" s="1"/>
  <c r="I201" i="11" a="1"/>
  <c r="I201" i="11" s="1"/>
  <c r="J201" i="11" s="1"/>
  <c r="S201" i="11" a="1"/>
  <c r="S201" i="11" s="1"/>
  <c r="F201" i="11" a="1"/>
  <c r="F201" i="11" s="1"/>
  <c r="K201" i="11" a="1"/>
  <c r="K201" i="11" s="1"/>
  <c r="M201" i="11" a="1"/>
  <c r="M201" i="11" s="1"/>
  <c r="N201" i="11" s="1"/>
  <c r="D201" i="11" a="1"/>
  <c r="D201" i="11" s="1"/>
  <c r="O201" i="11" a="1"/>
  <c r="O201" i="11" s="1"/>
  <c r="M258" i="41" a="1"/>
  <c r="M258" i="41" s="1"/>
  <c r="N258" i="41" s="1"/>
  <c r="E258" i="41" a="1"/>
  <c r="E258" i="41" s="1"/>
  <c r="I258" i="41" a="1"/>
  <c r="I258" i="41" s="1"/>
  <c r="J258" i="41" s="1"/>
  <c r="Q258" i="41" a="1"/>
  <c r="Q258" i="41" s="1"/>
  <c r="R258" i="41" s="1"/>
  <c r="O258" i="41" a="1"/>
  <c r="O258" i="41" s="1"/>
  <c r="K258" i="41" a="1"/>
  <c r="K258" i="41" s="1"/>
  <c r="D258" i="41" a="1"/>
  <c r="D258" i="41" s="1"/>
  <c r="S258" i="41" a="1"/>
  <c r="S258" i="41" s="1"/>
  <c r="F258" i="41" a="1"/>
  <c r="F258" i="41" s="1"/>
  <c r="D143" i="11" a="1"/>
  <c r="D143" i="11" s="1"/>
  <c r="BE169" i="7"/>
  <c r="BE169" i="47"/>
  <c r="BE169" i="46"/>
  <c r="D122" i="11" a="1"/>
  <c r="D122" i="11" s="1"/>
  <c r="D82" i="11" a="1"/>
  <c r="D82" i="11" s="1"/>
  <c r="BF112" i="47"/>
  <c r="BF112" i="46"/>
  <c r="BF112" i="7"/>
  <c r="D141" i="11" a="1"/>
  <c r="D141" i="11" s="1"/>
  <c r="BF97" i="7"/>
  <c r="BF97" i="47"/>
  <c r="BF97" i="46"/>
  <c r="BF138" i="47"/>
  <c r="BF138" i="46"/>
  <c r="BF138" i="7"/>
  <c r="K249" i="41" a="1"/>
  <c r="K249" i="41" s="1"/>
  <c r="M249" i="41" a="1"/>
  <c r="M249" i="41" s="1"/>
  <c r="N249" i="41" s="1"/>
  <c r="S249" i="41" a="1"/>
  <c r="S249" i="41" s="1"/>
  <c r="O249" i="41" a="1"/>
  <c r="O249" i="41" s="1"/>
  <c r="D249" i="41" a="1"/>
  <c r="D249" i="41" s="1"/>
  <c r="I249" i="41" a="1"/>
  <c r="I249" i="41" s="1"/>
  <c r="J249" i="41" s="1"/>
  <c r="F249" i="41" a="1"/>
  <c r="F249" i="41" s="1"/>
  <c r="E249" i="41" a="1"/>
  <c r="E249" i="41" s="1"/>
  <c r="Q249" i="41" a="1"/>
  <c r="Q249" i="41" s="1"/>
  <c r="R249" i="41" s="1"/>
  <c r="E215" i="41" a="1"/>
  <c r="E215" i="41" s="1"/>
  <c r="O215" i="41" a="1"/>
  <c r="O215" i="41" s="1"/>
  <c r="K215" i="41" a="1"/>
  <c r="K215" i="41" s="1"/>
  <c r="D215" i="41" a="1"/>
  <c r="D215" i="41" s="1"/>
  <c r="S215" i="41" a="1"/>
  <c r="S215" i="41" s="1"/>
  <c r="I215" i="41" a="1"/>
  <c r="I215" i="41" s="1"/>
  <c r="J215" i="41" s="1"/>
  <c r="F215" i="41" a="1"/>
  <c r="F215" i="41" s="1"/>
  <c r="M215" i="41" a="1"/>
  <c r="M215" i="41" s="1"/>
  <c r="N215" i="41" s="1"/>
  <c r="Q215" i="41" a="1"/>
  <c r="Q215" i="41" s="1"/>
  <c r="R215" i="41" s="1"/>
  <c r="D47" i="41" a="1"/>
  <c r="D47" i="41" s="1"/>
  <c r="BF128" i="46"/>
  <c r="BF128" i="47"/>
  <c r="BF128" i="7"/>
  <c r="BF77" i="46"/>
  <c r="BF77" i="47"/>
  <c r="BF77" i="7"/>
  <c r="O198" i="41" a="1"/>
  <c r="O198" i="41" s="1"/>
  <c r="M198" i="41" a="1"/>
  <c r="M198" i="41" s="1"/>
  <c r="N198" i="41" s="1"/>
  <c r="S198" i="41" a="1"/>
  <c r="S198" i="41" s="1"/>
  <c r="F198" i="41" a="1"/>
  <c r="F198" i="41" s="1"/>
  <c r="D198" i="41" a="1"/>
  <c r="D198" i="41" s="1"/>
  <c r="I198" i="41" a="1"/>
  <c r="I198" i="41" s="1"/>
  <c r="J198" i="41" s="1"/>
  <c r="E198" i="41" a="1"/>
  <c r="E198" i="41" s="1"/>
  <c r="K198" i="41" a="1"/>
  <c r="K198" i="41" s="1"/>
  <c r="Q198" i="41" a="1"/>
  <c r="Q198" i="41" s="1"/>
  <c r="R198" i="41" s="1"/>
  <c r="D183" i="11" a="1"/>
  <c r="D183" i="11" s="1"/>
  <c r="BE80" i="46"/>
  <c r="BE80" i="7"/>
  <c r="BE80" i="47"/>
  <c r="D56" i="11" a="1"/>
  <c r="D56" i="11" s="1"/>
  <c r="D152" i="11" a="1"/>
  <c r="D152" i="11" s="1"/>
  <c r="D72" i="11" a="1"/>
  <c r="D72" i="11" s="1"/>
  <c r="D104" i="41" a="1"/>
  <c r="D104" i="41" s="1"/>
  <c r="BF46" i="47"/>
  <c r="BF46" i="7"/>
  <c r="BF46" i="46"/>
  <c r="F224" i="41" a="1"/>
  <c r="F224" i="41" s="1"/>
  <c r="M224" i="41" a="1"/>
  <c r="M224" i="41" s="1"/>
  <c r="N224" i="41" s="1"/>
  <c r="K224" i="41" a="1"/>
  <c r="K224" i="41" s="1"/>
  <c r="I224" i="41" a="1"/>
  <c r="I224" i="41" s="1"/>
  <c r="J224" i="41" s="1"/>
  <c r="Q224" i="41" a="1"/>
  <c r="Q224" i="41" s="1"/>
  <c r="R224" i="41" s="1"/>
  <c r="O224" i="41" a="1"/>
  <c r="O224" i="41" s="1"/>
  <c r="E224" i="41" a="1"/>
  <c r="E224" i="41" s="1"/>
  <c r="S224" i="41" a="1"/>
  <c r="S224" i="41" s="1"/>
  <c r="D224" i="41" a="1"/>
  <c r="D224" i="41" s="1"/>
  <c r="BF164" i="7"/>
  <c r="BF164" i="46"/>
  <c r="BF164" i="47"/>
  <c r="D58" i="41" a="1"/>
  <c r="D58" i="41" s="1"/>
  <c r="D43" i="11" a="1"/>
  <c r="D43" i="11" s="1"/>
  <c r="D164" i="41" a="1"/>
  <c r="D164" i="41" s="1"/>
  <c r="D100" i="11" a="1"/>
  <c r="D100" i="11" s="1"/>
  <c r="BE96" i="7"/>
  <c r="BE96" i="46"/>
  <c r="BE96" i="47"/>
  <c r="D95" i="41" a="1"/>
  <c r="D95" i="41" s="1"/>
  <c r="O189" i="11" a="1"/>
  <c r="O189" i="11" s="1"/>
  <c r="Q189" i="11" a="1"/>
  <c r="Q189" i="11" s="1"/>
  <c r="R189" i="11" s="1"/>
  <c r="M189" i="11" a="1"/>
  <c r="M189" i="11" s="1"/>
  <c r="N189" i="11" s="1"/>
  <c r="S189" i="11" a="1"/>
  <c r="S189" i="11" s="1"/>
  <c r="W189" i="11" a="1"/>
  <c r="W189" i="11" s="1"/>
  <c r="Y189" i="11" s="1"/>
  <c r="F189" i="11" a="1"/>
  <c r="F189" i="11" s="1"/>
  <c r="U189" i="11" a="1"/>
  <c r="U189" i="11" s="1"/>
  <c r="V189" i="11" s="1"/>
  <c r="E189" i="11" a="1"/>
  <c r="E189" i="11" s="1"/>
  <c r="I189" i="11" a="1"/>
  <c r="I189" i="11" s="1"/>
  <c r="J189" i="11" s="1"/>
  <c r="D189" i="11" a="1"/>
  <c r="D189" i="11" s="1"/>
  <c r="K189" i="11" a="1"/>
  <c r="K189" i="11" s="1"/>
  <c r="BE87" i="47"/>
  <c r="BE87" i="46"/>
  <c r="BE87" i="7"/>
  <c r="BE160" i="7"/>
  <c r="BE160" i="47"/>
  <c r="BE160" i="46"/>
  <c r="D104" i="11" a="1"/>
  <c r="D104" i="11" s="1"/>
  <c r="D106" i="41" a="1"/>
  <c r="D106" i="41" s="1"/>
  <c r="D135" i="41" a="1"/>
  <c r="D135" i="41" s="1"/>
  <c r="D185" i="11" a="1"/>
  <c r="D185" i="11" s="1"/>
  <c r="M219" i="41" a="1"/>
  <c r="M219" i="41" s="1"/>
  <c r="N219" i="41" s="1"/>
  <c r="O219" i="41" a="1"/>
  <c r="O219" i="41" s="1"/>
  <c r="S219" i="41" a="1"/>
  <c r="S219" i="41" s="1"/>
  <c r="E219" i="41" a="1"/>
  <c r="E219" i="41" s="1"/>
  <c r="Q219" i="41" a="1"/>
  <c r="Q219" i="41" s="1"/>
  <c r="R219" i="41" s="1"/>
  <c r="D219" i="41" a="1"/>
  <c r="D219" i="41" s="1"/>
  <c r="I219" i="41" a="1"/>
  <c r="I219" i="41" s="1"/>
  <c r="J219" i="41" s="1"/>
  <c r="F219" i="41" a="1"/>
  <c r="F219" i="41" s="1"/>
  <c r="K219" i="41" a="1"/>
  <c r="K219" i="41" s="1"/>
  <c r="BF122" i="47"/>
  <c r="BF122" i="46"/>
  <c r="BF122" i="7"/>
  <c r="D134" i="41" a="1"/>
  <c r="D134" i="41" s="1"/>
  <c r="D43" i="41" a="1"/>
  <c r="D43" i="41" s="1"/>
  <c r="BE143" i="47"/>
  <c r="BE143" i="7"/>
  <c r="BE143" i="46"/>
  <c r="D65" i="41" a="1"/>
  <c r="D65" i="41" s="1"/>
  <c r="D96" i="41" a="1"/>
  <c r="D96" i="41" s="1"/>
  <c r="F251" i="11" a="1"/>
  <c r="F251" i="11" s="1"/>
  <c r="M251" i="11" a="1"/>
  <c r="M251" i="11" s="1"/>
  <c r="N251" i="11" s="1"/>
  <c r="U251" i="11" a="1"/>
  <c r="U251" i="11" s="1"/>
  <c r="V251" i="11" s="1"/>
  <c r="Q251" i="11" a="1"/>
  <c r="Q251" i="11" s="1"/>
  <c r="R251" i="11" s="1"/>
  <c r="S251" i="11" a="1"/>
  <c r="S251" i="11" s="1"/>
  <c r="I251" i="11" a="1"/>
  <c r="I251" i="11" s="1"/>
  <c r="J251" i="11" s="1"/>
  <c r="O251" i="11" a="1"/>
  <c r="O251" i="11" s="1"/>
  <c r="D251" i="11" a="1"/>
  <c r="D251" i="11" s="1"/>
  <c r="K251" i="11" a="1"/>
  <c r="K251" i="11" s="1"/>
  <c r="E251" i="11" a="1"/>
  <c r="E251" i="11" s="1"/>
  <c r="W251" i="11" a="1"/>
  <c r="W251" i="11" s="1"/>
  <c r="Y251" i="11" s="1"/>
  <c r="BE103" i="7"/>
  <c r="BE103" i="46"/>
  <c r="BE103" i="47"/>
  <c r="E221" i="11" a="1"/>
  <c r="E221" i="11" s="1"/>
  <c r="Q221" i="11" a="1"/>
  <c r="Q221" i="11" s="1"/>
  <c r="R221" i="11" s="1"/>
  <c r="M221" i="11" a="1"/>
  <c r="M221" i="11" s="1"/>
  <c r="N221" i="11" s="1"/>
  <c r="F221" i="11" a="1"/>
  <c r="F221" i="11" s="1"/>
  <c r="K221" i="11" a="1"/>
  <c r="K221" i="11" s="1"/>
  <c r="U221" i="11" a="1"/>
  <c r="U221" i="11" s="1"/>
  <c r="V221" i="11" s="1"/>
  <c r="S221" i="11" a="1"/>
  <c r="S221" i="11" s="1"/>
  <c r="D221" i="11" a="1"/>
  <c r="D221" i="11" s="1"/>
  <c r="W221" i="11" a="1"/>
  <c r="W221" i="11" s="1"/>
  <c r="Y221" i="11" s="1"/>
  <c r="I221" i="11" a="1"/>
  <c r="I221" i="11" s="1"/>
  <c r="J221" i="11" s="1"/>
  <c r="O221" i="11" a="1"/>
  <c r="O221" i="11" s="1"/>
  <c r="BF57" i="47"/>
  <c r="BF57" i="46"/>
  <c r="BF57" i="7"/>
  <c r="D84" i="11" a="1"/>
  <c r="D84" i="11" s="1"/>
  <c r="BE104" i="7"/>
  <c r="BE104" i="46"/>
  <c r="BE104" i="47"/>
  <c r="BE50" i="46"/>
  <c r="BE50" i="47"/>
  <c r="BE50" i="7"/>
  <c r="D113" i="11" a="1"/>
  <c r="D113" i="11" s="1"/>
  <c r="D222" i="11" a="1"/>
  <c r="D222" i="11" s="1"/>
  <c r="I222" i="11" a="1"/>
  <c r="I222" i="11" s="1"/>
  <c r="J222" i="11" s="1"/>
  <c r="U222" i="11" a="1"/>
  <c r="U222" i="11" s="1"/>
  <c r="V222" i="11" s="1"/>
  <c r="W222" i="11" a="1"/>
  <c r="W222" i="11" s="1"/>
  <c r="Y222" i="11" s="1"/>
  <c r="M222" i="11" a="1"/>
  <c r="M222" i="11" s="1"/>
  <c r="N222" i="11" s="1"/>
  <c r="E222" i="11" a="1"/>
  <c r="E222" i="11" s="1"/>
  <c r="F222" i="11" a="1"/>
  <c r="F222" i="11" s="1"/>
  <c r="Q222" i="11" a="1"/>
  <c r="Q222" i="11" s="1"/>
  <c r="R222" i="11" s="1"/>
  <c r="S222" i="11" a="1"/>
  <c r="S222" i="11" s="1"/>
  <c r="O222" i="11" a="1"/>
  <c r="O222" i="11" s="1"/>
  <c r="K222" i="11" a="1"/>
  <c r="K222" i="11" s="1"/>
  <c r="D61" i="41" a="1"/>
  <c r="D61" i="41" s="1"/>
  <c r="BE68" i="7"/>
  <c r="BE68" i="47"/>
  <c r="BE68" i="46"/>
  <c r="BF55" i="47"/>
  <c r="BF55" i="7"/>
  <c r="BF55" i="46"/>
  <c r="BE95" i="47"/>
  <c r="BE95" i="7"/>
  <c r="BE95" i="46"/>
  <c r="BF142" i="47"/>
  <c r="BF142" i="7"/>
  <c r="BF142" i="46"/>
  <c r="D77" i="11" a="1"/>
  <c r="D77" i="11" s="1"/>
  <c r="BE155" i="46"/>
  <c r="BE155" i="47"/>
  <c r="BE155" i="7"/>
  <c r="D149" i="41" a="1"/>
  <c r="D149" i="41" s="1"/>
  <c r="E214" i="41" a="1"/>
  <c r="E214" i="41" s="1"/>
  <c r="S214" i="41" a="1"/>
  <c r="S214" i="41" s="1"/>
  <c r="M214" i="41" a="1"/>
  <c r="M214" i="41" s="1"/>
  <c r="N214" i="41" s="1"/>
  <c r="F214" i="41" a="1"/>
  <c r="F214" i="41" s="1"/>
  <c r="O214" i="41" a="1"/>
  <c r="O214" i="41" s="1"/>
  <c r="I214" i="41" a="1"/>
  <c r="I214" i="41" s="1"/>
  <c r="J214" i="41" s="1"/>
  <c r="Q214" i="41" a="1"/>
  <c r="Q214" i="41" s="1"/>
  <c r="R214" i="41" s="1"/>
  <c r="D214" i="41" a="1"/>
  <c r="D214" i="41" s="1"/>
  <c r="K214" i="41" a="1"/>
  <c r="K214" i="41" s="1"/>
  <c r="D83" i="11" a="1"/>
  <c r="D83" i="11" s="1"/>
  <c r="BF80" i="7"/>
  <c r="BF80" i="46"/>
  <c r="BF80" i="47"/>
  <c r="D133" i="11" a="1"/>
  <c r="D133" i="11" s="1"/>
  <c r="BE66" i="46"/>
  <c r="BE66" i="7"/>
  <c r="BE66" i="47"/>
  <c r="BF18" i="7"/>
  <c r="BF18" i="47"/>
  <c r="BF18" i="46"/>
  <c r="BF106" i="47"/>
  <c r="BF106" i="46"/>
  <c r="BF106" i="7"/>
  <c r="D57" i="11" a="1"/>
  <c r="D57" i="11" s="1"/>
  <c r="BF125" i="46"/>
  <c r="BF125" i="47"/>
  <c r="BF125" i="7"/>
  <c r="D81" i="41" a="1"/>
  <c r="D81" i="41" s="1"/>
  <c r="D42" i="11" a="1"/>
  <c r="D42" i="11" s="1"/>
  <c r="D172" i="11" a="1"/>
  <c r="D172" i="11" s="1"/>
  <c r="BF105" i="7"/>
  <c r="BF105" i="47"/>
  <c r="BF105" i="46"/>
  <c r="BE97" i="7"/>
  <c r="BE97" i="46"/>
  <c r="BE97" i="47"/>
  <c r="M228" i="41" a="1"/>
  <c r="M228" i="41" s="1"/>
  <c r="N228" i="41" s="1"/>
  <c r="E228" i="41" a="1"/>
  <c r="E228" i="41" s="1"/>
  <c r="D228" i="41" a="1"/>
  <c r="D228" i="41" s="1"/>
  <c r="Q228" i="41" a="1"/>
  <c r="Q228" i="41" s="1"/>
  <c r="R228" i="41" s="1"/>
  <c r="K228" i="41" a="1"/>
  <c r="K228" i="41" s="1"/>
  <c r="F228" i="41" a="1"/>
  <c r="F228" i="41" s="1"/>
  <c r="S228" i="41" a="1"/>
  <c r="S228" i="41" s="1"/>
  <c r="I228" i="41" a="1"/>
  <c r="I228" i="41" s="1"/>
  <c r="J228" i="41" s="1"/>
  <c r="O228" i="41" a="1"/>
  <c r="O228" i="41" s="1"/>
  <c r="BF110" i="46"/>
  <c r="BF110" i="7"/>
  <c r="BF110" i="47"/>
  <c r="D133" i="41" a="1"/>
  <c r="D133" i="41" s="1"/>
  <c r="BF37" i="7"/>
  <c r="BF37" i="46"/>
  <c r="BF37" i="47"/>
  <c r="D93" i="41" a="1"/>
  <c r="D93" i="41" s="1"/>
  <c r="D101" i="41" a="1"/>
  <c r="D101" i="41" s="1"/>
  <c r="D108" i="41" a="1"/>
  <c r="D108" i="41" s="1"/>
  <c r="D36" i="11" a="1"/>
  <c r="D36" i="11" s="1"/>
  <c r="BF151" i="7"/>
  <c r="BF151" i="46"/>
  <c r="BF151" i="47"/>
  <c r="BF44" i="47"/>
  <c r="BF44" i="7"/>
  <c r="BF44" i="46"/>
  <c r="BF90" i="7"/>
  <c r="BF90" i="47"/>
  <c r="BF90" i="46"/>
  <c r="D181" i="41" a="1"/>
  <c r="D181" i="41" s="1"/>
  <c r="BE64" i="46"/>
  <c r="BE64" i="47"/>
  <c r="BE64" i="7"/>
  <c r="BE25" i="46"/>
  <c r="BE25" i="7"/>
  <c r="BE25" i="47"/>
  <c r="D33" i="11" a="1"/>
  <c r="D33" i="11" s="1"/>
  <c r="D156" i="41" a="1"/>
  <c r="D156" i="41" s="1"/>
  <c r="D187" i="11" a="1"/>
  <c r="D187" i="11" s="1"/>
  <c r="K262" i="41" a="1"/>
  <c r="K262" i="41" s="1"/>
  <c r="I262" i="41" a="1"/>
  <c r="I262" i="41" s="1"/>
  <c r="J262" i="41" s="1"/>
  <c r="M262" i="41" a="1"/>
  <c r="M262" i="41" s="1"/>
  <c r="N262" i="41" s="1"/>
  <c r="F262" i="41" a="1"/>
  <c r="F262" i="41" s="1"/>
  <c r="O262" i="41" a="1"/>
  <c r="O262" i="41" s="1"/>
  <c r="S262" i="41" a="1"/>
  <c r="S262" i="41" s="1"/>
  <c r="Q262" i="41" a="1"/>
  <c r="Q262" i="41" s="1"/>
  <c r="R262" i="41" s="1"/>
  <c r="D262" i="41" a="1"/>
  <c r="D262" i="41" s="1"/>
  <c r="E262" i="41" a="1"/>
  <c r="E262" i="41" s="1"/>
  <c r="D42" i="41" a="1"/>
  <c r="D42" i="41" s="1"/>
  <c r="D50" i="41" a="1"/>
  <c r="D50" i="41" s="1"/>
  <c r="BF177" i="7"/>
  <c r="BF177" i="47"/>
  <c r="BF177" i="46"/>
  <c r="D73" i="11" a="1"/>
  <c r="D73" i="11" s="1"/>
  <c r="BE132" i="47"/>
  <c r="BE132" i="46"/>
  <c r="BE132" i="7"/>
  <c r="D62" i="41" a="1"/>
  <c r="D62" i="41" s="1"/>
  <c r="BF99" i="47"/>
  <c r="BF99" i="46"/>
  <c r="BF99" i="7"/>
  <c r="BE157" i="46"/>
  <c r="BE157" i="7"/>
  <c r="BE157" i="47"/>
  <c r="BE140" i="7"/>
  <c r="BE140" i="47"/>
  <c r="BE140" i="46"/>
  <c r="D30" i="11" a="1"/>
  <c r="D30" i="11" s="1"/>
  <c r="D85" i="41" a="1"/>
  <c r="D85" i="41" s="1"/>
  <c r="BF121" i="46"/>
  <c r="BF121" i="47"/>
  <c r="BF121" i="7"/>
  <c r="D68" i="11" a="1"/>
  <c r="D68" i="11" s="1"/>
  <c r="BE146" i="47"/>
  <c r="BE146" i="7"/>
  <c r="BE146" i="46"/>
  <c r="BF17" i="7"/>
  <c r="BF17" i="46"/>
  <c r="BF17" i="47"/>
  <c r="BE124" i="46"/>
  <c r="BE124" i="7"/>
  <c r="BE124" i="47"/>
  <c r="BF19" i="46"/>
  <c r="BF19" i="47"/>
  <c r="BF19" i="7"/>
  <c r="D124" i="11" a="1"/>
  <c r="D124" i="11" s="1"/>
  <c r="BE69" i="47"/>
  <c r="BE69" i="7"/>
  <c r="BE69" i="46"/>
  <c r="D110" i="41" a="1"/>
  <c r="D110" i="41" s="1"/>
  <c r="D112" i="11" a="1"/>
  <c r="D112" i="11" s="1"/>
  <c r="D183" i="41" a="1"/>
  <c r="D183" i="41" s="1"/>
  <c r="W223" i="11" a="1"/>
  <c r="W223" i="11" s="1"/>
  <c r="Y223" i="11" s="1"/>
  <c r="E223" i="11" a="1"/>
  <c r="E223" i="11" s="1"/>
  <c r="D223" i="11" a="1"/>
  <c r="D223" i="11" s="1"/>
  <c r="K223" i="11" a="1"/>
  <c r="K223" i="11" s="1"/>
  <c r="U223" i="11" a="1"/>
  <c r="U223" i="11" s="1"/>
  <c r="V223" i="11" s="1"/>
  <c r="I223" i="11" a="1"/>
  <c r="I223" i="11" s="1"/>
  <c r="J223" i="11" s="1"/>
  <c r="S223" i="11" a="1"/>
  <c r="S223" i="11" s="1"/>
  <c r="M223" i="11" a="1"/>
  <c r="M223" i="11" s="1"/>
  <c r="N223" i="11" s="1"/>
  <c r="F223" i="11" a="1"/>
  <c r="F223" i="11" s="1"/>
  <c r="O223" i="11" a="1"/>
  <c r="O223" i="11" s="1"/>
  <c r="Q223" i="11" a="1"/>
  <c r="Q223" i="11" s="1"/>
  <c r="R223" i="11" s="1"/>
  <c r="D55" i="41" a="1"/>
  <c r="D55" i="41" s="1"/>
  <c r="BE74" i="7"/>
  <c r="BE74" i="47"/>
  <c r="BE74" i="46"/>
  <c r="BF147" i="46"/>
  <c r="BF147" i="47"/>
  <c r="BF147" i="7"/>
  <c r="D123" i="11" a="1"/>
  <c r="D123" i="11" s="1"/>
  <c r="D129" i="41" a="1"/>
  <c r="D129" i="41" s="1"/>
  <c r="BE77" i="7"/>
  <c r="BE77" i="46"/>
  <c r="BE77" i="47"/>
  <c r="BF38" i="46"/>
  <c r="BF38" i="47"/>
  <c r="BF38" i="7"/>
  <c r="D31" i="41" a="1"/>
  <c r="D31" i="41" s="1"/>
  <c r="D176" i="11" a="1"/>
  <c r="D176" i="11" s="1"/>
  <c r="D115" i="11" a="1"/>
  <c r="D115" i="11" s="1"/>
  <c r="D158" i="41" a="1"/>
  <c r="D158" i="41" s="1"/>
  <c r="BE35" i="7"/>
  <c r="BE35" i="46"/>
  <c r="BE35" i="47"/>
  <c r="BE55" i="7"/>
  <c r="BE55" i="47"/>
  <c r="BE55" i="46"/>
  <c r="K222" i="41" a="1"/>
  <c r="K222" i="41" s="1"/>
  <c r="Q222" i="41" a="1"/>
  <c r="Q222" i="41" s="1"/>
  <c r="R222" i="41" s="1"/>
  <c r="E222" i="41" a="1"/>
  <c r="E222" i="41" s="1"/>
  <c r="D222" i="41" a="1"/>
  <c r="D222" i="41" s="1"/>
  <c r="F222" i="41" a="1"/>
  <c r="F222" i="41" s="1"/>
  <c r="M222" i="41" a="1"/>
  <c r="M222" i="41" s="1"/>
  <c r="N222" i="41" s="1"/>
  <c r="S222" i="41" a="1"/>
  <c r="S222" i="41" s="1"/>
  <c r="I222" i="41" a="1"/>
  <c r="I222" i="41" s="1"/>
  <c r="J222" i="41" s="1"/>
  <c r="O222" i="41" a="1"/>
  <c r="O222" i="41" s="1"/>
  <c r="BF115" i="47"/>
  <c r="BF115" i="46"/>
  <c r="BF115" i="7"/>
  <c r="BE156" i="46"/>
  <c r="BE156" i="7"/>
  <c r="BE156" i="47"/>
  <c r="BE32" i="46"/>
  <c r="BE32" i="7"/>
  <c r="BE32" i="47"/>
  <c r="D41" i="11" a="1"/>
  <c r="D41" i="11" s="1"/>
  <c r="BF35" i="46"/>
  <c r="BF35" i="47"/>
  <c r="BF35" i="7"/>
  <c r="O234" i="41" a="1"/>
  <c r="O234" i="41" s="1"/>
  <c r="I234" i="41" a="1"/>
  <c r="I234" i="41" s="1"/>
  <c r="J234" i="41" s="1"/>
  <c r="F234" i="41" a="1"/>
  <c r="F234" i="41" s="1"/>
  <c r="Q234" i="41" a="1"/>
  <c r="Q234" i="41" s="1"/>
  <c r="R234" i="41" s="1"/>
  <c r="E234" i="41" a="1"/>
  <c r="E234" i="41" s="1"/>
  <c r="K234" i="41" a="1"/>
  <c r="K234" i="41" s="1"/>
  <c r="S234" i="41" a="1"/>
  <c r="S234" i="41" s="1"/>
  <c r="D234" i="41" a="1"/>
  <c r="D234" i="41" s="1"/>
  <c r="M234" i="41" a="1"/>
  <c r="M234" i="41" s="1"/>
  <c r="N234" i="41" s="1"/>
  <c r="BE121" i="47"/>
  <c r="BE121" i="46"/>
  <c r="BE121" i="7"/>
  <c r="BF25" i="47"/>
  <c r="BF25" i="7"/>
  <c r="BF25" i="46"/>
  <c r="D163" i="11" a="1"/>
  <c r="D163" i="11" s="1"/>
  <c r="F213" i="41" a="1"/>
  <c r="F213" i="41" s="1"/>
  <c r="Q213" i="41" a="1"/>
  <c r="Q213" i="41" s="1"/>
  <c r="R213" i="41" s="1"/>
  <c r="M213" i="41" a="1"/>
  <c r="M213" i="41" s="1"/>
  <c r="N213" i="41" s="1"/>
  <c r="O213" i="41" a="1"/>
  <c r="O213" i="41" s="1"/>
  <c r="I213" i="41" a="1"/>
  <c r="I213" i="41" s="1"/>
  <c r="J213" i="41" s="1"/>
  <c r="S213" i="41" a="1"/>
  <c r="S213" i="41" s="1"/>
  <c r="E213" i="41" a="1"/>
  <c r="E213" i="41" s="1"/>
  <c r="K213" i="41" a="1"/>
  <c r="K213" i="41" s="1"/>
  <c r="D213" i="41" a="1"/>
  <c r="D213" i="41" s="1"/>
  <c r="D29" i="11" a="1"/>
  <c r="D29" i="11" s="1"/>
  <c r="BF104" i="46"/>
  <c r="BF104" i="7"/>
  <c r="BF104" i="47"/>
  <c r="BF15" i="7"/>
  <c r="BF15" i="47"/>
  <c r="BF15" i="46"/>
  <c r="W258" i="11" a="1"/>
  <c r="W258" i="11" s="1"/>
  <c r="Y258" i="11" s="1"/>
  <c r="I258" i="11" a="1"/>
  <c r="I258" i="11" s="1"/>
  <c r="J258" i="11" s="1"/>
  <c r="M258" i="11" a="1"/>
  <c r="M258" i="11" s="1"/>
  <c r="N258" i="11" s="1"/>
  <c r="U258" i="11" a="1"/>
  <c r="U258" i="11" s="1"/>
  <c r="V258" i="11" s="1"/>
  <c r="D258" i="11" a="1"/>
  <c r="D258" i="11" s="1"/>
  <c r="S258" i="11" a="1"/>
  <c r="S258" i="11" s="1"/>
  <c r="O258" i="11" a="1"/>
  <c r="O258" i="11" s="1"/>
  <c r="K258" i="11" a="1"/>
  <c r="K258" i="11" s="1"/>
  <c r="E258" i="11" a="1"/>
  <c r="E258" i="11" s="1"/>
  <c r="F258" i="11" a="1"/>
  <c r="F258" i="11" s="1"/>
  <c r="Q258" i="11" a="1"/>
  <c r="Q258" i="11" s="1"/>
  <c r="R258" i="11" s="1"/>
  <c r="D156" i="11" a="1"/>
  <c r="D156" i="11" s="1"/>
  <c r="D128" i="41" a="1"/>
  <c r="D128" i="41" s="1"/>
  <c r="D36" i="41" a="1"/>
  <c r="D36" i="41" s="1"/>
  <c r="I261" i="41" a="1"/>
  <c r="I261" i="41" s="1"/>
  <c r="J261" i="41" s="1"/>
  <c r="K261" i="41" a="1"/>
  <c r="K261" i="41" s="1"/>
  <c r="Q261" i="41" a="1"/>
  <c r="Q261" i="41" s="1"/>
  <c r="R261" i="41" s="1"/>
  <c r="M261" i="41" a="1"/>
  <c r="M261" i="41" s="1"/>
  <c r="N261" i="41" s="1"/>
  <c r="E261" i="41" a="1"/>
  <c r="E261" i="41" s="1"/>
  <c r="S261" i="41" a="1"/>
  <c r="S261" i="41" s="1"/>
  <c r="O261" i="41" a="1"/>
  <c r="O261" i="41" s="1"/>
  <c r="F261" i="41" a="1"/>
  <c r="F261" i="41" s="1"/>
  <c r="D261" i="41" a="1"/>
  <c r="D261" i="41" s="1"/>
  <c r="BF89" i="46"/>
  <c r="BF89" i="47"/>
  <c r="BF89" i="7"/>
  <c r="D103" i="41" a="1"/>
  <c r="D103" i="41" s="1"/>
  <c r="D142" i="41" a="1"/>
  <c r="D142" i="41" s="1"/>
  <c r="BE63" i="46"/>
  <c r="BE63" i="47"/>
  <c r="BE63" i="7"/>
  <c r="D145" i="41" a="1"/>
  <c r="D145" i="41" s="1"/>
  <c r="BF127" i="47"/>
  <c r="BF127" i="7"/>
  <c r="BF127" i="46"/>
  <c r="D92" i="11" a="1"/>
  <c r="D92" i="11" s="1"/>
  <c r="D108" i="11" a="1"/>
  <c r="D108" i="11" s="1"/>
  <c r="D49" i="41" a="1"/>
  <c r="D49" i="41" s="1"/>
  <c r="BE24" i="47"/>
  <c r="BE24" i="7"/>
  <c r="BE24" i="46"/>
  <c r="BF30" i="7"/>
  <c r="BF30" i="46"/>
  <c r="BF30" i="47"/>
  <c r="BF61" i="47"/>
  <c r="BF61" i="46"/>
  <c r="BF61" i="7"/>
  <c r="BE113" i="7"/>
  <c r="BE113" i="47"/>
  <c r="BE113" i="46"/>
  <c r="D150" i="11" a="1"/>
  <c r="D150" i="11" s="1"/>
  <c r="BE29" i="47"/>
  <c r="BE29" i="46"/>
  <c r="BE29" i="7"/>
  <c r="BE72" i="46"/>
  <c r="BE72" i="7"/>
  <c r="BE72" i="47"/>
  <c r="BF31" i="46"/>
  <c r="BF31" i="7"/>
  <c r="BF31" i="47"/>
  <c r="BF71" i="7"/>
  <c r="BF71" i="47"/>
  <c r="BF71" i="46"/>
  <c r="BF117" i="47"/>
  <c r="BF117" i="7"/>
  <c r="BF117" i="46"/>
  <c r="BE56" i="47"/>
  <c r="BE56" i="7"/>
  <c r="BE56" i="46"/>
  <c r="BF68" i="47"/>
  <c r="BF68" i="46"/>
  <c r="BF68" i="7"/>
  <c r="BF131" i="47"/>
  <c r="BF131" i="46"/>
  <c r="BF131" i="7"/>
  <c r="BE75" i="46"/>
  <c r="BE75" i="7"/>
  <c r="BE75" i="47"/>
  <c r="BE116" i="46"/>
  <c r="BE116" i="7"/>
  <c r="BE116" i="47"/>
  <c r="BE162" i="7"/>
  <c r="BE162" i="47"/>
  <c r="BE162" i="46"/>
  <c r="D170" i="41" a="1"/>
  <c r="D170" i="41" s="1"/>
  <c r="BF91" i="47"/>
  <c r="BF91" i="7"/>
  <c r="BF91" i="46"/>
  <c r="E236" i="41" a="1"/>
  <c r="E236" i="41" s="1"/>
  <c r="S236" i="41" a="1"/>
  <c r="S236" i="41" s="1"/>
  <c r="O236" i="41" a="1"/>
  <c r="O236" i="41" s="1"/>
  <c r="I236" i="41" a="1"/>
  <c r="I236" i="41" s="1"/>
  <c r="J236" i="41" s="1"/>
  <c r="K236" i="41" a="1"/>
  <c r="K236" i="41" s="1"/>
  <c r="D236" i="41" a="1"/>
  <c r="D236" i="41" s="1"/>
  <c r="M236" i="41" a="1"/>
  <c r="M236" i="41" s="1"/>
  <c r="N236" i="41" s="1"/>
  <c r="F236" i="41" a="1"/>
  <c r="F236" i="41" s="1"/>
  <c r="Q236" i="41" a="1"/>
  <c r="Q236" i="41" s="1"/>
  <c r="R236" i="41" s="1"/>
  <c r="BF96" i="47"/>
  <c r="BF96" i="7"/>
  <c r="BF96" i="46"/>
  <c r="D172" i="41" a="1"/>
  <c r="D172" i="41" s="1"/>
  <c r="D143" i="41" a="1"/>
  <c r="D143" i="41" s="1"/>
  <c r="BE134" i="46"/>
  <c r="BE134" i="7"/>
  <c r="BE134" i="47"/>
  <c r="BE36" i="7"/>
  <c r="BE36" i="46"/>
  <c r="BE36" i="47"/>
  <c r="K216" i="11" a="1"/>
  <c r="K216" i="11" s="1"/>
  <c r="O216" i="11" a="1"/>
  <c r="O216" i="11" s="1"/>
  <c r="S216" i="11" a="1"/>
  <c r="S216" i="11" s="1"/>
  <c r="F216" i="11" a="1"/>
  <c r="F216" i="11" s="1"/>
  <c r="M216" i="11" a="1"/>
  <c r="M216" i="11" s="1"/>
  <c r="N216" i="11" s="1"/>
  <c r="W216" i="11" a="1"/>
  <c r="W216" i="11" s="1"/>
  <c r="Y216" i="11" s="1"/>
  <c r="Q216" i="11" a="1"/>
  <c r="Q216" i="11" s="1"/>
  <c r="R216" i="11" s="1"/>
  <c r="I216" i="11" a="1"/>
  <c r="I216" i="11" s="1"/>
  <c r="J216" i="11" s="1"/>
  <c r="U216" i="11" a="1"/>
  <c r="U216" i="11" s="1"/>
  <c r="V216" i="11" s="1"/>
  <c r="D216" i="11" a="1"/>
  <c r="D216" i="11" s="1"/>
  <c r="E216" i="11" a="1"/>
  <c r="E216" i="11" s="1"/>
  <c r="S205" i="41" a="1"/>
  <c r="S205" i="41" s="1"/>
  <c r="F205" i="41" a="1"/>
  <c r="F205" i="41" s="1"/>
  <c r="I205" i="41" a="1"/>
  <c r="I205" i="41" s="1"/>
  <c r="J205" i="41" s="1"/>
  <c r="M205" i="41" a="1"/>
  <c r="M205" i="41" s="1"/>
  <c r="N205" i="41" s="1"/>
  <c r="D205" i="41" a="1"/>
  <c r="D205" i="41" s="1"/>
  <c r="K205" i="41" a="1"/>
  <c r="K205" i="41" s="1"/>
  <c r="Q205" i="41" a="1"/>
  <c r="Q205" i="41" s="1"/>
  <c r="R205" i="41" s="1"/>
  <c r="O205" i="41" a="1"/>
  <c r="O205" i="41" s="1"/>
  <c r="E205" i="41" a="1"/>
  <c r="E205" i="41" s="1"/>
  <c r="BF62" i="7"/>
  <c r="BF62" i="46"/>
  <c r="BF62" i="47"/>
  <c r="D131" i="41" a="1"/>
  <c r="D131" i="41" s="1"/>
  <c r="BE99" i="7"/>
  <c r="BE99" i="47"/>
  <c r="BE99" i="46"/>
  <c r="D53" i="41" a="1"/>
  <c r="D53" i="41" s="1"/>
  <c r="D144" i="11" a="1"/>
  <c r="D144" i="11" s="1"/>
  <c r="BF175" i="46"/>
  <c r="BF175" i="47"/>
  <c r="BF175" i="7"/>
  <c r="D126" i="41" a="1"/>
  <c r="D126" i="41" s="1"/>
  <c r="D34" i="41" a="1"/>
  <c r="D34" i="41" s="1"/>
  <c r="O213" i="11" a="1"/>
  <c r="O213" i="11" s="1"/>
  <c r="M213" i="11" a="1"/>
  <c r="M213" i="11" s="1"/>
  <c r="N213" i="11" s="1"/>
  <c r="F213" i="11" a="1"/>
  <c r="F213" i="11" s="1"/>
  <c r="E213" i="11" a="1"/>
  <c r="E213" i="11" s="1"/>
  <c r="I213" i="11" a="1"/>
  <c r="I213" i="11" s="1"/>
  <c r="J213" i="11" s="1"/>
  <c r="D213" i="11" a="1"/>
  <c r="D213" i="11" s="1"/>
  <c r="U213" i="11" a="1"/>
  <c r="U213" i="11" s="1"/>
  <c r="V213" i="11" s="1"/>
  <c r="K213" i="11" a="1"/>
  <c r="K213" i="11" s="1"/>
  <c r="W213" i="11" a="1"/>
  <c r="W213" i="11" s="1"/>
  <c r="Y213" i="11" s="1"/>
  <c r="Q213" i="11" a="1"/>
  <c r="Q213" i="11" s="1"/>
  <c r="R213" i="11" s="1"/>
  <c r="S213" i="11" a="1"/>
  <c r="S213" i="11" s="1"/>
  <c r="D30" i="41" a="1"/>
  <c r="D30" i="41" s="1"/>
  <c r="D168" i="41" a="1"/>
  <c r="D168" i="41" s="1"/>
  <c r="Q223" i="41" a="1"/>
  <c r="Q223" i="41" s="1"/>
  <c r="R223" i="41" s="1"/>
  <c r="F223" i="41" a="1"/>
  <c r="F223" i="41" s="1"/>
  <c r="E223" i="41" a="1"/>
  <c r="E223" i="41" s="1"/>
  <c r="D223" i="41" a="1"/>
  <c r="D223" i="41" s="1"/>
  <c r="S223" i="41" a="1"/>
  <c r="S223" i="41" s="1"/>
  <c r="K223" i="41" a="1"/>
  <c r="K223" i="41" s="1"/>
  <c r="I223" i="41" a="1"/>
  <c r="I223" i="41" s="1"/>
  <c r="J223" i="41" s="1"/>
  <c r="O223" i="41" a="1"/>
  <c r="O223" i="41" s="1"/>
  <c r="M223" i="41" a="1"/>
  <c r="M223" i="41" s="1"/>
  <c r="N223" i="41" s="1"/>
  <c r="D185" i="41" a="1"/>
  <c r="D185" i="41" s="1"/>
  <c r="Q221" i="41" a="1"/>
  <c r="Q221" i="41" s="1"/>
  <c r="R221" i="41" s="1"/>
  <c r="S221" i="41" a="1"/>
  <c r="S221" i="41" s="1"/>
  <c r="M221" i="41" a="1"/>
  <c r="M221" i="41" s="1"/>
  <c r="N221" i="41" s="1"/>
  <c r="F221" i="41" a="1"/>
  <c r="F221" i="41" s="1"/>
  <c r="I221" i="41" a="1"/>
  <c r="I221" i="41" s="1"/>
  <c r="J221" i="41" s="1"/>
  <c r="E221" i="41" a="1"/>
  <c r="E221" i="41" s="1"/>
  <c r="D221" i="41" a="1"/>
  <c r="D221" i="41" s="1"/>
  <c r="O221" i="41" a="1"/>
  <c r="O221" i="41" s="1"/>
  <c r="K221" i="41" a="1"/>
  <c r="K221" i="41" s="1"/>
  <c r="BF129" i="46"/>
  <c r="BF129" i="47"/>
  <c r="BF129" i="7"/>
  <c r="D157" i="11" a="1"/>
  <c r="D157" i="11" s="1"/>
  <c r="S212" i="11" a="1"/>
  <c r="S212" i="11" s="1"/>
  <c r="E212" i="11" a="1"/>
  <c r="E212" i="11" s="1"/>
  <c r="W212" i="11" a="1"/>
  <c r="W212" i="11" s="1"/>
  <c r="Y212" i="11" s="1"/>
  <c r="K212" i="11" a="1"/>
  <c r="K212" i="11" s="1"/>
  <c r="O212" i="11" a="1"/>
  <c r="O212" i="11" s="1"/>
  <c r="F212" i="11" a="1"/>
  <c r="F212" i="11" s="1"/>
  <c r="Q212" i="11" a="1"/>
  <c r="Q212" i="11" s="1"/>
  <c r="R212" i="11" s="1"/>
  <c r="U212" i="11" a="1"/>
  <c r="U212" i="11" s="1"/>
  <c r="V212" i="11" s="1"/>
  <c r="D212" i="11" a="1"/>
  <c r="D212" i="11" s="1"/>
  <c r="M212" i="11" a="1"/>
  <c r="M212" i="11" s="1"/>
  <c r="N212" i="11" s="1"/>
  <c r="I212" i="11" a="1"/>
  <c r="I212" i="11" s="1"/>
  <c r="J212" i="11" s="1"/>
  <c r="BE85" i="7"/>
  <c r="BE85" i="47"/>
  <c r="BE85" i="46"/>
  <c r="D70" i="41" a="1"/>
  <c r="D70" i="41" s="1"/>
  <c r="K207" i="41" a="1"/>
  <c r="K207" i="41" s="1"/>
  <c r="D207" i="41" a="1"/>
  <c r="D207" i="41" s="1"/>
  <c r="I207" i="41" a="1"/>
  <c r="I207" i="41" s="1"/>
  <c r="J207" i="41" s="1"/>
  <c r="O207" i="41" a="1"/>
  <c r="O207" i="41" s="1"/>
  <c r="E207" i="41" a="1"/>
  <c r="E207" i="41" s="1"/>
  <c r="Q207" i="41" a="1"/>
  <c r="Q207" i="41" s="1"/>
  <c r="R207" i="41" s="1"/>
  <c r="M207" i="41" a="1"/>
  <c r="M207" i="41" s="1"/>
  <c r="N207" i="41" s="1"/>
  <c r="F207" i="41" a="1"/>
  <c r="F207" i="41" s="1"/>
  <c r="S207" i="41" a="1"/>
  <c r="S207" i="41" s="1"/>
  <c r="BF47" i="7"/>
  <c r="BF47" i="46"/>
  <c r="BF47" i="47"/>
  <c r="D188" i="11" a="1"/>
  <c r="D188" i="11" s="1"/>
  <c r="BF123" i="47"/>
  <c r="BF123" i="46"/>
  <c r="BF123" i="7"/>
  <c r="D98" i="41" a="1"/>
  <c r="D98" i="41" s="1"/>
  <c r="BF103" i="46"/>
  <c r="BF103" i="7"/>
  <c r="BF103" i="47"/>
  <c r="D174" i="41" a="1"/>
  <c r="D174" i="41" s="1"/>
  <c r="BE142" i="46"/>
  <c r="BE142" i="47"/>
  <c r="BE142" i="7"/>
  <c r="D81" i="11" a="1"/>
  <c r="D81" i="11" s="1"/>
  <c r="D148" i="41" a="1"/>
  <c r="D148" i="41" s="1"/>
  <c r="D105" i="41" a="1"/>
  <c r="D105" i="41" s="1"/>
  <c r="D41" i="41" a="1"/>
  <c r="D41" i="41" s="1"/>
  <c r="D207" i="11" a="1"/>
  <c r="D207" i="11" s="1"/>
  <c r="F207" i="11" a="1"/>
  <c r="F207" i="11" s="1"/>
  <c r="O207" i="11" a="1"/>
  <c r="O207" i="11" s="1"/>
  <c r="U207" i="11" a="1"/>
  <c r="U207" i="11" s="1"/>
  <c r="V207" i="11" s="1"/>
  <c r="E207" i="11" a="1"/>
  <c r="E207" i="11" s="1"/>
  <c r="M207" i="11" a="1"/>
  <c r="M207" i="11" s="1"/>
  <c r="N207" i="11" s="1"/>
  <c r="I207" i="11" a="1"/>
  <c r="I207" i="11" s="1"/>
  <c r="J207" i="11" s="1"/>
  <c r="S207" i="11" a="1"/>
  <c r="S207" i="11" s="1"/>
  <c r="Q207" i="11" a="1"/>
  <c r="Q207" i="11" s="1"/>
  <c r="R207" i="11" s="1"/>
  <c r="W207" i="11" a="1"/>
  <c r="W207" i="11" s="1"/>
  <c r="Y207" i="11" s="1"/>
  <c r="K207" i="11" a="1"/>
  <c r="K207" i="11" s="1"/>
  <c r="BE130" i="7"/>
  <c r="BE130" i="47"/>
  <c r="BE130" i="46"/>
  <c r="K254" i="11" a="1"/>
  <c r="K254" i="11" s="1"/>
  <c r="S254" i="11" a="1"/>
  <c r="S254" i="11" s="1"/>
  <c r="E254" i="11" a="1"/>
  <c r="E254" i="11" s="1"/>
  <c r="F254" i="11" a="1"/>
  <c r="F254" i="11" s="1"/>
  <c r="O254" i="11" a="1"/>
  <c r="O254" i="11" s="1"/>
  <c r="Q254" i="11" a="1"/>
  <c r="Q254" i="11" s="1"/>
  <c r="R254" i="11" s="1"/>
  <c r="D254" i="11" a="1"/>
  <c r="D254" i="11" s="1"/>
  <c r="I254" i="11" a="1"/>
  <c r="I254" i="11" s="1"/>
  <c r="J254" i="11" s="1"/>
  <c r="U254" i="11" a="1"/>
  <c r="U254" i="11" s="1"/>
  <c r="V254" i="11" s="1"/>
  <c r="W254" i="11" a="1"/>
  <c r="W254" i="11" s="1"/>
  <c r="Y254" i="11" s="1"/>
  <c r="M254" i="11" a="1"/>
  <c r="M254" i="11" s="1"/>
  <c r="N254" i="11" s="1"/>
  <c r="D128" i="11" a="1"/>
  <c r="D128" i="11" s="1"/>
  <c r="D69" i="11" a="1"/>
  <c r="D69" i="11" s="1"/>
  <c r="BE152" i="46"/>
  <c r="BE152" i="47"/>
  <c r="BE152" i="7"/>
  <c r="BF34" i="47"/>
  <c r="BF34" i="7"/>
  <c r="BF34" i="46"/>
  <c r="BE109" i="46"/>
  <c r="BE109" i="7"/>
  <c r="BE109" i="47"/>
  <c r="D116" i="11" a="1"/>
  <c r="D116" i="11" s="1"/>
  <c r="BE176" i="46"/>
  <c r="BE176" i="47"/>
  <c r="BE176" i="7"/>
  <c r="O208" i="41" a="1"/>
  <c r="O208" i="41" s="1"/>
  <c r="F208" i="41" a="1"/>
  <c r="F208" i="41" s="1"/>
  <c r="M208" i="41" a="1"/>
  <c r="M208" i="41" s="1"/>
  <c r="N208" i="41" s="1"/>
  <c r="Q208" i="41" a="1"/>
  <c r="Q208" i="41" s="1"/>
  <c r="R208" i="41" s="1"/>
  <c r="K208" i="41" a="1"/>
  <c r="K208" i="41" s="1"/>
  <c r="I208" i="41" a="1"/>
  <c r="I208" i="41" s="1"/>
  <c r="J208" i="41" s="1"/>
  <c r="S208" i="41" a="1"/>
  <c r="S208" i="41" s="1"/>
  <c r="D208" i="41" a="1"/>
  <c r="D208" i="41" s="1"/>
  <c r="E208" i="41" a="1"/>
  <c r="E208" i="41" s="1"/>
  <c r="D115" i="41" a="1"/>
  <c r="D115" i="41" s="1"/>
  <c r="BE165" i="7"/>
  <c r="BE165" i="46"/>
  <c r="BE165" i="47"/>
  <c r="BE93" i="7"/>
  <c r="BE93" i="47"/>
  <c r="BE93" i="46"/>
  <c r="I257" i="41" a="1"/>
  <c r="I257" i="41" s="1"/>
  <c r="J257" i="41" s="1"/>
  <c r="K257" i="41" a="1"/>
  <c r="K257" i="41" s="1"/>
  <c r="E257" i="41" a="1"/>
  <c r="E257" i="41" s="1"/>
  <c r="S257" i="41" a="1"/>
  <c r="S257" i="41" s="1"/>
  <c r="M257" i="41" a="1"/>
  <c r="M257" i="41" s="1"/>
  <c r="N257" i="41" s="1"/>
  <c r="F257" i="41" a="1"/>
  <c r="F257" i="41" s="1"/>
  <c r="Q257" i="41" a="1"/>
  <c r="Q257" i="41" s="1"/>
  <c r="R257" i="41" s="1"/>
  <c r="D257" i="41" a="1"/>
  <c r="D257" i="41" s="1"/>
  <c r="O257" i="41" a="1"/>
  <c r="O257" i="41" s="1"/>
  <c r="BE150" i="46"/>
  <c r="BE150" i="7"/>
  <c r="BE150" i="47"/>
  <c r="D51" i="11" a="1"/>
  <c r="D51" i="11" s="1"/>
  <c r="D66" i="11" a="1"/>
  <c r="D66" i="11" s="1"/>
  <c r="D114" i="11" a="1"/>
  <c r="D114" i="11" s="1"/>
  <c r="D160" i="41" a="1"/>
  <c r="D160" i="41" s="1"/>
  <c r="BF32" i="47"/>
  <c r="BF32" i="46"/>
  <c r="BF32" i="7"/>
  <c r="D119" i="11" a="1"/>
  <c r="D119" i="11" s="1"/>
  <c r="BF120" i="7"/>
  <c r="BF120" i="47"/>
  <c r="BF120" i="46"/>
  <c r="BF33" i="47"/>
  <c r="BF33" i="7"/>
  <c r="BF33" i="46"/>
  <c r="BF29" i="47"/>
  <c r="BF29" i="46"/>
  <c r="BF29" i="7"/>
  <c r="D55" i="11" a="1"/>
  <c r="D55" i="11" s="1"/>
  <c r="BE128" i="46"/>
  <c r="BE128" i="7"/>
  <c r="BE128" i="47"/>
  <c r="BE177" i="7"/>
  <c r="BE177" i="46"/>
  <c r="BE177" i="47"/>
  <c r="D100" i="41" a="1"/>
  <c r="D100" i="41" s="1"/>
  <c r="BE57" i="47"/>
  <c r="BE57" i="46"/>
  <c r="BE57" i="7"/>
  <c r="D138" i="11" a="1"/>
  <c r="D138" i="11" s="1"/>
  <c r="BF119" i="46"/>
  <c r="BF119" i="47"/>
  <c r="BF119" i="7"/>
  <c r="BE40" i="7"/>
  <c r="BE40" i="47"/>
  <c r="BE40" i="46"/>
  <c r="F240" i="11" a="1"/>
  <c r="F240" i="11" s="1"/>
  <c r="K240" i="11" a="1"/>
  <c r="K240" i="11" s="1"/>
  <c r="E240" i="11" a="1"/>
  <c r="E240" i="11" s="1"/>
  <c r="W240" i="11" a="1"/>
  <c r="W240" i="11" s="1"/>
  <c r="Y240" i="11" s="1"/>
  <c r="M240" i="11" a="1"/>
  <c r="M240" i="11" s="1"/>
  <c r="N240" i="11" s="1"/>
  <c r="U240" i="11" a="1"/>
  <c r="U240" i="11" s="1"/>
  <c r="V240" i="11" s="1"/>
  <c r="S240" i="11" a="1"/>
  <c r="S240" i="11" s="1"/>
  <c r="O240" i="11" a="1"/>
  <c r="O240" i="11" s="1"/>
  <c r="Q240" i="11" a="1"/>
  <c r="Q240" i="11" s="1"/>
  <c r="R240" i="11" s="1"/>
  <c r="I240" i="11" a="1"/>
  <c r="I240" i="11" s="1"/>
  <c r="J240" i="11" s="1"/>
  <c r="D240" i="11" a="1"/>
  <c r="D240" i="11" s="1"/>
  <c r="BE138" i="47"/>
  <c r="BE138" i="7"/>
  <c r="BE138" i="46"/>
  <c r="BE53" i="46"/>
  <c r="BE53" i="7"/>
  <c r="BE53" i="47"/>
  <c r="BE60" i="7"/>
  <c r="BE60" i="46"/>
  <c r="BE60" i="47"/>
  <c r="D57" i="41" a="1"/>
  <c r="D57" i="41" s="1"/>
  <c r="D28" i="11" a="1"/>
  <c r="D28" i="11" s="1"/>
  <c r="D132" i="11" a="1"/>
  <c r="D132" i="11" s="1"/>
  <c r="D151" i="11" a="1"/>
  <c r="D151" i="11" s="1"/>
  <c r="I200" i="11" a="1"/>
  <c r="I200" i="11" s="1"/>
  <c r="J200" i="11" s="1"/>
  <c r="O200" i="11" a="1"/>
  <c r="O200" i="11" s="1"/>
  <c r="K200" i="11" a="1"/>
  <c r="K200" i="11" s="1"/>
  <c r="M200" i="11" a="1"/>
  <c r="M200" i="11" s="1"/>
  <c r="N200" i="11" s="1"/>
  <c r="U200" i="11" a="1"/>
  <c r="U200" i="11" s="1"/>
  <c r="V200" i="11" s="1"/>
  <c r="Q200" i="11" a="1"/>
  <c r="Q200" i="11" s="1"/>
  <c r="R200" i="11" s="1"/>
  <c r="E200" i="11" a="1"/>
  <c r="E200" i="11" s="1"/>
  <c r="F200" i="11" a="1"/>
  <c r="F200" i="11" s="1"/>
  <c r="W200" i="11" a="1"/>
  <c r="W200" i="11" s="1"/>
  <c r="Y200" i="11" s="1"/>
  <c r="D200" i="11" a="1"/>
  <c r="D200" i="11" s="1"/>
  <c r="S200" i="11" a="1"/>
  <c r="S200" i="11" s="1"/>
  <c r="BF66" i="47"/>
  <c r="BF66" i="46"/>
  <c r="BF66" i="7"/>
  <c r="D64" i="41" a="1"/>
  <c r="D64" i="41" s="1"/>
  <c r="D177" i="11" a="1"/>
  <c r="D177" i="11" s="1"/>
  <c r="D74" i="11" a="1"/>
  <c r="D74" i="11" s="1"/>
  <c r="BF73" i="46"/>
  <c r="BF73" i="47"/>
  <c r="BF73" i="7"/>
  <c r="D125" i="11" a="1"/>
  <c r="D125" i="11" s="1"/>
  <c r="D181" i="11" a="1"/>
  <c r="D181" i="11" s="1"/>
  <c r="D61" i="11" a="1"/>
  <c r="D61" i="11" s="1"/>
  <c r="BF49" i="7"/>
  <c r="BF49" i="47"/>
  <c r="BF49" i="46"/>
  <c r="D226" i="41" a="1"/>
  <c r="D226" i="41" s="1"/>
  <c r="F226" i="41" a="1"/>
  <c r="F226" i="41" s="1"/>
  <c r="Q226" i="41" a="1"/>
  <c r="Q226" i="41" s="1"/>
  <c r="R226" i="41" s="1"/>
  <c r="E226" i="41" a="1"/>
  <c r="E226" i="41" s="1"/>
  <c r="M226" i="41" a="1"/>
  <c r="M226" i="41" s="1"/>
  <c r="N226" i="41" s="1"/>
  <c r="K226" i="41" a="1"/>
  <c r="K226" i="41" s="1"/>
  <c r="S226" i="41" a="1"/>
  <c r="S226" i="41" s="1"/>
  <c r="O226" i="41" a="1"/>
  <c r="O226" i="41" s="1"/>
  <c r="I226" i="41" a="1"/>
  <c r="I226" i="41" s="1"/>
  <c r="J226" i="41" s="1"/>
  <c r="D49" i="11" a="1"/>
  <c r="D49" i="11" s="1"/>
  <c r="D182" i="41" a="1"/>
  <c r="D182" i="41" s="1"/>
  <c r="D64" i="11" a="1"/>
  <c r="D64" i="11" s="1"/>
  <c r="Q252" i="41" a="1"/>
  <c r="Q252" i="41" s="1"/>
  <c r="R252" i="41" s="1"/>
  <c r="E252" i="41" a="1"/>
  <c r="E252" i="41" s="1"/>
  <c r="S252" i="41" a="1"/>
  <c r="S252" i="41" s="1"/>
  <c r="I252" i="41" a="1"/>
  <c r="I252" i="41" s="1"/>
  <c r="J252" i="41" s="1"/>
  <c r="O252" i="41" a="1"/>
  <c r="O252" i="41" s="1"/>
  <c r="F252" i="41" a="1"/>
  <c r="F252" i="41" s="1"/>
  <c r="D252" i="41" a="1"/>
  <c r="D252" i="41" s="1"/>
  <c r="M252" i="41" a="1"/>
  <c r="M252" i="41" s="1"/>
  <c r="N252" i="41" s="1"/>
  <c r="K252" i="41" a="1"/>
  <c r="K252" i="41" s="1"/>
  <c r="BF146" i="46"/>
  <c r="BF146" i="7"/>
  <c r="BF146" i="47"/>
  <c r="BE94" i="46"/>
  <c r="BE94" i="47"/>
  <c r="BE94" i="7"/>
  <c r="D147" i="41" a="1"/>
  <c r="D147" i="41" s="1"/>
  <c r="BF58" i="47"/>
  <c r="BF58" i="7"/>
  <c r="BF58" i="46"/>
  <c r="D129" i="11" a="1"/>
  <c r="D129" i="11" s="1"/>
  <c r="BF145" i="47"/>
  <c r="BF145" i="46"/>
  <c r="BF145" i="7"/>
  <c r="D26" i="11" a="1"/>
  <c r="D26" i="11" s="1"/>
  <c r="BF137" i="47"/>
  <c r="BF137" i="46"/>
  <c r="BF137" i="7"/>
  <c r="BE166" i="46"/>
  <c r="BE166" i="7"/>
  <c r="BE166" i="47"/>
  <c r="BE175" i="46"/>
  <c r="BE175" i="7"/>
  <c r="BE175" i="47"/>
  <c r="BF93" i="47"/>
  <c r="BF93" i="46"/>
  <c r="BF93" i="7"/>
  <c r="D169" i="11" a="1"/>
  <c r="D169" i="11" s="1"/>
  <c r="BE65" i="46"/>
  <c r="BE65" i="47"/>
  <c r="BE65" i="7"/>
  <c r="D154" i="11" a="1"/>
  <c r="D154" i="11" s="1"/>
  <c r="I235" i="11" a="1"/>
  <c r="I235" i="11" s="1"/>
  <c r="J235" i="11" s="1"/>
  <c r="D235" i="11" a="1"/>
  <c r="D235" i="11" s="1"/>
  <c r="U235" i="11" a="1"/>
  <c r="U235" i="11" s="1"/>
  <c r="V235" i="11" s="1"/>
  <c r="W235" i="11" a="1"/>
  <c r="W235" i="11" s="1"/>
  <c r="Y235" i="11" s="1"/>
  <c r="M235" i="11" a="1"/>
  <c r="M235" i="11" s="1"/>
  <c r="N235" i="11" s="1"/>
  <c r="K235" i="11" a="1"/>
  <c r="K235" i="11" s="1"/>
  <c r="Q235" i="11" a="1"/>
  <c r="Q235" i="11" s="1"/>
  <c r="R235" i="11" s="1"/>
  <c r="F235" i="11" a="1"/>
  <c r="F235" i="11" s="1"/>
  <c r="E235" i="11" a="1"/>
  <c r="E235" i="11" s="1"/>
  <c r="O235" i="11" a="1"/>
  <c r="O235" i="11" s="1"/>
  <c r="S235" i="11" a="1"/>
  <c r="S235" i="11" s="1"/>
  <c r="D35" i="11" a="1"/>
  <c r="D35" i="11" s="1"/>
  <c r="BF102" i="47"/>
  <c r="BF102" i="46"/>
  <c r="BF102" i="7"/>
  <c r="D83" i="41" a="1"/>
  <c r="D83" i="41" s="1"/>
  <c r="D103" i="11" a="1"/>
  <c r="D103" i="11" s="1"/>
  <c r="D142" i="11" a="1"/>
  <c r="D142" i="11" s="1"/>
  <c r="BE172" i="7"/>
  <c r="BE172" i="46"/>
  <c r="BE172" i="47"/>
  <c r="BE71" i="7"/>
  <c r="BE71" i="47"/>
  <c r="BE71" i="46"/>
  <c r="BF98" i="7"/>
  <c r="BF98" i="46"/>
  <c r="BF98" i="47"/>
  <c r="D71" i="11" a="1"/>
  <c r="D71" i="11" s="1"/>
  <c r="BF72" i="46"/>
  <c r="BF72" i="7"/>
  <c r="BF72" i="47"/>
  <c r="BF116" i="46"/>
  <c r="BF116" i="47"/>
  <c r="BF116" i="7"/>
  <c r="BE125" i="46"/>
  <c r="BE125" i="7"/>
  <c r="BE125" i="47"/>
  <c r="E255" i="11" a="1"/>
  <c r="E255" i="11" s="1"/>
  <c r="O255" i="11" a="1"/>
  <c r="O255" i="11" s="1"/>
  <c r="K255" i="11" a="1"/>
  <c r="K255" i="11" s="1"/>
  <c r="W255" i="11" a="1"/>
  <c r="W255" i="11" s="1"/>
  <c r="Y255" i="11" s="1"/>
  <c r="Q255" i="11" a="1"/>
  <c r="Q255" i="11" s="1"/>
  <c r="R255" i="11" s="1"/>
  <c r="D255" i="11" a="1"/>
  <c r="D255" i="11" s="1"/>
  <c r="S255" i="11" a="1"/>
  <c r="S255" i="11" s="1"/>
  <c r="U255" i="11" a="1"/>
  <c r="U255" i="11" s="1"/>
  <c r="V255" i="11" s="1"/>
  <c r="I255" i="11" a="1"/>
  <c r="I255" i="11" s="1"/>
  <c r="J255" i="11" s="1"/>
  <c r="M255" i="11" a="1"/>
  <c r="M255" i="11" s="1"/>
  <c r="N255" i="11" s="1"/>
  <c r="F255" i="11" a="1"/>
  <c r="F255" i="11" s="1"/>
  <c r="K210" i="41" a="1"/>
  <c r="K210" i="41" s="1"/>
  <c r="Q210" i="41" a="1"/>
  <c r="Q210" i="41" s="1"/>
  <c r="R210" i="41" s="1"/>
  <c r="O210" i="41" a="1"/>
  <c r="O210" i="41" s="1"/>
  <c r="D210" i="41" a="1"/>
  <c r="D210" i="41" s="1"/>
  <c r="F210" i="41" a="1"/>
  <c r="F210" i="41" s="1"/>
  <c r="S210" i="41" a="1"/>
  <c r="S210" i="41" s="1"/>
  <c r="M210" i="41" a="1"/>
  <c r="M210" i="41" s="1"/>
  <c r="N210" i="41" s="1"/>
  <c r="E210" i="41" a="1"/>
  <c r="E210" i="41" s="1"/>
  <c r="I210" i="41" a="1"/>
  <c r="I210" i="41" s="1"/>
  <c r="J210" i="41" s="1"/>
  <c r="F235" i="41" a="1"/>
  <c r="F235" i="41" s="1"/>
  <c r="E235" i="41" a="1"/>
  <c r="E235" i="41" s="1"/>
  <c r="K235" i="41" a="1"/>
  <c r="K235" i="41" s="1"/>
  <c r="S235" i="41" a="1"/>
  <c r="S235" i="41" s="1"/>
  <c r="D235" i="41" a="1"/>
  <c r="D235" i="41" s="1"/>
  <c r="O235" i="41" a="1"/>
  <c r="O235" i="41" s="1"/>
  <c r="Q235" i="41" a="1"/>
  <c r="Q235" i="41" s="1"/>
  <c r="R235" i="41" s="1"/>
  <c r="I235" i="41" a="1"/>
  <c r="I235" i="41" s="1"/>
  <c r="J235" i="41" s="1"/>
  <c r="M235" i="41" a="1"/>
  <c r="M235" i="41" s="1"/>
  <c r="N235" i="41" s="1"/>
  <c r="BF21" i="7"/>
  <c r="BF21" i="47"/>
  <c r="BF21" i="46"/>
  <c r="M246" i="11" a="1"/>
  <c r="M246" i="11" s="1"/>
  <c r="N246" i="11" s="1"/>
  <c r="U246" i="11" a="1"/>
  <c r="U246" i="11" s="1"/>
  <c r="V246" i="11" s="1"/>
  <c r="W246" i="11" a="1"/>
  <c r="W246" i="11" s="1"/>
  <c r="Y246" i="11" s="1"/>
  <c r="E246" i="11" a="1"/>
  <c r="E246" i="11" s="1"/>
  <c r="S246" i="11" a="1"/>
  <c r="S246" i="11" s="1"/>
  <c r="O246" i="11" a="1"/>
  <c r="O246" i="11" s="1"/>
  <c r="F246" i="11" a="1"/>
  <c r="F246" i="11" s="1"/>
  <c r="K246" i="11" a="1"/>
  <c r="K246" i="11" s="1"/>
  <c r="D246" i="11" a="1"/>
  <c r="D246" i="11" s="1"/>
  <c r="Q246" i="11" a="1"/>
  <c r="Q246" i="11" s="1"/>
  <c r="R246" i="11" s="1"/>
  <c r="I246" i="11" a="1"/>
  <c r="I246" i="11" s="1"/>
  <c r="J246" i="11" s="1"/>
  <c r="BF134" i="7"/>
  <c r="BF134" i="46"/>
  <c r="BF134" i="47"/>
  <c r="D256" i="41" a="1"/>
  <c r="D256" i="41" s="1"/>
  <c r="O256" i="41" a="1"/>
  <c r="O256" i="41" s="1"/>
  <c r="M256" i="41" a="1"/>
  <c r="M256" i="41" s="1"/>
  <c r="N256" i="41" s="1"/>
  <c r="E256" i="41" a="1"/>
  <c r="E256" i="41" s="1"/>
  <c r="K256" i="41" a="1"/>
  <c r="K256" i="41" s="1"/>
  <c r="F256" i="41" a="1"/>
  <c r="F256" i="41" s="1"/>
  <c r="I256" i="41" a="1"/>
  <c r="I256" i="41" s="1"/>
  <c r="J256" i="41" s="1"/>
  <c r="S256" i="41" a="1"/>
  <c r="S256" i="41" s="1"/>
  <c r="Q256" i="41" a="1"/>
  <c r="Q256" i="41" s="1"/>
  <c r="R256" i="41" s="1"/>
  <c r="D39" i="41" a="1"/>
  <c r="D39" i="41" s="1"/>
  <c r="D167" i="11" a="1"/>
  <c r="D167" i="11" s="1"/>
  <c r="D184" i="11" a="1"/>
  <c r="D184" i="11" s="1"/>
  <c r="BE47" i="47"/>
  <c r="BE47" i="7"/>
  <c r="BE47" i="46"/>
  <c r="D37" i="11" a="1"/>
  <c r="D37" i="11" s="1"/>
  <c r="BE131" i="47"/>
  <c r="BE131" i="46"/>
  <c r="BE131" i="7"/>
  <c r="D145" i="11" a="1"/>
  <c r="D145" i="11" s="1"/>
  <c r="E212" i="41" a="1"/>
  <c r="E212" i="41" s="1"/>
  <c r="I212" i="41" a="1"/>
  <c r="I212" i="41" s="1"/>
  <c r="J212" i="41" s="1"/>
  <c r="O212" i="41" a="1"/>
  <c r="O212" i="41" s="1"/>
  <c r="M212" i="41" a="1"/>
  <c r="M212" i="41" s="1"/>
  <c r="N212" i="41" s="1"/>
  <c r="F212" i="41" a="1"/>
  <c r="F212" i="41" s="1"/>
  <c r="K212" i="41" a="1"/>
  <c r="K212" i="41" s="1"/>
  <c r="S212" i="41" a="1"/>
  <c r="S212" i="41" s="1"/>
  <c r="Q212" i="41" a="1"/>
  <c r="Q212" i="41" s="1"/>
  <c r="R212" i="41" s="1"/>
  <c r="D212" i="41" a="1"/>
  <c r="D212" i="41" s="1"/>
  <c r="BF168" i="46"/>
  <c r="BF168" i="47"/>
  <c r="BF168" i="7"/>
  <c r="D140" i="41" a="1"/>
  <c r="D140" i="41" s="1"/>
  <c r="BF161" i="7"/>
  <c r="BF161" i="47"/>
  <c r="BF161" i="46"/>
  <c r="BF174" i="7"/>
  <c r="BF174" i="46"/>
  <c r="BF174" i="47"/>
  <c r="D160" i="11" a="1"/>
  <c r="D160" i="11" s="1"/>
  <c r="BE62" i="47"/>
  <c r="BE62" i="46"/>
  <c r="BE62" i="7"/>
  <c r="D164" i="11" a="1"/>
  <c r="D164" i="11" s="1"/>
  <c r="D96" i="11" a="1"/>
  <c r="D96" i="11" s="1"/>
  <c r="D138" i="41" a="1"/>
  <c r="D138" i="41" s="1"/>
  <c r="BE148" i="7"/>
  <c r="BE148" i="47"/>
  <c r="BE148" i="46"/>
  <c r="O209" i="11" a="1"/>
  <c r="O209" i="11" s="1"/>
  <c r="D209" i="11" a="1"/>
  <c r="D209" i="11" s="1"/>
  <c r="K209" i="11" a="1"/>
  <c r="K209" i="11" s="1"/>
  <c r="U209" i="11" a="1"/>
  <c r="U209" i="11" s="1"/>
  <c r="V209" i="11" s="1"/>
  <c r="M209" i="11" a="1"/>
  <c r="M209" i="11" s="1"/>
  <c r="N209" i="11" s="1"/>
  <c r="W209" i="11" a="1"/>
  <c r="W209" i="11" s="1"/>
  <c r="Y209" i="11" s="1"/>
  <c r="Q209" i="11" a="1"/>
  <c r="Q209" i="11" s="1"/>
  <c r="R209" i="11" s="1"/>
  <c r="F209" i="11" a="1"/>
  <c r="F209" i="11" s="1"/>
  <c r="S209" i="11" a="1"/>
  <c r="S209" i="11" s="1"/>
  <c r="I209" i="11" a="1"/>
  <c r="I209" i="11" s="1"/>
  <c r="J209" i="11" s="1"/>
  <c r="E209" i="11" a="1"/>
  <c r="E209" i="11" s="1"/>
  <c r="D87" i="11" a="1"/>
  <c r="D87" i="11" s="1"/>
  <c r="BF36" i="47"/>
  <c r="BF36" i="46"/>
  <c r="BF36" i="7"/>
  <c r="BE27" i="46"/>
  <c r="BE27" i="7"/>
  <c r="BE27" i="47"/>
  <c r="BF23" i="7"/>
  <c r="BF23" i="46"/>
  <c r="BF23" i="47"/>
  <c r="BF26" i="46"/>
  <c r="BF26" i="7"/>
  <c r="BF26" i="47"/>
  <c r="D95" i="11" a="1"/>
  <c r="D95" i="11" s="1"/>
  <c r="BF79" i="46"/>
  <c r="BF79" i="7"/>
  <c r="BF79" i="47"/>
  <c r="D230" i="11" a="1"/>
  <c r="D230" i="11" s="1"/>
  <c r="I230" i="11" a="1"/>
  <c r="I230" i="11" s="1"/>
  <c r="J230" i="11" s="1"/>
  <c r="M230" i="11" a="1"/>
  <c r="M230" i="11" s="1"/>
  <c r="N230" i="11" s="1"/>
  <c r="F230" i="11" a="1"/>
  <c r="F230" i="11" s="1"/>
  <c r="E230" i="11" a="1"/>
  <c r="E230" i="11" s="1"/>
  <c r="W230" i="11" a="1"/>
  <c r="W230" i="11" s="1"/>
  <c r="Y230" i="11" s="1"/>
  <c r="Q230" i="11" a="1"/>
  <c r="Q230" i="11" s="1"/>
  <c r="R230" i="11" s="1"/>
  <c r="O230" i="11" a="1"/>
  <c r="O230" i="11" s="1"/>
  <c r="K230" i="11" a="1"/>
  <c r="K230" i="11" s="1"/>
  <c r="S230" i="11" a="1"/>
  <c r="S230" i="11" s="1"/>
  <c r="U230" i="11" a="1"/>
  <c r="U230" i="11" s="1"/>
  <c r="V230" i="11" s="1"/>
  <c r="D107" i="41" a="1"/>
  <c r="D107" i="41" s="1"/>
  <c r="BF111" i="7"/>
  <c r="BF111" i="47"/>
  <c r="BF111" i="46"/>
  <c r="BE171" i="47"/>
  <c r="BE171" i="7"/>
  <c r="BE171" i="46"/>
  <c r="S215" i="11" a="1"/>
  <c r="S215" i="11" s="1"/>
  <c r="Q215" i="11" a="1"/>
  <c r="Q215" i="11" s="1"/>
  <c r="R215" i="11" s="1"/>
  <c r="E215" i="11" a="1"/>
  <c r="E215" i="11" s="1"/>
  <c r="M215" i="11" a="1"/>
  <c r="M215" i="11" s="1"/>
  <c r="N215" i="11" s="1"/>
  <c r="O215" i="11" a="1"/>
  <c r="O215" i="11" s="1"/>
  <c r="D215" i="11" a="1"/>
  <c r="D215" i="11" s="1"/>
  <c r="U215" i="11" a="1"/>
  <c r="U215" i="11" s="1"/>
  <c r="V215" i="11" s="1"/>
  <c r="I215" i="11" a="1"/>
  <c r="I215" i="11" s="1"/>
  <c r="J215" i="11" s="1"/>
  <c r="W215" i="11" a="1"/>
  <c r="W215" i="11" s="1"/>
  <c r="Y215" i="11" s="1"/>
  <c r="F215" i="11" a="1"/>
  <c r="F215" i="11" s="1"/>
  <c r="K215" i="11" a="1"/>
  <c r="K215" i="11" s="1"/>
  <c r="BF76" i="47"/>
  <c r="BF76" i="7"/>
  <c r="BF76" i="46"/>
  <c r="BF165" i="7"/>
  <c r="BF165" i="47"/>
  <c r="BF165" i="46"/>
  <c r="BE61" i="46"/>
  <c r="BE61" i="47"/>
  <c r="BE61" i="7"/>
  <c r="BE145" i="47"/>
  <c r="BE145" i="7"/>
  <c r="BE145" i="46"/>
  <c r="D175" i="41" a="1"/>
  <c r="D175" i="41" s="1"/>
  <c r="M218" i="41" a="1"/>
  <c r="M218" i="41" s="1"/>
  <c r="N218" i="41" s="1"/>
  <c r="K218" i="41" a="1"/>
  <c r="K218" i="41" s="1"/>
  <c r="Q218" i="41" a="1"/>
  <c r="Q218" i="41" s="1"/>
  <c r="R218" i="41" s="1"/>
  <c r="I218" i="41" a="1"/>
  <c r="I218" i="41" s="1"/>
  <c r="J218" i="41" s="1"/>
  <c r="F218" i="41" a="1"/>
  <c r="F218" i="41" s="1"/>
  <c r="S218" i="41" a="1"/>
  <c r="S218" i="41" s="1"/>
  <c r="E218" i="41" a="1"/>
  <c r="E218" i="41" s="1"/>
  <c r="O218" i="41" a="1"/>
  <c r="O218" i="41" s="1"/>
  <c r="D218" i="41" a="1"/>
  <c r="D218" i="41" s="1"/>
  <c r="BE98" i="7"/>
  <c r="BE98" i="47"/>
  <c r="BE98" i="46"/>
  <c r="E237" i="41" a="1"/>
  <c r="E237" i="41" s="1"/>
  <c r="D237" i="41" a="1"/>
  <c r="D237" i="41" s="1"/>
  <c r="F237" i="41" a="1"/>
  <c r="F237" i="41" s="1"/>
  <c r="O237" i="41" a="1"/>
  <c r="O237" i="41" s="1"/>
  <c r="Q237" i="41" a="1"/>
  <c r="Q237" i="41" s="1"/>
  <c r="R237" i="41" s="1"/>
  <c r="K237" i="41" a="1"/>
  <c r="K237" i="41" s="1"/>
  <c r="M237" i="41" a="1"/>
  <c r="M237" i="41" s="1"/>
  <c r="N237" i="41" s="1"/>
  <c r="S237" i="41" a="1"/>
  <c r="S237" i="41" s="1"/>
  <c r="I237" i="41" a="1"/>
  <c r="I237" i="41" s="1"/>
  <c r="J237" i="41" s="1"/>
  <c r="BE76" i="47"/>
  <c r="BE76" i="46"/>
  <c r="BE76" i="7"/>
  <c r="D126" i="11" a="1"/>
  <c r="D126" i="11" s="1"/>
  <c r="BF126" i="7"/>
  <c r="BF126" i="47"/>
  <c r="BF126" i="46"/>
  <c r="D109" i="41" a="1"/>
  <c r="D109" i="41" s="1"/>
  <c r="BE78" i="47"/>
  <c r="BE78" i="7"/>
  <c r="BE78" i="46"/>
  <c r="BE174" i="46"/>
  <c r="BE174" i="47"/>
  <c r="BE174" i="7"/>
  <c r="BE86" i="46"/>
  <c r="BE86" i="7"/>
  <c r="BE86" i="47"/>
  <c r="D176" i="41" a="1"/>
  <c r="D176" i="41" s="1"/>
  <c r="BE67" i="46"/>
  <c r="BE67" i="47"/>
  <c r="BE67" i="7"/>
  <c r="D217" i="41" a="1"/>
  <c r="D217" i="41" s="1"/>
  <c r="S217" i="41" a="1"/>
  <c r="S217" i="41" s="1"/>
  <c r="Q217" i="41" a="1"/>
  <c r="Q217" i="41" s="1"/>
  <c r="R217" i="41" s="1"/>
  <c r="E217" i="41" a="1"/>
  <c r="E217" i="41" s="1"/>
  <c r="O217" i="41" a="1"/>
  <c r="O217" i="41" s="1"/>
  <c r="I217" i="41" a="1"/>
  <c r="I217" i="41" s="1"/>
  <c r="J217" i="41" s="1"/>
  <c r="F217" i="41" a="1"/>
  <c r="F217" i="41" s="1"/>
  <c r="M217" i="41" a="1"/>
  <c r="M217" i="41" s="1"/>
  <c r="N217" i="41" s="1"/>
  <c r="K217" i="41" a="1"/>
  <c r="K217" i="41" s="1"/>
  <c r="BF83" i="7"/>
  <c r="BF83" i="46"/>
  <c r="BF83" i="47"/>
  <c r="D65" i="11" a="1"/>
  <c r="D65" i="11" s="1"/>
  <c r="BF166" i="47"/>
  <c r="BF166" i="7"/>
  <c r="BF166" i="46"/>
  <c r="D110" i="11" a="1"/>
  <c r="D110" i="11" s="1"/>
  <c r="D233" i="11" a="1"/>
  <c r="D233" i="11" s="1"/>
  <c r="I233" i="11" a="1"/>
  <c r="I233" i="11" s="1"/>
  <c r="J233" i="11" s="1"/>
  <c r="Q233" i="11" a="1"/>
  <c r="Q233" i="11" s="1"/>
  <c r="R233" i="11" s="1"/>
  <c r="K233" i="11" a="1"/>
  <c r="K233" i="11" s="1"/>
  <c r="E233" i="11" a="1"/>
  <c r="E233" i="11" s="1"/>
  <c r="U233" i="11" a="1"/>
  <c r="U233" i="11" s="1"/>
  <c r="V233" i="11" s="1"/>
  <c r="S233" i="11" a="1"/>
  <c r="S233" i="11" s="1"/>
  <c r="O233" i="11" a="1"/>
  <c r="O233" i="11" s="1"/>
  <c r="W233" i="11" a="1"/>
  <c r="W233" i="11" s="1"/>
  <c r="Y233" i="11" s="1"/>
  <c r="M233" i="11" a="1"/>
  <c r="M233" i="11" s="1"/>
  <c r="N233" i="11" s="1"/>
  <c r="F233" i="11" a="1"/>
  <c r="F233" i="11" s="1"/>
  <c r="D149" i="11" a="1"/>
  <c r="D149" i="11" s="1"/>
  <c r="D52" i="41" a="1"/>
  <c r="D52" i="41" s="1"/>
  <c r="D167" i="41" a="1"/>
  <c r="D167" i="41" s="1"/>
  <c r="BE136" i="47"/>
  <c r="BE136" i="7"/>
  <c r="BE136" i="46"/>
  <c r="BE31" i="46"/>
  <c r="BE31" i="7"/>
  <c r="BE31" i="47"/>
  <c r="BE33" i="47"/>
  <c r="BE33" i="46"/>
  <c r="BE33" i="7"/>
  <c r="BF163" i="46"/>
  <c r="BF163" i="7"/>
  <c r="BF163" i="47"/>
  <c r="D131" i="11" a="1"/>
  <c r="D131" i="11" s="1"/>
  <c r="BE164" i="47"/>
  <c r="BE164" i="46"/>
  <c r="BE164" i="7"/>
  <c r="BE48" i="46"/>
  <c r="BE48" i="47"/>
  <c r="BE48" i="7"/>
  <c r="E225" i="11" a="1"/>
  <c r="E225" i="11" s="1"/>
  <c r="K225" i="11" a="1"/>
  <c r="K225" i="11" s="1"/>
  <c r="M225" i="11" a="1"/>
  <c r="M225" i="11" s="1"/>
  <c r="N225" i="11" s="1"/>
  <c r="O225" i="11" a="1"/>
  <c r="O225" i="11" s="1"/>
  <c r="F225" i="11" a="1"/>
  <c r="F225" i="11" s="1"/>
  <c r="Q225" i="11" a="1"/>
  <c r="Q225" i="11" s="1"/>
  <c r="R225" i="11" s="1"/>
  <c r="W225" i="11" a="1"/>
  <c r="W225" i="11" s="1"/>
  <c r="Y225" i="11" s="1"/>
  <c r="I225" i="11" a="1"/>
  <c r="I225" i="11" s="1"/>
  <c r="J225" i="11" s="1"/>
  <c r="D225" i="11" a="1"/>
  <c r="D225" i="11" s="1"/>
  <c r="S225" i="11" a="1"/>
  <c r="S225" i="11" s="1"/>
  <c r="U225" i="11" a="1"/>
  <c r="U225" i="11" s="1"/>
  <c r="V225" i="11" s="1"/>
  <c r="BF59" i="7"/>
  <c r="BF59" i="47"/>
  <c r="BF59" i="46"/>
  <c r="D174" i="11" a="1"/>
  <c r="D174" i="11" s="1"/>
  <c r="BE91" i="46"/>
  <c r="BE91" i="7"/>
  <c r="BE91" i="47"/>
  <c r="BE120" i="46"/>
  <c r="BE120" i="47"/>
  <c r="BE120" i="7"/>
  <c r="I242" i="41" a="1"/>
  <c r="I242" i="41" s="1"/>
  <c r="J242" i="41" s="1"/>
  <c r="Q242" i="41" a="1"/>
  <c r="Q242" i="41" s="1"/>
  <c r="R242" i="41" s="1"/>
  <c r="F242" i="41" a="1"/>
  <c r="F242" i="41" s="1"/>
  <c r="E242" i="41" a="1"/>
  <c r="E242" i="41" s="1"/>
  <c r="M242" i="41" a="1"/>
  <c r="M242" i="41" s="1"/>
  <c r="N242" i="41" s="1"/>
  <c r="O242" i="41" a="1"/>
  <c r="O242" i="41" s="1"/>
  <c r="D242" i="41" a="1"/>
  <c r="D242" i="41" s="1"/>
  <c r="S242" i="41" a="1"/>
  <c r="S242" i="41" s="1"/>
  <c r="K242" i="41" a="1"/>
  <c r="K242" i="41" s="1"/>
  <c r="D45" i="11" a="1"/>
  <c r="D45" i="11" s="1"/>
  <c r="D204" i="11" a="1"/>
  <c r="D204" i="11" s="1"/>
  <c r="U204" i="11" a="1"/>
  <c r="U204" i="11" s="1"/>
  <c r="V204" i="11" s="1"/>
  <c r="K204" i="11" a="1"/>
  <c r="K204" i="11" s="1"/>
  <c r="W204" i="11" a="1"/>
  <c r="W204" i="11" s="1"/>
  <c r="Y204" i="11" s="1"/>
  <c r="Q204" i="11" a="1"/>
  <c r="Q204" i="11" s="1"/>
  <c r="R204" i="11" s="1"/>
  <c r="S204" i="11" a="1"/>
  <c r="S204" i="11" s="1"/>
  <c r="I204" i="11" a="1"/>
  <c r="I204" i="11" s="1"/>
  <c r="J204" i="11" s="1"/>
  <c r="E204" i="11" a="1"/>
  <c r="E204" i="11" s="1"/>
  <c r="F204" i="11" a="1"/>
  <c r="F204" i="11" s="1"/>
  <c r="M204" i="11" a="1"/>
  <c r="M204" i="11" s="1"/>
  <c r="N204" i="11" s="1"/>
  <c r="O204" i="11" a="1"/>
  <c r="O204" i="11" s="1"/>
  <c r="Q201" i="41" a="1"/>
  <c r="Q201" i="41" s="1"/>
  <c r="R201" i="41" s="1"/>
  <c r="E201" i="41" a="1"/>
  <c r="E201" i="41" s="1"/>
  <c r="O201" i="41" a="1"/>
  <c r="O201" i="41" s="1"/>
  <c r="M201" i="41" a="1"/>
  <c r="M201" i="41" s="1"/>
  <c r="N201" i="41" s="1"/>
  <c r="F201" i="41" a="1"/>
  <c r="F201" i="41" s="1"/>
  <c r="K201" i="41" a="1"/>
  <c r="K201" i="41" s="1"/>
  <c r="S201" i="41" a="1"/>
  <c r="S201" i="41" s="1"/>
  <c r="D201" i="41" a="1"/>
  <c r="D201" i="41" s="1"/>
  <c r="I201" i="41" a="1"/>
  <c r="I201" i="41" s="1"/>
  <c r="J201" i="41" s="1"/>
  <c r="D118" i="41" a="1"/>
  <c r="D118" i="41" s="1"/>
  <c r="D127" i="41" a="1"/>
  <c r="D127" i="41" s="1"/>
  <c r="D75" i="11" a="1"/>
  <c r="D75" i="11" s="1"/>
  <c r="BF22" i="7"/>
  <c r="BF22" i="46"/>
  <c r="BF22" i="47"/>
  <c r="F247" i="41" a="1"/>
  <c r="F247" i="41" s="1"/>
  <c r="S247" i="41" a="1"/>
  <c r="S247" i="41" s="1"/>
  <c r="Q247" i="41" a="1"/>
  <c r="Q247" i="41" s="1"/>
  <c r="R247" i="41" s="1"/>
  <c r="E247" i="41" a="1"/>
  <c r="E247" i="41" s="1"/>
  <c r="O247" i="41" a="1"/>
  <c r="O247" i="41" s="1"/>
  <c r="I247" i="41" a="1"/>
  <c r="I247" i="41" s="1"/>
  <c r="J247" i="41" s="1"/>
  <c r="K247" i="41" a="1"/>
  <c r="K247" i="41" s="1"/>
  <c r="M247" i="41" a="1"/>
  <c r="M247" i="41" s="1"/>
  <c r="N247" i="41" s="1"/>
  <c r="D247" i="41" a="1"/>
  <c r="D247" i="41" s="1"/>
  <c r="BF155" i="7"/>
  <c r="BF155" i="47"/>
  <c r="BF155" i="46"/>
  <c r="D161" i="11" a="1"/>
  <c r="D161" i="11" s="1"/>
  <c r="D27" i="11" a="1"/>
  <c r="D27" i="11" s="1"/>
  <c r="BE70" i="46"/>
  <c r="BE70" i="47"/>
  <c r="BE70" i="7"/>
  <c r="D165" i="11" a="1"/>
  <c r="D165" i="11" s="1"/>
  <c r="D97" i="41" a="1"/>
  <c r="D97" i="41" s="1"/>
  <c r="BE173" i="7"/>
  <c r="BE173" i="46"/>
  <c r="BE173" i="47"/>
  <c r="BF54" i="7"/>
  <c r="BF54" i="46"/>
  <c r="BF54" i="47"/>
  <c r="W261" i="11" a="1"/>
  <c r="W261" i="11" s="1"/>
  <c r="Y261" i="11" s="1"/>
  <c r="Q261" i="11" a="1"/>
  <c r="Q261" i="11" s="1"/>
  <c r="R261" i="11" s="1"/>
  <c r="O261" i="11" a="1"/>
  <c r="O261" i="11" s="1"/>
  <c r="D261" i="11" a="1"/>
  <c r="D261" i="11" s="1"/>
  <c r="I261" i="11" a="1"/>
  <c r="I261" i="11" s="1"/>
  <c r="J261" i="11" s="1"/>
  <c r="S261" i="11" a="1"/>
  <c r="S261" i="11" s="1"/>
  <c r="U261" i="11" a="1"/>
  <c r="U261" i="11" s="1"/>
  <c r="V261" i="11" s="1"/>
  <c r="M261" i="11" a="1"/>
  <c r="M261" i="11" s="1"/>
  <c r="N261" i="11" s="1"/>
  <c r="K261" i="11" a="1"/>
  <c r="K261" i="11" s="1"/>
  <c r="F261" i="11" a="1"/>
  <c r="F261" i="11" s="1"/>
  <c r="E261" i="11" a="1"/>
  <c r="E261" i="11" s="1"/>
  <c r="BF24" i="7"/>
  <c r="BF24" i="46"/>
  <c r="BF24" i="47"/>
  <c r="D116" i="41" a="1"/>
  <c r="D116" i="41" s="1"/>
  <c r="BE102" i="7"/>
  <c r="BE102" i="46"/>
  <c r="BE102" i="47"/>
  <c r="BE39" i="46"/>
  <c r="BE39" i="47"/>
  <c r="BE39" i="7"/>
  <c r="D38" i="11" a="1"/>
  <c r="D38" i="11" s="1"/>
  <c r="D58" i="11" a="1"/>
  <c r="D58" i="11" s="1"/>
  <c r="D99" i="41" a="1"/>
  <c r="D99" i="41" s="1"/>
  <c r="M244" i="41" a="1"/>
  <c r="M244" i="41" s="1"/>
  <c r="N244" i="41" s="1"/>
  <c r="F244" i="41" a="1"/>
  <c r="F244" i="41" s="1"/>
  <c r="K244" i="41" a="1"/>
  <c r="K244" i="41" s="1"/>
  <c r="Q244" i="41" a="1"/>
  <c r="Q244" i="41" s="1"/>
  <c r="R244" i="41" s="1"/>
  <c r="D244" i="41" a="1"/>
  <c r="D244" i="41" s="1"/>
  <c r="O244" i="41" a="1"/>
  <c r="O244" i="41" s="1"/>
  <c r="E244" i="41" a="1"/>
  <c r="E244" i="41" s="1"/>
  <c r="S244" i="41" a="1"/>
  <c r="S244" i="41" s="1"/>
  <c r="I244" i="41" a="1"/>
  <c r="I244" i="41" s="1"/>
  <c r="J244" i="41" s="1"/>
  <c r="D188" i="41" a="1"/>
  <c r="D188" i="41" s="1"/>
  <c r="D179" i="11" a="1"/>
  <c r="D179" i="11" s="1"/>
  <c r="D190" i="41" a="1"/>
  <c r="D190" i="41" s="1"/>
  <c r="I190" i="41" a="1"/>
  <c r="I190" i="41" s="1"/>
  <c r="J190" i="41" s="1"/>
  <c r="S190" i="41" a="1"/>
  <c r="S190" i="41" s="1"/>
  <c r="E190" i="41" a="1"/>
  <c r="E190" i="41" s="1"/>
  <c r="M190" i="41" a="1"/>
  <c r="M190" i="41" s="1"/>
  <c r="N190" i="41" s="1"/>
  <c r="K190" i="41" a="1"/>
  <c r="K190" i="41" s="1"/>
  <c r="F190" i="41" a="1"/>
  <c r="F190" i="41" s="1"/>
  <c r="O190" i="41" a="1"/>
  <c r="O190" i="41" s="1"/>
  <c r="Q190" i="41" a="1"/>
  <c r="Q190" i="41" s="1"/>
  <c r="R190" i="41" s="1"/>
  <c r="D60" i="41" a="1"/>
  <c r="D60" i="41" s="1"/>
  <c r="F229" i="41" a="1"/>
  <c r="F229" i="41" s="1"/>
  <c r="S229" i="41" a="1"/>
  <c r="S229" i="41" s="1"/>
  <c r="E229" i="41" a="1"/>
  <c r="E229" i="41" s="1"/>
  <c r="M229" i="41" a="1"/>
  <c r="M229" i="41" s="1"/>
  <c r="N229" i="41" s="1"/>
  <c r="D229" i="41" a="1"/>
  <c r="D229" i="41" s="1"/>
  <c r="Q229" i="41" a="1"/>
  <c r="Q229" i="41" s="1"/>
  <c r="R229" i="41" s="1"/>
  <c r="K229" i="41" a="1"/>
  <c r="K229" i="41" s="1"/>
  <c r="I229" i="41" a="1"/>
  <c r="I229" i="41" s="1"/>
  <c r="J229" i="41" s="1"/>
  <c r="O229" i="41" a="1"/>
  <c r="O229" i="41" s="1"/>
  <c r="BF172" i="47"/>
  <c r="BF172" i="46"/>
  <c r="BF172" i="7"/>
  <c r="O203" i="11" a="1"/>
  <c r="O203" i="11" s="1"/>
  <c r="I203" i="11" a="1"/>
  <c r="I203" i="11" s="1"/>
  <c r="J203" i="11" s="1"/>
  <c r="K203" i="11" a="1"/>
  <c r="K203" i="11" s="1"/>
  <c r="F203" i="11" a="1"/>
  <c r="F203" i="11" s="1"/>
  <c r="E203" i="11" a="1"/>
  <c r="E203" i="11" s="1"/>
  <c r="M203" i="11" a="1"/>
  <c r="M203" i="11" s="1"/>
  <c r="N203" i="11" s="1"/>
  <c r="D203" i="11" a="1"/>
  <c r="D203" i="11" s="1"/>
  <c r="W203" i="11" a="1"/>
  <c r="W203" i="11" s="1"/>
  <c r="Y203" i="11" s="1"/>
  <c r="Q203" i="11" a="1"/>
  <c r="Q203" i="11" s="1"/>
  <c r="R203" i="11" s="1"/>
  <c r="U203" i="11" a="1"/>
  <c r="U203" i="11" s="1"/>
  <c r="V203" i="11" s="1"/>
  <c r="S203" i="11" a="1"/>
  <c r="S203" i="11" s="1"/>
  <c r="E243" i="41" a="1"/>
  <c r="E243" i="41" s="1"/>
  <c r="Q243" i="41" a="1"/>
  <c r="Q243" i="41" s="1"/>
  <c r="R243" i="41" s="1"/>
  <c r="D243" i="41" a="1"/>
  <c r="D243" i="41" s="1"/>
  <c r="M243" i="41" a="1"/>
  <c r="M243" i="41" s="1"/>
  <c r="N243" i="41" s="1"/>
  <c r="S243" i="41" a="1"/>
  <c r="S243" i="41" s="1"/>
  <c r="F243" i="41" a="1"/>
  <c r="F243" i="41" s="1"/>
  <c r="O243" i="41" a="1"/>
  <c r="O243" i="41" s="1"/>
  <c r="K243" i="41" a="1"/>
  <c r="K243" i="41" s="1"/>
  <c r="I243" i="41" a="1"/>
  <c r="I243" i="41" s="1"/>
  <c r="J243" i="41" s="1"/>
  <c r="D177" i="41" a="1"/>
  <c r="D177" i="41" s="1"/>
  <c r="D130" i="41" a="1"/>
  <c r="D130" i="41" s="1"/>
  <c r="D88" i="41" a="1"/>
  <c r="D88" i="41" s="1"/>
  <c r="D101" i="11" a="1"/>
  <c r="D101" i="11" s="1"/>
  <c r="BE170" i="47"/>
  <c r="BE170" i="7"/>
  <c r="BE170" i="46"/>
  <c r="D166" i="11" a="1"/>
  <c r="D166" i="11" s="1"/>
  <c r="D121" i="41" a="1"/>
  <c r="D121" i="41" s="1"/>
  <c r="D113" i="41" a="1"/>
  <c r="D113" i="41" s="1"/>
  <c r="D157" i="41" a="1"/>
  <c r="D157" i="41" s="1"/>
  <c r="S231" i="41" a="1"/>
  <c r="S231" i="41" s="1"/>
  <c r="D231" i="41" a="1"/>
  <c r="D231" i="41" s="1"/>
  <c r="K231" i="41" a="1"/>
  <c r="K231" i="41" s="1"/>
  <c r="M231" i="41" a="1"/>
  <c r="M231" i="41" s="1"/>
  <c r="N231" i="41" s="1"/>
  <c r="I231" i="41" a="1"/>
  <c r="I231" i="41" s="1"/>
  <c r="J231" i="41" s="1"/>
  <c r="O231" i="41" a="1"/>
  <c r="O231" i="41" s="1"/>
  <c r="E231" i="41" a="1"/>
  <c r="E231" i="41" s="1"/>
  <c r="F231" i="41" a="1"/>
  <c r="F231" i="41" s="1"/>
  <c r="Q231" i="41" a="1"/>
  <c r="Q231" i="41" s="1"/>
  <c r="R231" i="41" s="1"/>
  <c r="BE51" i="7"/>
  <c r="BE51" i="46"/>
  <c r="BE51" i="47"/>
  <c r="U220" i="11" a="1"/>
  <c r="U220" i="11" s="1"/>
  <c r="V220" i="11" s="1"/>
  <c r="Q220" i="11" a="1"/>
  <c r="Q220" i="11" s="1"/>
  <c r="R220" i="11" s="1"/>
  <c r="W220" i="11" a="1"/>
  <c r="W220" i="11" s="1"/>
  <c r="Y220" i="11" s="1"/>
  <c r="M220" i="11" a="1"/>
  <c r="M220" i="11" s="1"/>
  <c r="N220" i="11" s="1"/>
  <c r="F220" i="11" a="1"/>
  <c r="F220" i="11" s="1"/>
  <c r="I220" i="11" a="1"/>
  <c r="I220" i="11" s="1"/>
  <c r="J220" i="11" s="1"/>
  <c r="S220" i="11" a="1"/>
  <c r="S220" i="11" s="1"/>
  <c r="K220" i="11" a="1"/>
  <c r="K220" i="11" s="1"/>
  <c r="E220" i="11" a="1"/>
  <c r="E220" i="11" s="1"/>
  <c r="O220" i="11" a="1"/>
  <c r="O220" i="11" s="1"/>
  <c r="D220" i="11" a="1"/>
  <c r="D220" i="11" s="1"/>
  <c r="D144" i="41" a="1"/>
  <c r="D144" i="41" s="1"/>
  <c r="Q249" i="11" a="1"/>
  <c r="Q249" i="11" s="1"/>
  <c r="R249" i="11" s="1"/>
  <c r="D249" i="11" a="1"/>
  <c r="D249" i="11" s="1"/>
  <c r="M249" i="11" a="1"/>
  <c r="M249" i="11" s="1"/>
  <c r="N249" i="11" s="1"/>
  <c r="K249" i="11" a="1"/>
  <c r="K249" i="11" s="1"/>
  <c r="W249" i="11" a="1"/>
  <c r="W249" i="11" s="1"/>
  <c r="Y249" i="11" s="1"/>
  <c r="I249" i="11" a="1"/>
  <c r="I249" i="11" s="1"/>
  <c r="J249" i="11" s="1"/>
  <c r="F249" i="11" a="1"/>
  <c r="F249" i="11" s="1"/>
  <c r="S249" i="11" a="1"/>
  <c r="S249" i="11" s="1"/>
  <c r="O249" i="11" a="1"/>
  <c r="O249" i="11" s="1"/>
  <c r="U249" i="11" a="1"/>
  <c r="U249" i="11" s="1"/>
  <c r="V249" i="11" s="1"/>
  <c r="E249" i="11" a="1"/>
  <c r="E249" i="11" s="1"/>
  <c r="BE84" i="47"/>
  <c r="BE84" i="46"/>
  <c r="BE84" i="7"/>
  <c r="D146" i="41" a="1"/>
  <c r="D146" i="41" s="1"/>
  <c r="D124" i="41" a="1"/>
  <c r="D124" i="41" s="1"/>
  <c r="D114" i="41" a="1"/>
  <c r="D114" i="41" s="1"/>
  <c r="BE110" i="47"/>
  <c r="BE110" i="7"/>
  <c r="BE110" i="46"/>
  <c r="I214" i="11" a="1"/>
  <c r="I214" i="11" s="1"/>
  <c r="J214" i="11" s="1"/>
  <c r="M214" i="11" a="1"/>
  <c r="M214" i="11" s="1"/>
  <c r="N214" i="11" s="1"/>
  <c r="K214" i="11" a="1"/>
  <c r="K214" i="11" s="1"/>
  <c r="O214" i="11" a="1"/>
  <c r="O214" i="11" s="1"/>
  <c r="W214" i="11" a="1"/>
  <c r="W214" i="11" s="1"/>
  <c r="Y214" i="11" s="1"/>
  <c r="D214" i="11" a="1"/>
  <c r="D214" i="11" s="1"/>
  <c r="E214" i="11" a="1"/>
  <c r="E214" i="11" s="1"/>
  <c r="U214" i="11" a="1"/>
  <c r="U214" i="11" s="1"/>
  <c r="V214" i="11" s="1"/>
  <c r="F214" i="11" a="1"/>
  <c r="F214" i="11" s="1"/>
  <c r="S214" i="11" a="1"/>
  <c r="S214" i="11" s="1"/>
  <c r="Q214" i="11" a="1"/>
  <c r="Q214" i="11" s="1"/>
  <c r="R214" i="11" s="1"/>
  <c r="F233" i="41" a="1"/>
  <c r="F233" i="41" s="1"/>
  <c r="S233" i="41" a="1"/>
  <c r="S233" i="41" s="1"/>
  <c r="E233" i="41" a="1"/>
  <c r="E233" i="41" s="1"/>
  <c r="I233" i="41" a="1"/>
  <c r="I233" i="41" s="1"/>
  <c r="J233" i="41" s="1"/>
  <c r="K233" i="41" a="1"/>
  <c r="K233" i="41" s="1"/>
  <c r="M233" i="41" a="1"/>
  <c r="M233" i="41" s="1"/>
  <c r="N233" i="41" s="1"/>
  <c r="D233" i="41" a="1"/>
  <c r="D233" i="41" s="1"/>
  <c r="Q233" i="41" a="1"/>
  <c r="Q233" i="41" s="1"/>
  <c r="R233" i="41" s="1"/>
  <c r="O233" i="41" a="1"/>
  <c r="O233" i="41" s="1"/>
  <c r="BE107" i="46"/>
  <c r="BE107" i="7"/>
  <c r="BE107" i="47"/>
  <c r="D62" i="11" a="1"/>
  <c r="D62" i="11" s="1"/>
  <c r="W242" i="11" a="1"/>
  <c r="W242" i="11" s="1"/>
  <c r="Y242" i="11" s="1"/>
  <c r="Q242" i="11" a="1"/>
  <c r="Q242" i="11" s="1"/>
  <c r="R242" i="11" s="1"/>
  <c r="M242" i="11" a="1"/>
  <c r="M242" i="11" s="1"/>
  <c r="N242" i="11" s="1"/>
  <c r="E242" i="11" a="1"/>
  <c r="E242" i="11" s="1"/>
  <c r="D242" i="11" a="1"/>
  <c r="D242" i="11" s="1"/>
  <c r="S242" i="11" a="1"/>
  <c r="S242" i="11" s="1"/>
  <c r="U242" i="11" a="1"/>
  <c r="U242" i="11" s="1"/>
  <c r="V242" i="11" s="1"/>
  <c r="F242" i="11" a="1"/>
  <c r="F242" i="11" s="1"/>
  <c r="I242" i="11" a="1"/>
  <c r="I242" i="11" s="1"/>
  <c r="J242" i="11" s="1"/>
  <c r="O242" i="11" a="1"/>
  <c r="O242" i="11" s="1"/>
  <c r="K242" i="11" a="1"/>
  <c r="K242" i="11" s="1"/>
  <c r="BF144" i="47"/>
  <c r="BF144" i="46"/>
  <c r="BF144" i="7"/>
  <c r="D136" i="11" a="1"/>
  <c r="D136" i="11" s="1"/>
  <c r="E259" i="41" a="1"/>
  <c r="E259" i="41" s="1"/>
  <c r="I259" i="41" a="1"/>
  <c r="I259" i="41" s="1"/>
  <c r="J259" i="41" s="1"/>
  <c r="M259" i="41" a="1"/>
  <c r="M259" i="41" s="1"/>
  <c r="N259" i="41" s="1"/>
  <c r="Q259" i="41" a="1"/>
  <c r="Q259" i="41" s="1"/>
  <c r="R259" i="41" s="1"/>
  <c r="D259" i="41" a="1"/>
  <c r="D259" i="41" s="1"/>
  <c r="S259" i="41" a="1"/>
  <c r="S259" i="41" s="1"/>
  <c r="O259" i="41" a="1"/>
  <c r="O259" i="41" s="1"/>
  <c r="F259" i="41" a="1"/>
  <c r="F259" i="41" s="1"/>
  <c r="K259" i="41" a="1"/>
  <c r="K259" i="41" s="1"/>
  <c r="D53" i="11" a="1"/>
  <c r="D53" i="11" s="1"/>
  <c r="D241" i="11" a="1"/>
  <c r="D241" i="11" s="1"/>
  <c r="F241" i="11" a="1"/>
  <c r="F241" i="11" s="1"/>
  <c r="W241" i="11" a="1"/>
  <c r="W241" i="11" s="1"/>
  <c r="Y241" i="11" s="1"/>
  <c r="Q241" i="11" a="1"/>
  <c r="Q241" i="11" s="1"/>
  <c r="R241" i="11" s="1"/>
  <c r="I241" i="11" a="1"/>
  <c r="I241" i="11" s="1"/>
  <c r="J241" i="11" s="1"/>
  <c r="M241" i="11" a="1"/>
  <c r="M241" i="11" s="1"/>
  <c r="N241" i="11" s="1"/>
  <c r="O241" i="11" a="1"/>
  <c r="O241" i="11" s="1"/>
  <c r="E241" i="11" a="1"/>
  <c r="E241" i="11" s="1"/>
  <c r="S241" i="11" a="1"/>
  <c r="S241" i="11" s="1"/>
  <c r="U241" i="11" a="1"/>
  <c r="U241" i="11" s="1"/>
  <c r="V241" i="11" s="1"/>
  <c r="K241" i="11" a="1"/>
  <c r="K241" i="11" s="1"/>
  <c r="BF48" i="46"/>
  <c r="BF48" i="47"/>
  <c r="BF48" i="7"/>
  <c r="BE147" i="46"/>
  <c r="BE147" i="47"/>
  <c r="BE147" i="7"/>
  <c r="D63" i="41" a="1"/>
  <c r="D63" i="41" s="1"/>
  <c r="D125" i="41" a="1"/>
  <c r="D125" i="41" s="1"/>
  <c r="BE45" i="47"/>
  <c r="BE45" i="7"/>
  <c r="BE45" i="46"/>
  <c r="D123" i="41" a="1"/>
  <c r="D123" i="41" s="1"/>
  <c r="BE106" i="46"/>
  <c r="BE106" i="47"/>
  <c r="BE106" i="7"/>
  <c r="D166" i="41" a="1"/>
  <c r="D166" i="41" s="1"/>
  <c r="D161" i="41" a="1"/>
  <c r="D161" i="41" s="1"/>
  <c r="E211" i="41" a="1"/>
  <c r="E211" i="41" s="1"/>
  <c r="M211" i="41" a="1"/>
  <c r="M211" i="41" s="1"/>
  <c r="N211" i="41" s="1"/>
  <c r="D211" i="41" a="1"/>
  <c r="D211" i="41" s="1"/>
  <c r="O211" i="41" a="1"/>
  <c r="O211" i="41" s="1"/>
  <c r="K211" i="41" a="1"/>
  <c r="K211" i="41" s="1"/>
  <c r="S211" i="41" a="1"/>
  <c r="S211" i="41" s="1"/>
  <c r="Q211" i="41" a="1"/>
  <c r="Q211" i="41" s="1"/>
  <c r="R211" i="41" s="1"/>
  <c r="F211" i="41" a="1"/>
  <c r="F211" i="41" s="1"/>
  <c r="I211" i="41" a="1"/>
  <c r="I211" i="41" s="1"/>
  <c r="J211" i="41" s="1"/>
  <c r="D33" i="41" a="1"/>
  <c r="D33" i="41" s="1"/>
  <c r="D187" i="41" a="1"/>
  <c r="D187" i="41" s="1"/>
  <c r="BF45" i="47"/>
  <c r="BF45" i="7"/>
  <c r="BF45" i="46"/>
  <c r="D48" i="41" a="1"/>
  <c r="D48" i="41" s="1"/>
  <c r="D87" i="41" a="1"/>
  <c r="D87" i="41" s="1"/>
  <c r="BF39" i="46"/>
  <c r="BF39" i="47"/>
  <c r="BF39" i="7"/>
  <c r="D184" i="41" a="1"/>
  <c r="D184" i="41" s="1"/>
  <c r="BF85" i="7"/>
  <c r="BF85" i="46"/>
  <c r="BF85" i="47"/>
  <c r="S211" i="11" a="1"/>
  <c r="S211" i="11" s="1"/>
  <c r="D211" i="11" a="1"/>
  <c r="D211" i="11" s="1"/>
  <c r="Q211" i="11" a="1"/>
  <c r="Q211" i="11" s="1"/>
  <c r="R211" i="11" s="1"/>
  <c r="F211" i="11" a="1"/>
  <c r="F211" i="11" s="1"/>
  <c r="E211" i="11" a="1"/>
  <c r="E211" i="11" s="1"/>
  <c r="K211" i="11" a="1"/>
  <c r="K211" i="11" s="1"/>
  <c r="M211" i="11" a="1"/>
  <c r="M211" i="11" s="1"/>
  <c r="N211" i="11" s="1"/>
  <c r="U211" i="11" a="1"/>
  <c r="U211" i="11" s="1"/>
  <c r="V211" i="11" s="1"/>
  <c r="W211" i="11" a="1"/>
  <c r="W211" i="11" s="1"/>
  <c r="Y211" i="11" s="1"/>
  <c r="I211" i="11" a="1"/>
  <c r="I211" i="11" s="1"/>
  <c r="J211" i="11" s="1"/>
  <c r="O211" i="11" a="1"/>
  <c r="O211" i="11" s="1"/>
  <c r="BE168" i="46"/>
  <c r="BE168" i="7"/>
  <c r="BE168" i="47"/>
  <c r="E244" i="11" a="1"/>
  <c r="E244" i="11" s="1"/>
  <c r="Q244" i="11" a="1"/>
  <c r="Q244" i="11" s="1"/>
  <c r="R244" i="11" s="1"/>
  <c r="F244" i="11" a="1"/>
  <c r="F244" i="11" s="1"/>
  <c r="O244" i="11" a="1"/>
  <c r="O244" i="11" s="1"/>
  <c r="K244" i="11" a="1"/>
  <c r="K244" i="11" s="1"/>
  <c r="M244" i="11" a="1"/>
  <c r="M244" i="11" s="1"/>
  <c r="N244" i="11" s="1"/>
  <c r="S244" i="11" a="1"/>
  <c r="S244" i="11" s="1"/>
  <c r="I244" i="11" a="1"/>
  <c r="I244" i="11" s="1"/>
  <c r="J244" i="11" s="1"/>
  <c r="U244" i="11" a="1"/>
  <c r="U244" i="11" s="1"/>
  <c r="V244" i="11" s="1"/>
  <c r="W244" i="11" a="1"/>
  <c r="W244" i="11" s="1"/>
  <c r="Y244" i="11" s="1"/>
  <c r="D244" i="11" a="1"/>
  <c r="D244" i="11" s="1"/>
  <c r="U231" i="11" a="1"/>
  <c r="U231" i="11" s="1"/>
  <c r="V231" i="11" s="1"/>
  <c r="K231" i="11" a="1"/>
  <c r="K231" i="11" s="1"/>
  <c r="Q231" i="11" a="1"/>
  <c r="Q231" i="11" s="1"/>
  <c r="R231" i="11" s="1"/>
  <c r="S231" i="11" a="1"/>
  <c r="S231" i="11" s="1"/>
  <c r="I231" i="11" a="1"/>
  <c r="I231" i="11" s="1"/>
  <c r="J231" i="11" s="1"/>
  <c r="D231" i="11" a="1"/>
  <c r="D231" i="11" s="1"/>
  <c r="E231" i="11" a="1"/>
  <c r="E231" i="11" s="1"/>
  <c r="W231" i="11" a="1"/>
  <c r="W231" i="11" s="1"/>
  <c r="Y231" i="11" s="1"/>
  <c r="O231" i="11" a="1"/>
  <c r="O231" i="11" s="1"/>
  <c r="M231" i="11" a="1"/>
  <c r="M231" i="11" s="1"/>
  <c r="N231" i="11" s="1"/>
  <c r="F231" i="11" a="1"/>
  <c r="F231" i="11" s="1"/>
  <c r="M260" i="41" a="1"/>
  <c r="M260" i="41" s="1"/>
  <c r="N260" i="41" s="1"/>
  <c r="F260" i="41" a="1"/>
  <c r="F260" i="41" s="1"/>
  <c r="D260" i="41" a="1"/>
  <c r="D260" i="41" s="1"/>
  <c r="I260" i="41" a="1"/>
  <c r="I260" i="41" s="1"/>
  <c r="J260" i="41" s="1"/>
  <c r="K260" i="41" a="1"/>
  <c r="K260" i="41" s="1"/>
  <c r="O260" i="41" a="1"/>
  <c r="O260" i="41" s="1"/>
  <c r="Q260" i="41" a="1"/>
  <c r="Q260" i="41" s="1"/>
  <c r="R260" i="41" s="1"/>
  <c r="S260" i="41" a="1"/>
  <c r="S260" i="41" s="1"/>
  <c r="E260" i="41" a="1"/>
  <c r="E260" i="41" s="1"/>
  <c r="D175" i="11" a="1"/>
  <c r="D175" i="11" s="1"/>
  <c r="D59" i="41" a="1"/>
  <c r="D59" i="41" s="1"/>
  <c r="BF133" i="47"/>
  <c r="BF133" i="7"/>
  <c r="BF133" i="46"/>
  <c r="BF69" i="7"/>
  <c r="BF69" i="46"/>
  <c r="BF69" i="47"/>
  <c r="BE43" i="46"/>
  <c r="BE43" i="7"/>
  <c r="BE43" i="47"/>
  <c r="BF139" i="46"/>
  <c r="BF139" i="7"/>
  <c r="BF139" i="47"/>
  <c r="D148" i="11" a="1"/>
  <c r="D148" i="11" s="1"/>
  <c r="D82" i="41" a="1"/>
  <c r="D82" i="41" s="1"/>
  <c r="D26" i="41" a="1"/>
  <c r="D26" i="41" s="1"/>
  <c r="BF56" i="46"/>
  <c r="BF56" i="7"/>
  <c r="BF56" i="47"/>
  <c r="BE122" i="7"/>
  <c r="BE122" i="47"/>
  <c r="BE122" i="46"/>
  <c r="D204" i="41" a="1"/>
  <c r="D204" i="41" s="1"/>
  <c r="Q204" i="41" a="1"/>
  <c r="Q204" i="41" s="1"/>
  <c r="R204" i="41" s="1"/>
  <c r="M204" i="41" a="1"/>
  <c r="M204" i="41" s="1"/>
  <c r="N204" i="41" s="1"/>
  <c r="O204" i="41" a="1"/>
  <c r="O204" i="41" s="1"/>
  <c r="K204" i="41" a="1"/>
  <c r="K204" i="41" s="1"/>
  <c r="E204" i="41" a="1"/>
  <c r="E204" i="41" s="1"/>
  <c r="S204" i="41" a="1"/>
  <c r="S204" i="41" s="1"/>
  <c r="I204" i="41" a="1"/>
  <c r="I204" i="41" s="1"/>
  <c r="J204" i="41" s="1"/>
  <c r="F204" i="41" a="1"/>
  <c r="F204" i="41" s="1"/>
  <c r="BE153" i="46"/>
  <c r="BE153" i="47"/>
  <c r="BE153" i="7"/>
  <c r="BF81" i="7"/>
  <c r="BF81" i="47"/>
  <c r="BF81" i="46"/>
  <c r="U218" i="11" a="1"/>
  <c r="U218" i="11" s="1"/>
  <c r="V218" i="11" s="1"/>
  <c r="Q218" i="11" a="1"/>
  <c r="Q218" i="11" s="1"/>
  <c r="R218" i="11" s="1"/>
  <c r="K218" i="11" a="1"/>
  <c r="K218" i="11" s="1"/>
  <c r="S218" i="11" a="1"/>
  <c r="S218" i="11" s="1"/>
  <c r="E218" i="11" a="1"/>
  <c r="E218" i="11" s="1"/>
  <c r="W218" i="11" a="1"/>
  <c r="W218" i="11" s="1"/>
  <c r="Y218" i="11" s="1"/>
  <c r="D218" i="11" a="1"/>
  <c r="D218" i="11" s="1"/>
  <c r="I218" i="11" a="1"/>
  <c r="I218" i="11" s="1"/>
  <c r="J218" i="11" s="1"/>
  <c r="O218" i="11" a="1"/>
  <c r="O218" i="11" s="1"/>
  <c r="F218" i="11" a="1"/>
  <c r="F218" i="11" s="1"/>
  <c r="M218" i="11" a="1"/>
  <c r="M218" i="11" s="1"/>
  <c r="N218" i="11" s="1"/>
  <c r="BF74" i="7"/>
  <c r="BF74" i="46"/>
  <c r="BF74" i="47"/>
  <c r="BF94" i="46"/>
  <c r="BF94" i="47"/>
  <c r="BF94" i="7"/>
  <c r="BE163" i="47"/>
  <c r="BE163" i="46"/>
  <c r="BE163" i="7"/>
  <c r="BE46" i="46"/>
  <c r="BE46" i="47"/>
  <c r="BE46" i="7"/>
  <c r="BE129" i="47"/>
  <c r="BE129" i="46"/>
  <c r="BE129" i="7"/>
  <c r="BF152" i="7"/>
  <c r="BF152" i="47"/>
  <c r="BF152" i="46"/>
  <c r="BF153" i="46"/>
  <c r="BF153" i="47"/>
  <c r="BF153" i="7"/>
  <c r="M40" i="11" a="1"/>
  <c r="Q111" i="41" a="1"/>
  <c r="K28" i="41" a="1"/>
  <c r="I182" i="11" a="1"/>
  <c r="F186" i="11" a="1"/>
  <c r="U91" i="11" a="1"/>
  <c r="K155" i="11" a="1"/>
  <c r="E139" i="11" a="1"/>
  <c r="Q68" i="41" a="1"/>
  <c r="Q122" i="41" a="1"/>
  <c r="S111" i="11" a="1"/>
  <c r="F38" i="41" a="1"/>
  <c r="E34" i="11" a="1"/>
  <c r="S89" i="11" a="1"/>
  <c r="Q190" i="11" a="1"/>
  <c r="E48" i="11" a="1"/>
  <c r="O52" i="11" a="1"/>
  <c r="K29" i="41" a="1"/>
  <c r="M80" i="41" a="1"/>
  <c r="E180" i="11" a="1"/>
  <c r="K94" i="11" a="1"/>
  <c r="I189" i="41" a="1"/>
  <c r="E67" i="41" a="1"/>
  <c r="I121" i="11" a="1"/>
  <c r="K92" i="41" a="1"/>
  <c r="E32" i="11" a="1"/>
  <c r="S70" i="11" a="1"/>
  <c r="E51" i="41" a="1"/>
  <c r="W46" i="11" a="1"/>
  <c r="O147" i="11" a="1"/>
  <c r="E139" i="41" a="1"/>
  <c r="K74" i="41" a="1"/>
  <c r="F25" i="11" a="1"/>
  <c r="E40" i="41" a="1"/>
  <c r="S199" i="41" a="1"/>
  <c r="F78" i="11" a="1"/>
  <c r="K141" i="41" a="1"/>
  <c r="F31" i="11" a="1"/>
  <c r="S93" i="11" a="1"/>
  <c r="S153" i="41" a="1"/>
  <c r="I165" i="41" a="1"/>
  <c r="S88" i="11" a="1"/>
  <c r="E197" i="41" a="1"/>
  <c r="I97" i="11" a="1"/>
  <c r="S102" i="11" a="1"/>
  <c r="M63" i="11" a="1"/>
  <c r="F117" i="11" a="1"/>
  <c r="S94" i="41" a="1"/>
  <c r="W178" i="11" a="1"/>
  <c r="K89" i="41" a="1"/>
  <c r="I69" i="41" a="1"/>
  <c r="K66" i="41" a="1"/>
  <c r="O90" i="11" a="1"/>
  <c r="E163" i="41" a="1"/>
  <c r="M59" i="11" a="1"/>
  <c r="E186" i="41" a="1"/>
  <c r="I50" i="11" a="1"/>
  <c r="S180" i="41" a="1"/>
  <c r="K99" i="11" a="1"/>
  <c r="S134" i="11" a="1"/>
  <c r="M91" i="41" a="1"/>
  <c r="E162" i="41" a="1"/>
  <c r="Q98" i="11" a="1"/>
  <c r="F56" i="41" a="1"/>
  <c r="Q170" i="11" a="1"/>
  <c r="M135" i="11" a="1"/>
  <c r="S107" i="11" a="1"/>
  <c r="Q79" i="41" a="1"/>
  <c r="Q102" i="41" a="1"/>
  <c r="W60" i="11" a="1"/>
  <c r="E84" i="41" a="1"/>
  <c r="O200" i="41" a="1"/>
  <c r="O150" i="41" a="1"/>
  <c r="I32" i="41" a="1"/>
  <c r="E179" i="41" a="1"/>
  <c r="F35" i="41" a="1"/>
  <c r="K86" i="11" a="1"/>
  <c r="U67" i="11" a="1"/>
  <c r="O162" i="11" a="1"/>
  <c r="I194" i="41" a="1"/>
  <c r="U159" i="11" a="1"/>
  <c r="S153" i="11" a="1"/>
  <c r="I146" i="11" a="1"/>
  <c r="S47" i="11" a="1"/>
  <c r="M54" i="11" a="1"/>
  <c r="O109" i="11" a="1"/>
  <c r="Q168" i="11" a="1"/>
  <c r="S79" i="11" a="1"/>
  <c r="O171" i="11" a="1"/>
  <c r="E76" i="11" a="1"/>
  <c r="W173" i="11" a="1"/>
  <c r="O71" i="41" a="1"/>
  <c r="Q159" i="41" a="1"/>
  <c r="S130" i="11" a="1"/>
  <c r="Q192" i="41" a="1"/>
  <c r="E137" i="11" a="1"/>
  <c r="O151" i="41" a="1"/>
  <c r="F106" i="11" a="1"/>
  <c r="M169" i="41" a="1"/>
  <c r="F132" i="41" a="1"/>
  <c r="S112" i="41" a="1"/>
  <c r="I39" i="11" a="1"/>
  <c r="F173" i="41" a="1"/>
  <c r="I143" i="11" a="1"/>
  <c r="O122" i="11" a="1"/>
  <c r="S82" i="11" a="1"/>
  <c r="Q141" i="11" a="1"/>
  <c r="S47" i="41" a="1"/>
  <c r="S183" i="11" a="1"/>
  <c r="O56" i="11" a="1"/>
  <c r="K152" i="11" a="1"/>
  <c r="U72" i="11" a="1"/>
  <c r="Q104" i="41" a="1"/>
  <c r="F58" i="41" a="1"/>
  <c r="U43" i="11" a="1"/>
  <c r="F100" i="11" a="1"/>
  <c r="Q104" i="11" a="1"/>
  <c r="F135" i="41" a="1"/>
  <c r="W185" i="11" a="1"/>
  <c r="I134" i="41" a="1"/>
  <c r="Q43" i="41" a="1"/>
  <c r="S65" i="41" a="1"/>
  <c r="M84" i="11" a="1"/>
  <c r="W113" i="11" a="1"/>
  <c r="O61" i="41" a="1"/>
  <c r="M77" i="11" a="1"/>
  <c r="Q149" i="41" a="1"/>
  <c r="K83" i="11" a="1"/>
  <c r="W57" i="11" a="1"/>
  <c r="K81" i="41" a="1"/>
  <c r="U42" i="11" a="1"/>
  <c r="E172" i="11" a="1"/>
  <c r="F133" i="41" a="1"/>
  <c r="F93" i="41" a="1"/>
  <c r="S101" i="41" a="1"/>
  <c r="F108" i="41" a="1"/>
  <c r="O36" i="11" a="1"/>
  <c r="M181" i="41" a="1"/>
  <c r="D194" i="11" a="1"/>
  <c r="S156" i="41" a="1"/>
  <c r="S187" i="11" a="1"/>
  <c r="M42" i="41" a="1"/>
  <c r="I30" i="11" a="1"/>
  <c r="M85" i="41" a="1"/>
  <c r="F68" i="11" a="1"/>
  <c r="S124" i="11" a="1"/>
  <c r="E110" i="41" a="1"/>
  <c r="S112" i="11" a="1"/>
  <c r="S183" i="41" a="1"/>
  <c r="Q123" i="11" a="1"/>
  <c r="E31" i="41" a="1"/>
  <c r="Q176" i="11" a="1"/>
  <c r="O115" i="11" a="1"/>
  <c r="M41" i="11" a="1"/>
  <c r="M163" i="11" a="1"/>
  <c r="W29" i="11" a="1"/>
  <c r="E156" i="11" a="1"/>
  <c r="K36" i="41" a="1"/>
  <c r="O103" i="41" a="1"/>
  <c r="K142" i="41" a="1"/>
  <c r="K145" i="41" a="1"/>
  <c r="I92" i="11" a="1"/>
  <c r="E108" i="11" a="1"/>
  <c r="E198" i="11" a="1"/>
  <c r="I170" i="41" a="1"/>
  <c r="I54" i="41" a="1"/>
  <c r="M111" i="41" a="1"/>
  <c r="M28" i="41" a="1"/>
  <c r="K182" i="11" a="1"/>
  <c r="W186" i="11" a="1"/>
  <c r="W91" i="11" a="1"/>
  <c r="Q155" i="11" a="1"/>
  <c r="K45" i="41" a="1"/>
  <c r="I122" i="41" a="1"/>
  <c r="W111" i="11" a="1"/>
  <c r="M38" i="41" a="1"/>
  <c r="I118" i="11" a="1"/>
  <c r="M196" i="41" a="1"/>
  <c r="U89" i="11" a="1"/>
  <c r="O190" i="11" a="1"/>
  <c r="U48" i="11" a="1"/>
  <c r="Q52" i="11" a="1"/>
  <c r="K158" i="11" a="1"/>
  <c r="I80" i="41" a="1"/>
  <c r="O180" i="11" a="1"/>
  <c r="S94" i="11" a="1"/>
  <c r="M189" i="41" a="1"/>
  <c r="O155" i="41" a="1"/>
  <c r="I67" i="41" a="1"/>
  <c r="S121" i="11" a="1"/>
  <c r="S92" i="41" a="1"/>
  <c r="W70" i="11" a="1"/>
  <c r="K46" i="11" a="1"/>
  <c r="K191" i="41" a="1"/>
  <c r="Q25" i="11" a="1"/>
  <c r="I37" i="41" a="1"/>
  <c r="S40" i="41" a="1"/>
  <c r="K199" i="41" a="1"/>
  <c r="M78" i="11" a="1"/>
  <c r="E141" i="41" a="1"/>
  <c r="U31" i="11" a="1"/>
  <c r="E93" i="11" a="1"/>
  <c r="E153" i="41" a="1"/>
  <c r="O165" i="41" a="1"/>
  <c r="K88" i="11" a="1"/>
  <c r="Q197" i="41" a="1"/>
  <c r="Q97" i="11" a="1"/>
  <c r="F102" i="11" a="1"/>
  <c r="O63" i="11" a="1"/>
  <c r="S117" i="11" a="1"/>
  <c r="F94" i="41" a="1"/>
  <c r="U178" i="11" a="1"/>
  <c r="O89" i="41" a="1"/>
  <c r="Q69" i="41" a="1"/>
  <c r="S66" i="41" a="1"/>
  <c r="K90" i="11" a="1"/>
  <c r="S59" i="11" a="1"/>
  <c r="K186" i="41" a="1"/>
  <c r="Q50" i="11" a="1"/>
  <c r="M180" i="41" a="1"/>
  <c r="Q99" i="11" a="1"/>
  <c r="K134" i="11" a="1"/>
  <c r="O91" i="41" a="1"/>
  <c r="F162" i="41" a="1"/>
  <c r="S98" i="11" a="1"/>
  <c r="Q56" i="41" a="1"/>
  <c r="K170" i="11" a="1"/>
  <c r="E107" i="11" a="1"/>
  <c r="S79" i="41" a="1"/>
  <c r="E102" i="41" a="1"/>
  <c r="U60" i="11" a="1"/>
  <c r="K84" i="41" a="1"/>
  <c r="D200" i="41" a="1"/>
  <c r="I150" i="41" a="1"/>
  <c r="E32" i="41" a="1"/>
  <c r="S54" i="41" a="1"/>
  <c r="S111" i="41" a="1"/>
  <c r="Q28" i="41" a="1"/>
  <c r="Q182" i="11" a="1"/>
  <c r="E186" i="11" a="1"/>
  <c r="Q91" i="11" a="1"/>
  <c r="F155" i="11" a="1"/>
  <c r="S105" i="11" a="1"/>
  <c r="F45" i="41" a="1"/>
  <c r="E122" i="41" a="1"/>
  <c r="E111" i="11" a="1"/>
  <c r="K38" i="41" a="1"/>
  <c r="F137" i="41" a="1"/>
  <c r="K127" i="11" a="1"/>
  <c r="E118" i="11" a="1"/>
  <c r="E196" i="41" a="1"/>
  <c r="E89" i="11" a="1"/>
  <c r="F48" i="11" a="1"/>
  <c r="U52" i="11" a="1"/>
  <c r="O140" i="11" a="1"/>
  <c r="E158" i="11" a="1"/>
  <c r="E80" i="41" a="1"/>
  <c r="Q180" i="11" a="1"/>
  <c r="I193" i="41" a="1"/>
  <c r="I94" i="11" a="1"/>
  <c r="Q189" i="41" a="1"/>
  <c r="F155" i="41" a="1"/>
  <c r="F67" i="41" a="1"/>
  <c r="F121" i="11" a="1"/>
  <c r="U70" i="11" a="1"/>
  <c r="K51" i="41" a="1"/>
  <c r="E46" i="11" a="1"/>
  <c r="Q147" i="11" a="1"/>
  <c r="F72" i="41" a="1"/>
  <c r="O191" i="41" a="1"/>
  <c r="U25" i="11" a="1"/>
  <c r="O37" i="41" a="1"/>
  <c r="M40" i="41" a="1"/>
  <c r="I199" i="41" a="1"/>
  <c r="I141" i="41" a="1"/>
  <c r="Q31" i="11" a="1"/>
  <c r="M93" i="11" a="1"/>
  <c r="I153" i="41" a="1"/>
  <c r="M165" i="41" a="1"/>
  <c r="O197" i="41" a="1"/>
  <c r="W97" i="11" a="1"/>
  <c r="O102" i="11" a="1"/>
  <c r="U63" i="11" a="1"/>
  <c r="K117" i="11" a="1"/>
  <c r="I94" i="41" a="1"/>
  <c r="E178" i="11" a="1"/>
  <c r="I89" i="41" a="1"/>
  <c r="E69" i="41" a="1"/>
  <c r="S90" i="11" a="1"/>
  <c r="Q73" i="41" a="1"/>
  <c r="E171" i="41" a="1"/>
  <c r="F59" i="11" a="1"/>
  <c r="I186" i="41" a="1"/>
  <c r="K180" i="41" a="1"/>
  <c r="M99" i="11" a="1"/>
  <c r="Q134" i="11" a="1"/>
  <c r="E91" i="41" a="1"/>
  <c r="Q162" i="41" a="1"/>
  <c r="F98" i="11" a="1"/>
  <c r="M56" i="41" a="1"/>
  <c r="M86" i="41" a="1"/>
  <c r="M107" i="11" a="1"/>
  <c r="F79" i="41" a="1"/>
  <c r="O102" i="41" a="1"/>
  <c r="F60" i="11" a="1"/>
  <c r="M84" i="41" a="1"/>
  <c r="F200" i="41" a="1"/>
  <c r="S150" i="41" a="1"/>
  <c r="F32" i="41" a="1"/>
  <c r="Q80" i="11" a="1"/>
  <c r="I35" i="41" a="1"/>
  <c r="M67" i="11" a="1"/>
  <c r="Q162" i="11" a="1"/>
  <c r="S136" i="41" a="1"/>
  <c r="O194" i="41" a="1"/>
  <c r="W85" i="11" a="1"/>
  <c r="U146" i="11" a="1"/>
  <c r="M75" i="41" a="1"/>
  <c r="K47" i="11" a="1"/>
  <c r="F76" i="41" a="1"/>
  <c r="I54" i="11" a="1"/>
  <c r="O79" i="11" a="1"/>
  <c r="W171" i="11" a="1"/>
  <c r="U44" i="11" a="1"/>
  <c r="S173" i="11" a="1"/>
  <c r="I71" i="41" a="1"/>
  <c r="Q27" i="41" a="1"/>
  <c r="E130" i="11" a="1"/>
  <c r="S192" i="41" a="1"/>
  <c r="S151" i="41" a="1"/>
  <c r="W106" i="11" a="1"/>
  <c r="Q169" i="41" a="1"/>
  <c r="O132" i="41" a="1"/>
  <c r="S39" i="11" a="1"/>
  <c r="E120" i="11" a="1"/>
  <c r="U143" i="11" a="1"/>
  <c r="F122" i="11" a="1"/>
  <c r="I82" i="11" a="1"/>
  <c r="K141" i="11" a="1"/>
  <c r="M47" i="41" a="1"/>
  <c r="U183" i="11" a="1"/>
  <c r="Q56" i="11" a="1"/>
  <c r="U152" i="11" a="1"/>
  <c r="Q72" i="11" a="1"/>
  <c r="I104" i="41" a="1"/>
  <c r="S58" i="41" a="1"/>
  <c r="I100" i="11" a="1"/>
  <c r="Q95" i="41" a="1"/>
  <c r="Q185" i="11" a="1"/>
  <c r="Q134" i="41" a="1"/>
  <c r="F96" i="41" a="1"/>
  <c r="O84" i="11" a="1"/>
  <c r="U113" i="11" a="1"/>
  <c r="E83" i="11" a="1"/>
  <c r="K133" i="11" a="1"/>
  <c r="M57" i="11" a="1"/>
  <c r="E81" i="41" a="1"/>
  <c r="F42" i="11" a="1"/>
  <c r="Q172" i="11" a="1"/>
  <c r="K133" i="41" a="1"/>
  <c r="Q93" i="41" a="1"/>
  <c r="I101" i="41" a="1"/>
  <c r="Q181" i="41" a="1"/>
  <c r="U194" i="11" a="1"/>
  <c r="F33" i="11" a="1"/>
  <c r="K156" i="41" a="1"/>
  <c r="I187" i="11" a="1"/>
  <c r="K50" i="41" a="1"/>
  <c r="F73" i="11" a="1"/>
  <c r="Q30" i="11" a="1"/>
  <c r="Q85" i="41" a="1"/>
  <c r="U68" i="11" a="1"/>
  <c r="M124" i="11" a="1"/>
  <c r="Q110" i="41" a="1"/>
  <c r="Q112" i="11" a="1"/>
  <c r="S55" i="41" a="1"/>
  <c r="W123" i="11" a="1"/>
  <c r="F31" i="41" a="1"/>
  <c r="O158" i="41" a="1"/>
  <c r="I41" i="11" a="1"/>
  <c r="K29" i="11" a="1"/>
  <c r="I36" i="41" a="1"/>
  <c r="S103" i="41" a="1"/>
  <c r="W92" i="11" a="1"/>
  <c r="K108" i="11" a="1"/>
  <c r="W150" i="11" a="1"/>
  <c r="U198" i="11" a="1"/>
  <c r="O170" i="41" a="1"/>
  <c r="E172" i="41" a="1"/>
  <c r="I131" i="41" a="1"/>
  <c r="F53" i="41" a="1"/>
  <c r="E34" i="41" a="1"/>
  <c r="S30" i="41" a="1"/>
  <c r="O168" i="41" a="1"/>
  <c r="S185" i="41" a="1"/>
  <c r="M157" i="11" a="1"/>
  <c r="O70" i="41" a="1"/>
  <c r="K188" i="11" a="1"/>
  <c r="M98" i="41" a="1"/>
  <c r="S174" i="41" a="1"/>
  <c r="U81" i="11" a="1"/>
  <c r="S148" i="41" a="1"/>
  <c r="I41" i="41" a="1"/>
  <c r="F128" i="11" a="1"/>
  <c r="W69" i="11" a="1"/>
  <c r="M116" i="11" a="1"/>
  <c r="O51" i="11" a="1"/>
  <c r="M66" i="11" a="1"/>
  <c r="I114" i="11" a="1"/>
  <c r="I119" i="11" a="1"/>
  <c r="I55" i="11" a="1"/>
  <c r="O100" i="41" a="1"/>
  <c r="W192" i="11" a="1"/>
  <c r="M138" i="11" a="1"/>
  <c r="F57" i="41" a="1"/>
  <c r="K151" i="11" a="1"/>
  <c r="E177" i="11" a="1"/>
  <c r="O74" i="11" a="1"/>
  <c r="F125" i="11" a="1"/>
  <c r="W181" i="11" a="1"/>
  <c r="U61" i="11" a="1"/>
  <c r="F49" i="11" a="1"/>
  <c r="E182" i="41" a="1"/>
  <c r="S64" i="11" a="1"/>
  <c r="Q147" i="41" a="1"/>
  <c r="Q129" i="11" a="1"/>
  <c r="U26" i="11" a="1"/>
  <c r="K191" i="11" a="1"/>
  <c r="W169" i="11" a="1"/>
  <c r="Q154" i="11" a="1"/>
  <c r="I35" i="11" a="1"/>
  <c r="I83" i="41" a="1"/>
  <c r="O103" i="11" a="1"/>
  <c r="F142" i="11" a="1"/>
  <c r="M71" i="11" a="1"/>
  <c r="E167" i="11" a="1"/>
  <c r="S184" i="11" a="1"/>
  <c r="K145" i="11" a="1"/>
  <c r="F160" i="11" a="1"/>
  <c r="U164" i="11" a="1"/>
  <c r="W96" i="11" a="1"/>
  <c r="F138" i="41" a="1"/>
  <c r="W87" i="11" a="1"/>
  <c r="U95" i="11" a="1"/>
  <c r="M175" i="41" a="1"/>
  <c r="I126" i="11" a="1"/>
  <c r="I109" i="41" a="1"/>
  <c r="E176" i="41" a="1"/>
  <c r="O65" i="11" a="1"/>
  <c r="M52" i="41" a="1"/>
  <c r="I167" i="41" a="1"/>
  <c r="I195" i="11" a="1"/>
  <c r="K131" i="11" a="1"/>
  <c r="F174" i="11" a="1"/>
  <c r="W45" i="11" a="1"/>
  <c r="E118" i="41" a="1"/>
  <c r="E161" i="11" a="1"/>
  <c r="I165" i="11" a="1"/>
  <c r="E116" i="41" a="1"/>
  <c r="I38" i="11" a="1"/>
  <c r="O58" i="11" a="1"/>
  <c r="M99" i="41" a="1"/>
  <c r="Q179" i="11" a="1"/>
  <c r="I60" i="41" a="1"/>
  <c r="E130" i="41" a="1"/>
  <c r="Q88" i="41" a="1"/>
  <c r="Q101" i="11" a="1"/>
  <c r="O166" i="11" a="1"/>
  <c r="D195" i="41" a="1"/>
  <c r="F40" i="11" a="1"/>
  <c r="K54" i="41" a="1"/>
  <c r="E111" i="41" a="1"/>
  <c r="F182" i="11" a="1"/>
  <c r="Q186" i="11" a="1"/>
  <c r="O155" i="11" a="1"/>
  <c r="O139" i="11" a="1"/>
  <c r="O105" i="11" a="1"/>
  <c r="S45" i="41" a="1"/>
  <c r="F122" i="41" a="1"/>
  <c r="K111" i="11" a="1"/>
  <c r="E38" i="41" a="1"/>
  <c r="M137" i="41" a="1"/>
  <c r="F127" i="11" a="1"/>
  <c r="O118" i="11" a="1"/>
  <c r="M34" i="11" a="1"/>
  <c r="I196" i="41" a="1"/>
  <c r="W89" i="11" a="1"/>
  <c r="M190" i="11" a="1"/>
  <c r="S48" i="11" a="1"/>
  <c r="M52" i="11" a="1"/>
  <c r="W140" i="11" a="1"/>
  <c r="O158" i="11" a="1"/>
  <c r="O80" i="41" a="1"/>
  <c r="M154" i="41" a="1"/>
  <c r="K180" i="11" a="1"/>
  <c r="O193" i="41" a="1"/>
  <c r="Q155" i="41" a="1"/>
  <c r="K67" i="41" a="1"/>
  <c r="M121" i="11" a="1"/>
  <c r="F44" i="41" a="1"/>
  <c r="M32" i="11" a="1"/>
  <c r="M51" i="41" a="1"/>
  <c r="Q46" i="11" a="1"/>
  <c r="Q72" i="41" a="1"/>
  <c r="Q191" i="41" a="1"/>
  <c r="S25" i="11" a="1"/>
  <c r="K37" i="41" a="1"/>
  <c r="F40" i="41" a="1"/>
  <c r="M141" i="41" a="1"/>
  <c r="S31" i="11" a="1"/>
  <c r="O153" i="41" a="1"/>
  <c r="D197" i="41" a="1"/>
  <c r="E102" i="11" a="1"/>
  <c r="Q63" i="11" a="1"/>
  <c r="U117" i="11" a="1"/>
  <c r="Q94" i="41" a="1"/>
  <c r="M178" i="11" a="1"/>
  <c r="Q89" i="41" a="1"/>
  <c r="F69" i="41" a="1"/>
  <c r="W90" i="11" a="1"/>
  <c r="E73" i="41" a="1"/>
  <c r="K171" i="41" a="1"/>
  <c r="E59" i="11" a="1"/>
  <c r="I178" i="41" a="1"/>
  <c r="I180" i="41" a="1"/>
  <c r="F99" i="11" a="1"/>
  <c r="F134" i="11" a="1"/>
  <c r="S91" i="41" a="1"/>
  <c r="S162" i="41" a="1"/>
  <c r="O98" i="11" a="1"/>
  <c r="K56" i="41" a="1"/>
  <c r="I135" i="11" a="1"/>
  <c r="K86" i="41" a="1"/>
  <c r="K117" i="41" a="1"/>
  <c r="M79" i="41" a="1"/>
  <c r="I102" i="41" a="1"/>
  <c r="Q60" i="11" a="1"/>
  <c r="F84" i="41" a="1"/>
  <c r="Q200" i="41" a="1"/>
  <c r="Q150" i="41" a="1"/>
  <c r="O32" i="41" a="1"/>
  <c r="I80" i="11" a="1"/>
  <c r="U86" i="11" a="1"/>
  <c r="W67" i="11" a="1"/>
  <c r="E40" i="11" a="1"/>
  <c r="F111" i="41" a="1"/>
  <c r="S182" i="11" a="1"/>
  <c r="M155" i="11" a="1"/>
  <c r="W139" i="11" a="1"/>
  <c r="W105" i="11" a="1"/>
  <c r="Q45" i="41" a="1"/>
  <c r="S122" i="41" a="1"/>
  <c r="U111" i="11" a="1"/>
  <c r="Q38" i="41" a="1"/>
  <c r="E137" i="41" a="1"/>
  <c r="O127" i="11" a="1"/>
  <c r="F118" i="11" a="1"/>
  <c r="O34" i="11" a="1"/>
  <c r="O196" i="41" a="1"/>
  <c r="M89" i="11" a="1"/>
  <c r="W190" i="11" a="1"/>
  <c r="Q48" i="11" a="1"/>
  <c r="S140" i="11" a="1"/>
  <c r="M158" i="11" a="1"/>
  <c r="S80" i="41" a="1"/>
  <c r="K154" i="41" a="1"/>
  <c r="S180" i="11" a="1"/>
  <c r="F193" i="41" a="1"/>
  <c r="E94" i="11" a="1"/>
  <c r="K155" i="41" a="1"/>
  <c r="I120" i="41" a="1"/>
  <c r="Q67" i="41" a="1"/>
  <c r="U121" i="11" a="1"/>
  <c r="O44" i="41" a="1"/>
  <c r="K32" i="11" a="1"/>
  <c r="S152" i="41" a="1"/>
  <c r="S46" i="41" a="1"/>
  <c r="O90" i="41" a="1"/>
  <c r="Q51" i="41" a="1"/>
  <c r="U46" i="11" a="1"/>
  <c r="K147" i="11" a="1"/>
  <c r="K72" i="41" a="1"/>
  <c r="M191" i="41" a="1"/>
  <c r="W25" i="11" a="1"/>
  <c r="S37" i="41" a="1"/>
  <c r="O40" i="41" a="1"/>
  <c r="U78" i="11" a="1"/>
  <c r="F141" i="41" a="1"/>
  <c r="Q153" i="41" a="1"/>
  <c r="O88" i="11" a="1"/>
  <c r="F63" i="11" a="1"/>
  <c r="W117" i="11" a="1"/>
  <c r="O94" i="41" a="1"/>
  <c r="I178" i="11" a="1"/>
  <c r="S89" i="41" a="1"/>
  <c r="S69" i="41" a="1"/>
  <c r="Q163" i="41" a="1"/>
  <c r="F73" i="41" a="1"/>
  <c r="S171" i="41" a="1"/>
  <c r="K59" i="11" a="1"/>
  <c r="M50" i="11" a="1"/>
  <c r="M178" i="41" a="1"/>
  <c r="E180" i="41" a="1"/>
  <c r="S99" i="11" a="1"/>
  <c r="W134" i="11" a="1"/>
  <c r="K91" i="41" a="1"/>
  <c r="K162" i="41" a="1"/>
  <c r="M98" i="11" a="1"/>
  <c r="O56" i="41" a="1"/>
  <c r="M170" i="11" a="1"/>
  <c r="U135" i="11" a="1"/>
  <c r="O86" i="41" a="1"/>
  <c r="E117" i="41" a="1"/>
  <c r="I79" i="41" a="1"/>
  <c r="M102" i="41" a="1"/>
  <c r="O60" i="11" a="1"/>
  <c r="O84" i="41" a="1"/>
  <c r="F150" i="41" a="1"/>
  <c r="F80" i="11" a="1"/>
  <c r="E86" i="11" a="1"/>
  <c r="E67" i="11" a="1"/>
  <c r="K136" i="41" a="1"/>
  <c r="E194" i="41" a="1"/>
  <c r="M159" i="11" a="1"/>
  <c r="I153" i="11" a="1"/>
  <c r="M85" i="11" a="1"/>
  <c r="Q146" i="11" a="1"/>
  <c r="E75" i="41" a="1"/>
  <c r="O47" i="11" a="1"/>
  <c r="E76" i="41" a="1"/>
  <c r="S119" i="41" a="1"/>
  <c r="E109" i="11" a="1"/>
  <c r="O168" i="11" a="1"/>
  <c r="F79" i="11" a="1"/>
  <c r="K171" i="11" a="1"/>
  <c r="U76" i="11" a="1"/>
  <c r="W44" i="11" a="1"/>
  <c r="I173" i="11" a="1"/>
  <c r="Q71" i="41" a="1"/>
  <c r="O27" i="41" a="1"/>
  <c r="O130" i="11" a="1"/>
  <c r="I137" i="11" a="1"/>
  <c r="I77" i="41" a="1"/>
  <c r="M106" i="11" a="1"/>
  <c r="F78" i="41" a="1"/>
  <c r="O169" i="41" a="1"/>
  <c r="Q132" i="41" a="1"/>
  <c r="U39" i="11" a="1"/>
  <c r="Q120" i="11" a="1"/>
  <c r="S173" i="41" a="1"/>
  <c r="E122" i="11" a="1"/>
  <c r="W82" i="11" a="1"/>
  <c r="M141" i="11" a="1"/>
  <c r="E183" i="11" a="1"/>
  <c r="U56" i="11" a="1"/>
  <c r="W152" i="11" a="1"/>
  <c r="I72" i="11" a="1"/>
  <c r="O43" i="11" a="1"/>
  <c r="F164" i="41" a="1"/>
  <c r="O100" i="11" a="1"/>
  <c r="M95" i="41" a="1"/>
  <c r="U104" i="11" a="1"/>
  <c r="Q106" i="41" a="1"/>
  <c r="O135" i="41" a="1"/>
  <c r="E185" i="11" a="1"/>
  <c r="O96" i="41" a="1"/>
  <c r="W84" i="11" a="1"/>
  <c r="Q113" i="11" a="1"/>
  <c r="K77" i="11" a="1"/>
  <c r="W83" i="11" a="1"/>
  <c r="E133" i="11" a="1"/>
  <c r="E57" i="11" a="1"/>
  <c r="S81" i="41" a="1"/>
  <c r="O42" i="11" a="1"/>
  <c r="U172" i="11" a="1"/>
  <c r="M133" i="41" a="1"/>
  <c r="M93" i="41" a="1"/>
  <c r="F101" i="41" a="1"/>
  <c r="I36" i="11" a="1"/>
  <c r="O181" i="41" a="1"/>
  <c r="F194" i="11" a="1"/>
  <c r="U33" i="11" a="1"/>
  <c r="I156" i="41" a="1"/>
  <c r="W187" i="11" a="1"/>
  <c r="F50" i="41" a="1"/>
  <c r="M73" i="11" a="1"/>
  <c r="E62" i="41" a="1"/>
  <c r="S30" i="11" a="1"/>
  <c r="S85" i="41" a="1"/>
  <c r="I68" i="11" a="1"/>
  <c r="W124" i="11" a="1"/>
  <c r="F110" i="41" a="1"/>
  <c r="O112" i="11" a="1"/>
  <c r="O55" i="41" a="1"/>
  <c r="K129" i="41" a="1"/>
  <c r="S115" i="11" a="1"/>
  <c r="F158" i="41" a="1"/>
  <c r="F41" i="11" a="1"/>
  <c r="K163" i="11" a="1"/>
  <c r="F29" i="11" a="1"/>
  <c r="Q156" i="11" a="1"/>
  <c r="I128" i="41" a="1"/>
  <c r="M36" i="41" a="1"/>
  <c r="K103" i="41" a="1"/>
  <c r="M49" i="41" a="1"/>
  <c r="F150" i="11" a="1"/>
  <c r="I198" i="11" a="1"/>
  <c r="O193" i="11" a="1"/>
  <c r="I144" i="11" a="1"/>
  <c r="S34" i="41" a="1"/>
  <c r="E30" i="41" a="1"/>
  <c r="D196" i="11" a="1"/>
  <c r="O40" i="11" a="1"/>
  <c r="F54" i="41" a="1"/>
  <c r="I111" i="41" a="1"/>
  <c r="M91" i="11" a="1"/>
  <c r="Q139" i="11" a="1"/>
  <c r="E68" i="41" a="1"/>
  <c r="Q105" i="11" a="1"/>
  <c r="I45" i="41" a="1"/>
  <c r="K122" i="41" a="1"/>
  <c r="F111" i="11" a="1"/>
  <c r="S38" i="41" a="1"/>
  <c r="K137" i="41" a="1"/>
  <c r="E127" i="11" a="1"/>
  <c r="M118" i="11" a="1"/>
  <c r="K34" i="11" a="1"/>
  <c r="D196" i="41" a="1"/>
  <c r="I89" i="11" a="1"/>
  <c r="E190" i="11" a="1"/>
  <c r="I29" i="41" a="1"/>
  <c r="M140" i="11" a="1"/>
  <c r="F158" i="11" a="1"/>
  <c r="K80" i="41" a="1"/>
  <c r="I154" i="41" a="1"/>
  <c r="F180" i="11" a="1"/>
  <c r="S193" i="41" a="1"/>
  <c r="M155" i="41" a="1"/>
  <c r="F120" i="41" a="1"/>
  <c r="O67" i="41" a="1"/>
  <c r="I44" i="41" a="1"/>
  <c r="O32" i="11" a="1"/>
  <c r="I70" i="11" a="1"/>
  <c r="I152" i="41" a="1"/>
  <c r="M46" i="41" a="1"/>
  <c r="F90" i="41" a="1"/>
  <c r="S51" i="41" a="1"/>
  <c r="I46" i="11" a="1"/>
  <c r="U147" i="11" a="1"/>
  <c r="M139" i="41" a="1"/>
  <c r="I74" i="41" a="1"/>
  <c r="S72" i="41" a="1"/>
  <c r="S191" i="41" a="1"/>
  <c r="E25" i="11" a="1"/>
  <c r="M37" i="41" a="1"/>
  <c r="K40" i="41" a="1"/>
  <c r="O78" i="11" a="1"/>
  <c r="I93" i="11" a="1"/>
  <c r="F153" i="41" a="1"/>
  <c r="F88" i="11" a="1"/>
  <c r="O97" i="11" a="1"/>
  <c r="W63" i="11" a="1"/>
  <c r="S178" i="11" a="1"/>
  <c r="F89" i="41" a="1"/>
  <c r="I73" i="41" a="1"/>
  <c r="M171" i="41" a="1"/>
  <c r="U59" i="11" a="1"/>
  <c r="S50" i="11" a="1"/>
  <c r="S178" i="41" a="1"/>
  <c r="O180" i="41" a="1"/>
  <c r="U99" i="11" a="1"/>
  <c r="W98" i="11" a="1"/>
  <c r="I56" i="41" a="1"/>
  <c r="O170" i="11" a="1"/>
  <c r="E135" i="11" a="1"/>
  <c r="I86" i="41" a="1"/>
  <c r="O107" i="11" a="1"/>
  <c r="M117" i="41" a="1"/>
  <c r="K79" i="41" a="1"/>
  <c r="S102" i="41" a="1"/>
  <c r="M60" i="11" a="1"/>
  <c r="S84" i="41" a="1"/>
  <c r="E150" i="41" a="1"/>
  <c r="O179" i="41" a="1"/>
  <c r="K80" i="11" a="1"/>
  <c r="F86" i="11" a="1"/>
  <c r="K67" i="11" a="1"/>
  <c r="I136" i="41" a="1"/>
  <c r="K194" i="41" a="1"/>
  <c r="E159" i="11" a="1"/>
  <c r="F153" i="11" a="1"/>
  <c r="S85" i="11" a="1"/>
  <c r="W146" i="11" a="1"/>
  <c r="O75" i="41" a="1"/>
  <c r="Q47" i="11" a="1"/>
  <c r="I76" i="41" a="1"/>
  <c r="F119" i="41" a="1"/>
  <c r="W109" i="11" a="1"/>
  <c r="W168" i="11" a="1"/>
  <c r="M79" i="11" a="1"/>
  <c r="Q76" i="11" a="1"/>
  <c r="I44" i="11" a="1"/>
  <c r="I40" i="11" a="1"/>
  <c r="Q54" i="41" a="1"/>
  <c r="M186" i="11" a="1"/>
  <c r="O91" i="11" a="1"/>
  <c r="S155" i="11" a="1"/>
  <c r="S139" i="11" a="1"/>
  <c r="F68" i="41" a="1"/>
  <c r="E105" i="11" a="1"/>
  <c r="O45" i="41" a="1"/>
  <c r="Q111" i="11" a="1"/>
  <c r="I38" i="41" a="1"/>
  <c r="Q137" i="41" a="1"/>
  <c r="U127" i="11" a="1"/>
  <c r="S118" i="11" a="1"/>
  <c r="Q34" i="11" a="1"/>
  <c r="S196" i="41" a="1"/>
  <c r="Q89" i="11" a="1"/>
  <c r="D190" i="11" a="1"/>
  <c r="W52" i="11" a="1"/>
  <c r="Q29" i="41" a="1"/>
  <c r="Q140" i="11" a="1"/>
  <c r="Q158" i="11" a="1"/>
  <c r="Q80" i="41" a="1"/>
  <c r="S154" i="41" a="1"/>
  <c r="M180" i="11" a="1"/>
  <c r="Q193" i="41" a="1"/>
  <c r="W94" i="11" a="1"/>
  <c r="K189" i="41" a="1"/>
  <c r="S155" i="41" a="1"/>
  <c r="M120" i="41" a="1"/>
  <c r="M67" i="41" a="1"/>
  <c r="E92" i="41" a="1"/>
  <c r="K44" i="41" a="1"/>
  <c r="I32" i="11" a="1"/>
  <c r="M70" i="11" a="1"/>
  <c r="K152" i="41" a="1"/>
  <c r="Q46" i="41" a="1"/>
  <c r="I90" i="41" a="1"/>
  <c r="F51" i="41" a="1"/>
  <c r="S46" i="11" a="1"/>
  <c r="I147" i="11" a="1"/>
  <c r="I139" i="41" a="1"/>
  <c r="M74" i="41" a="1"/>
  <c r="E72" i="41" a="1"/>
  <c r="F191" i="41" a="1"/>
  <c r="O25" i="11" a="1"/>
  <c r="E37" i="41" a="1"/>
  <c r="O199" i="41" a="1"/>
  <c r="S78" i="11" a="1"/>
  <c r="E31" i="11" a="1"/>
  <c r="F93" i="11" a="1"/>
  <c r="W88" i="11" a="1"/>
  <c r="U97" i="11" a="1"/>
  <c r="U102" i="11" a="1"/>
  <c r="M89" i="41" a="1"/>
  <c r="E66" i="41" a="1"/>
  <c r="Q90" i="11" a="1"/>
  <c r="K163" i="41" a="1"/>
  <c r="S73" i="41" a="1"/>
  <c r="I171" i="41" a="1"/>
  <c r="K50" i="11" a="1"/>
  <c r="O178" i="41" a="1"/>
  <c r="F180" i="41" a="1"/>
  <c r="U98" i="11" a="1"/>
  <c r="S56" i="41" a="1"/>
  <c r="I170" i="11" a="1"/>
  <c r="O135" i="11" a="1"/>
  <c r="E86" i="41" a="1"/>
  <c r="U107" i="11" a="1"/>
  <c r="F117" i="41" a="1"/>
  <c r="O79" i="41" a="1"/>
  <c r="K102" i="41" a="1"/>
  <c r="E60" i="11" a="1"/>
  <c r="Q84" i="41" a="1"/>
  <c r="M150" i="41" a="1"/>
  <c r="Q179" i="41" a="1"/>
  <c r="U80" i="11" a="1"/>
  <c r="I86" i="11" a="1"/>
  <c r="M162" i="11" a="1"/>
  <c r="F136" i="41" a="1"/>
  <c r="S159" i="11" a="1"/>
  <c r="K153" i="11" a="1"/>
  <c r="F85" i="11" a="1"/>
  <c r="K146" i="11" a="1"/>
  <c r="F75" i="41" a="1"/>
  <c r="I47" i="11" a="1"/>
  <c r="M76" i="41" a="1"/>
  <c r="S54" i="11" a="1"/>
  <c r="O119" i="41" a="1"/>
  <c r="I109" i="11" a="1"/>
  <c r="E168" i="11" a="1"/>
  <c r="O76" i="11" a="1"/>
  <c r="Q44" i="11" a="1"/>
  <c r="F159" i="41" a="1"/>
  <c r="I27" i="41" a="1"/>
  <c r="Q130" i="11" a="1"/>
  <c r="F192" i="41" a="1"/>
  <c r="F137" i="11" a="1"/>
  <c r="E77" i="41" a="1"/>
  <c r="I106" i="11" a="1"/>
  <c r="O78" i="41" a="1"/>
  <c r="S169" i="41" a="1"/>
  <c r="Q112" i="41" a="1"/>
  <c r="K39" i="11" a="1"/>
  <c r="U120" i="11" a="1"/>
  <c r="I173" i="41" a="1"/>
  <c r="W40" i="11" a="1"/>
  <c r="M54" i="41" a="1"/>
  <c r="I28" i="41" a="1"/>
  <c r="O182" i="11" a="1"/>
  <c r="K186" i="11" a="1"/>
  <c r="E91" i="11" a="1"/>
  <c r="E155" i="11" a="1"/>
  <c r="F139" i="11" a="1"/>
  <c r="K68" i="41" a="1"/>
  <c r="F105" i="11" a="1"/>
  <c r="M45" i="41" a="1"/>
  <c r="I111" i="11" a="1"/>
  <c r="O38" i="41" a="1"/>
  <c r="I137" i="41" a="1"/>
  <c r="M127" i="11" a="1"/>
  <c r="K118" i="11" a="1"/>
  <c r="S34" i="11" a="1"/>
  <c r="Q196" i="41" a="1"/>
  <c r="O89" i="11" a="1"/>
  <c r="S190" i="11" a="1"/>
  <c r="M48" i="11" a="1"/>
  <c r="K52" i="11" a="1"/>
  <c r="O29" i="41" a="1"/>
  <c r="U140" i="11" a="1"/>
  <c r="I158" i="11" a="1"/>
  <c r="F80" i="41" a="1"/>
  <c r="O154" i="41" a="1"/>
  <c r="W180" i="11" a="1"/>
  <c r="M193" i="41" a="1"/>
  <c r="F94" i="11" a="1"/>
  <c r="I155" i="41" a="1"/>
  <c r="E120" i="41" a="1"/>
  <c r="S67" i="41" a="1"/>
  <c r="Q121" i="11" a="1"/>
  <c r="M92" i="41" a="1"/>
  <c r="E44" i="41" a="1"/>
  <c r="W32" i="11" a="1"/>
  <c r="F70" i="11" a="1"/>
  <c r="M152" i="41" a="1"/>
  <c r="I46" i="41" a="1"/>
  <c r="K90" i="41" a="1"/>
  <c r="I51" i="41" a="1"/>
  <c r="O46" i="11" a="1"/>
  <c r="S147" i="11" a="1"/>
  <c r="F139" i="41" a="1"/>
  <c r="E74" i="41" a="1"/>
  <c r="O72" i="41" a="1"/>
  <c r="D191" i="41" a="1"/>
  <c r="M25" i="11" a="1"/>
  <c r="Q37" i="41" a="1"/>
  <c r="Q199" i="41" a="1"/>
  <c r="W78" i="11" a="1"/>
  <c r="W31" i="11" a="1"/>
  <c r="O93" i="11" a="1"/>
  <c r="K165" i="41" a="1"/>
  <c r="Q88" i="11" a="1"/>
  <c r="M197" i="41" a="1"/>
  <c r="K97" i="11" a="1"/>
  <c r="I102" i="11" a="1"/>
  <c r="I63" i="11" a="1"/>
  <c r="O117" i="11" a="1"/>
  <c r="E89" i="41" a="1"/>
  <c r="I66" i="41" a="1"/>
  <c r="U90" i="11" a="1"/>
  <c r="O163" i="41" a="1"/>
  <c r="K73" i="41" a="1"/>
  <c r="Q171" i="41" a="1"/>
  <c r="Q186" i="41" a="1"/>
  <c r="W50" i="11" a="1"/>
  <c r="K178" i="41" a="1"/>
  <c r="Q180" i="41" a="1"/>
  <c r="E134" i="11" a="1"/>
  <c r="E98" i="11" a="1"/>
  <c r="E170" i="11" a="1"/>
  <c r="F135" i="11" a="1"/>
  <c r="Q86" i="41" a="1"/>
  <c r="F107" i="11" a="1"/>
  <c r="O117" i="41" a="1"/>
  <c r="E79" i="41" a="1"/>
  <c r="F102" i="41" a="1"/>
  <c r="K200" i="41" a="1"/>
  <c r="K179" i="41" a="1"/>
  <c r="W80" i="11" a="1"/>
  <c r="O35" i="41" a="1"/>
  <c r="M86" i="11" a="1"/>
  <c r="W162" i="11" a="1"/>
  <c r="Q136" i="41" a="1"/>
  <c r="W159" i="11" a="1"/>
  <c r="W153" i="11" a="1"/>
  <c r="I85" i="11" a="1"/>
  <c r="S146" i="11" a="1"/>
  <c r="K75" i="41" a="1"/>
  <c r="E47" i="11" a="1"/>
  <c r="K76" i="41" a="1"/>
  <c r="K54" i="11" a="1"/>
  <c r="E119" i="41" a="1"/>
  <c r="U109" i="11" a="1"/>
  <c r="U168" i="11" a="1"/>
  <c r="I171" i="11" a="1"/>
  <c r="I76" i="11" a="1"/>
  <c r="K44" i="11" a="1"/>
  <c r="O173" i="11" a="1"/>
  <c r="K159" i="41" a="1"/>
  <c r="E27" i="41" a="1"/>
  <c r="U130" i="11" a="1"/>
  <c r="O192" i="41" a="1"/>
  <c r="M137" i="11" a="1"/>
  <c r="O77" i="41" a="1"/>
  <c r="M78" i="41" a="1"/>
  <c r="I169" i="41" a="1"/>
  <c r="F112" i="41" a="1"/>
  <c r="M120" i="11" a="1"/>
  <c r="O173" i="41" a="1"/>
  <c r="Q143" i="11" a="1"/>
  <c r="M82" i="11" a="1"/>
  <c r="K40" i="11" a="1"/>
  <c r="O54" i="41" a="1"/>
  <c r="F28" i="41" a="1"/>
  <c r="M182" i="11" a="1"/>
  <c r="I186" i="11" a="1"/>
  <c r="I91" i="11" a="1"/>
  <c r="U155" i="11" a="1"/>
  <c r="U139" i="11" a="1"/>
  <c r="S68" i="41" a="1"/>
  <c r="U105" i="11" a="1"/>
  <c r="E45" i="41" a="1"/>
  <c r="S137" i="41" a="1"/>
  <c r="W127" i="11" a="1"/>
  <c r="Q118" i="11" a="1"/>
  <c r="U34" i="11" a="1"/>
  <c r="F196" i="41" a="1"/>
  <c r="K89" i="11" a="1"/>
  <c r="F190" i="11" a="1"/>
  <c r="O48" i="11" a="1"/>
  <c r="F52" i="11" a="1"/>
  <c r="M29" i="41" a="1"/>
  <c r="K140" i="11" a="1"/>
  <c r="U158" i="11" a="1"/>
  <c r="E154" i="41" a="1"/>
  <c r="I180" i="11" a="1"/>
  <c r="K193" i="41" a="1"/>
  <c r="M94" i="11" a="1"/>
  <c r="S189" i="41" a="1"/>
  <c r="E155" i="41" a="1"/>
  <c r="Q120" i="41" a="1"/>
  <c r="O121" i="11" a="1"/>
  <c r="F92" i="41" a="1"/>
  <c r="S44" i="41" a="1"/>
  <c r="U32" i="11" a="1"/>
  <c r="Q70" i="11" a="1"/>
  <c r="F152" i="41" a="1"/>
  <c r="E46" i="41" a="1"/>
  <c r="S90" i="41" a="1"/>
  <c r="O51" i="41" a="1"/>
  <c r="W147" i="11" a="1"/>
  <c r="K139" i="41" a="1"/>
  <c r="S74" i="41" a="1"/>
  <c r="M72" i="41" a="1"/>
  <c r="E191" i="41" a="1"/>
  <c r="I25" i="11" a="1"/>
  <c r="F37" i="41" a="1"/>
  <c r="D199" i="41" a="1"/>
  <c r="E78" i="11" a="1"/>
  <c r="O31" i="11" a="1"/>
  <c r="W93" i="11" a="1"/>
  <c r="Q165" i="41" a="1"/>
  <c r="I88" i="11" a="1"/>
  <c r="S197" i="41" a="1"/>
  <c r="M97" i="11" a="1"/>
  <c r="K102" i="11" a="1"/>
  <c r="K63" i="11" a="1"/>
  <c r="M117" i="11" a="1"/>
  <c r="O178" i="11" a="1"/>
  <c r="M66" i="41" a="1"/>
  <c r="M90" i="11" a="1"/>
  <c r="F163" i="41" a="1"/>
  <c r="M73" i="41" a="1"/>
  <c r="O171" i="41" a="1"/>
  <c r="I59" i="11" a="1"/>
  <c r="M186" i="41" a="1"/>
  <c r="F50" i="11" a="1"/>
  <c r="Q178" i="41" a="1"/>
  <c r="I99" i="11" a="1"/>
  <c r="M134" i="11" a="1"/>
  <c r="K98" i="11" a="1"/>
  <c r="W170" i="11" a="1"/>
  <c r="W135" i="11" a="1"/>
  <c r="S86" i="41" a="1"/>
  <c r="Q107" i="11" a="1"/>
  <c r="I117" i="41" a="1"/>
  <c r="E200" i="41" a="1"/>
  <c r="M32" i="41" a="1"/>
  <c r="F179" i="41" a="1"/>
  <c r="S80" i="11" a="1"/>
  <c r="S35" i="41" a="1"/>
  <c r="W86" i="11" a="1"/>
  <c r="I67" i="11" a="1"/>
  <c r="K162" i="11" a="1"/>
  <c r="E136" i="41" a="1"/>
  <c r="I159" i="11" a="1"/>
  <c r="Q153" i="11" a="1"/>
  <c r="Q85" i="11" a="1"/>
  <c r="Q75" i="41" a="1"/>
  <c r="O54" i="11" a="1"/>
  <c r="K119" i="41" a="1"/>
  <c r="M109" i="11" a="1"/>
  <c r="I168" i="11" a="1"/>
  <c r="I79" i="11" a="1"/>
  <c r="M171" i="11" a="1"/>
  <c r="K76" i="11" a="1"/>
  <c r="S44" i="11" a="1"/>
  <c r="K173" i="11" a="1"/>
  <c r="M159" i="41" a="1"/>
  <c r="K27" i="41" a="1"/>
  <c r="I130" i="11" a="1"/>
  <c r="K192" i="41" a="1"/>
  <c r="S137" i="11" a="1"/>
  <c r="K77" i="41" a="1"/>
  <c r="Q151" i="41" a="1"/>
  <c r="K106" i="11" a="1"/>
  <c r="S78" i="41" a="1"/>
  <c r="O112" i="41" a="1"/>
  <c r="S40" i="11" a="1"/>
  <c r="E54" i="41" a="1"/>
  <c r="E28" i="41" a="1"/>
  <c r="U182" i="11" a="1"/>
  <c r="S186" i="11" a="1"/>
  <c r="K91" i="11" a="1"/>
  <c r="W155" i="11" a="1"/>
  <c r="I139" i="11" a="1"/>
  <c r="I68" i="41" a="1"/>
  <c r="I105" i="11" a="1"/>
  <c r="O137" i="41" a="1"/>
  <c r="I127" i="11" a="1"/>
  <c r="U118" i="11" a="1"/>
  <c r="F34" i="11" a="1"/>
  <c r="K196" i="41" a="1"/>
  <c r="K190" i="11" a="1"/>
  <c r="K48" i="11" a="1"/>
  <c r="I52" i="11" a="1"/>
  <c r="S29" i="41" a="1"/>
  <c r="I140" i="11" a="1"/>
  <c r="W158" i="11" a="1"/>
  <c r="Q154" i="41" a="1"/>
  <c r="E193" i="41" a="1"/>
  <c r="O94" i="11" a="1"/>
  <c r="E189" i="41" a="1"/>
  <c r="S120" i="41" a="1"/>
  <c r="K121" i="11" a="1"/>
  <c r="Q92" i="41" a="1"/>
  <c r="Q44" i="41" a="1"/>
  <c r="Q32" i="11" a="1"/>
  <c r="K70" i="11" a="1"/>
  <c r="Q152" i="41" a="1"/>
  <c r="K46" i="41" a="1"/>
  <c r="Q90" i="41" a="1"/>
  <c r="M147" i="11" a="1"/>
  <c r="O139" i="41" a="1"/>
  <c r="F74" i="41" a="1"/>
  <c r="I72" i="41" a="1"/>
  <c r="I191" i="41" a="1"/>
  <c r="E199" i="41" a="1"/>
  <c r="K78" i="11" a="1"/>
  <c r="S141" i="41" a="1"/>
  <c r="M31" i="11" a="1"/>
  <c r="K93" i="11" a="1"/>
  <c r="E165" i="41" a="1"/>
  <c r="E88" i="11" a="1"/>
  <c r="F197" i="41" a="1"/>
  <c r="S97" i="11" a="1"/>
  <c r="M102" i="11" a="1"/>
  <c r="Q117" i="11" a="1"/>
  <c r="M94" i="41" a="1"/>
  <c r="Q178" i="11" a="1"/>
  <c r="O69" i="41" a="1"/>
  <c r="O66" i="41" a="1"/>
  <c r="F90" i="11" a="1"/>
  <c r="S163" i="41" a="1"/>
  <c r="O73" i="41" a="1"/>
  <c r="F171" i="41" a="1"/>
  <c r="W59" i="11" a="1"/>
  <c r="F186" i="41" a="1"/>
  <c r="U50" i="11" a="1"/>
  <c r="F178" i="41" a="1"/>
  <c r="W99" i="11" a="1"/>
  <c r="O134" i="11" a="1"/>
  <c r="Q91" i="41" a="1"/>
  <c r="M162" i="41" a="1"/>
  <c r="I98" i="11" a="1"/>
  <c r="U170" i="11" a="1"/>
  <c r="K135" i="11" a="1"/>
  <c r="F86" i="41" a="1"/>
  <c r="I107" i="11" a="1"/>
  <c r="Q117" i="41" a="1"/>
  <c r="S60" i="11" a="1"/>
  <c r="M200" i="41" a="1"/>
  <c r="Q32" i="41" a="1"/>
  <c r="I179" i="41" a="1"/>
  <c r="O80" i="11" a="1"/>
  <c r="K35" i="41" a="1"/>
  <c r="O86" i="11" a="1"/>
  <c r="O67" i="11" a="1"/>
  <c r="E162" i="11" a="1"/>
  <c r="Q194" i="41" a="1"/>
  <c r="O159" i="11" a="1"/>
  <c r="O153" i="11" a="1"/>
  <c r="K85" i="11" a="1"/>
  <c r="I75" i="41" a="1"/>
  <c r="W54" i="11" a="1"/>
  <c r="I119" i="41" a="1"/>
  <c r="Q109" i="11" a="1"/>
  <c r="K168" i="11" a="1"/>
  <c r="Q79" i="11" a="1"/>
  <c r="S171" i="11" a="1"/>
  <c r="M76" i="11" a="1"/>
  <c r="E44" i="11" a="1"/>
  <c r="U173" i="11" a="1"/>
  <c r="F71" i="41" a="1"/>
  <c r="E159" i="41" a="1"/>
  <c r="S27" i="41" a="1"/>
  <c r="D192" i="41" a="1"/>
  <c r="O137" i="11" a="1"/>
  <c r="Q77" i="41" a="1"/>
  <c r="K151" i="41" a="1"/>
  <c r="U106" i="11" a="1"/>
  <c r="I78" i="41" a="1"/>
  <c r="E132" i="41" a="1"/>
  <c r="K112" i="41" a="1"/>
  <c r="F39" i="11" a="1"/>
  <c r="S120" i="11" a="1"/>
  <c r="M143" i="11" a="1"/>
  <c r="S122" i="11" a="1"/>
  <c r="K82" i="11" a="1"/>
  <c r="E141" i="11" a="1"/>
  <c r="I47" i="41" a="1"/>
  <c r="K183" i="11" a="1"/>
  <c r="E152" i="11" a="1"/>
  <c r="E72" i="11" a="1"/>
  <c r="E104" i="41" a="1"/>
  <c r="K58" i="41" a="1"/>
  <c r="E43" i="11" a="1"/>
  <c r="K164" i="41" a="1"/>
  <c r="Q100" i="11" a="1"/>
  <c r="I95" i="41" a="1"/>
  <c r="W104" i="11" a="1"/>
  <c r="F106" i="41" a="1"/>
  <c r="U185" i="11" a="1"/>
  <c r="M134" i="41" a="1"/>
  <c r="E43" i="41" a="1"/>
  <c r="E65" i="41" a="1"/>
  <c r="Q96" i="41" a="1"/>
  <c r="Q84" i="11" a="1"/>
  <c r="K113" i="11" a="1"/>
  <c r="K61" i="41" a="1"/>
  <c r="S77" i="11" a="1"/>
  <c r="S149" i="41" a="1"/>
  <c r="S133" i="11" a="1"/>
  <c r="U57" i="11" a="1"/>
  <c r="I42" i="11" a="1"/>
  <c r="S172" i="11" a="1"/>
  <c r="M101" i="41" a="1"/>
  <c r="O108" i="41" a="1"/>
  <c r="S36" i="11" a="1"/>
  <c r="M194" i="11" a="1"/>
  <c r="S33" i="11" a="1"/>
  <c r="F187" i="11" a="1"/>
  <c r="S42" i="41" a="1"/>
  <c r="O50" i="41" a="1"/>
  <c r="U73" i="11" a="1"/>
  <c r="Q62" i="41" a="1"/>
  <c r="Q40" i="11" a="1"/>
  <c r="O111" i="41" a="1"/>
  <c r="O28" i="41" a="1"/>
  <c r="E182" i="11" a="1"/>
  <c r="O186" i="11" a="1"/>
  <c r="S91" i="11" a="1"/>
  <c r="I155" i="11" a="1"/>
  <c r="K139" i="11" a="1"/>
  <c r="M68" i="41" a="1"/>
  <c r="K105" i="11" a="1"/>
  <c r="M122" i="41" a="1"/>
  <c r="M111" i="11" a="1"/>
  <c r="S127" i="11" a="1"/>
  <c r="W118" i="11" a="1"/>
  <c r="I34" i="11" a="1"/>
  <c r="I190" i="11" a="1"/>
  <c r="W48" i="11" a="1"/>
  <c r="E52" i="11" a="1"/>
  <c r="E29" i="41" a="1"/>
  <c r="E140" i="11" a="1"/>
  <c r="S158" i="11" a="1"/>
  <c r="F154" i="41" a="1"/>
  <c r="D193" i="41" a="1"/>
  <c r="U94" i="11" a="1"/>
  <c r="F189" i="41" a="1"/>
  <c r="K120" i="41" a="1"/>
  <c r="E121" i="11" a="1"/>
  <c r="I92" i="41" a="1"/>
  <c r="M44" i="41" a="1"/>
  <c r="S32" i="11" a="1"/>
  <c r="O70" i="11" a="1"/>
  <c r="O152" i="41" a="1"/>
  <c r="F46" i="41" a="1"/>
  <c r="M90" i="41" a="1"/>
  <c r="M46" i="11" a="1"/>
  <c r="F147" i="11" a="1"/>
  <c r="Q139" i="41" a="1"/>
  <c r="O74" i="41" a="1"/>
  <c r="Q40" i="41" a="1"/>
  <c r="M199" i="41" a="1"/>
  <c r="Q78" i="11" a="1"/>
  <c r="O141" i="41" a="1"/>
  <c r="I31" i="11" a="1"/>
  <c r="Q93" i="11" a="1"/>
  <c r="K153" i="41" a="1"/>
  <c r="S165" i="41" a="1"/>
  <c r="U88" i="11" a="1"/>
  <c r="I197" i="41" a="1"/>
  <c r="F97" i="11" a="1"/>
  <c r="Q102" i="11" a="1"/>
  <c r="S63" i="11" a="1"/>
  <c r="I117" i="11" a="1"/>
  <c r="E94" i="41" a="1"/>
  <c r="F178" i="11" a="1"/>
  <c r="K69" i="41" a="1"/>
  <c r="Q66" i="41" a="1"/>
  <c r="I90" i="11" a="1"/>
  <c r="I163" i="41" a="1"/>
  <c r="O59" i="11" a="1"/>
  <c r="O186" i="41" a="1"/>
  <c r="E50" i="11" a="1"/>
  <c r="E178" i="41" a="1"/>
  <c r="E99" i="11" a="1"/>
  <c r="I134" i="11" a="1"/>
  <c r="I91" i="41" a="1"/>
  <c r="I162" i="41" a="1"/>
  <c r="S170" i="11" a="1"/>
  <c r="Q135" i="11" a="1"/>
  <c r="W107" i="11" a="1"/>
  <c r="S117" i="41" a="1"/>
  <c r="K60" i="11" a="1"/>
  <c r="S200" i="41" a="1"/>
  <c r="K32" i="41" a="1"/>
  <c r="S179" i="41" a="1"/>
  <c r="E80" i="11" a="1"/>
  <c r="M35" i="41" a="1"/>
  <c r="Q86" i="11" a="1"/>
  <c r="F67" i="11" a="1"/>
  <c r="I162" i="11" a="1"/>
  <c r="S194" i="41" a="1"/>
  <c r="F159" i="11" a="1"/>
  <c r="M153" i="11" a="1"/>
  <c r="E85" i="11" a="1"/>
  <c r="M146" i="11" a="1"/>
  <c r="U47" i="11" a="1"/>
  <c r="F54" i="11" a="1"/>
  <c r="Q119" i="41" a="1"/>
  <c r="S109" i="11" a="1"/>
  <c r="M168" i="11" a="1"/>
  <c r="K79" i="11" a="1"/>
  <c r="U171" i="11" a="1"/>
  <c r="S76" i="11" a="1"/>
  <c r="M44" i="11" a="1"/>
  <c r="E173" i="11" a="1"/>
  <c r="S71" i="41" a="1"/>
  <c r="S159" i="41" a="1"/>
  <c r="I192" i="41" a="1"/>
  <c r="Q137" i="11" a="1"/>
  <c r="M77" i="41" a="1"/>
  <c r="F151" i="41" a="1"/>
  <c r="O106" i="11" a="1"/>
  <c r="Q78" i="41" a="1"/>
  <c r="K132" i="41" a="1"/>
  <c r="I112" i="41" a="1"/>
  <c r="E39" i="11" a="1"/>
  <c r="I120" i="11" a="1"/>
  <c r="S143" i="11" a="1"/>
  <c r="M122" i="11" a="1"/>
  <c r="F82" i="11" a="1"/>
  <c r="I141" i="11" a="1"/>
  <c r="E47" i="41" a="1"/>
  <c r="Q183" i="11" a="1"/>
  <c r="E56" i="11" a="1"/>
  <c r="Q152" i="11" a="1"/>
  <c r="W72" i="11" a="1"/>
  <c r="F104" i="41" a="1"/>
  <c r="M58" i="41" a="1"/>
  <c r="K43" i="11" a="1"/>
  <c r="S164" i="41" a="1"/>
  <c r="S104" i="11" a="1"/>
  <c r="M106" i="41" a="1"/>
  <c r="O185" i="11" a="1"/>
  <c r="K134" i="41" a="1"/>
  <c r="O43" i="41" a="1"/>
  <c r="O65" i="41" a="1"/>
  <c r="S84" i="11" a="1"/>
  <c r="F113" i="11" a="1"/>
  <c r="Q61" i="41" a="1"/>
  <c r="F77" i="11" a="1"/>
  <c r="O149" i="41" a="1"/>
  <c r="U133" i="11" a="1"/>
  <c r="I57" i="11" a="1"/>
  <c r="E42" i="11" a="1"/>
  <c r="I172" i="11" a="1"/>
  <c r="U40" i="11" a="1"/>
  <c r="K111" i="41" a="1"/>
  <c r="S28" i="41" a="1"/>
  <c r="W182" i="11" a="1"/>
  <c r="U186" i="11" a="1"/>
  <c r="F91" i="11" a="1"/>
  <c r="M139" i="11" a="1"/>
  <c r="O68" i="41" a="1"/>
  <c r="M105" i="11" a="1"/>
  <c r="O122" i="41" a="1"/>
  <c r="O111" i="11" a="1"/>
  <c r="Q127" i="11" a="1"/>
  <c r="W34" i="11" a="1"/>
  <c r="F89" i="11" a="1"/>
  <c r="U190" i="11" a="1"/>
  <c r="I48" i="11" a="1"/>
  <c r="S52" i="11" a="1"/>
  <c r="F29" i="41" a="1"/>
  <c r="F140" i="11" a="1"/>
  <c r="U180" i="11" a="1"/>
  <c r="Q94" i="11" a="1"/>
  <c r="O189" i="41" a="1"/>
  <c r="O120" i="41" a="1"/>
  <c r="W121" i="11" a="1"/>
  <c r="O92" i="41" a="1"/>
  <c r="F32" i="11" a="1"/>
  <c r="E70" i="11" a="1"/>
  <c r="E152" i="41" a="1"/>
  <c r="O46" i="41" a="1"/>
  <c r="E90" i="41" a="1"/>
  <c r="F46" i="11" a="1"/>
  <c r="E147" i="11" a="1"/>
  <c r="S139" i="41" a="1"/>
  <c r="Q74" i="41" a="1"/>
  <c r="K25" i="11" a="1"/>
  <c r="I40" i="41" a="1"/>
  <c r="F199" i="41" a="1"/>
  <c r="I78" i="11" a="1"/>
  <c r="Q141" i="41" a="1"/>
  <c r="K31" i="11" a="1"/>
  <c r="U93" i="11" a="1"/>
  <c r="M153" i="41" a="1"/>
  <c r="F165" i="41" a="1"/>
  <c r="M88" i="11" a="1"/>
  <c r="K197" i="41" a="1"/>
  <c r="E97" i="11" a="1"/>
  <c r="W102" i="11" a="1"/>
  <c r="E63" i="11" a="1"/>
  <c r="E117" i="11" a="1"/>
  <c r="K94" i="41" a="1"/>
  <c r="K178" i="11" a="1"/>
  <c r="M69" i="41" a="1"/>
  <c r="F66" i="41" a="1"/>
  <c r="E90" i="11" a="1"/>
  <c r="M163" i="41" a="1"/>
  <c r="Q59" i="11" a="1"/>
  <c r="S186" i="41" a="1"/>
  <c r="O50" i="11" a="1"/>
  <c r="O99" i="11" a="1"/>
  <c r="U134" i="11" a="1"/>
  <c r="F91" i="41" a="1"/>
  <c r="O162" i="41" a="1"/>
  <c r="E56" i="41" a="1"/>
  <c r="F170" i="11" a="1"/>
  <c r="S135" i="11" a="1"/>
  <c r="K107" i="11" a="1"/>
  <c r="I60" i="11" a="1"/>
  <c r="I84" i="41" a="1"/>
  <c r="I200" i="41" a="1"/>
  <c r="K150" i="41" a="1"/>
  <c r="S32" i="41" a="1"/>
  <c r="M179" i="41" a="1"/>
  <c r="M80" i="11" a="1"/>
  <c r="Q35" i="41" a="1"/>
  <c r="S86" i="11" a="1"/>
  <c r="Q67" i="11" a="1"/>
  <c r="U162" i="11" a="1"/>
  <c r="M194" i="41" a="1"/>
  <c r="K159" i="11" a="1"/>
  <c r="E153" i="11" a="1"/>
  <c r="U85" i="11" a="1"/>
  <c r="F146" i="11" a="1"/>
  <c r="W47" i="11" a="1"/>
  <c r="O76" i="41" a="1"/>
  <c r="U54" i="11" a="1"/>
  <c r="M119" i="41" a="1"/>
  <c r="F109" i="11" a="1"/>
  <c r="S168" i="11" a="1"/>
  <c r="E79" i="11" a="1"/>
  <c r="Q171" i="11" a="1"/>
  <c r="F76" i="11" a="1"/>
  <c r="F44" i="11" a="1"/>
  <c r="F173" i="11" a="1"/>
  <c r="K71" i="41" a="1"/>
  <c r="O159" i="41" a="1"/>
  <c r="K130" i="11" a="1"/>
  <c r="E192" i="41" a="1"/>
  <c r="U137" i="11" a="1"/>
  <c r="E151" i="41" a="1"/>
  <c r="S106" i="11" a="1"/>
  <c r="E78" i="41" a="1"/>
  <c r="M132" i="41" a="1"/>
  <c r="M112" i="41" a="1"/>
  <c r="Q39" i="11" a="1"/>
  <c r="F120" i="11" a="1"/>
  <c r="K143" i="11" a="1"/>
  <c r="W122" i="11" a="1"/>
  <c r="U82" i="11" a="1"/>
  <c r="S141" i="11" a="1"/>
  <c r="Q47" i="41" a="1"/>
  <c r="M183" i="11" a="1"/>
  <c r="M56" i="11" a="1"/>
  <c r="O152" i="11" a="1"/>
  <c r="K72" i="11" a="1"/>
  <c r="M104" i="41" a="1"/>
  <c r="Q58" i="41" a="1"/>
  <c r="W43" i="11" a="1"/>
  <c r="I104" i="11" a="1"/>
  <c r="I135" i="41" a="1"/>
  <c r="M185" i="11" a="1"/>
  <c r="O134" i="41" a="1"/>
  <c r="M43" i="41" a="1"/>
  <c r="Q65" i="41" a="1"/>
  <c r="F84" i="11" a="1"/>
  <c r="S113" i="11" a="1"/>
  <c r="E61" i="41" a="1"/>
  <c r="O77" i="11" a="1"/>
  <c r="M149" i="41" a="1"/>
  <c r="S83" i="11" a="1"/>
  <c r="F57" i="11" a="1"/>
  <c r="O81" i="41" a="1"/>
  <c r="M42" i="11" a="1"/>
  <c r="K172" i="11" a="1"/>
  <c r="E101" i="41" a="1"/>
  <c r="Q108" i="41" a="1"/>
  <c r="K36" i="11" a="1"/>
  <c r="F181" i="41" a="1"/>
  <c r="K194" i="11" a="1"/>
  <c r="O187" i="11" a="1"/>
  <c r="I42" i="41" a="1"/>
  <c r="I73" i="11" a="1"/>
  <c r="S62" i="41" a="1"/>
  <c r="F30" i="11" a="1"/>
  <c r="I85" i="41" a="1"/>
  <c r="Q68" i="11" a="1"/>
  <c r="O124" i="11" a="1"/>
  <c r="M110" i="41" a="1"/>
  <c r="F112" i="11" a="1"/>
  <c r="F183" i="41" a="1"/>
  <c r="I123" i="11" a="1"/>
  <c r="Q129" i="41" a="1"/>
  <c r="Q31" i="41" a="1"/>
  <c r="S176" i="11" a="1"/>
  <c r="Q115" i="11" a="1"/>
  <c r="O41" i="11" a="1"/>
  <c r="W163" i="11" a="1"/>
  <c r="K156" i="11" a="1"/>
  <c r="F103" i="41" a="1"/>
  <c r="F142" i="41" a="1"/>
  <c r="I145" i="41" a="1"/>
  <c r="K92" i="11" a="1"/>
  <c r="I108" i="11" a="1"/>
  <c r="S49" i="41" a="1"/>
  <c r="Q198" i="11" a="1"/>
  <c r="F170" i="41" a="1"/>
  <c r="S172" i="41" a="1"/>
  <c r="S143" i="41" a="1"/>
  <c r="F131" i="41" a="1"/>
  <c r="E53" i="41" a="1"/>
  <c r="U193" i="11" a="1"/>
  <c r="O144" i="11" a="1"/>
  <c r="K126" i="41" a="1"/>
  <c r="F30" i="41" a="1"/>
  <c r="F168" i="41" a="1"/>
  <c r="O196" i="11" a="1"/>
  <c r="F157" i="11" a="1"/>
  <c r="I70" i="41" a="1"/>
  <c r="I188" i="11" a="1"/>
  <c r="E98" i="41" a="1"/>
  <c r="M174" i="41" a="1"/>
  <c r="I81" i="11" a="1"/>
  <c r="M148" i="41" a="1"/>
  <c r="F105" i="41" a="1"/>
  <c r="F69" i="11" a="1"/>
  <c r="Q116" i="11" a="1"/>
  <c r="S115" i="41" a="1"/>
  <c r="Q51" i="11" a="1"/>
  <c r="E66" i="11" a="1"/>
  <c r="O114" i="11" a="1"/>
  <c r="K160" i="41" a="1"/>
  <c r="O119" i="11" a="1"/>
  <c r="K55" i="11" a="1"/>
  <c r="E100" i="41" a="1"/>
  <c r="F192" i="11" a="1"/>
  <c r="O138" i="11" a="1"/>
  <c r="O57" i="41" a="1"/>
  <c r="W28" i="11" a="1"/>
  <c r="Q132" i="11" a="1"/>
  <c r="E151" i="11" a="1"/>
  <c r="Q74" i="11" a="1"/>
  <c r="W61" i="11" a="1"/>
  <c r="O49" i="11" a="1"/>
  <c r="M182" i="41" a="1"/>
  <c r="E64" i="11" a="1"/>
  <c r="K147" i="41" a="1"/>
  <c r="U129" i="11" a="1"/>
  <c r="O26" i="11" a="1"/>
  <c r="Q191" i="11" a="1"/>
  <c r="M169" i="11" a="1"/>
  <c r="K154" i="11" a="1"/>
  <c r="K35" i="11" a="1"/>
  <c r="O83" i="41" a="1"/>
  <c r="Q103" i="11" a="1"/>
  <c r="I142" i="11" a="1"/>
  <c r="S71" i="11" a="1"/>
  <c r="S39" i="41" a="1"/>
  <c r="M167" i="11" a="1"/>
  <c r="E37" i="11" a="1"/>
  <c r="F145" i="11" a="1"/>
  <c r="M140" i="41" a="1"/>
  <c r="U160" i="11" a="1"/>
  <c r="S164" i="11" a="1"/>
  <c r="F96" i="11" a="1"/>
  <c r="S138" i="41" a="1"/>
  <c r="F87" i="11" a="1"/>
  <c r="E95" i="11" a="1"/>
  <c r="Q107" i="41" a="1"/>
  <c r="S175" i="41" a="1"/>
  <c r="W126" i="11" a="1"/>
  <c r="E109" i="41" a="1"/>
  <c r="W110" i="11" a="1"/>
  <c r="O167" i="41" a="1"/>
  <c r="U195" i="11" a="1"/>
  <c r="E131" i="11" a="1"/>
  <c r="U45" i="11" a="1"/>
  <c r="M118" i="41" a="1"/>
  <c r="O127" i="41" a="1"/>
  <c r="F75" i="11" a="1"/>
  <c r="W161" i="11" a="1"/>
  <c r="M27" i="11" a="1"/>
  <c r="U165" i="11" a="1"/>
  <c r="Q97" i="41" a="1"/>
  <c r="Q116" i="41" a="1"/>
  <c r="K99" i="41" a="1"/>
  <c r="S188" i="41" a="1"/>
  <c r="I179" i="11" a="1"/>
  <c r="O60" i="41" a="1"/>
  <c r="S88" i="41" a="1"/>
  <c r="E101" i="11" a="1"/>
  <c r="S166" i="11" a="1"/>
  <c r="F195" i="41" a="1"/>
  <c r="I121" i="41" a="1"/>
  <c r="I144" i="41" a="1"/>
  <c r="I146" i="41" a="1"/>
  <c r="Q114" i="41" a="1"/>
  <c r="M62" i="11" a="1"/>
  <c r="M136" i="11" a="1"/>
  <c r="S53" i="11" a="1"/>
  <c r="O63" i="41" a="1"/>
  <c r="I125" i="41" a="1"/>
  <c r="W199" i="11" a="1"/>
  <c r="M123" i="41" a="1"/>
  <c r="M166" i="41" a="1"/>
  <c r="Q161" i="41" a="1"/>
  <c r="S187" i="41" a="1"/>
  <c r="Q48" i="41" a="1"/>
  <c r="Q87" i="41" a="1"/>
  <c r="M184" i="41" a="1"/>
  <c r="Q148" i="11" a="1"/>
  <c r="K82" i="41" a="1"/>
  <c r="E26" i="41" a="1"/>
  <c r="M172" i="41" a="1"/>
  <c r="K143" i="41" a="1"/>
  <c r="O131" i="41" a="1"/>
  <c r="O53" i="41" a="1"/>
  <c r="S193" i="11" a="1"/>
  <c r="K144" i="11" a="1"/>
  <c r="I126" i="41" a="1"/>
  <c r="Q30" i="41" a="1"/>
  <c r="E168" i="41" a="1"/>
  <c r="Q196" i="11" a="1"/>
  <c r="I185" i="41" a="1"/>
  <c r="Q157" i="11" a="1"/>
  <c r="K70" i="41" a="1"/>
  <c r="W188" i="11" a="1"/>
  <c r="F98" i="41" a="1"/>
  <c r="E174" i="41" a="1"/>
  <c r="E81" i="11" a="1"/>
  <c r="F148" i="41" a="1"/>
  <c r="S105" i="41" a="1"/>
  <c r="S128" i="11" a="1"/>
  <c r="I69" i="11" a="1"/>
  <c r="O116" i="11" a="1"/>
  <c r="O115" i="41" a="1"/>
  <c r="F51" i="11" a="1"/>
  <c r="U66" i="11" a="1"/>
  <c r="E114" i="11" a="1"/>
  <c r="M160" i="41" a="1"/>
  <c r="E119" i="11" a="1"/>
  <c r="I100" i="41" a="1"/>
  <c r="Q192" i="11" a="1"/>
  <c r="Q138" i="11" a="1"/>
  <c r="K57" i="41" a="1"/>
  <c r="Q28" i="11" a="1"/>
  <c r="M132" i="11" a="1"/>
  <c r="Q177" i="11" a="1"/>
  <c r="S74" i="11" a="1"/>
  <c r="I181" i="11" a="1"/>
  <c r="Q61" i="11" a="1"/>
  <c r="M49" i="11" a="1"/>
  <c r="S182" i="41" a="1"/>
  <c r="O64" i="11" a="1"/>
  <c r="M147" i="41" a="1"/>
  <c r="S129" i="11" a="1"/>
  <c r="S26" i="11" a="1"/>
  <c r="F191" i="11" a="1"/>
  <c r="F169" i="11" a="1"/>
  <c r="S154" i="11" a="1"/>
  <c r="E35" i="11" a="1"/>
  <c r="S83" i="41" a="1"/>
  <c r="E103" i="11" a="1"/>
  <c r="E142" i="11" a="1"/>
  <c r="K39" i="41" a="1"/>
  <c r="S37" i="11" a="1"/>
  <c r="U145" i="11" a="1"/>
  <c r="S160" i="11" a="1"/>
  <c r="M164" i="11" a="1"/>
  <c r="E96" i="11" a="1"/>
  <c r="Q138" i="41" a="1"/>
  <c r="I87" i="11" a="1"/>
  <c r="O95" i="11" a="1"/>
  <c r="K107" i="41" a="1"/>
  <c r="O175" i="41" a="1"/>
  <c r="E126" i="11" a="1"/>
  <c r="F109" i="41" a="1"/>
  <c r="O110" i="11" a="1"/>
  <c r="Q149" i="11" a="1"/>
  <c r="S52" i="41" a="1"/>
  <c r="E167" i="41" a="1"/>
  <c r="K195" i="11" a="1"/>
  <c r="U131" i="11" a="1"/>
  <c r="Q174" i="11" a="1"/>
  <c r="Q118" i="41" a="1"/>
  <c r="M127" i="41" a="1"/>
  <c r="S75" i="11" a="1"/>
  <c r="O161" i="11" a="1"/>
  <c r="S27" i="11" a="1"/>
  <c r="S165" i="11" a="1"/>
  <c r="I97" i="41" a="1"/>
  <c r="O116" i="41" a="1"/>
  <c r="F58" i="11" a="1"/>
  <c r="S99" i="41" a="1"/>
  <c r="F188" i="41" a="1"/>
  <c r="Q60" i="41" a="1"/>
  <c r="F130" i="41" a="1"/>
  <c r="E88" i="41" a="1"/>
  <c r="W101" i="11" a="1"/>
  <c r="U166" i="11" a="1"/>
  <c r="K195" i="41" a="1"/>
  <c r="F113" i="41" a="1"/>
  <c r="Q157" i="41" a="1"/>
  <c r="Q144" i="41" a="1"/>
  <c r="E146" i="41" a="1"/>
  <c r="K114" i="41" a="1"/>
  <c r="I62" i="11" a="1"/>
  <c r="E136" i="11" a="1"/>
  <c r="M53" i="11" a="1"/>
  <c r="E63" i="41" a="1"/>
  <c r="S125" i="41" a="1"/>
  <c r="O199" i="11" a="1"/>
  <c r="Q123" i="41" a="1"/>
  <c r="F166" i="41" a="1"/>
  <c r="E33" i="41" a="1"/>
  <c r="M187" i="41" a="1"/>
  <c r="F48" i="41" a="1"/>
  <c r="S59" i="41" a="1"/>
  <c r="M148" i="11" a="1"/>
  <c r="M82" i="41" a="1"/>
  <c r="F26" i="41" a="1"/>
  <c r="E35" i="41" a="1"/>
  <c r="S67" i="11" a="1"/>
  <c r="S162" i="11" a="1"/>
  <c r="M136" i="41" a="1"/>
  <c r="F194" i="41" a="1"/>
  <c r="Q159" i="11" a="1"/>
  <c r="O146" i="11" a="1"/>
  <c r="M47" i="11" a="1"/>
  <c r="Q76" i="41" a="1"/>
  <c r="E54" i="11" a="1"/>
  <c r="K109" i="11" a="1"/>
  <c r="U79" i="11" a="1"/>
  <c r="E171" i="11" a="1"/>
  <c r="M173" i="11" a="1"/>
  <c r="E71" i="41" a="1"/>
  <c r="I159" i="41" a="1"/>
  <c r="W130" i="11" a="1"/>
  <c r="M192" i="41" a="1"/>
  <c r="W137" i="11" a="1"/>
  <c r="M151" i="41" a="1"/>
  <c r="E106" i="11" a="1"/>
  <c r="F169" i="41" a="1"/>
  <c r="S132" i="41" a="1"/>
  <c r="E112" i="41" a="1"/>
  <c r="M39" i="11" a="1"/>
  <c r="Q173" i="41" a="1"/>
  <c r="W143" i="11" a="1"/>
  <c r="K122" i="11" a="1"/>
  <c r="E82" i="11" a="1"/>
  <c r="W141" i="11" a="1"/>
  <c r="K47" i="41" a="1"/>
  <c r="W183" i="11" a="1"/>
  <c r="F56" i="11" a="1"/>
  <c r="I152" i="11" a="1"/>
  <c r="F72" i="11" a="1"/>
  <c r="S104" i="41" a="1"/>
  <c r="I58" i="41" a="1"/>
  <c r="S43" i="11" a="1"/>
  <c r="M100" i="11" a="1"/>
  <c r="M104" i="11" a="1"/>
  <c r="E135" i="41" a="1"/>
  <c r="K185" i="11" a="1"/>
  <c r="S134" i="41" a="1"/>
  <c r="I113" i="11" a="1"/>
  <c r="I61" i="41" a="1"/>
  <c r="I83" i="11" a="1"/>
  <c r="M133" i="11" a="1"/>
  <c r="S57" i="11" a="1"/>
  <c r="M81" i="41" a="1"/>
  <c r="Q42" i="11" a="1"/>
  <c r="M172" i="11" a="1"/>
  <c r="S133" i="41" a="1"/>
  <c r="O93" i="41" a="1"/>
  <c r="K101" i="41" a="1"/>
  <c r="E108" i="41" a="1"/>
  <c r="S181" i="41" a="1"/>
  <c r="W194" i="11" a="1"/>
  <c r="O33" i="11" a="1"/>
  <c r="E156" i="41" a="1"/>
  <c r="Q187" i="11" a="1"/>
  <c r="O30" i="11" a="1"/>
  <c r="F85" i="41" a="1"/>
  <c r="O68" i="11" a="1"/>
  <c r="F124" i="11" a="1"/>
  <c r="S110" i="41" a="1"/>
  <c r="U112" i="11" a="1"/>
  <c r="E183" i="41" a="1"/>
  <c r="E123" i="11" a="1"/>
  <c r="O31" i="41" a="1"/>
  <c r="K176" i="11" a="1"/>
  <c r="S41" i="11" a="1"/>
  <c r="S163" i="11" a="1"/>
  <c r="E29" i="11" a="1"/>
  <c r="W156" i="11" a="1"/>
  <c r="E36" i="41" a="1"/>
  <c r="Q103" i="41" a="1"/>
  <c r="E142" i="41" a="1"/>
  <c r="O145" i="41" a="1"/>
  <c r="U92" i="11" a="1"/>
  <c r="U108" i="11" a="1"/>
  <c r="S150" i="11" a="1"/>
  <c r="S170" i="41" a="1"/>
  <c r="I172" i="41" a="1"/>
  <c r="K131" i="41" a="1"/>
  <c r="Q53" i="41" a="1"/>
  <c r="I193" i="11" a="1"/>
  <c r="O30" i="41" a="1"/>
  <c r="I168" i="41" a="1"/>
  <c r="S196" i="11" a="1"/>
  <c r="M185" i="41" a="1"/>
  <c r="U157" i="11" a="1"/>
  <c r="F70" i="41" a="1"/>
  <c r="S188" i="11" a="1"/>
  <c r="K98" i="41" a="1"/>
  <c r="Q174" i="41" a="1"/>
  <c r="Q81" i="11" a="1"/>
  <c r="Q148" i="41" a="1"/>
  <c r="U128" i="11" a="1"/>
  <c r="O69" i="11" a="1"/>
  <c r="W116" i="11" a="1"/>
  <c r="F115" i="41" a="1"/>
  <c r="W51" i="11" a="1"/>
  <c r="I66" i="11" a="1"/>
  <c r="F114" i="11" a="1"/>
  <c r="I160" i="41" a="1"/>
  <c r="W119" i="11" a="1"/>
  <c r="Q100" i="41" a="1"/>
  <c r="E192" i="11" a="1"/>
  <c r="E138" i="11" a="1"/>
  <c r="M57" i="41" a="1"/>
  <c r="E28" i="11" a="1"/>
  <c r="W177" i="11" a="1"/>
  <c r="W74" i="11" a="1"/>
  <c r="Q125" i="11" a="1"/>
  <c r="K181" i="11" a="1"/>
  <c r="S61" i="11" a="1"/>
  <c r="U49" i="11" a="1"/>
  <c r="F182" i="41" a="1"/>
  <c r="F64" i="11" a="1"/>
  <c r="S147" i="41" a="1"/>
  <c r="O129" i="11" a="1"/>
  <c r="F26" i="11" a="1"/>
  <c r="O191" i="11" a="1"/>
  <c r="E169" i="11" a="1"/>
  <c r="I154" i="11" a="1"/>
  <c r="U35" i="11" a="1"/>
  <c r="E83" i="41" a="1"/>
  <c r="I103" i="11" a="1"/>
  <c r="K142" i="11" a="1"/>
  <c r="U71" i="11" a="1"/>
  <c r="U184" i="11" a="1"/>
  <c r="S145" i="11" a="1"/>
  <c r="M27" i="41" a="1"/>
  <c r="O183" i="11" a="1"/>
  <c r="S152" i="11" a="1"/>
  <c r="Q164" i="41" a="1"/>
  <c r="K104" i="11" a="1"/>
  <c r="S135" i="41" a="1"/>
  <c r="I43" i="41" a="1"/>
  <c r="E96" i="41" a="1"/>
  <c r="U84" i="11" a="1"/>
  <c r="M61" i="41" a="1"/>
  <c r="F133" i="11" a="1"/>
  <c r="F81" i="41" a="1"/>
  <c r="I93" i="41" a="1"/>
  <c r="E194" i="11" a="1"/>
  <c r="E33" i="11" a="1"/>
  <c r="Q42" i="41" a="1"/>
  <c r="O62" i="41" a="1"/>
  <c r="K124" i="11" a="1"/>
  <c r="W112" i="11" a="1"/>
  <c r="M55" i="41" a="1"/>
  <c r="F123" i="11" a="1"/>
  <c r="O176" i="11" a="1"/>
  <c r="I115" i="11" a="1"/>
  <c r="E41" i="11" a="1"/>
  <c r="O163" i="11" a="1"/>
  <c r="S128" i="41" a="1"/>
  <c r="I103" i="41" a="1"/>
  <c r="M145" i="41" a="1"/>
  <c r="F92" i="11" a="1"/>
  <c r="I49" i="41" a="1"/>
  <c r="D193" i="11" a="1"/>
  <c r="F34" i="41" a="1"/>
  <c r="W196" i="11" a="1"/>
  <c r="O157" i="11" a="1"/>
  <c r="O188" i="11" a="1"/>
  <c r="S98" i="41" a="1"/>
  <c r="O41" i="41" a="1"/>
  <c r="I115" i="41" a="1"/>
  <c r="M51" i="11" a="1"/>
  <c r="Q66" i="11" a="1"/>
  <c r="S160" i="41" a="1"/>
  <c r="Q55" i="11" a="1"/>
  <c r="K192" i="11" a="1"/>
  <c r="M28" i="11" a="1"/>
  <c r="M151" i="11" a="1"/>
  <c r="E64" i="41" a="1"/>
  <c r="F177" i="11" a="1"/>
  <c r="U181" i="11" a="1"/>
  <c r="E147" i="41" a="1"/>
  <c r="K129" i="11" a="1"/>
  <c r="U169" i="11" a="1"/>
  <c r="S35" i="11" a="1"/>
  <c r="F83" i="41" a="1"/>
  <c r="S142" i="11" a="1"/>
  <c r="O71" i="11" a="1"/>
  <c r="K167" i="11" a="1"/>
  <c r="Q184" i="11" a="1"/>
  <c r="U37" i="11" a="1"/>
  <c r="I140" i="41" a="1"/>
  <c r="Q164" i="11" a="1"/>
  <c r="I96" i="11" a="1"/>
  <c r="Q95" i="11" a="1"/>
  <c r="I107" i="41" a="1"/>
  <c r="O109" i="41" a="1"/>
  <c r="F149" i="11" a="1"/>
  <c r="I52" i="41" a="1"/>
  <c r="M131" i="11" a="1"/>
  <c r="U174" i="11" a="1"/>
  <c r="M45" i="11" a="1"/>
  <c r="S127" i="41" a="1"/>
  <c r="K27" i="11" a="1"/>
  <c r="F165" i="11" a="1"/>
  <c r="K97" i="41" a="1"/>
  <c r="I116" i="41" a="1"/>
  <c r="S38" i="11" a="1"/>
  <c r="U58" i="11" a="1"/>
  <c r="I188" i="41" a="1"/>
  <c r="E60" i="41" a="1"/>
  <c r="M177" i="41" a="1"/>
  <c r="K130" i="41" a="1"/>
  <c r="O101" i="11" a="1"/>
  <c r="F166" i="11" a="1"/>
  <c r="Q121" i="41" a="1"/>
  <c r="M113" i="41" a="1"/>
  <c r="S144" i="41" a="1"/>
  <c r="S146" i="41" a="1"/>
  <c r="M114" i="41" a="1"/>
  <c r="F62" i="11" a="1"/>
  <c r="S136" i="11" a="1"/>
  <c r="Q125" i="41" a="1"/>
  <c r="M199" i="11" a="1"/>
  <c r="M161" i="41" a="1"/>
  <c r="K187" i="41" a="1"/>
  <c r="E48" i="41" a="1"/>
  <c r="U175" i="11" a="1"/>
  <c r="M59" i="41" a="1"/>
  <c r="K148" i="11" a="1"/>
  <c r="S26" i="41" a="1"/>
  <c r="E125" i="41" a="1"/>
  <c r="E140" i="41" a="1"/>
  <c r="S96" i="11" a="1"/>
  <c r="I45" i="11" a="1"/>
  <c r="E127" i="41" a="1"/>
  <c r="F38" i="11" a="1"/>
  <c r="E177" i="41" a="1"/>
  <c r="M157" i="41" a="1"/>
  <c r="K124" i="41" a="1"/>
  <c r="K53" i="11" a="1"/>
  <c r="M175" i="11" a="1"/>
  <c r="F131" i="11" a="1"/>
  <c r="Q27" i="11" a="1"/>
  <c r="M38" i="11" a="1"/>
  <c r="U179" i="11" a="1"/>
  <c r="E199" i="11" a="1"/>
  <c r="K166" i="41" a="1"/>
  <c r="S33" i="41" a="1"/>
  <c r="M87" i="41" a="1"/>
  <c r="O136" i="41" a="1"/>
  <c r="F183" i="11" a="1"/>
  <c r="F152" i="11" a="1"/>
  <c r="M164" i="41" a="1"/>
  <c r="E95" i="41" a="1"/>
  <c r="O104" i="11" a="1"/>
  <c r="K135" i="41" a="1"/>
  <c r="K43" i="41" a="1"/>
  <c r="M96" i="41" a="1"/>
  <c r="I84" i="11" a="1"/>
  <c r="S61" i="41" a="1"/>
  <c r="I149" i="41" a="1"/>
  <c r="O133" i="11" a="1"/>
  <c r="S93" i="41" a="1"/>
  <c r="M36" i="11" a="1"/>
  <c r="I33" i="11" a="1"/>
  <c r="O42" i="41" a="1"/>
  <c r="Q73" i="11" a="1"/>
  <c r="I62" i="41" a="1"/>
  <c r="Q124" i="11" a="1"/>
  <c r="E112" i="11" a="1"/>
  <c r="F55" i="41" a="1"/>
  <c r="S123" i="11" a="1"/>
  <c r="I176" i="11" a="1"/>
  <c r="K115" i="11" a="1"/>
  <c r="U41" i="11" a="1"/>
  <c r="Q163" i="11" a="1"/>
  <c r="E128" i="41" a="1"/>
  <c r="S145" i="41" a="1"/>
  <c r="O92" i="11" a="1"/>
  <c r="O49" i="41" a="1"/>
  <c r="Q172" i="41" a="1"/>
  <c r="F126" i="41" a="1"/>
  <c r="K34" i="41" a="1"/>
  <c r="M196" i="11" a="1"/>
  <c r="S157" i="11" a="1"/>
  <c r="U188" i="11" a="1"/>
  <c r="F81" i="11" a="1"/>
  <c r="Q105" i="41" a="1"/>
  <c r="E41" i="41" a="1"/>
  <c r="E69" i="11" a="1"/>
  <c r="M115" i="41" a="1"/>
  <c r="K51" i="11" a="1"/>
  <c r="Q160" i="41" a="1"/>
  <c r="W55" i="11" a="1"/>
  <c r="F100" i="41" a="1"/>
  <c r="O192" i="11" a="1"/>
  <c r="Q57" i="41" a="1"/>
  <c r="F151" i="11" a="1"/>
  <c r="Q64" i="41" a="1"/>
  <c r="O177" i="11" a="1"/>
  <c r="M125" i="11" a="1"/>
  <c r="F181" i="11" a="1"/>
  <c r="Q49" i="11" a="1"/>
  <c r="M64" i="11" a="1"/>
  <c r="O147" i="41" a="1"/>
  <c r="M35" i="11" a="1"/>
  <c r="O142" i="11" a="1"/>
  <c r="F39" i="41" a="1"/>
  <c r="S167" i="11" a="1"/>
  <c r="K140" i="41" a="1"/>
  <c r="O164" i="11" a="1"/>
  <c r="K96" i="11" a="1"/>
  <c r="K87" i="11" a="1"/>
  <c r="F95" i="11" a="1"/>
  <c r="F126" i="11" a="1"/>
  <c r="M109" i="41" a="1"/>
  <c r="O149" i="11" a="1"/>
  <c r="F52" i="41" a="1"/>
  <c r="E174" i="11" a="1"/>
  <c r="S45" i="11" a="1"/>
  <c r="F127" i="41" a="1"/>
  <c r="F27" i="11" a="1"/>
  <c r="E165" i="11" a="1"/>
  <c r="O97" i="41" a="1"/>
  <c r="S116" i="41" a="1"/>
  <c r="O38" i="11" a="1"/>
  <c r="E58" i="11" a="1"/>
  <c r="K188" i="41" a="1"/>
  <c r="K60" i="41" a="1"/>
  <c r="O177" i="41" a="1"/>
  <c r="O130" i="41" a="1"/>
  <c r="I101" i="11" a="1"/>
  <c r="M166" i="11" a="1"/>
  <c r="O121" i="41" a="1"/>
  <c r="O113" i="41" a="1"/>
  <c r="F144" i="41" a="1"/>
  <c r="F114" i="41" a="1"/>
  <c r="E62" i="11" a="1"/>
  <c r="O136" i="11" a="1"/>
  <c r="W53" i="11" a="1"/>
  <c r="I161" i="41" a="1"/>
  <c r="O187" i="41" a="1"/>
  <c r="O48" i="41" a="1"/>
  <c r="W175" i="11" a="1"/>
  <c r="O59" i="41" a="1"/>
  <c r="U148" i="11" a="1"/>
  <c r="M30" i="41" a="1"/>
  <c r="K81" i="11" a="1"/>
  <c r="M69" i="11" a="1"/>
  <c r="M100" i="41" a="1"/>
  <c r="E57" i="41" a="1"/>
  <c r="K49" i="11" a="1"/>
  <c r="I95" i="11" a="1"/>
  <c r="O174" i="11" a="1"/>
  <c r="F60" i="41" a="1"/>
  <c r="O144" i="41" a="1"/>
  <c r="U62" i="11" a="1"/>
  <c r="S161" i="41" a="1"/>
  <c r="K33" i="41" a="1"/>
  <c r="K48" i="41" a="1"/>
  <c r="Q99" i="41" a="1"/>
  <c r="I195" i="41" a="1"/>
  <c r="E124" i="41" a="1"/>
  <c r="S175" i="11" a="1"/>
  <c r="D194" i="41" a="1"/>
  <c r="U153" i="11" a="1"/>
  <c r="M130" i="11" a="1"/>
  <c r="K137" i="11" a="1"/>
  <c r="U141" i="11" a="1"/>
  <c r="I183" i="11" a="1"/>
  <c r="M152" i="11" a="1"/>
  <c r="O58" i="41" a="1"/>
  <c r="E164" i="41" a="1"/>
  <c r="F95" i="41" a="1"/>
  <c r="E104" i="11" a="1"/>
  <c r="M135" i="41" a="1"/>
  <c r="S43" i="41" a="1"/>
  <c r="S96" i="41" a="1"/>
  <c r="F61" i="41" a="1"/>
  <c r="F149" i="41" a="1"/>
  <c r="Q133" i="11" a="1"/>
  <c r="K42" i="11" a="1"/>
  <c r="E93" i="41" a="1"/>
  <c r="E36" i="11" a="1"/>
  <c r="F42" i="41" a="1"/>
  <c r="S73" i="11" a="1"/>
  <c r="M62" i="41" a="1"/>
  <c r="M30" i="11" a="1"/>
  <c r="M112" i="11" a="1"/>
  <c r="F162" i="11" a="1"/>
  <c r="E146" i="11" a="1"/>
  <c r="Q54" i="11" a="1"/>
  <c r="F130" i="11" a="1"/>
  <c r="I151" i="41" a="1"/>
  <c r="O141" i="11" a="1"/>
  <c r="E58" i="41" a="1"/>
  <c r="S95" i="41" a="1"/>
  <c r="F104" i="11" a="1"/>
  <c r="K96" i="41" a="1"/>
  <c r="E149" i="41" a="1"/>
  <c r="U83" i="11" a="1"/>
  <c r="W133" i="11" a="1"/>
  <c r="O57" i="11" a="1"/>
  <c r="W42" i="11" a="1"/>
  <c r="K93" i="41" a="1"/>
  <c r="U36" i="11" a="1"/>
  <c r="Q156" i="41" a="1"/>
  <c r="K73" i="11" a="1"/>
  <c r="F62" i="41" a="1"/>
  <c r="K30" i="11" a="1"/>
  <c r="E68" i="11" a="1"/>
  <c r="M123" i="11" a="1"/>
  <c r="U176" i="11" a="1"/>
  <c r="Q158" i="41" a="1"/>
  <c r="I163" i="11" a="1"/>
  <c r="Q29" i="11" a="1"/>
  <c r="S156" i="11" a="1"/>
  <c r="O128" i="41" a="1"/>
  <c r="M142" i="41" a="1"/>
  <c r="F145" i="41" a="1"/>
  <c r="S108" i="11" a="1"/>
  <c r="Q49" i="41" a="1"/>
  <c r="M198" i="11" a="1"/>
  <c r="K172" i="41" a="1"/>
  <c r="M53" i="41" a="1"/>
  <c r="M144" i="11" a="1"/>
  <c r="M126" i="41" a="1"/>
  <c r="K30" i="41" a="1"/>
  <c r="F196" i="11" a="1"/>
  <c r="K185" i="41" a="1"/>
  <c r="E188" i="11" a="1"/>
  <c r="W81" i="11" a="1"/>
  <c r="M105" i="41" a="1"/>
  <c r="S69" i="11" a="1"/>
  <c r="E115" i="41" a="1"/>
  <c r="U51" i="11" a="1"/>
  <c r="S114" i="11" a="1"/>
  <c r="E55" i="11" a="1"/>
  <c r="K100" i="41" a="1"/>
  <c r="I57" i="41" a="1"/>
  <c r="U132" i="11" a="1"/>
  <c r="O151" i="11" a="1"/>
  <c r="K64" i="41" a="1"/>
  <c r="U74" i="11" a="1"/>
  <c r="I125" i="11" a="1"/>
  <c r="Q181" i="11" a="1"/>
  <c r="I49" i="11" a="1"/>
  <c r="Q64" i="11" a="1"/>
  <c r="M191" i="11" a="1"/>
  <c r="Q35" i="11" a="1"/>
  <c r="F103" i="11" a="1"/>
  <c r="I71" i="11" a="1"/>
  <c r="M39" i="41" a="1"/>
  <c r="U167" i="11" a="1"/>
  <c r="O140" i="41" a="1"/>
  <c r="O160" i="11" a="1"/>
  <c r="I164" i="11" a="1"/>
  <c r="U96" i="11" a="1"/>
  <c r="E87" i="11" a="1"/>
  <c r="M95" i="11" a="1"/>
  <c r="M126" i="11" a="1"/>
  <c r="S109" i="41" a="1"/>
  <c r="I176" i="41" a="1"/>
  <c r="W65" i="11" a="1"/>
  <c r="K110" i="11" a="1"/>
  <c r="M149" i="11" a="1"/>
  <c r="F195" i="11" a="1"/>
  <c r="W174" i="11" a="1"/>
  <c r="Q45" i="11" a="1"/>
  <c r="O118" i="41" a="1"/>
  <c r="I27" i="11" a="1"/>
  <c r="K165" i="11" a="1"/>
  <c r="K116" i="41" a="1"/>
  <c r="U38" i="11" a="1"/>
  <c r="M58" i="11" a="1"/>
  <c r="I177" i="41" a="1"/>
  <c r="M101" i="11" a="1"/>
  <c r="Q166" i="11" a="1"/>
  <c r="S121" i="41" a="1"/>
  <c r="I157" i="41" a="1"/>
  <c r="K144" i="41" a="1"/>
  <c r="I124" i="41" a="1"/>
  <c r="S114" i="41" a="1"/>
  <c r="Q62" i="11" a="1"/>
  <c r="E53" i="11" a="1"/>
  <c r="K63" i="41" a="1"/>
  <c r="K125" i="41" a="1"/>
  <c r="Q166" i="41" a="1"/>
  <c r="E161" i="41" a="1"/>
  <c r="O33" i="41" a="1"/>
  <c r="Q187" i="41" a="1"/>
  <c r="S87" i="41" a="1"/>
  <c r="I184" i="41" a="1"/>
  <c r="I175" i="11" a="1"/>
  <c r="I59" i="41" a="1"/>
  <c r="Q82" i="41" a="1"/>
  <c r="I26" i="41" a="1"/>
  <c r="Q160" i="11" a="1"/>
  <c r="E138" i="41" a="1"/>
  <c r="K126" i="11" a="1"/>
  <c r="U65" i="11" a="1"/>
  <c r="U149" i="11" a="1"/>
  <c r="W195" i="11" a="1"/>
  <c r="Q75" i="11" a="1"/>
  <c r="I161" i="11" a="1"/>
  <c r="O27" i="11" a="1"/>
  <c r="K38" i="11" a="1"/>
  <c r="S179" i="11" a="1"/>
  <c r="F177" i="41" a="1"/>
  <c r="E157" i="41" a="1"/>
  <c r="Q124" i="41" a="1"/>
  <c r="F53" i="11" a="1"/>
  <c r="Q63" i="41" a="1"/>
  <c r="D199" i="11" a="1"/>
  <c r="Q184" i="41" a="1"/>
  <c r="E175" i="11" a="1"/>
  <c r="F82" i="41" a="1"/>
  <c r="Q65" i="11" a="1"/>
  <c r="S118" i="41" a="1"/>
  <c r="Q161" i="11" a="1"/>
  <c r="O123" i="41" a="1"/>
  <c r="O85" i="11" a="1"/>
  <c r="S76" i="41" a="1"/>
  <c r="Q173" i="11" a="1"/>
  <c r="S77" i="41" a="1"/>
  <c r="Q106" i="11" a="1"/>
  <c r="Q122" i="11" a="1"/>
  <c r="F141" i="11" a="1"/>
  <c r="O72" i="11" a="1"/>
  <c r="S100" i="11" a="1"/>
  <c r="O95" i="41" a="1"/>
  <c r="F185" i="11" a="1"/>
  <c r="I96" i="41" a="1"/>
  <c r="W77" i="11" a="1"/>
  <c r="K149" i="41" a="1"/>
  <c r="Q83" i="11" a="1"/>
  <c r="I133" i="11" a="1"/>
  <c r="Q57" i="11" a="1"/>
  <c r="S42" i="11" a="1"/>
  <c r="Q133" i="41" a="1"/>
  <c r="Q101" i="41" a="1"/>
  <c r="F36" i="11" a="1"/>
  <c r="F156" i="41" a="1"/>
  <c r="Q50" i="41" a="1"/>
  <c r="O73" i="11" a="1"/>
  <c r="U30" i="11" a="1"/>
  <c r="M68" i="11" a="1"/>
  <c r="I183" i="41" a="1"/>
  <c r="W176" i="11" a="1"/>
  <c r="E158" i="41" a="1"/>
  <c r="S29" i="11" a="1"/>
  <c r="F156" i="11" a="1"/>
  <c r="O142" i="41" a="1"/>
  <c r="F108" i="11" a="1"/>
  <c r="S198" i="11" a="1"/>
  <c r="F172" i="41" a="1"/>
  <c r="K53" i="41" a="1"/>
  <c r="S144" i="11" a="1"/>
  <c r="Q126" i="41" a="1"/>
  <c r="I30" i="41" a="1"/>
  <c r="U196" i="11" a="1"/>
  <c r="F185" i="41" a="1"/>
  <c r="M188" i="11" a="1"/>
  <c r="S81" i="11" a="1"/>
  <c r="E105" i="41" a="1"/>
  <c r="Q69" i="11" a="1"/>
  <c r="K116" i="11" a="1"/>
  <c r="Q115" i="41" a="1"/>
  <c r="E51" i="11" a="1"/>
  <c r="K114" i="11" a="1"/>
  <c r="S55" i="11" a="1"/>
  <c r="S100" i="41" a="1"/>
  <c r="U138" i="11" a="1"/>
  <c r="S57" i="41" a="1"/>
  <c r="W132" i="11" a="1"/>
  <c r="U151" i="11" a="1"/>
  <c r="S64" i="41" a="1"/>
  <c r="I74" i="11" a="1"/>
  <c r="W125" i="11" a="1"/>
  <c r="E181" i="11" a="1"/>
  <c r="W49" i="11" a="1"/>
  <c r="U64" i="11" a="1"/>
  <c r="W191" i="11" a="1"/>
  <c r="O35" i="11" a="1"/>
  <c r="W103" i="11" a="1"/>
  <c r="Q71" i="11" a="1"/>
  <c r="O39" i="41" a="1"/>
  <c r="S140" i="41" a="1"/>
  <c r="W160" i="11" a="1"/>
  <c r="F164" i="11" a="1"/>
  <c r="O87" i="11" a="1"/>
  <c r="S126" i="11" a="1"/>
  <c r="K109" i="41" a="1"/>
  <c r="F176" i="41" a="1"/>
  <c r="E65" i="11" a="1"/>
  <c r="M110" i="11" a="1"/>
  <c r="E149" i="11" a="1"/>
  <c r="K167" i="41" a="1"/>
  <c r="E195" i="11" a="1"/>
  <c r="K174" i="11" a="1"/>
  <c r="K45" i="11" a="1"/>
  <c r="K118" i="41" a="1"/>
  <c r="E75" i="11" a="1"/>
  <c r="F161" i="11" a="1"/>
  <c r="U27" i="11" a="1"/>
  <c r="W165" i="11" a="1"/>
  <c r="E38" i="11" a="1"/>
  <c r="K58" i="11" a="1"/>
  <c r="W179" i="11" a="1"/>
  <c r="S177" i="41" a="1"/>
  <c r="M88" i="41" a="1"/>
  <c r="U101" i="11" a="1"/>
  <c r="E195" i="41" a="1"/>
  <c r="E121" i="41" a="1"/>
  <c r="F124" i="41" a="1"/>
  <c r="E114" i="41" a="1"/>
  <c r="Q53" i="11" a="1"/>
  <c r="I63" i="41" a="1"/>
  <c r="K199" i="11" a="1"/>
  <c r="O166" i="41" a="1"/>
  <c r="O161" i="41" a="1"/>
  <c r="E187" i="41" a="1"/>
  <c r="K87" i="41" a="1"/>
  <c r="F184" i="41" a="1"/>
  <c r="F175" i="11" a="1"/>
  <c r="E59" i="41" a="1"/>
  <c r="I82" i="41" a="1"/>
  <c r="Q140" i="41" a="1"/>
  <c r="E164" i="11" a="1"/>
  <c r="M87" i="11" a="1"/>
  <c r="S176" i="41" a="1"/>
  <c r="I110" i="11" a="1"/>
  <c r="S167" i="41" a="1"/>
  <c r="S174" i="11" a="1"/>
  <c r="F45" i="11" a="1"/>
  <c r="I118" i="41" a="1"/>
  <c r="M165" i="11" a="1"/>
  <c r="I88" i="41" a="1"/>
  <c r="O195" i="41" a="1"/>
  <c r="F121" i="41" a="1"/>
  <c r="E123" i="41" a="1"/>
  <c r="E166" i="41" a="1"/>
  <c r="Q33" i="41" a="1"/>
  <c r="M195" i="11" a="1"/>
  <c r="S184" i="41" a="1"/>
  <c r="W79" i="11" a="1"/>
  <c r="F77" i="41" a="1"/>
  <c r="W120" i="11" a="1"/>
  <c r="I122" i="11" a="1"/>
  <c r="S72" i="11" a="1"/>
  <c r="M43" i="11" a="1"/>
  <c r="E100" i="11" a="1"/>
  <c r="K95" i="41" a="1"/>
  <c r="I106" i="41" a="1"/>
  <c r="I185" i="11" a="1"/>
  <c r="E77" i="11" a="1"/>
  <c r="M83" i="11" a="1"/>
  <c r="K57" i="11" a="1"/>
  <c r="E133" i="41" a="1"/>
  <c r="W36" i="11" a="1"/>
  <c r="I181" i="41" a="1"/>
  <c r="O156" i="41" a="1"/>
  <c r="I50" i="41" a="1"/>
  <c r="W73" i="11" a="1"/>
  <c r="E30" i="11" a="1"/>
  <c r="S68" i="11" a="1"/>
  <c r="O183" i="41" a="1"/>
  <c r="M129" i="41" a="1"/>
  <c r="M176" i="11" a="1"/>
  <c r="K158" i="41" a="1"/>
  <c r="M29" i="11" a="1"/>
  <c r="M156" i="11" a="1"/>
  <c r="F36" i="41" a="1"/>
  <c r="S142" i="41" a="1"/>
  <c r="W108" i="11" a="1"/>
  <c r="M150" i="11" a="1"/>
  <c r="O198" i="11" a="1"/>
  <c r="K170" i="41" a="1"/>
  <c r="S53" i="41" a="1"/>
  <c r="F144" i="11" a="1"/>
  <c r="S126" i="41" a="1"/>
  <c r="K168" i="41" a="1"/>
  <c r="E185" i="41" a="1"/>
  <c r="O174" i="41" a="1"/>
  <c r="O81" i="11" a="1"/>
  <c r="I105" i="41" a="1"/>
  <c r="I128" i="11" a="1"/>
  <c r="U69" i="11" a="1"/>
  <c r="U116" i="11" a="1"/>
  <c r="S51" i="11" a="1"/>
  <c r="W114" i="11" a="1"/>
  <c r="M55" i="11" a="1"/>
  <c r="I138" i="11" a="1"/>
  <c r="E132" i="11" a="1"/>
  <c r="I151" i="11" a="1"/>
  <c r="O64" i="41" a="1"/>
  <c r="E74" i="11" a="1"/>
  <c r="S125" i="11" a="1"/>
  <c r="E49" i="11" a="1"/>
  <c r="K64" i="11" a="1"/>
  <c r="M26" i="11" a="1"/>
  <c r="E191" i="11" a="1"/>
  <c r="U154" i="11" a="1"/>
  <c r="K103" i="11" a="1"/>
  <c r="W71" i="11" a="1"/>
  <c r="Q39" i="41" a="1"/>
  <c r="M184" i="11" a="1"/>
  <c r="Q37" i="11" a="1"/>
  <c r="W145" i="11" a="1"/>
  <c r="W76" i="11" a="1"/>
  <c r="O120" i="11" a="1"/>
  <c r="U122" i="11" a="1"/>
  <c r="F47" i="41" a="1"/>
  <c r="M72" i="11" a="1"/>
  <c r="Q43" i="11" a="1"/>
  <c r="K100" i="11" a="1"/>
  <c r="S106" i="41" a="1"/>
  <c r="S185" i="11" a="1"/>
  <c r="U77" i="11" a="1"/>
  <c r="F83" i="11" a="1"/>
  <c r="O172" i="11" a="1"/>
  <c r="I133" i="41" a="1"/>
  <c r="O101" i="41" a="1"/>
  <c r="Q36" i="11" a="1"/>
  <c r="E181" i="41" a="1"/>
  <c r="M156" i="41" a="1"/>
  <c r="S50" i="41" a="1"/>
  <c r="E73" i="11" a="1"/>
  <c r="W30" i="11" a="1"/>
  <c r="W68" i="11" a="1"/>
  <c r="I110" i="41" a="1"/>
  <c r="M183" i="41" a="1"/>
  <c r="F129" i="41" a="1"/>
  <c r="S31" i="41" a="1"/>
  <c r="M158" i="41" a="1"/>
  <c r="O29" i="11" a="1"/>
  <c r="O156" i="11" a="1"/>
  <c r="Q36" i="41" a="1"/>
  <c r="Q142" i="41" a="1"/>
  <c r="O108" i="11" a="1"/>
  <c r="U150" i="11" a="1"/>
  <c r="F198" i="11" a="1"/>
  <c r="M170" i="41" a="1"/>
  <c r="I143" i="41" a="1"/>
  <c r="E131" i="41" a="1"/>
  <c r="W193" i="11" a="1"/>
  <c r="U144" i="11" a="1"/>
  <c r="E126" i="41" a="1"/>
  <c r="S168" i="41" a="1"/>
  <c r="O185" i="41" a="1"/>
  <c r="S70" i="41" a="1"/>
  <c r="F174" i="41" a="1"/>
  <c r="M81" i="11" a="1"/>
  <c r="K105" i="41" a="1"/>
  <c r="Q128" i="11" a="1"/>
  <c r="K69" i="11" a="1"/>
  <c r="F116" i="11" a="1"/>
  <c r="U114" i="11" a="1"/>
  <c r="S119" i="11" a="1"/>
  <c r="S138" i="11" a="1"/>
  <c r="K28" i="11" a="1"/>
  <c r="O132" i="11" a="1"/>
  <c r="W151" i="11" a="1"/>
  <c r="F74" i="11" a="1"/>
  <c r="U125" i="11" a="1"/>
  <c r="K61" i="11" a="1"/>
  <c r="S49" i="11" a="1"/>
  <c r="W64" i="11" a="1"/>
  <c r="K26" i="11" a="1"/>
  <c r="S191" i="11" a="1"/>
  <c r="K169" i="11" a="1"/>
  <c r="E154" i="11" a="1"/>
  <c r="S103" i="11" a="1"/>
  <c r="E71" i="11" a="1"/>
  <c r="E39" i="41" a="1"/>
  <c r="K184" i="11" a="1"/>
  <c r="M37" i="11" a="1"/>
  <c r="I145" i="11" a="1"/>
  <c r="F140" i="41" a="1"/>
  <c r="M160" i="11" a="1"/>
  <c r="W164" i="11" a="1"/>
  <c r="K138" i="41" a="1"/>
  <c r="S87" i="11" a="1"/>
  <c r="Q126" i="11" a="1"/>
  <c r="Q176" i="41" a="1"/>
  <c r="F171" i="11" a="1"/>
  <c r="K78" i="41" a="1"/>
  <c r="K120" i="11" a="1"/>
  <c r="O47" i="41" a="1"/>
  <c r="W56" i="11" a="1"/>
  <c r="F43" i="11" a="1"/>
  <c r="W100" i="11" a="1"/>
  <c r="O106" i="41" a="1"/>
  <c r="F65" i="41" a="1"/>
  <c r="I77" i="11" a="1"/>
  <c r="O83" i="11" a="1"/>
  <c r="W172" i="11" a="1"/>
  <c r="O133" i="41" a="1"/>
  <c r="K181" i="41" a="1"/>
  <c r="E50" i="41" a="1"/>
  <c r="K68" i="11" a="1"/>
  <c r="K110" i="41" a="1"/>
  <c r="Q183" i="41" a="1"/>
  <c r="S129" i="41" a="1"/>
  <c r="I31" i="41" a="1"/>
  <c r="F115" i="11" a="1"/>
  <c r="I158" i="41" a="1"/>
  <c r="I29" i="11" a="1"/>
  <c r="U156" i="11" a="1"/>
  <c r="S36" i="41" a="1"/>
  <c r="M108" i="11" a="1"/>
  <c r="I150" i="11" a="1"/>
  <c r="W198" i="11" a="1"/>
  <c r="E170" i="41" a="1"/>
  <c r="O143" i="41" a="1"/>
  <c r="Q131" i="41" a="1"/>
  <c r="F193" i="11" a="1"/>
  <c r="Q144" i="11" a="1"/>
  <c r="Q185" i="41" a="1"/>
  <c r="Q70" i="41" a="1"/>
  <c r="K174" i="41" a="1"/>
  <c r="O128" i="11" a="1"/>
  <c r="W66" i="11" a="1"/>
  <c r="M114" i="11" a="1"/>
  <c r="U119" i="11" a="1"/>
  <c r="K138" i="11" a="1"/>
  <c r="S28" i="11" a="1"/>
  <c r="S132" i="11" a="1"/>
  <c r="U177" i="11" a="1"/>
  <c r="M74" i="11" a="1"/>
  <c r="E125" i="11" a="1"/>
  <c r="M61" i="11" a="1"/>
  <c r="M129" i="11" a="1"/>
  <c r="W26" i="11" a="1"/>
  <c r="D191" i="11" a="1"/>
  <c r="Q169" i="11" a="1"/>
  <c r="W154" i="11" a="1"/>
  <c r="U103" i="11" a="1"/>
  <c r="F71" i="11" a="1"/>
  <c r="I184" i="11" a="1"/>
  <c r="W37" i="11" a="1"/>
  <c r="O145" i="11" a="1"/>
  <c r="I160" i="11" a="1"/>
  <c r="K164" i="11" a="1"/>
  <c r="O138" i="41" a="1"/>
  <c r="Q87" i="11" a="1"/>
  <c r="O107" i="41" a="1"/>
  <c r="E175" i="41" a="1"/>
  <c r="O126" i="11" a="1"/>
  <c r="M176" i="41" a="1"/>
  <c r="M65" i="11" a="1"/>
  <c r="U110" i="11" a="1"/>
  <c r="W149" i="11" a="1"/>
  <c r="Q167" i="41" a="1"/>
  <c r="O195" i="11" a="1"/>
  <c r="I131" i="11" a="1"/>
  <c r="F118" i="41" a="1"/>
  <c r="I75" i="11" a="1"/>
  <c r="M161" i="11" a="1"/>
  <c r="E27" i="11" a="1"/>
  <c r="E97" i="41" a="1"/>
  <c r="Q38" i="11" a="1"/>
  <c r="O99" i="41" a="1"/>
  <c r="M179" i="11" a="1"/>
  <c r="K177" i="41" a="1"/>
  <c r="K88" i="41" a="1"/>
  <c r="S195" i="41" a="1"/>
  <c r="I113" i="41" a="1"/>
  <c r="K157" i="41" a="1"/>
  <c r="F146" i="41" a="1"/>
  <c r="M124" i="41" a="1"/>
  <c r="Q136" i="11" a="1"/>
  <c r="U53" i="11" a="1"/>
  <c r="F63" i="41" a="1"/>
  <c r="I199" i="11" a="1"/>
  <c r="F123" i="41" a="1"/>
  <c r="S166" i="41" a="1"/>
  <c r="I33" i="41" a="1"/>
  <c r="F87" i="41" a="1"/>
  <c r="O184" i="41" a="1"/>
  <c r="Q175" i="11" a="1"/>
  <c r="F148" i="11" a="1"/>
  <c r="E82" i="41" a="1"/>
  <c r="M116" i="41" a="1"/>
  <c r="W166" i="11" a="1"/>
  <c r="M144" i="41" a="1"/>
  <c r="I114" i="41" a="1"/>
  <c r="U199" i="11" a="1"/>
  <c r="O175" i="11" a="1"/>
  <c r="E55" i="41" a="1"/>
  <c r="E163" i="11" a="1"/>
  <c r="I156" i="11" a="1"/>
  <c r="I142" i="41" a="1"/>
  <c r="Q114" i="11" a="1"/>
  <c r="K125" i="11" a="1"/>
  <c r="I64" i="11" a="1"/>
  <c r="I191" i="11" a="1"/>
  <c r="F35" i="11" a="1"/>
  <c r="M142" i="11" a="1"/>
  <c r="K71" i="11" a="1"/>
  <c r="I149" i="11" a="1"/>
  <c r="W27" i="11" a="1"/>
  <c r="O165" i="11" a="1"/>
  <c r="O188" i="41" a="1"/>
  <c r="F101" i="11" a="1"/>
  <c r="O114" i="41" a="1"/>
  <c r="K136" i="11" a="1"/>
  <c r="M167" i="41" a="1"/>
  <c r="O157" i="41" a="1"/>
  <c r="I53" i="11" a="1"/>
  <c r="S63" i="41" a="1"/>
  <c r="O82" i="41" a="1"/>
  <c r="O44" i="11" a="1"/>
  <c r="E169" i="41" a="1"/>
  <c r="O39" i="11" a="1"/>
  <c r="Q82" i="11" a="1"/>
  <c r="K56" i="11" a="1"/>
  <c r="O104" i="41" a="1"/>
  <c r="I43" i="11" a="1"/>
  <c r="U100" i="11" a="1"/>
  <c r="K106" i="41" a="1"/>
  <c r="F134" i="41" a="1"/>
  <c r="K65" i="41" a="1"/>
  <c r="Q77" i="11" a="1"/>
  <c r="F172" i="11" a="1"/>
  <c r="S108" i="41" a="1"/>
  <c r="Q194" i="11" a="1"/>
  <c r="K33" i="11" a="1"/>
  <c r="U187" i="11" a="1"/>
  <c r="M50" i="41" a="1"/>
  <c r="O85" i="41" a="1"/>
  <c r="O110" i="41" a="1"/>
  <c r="K183" i="41" a="1"/>
  <c r="I129" i="41" a="1"/>
  <c r="K31" i="41" a="1"/>
  <c r="M115" i="11" a="1"/>
  <c r="S158" i="41" a="1"/>
  <c r="O36" i="41" a="1"/>
  <c r="S92" i="11" a="1"/>
  <c r="Q108" i="11" a="1"/>
  <c r="O150" i="11" a="1"/>
  <c r="K198" i="11" a="1"/>
  <c r="Q170" i="41" a="1"/>
  <c r="Q143" i="41" a="1"/>
  <c r="S131" i="41" a="1"/>
  <c r="K193" i="11" a="1"/>
  <c r="W144" i="11" a="1"/>
  <c r="I34" i="41" a="1"/>
  <c r="M168" i="41" a="1"/>
  <c r="M70" i="41" a="1"/>
  <c r="I174" i="41" a="1"/>
  <c r="I148" i="41" a="1"/>
  <c r="S41" i="41" a="1"/>
  <c r="K128" i="11" a="1"/>
  <c r="I116" i="11" a="1"/>
  <c r="F66" i="11" a="1"/>
  <c r="F119" i="11" a="1"/>
  <c r="M192" i="11" a="1"/>
  <c r="F138" i="11" a="1"/>
  <c r="I28" i="11" a="1"/>
  <c r="F132" i="11" a="1"/>
  <c r="K177" i="11" a="1"/>
  <c r="K74" i="11" a="1"/>
  <c r="O125" i="11" a="1"/>
  <c r="F61" i="11" a="1"/>
  <c r="Q182" i="41" a="1"/>
  <c r="I129" i="11" a="1"/>
  <c r="Q26" i="11" a="1"/>
  <c r="U191" i="11" a="1"/>
  <c r="F154" i="11" a="1"/>
  <c r="U142" i="11" a="1"/>
  <c r="I167" i="11" a="1"/>
  <c r="W184" i="11" a="1"/>
  <c r="K37" i="11" a="1"/>
  <c r="Q145" i="11" a="1"/>
  <c r="E160" i="11" a="1"/>
  <c r="I138" i="41" a="1"/>
  <c r="F107" i="41" a="1"/>
  <c r="Q175" i="41" a="1"/>
  <c r="K176" i="41" a="1"/>
  <c r="K65" i="11" a="1"/>
  <c r="E110" i="11" a="1"/>
  <c r="F167" i="41" a="1"/>
  <c r="D195" i="11" a="1"/>
  <c r="S131" i="11" a="1"/>
  <c r="U75" i="11" a="1"/>
  <c r="K161" i="11" a="1"/>
  <c r="I99" i="41" a="1"/>
  <c r="E179" i="11" a="1"/>
  <c r="O88" i="41" a="1"/>
  <c r="I166" i="11" a="1"/>
  <c r="M195" i="41" a="1"/>
  <c r="E113" i="41" a="1"/>
  <c r="S157" i="41" a="1"/>
  <c r="M146" i="41" a="1"/>
  <c r="S124" i="41" a="1"/>
  <c r="K62" i="11" a="1"/>
  <c r="I136" i="11" a="1"/>
  <c r="O53" i="11" a="1"/>
  <c r="M63" i="41" a="1"/>
  <c r="F199" i="11" a="1"/>
  <c r="K123" i="41" a="1"/>
  <c r="I166" i="41" a="1"/>
  <c r="M33" i="41" a="1"/>
  <c r="E87" i="41" a="1"/>
  <c r="E184" i="41" a="1"/>
  <c r="K175" i="11" a="1"/>
  <c r="E148" i="11" a="1"/>
  <c r="S82" i="41" a="1"/>
  <c r="E45" i="11" a="1"/>
  <c r="K75" i="11" a="1"/>
  <c r="I58" i="11" a="1"/>
  <c r="Q188" i="41" a="1"/>
  <c r="K113" i="41" a="1"/>
  <c r="F125" i="41" a="1"/>
  <c r="K161" i="41" a="1"/>
  <c r="I187" i="41" a="1"/>
  <c r="F59" i="41" a="1"/>
  <c r="U123" i="11" a="1"/>
  <c r="K41" i="11" a="1"/>
  <c r="U29" i="11" a="1"/>
  <c r="M128" i="41" a="1"/>
  <c r="F188" i="11" a="1"/>
  <c r="Q151" i="11" a="1"/>
  <c r="I39" i="41" a="1"/>
  <c r="K160" i="11" a="1"/>
  <c r="U87" i="11" a="1"/>
  <c r="Q109" i="41" a="1"/>
  <c r="F65" i="11" a="1"/>
  <c r="F116" i="41" a="1"/>
  <c r="Q58" i="11" a="1"/>
  <c r="K121" i="41" a="1"/>
  <c r="S149" i="11" a="1"/>
  <c r="O75" i="11" a="1"/>
  <c r="Q165" i="11" a="1"/>
  <c r="F168" i="11" a="1"/>
  <c r="M71" i="41" a="1"/>
  <c r="K169" i="41" a="1"/>
  <c r="W39" i="11" a="1"/>
  <c r="M173" i="41" a="1"/>
  <c r="E143" i="11" a="1"/>
  <c r="O82" i="11" a="1"/>
  <c r="S56" i="11" a="1"/>
  <c r="K104" i="41" a="1"/>
  <c r="E106" i="41" a="1"/>
  <c r="E134" i="41" a="1"/>
  <c r="I65" i="41" a="1"/>
  <c r="O113" i="11" a="1"/>
  <c r="M108" i="41" a="1"/>
  <c r="O194" i="11" a="1"/>
  <c r="M33" i="11" a="1"/>
  <c r="K187" i="11" a="1"/>
  <c r="K85" i="41" a="1"/>
  <c r="E124" i="11" a="1"/>
  <c r="I55" i="41" a="1"/>
  <c r="E129" i="41" a="1"/>
  <c r="M31" i="41" a="1"/>
  <c r="U115" i="11" a="1"/>
  <c r="Q128" i="41" a="1"/>
  <c r="M92" i="11" a="1"/>
  <c r="K150" i="11" a="1"/>
  <c r="D198" i="11" a="1"/>
  <c r="F143" i="41" a="1"/>
  <c r="M131" i="41" a="1"/>
  <c r="M193" i="11" a="1"/>
  <c r="O34" i="41" a="1"/>
  <c r="Q168" i="41" a="1"/>
  <c r="W157" i="11" a="1"/>
  <c r="E70" i="41" a="1"/>
  <c r="O98" i="41" a="1"/>
  <c r="E148" i="41" a="1"/>
  <c r="M41" i="41" a="1"/>
  <c r="E128" i="11" a="1"/>
  <c r="S116" i="11" a="1"/>
  <c r="K66" i="11" a="1"/>
  <c r="E160" i="41" a="1"/>
  <c r="K119" i="11" a="1"/>
  <c r="D192" i="11" a="1"/>
  <c r="W138" i="11" a="1"/>
  <c r="F28" i="11" a="1"/>
  <c r="I132" i="11" a="1"/>
  <c r="I177" i="11" a="1"/>
  <c r="I61" i="11" a="1"/>
  <c r="K182" i="41" a="1"/>
  <c r="W129" i="11" a="1"/>
  <c r="E26" i="11" a="1"/>
  <c r="O169" i="11" a="1"/>
  <c r="M154" i="11" a="1"/>
  <c r="M83" i="41" a="1"/>
  <c r="F167" i="11" a="1"/>
  <c r="F184" i="11" a="1"/>
  <c r="F37" i="11" a="1"/>
  <c r="E145" i="11" a="1"/>
  <c r="Q96" i="11" a="1"/>
  <c r="M138" i="41" a="1"/>
  <c r="K95" i="11" a="1"/>
  <c r="E107" i="41" a="1"/>
  <c r="I175" i="41" a="1"/>
  <c r="O176" i="41" a="1"/>
  <c r="S65" i="11" a="1"/>
  <c r="F110" i="11" a="1"/>
  <c r="E52" i="41" a="1"/>
  <c r="S195" i="11" a="1"/>
  <c r="W131" i="11" a="1"/>
  <c r="K127" i="41" a="1"/>
  <c r="W75" i="11" a="1"/>
  <c r="S161" i="11" a="1"/>
  <c r="F97" i="41" a="1"/>
  <c r="S58" i="11" a="1"/>
  <c r="E99" i="41" a="1"/>
  <c r="E188" i="41" a="1"/>
  <c r="K179" i="11" a="1"/>
  <c r="Q130" i="41" a="1"/>
  <c r="K166" i="11" a="1"/>
  <c r="Q195" i="41" a="1"/>
  <c r="Q113" i="41" a="1"/>
  <c r="F157" i="41" a="1"/>
  <c r="Q146" i="41" a="1"/>
  <c r="O124" i="41" a="1"/>
  <c r="S62" i="11" a="1"/>
  <c r="F136" i="11" a="1"/>
  <c r="Q199" i="11" a="1"/>
  <c r="S123" i="41" a="1"/>
  <c r="F33" i="41" a="1"/>
  <c r="S48" i="41" a="1"/>
  <c r="I87" i="41" a="1"/>
  <c r="K184" i="41" a="1"/>
  <c r="O148" i="11" a="1"/>
  <c r="K101" i="11" a="1"/>
  <c r="K146" i="41" a="1"/>
  <c r="O62" i="11" a="1"/>
  <c r="I48" i="41" a="1"/>
  <c r="K26" i="41" a="1"/>
  <c r="O172" i="41" a="1"/>
  <c r="E144" i="11" a="1"/>
  <c r="I51" i="11" a="1"/>
  <c r="U55" i="11" a="1"/>
  <c r="M181" i="11" a="1"/>
  <c r="M103" i="11" a="1"/>
  <c r="F187" i="41" a="1"/>
  <c r="M26" i="41" a="1"/>
  <c r="Q177" i="41" a="1"/>
  <c r="S75" i="41" a="1"/>
  <c r="K173" i="41" a="1"/>
  <c r="F143" i="11" a="1"/>
  <c r="I56" i="11" a="1"/>
  <c r="I164" i="41" a="1"/>
  <c r="M65" i="41" a="1"/>
  <c r="K84" i="11" a="1"/>
  <c r="E113" i="11" a="1"/>
  <c r="Q81" i="41" a="1"/>
  <c r="I108" i="41" a="1"/>
  <c r="I194" i="11" a="1"/>
  <c r="W33" i="11" a="1"/>
  <c r="E187" i="11" a="1"/>
  <c r="K42" i="41" a="1"/>
  <c r="E85" i="41" a="1"/>
  <c r="I124" i="11" a="1"/>
  <c r="K112" i="11" a="1"/>
  <c r="Q55" i="41" a="1"/>
  <c r="O123" i="11" a="1"/>
  <c r="O129" i="41" a="1"/>
  <c r="E176" i="11" a="1"/>
  <c r="W115" i="11" a="1"/>
  <c r="Q41" i="11" a="1"/>
  <c r="F163" i="11" a="1"/>
  <c r="F128" i="41" a="1"/>
  <c r="E103" i="41" a="1"/>
  <c r="Q92" i="11" a="1"/>
  <c r="K49" i="41" a="1"/>
  <c r="E150" i="11" a="1"/>
  <c r="E143" i="41" a="1"/>
  <c r="Q193" i="11" a="1"/>
  <c r="Q34" i="41" a="1"/>
  <c r="I196" i="11" a="1"/>
  <c r="K157" i="11" a="1"/>
  <c r="Q98" i="41" a="1"/>
  <c r="O148" i="41" a="1"/>
  <c r="F41" i="41" a="1"/>
  <c r="W128" i="11" a="1"/>
  <c r="E116" i="11" a="1"/>
  <c r="O66" i="11" a="1"/>
  <c r="F160" i="41" a="1"/>
  <c r="M119" i="11" a="1"/>
  <c r="O55" i="11" a="1"/>
  <c r="I192" i="11" a="1"/>
  <c r="O28" i="11" a="1"/>
  <c r="M64" i="41" a="1"/>
  <c r="S177" i="11" a="1"/>
  <c r="S181" i="11" a="1"/>
  <c r="E61" i="11" a="1"/>
  <c r="I182" i="41" a="1"/>
  <c r="F129" i="11" a="1"/>
  <c r="I26" i="11" a="1"/>
  <c r="S169" i="11" a="1"/>
  <c r="O154" i="11" a="1"/>
  <c r="Q83" i="41" a="1"/>
  <c r="Q142" i="11" a="1"/>
  <c r="Q167" i="11" a="1"/>
  <c r="O184" i="11" a="1"/>
  <c r="O37" i="11" a="1"/>
  <c r="M145" i="11" a="1"/>
  <c r="O96" i="11" a="1"/>
  <c r="W95" i="11" a="1"/>
  <c r="M107" i="41" a="1"/>
  <c r="F175" i="41" a="1"/>
  <c r="I65" i="11" a="1"/>
  <c r="Q110" i="11" a="1"/>
  <c r="K149" i="11" a="1"/>
  <c r="K52" i="41" a="1"/>
  <c r="Q195" i="11" a="1"/>
  <c r="O131" i="11" a="1"/>
  <c r="M174" i="11" a="1"/>
  <c r="O45" i="11" a="1"/>
  <c r="I127" i="41" a="1"/>
  <c r="M75" i="11" a="1"/>
  <c r="U161" i="11" a="1"/>
  <c r="S97" i="41" a="1"/>
  <c r="W58" i="11" a="1"/>
  <c r="F99" i="41" a="1"/>
  <c r="M188" i="41" a="1"/>
  <c r="O179" i="11" a="1"/>
  <c r="S60" i="41" a="1"/>
  <c r="S130" i="41" a="1"/>
  <c r="S101" i="11" a="1"/>
  <c r="S113" i="41" a="1"/>
  <c r="E144" i="41" a="1"/>
  <c r="O146" i="41" a="1"/>
  <c r="W62" i="11" a="1"/>
  <c r="U136" i="11" a="1"/>
  <c r="M125" i="41" a="1"/>
  <c r="S199" i="11" a="1"/>
  <c r="I123" i="41" a="1"/>
  <c r="F161" i="41" a="1"/>
  <c r="M48" i="41" a="1"/>
  <c r="O87" i="41" a="1"/>
  <c r="Q59" i="41" a="1"/>
  <c r="W148" i="11" a="1"/>
  <c r="Q26" i="41" a="1"/>
  <c r="Q127" i="41" a="1"/>
  <c r="F179" i="11" a="1"/>
  <c r="S148" i="11" a="1"/>
  <c r="F176" i="11" a="1"/>
  <c r="I53" i="41" a="1"/>
  <c r="O126" i="41" a="1"/>
  <c r="K196" i="11" a="1"/>
  <c r="O105" i="41" a="1"/>
  <c r="S192" i="11" a="1"/>
  <c r="K132" i="11" a="1"/>
  <c r="F64" i="41" a="1"/>
  <c r="W167" i="11" a="1"/>
  <c r="U126" i="11" a="1"/>
  <c r="O52" i="41" a="1"/>
  <c r="E166" i="11" a="1"/>
  <c r="O125" i="41" a="1"/>
  <c r="S110" i="11" a="1"/>
  <c r="F88" i="41" a="1"/>
  <c r="F47" i="11" a="1"/>
  <c r="F27" i="41" a="1"/>
  <c r="I132" i="41" a="1"/>
  <c r="E173" i="41" a="1"/>
  <c r="O143" i="11" a="1"/>
  <c r="O164" i="41" a="1"/>
  <c r="Q135" i="41" a="1"/>
  <c r="F43" i="41" a="1"/>
  <c r="E84" i="11" a="1"/>
  <c r="M113" i="11" a="1"/>
  <c r="I81" i="41" a="1"/>
  <c r="K108" i="41" a="1"/>
  <c r="S194" i="11" a="1"/>
  <c r="Q33" i="11" a="1"/>
  <c r="M187" i="11" a="1"/>
  <c r="E42" i="41" a="1"/>
  <c r="K62" i="41" a="1"/>
  <c r="U124" i="11" a="1"/>
  <c r="I112" i="11" a="1"/>
  <c r="K55" i="41" a="1"/>
  <c r="K123" i="11" a="1"/>
  <c r="E115" i="11" a="1"/>
  <c r="W41" i="11" a="1"/>
  <c r="U163" i="11" a="1"/>
  <c r="K128" i="41" a="1"/>
  <c r="M103" i="41" a="1"/>
  <c r="E145" i="41" a="1"/>
  <c r="E92" i="11" a="1"/>
  <c r="E49" i="41" a="1"/>
  <c r="Q150" i="11" a="1"/>
  <c r="M143" i="41" a="1"/>
  <c r="E193" i="11" a="1"/>
  <c r="M34" i="41" a="1"/>
  <c r="E196" i="11" a="1"/>
  <c r="I157" i="11" a="1"/>
  <c r="Q188" i="11" a="1"/>
  <c r="I98" i="41" a="1"/>
  <c r="K148" i="41" a="1"/>
  <c r="Q41" i="41" a="1"/>
  <c r="M128" i="11" a="1"/>
  <c r="S66" i="11" a="1"/>
  <c r="O160" i="41" a="1"/>
  <c r="Q119" i="11" a="1"/>
  <c r="F55" i="11" a="1"/>
  <c r="U192" i="11" a="1"/>
  <c r="U28" i="11" a="1"/>
  <c r="S151" i="11" a="1"/>
  <c r="I64" i="41" a="1"/>
  <c r="M177" i="11" a="1"/>
  <c r="O181" i="11" a="1"/>
  <c r="O61" i="11" a="1"/>
  <c r="O182" i="41" a="1"/>
  <c r="I147" i="41" a="1"/>
  <c r="E129" i="11" a="1"/>
  <c r="I169" i="11" a="1"/>
  <c r="W35" i="11" a="1"/>
  <c r="K83" i="41" a="1"/>
  <c r="W142" i="11" a="1"/>
  <c r="O167" i="11" a="1"/>
  <c r="E184" i="11" a="1"/>
  <c r="I37" i="11" a="1"/>
  <c r="M96" i="11" a="1"/>
  <c r="S95" i="11" a="1"/>
  <c r="S107" i="41" a="1"/>
  <c r="K175" i="41" a="1"/>
  <c r="Q52" i="41" a="1"/>
  <c r="Q131" i="11" a="1"/>
  <c r="I174" i="11" a="1"/>
  <c r="M97" i="41" a="1"/>
  <c r="W38" i="11" a="1"/>
  <c r="M60" i="41" a="1"/>
  <c r="M130" i="41" a="1"/>
  <c r="M121" i="41" a="1"/>
  <c r="W136" i="11" a="1"/>
  <c r="O26" i="41" a="1"/>
  <c r="Q145" i="41" a="1"/>
  <c r="F49" i="41" a="1"/>
  <c r="E157" i="11" a="1"/>
  <c r="K41" i="41" a="1"/>
  <c r="K115" i="41" a="1"/>
  <c r="F147" i="41" a="1"/>
  <c r="I130" i="41" a="1"/>
  <c r="K59" i="41" a="1"/>
  <c r="I148" i="11" a="1"/>
  <c r="I148" i="11" l="1"/>
  <c r="K59" i="41"/>
  <c r="I130" i="41"/>
  <c r="F147" i="41"/>
  <c r="K115" i="41"/>
  <c r="K41" i="41"/>
  <c r="E157" i="11"/>
  <c r="F49" i="41"/>
  <c r="Q145" i="41"/>
  <c r="O26" i="41"/>
  <c r="W136" i="11"/>
  <c r="M121" i="41"/>
  <c r="M130" i="41"/>
  <c r="M60" i="41"/>
  <c r="W38" i="11"/>
  <c r="M97" i="41"/>
  <c r="I174" i="11"/>
  <c r="Q131" i="11"/>
  <c r="Q52" i="41"/>
  <c r="K175" i="41"/>
  <c r="S107" i="41"/>
  <c r="S95" i="11"/>
  <c r="M96" i="11"/>
  <c r="I37" i="11"/>
  <c r="E184" i="11"/>
  <c r="O167" i="11"/>
  <c r="W142" i="11"/>
  <c r="K83" i="41"/>
  <c r="W35" i="11"/>
  <c r="I169" i="11"/>
  <c r="E129" i="11"/>
  <c r="I147" i="41"/>
  <c r="O182" i="41"/>
  <c r="O61" i="11"/>
  <c r="O181" i="11"/>
  <c r="M177" i="11"/>
  <c r="I64" i="41"/>
  <c r="S151" i="11"/>
  <c r="U28" i="11"/>
  <c r="U192" i="11"/>
  <c r="F55" i="11"/>
  <c r="Q119" i="11"/>
  <c r="O160" i="41"/>
  <c r="S66" i="11"/>
  <c r="M128" i="11"/>
  <c r="Q41" i="41"/>
  <c r="K148" i="41"/>
  <c r="I98" i="41"/>
  <c r="Q188" i="11"/>
  <c r="I157" i="11"/>
  <c r="E196" i="11"/>
  <c r="M34" i="41"/>
  <c r="E193" i="11"/>
  <c r="M143" i="41"/>
  <c r="Q150" i="11"/>
  <c r="E49" i="41"/>
  <c r="E92" i="11"/>
  <c r="E145" i="41"/>
  <c r="M103" i="41"/>
  <c r="K128" i="41"/>
  <c r="U163" i="11"/>
  <c r="W41" i="11"/>
  <c r="E115" i="11"/>
  <c r="K123" i="11"/>
  <c r="K55" i="41"/>
  <c r="I112" i="11"/>
  <c r="U124" i="11"/>
  <c r="K62" i="41"/>
  <c r="E42" i="41"/>
  <c r="M187" i="11"/>
  <c r="Q33" i="11"/>
  <c r="S194" i="11"/>
  <c r="K108" i="41"/>
  <c r="I81" i="41"/>
  <c r="M113" i="11"/>
  <c r="E84" i="11"/>
  <c r="F43" i="41"/>
  <c r="Q135" i="41"/>
  <c r="O164" i="41"/>
  <c r="O143" i="11"/>
  <c r="E173" i="41"/>
  <c r="I132" i="41"/>
  <c r="F27" i="41"/>
  <c r="F47" i="11"/>
  <c r="F88" i="41"/>
  <c r="S110" i="11"/>
  <c r="O125" i="41"/>
  <c r="E166" i="11"/>
  <c r="O52" i="41"/>
  <c r="U126" i="11"/>
  <c r="W167" i="11"/>
  <c r="F64" i="41"/>
  <c r="K132" i="11"/>
  <c r="S192" i="11"/>
  <c r="O105" i="41"/>
  <c r="K196" i="11"/>
  <c r="O126" i="41"/>
  <c r="I53" i="41"/>
  <c r="F176" i="11"/>
  <c r="S148" i="11"/>
  <c r="F179" i="11"/>
  <c r="Q127" i="41"/>
  <c r="Q26" i="41"/>
  <c r="W148" i="11"/>
  <c r="Q59" i="41"/>
  <c r="O87" i="41"/>
  <c r="M48" i="41"/>
  <c r="F161" i="41"/>
  <c r="I123" i="41"/>
  <c r="S199" i="11"/>
  <c r="M125" i="41"/>
  <c r="N125" i="41" s="1"/>
  <c r="U136" i="11"/>
  <c r="W62" i="11"/>
  <c r="O146" i="41"/>
  <c r="E144" i="41"/>
  <c r="S113" i="41"/>
  <c r="S101" i="11"/>
  <c r="S130" i="41"/>
  <c r="S60" i="41"/>
  <c r="O179" i="11"/>
  <c r="M188" i="41"/>
  <c r="F99" i="41"/>
  <c r="W58" i="11"/>
  <c r="S97" i="41"/>
  <c r="U161" i="11"/>
  <c r="M75" i="11"/>
  <c r="I127" i="41"/>
  <c r="O45" i="11"/>
  <c r="M174" i="11"/>
  <c r="O131" i="11"/>
  <c r="Q195" i="11"/>
  <c r="K52" i="41"/>
  <c r="K149" i="11"/>
  <c r="Q110" i="11"/>
  <c r="R110" i="11" s="1"/>
  <c r="I65" i="11"/>
  <c r="F175" i="41"/>
  <c r="M107" i="41"/>
  <c r="W95" i="11"/>
  <c r="O96" i="11"/>
  <c r="M145" i="11"/>
  <c r="O37" i="11"/>
  <c r="O184" i="11"/>
  <c r="Q167" i="11"/>
  <c r="Q142" i="11"/>
  <c r="Q83" i="41"/>
  <c r="O154" i="11"/>
  <c r="S169" i="11"/>
  <c r="I26" i="11"/>
  <c r="F129" i="11"/>
  <c r="I182" i="41"/>
  <c r="E61" i="11"/>
  <c r="S181" i="11"/>
  <c r="S177" i="11"/>
  <c r="M64" i="41"/>
  <c r="O28" i="11"/>
  <c r="I192" i="11"/>
  <c r="O55" i="11"/>
  <c r="M119" i="11"/>
  <c r="F160" i="41"/>
  <c r="O66" i="11"/>
  <c r="E116" i="11"/>
  <c r="W128" i="11"/>
  <c r="F41" i="41"/>
  <c r="O148" i="41"/>
  <c r="Q98" i="41"/>
  <c r="K157" i="11"/>
  <c r="I196" i="11"/>
  <c r="Q34" i="41"/>
  <c r="Q193" i="11"/>
  <c r="E143" i="41"/>
  <c r="E150" i="11"/>
  <c r="K49" i="41"/>
  <c r="Q92" i="11"/>
  <c r="E103" i="41"/>
  <c r="F128" i="41"/>
  <c r="F163" i="11"/>
  <c r="Q41" i="11"/>
  <c r="W115" i="11"/>
  <c r="E176" i="11"/>
  <c r="O129" i="41"/>
  <c r="O123" i="11"/>
  <c r="Q55" i="41"/>
  <c r="K112" i="11"/>
  <c r="I124" i="11"/>
  <c r="E85" i="41"/>
  <c r="K42" i="41"/>
  <c r="E187" i="11"/>
  <c r="W33" i="11"/>
  <c r="I194" i="11"/>
  <c r="I108" i="41"/>
  <c r="Q81" i="41"/>
  <c r="E113" i="11"/>
  <c r="K84" i="11"/>
  <c r="M65" i="41"/>
  <c r="I164" i="41"/>
  <c r="I56" i="11"/>
  <c r="F143" i="11"/>
  <c r="K173" i="41"/>
  <c r="S75" i="41"/>
  <c r="Q177" i="41"/>
  <c r="M26" i="41"/>
  <c r="F187" i="41"/>
  <c r="M103" i="11"/>
  <c r="M181" i="11"/>
  <c r="U55" i="11"/>
  <c r="I51" i="11"/>
  <c r="E144" i="11"/>
  <c r="O172" i="41"/>
  <c r="K26" i="41"/>
  <c r="I48" i="41"/>
  <c r="O62" i="11"/>
  <c r="K146" i="41"/>
  <c r="K101" i="11"/>
  <c r="O148" i="11"/>
  <c r="K184" i="41"/>
  <c r="I87" i="41"/>
  <c r="S48" i="41"/>
  <c r="F33" i="41"/>
  <c r="S123" i="41"/>
  <c r="Q199" i="11"/>
  <c r="F136" i="11"/>
  <c r="S62" i="11"/>
  <c r="O124" i="41"/>
  <c r="Q146" i="41"/>
  <c r="F157" i="41"/>
  <c r="Q113" i="41"/>
  <c r="Q195" i="41"/>
  <c r="K166" i="11"/>
  <c r="Q130" i="41"/>
  <c r="K179" i="11"/>
  <c r="E188" i="41"/>
  <c r="E99" i="41"/>
  <c r="S58" i="11"/>
  <c r="F97" i="41"/>
  <c r="S161" i="11"/>
  <c r="W75" i="11"/>
  <c r="K127" i="41"/>
  <c r="W131" i="11"/>
  <c r="S195" i="11"/>
  <c r="E52" i="41"/>
  <c r="F110" i="11"/>
  <c r="S65" i="11"/>
  <c r="O176" i="41"/>
  <c r="I175" i="41"/>
  <c r="E107" i="41"/>
  <c r="K95" i="11"/>
  <c r="M138" i="41"/>
  <c r="Q96" i="11"/>
  <c r="E145" i="11"/>
  <c r="F37" i="11"/>
  <c r="F184" i="11"/>
  <c r="F167" i="11"/>
  <c r="M83" i="41"/>
  <c r="M154" i="11"/>
  <c r="N154" i="11" s="1"/>
  <c r="O169" i="11"/>
  <c r="E26" i="11"/>
  <c r="W129" i="11"/>
  <c r="K182" i="41"/>
  <c r="I61" i="11"/>
  <c r="I177" i="11"/>
  <c r="I132" i="11"/>
  <c r="J132" i="11" s="1"/>
  <c r="F28" i="11"/>
  <c r="W138" i="11"/>
  <c r="D192" i="11"/>
  <c r="K119" i="11"/>
  <c r="E160" i="41"/>
  <c r="K66" i="11"/>
  <c r="S116" i="11"/>
  <c r="E128" i="11"/>
  <c r="M41" i="41"/>
  <c r="E148" i="41"/>
  <c r="O98" i="41"/>
  <c r="E70" i="41"/>
  <c r="W157" i="11"/>
  <c r="Q168" i="41"/>
  <c r="O34" i="41"/>
  <c r="M193" i="11"/>
  <c r="M131" i="41"/>
  <c r="F143" i="41"/>
  <c r="D198" i="11"/>
  <c r="K150" i="11"/>
  <c r="M92" i="11"/>
  <c r="Q128" i="41"/>
  <c r="U115" i="11"/>
  <c r="M31" i="41"/>
  <c r="E129" i="41"/>
  <c r="I55" i="41"/>
  <c r="E124" i="11"/>
  <c r="K85" i="41"/>
  <c r="K187" i="11"/>
  <c r="M33" i="11"/>
  <c r="O194" i="11"/>
  <c r="M108" i="41"/>
  <c r="O113" i="11"/>
  <c r="I65" i="41"/>
  <c r="E134" i="41"/>
  <c r="E106" i="41"/>
  <c r="K104" i="41"/>
  <c r="S56" i="11"/>
  <c r="O82" i="11"/>
  <c r="E143" i="11"/>
  <c r="M173" i="41"/>
  <c r="W39" i="11"/>
  <c r="K169" i="41"/>
  <c r="M71" i="41"/>
  <c r="F168" i="11"/>
  <c r="Q165" i="11"/>
  <c r="O75" i="11"/>
  <c r="S149" i="11"/>
  <c r="K121" i="41"/>
  <c r="Q58" i="11"/>
  <c r="F116" i="41"/>
  <c r="F65" i="11"/>
  <c r="Q109" i="41"/>
  <c r="U87" i="11"/>
  <c r="K160" i="11"/>
  <c r="I39" i="41"/>
  <c r="Q151" i="11"/>
  <c r="F188" i="11"/>
  <c r="M128" i="41"/>
  <c r="U29" i="11"/>
  <c r="K41" i="11"/>
  <c r="U123" i="11"/>
  <c r="F59" i="41"/>
  <c r="I187" i="41"/>
  <c r="K161" i="41"/>
  <c r="F125" i="41"/>
  <c r="K113" i="41"/>
  <c r="Q188" i="41"/>
  <c r="I58" i="11"/>
  <c r="K75" i="11"/>
  <c r="E45" i="11"/>
  <c r="S82" i="41"/>
  <c r="E148" i="11"/>
  <c r="K175" i="11"/>
  <c r="E184" i="41"/>
  <c r="E87" i="41"/>
  <c r="M33" i="41"/>
  <c r="I166" i="41"/>
  <c r="K123" i="41"/>
  <c r="F199" i="11"/>
  <c r="M63" i="41"/>
  <c r="O53" i="11"/>
  <c r="I136" i="11"/>
  <c r="K62" i="11"/>
  <c r="S124" i="41"/>
  <c r="M146" i="41"/>
  <c r="S157" i="41"/>
  <c r="E113" i="41"/>
  <c r="M195" i="41"/>
  <c r="I166" i="11"/>
  <c r="O88" i="41"/>
  <c r="E179" i="11"/>
  <c r="I99" i="41"/>
  <c r="K161" i="11"/>
  <c r="U75" i="11"/>
  <c r="V75" i="11" s="1"/>
  <c r="S131" i="11"/>
  <c r="D195" i="11"/>
  <c r="F167" i="41"/>
  <c r="E110" i="11"/>
  <c r="K65" i="11"/>
  <c r="K176" i="41"/>
  <c r="Q175" i="41"/>
  <c r="F107" i="41"/>
  <c r="I138" i="41"/>
  <c r="E160" i="11"/>
  <c r="Q145" i="11"/>
  <c r="K37" i="11"/>
  <c r="W184" i="11"/>
  <c r="I167" i="11"/>
  <c r="U142" i="11"/>
  <c r="F154" i="11"/>
  <c r="U191" i="11"/>
  <c r="Q26" i="11"/>
  <c r="I129" i="11"/>
  <c r="Q182" i="41"/>
  <c r="F61" i="11"/>
  <c r="O125" i="11"/>
  <c r="K74" i="11"/>
  <c r="K177" i="11"/>
  <c r="F132" i="11"/>
  <c r="I28" i="11"/>
  <c r="F138" i="11"/>
  <c r="M192" i="11"/>
  <c r="F119" i="11"/>
  <c r="F66" i="11"/>
  <c r="I116" i="11"/>
  <c r="K128" i="11"/>
  <c r="S41" i="41"/>
  <c r="I148" i="41"/>
  <c r="I174" i="41"/>
  <c r="M70" i="41"/>
  <c r="M168" i="41"/>
  <c r="I34" i="41"/>
  <c r="W144" i="11"/>
  <c r="K193" i="11"/>
  <c r="S131" i="41"/>
  <c r="Q143" i="41"/>
  <c r="Q170" i="41"/>
  <c r="K198" i="11"/>
  <c r="O150" i="11"/>
  <c r="Q108" i="11"/>
  <c r="S92" i="11"/>
  <c r="O36" i="41"/>
  <c r="S158" i="41"/>
  <c r="M115" i="11"/>
  <c r="K31" i="41"/>
  <c r="I129" i="41"/>
  <c r="K183" i="41"/>
  <c r="O110" i="41"/>
  <c r="O85" i="41"/>
  <c r="M50" i="41"/>
  <c r="U187" i="11"/>
  <c r="K33" i="11"/>
  <c r="Q194" i="11"/>
  <c r="S108" i="41"/>
  <c r="F172" i="11"/>
  <c r="Q77" i="11"/>
  <c r="K65" i="41"/>
  <c r="F134" i="41"/>
  <c r="K106" i="41"/>
  <c r="U100" i="11"/>
  <c r="I43" i="11"/>
  <c r="O104" i="41"/>
  <c r="K56" i="11"/>
  <c r="Q82" i="11"/>
  <c r="O39" i="11"/>
  <c r="E169" i="41"/>
  <c r="O44" i="11"/>
  <c r="O82" i="41"/>
  <c r="S63" i="41"/>
  <c r="I53" i="11"/>
  <c r="O157" i="41"/>
  <c r="M167" i="41"/>
  <c r="K136" i="11"/>
  <c r="O114" i="41"/>
  <c r="F101" i="11"/>
  <c r="O188" i="41"/>
  <c r="O165" i="11"/>
  <c r="W27" i="11"/>
  <c r="I149" i="11"/>
  <c r="K71" i="11"/>
  <c r="M142" i="11"/>
  <c r="F35" i="11"/>
  <c r="I191" i="11"/>
  <c r="I64" i="11"/>
  <c r="K125" i="11"/>
  <c r="Q114" i="11"/>
  <c r="I142" i="41"/>
  <c r="I156" i="11"/>
  <c r="E163" i="11"/>
  <c r="E55" i="41"/>
  <c r="O175" i="11"/>
  <c r="U199" i="11"/>
  <c r="I114" i="41"/>
  <c r="M144" i="41"/>
  <c r="W166" i="11"/>
  <c r="M116" i="41"/>
  <c r="E82" i="41"/>
  <c r="F148" i="11"/>
  <c r="Q175" i="11"/>
  <c r="O184" i="41"/>
  <c r="F87" i="41"/>
  <c r="I33" i="41"/>
  <c r="S166" i="41"/>
  <c r="F123" i="41"/>
  <c r="I199" i="11"/>
  <c r="F63" i="41"/>
  <c r="U53" i="11"/>
  <c r="Q136" i="11"/>
  <c r="M124" i="41"/>
  <c r="F146" i="41"/>
  <c r="K157" i="41"/>
  <c r="I113" i="41"/>
  <c r="S195" i="41"/>
  <c r="K88" i="41"/>
  <c r="K177" i="41"/>
  <c r="M179" i="11"/>
  <c r="O99" i="41"/>
  <c r="Q38" i="11"/>
  <c r="E97" i="41"/>
  <c r="E27" i="11"/>
  <c r="M161" i="11"/>
  <c r="I75" i="11"/>
  <c r="F118" i="41"/>
  <c r="I131" i="11"/>
  <c r="O195" i="11"/>
  <c r="Q167" i="41"/>
  <c r="W149" i="11"/>
  <c r="Y149" i="11" s="1"/>
  <c r="U110" i="11"/>
  <c r="M65" i="11"/>
  <c r="M176" i="41"/>
  <c r="O126" i="11"/>
  <c r="E175" i="41"/>
  <c r="O107" i="41"/>
  <c r="Q87" i="11"/>
  <c r="O138" i="41"/>
  <c r="K164" i="11"/>
  <c r="I160" i="11"/>
  <c r="O145" i="11"/>
  <c r="W37" i="11"/>
  <c r="I184" i="11"/>
  <c r="F71" i="11"/>
  <c r="U103" i="11"/>
  <c r="W154" i="11"/>
  <c r="Q169" i="11"/>
  <c r="D191" i="11"/>
  <c r="W26" i="11"/>
  <c r="M129" i="11"/>
  <c r="M61" i="11"/>
  <c r="E125" i="11"/>
  <c r="M74" i="11"/>
  <c r="U177" i="11"/>
  <c r="S132" i="11"/>
  <c r="S28" i="11"/>
  <c r="K138" i="11"/>
  <c r="U119" i="11"/>
  <c r="M114" i="11"/>
  <c r="W66" i="11"/>
  <c r="O128" i="11"/>
  <c r="K174" i="41"/>
  <c r="Q70" i="41"/>
  <c r="Q185" i="41"/>
  <c r="Q144" i="11"/>
  <c r="F193" i="11"/>
  <c r="Q131" i="41"/>
  <c r="O143" i="41"/>
  <c r="E170" i="41"/>
  <c r="W198" i="11"/>
  <c r="I150" i="11"/>
  <c r="M108" i="11"/>
  <c r="S36" i="41"/>
  <c r="U156" i="11"/>
  <c r="I29" i="11"/>
  <c r="I158" i="41"/>
  <c r="F115" i="11"/>
  <c r="I31" i="41"/>
  <c r="S129" i="41"/>
  <c r="Q183" i="41"/>
  <c r="K110" i="41"/>
  <c r="K68" i="11"/>
  <c r="E50" i="41"/>
  <c r="K181" i="41"/>
  <c r="O133" i="41"/>
  <c r="W172" i="11"/>
  <c r="O83" i="11"/>
  <c r="I77" i="11"/>
  <c r="F65" i="41"/>
  <c r="O106" i="41"/>
  <c r="W100" i="11"/>
  <c r="F43" i="11"/>
  <c r="W56" i="11"/>
  <c r="O47" i="41"/>
  <c r="K120" i="11"/>
  <c r="K78" i="41"/>
  <c r="F171" i="11"/>
  <c r="Q176" i="41"/>
  <c r="Q126" i="11"/>
  <c r="S87" i="11"/>
  <c r="K138" i="41"/>
  <c r="W164" i="11"/>
  <c r="M160" i="11"/>
  <c r="F140" i="41"/>
  <c r="I145" i="11"/>
  <c r="M37" i="11"/>
  <c r="K184" i="11"/>
  <c r="E39" i="41"/>
  <c r="E71" i="11"/>
  <c r="S103" i="11"/>
  <c r="E154" i="11"/>
  <c r="K169" i="11"/>
  <c r="S191" i="11"/>
  <c r="K26" i="11"/>
  <c r="W64" i="11"/>
  <c r="S49" i="11"/>
  <c r="K61" i="11"/>
  <c r="U125" i="11"/>
  <c r="F74" i="11"/>
  <c r="W151" i="11"/>
  <c r="O132" i="11"/>
  <c r="K28" i="11"/>
  <c r="S138" i="11"/>
  <c r="S119" i="11"/>
  <c r="U114" i="11"/>
  <c r="F116" i="11"/>
  <c r="K69" i="11"/>
  <c r="Q128" i="11"/>
  <c r="K105" i="41"/>
  <c r="M81" i="11"/>
  <c r="F174" i="41"/>
  <c r="S70" i="41"/>
  <c r="O185" i="41"/>
  <c r="S168" i="41"/>
  <c r="E126" i="41"/>
  <c r="U144" i="11"/>
  <c r="W193" i="11"/>
  <c r="E131" i="41"/>
  <c r="I143" i="41"/>
  <c r="M170" i="41"/>
  <c r="F198" i="11"/>
  <c r="U150" i="11"/>
  <c r="O108" i="11"/>
  <c r="Q142" i="41"/>
  <c r="Q36" i="41"/>
  <c r="R36" i="41" s="1"/>
  <c r="O156" i="11"/>
  <c r="O29" i="11"/>
  <c r="M158" i="41"/>
  <c r="S31" i="41"/>
  <c r="F129" i="41"/>
  <c r="M183" i="41"/>
  <c r="I110" i="41"/>
  <c r="W68" i="11"/>
  <c r="W30" i="11"/>
  <c r="E73" i="11"/>
  <c r="S50" i="41"/>
  <c r="M156" i="41"/>
  <c r="E181" i="41"/>
  <c r="Q36" i="11"/>
  <c r="O101" i="41"/>
  <c r="I133" i="41"/>
  <c r="O172" i="11"/>
  <c r="F83" i="11"/>
  <c r="U77" i="11"/>
  <c r="S185" i="11"/>
  <c r="S106" i="41"/>
  <c r="K100" i="11"/>
  <c r="Q43" i="11"/>
  <c r="M72" i="11"/>
  <c r="F47" i="41"/>
  <c r="U122" i="11"/>
  <c r="O120" i="11"/>
  <c r="W76" i="11"/>
  <c r="W145" i="11"/>
  <c r="Q37" i="11"/>
  <c r="M184" i="11"/>
  <c r="Q39" i="41"/>
  <c r="W71" i="11"/>
  <c r="K103" i="11"/>
  <c r="U154" i="11"/>
  <c r="E191" i="11"/>
  <c r="M26" i="11"/>
  <c r="K64" i="11"/>
  <c r="E49" i="11"/>
  <c r="S125" i="11"/>
  <c r="E74" i="11"/>
  <c r="O64" i="41"/>
  <c r="I151" i="11"/>
  <c r="E132" i="11"/>
  <c r="I138" i="11"/>
  <c r="M55" i="11"/>
  <c r="W114" i="11"/>
  <c r="S51" i="11"/>
  <c r="U116" i="11"/>
  <c r="U69" i="11"/>
  <c r="I128" i="11"/>
  <c r="I105" i="41"/>
  <c r="O81" i="11"/>
  <c r="O174" i="41"/>
  <c r="E185" i="41"/>
  <c r="K168" i="41"/>
  <c r="S126" i="41"/>
  <c r="F144" i="11"/>
  <c r="S53" i="41"/>
  <c r="K170" i="41"/>
  <c r="O198" i="11"/>
  <c r="M150" i="11"/>
  <c r="W108" i="11"/>
  <c r="S142" i="41"/>
  <c r="F36" i="41"/>
  <c r="M156" i="11"/>
  <c r="M29" i="11"/>
  <c r="K158" i="41"/>
  <c r="M176" i="11"/>
  <c r="M129" i="41"/>
  <c r="O183" i="41"/>
  <c r="S68" i="11"/>
  <c r="E30" i="11"/>
  <c r="W73" i="11"/>
  <c r="I50" i="41"/>
  <c r="O156" i="41"/>
  <c r="I181" i="41"/>
  <c r="W36" i="11"/>
  <c r="E133" i="41"/>
  <c r="K57" i="11"/>
  <c r="M83" i="11"/>
  <c r="E77" i="11"/>
  <c r="I185" i="11"/>
  <c r="I106" i="41"/>
  <c r="J106" i="41" s="1"/>
  <c r="K95" i="41"/>
  <c r="E100" i="11"/>
  <c r="M43" i="11"/>
  <c r="S72" i="11"/>
  <c r="I122" i="11"/>
  <c r="W120" i="11"/>
  <c r="F77" i="41"/>
  <c r="W79" i="11"/>
  <c r="S184" i="41"/>
  <c r="M195" i="11"/>
  <c r="Q33" i="41"/>
  <c r="E166" i="41"/>
  <c r="E123" i="41"/>
  <c r="F121" i="41"/>
  <c r="O195" i="41"/>
  <c r="I88" i="41"/>
  <c r="J88" i="41" s="1"/>
  <c r="M165" i="11"/>
  <c r="I118" i="41"/>
  <c r="F45" i="11"/>
  <c r="S174" i="11"/>
  <c r="S167" i="41"/>
  <c r="I110" i="11"/>
  <c r="S176" i="41"/>
  <c r="M87" i="11"/>
  <c r="E164" i="11"/>
  <c r="Q140" i="41"/>
  <c r="I82" i="41"/>
  <c r="E59" i="41"/>
  <c r="F175" i="11"/>
  <c r="F184" i="41"/>
  <c r="K87" i="41"/>
  <c r="E187" i="41"/>
  <c r="O161" i="41"/>
  <c r="O166" i="41"/>
  <c r="K199" i="11"/>
  <c r="I63" i="41"/>
  <c r="Q53" i="11"/>
  <c r="E114" i="41"/>
  <c r="F124" i="41"/>
  <c r="E121" i="41"/>
  <c r="E195" i="41"/>
  <c r="U101" i="11"/>
  <c r="M88" i="41"/>
  <c r="S177" i="41"/>
  <c r="W179" i="11"/>
  <c r="K58" i="11"/>
  <c r="E38" i="11"/>
  <c r="W165" i="11"/>
  <c r="U27" i="11"/>
  <c r="F161" i="11"/>
  <c r="E75" i="11"/>
  <c r="K118" i="41"/>
  <c r="K45" i="11"/>
  <c r="K174" i="11"/>
  <c r="E195" i="11"/>
  <c r="K167" i="41"/>
  <c r="E149" i="11"/>
  <c r="M110" i="11"/>
  <c r="E65" i="11"/>
  <c r="F176" i="41"/>
  <c r="K109" i="41"/>
  <c r="S126" i="11"/>
  <c r="O87" i="11"/>
  <c r="F164" i="11"/>
  <c r="W160" i="11"/>
  <c r="S140" i="41"/>
  <c r="O39" i="41"/>
  <c r="Q71" i="11"/>
  <c r="W103" i="11"/>
  <c r="O35" i="11"/>
  <c r="W191" i="11"/>
  <c r="U64" i="11"/>
  <c r="W49" i="11"/>
  <c r="E181" i="11"/>
  <c r="W125" i="11"/>
  <c r="I74" i="11"/>
  <c r="S64" i="41"/>
  <c r="U151" i="11"/>
  <c r="W132" i="11"/>
  <c r="S57" i="41"/>
  <c r="U138" i="11"/>
  <c r="S100" i="41"/>
  <c r="S55" i="11"/>
  <c r="K114" i="11"/>
  <c r="E51" i="11"/>
  <c r="Q115" i="41"/>
  <c r="K116" i="11"/>
  <c r="Q69" i="11"/>
  <c r="E105" i="41"/>
  <c r="S81" i="11"/>
  <c r="M188" i="11"/>
  <c r="F185" i="41"/>
  <c r="U196" i="11"/>
  <c r="I30" i="41"/>
  <c r="Q126" i="41"/>
  <c r="S144" i="11"/>
  <c r="K53" i="41"/>
  <c r="F172" i="41"/>
  <c r="S198" i="11"/>
  <c r="F108" i="11"/>
  <c r="O142" i="41"/>
  <c r="F156" i="11"/>
  <c r="S29" i="11"/>
  <c r="E158" i="41"/>
  <c r="W176" i="11"/>
  <c r="I183" i="41"/>
  <c r="M68" i="11"/>
  <c r="U30" i="11"/>
  <c r="O73" i="11"/>
  <c r="Q50" i="41"/>
  <c r="F156" i="41"/>
  <c r="F36" i="11"/>
  <c r="Q101" i="41"/>
  <c r="Q133" i="41"/>
  <c r="S42" i="11"/>
  <c r="Q57" i="11"/>
  <c r="I133" i="11"/>
  <c r="Q83" i="11"/>
  <c r="K149" i="41"/>
  <c r="W77" i="11"/>
  <c r="I96" i="41"/>
  <c r="F185" i="11"/>
  <c r="O95" i="41"/>
  <c r="S100" i="11"/>
  <c r="O72" i="11"/>
  <c r="F141" i="11"/>
  <c r="Q122" i="11"/>
  <c r="Q106" i="11"/>
  <c r="S77" i="41"/>
  <c r="Q173" i="11"/>
  <c r="S76" i="41"/>
  <c r="O85" i="11"/>
  <c r="O123" i="41"/>
  <c r="Q161" i="11"/>
  <c r="S118" i="41"/>
  <c r="Q65" i="11"/>
  <c r="F82" i="41"/>
  <c r="E175" i="11"/>
  <c r="Q184" i="41"/>
  <c r="D199" i="11"/>
  <c r="Q63" i="41"/>
  <c r="F53" i="11"/>
  <c r="Q124" i="41"/>
  <c r="E157" i="41"/>
  <c r="F177" i="41"/>
  <c r="S179" i="11"/>
  <c r="K38" i="11"/>
  <c r="O27" i="11"/>
  <c r="I161" i="11"/>
  <c r="Q75" i="11"/>
  <c r="W195" i="11"/>
  <c r="Y195" i="11" s="1"/>
  <c r="U149" i="11"/>
  <c r="U65" i="11"/>
  <c r="K126" i="11"/>
  <c r="E138" i="41"/>
  <c r="Q160" i="11"/>
  <c r="I26" i="41"/>
  <c r="J26" i="41" s="1"/>
  <c r="Q82" i="41"/>
  <c r="I59" i="41"/>
  <c r="J59" i="41" s="1"/>
  <c r="I175" i="11"/>
  <c r="I184" i="41"/>
  <c r="S87" i="41"/>
  <c r="Q187" i="41"/>
  <c r="O33" i="41"/>
  <c r="E161" i="41"/>
  <c r="Q166" i="41"/>
  <c r="K125" i="41"/>
  <c r="K63" i="41"/>
  <c r="E53" i="11"/>
  <c r="Q62" i="11"/>
  <c r="R62" i="11" s="1"/>
  <c r="S114" i="41"/>
  <c r="I124" i="41"/>
  <c r="K144" i="41"/>
  <c r="I157" i="41"/>
  <c r="S121" i="41"/>
  <c r="Q166" i="11"/>
  <c r="M101" i="11"/>
  <c r="I177" i="41"/>
  <c r="M58" i="11"/>
  <c r="U38" i="11"/>
  <c r="V38" i="11" s="1"/>
  <c r="K116" i="41"/>
  <c r="K165" i="11"/>
  <c r="I27" i="11"/>
  <c r="O118" i="41"/>
  <c r="Q45" i="11"/>
  <c r="W174" i="11"/>
  <c r="F195" i="11"/>
  <c r="M149" i="11"/>
  <c r="K110" i="11"/>
  <c r="W65" i="11"/>
  <c r="Y65" i="11" s="1"/>
  <c r="I176" i="41"/>
  <c r="S109" i="41"/>
  <c r="M126" i="11"/>
  <c r="N126" i="11" s="1"/>
  <c r="M95" i="11"/>
  <c r="E87" i="11"/>
  <c r="U96" i="11"/>
  <c r="I164" i="11"/>
  <c r="O160" i="11"/>
  <c r="O140" i="41"/>
  <c r="U167" i="11"/>
  <c r="M39" i="41"/>
  <c r="I71" i="11"/>
  <c r="F103" i="11"/>
  <c r="Q35" i="11"/>
  <c r="M191" i="11"/>
  <c r="Q64" i="11"/>
  <c r="I49" i="11"/>
  <c r="Q181" i="11"/>
  <c r="R181" i="11" s="1"/>
  <c r="I125" i="11"/>
  <c r="U74" i="11"/>
  <c r="K64" i="41"/>
  <c r="O151" i="11"/>
  <c r="U132" i="11"/>
  <c r="I57" i="41"/>
  <c r="K100" i="41"/>
  <c r="E55" i="11"/>
  <c r="S114" i="11"/>
  <c r="U51" i="11"/>
  <c r="E115" i="41"/>
  <c r="S69" i="11"/>
  <c r="M105" i="41"/>
  <c r="W81" i="11"/>
  <c r="Y81" i="11" s="1"/>
  <c r="E188" i="11"/>
  <c r="K185" i="41"/>
  <c r="F196" i="11"/>
  <c r="K30" i="41"/>
  <c r="M126" i="41"/>
  <c r="M144" i="11"/>
  <c r="M53" i="41"/>
  <c r="K172" i="41"/>
  <c r="M198" i="11"/>
  <c r="Q49" i="41"/>
  <c r="S108" i="11"/>
  <c r="F145" i="41"/>
  <c r="M142" i="41"/>
  <c r="O128" i="41"/>
  <c r="S156" i="11"/>
  <c r="Q29" i="11"/>
  <c r="I163" i="11"/>
  <c r="Q158" i="41"/>
  <c r="U176" i="11"/>
  <c r="V176" i="11" s="1"/>
  <c r="M123" i="11"/>
  <c r="N123" i="11" s="1"/>
  <c r="E68" i="11"/>
  <c r="K30" i="11"/>
  <c r="F62" i="41"/>
  <c r="K73" i="11"/>
  <c r="Q156" i="41"/>
  <c r="U36" i="11"/>
  <c r="K93" i="41"/>
  <c r="W42" i="11"/>
  <c r="O57" i="11"/>
  <c r="W133" i="11"/>
  <c r="U83" i="11"/>
  <c r="E149" i="41"/>
  <c r="K96" i="41"/>
  <c r="F104" i="11"/>
  <c r="S95" i="41"/>
  <c r="E58" i="41"/>
  <c r="O141" i="11"/>
  <c r="I151" i="41"/>
  <c r="F130" i="11"/>
  <c r="Q54" i="11"/>
  <c r="E146" i="11"/>
  <c r="F162" i="11"/>
  <c r="M112" i="11"/>
  <c r="M30" i="11"/>
  <c r="M62" i="41"/>
  <c r="S73" i="11"/>
  <c r="F42" i="41"/>
  <c r="E36" i="11"/>
  <c r="E93" i="41"/>
  <c r="K42" i="11"/>
  <c r="Q133" i="11"/>
  <c r="F149" i="41"/>
  <c r="F61" i="41"/>
  <c r="S96" i="41"/>
  <c r="S43" i="41"/>
  <c r="M135" i="41"/>
  <c r="E104" i="11"/>
  <c r="F95" i="41"/>
  <c r="E164" i="41"/>
  <c r="O58" i="41"/>
  <c r="M152" i="11"/>
  <c r="I183" i="11"/>
  <c r="U141" i="11"/>
  <c r="K137" i="11"/>
  <c r="M130" i="11"/>
  <c r="U153" i="11"/>
  <c r="D194" i="41"/>
  <c r="S175" i="11"/>
  <c r="E124" i="41"/>
  <c r="I195" i="41"/>
  <c r="Q99" i="41"/>
  <c r="K48" i="41"/>
  <c r="K33" i="41"/>
  <c r="S161" i="41"/>
  <c r="U62" i="11"/>
  <c r="O144" i="41"/>
  <c r="F60" i="41"/>
  <c r="O174" i="11"/>
  <c r="I95" i="11"/>
  <c r="K49" i="11"/>
  <c r="E57" i="41"/>
  <c r="M100" i="41"/>
  <c r="M69" i="11"/>
  <c r="K81" i="11"/>
  <c r="M30" i="41"/>
  <c r="U148" i="11"/>
  <c r="O59" i="41"/>
  <c r="W175" i="11"/>
  <c r="O48" i="41"/>
  <c r="O187" i="41"/>
  <c r="I161" i="41"/>
  <c r="W53" i="11"/>
  <c r="O136" i="11"/>
  <c r="E62" i="11"/>
  <c r="F114" i="41"/>
  <c r="F144" i="41"/>
  <c r="O113" i="41"/>
  <c r="O121" i="41"/>
  <c r="M166" i="11"/>
  <c r="I101" i="11"/>
  <c r="O130" i="41"/>
  <c r="O177" i="41"/>
  <c r="K60" i="41"/>
  <c r="K188" i="41"/>
  <c r="E58" i="11"/>
  <c r="O38" i="11"/>
  <c r="S116" i="41"/>
  <c r="O97" i="41"/>
  <c r="E165" i="11"/>
  <c r="F27" i="11"/>
  <c r="F127" i="41"/>
  <c r="S45" i="11"/>
  <c r="E174" i="11"/>
  <c r="F52" i="41"/>
  <c r="O149" i="11"/>
  <c r="M109" i="41"/>
  <c r="F126" i="11"/>
  <c r="F95" i="11"/>
  <c r="K87" i="11"/>
  <c r="K96" i="11"/>
  <c r="O164" i="11"/>
  <c r="K140" i="41"/>
  <c r="S167" i="11"/>
  <c r="F39" i="41"/>
  <c r="O142" i="11"/>
  <c r="M35" i="11"/>
  <c r="O147" i="41"/>
  <c r="M64" i="11"/>
  <c r="Q49" i="11"/>
  <c r="F181" i="11"/>
  <c r="M125" i="11"/>
  <c r="O177" i="11"/>
  <c r="Q64" i="41"/>
  <c r="F151" i="11"/>
  <c r="Q57" i="41"/>
  <c r="O192" i="11"/>
  <c r="F100" i="41"/>
  <c r="W55" i="11"/>
  <c r="Q160" i="41"/>
  <c r="K51" i="11"/>
  <c r="M115" i="41"/>
  <c r="E69" i="11"/>
  <c r="E41" i="41"/>
  <c r="Q105" i="41"/>
  <c r="F81" i="11"/>
  <c r="U188" i="11"/>
  <c r="S157" i="11"/>
  <c r="M196" i="11"/>
  <c r="K34" i="41"/>
  <c r="F126" i="41"/>
  <c r="Q172" i="41"/>
  <c r="O49" i="41"/>
  <c r="O92" i="11"/>
  <c r="S145" i="41"/>
  <c r="E128" i="41"/>
  <c r="Q163" i="11"/>
  <c r="U41" i="11"/>
  <c r="K115" i="11"/>
  <c r="I176" i="11"/>
  <c r="S123" i="11"/>
  <c r="F55" i="41"/>
  <c r="E112" i="11"/>
  <c r="Q124" i="11"/>
  <c r="I62" i="41"/>
  <c r="J62" i="41" s="1"/>
  <c r="Q73" i="11"/>
  <c r="O42" i="41"/>
  <c r="I33" i="11"/>
  <c r="M36" i="11"/>
  <c r="S93" i="41"/>
  <c r="O133" i="11"/>
  <c r="I149" i="41"/>
  <c r="S61" i="41"/>
  <c r="I84" i="11"/>
  <c r="J84" i="11" s="1"/>
  <c r="M96" i="41"/>
  <c r="K43" i="41"/>
  <c r="K135" i="41"/>
  <c r="O104" i="11"/>
  <c r="E95" i="41"/>
  <c r="M164" i="41"/>
  <c r="F152" i="11"/>
  <c r="F183" i="11"/>
  <c r="O136" i="41"/>
  <c r="M87" i="41"/>
  <c r="S33" i="41"/>
  <c r="K166" i="41"/>
  <c r="E199" i="11"/>
  <c r="U179" i="11"/>
  <c r="V179" i="11" s="1"/>
  <c r="M38" i="11"/>
  <c r="N38" i="11" s="1"/>
  <c r="Q27" i="11"/>
  <c r="F131" i="11"/>
  <c r="M175" i="11"/>
  <c r="N175" i="11" s="1"/>
  <c r="K53" i="11"/>
  <c r="K124" i="41"/>
  <c r="M157" i="41"/>
  <c r="E177" i="41"/>
  <c r="F38" i="11"/>
  <c r="E127" i="41"/>
  <c r="I45" i="11"/>
  <c r="S96" i="11"/>
  <c r="E140" i="41"/>
  <c r="E125" i="41"/>
  <c r="S26" i="41"/>
  <c r="K148" i="11"/>
  <c r="M59" i="41"/>
  <c r="U175" i="11"/>
  <c r="E48" i="41"/>
  <c r="K187" i="41"/>
  <c r="M161" i="41"/>
  <c r="M199" i="11"/>
  <c r="Q125" i="41"/>
  <c r="S136" i="11"/>
  <c r="F62" i="11"/>
  <c r="M114" i="41"/>
  <c r="S146" i="41"/>
  <c r="S144" i="41"/>
  <c r="M113" i="41"/>
  <c r="Q121" i="41"/>
  <c r="R121" i="41" s="1"/>
  <c r="F166" i="11"/>
  <c r="O101" i="11"/>
  <c r="K130" i="41"/>
  <c r="M177" i="41"/>
  <c r="E60" i="41"/>
  <c r="I188" i="41"/>
  <c r="U58" i="11"/>
  <c r="V58" i="11" s="1"/>
  <c r="S38" i="11"/>
  <c r="I116" i="41"/>
  <c r="K97" i="41"/>
  <c r="F165" i="11"/>
  <c r="K27" i="11"/>
  <c r="S127" i="41"/>
  <c r="M45" i="11"/>
  <c r="U174" i="11"/>
  <c r="M131" i="11"/>
  <c r="I52" i="41"/>
  <c r="F149" i="11"/>
  <c r="O109" i="41"/>
  <c r="I107" i="41"/>
  <c r="Q95" i="11"/>
  <c r="I96" i="11"/>
  <c r="Q164" i="11"/>
  <c r="I140" i="41"/>
  <c r="U37" i="11"/>
  <c r="Q184" i="11"/>
  <c r="K167" i="11"/>
  <c r="O71" i="11"/>
  <c r="S142" i="11"/>
  <c r="F83" i="41"/>
  <c r="S35" i="11"/>
  <c r="U169" i="11"/>
  <c r="K129" i="11"/>
  <c r="E147" i="41"/>
  <c r="U181" i="11"/>
  <c r="F177" i="11"/>
  <c r="E64" i="41"/>
  <c r="M151" i="11"/>
  <c r="M28" i="11"/>
  <c r="K192" i="11"/>
  <c r="Q55" i="11"/>
  <c r="S160" i="41"/>
  <c r="Q66" i="11"/>
  <c r="R66" i="11" s="1"/>
  <c r="M51" i="11"/>
  <c r="I115" i="41"/>
  <c r="O41" i="41"/>
  <c r="S98" i="41"/>
  <c r="O188" i="11"/>
  <c r="O157" i="11"/>
  <c r="W196" i="11"/>
  <c r="F34" i="41"/>
  <c r="D193" i="11"/>
  <c r="I49" i="41"/>
  <c r="J49" i="41" s="1"/>
  <c r="F92" i="11"/>
  <c r="M145" i="41"/>
  <c r="I103" i="41"/>
  <c r="S128" i="41"/>
  <c r="O163" i="11"/>
  <c r="E41" i="11"/>
  <c r="I115" i="11"/>
  <c r="O176" i="11"/>
  <c r="F123" i="11"/>
  <c r="M55" i="41"/>
  <c r="W112" i="11"/>
  <c r="K124" i="11"/>
  <c r="O62" i="41"/>
  <c r="Q42" i="41"/>
  <c r="E33" i="11"/>
  <c r="E194" i="11"/>
  <c r="I93" i="41"/>
  <c r="F81" i="41"/>
  <c r="F133" i="11"/>
  <c r="M61" i="41"/>
  <c r="U84" i="11"/>
  <c r="E96" i="41"/>
  <c r="I43" i="41"/>
  <c r="S135" i="41"/>
  <c r="K104" i="11"/>
  <c r="Q164" i="41"/>
  <c r="S152" i="11"/>
  <c r="O183" i="11"/>
  <c r="M27" i="41"/>
  <c r="S145" i="11"/>
  <c r="U184" i="11"/>
  <c r="U71" i="11"/>
  <c r="K142" i="11"/>
  <c r="I103" i="11"/>
  <c r="J103" i="11" s="1"/>
  <c r="E83" i="41"/>
  <c r="U35" i="11"/>
  <c r="V35" i="11" s="1"/>
  <c r="I154" i="11"/>
  <c r="E169" i="11"/>
  <c r="O191" i="11"/>
  <c r="F26" i="11"/>
  <c r="O129" i="11"/>
  <c r="S147" i="41"/>
  <c r="F64" i="11"/>
  <c r="F182" i="41"/>
  <c r="U49" i="11"/>
  <c r="S61" i="11"/>
  <c r="K181" i="11"/>
  <c r="Q125" i="11"/>
  <c r="W74" i="11"/>
  <c r="W177" i="11"/>
  <c r="Y177" i="11" s="1"/>
  <c r="E28" i="11"/>
  <c r="M57" i="41"/>
  <c r="E138" i="11"/>
  <c r="E192" i="11"/>
  <c r="Q100" i="41"/>
  <c r="W119" i="11"/>
  <c r="I160" i="41"/>
  <c r="F114" i="11"/>
  <c r="I66" i="11"/>
  <c r="J66" i="11" s="1"/>
  <c r="W51" i="11"/>
  <c r="Y51" i="11" s="1"/>
  <c r="F115" i="41"/>
  <c r="W116" i="11"/>
  <c r="Y116" i="11" s="1"/>
  <c r="O69" i="11"/>
  <c r="U128" i="11"/>
  <c r="Q148" i="41"/>
  <c r="Q81" i="11"/>
  <c r="R81" i="11" s="1"/>
  <c r="Q174" i="41"/>
  <c r="K98" i="41"/>
  <c r="S188" i="11"/>
  <c r="F70" i="41"/>
  <c r="U157" i="11"/>
  <c r="M185" i="41"/>
  <c r="N185" i="41" s="1"/>
  <c r="S196" i="11"/>
  <c r="I168" i="41"/>
  <c r="O30" i="41"/>
  <c r="I193" i="11"/>
  <c r="Q53" i="41"/>
  <c r="K131" i="41"/>
  <c r="I172" i="41"/>
  <c r="S170" i="41"/>
  <c r="S150" i="11"/>
  <c r="U108" i="11"/>
  <c r="U92" i="11"/>
  <c r="O145" i="41"/>
  <c r="E142" i="41"/>
  <c r="Q103" i="41"/>
  <c r="E36" i="41"/>
  <c r="W156" i="11"/>
  <c r="E29" i="11"/>
  <c r="S163" i="11"/>
  <c r="S41" i="11"/>
  <c r="K176" i="11"/>
  <c r="O31" i="41"/>
  <c r="E123" i="11"/>
  <c r="E183" i="41"/>
  <c r="U112" i="11"/>
  <c r="S110" i="41"/>
  <c r="F124" i="11"/>
  <c r="O68" i="11"/>
  <c r="F85" i="41"/>
  <c r="O30" i="11"/>
  <c r="Q187" i="11"/>
  <c r="E156" i="41"/>
  <c r="O33" i="11"/>
  <c r="W194" i="11"/>
  <c r="S181" i="41"/>
  <c r="E108" i="41"/>
  <c r="K101" i="41"/>
  <c r="O93" i="41"/>
  <c r="S133" i="41"/>
  <c r="M172" i="11"/>
  <c r="Q42" i="11"/>
  <c r="M81" i="41"/>
  <c r="S57" i="11"/>
  <c r="M133" i="11"/>
  <c r="I83" i="11"/>
  <c r="I61" i="41"/>
  <c r="I113" i="11"/>
  <c r="S134" i="41"/>
  <c r="K185" i="11"/>
  <c r="E135" i="41"/>
  <c r="M104" i="11"/>
  <c r="M100" i="11"/>
  <c r="S43" i="11"/>
  <c r="I58" i="41"/>
  <c r="S104" i="41"/>
  <c r="F72" i="11"/>
  <c r="I152" i="11"/>
  <c r="F56" i="11"/>
  <c r="W183" i="11"/>
  <c r="K47" i="41"/>
  <c r="W141" i="11"/>
  <c r="E82" i="11"/>
  <c r="K122" i="11"/>
  <c r="W143" i="11"/>
  <c r="Q173" i="41"/>
  <c r="M39" i="11"/>
  <c r="E112" i="41"/>
  <c r="S132" i="41"/>
  <c r="F169" i="41"/>
  <c r="E106" i="11"/>
  <c r="M151" i="41"/>
  <c r="W137" i="11"/>
  <c r="M192" i="41"/>
  <c r="W130" i="11"/>
  <c r="I159" i="41"/>
  <c r="E71" i="41"/>
  <c r="M173" i="11"/>
  <c r="E171" i="11"/>
  <c r="U79" i="11"/>
  <c r="K109" i="11"/>
  <c r="E54" i="11"/>
  <c r="Q76" i="41"/>
  <c r="M47" i="11"/>
  <c r="O146" i="11"/>
  <c r="Q159" i="11"/>
  <c r="F194" i="41"/>
  <c r="M136" i="41"/>
  <c r="S162" i="11"/>
  <c r="S67" i="11"/>
  <c r="E35" i="41"/>
  <c r="F26" i="41"/>
  <c r="M82" i="41"/>
  <c r="M148" i="11"/>
  <c r="S59" i="41"/>
  <c r="F48" i="41"/>
  <c r="M187" i="41"/>
  <c r="E33" i="41"/>
  <c r="F166" i="41"/>
  <c r="Q123" i="41"/>
  <c r="R123" i="41" s="1"/>
  <c r="O199" i="11"/>
  <c r="S125" i="41"/>
  <c r="E63" i="41"/>
  <c r="M53" i="11"/>
  <c r="E136" i="11"/>
  <c r="I62" i="11"/>
  <c r="K114" i="41"/>
  <c r="E146" i="41"/>
  <c r="Q144" i="41"/>
  <c r="Q157" i="41"/>
  <c r="F113" i="41"/>
  <c r="K195" i="41"/>
  <c r="U166" i="11"/>
  <c r="V166" i="11" s="1"/>
  <c r="W101" i="11"/>
  <c r="E88" i="41"/>
  <c r="F130" i="41"/>
  <c r="Q60" i="41"/>
  <c r="R60" i="41" s="1"/>
  <c r="F188" i="41"/>
  <c r="S99" i="41"/>
  <c r="F58" i="11"/>
  <c r="O116" i="41"/>
  <c r="I97" i="41"/>
  <c r="S165" i="11"/>
  <c r="S27" i="11"/>
  <c r="O161" i="11"/>
  <c r="S75" i="11"/>
  <c r="M127" i="41"/>
  <c r="Q118" i="41"/>
  <c r="Q174" i="11"/>
  <c r="U131" i="11"/>
  <c r="K195" i="11"/>
  <c r="E167" i="41"/>
  <c r="S52" i="41"/>
  <c r="Q149" i="11"/>
  <c r="O110" i="11"/>
  <c r="F109" i="41"/>
  <c r="E126" i="11"/>
  <c r="O175" i="41"/>
  <c r="K107" i="41"/>
  <c r="O95" i="11"/>
  <c r="I87" i="11"/>
  <c r="Q138" i="41"/>
  <c r="E96" i="11"/>
  <c r="M164" i="11"/>
  <c r="S160" i="11"/>
  <c r="U145" i="11"/>
  <c r="S37" i="11"/>
  <c r="K39" i="41"/>
  <c r="E142" i="11"/>
  <c r="E103" i="11"/>
  <c r="S83" i="41"/>
  <c r="E35" i="11"/>
  <c r="S154" i="11"/>
  <c r="F169" i="11"/>
  <c r="F191" i="11"/>
  <c r="S26" i="11"/>
  <c r="S129" i="11"/>
  <c r="M147" i="41"/>
  <c r="O64" i="11"/>
  <c r="S182" i="41"/>
  <c r="M49" i="11"/>
  <c r="Q61" i="11"/>
  <c r="I181" i="11"/>
  <c r="S74" i="11"/>
  <c r="Q177" i="11"/>
  <c r="M132" i="11"/>
  <c r="Q28" i="11"/>
  <c r="K57" i="41"/>
  <c r="Q138" i="11"/>
  <c r="Q192" i="11"/>
  <c r="R192" i="11" s="1"/>
  <c r="I100" i="41"/>
  <c r="E119" i="11"/>
  <c r="M160" i="41"/>
  <c r="N160" i="41" s="1"/>
  <c r="E114" i="11"/>
  <c r="U66" i="11"/>
  <c r="F51" i="11"/>
  <c r="O115" i="41"/>
  <c r="O116" i="11"/>
  <c r="I69" i="11"/>
  <c r="S128" i="11"/>
  <c r="S105" i="41"/>
  <c r="F148" i="41"/>
  <c r="E81" i="11"/>
  <c r="E174" i="41"/>
  <c r="F98" i="41"/>
  <c r="W188" i="11"/>
  <c r="K70" i="41"/>
  <c r="Q157" i="11"/>
  <c r="I185" i="41"/>
  <c r="Q196" i="11"/>
  <c r="E168" i="41"/>
  <c r="Q30" i="41"/>
  <c r="I126" i="41"/>
  <c r="K144" i="11"/>
  <c r="S193" i="11"/>
  <c r="O53" i="41"/>
  <c r="O131" i="41"/>
  <c r="K143" i="41"/>
  <c r="M172" i="41"/>
  <c r="E26" i="41"/>
  <c r="K82" i="41"/>
  <c r="Q148" i="11"/>
  <c r="M184" i="41"/>
  <c r="Q87" i="41"/>
  <c r="Q48" i="41"/>
  <c r="R48" i="41" s="1"/>
  <c r="S187" i="41"/>
  <c r="Q161" i="41"/>
  <c r="M166" i="41"/>
  <c r="N166" i="41" s="1"/>
  <c r="M123" i="41"/>
  <c r="W199" i="11"/>
  <c r="I125" i="41"/>
  <c r="O63" i="41"/>
  <c r="S53" i="11"/>
  <c r="M136" i="11"/>
  <c r="M62" i="11"/>
  <c r="Q114" i="41"/>
  <c r="I146" i="41"/>
  <c r="J146" i="41" s="1"/>
  <c r="I144" i="41"/>
  <c r="I121" i="41"/>
  <c r="J121" i="41" s="1"/>
  <c r="F195" i="41"/>
  <c r="S166" i="11"/>
  <c r="E101" i="11"/>
  <c r="S88" i="41"/>
  <c r="O60" i="41"/>
  <c r="I179" i="11"/>
  <c r="S188" i="41"/>
  <c r="K99" i="41"/>
  <c r="Q116" i="41"/>
  <c r="Q97" i="41"/>
  <c r="R97" i="41" s="1"/>
  <c r="U165" i="11"/>
  <c r="V165" i="11" s="1"/>
  <c r="M27" i="11"/>
  <c r="N27" i="11" s="1"/>
  <c r="W161" i="11"/>
  <c r="F75" i="11"/>
  <c r="O127" i="41"/>
  <c r="M118" i="41"/>
  <c r="U45" i="11"/>
  <c r="E131" i="11"/>
  <c r="U195" i="11"/>
  <c r="O167" i="41"/>
  <c r="W110" i="11"/>
  <c r="Y110" i="11" s="1"/>
  <c r="E109" i="41"/>
  <c r="W126" i="11"/>
  <c r="S175" i="41"/>
  <c r="Q107" i="41"/>
  <c r="R107" i="41" s="1"/>
  <c r="E95" i="11"/>
  <c r="F87" i="11"/>
  <c r="S138" i="41"/>
  <c r="F96" i="11"/>
  <c r="S164" i="11"/>
  <c r="U160" i="11"/>
  <c r="M140" i="41"/>
  <c r="F145" i="11"/>
  <c r="E37" i="11"/>
  <c r="M167" i="11"/>
  <c r="N167" i="11" s="1"/>
  <c r="S39" i="41"/>
  <c r="S71" i="11"/>
  <c r="I142" i="11"/>
  <c r="Q103" i="11"/>
  <c r="O83" i="41"/>
  <c r="K35" i="11"/>
  <c r="K154" i="11"/>
  <c r="M169" i="11"/>
  <c r="Q191" i="11"/>
  <c r="O26" i="11"/>
  <c r="U129" i="11"/>
  <c r="K147" i="41"/>
  <c r="E64" i="11"/>
  <c r="M182" i="41"/>
  <c r="N182" i="41" s="1"/>
  <c r="O49" i="11"/>
  <c r="W61" i="11"/>
  <c r="Q74" i="11"/>
  <c r="E151" i="11"/>
  <c r="Q132" i="11"/>
  <c r="W28" i="11"/>
  <c r="Y28" i="11" s="1"/>
  <c r="O57" i="41"/>
  <c r="O138" i="11"/>
  <c r="F192" i="11"/>
  <c r="E100" i="41"/>
  <c r="K55" i="11"/>
  <c r="O119" i="11"/>
  <c r="K160" i="41"/>
  <c r="O114" i="11"/>
  <c r="E66" i="11"/>
  <c r="Q51" i="11"/>
  <c r="S115" i="41"/>
  <c r="Q116" i="11"/>
  <c r="F69" i="11"/>
  <c r="F105" i="41"/>
  <c r="M148" i="41"/>
  <c r="N148" i="41" s="1"/>
  <c r="I81" i="11"/>
  <c r="J81" i="11" s="1"/>
  <c r="M174" i="41"/>
  <c r="E98" i="41"/>
  <c r="I188" i="11"/>
  <c r="I70" i="41"/>
  <c r="F157" i="11"/>
  <c r="O196" i="11"/>
  <c r="F168" i="41"/>
  <c r="F30" i="41"/>
  <c r="K126" i="41"/>
  <c r="O144" i="11"/>
  <c r="U193" i="11"/>
  <c r="V193" i="11" s="1"/>
  <c r="E53" i="41"/>
  <c r="F131" i="41"/>
  <c r="S143" i="41"/>
  <c r="S172" i="41"/>
  <c r="F170" i="41"/>
  <c r="Q198" i="11"/>
  <c r="S49" i="41"/>
  <c r="I108" i="11"/>
  <c r="K92" i="11"/>
  <c r="I145" i="41"/>
  <c r="F142" i="41"/>
  <c r="F103" i="41"/>
  <c r="K156" i="11"/>
  <c r="W163" i="11"/>
  <c r="O41" i="11"/>
  <c r="Q115" i="11"/>
  <c r="S176" i="11"/>
  <c r="Q31" i="41"/>
  <c r="Q129" i="41"/>
  <c r="R129" i="41" s="1"/>
  <c r="I123" i="11"/>
  <c r="F183" i="41"/>
  <c r="F112" i="11"/>
  <c r="M110" i="41"/>
  <c r="N110" i="41" s="1"/>
  <c r="O124" i="11"/>
  <c r="Q68" i="11"/>
  <c r="R68" i="11" s="1"/>
  <c r="I85" i="41"/>
  <c r="J85" i="41" s="1"/>
  <c r="F30" i="11"/>
  <c r="S62" i="41"/>
  <c r="I73" i="11"/>
  <c r="I42" i="41"/>
  <c r="O187" i="11"/>
  <c r="K194" i="11"/>
  <c r="F181" i="41"/>
  <c r="K36" i="11"/>
  <c r="Q108" i="41"/>
  <c r="E101" i="41"/>
  <c r="K172" i="11"/>
  <c r="M42" i="11"/>
  <c r="O81" i="41"/>
  <c r="F57" i="11"/>
  <c r="S83" i="11"/>
  <c r="M149" i="41"/>
  <c r="O77" i="11"/>
  <c r="E61" i="41"/>
  <c r="S113" i="11"/>
  <c r="F84" i="11"/>
  <c r="Q65" i="41"/>
  <c r="M43" i="41"/>
  <c r="O134" i="41"/>
  <c r="M185" i="11"/>
  <c r="I135" i="41"/>
  <c r="J135" i="41" s="1"/>
  <c r="I104" i="11"/>
  <c r="W43" i="11"/>
  <c r="Y43" i="11" s="1"/>
  <c r="Q58" i="41"/>
  <c r="M104" i="41"/>
  <c r="K72" i="11"/>
  <c r="O152" i="11"/>
  <c r="M56" i="11"/>
  <c r="M183" i="11"/>
  <c r="Q47" i="41"/>
  <c r="S141" i="11"/>
  <c r="U82" i="11"/>
  <c r="W122" i="11"/>
  <c r="K143" i="11"/>
  <c r="F120" i="11"/>
  <c r="Q39" i="11"/>
  <c r="M112" i="41"/>
  <c r="M132" i="41"/>
  <c r="E78" i="41"/>
  <c r="S106" i="11"/>
  <c r="E151" i="41"/>
  <c r="U137" i="11"/>
  <c r="V137" i="11" s="1"/>
  <c r="E192" i="41"/>
  <c r="K130" i="11"/>
  <c r="O159" i="41"/>
  <c r="K71" i="41"/>
  <c r="F173" i="11"/>
  <c r="F44" i="11"/>
  <c r="F76" i="11"/>
  <c r="Q171" i="11"/>
  <c r="E79" i="11"/>
  <c r="S168" i="11"/>
  <c r="F109" i="11"/>
  <c r="M119" i="41"/>
  <c r="U54" i="11"/>
  <c r="O76" i="41"/>
  <c r="W47" i="11"/>
  <c r="F146" i="11"/>
  <c r="U85" i="11"/>
  <c r="E153" i="11"/>
  <c r="K159" i="11"/>
  <c r="M194" i="41"/>
  <c r="U162" i="11"/>
  <c r="Q67" i="11"/>
  <c r="S86" i="11"/>
  <c r="Q35" i="41"/>
  <c r="M80" i="11"/>
  <c r="M179" i="41"/>
  <c r="S32" i="41"/>
  <c r="K150" i="41"/>
  <c r="I200" i="41"/>
  <c r="I84" i="41"/>
  <c r="I60" i="11"/>
  <c r="K107" i="11"/>
  <c r="S135" i="11"/>
  <c r="F170" i="11"/>
  <c r="E56" i="41"/>
  <c r="O162" i="41"/>
  <c r="F91" i="41"/>
  <c r="U134" i="11"/>
  <c r="O99" i="11"/>
  <c r="O50" i="11"/>
  <c r="S186" i="41"/>
  <c r="Q59" i="11"/>
  <c r="M163" i="41"/>
  <c r="E90" i="11"/>
  <c r="F66" i="41"/>
  <c r="M69" i="41"/>
  <c r="K178" i="11"/>
  <c r="K94" i="41"/>
  <c r="E117" i="11"/>
  <c r="E63" i="11"/>
  <c r="W102" i="11"/>
  <c r="E97" i="11"/>
  <c r="K197" i="41"/>
  <c r="M88" i="11"/>
  <c r="F165" i="41"/>
  <c r="M153" i="41"/>
  <c r="U93" i="11"/>
  <c r="K31" i="11"/>
  <c r="Q141" i="41"/>
  <c r="I78" i="11"/>
  <c r="F199" i="41"/>
  <c r="I40" i="41"/>
  <c r="K25" i="11"/>
  <c r="Q74" i="41"/>
  <c r="S139" i="41"/>
  <c r="E147" i="11"/>
  <c r="F46" i="11"/>
  <c r="E90" i="41"/>
  <c r="O46" i="41"/>
  <c r="E152" i="41"/>
  <c r="E70" i="11"/>
  <c r="F32" i="11"/>
  <c r="O92" i="41"/>
  <c r="W121" i="11"/>
  <c r="O120" i="41"/>
  <c r="O189" i="41"/>
  <c r="Q94" i="11"/>
  <c r="U180" i="11"/>
  <c r="F140" i="11"/>
  <c r="F29" i="41"/>
  <c r="S52" i="11"/>
  <c r="I48" i="11"/>
  <c r="U190" i="11"/>
  <c r="F89" i="11"/>
  <c r="W34" i="11"/>
  <c r="Q127" i="11"/>
  <c r="O111" i="11"/>
  <c r="O122" i="41"/>
  <c r="M105" i="11"/>
  <c r="O68" i="41"/>
  <c r="M139" i="11"/>
  <c r="F91" i="11"/>
  <c r="U186" i="11"/>
  <c r="W182" i="11"/>
  <c r="S28" i="41"/>
  <c r="K111" i="41"/>
  <c r="U40" i="11"/>
  <c r="I172" i="11"/>
  <c r="E42" i="11"/>
  <c r="I57" i="11"/>
  <c r="U133" i="11"/>
  <c r="O149" i="41"/>
  <c r="F77" i="11"/>
  <c r="Q61" i="41"/>
  <c r="F113" i="11"/>
  <c r="S84" i="11"/>
  <c r="O65" i="41"/>
  <c r="O43" i="41"/>
  <c r="K134" i="41"/>
  <c r="O185" i="11"/>
  <c r="M106" i="41"/>
  <c r="S104" i="11"/>
  <c r="S164" i="41"/>
  <c r="K43" i="11"/>
  <c r="M58" i="41"/>
  <c r="N58" i="41" s="1"/>
  <c r="F104" i="41"/>
  <c r="W72" i="11"/>
  <c r="Q152" i="11"/>
  <c r="E56" i="11"/>
  <c r="Q183" i="11"/>
  <c r="E47" i="41"/>
  <c r="I141" i="11"/>
  <c r="F82" i="11"/>
  <c r="M122" i="11"/>
  <c r="S143" i="11"/>
  <c r="I120" i="11"/>
  <c r="E39" i="11"/>
  <c r="I112" i="41"/>
  <c r="K132" i="41"/>
  <c r="Q78" i="41"/>
  <c r="O106" i="11"/>
  <c r="F151" i="41"/>
  <c r="M77" i="41"/>
  <c r="Q137" i="11"/>
  <c r="I192" i="41"/>
  <c r="S159" i="41"/>
  <c r="S71" i="41"/>
  <c r="E173" i="11"/>
  <c r="M44" i="11"/>
  <c r="S76" i="11"/>
  <c r="U171" i="11"/>
  <c r="K79" i="11"/>
  <c r="M168" i="11"/>
  <c r="S109" i="11"/>
  <c r="Q119" i="41"/>
  <c r="F54" i="11"/>
  <c r="U47" i="11"/>
  <c r="M146" i="11"/>
  <c r="E85" i="11"/>
  <c r="M153" i="11"/>
  <c r="F159" i="11"/>
  <c r="S194" i="41"/>
  <c r="I162" i="11"/>
  <c r="F67" i="11"/>
  <c r="Q86" i="11"/>
  <c r="R86" i="11" s="1"/>
  <c r="M35" i="41"/>
  <c r="E80" i="11"/>
  <c r="S179" i="41"/>
  <c r="K32" i="41"/>
  <c r="S200" i="41"/>
  <c r="K60" i="11"/>
  <c r="S117" i="41"/>
  <c r="W107" i="11"/>
  <c r="Q135" i="11"/>
  <c r="S170" i="11"/>
  <c r="I162" i="41"/>
  <c r="I91" i="41"/>
  <c r="I134" i="11"/>
  <c r="E99" i="11"/>
  <c r="E178" i="41"/>
  <c r="E50" i="11"/>
  <c r="O186" i="41"/>
  <c r="O59" i="11"/>
  <c r="I163" i="41"/>
  <c r="I90" i="11"/>
  <c r="Q66" i="41"/>
  <c r="K69" i="41"/>
  <c r="F178" i="11"/>
  <c r="E94" i="41"/>
  <c r="I117" i="11"/>
  <c r="S63" i="11"/>
  <c r="Q102" i="11"/>
  <c r="F97" i="11"/>
  <c r="I197" i="41"/>
  <c r="U88" i="11"/>
  <c r="S165" i="41"/>
  <c r="K153" i="41"/>
  <c r="Q93" i="11"/>
  <c r="I31" i="11"/>
  <c r="O141" i="41"/>
  <c r="Q78" i="11"/>
  <c r="M199" i="41"/>
  <c r="Q40" i="41"/>
  <c r="O74" i="41"/>
  <c r="Q139" i="41"/>
  <c r="R139" i="41" s="1"/>
  <c r="F147" i="11"/>
  <c r="M46" i="11"/>
  <c r="M90" i="41"/>
  <c r="F46" i="41"/>
  <c r="O152" i="41"/>
  <c r="O70" i="11"/>
  <c r="S32" i="11"/>
  <c r="M44" i="41"/>
  <c r="I92" i="41"/>
  <c r="E121" i="11"/>
  <c r="K120" i="41"/>
  <c r="F189" i="41"/>
  <c r="U94" i="11"/>
  <c r="D193" i="41"/>
  <c r="F154" i="41"/>
  <c r="S158" i="11"/>
  <c r="E140" i="11"/>
  <c r="E29" i="41"/>
  <c r="E52" i="11"/>
  <c r="W48" i="11"/>
  <c r="I190" i="11"/>
  <c r="I34" i="11"/>
  <c r="W118" i="11"/>
  <c r="S127" i="11"/>
  <c r="M111" i="11"/>
  <c r="M122" i="41"/>
  <c r="K105" i="11"/>
  <c r="M68" i="41"/>
  <c r="K139" i="11"/>
  <c r="I155" i="11"/>
  <c r="S91" i="11"/>
  <c r="O186" i="11"/>
  <c r="E182" i="11"/>
  <c r="O28" i="41"/>
  <c r="O111" i="41"/>
  <c r="Q40" i="11"/>
  <c r="Q62" i="41"/>
  <c r="R62" i="41" s="1"/>
  <c r="U73" i="11"/>
  <c r="O50" i="41"/>
  <c r="S42" i="41"/>
  <c r="F187" i="11"/>
  <c r="S33" i="11"/>
  <c r="M194" i="11"/>
  <c r="S36" i="11"/>
  <c r="O108" i="41"/>
  <c r="M101" i="41"/>
  <c r="S172" i="11"/>
  <c r="I42" i="11"/>
  <c r="U57" i="11"/>
  <c r="S133" i="11"/>
  <c r="S149" i="41"/>
  <c r="S77" i="11"/>
  <c r="K61" i="41"/>
  <c r="K113" i="11"/>
  <c r="Q84" i="11"/>
  <c r="R84" i="11" s="1"/>
  <c r="Q96" i="41"/>
  <c r="E65" i="41"/>
  <c r="E43" i="41"/>
  <c r="M134" i="41"/>
  <c r="U185" i="11"/>
  <c r="F106" i="41"/>
  <c r="W104" i="11"/>
  <c r="I95" i="41"/>
  <c r="Q100" i="11"/>
  <c r="K164" i="41"/>
  <c r="E43" i="11"/>
  <c r="K58" i="41"/>
  <c r="E104" i="41"/>
  <c r="E72" i="11"/>
  <c r="E152" i="11"/>
  <c r="K183" i="11"/>
  <c r="I47" i="41"/>
  <c r="E141" i="11"/>
  <c r="K82" i="11"/>
  <c r="S122" i="11"/>
  <c r="M143" i="11"/>
  <c r="N143" i="11" s="1"/>
  <c r="S120" i="11"/>
  <c r="F39" i="11"/>
  <c r="K112" i="41"/>
  <c r="E132" i="41"/>
  <c r="I78" i="41"/>
  <c r="J78" i="41" s="1"/>
  <c r="U106" i="11"/>
  <c r="K151" i="41"/>
  <c r="Q77" i="41"/>
  <c r="R77" i="41" s="1"/>
  <c r="O137" i="11"/>
  <c r="D192" i="41"/>
  <c r="S27" i="41"/>
  <c r="E159" i="41"/>
  <c r="F71" i="41"/>
  <c r="U173" i="11"/>
  <c r="E44" i="11"/>
  <c r="M76" i="11"/>
  <c r="S171" i="11"/>
  <c r="Q79" i="11"/>
  <c r="K168" i="11"/>
  <c r="Q109" i="11"/>
  <c r="I119" i="41"/>
  <c r="W54" i="11"/>
  <c r="I75" i="41"/>
  <c r="K85" i="11"/>
  <c r="O153" i="11"/>
  <c r="O159" i="11"/>
  <c r="Q194" i="41"/>
  <c r="E162" i="11"/>
  <c r="O67" i="11"/>
  <c r="O86" i="11"/>
  <c r="K35" i="41"/>
  <c r="O80" i="11"/>
  <c r="I179" i="41"/>
  <c r="Q32" i="41"/>
  <c r="M200" i="41"/>
  <c r="S60" i="11"/>
  <c r="Q117" i="41"/>
  <c r="I107" i="11"/>
  <c r="F86" i="41"/>
  <c r="K135" i="11"/>
  <c r="U170" i="11"/>
  <c r="I98" i="11"/>
  <c r="M162" i="41"/>
  <c r="Q91" i="41"/>
  <c r="O134" i="11"/>
  <c r="W99" i="11"/>
  <c r="F178" i="41"/>
  <c r="U50" i="11"/>
  <c r="F186" i="41"/>
  <c r="W59" i="11"/>
  <c r="F171" i="41"/>
  <c r="O73" i="41"/>
  <c r="S163" i="41"/>
  <c r="F90" i="11"/>
  <c r="O66" i="41"/>
  <c r="O69" i="41"/>
  <c r="Q178" i="11"/>
  <c r="M94" i="41"/>
  <c r="Q117" i="11"/>
  <c r="M102" i="11"/>
  <c r="S97" i="11"/>
  <c r="F197" i="41"/>
  <c r="E88" i="11"/>
  <c r="E165" i="41"/>
  <c r="K93" i="11"/>
  <c r="M31" i="11"/>
  <c r="S141" i="41"/>
  <c r="K78" i="11"/>
  <c r="E199" i="41"/>
  <c r="I191" i="41"/>
  <c r="I72" i="41"/>
  <c r="F74" i="41"/>
  <c r="O139" i="41"/>
  <c r="M147" i="11"/>
  <c r="Q90" i="41"/>
  <c r="K46" i="41"/>
  <c r="Q152" i="41"/>
  <c r="K70" i="11"/>
  <c r="Q32" i="11"/>
  <c r="Q44" i="41"/>
  <c r="Q92" i="41"/>
  <c r="K121" i="11"/>
  <c r="S120" i="41"/>
  <c r="E189" i="41"/>
  <c r="O94" i="11"/>
  <c r="E193" i="41"/>
  <c r="Q154" i="41"/>
  <c r="W158" i="11"/>
  <c r="I140" i="11"/>
  <c r="S29" i="41"/>
  <c r="I52" i="11"/>
  <c r="K48" i="11"/>
  <c r="K190" i="11"/>
  <c r="K196" i="41"/>
  <c r="F34" i="11"/>
  <c r="U118" i="11"/>
  <c r="I127" i="11"/>
  <c r="O137" i="41"/>
  <c r="I105" i="11"/>
  <c r="I68" i="41"/>
  <c r="I139" i="11"/>
  <c r="W155" i="11"/>
  <c r="K91" i="11"/>
  <c r="S186" i="11"/>
  <c r="U182" i="11"/>
  <c r="E28" i="41"/>
  <c r="E54" i="41"/>
  <c r="S40" i="11"/>
  <c r="O112" i="41"/>
  <c r="S78" i="41"/>
  <c r="K106" i="11"/>
  <c r="Q151" i="41"/>
  <c r="K77" i="41"/>
  <c r="S137" i="11"/>
  <c r="K192" i="41"/>
  <c r="I130" i="11"/>
  <c r="K27" i="41"/>
  <c r="M159" i="41"/>
  <c r="K173" i="11"/>
  <c r="S44" i="11"/>
  <c r="K76" i="11"/>
  <c r="M171" i="11"/>
  <c r="I79" i="11"/>
  <c r="J79" i="11" s="1"/>
  <c r="I168" i="11"/>
  <c r="M109" i="11"/>
  <c r="K119" i="41"/>
  <c r="O54" i="11"/>
  <c r="Q75" i="41"/>
  <c r="Q85" i="11"/>
  <c r="Q153" i="11"/>
  <c r="I159" i="11"/>
  <c r="E136" i="41"/>
  <c r="K162" i="11"/>
  <c r="I67" i="11"/>
  <c r="W86" i="11"/>
  <c r="S35" i="41"/>
  <c r="S80" i="11"/>
  <c r="F179" i="41"/>
  <c r="M32" i="41"/>
  <c r="E200" i="41"/>
  <c r="I117" i="41"/>
  <c r="Q107" i="11"/>
  <c r="S86" i="41"/>
  <c r="W135" i="11"/>
  <c r="W170" i="11"/>
  <c r="K98" i="11"/>
  <c r="M134" i="11"/>
  <c r="I99" i="11"/>
  <c r="Q178" i="41"/>
  <c r="F50" i="11"/>
  <c r="M186" i="41"/>
  <c r="I59" i="11"/>
  <c r="O171" i="41"/>
  <c r="M73" i="41"/>
  <c r="F163" i="41"/>
  <c r="M90" i="11"/>
  <c r="M66" i="41"/>
  <c r="O178" i="11"/>
  <c r="M117" i="11"/>
  <c r="K63" i="11"/>
  <c r="K102" i="11"/>
  <c r="M97" i="11"/>
  <c r="S197" i="41"/>
  <c r="I88" i="11"/>
  <c r="Q165" i="41"/>
  <c r="W93" i="11"/>
  <c r="O31" i="11"/>
  <c r="E78" i="11"/>
  <c r="D199" i="41"/>
  <c r="F37" i="41"/>
  <c r="I25" i="11"/>
  <c r="E191" i="41"/>
  <c r="M72" i="41"/>
  <c r="S74" i="41"/>
  <c r="K139" i="41"/>
  <c r="W147" i="11"/>
  <c r="O51" i="41"/>
  <c r="S90" i="41"/>
  <c r="E46" i="41"/>
  <c r="F152" i="41"/>
  <c r="Q70" i="11"/>
  <c r="U32" i="11"/>
  <c r="S44" i="41"/>
  <c r="F92" i="41"/>
  <c r="O121" i="11"/>
  <c r="Q120" i="41"/>
  <c r="E155" i="41"/>
  <c r="S189" i="41"/>
  <c r="M94" i="11"/>
  <c r="K193" i="41"/>
  <c r="I180" i="11"/>
  <c r="E154" i="41"/>
  <c r="U158" i="11"/>
  <c r="K140" i="11"/>
  <c r="M29" i="41"/>
  <c r="F52" i="11"/>
  <c r="O48" i="11"/>
  <c r="F190" i="11"/>
  <c r="K89" i="11"/>
  <c r="F196" i="41"/>
  <c r="U34" i="11"/>
  <c r="Q118" i="11"/>
  <c r="W127" i="11"/>
  <c r="S137" i="41"/>
  <c r="E45" i="41"/>
  <c r="U105" i="11"/>
  <c r="S68" i="41"/>
  <c r="U139" i="11"/>
  <c r="U155" i="11"/>
  <c r="I91" i="11"/>
  <c r="I186" i="11"/>
  <c r="M182" i="11"/>
  <c r="F28" i="41"/>
  <c r="O54" i="41"/>
  <c r="K40" i="11"/>
  <c r="M82" i="11"/>
  <c r="Q143" i="11"/>
  <c r="O173" i="41"/>
  <c r="M120" i="11"/>
  <c r="F112" i="41"/>
  <c r="I169" i="41"/>
  <c r="J169" i="41" s="1"/>
  <c r="M78" i="41"/>
  <c r="O77" i="41"/>
  <c r="M137" i="11"/>
  <c r="O192" i="41"/>
  <c r="U130" i="11"/>
  <c r="E27" i="41"/>
  <c r="K159" i="41"/>
  <c r="O173" i="11"/>
  <c r="K44" i="11"/>
  <c r="I76" i="11"/>
  <c r="I171" i="11"/>
  <c r="U168" i="11"/>
  <c r="U109" i="11"/>
  <c r="E119" i="41"/>
  <c r="K54" i="11"/>
  <c r="K76" i="41"/>
  <c r="E47" i="11"/>
  <c r="K75" i="41"/>
  <c r="S146" i="11"/>
  <c r="I85" i="11"/>
  <c r="W153" i="11"/>
  <c r="W159" i="11"/>
  <c r="Q136" i="41"/>
  <c r="W162" i="11"/>
  <c r="M86" i="11"/>
  <c r="N86" i="11" s="1"/>
  <c r="O35" i="41"/>
  <c r="W80" i="11"/>
  <c r="K179" i="41"/>
  <c r="K200" i="41"/>
  <c r="F102" i="41"/>
  <c r="E79" i="41"/>
  <c r="O117" i="41"/>
  <c r="F107" i="11"/>
  <c r="Q86" i="41"/>
  <c r="F135" i="11"/>
  <c r="E170" i="11"/>
  <c r="E98" i="11"/>
  <c r="E134" i="11"/>
  <c r="Q180" i="41"/>
  <c r="K178" i="41"/>
  <c r="W50" i="11"/>
  <c r="Q186" i="41"/>
  <c r="Q171" i="41"/>
  <c r="K73" i="41"/>
  <c r="O163" i="41"/>
  <c r="U90" i="11"/>
  <c r="I66" i="41"/>
  <c r="E89" i="41"/>
  <c r="O117" i="11"/>
  <c r="I63" i="11"/>
  <c r="I102" i="11"/>
  <c r="K97" i="11"/>
  <c r="M197" i="41"/>
  <c r="Q88" i="11"/>
  <c r="K165" i="41"/>
  <c r="O93" i="11"/>
  <c r="W31" i="11"/>
  <c r="W78" i="11"/>
  <c r="Q199" i="41"/>
  <c r="Q37" i="41"/>
  <c r="M25" i="11"/>
  <c r="D191" i="41"/>
  <c r="O72" i="41"/>
  <c r="E74" i="41"/>
  <c r="F139" i="41"/>
  <c r="S147" i="11"/>
  <c r="O46" i="11"/>
  <c r="I51" i="41"/>
  <c r="K90" i="41"/>
  <c r="I46" i="41"/>
  <c r="M152" i="41"/>
  <c r="F70" i="11"/>
  <c r="W32" i="11"/>
  <c r="Y32" i="11" s="1"/>
  <c r="E44" i="41"/>
  <c r="M92" i="41"/>
  <c r="Q121" i="11"/>
  <c r="S67" i="41"/>
  <c r="E120" i="41"/>
  <c r="I155" i="41"/>
  <c r="F94" i="11"/>
  <c r="M193" i="41"/>
  <c r="W180" i="11"/>
  <c r="O154" i="41"/>
  <c r="F80" i="41"/>
  <c r="I158" i="11"/>
  <c r="U140" i="11"/>
  <c r="O29" i="41"/>
  <c r="K52" i="11"/>
  <c r="M48" i="11"/>
  <c r="S190" i="11"/>
  <c r="O89" i="11"/>
  <c r="Q196" i="41"/>
  <c r="S34" i="11"/>
  <c r="K118" i="11"/>
  <c r="M127" i="11"/>
  <c r="I137" i="41"/>
  <c r="O38" i="41"/>
  <c r="I111" i="11"/>
  <c r="M45" i="41"/>
  <c r="F105" i="11"/>
  <c r="K68" i="41"/>
  <c r="F139" i="11"/>
  <c r="E155" i="11"/>
  <c r="E91" i="11"/>
  <c r="K186" i="11"/>
  <c r="O182" i="11"/>
  <c r="I28" i="41"/>
  <c r="M54" i="41"/>
  <c r="W40" i="11"/>
  <c r="I173" i="41"/>
  <c r="J173" i="41" s="1"/>
  <c r="U120" i="11"/>
  <c r="V120" i="11" s="1"/>
  <c r="K39" i="11"/>
  <c r="Q112" i="41"/>
  <c r="S169" i="41"/>
  <c r="O78" i="41"/>
  <c r="I106" i="11"/>
  <c r="E77" i="41"/>
  <c r="F137" i="11"/>
  <c r="F192" i="41"/>
  <c r="Q130" i="11"/>
  <c r="I27" i="41"/>
  <c r="F159" i="41"/>
  <c r="Q44" i="11"/>
  <c r="O76" i="11"/>
  <c r="E168" i="11"/>
  <c r="I109" i="11"/>
  <c r="O119" i="41"/>
  <c r="S54" i="11"/>
  <c r="M76" i="41"/>
  <c r="I47" i="11"/>
  <c r="F75" i="41"/>
  <c r="K146" i="11"/>
  <c r="F85" i="11"/>
  <c r="K153" i="11"/>
  <c r="S159" i="11"/>
  <c r="F136" i="41"/>
  <c r="M162" i="11"/>
  <c r="I86" i="11"/>
  <c r="U80" i="11"/>
  <c r="Q179" i="41"/>
  <c r="M150" i="41"/>
  <c r="Q84" i="41"/>
  <c r="E60" i="11"/>
  <c r="K102" i="41"/>
  <c r="O79" i="41"/>
  <c r="F117" i="41"/>
  <c r="U107" i="11"/>
  <c r="E86" i="41"/>
  <c r="O135" i="11"/>
  <c r="I170" i="11"/>
  <c r="S56" i="41"/>
  <c r="U98" i="11"/>
  <c r="F180" i="41"/>
  <c r="O178" i="41"/>
  <c r="K50" i="11"/>
  <c r="I171" i="41"/>
  <c r="S73" i="41"/>
  <c r="K163" i="41"/>
  <c r="Q90" i="11"/>
  <c r="E66" i="41"/>
  <c r="M89" i="41"/>
  <c r="U102" i="11"/>
  <c r="U97" i="11"/>
  <c r="W88" i="11"/>
  <c r="F93" i="11"/>
  <c r="E31" i="11"/>
  <c r="S78" i="11"/>
  <c r="O199" i="41"/>
  <c r="E37" i="41"/>
  <c r="O25" i="11"/>
  <c r="F191" i="41"/>
  <c r="E72" i="41"/>
  <c r="M74" i="41"/>
  <c r="I139" i="41"/>
  <c r="I147" i="11"/>
  <c r="S46" i="11"/>
  <c r="F51" i="41"/>
  <c r="I90" i="41"/>
  <c r="Q46" i="41"/>
  <c r="K152" i="41"/>
  <c r="M70" i="11"/>
  <c r="I32" i="11"/>
  <c r="K44" i="41"/>
  <c r="E92" i="41"/>
  <c r="M67" i="41"/>
  <c r="M120" i="41"/>
  <c r="S155" i="41"/>
  <c r="K189" i="41"/>
  <c r="W94" i="11"/>
  <c r="Q193" i="41"/>
  <c r="M180" i="11"/>
  <c r="S154" i="41"/>
  <c r="Q80" i="41"/>
  <c r="Q158" i="11"/>
  <c r="Q140" i="11"/>
  <c r="Q29" i="41"/>
  <c r="W52" i="11"/>
  <c r="D190" i="11"/>
  <c r="Q89" i="11"/>
  <c r="S196" i="41"/>
  <c r="Q34" i="11"/>
  <c r="S118" i="11"/>
  <c r="U127" i="11"/>
  <c r="Q137" i="41"/>
  <c r="I38" i="41"/>
  <c r="Q111" i="11"/>
  <c r="O45" i="41"/>
  <c r="E105" i="11"/>
  <c r="F68" i="41"/>
  <c r="S139" i="11"/>
  <c r="S155" i="11"/>
  <c r="O91" i="11"/>
  <c r="M186" i="11"/>
  <c r="Q54" i="41"/>
  <c r="I40" i="11"/>
  <c r="I44" i="11"/>
  <c r="Q76" i="11"/>
  <c r="M79" i="11"/>
  <c r="W168" i="11"/>
  <c r="W109" i="11"/>
  <c r="F119" i="41"/>
  <c r="I76" i="41"/>
  <c r="Q47" i="11"/>
  <c r="O75" i="41"/>
  <c r="W146" i="11"/>
  <c r="S85" i="11"/>
  <c r="F153" i="11"/>
  <c r="E159" i="11"/>
  <c r="K194" i="41"/>
  <c r="I136" i="41"/>
  <c r="K67" i="11"/>
  <c r="F86" i="11"/>
  <c r="K80" i="11"/>
  <c r="O179" i="41"/>
  <c r="E150" i="41"/>
  <c r="S84" i="41"/>
  <c r="M60" i="11"/>
  <c r="S102" i="41"/>
  <c r="K79" i="41"/>
  <c r="M117" i="41"/>
  <c r="O107" i="11"/>
  <c r="I86" i="41"/>
  <c r="E135" i="11"/>
  <c r="O170" i="11"/>
  <c r="I56" i="41"/>
  <c r="W98" i="11"/>
  <c r="U99" i="11"/>
  <c r="O180" i="41"/>
  <c r="S178" i="41"/>
  <c r="S50" i="11"/>
  <c r="U59" i="11"/>
  <c r="M171" i="41"/>
  <c r="I73" i="41"/>
  <c r="F89" i="41"/>
  <c r="S178" i="11"/>
  <c r="W63" i="11"/>
  <c r="O97" i="11"/>
  <c r="F88" i="11"/>
  <c r="F153" i="41"/>
  <c r="I93" i="11"/>
  <c r="O78" i="11"/>
  <c r="K40" i="41"/>
  <c r="M37" i="41"/>
  <c r="E25" i="11"/>
  <c r="S191" i="41"/>
  <c r="S72" i="41"/>
  <c r="I74" i="41"/>
  <c r="M139" i="41"/>
  <c r="U147" i="11"/>
  <c r="I46" i="11"/>
  <c r="S51" i="41"/>
  <c r="F90" i="41"/>
  <c r="M46" i="41"/>
  <c r="N46" i="41" s="1"/>
  <c r="I152" i="41"/>
  <c r="I70" i="11"/>
  <c r="O32" i="11"/>
  <c r="I44" i="41"/>
  <c r="O67" i="41"/>
  <c r="F120" i="41"/>
  <c r="M155" i="41"/>
  <c r="S193" i="41"/>
  <c r="F180" i="11"/>
  <c r="I154" i="41"/>
  <c r="K80" i="41"/>
  <c r="F158" i="11"/>
  <c r="M140" i="11"/>
  <c r="I29" i="41"/>
  <c r="E190" i="11"/>
  <c r="I89" i="11"/>
  <c r="D196" i="41"/>
  <c r="K34" i="11"/>
  <c r="M118" i="11"/>
  <c r="E127" i="11"/>
  <c r="K137" i="41"/>
  <c r="S38" i="41"/>
  <c r="F111" i="11"/>
  <c r="K122" i="41"/>
  <c r="I45" i="41"/>
  <c r="Q105" i="11"/>
  <c r="E68" i="41"/>
  <c r="Q139" i="11"/>
  <c r="M91" i="11"/>
  <c r="I111" i="41"/>
  <c r="F54" i="41"/>
  <c r="O40" i="11"/>
  <c r="D196" i="11"/>
  <c r="E30" i="41"/>
  <c r="S34" i="41"/>
  <c r="I144" i="11"/>
  <c r="O193" i="11"/>
  <c r="I198" i="11"/>
  <c r="F150" i="11"/>
  <c r="M49" i="41"/>
  <c r="K103" i="41"/>
  <c r="M36" i="41"/>
  <c r="N36" i="41" s="1"/>
  <c r="I128" i="41"/>
  <c r="Q156" i="11"/>
  <c r="R156" i="11" s="1"/>
  <c r="F29" i="11"/>
  <c r="K163" i="11"/>
  <c r="F41" i="11"/>
  <c r="F158" i="41"/>
  <c r="S115" i="11"/>
  <c r="K129" i="41"/>
  <c r="O55" i="41"/>
  <c r="O112" i="11"/>
  <c r="F110" i="41"/>
  <c r="W124" i="11"/>
  <c r="I68" i="11"/>
  <c r="J68" i="11" s="1"/>
  <c r="S85" i="41"/>
  <c r="S30" i="11"/>
  <c r="E62" i="41"/>
  <c r="M73" i="11"/>
  <c r="F50" i="41"/>
  <c r="W187" i="11"/>
  <c r="I156" i="41"/>
  <c r="U33" i="11"/>
  <c r="V33" i="11" s="1"/>
  <c r="F194" i="11"/>
  <c r="O181" i="41"/>
  <c r="I36" i="11"/>
  <c r="F101" i="41"/>
  <c r="M93" i="41"/>
  <c r="M133" i="41"/>
  <c r="U172" i="11"/>
  <c r="O42" i="11"/>
  <c r="S81" i="41"/>
  <c r="E57" i="11"/>
  <c r="E133" i="11"/>
  <c r="W83" i="11"/>
  <c r="Y83" i="11" s="1"/>
  <c r="K77" i="11"/>
  <c r="Q113" i="11"/>
  <c r="W84" i="11"/>
  <c r="O96" i="41"/>
  <c r="E185" i="11"/>
  <c r="O135" i="41"/>
  <c r="Q106" i="41"/>
  <c r="U104" i="11"/>
  <c r="M95" i="41"/>
  <c r="O100" i="11"/>
  <c r="F164" i="41"/>
  <c r="O43" i="11"/>
  <c r="I72" i="11"/>
  <c r="W152" i="11"/>
  <c r="U56" i="11"/>
  <c r="E183" i="11"/>
  <c r="M141" i="11"/>
  <c r="W82" i="11"/>
  <c r="E122" i="11"/>
  <c r="S173" i="41"/>
  <c r="Q120" i="11"/>
  <c r="U39" i="11"/>
  <c r="Q132" i="41"/>
  <c r="O169" i="41"/>
  <c r="F78" i="41"/>
  <c r="M106" i="11"/>
  <c r="I77" i="41"/>
  <c r="I137" i="11"/>
  <c r="J137" i="11" s="1"/>
  <c r="O130" i="11"/>
  <c r="O27" i="41"/>
  <c r="Q71" i="41"/>
  <c r="I173" i="11"/>
  <c r="W44" i="11"/>
  <c r="U76" i="11"/>
  <c r="K171" i="11"/>
  <c r="F79" i="11"/>
  <c r="O168" i="11"/>
  <c r="E109" i="11"/>
  <c r="S119" i="41"/>
  <c r="E76" i="41"/>
  <c r="O47" i="11"/>
  <c r="E75" i="41"/>
  <c r="Q146" i="11"/>
  <c r="R146" i="11" s="1"/>
  <c r="M85" i="11"/>
  <c r="I153" i="11"/>
  <c r="M159" i="11"/>
  <c r="E194" i="41"/>
  <c r="K136" i="41"/>
  <c r="E67" i="11"/>
  <c r="E86" i="11"/>
  <c r="F80" i="11"/>
  <c r="F150" i="41"/>
  <c r="O84" i="41"/>
  <c r="O60" i="11"/>
  <c r="M102" i="41"/>
  <c r="I79" i="41"/>
  <c r="E117" i="41"/>
  <c r="O86" i="41"/>
  <c r="U135" i="11"/>
  <c r="M170" i="11"/>
  <c r="O56" i="41"/>
  <c r="M98" i="11"/>
  <c r="K162" i="41"/>
  <c r="K91" i="41"/>
  <c r="W134" i="11"/>
  <c r="S99" i="11"/>
  <c r="E180" i="41"/>
  <c r="M178" i="41"/>
  <c r="M50" i="11"/>
  <c r="K59" i="11"/>
  <c r="S171" i="41"/>
  <c r="F73" i="41"/>
  <c r="Q163" i="41"/>
  <c r="S69" i="41"/>
  <c r="S89" i="41"/>
  <c r="I178" i="11"/>
  <c r="O94" i="41"/>
  <c r="W117" i="11"/>
  <c r="F63" i="11"/>
  <c r="O88" i="11"/>
  <c r="Q153" i="41"/>
  <c r="F141" i="41"/>
  <c r="U78" i="11"/>
  <c r="O40" i="41"/>
  <c r="S37" i="41"/>
  <c r="W25" i="11"/>
  <c r="M191" i="41"/>
  <c r="K72" i="41"/>
  <c r="K147" i="11"/>
  <c r="U46" i="11"/>
  <c r="Q51" i="41"/>
  <c r="R51" i="41" s="1"/>
  <c r="O90" i="41"/>
  <c r="S46" i="41"/>
  <c r="S152" i="41"/>
  <c r="K32" i="11"/>
  <c r="O44" i="41"/>
  <c r="U121" i="11"/>
  <c r="V121" i="11" s="1"/>
  <c r="Q67" i="41"/>
  <c r="I120" i="41"/>
  <c r="K155" i="41"/>
  <c r="E94" i="11"/>
  <c r="F193" i="41"/>
  <c r="S180" i="11"/>
  <c r="K154" i="41"/>
  <c r="S80" i="41"/>
  <c r="M158" i="11"/>
  <c r="S140" i="11"/>
  <c r="Q48" i="11"/>
  <c r="W190" i="11"/>
  <c r="M89" i="11"/>
  <c r="O196" i="41"/>
  <c r="O34" i="11"/>
  <c r="F118" i="11"/>
  <c r="O127" i="11"/>
  <c r="E137" i="41"/>
  <c r="Q38" i="41"/>
  <c r="U111" i="11"/>
  <c r="S122" i="41"/>
  <c r="Q45" i="41"/>
  <c r="W105" i="11"/>
  <c r="W139" i="11"/>
  <c r="M155" i="11"/>
  <c r="S182" i="11"/>
  <c r="F111" i="41"/>
  <c r="E40" i="11"/>
  <c r="W67" i="11"/>
  <c r="U86" i="11"/>
  <c r="I80" i="11"/>
  <c r="O32" i="41"/>
  <c r="Q150" i="41"/>
  <c r="Q200" i="41"/>
  <c r="F84" i="41"/>
  <c r="Q60" i="11"/>
  <c r="I102" i="41"/>
  <c r="M79" i="41"/>
  <c r="K117" i="41"/>
  <c r="K86" i="41"/>
  <c r="I135" i="11"/>
  <c r="K56" i="41"/>
  <c r="O98" i="11"/>
  <c r="S162" i="41"/>
  <c r="S91" i="41"/>
  <c r="F134" i="11"/>
  <c r="F99" i="11"/>
  <c r="I180" i="41"/>
  <c r="I178" i="41"/>
  <c r="E59" i="11"/>
  <c r="K171" i="41"/>
  <c r="E73" i="41"/>
  <c r="W90" i="11"/>
  <c r="F69" i="41"/>
  <c r="Q89" i="41"/>
  <c r="M178" i="11"/>
  <c r="N178" i="11" s="1"/>
  <c r="Q94" i="41"/>
  <c r="U117" i="11"/>
  <c r="Q63" i="11"/>
  <c r="E102" i="11"/>
  <c r="D197" i="41"/>
  <c r="O153" i="41"/>
  <c r="S31" i="11"/>
  <c r="M141" i="41"/>
  <c r="F40" i="41"/>
  <c r="K37" i="41"/>
  <c r="S25" i="11"/>
  <c r="Q191" i="41"/>
  <c r="Q72" i="41"/>
  <c r="Q46" i="11"/>
  <c r="M51" i="41"/>
  <c r="M32" i="11"/>
  <c r="F44" i="41"/>
  <c r="M121" i="11"/>
  <c r="K67" i="41"/>
  <c r="Q155" i="41"/>
  <c r="O193" i="41"/>
  <c r="K180" i="11"/>
  <c r="M154" i="41"/>
  <c r="O80" i="41"/>
  <c r="O158" i="11"/>
  <c r="W140" i="11"/>
  <c r="Y140" i="11" s="1"/>
  <c r="M52" i="11"/>
  <c r="S48" i="11"/>
  <c r="M190" i="11"/>
  <c r="W89" i="11"/>
  <c r="I196" i="41"/>
  <c r="M34" i="11"/>
  <c r="O118" i="11"/>
  <c r="F127" i="11"/>
  <c r="M137" i="41"/>
  <c r="E38" i="41"/>
  <c r="K111" i="11"/>
  <c r="F122" i="41"/>
  <c r="S45" i="41"/>
  <c r="O105" i="11"/>
  <c r="O139" i="11"/>
  <c r="O155" i="11"/>
  <c r="Q186" i="11"/>
  <c r="F182" i="11"/>
  <c r="E111" i="41"/>
  <c r="K54" i="41"/>
  <c r="F40" i="11"/>
  <c r="D195" i="41"/>
  <c r="O166" i="11"/>
  <c r="Q101" i="11"/>
  <c r="Q88" i="41"/>
  <c r="E130" i="41"/>
  <c r="I60" i="41"/>
  <c r="J60" i="41" s="1"/>
  <c r="Q179" i="11"/>
  <c r="R179" i="11" s="1"/>
  <c r="M99" i="41"/>
  <c r="O58" i="11"/>
  <c r="I38" i="11"/>
  <c r="E116" i="41"/>
  <c r="I165" i="11"/>
  <c r="E161" i="11"/>
  <c r="E118" i="41"/>
  <c r="W45" i="11"/>
  <c r="Y45" i="11" s="1"/>
  <c r="F174" i="11"/>
  <c r="K131" i="11"/>
  <c r="I195" i="11"/>
  <c r="J195" i="11" s="1"/>
  <c r="I167" i="41"/>
  <c r="M52" i="41"/>
  <c r="N52" i="41" s="1"/>
  <c r="O65" i="11"/>
  <c r="E176" i="41"/>
  <c r="I109" i="41"/>
  <c r="J109" i="41" s="1"/>
  <c r="I126" i="11"/>
  <c r="M175" i="41"/>
  <c r="N175" i="41" s="1"/>
  <c r="U95" i="11"/>
  <c r="W87" i="11"/>
  <c r="F138" i="41"/>
  <c r="W96" i="11"/>
  <c r="Y96" i="11" s="1"/>
  <c r="U164" i="11"/>
  <c r="F160" i="11"/>
  <c r="K145" i="11"/>
  <c r="S184" i="11"/>
  <c r="E167" i="11"/>
  <c r="M71" i="11"/>
  <c r="F142" i="11"/>
  <c r="O103" i="11"/>
  <c r="I83" i="41"/>
  <c r="I35" i="11"/>
  <c r="Q154" i="11"/>
  <c r="R154" i="11" s="1"/>
  <c r="W169" i="11"/>
  <c r="Y169" i="11" s="1"/>
  <c r="K191" i="11"/>
  <c r="U26" i="11"/>
  <c r="Q129" i="11"/>
  <c r="Q147" i="41"/>
  <c r="S64" i="11"/>
  <c r="E182" i="41"/>
  <c r="F49" i="11"/>
  <c r="U61" i="11"/>
  <c r="V61" i="11" s="1"/>
  <c r="W181" i="11"/>
  <c r="F125" i="11"/>
  <c r="O74" i="11"/>
  <c r="E177" i="11"/>
  <c r="K151" i="11"/>
  <c r="F57" i="41"/>
  <c r="M138" i="11"/>
  <c r="W192" i="11"/>
  <c r="Y192" i="11" s="1"/>
  <c r="O100" i="41"/>
  <c r="I55" i="11"/>
  <c r="I119" i="11"/>
  <c r="J119" i="11" s="1"/>
  <c r="I114" i="11"/>
  <c r="M66" i="11"/>
  <c r="O51" i="11"/>
  <c r="M116" i="11"/>
  <c r="W69" i="11"/>
  <c r="Y69" i="11" s="1"/>
  <c r="F128" i="11"/>
  <c r="I41" i="41"/>
  <c r="J41" i="41" s="1"/>
  <c r="S148" i="41"/>
  <c r="U81" i="11"/>
  <c r="S174" i="41"/>
  <c r="M98" i="41"/>
  <c r="N98" i="41" s="1"/>
  <c r="K188" i="11"/>
  <c r="O70" i="41"/>
  <c r="M157" i="11"/>
  <c r="S185" i="41"/>
  <c r="O168" i="41"/>
  <c r="S30" i="41"/>
  <c r="E34" i="41"/>
  <c r="F53" i="41"/>
  <c r="I131" i="41"/>
  <c r="E172" i="41"/>
  <c r="O170" i="41"/>
  <c r="U198" i="11"/>
  <c r="V198" i="11" s="1"/>
  <c r="W150" i="11"/>
  <c r="K108" i="11"/>
  <c r="W92" i="11"/>
  <c r="S103" i="41"/>
  <c r="I36" i="41"/>
  <c r="K29" i="11"/>
  <c r="I41" i="11"/>
  <c r="J41" i="11" s="1"/>
  <c r="O158" i="41"/>
  <c r="F31" i="41"/>
  <c r="W123" i="11"/>
  <c r="S55" i="41"/>
  <c r="Q112" i="11"/>
  <c r="Q110" i="41"/>
  <c r="M124" i="11"/>
  <c r="N124" i="11" s="1"/>
  <c r="U68" i="11"/>
  <c r="Q85" i="41"/>
  <c r="Q30" i="11"/>
  <c r="F73" i="11"/>
  <c r="K50" i="41"/>
  <c r="I187" i="11"/>
  <c r="J187" i="11" s="1"/>
  <c r="K156" i="41"/>
  <c r="F33" i="11"/>
  <c r="U194" i="11"/>
  <c r="Q181" i="41"/>
  <c r="I101" i="41"/>
  <c r="Q93" i="41"/>
  <c r="R93" i="41" s="1"/>
  <c r="K133" i="41"/>
  <c r="Q172" i="11"/>
  <c r="F42" i="11"/>
  <c r="E81" i="41"/>
  <c r="M57" i="11"/>
  <c r="K133" i="11"/>
  <c r="E83" i="11"/>
  <c r="U113" i="11"/>
  <c r="O84" i="11"/>
  <c r="F96" i="41"/>
  <c r="Q134" i="41"/>
  <c r="Q185" i="11"/>
  <c r="R185" i="11" s="1"/>
  <c r="Q95" i="41"/>
  <c r="I100" i="11"/>
  <c r="J100" i="11" s="1"/>
  <c r="S58" i="41"/>
  <c r="I104" i="41"/>
  <c r="J104" i="41" s="1"/>
  <c r="Q72" i="11"/>
  <c r="R72" i="11" s="1"/>
  <c r="U152" i="11"/>
  <c r="Q56" i="11"/>
  <c r="U183" i="11"/>
  <c r="M47" i="41"/>
  <c r="N47" i="41" s="1"/>
  <c r="K141" i="11"/>
  <c r="I82" i="11"/>
  <c r="F122" i="11"/>
  <c r="U143" i="11"/>
  <c r="E120" i="11"/>
  <c r="S39" i="11"/>
  <c r="O132" i="41"/>
  <c r="Q169" i="41"/>
  <c r="W106" i="11"/>
  <c r="Y106" i="11" s="1"/>
  <c r="S151" i="41"/>
  <c r="S192" i="41"/>
  <c r="E130" i="11"/>
  <c r="Q27" i="41"/>
  <c r="I71" i="41"/>
  <c r="S173" i="11"/>
  <c r="U44" i="11"/>
  <c r="W171" i="11"/>
  <c r="O79" i="11"/>
  <c r="I54" i="11"/>
  <c r="F76" i="41"/>
  <c r="K47" i="11"/>
  <c r="M75" i="41"/>
  <c r="U146" i="11"/>
  <c r="W85" i="11"/>
  <c r="O194" i="41"/>
  <c r="S136" i="41"/>
  <c r="Q162" i="11"/>
  <c r="M67" i="11"/>
  <c r="I35" i="41"/>
  <c r="Q80" i="11"/>
  <c r="R80" i="11" s="1"/>
  <c r="F32" i="41"/>
  <c r="S150" i="41"/>
  <c r="F200" i="41"/>
  <c r="M84" i="41"/>
  <c r="F60" i="11"/>
  <c r="O102" i="41"/>
  <c r="F79" i="41"/>
  <c r="M107" i="11"/>
  <c r="M86" i="41"/>
  <c r="M56" i="41"/>
  <c r="F98" i="11"/>
  <c r="Q162" i="41"/>
  <c r="E91" i="41"/>
  <c r="Q134" i="11"/>
  <c r="M99" i="11"/>
  <c r="N99" i="11" s="1"/>
  <c r="K180" i="41"/>
  <c r="I186" i="41"/>
  <c r="F59" i="11"/>
  <c r="E171" i="41"/>
  <c r="Q73" i="41"/>
  <c r="S90" i="11"/>
  <c r="E69" i="41"/>
  <c r="I89" i="41"/>
  <c r="E178" i="11"/>
  <c r="I94" i="41"/>
  <c r="K117" i="11"/>
  <c r="U63" i="11"/>
  <c r="O102" i="11"/>
  <c r="W97" i="11"/>
  <c r="O197" i="41"/>
  <c r="M165" i="41"/>
  <c r="I153" i="41"/>
  <c r="M93" i="11"/>
  <c r="Q31" i="11"/>
  <c r="I141" i="41"/>
  <c r="I199" i="41"/>
  <c r="M40" i="41"/>
  <c r="O37" i="41"/>
  <c r="U25" i="11"/>
  <c r="O191" i="41"/>
  <c r="F72" i="41"/>
  <c r="Q147" i="11"/>
  <c r="R147" i="11" s="1"/>
  <c r="E46" i="11"/>
  <c r="K51" i="41"/>
  <c r="U70" i="11"/>
  <c r="F121" i="11"/>
  <c r="F67" i="41"/>
  <c r="F155" i="41"/>
  <c r="Q189" i="41"/>
  <c r="I94" i="11"/>
  <c r="I193" i="41"/>
  <c r="J193" i="41" s="1"/>
  <c r="Q180" i="11"/>
  <c r="E80" i="41"/>
  <c r="E158" i="11"/>
  <c r="O140" i="11"/>
  <c r="U52" i="11"/>
  <c r="F48" i="11"/>
  <c r="E89" i="11"/>
  <c r="E196" i="41"/>
  <c r="E118" i="11"/>
  <c r="K127" i="11"/>
  <c r="F137" i="41"/>
  <c r="K38" i="41"/>
  <c r="E111" i="11"/>
  <c r="E122" i="41"/>
  <c r="F45" i="41"/>
  <c r="S105" i="11"/>
  <c r="F155" i="11"/>
  <c r="Q91" i="11"/>
  <c r="E186" i="11"/>
  <c r="Q182" i="11"/>
  <c r="Q28" i="41"/>
  <c r="S111" i="41"/>
  <c r="S54" i="41"/>
  <c r="E32" i="41"/>
  <c r="I150" i="41"/>
  <c r="J150" i="41" s="1"/>
  <c r="D200" i="41"/>
  <c r="K84" i="41"/>
  <c r="U60" i="11"/>
  <c r="E102" i="41"/>
  <c r="S79" i="41"/>
  <c r="E107" i="11"/>
  <c r="K170" i="11"/>
  <c r="Q56" i="41"/>
  <c r="S98" i="11"/>
  <c r="F162" i="41"/>
  <c r="O91" i="41"/>
  <c r="K134" i="11"/>
  <c r="Q99" i="11"/>
  <c r="M180" i="41"/>
  <c r="Q50" i="11"/>
  <c r="K186" i="41"/>
  <c r="S59" i="11"/>
  <c r="K90" i="11"/>
  <c r="S66" i="41"/>
  <c r="Q69" i="41"/>
  <c r="O89" i="41"/>
  <c r="U178" i="11"/>
  <c r="F94" i="41"/>
  <c r="S117" i="11"/>
  <c r="O63" i="11"/>
  <c r="F102" i="11"/>
  <c r="Q97" i="11"/>
  <c r="Q197" i="41"/>
  <c r="K88" i="11"/>
  <c r="O165" i="41"/>
  <c r="E153" i="41"/>
  <c r="E93" i="11"/>
  <c r="U31" i="11"/>
  <c r="E141" i="41"/>
  <c r="M78" i="11"/>
  <c r="K199" i="41"/>
  <c r="S40" i="41"/>
  <c r="I37" i="41"/>
  <c r="Q25" i="11"/>
  <c r="K191" i="41"/>
  <c r="K46" i="11"/>
  <c r="W70" i="11"/>
  <c r="S92" i="41"/>
  <c r="S121" i="11"/>
  <c r="I67" i="41"/>
  <c r="O155" i="41"/>
  <c r="M189" i="41"/>
  <c r="S94" i="11"/>
  <c r="O180" i="11"/>
  <c r="I80" i="41"/>
  <c r="K158" i="11"/>
  <c r="Q52" i="11"/>
  <c r="U48" i="11"/>
  <c r="O190" i="11"/>
  <c r="U89" i="11"/>
  <c r="M196" i="41"/>
  <c r="I118" i="11"/>
  <c r="J118" i="11" s="1"/>
  <c r="M38" i="41"/>
  <c r="W111" i="11"/>
  <c r="I122" i="41"/>
  <c r="K45" i="41"/>
  <c r="Q155" i="11"/>
  <c r="W91" i="11"/>
  <c r="W186" i="11"/>
  <c r="K182" i="11"/>
  <c r="M28" i="41"/>
  <c r="M111" i="41"/>
  <c r="I54" i="41"/>
  <c r="I170" i="41"/>
  <c r="J170" i="41" s="1"/>
  <c r="E198" i="11"/>
  <c r="E108" i="11"/>
  <c r="I92" i="11"/>
  <c r="K145" i="41"/>
  <c r="K142" i="41"/>
  <c r="O103" i="41"/>
  <c r="K36" i="41"/>
  <c r="E156" i="11"/>
  <c r="W29" i="11"/>
  <c r="M163" i="11"/>
  <c r="M41" i="11"/>
  <c r="O115" i="11"/>
  <c r="Q176" i="11"/>
  <c r="E31" i="41"/>
  <c r="Q123" i="11"/>
  <c r="R123" i="11" s="1"/>
  <c r="S183" i="41"/>
  <c r="S112" i="11"/>
  <c r="E110" i="41"/>
  <c r="S124" i="11"/>
  <c r="F68" i="11"/>
  <c r="M85" i="41"/>
  <c r="I30" i="11"/>
  <c r="M42" i="41"/>
  <c r="N42" i="41" s="1"/>
  <c r="S187" i="11"/>
  <c r="S156" i="41"/>
  <c r="D194" i="11"/>
  <c r="M181" i="41"/>
  <c r="O36" i="11"/>
  <c r="F108" i="41"/>
  <c r="S101" i="41"/>
  <c r="F93" i="41"/>
  <c r="F133" i="41"/>
  <c r="E172" i="11"/>
  <c r="U42" i="11"/>
  <c r="V42" i="11" s="1"/>
  <c r="K81" i="41"/>
  <c r="W57" i="11"/>
  <c r="Y57" i="11" s="1"/>
  <c r="K83" i="11"/>
  <c r="Q149" i="41"/>
  <c r="M77" i="11"/>
  <c r="O61" i="41"/>
  <c r="W113" i="11"/>
  <c r="M84" i="11"/>
  <c r="S65" i="41"/>
  <c r="Q43" i="41"/>
  <c r="I134" i="41"/>
  <c r="W185" i="11"/>
  <c r="F135" i="41"/>
  <c r="Q104" i="11"/>
  <c r="F100" i="11"/>
  <c r="U43" i="11"/>
  <c r="V43" i="11" s="1"/>
  <c r="F58" i="41"/>
  <c r="Q104" i="41"/>
  <c r="U72" i="11"/>
  <c r="K152" i="11"/>
  <c r="O56" i="11"/>
  <c r="S183" i="11"/>
  <c r="S47" i="41"/>
  <c r="Q141" i="11"/>
  <c r="S82" i="11"/>
  <c r="O122" i="11"/>
  <c r="I143" i="11"/>
  <c r="F173" i="41"/>
  <c r="I39" i="11"/>
  <c r="J39" i="11" s="1"/>
  <c r="S112" i="41"/>
  <c r="F132" i="41"/>
  <c r="M169" i="41"/>
  <c r="F106" i="11"/>
  <c r="O151" i="41"/>
  <c r="E137" i="11"/>
  <c r="Q192" i="41"/>
  <c r="S130" i="11"/>
  <c r="Q159" i="41"/>
  <c r="O71" i="41"/>
  <c r="W173" i="11"/>
  <c r="E76" i="11"/>
  <c r="O171" i="11"/>
  <c r="S79" i="11"/>
  <c r="Q168" i="11"/>
  <c r="O109" i="11"/>
  <c r="M54" i="11"/>
  <c r="S47" i="11"/>
  <c r="I146" i="11"/>
  <c r="S153" i="11"/>
  <c r="U159" i="11"/>
  <c r="V159" i="11" s="1"/>
  <c r="I194" i="41"/>
  <c r="O162" i="11"/>
  <c r="U67" i="11"/>
  <c r="K86" i="11"/>
  <c r="F35" i="41"/>
  <c r="E179" i="41"/>
  <c r="I32" i="41"/>
  <c r="O150" i="41"/>
  <c r="O200" i="41"/>
  <c r="E84" i="41"/>
  <c r="W60" i="11"/>
  <c r="Q102" i="41"/>
  <c r="R102" i="41" s="1"/>
  <c r="Q79" i="41"/>
  <c r="S107" i="11"/>
  <c r="M135" i="11"/>
  <c r="N135" i="11" s="1"/>
  <c r="Q170" i="11"/>
  <c r="F56" i="41"/>
  <c r="Q98" i="11"/>
  <c r="E162" i="41"/>
  <c r="M91" i="41"/>
  <c r="S134" i="11"/>
  <c r="K99" i="11"/>
  <c r="S180" i="41"/>
  <c r="I50" i="11"/>
  <c r="E186" i="41"/>
  <c r="M59" i="11"/>
  <c r="N59" i="11" s="1"/>
  <c r="E163" i="41"/>
  <c r="O90" i="11"/>
  <c r="K66" i="41"/>
  <c r="I69" i="41"/>
  <c r="K89" i="41"/>
  <c r="W178" i="11"/>
  <c r="S94" i="41"/>
  <c r="F117" i="11"/>
  <c r="M63" i="11"/>
  <c r="S102" i="11"/>
  <c r="I97" i="11"/>
  <c r="E197" i="41"/>
  <c r="S88" i="11"/>
  <c r="I165" i="41"/>
  <c r="S153" i="41"/>
  <c r="S93" i="11"/>
  <c r="F31" i="11"/>
  <c r="K141" i="41"/>
  <c r="F78" i="11"/>
  <c r="S199" i="41"/>
  <c r="E40" i="41"/>
  <c r="F25" i="11"/>
  <c r="K74" i="41"/>
  <c r="E139" i="41"/>
  <c r="O147" i="11"/>
  <c r="W46" i="11"/>
  <c r="E51" i="41"/>
  <c r="S70" i="11"/>
  <c r="E32" i="11"/>
  <c r="K92" i="41"/>
  <c r="I121" i="11"/>
  <c r="E67" i="41"/>
  <c r="I189" i="41"/>
  <c r="K94" i="11"/>
  <c r="E180" i="11"/>
  <c r="M80" i="41"/>
  <c r="K29" i="41"/>
  <c r="O52" i="11"/>
  <c r="E48" i="11"/>
  <c r="Q190" i="11"/>
  <c r="S89" i="11"/>
  <c r="E34" i="11"/>
  <c r="F38" i="41"/>
  <c r="S111" i="11"/>
  <c r="Q122" i="41"/>
  <c r="Q68" i="41"/>
  <c r="R68" i="41" s="1"/>
  <c r="E139" i="11"/>
  <c r="K155" i="11"/>
  <c r="U91" i="11"/>
  <c r="F186" i="11"/>
  <c r="I182" i="11"/>
  <c r="K28" i="41"/>
  <c r="Q111" i="41"/>
  <c r="M40" i="11"/>
  <c r="N40" i="11" s="1"/>
  <c r="R43" i="41" l="1"/>
  <c r="Y44" i="11"/>
  <c r="Y146" i="11"/>
  <c r="J107" i="11"/>
  <c r="Y72" i="11"/>
  <c r="V93" i="11"/>
  <c r="R116" i="11"/>
  <c r="N169" i="11"/>
  <c r="V195" i="11"/>
  <c r="R148" i="11"/>
  <c r="V131" i="11"/>
  <c r="N148" i="11"/>
  <c r="V71" i="11"/>
  <c r="N157" i="41"/>
  <c r="V188" i="11"/>
  <c r="V148" i="11"/>
  <c r="Y56" i="11"/>
  <c r="N176" i="41"/>
  <c r="N181" i="11"/>
  <c r="R132" i="11"/>
  <c r="N82" i="41"/>
  <c r="V194" i="11"/>
  <c r="J135" i="11"/>
  <c r="Y67" i="11"/>
  <c r="J120" i="11"/>
  <c r="J42" i="41"/>
  <c r="R31" i="41"/>
  <c r="N118" i="41"/>
  <c r="N172" i="41"/>
  <c r="V81" i="11"/>
  <c r="V91" i="11"/>
  <c r="N77" i="11"/>
  <c r="N181" i="41"/>
  <c r="R180" i="11"/>
  <c r="N84" i="41"/>
  <c r="J131" i="41"/>
  <c r="N138" i="11"/>
  <c r="J196" i="41"/>
  <c r="J178" i="11"/>
  <c r="R85" i="11"/>
  <c r="V182" i="11"/>
  <c r="J104" i="11"/>
  <c r="J142" i="11"/>
  <c r="N123" i="41"/>
  <c r="N114" i="41"/>
  <c r="Y73" i="11"/>
  <c r="N61" i="11"/>
  <c r="J113" i="41"/>
  <c r="R151" i="11"/>
  <c r="R28" i="41"/>
  <c r="J16" i="11"/>
  <c r="V47" i="11"/>
  <c r="N49" i="41"/>
  <c r="R34" i="11"/>
  <c r="N113" i="41"/>
  <c r="J80" i="41"/>
  <c r="N180" i="41"/>
  <c r="V46" i="11"/>
  <c r="J86" i="11"/>
  <c r="J109" i="11"/>
  <c r="R186" i="41"/>
  <c r="J125" i="41"/>
  <c r="V66" i="11"/>
  <c r="J181" i="11"/>
  <c r="N127" i="41"/>
  <c r="R53" i="41"/>
  <c r="N125" i="11"/>
  <c r="N105" i="41"/>
  <c r="J125" i="11"/>
  <c r="J184" i="41"/>
  <c r="J31" i="41"/>
  <c r="J92" i="11"/>
  <c r="N75" i="41"/>
  <c r="R56" i="11"/>
  <c r="R129" i="11"/>
  <c r="N99" i="41"/>
  <c r="J128" i="41"/>
  <c r="N139" i="41"/>
  <c r="O14" i="11"/>
  <c r="Y109" i="11"/>
  <c r="N94" i="11"/>
  <c r="N111" i="11"/>
  <c r="J197" i="41"/>
  <c r="J57" i="11"/>
  <c r="Y143" i="11"/>
  <c r="R73" i="11"/>
  <c r="R49" i="11"/>
  <c r="N62" i="41"/>
  <c r="N198" i="11"/>
  <c r="Y125" i="11"/>
  <c r="V144" i="11"/>
  <c r="J158" i="41"/>
  <c r="J160" i="11"/>
  <c r="R194" i="11"/>
  <c r="J65" i="41"/>
  <c r="R128" i="41"/>
  <c r="R164" i="41"/>
  <c r="R50" i="41"/>
  <c r="R70" i="41"/>
  <c r="J148" i="41"/>
  <c r="S19" i="41"/>
  <c r="J167" i="41"/>
  <c r="N121" i="11"/>
  <c r="V56" i="11"/>
  <c r="R176" i="11"/>
  <c r="N57" i="11"/>
  <c r="R67" i="41"/>
  <c r="J94" i="41"/>
  <c r="J72" i="11"/>
  <c r="V52" i="11"/>
  <c r="J82" i="11"/>
  <c r="R134" i="41"/>
  <c r="Y150" i="11"/>
  <c r="J126" i="11"/>
  <c r="J165" i="11"/>
  <c r="N154" i="41"/>
  <c r="J80" i="11"/>
  <c r="V104" i="11"/>
  <c r="J93" i="11"/>
  <c r="R143" i="11"/>
  <c r="J123" i="11"/>
  <c r="R177" i="11"/>
  <c r="V41" i="11"/>
  <c r="J31" i="11"/>
  <c r="R168" i="11"/>
  <c r="R181" i="41"/>
  <c r="N71" i="11"/>
  <c r="R71" i="41"/>
  <c r="R106" i="41"/>
  <c r="V172" i="11"/>
  <c r="V99" i="11"/>
  <c r="R100" i="11"/>
  <c r="J60" i="11"/>
  <c r="V151" i="11"/>
  <c r="J118" i="41"/>
  <c r="Y100" i="11"/>
  <c r="R131" i="41"/>
  <c r="R113" i="41"/>
  <c r="J108" i="41"/>
  <c r="O14" i="41"/>
  <c r="K14" i="11"/>
  <c r="I16" i="11"/>
  <c r="Y63" i="11"/>
  <c r="V34" i="11"/>
  <c r="J119" i="41"/>
  <c r="R115" i="11"/>
  <c r="R29" i="41"/>
  <c r="J100" i="41"/>
  <c r="V160" i="11"/>
  <c r="J62" i="11"/>
  <c r="V37" i="11"/>
  <c r="V149" i="11"/>
  <c r="J79" i="41"/>
  <c r="V158" i="11"/>
  <c r="N16" i="11"/>
  <c r="N11" i="11"/>
  <c r="N44" i="11"/>
  <c r="V183" i="11"/>
  <c r="Y123" i="11"/>
  <c r="N141" i="11"/>
  <c r="Y101" i="11"/>
  <c r="V128" i="11"/>
  <c r="J115" i="41"/>
  <c r="R95" i="11"/>
  <c r="J175" i="11"/>
  <c r="O12" i="41"/>
  <c r="V67" i="11"/>
  <c r="J122" i="41"/>
  <c r="Q15" i="11"/>
  <c r="N155" i="41"/>
  <c r="O16" i="41"/>
  <c r="V94" i="11"/>
  <c r="N146" i="11"/>
  <c r="R74" i="41"/>
  <c r="N172" i="11"/>
  <c r="N115" i="41"/>
  <c r="J27" i="11"/>
  <c r="J82" i="41"/>
  <c r="Y108" i="11"/>
  <c r="J127" i="41"/>
  <c r="J77" i="41"/>
  <c r="J111" i="41"/>
  <c r="R140" i="11"/>
  <c r="J102" i="11"/>
  <c r="Y80" i="11"/>
  <c r="R109" i="11"/>
  <c r="J47" i="41"/>
  <c r="N106" i="41"/>
  <c r="R82" i="41"/>
  <c r="R108" i="11"/>
  <c r="S16" i="11"/>
  <c r="O16" i="11"/>
  <c r="R149" i="41"/>
  <c r="U11" i="11"/>
  <c r="Y111" i="11"/>
  <c r="K11" i="11"/>
  <c r="V164" i="11"/>
  <c r="R11" i="41"/>
  <c r="N162" i="41"/>
  <c r="Y163" i="11"/>
  <c r="N174" i="41"/>
  <c r="J154" i="11"/>
  <c r="M8" i="41"/>
  <c r="R163" i="41"/>
  <c r="K10" i="11"/>
  <c r="R76" i="11"/>
  <c r="V11" i="11"/>
  <c r="Q18" i="41"/>
  <c r="Q14" i="11"/>
  <c r="O15" i="11"/>
  <c r="M10" i="41"/>
  <c r="K15" i="11"/>
  <c r="R91" i="11"/>
  <c r="U12" i="11"/>
  <c r="N76" i="41"/>
  <c r="V32" i="11"/>
  <c r="I10" i="11"/>
  <c r="M14" i="11"/>
  <c r="I17" i="41"/>
  <c r="S14" i="11"/>
  <c r="N132" i="11"/>
  <c r="O9" i="41"/>
  <c r="S12" i="41"/>
  <c r="V36" i="11"/>
  <c r="K15" i="41"/>
  <c r="Y68" i="11"/>
  <c r="U16" i="11"/>
  <c r="J87" i="41"/>
  <c r="J37" i="11"/>
  <c r="I11" i="41"/>
  <c r="R191" i="41"/>
  <c r="J144" i="11"/>
  <c r="R111" i="41"/>
  <c r="I12" i="41"/>
  <c r="R197" i="41"/>
  <c r="J153" i="41"/>
  <c r="R73" i="41"/>
  <c r="N107" i="11"/>
  <c r="J101" i="41"/>
  <c r="R110" i="41"/>
  <c r="N178" i="41"/>
  <c r="N85" i="11"/>
  <c r="N73" i="11"/>
  <c r="R179" i="41"/>
  <c r="J106" i="11"/>
  <c r="N66" i="41"/>
  <c r="N54" i="11"/>
  <c r="J114" i="11"/>
  <c r="V86" i="11"/>
  <c r="N104" i="41"/>
  <c r="R51" i="11"/>
  <c r="J157" i="41"/>
  <c r="K8" i="11"/>
  <c r="R98" i="11"/>
  <c r="Y91" i="11"/>
  <c r="R50" i="11"/>
  <c r="O15" i="41"/>
  <c r="R155" i="11"/>
  <c r="J37" i="41"/>
  <c r="Y85" i="11"/>
  <c r="O7" i="41"/>
  <c r="Y82" i="11"/>
  <c r="N133" i="41"/>
  <c r="O11" i="11"/>
  <c r="J139" i="41"/>
  <c r="J159" i="11"/>
  <c r="N200" i="41"/>
  <c r="J95" i="41"/>
  <c r="J163" i="41"/>
  <c r="N153" i="11"/>
  <c r="V180" i="11"/>
  <c r="J58" i="41"/>
  <c r="J93" i="41"/>
  <c r="J96" i="11"/>
  <c r="N164" i="41"/>
  <c r="N26" i="41"/>
  <c r="K9" i="11"/>
  <c r="J55" i="11"/>
  <c r="Y98" i="11"/>
  <c r="S11" i="11"/>
  <c r="O9" i="11"/>
  <c r="Y46" i="11"/>
  <c r="R104" i="41"/>
  <c r="R147" i="41"/>
  <c r="N141" i="41"/>
  <c r="N93" i="41"/>
  <c r="N74" i="41"/>
  <c r="Y50" i="11"/>
  <c r="V130" i="11"/>
  <c r="I13" i="11"/>
  <c r="V133" i="11"/>
  <c r="J73" i="11"/>
  <c r="R42" i="11"/>
  <c r="V57" i="11"/>
  <c r="N122" i="11"/>
  <c r="O8" i="41"/>
  <c r="M7" i="11"/>
  <c r="Q7" i="11"/>
  <c r="K9" i="41"/>
  <c r="Q10" i="11"/>
  <c r="O13" i="11"/>
  <c r="O17" i="41"/>
  <c r="J128" i="11"/>
  <c r="Q9" i="11"/>
  <c r="M12" i="11"/>
  <c r="O8" i="11"/>
  <c r="W12" i="11"/>
  <c r="S17" i="41"/>
  <c r="V25" i="11"/>
  <c r="V152" i="11"/>
  <c r="V26" i="11"/>
  <c r="Y89" i="11"/>
  <c r="N79" i="41"/>
  <c r="S15" i="11"/>
  <c r="J120" i="41"/>
  <c r="K12" i="41"/>
  <c r="Y84" i="11"/>
  <c r="J36" i="11"/>
  <c r="Y124" i="11"/>
  <c r="J74" i="41"/>
  <c r="Y168" i="11"/>
  <c r="V107" i="11"/>
  <c r="R44" i="11"/>
  <c r="N92" i="41"/>
  <c r="R180" i="41"/>
  <c r="N182" i="11"/>
  <c r="Y147" i="11"/>
  <c r="J59" i="11"/>
  <c r="J130" i="11"/>
  <c r="R44" i="41"/>
  <c r="R91" i="41"/>
  <c r="V185" i="11"/>
  <c r="R40" i="11"/>
  <c r="J192" i="41"/>
  <c r="J16" i="41" s="1"/>
  <c r="N145" i="41"/>
  <c r="N64" i="11"/>
  <c r="Y53" i="11"/>
  <c r="V51" i="11"/>
  <c r="R115" i="41"/>
  <c r="M15" i="11"/>
  <c r="R140" i="41"/>
  <c r="N150" i="11"/>
  <c r="S12" i="11"/>
  <c r="K13" i="41"/>
  <c r="J194" i="41"/>
  <c r="N38" i="41"/>
  <c r="J94" i="11"/>
  <c r="O7" i="11"/>
  <c r="R32" i="11"/>
  <c r="Y118" i="11"/>
  <c r="V136" i="11"/>
  <c r="U14" i="11"/>
  <c r="R152" i="41"/>
  <c r="V129" i="11"/>
  <c r="N187" i="41"/>
  <c r="V157" i="11"/>
  <c r="N131" i="11"/>
  <c r="N177" i="41"/>
  <c r="N126" i="41"/>
  <c r="V154" i="11"/>
  <c r="Y151" i="11"/>
  <c r="Y66" i="11"/>
  <c r="J65" i="11"/>
  <c r="Q9" i="41"/>
  <c r="U9" i="11"/>
  <c r="I13" i="41"/>
  <c r="R122" i="41"/>
  <c r="U10" i="11"/>
  <c r="N95" i="41"/>
  <c r="V167" i="11"/>
  <c r="R162" i="11"/>
  <c r="K12" i="11"/>
  <c r="K19" i="11" s="1"/>
  <c r="Q16" i="11"/>
  <c r="M10" i="11"/>
  <c r="K7" i="11"/>
  <c r="I11" i="11"/>
  <c r="O10" i="11"/>
  <c r="M8" i="11"/>
  <c r="Q11" i="41"/>
  <c r="Q15" i="41"/>
  <c r="R52" i="11"/>
  <c r="J71" i="41"/>
  <c r="N137" i="41"/>
  <c r="R38" i="41"/>
  <c r="J85" i="11"/>
  <c r="R70" i="11"/>
  <c r="Y170" i="11"/>
  <c r="J127" i="11"/>
  <c r="R93" i="11"/>
  <c r="R135" i="11"/>
  <c r="V184" i="11"/>
  <c r="I14" i="11"/>
  <c r="M16" i="41"/>
  <c r="S18" i="41"/>
  <c r="S8" i="41"/>
  <c r="N11" i="41"/>
  <c r="O19" i="41"/>
  <c r="J69" i="41"/>
  <c r="I14" i="41"/>
  <c r="S14" i="41"/>
  <c r="N82" i="11"/>
  <c r="S7" i="41"/>
  <c r="N53" i="11"/>
  <c r="V79" i="11"/>
  <c r="R164" i="11"/>
  <c r="N179" i="11"/>
  <c r="Y131" i="11"/>
  <c r="S7" i="11"/>
  <c r="S9" i="11"/>
  <c r="R16" i="11"/>
  <c r="J18" i="41"/>
  <c r="J11" i="41"/>
  <c r="J182" i="11"/>
  <c r="J38" i="11"/>
  <c r="Y90" i="11"/>
  <c r="J46" i="11"/>
  <c r="J76" i="41"/>
  <c r="N120" i="41"/>
  <c r="V102" i="11"/>
  <c r="J180" i="11"/>
  <c r="N90" i="41"/>
  <c r="R59" i="11"/>
  <c r="R198" i="11"/>
  <c r="R74" i="11"/>
  <c r="K8" i="41"/>
  <c r="N39" i="11"/>
  <c r="N81" i="41"/>
  <c r="J161" i="11"/>
  <c r="W7" i="11"/>
  <c r="I7" i="11"/>
  <c r="M12" i="41"/>
  <c r="S10" i="11"/>
  <c r="Q12" i="11"/>
  <c r="Q13" i="11"/>
  <c r="M18" i="41"/>
  <c r="M14" i="41"/>
  <c r="V72" i="11"/>
  <c r="Y113" i="11"/>
  <c r="W16" i="11"/>
  <c r="W15" i="11"/>
  <c r="S8" i="11"/>
  <c r="I8" i="11"/>
  <c r="Y16" i="11"/>
  <c r="M16" i="11"/>
  <c r="W8" i="11"/>
  <c r="K18" i="41"/>
  <c r="R18" i="41"/>
  <c r="M17" i="41"/>
  <c r="Q12" i="41"/>
  <c r="J165" i="41"/>
  <c r="R170" i="11"/>
  <c r="Y97" i="11"/>
  <c r="V146" i="11"/>
  <c r="R155" i="41"/>
  <c r="J56" i="41"/>
  <c r="Y52" i="11"/>
  <c r="N89" i="41"/>
  <c r="V73" i="11"/>
  <c r="Q8" i="11"/>
  <c r="O11" i="41"/>
  <c r="I15" i="41"/>
  <c r="N80" i="41"/>
  <c r="Y173" i="11"/>
  <c r="N189" i="41"/>
  <c r="S13" i="41"/>
  <c r="R90" i="11"/>
  <c r="N137" i="11"/>
  <c r="J88" i="11"/>
  <c r="R75" i="41"/>
  <c r="J42" i="11"/>
  <c r="Y161" i="11"/>
  <c r="N136" i="41"/>
  <c r="J159" i="41"/>
  <c r="N104" i="11"/>
  <c r="J168" i="41"/>
  <c r="R42" i="41"/>
  <c r="N95" i="11"/>
  <c r="R161" i="11"/>
  <c r="N89" i="11"/>
  <c r="Y152" i="11"/>
  <c r="R113" i="11"/>
  <c r="R158" i="11"/>
  <c r="K17" i="41"/>
  <c r="S11" i="41"/>
  <c r="J186" i="11"/>
  <c r="N32" i="41"/>
  <c r="N134" i="41"/>
  <c r="R137" i="11"/>
  <c r="J172" i="11"/>
  <c r="R161" i="41"/>
  <c r="Y74" i="11"/>
  <c r="J95" i="11"/>
  <c r="Y49" i="11"/>
  <c r="V27" i="11"/>
  <c r="R53" i="11"/>
  <c r="R176" i="41"/>
  <c r="V156" i="11"/>
  <c r="J138" i="41"/>
  <c r="O13" i="41"/>
  <c r="Q14" i="41"/>
  <c r="I12" i="11"/>
  <c r="J144" i="41"/>
  <c r="V145" i="11"/>
  <c r="R149" i="11"/>
  <c r="R157" i="41"/>
  <c r="V112" i="11"/>
  <c r="R125" i="11"/>
  <c r="R55" i="11"/>
  <c r="J52" i="41"/>
  <c r="R125" i="41"/>
  <c r="J45" i="11"/>
  <c r="Y55" i="11"/>
  <c r="R158" i="41"/>
  <c r="V64" i="11"/>
  <c r="N156" i="41"/>
  <c r="J175" i="41"/>
  <c r="J26" i="11"/>
  <c r="I19" i="41"/>
  <c r="W9" i="11"/>
  <c r="U13" i="11"/>
  <c r="U8" i="11"/>
  <c r="I18" i="41"/>
  <c r="I9" i="41"/>
  <c r="R60" i="11"/>
  <c r="N70" i="11"/>
  <c r="Y40" i="11"/>
  <c r="U15" i="11"/>
  <c r="Y11" i="11"/>
  <c r="R11" i="11"/>
  <c r="N18" i="41"/>
  <c r="M7" i="41"/>
  <c r="J189" i="41"/>
  <c r="N63" i="11"/>
  <c r="Y60" i="11"/>
  <c r="N41" i="11"/>
  <c r="R69" i="41"/>
  <c r="R162" i="41"/>
  <c r="R37" i="41"/>
  <c r="R178" i="41"/>
  <c r="J140" i="11"/>
  <c r="R124" i="41"/>
  <c r="R43" i="11"/>
  <c r="R142" i="41"/>
  <c r="N124" i="41"/>
  <c r="J129" i="11"/>
  <c r="J166" i="11"/>
  <c r="M13" i="11"/>
  <c r="W10" i="11"/>
  <c r="O12" i="11"/>
  <c r="Q7" i="41"/>
  <c r="N78" i="11"/>
  <c r="J11" i="11"/>
  <c r="I15" i="11"/>
  <c r="Q17" i="41"/>
  <c r="N117" i="41"/>
  <c r="J44" i="11"/>
  <c r="R137" i="41"/>
  <c r="N54" i="41"/>
  <c r="Y162" i="11"/>
  <c r="V155" i="11"/>
  <c r="J139" i="11"/>
  <c r="S10" i="41"/>
  <c r="Y191" i="11"/>
  <c r="I9" i="11"/>
  <c r="K13" i="11"/>
  <c r="M9" i="11"/>
  <c r="W11" i="11"/>
  <c r="W13" i="11"/>
  <c r="Q8" i="41"/>
  <c r="S15" i="41"/>
  <c r="S16" i="41"/>
  <c r="K16" i="41"/>
  <c r="V63" i="11"/>
  <c r="N191" i="41"/>
  <c r="I16" i="41"/>
  <c r="R79" i="41"/>
  <c r="J143" i="11"/>
  <c r="V178" i="11"/>
  <c r="V31" i="11"/>
  <c r="N101" i="41"/>
  <c r="S9" i="41"/>
  <c r="M11" i="11"/>
  <c r="U7" i="11"/>
  <c r="K11" i="41"/>
  <c r="J54" i="41"/>
  <c r="R56" i="41"/>
  <c r="N116" i="11"/>
  <c r="R88" i="41"/>
  <c r="N52" i="11"/>
  <c r="N51" i="41"/>
  <c r="R63" i="11"/>
  <c r="Y105" i="11"/>
  <c r="R48" i="11"/>
  <c r="W14" i="11"/>
  <c r="S13" i="11"/>
  <c r="V16" i="11"/>
  <c r="K16" i="11"/>
  <c r="Q11" i="11"/>
  <c r="M9" i="41"/>
  <c r="Q16" i="41"/>
  <c r="K14" i="41"/>
  <c r="M11" i="41"/>
  <c r="Y95" i="11"/>
  <c r="N75" i="11"/>
  <c r="N143" i="41"/>
  <c r="R131" i="11"/>
  <c r="O10" i="41"/>
  <c r="J146" i="11"/>
  <c r="R192" i="41"/>
  <c r="R16" i="41" s="1"/>
  <c r="R141" i="11"/>
  <c r="Y185" i="11"/>
  <c r="J30" i="11"/>
  <c r="N163" i="11"/>
  <c r="N111" i="41"/>
  <c r="O18" i="41"/>
  <c r="J141" i="41"/>
  <c r="J35" i="41"/>
  <c r="Y171" i="11"/>
  <c r="R172" i="11"/>
  <c r="R85" i="41"/>
  <c r="J35" i="11"/>
  <c r="Y87" i="11"/>
  <c r="R101" i="11"/>
  <c r="R46" i="11"/>
  <c r="R200" i="41"/>
  <c r="R45" i="41"/>
  <c r="V78" i="11"/>
  <c r="V135" i="11"/>
  <c r="R132" i="41"/>
  <c r="J198" i="11"/>
  <c r="R105" i="11"/>
  <c r="J70" i="11"/>
  <c r="N37" i="41"/>
  <c r="V59" i="11"/>
  <c r="N180" i="11"/>
  <c r="R46" i="41"/>
  <c r="J28" i="41"/>
  <c r="N152" i="41"/>
  <c r="V139" i="11"/>
  <c r="J168" i="11"/>
  <c r="J68" i="41"/>
  <c r="Y158" i="11"/>
  <c r="R96" i="41"/>
  <c r="Y48" i="11"/>
  <c r="N168" i="11"/>
  <c r="V190" i="11"/>
  <c r="R141" i="41"/>
  <c r="N183" i="11"/>
  <c r="R108" i="41"/>
  <c r="R116" i="41"/>
  <c r="R114" i="41"/>
  <c r="R87" i="41"/>
  <c r="R30" i="41"/>
  <c r="N164" i="11"/>
  <c r="J113" i="11"/>
  <c r="V108" i="11"/>
  <c r="N28" i="11"/>
  <c r="V174" i="11"/>
  <c r="N161" i="41"/>
  <c r="N196" i="11"/>
  <c r="J101" i="11"/>
  <c r="Y175" i="11"/>
  <c r="Y42" i="11"/>
  <c r="R29" i="11"/>
  <c r="J71" i="11"/>
  <c r="J177" i="41"/>
  <c r="R166" i="41"/>
  <c r="R83" i="11"/>
  <c r="J183" i="41"/>
  <c r="N110" i="11"/>
  <c r="J110" i="11"/>
  <c r="N195" i="11"/>
  <c r="N129" i="41"/>
  <c r="N55" i="11"/>
  <c r="J150" i="11"/>
  <c r="N114" i="11"/>
  <c r="R169" i="11"/>
  <c r="R136" i="11"/>
  <c r="N116" i="41"/>
  <c r="J64" i="11"/>
  <c r="N167" i="41"/>
  <c r="V100" i="11"/>
  <c r="N195" i="41"/>
  <c r="N33" i="41"/>
  <c r="R109" i="41"/>
  <c r="J53" i="41"/>
  <c r="J121" i="11"/>
  <c r="J134" i="41"/>
  <c r="N85" i="41"/>
  <c r="Y29" i="11"/>
  <c r="N28" i="41"/>
  <c r="Y70" i="11"/>
  <c r="N56" i="41"/>
  <c r="N67" i="11"/>
  <c r="V44" i="11"/>
  <c r="V143" i="11"/>
  <c r="R95" i="41"/>
  <c r="V68" i="11"/>
  <c r="Y92" i="11"/>
  <c r="N157" i="11"/>
  <c r="N66" i="11"/>
  <c r="Y181" i="11"/>
  <c r="J83" i="41"/>
  <c r="V95" i="11"/>
  <c r="R72" i="41"/>
  <c r="N159" i="11"/>
  <c r="V76" i="11"/>
  <c r="V39" i="11"/>
  <c r="N120" i="11"/>
  <c r="N117" i="11"/>
  <c r="R90" i="41"/>
  <c r="R194" i="41"/>
  <c r="N194" i="11"/>
  <c r="R67" i="11"/>
  <c r="R191" i="11"/>
  <c r="N140" i="41"/>
  <c r="N62" i="11"/>
  <c r="N184" i="41"/>
  <c r="J69" i="11"/>
  <c r="R28" i="11"/>
  <c r="R76" i="41"/>
  <c r="Y194" i="11"/>
  <c r="V49" i="11"/>
  <c r="N151" i="11"/>
  <c r="N45" i="11"/>
  <c r="N87" i="41"/>
  <c r="J149" i="41"/>
  <c r="J176" i="11"/>
  <c r="R57" i="41"/>
  <c r="V62" i="11"/>
  <c r="V141" i="11"/>
  <c r="V132" i="11"/>
  <c r="N39" i="41"/>
  <c r="R63" i="41"/>
  <c r="Y176" i="11"/>
  <c r="V138" i="11"/>
  <c r="N176" i="11"/>
  <c r="J138" i="11"/>
  <c r="N81" i="11"/>
  <c r="N37" i="11"/>
  <c r="K19" i="41"/>
  <c r="I7" i="41"/>
  <c r="Y178" i="11"/>
  <c r="N91" i="41"/>
  <c r="V48" i="11"/>
  <c r="V70" i="11"/>
  <c r="N93" i="11"/>
  <c r="N86" i="41"/>
  <c r="V111" i="11"/>
  <c r="R153" i="41"/>
  <c r="N50" i="11"/>
  <c r="J153" i="11"/>
  <c r="R120" i="11"/>
  <c r="N60" i="11"/>
  <c r="N186" i="11"/>
  <c r="Y94" i="11"/>
  <c r="N150" i="41"/>
  <c r="N193" i="41"/>
  <c r="Y31" i="11"/>
  <c r="Y153" i="11"/>
  <c r="V105" i="11"/>
  <c r="J67" i="11"/>
  <c r="N171" i="11"/>
  <c r="N147" i="11"/>
  <c r="Y59" i="11"/>
  <c r="V173" i="11"/>
  <c r="J155" i="11"/>
  <c r="J162" i="11"/>
  <c r="V171" i="11"/>
  <c r="V186" i="11"/>
  <c r="V162" i="11"/>
  <c r="N136" i="11"/>
  <c r="R196" i="11"/>
  <c r="R138" i="41"/>
  <c r="J152" i="11"/>
  <c r="J83" i="11"/>
  <c r="Y119" i="11"/>
  <c r="N61" i="41"/>
  <c r="J183" i="11"/>
  <c r="J151" i="41"/>
  <c r="N149" i="11"/>
  <c r="R166" i="11"/>
  <c r="R106" i="11"/>
  <c r="R57" i="11"/>
  <c r="R71" i="11"/>
  <c r="Y79" i="11"/>
  <c r="R39" i="41"/>
  <c r="J145" i="11"/>
  <c r="V103" i="11"/>
  <c r="R38" i="11"/>
  <c r="N144" i="41"/>
  <c r="J53" i="11"/>
  <c r="J129" i="41"/>
  <c r="N192" i="11"/>
  <c r="R34" i="41"/>
  <c r="J192" i="11"/>
  <c r="R142" i="11"/>
  <c r="J98" i="41"/>
  <c r="N177" i="11"/>
  <c r="N121" i="41"/>
  <c r="K7" i="41"/>
  <c r="M13" i="41"/>
  <c r="Q10" i="41"/>
  <c r="J32" i="41"/>
  <c r="Y186" i="11"/>
  <c r="R19" i="41"/>
  <c r="R89" i="41"/>
  <c r="J173" i="11"/>
  <c r="Y88" i="11"/>
  <c r="V98" i="11"/>
  <c r="R196" i="41"/>
  <c r="J51" i="41"/>
  <c r="R117" i="41"/>
  <c r="R66" i="41"/>
  <c r="J112" i="41"/>
  <c r="R61" i="41"/>
  <c r="N153" i="41"/>
  <c r="N194" i="41"/>
  <c r="R171" i="11"/>
  <c r="N132" i="41"/>
  <c r="J108" i="11"/>
  <c r="J179" i="11"/>
  <c r="J185" i="41"/>
  <c r="J87" i="11"/>
  <c r="R174" i="11"/>
  <c r="N133" i="11"/>
  <c r="J172" i="41"/>
  <c r="R174" i="41"/>
  <c r="R100" i="41"/>
  <c r="J115" i="11"/>
  <c r="J140" i="41"/>
  <c r="V175" i="11"/>
  <c r="R64" i="41"/>
  <c r="N30" i="41"/>
  <c r="N152" i="11"/>
  <c r="R156" i="41"/>
  <c r="N142" i="41"/>
  <c r="R187" i="41"/>
  <c r="R184" i="41"/>
  <c r="R122" i="11"/>
  <c r="N188" i="11"/>
  <c r="Y132" i="11"/>
  <c r="N88" i="41"/>
  <c r="N29" i="11"/>
  <c r="J151" i="11"/>
  <c r="N184" i="11"/>
  <c r="V77" i="11"/>
  <c r="J110" i="41"/>
  <c r="N170" i="41"/>
  <c r="R128" i="11"/>
  <c r="R183" i="41"/>
  <c r="N65" i="11"/>
  <c r="J199" i="11"/>
  <c r="J114" i="41"/>
  <c r="N142" i="11"/>
  <c r="Y144" i="11"/>
  <c r="V142" i="11"/>
  <c r="N146" i="41"/>
  <c r="V123" i="11"/>
  <c r="R58" i="11"/>
  <c r="J55" i="41"/>
  <c r="R168" i="41"/>
  <c r="Y138" i="11"/>
  <c r="R195" i="41"/>
  <c r="N103" i="11"/>
  <c r="R81" i="41"/>
  <c r="J196" i="11"/>
  <c r="R167" i="11"/>
  <c r="R195" i="11"/>
  <c r="N48" i="41"/>
  <c r="R33" i="11"/>
  <c r="N103" i="41"/>
  <c r="N96" i="11"/>
  <c r="Y136" i="11"/>
  <c r="R190" i="11"/>
  <c r="N169" i="41"/>
  <c r="N84" i="11"/>
  <c r="R25" i="11"/>
  <c r="R97" i="11"/>
  <c r="V60" i="11"/>
  <c r="N165" i="41"/>
  <c r="R27" i="41"/>
  <c r="R112" i="11"/>
  <c r="N102" i="41"/>
  <c r="J154" i="41"/>
  <c r="R47" i="11"/>
  <c r="R89" i="11"/>
  <c r="J147" i="11"/>
  <c r="V97" i="11"/>
  <c r="V80" i="11"/>
  <c r="J155" i="41"/>
  <c r="R171" i="41"/>
  <c r="N90" i="11"/>
  <c r="Y135" i="11"/>
  <c r="V118" i="11"/>
  <c r="N102" i="11"/>
  <c r="V50" i="11"/>
  <c r="N68" i="41"/>
  <c r="J90" i="11"/>
  <c r="Y107" i="11"/>
  <c r="N139" i="11"/>
  <c r="N163" i="41"/>
  <c r="N112" i="41"/>
  <c r="V45" i="11"/>
  <c r="J22" i="41"/>
  <c r="Q22" i="41"/>
  <c r="K23" i="41"/>
  <c r="S23" i="41"/>
  <c r="K22" i="41"/>
  <c r="O22" i="41"/>
  <c r="Q23" i="41"/>
  <c r="M22" i="41"/>
  <c r="S22" i="41"/>
  <c r="I23" i="41"/>
  <c r="I22" i="41"/>
  <c r="N22" i="41"/>
  <c r="M23" i="41"/>
  <c r="R22" i="41"/>
  <c r="O23" i="41"/>
  <c r="R157" i="11"/>
  <c r="R118" i="41"/>
  <c r="R187" i="11"/>
  <c r="V181" i="11"/>
  <c r="V15" i="11" s="1"/>
  <c r="N59" i="41"/>
  <c r="N36" i="11"/>
  <c r="R163" i="11"/>
  <c r="R105" i="41"/>
  <c r="V74" i="11"/>
  <c r="Y174" i="11"/>
  <c r="R75" i="11"/>
  <c r="R133" i="41"/>
  <c r="V101" i="11"/>
  <c r="Y120" i="11"/>
  <c r="Y36" i="11"/>
  <c r="N156" i="11"/>
  <c r="R37" i="11"/>
  <c r="N183" i="41"/>
  <c r="J143" i="41"/>
  <c r="Y64" i="11"/>
  <c r="N160" i="11"/>
  <c r="J184" i="11"/>
  <c r="V110" i="11"/>
  <c r="V199" i="11"/>
  <c r="R77" i="11"/>
  <c r="N115" i="11"/>
  <c r="J34" i="41"/>
  <c r="J28" i="11"/>
  <c r="J167" i="11"/>
  <c r="Y157" i="11"/>
  <c r="Y115" i="11"/>
  <c r="N64" i="41"/>
  <c r="J132" i="41"/>
  <c r="N187" i="11"/>
  <c r="R41" i="41"/>
  <c r="K10" i="41"/>
  <c r="Q19" i="41"/>
  <c r="Y117" i="11"/>
  <c r="J170" i="11"/>
  <c r="R88" i="11"/>
  <c r="Y127" i="11"/>
  <c r="J72" i="41"/>
  <c r="R117" i="11"/>
  <c r="J75" i="41"/>
  <c r="N88" i="11"/>
  <c r="J84" i="41"/>
  <c r="R39" i="11"/>
  <c r="R58" i="41"/>
  <c r="N149" i="41"/>
  <c r="R148" i="41"/>
  <c r="N27" i="41"/>
  <c r="J33" i="11"/>
  <c r="N69" i="11"/>
  <c r="R99" i="41"/>
  <c r="J164" i="11"/>
  <c r="R45" i="11"/>
  <c r="R101" i="41"/>
  <c r="Y160" i="11"/>
  <c r="N165" i="11"/>
  <c r="J122" i="11"/>
  <c r="J181" i="41"/>
  <c r="Y145" i="11"/>
  <c r="Y164" i="11"/>
  <c r="V177" i="11"/>
  <c r="Y37" i="11"/>
  <c r="J149" i="11"/>
  <c r="N168" i="41"/>
  <c r="Y184" i="11"/>
  <c r="V29" i="11"/>
  <c r="N31" i="41"/>
  <c r="J194" i="11"/>
  <c r="R41" i="11"/>
  <c r="R98" i="41"/>
  <c r="N174" i="11"/>
  <c r="R59" i="41"/>
  <c r="N128" i="11"/>
  <c r="R145" i="41"/>
  <c r="M19" i="41"/>
  <c r="R99" i="11"/>
  <c r="J186" i="41"/>
  <c r="V113" i="11"/>
  <c r="N34" i="11"/>
  <c r="Y134" i="11"/>
  <c r="V147" i="11"/>
  <c r="N67" i="41"/>
  <c r="N162" i="11"/>
  <c r="R112" i="41"/>
  <c r="N48" i="11"/>
  <c r="N197" i="41"/>
  <c r="N19" i="41" s="1"/>
  <c r="R118" i="11"/>
  <c r="Y93" i="11"/>
  <c r="N73" i="41"/>
  <c r="R107" i="11"/>
  <c r="R153" i="11"/>
  <c r="N159" i="41"/>
  <c r="J191" i="41"/>
  <c r="N94" i="41"/>
  <c r="Y99" i="11"/>
  <c r="R32" i="41"/>
  <c r="Y54" i="11"/>
  <c r="Y104" i="11"/>
  <c r="N122" i="41"/>
  <c r="N46" i="11"/>
  <c r="V88" i="11"/>
  <c r="N105" i="11"/>
  <c r="R94" i="11"/>
  <c r="J200" i="41"/>
  <c r="V85" i="11"/>
  <c r="J70" i="41"/>
  <c r="Y61" i="11"/>
  <c r="R103" i="11"/>
  <c r="Y199" i="11"/>
  <c r="Y188" i="11"/>
  <c r="R61" i="11"/>
  <c r="N173" i="11"/>
  <c r="R173" i="41"/>
  <c r="Y156" i="11"/>
  <c r="J193" i="11"/>
  <c r="N57" i="41"/>
  <c r="J116" i="41"/>
  <c r="N100" i="41"/>
  <c r="J195" i="41"/>
  <c r="J17" i="41" s="1"/>
  <c r="R49" i="41"/>
  <c r="V96" i="11"/>
  <c r="J124" i="41"/>
  <c r="R65" i="11"/>
  <c r="R69" i="11"/>
  <c r="J74" i="11"/>
  <c r="J105" i="41"/>
  <c r="Y76" i="11"/>
  <c r="J133" i="41"/>
  <c r="Y193" i="11"/>
  <c r="V114" i="11"/>
  <c r="R144" i="11"/>
  <c r="N74" i="11"/>
  <c r="R167" i="41"/>
  <c r="J33" i="41"/>
  <c r="Y27" i="11"/>
  <c r="N70" i="41"/>
  <c r="J136" i="11"/>
  <c r="N128" i="41"/>
  <c r="V115" i="11"/>
  <c r="J177" i="11"/>
  <c r="R96" i="11"/>
  <c r="Y75" i="11"/>
  <c r="R146" i="41"/>
  <c r="R177" i="41"/>
  <c r="Y33" i="11"/>
  <c r="N145" i="11"/>
  <c r="Y148" i="11"/>
  <c r="J147" i="41"/>
  <c r="Q13" i="41"/>
  <c r="R186" i="11"/>
  <c r="N118" i="11"/>
  <c r="R121" i="11"/>
  <c r="R165" i="41"/>
  <c r="J117" i="41"/>
  <c r="R92" i="41"/>
  <c r="R178" i="11"/>
  <c r="J179" i="41"/>
  <c r="J19" i="41"/>
  <c r="J188" i="11"/>
  <c r="N49" i="11"/>
  <c r="N100" i="11"/>
  <c r="J103" i="41"/>
  <c r="N51" i="11"/>
  <c r="V169" i="11"/>
  <c r="J107" i="41"/>
  <c r="R27" i="11"/>
  <c r="J49" i="11"/>
  <c r="N43" i="11"/>
  <c r="J50" i="41"/>
  <c r="N158" i="41"/>
  <c r="J77" i="11"/>
  <c r="R185" i="41"/>
  <c r="J174" i="41"/>
  <c r="R145" i="11"/>
  <c r="R165" i="11"/>
  <c r="J61" i="11"/>
  <c r="N138" i="41"/>
  <c r="R26" i="41"/>
  <c r="Y167" i="11"/>
  <c r="V124" i="11"/>
  <c r="R150" i="11"/>
  <c r="R52" i="41"/>
  <c r="N45" i="41"/>
  <c r="Y102" i="11"/>
  <c r="Y47" i="11"/>
  <c r="Y122" i="11"/>
  <c r="R103" i="41"/>
  <c r="N109" i="41"/>
  <c r="N135" i="41"/>
  <c r="N30" i="11"/>
  <c r="R64" i="11"/>
  <c r="V69" i="11"/>
  <c r="V122" i="11"/>
  <c r="R36" i="11"/>
  <c r="R126" i="11"/>
  <c r="J29" i="11"/>
  <c r="J131" i="11"/>
  <c r="J156" i="11"/>
  <c r="R82" i="11"/>
  <c r="J99" i="41"/>
  <c r="N63" i="41"/>
  <c r="J58" i="11"/>
  <c r="N92" i="11"/>
  <c r="N41" i="41"/>
  <c r="J48" i="41"/>
  <c r="Y128" i="11"/>
  <c r="J182" i="41"/>
  <c r="R127" i="41"/>
  <c r="V126" i="11"/>
  <c r="R135" i="41"/>
  <c r="J112" i="11"/>
  <c r="R119" i="11"/>
  <c r="J169" i="11"/>
  <c r="M15" i="41"/>
  <c r="J97" i="11"/>
  <c r="R134" i="11"/>
  <c r="R169" i="41"/>
  <c r="N190" i="11"/>
  <c r="J178" i="41"/>
  <c r="J102" i="41"/>
  <c r="N155" i="11"/>
  <c r="Y25" i="11"/>
  <c r="N98" i="11"/>
  <c r="N106" i="11"/>
  <c r="N91" i="11"/>
  <c r="J86" i="41"/>
  <c r="J136" i="41"/>
  <c r="N79" i="11"/>
  <c r="R111" i="11"/>
  <c r="J32" i="11"/>
  <c r="J111" i="11"/>
  <c r="V140" i="11"/>
  <c r="J63" i="11"/>
  <c r="N186" i="41"/>
  <c r="J52" i="11"/>
  <c r="R102" i="11"/>
  <c r="J141" i="11"/>
  <c r="R127" i="11"/>
  <c r="Y121" i="11"/>
  <c r="J40" i="41"/>
  <c r="V134" i="11"/>
  <c r="N179" i="41"/>
  <c r="V82" i="11"/>
  <c r="N185" i="11"/>
  <c r="N42" i="11"/>
  <c r="Y130" i="11"/>
  <c r="J188" i="41"/>
  <c r="R124" i="11"/>
  <c r="R172" i="41"/>
  <c r="R160" i="41"/>
  <c r="J161" i="41"/>
  <c r="N112" i="11"/>
  <c r="V83" i="11"/>
  <c r="N53" i="41"/>
  <c r="N191" i="11"/>
  <c r="J96" i="41"/>
  <c r="V116" i="11"/>
  <c r="N26" i="11"/>
  <c r="Y172" i="11"/>
  <c r="N129" i="11"/>
  <c r="R175" i="11"/>
  <c r="J142" i="41"/>
  <c r="V187" i="11"/>
  <c r="R188" i="41"/>
  <c r="J39" i="41"/>
  <c r="N71" i="41"/>
  <c r="N108" i="41"/>
  <c r="Y129" i="11"/>
  <c r="R92" i="11"/>
  <c r="N107" i="41"/>
  <c r="V161" i="11"/>
  <c r="Y62" i="11"/>
  <c r="Y35" i="11"/>
  <c r="J174" i="11"/>
  <c r="I8" i="41"/>
  <c r="I10" i="41"/>
  <c r="J50" i="11"/>
  <c r="R159" i="41"/>
  <c r="R104" i="11"/>
  <c r="J67" i="41"/>
  <c r="R189" i="41"/>
  <c r="N40" i="41"/>
  <c r="J54" i="11"/>
  <c r="N32" i="11"/>
  <c r="J180" i="41"/>
  <c r="Y139" i="11"/>
  <c r="Y190" i="11"/>
  <c r="R139" i="11"/>
  <c r="J89" i="11"/>
  <c r="J44" i="41"/>
  <c r="J73" i="41"/>
  <c r="J38" i="41"/>
  <c r="R80" i="41"/>
  <c r="J27" i="41"/>
  <c r="J158" i="11"/>
  <c r="N25" i="11"/>
  <c r="V109" i="11"/>
  <c r="N78" i="41"/>
  <c r="J91" i="11"/>
  <c r="R120" i="41"/>
  <c r="N97" i="11"/>
  <c r="Y155" i="11"/>
  <c r="N31" i="11"/>
  <c r="J98" i="11"/>
  <c r="R79" i="11"/>
  <c r="V106" i="11"/>
  <c r="J34" i="11"/>
  <c r="R40" i="41"/>
  <c r="R119" i="41"/>
  <c r="N77" i="41"/>
  <c r="V40" i="11"/>
  <c r="Y34" i="11"/>
  <c r="N80" i="11"/>
  <c r="V54" i="11"/>
  <c r="Y126" i="11"/>
  <c r="N147" i="41"/>
  <c r="J97" i="41"/>
  <c r="R159" i="11"/>
  <c r="N192" i="41"/>
  <c r="N16" i="41" s="1"/>
  <c r="Y141" i="11"/>
  <c r="N96" i="41"/>
  <c r="N35" i="11"/>
  <c r="V153" i="11"/>
  <c r="Y133" i="11"/>
  <c r="N144" i="11"/>
  <c r="R35" i="11"/>
  <c r="R160" i="11"/>
  <c r="Y77" i="11"/>
  <c r="V30" i="11"/>
  <c r="Y165" i="11"/>
  <c r="J63" i="41"/>
  <c r="N87" i="11"/>
  <c r="N72" i="11"/>
  <c r="Y26" i="11"/>
  <c r="R87" i="11"/>
  <c r="J75" i="11"/>
  <c r="R114" i="11"/>
  <c r="N50" i="41"/>
  <c r="R182" i="41"/>
  <c r="R199" i="11"/>
  <c r="J56" i="11"/>
  <c r="J124" i="11"/>
  <c r="N34" i="41"/>
  <c r="V192" i="11"/>
  <c r="N97" i="41"/>
  <c r="N196" i="41"/>
  <c r="J199" i="41"/>
  <c r="R30" i="11"/>
  <c r="J36" i="41"/>
  <c r="N170" i="11"/>
  <c r="M21" i="11"/>
  <c r="U22" i="11"/>
  <c r="M22" i="11"/>
  <c r="V21" i="11"/>
  <c r="W21" i="11"/>
  <c r="I22" i="11"/>
  <c r="S21" i="11"/>
  <c r="K21" i="11"/>
  <c r="I21" i="11"/>
  <c r="N21" i="11"/>
  <c r="Y21" i="11"/>
  <c r="O22" i="11"/>
  <c r="J21" i="11"/>
  <c r="R21" i="11"/>
  <c r="K22" i="11"/>
  <c r="O21" i="11"/>
  <c r="U21" i="11"/>
  <c r="Q21" i="11"/>
  <c r="S22" i="11"/>
  <c r="Q22" i="11"/>
  <c r="W22" i="11"/>
  <c r="N171" i="41"/>
  <c r="J171" i="41"/>
  <c r="R130" i="11"/>
  <c r="J137" i="41"/>
  <c r="V168" i="11"/>
  <c r="N72" i="41"/>
  <c r="N109" i="11"/>
  <c r="V170" i="11"/>
  <c r="J190" i="11"/>
  <c r="J92" i="41"/>
  <c r="N199" i="41"/>
  <c r="J117" i="11"/>
  <c r="J134" i="11"/>
  <c r="N35" i="41"/>
  <c r="R183" i="11"/>
  <c r="J78" i="11"/>
  <c r="R35" i="41"/>
  <c r="N119" i="41"/>
  <c r="R47" i="41"/>
  <c r="N43" i="41"/>
  <c r="J126" i="41"/>
  <c r="R138" i="11"/>
  <c r="R144" i="41"/>
  <c r="Y137" i="11"/>
  <c r="V92" i="11"/>
  <c r="J43" i="41"/>
  <c r="Y112" i="11"/>
  <c r="N199" i="11"/>
  <c r="N130" i="11"/>
  <c r="J163" i="11"/>
  <c r="J176" i="41"/>
  <c r="N58" i="11"/>
  <c r="N68" i="11"/>
  <c r="R126" i="41"/>
  <c r="R33" i="41"/>
  <c r="J185" i="11"/>
  <c r="Y114" i="11"/>
  <c r="N108" i="11"/>
  <c r="N161" i="11"/>
  <c r="J43" i="11"/>
  <c r="R170" i="41"/>
  <c r="J116" i="11"/>
  <c r="R175" i="41"/>
  <c r="J166" i="41"/>
  <c r="V87" i="11"/>
  <c r="Y39" i="11"/>
  <c r="N33" i="11"/>
  <c r="J164" i="41"/>
  <c r="Y58" i="11"/>
  <c r="N113" i="11"/>
  <c r="V28" i="11"/>
  <c r="Y142" i="11"/>
  <c r="Y38" i="11"/>
  <c r="J130" i="41"/>
  <c r="V89" i="11"/>
  <c r="R182" i="11"/>
  <c r="J89" i="41"/>
  <c r="V117" i="11"/>
  <c r="J156" i="41"/>
  <c r="J29" i="41"/>
  <c r="J40" i="11"/>
  <c r="V127" i="11"/>
  <c r="N127" i="11"/>
  <c r="R199" i="41"/>
  <c r="J66" i="41"/>
  <c r="R136" i="41"/>
  <c r="J171" i="11"/>
  <c r="J99" i="11"/>
  <c r="R151" i="41"/>
  <c r="N76" i="11"/>
  <c r="N44" i="41"/>
  <c r="R78" i="11"/>
  <c r="J91" i="41"/>
  <c r="R65" i="41"/>
  <c r="N47" i="11"/>
  <c r="N151" i="41"/>
  <c r="Y183" i="11"/>
  <c r="N55" i="41"/>
  <c r="R54" i="11"/>
  <c r="J57" i="41"/>
  <c r="R173" i="11"/>
  <c r="J30" i="41"/>
  <c r="R143" i="41"/>
  <c r="R26" i="11"/>
  <c r="N173" i="41"/>
  <c r="N131" i="41"/>
  <c r="J51" i="11"/>
  <c r="N65" i="41"/>
  <c r="R55" i="41"/>
  <c r="N119" i="11"/>
  <c r="J81" i="41"/>
  <c r="Y41" i="11"/>
  <c r="J157" i="11"/>
  <c r="N60" i="41"/>
  <c r="R31" i="11"/>
  <c r="R94" i="41"/>
  <c r="R150" i="41"/>
  <c r="N158" i="11"/>
  <c r="Y187" i="11"/>
  <c r="J45" i="41"/>
  <c r="N140" i="11"/>
  <c r="J152" i="41"/>
  <c r="R54" i="41"/>
  <c r="R193" i="41"/>
  <c r="J90" i="41"/>
  <c r="R84" i="41"/>
  <c r="J47" i="11"/>
  <c r="Y180" i="11"/>
  <c r="J46" i="41"/>
  <c r="Y78" i="11"/>
  <c r="V90" i="11"/>
  <c r="R86" i="41"/>
  <c r="Y159" i="11"/>
  <c r="J76" i="11"/>
  <c r="N29" i="41"/>
  <c r="J25" i="11"/>
  <c r="N134" i="11"/>
  <c r="Y86" i="11"/>
  <c r="J105" i="11"/>
  <c r="R154" i="41"/>
  <c r="J162" i="41"/>
  <c r="R78" i="41"/>
  <c r="R152" i="11"/>
  <c r="Y182" i="11"/>
  <c r="J48" i="11"/>
  <c r="N69" i="41"/>
  <c r="N56" i="11"/>
  <c r="J145" i="41"/>
  <c r="J61" i="41"/>
  <c r="J160" i="41"/>
  <c r="V84" i="11"/>
  <c r="Y196" i="11"/>
  <c r="R184" i="11"/>
  <c r="N166" i="11"/>
  <c r="R133" i="11"/>
  <c r="N101" i="11"/>
  <c r="V65" i="11"/>
  <c r="J133" i="11"/>
  <c r="V196" i="11"/>
  <c r="Y103" i="11"/>
  <c r="Y179" i="11"/>
  <c r="N83" i="11"/>
  <c r="Y71" i="11"/>
  <c r="Y30" i="11"/>
  <c r="V150" i="11"/>
  <c r="V125" i="11"/>
  <c r="Y198" i="11"/>
  <c r="V119" i="11"/>
  <c r="Y154" i="11"/>
  <c r="V53" i="11"/>
  <c r="Y166" i="11"/>
  <c r="J191" i="11"/>
  <c r="V191" i="11"/>
  <c r="J187" i="41"/>
  <c r="N193" i="11"/>
  <c r="N83" i="41"/>
  <c r="R130" i="41"/>
  <c r="V55" i="11"/>
  <c r="R193" i="11"/>
  <c r="R83" i="41"/>
  <c r="N188" i="41"/>
  <c r="J123" i="41"/>
  <c r="V163" i="11"/>
  <c r="R188" i="11"/>
  <c r="J64" i="41"/>
  <c r="N130" i="41"/>
  <c r="J148" i="11"/>
  <c r="I19" i="11" l="1"/>
  <c r="Q19" i="11"/>
  <c r="N15" i="11"/>
  <c r="R15" i="41"/>
  <c r="U19" i="11"/>
  <c r="W19" i="11"/>
  <c r="J8" i="11"/>
  <c r="N15" i="41"/>
  <c r="N17" i="41"/>
  <c r="M20" i="41"/>
  <c r="M19" i="11"/>
  <c r="R22" i="11"/>
  <c r="V8" i="11"/>
  <c r="J22" i="11"/>
  <c r="V22" i="11"/>
  <c r="J15" i="11"/>
  <c r="R15" i="11"/>
  <c r="O19" i="11"/>
  <c r="N14" i="11"/>
  <c r="V14" i="11"/>
  <c r="V9" i="11"/>
  <c r="N8" i="11"/>
  <c r="O20" i="41"/>
  <c r="V7" i="11"/>
  <c r="Y9" i="11"/>
  <c r="Y13" i="11"/>
  <c r="J23" i="41"/>
  <c r="R9" i="11"/>
  <c r="R17" i="41"/>
  <c r="Y15" i="11"/>
  <c r="Q20" i="41"/>
  <c r="R23" i="41"/>
  <c r="Y22" i="11"/>
  <c r="V13" i="11"/>
  <c r="J9" i="11"/>
  <c r="N23" i="41"/>
  <c r="J8" i="41"/>
  <c r="R8" i="11"/>
  <c r="J15" i="41"/>
  <c r="N22" i="11"/>
  <c r="Y12" i="11"/>
  <c r="N7" i="11"/>
  <c r="N12" i="41"/>
  <c r="R7" i="11"/>
  <c r="N13" i="41"/>
  <c r="V12" i="11"/>
  <c r="R7" i="41"/>
  <c r="N7" i="41"/>
  <c r="J14" i="11"/>
  <c r="N13" i="11"/>
  <c r="R14" i="11"/>
  <c r="J14" i="41"/>
  <c r="N14" i="41"/>
  <c r="J7" i="41"/>
  <c r="N8" i="41"/>
  <c r="Y7" i="11"/>
  <c r="R12" i="41"/>
  <c r="R13" i="41"/>
  <c r="Y8" i="11"/>
  <c r="Y10" i="11"/>
  <c r="N10" i="41"/>
  <c r="N10" i="11"/>
  <c r="J12" i="11"/>
  <c r="R12" i="11"/>
  <c r="Y14" i="11"/>
  <c r="R10" i="41"/>
  <c r="I20" i="41"/>
  <c r="N12" i="11"/>
  <c r="K20" i="41"/>
  <c r="J9" i="41"/>
  <c r="J13" i="11"/>
  <c r="R13" i="11"/>
  <c r="J12" i="41"/>
  <c r="N9" i="11"/>
  <c r="R8" i="41"/>
  <c r="J7" i="11"/>
  <c r="R9" i="41"/>
  <c r="V10" i="11"/>
  <c r="J10" i="41"/>
  <c r="J13" i="41"/>
  <c r="R10" i="11"/>
  <c r="R14" i="41"/>
  <c r="N9" i="41"/>
  <c r="J10" i="11"/>
  <c r="V19" i="11" l="1"/>
  <c r="J19" i="11"/>
  <c r="N20" i="41"/>
  <c r="R20" i="41"/>
  <c r="S20" i="41" s="1"/>
  <c r="R19" i="11"/>
  <c r="S19" i="11" s="1"/>
  <c r="Y19" i="11" s="1"/>
  <c r="J20" i="41"/>
  <c r="N19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Jonathan Baltzell</author>
    <author>William McBain</author>
  </authors>
  <commentList>
    <comment ref="A39" authorId="0" shapeId="0" xr:uid="{6CAC65C8-D294-4471-9F61-73502C9EFE8B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Input expected liquidated damages (early termination) terms, e.g., 100/100/80/80/50, etc. </t>
        </r>
      </text>
    </comment>
    <comment ref="A41" authorId="0" shapeId="0" xr:uid="{F3AA9E94-EAC9-4ED6-BF16-7304DDBC05FC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Select the scenario you are most confident the prospect/customer will choose.</t>
        </r>
      </text>
    </comment>
    <comment ref="B43" authorId="1" shapeId="0" xr:uid="{5AEE9DED-FBE4-4230-B11D-58E2D3287386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Enter you term description such as ( 6 year 15/75)
</t>
        </r>
      </text>
    </comment>
    <comment ref="C43" authorId="1" shapeId="0" xr:uid="{E718DFF0-51F9-4E91-B7B6-EC355BE1A63C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Enter you term description such as ( 6 year 15/75)
</t>
        </r>
      </text>
    </comment>
    <comment ref="D43" authorId="1" shapeId="0" xr:uid="{48060696-AAA8-4280-9D2F-94EA1BF2FCE1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Enter you term description such as ( 6 year 15/75)
</t>
        </r>
      </text>
    </comment>
    <comment ref="A45" authorId="1" shapeId="0" xr:uid="{BE661CA4-491A-4CF9-965E-0E1263AA322B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This is the total Monthly OutLink fees at List price
</t>
        </r>
      </text>
    </comment>
    <comment ref="A47" authorId="1" shapeId="0" xr:uid="{ABF8ABB1-C53B-4A6F-8451-9B8B03349B95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This is the Total Monthly  less Discounts or Net Fees
</t>
        </r>
      </text>
    </comment>
    <comment ref="A49" authorId="1" shapeId="0" xr:uid="{CB8C6589-B13B-4A0A-ABBB-187FC894D79B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Calculated Field: This field represents the Total Monthlies List Price  x 12 or annualized</t>
        </r>
      </text>
    </comment>
    <comment ref="A51" authorId="1" shapeId="0" xr:uid="{ED44B049-CA1C-44B9-B921-114097CC504A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Claculated Field: Total Monthlies Net Price x 12 or annualized</t>
        </r>
      </text>
    </comment>
    <comment ref="A53" authorId="1" shapeId="0" xr:uid="{591D783A-3A3C-490D-9F97-CD7341E044F9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Total Onetime Fees at List Price</t>
        </r>
      </text>
    </comment>
    <comment ref="A55" authorId="1" shapeId="0" xr:uid="{69835BA9-C556-49D8-8344-948A981B4894}">
      <text>
        <r>
          <rPr>
            <b/>
            <sz val="9"/>
            <rFont val="Tahoma"/>
            <family val="2"/>
          </rPr>
          <t>William McBain:</t>
        </r>
        <r>
          <rPr>
            <sz val="9"/>
            <rFont val="Tahoma"/>
            <family val="2"/>
          </rPr>
          <t xml:space="preserve">
Total of waived instalaltion fees from your worksheet</t>
        </r>
      </text>
    </comment>
    <comment ref="A59" authorId="0" shapeId="0" xr:uid="{B31637A1-3C59-4AF1-8675-690B0278368B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Total license fee list price.</t>
        </r>
      </text>
    </comment>
    <comment ref="A61" authorId="0" shapeId="0" xr:uid="{9F1D32C3-FB81-4D93-9CBF-F83513052E4B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Dollar amount of license fees discounted.</t>
        </r>
      </text>
    </comment>
    <comment ref="A63" authorId="0" shapeId="0" xr:uid="{2A59F371-B450-47A3-A1A2-3D64202FC861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Calculated field.</t>
        </r>
      </text>
    </comment>
    <comment ref="A65" authorId="0" shapeId="0" xr:uid="{040F5E75-19F9-47A8-A4EF-E59C42488524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These items are not normally discounted or waiveable.  This items NEED TO BE INCLUDED in the waived 1x and monthly/annual list and net where applicable.</t>
        </r>
      </text>
    </comment>
    <comment ref="A67" authorId="0" shapeId="0" xr:uid="{C96CB431-4C3C-44B4-87FB-D952E947B000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This is the total of the Incentive Credit listed below. This typically represents a product/service that could not be discounted at the desired level and JHA has provided a credit of similar value for the customer to use as they desire.</t>
        </r>
      </text>
    </comment>
    <comment ref="A69" authorId="1" shapeId="0" xr:uid="{D1113735-B0A8-4EA6-A576-8DCAEDE78B41}">
      <text>
        <r>
          <rPr>
            <b/>
            <sz val="9"/>
            <rFont val="Tahoma"/>
            <family val="2"/>
          </rPr>
          <t xml:space="preserve">William McBain: </t>
        </r>
        <r>
          <rPr>
            <sz val="9"/>
            <rFont val="Tahoma"/>
            <family val="2"/>
          </rPr>
          <t>This is the total of the Cash Consideraton listed below. These fees represent any payment that JHA would be making directly to the customer for de-conversion fees ect.</t>
        </r>
      </text>
    </comment>
    <comment ref="A71" authorId="0" shapeId="0" xr:uid="{44157800-9ADD-4922-894E-68419F51F196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Calculated per scenario based on current revenue in renewals.</t>
        </r>
      </text>
    </comment>
    <comment ref="A73" authorId="0" shapeId="0" xr:uid="{3549352F-63BD-4327-8CB4-F91A822B3C10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These items are not normally discounted or waiveable.  This items NEED TO BE INCLUDED in the waived 1x and monthly/annual list and net where applicable.</t>
        </r>
      </text>
    </comment>
    <comment ref="A88" authorId="0" shapeId="0" xr:uid="{4A99E272-6D40-4D45-80C6-C43FB04654A4}">
      <text>
        <r>
          <rPr>
            <b/>
            <sz val="9"/>
            <rFont val="Tahoma"/>
            <family val="2"/>
          </rPr>
          <t>Jonathan Baltzell:</t>
        </r>
        <r>
          <rPr>
            <sz val="9"/>
            <rFont val="Tahoma"/>
            <family val="2"/>
          </rPr>
          <t xml:space="preserve">
Incentive credits are NOT discounts.  The customer receives a credit allocation and must choose to which invoices they will apply credit.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<sst xmlns="http://schemas.openxmlformats.org/spreadsheetml/2006/main" count="14250" uniqueCount="2654">
  <si>
    <t>Calculated List PAP</t>
  </si>
  <si>
    <t>Sort1</t>
  </si>
  <si>
    <t>Sort2</t>
  </si>
  <si>
    <t>Product</t>
  </si>
  <si>
    <t>New License</t>
  </si>
  <si>
    <t>New Install</t>
  </si>
  <si>
    <t>New Annual</t>
  </si>
  <si>
    <t>New Monthly</t>
  </si>
  <si>
    <t>Old License</t>
  </si>
  <si>
    <t>Old Install</t>
  </si>
  <si>
    <t>Old Annual</t>
  </si>
  <si>
    <t>Old Monthly</t>
  </si>
  <si>
    <t>License Delta</t>
  </si>
  <si>
    <t>Install Delta</t>
  </si>
  <si>
    <t>Annual Delta</t>
  </si>
  <si>
    <t>Monthly Delta</t>
  </si>
  <si>
    <t>BAF License</t>
  </si>
  <si>
    <t>BAF Install</t>
  </si>
  <si>
    <t>BAF Annual</t>
  </si>
  <si>
    <t>BAF Monthly</t>
  </si>
  <si>
    <t>License List</t>
  </si>
  <si>
    <t>Discount</t>
  </si>
  <si>
    <t>License Net</t>
  </si>
  <si>
    <t>Install List</t>
  </si>
  <si>
    <t>Install Net</t>
  </si>
  <si>
    <t>Maintenance List</t>
  </si>
  <si>
    <t>Maintenance Net</t>
  </si>
  <si>
    <t>New Monthly List</t>
  </si>
  <si>
    <t>New Monthly Net</t>
  </si>
  <si>
    <t>Current Monthly List</t>
  </si>
  <si>
    <t>Current Monthly Net</t>
  </si>
  <si>
    <t>Difference</t>
  </si>
  <si>
    <t>Date:</t>
  </si>
  <si>
    <t>Included Software</t>
  </si>
  <si>
    <t>Prepared for:</t>
  </si>
  <si>
    <t>Optional Software</t>
  </si>
  <si>
    <t>Replaced Software</t>
  </si>
  <si>
    <t>Included Hardware</t>
  </si>
  <si>
    <t>JHA Company ID</t>
  </si>
  <si>
    <t>Optional Hardware</t>
  </si>
  <si>
    <t>Asset Size:</t>
  </si>
  <si>
    <t>AE:</t>
  </si>
  <si>
    <t>Global Discount</t>
  </si>
  <si>
    <t>PA:</t>
  </si>
  <si>
    <t>Term in Months</t>
  </si>
  <si>
    <t xml:space="preserve">    License</t>
  </si>
  <si>
    <t xml:space="preserve">         Install</t>
  </si>
  <si>
    <t>Maintenance</t>
  </si>
  <si>
    <t xml:space="preserve"> New Monthly</t>
  </si>
  <si>
    <t>Current Monthly</t>
  </si>
  <si>
    <t>Product Description</t>
  </si>
  <si>
    <t>Order Type</t>
  </si>
  <si>
    <t>Delivery</t>
  </si>
  <si>
    <t>Optional from sf</t>
  </si>
  <si>
    <t>Category</t>
  </si>
  <si>
    <t>Product Family</t>
  </si>
  <si>
    <t>Quantity</t>
  </si>
  <si>
    <t>Avg Unit $</t>
  </si>
  <si>
    <t>Exclusion</t>
  </si>
  <si>
    <t>Freeform Comments to PA</t>
  </si>
  <si>
    <t>AutoGenerated Comments to PA</t>
  </si>
  <si>
    <t>PA Sort</t>
  </si>
  <si>
    <t>PAP</t>
  </si>
  <si>
    <t>JHA Banking - OutLink Summary Worksheet</t>
  </si>
  <si>
    <t>Version 2017.04.01</t>
  </si>
  <si>
    <t>: Date</t>
  </si>
  <si>
    <t>Overall PAP Discount - S1</t>
  </si>
  <si>
    <t>Why is this deal good for Jack Henry?</t>
  </si>
  <si>
    <t>: Bank Name</t>
  </si>
  <si>
    <t>S2</t>
  </si>
  <si>
    <t>'Z:\sales\Document Catalog\Apttus Sheets</t>
  </si>
  <si>
    <t>: City/State</t>
  </si>
  <si>
    <t>: Assets</t>
  </si>
  <si>
    <t>S3</t>
  </si>
  <si>
    <t>: Current Provider</t>
  </si>
  <si>
    <t xml:space="preserve"> </t>
  </si>
  <si>
    <t>: Star Rating</t>
  </si>
  <si>
    <t>: Consultant</t>
  </si>
  <si>
    <t>: Sales Executive</t>
  </si>
  <si>
    <t>: Regional Sales Director</t>
  </si>
  <si>
    <t>: JHA Core Product</t>
  </si>
  <si>
    <t>: Other Competitors</t>
  </si>
  <si>
    <t>: CAGR</t>
  </si>
  <si>
    <t>Renewal-Specific Terms</t>
  </si>
  <si>
    <t>What is the bank's historical growth?</t>
  </si>
  <si>
    <t>: Current Contract Expiration Date</t>
  </si>
  <si>
    <t>: Anticipated Pricing Start Date</t>
  </si>
  <si>
    <t>: Months Remaining Term</t>
  </si>
  <si>
    <t>: Current Annual Revenue</t>
  </si>
  <si>
    <t>: Amount of Variable Charges Included in Curr. Rev. Above</t>
  </si>
  <si>
    <t>In-to-Out Terms</t>
  </si>
  <si>
    <t>Is growth factored into the proposed scenarios?</t>
  </si>
  <si>
    <t>Yes</t>
  </si>
  <si>
    <t>: Current License/Maintenance Revenue</t>
  </si>
  <si>
    <t>No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</si>
  <si>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</si>
  <si>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</si>
  <si>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</si>
  <si>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</si>
  <si>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</si>
  <si>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</si>
  <si>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</si>
  <si>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</si>
  <si>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</si>
  <si>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</si>
  <si>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Growth</t>
  </si>
  <si>
    <t>13-24</t>
  </si>
  <si>
    <t>25-36</t>
  </si>
  <si>
    <t>37-48</t>
  </si>
  <si>
    <t>49-60</t>
  </si>
  <si>
    <t>61-72</t>
  </si>
  <si>
    <t>73-84</t>
  </si>
  <si>
    <t>Discounting Percentages</t>
  </si>
  <si>
    <t>Monthly Fees</t>
  </si>
  <si>
    <t>Monthly Discounts</t>
  </si>
  <si>
    <t>Net Monthly Fees</t>
  </si>
  <si>
    <t>Annualized List Price Revenue</t>
  </si>
  <si>
    <t>Annualized Revenue S-1</t>
  </si>
  <si>
    <t>Annualized Revenue S-2</t>
  </si>
  <si>
    <t>Annualized Revenue S-3</t>
  </si>
  <si>
    <t>What are the expected LD terms?</t>
  </si>
  <si>
    <t>Scenario 1</t>
  </si>
  <si>
    <t>Variable (tick charge) products should be entered here and reflect discounting, but no organic growth over time</t>
  </si>
  <si>
    <t>Scenario 2</t>
  </si>
  <si>
    <t>Which scenario is the most preferred?</t>
  </si>
  <si>
    <t>Scenario 3</t>
  </si>
  <si>
    <t>Term Options (enter specific term)</t>
  </si>
  <si>
    <t>Variable (tick charge) Products</t>
  </si>
  <si>
    <t>retail</t>
  </si>
  <si>
    <t>net</t>
  </si>
  <si>
    <t>Total Monthlies List Price</t>
  </si>
  <si>
    <t>Total Monthlies Net Price</t>
  </si>
  <si>
    <t>Annualized List Price</t>
  </si>
  <si>
    <t>Annualized Net Price</t>
  </si>
  <si>
    <t>Total One-times List Price</t>
  </si>
  <si>
    <t>Total Waived One-times</t>
  </si>
  <si>
    <t>Total Unwaived One-times</t>
  </si>
  <si>
    <t>Total License Fees List Price</t>
  </si>
  <si>
    <t>Total License Fees Discounted</t>
  </si>
  <si>
    <t>Total License Fees Not Discounted</t>
  </si>
  <si>
    <t>Total Special Considerations</t>
  </si>
  <si>
    <t>Total Incentive Credit</t>
  </si>
  <si>
    <t>Total Cash Considerations</t>
  </si>
  <si>
    <t>Early Renewal Discount</t>
  </si>
  <si>
    <t>Total Annual Variable Charges</t>
  </si>
  <si>
    <t>Special Considerations Non-Cash (Itemized)</t>
  </si>
  <si>
    <t>Amounts</t>
  </si>
  <si>
    <t>Total</t>
  </si>
  <si>
    <t>Incentive Credit (Itemized)</t>
  </si>
  <si>
    <t>Cash Considerations (Itemized)</t>
  </si>
  <si>
    <t>***** Please Note - list all playbook exceptions requiring additional approval below for FIXED FEE products/services</t>
  </si>
  <si>
    <t>One-Time</t>
  </si>
  <si>
    <t>Monthly</t>
  </si>
  <si>
    <t>List Price</t>
  </si>
  <si>
    <t>Net Fee</t>
  </si>
  <si>
    <t>Percentage discount</t>
  </si>
  <si>
    <t>Monthly Disc</t>
  </si>
  <si>
    <t>Monthly Net</t>
  </si>
  <si>
    <t>***** Please Note - list all playbook exceptions requiring additional approval below for VARIABLE FEE products/services</t>
  </si>
  <si>
    <t>Variable Charges</t>
  </si>
  <si>
    <t>Unit List Price</t>
  </si>
  <si>
    <t>Estimated Quantity</t>
  </si>
  <si>
    <t>Proposed 
Unit Price</t>
  </si>
  <si>
    <t>Discount Summary (Proposal 1)</t>
  </si>
  <si>
    <t>License</t>
  </si>
  <si>
    <t>Install</t>
  </si>
  <si>
    <t>Non-Exclusion</t>
  </si>
  <si>
    <t>Discount Summary (Proposal 2)</t>
  </si>
  <si>
    <t>Discount Summary (Proposal 3)</t>
  </si>
  <si>
    <t>Select Proposal Option</t>
  </si>
  <si>
    <t>Proposal_1</t>
  </si>
  <si>
    <t>Add Other/Passthrough Total</t>
  </si>
  <si>
    <t xml:space="preserve">Information contained in this spreadsheet is confidential and for informational use only.  Pass through and third party fees may apply.  See proposal/contract for full terms and conditions.  </t>
  </si>
  <si>
    <t>Solution Summary</t>
  </si>
  <si>
    <t>One Times - List</t>
  </si>
  <si>
    <t>One Times - Net</t>
  </si>
  <si>
    <t>Maintenance - List</t>
  </si>
  <si>
    <t>Maintenance - Net</t>
  </si>
  <si>
    <t>New Monthly - List</t>
  </si>
  <si>
    <t>New Monthly - Net</t>
  </si>
  <si>
    <t>Current Monthly - List</t>
  </si>
  <si>
    <t>Current Monthly - Net</t>
  </si>
  <si>
    <t>Core</t>
  </si>
  <si>
    <t>Retail</t>
  </si>
  <si>
    <t>Digital</t>
  </si>
  <si>
    <t>Imaging</t>
  </si>
  <si>
    <t>Lending</t>
  </si>
  <si>
    <t>IS and Risk</t>
  </si>
  <si>
    <t>Payments</t>
  </si>
  <si>
    <t>BI and Financial</t>
  </si>
  <si>
    <t>Training</t>
  </si>
  <si>
    <t>Hardware</t>
  </si>
  <si>
    <t>Replaced Total</t>
  </si>
  <si>
    <t>Optional Total</t>
  </si>
  <si>
    <t>Solution</t>
  </si>
  <si>
    <t>Product Group</t>
  </si>
  <si>
    <t>Avg. Unit Price</t>
  </si>
  <si>
    <t>CAGR</t>
  </si>
  <si>
    <t>Not Available</t>
  </si>
  <si>
    <t>Customer ID</t>
  </si>
  <si>
    <t>Customer Name</t>
  </si>
  <si>
    <t>Line Note</t>
  </si>
  <si>
    <t>Product ID</t>
  </si>
  <si>
    <t>Product ID Descr</t>
  </si>
  <si>
    <t>Apttus ID</t>
  </si>
  <si>
    <t>Date</t>
  </si>
  <si>
    <t>Sum Gross</t>
  </si>
  <si>
    <t>Sum Discount Amt</t>
  </si>
  <si>
    <t>Net Amount</t>
  </si>
  <si>
    <t>Unit Price</t>
  </si>
  <si>
    <t>Included in Current Monthly?</t>
  </si>
  <si>
    <t>Add to Current Monthly?</t>
  </si>
  <si>
    <t>Other/Passthrough</t>
  </si>
  <si>
    <t>4S000111</t>
  </si>
  <si>
    <t>4S000112</t>
  </si>
  <si>
    <t>4S000113</t>
  </si>
  <si>
    <t>4S001007</t>
  </si>
  <si>
    <t>ARGO000101</t>
  </si>
  <si>
    <t>ARGO000105</t>
  </si>
  <si>
    <t>ARGO000115</t>
  </si>
  <si>
    <t>BNBM00008</t>
  </si>
  <si>
    <t>BNBM00009</t>
  </si>
  <si>
    <t>BNBM00010</t>
  </si>
  <si>
    <t>BNBM00011</t>
  </si>
  <si>
    <t>BNBM00014</t>
  </si>
  <si>
    <t>BNBM00015</t>
  </si>
  <si>
    <t>BNBP00007</t>
  </si>
  <si>
    <t>BNSSO0001</t>
  </si>
  <si>
    <t>BNUDM0002</t>
  </si>
  <si>
    <t>BNUE0001</t>
  </si>
  <si>
    <t>CD000124</t>
  </si>
  <si>
    <t>COGN000102</t>
  </si>
  <si>
    <t>COGN000104</t>
  </si>
  <si>
    <t>CONA00077</t>
  </si>
  <si>
    <t>CPS000103</t>
  </si>
  <si>
    <t>CPS000110</t>
  </si>
  <si>
    <t>CPS000104</t>
  </si>
  <si>
    <t>CPS000105</t>
  </si>
  <si>
    <t>CPS000106</t>
  </si>
  <si>
    <t>CPS000350</t>
  </si>
  <si>
    <t>CPS000108</t>
  </si>
  <si>
    <t>CPS000109</t>
  </si>
  <si>
    <t>CPS000111</t>
  </si>
  <si>
    <t>CPS000112</t>
  </si>
  <si>
    <t>CPS000113</t>
  </si>
  <si>
    <t>CPS000114</t>
  </si>
  <si>
    <t>CPS000116</t>
  </si>
  <si>
    <t>CPS000118</t>
  </si>
  <si>
    <t>CPS000119</t>
  </si>
  <si>
    <t>CPS000120</t>
  </si>
  <si>
    <t>CPS000121</t>
  </si>
  <si>
    <t>CPS000127</t>
  </si>
  <si>
    <t>CPS000147</t>
  </si>
  <si>
    <t>CPS000148</t>
  </si>
  <si>
    <t>CPS000149</t>
  </si>
  <si>
    <t>CPS000150</t>
  </si>
  <si>
    <t>CPS000156</t>
  </si>
  <si>
    <t>CPS000200</t>
  </si>
  <si>
    <t>CPS000210</t>
  </si>
  <si>
    <t>CPS000240</t>
  </si>
  <si>
    <t>CPS000260</t>
  </si>
  <si>
    <t>CPS000270</t>
  </si>
  <si>
    <t>CPS000280</t>
  </si>
  <si>
    <t>CPS000290</t>
  </si>
  <si>
    <t>CPS000310</t>
  </si>
  <si>
    <t>CPS000320</t>
  </si>
  <si>
    <t>CPS000330</t>
  </si>
  <si>
    <t>CPS000352</t>
  </si>
  <si>
    <t>CPS000353</t>
  </si>
  <si>
    <t>CPS000360</t>
  </si>
  <si>
    <t>CPS000393</t>
  </si>
  <si>
    <t>CPS000420</t>
  </si>
  <si>
    <t>CPS000470</t>
  </si>
  <si>
    <t>CPS000510</t>
  </si>
  <si>
    <t>CPS000520</t>
  </si>
  <si>
    <t>CPS000552</t>
  </si>
  <si>
    <t>CPS000550</t>
  </si>
  <si>
    <t>CPS000560</t>
  </si>
  <si>
    <t>CPS000620</t>
  </si>
  <si>
    <t>CPS000630</t>
  </si>
  <si>
    <t>CPS000680</t>
  </si>
  <si>
    <t>CPS000690</t>
  </si>
  <si>
    <t>CPS000670</t>
  </si>
  <si>
    <t>CPS000710</t>
  </si>
  <si>
    <t>CPS000770</t>
  </si>
  <si>
    <t>CPS000780</t>
  </si>
  <si>
    <t>CTBK00008</t>
  </si>
  <si>
    <t>CTBK00030</t>
  </si>
  <si>
    <t>CTCL00013</t>
  </si>
  <si>
    <t>CTCT00030</t>
  </si>
  <si>
    <t>DLW000101</t>
  </si>
  <si>
    <t>DLW000102</t>
  </si>
  <si>
    <t>ECNA00134</t>
  </si>
  <si>
    <t>EINA00141</t>
  </si>
  <si>
    <t>EINA00144</t>
  </si>
  <si>
    <t>EPMC00161</t>
  </si>
  <si>
    <t>EPMC00162</t>
  </si>
  <si>
    <t>EPRC00148</t>
  </si>
  <si>
    <t>EPRE00146</t>
  </si>
  <si>
    <t>EPRN00147</t>
  </si>
  <si>
    <t>EPS100009</t>
  </si>
  <si>
    <t>EPSP00156</t>
  </si>
  <si>
    <t>EPSS00152</t>
  </si>
  <si>
    <t>EPSX00165</t>
  </si>
  <si>
    <t>EPSX00168</t>
  </si>
  <si>
    <t>EPSX00169</t>
  </si>
  <si>
    <t>EPUN00154</t>
  </si>
  <si>
    <t>ESI000101</t>
  </si>
  <si>
    <t>ESI000102</t>
  </si>
  <si>
    <t>ESI000201</t>
  </si>
  <si>
    <t>GEN000106</t>
  </si>
  <si>
    <t>HX00001</t>
  </si>
  <si>
    <t>INTF000103</t>
  </si>
  <si>
    <t>IPNA00412</t>
  </si>
  <si>
    <t>IPNA00414</t>
  </si>
  <si>
    <t>IPNA00416</t>
  </si>
  <si>
    <t>IPNA00419</t>
  </si>
  <si>
    <t>IPNA00422</t>
  </si>
  <si>
    <t>IPNA00424</t>
  </si>
  <si>
    <t>ITBK0005</t>
  </si>
  <si>
    <t>ITNT00100</t>
  </si>
  <si>
    <t>ITNT00101</t>
  </si>
  <si>
    <t>JCON00130</t>
  </si>
  <si>
    <t>JEWF00463</t>
  </si>
  <si>
    <t>JTNA00100</t>
  </si>
  <si>
    <t>JTNA00439</t>
  </si>
  <si>
    <t>JTNA00440</t>
  </si>
  <si>
    <t>JTNA00443</t>
  </si>
  <si>
    <t>JTNA00444</t>
  </si>
  <si>
    <t>JTNA00445</t>
  </si>
  <si>
    <t>JTNA00448</t>
  </si>
  <si>
    <t>JTNA00450</t>
  </si>
  <si>
    <t>JTNA00454</t>
  </si>
  <si>
    <t>JTNA00650</t>
  </si>
  <si>
    <t>NTJO00483</t>
  </si>
  <si>
    <t>NTJO00488</t>
  </si>
  <si>
    <t>NTNA00489</t>
  </si>
  <si>
    <t>NTNA00500</t>
  </si>
  <si>
    <t>NTNA00700</t>
  </si>
  <si>
    <t>NTOB00110</t>
  </si>
  <si>
    <t>NTOB00486</t>
  </si>
  <si>
    <t>NTOB00487</t>
  </si>
  <si>
    <t>NTOB00516</t>
  </si>
  <si>
    <t>NTOB00518</t>
  </si>
  <si>
    <t>NTOB00519</t>
  </si>
  <si>
    <t>NTOB00521</t>
  </si>
  <si>
    <t>OAML00106</t>
  </si>
  <si>
    <t>OAML00107</t>
  </si>
  <si>
    <t>OB000101</t>
  </si>
  <si>
    <t>OFMB00100</t>
  </si>
  <si>
    <t>OLIP000103</t>
  </si>
  <si>
    <t>OLIP000105</t>
  </si>
  <si>
    <t>OLIP000106</t>
  </si>
  <si>
    <t>OLIP000107</t>
  </si>
  <si>
    <t>OLIP000108</t>
  </si>
  <si>
    <t>OLIP000109</t>
  </si>
  <si>
    <t>OLIP000110</t>
  </si>
  <si>
    <t>OLIP000111</t>
  </si>
  <si>
    <t>OLIP000112</t>
  </si>
  <si>
    <t>OLIP000113</t>
  </si>
  <si>
    <t>OLIP000114</t>
  </si>
  <si>
    <t>OLIP000115</t>
  </si>
  <si>
    <t>OLIP000117</t>
  </si>
  <si>
    <t>OLIP000118</t>
  </si>
  <si>
    <t>OLIP000123</t>
  </si>
  <si>
    <t>OLIP000127</t>
  </si>
  <si>
    <t>OLIP000129</t>
  </si>
  <si>
    <t>OLIP000130</t>
  </si>
  <si>
    <t>OLIP000131</t>
  </si>
  <si>
    <t>OLIP000132</t>
  </si>
  <si>
    <t>OLIP000133</t>
  </si>
  <si>
    <t>OLIP000134</t>
  </si>
  <si>
    <t>OLIP000136</t>
  </si>
  <si>
    <t>OLIP000137</t>
  </si>
  <si>
    <t>ONBLND000001</t>
  </si>
  <si>
    <t>OPAN00100</t>
  </si>
  <si>
    <t>OPAN00200</t>
  </si>
  <si>
    <t>PFNA00100</t>
  </si>
  <si>
    <t>PFNA00563</t>
  </si>
  <si>
    <t>PFNA00564</t>
  </si>
  <si>
    <t>PFNA00565</t>
  </si>
  <si>
    <t>PFNA00566</t>
  </si>
  <si>
    <t>PFNA00567</t>
  </si>
  <si>
    <t>PFNA00600</t>
  </si>
  <si>
    <t>PFNA00610</t>
  </si>
  <si>
    <t>PFNA00620</t>
  </si>
  <si>
    <t>PFNA00630</t>
  </si>
  <si>
    <t>PFNA00640</t>
  </si>
  <si>
    <t>PFNA00670</t>
  </si>
  <si>
    <t>PFNA00690</t>
  </si>
  <si>
    <t>PRRC00602</t>
  </si>
  <si>
    <t>PSPP00526</t>
  </si>
  <si>
    <t>PSPP00544</t>
  </si>
  <si>
    <t>PSPP00555</t>
  </si>
  <si>
    <t>R360000101</t>
  </si>
  <si>
    <t>RDA000101</t>
  </si>
  <si>
    <t>RDC000101</t>
  </si>
  <si>
    <t>SECM00102</t>
  </si>
  <si>
    <t>SFGD00100</t>
  </si>
  <si>
    <t>SFX000101</t>
  </si>
  <si>
    <t>SFX000103</t>
  </si>
  <si>
    <t>SLAKE000102</t>
  </si>
  <si>
    <t>SLAKE00199</t>
  </si>
  <si>
    <t>SPNA00617</t>
  </si>
  <si>
    <t>STCT1002</t>
  </si>
  <si>
    <t>SUAT00101</t>
  </si>
  <si>
    <t>SUAT00103</t>
  </si>
  <si>
    <t>SUAT00104</t>
  </si>
  <si>
    <t>SUAT00106</t>
  </si>
  <si>
    <t>SUAT00107</t>
  </si>
  <si>
    <t>SUAT00109</t>
  </si>
  <si>
    <t>SUAT00110</t>
  </si>
  <si>
    <t>SUAT00112</t>
  </si>
  <si>
    <t>SUAT00113</t>
  </si>
  <si>
    <t>SUAT00115</t>
  </si>
  <si>
    <t>SUAT00118</t>
  </si>
  <si>
    <t>SUAT00122</t>
  </si>
  <si>
    <t>SUAT00123</t>
  </si>
  <si>
    <t>SUAT00126</t>
  </si>
  <si>
    <t>SUAT00127</t>
  </si>
  <si>
    <t>SYNA00632</t>
  </si>
  <si>
    <t>SYNA00633</t>
  </si>
  <si>
    <t>SYNA00650</t>
  </si>
  <si>
    <t>SYNA00657</t>
  </si>
  <si>
    <t>SYNA00661</t>
  </si>
  <si>
    <t>SYNA00663</t>
  </si>
  <si>
    <t>SYNA00670</t>
  </si>
  <si>
    <t>TEL000103</t>
  </si>
  <si>
    <t>TEL000104</t>
  </si>
  <si>
    <t>TEL000108</t>
  </si>
  <si>
    <t>OLTF000113</t>
  </si>
  <si>
    <t>JTNA00437</t>
  </si>
  <si>
    <t>JTNA00452</t>
  </si>
  <si>
    <t>GDNA00290</t>
  </si>
  <si>
    <t>COGN000101</t>
  </si>
  <si>
    <t>CPS000107</t>
  </si>
  <si>
    <t>OLTF000108</t>
  </si>
  <si>
    <t>OLTF000114</t>
  </si>
  <si>
    <t>OLTF000107</t>
  </si>
  <si>
    <t>CD000117</t>
  </si>
  <si>
    <t>OLIP000116</t>
  </si>
  <si>
    <t>BNBP00005</t>
  </si>
  <si>
    <t>OLTF000112</t>
  </si>
  <si>
    <t>CPS000117</t>
  </si>
  <si>
    <t>CORE00103</t>
  </si>
  <si>
    <t>OLIP000120</t>
  </si>
  <si>
    <t>OLIP000119</t>
  </si>
  <si>
    <t>COGN000103</t>
  </si>
  <si>
    <t>CPS000990</t>
  </si>
  <si>
    <t>CPS000781</t>
  </si>
  <si>
    <t>CPS001250</t>
  </si>
  <si>
    <t>CPS001230</t>
  </si>
  <si>
    <t>Bank Name</t>
  </si>
  <si>
    <t>City, St</t>
  </si>
  <si>
    <t>Assets</t>
  </si>
  <si>
    <t>Current Provider</t>
  </si>
  <si>
    <t>Star Rating</t>
  </si>
  <si>
    <t>Consultant</t>
  </si>
  <si>
    <t>Sales Executive</t>
  </si>
  <si>
    <t>Regional Sales Director</t>
  </si>
  <si>
    <t>JHA Core Product</t>
  </si>
  <si>
    <t>Other Competitors</t>
  </si>
  <si>
    <t>Products</t>
  </si>
  <si>
    <t>Company ID</t>
  </si>
  <si>
    <t>Deal Considerations</t>
  </si>
  <si>
    <t>Strategic Comments</t>
  </si>
  <si>
    <t>Term 1</t>
  </si>
  <si>
    <t>Term 2</t>
  </si>
  <si>
    <t>Term 3</t>
  </si>
  <si>
    <t>1X Not Discounted 1</t>
  </si>
  <si>
    <t>1X Not Discounted 2</t>
  </si>
  <si>
    <t>1X Not Discounted 3</t>
  </si>
  <si>
    <t>1X Discounted 1</t>
  </si>
  <si>
    <t>1X Discounted 2</t>
  </si>
  <si>
    <t>1X Discounted 3</t>
  </si>
  <si>
    <t>Other Fees 1</t>
  </si>
  <si>
    <t>Other Fees 2</t>
  </si>
  <si>
    <t>Other Fees 3</t>
  </si>
  <si>
    <t>License Fees Not Discounted 1</t>
  </si>
  <si>
    <t>License Fees Not Discounted 2</t>
  </si>
  <si>
    <t>License Fees Not Discounted 3</t>
  </si>
  <si>
    <t>License Fees Discounted 1</t>
  </si>
  <si>
    <t>License Fees Discounted 2</t>
  </si>
  <si>
    <t>License Fees Discounted 3</t>
  </si>
  <si>
    <t>AverageNewMonthlyDiscountSL</t>
  </si>
  <si>
    <t>AverageNewMonthlyDiscountCIF</t>
  </si>
  <si>
    <t>AverageNewMonthlyDiscountCD</t>
  </si>
  <si>
    <t>AverageNewMonthlyDiscountTeller</t>
  </si>
  <si>
    <t>AverageNewMonthlyDiscount</t>
  </si>
  <si>
    <t>AverageNewMonthlyDiscountRounded</t>
  </si>
  <si>
    <t>NewMonthlyNetSUMRoundedCore</t>
  </si>
  <si>
    <t>NewMonthlyNetSUMCore</t>
  </si>
  <si>
    <t>NewMonthlyNetSUMRoundedTeller</t>
  </si>
  <si>
    <t>NewMonthlyNetSUMTeller</t>
  </si>
  <si>
    <t>CurrentMonthlyNetSumRoundedCore</t>
  </si>
  <si>
    <t>CurrentMonthlyNetSumCore</t>
  </si>
  <si>
    <t>CurrentMonthlyNetSumRoundedTeller</t>
  </si>
  <si>
    <t>AgreementName</t>
  </si>
  <si>
    <t>CurrentMonthlyNetSumTeller</t>
  </si>
  <si>
    <t>Ext ID</t>
  </si>
  <si>
    <t>Product Name</t>
  </si>
  <si>
    <t>Primary Sort Order</t>
  </si>
  <si>
    <t>Secondary Sort Order</t>
  </si>
  <si>
    <t>Proposal Tab Names</t>
  </si>
  <si>
    <t>Product Description for Billing</t>
  </si>
  <si>
    <t>4S0001010</t>
  </si>
  <si>
    <t>4|sight Payer Extraction</t>
  </si>
  <si>
    <t>Card Processing Solutions (CPS)</t>
  </si>
  <si>
    <t>4S0001011</t>
  </si>
  <si>
    <t>4|sight OrboGraph Payor Reco</t>
  </si>
  <si>
    <t>UAT</t>
  </si>
  <si>
    <t>Ignore</t>
  </si>
  <si>
    <t>Orbograph CAR - Accura XV</t>
  </si>
  <si>
    <t>4|sight</t>
  </si>
  <si>
    <t>Orbograph Centralized IQUA - Accura XV</t>
  </si>
  <si>
    <t>Enterprise Conversion Solutions</t>
  </si>
  <si>
    <t>Orbograph Payee Name Verification (PNV)</t>
  </si>
  <si>
    <t>OutLink Item Processing</t>
  </si>
  <si>
    <t>4S000114</t>
  </si>
  <si>
    <t>Orbograph iCare</t>
  </si>
  <si>
    <t>Agiletics</t>
  </si>
  <si>
    <t>4S000116</t>
  </si>
  <si>
    <t>Check Image Capture eLearning</t>
  </si>
  <si>
    <t>Core Director</t>
  </si>
  <si>
    <t>4S000118</t>
  </si>
  <si>
    <t>4|sight Mock Conversion</t>
  </si>
  <si>
    <t>Complementary</t>
  </si>
  <si>
    <t>4S000132</t>
  </si>
  <si>
    <t>4|sight Remote Installation Services for ECP Image Capture Universal Controller</t>
  </si>
  <si>
    <t>ProfitStar</t>
  </si>
  <si>
    <t>4S000133</t>
  </si>
  <si>
    <t>eLearning users</t>
  </si>
  <si>
    <t>Episys</t>
  </si>
  <si>
    <t>4S000134</t>
  </si>
  <si>
    <t>4|sight Remote Installation Services for Workstation - ECP Replacement</t>
  </si>
  <si>
    <t>ProfitStars Financial Performance</t>
  </si>
  <si>
    <t>4S000135</t>
  </si>
  <si>
    <t>4|sight Remote Installation Services for CAR Server - ECP Replacement</t>
  </si>
  <si>
    <t>Synergy</t>
  </si>
  <si>
    <t>4S000136</t>
  </si>
  <si>
    <t>4|sight Remote Installation Services for Virtual CAR Server - ECP Replacement</t>
  </si>
  <si>
    <t>PowerLink</t>
  </si>
  <si>
    <t>4S000137</t>
  </si>
  <si>
    <t>4|sight Remote Installation Services for a single scanner replacement - ECP Replacement</t>
  </si>
  <si>
    <t>AlertCenter</t>
  </si>
  <si>
    <t>4S000138</t>
  </si>
  <si>
    <t>4|sight Remote Installation Services for up to five scanner replacements within the same engagement - ECP Replacement</t>
  </si>
  <si>
    <t>ProfitStars ImageCenter</t>
  </si>
  <si>
    <t>4S001004</t>
  </si>
  <si>
    <t>Customer Sourced Virtual Hardware Consulting Services</t>
  </si>
  <si>
    <t>Opening Act</t>
  </si>
  <si>
    <t>4|sight Item Capture-Scanner</t>
  </si>
  <si>
    <t>OnTarget</t>
  </si>
  <si>
    <t>4S001008</t>
  </si>
  <si>
    <t>4|sight Item Capture-Scanner (Subsequent Licenses)</t>
  </si>
  <si>
    <t>Argo</t>
  </si>
  <si>
    <t>4S001009</t>
  </si>
  <si>
    <t>Check Image eLearning for Teller Capture</t>
  </si>
  <si>
    <t>iPay</t>
  </si>
  <si>
    <t>ACEW00002</t>
  </si>
  <si>
    <t>AlertCenter AFS + EWS</t>
  </si>
  <si>
    <t>Banno</t>
  </si>
  <si>
    <t>ACEW00004</t>
  </si>
  <si>
    <t>AlertCenter Early Warning Services (EWS)</t>
  </si>
  <si>
    <t>Branch Anywhere</t>
  </si>
  <si>
    <t>ACEW00005</t>
  </si>
  <si>
    <t>AFS TrueChecks Frontline</t>
  </si>
  <si>
    <t>Enterprise Payment Solutions (EPS)</t>
  </si>
  <si>
    <t>ACEW00006</t>
  </si>
  <si>
    <t>AFS Early Warning Deposit Chek</t>
  </si>
  <si>
    <t>OnBoard</t>
  </si>
  <si>
    <t>ACIC00100</t>
  </si>
  <si>
    <t>AlertCenter Integration to ImageCenter</t>
  </si>
  <si>
    <t>CruiseNet</t>
  </si>
  <si>
    <t>ACNA00003</t>
  </si>
  <si>
    <t>AlertCenter AFS Only</t>
  </si>
  <si>
    <t>CELR</t>
  </si>
  <si>
    <t>Argo Deposit Keys</t>
  </si>
  <si>
    <t>Centurion</t>
  </si>
  <si>
    <t xml:space="preserve">ARGO000103 </t>
  </si>
  <si>
    <t>Argo Lending Keys</t>
  </si>
  <si>
    <t>Vertex</t>
  </si>
  <si>
    <t>Argo Automated Loan Decisioning Module</t>
  </si>
  <si>
    <t>CIF 20/20</t>
  </si>
  <si>
    <t>Sherman Loan Calculator</t>
  </si>
  <si>
    <t>Cognos</t>
  </si>
  <si>
    <t>BGPS100013</t>
  </si>
  <si>
    <t>BridgePay Gateway Processing Services</t>
  </si>
  <si>
    <t>NetTeller</t>
  </si>
  <si>
    <t>Banno Marketing</t>
  </si>
  <si>
    <t>Electronic Statements Interactive(ESI)</t>
  </si>
  <si>
    <t>Digital Channel to Banno Content</t>
  </si>
  <si>
    <t>Genesys</t>
  </si>
  <si>
    <t>Banno Mobile</t>
  </si>
  <si>
    <t>Complimentary</t>
  </si>
  <si>
    <t>Banno Online</t>
  </si>
  <si>
    <t>DirectLine</t>
  </si>
  <si>
    <t>BNBM00012</t>
  </si>
  <si>
    <t>Digital Channel to ATM</t>
  </si>
  <si>
    <t>SilverLake</t>
  </si>
  <si>
    <t>Banno Business</t>
  </si>
  <si>
    <t>Enterprise Integration Solution</t>
  </si>
  <si>
    <t>Banno Digital Toolkit</t>
  </si>
  <si>
    <t>ProfitStars RemitPlus</t>
  </si>
  <si>
    <t>Electronic Statement Interactive (ESI)</t>
  </si>
  <si>
    <t>BNBP00006</t>
  </si>
  <si>
    <t>Banno Aggregation Template</t>
  </si>
  <si>
    <t>EFT</t>
  </si>
  <si>
    <t>Banno SMS Texting</t>
  </si>
  <si>
    <t>goDough Mobile Banking</t>
  </si>
  <si>
    <t>BNDS0001</t>
  </si>
  <si>
    <t>Banno Online Demo Site</t>
  </si>
  <si>
    <t>Xperience</t>
  </si>
  <si>
    <t>Banno Single Sign On</t>
  </si>
  <si>
    <t>JHA OpenAnywhere</t>
  </si>
  <si>
    <t>BNUDM0001</t>
  </si>
  <si>
    <t>Banno NuDetect by Mastercard Without Portal</t>
  </si>
  <si>
    <t>ISA - ImageCenter</t>
  </si>
  <si>
    <t>Banno NuDetect by Mastercard With Portal (Approval Required)</t>
  </si>
  <si>
    <t>Intuit</t>
  </si>
  <si>
    <t>Banno UAT Environment</t>
  </si>
  <si>
    <t>iTalk</t>
  </si>
  <si>
    <t>CD000103</t>
  </si>
  <si>
    <t>Core Director Client Licenses</t>
  </si>
  <si>
    <t>Managed Telephony</t>
  </si>
  <si>
    <t>ACH Return</t>
  </si>
  <si>
    <t>jConnect</t>
  </si>
  <si>
    <t>CD000118</t>
  </si>
  <si>
    <t>Core Director Pre-Implementations Training (five days onsite)</t>
  </si>
  <si>
    <t>jhaAddress Verify</t>
  </si>
  <si>
    <t>Core Director ODBC Driver and Data Dictionary</t>
  </si>
  <si>
    <t>jhaKnow</t>
  </si>
  <si>
    <t>CDTE00020</t>
  </si>
  <si>
    <t>Teller Staging</t>
  </si>
  <si>
    <t>jhaCallCenter Outsourced</t>
  </si>
  <si>
    <t>CENTSMA00001</t>
  </si>
  <si>
    <t>Centurion - SMA OpCon/XPS Recovery</t>
  </si>
  <si>
    <t>JHA Database Management</t>
  </si>
  <si>
    <t>CHHA00100</t>
  </si>
  <si>
    <t>Centurion Hosted High Availability (without Managed Services)</t>
  </si>
  <si>
    <t>jhaEnterprise Workflow</t>
  </si>
  <si>
    <t>CK2100010</t>
  </si>
  <si>
    <t>Check 21 Reconfiguration Services</t>
  </si>
  <si>
    <t>Platform</t>
  </si>
  <si>
    <t>Cognos BI Data Dictionary</t>
  </si>
  <si>
    <t>JHA OFM</t>
  </si>
  <si>
    <t>Cognos BI Bundles</t>
  </si>
  <si>
    <t>JHA Payment Center</t>
  </si>
  <si>
    <t>Cognos BI Add-on Users</t>
  </si>
  <si>
    <t>PowerOn</t>
  </si>
  <si>
    <t>Cognos BI Dashboards</t>
  </si>
  <si>
    <t>JHA SafeGuard</t>
  </si>
  <si>
    <t>CONA00076</t>
  </si>
  <si>
    <t>Cognos Impromptu Report Writer (additional licenses)</t>
  </si>
  <si>
    <t>Treasury</t>
  </si>
  <si>
    <t>Cognos Impromptu Report Writer</t>
  </si>
  <si>
    <t>Know-It-All</t>
  </si>
  <si>
    <t>CONA00078</t>
  </si>
  <si>
    <t>ODBC for Cognos</t>
  </si>
  <si>
    <t>Office365</t>
  </si>
  <si>
    <t>CORE00100</t>
  </si>
  <si>
    <t>Silverlake Post Conversion Operational Review</t>
  </si>
  <si>
    <t>SMA OpCon</t>
  </si>
  <si>
    <t>CORE00101</t>
  </si>
  <si>
    <t>Daily File Transfer Upload</t>
  </si>
  <si>
    <t>ProfitStar Legacy</t>
  </si>
  <si>
    <t>CORE00102</t>
  </si>
  <si>
    <t>Daily File Transfer Download</t>
  </si>
  <si>
    <t>Yellow Hammer</t>
  </si>
  <si>
    <t>CPMTS00100</t>
  </si>
  <si>
    <t>Full Service Credit Card</t>
  </si>
  <si>
    <t>Relationship 360</t>
  </si>
  <si>
    <t>CPS000101</t>
  </si>
  <si>
    <t>JHA Debit Processing</t>
  </si>
  <si>
    <t>ProfitStars RemitCentral</t>
  </si>
  <si>
    <t>ATM/POS Transactions</t>
  </si>
  <si>
    <t>Stickley on Security</t>
  </si>
  <si>
    <t>Debit Card Authorization</t>
  </si>
  <si>
    <t>StreamLine</t>
  </si>
  <si>
    <t>Debit Card Settlement</t>
  </si>
  <si>
    <t>Synapsys</t>
  </si>
  <si>
    <t>ATM/Debit Cards</t>
  </si>
  <si>
    <t>Teller</t>
  </si>
  <si>
    <t>JHA Card Analytics</t>
  </si>
  <si>
    <t>TimeTrack</t>
  </si>
  <si>
    <t>Chargeback Dispute Processing</t>
  </si>
  <si>
    <t>EMV Chip Card Authorization</t>
  </si>
  <si>
    <t>ATM Transactions (on-us at-us)</t>
  </si>
  <si>
    <t>LoanVantage</t>
  </si>
  <si>
    <t>JHA Card Fraud Center (scored transactions)</t>
  </si>
  <si>
    <t>Fraud Cardholder Record Storage</t>
  </si>
  <si>
    <t>Host Based PIN Authorization</t>
  </si>
  <si>
    <t>ATM Driving</t>
  </si>
  <si>
    <t>CPS000115</t>
  </si>
  <si>
    <t>ATM Setup</t>
  </si>
  <si>
    <t>3D Secure</t>
  </si>
  <si>
    <t>3D Secure Authentications</t>
  </si>
  <si>
    <t>JHA Card Activation and PIN Management</t>
  </si>
  <si>
    <t>JHA PIN Management</t>
  </si>
  <si>
    <t>Instant Issue</t>
  </si>
  <si>
    <t>JHA Tokenization (Digital Wallet)</t>
  </si>
  <si>
    <t>Ventus ATM Setup</t>
  </si>
  <si>
    <t>JHA Hot Card Center</t>
  </si>
  <si>
    <t>CPS Extra Awards</t>
  </si>
  <si>
    <t>MyCardRules</t>
  </si>
  <si>
    <t>QuickAssist</t>
  </si>
  <si>
    <t>CACM File Transmission</t>
  </si>
  <si>
    <t>CPS000190</t>
  </si>
  <si>
    <t>JHA ATM/POS Processing</t>
  </si>
  <si>
    <t>Network Transaction Processing</t>
  </si>
  <si>
    <t>Fraud Alert Case Management</t>
  </si>
  <si>
    <t>JHA Hot Card Center Calls</t>
  </si>
  <si>
    <t>CPS000250</t>
  </si>
  <si>
    <t>Fraud Advisory Services</t>
  </si>
  <si>
    <t>Two-Way Connect Cardholder Alerts</t>
  </si>
  <si>
    <t>Regional ATM/Debit Network</t>
  </si>
  <si>
    <t>National ATM/Debit Network</t>
  </si>
  <si>
    <t>Surcharge Free ATM/Debit Network</t>
  </si>
  <si>
    <t>CPS000300</t>
  </si>
  <si>
    <t>Star Services</t>
  </si>
  <si>
    <t>Card Activations</t>
  </si>
  <si>
    <t>PIN Sets or PIN Changes</t>
  </si>
  <si>
    <t>MyCardRules Active Users</t>
  </si>
  <si>
    <t>CPS000340</t>
  </si>
  <si>
    <t>CPS Additional Services Fee Schedule</t>
  </si>
  <si>
    <t>Chargeback Dispute Processing Cases</t>
  </si>
  <si>
    <t>Network Fraud Reporting</t>
  </si>
  <si>
    <t>Ethoca</t>
  </si>
  <si>
    <t>CPS000370</t>
  </si>
  <si>
    <t>Footprints Data Storage</t>
  </si>
  <si>
    <t>CPS000380</t>
  </si>
  <si>
    <t>Card Personalization Fee Schedule</t>
  </si>
  <si>
    <t>CPS000390</t>
  </si>
  <si>
    <t>File Maintenance Fee Schedule</t>
  </si>
  <si>
    <t>CPS000400</t>
  </si>
  <si>
    <t>JHA Credit Processing</t>
  </si>
  <si>
    <t>CPS000409</t>
  </si>
  <si>
    <t>Raw Plastics Fee Schedule</t>
  </si>
  <si>
    <t>CPS000410</t>
  </si>
  <si>
    <t>JHA Credit Card Advisory Services</t>
  </si>
  <si>
    <t>CPS000411</t>
  </si>
  <si>
    <t>CPS Dual Interface Cards Fee Schedule</t>
  </si>
  <si>
    <t>Agent Bank File Transfer</t>
  </si>
  <si>
    <t>CPS000430</t>
  </si>
  <si>
    <t>Credit Cards</t>
  </si>
  <si>
    <t>CPS000440</t>
  </si>
  <si>
    <t>Credit Authorization</t>
  </si>
  <si>
    <t>CPS000450</t>
  </si>
  <si>
    <t>Credit Settlement</t>
  </si>
  <si>
    <t>CPS000460</t>
  </si>
  <si>
    <t>EMV BIN Management, per BIN</t>
  </si>
  <si>
    <t>EMV Credit Authorization</t>
  </si>
  <si>
    <t>CPS000480</t>
  </si>
  <si>
    <t>CPS000490</t>
  </si>
  <si>
    <t>Credit Bureau Reporting, per BIN</t>
  </si>
  <si>
    <t>CPS000500</t>
  </si>
  <si>
    <t>eBalance Consolidation</t>
  </si>
  <si>
    <t>JHA Credit Card Call Center Support</t>
  </si>
  <si>
    <t>JHA Credit Card Enterprise Statement Processing</t>
  </si>
  <si>
    <t>CPS000530</t>
  </si>
  <si>
    <t>JHA Credit Card Enterprise Statement Processing, additional pages</t>
  </si>
  <si>
    <t>CPS000540</t>
  </si>
  <si>
    <t>JHA Credit Card E-Statements</t>
  </si>
  <si>
    <t>VISA/MasterCard Account Update</t>
  </si>
  <si>
    <t>Commercial 360 Control</t>
  </si>
  <si>
    <t>CPS000570</t>
  </si>
  <si>
    <t>JHA Credit Card Online Statement History</t>
  </si>
  <si>
    <t>CPS000580</t>
  </si>
  <si>
    <t>JHA Credit Card Online History File, per account</t>
  </si>
  <si>
    <t>CPS000590</t>
  </si>
  <si>
    <t>JHA Credit Card Special Handling</t>
  </si>
  <si>
    <t>CPS000600</t>
  </si>
  <si>
    <t>JHA Credit Card Pay by Phone ACH</t>
  </si>
  <si>
    <t>CPS000610</t>
  </si>
  <si>
    <t>JHA Credit Card PayMyBill ACH</t>
  </si>
  <si>
    <t>Lockbox Processing</t>
  </si>
  <si>
    <t>Lockbox Processing Transactions</t>
  </si>
  <si>
    <t>CPS000640</t>
  </si>
  <si>
    <t>AccessPoint Maintenance</t>
  </si>
  <si>
    <t>CPS000650</t>
  </si>
  <si>
    <t>Adaptive Control Service</t>
  </si>
  <si>
    <t>CPS000660</t>
  </si>
  <si>
    <t>Transaction Level Processing Fee Schedule</t>
  </si>
  <si>
    <t>Online ATM &amp; Debit Authorization to CPS Switch</t>
  </si>
  <si>
    <t>Online ATM Authorizations (to CPS)</t>
  </si>
  <si>
    <t>Online Debit Authorizations (to CPS)</t>
  </si>
  <si>
    <t>CPS000700</t>
  </si>
  <si>
    <t>ATM/Debit Cards (to CPS)</t>
  </si>
  <si>
    <t>Online ATM &amp; Debit Authorization to Third Party Switch</t>
  </si>
  <si>
    <t>CPS000720</t>
  </si>
  <si>
    <t>Online ATM Authorizations (to Third Party)</t>
  </si>
  <si>
    <t>CPS000730</t>
  </si>
  <si>
    <t>Online Debit Authorizations (to Third Party)</t>
  </si>
  <si>
    <t>CPS000740</t>
  </si>
  <si>
    <t>ATM/Debit Cards (to Third Party)</t>
  </si>
  <si>
    <t>CPS000750</t>
  </si>
  <si>
    <t>Third Party Switch Certification</t>
  </si>
  <si>
    <t>JHA Card Authorization Middleware</t>
  </si>
  <si>
    <t>JHA Tokenization (Digital Wallet) Automated Provisioning Notifications Enrollment Fee</t>
  </si>
  <si>
    <t>JHA Tokenization (Digital Wallet) Transactions</t>
  </si>
  <si>
    <t>3D Secure OTP</t>
  </si>
  <si>
    <t>CPS00955</t>
  </si>
  <si>
    <t>CPS Dual Interface Cards Additional Personalization Vendor BIN(s)</t>
  </si>
  <si>
    <t>CPS01001</t>
  </si>
  <si>
    <t>JHA Tokenization (Digital Wallet) Additional Instance</t>
  </si>
  <si>
    <t>CPSM00100</t>
  </si>
  <si>
    <t>CPS Online Authorization Migration</t>
  </si>
  <si>
    <t>CPSM00101</t>
  </si>
  <si>
    <t>CPS Switch Core Migration</t>
  </si>
  <si>
    <t>CTBK00001</t>
  </si>
  <si>
    <t>Centurion Disaster Recovery for Core</t>
  </si>
  <si>
    <t>CTBK00004</t>
  </si>
  <si>
    <t>Centurion Disaster Recovery- Core FailOver</t>
  </si>
  <si>
    <t>CTBK00005</t>
  </si>
  <si>
    <t>Core FailOver Test, Per Test</t>
  </si>
  <si>
    <t>CTBK00007</t>
  </si>
  <si>
    <t>Centurion Disaster Recovery - Image FailOver</t>
  </si>
  <si>
    <t>Centurion Hosted High Availability</t>
  </si>
  <si>
    <t>CTBK00009</t>
  </si>
  <si>
    <t>Centurion for OutLink Image Capture</t>
  </si>
  <si>
    <t>CTBK00010</t>
  </si>
  <si>
    <t>Centurion - OutLink Image</t>
  </si>
  <si>
    <t>CTBK00011</t>
  </si>
  <si>
    <t>Centurion - 4|Sight Check Image &amp; PowerEncoder / CAR</t>
  </si>
  <si>
    <t>CTBK00012</t>
  </si>
  <si>
    <t>Centurion - Genesys Check Image &amp; PowerEncode/CAR</t>
  </si>
  <si>
    <t>CTBK00013</t>
  </si>
  <si>
    <t>Centurion - Genesys Check Archive Statements</t>
  </si>
  <si>
    <t>CTBK00014</t>
  </si>
  <si>
    <t>Centurion Hosted High Availability - additional DASD (by request)</t>
  </si>
  <si>
    <t>CTBK00015</t>
  </si>
  <si>
    <t>Centurion - POD/Image only</t>
  </si>
  <si>
    <t>CTBK00016</t>
  </si>
  <si>
    <t>Centurion - Third Party Check Image for Summit, vSoft, ImageStar or nCompass</t>
  </si>
  <si>
    <t>CTBK00017</t>
  </si>
  <si>
    <t>Centurion - Third Party Check Image for AFS</t>
  </si>
  <si>
    <t>CTBK00018</t>
  </si>
  <si>
    <t>Centurion - Third Party Check Image for ISCheck</t>
  </si>
  <si>
    <t>CTBK00020</t>
  </si>
  <si>
    <t>Centurion - Teller</t>
  </si>
  <si>
    <t>CTBK00021</t>
  </si>
  <si>
    <t>Centurion - Relationship 360</t>
  </si>
  <si>
    <t>CTBK00022</t>
  </si>
  <si>
    <t>Centurion - Branch Network Communications (ISDN BRI Network)</t>
  </si>
  <si>
    <t>CTBK00023</t>
  </si>
  <si>
    <t>Centurion - Branch Network Communications (ISDN PRI Network)</t>
  </si>
  <si>
    <t>CTBK00024</t>
  </si>
  <si>
    <t>Centurion - JHA Connectivity</t>
  </si>
  <si>
    <t>CTBK00025</t>
  </si>
  <si>
    <t>Centurion - HNS Connectivity</t>
  </si>
  <si>
    <t>CTBK00026</t>
  </si>
  <si>
    <t>Centurion - jXchange</t>
  </si>
  <si>
    <t>CTBK00027</t>
  </si>
  <si>
    <t>Centurion - Small Locker 12x18x12</t>
  </si>
  <si>
    <t>CTBK00028</t>
  </si>
  <si>
    <t>Centurion - Medium Locker 36x18x15</t>
  </si>
  <si>
    <t>CTBK00029</t>
  </si>
  <si>
    <t>Centurion - Large Locker 24x24x36</t>
  </si>
  <si>
    <t>jhArchive</t>
  </si>
  <si>
    <t>CTBK00031</t>
  </si>
  <si>
    <t>Centurion - jVault</t>
  </si>
  <si>
    <t>CTBK00032</t>
  </si>
  <si>
    <t>Mobile Recovery Unit</t>
  </si>
  <si>
    <t>CTBK00033</t>
  </si>
  <si>
    <t>Mobile Recovery Center</t>
  </si>
  <si>
    <t>CTBK00034</t>
  </si>
  <si>
    <t>Drop Ship Services</t>
  </si>
  <si>
    <t>CTBK00038</t>
  </si>
  <si>
    <t>CELR (VSR)</t>
  </si>
  <si>
    <t>CTBK00039</t>
  </si>
  <si>
    <t>Centurion Remote Data Entry</t>
  </si>
  <si>
    <t>CTBK00040</t>
  </si>
  <si>
    <t>Centurion JHA Connectivity for Hosted Xperience</t>
  </si>
  <si>
    <t>CTBK00041</t>
  </si>
  <si>
    <t>Centurion JHA Connectivity for Synapsys</t>
  </si>
  <si>
    <t>CTBK00042</t>
  </si>
  <si>
    <t>Centurion JHA Connectivity for Synapsys Express</t>
  </si>
  <si>
    <t>Synergy eSign and eSignWeb Bundle</t>
  </si>
  <si>
    <t>CTCL00016</t>
  </si>
  <si>
    <t>Centurion Enterprise Level Recovery</t>
  </si>
  <si>
    <t>CTCL00017</t>
  </si>
  <si>
    <t>Centurion Enterprise Level Recovery (Non- Core)</t>
  </si>
  <si>
    <t>CTCL00037</t>
  </si>
  <si>
    <t>Centurion Enterprise-Level Recovery Core Vaulting</t>
  </si>
  <si>
    <t>CTCL00038</t>
  </si>
  <si>
    <t>Centurion Enterprise-Level Recovery Non-Core Vaulting</t>
  </si>
  <si>
    <t>CTCT00014</t>
  </si>
  <si>
    <t>Centurion for SymForm PDF</t>
  </si>
  <si>
    <t>CTCT00015</t>
  </si>
  <si>
    <t>Centurion for Yellow Hammer Fraud Detection</t>
  </si>
  <si>
    <t>CTCT00018</t>
  </si>
  <si>
    <t>Episys Continuity Services with Hosted Failover</t>
  </si>
  <si>
    <t>CTCT00019</t>
  </si>
  <si>
    <t>Centurion for Episys Failover Core Application Test</t>
  </si>
  <si>
    <t>CTCT00021</t>
  </si>
  <si>
    <t>Centurion for Teller Capture</t>
  </si>
  <si>
    <t>CTCT00024</t>
  </si>
  <si>
    <t>Centurion Disaster Recovery Failover-Core Application (for HHA)</t>
  </si>
  <si>
    <t>CTCT00027</t>
  </si>
  <si>
    <t>Centurion - 3rd Party Connectivity</t>
  </si>
  <si>
    <t>Centurion Co-Location</t>
  </si>
  <si>
    <t>CTCT00031</t>
  </si>
  <si>
    <t>Centurion for CPS (RED+)</t>
  </si>
  <si>
    <t>CTCT00032</t>
  </si>
  <si>
    <t>Centurion for OnBoard Loans</t>
  </si>
  <si>
    <t>CTCT00033</t>
  </si>
  <si>
    <t>Centurion for iTalk Voice Response</t>
  </si>
  <si>
    <t>CTCT00034</t>
  </si>
  <si>
    <t>Centurion for Synergy</t>
  </si>
  <si>
    <t>CTCT00035</t>
  </si>
  <si>
    <t>Centurion for Synergy Express</t>
  </si>
  <si>
    <t>CTCT00036</t>
  </si>
  <si>
    <t>Centurion for Yellow Hammer BSA</t>
  </si>
  <si>
    <t>CTCT00039</t>
  </si>
  <si>
    <t>Centurion JHA Connectivity for Banno</t>
  </si>
  <si>
    <t>CTCT00040</t>
  </si>
  <si>
    <t>Centurion JHA Connectivity for Gladiator ESM</t>
  </si>
  <si>
    <t>CTCT00041</t>
  </si>
  <si>
    <t>Centurion JHA Connectivity for iPay</t>
  </si>
  <si>
    <t>CTCT00042</t>
  </si>
  <si>
    <t>Centurion JHA Connectivity for iTalk Express</t>
  </si>
  <si>
    <t>CTCT00044</t>
  </si>
  <si>
    <t>Centurion for Opening Act</t>
  </si>
  <si>
    <t>CTCT00045</t>
  </si>
  <si>
    <t>Centurion for ProfitStars FPS</t>
  </si>
  <si>
    <t>CTCT00046</t>
  </si>
  <si>
    <t>Centurion for Remote Deposit Express</t>
  </si>
  <si>
    <t>CTCT00047</t>
  </si>
  <si>
    <t>Centurion for Yellow Hammer BSA Express</t>
  </si>
  <si>
    <t>CTCT00048</t>
  </si>
  <si>
    <t>Centurion for Yellow Hammer Fraud Detective Express</t>
  </si>
  <si>
    <t>CTCT00049</t>
  </si>
  <si>
    <t>Centurion Disaster Recovery Services Business Continuity Remote/Express Plan</t>
  </si>
  <si>
    <t>CTCT00050</t>
  </si>
  <si>
    <t>Centurion Disaster Recovery Services for Intervoice Audio 4.0 or 4.5 (XX Lines)</t>
  </si>
  <si>
    <t>CTCT00051</t>
  </si>
  <si>
    <t>Centurion Disaster Recovery Services for Intervoice CVPA - XX Lines</t>
  </si>
  <si>
    <t>CTCT00052</t>
  </si>
  <si>
    <t>Centurion for CruiseNet</t>
  </si>
  <si>
    <t>CTCT00053</t>
  </si>
  <si>
    <t>Centurion Disaster Recovery Services for CruiseNet Audio</t>
  </si>
  <si>
    <t>CTCT00054</t>
  </si>
  <si>
    <t>Centurion Disaster Recovery Services for CruiseNet Failover</t>
  </si>
  <si>
    <t>CTCT00055</t>
  </si>
  <si>
    <t>Centurion for CruiseNet Failover - SSL VPN Connection</t>
  </si>
  <si>
    <t>CTCT00056</t>
  </si>
  <si>
    <t>Centurion for CruiseNet Internet Teller</t>
  </si>
  <si>
    <t>CTCT00057</t>
  </si>
  <si>
    <t>Centurion CruiseNet Remote Data Entry</t>
  </si>
  <si>
    <t>CTCT00058</t>
  </si>
  <si>
    <t>Centurion for CruiseNet Shared Branching</t>
  </si>
  <si>
    <t>CTCT00059</t>
  </si>
  <si>
    <t>Centurion for CruiseNet Third-party Connectivity</t>
  </si>
  <si>
    <t>CTCT00060</t>
  </si>
  <si>
    <t>Centurion Recovery Services for Custom Workshop</t>
  </si>
  <si>
    <t>CTCT00061</t>
  </si>
  <si>
    <t>Centurion for Episys</t>
  </si>
  <si>
    <t>CTCT00062</t>
  </si>
  <si>
    <t>Centurion for Episys Failover</t>
  </si>
  <si>
    <t>CTCT00063</t>
  </si>
  <si>
    <t>Centurion for Episys Failover - SSL VPN Connection</t>
  </si>
  <si>
    <t>CTCT00064</t>
  </si>
  <si>
    <t>Centurion for Episys Remote Data Entry</t>
  </si>
  <si>
    <t>CTCT00065</t>
  </si>
  <si>
    <t>Centurion Services for goDough Mobile</t>
  </si>
  <si>
    <t>CTCT00066</t>
  </si>
  <si>
    <t>Centurion Recovery Services for IBM Encryption</t>
  </si>
  <si>
    <t>CTCT00067</t>
  </si>
  <si>
    <t>Centurion for Intervoice Audio Recovery</t>
  </si>
  <si>
    <t>CTCT00068</t>
  </si>
  <si>
    <t>Centurion for InTouch Audio</t>
  </si>
  <si>
    <t>CTCT00069</t>
  </si>
  <si>
    <t>Centurion for NetTeller ONLY</t>
  </si>
  <si>
    <t>CTCT00070</t>
  </si>
  <si>
    <t>Centurion for PassPort (Centurion Server)</t>
  </si>
  <si>
    <t>CTCT00071</t>
  </si>
  <si>
    <t>Centurion for PassPort (RED)</t>
  </si>
  <si>
    <t>CTCT00072</t>
  </si>
  <si>
    <t>Centurion for JHA CPS</t>
  </si>
  <si>
    <t>CTCT00073</t>
  </si>
  <si>
    <t>Centurion for PassPort ASP Renewal</t>
  </si>
  <si>
    <t>CTCT00074</t>
  </si>
  <si>
    <t>Centurion for PassPort.ATM (RED+)</t>
  </si>
  <si>
    <t>CTCT00075</t>
  </si>
  <si>
    <t>Centurion SSL VPN Connectivity - 2 Lines Included with Core options</t>
  </si>
  <si>
    <t>CTCT00076</t>
  </si>
  <si>
    <t>Centurion Recovery Services for IBM Encryption - Installation</t>
  </si>
  <si>
    <t>CTCT00077</t>
  </si>
  <si>
    <t>jhArchive - Installation</t>
  </si>
  <si>
    <t>CTCT00078</t>
  </si>
  <si>
    <t>Episys Continuity Services with Hosted Failover - Installation</t>
  </si>
  <si>
    <t>CTCT00079</t>
  </si>
  <si>
    <t>Episys Continuity Services Plus with Hosted Failover</t>
  </si>
  <si>
    <t>CTCT00080</t>
  </si>
  <si>
    <t>Episys Continuity Services Plus with Hosted Failover - Installation</t>
  </si>
  <si>
    <t>CTCT00081</t>
  </si>
  <si>
    <t>Centurion for CruiseNet Failover Core Application Test</t>
  </si>
  <si>
    <t>CTCT00082</t>
  </si>
  <si>
    <t>Centurion Continuity Services Plus with Hosted Failover</t>
  </si>
  <si>
    <t>CTCT00083</t>
  </si>
  <si>
    <t>CELR HNS</t>
  </si>
  <si>
    <t>DirectLine Wires</t>
  </si>
  <si>
    <t>DirectLine International</t>
  </si>
  <si>
    <t>ECNA00123</t>
  </si>
  <si>
    <t>ECS Managed Migration</t>
  </si>
  <si>
    <t>ECNA00124</t>
  </si>
  <si>
    <t>ECS Project Management</t>
  </si>
  <si>
    <t>ECNA00125</t>
  </si>
  <si>
    <t>ECS OneLook License</t>
  </si>
  <si>
    <t>ECNA00130</t>
  </si>
  <si>
    <t>ECS Account Translations</t>
  </si>
  <si>
    <t>ECNA00131</t>
  </si>
  <si>
    <t>ECS Custom Development</t>
  </si>
  <si>
    <t>ECNA00132</t>
  </si>
  <si>
    <t>ECS OutLink Upload Fee</t>
  </si>
  <si>
    <t>ECNA00133</t>
  </si>
  <si>
    <t>ECS Item Image storage to OutLink archive beyond 90 days</t>
  </si>
  <si>
    <t>ECNA00135</t>
  </si>
  <si>
    <t>ECS Mapping Consultative Services</t>
  </si>
  <si>
    <t>ECNA00136</t>
  </si>
  <si>
    <t>ECS Managed Media</t>
  </si>
  <si>
    <t>ECNA00137</t>
  </si>
  <si>
    <t>ECS Check Image Conversion</t>
  </si>
  <si>
    <t>ECNA00138</t>
  </si>
  <si>
    <t>ECS COLD Reports and Statements</t>
  </si>
  <si>
    <t>ECNA00139</t>
  </si>
  <si>
    <t>ECS Document Images</t>
  </si>
  <si>
    <t>ECNA00200</t>
  </si>
  <si>
    <t>ECS Managed Conversion</t>
  </si>
  <si>
    <t>ECNA00210</t>
  </si>
  <si>
    <t>ECS Managed Conversion Setup &amp; Development</t>
  </si>
  <si>
    <t>ECNA00220</t>
  </si>
  <si>
    <t>ECS Managed Plus Conversion</t>
  </si>
  <si>
    <t>ECNA00230</t>
  </si>
  <si>
    <t>ECS Managed Plus Conversion Setup &amp; Development</t>
  </si>
  <si>
    <t>ECNA00240</t>
  </si>
  <si>
    <t>ECS JHA Deconversion</t>
  </si>
  <si>
    <t>ECNA00250</t>
  </si>
  <si>
    <t>ECS JHA Deconversion Setup &amp; Development</t>
  </si>
  <si>
    <t>ECNA00260</t>
  </si>
  <si>
    <t>ECS Web</t>
  </si>
  <si>
    <t>ECNA00270</t>
  </si>
  <si>
    <t>ECS OneLook Services</t>
  </si>
  <si>
    <t>ECNA00280</t>
  </si>
  <si>
    <t>ECS Custom Output</t>
  </si>
  <si>
    <t>ECNA00290</t>
  </si>
  <si>
    <t>ECS 4|sight Expedited Processing</t>
  </si>
  <si>
    <t>ECNA00300</t>
  </si>
  <si>
    <t>ECS Web Upload</t>
  </si>
  <si>
    <t>ECNA00310</t>
  </si>
  <si>
    <t>ECS 4|sight OutLink Upload and Storage</t>
  </si>
  <si>
    <t>ECNA00320</t>
  </si>
  <si>
    <t>ECS 4|sight OutLink Data Deletion</t>
  </si>
  <si>
    <t>ECNA00330</t>
  </si>
  <si>
    <t>ECS Managed Conversion - Statements to ESI</t>
  </si>
  <si>
    <t>ECNA00340</t>
  </si>
  <si>
    <t>ECS Managed Conversion - Signature Cards</t>
  </si>
  <si>
    <t>ECNA00350</t>
  </si>
  <si>
    <t>ECS Managed Conversion Setup - Signature Cards</t>
  </si>
  <si>
    <t>ECNA00360</t>
  </si>
  <si>
    <t>ECS Managed Conversion - Rendered Statements</t>
  </si>
  <si>
    <t>ECNA00370</t>
  </si>
  <si>
    <t>Rendered Statements Regenerated by ECS</t>
  </si>
  <si>
    <t>ECNA00380</t>
  </si>
  <si>
    <t>ECS JHA Deconversion - Rendered Statements</t>
  </si>
  <si>
    <t>ECS00500</t>
  </si>
  <si>
    <t>JHA ImageCenter Managed Upload</t>
  </si>
  <si>
    <t>ECS00501</t>
  </si>
  <si>
    <t>4|sight Dual Image Viewer</t>
  </si>
  <si>
    <t>EINA00142</t>
  </si>
  <si>
    <t>Enterprise Integration/Shared Services JHA Internal Products</t>
  </si>
  <si>
    <t>EINA00143</t>
  </si>
  <si>
    <t>Enterprise Integration/Shared Services Third-party</t>
  </si>
  <si>
    <t>jhaEnterprise Workflow Consulting</t>
  </si>
  <si>
    <t>EINA00149</t>
  </si>
  <si>
    <t>jhaEnterprise Workflow Training (Lead with JHA Facility)</t>
  </si>
  <si>
    <t>EIS100011</t>
  </si>
  <si>
    <t>Enterprise Integration Usage Max</t>
  </si>
  <si>
    <t>EIS100012</t>
  </si>
  <si>
    <t>Enterprise Integration Notifications</t>
  </si>
  <si>
    <t>EIS100013</t>
  </si>
  <si>
    <t>Enterprise Integration LiveChat</t>
  </si>
  <si>
    <t>RSA Multi-Factor Authentication First Platform Installation (EPS)</t>
  </si>
  <si>
    <t>EPS Multi-Factor Authentication (MFA)</t>
  </si>
  <si>
    <t>EPMR00157</t>
  </si>
  <si>
    <t>EPS Mobile Remote Deposit Capture</t>
  </si>
  <si>
    <t>EPRA00159</t>
  </si>
  <si>
    <t>EPS Remote Deposit Anywhere (RDA)</t>
  </si>
  <si>
    <t>EPS Automated Clearing House (ACH) Processing</t>
  </si>
  <si>
    <t>EPRC00149</t>
  </si>
  <si>
    <t>EPS Merchant Capture Migration</t>
  </si>
  <si>
    <t>EPRC00150</t>
  </si>
  <si>
    <t>EPS Remote Deposit Conversion Services</t>
  </si>
  <si>
    <t>EPS Remote Deposit Express</t>
  </si>
  <si>
    <t>EPS Remote Deposit Now</t>
  </si>
  <si>
    <t>EPRN00158</t>
  </si>
  <si>
    <t>Parascript CheckPlus SW (CAR/LAR)</t>
  </si>
  <si>
    <t>EPS000101</t>
  </si>
  <si>
    <t>EPS Universal Combined Minimum</t>
  </si>
  <si>
    <t>EPS100008</t>
  </si>
  <si>
    <t>SmartPay Biller Direct Transaction Fees</t>
  </si>
  <si>
    <t>EPS SmartSight Fees Max</t>
  </si>
  <si>
    <t>EPS100010</t>
  </si>
  <si>
    <t>EPS Credit Card Gateway Processing Services</t>
  </si>
  <si>
    <t>EPSH00100</t>
  </si>
  <si>
    <t>Symantec Hardtokens</t>
  </si>
  <si>
    <t>JHA EPS SmartPay Biller Direct Setup and Minimum Monthly Fee</t>
  </si>
  <si>
    <t>EPSS00100</t>
  </si>
  <si>
    <t>Same Day ACH (Debits and Credits)</t>
  </si>
  <si>
    <t>EPS SmartSight Setup Fee and Monthly Subscription Fee</t>
  </si>
  <si>
    <t>SmartPay Express</t>
  </si>
  <si>
    <t>EPSX00166</t>
  </si>
  <si>
    <t>SmartPay Express CAPTCHA Setup Fee</t>
  </si>
  <si>
    <t>EPSX00167</t>
  </si>
  <si>
    <t>SmartPay Express PayNearMe Setup Fee</t>
  </si>
  <si>
    <t>SmartPay Express PayPal Setup Fee</t>
  </si>
  <si>
    <t>SmartPay Express Setup and Minimum Monthly Fee</t>
  </si>
  <si>
    <t>EPSX00170</t>
  </si>
  <si>
    <t>SmartPay Express VISA Checkout Setup Fee</t>
  </si>
  <si>
    <t>EPTX00171</t>
  </si>
  <si>
    <t>TRANSAX Gateway Processing Services Setup (Waived)</t>
  </si>
  <si>
    <t>EPUN00151</t>
  </si>
  <si>
    <t>EPS Platform Set Up Fee</t>
  </si>
  <si>
    <t>EPUN00153</t>
  </si>
  <si>
    <t>Gladiator RDC Policy</t>
  </si>
  <si>
    <t>Gladiator RDC Policy Merchant Agreement Template</t>
  </si>
  <si>
    <t>EPUN00155</t>
  </si>
  <si>
    <t>Hosted Pay Page (HPP)</t>
  </si>
  <si>
    <t>EPUN00163</t>
  </si>
  <si>
    <t>Secure Token Authentication</t>
  </si>
  <si>
    <t>EPUN00164</t>
  </si>
  <si>
    <t>EPS Single Sign</t>
  </si>
  <si>
    <t>ESI Number of Emails per month</t>
  </si>
  <si>
    <t>ESI000103</t>
  </si>
  <si>
    <t>ESI Number of Statements Archived</t>
  </si>
  <si>
    <t>Third Party Check Image ESI Interface</t>
  </si>
  <si>
    <t>ESI000301</t>
  </si>
  <si>
    <t>Import of Historical Statements from Third-party</t>
  </si>
  <si>
    <t>ESI000401</t>
  </si>
  <si>
    <t>Conversion of Electronic Statement User Data from Third-party</t>
  </si>
  <si>
    <t>GDMB100006</t>
  </si>
  <si>
    <t>goDough SMS Text Fee</t>
  </si>
  <si>
    <t>Genesys GPOD Remote Image Capture</t>
  </si>
  <si>
    <t>GEN001001</t>
  </si>
  <si>
    <t>Genesys GPOD Remote Image Capture (Subsequent Licenses with Initial purchase)</t>
  </si>
  <si>
    <t>HDWS00200 </t>
  </si>
  <si>
    <t>Application Server Installation for OnTarget Deposits</t>
  </si>
  <si>
    <t>IEPIM00001</t>
  </si>
  <si>
    <t>iPay - Episys Implementation and Management</t>
  </si>
  <si>
    <t>INNA00407</t>
  </si>
  <si>
    <t>Intuit Connectivity for QuickBooks Current Release</t>
  </si>
  <si>
    <t>INNA00408</t>
  </si>
  <si>
    <t>Intuit Connectivity for QuickBooks Previous two versions support</t>
  </si>
  <si>
    <t>INNA00409</t>
  </si>
  <si>
    <t>Intuit Connectivity for Quicken Current Release</t>
  </si>
  <si>
    <t>INNA00410</t>
  </si>
  <si>
    <t>Intuit Connectivity for Quicken Previous two versions support</t>
  </si>
  <si>
    <t>INNA00411</t>
  </si>
  <si>
    <t>Intuit Conversion Fee</t>
  </si>
  <si>
    <t>Customer/Account Tracking Interface</t>
  </si>
  <si>
    <t>iPay Consumer Mobile Banking</t>
  </si>
  <si>
    <t>iPay eBill Detail</t>
  </si>
  <si>
    <t>IPNA00415</t>
  </si>
  <si>
    <t>iPay Electronic Bill Payment Annual Compliance Package</t>
  </si>
  <si>
    <t>iPay Business BillPay</t>
  </si>
  <si>
    <t>IPNA00417</t>
  </si>
  <si>
    <t>iPay Electronic Conversion of Users and Payees</t>
  </si>
  <si>
    <t>IPNA00418</t>
  </si>
  <si>
    <t>iPay Extended Storage</t>
  </si>
  <si>
    <t>iPay Inbound Transfers</t>
  </si>
  <si>
    <t>iPay Consumer BillPay</t>
  </si>
  <si>
    <t>IPNA00423</t>
  </si>
  <si>
    <t>iPay P2P Payment Services with Debit Card</t>
  </si>
  <si>
    <t>iPay QuickPay</t>
  </si>
  <si>
    <t>IPNA00425</t>
  </si>
  <si>
    <t>AutoBooks</t>
  </si>
  <si>
    <t>IPNA00426</t>
  </si>
  <si>
    <t>iPay Check Image API</t>
  </si>
  <si>
    <t>IPNA00436</t>
  </si>
  <si>
    <t>Multifactor Authentication</t>
  </si>
  <si>
    <t>iTalk Additional Calls</t>
  </si>
  <si>
    <t>JCC000102</t>
  </si>
  <si>
    <t>jhaCall Center Select Services After Hours</t>
  </si>
  <si>
    <t>JCC000103</t>
  </si>
  <si>
    <t>jhaCall Center Outsourced Digital Support</t>
  </si>
  <si>
    <t>JCC000106</t>
  </si>
  <si>
    <t>jhaCall Center Additional Phone Lines</t>
  </si>
  <si>
    <t>JCC000130</t>
  </si>
  <si>
    <t>jhaCall Center Digital Support Installation</t>
  </si>
  <si>
    <t>JCFS00462</t>
  </si>
  <si>
    <t>jhaCall Center Outsourced Full Business Services</t>
  </si>
  <si>
    <t>JCFS00463</t>
  </si>
  <si>
    <t>jhaCall Center Services General Ledger Records</t>
  </si>
  <si>
    <t>JCFS00464</t>
  </si>
  <si>
    <t>jhaCall Center Services CIF Records</t>
  </si>
  <si>
    <t>JCFS00465</t>
  </si>
  <si>
    <t>jhaCall Center Services Savings Records</t>
  </si>
  <si>
    <t>JCFS00466</t>
  </si>
  <si>
    <t>jhaCall Center Services Checking</t>
  </si>
  <si>
    <t>JCFS00467</t>
  </si>
  <si>
    <t>jhaCall Center Services CD Records</t>
  </si>
  <si>
    <t>JCFS00468</t>
  </si>
  <si>
    <t>jhaCall Center Services IRA Records</t>
  </si>
  <si>
    <t>JCFS00469</t>
  </si>
  <si>
    <t>jhaCall Center Services Loan Records</t>
  </si>
  <si>
    <t>JCON00110</t>
  </si>
  <si>
    <t>jConnect+ Dual Connection</t>
  </si>
  <si>
    <t>JCON00120</t>
  </si>
  <si>
    <t>jConnect+ Hosted Network Solutions (HNS)</t>
  </si>
  <si>
    <t>jConnect+ Service Path for JHA Image/Statement</t>
  </si>
  <si>
    <t>JCOS00463</t>
  </si>
  <si>
    <t>jhaCall Center Outsourced Services After Hours Chat Support</t>
  </si>
  <si>
    <t>JCOS00464</t>
  </si>
  <si>
    <t>jhaCall Center 3rd Party Support--Requires approval</t>
  </si>
  <si>
    <t>JCOS00465</t>
  </si>
  <si>
    <t>jhaCall Center Outsourced Disaster Recovery Services After Hours</t>
  </si>
  <si>
    <t>JCOS00466</t>
  </si>
  <si>
    <t>jhaCall Center Outsourced Disaster Recovery Services Overnight Hours</t>
  </si>
  <si>
    <t>JCOS00467</t>
  </si>
  <si>
    <t>jhaCall Center Outsourced Disaster Recovery Services Regular Business Hours</t>
  </si>
  <si>
    <t>JCOS00468</t>
  </si>
  <si>
    <t>jhaCall Center Outsourced Services After Hours</t>
  </si>
  <si>
    <t>JCOS00469</t>
  </si>
  <si>
    <t>jhaCall Center Outsourced Services Overnight Hours</t>
  </si>
  <si>
    <t>JCOS00470</t>
  </si>
  <si>
    <t>jhaCall Center Outsourced Services Regular Business Hours</t>
  </si>
  <si>
    <t>JCOS00471</t>
  </si>
  <si>
    <t>jhaCall Center Outsourced Services Installation</t>
  </si>
  <si>
    <t>JCOS00472</t>
  </si>
  <si>
    <t>jhaCall Center PowerOn Monthly--Requires approval</t>
  </si>
  <si>
    <t>JCOS00473</t>
  </si>
  <si>
    <t>jhaCall Center Outsourced Services Overnight Hours Chat Support</t>
  </si>
  <si>
    <t>JCOS00474</t>
  </si>
  <si>
    <t>jhaCall Center Outsourced Services Regular Hours Chat Support</t>
  </si>
  <si>
    <t>JCOS00479</t>
  </si>
  <si>
    <t>jhaCall Center PowerOn Installation--Requires approval</t>
  </si>
  <si>
    <t>JCOS00496</t>
  </si>
  <si>
    <t>jhaCall Center Redi Verify Support Only (Stand Alone) Monthly</t>
  </si>
  <si>
    <t>JCOS00497</t>
  </si>
  <si>
    <t>jhaCall Center Redi Verify Support Only (Stand Alone) Installation</t>
  </si>
  <si>
    <t>JCOS00498</t>
  </si>
  <si>
    <t>jhaCall Center Redi Verify Support (add-on to jhaCall Center)</t>
  </si>
  <si>
    <t>JCOS00499</t>
  </si>
  <si>
    <t>jhaCall Center Outsourced Disaster Recovery Services Installation</t>
  </si>
  <si>
    <t>JCSS00458</t>
  </si>
  <si>
    <t>jhaCall Center Outsourced Select Services Installation</t>
  </si>
  <si>
    <t>JCSS00459</t>
  </si>
  <si>
    <t>jhaCall Center Outsourced Select Services Extension Fee for existing select services</t>
  </si>
  <si>
    <t>JCSS00460</t>
  </si>
  <si>
    <t>jhaCall Center Outsourced Select Services Installation (Targeted Online/ATM Support)</t>
  </si>
  <si>
    <t>JCSS00461</t>
  </si>
  <si>
    <t>jhaCall Center Select Services (Targeted ATM Support Only)</t>
  </si>
  <si>
    <t>JCSS00500</t>
  </si>
  <si>
    <t>jhaCall Center Select Services Regular Hours</t>
  </si>
  <si>
    <t>JCTM00001</t>
  </si>
  <si>
    <t>jhaCall Center Outsourced Services for Treasury Management-Installation</t>
  </si>
  <si>
    <t>JCTM00009</t>
  </si>
  <si>
    <t>jhaCall Center Outsourced Services for Treasury Management Monthly</t>
  </si>
  <si>
    <t>jhaEnterprise Workflow Service Block (50, 100, 150, or 200 Hours)</t>
  </si>
  <si>
    <t>JK000103</t>
  </si>
  <si>
    <t>jhaAnalytics</t>
  </si>
  <si>
    <t>jConnect+ Third Party Connection (3PX)</t>
  </si>
  <si>
    <t>JTNA00436</t>
  </si>
  <si>
    <t>jConnect+X (Up to 500 Kbps)</t>
  </si>
  <si>
    <t>jConnect+ - Primary Connection</t>
  </si>
  <si>
    <t>JTNA00438</t>
  </si>
  <si>
    <t>jConnect+ Service Path for Banno</t>
  </si>
  <si>
    <t>jConnect+ Service Path for Card Processing Solutions</t>
  </si>
  <si>
    <t>jConnect+ Service Path for Centurion Disaster Recovery (CDJ)</t>
  </si>
  <si>
    <t>JTNA00441</t>
  </si>
  <si>
    <t>jConnect+ Service Path for Enterprise Conversion Solutions Express (ECS)</t>
  </si>
  <si>
    <t>JTNA00442</t>
  </si>
  <si>
    <t>jConnect+ Service Path for goDough (GDO)</t>
  </si>
  <si>
    <t>jConnect+ Service Path for High Availability (HA)</t>
  </si>
  <si>
    <t>jConnect+ Service Path for Hosting</t>
  </si>
  <si>
    <t>jConnect+ Service Path for Internet Solutions</t>
  </si>
  <si>
    <t>JTNA00446</t>
  </si>
  <si>
    <t>jConnect+ Service Path for iTalk Express (ITK)</t>
  </si>
  <si>
    <t>JTNA00447</t>
  </si>
  <si>
    <t>jConnect+ Service Path for jhaCall Center</t>
  </si>
  <si>
    <t>jConnect+ Service Path for OutLink Core Connectivity (OCC)</t>
  </si>
  <si>
    <t>JTNA00449</t>
  </si>
  <si>
    <t>jConnect+ Service Path for Remote Deposit Capture</t>
  </si>
  <si>
    <t>jConnect+ Service Path for SymAccess</t>
  </si>
  <si>
    <t>JTNA00451</t>
  </si>
  <si>
    <t>jConnect+ Service Path for SymAccess [Included N/C]</t>
  </si>
  <si>
    <t>jConnect+ Service Path for Synergy Express (SYE)</t>
  </si>
  <si>
    <t>JTNA00453</t>
  </si>
  <si>
    <t>jConnect+ Service Path for Teller Capture (VTC)</t>
  </si>
  <si>
    <t>jConnect+X Business Continuity Router (BCH/BCS)</t>
  </si>
  <si>
    <t>JTNA00455</t>
  </si>
  <si>
    <t>jConnect+ BITS</t>
  </si>
  <si>
    <t>JTNA00456</t>
  </si>
  <si>
    <t>jConnect+ Service Path for VIP Support (VIP)</t>
  </si>
  <si>
    <t>JTNA00457</t>
  </si>
  <si>
    <t>jConnect+ Service Path for jVault (JVA)</t>
  </si>
  <si>
    <t>jConnect+ HNS</t>
  </si>
  <si>
    <t>KIA000102</t>
  </si>
  <si>
    <t>Know-It-All Portal</t>
  </si>
  <si>
    <t>KIA000103</t>
  </si>
  <si>
    <t>Know-It-All Now eLearning</t>
  </si>
  <si>
    <t>KNNA00479</t>
  </si>
  <si>
    <t>Know-It-All Credits</t>
  </si>
  <si>
    <t>MOCK00100</t>
  </si>
  <si>
    <t>Mock Conversion</t>
  </si>
  <si>
    <t>MRDC000101</t>
  </si>
  <si>
    <t>JHA SmartPay mRDC</t>
  </si>
  <si>
    <t>NTDM00494</t>
  </si>
  <si>
    <t>NetTeller Demo</t>
  </si>
  <si>
    <t>JHA OFM: Enhanced cash flow for iPay</t>
  </si>
  <si>
    <t>JHA Online Financial Management</t>
  </si>
  <si>
    <t>RTP Implementation and Monthly Network</t>
  </si>
  <si>
    <t>NTNA00600</t>
  </si>
  <si>
    <t>RTP Minimum Monthly (Customer over $8Bil in Assets)</t>
  </si>
  <si>
    <t>Zelle Minimum Monthly (Customer over $8Bil in Assets)</t>
  </si>
  <si>
    <t>Vanity URL.Bank</t>
  </si>
  <si>
    <t>JHA Online Credentials Protection</t>
  </si>
  <si>
    <t>JHA Online Credentials Protection Internet Banking ID's</t>
  </si>
  <si>
    <t>Vanity URL</t>
  </si>
  <si>
    <t>NTOB00517</t>
  </si>
  <si>
    <t>RSA FraudAction</t>
  </si>
  <si>
    <t>RSA Premium Security</t>
  </si>
  <si>
    <t>Zelle Implementation and Monthly Network</t>
  </si>
  <si>
    <t>NTTM00200</t>
  </si>
  <si>
    <t>Treasury Management Consulting Services Planning Session</t>
  </si>
  <si>
    <t>NTTM00300</t>
  </si>
  <si>
    <t>Treasury Management Consulting Services Core Parameter</t>
  </si>
  <si>
    <t>OA00000112</t>
  </si>
  <si>
    <t>Opening Act Application Fee</t>
  </si>
  <si>
    <t>OAML00100</t>
  </si>
  <si>
    <t>Opening Act Base Platform Setup and Minimum Monthly (for Deposits and/or Loans)</t>
  </si>
  <si>
    <t>OAML00101</t>
  </si>
  <si>
    <t>Annual Application Portal</t>
  </si>
  <si>
    <t>OAML00102</t>
  </si>
  <si>
    <t>Opening Act Home Equity Loans module</t>
  </si>
  <si>
    <t>OAML00103</t>
  </si>
  <si>
    <t>Opening Act Indirect Vehicle Loans module</t>
  </si>
  <si>
    <t>OAML00104</t>
  </si>
  <si>
    <t>Opening Act Business Loans module</t>
  </si>
  <si>
    <t>OAML00105</t>
  </si>
  <si>
    <t>Annual Fee's Schedule</t>
  </si>
  <si>
    <t>Opening Act Deposits</t>
  </si>
  <si>
    <t>Opening Act Loans</t>
  </si>
  <si>
    <t>OAML00108</t>
  </si>
  <si>
    <t>Document Mapping for Deposits</t>
  </si>
  <si>
    <t>OAML00109</t>
  </si>
  <si>
    <t>Document Mapping for Loans</t>
  </si>
  <si>
    <t>OANA00524</t>
  </si>
  <si>
    <t>OBEX00100</t>
  </si>
  <si>
    <t>WKFS Expere Deposit Forms</t>
  </si>
  <si>
    <t>JHA Online Financial Management (for use with Banno)</t>
  </si>
  <si>
    <t>OFNA00522</t>
  </si>
  <si>
    <t>Office 365 Enterprise</t>
  </si>
  <si>
    <t>OLIP000102</t>
  </si>
  <si>
    <t>OutLink Item Processing Customer Training</t>
  </si>
  <si>
    <t>4|sight Remote Statement Print (OutLink to InHouse)</t>
  </si>
  <si>
    <t>OLIP000104</t>
  </si>
  <si>
    <t>OutLink Item Processing Commingle</t>
  </si>
  <si>
    <t>Image Access and Archive</t>
  </si>
  <si>
    <t>Reject Re-entry - Other Fields</t>
  </si>
  <si>
    <t>CAR Amount Entry</t>
  </si>
  <si>
    <t>Image Transaction Balancing</t>
  </si>
  <si>
    <t>Proof Adjustments</t>
  </si>
  <si>
    <t>External Electronic Transaction File Inbound Exchange for Check 21</t>
  </si>
  <si>
    <t>Electronic Cash Letters</t>
  </si>
  <si>
    <t>Inclearing Memo Posting</t>
  </si>
  <si>
    <t>Incoming Automated Returns</t>
  </si>
  <si>
    <t>Image Statement Processing</t>
  </si>
  <si>
    <t>Statement Printing Single Sided</t>
  </si>
  <si>
    <t>Non-image Savings Statements/Truncated DDA Accounts</t>
  </si>
  <si>
    <t>Envelopes</t>
  </si>
  <si>
    <t>CD ROM Statement Delivery</t>
  </si>
  <si>
    <t>Statement Inserts</t>
  </si>
  <si>
    <t>Statement Insert Folding</t>
  </si>
  <si>
    <t>OLIP000121</t>
  </si>
  <si>
    <t>Statement Insert Printing</t>
  </si>
  <si>
    <t>OLIP000122</t>
  </si>
  <si>
    <t>Administrative Fee (bank provided inserts)</t>
  </si>
  <si>
    <t>Premium Notice Printing</t>
  </si>
  <si>
    <t>OLIP000124</t>
  </si>
  <si>
    <t>Loan Payment paper with MICR line</t>
  </si>
  <si>
    <t>OLIP000125</t>
  </si>
  <si>
    <t>Payment Envelopes</t>
  </si>
  <si>
    <t>OLIP000126</t>
  </si>
  <si>
    <t>Color Print adjustment - Contemporary Statements</t>
  </si>
  <si>
    <t>Color Print adjustment - Premium Notices</t>
  </si>
  <si>
    <t>OLIP000128</t>
  </si>
  <si>
    <t>NSF Notice Printing</t>
  </si>
  <si>
    <t>Premium Notice PDF Format</t>
  </si>
  <si>
    <t>PDF Statement Generation</t>
  </si>
  <si>
    <t>PDF Statement Secure File Transfer</t>
  </si>
  <si>
    <t>Statement Secure File Transfer</t>
  </si>
  <si>
    <t>Image/Truncated Statement Archive</t>
  </si>
  <si>
    <t>Statement Printing to a Third-party (OutLink to Third Party)</t>
  </si>
  <si>
    <t>OLIP000135</t>
  </si>
  <si>
    <t>Data Migration from 4|sight to OutLink Item Processing</t>
  </si>
  <si>
    <t>Item Image Storage to OutLink Archive</t>
  </si>
  <si>
    <t>Outlink Item Processing</t>
  </si>
  <si>
    <t>OLIP000138</t>
  </si>
  <si>
    <t>Outlink Statement Printing Fee Schedule</t>
  </si>
  <si>
    <t>OLIP000139</t>
  </si>
  <si>
    <t>Statement Cycle processing fee (above 10)</t>
  </si>
  <si>
    <t>OLIP000140</t>
  </si>
  <si>
    <t>OutLink Statement Rendering (InHouse to OutLink)</t>
  </si>
  <si>
    <t>OLIP000141</t>
  </si>
  <si>
    <t>AlertCenter with: Early Warning Services ("EWS")</t>
  </si>
  <si>
    <t>OLIP000142</t>
  </si>
  <si>
    <t>AlertCenter with: Advanced Fraud Solutions ("AFS")</t>
  </si>
  <si>
    <t>OLIP000143</t>
  </si>
  <si>
    <t>AFS Deposit Chek Onboarding</t>
  </si>
  <si>
    <t>OLIP000144</t>
  </si>
  <si>
    <t>AlertCenter AFS TrueChecks Frontline</t>
  </si>
  <si>
    <t>OLIP000145</t>
  </si>
  <si>
    <t>AlertCenter Integration to 4|Sight</t>
  </si>
  <si>
    <t>OLTF000101</t>
  </si>
  <si>
    <t>Daily File Transfer (Legacy)</t>
  </si>
  <si>
    <t>OLTF000102</t>
  </si>
  <si>
    <t>Network Connectivity Training</t>
  </si>
  <si>
    <t>OLTF000105</t>
  </si>
  <si>
    <t>ACH NACHA formatted files from Third Party</t>
  </si>
  <si>
    <t>OLTF000106</t>
  </si>
  <si>
    <t>Positive Balance File Daily Transmission</t>
  </si>
  <si>
    <t>Transaction History Retention</t>
  </si>
  <si>
    <t>ATM/Debit Card Orders- for Banking Cores</t>
  </si>
  <si>
    <t>OLTF000109</t>
  </si>
  <si>
    <t>Transaction File for Check 21</t>
  </si>
  <si>
    <t>OLTF000110</t>
  </si>
  <si>
    <t>End-of-Month Master File Retention</t>
  </si>
  <si>
    <t>OLTF000111</t>
  </si>
  <si>
    <t>Same Day ACH File Origination</t>
  </si>
  <si>
    <t>Traditional ACH Origination Files</t>
  </si>
  <si>
    <t>Other ACH Incoming Transactions</t>
  </si>
  <si>
    <t>External Reporting Electronic Transmissions</t>
  </si>
  <si>
    <t>OLTF000117</t>
  </si>
  <si>
    <t>Core Implementation Training</t>
  </si>
  <si>
    <t>ONB000104</t>
  </si>
  <si>
    <t>Carleton SmartCalcs Lending</t>
  </si>
  <si>
    <t>ONT000101</t>
  </si>
  <si>
    <t>OnTarget Deposits</t>
  </si>
  <si>
    <t>ONT000103</t>
  </si>
  <si>
    <t>WKFS Forms Additional State(s)</t>
  </si>
  <si>
    <t>Plaid</t>
  </si>
  <si>
    <t>OPAN00300</t>
  </si>
  <si>
    <t>IDScan.net OCR</t>
  </si>
  <si>
    <t>OPAN00400</t>
  </si>
  <si>
    <t>IDScan.net Facial Recognition</t>
  </si>
  <si>
    <t>OPAN00500</t>
  </si>
  <si>
    <t>Alloy</t>
  </si>
  <si>
    <t>PANA00556</t>
  </si>
  <si>
    <t>FTP File Delivery Setup Fee and Monthly Maintenance Fee per Endpoint</t>
  </si>
  <si>
    <t>PCAR000101</t>
  </si>
  <si>
    <t>Parascript CAR/LAR</t>
  </si>
  <si>
    <t>FPS Distributed Forecasting</t>
  </si>
  <si>
    <t>ProfitStars FPS Budget</t>
  </si>
  <si>
    <t>ProfitStars FPS CECL Analysis and Reporting</t>
  </si>
  <si>
    <t>ProfitStars FPS CECL Datastore and Validation</t>
  </si>
  <si>
    <t>FPS Customer Profitability and Pricing</t>
  </si>
  <si>
    <t>FPS Enterprise</t>
  </si>
  <si>
    <t>FPS Forecasting and Financial Reporting</t>
  </si>
  <si>
    <t>FPS Asset Liability Management</t>
  </si>
  <si>
    <t>FPS Customer Pricing (ONLY)</t>
  </si>
  <si>
    <t>FPS Customer Profitability (ONLY)</t>
  </si>
  <si>
    <t>FPS Performance Scorecard</t>
  </si>
  <si>
    <t>CECL Enhanced Modeling</t>
  </si>
  <si>
    <t>PFNA00680</t>
  </si>
  <si>
    <t>Administrative Service</t>
  </si>
  <si>
    <t>Historical Update Service</t>
  </si>
  <si>
    <t>PFNA00700</t>
  </si>
  <si>
    <t>Model Rewrite</t>
  </si>
  <si>
    <t>PFNA00710</t>
  </si>
  <si>
    <t>Professional Services (Hourly)</t>
  </si>
  <si>
    <t>PFNA00720</t>
  </si>
  <si>
    <t>ALM Basic Reporting Service</t>
  </si>
  <si>
    <t>Product PROFITability Reporting Service</t>
  </si>
  <si>
    <t>ProfitStars ALM Reporting Services</t>
  </si>
  <si>
    <t>Organizational PROFITability Reporting Service</t>
  </si>
  <si>
    <t>JHA SmartPay Remote Deposit Anywhere (RDA)</t>
  </si>
  <si>
    <t>JHA SmartPay Remote Deposit Complete (RDC)</t>
  </si>
  <si>
    <t>RDN000101</t>
  </si>
  <si>
    <t>JHA SmartPay Remote Deposit Now (RDN)</t>
  </si>
  <si>
    <t>RDN000102</t>
  </si>
  <si>
    <t>RDN Variable Fees</t>
  </si>
  <si>
    <t>Synergy One</t>
  </si>
  <si>
    <t>SECM00103</t>
  </si>
  <si>
    <t>Synergy One Additional Document Types</t>
  </si>
  <si>
    <t>SECM00104</t>
  </si>
  <si>
    <t>Synergy Reports (Add-on to Productivity)</t>
  </si>
  <si>
    <t>SECM00105</t>
  </si>
  <si>
    <t>Synergy PowerSearch (Add-on to Bundle)</t>
  </si>
  <si>
    <t>SECM00106</t>
  </si>
  <si>
    <t>Synergy AdvancedPDF (Add-on to Bundle)</t>
  </si>
  <si>
    <t>SECM00107</t>
  </si>
  <si>
    <t>Synergy API-Only</t>
  </si>
  <si>
    <t>SECM00108</t>
  </si>
  <si>
    <t>Synergy Read-Only</t>
  </si>
  <si>
    <t>SECM00109</t>
  </si>
  <si>
    <t>Synergy ECM Administrator Education Pack (Virtual, instructor-led training and eLearning)</t>
  </si>
  <si>
    <t>SECM00110</t>
  </si>
  <si>
    <t>Synergy ECM Administrator Additional Education Pack (Onsite/Dedicated and eLearning)</t>
  </si>
  <si>
    <t>SECM00111</t>
  </si>
  <si>
    <t>Synergy ECM User/Operator Education Pack (eLearning)</t>
  </si>
  <si>
    <t>SECM00112</t>
  </si>
  <si>
    <t>Synergy ECM User/Operator Train-the-Trainer Program (Virtual, instructor-led training and eLearning)</t>
  </si>
  <si>
    <t>SECM00113</t>
  </si>
  <si>
    <t>Synergy ECM User/Operator Train-the-Trainer Program Annual Training</t>
  </si>
  <si>
    <t>SECM00114</t>
  </si>
  <si>
    <t>Synergy Productivity Education Pack (Virtual, instructor-led training and eLearning)</t>
  </si>
  <si>
    <t>SECM00115</t>
  </si>
  <si>
    <t>Synergy PowerSearch Education Pack (eLearning)</t>
  </si>
  <si>
    <t>SECM00116</t>
  </si>
  <si>
    <t>Synergy Document Recognition Education (eLearning)</t>
  </si>
  <si>
    <t>SECM00117</t>
  </si>
  <si>
    <t>Synergy eSign Education Pack (Virtual, instructor-led and eLearning)</t>
  </si>
  <si>
    <t>SECM00118</t>
  </si>
  <si>
    <t>Synergy eSignWeb Education Pack (eLearning)</t>
  </si>
  <si>
    <t>SECM00119</t>
  </si>
  <si>
    <t>Synergy eSign &amp; eSignWeb Education Pack (Virtual, instructor-led training and eLearning)</t>
  </si>
  <si>
    <t>SECM00120</t>
  </si>
  <si>
    <t>Synergy One Education Pack (eLearning)</t>
  </si>
  <si>
    <t>SECM00121</t>
  </si>
  <si>
    <t>Synergy Reports Education Pack (Virtual, instructor-led training and eLearning)</t>
  </si>
  <si>
    <t>JHA SafeGuard Includes (PEP)</t>
  </si>
  <si>
    <t>SFGD00101</t>
  </si>
  <si>
    <t>JHA SafeGuard Crimes Sanctions List</t>
  </si>
  <si>
    <t>SFGD00102</t>
  </si>
  <si>
    <t>JHA SafeGuard FinCEN Money Services Business (MSB) List</t>
  </si>
  <si>
    <t>Synergy XFServer Runtime</t>
  </si>
  <si>
    <t>Synergy XFServer Package Plus</t>
  </si>
  <si>
    <t>SLNT00100</t>
  </si>
  <si>
    <t>Saylent Engage</t>
  </si>
  <si>
    <t>SPNA00618</t>
  </si>
  <si>
    <t>Synapsys CRM Annual Training/Consulting Maintenance (For OutLink/Hosted customers only)</t>
  </si>
  <si>
    <t>SilverLake User Acceptance Testing Environment</t>
  </si>
  <si>
    <t>SUAT00102</t>
  </si>
  <si>
    <t>Xperience (UAT)</t>
  </si>
  <si>
    <t>Synapsys (UAT)</t>
  </si>
  <si>
    <t>Cognos (UAT)</t>
  </si>
  <si>
    <t>SUAT00108</t>
  </si>
  <si>
    <t>jhaCall Center (UAT)</t>
  </si>
  <si>
    <t>Silverlake Teller (UAT)</t>
  </si>
  <si>
    <t>Silverlake Teller Capture (UAT)</t>
  </si>
  <si>
    <t>OnBoard Test (UAT)</t>
  </si>
  <si>
    <t>SUAT00114</t>
  </si>
  <si>
    <t>CPS Test (UAT)</t>
  </si>
  <si>
    <t>NetTeller Online Banking Test (UAT)</t>
  </si>
  <si>
    <t>SUAT00117</t>
  </si>
  <si>
    <t>Commercial Cash Management Test (UAT)</t>
  </si>
  <si>
    <t>Electronic Statements Interactive (UAT)</t>
  </si>
  <si>
    <t>SUAT00119</t>
  </si>
  <si>
    <t>EIS/ENS (UAT)</t>
  </si>
  <si>
    <t>SUAT00120</t>
  </si>
  <si>
    <t>Synergy Cold Reports (UAT)</t>
  </si>
  <si>
    <t>iTalk Test (UAT)</t>
  </si>
  <si>
    <t>DirectLine Wires (UAT)</t>
  </si>
  <si>
    <t>SUAT00129</t>
  </si>
  <si>
    <t>jhaKnow (UAT)</t>
  </si>
  <si>
    <t>SYNA00100</t>
  </si>
  <si>
    <t>Synergy Data Storage Fee Schedule</t>
  </si>
  <si>
    <t>SYNA00151</t>
  </si>
  <si>
    <t>Dedicated Server Environment</t>
  </si>
  <si>
    <t>SYNA00152</t>
  </si>
  <si>
    <t>Core Support</t>
  </si>
  <si>
    <t>SYNA00501</t>
  </si>
  <si>
    <t>Third-Party Integration</t>
  </si>
  <si>
    <t>SYNA00624</t>
  </si>
  <si>
    <t>Synergy eSignWeb For Use with SymForm PDF/PowerFrame Docs</t>
  </si>
  <si>
    <t>SYNA00627</t>
  </si>
  <si>
    <t>Centurion Enterprise-Level Recovery Core Vaulting - CruiseNet</t>
  </si>
  <si>
    <t>SYNA00628</t>
  </si>
  <si>
    <t>Synergy One Administration and Operator Training (up to 6 students)</t>
  </si>
  <si>
    <t>SYNA00631</t>
  </si>
  <si>
    <t>Synergy AutoImport Administration and User Training (per student)</t>
  </si>
  <si>
    <t>Synergy Automated Document Recognition</t>
  </si>
  <si>
    <t>Synergy Batch Document Recognition</t>
  </si>
  <si>
    <t>SYNA00634</t>
  </si>
  <si>
    <t>Synergy Certified Trainer Program (CST)</t>
  </si>
  <si>
    <t>SYNA00635</t>
  </si>
  <si>
    <t>Synergy Check Administration Training (per student)</t>
  </si>
  <si>
    <t>SYNA00637</t>
  </si>
  <si>
    <t>Synergy Check User Training (5-pack)</t>
  </si>
  <si>
    <t>SYNA00638</t>
  </si>
  <si>
    <t>Synergy Express Data Migration Services</t>
  </si>
  <si>
    <t>SYNA00640</t>
  </si>
  <si>
    <t>Synergy Datamart Administration Training (per student)</t>
  </si>
  <si>
    <t>SYNA00641</t>
  </si>
  <si>
    <t>Synergy Document Administration Training</t>
  </si>
  <si>
    <t>SYNA00643</t>
  </si>
  <si>
    <t>Synergy Document Management User Training Suite</t>
  </si>
  <si>
    <t>SYNA00644</t>
  </si>
  <si>
    <t>Synergy Document Operations Training</t>
  </si>
  <si>
    <t>SYNA00645</t>
  </si>
  <si>
    <t>Synergy Document Operator Training (5-pack)</t>
  </si>
  <si>
    <t>SYNA00646</t>
  </si>
  <si>
    <t>Synergy Document Recognition Administration and Operator Training (per student)</t>
  </si>
  <si>
    <t>SYNA00648</t>
  </si>
  <si>
    <t>Synergy Document Tracking Administration Training (per student)</t>
  </si>
  <si>
    <t>SYNA00649</t>
  </si>
  <si>
    <t>Synergy Document Tracking User Training</t>
  </si>
  <si>
    <t>DSIS Scanner Interface</t>
  </si>
  <si>
    <t>SYNA00652</t>
  </si>
  <si>
    <t>Synergy eDistribution Migration</t>
  </si>
  <si>
    <t>SYNA00653</t>
  </si>
  <si>
    <t>Synergy eDistribution Administration Training (per student)</t>
  </si>
  <si>
    <t>SYNA00655</t>
  </si>
  <si>
    <t>Synergy Email Assist Autofile Administration Training (per student)</t>
  </si>
  <si>
    <t>SYNA00656</t>
  </si>
  <si>
    <t>Synergy End User Training (Train-the-Trainer, up to 6 students)</t>
  </si>
  <si>
    <t>Synergy eSign</t>
  </si>
  <si>
    <t>SYNA00658</t>
  </si>
  <si>
    <t>Synergy eSign Administration Training (per student)</t>
  </si>
  <si>
    <t>SYNA00659</t>
  </si>
  <si>
    <t>Synergy eSign Integration Module</t>
  </si>
  <si>
    <t>SYNA00660</t>
  </si>
  <si>
    <t>Synergy eSign Operator Training Suite</t>
  </si>
  <si>
    <t>Synergy eSignWeb Add-on</t>
  </si>
  <si>
    <t>SYNA00662</t>
  </si>
  <si>
    <t>Synergy eSign Web Administration Training (per student)</t>
  </si>
  <si>
    <t>Synergy eSignWeb Only</t>
  </si>
  <si>
    <t>SYNA00664</t>
  </si>
  <si>
    <t>Synergy General Administration Training</t>
  </si>
  <si>
    <t>SYNA00665</t>
  </si>
  <si>
    <t>Synergy Reports Administration Training</t>
  </si>
  <si>
    <t>SYNA00666</t>
  </si>
  <si>
    <t>Synergy Third-party File Transfer</t>
  </si>
  <si>
    <t>SYNA00668</t>
  </si>
  <si>
    <t>Synergy ID Scan Administration and User Training (per student)</t>
  </si>
  <si>
    <t>Synergy PowerSearch</t>
  </si>
  <si>
    <t>SYNA00671</t>
  </si>
  <si>
    <t>Synergy PowerSearch Administration Training (per student)</t>
  </si>
  <si>
    <t>SYNA00672</t>
  </si>
  <si>
    <t>Synergy PowerSearch User Training (5-pack)</t>
  </si>
  <si>
    <t>SYNA00673</t>
  </si>
  <si>
    <t>Synergy Reports User Training</t>
  </si>
  <si>
    <t>SYNA00674</t>
  </si>
  <si>
    <t>Synergy Retention Administration Training (per student)</t>
  </si>
  <si>
    <t>SYNA00675</t>
  </si>
  <si>
    <t>Synergy Services: Auto Predefined Report Storage</t>
  </si>
  <si>
    <t>SYNA00676</t>
  </si>
  <si>
    <t>Synergy Services: Capture Consulting</t>
  </si>
  <si>
    <t>SYNA00677</t>
  </si>
  <si>
    <t>Synergy Services: Closed Date Synchronization</t>
  </si>
  <si>
    <t>SYNA00678</t>
  </si>
  <si>
    <t>Synergy Services: CTI Consulting</t>
  </si>
  <si>
    <t>SYNA00679</t>
  </si>
  <si>
    <t>Synergy Services: Custom Excel Reporting</t>
  </si>
  <si>
    <t>SYNA00680</t>
  </si>
  <si>
    <t>Synergy Services: Document Tracking Consulting</t>
  </si>
  <si>
    <t>SYNA00681</t>
  </si>
  <si>
    <t>Synergy Services: DocuSign Integration</t>
  </si>
  <si>
    <t>SYNA00682</t>
  </si>
  <si>
    <t>Synergy Services: eSign Consulting</t>
  </si>
  <si>
    <t>SYNA00683</t>
  </si>
  <si>
    <t>Synergy Services: eSign/Streamline Reporting</t>
  </si>
  <si>
    <t>SYNA00684</t>
  </si>
  <si>
    <t>Synergy Services: INDEXED BY Index Maintenance</t>
  </si>
  <si>
    <t>SYNA00685</t>
  </si>
  <si>
    <t>Synergy Services: Paperless Consulting</t>
  </si>
  <si>
    <t>SYNA00686</t>
  </si>
  <si>
    <t>Synergy Post-Implementation Best Practices Consulting</t>
  </si>
  <si>
    <t>SYNA00687</t>
  </si>
  <si>
    <t>Synergy Pre-Implementation Consulting</t>
  </si>
  <si>
    <t>SYNA00688</t>
  </si>
  <si>
    <t>Synergy Services: Report Backup Organization and Notification Tool</t>
  </si>
  <si>
    <t>SYNA00689</t>
  </si>
  <si>
    <t>Synergy Services: Retention Management Consulting</t>
  </si>
  <si>
    <t>SYNA00690</t>
  </si>
  <si>
    <t>Synergy Services: System Infrastructure Consulting</t>
  </si>
  <si>
    <t>SYNA00691</t>
  </si>
  <si>
    <t>Synergy Services: System Security Consulting</t>
  </si>
  <si>
    <t>SYNA00693</t>
  </si>
  <si>
    <t>Synergy AutoImport (Free Version)</t>
  </si>
  <si>
    <t>SYNA00696</t>
  </si>
  <si>
    <t>Synergy Express Dedicated Server System</t>
  </si>
  <si>
    <t>SYNA00700</t>
  </si>
  <si>
    <t>Synergy DocuSign Integration</t>
  </si>
  <si>
    <t>SYNA00710</t>
  </si>
  <si>
    <t>Synergy Data Migration</t>
  </si>
  <si>
    <t>SYNA00720</t>
  </si>
  <si>
    <t>Synergy Core Migration</t>
  </si>
  <si>
    <t>SYNA00740</t>
  </si>
  <si>
    <t>Professional Services</t>
  </si>
  <si>
    <t>SYNA00750</t>
  </si>
  <si>
    <t>Synergy One Document Management User Training (5-pack)</t>
  </si>
  <si>
    <t>SYNEPY0001</t>
  </si>
  <si>
    <t>Synergy In House/Migration Implementation (for EASE core) - Required if EASE Core &amp; Synergy IH</t>
  </si>
  <si>
    <t>Orbograph CAR for Teller Capture (5 Pack)</t>
  </si>
  <si>
    <t>TEL000109</t>
  </si>
  <si>
    <t>Teller Integration to AlertCenter</t>
  </si>
  <si>
    <t>TEL000112</t>
  </si>
  <si>
    <t>Teller Mock Conversion</t>
  </si>
  <si>
    <t>TEL000120</t>
  </si>
  <si>
    <t>Centralized IQUA for Orbograph Accura XV</t>
  </si>
  <si>
    <t>TEL000130</t>
  </si>
  <si>
    <t>Orbograph Accura XV</t>
  </si>
  <si>
    <t>TEL000140</t>
  </si>
  <si>
    <t>OrboAnywhere Recognition</t>
  </si>
  <si>
    <t>TEL000150</t>
  </si>
  <si>
    <t>OrboAnywhere Validate</t>
  </si>
  <si>
    <t>OPAN00600</t>
  </si>
  <si>
    <t>WKFS Expere Deposit Forms for use with JHA OpenAnywhere</t>
  </si>
  <si>
    <t>Argo Test (UAT)</t>
  </si>
  <si>
    <t>OutLink Item Processing (UAT) Maintenance</t>
  </si>
  <si>
    <t>OutLink Item Processing (UAT) Implementation and Processing</t>
  </si>
  <si>
    <t>CBIFN00100</t>
  </si>
  <si>
    <t>Custom Line Item (BI and Financial)</t>
  </si>
  <si>
    <t>CCORE00100</t>
  </si>
  <si>
    <t>Custom Line Item (Core)</t>
  </si>
  <si>
    <t>CDGTL00100</t>
  </si>
  <si>
    <t>Custom Line Item (Digital)</t>
  </si>
  <si>
    <t>CIMAG00100</t>
  </si>
  <si>
    <t>Custom Line Item (Imaging)</t>
  </si>
  <si>
    <t>CISRK00100</t>
  </si>
  <si>
    <t>Custom Line Item (IS &amp; Risk)</t>
  </si>
  <si>
    <t>CISRK00101</t>
  </si>
  <si>
    <t>Custom Line Item (IS &amp; Risk Annual Fee)</t>
  </si>
  <si>
    <t>Custom Line Item (Payments)</t>
  </si>
  <si>
    <t>CRETL00100</t>
  </si>
  <si>
    <t>Custom Line Item (Retail)</t>
  </si>
  <si>
    <t>CTRNG00100</t>
  </si>
  <si>
    <t>Custom Line Item (Training)</t>
  </si>
  <si>
    <t>MRDC100101</t>
  </si>
  <si>
    <t>4S000199</t>
  </si>
  <si>
    <t>CPS001210</t>
  </si>
  <si>
    <t>CPU Transmissions, per file</t>
  </si>
  <si>
    <t>CPS000910</t>
  </si>
  <si>
    <t>Report Archival Pages</t>
  </si>
  <si>
    <t>Dedicated Partition Production</t>
  </si>
  <si>
    <t>Dedicated Partition UAT</t>
  </si>
  <si>
    <t>CPS000930</t>
  </si>
  <si>
    <t>Authorization Track One Name Edit</t>
  </si>
  <si>
    <t>VISA/MasterCard Add/Change/Delete</t>
  </si>
  <si>
    <t>CPS000880</t>
  </si>
  <si>
    <t>Interbank Transfer Transactions</t>
  </si>
  <si>
    <t>JHA Tokenization (Digital Wallet) Automated Provisioning Notifications</t>
  </si>
  <si>
    <t>CPS000341</t>
  </si>
  <si>
    <t>Data Navigator IDs (Includes 5 ID's)</t>
  </si>
  <si>
    <t>CPS001170</t>
  </si>
  <si>
    <t>Data Navigator, per ID</t>
  </si>
  <si>
    <t>Non-Standard Job Request, per job</t>
  </si>
  <si>
    <t>Debit Adjustment Dispute</t>
  </si>
  <si>
    <t>CPS Custom Line Item</t>
  </si>
  <si>
    <t>4S000119</t>
  </si>
  <si>
    <t>4|Sight Core Migration</t>
  </si>
  <si>
    <t>4S000148</t>
  </si>
  <si>
    <t>4|sight OrboAnywhere AI Payee Name Verification</t>
  </si>
  <si>
    <t>CPS000830</t>
  </si>
  <si>
    <t>CPS Extra Awards Administration</t>
  </si>
  <si>
    <t>CPS000950</t>
  </si>
  <si>
    <t>Chip Cards Issued via Transmission</t>
  </si>
  <si>
    <t>CPS000381</t>
  </si>
  <si>
    <t>Card Personalization Embossing, per day per card type</t>
  </si>
  <si>
    <t>CPS000382</t>
  </si>
  <si>
    <t>Card Production (Card EMV Embossing / Chip Personalization)</t>
  </si>
  <si>
    <t>CPS000383</t>
  </si>
  <si>
    <t>Card Mailer Inserting</t>
  </si>
  <si>
    <t>CPS000384</t>
  </si>
  <si>
    <t>Card Guard Clear Overlay</t>
  </si>
  <si>
    <t>SLAKE000118</t>
  </si>
  <si>
    <t>Day 2 Project Management - 45 Days engagement</t>
  </si>
  <si>
    <t>NTTM00400</t>
  </si>
  <si>
    <t>Treasury Management Focused Learning Engagement</t>
  </si>
  <si>
    <t>YHNA00733</t>
  </si>
  <si>
    <t>Jack Henry Financial Crimes Defender Consulting</t>
  </si>
  <si>
    <t>YHNA00734</t>
  </si>
  <si>
    <t>Jack Henry Financial Crimes Defender</t>
  </si>
  <si>
    <t>YHNA00732</t>
  </si>
  <si>
    <t>Jack Henry Financial Crimes Defender - Faster Payments</t>
  </si>
  <si>
    <t>JCON00140</t>
  </si>
  <si>
    <t>Jconnect - new</t>
  </si>
  <si>
    <t>CPS000391</t>
  </si>
  <si>
    <t>Remote Entered Non-Monetary Transaction</t>
  </si>
  <si>
    <t>CPS000392</t>
  </si>
  <si>
    <t>Tape Entered Non-Monetary Transaction</t>
  </si>
  <si>
    <t>CCORE00109</t>
  </si>
  <si>
    <t>Closed Accounts (PAP)</t>
  </si>
  <si>
    <t>Daily File Transfer Integration IntraFI</t>
  </si>
  <si>
    <t>SLAKE00158</t>
  </si>
  <si>
    <t>SilverLake Bundle Transaction History Retention (25 months)</t>
  </si>
  <si>
    <t>CPS000798</t>
  </si>
  <si>
    <t>ATM Remote Key Monthly Fee</t>
  </si>
  <si>
    <t>CPS000860</t>
  </si>
  <si>
    <t>Tracker Online Application</t>
  </si>
  <si>
    <t>CPS001080</t>
  </si>
  <si>
    <t>ATM Velocity Monitoring</t>
  </si>
  <si>
    <t>CPS000870</t>
  </si>
  <si>
    <t>Tracker Online ATM Fleet</t>
  </si>
  <si>
    <t>SLAKE000113</t>
  </si>
  <si>
    <t>Jack Henry Wires - Domestic Wires</t>
  </si>
  <si>
    <t>SLAKE000121</t>
  </si>
  <si>
    <t>Jack Henry Wires - International Wires</t>
  </si>
  <si>
    <t>SLAKE000119</t>
  </si>
  <si>
    <t>Jack Henry Wires Platform Setup</t>
  </si>
  <si>
    <t>CPS000850</t>
  </si>
  <si>
    <t>ATM Remote Key Transactions</t>
  </si>
  <si>
    <t>SilverLake System Bundle</t>
  </si>
  <si>
    <t>CPS000160</t>
  </si>
  <si>
    <t>ATM Remote Balancing</t>
  </si>
  <si>
    <t>CTCT00089</t>
  </si>
  <si>
    <t>Centurion JHA Connectivity for OutLink Teller Capture or Item Capture (4|sight)</t>
  </si>
  <si>
    <t>SECM00122</t>
  </si>
  <si>
    <t>Synergy ECM Conversion Education Pack (eLearning) (Synergy Renewal/Migration from Docs and Repo</t>
  </si>
  <si>
    <t>BNBM00017</t>
  </si>
  <si>
    <t>My Credit Manager</t>
  </si>
  <si>
    <t>BNBP00026</t>
  </si>
  <si>
    <t>Digital Video Chat and Screen Sharing</t>
  </si>
  <si>
    <t>BNBP00025</t>
  </si>
  <si>
    <t>JH Online Financial Management with Account Aggregation</t>
  </si>
  <si>
    <t>JHAPC00006</t>
  </si>
  <si>
    <t>FedNow Implementation and Monthly Network</t>
  </si>
  <si>
    <t>CPS001480</t>
  </si>
  <si>
    <t>Low-Dollar Write-off, per case</t>
  </si>
  <si>
    <t>CPS001470</t>
  </si>
  <si>
    <t>Full Service Disputes Letters</t>
  </si>
  <si>
    <t>CTCT00100</t>
  </si>
  <si>
    <t>Centurion Enterprise-Level Recovery Backup Monitoring</t>
  </si>
  <si>
    <t>CPS001070</t>
  </si>
  <si>
    <t>ATM Transactions Verification, per user</t>
  </si>
  <si>
    <t>OPAN00800</t>
  </si>
  <si>
    <t>JHA OpenAnywhere Finicity</t>
  </si>
  <si>
    <t>IPNA00501</t>
  </si>
  <si>
    <t>iPay Consumer Users - Includes unlimited transactions</t>
  </si>
  <si>
    <t>OPAN00101</t>
  </si>
  <si>
    <t>JHA OpenAnywhere Project Management</t>
  </si>
  <si>
    <t>JHA Tokenization (Digital Wallet) Automated Provisioning Notifications JHA Debit Processing</t>
  </si>
  <si>
    <t>CPS000158</t>
  </si>
  <si>
    <t>Full-Service Chargeback Dispute Processing JHA Debit Processing</t>
  </si>
  <si>
    <t>FCD000110</t>
  </si>
  <si>
    <t>Jack Henry Financial Crimes Defender Real-time Payments Zelle</t>
  </si>
  <si>
    <t>FCD000111</t>
  </si>
  <si>
    <t>Jack Henry Financial Crimes Defender Real-time Payments FedNow</t>
  </si>
  <si>
    <t>FCD000112</t>
  </si>
  <si>
    <t>Jack Henry Financial Crimes Defender Real-time Payments TCH RTP</t>
  </si>
  <si>
    <t>CTCT00101</t>
  </si>
  <si>
    <t>Centurion Connectivity for Jack Henry Hosted Services</t>
  </si>
  <si>
    <t>EPSP00157</t>
  </si>
  <si>
    <t>JHA SmartDetect</t>
  </si>
  <si>
    <t>DLW000103</t>
  </si>
  <si>
    <t>CorPay Integration</t>
  </si>
  <si>
    <t>CPS001060</t>
  </si>
  <si>
    <t>ATM Transaction Verification Data, per month</t>
  </si>
  <si>
    <t>BNBP00027</t>
  </si>
  <si>
    <t>Banno Usage Data</t>
  </si>
  <si>
    <t>BNBP00024</t>
  </si>
  <si>
    <t>Banno Language Support Spanish</t>
  </si>
  <si>
    <t>BNUDM0003</t>
  </si>
  <si>
    <t>Banno NuDetect Dashboard</t>
  </si>
  <si>
    <t>NTOB00522</t>
  </si>
  <si>
    <t>JHA Unified Identity Service Treasury Management</t>
  </si>
  <si>
    <t>CPS000940</t>
  </si>
  <si>
    <t>Fraud Issuers Clearinghouse Transactions JHA Debit Processing</t>
  </si>
  <si>
    <t>PFNA00568</t>
  </si>
  <si>
    <t>FPS Daily Dashboard</t>
  </si>
  <si>
    <t>SYNA00699</t>
  </si>
  <si>
    <t>Synergy Implementation Consulting</t>
  </si>
  <si>
    <t>LAR000105</t>
  </si>
  <si>
    <t>Jack Henry Loyalty and Rewards Support - Enterprise</t>
  </si>
  <si>
    <t>LAR000103</t>
  </si>
  <si>
    <t>Jack Henry Loyalty and Rewards - Enterprise</t>
  </si>
  <si>
    <t>PRNA00606</t>
  </si>
  <si>
    <t>CLCS00142</t>
  </si>
  <si>
    <t>JHTS000100</t>
  </si>
  <si>
    <t>CPS00654</t>
  </si>
  <si>
    <t>CPS000980</t>
  </si>
  <si>
    <t>CPS000799</t>
  </si>
  <si>
    <t>CPS001020</t>
  </si>
  <si>
    <t>CPS00997</t>
  </si>
  <si>
    <t>CPS001000</t>
  </si>
  <si>
    <t>CPS000351</t>
  </si>
  <si>
    <t>CPS000551</t>
  </si>
  <si>
    <t>CPS000512</t>
  </si>
  <si>
    <t>CPS001160</t>
  </si>
  <si>
    <t>CPS001490</t>
  </si>
  <si>
    <t>CPS000602</t>
  </si>
  <si>
    <t>CPS000890</t>
  </si>
  <si>
    <t>CPS000394</t>
  </si>
  <si>
    <t>CPS000790</t>
  </si>
  <si>
    <t>CPS000920</t>
  </si>
  <si>
    <t>CPS001200</t>
  </si>
  <si>
    <t>CPS000402</t>
  </si>
  <si>
    <t>SECM00100</t>
  </si>
  <si>
    <t>SECM00101</t>
  </si>
  <si>
    <t>STCT1001</t>
  </si>
  <si>
    <t>CLCS00120</t>
  </si>
  <si>
    <t>CLCS00126</t>
  </si>
  <si>
    <t>CLCS00122</t>
  </si>
  <si>
    <t>CLCS00128</t>
  </si>
  <si>
    <t>CLCS00136</t>
  </si>
  <si>
    <t>CLCS00133</t>
  </si>
  <si>
    <t>CLCS00131</t>
  </si>
  <si>
    <t>CLCS00129</t>
  </si>
  <si>
    <t>PRRC00601</t>
  </si>
  <si>
    <t>PYRZ00121</t>
  </si>
  <si>
    <t>OrboAnywhere Fraud</t>
  </si>
  <si>
    <t>4S000152</t>
  </si>
  <si>
    <t>CPS001430</t>
  </si>
  <si>
    <t>ATM Driving (EAD)</t>
  </si>
  <si>
    <t>JHA Credit Processing Connectivity</t>
  </si>
  <si>
    <t>Letters &amp; Notices</t>
  </si>
  <si>
    <t>JHA Credit Card Pay by Phone ACH, Right Time Payments</t>
  </si>
  <si>
    <t>Terminal Transmission</t>
  </si>
  <si>
    <t>Terminal Access</t>
  </si>
  <si>
    <t>CPS000386</t>
  </si>
  <si>
    <t>Dual Interface Card Personalization Premium JHA Credit Processing</t>
  </si>
  <si>
    <t>CPS001500</t>
  </si>
  <si>
    <t>Transaction Level Processing</t>
  </si>
  <si>
    <t>JHA Credit Card Call Center, per minute</t>
  </si>
  <si>
    <t>Interactive Voice Response, per call</t>
  </si>
  <si>
    <t>CPS001510</t>
  </si>
  <si>
    <t>Commercial 360 Control Transactions</t>
  </si>
  <si>
    <t>VISA/MasterCard Action from Rules Table</t>
  </si>
  <si>
    <t>Report Transmission</t>
  </si>
  <si>
    <t>CPS001400</t>
  </si>
  <si>
    <t>Jack Henry Digital Provisioning Enablement (JHA Tokenization Required) JHA Credit Processing</t>
  </si>
  <si>
    <t>CPS001520</t>
  </si>
  <si>
    <t>Credit Cards Chargeback Dispute Processing JHA Credit Processin</t>
  </si>
  <si>
    <t>Score Source and Open Access</t>
  </si>
  <si>
    <t>CPS000820</t>
  </si>
  <si>
    <t>CPS000810</t>
  </si>
  <si>
    <t>CPS000800</t>
  </si>
  <si>
    <t>In-House Credit Cards</t>
  </si>
  <si>
    <t>In-House Credit Card Settlement</t>
  </si>
  <si>
    <t>In-House Credit Card Authorization</t>
  </si>
  <si>
    <t>JHA In-House Credit Processing</t>
  </si>
  <si>
    <t>BIN/s Add to Digital Wallet Program Post Implementation</t>
  </si>
  <si>
    <t>CPS Stop Payment Fee</t>
  </si>
  <si>
    <t>Cardholder Assistance Line Transactions</t>
  </si>
  <si>
    <t>CPS000840</t>
  </si>
  <si>
    <t>CPS000301</t>
  </si>
  <si>
    <t>CPS000791</t>
  </si>
  <si>
    <t>Visa/MasterCard Sponsorship</t>
  </si>
  <si>
    <t>DYOC Image Application (Requires Approval)</t>
  </si>
  <si>
    <t>CPS000385</t>
  </si>
  <si>
    <t>3D Secure Authorizations</t>
  </si>
  <si>
    <t>Credit Adjustment Dispute</t>
  </si>
  <si>
    <t>Cardholder Assistance Line Monthly Fee</t>
  </si>
  <si>
    <t>ATM Cards Issued via Transmission</t>
  </si>
  <si>
    <t>Deposit Automation</t>
  </si>
  <si>
    <t>JHA Card Data Services</t>
  </si>
  <si>
    <t>DX Online and Mobile</t>
  </si>
  <si>
    <t>CPS001030</t>
  </si>
  <si>
    <t>CPS Additional Interface to 3rd Party Product</t>
  </si>
  <si>
    <t>Ventus 6' Antenna Extension Cable</t>
  </si>
  <si>
    <t>CPS001240</t>
  </si>
  <si>
    <t>Jack Henry Report Download Service</t>
  </si>
  <si>
    <t>CPS001390</t>
  </si>
  <si>
    <t>Existing BIN EMV Enablement</t>
  </si>
  <si>
    <t>CPS Services for Core Mock/Test</t>
  </si>
  <si>
    <t>CPS001410</t>
  </si>
  <si>
    <t>CPS001420</t>
  </si>
  <si>
    <t>CPS Host Test Environment</t>
  </si>
  <si>
    <t>CPS Dedicated Non-production Server Environment</t>
  </si>
  <si>
    <t>CPS001440</t>
  </si>
  <si>
    <t>CPS001450</t>
  </si>
  <si>
    <t>jConnect Fee Schedule</t>
  </si>
  <si>
    <t>CPS000159</t>
  </si>
  <si>
    <t>Content Manager Additional Campaign, per terminal, per campaign</t>
  </si>
  <si>
    <t>Content Manager ATM application, per terminal</t>
  </si>
  <si>
    <t>Target Marketing Transaction Fees</t>
  </si>
  <si>
    <t>Target Marketing ATM Fee</t>
  </si>
  <si>
    <t>ATM Personalization Add, per card per transaction</t>
  </si>
  <si>
    <t>ATM Personalization Maintenance, per card</t>
  </si>
  <si>
    <t>ATM Personalization Change, per card per change</t>
  </si>
  <si>
    <t>CPS001090</t>
  </si>
  <si>
    <t>CPS001100</t>
  </si>
  <si>
    <t>CPS001110</t>
  </si>
  <si>
    <t>CPS001120</t>
  </si>
  <si>
    <t>CPS001130</t>
  </si>
  <si>
    <t>CPS001140</t>
  </si>
  <si>
    <t>CPS001150</t>
  </si>
  <si>
    <t>Instant Issue (for Third Party Switch)</t>
  </si>
  <si>
    <t>Rocky Mountain Card Personalization Fee Schedule (Credit Union Only)</t>
  </si>
  <si>
    <t>IDEMIA Card Personalization Fee Schedule (Credit Union Only)</t>
  </si>
  <si>
    <t>CPI Card Personalization Fee Schedule (Credit Union Only)</t>
  </si>
  <si>
    <t>CPS001180</t>
  </si>
  <si>
    <t>CPS00999</t>
  </si>
  <si>
    <t>CPS00998</t>
  </si>
  <si>
    <t>JHA Card Authorization Middleware Non-production Environment</t>
  </si>
  <si>
    <t>PIN Change at ATM Monthly Support</t>
  </si>
  <si>
    <t>JHA Digital PIN Management</t>
  </si>
  <si>
    <t>CPS001190</t>
  </si>
  <si>
    <t>CPS001530</t>
  </si>
  <si>
    <t>Full-Service Disputes Digital SSO Support</t>
  </si>
  <si>
    <t>CPS001540</t>
  </si>
  <si>
    <t>Product Group (Proposal 1)</t>
  </si>
  <si>
    <t>Product Group (Proposal 2)</t>
  </si>
  <si>
    <t>Product Group (Proposal 3)</t>
  </si>
  <si>
    <t>LVSU00100</t>
  </si>
  <si>
    <t>CLCS00271</t>
  </si>
  <si>
    <t>CLCS00155</t>
  </si>
  <si>
    <t>CLCS00212</t>
  </si>
  <si>
    <t>CLCS00123</t>
  </si>
  <si>
    <t>CLCS00209</t>
  </si>
  <si>
    <t>CLCS00194</t>
  </si>
  <si>
    <t>CLCS00205</t>
  </si>
  <si>
    <t>CLCS00152</t>
  </si>
  <si>
    <t>CLCS00184</t>
  </si>
  <si>
    <t>CLCS00180</t>
  </si>
  <si>
    <t>CLCS00125</t>
  </si>
  <si>
    <t>CLCS00139</t>
  </si>
  <si>
    <t>CLCS00204</t>
  </si>
  <si>
    <t>CLCS00261</t>
  </si>
  <si>
    <t>CLCS00138</t>
  </si>
  <si>
    <t>CLCS00203</t>
  </si>
  <si>
    <t>CLCS00202</t>
  </si>
  <si>
    <t>CLCS00157</t>
  </si>
  <si>
    <t>CLCS00124</t>
  </si>
  <si>
    <t>CLCS00999</t>
  </si>
  <si>
    <t>CLCS00206</t>
  </si>
  <si>
    <t>CLCS00135</t>
  </si>
  <si>
    <t>CLCS00134</t>
  </si>
  <si>
    <t>CLCS00147</t>
  </si>
  <si>
    <t>CLCS00251</t>
  </si>
  <si>
    <t>CLCS00145</t>
  </si>
  <si>
    <t>CLCS00137</t>
  </si>
  <si>
    <t>CLCS00146</t>
  </si>
  <si>
    <t>CLCS00144</t>
  </si>
  <si>
    <t>CLCS00211</t>
  </si>
  <si>
    <t>CLCS00130</t>
  </si>
  <si>
    <t>CLCS00154</t>
  </si>
  <si>
    <t>CLCS00132</t>
  </si>
  <si>
    <t>CLCS00127</t>
  </si>
  <si>
    <t>CLCS00269</t>
  </si>
  <si>
    <t>CLCS00210</t>
  </si>
  <si>
    <t>CLCS00148</t>
  </si>
  <si>
    <t>CLCS00270</t>
  </si>
  <si>
    <t>CLCS00140</t>
  </si>
  <si>
    <t>CLCS00141</t>
  </si>
  <si>
    <t>CLCS00191</t>
  </si>
  <si>
    <t>CLCS00151</t>
  </si>
  <si>
    <t>Lending Suite</t>
  </si>
  <si>
    <t>LV-Business Credit Bureau Interface</t>
  </si>
  <si>
    <t>LV-Collateral</t>
  </si>
  <si>
    <t>LV-Consulting</t>
  </si>
  <si>
    <t>LV-Consumer Base (HELOC, Personal, and Auto)</t>
  </si>
  <si>
    <t>LV-Consumer Project Management</t>
  </si>
  <si>
    <t>LV-Core Boarding of Originated Loans</t>
  </si>
  <si>
    <t>LV-Core Conversion</t>
  </si>
  <si>
    <t>LV-Core Onboarding of Loans - BookIt</t>
  </si>
  <si>
    <t>LV-Covenant Deconversion</t>
  </si>
  <si>
    <t>LV-Data Extract</t>
  </si>
  <si>
    <t>LV-Decision Matrix Design</t>
  </si>
  <si>
    <t>LV-Decision Matrix Installation</t>
  </si>
  <si>
    <t>LV-Document Engine Interface</t>
  </si>
  <si>
    <t>LV-Document Tickler Conversion</t>
  </si>
  <si>
    <t>LV-Document Tickler Deconversion</t>
  </si>
  <si>
    <t>LV-Electronic Signature</t>
  </si>
  <si>
    <t>LV-Electronic Signature Fee Schedule</t>
  </si>
  <si>
    <t>LV-Financial Spread Conversion</t>
  </si>
  <si>
    <t>LV-Financial Spread Deconversion</t>
  </si>
  <si>
    <t>LV-Flood Certification Interface</t>
  </si>
  <si>
    <t>LV-Health Check</t>
  </si>
  <si>
    <t>LV-ID Verification - IDology</t>
  </si>
  <si>
    <t>LV-Imaging Interface</t>
  </si>
  <si>
    <t>LV-Included Configuration/Consultation Hours</t>
  </si>
  <si>
    <t>LV- JDPowers Vehicle Valuation</t>
  </si>
  <si>
    <t>LV-LenderLink</t>
  </si>
  <si>
    <t>LV-LoanVantage</t>
  </si>
  <si>
    <t>LV-LoanVantage (LV) Lite</t>
  </si>
  <si>
    <t>LV-LoanVantage Admin Training - Virtual</t>
  </si>
  <si>
    <t>LV-LoanVantage API</t>
  </si>
  <si>
    <t>LV-LoanVantage Discovery</t>
  </si>
  <si>
    <t>LV-LoanVantage Mobile</t>
  </si>
  <si>
    <t>LV-LoanVantage Test Environment</t>
  </si>
  <si>
    <t>LV-LoanVantage User Training</t>
  </si>
  <si>
    <t>LV-Miscellaneous Training</t>
  </si>
  <si>
    <t>LV-NAICS Data - Melissa Data</t>
  </si>
  <si>
    <t>LV-OFAC Interface</t>
  </si>
  <si>
    <t>LV-Online Application</t>
  </si>
  <si>
    <t>LV-Online Portal</t>
  </si>
  <si>
    <t>LV-Personal Credit Bureau Interface</t>
  </si>
  <si>
    <t>LV-Policy Exception</t>
  </si>
  <si>
    <t>LV-Project Management</t>
  </si>
  <si>
    <t>LV-Quick Decision</t>
  </si>
  <si>
    <t>LV-QuickDecision Admin Training - Virtual</t>
  </si>
  <si>
    <t>LV-Relationship Build</t>
  </si>
  <si>
    <t>LV-Relationships Creation</t>
  </si>
  <si>
    <t>LV-Risk Rating Models</t>
  </si>
  <si>
    <t>LV-RMA Add-On</t>
  </si>
  <si>
    <t>LV-Single Sign On (SSO)</t>
  </si>
  <si>
    <t>LV-Tax Return Reader</t>
  </si>
  <si>
    <t>LV-Tax Verification Interface</t>
  </si>
  <si>
    <t>OutLink Item Imaging</t>
  </si>
  <si>
    <t>OLIP000157</t>
  </si>
  <si>
    <t>Treasury Management (UAT)</t>
  </si>
  <si>
    <t>JHDB0100</t>
  </si>
  <si>
    <t>Jack Henry Data Hub</t>
  </si>
  <si>
    <t>RemitPlus Software</t>
  </si>
  <si>
    <t>RemitPlus Scanform API</t>
  </si>
  <si>
    <t>PRRE00616</t>
  </si>
  <si>
    <t>PRRE00620</t>
  </si>
  <si>
    <t>RemitCentral</t>
  </si>
  <si>
    <t>RemitWeb</t>
  </si>
  <si>
    <t>Electronic Deposit</t>
  </si>
  <si>
    <t>Annual List</t>
  </si>
  <si>
    <t>Annual Net</t>
  </si>
  <si>
    <t>Monthly List</t>
  </si>
  <si>
    <t>Agreement: Last Activity Date</t>
  </si>
  <si>
    <t>Account</t>
  </si>
  <si>
    <t>Based On Assets</t>
  </si>
  <si>
    <t>Agreement: Owner Name</t>
  </si>
  <si>
    <t>Sales Support Owner</t>
  </si>
  <si>
    <t>PAP Val</t>
  </si>
  <si>
    <t>Optional PAP Val</t>
  </si>
  <si>
    <t>Agreement: Agreement Name</t>
  </si>
  <si>
    <t>Master Category Text</t>
  </si>
  <si>
    <t>Product External ID</t>
  </si>
  <si>
    <t>Charge Type</t>
  </si>
  <si>
    <t>Line Description</t>
  </si>
  <si>
    <t>Optional Product</t>
  </si>
  <si>
    <t>Pricing Frequency</t>
  </si>
  <si>
    <t>Deal Sheet Base price for Override</t>
  </si>
  <si>
    <t>Deal Sheet Discount Amount</t>
  </si>
  <si>
    <t>JH Company ID</t>
  </si>
  <si>
    <t>Base Price (Override)</t>
  </si>
  <si>
    <t>Base Price</t>
  </si>
  <si>
    <t>PLI APTS ID</t>
  </si>
  <si>
    <t>Based on Number of Open Accounts</t>
  </si>
  <si>
    <t>Echelon Bank (InOrg)</t>
  </si>
  <si>
    <t>Christopher Darty</t>
  </si>
  <si>
    <t>Diane Jackson</t>
  </si>
  <si>
    <t>Clearwater, FL - Echelon Bank (InOrg) - New Core SilverLake OL PAP</t>
  </si>
  <si>
    <t>Professional Service</t>
  </si>
  <si>
    <t>New</t>
  </si>
  <si>
    <t>Hosted by JHA</t>
  </si>
  <si>
    <t>0</t>
  </si>
  <si>
    <t>Yearly</t>
  </si>
  <si>
    <t>116592</t>
  </si>
  <si>
    <t>a4p0R0000002bLDQAY</t>
  </si>
  <si>
    <t>a4pWB0000000DmrYAE</t>
  </si>
  <si>
    <t>Processing Service</t>
  </si>
  <si>
    <t>iPay Business BillPay Banno</t>
  </si>
  <si>
    <t>a4g2a000000HBB5AAO</t>
  </si>
  <si>
    <t>One Time</t>
  </si>
  <si>
    <t>a4g2a000000HA36AAG</t>
  </si>
  <si>
    <t>iPay Electronic Bill Payment Annual Compliance Package Banno</t>
  </si>
  <si>
    <t>a4g2a000000HAPvAAO</t>
  </si>
  <si>
    <t>a4p3J0000013SezQAE</t>
  </si>
  <si>
    <t>PYRZ00102</t>
  </si>
  <si>
    <t>Payrailz/iPay Integration</t>
  </si>
  <si>
    <t>a4p04000000DiGjAAK</t>
  </si>
  <si>
    <t>a4pWB0000008VmcYAE</t>
  </si>
  <si>
    <t>a4pWB0000008VmbYAE</t>
  </si>
  <si>
    <t>SLTC00100</t>
  </si>
  <si>
    <t>SilverLake Technical Conversion/Installation</t>
  </si>
  <si>
    <t>a4pWB000000CHWXYA4</t>
  </si>
  <si>
    <t>a4p18000000GqnfAAC</t>
  </si>
  <si>
    <t>a4p7h000000QZkzAAG</t>
  </si>
  <si>
    <t>User and Device Administration Training</t>
  </si>
  <si>
    <t>a4p18000000GqlhAAC</t>
  </si>
  <si>
    <t>SilverLake Static Training Bank</t>
  </si>
  <si>
    <t>1</t>
  </si>
  <si>
    <t>a4p18000000GqkKAAS</t>
  </si>
  <si>
    <t>a4p18000000GqkPAAS</t>
  </si>
  <si>
    <t>Platform Static Training Bank</t>
  </si>
  <si>
    <t>a4p0R000000AhCgQAK</t>
  </si>
  <si>
    <t>a4p0R000000AhCbQAK</t>
  </si>
  <si>
    <t>SilverLake Teller Static Training Bank</t>
  </si>
  <si>
    <t>112020a2PLI000024</t>
  </si>
  <si>
    <t>a4p0R000000AhCqQAK</t>
  </si>
  <si>
    <t>a4p790000008UD4AAM</t>
  </si>
  <si>
    <t>JH Technology Architecture Services</t>
  </si>
  <si>
    <t>a4pWB0000001fM5YAI</t>
  </si>
  <si>
    <t>JHTS000101</t>
  </si>
  <si>
    <t>JHMenu Express</t>
  </si>
  <si>
    <t>On Premise License</t>
  </si>
  <si>
    <t>a4p8C0000004QrOQAU</t>
  </si>
  <si>
    <t>Software License</t>
  </si>
  <si>
    <t>a4p8C0000004QrJQAU</t>
  </si>
  <si>
    <t>Software Maintenance</t>
  </si>
  <si>
    <t>a4p8C0000004QrqQAE</t>
  </si>
  <si>
    <t>Daily File Transfer Integration IntraFi</t>
  </si>
  <si>
    <t>a4p7h000000QcWvAAK</t>
  </si>
  <si>
    <t>a4p7h000000QcX0AAK</t>
  </si>
  <si>
    <t>a4p18000000GrFdAAK</t>
  </si>
  <si>
    <t>a4p18000000GrFYAA0</t>
  </si>
  <si>
    <t>a4p3J0000013JkfQAE</t>
  </si>
  <si>
    <t>a4p3J0000013JkkQAE</t>
  </si>
  <si>
    <t>OnBoard Deposits</t>
  </si>
  <si>
    <t>a4p18000000Gr8XAAS</t>
  </si>
  <si>
    <t>a4p18000000Gr8NAAS</t>
  </si>
  <si>
    <t>OnBoard Lending</t>
  </si>
  <si>
    <t>a4p18000000Gr9fAAC</t>
  </si>
  <si>
    <t>a4p18000000Gr8sAAC</t>
  </si>
  <si>
    <t>a4p18000000GrFiAAK</t>
  </si>
  <si>
    <t>a4p0R0000005VPeQAM</t>
  </si>
  <si>
    <t>a4p0R0000005VPZQA2</t>
  </si>
  <si>
    <t>a4p3J0000013EM4QAM</t>
  </si>
  <si>
    <t>a4p0R0000005VPoQAM</t>
  </si>
  <si>
    <t>a4p0R0000005VPyQAM</t>
  </si>
  <si>
    <t>a4pWB0000000M3mYAE</t>
  </si>
  <si>
    <t>a4pWB0000000M3lYAE</t>
  </si>
  <si>
    <t>a4p8C0000004MKEQA2</t>
  </si>
  <si>
    <t>Teller Cash Recycler</t>
  </si>
  <si>
    <t>a4p18000000Gr4pAAC</t>
  </si>
  <si>
    <t>a4p18000000Gr4fAAC</t>
  </si>
  <si>
    <t>Teller CheckMaster Plus</t>
  </si>
  <si>
    <t>a4p18000000GrIXAA0</t>
  </si>
  <si>
    <t>a4p18000000GrINAA0</t>
  </si>
  <si>
    <t>TEL000110</t>
  </si>
  <si>
    <t>Teller Email Receipts</t>
  </si>
  <si>
    <t>a4p18000000Gr33AAC</t>
  </si>
  <si>
    <t>Teller OrboAnywhere AI Recognition</t>
  </si>
  <si>
    <t>a4p0R0000005OjoQAE</t>
  </si>
  <si>
    <t>a4p0R0000005OjtQAE</t>
  </si>
  <si>
    <t>Teller OrboAnywhere AI Validate</t>
  </si>
  <si>
    <t>a4p0R0000005OjyQAE</t>
  </si>
  <si>
    <t>a4p0R0000005Ok3QAE</t>
  </si>
  <si>
    <t>Hosted by 3rd Party</t>
  </si>
  <si>
    <t>a4pWB0000000D3hYAE</t>
  </si>
  <si>
    <t>a4pWB0000000D5JYAU</t>
  </si>
  <si>
    <t>a4pVE0000001CbpYAE</t>
  </si>
  <si>
    <t>LAR000106</t>
  </si>
  <si>
    <t>Jack Henry Loyalty and Rewards Strategy Engagement</t>
  </si>
  <si>
    <t>a4pWB000000GmVJYA0</t>
  </si>
  <si>
    <t>LAR000107</t>
  </si>
  <si>
    <t>Jack Henry Loyalty and Rewards Optimization Assistance</t>
  </si>
  <si>
    <t>a4pWB000000GmWvYAK</t>
  </si>
  <si>
    <t>JHANEW0022420211</t>
  </si>
  <si>
    <t>a4pWB000000CZV3YAO</t>
  </si>
  <si>
    <t>a4pVE00000007JFYAY</t>
  </si>
  <si>
    <t>a4pWB0000002YIXYA2</t>
  </si>
  <si>
    <t>a4pVE00000007sjYAA</t>
  </si>
  <si>
    <t>a4p8C0000004OZyQAM</t>
  </si>
  <si>
    <t>a4pWB0000000I3NYAU</t>
  </si>
  <si>
    <t>a4p8C0000004OZoQAM</t>
  </si>
  <si>
    <t>BNBP00033</t>
  </si>
  <si>
    <t>Jack Henry Digital Card Issuance and Provisioning - Mastercard</t>
  </si>
  <si>
    <t>a4pWB0000000M71YAE</t>
  </si>
  <si>
    <t>a4pWB0000000M70YAE</t>
  </si>
  <si>
    <t>a4pVE00000007hRYAQ</t>
  </si>
  <si>
    <t>a4g2a000000HAOOAA4</t>
  </si>
  <si>
    <t>JHA PayCenter</t>
  </si>
  <si>
    <t>a4g2a000000HB9JAAW</t>
  </si>
  <si>
    <t>a4g2a0000000KAXAA2</t>
  </si>
  <si>
    <t>a4g2a0000000KAiAAM</t>
  </si>
  <si>
    <t>RTP Implementation and Monthly Network Receive Only</t>
  </si>
  <si>
    <t>a4p0R0000005roCQAQ</t>
  </si>
  <si>
    <t>a4p0R0000005ro7QAA</t>
  </si>
  <si>
    <t>FedNow Implementation and Monthly Network Receive Only</t>
  </si>
  <si>
    <t>a4p8C0000004OtQQAU</t>
  </si>
  <si>
    <t>a4p8C0000004OtGQAU</t>
  </si>
  <si>
    <t>a4p18000000GyccAAC</t>
  </si>
  <si>
    <t>a4p18000000GychAAC</t>
  </si>
  <si>
    <t>License Fee</t>
  </si>
  <si>
    <t>a4pWB0000001XQ9YAM</t>
  </si>
  <si>
    <t>a4pWB0000001XOXYA2</t>
  </si>
  <si>
    <t>a4g2a000000H9zsAAC</t>
  </si>
  <si>
    <t>OFX Gateway CFM</t>
  </si>
  <si>
    <t>a4p0R0000002bDVQAY</t>
  </si>
  <si>
    <t>a4p0R0000002bDaQAI</t>
  </si>
  <si>
    <t>OFX Gateway PFM</t>
  </si>
  <si>
    <t>a4p0R0000002bDpQAI</t>
  </si>
  <si>
    <t>a4p0R0000002bDkQAI</t>
  </si>
  <si>
    <t>4|sight OrboAnywhere Fraud</t>
  </si>
  <si>
    <t>a4pWB0000000E9RYAU</t>
  </si>
  <si>
    <t>a4pVE00000001vNYAQ</t>
  </si>
  <si>
    <t>a4pWB0000007EJBYA2</t>
  </si>
  <si>
    <t>a4pWB0000007EHZYA2</t>
  </si>
  <si>
    <t>a4p18000000GxhJAAS</t>
  </si>
  <si>
    <t>Outlink Statement Printing</t>
  </si>
  <si>
    <t>a4pWB0000007GT3YAM</t>
  </si>
  <si>
    <t>a4p18000000GxjFAAS</t>
  </si>
  <si>
    <t>a4p0R000000Ag6iQAC</t>
  </si>
  <si>
    <t>a4pWB0000000cN3YAI</t>
  </si>
  <si>
    <t>a4pWB0000000bilYAA</t>
  </si>
  <si>
    <t>a4p0R000000Ag7RQAS</t>
  </si>
  <si>
    <t>a4p18000000Gr38AAC</t>
  </si>
  <si>
    <t>Synergy ECM</t>
  </si>
  <si>
    <t>a4pWB000000GCoUYAW</t>
  </si>
  <si>
    <t>a4pWB000000GCoPYAW</t>
  </si>
  <si>
    <t>Synergy Productivity</t>
  </si>
  <si>
    <t>a4pWB000000GDkZYAW</t>
  </si>
  <si>
    <t>a4pWB000000GDkaYAG</t>
  </si>
  <si>
    <t>a4g2a000000H9rKAAS</t>
  </si>
  <si>
    <t>a4pWB000000GBvZYAW</t>
  </si>
  <si>
    <t>a4pWB000000GBxBYAW</t>
  </si>
  <si>
    <t>a4pWB000000DrL6YAK</t>
  </si>
  <si>
    <t>a4pWB000000DrL3YAK</t>
  </si>
  <si>
    <t>a4p01000000ChwKAAS</t>
  </si>
  <si>
    <t>a4p01000000ChwAAAS</t>
  </si>
  <si>
    <t>JH005a5251</t>
  </si>
  <si>
    <t>a4p01000000ChbOAAS</t>
  </si>
  <si>
    <t>a4p01000000Chb9AAC</t>
  </si>
  <si>
    <t>a4pWB000000GDJ3YAO</t>
  </si>
  <si>
    <t>Synapsys CRM</t>
  </si>
  <si>
    <t>a4p0R000000AgOOQA0</t>
  </si>
  <si>
    <t>a4p0R000000AgOYQA0</t>
  </si>
  <si>
    <t>a4pWB0000000AyfYAE</t>
  </si>
  <si>
    <t>Fraud</t>
  </si>
  <si>
    <t>Jack Henry Financial Crimes Defender Enterprise</t>
  </si>
  <si>
    <t>a4p790000008kXHAAY</t>
  </si>
  <si>
    <t>a4p790000008jZJAAY</t>
  </si>
  <si>
    <t>Jack Henry Financial Crimes Defender Real-time Payments Zelle Initial</t>
  </si>
  <si>
    <t>a4p3J0000013B9HQAU</t>
  </si>
  <si>
    <t>a4p3J0000013B9CQAU</t>
  </si>
  <si>
    <t>a4p3J0000013D1KQAU</t>
  </si>
  <si>
    <t>a4p18000000GrH5AAK</t>
  </si>
  <si>
    <t>a4p18000000GrH0AAK</t>
  </si>
  <si>
    <t>a4p18000000GrDrAAK</t>
  </si>
  <si>
    <t>a4p18000000GrDhAAK</t>
  </si>
  <si>
    <t>Cognos BI Data Dictionary jhaEnterprise Workflow</t>
  </si>
  <si>
    <t>a4p18000000GrDXAA0</t>
  </si>
  <si>
    <t>a4p18000000GrDNAA0</t>
  </si>
  <si>
    <t>Cognos BI Data Dictionary Synapsys</t>
  </si>
  <si>
    <t>Cognos BI Data Dictionary Synergy</t>
  </si>
  <si>
    <t>Cognos BI Data Dictionary Month-End(Silverlake)</t>
  </si>
  <si>
    <t>On Premise Software Usage</t>
  </si>
  <si>
    <t>a4g2a000000HAD4AAO</t>
  </si>
  <si>
    <t>Software Subscription</t>
  </si>
  <si>
    <t>a4p0R0000005qMLQAY</t>
  </si>
  <si>
    <t>jhaEnterprise Workflow Synergy</t>
  </si>
  <si>
    <t>a4g2a000000HA9tAAG</t>
  </si>
  <si>
    <t>jhaEnterprise Workflow Training Shared</t>
  </si>
  <si>
    <t>JH005a5075</t>
  </si>
  <si>
    <t>JCSC00100</t>
  </si>
  <si>
    <t>JHA Client Services Consulting Workflow Process Automation Strategy</t>
  </si>
  <si>
    <t>a4pWB000000GmThYAK</t>
  </si>
  <si>
    <t>JCSC00101</t>
  </si>
  <si>
    <t>JHA Client Services Consulting Workflow Process Automation Design</t>
  </si>
  <si>
    <t>a4pVE00000003dpYAA</t>
  </si>
  <si>
    <t>JH005a5152</t>
  </si>
  <si>
    <t>a4p790000008XLhAAM</t>
  </si>
  <si>
    <t>Hosted Xperience</t>
  </si>
  <si>
    <t>JH005a5112</t>
  </si>
  <si>
    <t>a4g2a000000HA2sAAG</t>
  </si>
  <si>
    <t>a4p18000000GyZTAA0</t>
  </si>
  <si>
    <t>a4p18000000GyZYAA0</t>
  </si>
  <si>
    <t>a4p18000000GyZnAAK</t>
  </si>
  <si>
    <t>a4p18000000GyZsAAK</t>
  </si>
  <si>
    <t>a4p18000000GyYzAAK</t>
  </si>
  <si>
    <t>a4p18000000GyZ4AAK</t>
  </si>
  <si>
    <t>a4g2a000000HB9AAAW</t>
  </si>
  <si>
    <t>a4g2a000000HA44AAG</t>
  </si>
  <si>
    <t>a4p18000000GyZxAAK</t>
  </si>
  <si>
    <t>a4p04000000DjSQAA0</t>
  </si>
  <si>
    <t>a4p04000000DjSRAA0</t>
  </si>
  <si>
    <t>a4p0R0000005hT7QAI</t>
  </si>
  <si>
    <t>ProfitStars ALM Basic Reporting Service</t>
  </si>
  <si>
    <t>Quarterly</t>
  </si>
  <si>
    <t>a4pWB0000000LhEYAU</t>
  </si>
  <si>
    <t>a4p0R0000005roMQAQ</t>
  </si>
  <si>
    <t>a4p18000000GxnpAAC</t>
  </si>
  <si>
    <t>a4p18000000GxnuAAC</t>
  </si>
  <si>
    <t>Debit Card Authorization subject to {$}250 minimum monthly</t>
  </si>
  <si>
    <t>a3g4a000000WCwzAAG</t>
  </si>
  <si>
    <t>a4p18000000GxoiAAC</t>
  </si>
  <si>
    <t>a4p18000000GxosAAC</t>
  </si>
  <si>
    <t>Administrative Fee</t>
  </si>
  <si>
    <t>a4p0R0000002bOqQAI</t>
  </si>
  <si>
    <t>a4p18000000GxpCAAS</t>
  </si>
  <si>
    <t>a4p2F0000006TvBQAU</t>
  </si>
  <si>
    <t>a4p0R0000002bP0QAI</t>
  </si>
  <si>
    <t>a4p0R0000002bOvQAI</t>
  </si>
  <si>
    <t>ATM/POS Transactions subject to {$}250 minimum monthly</t>
  </si>
  <si>
    <t>a3g4a000000TCwzAAG</t>
  </si>
  <si>
    <t>a4p18000000GxpWAAS</t>
  </si>
  <si>
    <t>a4p18000000GxqFAAS</t>
  </si>
  <si>
    <t>ATM Driving VPN</t>
  </si>
  <si>
    <t>a4p18000000Gxq5AAC</t>
  </si>
  <si>
    <t>a4p0R000000Cxg3QAC</t>
  </si>
  <si>
    <t>a4p0R000000CxfyQAC</t>
  </si>
  <si>
    <t>a4p0R000000CxgDQAS</t>
  </si>
  <si>
    <t>a4p0R000000Cxg8QAC</t>
  </si>
  <si>
    <t>VISA/MasterCard Account Update (Items Needing Review)</t>
  </si>
  <si>
    <t>a4p0R000000AqN1QAK</t>
  </si>
  <si>
    <t>a4p0R000000AqMwQAK</t>
  </si>
  <si>
    <t>112020a2PLI000020</t>
  </si>
  <si>
    <t>JHA Tokenization (Digital Wallet) JHA Debit Processing</t>
  </si>
  <si>
    <t>a4p18000000GxrSAAS</t>
  </si>
  <si>
    <t>JHA Tokenization (Digital Wallet) Additional Instance JHA Debit Processing</t>
  </si>
  <si>
    <t>a4p180000001AoSAAU</t>
  </si>
  <si>
    <t>a4p01000000Cjc7AAC</t>
  </si>
  <si>
    <t>a4p7h000000XqWMAA0</t>
  </si>
  <si>
    <t>JHA Tokenization (Digital Wallet) Transactions JHA Debit Processing</t>
  </si>
  <si>
    <t>a4p2F0000006Tq4QAE</t>
  </si>
  <si>
    <t>Jack Henry Digital Provisioning Enablement (JHA Tokenization Required) JHA Debit Processing</t>
  </si>
  <si>
    <t>a4p790000008OfSAAU</t>
  </si>
  <si>
    <t>JHA Card Analytics JHA Debit Processing</t>
  </si>
  <si>
    <t>a4p18000000GxoxAAC</t>
  </si>
  <si>
    <t>JHA Card Connect JHA Debit Processing</t>
  </si>
  <si>
    <t>a4p18000000GxwTAAS</t>
  </si>
  <si>
    <t>a4p18000000GxwYAAS</t>
  </si>
  <si>
    <t>Footprints Data Storage JHA Debit Processing</t>
  </si>
  <si>
    <t>a4p0R000000CxsnQAC</t>
  </si>
  <si>
    <t>Remote Entered Non-Monetary Transactions JHA Debit Processing</t>
  </si>
  <si>
    <t>a4p2F0000006TqaQAE</t>
  </si>
  <si>
    <t>Host Based PIN Authorization JHA Debit Processing</t>
  </si>
  <si>
    <t>a4p18000000GxpvAAC</t>
  </si>
  <si>
    <t>a4p18000000Gxq0AAC</t>
  </si>
  <si>
    <t>Tape Entered Non-Monetary Transactions JHA Debit Processing</t>
  </si>
  <si>
    <t>a4p2F0000006TqJQAU</t>
  </si>
  <si>
    <t>Instant Issue JHA Debit Processing</t>
  </si>
  <si>
    <t>a4p18000000GxrDAAS</t>
  </si>
  <si>
    <t>a4p18000000GxrIAAS</t>
  </si>
  <si>
    <t>CPU Transmissions, per file JHA Debit Processing</t>
  </si>
  <si>
    <t>a4p7h000000XnKzAAK</t>
  </si>
  <si>
    <t>Report Archival Pages JHA Debit Processing</t>
  </si>
  <si>
    <t>a4p2F0000006TsQQAU</t>
  </si>
  <si>
    <t>Non-Standard Job Request, per job JHA Debit Processing</t>
  </si>
  <si>
    <t>a4p7h000000XnKuAAK</t>
  </si>
  <si>
    <t>CPS Dual Interface Cards Fee Schedule JHA Debit Processing</t>
  </si>
  <si>
    <t>a3g2a000099hfwzAAG</t>
  </si>
  <si>
    <t>CPS Dual Interface Cards Additional Personalization Vendor BIN(s) JHA Debit Processing</t>
  </si>
  <si>
    <t>a4p2F0000007IwXQAU</t>
  </si>
  <si>
    <t>a4p0R000000AqkLQAS</t>
  </si>
  <si>
    <t>a4p0R000000AqkGQAS</t>
  </si>
  <si>
    <t>Online ATM Authorizations (to CPS) JHA Debit Processing</t>
  </si>
  <si>
    <t>a4p0R000000AqkQQAS</t>
  </si>
  <si>
    <t>Online Debit Authorizations (to CPS) JHA Debit Processing</t>
  </si>
  <si>
    <t>a4p0R000000AqkaQAC</t>
  </si>
  <si>
    <t>JHA Card Activation JHA Debit Processing</t>
  </si>
  <si>
    <t>a4p18000000GxqjAAC</t>
  </si>
  <si>
    <t>a4p18000000GxqoAAC</t>
  </si>
  <si>
    <t>Card Activations JHA Debit Processing</t>
  </si>
  <si>
    <t>a4p0R000000Cxi9QAC</t>
  </si>
  <si>
    <t>JHA PIN Management JHA Debit Processing</t>
  </si>
  <si>
    <t>a4p18000000Gxr3AAC</t>
  </si>
  <si>
    <t>a4p18000000Gxr8AAC</t>
  </si>
  <si>
    <t>PIN Sets or PIN Changes JHA Debit Processing</t>
  </si>
  <si>
    <t>a4p0R000000CxidQAC</t>
  </si>
  <si>
    <t>JHA Card Fraud Center (scored transactions) JHA Debit Processing</t>
  </si>
  <si>
    <t>a4p18000000GxpgAAC</t>
  </si>
  <si>
    <t>a4p18000000GxplAAC</t>
  </si>
  <si>
    <t>Fraud Cardholder Record Storage JHA Debit Processing</t>
  </si>
  <si>
    <t>a4p18000000GxpqAAC</t>
  </si>
  <si>
    <t>Fraud Alert Case Management JHA Debit Processing</t>
  </si>
  <si>
    <t>a4p0R0000002bQNQAY</t>
  </si>
  <si>
    <t>Two-Way Connect Cardholder Alerts JHA Debit Processing</t>
  </si>
  <si>
    <t>a4p0R0000002bQSQAY</t>
  </si>
  <si>
    <t>a4p0R0000002bQXQAY</t>
  </si>
  <si>
    <t>a4p790000008gn8AAA</t>
  </si>
  <si>
    <t>a4p790000008gn3AAA</t>
  </si>
  <si>
    <t>Chargeback Dispute Processing Cases Jack Henry intake JHA Debit Processing</t>
  </si>
  <si>
    <t>a4p0R000000Cxj7QAC</t>
  </si>
  <si>
    <t>Low-Dollar Write-off, per case JHA Debit Processing</t>
  </si>
  <si>
    <t>a4p790000009BPlAAM</t>
  </si>
  <si>
    <t>Full Service Disputes Letters JHA Debit Processing</t>
  </si>
  <si>
    <t>a4p790000009BPgAAM</t>
  </si>
  <si>
    <t>Full-Service Disputes Digital SSO Support JHA Debit Processing</t>
  </si>
  <si>
    <t>a4pWB0000007xHtYAI</t>
  </si>
  <si>
    <t>a4pWB0000007xGHYAY</t>
  </si>
  <si>
    <t>JHA Hot Card Center JHA Debit Processing</t>
  </si>
  <si>
    <t>a4p18000000GxvuAAC</t>
  </si>
  <si>
    <t>a4p18000000GxvzAAC</t>
  </si>
  <si>
    <t>JHA Hot Card Center Calls JHA Debit Processing</t>
  </si>
  <si>
    <t>a4p0R0000002bQcQAI</t>
  </si>
  <si>
    <t>Ethoca (based on dollars recovered) JHA Debit Processing</t>
  </si>
  <si>
    <t>a4p2F0000006TtrQAE</t>
  </si>
  <si>
    <t>a4p0R000000CxjMQAS</t>
  </si>
  <si>
    <t>Debit Adjustment Dispute JHA Debit Processing</t>
  </si>
  <si>
    <t>a4p2F0000006TvLQAU</t>
  </si>
  <si>
    <t>Network Fraud Reporting JHA Debit Processing</t>
  </si>
  <si>
    <t>a4p2F0000006TtwQAE</t>
  </si>
  <si>
    <t>MyCardRules JHA Debit Processing</t>
  </si>
  <si>
    <t>a3g4a000000BCwzAAG</t>
  </si>
  <si>
    <t>a4p18000000GxwOAAS</t>
  </si>
  <si>
    <t>Payrailz</t>
  </si>
  <si>
    <t>Payrailz Bundle</t>
  </si>
  <si>
    <t>a4p3J0000013A7FQAU</t>
  </si>
  <si>
    <t>a4p3J0000013A7AQAU</t>
  </si>
  <si>
    <t>PYRZ00122</t>
  </si>
  <si>
    <t>Payrailz Bundle Transactions</t>
  </si>
  <si>
    <t>a4p3J0000013A75QAE</t>
  </si>
  <si>
    <t>a4p04000000DiGoAAK</t>
  </si>
  <si>
    <t>PYRZ00107</t>
  </si>
  <si>
    <t>Payrailz Fraud Monitor</t>
  </si>
  <si>
    <t>a4p04000000DiCcAAK</t>
  </si>
  <si>
    <t>a4p04000000DiCXAA0</t>
  </si>
  <si>
    <t>PRRE00612</t>
  </si>
  <si>
    <t>RemitPlus Express - Financial Institution</t>
  </si>
  <si>
    <t>a4pWB0000002CWZYA2</t>
  </si>
  <si>
    <t>a4pWB0000002CWYYA2</t>
  </si>
  <si>
    <t>JHA Tokenization (Digital Wallet) Automated Provisioning Notifications Enrollment Fee JHA Debit</t>
  </si>
  <si>
    <t>Online ATM &amp; Debit Authorization to CPS Switch Includes 7,000 ATM Transactions per month &amp; 2,50</t>
  </si>
  <si>
    <t/>
  </si>
  <si>
    <t>SilverLake System Bundle,New,Hosted by JHA,0</t>
  </si>
  <si>
    <t>SilverLake Technical Conversion/Installation,New,Hosted by JHA,0</t>
  </si>
  <si>
    <t>Closed Accounts (PAP),New,Hosted by JHA,0</t>
  </si>
  <si>
    <t>SilverLake Static Training Bank,New,Hosted by JHA,1</t>
  </si>
  <si>
    <t>SilverLake Teller Static Training Bank,New,Hosted by JHA,1</t>
  </si>
  <si>
    <t>JH Technology Architecture Services,New,Hosted by JHA,0</t>
  </si>
  <si>
    <t>JHMenu Express,New,On Premise License,0</t>
  </si>
  <si>
    <t>Daily File Transfer Integration IntraFi,New,Hosted by JHA,0</t>
  </si>
  <si>
    <t>Hosted Xperience,New,Hosted by JHA,0</t>
  </si>
  <si>
    <t>Platform Static Training Bank,New,Hosted by JHA,1</t>
  </si>
  <si>
    <t>OnBoard Deposits,New,Hosted by JHA,0</t>
  </si>
  <si>
    <t>OnBoard Lending,New,Hosted by JHA,1</t>
  </si>
  <si>
    <t>Carleton SmartCalcs Lending,New,Hosted by JHA,1</t>
  </si>
  <si>
    <t>Teller Cash Recycler,New,Hosted by JHA,0</t>
  </si>
  <si>
    <t>Teller CheckMaster Plus,New,Hosted by JHA,0</t>
  </si>
  <si>
    <t>Teller Email Receipts,New,Hosted by JHA,0</t>
  </si>
  <si>
    <t>Teller OrboAnywhere AI Recognition,New,On Premise License,0</t>
  </si>
  <si>
    <t>Teller OrboAnywhere AI Validate,New,On Premise License,0</t>
  </si>
  <si>
    <t>Teller Integration to AlertCenter,New,Hosted by JHA,1</t>
  </si>
  <si>
    <t>Synapsys CRM,New,Hosted by JHA,0</t>
  </si>
  <si>
    <t>Synapsys CRM Annual Training/Consulting Maintenance (For OutLink/Hosted customer</t>
  </si>
  <si>
    <t>JHA OpenAnywhere,New,Hosted by JHA,0</t>
  </si>
  <si>
    <t>JHA OpenAnywhere Project Management,New,Hosted by JHA,0</t>
  </si>
  <si>
    <t>Plaid,New,Hosted by JHA,1</t>
  </si>
  <si>
    <t>IDScan.net OCR,New,Hosted by JHA,0</t>
  </si>
  <si>
    <t>Alloy,New,Hosted by JHA,1</t>
  </si>
  <si>
    <t>JHA OpenAnywhere Finicity,New,Hosted by JHA,0</t>
  </si>
  <si>
    <t>Banno,New,Hosted by JHA,0</t>
  </si>
  <si>
    <t>Banno Business,New,Hosted by JHA,0</t>
  </si>
  <si>
    <t>Digital Video Chat and Screen Sharing,New,Hosted by JHA,1</t>
  </si>
  <si>
    <t>JH Online Financial Management with Account Aggregation,New,Hosted by JHA,1</t>
  </si>
  <si>
    <t>Jack Henry Digital Card Issuance and Provisioning - Mastercard,New,Hosted by 3rd</t>
  </si>
  <si>
    <t>Banno Marketing,New,Hosted by JHA,1</t>
  </si>
  <si>
    <t>Electronic Statement Interactive (ESI),New,Hosted by JHA,0</t>
  </si>
  <si>
    <t>Intuit Connectivity for QuickBooks Current Release,New,On Premise License,0</t>
  </si>
  <si>
    <t>Intuit Connectivity for Quicken Current Release,New,On Premise License,0</t>
  </si>
  <si>
    <t xml:space="preserve">Intuit Connectivity for QuickBooks Previous two versions support,New,On Premise </t>
  </si>
  <si>
    <t>OFX Gateway CFM,New,Hosted by JHA,1</t>
  </si>
  <si>
    <t>OFX Gateway PFM,New,Hosted by JHA,1</t>
  </si>
  <si>
    <t>4|sight OrboAnywhere Fraud,New,Hosted by JHA,1</t>
  </si>
  <si>
    <t>OutLink Item Imaging,New,Hosted by JHA,0</t>
  </si>
  <si>
    <t>OutLink Item Processing Customer Training,New,Hosted by JHA,0</t>
  </si>
  <si>
    <t>Outlink Statement Printing,New,Hosted by JHA,0</t>
  </si>
  <si>
    <t>Premium Notice Printing,New,Hosted by JHA,0</t>
  </si>
  <si>
    <t>AlertCenter with: Advanced Fraud Solutions ("AFS"),New,Hosted by 3rd Party,1</t>
  </si>
  <si>
    <t>AFS Deposit Chek Onboarding,New,Hosted by 3rd Party,1</t>
  </si>
  <si>
    <t>AlertCenter AFS TrueChecks Frontline,New,Hosted by 3rd Party,1</t>
  </si>
  <si>
    <t>AlertCenter Integration to 4|Sight,New,Hosted by JHA,1</t>
  </si>
  <si>
    <t>Synergy ECM,New,Hosted by JHA,0</t>
  </si>
  <si>
    <t>Synergy Productivity,New,Hosted by JHA,0</t>
  </si>
  <si>
    <t>DSIS Scanner Interface,New,On Premise License,0</t>
  </si>
  <si>
    <t>Synergy Automated Document Recognition,New,Hosted by JHA,1</t>
  </si>
  <si>
    <t>Synergy eSign and eSignWeb Bundle,New,Hosted by JHA,0</t>
  </si>
  <si>
    <t>Synergy ECM Administrator Education Pack (Virtual, instructor-led training and e</t>
  </si>
  <si>
    <t>Synergy ECM User/Operator Education Pack (eLearning),New,Hosted by JHA,0</t>
  </si>
  <si>
    <t>Synergy Productivity Education Pack (Virtual, instructor-led training and eLearn</t>
  </si>
  <si>
    <t>Synergy Document Recognition Education (eLearning),New,Hosted by JHA,1</t>
  </si>
  <si>
    <t>Synergy eSign &amp; eSignWeb Education Pack (Virtual, instructor-led training and eL</t>
  </si>
  <si>
    <t>Synergy Implementation Consulting,New,Hosted by JHA,0</t>
  </si>
  <si>
    <t>iPay Business BillPay Banno,New,Hosted by JHA,0</t>
  </si>
  <si>
    <t>iPay Electronic Bill Payment Annual Compliance Package Banno,New,Hosted by JHA,0</t>
  </si>
  <si>
    <t>iPay eBill Detail,New,Hosted by JHA,0</t>
  </si>
  <si>
    <t>Payrailz/iPay Integration,New,Hosted by JHA,0</t>
  </si>
  <si>
    <t>DirectLine Wires,New,Hosted by JHA,0</t>
  </si>
  <si>
    <t>CorPay Integration,New,Hosted by JHA,0</t>
  </si>
  <si>
    <t>JHA PayCenter,New,Hosted by JHA,0</t>
  </si>
  <si>
    <t>Zelle Implementation and Monthly Network,New,Hosted by JHA,0</t>
  </si>
  <si>
    <t>RTP Implementation and Monthly Network Receive Only,New,Hosted by JHA,0</t>
  </si>
  <si>
    <t>FedNow Implementation and Monthly Network Receive Only,New,Hosted by JHA,0</t>
  </si>
  <si>
    <t>EPS Platform Set Up Fee,New,Hosted by JHA,0</t>
  </si>
  <si>
    <t>JHA SmartPay Remote Deposit Now (RDN),New,Hosted by JHA,0</t>
  </si>
  <si>
    <t>JHA SmartPay Remote Deposit Anywhere (RDA),New,Hosted by JHA,0</t>
  </si>
  <si>
    <t>JHA SmartPay mRDC,New,Hosted by JHA,0</t>
  </si>
  <si>
    <t>EPS SmartSight Setup Fee and Monthly Subscription Fee,New,Hosted by JHA,0</t>
  </si>
  <si>
    <t>Parascript CAR/LAR,New,Hosted by JHA,0</t>
  </si>
  <si>
    <t>JHA Debit Processing,New,Hosted by 3rd Party,0</t>
  </si>
  <si>
    <t>Debit Card Authorization subject to {$}250 minimum monthly,New,Hosted by 3rd Par</t>
  </si>
  <si>
    <t>Debit Card Settlement,New,Hosted by 3rd Party,0</t>
  </si>
  <si>
    <t>ATM/Debit Cards,New,Hosted by 3rd Party,0</t>
  </si>
  <si>
    <t>Administrative Fee,New,Hosted by 3rd Party,0</t>
  </si>
  <si>
    <t>EMV Chip Card Authorization,New,Hosted by 3rd Party,0</t>
  </si>
  <si>
    <t>Authorization Track One Name Edit,New,Hosted by 3rd Party,0</t>
  </si>
  <si>
    <t>JHA ATM/POS Processing,New,Hosted by 3rd Party,0</t>
  </si>
  <si>
    <t>ATM/POS Transactions subject to {$}250 minimum monthly,New,Hosted by 3rd Party,0</t>
  </si>
  <si>
    <t>ATM Transactions (on-us at-us),New,Hosted by 3rd Party,0</t>
  </si>
  <si>
    <t>ATM Setup,New,Hosted by 3rd Party,0</t>
  </si>
  <si>
    <t>ATM Driving VPN,New,Hosted by 3rd Party,0</t>
  </si>
  <si>
    <t>Regional ATM/Debit Network,New,Hosted by 3rd Party,0</t>
  </si>
  <si>
    <t>National ATM/Debit Network,New,Hosted by 3rd Party,0</t>
  </si>
  <si>
    <t>VISA/MasterCard Account Update (Items Needing Review),New,Hosted by 3rd Party,0</t>
  </si>
  <si>
    <t>VISA/MasterCard Add/Change/Delete,New,Hosted by 3rd Party,0</t>
  </si>
  <si>
    <t>JHA Tokenization (Digital Wallet) JHA Debit Processing,New,Hosted by 3rd Party,0</t>
  </si>
  <si>
    <t>JHA Tokenization (Digital Wallet) Additional Instance JHA Debit Processing,New,H</t>
  </si>
  <si>
    <t>JHA Tokenization (Digital Wallet) Automated Provisioning Notifications Enrollmen</t>
  </si>
  <si>
    <t>JHA Tokenization (Digital Wallet) Automated Provisioning Notifications JHA Debit</t>
  </si>
  <si>
    <t>JHA Tokenization (Digital Wallet) Transactions JHA Debit Processing,New,Hosted b</t>
  </si>
  <si>
    <t>Jack Henry Digital Provisioning Enablement (JHA Tokenization Required) JHA Debit</t>
  </si>
  <si>
    <t>JHA Card Analytics JHA Debit Processing,New,Hosted by 3rd Party,0</t>
  </si>
  <si>
    <t>JHA Card Connect JHA Debit Processing,New,Hosted by 3rd Party,0</t>
  </si>
  <si>
    <t>Footprints Data Storage JHA Debit Processing,New,Hosted by 3rd Party,0</t>
  </si>
  <si>
    <t xml:space="preserve">Remote Entered Non-Monetary Transactions JHA Debit Processing,New,Hosted by 3rd </t>
  </si>
  <si>
    <t>Host Based PIN Authorization JHA Debit Processing,New,Hosted by 3rd Party,0</t>
  </si>
  <si>
    <t>Tape Entered Non-Monetary Transactions JHA Debit Processing,New,Hosted by 3rd Pa</t>
  </si>
  <si>
    <t>Instant Issue JHA Debit Processing,New,Hosted by 3rd Party,0</t>
  </si>
  <si>
    <t>CPU Transmissions, per file JHA Debit Processing,New,Hosted by 3rd Party,0</t>
  </si>
  <si>
    <t>Report Archival Pages JHA Debit Processing,New,Hosted by 3rd Party,0</t>
  </si>
  <si>
    <t>Non-Standard Job Request, per job JHA Debit Processing,New,Hosted by 3rd Party,0</t>
  </si>
  <si>
    <t>CPS Dual Interface Cards Fee Schedule JHA Debit Processing,New,Hosted by 3rd Par</t>
  </si>
  <si>
    <t>CPS Dual Interface Cards Additional Personalization Vendor BIN(s) JHA Debit Proc</t>
  </si>
  <si>
    <t>Online ATM &amp; Debit Authorization to CPS Switch Includes 7,000 ATM Transactions p</t>
  </si>
  <si>
    <t>Online ATM Authorizations (to CPS) JHA Debit Processing,New,Hosted by 3rd Party,</t>
  </si>
  <si>
    <t>Online Debit Authorizations (to CPS) JHA Debit Processing,New,Hosted by 3rd Part</t>
  </si>
  <si>
    <t>JHA Card Activation JHA Debit Processing,New,Hosted by 3rd Party,0</t>
  </si>
  <si>
    <t>Card Activations JHA Debit Processing,New,Hosted by 3rd Party,0</t>
  </si>
  <si>
    <t>JHA PIN Management JHA Debit Processing,New,Hosted by 3rd Party,0</t>
  </si>
  <si>
    <t>PIN Sets or PIN Changes JHA Debit Processing,New,Hosted by 3rd Party,0</t>
  </si>
  <si>
    <t>JHA Card Fraud Center (scored transactions) JHA Debit Processing,New,Hosted by 3</t>
  </si>
  <si>
    <t>Fraud Cardholder Record Storage JHA Debit Processing,New,Hosted by 3rd Party,0</t>
  </si>
  <si>
    <t>Fraud Alert Case Management JHA Debit Processing,New,Hosted by 3rd Party,0</t>
  </si>
  <si>
    <t>Two-Way Connect Cardholder Alerts JHA Debit Processing,New,Hosted by 3rd Party,0</t>
  </si>
  <si>
    <t>Full-Service Chargeback Dispute Processing JHA Debit Processing,New,Hosted by 3r</t>
  </si>
  <si>
    <t>Chargeback Dispute Processing Cases Jack Henry intake JHA Debit Processing,New,H</t>
  </si>
  <si>
    <t>Low-Dollar Write-off, per case JHA Debit Processing,New,Hosted by 3rd Party,0</t>
  </si>
  <si>
    <t>Full Service Disputes Letters JHA Debit Processing,New,Hosted by 3rd Party,0</t>
  </si>
  <si>
    <t>Full-Service Disputes Digital SSO Support JHA Debit Processing,New,Hosted by 3rd</t>
  </si>
  <si>
    <t>JHA Hot Card Center JHA Debit Processing,New,Hosted by 3rd Party,0</t>
  </si>
  <si>
    <t>JHA Hot Card Center Calls JHA Debit Processing,New,Hosted by 3rd Party,0</t>
  </si>
  <si>
    <t>Ethoca (based on dollars recovered) JHA Debit Processing,New,Hosted by 3rd Party</t>
  </si>
  <si>
    <t>Debit Adjustment Dispute JHA Debit Processing,New,Hosted by 3rd Party,0</t>
  </si>
  <si>
    <t>Network Fraud Reporting JHA Debit Processing,New,Hosted by 3rd Party,0</t>
  </si>
  <si>
    <t>MyCardRules JHA Debit Processing,New,Hosted by 3rd Party,0</t>
  </si>
  <si>
    <t>Payrailz Bundle,New,Hosted by JHA,0</t>
  </si>
  <si>
    <t>Payrailz Bundle Transactions,New,Hosted by JHA,0</t>
  </si>
  <si>
    <t>Payrailz Fraud Monitor,New,Hosted by JHA,0</t>
  </si>
  <si>
    <t>RemitPlus Express - Financial Institution,New,Hosted by JHA,1</t>
  </si>
  <si>
    <t>Centurion Remote Data Entry,New,Hosted by JHA,0</t>
  </si>
  <si>
    <t>Centurion Connectivity for Jack Henry Hosted Services,New,Hosted by JHA,0</t>
  </si>
  <si>
    <t>Jack Henry Financial Crimes Defender Enterprise,New,Hosted by JHA,0</t>
  </si>
  <si>
    <t>Jack Henry Financial Crimes Defender Real-time Payments Zelle Initial,New,Hosted</t>
  </si>
  <si>
    <t>Jack Henry Financial Crimes Defender Consulting,New,Hosted by JHA,0</t>
  </si>
  <si>
    <t>jhaEnterprise Workflow,New,On Premise Software Usage,0</t>
  </si>
  <si>
    <t>jhaEnterprise Workflow Synergy,New,On Premise Software Usage,0</t>
  </si>
  <si>
    <t>jhaEnterprise Workflow Consulting,New,On Premise Software Usage,0</t>
  </si>
  <si>
    <t>jhaEnterprise Workflow Training Shared,New,On Premise Software Usage,0</t>
  </si>
  <si>
    <t>jConnect,New,Hosted by JHA,0</t>
  </si>
  <si>
    <t>Jack Henry Loyalty and Rewards Support - Enterprise,New,Hosted by 3rd Party,0</t>
  </si>
  <si>
    <t>Jack Henry Loyalty and Rewards - Enterprise,New,Hosted by 3rd Party,0</t>
  </si>
  <si>
    <t>jhaAnalytics,New,Hosted by JHA,1</t>
  </si>
  <si>
    <t>Cognos BI Bundles,New,Hosted by JHA,0</t>
  </si>
  <si>
    <t>Cognos BI Data Dictionary jhaEnterprise Workflow,New,Hosted by JHA,0</t>
  </si>
  <si>
    <t>Cognos BI Data Dictionary Synapsys,New,Hosted by JHA,0</t>
  </si>
  <si>
    <t>Cognos BI Data Dictionary Synergy,New,Hosted by JHA,0</t>
  </si>
  <si>
    <t>Cognos BI Data Dictionary Month-End(Silverlake),New,Hosted by JHA,0</t>
  </si>
  <si>
    <t>FPS Enterprise,New,Hosted by 3rd Party,0</t>
  </si>
  <si>
    <t>FPS Forecasting and Financial Reporting,New,Hosted by 3rd Party,0</t>
  </si>
  <si>
    <t>ProfitStars ALM Basic Reporting Service,New,Hosted by JHA,0</t>
  </si>
  <si>
    <t>Core Implementation Training,New,Hosted by JHA,0</t>
  </si>
  <si>
    <t>User and Device Administration Training,New,Hosted by JHA,0</t>
  </si>
  <si>
    <t>Day 2 Project Management - 45 Days engagement,New,Hosted by JHA,0</t>
  </si>
  <si>
    <t>Jack Henry Loyalty and Rewards Strategy Engagement,New,Hosted by 3rd Party,1</t>
  </si>
  <si>
    <t>Jack Henry Loyalty and Rewards Optimization Assistance,New,Hosted by 3rd Party,1</t>
  </si>
  <si>
    <t>JHA Client Services Consulting Workflow Process Automation Strategy,New,On Premi</t>
  </si>
  <si>
    <t>JHA Client Services Consulting Workflow Process Automation Design,New,On Premise</t>
  </si>
  <si>
    <t>Know-It-All Now eLearning,New,Hosted by JHA,0</t>
  </si>
  <si>
    <t>TBD</t>
  </si>
  <si>
    <t>Optional</t>
  </si>
  <si>
    <t>Web Hosting Showcase Plus</t>
  </si>
  <si>
    <t>Web Hosting</t>
  </si>
  <si>
    <t>TruStage Forms-LoanVantage</t>
  </si>
  <si>
    <t>Forms</t>
  </si>
  <si>
    <t>TruStage Forms-OnBoard Deposits-Includes Tax Favored Acct Svcs Bundle</t>
  </si>
  <si>
    <t>TruStage Forms-OpenAnywhere</t>
  </si>
  <si>
    <t>Ensenta ITM/ATM</t>
  </si>
  <si>
    <t>Ensenta</t>
  </si>
  <si>
    <t>PrePaid Consulting</t>
  </si>
  <si>
    <t>Op Assessment</t>
  </si>
  <si>
    <t>PNV</t>
  </si>
  <si>
    <t>OriginalFileName</t>
  </si>
  <si>
    <t>Updated_With_all_products__Deal_Sheet_Clearwater__FL_-_Echelon_Bank__InOrg__-_New_Core_SilverLake_OL_PAP_08_27_25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</si>
</sst>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m\-d"/>
    <numFmt numFmtId="167" formatCode="&quot;$&quot;#,##0"/>
    <numFmt numFmtId="168" formatCode="0.0%"/>
    <numFmt numFmtId="169" formatCode="_(&quot;$&quot;* #,##0.0000_);_(&quot;$&quot;* \(#,##0.0000\);_(&quot;$&quot;* &quot;-&quot;??_);_(@_)"/>
  </numFmts>
  <fonts count="2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000000"/>
      <name val="Arial"/>
      <family val="2"/>
    </font>
    <font>
      <sz val="11"/>
      <color rgb="FFFF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1"/>
      <color theme="8" tint="-0.2499465926084170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1"/>
      <color theme="1"/>
      <name val="Arial"/>
      <family val="2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0"/>
      <name val="Arial"/>
      <family val="2"/>
    </font>
    <font>
      <b/>
      <u/>
      <sz val="11"/>
      <color theme="0"/>
      <name val="Arial"/>
      <family val="2"/>
    </font>
    <font>
      <b/>
      <sz val="9"/>
      <color theme="0"/>
      <name val="Arial"/>
      <family val="2"/>
    </font>
    <font>
      <b/>
      <sz val="9"/>
      <name val="Tahoma"/>
      <family val="2"/>
    </font>
    <font>
      <sz val="9"/>
      <name val="Tahoma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59993285927915285"/>
        <bgColor indexed="64"/>
      </patternFill>
    </fill>
    <fill>
      <patternFill patternType="solid">
        <fgColor theme="7" tint="0.59996337778862885"/>
        <bgColor indexed="64"/>
      </patternFill>
    </fill>
    <fill>
      <patternFill patternType="solid">
        <fgColor theme="8" tint="0.59996337778862885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3" tint="0.599963377788628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2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thick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ck">
        <color auto="1"/>
      </right>
      <top/>
      <bottom style="medium">
        <color auto="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79">
    <xf numFmtId="0" fontId="0" fillId="0" borderId="0" xfId="0"/>
    <xf numFmtId="0" fontId="0" fillId="0" borderId="1" xfId="0" applyBorder="1"/>
    <xf numFmtId="49" fontId="0" fillId="0" borderId="0" xfId="0" applyNumberFormat="1" applyAlignment="1">
      <alignment wrapText="1"/>
    </xf>
    <xf numFmtId="0" fontId="4" fillId="0" borderId="0" xfId="0" applyFont="1"/>
    <xf numFmtId="9" fontId="0" fillId="0" borderId="0" xfId="2" applyFont="1"/>
    <xf numFmtId="9" fontId="0" fillId="2" borderId="0" xfId="2" applyFont="1" applyFill="1" applyBorder="1"/>
    <xf numFmtId="44" fontId="0" fillId="0" borderId="0" xfId="1" applyFont="1"/>
    <xf numFmtId="164" fontId="0" fillId="0" borderId="0" xfId="1" applyNumberFormat="1" applyFont="1"/>
    <xf numFmtId="0" fontId="2" fillId="3" borderId="0" xfId="0" applyFont="1" applyFill="1"/>
    <xf numFmtId="44" fontId="2" fillId="3" borderId="0" xfId="1" applyFont="1" applyFill="1"/>
    <xf numFmtId="9" fontId="2" fillId="3" borderId="0" xfId="2" applyFont="1" applyFill="1"/>
    <xf numFmtId="14" fontId="0" fillId="0" borderId="0" xfId="0" applyNumberFormat="1"/>
    <xf numFmtId="0" fontId="0" fillId="0" borderId="0" xfId="0" applyAlignment="1">
      <alignment horizontal="right"/>
    </xf>
    <xf numFmtId="0" fontId="3" fillId="0" borderId="0" xfId="0" applyFont="1"/>
    <xf numFmtId="0" fontId="0" fillId="0" borderId="0" xfId="0" applyProtection="1">
      <protection locked="0"/>
    </xf>
    <xf numFmtId="0" fontId="8" fillId="0" borderId="0" xfId="0" applyFont="1" applyProtection="1">
      <protection locked="0"/>
    </xf>
    <xf numFmtId="0" fontId="7" fillId="4" borderId="0" xfId="0" applyFont="1" applyFill="1" applyAlignment="1">
      <alignment vertical="center"/>
    </xf>
    <xf numFmtId="0" fontId="9" fillId="4" borderId="0" xfId="0" applyFont="1" applyFill="1" applyAlignment="1">
      <alignment horizontal="right"/>
    </xf>
    <xf numFmtId="14" fontId="10" fillId="0" borderId="0" xfId="0" applyNumberFormat="1" applyFont="1" applyAlignment="1" applyProtection="1">
      <alignment horizontal="left"/>
      <protection locked="0"/>
    </xf>
    <xf numFmtId="0" fontId="11" fillId="0" borderId="0" xfId="0" applyFont="1"/>
    <xf numFmtId="0" fontId="12" fillId="0" borderId="0" xfId="0" applyFont="1"/>
    <xf numFmtId="0" fontId="13" fillId="0" borderId="0" xfId="0" applyFont="1"/>
    <xf numFmtId="0" fontId="10" fillId="0" borderId="0" xfId="0" applyFont="1" applyAlignment="1" applyProtection="1">
      <alignment horizontal="left"/>
      <protection locked="0"/>
    </xf>
    <xf numFmtId="49" fontId="0" fillId="0" borderId="0" xfId="0" applyNumberFormat="1"/>
    <xf numFmtId="0" fontId="10" fillId="0" borderId="6" xfId="0" applyFont="1" applyBorder="1" applyAlignment="1" applyProtection="1">
      <alignment horizontal="left"/>
      <protection locked="0"/>
    </xf>
    <xf numFmtId="165" fontId="10" fillId="0" borderId="2" xfId="3" applyNumberFormat="1" applyFont="1" applyBorder="1" applyAlignment="1" applyProtection="1">
      <alignment horizontal="left"/>
      <protection locked="0"/>
    </xf>
    <xf numFmtId="0" fontId="10" fillId="0" borderId="6" xfId="0" applyFont="1" applyBorder="1" applyProtection="1">
      <protection locked="0"/>
    </xf>
    <xf numFmtId="0" fontId="3" fillId="0" borderId="0" xfId="0" applyFont="1" applyProtection="1">
      <protection locked="0"/>
    </xf>
    <xf numFmtId="0" fontId="15" fillId="0" borderId="0" xfId="0" applyFont="1" applyAlignment="1" applyProtection="1">
      <alignment horizontal="center" wrapText="1"/>
      <protection locked="0"/>
    </xf>
    <xf numFmtId="0" fontId="3" fillId="4" borderId="10" xfId="0" applyFont="1" applyFill="1" applyBorder="1"/>
    <xf numFmtId="14" fontId="10" fillId="0" borderId="6" xfId="0" applyNumberFormat="1" applyFont="1" applyBorder="1" applyProtection="1">
      <protection locked="0"/>
    </xf>
    <xf numFmtId="1" fontId="16" fillId="5" borderId="6" xfId="0" applyNumberFormat="1" applyFont="1" applyFill="1" applyBorder="1"/>
    <xf numFmtId="44" fontId="10" fillId="0" borderId="6" xfId="1" applyFont="1" applyBorder="1" applyProtection="1">
      <protection locked="0"/>
    </xf>
    <xf numFmtId="44" fontId="16" fillId="0" borderId="0" xfId="1" applyFont="1" applyFill="1" applyBorder="1" applyProtection="1">
      <protection locked="0"/>
    </xf>
    <xf numFmtId="0" fontId="11" fillId="0" borderId="0" xfId="0" applyFont="1" applyProtection="1">
      <protection locked="0"/>
    </xf>
    <xf numFmtId="0" fontId="6" fillId="0" borderId="0" xfId="0" applyFont="1"/>
    <xf numFmtId="0" fontId="17" fillId="0" borderId="0" xfId="0" applyFont="1" applyAlignment="1" applyProtection="1">
      <alignment horizontal="center" wrapText="1"/>
      <protection locked="0"/>
    </xf>
    <xf numFmtId="44" fontId="16" fillId="0" borderId="0" xfId="1" applyFont="1" applyProtection="1">
      <protection locked="0"/>
    </xf>
    <xf numFmtId="0" fontId="0" fillId="4" borderId="10" xfId="0" applyFill="1" applyBorder="1"/>
    <xf numFmtId="166" fontId="0" fillId="6" borderId="10" xfId="0" applyNumberFormat="1" applyFill="1" applyBorder="1" applyAlignment="1" applyProtection="1">
      <alignment horizontal="center" wrapText="1"/>
      <protection locked="0"/>
    </xf>
    <xf numFmtId="0" fontId="11" fillId="0" borderId="13" xfId="0" applyFont="1" applyBorder="1" applyAlignment="1">
      <alignment horizontal="center" vertical="center"/>
    </xf>
    <xf numFmtId="9" fontId="18" fillId="0" borderId="13" xfId="2" applyFont="1" applyBorder="1" applyProtection="1">
      <protection locked="0"/>
    </xf>
    <xf numFmtId="3" fontId="0" fillId="0" borderId="10" xfId="0" applyNumberFormat="1" applyBorder="1" applyProtection="1">
      <protection locked="0"/>
    </xf>
    <xf numFmtId="43" fontId="5" fillId="0" borderId="13" xfId="3" applyFont="1" applyBorder="1" applyProtection="1">
      <protection locked="0"/>
    </xf>
    <xf numFmtId="38" fontId="5" fillId="0" borderId="10" xfId="0" applyNumberFormat="1" applyFont="1" applyBorder="1" applyProtection="1">
      <protection locked="0"/>
    </xf>
    <xf numFmtId="43" fontId="18" fillId="0" borderId="13" xfId="3" applyFont="1" applyBorder="1" applyProtection="1">
      <protection locked="0"/>
    </xf>
    <xf numFmtId="0" fontId="11" fillId="0" borderId="14" xfId="0" applyFont="1" applyBorder="1" applyAlignment="1">
      <alignment horizontal="center" vertical="center"/>
    </xf>
    <xf numFmtId="43" fontId="18" fillId="0" borderId="14" xfId="3" applyFont="1" applyBorder="1" applyProtection="1">
      <protection locked="0"/>
    </xf>
    <xf numFmtId="0" fontId="19" fillId="0" borderId="14" xfId="0" applyFont="1" applyBorder="1" applyAlignment="1">
      <alignment horizontal="center"/>
    </xf>
    <xf numFmtId="44" fontId="20" fillId="0" borderId="14" xfId="1" applyFont="1" applyBorder="1" applyProtection="1">
      <protection locked="0"/>
    </xf>
    <xf numFmtId="0" fontId="19" fillId="0" borderId="0" xfId="0" applyFont="1" applyAlignment="1" applyProtection="1">
      <alignment horizontal="center"/>
      <protection locked="0"/>
    </xf>
    <xf numFmtId="44" fontId="20" fillId="0" borderId="0" xfId="1" applyFont="1" applyFill="1" applyBorder="1" applyProtection="1">
      <protection locked="0"/>
    </xf>
    <xf numFmtId="3" fontId="0" fillId="0" borderId="0" xfId="0" applyNumberFormat="1" applyProtection="1">
      <protection locked="0"/>
    </xf>
    <xf numFmtId="0" fontId="15" fillId="0" borderId="0" xfId="0" applyFont="1" applyAlignment="1" applyProtection="1">
      <alignment vertical="top" wrapText="1"/>
      <protection locked="0"/>
    </xf>
    <xf numFmtId="0" fontId="3" fillId="4" borderId="10" xfId="0" applyFont="1" applyFill="1" applyBorder="1" applyAlignment="1" applyProtection="1">
      <alignment horizontal="center"/>
      <protection locked="0"/>
    </xf>
    <xf numFmtId="0" fontId="3" fillId="4" borderId="10" xfId="0" applyFont="1" applyFill="1" applyBorder="1" applyAlignment="1">
      <alignment horizontal="center"/>
    </xf>
    <xf numFmtId="0" fontId="3" fillId="0" borderId="0" xfId="0" applyFont="1" applyAlignment="1" applyProtection="1">
      <alignment horizontal="center"/>
      <protection locked="0"/>
    </xf>
    <xf numFmtId="165" fontId="0" fillId="0" borderId="10" xfId="3" applyNumberFormat="1" applyFont="1" applyBorder="1" applyProtection="1">
      <protection locked="0"/>
    </xf>
    <xf numFmtId="167" fontId="0" fillId="0" borderId="10" xfId="0" applyNumberFormat="1" applyBorder="1" applyProtection="1">
      <protection locked="0"/>
    </xf>
    <xf numFmtId="0" fontId="15" fillId="0" borderId="0" xfId="0" applyFont="1" applyAlignment="1" applyProtection="1">
      <alignment wrapText="1"/>
      <protection locked="0"/>
    </xf>
    <xf numFmtId="165" fontId="0" fillId="5" borderId="10" xfId="3" applyNumberFormat="1" applyFont="1" applyFill="1" applyBorder="1" applyProtection="1">
      <protection locked="0"/>
    </xf>
    <xf numFmtId="3" fontId="0" fillId="0" borderId="0" xfId="0" applyNumberFormat="1"/>
    <xf numFmtId="3" fontId="0" fillId="7" borderId="10" xfId="0" applyNumberFormat="1" applyFill="1" applyBorder="1"/>
    <xf numFmtId="3" fontId="0" fillId="8" borderId="10" xfId="0" applyNumberFormat="1" applyFill="1" applyBorder="1"/>
    <xf numFmtId="3" fontId="0" fillId="9" borderId="10" xfId="0" applyNumberFormat="1" applyFill="1" applyBorder="1"/>
    <xf numFmtId="3" fontId="0" fillId="5" borderId="10" xfId="0" applyNumberFormat="1" applyFill="1" applyBorder="1"/>
    <xf numFmtId="167" fontId="0" fillId="10" borderId="10" xfId="0" applyNumberFormat="1" applyFill="1" applyBorder="1"/>
    <xf numFmtId="0" fontId="17" fillId="7" borderId="0" xfId="0" applyFont="1" applyFill="1"/>
    <xf numFmtId="0" fontId="3" fillId="7" borderId="10" xfId="0" applyFont="1" applyFill="1" applyBorder="1" applyAlignment="1">
      <alignment horizontal="center"/>
    </xf>
    <xf numFmtId="3" fontId="3" fillId="7" borderId="10" xfId="0" applyNumberFormat="1" applyFont="1" applyFill="1" applyBorder="1"/>
    <xf numFmtId="3" fontId="3" fillId="0" borderId="16" xfId="0" applyNumberFormat="1" applyFont="1" applyBorder="1" applyProtection="1">
      <protection locked="0"/>
    </xf>
    <xf numFmtId="0" fontId="17" fillId="8" borderId="0" xfId="0" applyFont="1" applyFill="1"/>
    <xf numFmtId="0" fontId="3" fillId="8" borderId="10" xfId="0" applyFont="1" applyFill="1" applyBorder="1" applyAlignment="1">
      <alignment horizontal="center"/>
    </xf>
    <xf numFmtId="3" fontId="3" fillId="8" borderId="10" xfId="0" applyNumberFormat="1" applyFont="1" applyFill="1" applyBorder="1"/>
    <xf numFmtId="0" fontId="17" fillId="9" borderId="0" xfId="0" applyFont="1" applyFill="1"/>
    <xf numFmtId="3" fontId="3" fillId="9" borderId="10" xfId="0" applyNumberFormat="1" applyFont="1" applyFill="1" applyBorder="1" applyAlignment="1">
      <alignment horizontal="center"/>
    </xf>
    <xf numFmtId="3" fontId="3" fillId="9" borderId="10" xfId="0" applyNumberFormat="1" applyFont="1" applyFill="1" applyBorder="1"/>
    <xf numFmtId="0" fontId="22" fillId="11" borderId="18" xfId="0" applyFont="1" applyFill="1" applyBorder="1"/>
    <xf numFmtId="0" fontId="23" fillId="11" borderId="19" xfId="0" applyFont="1" applyFill="1" applyBorder="1"/>
    <xf numFmtId="0" fontId="23" fillId="11" borderId="20" xfId="0" applyFont="1" applyFill="1" applyBorder="1"/>
    <xf numFmtId="0" fontId="23" fillId="11" borderId="18" xfId="0" applyFont="1" applyFill="1" applyBorder="1" applyAlignment="1">
      <alignment horizontal="centerContinuous"/>
    </xf>
    <xf numFmtId="0" fontId="22" fillId="11" borderId="21" xfId="0" applyFont="1" applyFill="1" applyBorder="1" applyAlignment="1">
      <alignment horizontal="centerContinuous"/>
    </xf>
    <xf numFmtId="0" fontId="22" fillId="11" borderId="22" xfId="0" applyFont="1" applyFill="1" applyBorder="1" applyAlignment="1">
      <alignment horizontal="center"/>
    </xf>
    <xf numFmtId="0" fontId="24" fillId="11" borderId="23" xfId="0" applyFont="1" applyFill="1" applyBorder="1" applyAlignment="1">
      <alignment wrapText="1"/>
    </xf>
    <xf numFmtId="0" fontId="24" fillId="11" borderId="22" xfId="0" applyFont="1" applyFill="1" applyBorder="1" applyAlignment="1">
      <alignment wrapText="1"/>
    </xf>
    <xf numFmtId="0" fontId="24" fillId="11" borderId="24" xfId="0" applyFont="1" applyFill="1" applyBorder="1" applyAlignment="1">
      <alignment horizontal="center" wrapText="1"/>
    </xf>
    <xf numFmtId="0" fontId="24" fillId="11" borderId="25" xfId="0" applyFont="1" applyFill="1" applyBorder="1" applyAlignment="1">
      <alignment horizontal="center" wrapText="1"/>
    </xf>
    <xf numFmtId="0" fontId="14" fillId="0" borderId="0" xfId="0" applyFont="1" applyProtection="1">
      <protection locked="0"/>
    </xf>
    <xf numFmtId="44" fontId="14" fillId="0" borderId="0" xfId="1" applyFont="1" applyProtection="1">
      <protection locked="0"/>
    </xf>
    <xf numFmtId="44" fontId="14" fillId="0" borderId="0" xfId="1" applyFont="1" applyProtection="1"/>
    <xf numFmtId="10" fontId="14" fillId="0" borderId="0" xfId="0" applyNumberFormat="1" applyFont="1"/>
    <xf numFmtId="44" fontId="0" fillId="0" borderId="0" xfId="1" applyFont="1" applyProtection="1">
      <protection locked="0"/>
    </xf>
    <xf numFmtId="44" fontId="0" fillId="0" borderId="0" xfId="1" applyFont="1" applyProtection="1"/>
    <xf numFmtId="10" fontId="14" fillId="0" borderId="0" xfId="0" applyNumberFormat="1" applyFont="1" applyProtection="1">
      <protection locked="0"/>
    </xf>
    <xf numFmtId="1" fontId="14" fillId="0" borderId="0" xfId="1" applyNumberFormat="1" applyFont="1" applyProtection="1">
      <protection locked="0"/>
    </xf>
    <xf numFmtId="4" fontId="0" fillId="0" borderId="0" xfId="0" applyNumberFormat="1" applyProtection="1">
      <protection locked="0"/>
    </xf>
    <xf numFmtId="0" fontId="14" fillId="0" borderId="0" xfId="0" applyFont="1"/>
    <xf numFmtId="4" fontId="0" fillId="0" borderId="0" xfId="0" applyNumberFormat="1"/>
    <xf numFmtId="165" fontId="14" fillId="0" borderId="0" xfId="3" applyNumberFormat="1" applyFont="1" applyProtection="1">
      <protection locked="0"/>
    </xf>
    <xf numFmtId="44" fontId="14" fillId="0" borderId="0" xfId="0" applyNumberFormat="1" applyFont="1"/>
    <xf numFmtId="0" fontId="2" fillId="12" borderId="0" xfId="0" applyFont="1" applyFill="1"/>
    <xf numFmtId="0" fontId="6" fillId="12" borderId="0" xfId="0" applyFont="1" applyFill="1"/>
    <xf numFmtId="0" fontId="0" fillId="13" borderId="0" xfId="0" applyFill="1"/>
    <xf numFmtId="0" fontId="0" fillId="14" borderId="0" xfId="0" applyFill="1"/>
    <xf numFmtId="0" fontId="11" fillId="13" borderId="0" xfId="0" applyFont="1" applyFill="1"/>
    <xf numFmtId="0" fontId="0" fillId="2" borderId="0" xfId="0" applyFill="1"/>
    <xf numFmtId="44" fontId="0" fillId="0" borderId="0" xfId="0" applyNumberFormat="1"/>
    <xf numFmtId="44" fontId="0" fillId="14" borderId="0" xfId="0" applyNumberFormat="1" applyFill="1"/>
    <xf numFmtId="0" fontId="0" fillId="13" borderId="0" xfId="0" applyFill="1" applyAlignment="1">
      <alignment horizont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right" wrapText="1"/>
    </xf>
    <xf numFmtId="0" fontId="5" fillId="15" borderId="0" xfId="0" applyFont="1" applyFill="1"/>
    <xf numFmtId="168" fontId="0" fillId="0" borderId="0" xfId="2" applyNumberFormat="1" applyFont="1" applyFill="1"/>
    <xf numFmtId="44" fontId="0" fillId="0" borderId="0" xfId="1" applyFont="1" applyFill="1"/>
    <xf numFmtId="44" fontId="0" fillId="0" borderId="0" xfId="2" applyNumberFormat="1" applyFont="1"/>
    <xf numFmtId="0" fontId="2" fillId="3" borderId="0" xfId="0" applyFont="1" applyFill="1" applyAlignment="1">
      <alignment horizontal="left"/>
    </xf>
    <xf numFmtId="0" fontId="0" fillId="0" borderId="0" xfId="0" applyAlignment="1">
      <alignment horizontal="center"/>
    </xf>
    <xf numFmtId="44" fontId="2" fillId="3" borderId="0" xfId="1" applyFont="1" applyFill="1" applyAlignment="1">
      <alignment horizontal="center"/>
    </xf>
    <xf numFmtId="44" fontId="0" fillId="0" borderId="0" xfId="1" applyFont="1" applyAlignment="1">
      <alignment horizontal="right"/>
    </xf>
    <xf numFmtId="0" fontId="18" fillId="0" borderId="0" xfId="0" applyFont="1"/>
    <xf numFmtId="165" fontId="2" fillId="3" borderId="0" xfId="3" applyNumberFormat="1" applyFont="1" applyFill="1"/>
    <xf numFmtId="0" fontId="0" fillId="0" borderId="0" xfId="0" quotePrefix="1"/>
    <xf numFmtId="169" fontId="0" fillId="0" borderId="0" xfId="1" applyNumberFormat="1" applyFont="1"/>
    <xf numFmtId="169" fontId="2" fillId="3" borderId="0" xfId="1" applyNumberFormat="1" applyFont="1" applyFill="1"/>
    <xf numFmtId="169" fontId="0" fillId="0" borderId="0" xfId="1" applyNumberFormat="1" applyFont="1" applyAlignment="1">
      <alignment horizontal="right"/>
    </xf>
    <xf numFmtId="169" fontId="0" fillId="0" borderId="0" xfId="1" applyNumberFormat="1" applyFont="1" applyFill="1"/>
    <xf numFmtId="0" fontId="6" fillId="12" borderId="0" xfId="0" applyFont="1" applyFill="1" applyAlignment="1">
      <alignment horizontal="right"/>
    </xf>
    <xf numFmtId="14" fontId="0" fillId="0" borderId="0" xfId="0" applyNumberFormat="1" applyAlignment="1">
      <alignment horizontal="right" wrapText="1"/>
    </xf>
    <xf numFmtId="10" fontId="10" fillId="16" borderId="0" xfId="2" applyNumberFormat="1" applyFont="1" applyFill="1" applyAlignment="1" applyProtection="1">
      <alignment wrapText="1"/>
      <protection locked="0"/>
    </xf>
    <xf numFmtId="44" fontId="2" fillId="0" borderId="0" xfId="1" applyFont="1" applyFill="1"/>
    <xf numFmtId="44" fontId="0" fillId="0" borderId="0" xfId="0" applyNumberFormat="1" applyProtection="1">
      <protection locked="0"/>
    </xf>
    <xf numFmtId="10" fontId="0" fillId="0" borderId="0" xfId="2" applyNumberFormat="1" applyFont="1"/>
    <xf numFmtId="9" fontId="0" fillId="0" borderId="0" xfId="2" applyFont="1" applyFill="1" applyBorder="1"/>
    <xf numFmtId="0" fontId="18" fillId="2" borderId="0" xfId="0" applyFont="1" applyFill="1"/>
    <xf numFmtId="43" fontId="0" fillId="0" borderId="0" xfId="0" applyNumberFormat="1"/>
    <xf numFmtId="49" fontId="0" fillId="0" borderId="0" xfId="0" applyNumberFormat="1" applyAlignment="1">
      <alignment horizontal="right"/>
    </xf>
    <xf numFmtId="0" fontId="28" fillId="0" borderId="0" xfId="0" applyFont="1"/>
    <xf numFmtId="168" fontId="0" fillId="0" borderId="0" xfId="2" applyNumberFormat="1" applyFont="1"/>
    <xf numFmtId="10" fontId="0" fillId="0" borderId="0" xfId="0" applyNumberFormat="1"/>
    <xf numFmtId="49" fontId="3" fillId="0" borderId="0" xfId="0" applyNumberFormat="1" applyFont="1"/>
    <xf numFmtId="0" fontId="2" fillId="17" borderId="26" xfId="0" applyFont="1" applyFill="1" applyBorder="1"/>
    <xf numFmtId="0" fontId="0" fillId="0" borderId="0" xfId="0" applyAlignment="1">
      <alignment wrapText="1"/>
    </xf>
    <xf numFmtId="0" fontId="23" fillId="11" borderId="18" xfId="0" applyFont="1" applyFill="1" applyBorder="1" applyAlignment="1">
      <alignment horizontal="center"/>
    </xf>
    <xf numFmtId="0" fontId="14" fillId="0" borderId="10" xfId="0" applyFont="1" applyBorder="1" applyAlignment="1" applyProtection="1">
      <alignment horizontal="left"/>
      <protection locked="0"/>
    </xf>
    <xf numFmtId="0" fontId="11" fillId="0" borderId="15" xfId="0" applyFont="1" applyBorder="1" applyAlignment="1">
      <alignment horizontal="center"/>
    </xf>
    <xf numFmtId="0" fontId="11" fillId="0" borderId="17" xfId="0" applyFont="1" applyBorder="1" applyAlignment="1">
      <alignment horizontal="center"/>
    </xf>
    <xf numFmtId="0" fontId="21" fillId="11" borderId="0" xfId="0" applyFont="1" applyFill="1" applyAlignment="1">
      <alignment horizontal="left"/>
    </xf>
    <xf numFmtId="0" fontId="17" fillId="0" borderId="11" xfId="0" applyFont="1" applyBorder="1" applyAlignment="1" applyProtection="1">
      <alignment horizontal="center" wrapText="1"/>
      <protection locked="0"/>
    </xf>
    <xf numFmtId="0" fontId="17" fillId="0" borderId="2" xfId="0" applyFont="1" applyBorder="1" applyAlignment="1" applyProtection="1">
      <alignment horizontal="center" wrapText="1"/>
      <protection locked="0"/>
    </xf>
    <xf numFmtId="0" fontId="17" fillId="0" borderId="12" xfId="0" applyFont="1" applyBorder="1" applyAlignment="1" applyProtection="1">
      <alignment horizontal="center" wrapText="1"/>
      <protection locked="0"/>
    </xf>
    <xf numFmtId="0" fontId="0" fillId="0" borderId="15" xfId="0" applyBorder="1" applyAlignment="1" applyProtection="1">
      <alignment horizontal="left"/>
      <protection locked="0"/>
    </xf>
    <xf numFmtId="0" fontId="0" fillId="0" borderId="16" xfId="0" applyBorder="1" applyAlignment="1" applyProtection="1">
      <alignment horizontal="left"/>
      <protection locked="0"/>
    </xf>
    <xf numFmtId="0" fontId="0" fillId="0" borderId="17" xfId="0" applyBorder="1" applyAlignment="1" applyProtection="1">
      <alignment horizontal="left"/>
      <protection locked="0"/>
    </xf>
    <xf numFmtId="0" fontId="15" fillId="0" borderId="0" xfId="0" applyFont="1" applyAlignment="1">
      <alignment horizontal="center" vertical="center" wrapText="1"/>
    </xf>
    <xf numFmtId="0" fontId="17" fillId="4" borderId="15" xfId="0" applyFont="1" applyFill="1" applyBorder="1" applyAlignment="1">
      <alignment horizontal="center"/>
    </xf>
    <xf numFmtId="0" fontId="17" fillId="4" borderId="17" xfId="0" applyFont="1" applyFill="1" applyBorder="1" applyAlignment="1">
      <alignment horizontal="center"/>
    </xf>
    <xf numFmtId="0" fontId="14" fillId="0" borderId="15" xfId="0" applyFont="1" applyBorder="1" applyAlignment="1" applyProtection="1">
      <alignment horizontal="left"/>
      <protection locked="0"/>
    </xf>
    <xf numFmtId="0" fontId="14" fillId="0" borderId="17" xfId="0" applyFont="1" applyBorder="1" applyAlignment="1" applyProtection="1">
      <alignment horizontal="left"/>
      <protection locked="0"/>
    </xf>
    <xf numFmtId="0" fontId="3" fillId="4" borderId="0" xfId="0" applyFont="1" applyFill="1" applyAlignment="1">
      <alignment horizontal="center"/>
    </xf>
    <xf numFmtId="0" fontId="7" fillId="4" borderId="0" xfId="0" applyFont="1" applyFill="1" applyAlignment="1">
      <alignment horizontal="center" vertical="center"/>
    </xf>
    <xf numFmtId="0" fontId="0" fillId="4" borderId="0" xfId="0" applyFill="1" applyAlignment="1">
      <alignment horizontal="center"/>
    </xf>
    <xf numFmtId="0" fontId="14" fillId="0" borderId="3" xfId="0" applyFont="1" applyBorder="1" applyAlignment="1" applyProtection="1">
      <alignment horizontal="left" vertical="top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7" xfId="0" applyFont="1" applyBorder="1" applyAlignment="1" applyProtection="1">
      <alignment horizontal="left" vertical="top" wrapText="1"/>
      <protection locked="0"/>
    </xf>
    <xf numFmtId="0" fontId="14" fillId="0" borderId="0" xfId="0" applyFont="1" applyAlignment="1" applyProtection="1">
      <alignment horizontal="left" vertical="top" wrapText="1"/>
      <protection locked="0"/>
    </xf>
    <xf numFmtId="0" fontId="14" fillId="0" borderId="1" xfId="0" applyFont="1" applyBorder="1" applyAlignment="1" applyProtection="1">
      <alignment horizontal="left" vertical="top" wrapText="1"/>
      <protection locked="0"/>
    </xf>
    <xf numFmtId="0" fontId="14" fillId="0" borderId="8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14" fillId="0" borderId="9" xfId="0" applyFont="1" applyBorder="1" applyAlignment="1" applyProtection="1">
      <alignment horizontal="left" vertical="top" wrapText="1"/>
      <protection locked="0"/>
    </xf>
    <xf numFmtId="0" fontId="14" fillId="0" borderId="3" xfId="0" applyFont="1" applyBorder="1" applyAlignment="1" applyProtection="1">
      <alignment horizontal="center" vertical="top" wrapText="1"/>
      <protection locked="0"/>
    </xf>
    <xf numFmtId="0" fontId="14" fillId="0" borderId="4" xfId="0" applyFont="1" applyBorder="1" applyAlignment="1" applyProtection="1">
      <alignment horizontal="center" vertical="top" wrapText="1"/>
      <protection locked="0"/>
    </xf>
    <xf numFmtId="0" fontId="14" fillId="0" borderId="5" xfId="0" applyFont="1" applyBorder="1" applyAlignment="1" applyProtection="1">
      <alignment horizontal="center" vertical="top" wrapText="1"/>
      <protection locked="0"/>
    </xf>
    <xf numFmtId="0" fontId="14" fillId="0" borderId="7" xfId="0" applyFont="1" applyBorder="1" applyAlignment="1" applyProtection="1">
      <alignment horizontal="center" vertical="top" wrapText="1"/>
      <protection locked="0"/>
    </xf>
    <xf numFmtId="0" fontId="14" fillId="0" borderId="0" xfId="0" applyFont="1" applyAlignment="1" applyProtection="1">
      <alignment horizontal="center" vertical="top" wrapText="1"/>
      <protection locked="0"/>
    </xf>
    <xf numFmtId="0" fontId="14" fillId="0" borderId="1" xfId="0" applyFont="1" applyBorder="1" applyAlignment="1" applyProtection="1">
      <alignment horizontal="center" vertical="top" wrapText="1"/>
      <protection locked="0"/>
    </xf>
    <xf numFmtId="0" fontId="14" fillId="0" borderId="8" xfId="0" applyFont="1" applyBorder="1" applyAlignment="1" applyProtection="1">
      <alignment horizontal="center" vertical="top" wrapText="1"/>
      <protection locked="0"/>
    </xf>
    <xf numFmtId="0" fontId="14" fillId="0" borderId="6" xfId="0" applyFont="1" applyBorder="1" applyAlignment="1" applyProtection="1">
      <alignment horizontal="center" vertical="top" wrapText="1"/>
      <protection locked="0"/>
    </xf>
    <xf numFmtId="0" fontId="14" fillId="0" borderId="9" xfId="0" applyFont="1" applyBorder="1" applyAlignment="1" applyProtection="1">
      <alignment horizontal="center" vertical="top" wrapText="1"/>
      <protection locked="0"/>
    </xf>
  </cellXfs>
  <cellStyles count="4">
    <cellStyle name="Comma" xfId="3" builtinId="3"/>
    <cellStyle name="Currency" xfId="1" builtinId="4"/>
    <cellStyle name="Normal" xfId="0" builtinId="0"/>
    <cellStyle name="Percent" xfId="2" builtinId="5"/>
  </cellStyles>
  <dxfs count="82"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b/>
        <i val="0"/>
        <color theme="0"/>
      </font>
      <fill>
        <patternFill>
          <bgColor rgb="FF0070C0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ont>
        <color theme="0"/>
      </font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8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theme="7" tint="0.79998168889431442"/>
        </patternFill>
      </fill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eetMetadata" Target="metadata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257736</xdr:colOff>
      <xdr:row>9</xdr:row>
      <xdr:rowOff>168088</xdr:rowOff>
    </xdr:from>
    <xdr:to>
      <xdr:col>6</xdr:col>
      <xdr:colOff>1882589</xdr:colOff>
      <xdr:row>11</xdr:row>
      <xdr:rowOff>11206</xdr:rowOff>
    </xdr:to>
    <xdr:sp macro="[1]!Sheet6.Addproduct" textlink="">
      <xdr:nvSpPr>
        <xdr:cNvPr id="2" name="TextBox 1">
          <a:extLst>
            <a:ext uri="{FF2B5EF4-FFF2-40B4-BE49-F238E27FC236}">
              <a16:creationId xmlns:a16="http://schemas.microsoft.com/office/drawing/2014/main" id="{1729CB08-78C9-4D8B-ADA4-C51DD4023BB7}"/>
            </a:ext>
          </a:extLst>
        </xdr:cNvPr>
        <xdr:cNvSpPr txBox="1"/>
      </xdr:nvSpPr>
      <xdr:spPr>
        <a:xfrm>
          <a:off x="5658971" y="1882588"/>
          <a:ext cx="1624853" cy="22411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Need to Add a Product</a:t>
          </a:r>
        </a:p>
      </xdr:txBody>
    </xdr:sp>
    <xdr:clientData/>
  </xdr:twoCellAnchor>
  <xdr:twoCellAnchor>
    <xdr:from>
      <xdr:col>6</xdr:col>
      <xdr:colOff>253254</xdr:colOff>
      <xdr:row>8</xdr:row>
      <xdr:rowOff>6724</xdr:rowOff>
    </xdr:from>
    <xdr:to>
      <xdr:col>6</xdr:col>
      <xdr:colOff>1878107</xdr:colOff>
      <xdr:row>9</xdr:row>
      <xdr:rowOff>40342</xdr:rowOff>
    </xdr:to>
    <xdr:sp macro="[2]!Billing_Balancing_Simple" textlink="">
      <xdr:nvSpPr>
        <xdr:cNvPr id="3" name="TextBox 2">
          <a:extLst>
            <a:ext uri="{FF2B5EF4-FFF2-40B4-BE49-F238E27FC236}">
              <a16:creationId xmlns:a16="http://schemas.microsoft.com/office/drawing/2014/main" id="{5377C655-178E-42CB-AE53-D49D00FAEAA8}"/>
            </a:ext>
          </a:extLst>
        </xdr:cNvPr>
        <xdr:cNvSpPr txBox="1"/>
      </xdr:nvSpPr>
      <xdr:spPr>
        <a:xfrm>
          <a:off x="5654489" y="1530724"/>
          <a:ext cx="1624853" cy="22411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Add Billing Balancing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280148</xdr:colOff>
      <xdr:row>9</xdr:row>
      <xdr:rowOff>168087</xdr:rowOff>
    </xdr:from>
    <xdr:to>
      <xdr:col>6</xdr:col>
      <xdr:colOff>1905001</xdr:colOff>
      <xdr:row>10</xdr:row>
      <xdr:rowOff>190499</xdr:rowOff>
    </xdr:to>
    <xdr:sp macro="[1]!Sheet6.Addproduct" textlink="">
      <xdr:nvSpPr>
        <xdr:cNvPr id="2" name="TextBox 1">
          <a:extLst>
            <a:ext uri="{FF2B5EF4-FFF2-40B4-BE49-F238E27FC236}">
              <a16:creationId xmlns:a16="http://schemas.microsoft.com/office/drawing/2014/main" id="{531D6426-10CD-4DD3-934E-26BA8EFEAD59}"/>
            </a:ext>
          </a:extLst>
        </xdr:cNvPr>
        <xdr:cNvSpPr txBox="1"/>
      </xdr:nvSpPr>
      <xdr:spPr>
        <a:xfrm>
          <a:off x="5681383" y="1882587"/>
          <a:ext cx="1624853" cy="212912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Need to Add a Product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268942</xdr:colOff>
      <xdr:row>9</xdr:row>
      <xdr:rowOff>190499</xdr:rowOff>
    </xdr:from>
    <xdr:to>
      <xdr:col>6</xdr:col>
      <xdr:colOff>1893795</xdr:colOff>
      <xdr:row>11</xdr:row>
      <xdr:rowOff>11205</xdr:rowOff>
    </xdr:to>
    <xdr:sp macro="[1]!Sheet6.Addproduct" textlink="">
      <xdr:nvSpPr>
        <xdr:cNvPr id="2" name="TextBox 1">
          <a:extLst>
            <a:ext uri="{FF2B5EF4-FFF2-40B4-BE49-F238E27FC236}">
              <a16:creationId xmlns:a16="http://schemas.microsoft.com/office/drawing/2014/main" id="{7852A10E-AB12-4E32-B0D7-57CA44136DFB}"/>
            </a:ext>
          </a:extLst>
        </xdr:cNvPr>
        <xdr:cNvSpPr txBox="1"/>
      </xdr:nvSpPr>
      <xdr:spPr>
        <a:xfrm>
          <a:off x="5670177" y="1904999"/>
          <a:ext cx="1624853" cy="201706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Need to Add a Product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156883</xdr:rowOff>
    </xdr:from>
    <xdr:to>
      <xdr:col>11</xdr:col>
      <xdr:colOff>11206</xdr:colOff>
      <xdr:row>2</xdr:row>
      <xdr:rowOff>33618</xdr:rowOff>
    </xdr:to>
    <xdr:sp macro="[3]!Rep_Export" textlink="">
      <xdr:nvSpPr>
        <xdr:cNvPr id="2" name="TextBox 1">
          <a:extLst>
            <a:ext uri="{FF2B5EF4-FFF2-40B4-BE49-F238E27FC236}">
              <a16:creationId xmlns:a16="http://schemas.microsoft.com/office/drawing/2014/main" id="{8CA0B48F-68EE-47D3-AE44-FAD28154291F}"/>
            </a:ext>
          </a:extLst>
        </xdr:cNvPr>
        <xdr:cNvSpPr txBox="1"/>
      </xdr:nvSpPr>
      <xdr:spPr>
        <a:xfrm>
          <a:off x="10959353" y="156883"/>
          <a:ext cx="1423147" cy="25773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Click Here to Export</a:t>
          </a:r>
        </a:p>
      </xdr:txBody>
    </xdr:sp>
    <xdr:clientData/>
  </xdr:twoCellAnchor>
  <xdr:twoCellAnchor editAs="oneCell">
    <xdr:from>
      <xdr:col>2</xdr:col>
      <xdr:colOff>526677</xdr:colOff>
      <xdr:row>8</xdr:row>
      <xdr:rowOff>0</xdr:rowOff>
    </xdr:from>
    <xdr:to>
      <xdr:col>2</xdr:col>
      <xdr:colOff>3089260</xdr:colOff>
      <xdr:row>10</xdr:row>
      <xdr:rowOff>181053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07EFEE-7A12-481D-B6E1-1DFCA5C231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74912" y="1524000"/>
          <a:ext cx="2562583" cy="56205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560294</xdr:colOff>
      <xdr:row>0</xdr:row>
      <xdr:rowOff>145677</xdr:rowOff>
    </xdr:from>
    <xdr:to>
      <xdr:col>6</xdr:col>
      <xdr:colOff>392205</xdr:colOff>
      <xdr:row>2</xdr:row>
      <xdr:rowOff>22412</xdr:rowOff>
    </xdr:to>
    <xdr:sp macro="[3]!Rep_Export" textlink="">
      <xdr:nvSpPr>
        <xdr:cNvPr id="2" name="TextBox 1">
          <a:extLst>
            <a:ext uri="{FF2B5EF4-FFF2-40B4-BE49-F238E27FC236}">
              <a16:creationId xmlns:a16="http://schemas.microsoft.com/office/drawing/2014/main" id="{42CFEBC6-70FF-4157-8D36-E4C76B68E0E8}"/>
            </a:ext>
          </a:extLst>
        </xdr:cNvPr>
        <xdr:cNvSpPr txBox="1"/>
      </xdr:nvSpPr>
      <xdr:spPr>
        <a:xfrm>
          <a:off x="5479676" y="145677"/>
          <a:ext cx="1423147" cy="257735"/>
        </a:xfrm>
        <a:prstGeom prst="rect">
          <a:avLst/>
        </a:prstGeom>
        <a:solidFill>
          <a:schemeClr val="bg1">
            <a:lumMod val="8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Click Here to Export</a:t>
          </a:r>
        </a:p>
      </xdr:txBody>
    </xdr:sp>
    <xdr:clientData/>
  </xdr:twoCellAnchor>
  <xdr:twoCellAnchor editAs="oneCell">
    <xdr:from>
      <xdr:col>2</xdr:col>
      <xdr:colOff>358589</xdr:colOff>
      <xdr:row>8</xdr:row>
      <xdr:rowOff>67236</xdr:rowOff>
    </xdr:from>
    <xdr:to>
      <xdr:col>2</xdr:col>
      <xdr:colOff>2921172</xdr:colOff>
      <xdr:row>11</xdr:row>
      <xdr:rowOff>57789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90B1CAC-E4FC-46D4-BA79-FE22630F1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824" y="1591236"/>
          <a:ext cx="2562583" cy="56205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257736</xdr:colOff>
      <xdr:row>9</xdr:row>
      <xdr:rowOff>168088</xdr:rowOff>
    </xdr:from>
    <xdr:to>
      <xdr:col>6</xdr:col>
      <xdr:colOff>1882589</xdr:colOff>
      <xdr:row>11</xdr:row>
      <xdr:rowOff>11206</xdr:rowOff>
    </xdr:to>
    <xdr:sp macro="[1]!Sheet6.Addproduct" textlink="">
      <xdr:nvSpPr>
        <xdr:cNvPr id="2" name="TextBox 1">
          <a:extLst>
            <a:ext uri="{FF2B5EF4-FFF2-40B4-BE49-F238E27FC236}">
              <a16:creationId xmlns:a16="http://schemas.microsoft.com/office/drawing/2014/main" id="{B2D45475-049E-45F0-AA1B-3F9FC9862803}"/>
            </a:ext>
          </a:extLst>
        </xdr:cNvPr>
        <xdr:cNvSpPr txBox="1"/>
      </xdr:nvSpPr>
      <xdr:spPr>
        <a:xfrm>
          <a:off x="5658411" y="1882588"/>
          <a:ext cx="1624853" cy="22411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Need to Add a Product</a:t>
          </a:r>
        </a:p>
      </xdr:txBody>
    </xdr:sp>
    <xdr:clientData/>
  </xdr:twoCellAnchor>
  <xdr:twoCellAnchor>
    <xdr:from>
      <xdr:col>6</xdr:col>
      <xdr:colOff>253254</xdr:colOff>
      <xdr:row>8</xdr:row>
      <xdr:rowOff>6724</xdr:rowOff>
    </xdr:from>
    <xdr:to>
      <xdr:col>6</xdr:col>
      <xdr:colOff>1878107</xdr:colOff>
      <xdr:row>9</xdr:row>
      <xdr:rowOff>40342</xdr:rowOff>
    </xdr:to>
    <xdr:sp macro="[2]!Billing_Balancing_Simple" textlink="">
      <xdr:nvSpPr>
        <xdr:cNvPr id="3" name="TextBox 2">
          <a:extLst>
            <a:ext uri="{FF2B5EF4-FFF2-40B4-BE49-F238E27FC236}">
              <a16:creationId xmlns:a16="http://schemas.microsoft.com/office/drawing/2014/main" id="{6F94AD36-E5B8-4802-895A-D1297981E437}"/>
            </a:ext>
          </a:extLst>
        </xdr:cNvPr>
        <xdr:cNvSpPr txBox="1"/>
      </xdr:nvSpPr>
      <xdr:spPr>
        <a:xfrm>
          <a:off x="5653929" y="1530724"/>
          <a:ext cx="1624853" cy="22411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Add Billing Balancing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257736</xdr:colOff>
      <xdr:row>9</xdr:row>
      <xdr:rowOff>168088</xdr:rowOff>
    </xdr:from>
    <xdr:to>
      <xdr:col>6</xdr:col>
      <xdr:colOff>1882589</xdr:colOff>
      <xdr:row>11</xdr:row>
      <xdr:rowOff>11206</xdr:rowOff>
    </xdr:to>
    <xdr:sp macro="[1]!Sheet6.Addproduct" textlink="">
      <xdr:nvSpPr>
        <xdr:cNvPr id="2" name="TextBox 1">
          <a:extLst>
            <a:ext uri="{FF2B5EF4-FFF2-40B4-BE49-F238E27FC236}">
              <a16:creationId xmlns:a16="http://schemas.microsoft.com/office/drawing/2014/main" id="{DE9FB6C8-12F1-4E91-BBFE-138146811002}"/>
            </a:ext>
          </a:extLst>
        </xdr:cNvPr>
        <xdr:cNvSpPr txBox="1"/>
      </xdr:nvSpPr>
      <xdr:spPr>
        <a:xfrm>
          <a:off x="5658411" y="1882588"/>
          <a:ext cx="1624853" cy="22411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I Need to Add a Product</a:t>
          </a:r>
        </a:p>
      </xdr:txBody>
    </xdr:sp>
    <xdr:clientData/>
  </xdr:twoCellAnchor>
  <xdr:twoCellAnchor>
    <xdr:from>
      <xdr:col>6</xdr:col>
      <xdr:colOff>253254</xdr:colOff>
      <xdr:row>8</xdr:row>
      <xdr:rowOff>6724</xdr:rowOff>
    </xdr:from>
    <xdr:to>
      <xdr:col>6</xdr:col>
      <xdr:colOff>1878107</xdr:colOff>
      <xdr:row>9</xdr:row>
      <xdr:rowOff>40342</xdr:rowOff>
    </xdr:to>
    <xdr:sp macro="[2]!Billing_Balancing_Simple" textlink="">
      <xdr:nvSpPr>
        <xdr:cNvPr id="3" name="TextBox 2">
          <a:extLst>
            <a:ext uri="{FF2B5EF4-FFF2-40B4-BE49-F238E27FC236}">
              <a16:creationId xmlns:a16="http://schemas.microsoft.com/office/drawing/2014/main" id="{F3B71349-9DC6-4F9F-8D22-7ABB4D5517D2}"/>
            </a:ext>
          </a:extLst>
        </xdr:cNvPr>
        <xdr:cNvSpPr txBox="1"/>
      </xdr:nvSpPr>
      <xdr:spPr>
        <a:xfrm>
          <a:off x="5653929" y="1530724"/>
          <a:ext cx="1624853" cy="224118"/>
        </a:xfrm>
        <a:prstGeom prst="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Add Billing Balancing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ckhenry.sharepoint.com/sites/DealSheets/Shared%20Documents/New%20DS%20Design.xlsm" TargetMode="External"/><Relationship Id="rId1" Type="http://schemas.openxmlformats.org/officeDocument/2006/relationships/externalLinkPath" Target="https://jackhenry.sharepoint.com/:x:/r/sites/DealSheets/Shared%20Documents/New%20DS%20Design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ckhenry.sharepoint.com/sites/DealSheets/Shared%20Documents/Billing%20Balancing.xlsm" TargetMode="External"/><Relationship Id="rId1" Type="http://schemas.openxmlformats.org/officeDocument/2006/relationships/externalLinkPath" Target="https://jackhenry.sharepoint.com/:x:/r/sites/DealSheets/Shared%20Documents/Billing%20Balancing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jackhenry.sharepoint.com/:x:/r/sites/DealSheets/Shared%20Documents/rep%20export.xlsm" TargetMode="External"/><Relationship Id="rId1" Type="http://schemas.openxmlformats.org/officeDocument/2006/relationships/externalLinkPath" Target="https://jackhenry.sharepoint.com/:x:/r/sites/DealSheets/Shared%20Documents/rep%20expor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jwDZJP6wkO_i8VSwjZsPdPa1-KeWHVGg7T_SaHY2qiAUc2yys0sTr5eWk4_4Nzv" itemId="01UNZC5CGVSHYAKEARZZEIE5FNGQYGHJDT">
      <xxl21:absoluteUrl r:id="rId2"/>
    </xxl21:alternateUrls>
    <sheetNames>
      <sheetName val="Sheet1"/>
      <sheetName val="Sheet2"/>
      <sheetName val="Process change"/>
      <sheetName val="comparison mockup"/>
      <sheetName val="email test"/>
      <sheetName val="Form Test"/>
      <sheetName val="Sheet3"/>
      <sheetName val="New DS Design"/>
    </sheetNames>
    <definedNames>
      <definedName name="Sheet6.Addproduct"/>
    </definedNames>
    <sheetDataSet>
      <sheetData sheetId="0"/>
      <sheetData sheetId="1"/>
      <sheetData sheetId="2"/>
      <sheetData sheetId="3"/>
      <sheetData sheetId="4"/>
      <sheetData sheetId="5"/>
      <sheetData sheetId="6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cro1"/>
      <sheetName val="Sheet1"/>
      <sheetName val="Billing Balancing"/>
    </sheetNames>
    <definedNames>
      <definedName name="Billing_Balancing_Simple"/>
    </definedNames>
    <sheetDataSet>
      <sheetData sheetId="0"/>
      <sheetData sheetId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RjwDZJP6wkO_i8VSwjZsPdPa1-KeWHVGg7T_SaHY2qiAUc2yys0sTr5eWk4_4Nzv" itemId="01UNZC5CAFC3C4SFJR6FDKWXYERNOIG6RM">
      <xxl21:absoluteUrl r:id="rId2"/>
    </xxl21:alternateUrls>
    <sheetNames>
      <sheetName val="Sheet1"/>
      <sheetName val="Sheet2"/>
      <sheetName val="rep export"/>
      <sheetName val="SF_Output"/>
      <sheetName val="Balancing"/>
      <sheetName val="Proposal_1"/>
      <sheetName val="Proposal_2"/>
      <sheetName val="Proposal_3"/>
      <sheetName val="Summary"/>
      <sheetName val="Client Version"/>
      <sheetName val="Prospect Version"/>
      <sheetName val="Current Monthly"/>
      <sheetName val="Current Annual"/>
      <sheetName val="Billing_Fallout"/>
      <sheetName val="Data"/>
      <sheetName val="Product_Summary"/>
      <sheetName val="H_Tables"/>
    </sheetNames>
    <definedNames>
      <definedName name="Rep_Export"/>
    </defined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561CDCF-89E7-4511-9D10-776D1A8DF8A1}" name="Table5" displayName="Table5" ref="A1:AV2" totalsRowShown="0">
  <autoFilter ref="A1:AV2" xr:uid="{4E97BCE7-5B53-4A6B-823B-1CAF9D8FE363}"/>
  <tableColumns count="48">
    <tableColumn id="1" xr3:uid="{A123754A-6BA1-4E6A-8C79-475ECC33A3DB}" name="Bank Name"/>
    <tableColumn id="2" xr3:uid="{F59A2149-A65B-4A27-978E-BA8363959743}" name="City, St"/>
    <tableColumn id="3" xr3:uid="{01B6D628-7246-4035-9162-36B691BF9CDA}" name="Assets"/>
    <tableColumn id="4" xr3:uid="{A5AAE179-79A4-4D20-9C70-0A7AADF62FD3}" name="Current Provider"/>
    <tableColumn id="5" xr3:uid="{26105305-302A-44FF-828E-3FCD12AA7F2F}" name="Star Rating"/>
    <tableColumn id="6" xr3:uid="{9BD39BEE-2330-488D-A014-288B195DD0F6}" name="Consultant"/>
    <tableColumn id="7" xr3:uid="{EF2774DB-9B67-4E29-8E10-3B1CC5A1ED43}" name="Sales Executive"/>
    <tableColumn id="8" xr3:uid="{BBB50364-2092-402E-B7A3-7E1E7E234863}" name="Regional Sales Director"/>
    <tableColumn id="9" xr3:uid="{F402DB9A-88DB-4200-99A5-B35D4D251AD1}" name="JHA Core Product"/>
    <tableColumn id="10" xr3:uid="{E31DDB8C-CF70-48BE-A50F-E315444DD539}" name="Other Competitors"/>
    <tableColumn id="11" xr3:uid="{EC8C1726-47FA-4D80-AF91-7341376EDEC3}" name="CAGR"/>
    <tableColumn id="12" xr3:uid="{677E9E8D-770B-45A3-BE5E-D3DA91335563}" name="Products"/>
    <tableColumn id="13" xr3:uid="{A96F1893-EF02-4649-9ACE-B21F49A3E3B9}" name="Company ID"/>
    <tableColumn id="14" xr3:uid="{81781BCC-6565-433E-8D45-DBAD842A5AA5}" name="Deal Considerations"/>
    <tableColumn id="15" xr3:uid="{068FB5BC-CC0D-4281-B906-DBE24C6E4979}" name="Strategic Comments"/>
    <tableColumn id="26" xr3:uid="{A70B1D20-161F-4F8C-9846-5D014B839FC2}" name="Term 1"/>
    <tableColumn id="27" xr3:uid="{642C6B0E-C1AB-4FAF-BD56-508E50E03897}" name="Term 2"/>
    <tableColumn id="28" xr3:uid="{3BBC955E-6C65-451D-8D02-96C5EEC9A18D}" name="Term 3"/>
    <tableColumn id="29" xr3:uid="{ACFE85D2-3A46-40E5-9E0F-9EAF8C95A263}" name="1X Not Discounted 1"/>
    <tableColumn id="30" xr3:uid="{F9ECF06A-1AE8-4243-AF1D-873825E0EE00}" name="1X Not Discounted 2"/>
    <tableColumn id="31" xr3:uid="{A80F3F13-DE79-4BE4-8DDE-67B1E9C77469}" name="1X Not Discounted 3"/>
    <tableColumn id="32" xr3:uid="{AF3CC5D0-0781-45CF-8816-3B55035AF0A8}" name="1X Discounted 1"/>
    <tableColumn id="33" xr3:uid="{0D7FA4A6-D514-4341-9709-C0791AB72B96}" name="1X Discounted 2"/>
    <tableColumn id="34" xr3:uid="{4176C183-1D66-4D77-AE45-373F82E885A8}" name="1X Discounted 3"/>
    <tableColumn id="42" xr3:uid="{C3F96760-8254-4E23-9A09-B6EB03EBD882}" name="Other Fees 1" dataDxfId="81"/>
    <tableColumn id="41" xr3:uid="{A9B89C45-F20B-4702-B9C3-27A4C57CB4EB}" name="Other Fees 2"/>
    <tableColumn id="40" xr3:uid="{F0AB846A-5D9F-4AFA-AF25-585F27D114D9}" name="Other Fees 3"/>
    <tableColumn id="39" xr3:uid="{D2920CE1-C19E-452A-80B5-336E8F30CDF0}" name="License Fees Not Discounted 1"/>
    <tableColumn id="38" xr3:uid="{11F6CBB1-ED5E-4141-8545-831B12614496}" name="License Fees Not Discounted 2"/>
    <tableColumn id="37" xr3:uid="{B2C47DFB-DC26-4B1D-9401-9750FB9E1C01}" name="License Fees Not Discounted 3"/>
    <tableColumn id="36" xr3:uid="{0A6AEE3A-E4A0-4799-867D-EAD9131637D5}" name="License Fees Discounted 1" dataDxfId="80"/>
    <tableColumn id="35" xr3:uid="{4C9202C4-4251-4716-9876-7827C9C9A67A}" name="License Fees Discounted 2"/>
    <tableColumn id="17" xr3:uid="{1BD6EEE3-8575-490A-A0B7-9DA3AC18CF96}" name="License Fees Discounted 3">
      <calculatedColumnFormula>IF(Summary!D67=0,"",Summary!D61)</calculatedColumnFormula>
    </tableColumn>
    <tableColumn id="44" xr3:uid="{3770018C-C8E8-41AD-A574-C1F40828AEBB}" name="AverageNewMonthlyDiscountSL">
      <calculatedColumnFormula>IFERROR(AVERAGEIFS(Proposal_1!W14:W299,Proposal_1!G14:G299,"=Silver*",Proposal_1!W14:W299,"&lt;&gt;0"),0)</calculatedColumnFormula>
    </tableColumn>
    <tableColumn id="45" xr3:uid="{1C49A869-0262-4079-AC66-78C7763FD6EE}" name="AverageNewMonthlyDiscountCIF">
      <calculatedColumnFormula>IFERROR(AVERAGEIFS(Proposal_1!W14:W299,Proposal_1!G14:G299,"=CIF*",Proposal_1!W14:W299,"&lt;&gt;0"),0)</calculatedColumnFormula>
    </tableColumn>
    <tableColumn id="46" xr3:uid="{8CF4A813-899A-4E48-A777-8F7DD9BE8A01}" name="AverageNewMonthlyDiscountCD">
      <calculatedColumnFormula>IFERROR(AVERAGEIFS(Proposal_1!W14:W299,Proposal_1!G14:G299,"=Core*",Proposal_1!W14:W299,"&lt;&gt;0"),0)</calculatedColumnFormula>
    </tableColumn>
    <tableColumn id="47" xr3:uid="{2EB9A114-D9DE-40F6-8DFD-00ABDE5CDE06}" name="AverageNewMonthlyDiscountTeller">
      <calculatedColumnFormula>IFERROR(AVERAGEIFS(Proposal_1!W14:W299,Proposal_1!G14:G299,"=Teller*",Proposal_1!W14:W299,"&lt;&gt;0"),0)</calculatedColumnFormula>
    </tableColumn>
    <tableColumn id="18" xr3:uid="{51B77E14-D719-422D-A607-8DF7F0A8A967}" name="AverageNewMonthlyDiscount">
      <calculatedColumnFormula>IFERROR(AVERAGEIF(Table5[[#This Row],[AverageNewMonthlyDiscountSL]:[AverageNewMonthlyDiscountTeller]],"&lt;&gt;0"),0)</calculatedColumnFormula>
    </tableColumn>
    <tableColumn id="19" xr3:uid="{8E260329-A4A1-4579-ABF4-4C682BFD2139}" name="AverageNewMonthlyDiscountRounded">
      <calculatedColumnFormula>ROUND(Table5[[#This Row],[AverageNewMonthlyDiscount]],2)</calculatedColumnFormula>
    </tableColumn>
    <tableColumn id="23" xr3:uid="{C80CC3EE-EA11-4920-BD03-BC139878E8C5}" name="NewMonthlyNetSUMRoundedCore">
      <calculatedColumnFormula>ROUND(Table5[[#This Row],[NewMonthlyNetSUMCore]],2)</calculatedColumnFormula>
    </tableColumn>
    <tableColumn id="24" xr3:uid="{B89FDFC4-EA87-4448-A0BC-5121E7734020}" name="NewMonthlyNetSUMCore">
      <calculatedColumnFormula>SUMIF(Proposal_1!G14:G299,"Silver*",Proposal_1!X14:X299)+SUMIF(Proposal_1!G14:G299,"CIF*",Proposal_1!X14:X299)+SUMIF(Proposal_1!G14:G299,"Core*",Proposal_1!X14:X299)</calculatedColumnFormula>
    </tableColumn>
    <tableColumn id="21" xr3:uid="{14C8DB6D-0DEB-4E09-BAA3-EB36D8F0B23F}" name="NewMonthlyNetSUMRoundedTeller">
      <calculatedColumnFormula>ROUND(Table5[[#This Row],[NewMonthlyNetSUMTeller]],2)</calculatedColumnFormula>
    </tableColumn>
    <tableColumn id="20" xr3:uid="{B7080B01-DC4B-46C9-87C4-C79DEA7116F5}" name="NewMonthlyNetSUMTeller">
      <calculatedColumnFormula>SUMIF(Proposal_1!G14:G299,"Teller*",Proposal_1!X14:X299)</calculatedColumnFormula>
    </tableColumn>
    <tableColumn id="25" xr3:uid="{561FB041-4748-4A09-90AE-BC20C160CBCF}" name="CurrentMonthlyNetSumRoundedCore">
      <calculatedColumnFormula>ROUND(Table5[[#This Row],[CurrentMonthlyNetSumCore]],2)</calculatedColumnFormula>
    </tableColumn>
    <tableColumn id="43" xr3:uid="{C1890E77-EF9E-42E3-AF8F-E8D69E42EDFF}" name="CurrentMonthlyNetSumCore">
      <calculatedColumnFormula>SUMIF(Proposal_1!G14:G299,"Silver*",Proposal_1!AB14:AB299)+SUMIF(Proposal_1!G14:G299,"CIF*",Proposal_1!AB14:AB299)+SUMIF(Proposal_1!G14:G299,"Core*",Proposal_1!AB14:AB299)</calculatedColumnFormula>
    </tableColumn>
    <tableColumn id="22" xr3:uid="{D0CCF9EC-F1DA-4372-8CA8-587F2E793AB4}" name="CurrentMonthlyNetSumRoundedTeller">
      <calculatedColumnFormula>ROUND(Table5[[#This Row],[CurrentMonthlyNetSumTeller]],2)</calculatedColumnFormula>
    </tableColumn>
    <tableColumn id="48" xr3:uid="{92417187-B61A-4B37-AC9D-6CCDDF8573C1}" name="AgreementName">
      <calculatedColumnFormula>SF_Output!H2</calculatedColumnFormula>
    </tableColumn>
    <tableColumn id="16" xr3:uid="{A520D50F-D8F3-437F-A67E-07088F876409}" name="CurrentMonthlyNetSumTeller">
      <calculatedColumnFormula>SUMIF(Proposal_1!G14:G299,"Teller*",Proposal_1!AB14:AB299)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041AA-CAF4-40C1-81EE-14988B613FC2}">
  <sheetPr codeName="Sheet1"/>
  <dimension ref="A1:AD1004"/>
  <sheetViews>
    <sheetView topLeftCell="H1" zoomScale="85" zoomScaleNormal="85" workbookViewId="0">
      <pane ySplit="1" topLeftCell="A2" activePane="bottomLeft" state="frozen"/>
      <selection pane="bottomLeft" activeCell="M1" sqref="M1:M1048576"/>
    </sheetView>
  </sheetViews>
  <sheetFormatPr defaultColWidth="25.85546875" defaultRowHeight="15" customHeight="1" x14ac:dyDescent="0.25"/>
  <cols>
    <col min="1" max="1" width="28" bestFit="1" customWidth="1"/>
    <col min="2" max="2" width="19.85546875" bestFit="1" customWidth="1"/>
    <col min="3" max="3" width="16" bestFit="1" customWidth="1"/>
    <col min="4" max="4" width="23.85546875" bestFit="1" customWidth="1"/>
    <col min="5" max="5" width="20" bestFit="1" customWidth="1"/>
    <col min="6" max="6" width="7.5703125" bestFit="1" customWidth="1"/>
    <col min="7" max="7" width="15.85546875" bestFit="1" customWidth="1"/>
    <col min="8" max="8" width="36.5703125" bestFit="1" customWidth="1"/>
    <col min="9" max="9" width="20.28515625" bestFit="1" customWidth="1"/>
    <col min="10" max="10" width="18.5703125" bestFit="1" customWidth="1"/>
    <col min="11" max="11" width="34.28515625" bestFit="1" customWidth="1"/>
    <col min="12" max="12" width="20.7109375" bestFit="1" customWidth="1"/>
    <col min="13" max="13" width="36.5703125" bestFit="1" customWidth="1"/>
    <col min="14" max="14" width="10.85546875" bestFit="1" customWidth="1"/>
    <col min="15" max="15" width="25.5703125" bestFit="1" customWidth="1"/>
    <col min="16" max="16" width="16.28515625" bestFit="1" customWidth="1"/>
    <col min="17" max="17" width="17.28515625" bestFit="1" customWidth="1"/>
    <col min="18" max="18" width="8.7109375" bestFit="1" customWidth="1"/>
    <col min="19" max="19" width="32.5703125" bestFit="1" customWidth="1"/>
    <col min="20" max="20" width="27.42578125" bestFit="1" customWidth="1"/>
    <col min="21" max="21" width="14.7109375" bestFit="1" customWidth="1"/>
    <col min="22" max="22" width="20.28515625" bestFit="1" customWidth="1"/>
    <col min="23" max="23" width="10.28515625" bestFit="1" customWidth="1"/>
    <col min="24" max="24" width="22.42578125" bestFit="1" customWidth="1"/>
    <col min="25" max="25" width="34" bestFit="1" customWidth="1"/>
    <col min="26" max="26" width="10" customWidth="1"/>
    <col min="27" max="28" width="10.28515625" customWidth="1"/>
    <col min="29" max="29" width="44.85546875" customWidth="1"/>
    <col min="30" max="30" width="16.42578125" customWidth="1"/>
  </cols>
  <sheetData>
    <row r="1" spans="1:30" ht="15" customHeight="1" x14ac:dyDescent="0.25">
      <c r="A1" s="109" t="s">
        <v>2096</v>
      </c>
      <c r="B1" s="109" t="s">
        <v>2097</v>
      </c>
      <c r="C1" s="109" t="s">
        <v>2098</v>
      </c>
      <c r="D1" s="109" t="s">
        <v>2099</v>
      </c>
      <c r="E1" s="109" t="s">
        <v>2100</v>
      </c>
      <c r="F1" s="109" t="s">
        <v>2101</v>
      </c>
      <c r="G1" s="109" t="s">
        <v>2102</v>
      </c>
      <c r="H1" s="109" t="s">
        <v>2103</v>
      </c>
      <c r="I1" s="109" t="s">
        <v>2104</v>
      </c>
      <c r="J1" s="109" t="s">
        <v>2105</v>
      </c>
      <c r="K1" s="109" t="s">
        <v>55</v>
      </c>
      <c r="L1" s="109" t="s">
        <v>2106</v>
      </c>
      <c r="M1" s="109" t="s">
        <v>2107</v>
      </c>
      <c r="N1" s="109" t="s">
        <v>51</v>
      </c>
      <c r="O1" s="109" t="s">
        <v>52</v>
      </c>
      <c r="P1" s="109" t="s">
        <v>2108</v>
      </c>
      <c r="Q1" s="109" t="s">
        <v>2109</v>
      </c>
      <c r="R1" s="109" t="s">
        <v>56</v>
      </c>
      <c r="S1" s="109" t="s">
        <v>2110</v>
      </c>
      <c r="T1" s="109" t="s">
        <v>2111</v>
      </c>
      <c r="U1" s="109" t="s">
        <v>2112</v>
      </c>
      <c r="V1" s="109" t="s">
        <v>2113</v>
      </c>
      <c r="W1" s="109" t="s">
        <v>2114</v>
      </c>
      <c r="X1" s="109" t="s">
        <v>2115</v>
      </c>
      <c r="Y1" s="109" t="s">
        <v>2116</v>
      </c>
      <c r="Z1" s="109" t="s">
        <v>0</v>
      </c>
      <c r="AA1" s="109" t="s">
        <v>1</v>
      </c>
      <c r="AB1" s="109" t="s">
        <v>2</v>
      </c>
    </row>
    <row r="2" spans="1:30" ht="15" customHeight="1" x14ac:dyDescent="0.25">
      <c r="A2" s="127">
        <v>45895</v>
      </c>
      <c r="B2" s="2" t="s">
        <v>2117</v>
      </c>
      <c r="C2" s="110">
        <v>0</v>
      </c>
      <c r="D2" s="2" t="s">
        <v>2118</v>
      </c>
      <c r="E2" s="2" t="s">
        <v>2119</v>
      </c>
      <c r="F2" s="110">
        <v>0</v>
      </c>
      <c r="G2" s="110">
        <v>0</v>
      </c>
      <c r="H2" s="2" t="s">
        <v>2120</v>
      </c>
      <c r="I2" s="2" t="s">
        <v>187</v>
      </c>
      <c r="J2" s="2" t="s">
        <v>869</v>
      </c>
      <c r="K2" s="2" t="s">
        <v>578</v>
      </c>
      <c r="L2" s="2" t="s">
        <v>2121</v>
      </c>
      <c r="M2" s="2" t="s">
        <v>870</v>
      </c>
      <c r="N2" s="2" t="s">
        <v>2122</v>
      </c>
      <c r="O2" s="2" t="s">
        <v>2123</v>
      </c>
      <c r="P2" s="2" t="s">
        <v>2124</v>
      </c>
      <c r="Q2" s="2" t="s">
        <v>2125</v>
      </c>
      <c r="R2" s="110">
        <v>1</v>
      </c>
      <c r="S2" s="110">
        <v>1880</v>
      </c>
      <c r="T2" s="110">
        <v>0</v>
      </c>
      <c r="U2" s="2" t="s">
        <v>2126</v>
      </c>
      <c r="V2" s="110"/>
      <c r="W2" s="110">
        <v>1880</v>
      </c>
      <c r="X2" s="2" t="s">
        <v>2127</v>
      </c>
      <c r="Y2" s="110">
        <v>5000</v>
      </c>
      <c r="Z2" s="110">
        <f t="shared" ref="Z2:Z65" si="0">ROUND(IF((F2+G2)=0,0,S2/Y2),4)</f>
        <v>0</v>
      </c>
      <c r="AA2" cm="1">
        <f t="array" aca="1" ref="AA2" ca="1">IFERROR(INDEX(H_Tables!E:E,MATCH(INDIRECT("I"&amp;ROW()),H_Tables!F:F,0)),"")</f>
        <v>7</v>
      </c>
      <c r="AB2" cm="1">
        <f t="array" aca="1" ref="AB2" ca="1">IFERROR(INDEX(H_Tables!H:H,MATCH(INDIRECT("k"&amp;ROW()),H_Tables!I:I,0)),"")</f>
        <v>1</v>
      </c>
      <c r="AC2" t="str">
        <f t="shared" ref="AC2:AC67" si="1">_xlfn.TEXTJOIN(",",TRUE,M2:P2)</f>
        <v>Centurion Remote Data Entry,New,Hosted by JHA,0</v>
      </c>
      <c r="AD2">
        <v>1</v>
      </c>
    </row>
    <row r="3" spans="1:30" ht="15" customHeight="1" x14ac:dyDescent="0.25">
      <c r="A3" s="127">
        <v>45895</v>
      </c>
      <c r="B3" s="2" t="s">
        <v>2117</v>
      </c>
      <c r="C3" s="110">
        <v>0</v>
      </c>
      <c r="D3" s="2" t="s">
        <v>2118</v>
      </c>
      <c r="E3" s="2" t="s">
        <v>2119</v>
      </c>
      <c r="F3" s="110">
        <v>0</v>
      </c>
      <c r="G3" s="110">
        <v>0</v>
      </c>
      <c r="H3" s="2" t="s">
        <v>2120</v>
      </c>
      <c r="I3" s="2" t="s">
        <v>187</v>
      </c>
      <c r="J3" s="2" t="s">
        <v>1832</v>
      </c>
      <c r="K3" s="2" t="s">
        <v>578</v>
      </c>
      <c r="L3" s="2" t="s">
        <v>2121</v>
      </c>
      <c r="M3" s="2" t="s">
        <v>1833</v>
      </c>
      <c r="N3" s="2" t="s">
        <v>2122</v>
      </c>
      <c r="O3" s="2" t="s">
        <v>2123</v>
      </c>
      <c r="P3" s="2" t="s">
        <v>2124</v>
      </c>
      <c r="Q3" s="2" t="s">
        <v>152</v>
      </c>
      <c r="R3" s="110">
        <v>1</v>
      </c>
      <c r="S3" s="110">
        <v>200</v>
      </c>
      <c r="T3" s="110">
        <v>0</v>
      </c>
      <c r="U3" s="2" t="s">
        <v>2126</v>
      </c>
      <c r="V3" s="110"/>
      <c r="W3" s="110">
        <v>200</v>
      </c>
      <c r="X3" s="2" t="s">
        <v>2128</v>
      </c>
      <c r="Y3" s="110">
        <v>5000</v>
      </c>
      <c r="Z3" s="110">
        <f t="shared" si="0"/>
        <v>0</v>
      </c>
      <c r="AA3" cm="1">
        <f t="array" aca="1" ref="AA3" ca="1">IFERROR(INDEX(H_Tables!E:E,MATCH(INDIRECT("I"&amp;ROW()),H_Tables!F:F,0)),"")</f>
        <v>7</v>
      </c>
      <c r="AB3" cm="1">
        <f t="array" aca="1" ref="AB3" ca="1">IFERROR(INDEX(H_Tables!H:H,MATCH(INDIRECT("k"&amp;ROW()),H_Tables!I:I,0)),"")</f>
        <v>1</v>
      </c>
      <c r="AC3" t="str">
        <f t="shared" si="1"/>
        <v>Centurion Connectivity for Jack Henry Hosted Services,New,Hosted by JHA,0</v>
      </c>
      <c r="AD3">
        <v>2</v>
      </c>
    </row>
    <row r="4" spans="1:30" ht="15" customHeight="1" x14ac:dyDescent="0.25">
      <c r="A4" s="127">
        <v>45895</v>
      </c>
      <c r="B4" s="2" t="s">
        <v>2117</v>
      </c>
      <c r="C4" s="110">
        <v>0</v>
      </c>
      <c r="D4" s="2" t="s">
        <v>2118</v>
      </c>
      <c r="E4" s="2" t="s">
        <v>2119</v>
      </c>
      <c r="F4" s="110">
        <v>0</v>
      </c>
      <c r="G4" s="110">
        <v>0</v>
      </c>
      <c r="H4" s="2" t="s">
        <v>2120</v>
      </c>
      <c r="I4" s="2" t="s">
        <v>188</v>
      </c>
      <c r="J4" s="2" t="s">
        <v>315</v>
      </c>
      <c r="K4" s="2" t="s">
        <v>558</v>
      </c>
      <c r="L4" s="2" t="s">
        <v>2129</v>
      </c>
      <c r="M4" s="2" t="s">
        <v>2130</v>
      </c>
      <c r="N4" s="2" t="s">
        <v>2122</v>
      </c>
      <c r="O4" s="2" t="s">
        <v>2123</v>
      </c>
      <c r="P4" s="2" t="s">
        <v>2124</v>
      </c>
      <c r="Q4" s="2" t="s">
        <v>152</v>
      </c>
      <c r="R4" s="110">
        <v>1</v>
      </c>
      <c r="S4" s="110">
        <v>400</v>
      </c>
      <c r="T4" s="110">
        <v>0</v>
      </c>
      <c r="U4" s="2" t="s">
        <v>2126</v>
      </c>
      <c r="V4" s="110"/>
      <c r="W4" s="110">
        <v>400</v>
      </c>
      <c r="X4" s="2" t="s">
        <v>2131</v>
      </c>
      <c r="Y4" s="110">
        <v>5000</v>
      </c>
      <c r="Z4" s="110">
        <f t="shared" si="0"/>
        <v>0</v>
      </c>
      <c r="AA4" cm="1">
        <f t="array" aca="1" ref="AA4" ca="1">IFERROR(INDEX(H_Tables!E:E,MATCH(INDIRECT("I"&amp;ROW()),H_Tables!F:F,0)),"")</f>
        <v>6</v>
      </c>
      <c r="AB4" cm="1">
        <f t="array" aca="1" ref="AB4" ca="1">IFERROR(INDEX(H_Tables!H:H,MATCH(INDIRECT("k"&amp;ROW()),H_Tables!I:I,0)),"")</f>
        <v>3</v>
      </c>
      <c r="AC4" t="str">
        <f t="shared" si="1"/>
        <v>iPay Business BillPay Banno,New,Hosted by JHA,0</v>
      </c>
      <c r="AD4">
        <v>3</v>
      </c>
    </row>
    <row r="5" spans="1:30" ht="15" customHeight="1" x14ac:dyDescent="0.25">
      <c r="A5" s="127">
        <v>45895</v>
      </c>
      <c r="B5" s="2" t="s">
        <v>2117</v>
      </c>
      <c r="C5" s="110">
        <v>0</v>
      </c>
      <c r="D5" s="2" t="s">
        <v>2118</v>
      </c>
      <c r="E5" s="2" t="s">
        <v>2119</v>
      </c>
      <c r="F5" s="110">
        <v>0</v>
      </c>
      <c r="G5" s="110">
        <v>0</v>
      </c>
      <c r="H5" s="2" t="s">
        <v>2120</v>
      </c>
      <c r="I5" s="2" t="s">
        <v>188</v>
      </c>
      <c r="J5" s="2" t="s">
        <v>315</v>
      </c>
      <c r="K5" s="2" t="s">
        <v>558</v>
      </c>
      <c r="L5" s="2" t="s">
        <v>2121</v>
      </c>
      <c r="M5" s="2" t="s">
        <v>2130</v>
      </c>
      <c r="N5" s="2" t="s">
        <v>2122</v>
      </c>
      <c r="O5" s="2" t="s">
        <v>2123</v>
      </c>
      <c r="P5" s="2" t="s">
        <v>2124</v>
      </c>
      <c r="Q5" s="2" t="s">
        <v>2132</v>
      </c>
      <c r="R5" s="110">
        <v>1</v>
      </c>
      <c r="S5" s="110">
        <v>2500</v>
      </c>
      <c r="T5" s="110">
        <v>-2500</v>
      </c>
      <c r="U5" s="2" t="s">
        <v>2126</v>
      </c>
      <c r="V5" s="110"/>
      <c r="W5" s="110">
        <v>2500</v>
      </c>
      <c r="X5" s="2" t="s">
        <v>2133</v>
      </c>
      <c r="Y5" s="110">
        <v>5000</v>
      </c>
      <c r="Z5" s="110">
        <f t="shared" si="0"/>
        <v>0</v>
      </c>
      <c r="AA5" cm="1">
        <f t="array" aca="1" ref="AA5" ca="1">IFERROR(INDEX(H_Tables!E:E,MATCH(INDIRECT("I"&amp;ROW()),H_Tables!F:F,0)),"")</f>
        <v>6</v>
      </c>
      <c r="AB5" cm="1">
        <f t="array" aca="1" ref="AB5" ca="1">IFERROR(INDEX(H_Tables!H:H,MATCH(INDIRECT("k"&amp;ROW()),H_Tables!I:I,0)),"")</f>
        <v>3</v>
      </c>
      <c r="AC5" t="str">
        <f t="shared" si="1"/>
        <v>iPay Business BillPay Banno,New,Hosted by JHA,0</v>
      </c>
      <c r="AD5">
        <v>4</v>
      </c>
    </row>
    <row r="6" spans="1:30" ht="15" customHeight="1" x14ac:dyDescent="0.25">
      <c r="A6" s="127">
        <v>45895</v>
      </c>
      <c r="B6" s="2" t="s">
        <v>2117</v>
      </c>
      <c r="C6" s="110">
        <v>0</v>
      </c>
      <c r="D6" s="2" t="s">
        <v>2118</v>
      </c>
      <c r="E6" s="2" t="s">
        <v>2119</v>
      </c>
      <c r="F6" s="110">
        <v>0</v>
      </c>
      <c r="G6" s="110">
        <v>0</v>
      </c>
      <c r="H6" s="2" t="s">
        <v>2120</v>
      </c>
      <c r="I6" s="2" t="s">
        <v>188</v>
      </c>
      <c r="J6" s="2" t="s">
        <v>1162</v>
      </c>
      <c r="K6" s="2" t="s">
        <v>558</v>
      </c>
      <c r="L6" s="2" t="s">
        <v>2129</v>
      </c>
      <c r="M6" s="2" t="s">
        <v>2134</v>
      </c>
      <c r="N6" s="2" t="s">
        <v>2122</v>
      </c>
      <c r="O6" s="2" t="s">
        <v>2123</v>
      </c>
      <c r="P6" s="2" t="s">
        <v>2124</v>
      </c>
      <c r="Q6" s="2" t="s">
        <v>2125</v>
      </c>
      <c r="R6" s="110">
        <v>1</v>
      </c>
      <c r="S6" s="110">
        <v>630</v>
      </c>
      <c r="T6" s="110">
        <v>0</v>
      </c>
      <c r="U6" s="2" t="s">
        <v>2126</v>
      </c>
      <c r="V6" s="110">
        <v>630</v>
      </c>
      <c r="W6" s="110">
        <v>595</v>
      </c>
      <c r="X6" s="2" t="s">
        <v>2135</v>
      </c>
      <c r="Y6" s="110">
        <v>5000</v>
      </c>
      <c r="Z6" s="110">
        <f t="shared" si="0"/>
        <v>0</v>
      </c>
      <c r="AA6" cm="1">
        <f t="array" aca="1" ref="AA6" ca="1">IFERROR(INDEX(H_Tables!E:E,MATCH(INDIRECT("I"&amp;ROW()),H_Tables!F:F,0)),"")</f>
        <v>6</v>
      </c>
      <c r="AB6" cm="1">
        <f t="array" aca="1" ref="AB6" ca="1">IFERROR(INDEX(H_Tables!H:H,MATCH(INDIRECT("k"&amp;ROW()),H_Tables!I:I,0)),"")</f>
        <v>3</v>
      </c>
      <c r="AC6" t="str">
        <f t="shared" si="1"/>
        <v>iPay Electronic Bill Payment Annual Compliance Package Banno,New,Hosted by JHA,0</v>
      </c>
      <c r="AD6">
        <v>5</v>
      </c>
    </row>
    <row r="7" spans="1:30" ht="15" customHeight="1" x14ac:dyDescent="0.25">
      <c r="A7" s="127">
        <v>45895</v>
      </c>
      <c r="B7" s="2" t="s">
        <v>2117</v>
      </c>
      <c r="C7" s="110">
        <v>0</v>
      </c>
      <c r="D7" s="2" t="s">
        <v>2118</v>
      </c>
      <c r="E7" s="2" t="s">
        <v>2119</v>
      </c>
      <c r="F7" s="110">
        <v>0</v>
      </c>
      <c r="G7" s="110">
        <v>0</v>
      </c>
      <c r="H7" s="2" t="s">
        <v>2120</v>
      </c>
      <c r="I7" s="2" t="s">
        <v>188</v>
      </c>
      <c r="J7" s="2" t="s">
        <v>314</v>
      </c>
      <c r="K7" s="2" t="s">
        <v>558</v>
      </c>
      <c r="L7" s="2" t="s">
        <v>2129</v>
      </c>
      <c r="M7" s="2" t="s">
        <v>1161</v>
      </c>
      <c r="N7" s="2" t="s">
        <v>2122</v>
      </c>
      <c r="O7" s="2" t="s">
        <v>2123</v>
      </c>
      <c r="P7" s="2" t="s">
        <v>2124</v>
      </c>
      <c r="Q7" s="2" t="s">
        <v>152</v>
      </c>
      <c r="R7" s="110">
        <v>1</v>
      </c>
      <c r="S7" s="110">
        <v>0</v>
      </c>
      <c r="T7" s="110">
        <v>0</v>
      </c>
      <c r="U7" s="2" t="s">
        <v>2126</v>
      </c>
      <c r="V7" s="110"/>
      <c r="W7" s="110">
        <v>0</v>
      </c>
      <c r="X7" s="2" t="s">
        <v>2136</v>
      </c>
      <c r="Y7" s="110">
        <v>5000</v>
      </c>
      <c r="Z7" s="110">
        <f t="shared" si="0"/>
        <v>0</v>
      </c>
      <c r="AA7" cm="1">
        <f t="array" aca="1" ref="AA7" ca="1">IFERROR(INDEX(H_Tables!E:E,MATCH(INDIRECT("I"&amp;ROW()),H_Tables!F:F,0)),"")</f>
        <v>6</v>
      </c>
      <c r="AB7" cm="1">
        <f t="array" aca="1" ref="AB7" ca="1">IFERROR(INDEX(H_Tables!H:H,MATCH(INDIRECT("k"&amp;ROW()),H_Tables!I:I,0)),"")</f>
        <v>3</v>
      </c>
      <c r="AC7" t="str">
        <f t="shared" si="1"/>
        <v>iPay eBill Detail,New,Hosted by JHA,0</v>
      </c>
      <c r="AD7">
        <v>6</v>
      </c>
    </row>
    <row r="8" spans="1:30" ht="15" customHeight="1" x14ac:dyDescent="0.25">
      <c r="A8" s="127">
        <v>45895</v>
      </c>
      <c r="B8" s="2" t="s">
        <v>2117</v>
      </c>
      <c r="C8" s="110">
        <v>0</v>
      </c>
      <c r="D8" s="2" t="s">
        <v>2118</v>
      </c>
      <c r="E8" s="2" t="s">
        <v>2119</v>
      </c>
      <c r="F8" s="110">
        <v>0</v>
      </c>
      <c r="G8" s="110">
        <v>0</v>
      </c>
      <c r="H8" s="2" t="s">
        <v>2120</v>
      </c>
      <c r="I8" s="2" t="s">
        <v>188</v>
      </c>
      <c r="J8" s="2" t="s">
        <v>2137</v>
      </c>
      <c r="K8" s="2" t="s">
        <v>558</v>
      </c>
      <c r="L8" s="2" t="s">
        <v>2121</v>
      </c>
      <c r="M8" s="2" t="s">
        <v>2138</v>
      </c>
      <c r="N8" s="2" t="s">
        <v>2122</v>
      </c>
      <c r="O8" s="2" t="s">
        <v>2123</v>
      </c>
      <c r="P8" s="2" t="s">
        <v>2124</v>
      </c>
      <c r="Q8" s="2" t="s">
        <v>2132</v>
      </c>
      <c r="R8" s="110">
        <v>1</v>
      </c>
      <c r="S8" s="110">
        <v>5000</v>
      </c>
      <c r="T8" s="110">
        <v>-5000</v>
      </c>
      <c r="U8" s="2" t="s">
        <v>2126</v>
      </c>
      <c r="V8" s="110"/>
      <c r="W8" s="110">
        <v>5000</v>
      </c>
      <c r="X8" s="2" t="s">
        <v>2139</v>
      </c>
      <c r="Y8" s="110">
        <v>5000</v>
      </c>
      <c r="Z8" s="110">
        <f t="shared" si="0"/>
        <v>0</v>
      </c>
      <c r="AA8" cm="1">
        <f t="array" aca="1" ref="AA8" ca="1">IFERROR(INDEX(H_Tables!E:E,MATCH(INDIRECT("I"&amp;ROW()),H_Tables!F:F,0)),"")</f>
        <v>6</v>
      </c>
      <c r="AB8" cm="1">
        <f t="array" aca="1" ref="AB8" ca="1">IFERROR(INDEX(H_Tables!H:H,MATCH(INDIRECT("k"&amp;ROW()),H_Tables!I:I,0)),"")</f>
        <v>3</v>
      </c>
      <c r="AC8" t="str">
        <f t="shared" si="1"/>
        <v>Payrailz/iPay Integration,New,Hosted by JHA,0</v>
      </c>
      <c r="AD8">
        <v>7</v>
      </c>
    </row>
    <row r="9" spans="1:30" ht="15" customHeight="1" x14ac:dyDescent="0.25">
      <c r="A9" s="127">
        <v>45895</v>
      </c>
      <c r="B9" s="2" t="s">
        <v>2117</v>
      </c>
      <c r="C9" s="110">
        <v>0</v>
      </c>
      <c r="D9" s="2" t="s">
        <v>2118</v>
      </c>
      <c r="E9" s="2" t="s">
        <v>2119</v>
      </c>
      <c r="F9" s="110">
        <v>1.2181</v>
      </c>
      <c r="G9" s="110">
        <v>0</v>
      </c>
      <c r="H9" s="2" t="s">
        <v>2120</v>
      </c>
      <c r="I9" s="2" t="s">
        <v>182</v>
      </c>
      <c r="J9" s="2" t="s">
        <v>402</v>
      </c>
      <c r="K9" s="2" t="s">
        <v>599</v>
      </c>
      <c r="L9" s="2" t="s">
        <v>2129</v>
      </c>
      <c r="M9" s="2" t="s">
        <v>1794</v>
      </c>
      <c r="N9" s="2" t="s">
        <v>2122</v>
      </c>
      <c r="O9" s="2" t="s">
        <v>2123</v>
      </c>
      <c r="P9" s="2" t="s">
        <v>2124</v>
      </c>
      <c r="Q9" s="2" t="s">
        <v>152</v>
      </c>
      <c r="R9" s="110">
        <v>5000</v>
      </c>
      <c r="S9" s="110">
        <v>6921.15</v>
      </c>
      <c r="T9" s="110">
        <v>-830.54</v>
      </c>
      <c r="U9" s="2" t="s">
        <v>2126</v>
      </c>
      <c r="V9" s="110"/>
      <c r="W9" s="110">
        <v>1.3842300000000001</v>
      </c>
      <c r="X9" s="2" t="s">
        <v>2140</v>
      </c>
      <c r="Y9" s="110">
        <v>5000</v>
      </c>
      <c r="Z9" s="110">
        <f t="shared" si="0"/>
        <v>1.3842000000000001</v>
      </c>
      <c r="AA9" cm="1">
        <f t="array" aca="1" ref="AA9" ca="1">IFERROR(INDEX(H_Tables!E:E,MATCH(INDIRECT("I"&amp;ROW()),H_Tables!F:F,0)),"")</f>
        <v>1</v>
      </c>
      <c r="AB9" cm="1">
        <f t="array" aca="1" ref="AB9" ca="1">IFERROR(INDEX(H_Tables!H:H,MATCH(INDIRECT("k"&amp;ROW()),H_Tables!I:I,0)),"")</f>
        <v>1</v>
      </c>
      <c r="AC9" t="str">
        <f t="shared" si="1"/>
        <v>SilverLake System Bundle,New,Hosted by JHA,0</v>
      </c>
      <c r="AD9">
        <v>8</v>
      </c>
    </row>
    <row r="10" spans="1:30" ht="15" customHeight="1" x14ac:dyDescent="0.25">
      <c r="A10" s="127">
        <v>45895</v>
      </c>
      <c r="B10" s="2" t="s">
        <v>2117</v>
      </c>
      <c r="C10" s="110">
        <v>0</v>
      </c>
      <c r="D10" s="2" t="s">
        <v>2118</v>
      </c>
      <c r="E10" s="2" t="s">
        <v>2119</v>
      </c>
      <c r="F10" s="110">
        <v>0</v>
      </c>
      <c r="G10" s="110">
        <v>0</v>
      </c>
      <c r="H10" s="2" t="s">
        <v>2120</v>
      </c>
      <c r="I10" s="2" t="s">
        <v>182</v>
      </c>
      <c r="J10" s="2" t="s">
        <v>402</v>
      </c>
      <c r="K10" s="2" t="s">
        <v>599</v>
      </c>
      <c r="L10" s="2" t="s">
        <v>2121</v>
      </c>
      <c r="M10" s="2" t="s">
        <v>1794</v>
      </c>
      <c r="N10" s="2" t="s">
        <v>2122</v>
      </c>
      <c r="O10" s="2" t="s">
        <v>2123</v>
      </c>
      <c r="P10" s="2" t="s">
        <v>2124</v>
      </c>
      <c r="Q10" s="2" t="s">
        <v>2132</v>
      </c>
      <c r="R10" s="110">
        <v>1</v>
      </c>
      <c r="S10" s="110">
        <v>78700</v>
      </c>
      <c r="T10" s="110">
        <v>-78700</v>
      </c>
      <c r="U10" s="2" t="s">
        <v>2126</v>
      </c>
      <c r="V10" s="110"/>
      <c r="W10" s="110">
        <v>78700</v>
      </c>
      <c r="X10" s="2" t="s">
        <v>2141</v>
      </c>
      <c r="Y10" s="110">
        <v>5000</v>
      </c>
      <c r="Z10" s="110">
        <f t="shared" si="0"/>
        <v>0</v>
      </c>
      <c r="AA10" cm="1">
        <f t="array" aca="1" ref="AA10" ca="1">IFERROR(INDEX(H_Tables!E:E,MATCH(INDIRECT("I"&amp;ROW()),H_Tables!F:F,0)),"")</f>
        <v>1</v>
      </c>
      <c r="AB10" cm="1">
        <f t="array" aca="1" ref="AB10" ca="1">IFERROR(INDEX(H_Tables!H:H,MATCH(INDIRECT("k"&amp;ROW()),H_Tables!I:I,0)),"")</f>
        <v>1</v>
      </c>
      <c r="AC10" t="str">
        <f t="shared" si="1"/>
        <v>SilverLake System Bundle,New,Hosted by JHA,0</v>
      </c>
      <c r="AD10">
        <v>9</v>
      </c>
    </row>
    <row r="11" spans="1:30" ht="15" customHeight="1" x14ac:dyDescent="0.25">
      <c r="A11" s="127">
        <v>45895</v>
      </c>
      <c r="B11" s="2" t="s">
        <v>2117</v>
      </c>
      <c r="C11" s="110">
        <v>0</v>
      </c>
      <c r="D11" s="2" t="s">
        <v>2118</v>
      </c>
      <c r="E11" s="2" t="s">
        <v>2119</v>
      </c>
      <c r="F11" s="110">
        <v>0</v>
      </c>
      <c r="G11" s="110">
        <v>0</v>
      </c>
      <c r="H11" s="2" t="s">
        <v>2120</v>
      </c>
      <c r="I11" s="2" t="s">
        <v>182</v>
      </c>
      <c r="J11" s="2" t="s">
        <v>2142</v>
      </c>
      <c r="K11" s="2" t="s">
        <v>599</v>
      </c>
      <c r="L11" s="2" t="s">
        <v>2121</v>
      </c>
      <c r="M11" s="2" t="s">
        <v>2143</v>
      </c>
      <c r="N11" s="2" t="s">
        <v>2122</v>
      </c>
      <c r="O11" s="2" t="s">
        <v>2123</v>
      </c>
      <c r="P11" s="2" t="s">
        <v>2124</v>
      </c>
      <c r="Q11" s="2" t="s">
        <v>2132</v>
      </c>
      <c r="R11" s="110">
        <v>1</v>
      </c>
      <c r="S11" s="110">
        <v>125405</v>
      </c>
      <c r="T11" s="110">
        <v>-125405</v>
      </c>
      <c r="U11" s="2" t="s">
        <v>2126</v>
      </c>
      <c r="V11" s="110"/>
      <c r="W11" s="110">
        <v>125405</v>
      </c>
      <c r="X11" s="2" t="s">
        <v>2144</v>
      </c>
      <c r="Y11" s="110">
        <v>5000</v>
      </c>
      <c r="Z11" s="110">
        <f t="shared" si="0"/>
        <v>0</v>
      </c>
      <c r="AA11" cm="1">
        <f t="array" aca="1" ref="AA11" ca="1">IFERROR(INDEX(H_Tables!E:E,MATCH(INDIRECT("I"&amp;ROW()),H_Tables!F:F,0)),"")</f>
        <v>1</v>
      </c>
      <c r="AB11" cm="1">
        <f t="array" aca="1" ref="AB11" ca="1">IFERROR(INDEX(H_Tables!H:H,MATCH(INDIRECT("k"&amp;ROW()),H_Tables!I:I,0)),"")</f>
        <v>1</v>
      </c>
      <c r="AC11" t="str">
        <f t="shared" si="1"/>
        <v>SilverLake Technical Conversion/Installation,New,Hosted by JHA,0</v>
      </c>
      <c r="AD11">
        <v>10</v>
      </c>
    </row>
    <row r="12" spans="1:30" ht="15" customHeight="1" x14ac:dyDescent="0.25">
      <c r="A12" s="127">
        <v>45895</v>
      </c>
      <c r="B12" s="2" t="s">
        <v>2117</v>
      </c>
      <c r="C12" s="110">
        <v>0</v>
      </c>
      <c r="D12" s="2" t="s">
        <v>2118</v>
      </c>
      <c r="E12" s="2" t="s">
        <v>2119</v>
      </c>
      <c r="F12" s="110">
        <v>0</v>
      </c>
      <c r="G12" s="110">
        <v>0</v>
      </c>
      <c r="H12" s="2" t="s">
        <v>2120</v>
      </c>
      <c r="I12" s="2" t="s">
        <v>190</v>
      </c>
      <c r="J12" s="2" t="s">
        <v>1433</v>
      </c>
      <c r="K12" s="2" t="s">
        <v>599</v>
      </c>
      <c r="L12" s="2" t="s">
        <v>2121</v>
      </c>
      <c r="M12" s="2" t="s">
        <v>1434</v>
      </c>
      <c r="N12" s="2" t="s">
        <v>2122</v>
      </c>
      <c r="O12" s="2" t="s">
        <v>2123</v>
      </c>
      <c r="P12" s="2" t="s">
        <v>2124</v>
      </c>
      <c r="Q12" s="2" t="s">
        <v>2132</v>
      </c>
      <c r="R12" s="110">
        <v>1</v>
      </c>
      <c r="S12" s="110">
        <v>30000</v>
      </c>
      <c r="T12" s="110">
        <v>0</v>
      </c>
      <c r="U12" s="2" t="s">
        <v>2126</v>
      </c>
      <c r="V12" s="110"/>
      <c r="W12" s="110">
        <v>30000</v>
      </c>
      <c r="X12" s="2" t="s">
        <v>2145</v>
      </c>
      <c r="Y12" s="110">
        <v>5000</v>
      </c>
      <c r="Z12" s="110">
        <f t="shared" si="0"/>
        <v>0</v>
      </c>
      <c r="AA12" cm="1">
        <f t="array" aca="1" ref="AA12" ca="1">IFERROR(INDEX(H_Tables!E:E,MATCH(INDIRECT("I"&amp;ROW()),H_Tables!F:F,0)),"")</f>
        <v>9</v>
      </c>
      <c r="AB12" cm="1">
        <f t="array" aca="1" ref="AB12" ca="1">IFERROR(INDEX(H_Tables!H:H,MATCH(INDIRECT("k"&amp;ROW()),H_Tables!I:I,0)),"")</f>
        <v>1</v>
      </c>
      <c r="AC12" t="str">
        <f t="shared" si="1"/>
        <v>Core Implementation Training,New,Hosted by JHA,0</v>
      </c>
      <c r="AD12">
        <v>11</v>
      </c>
    </row>
    <row r="13" spans="1:30" ht="15" customHeight="1" x14ac:dyDescent="0.25">
      <c r="A13" s="127">
        <v>45895</v>
      </c>
      <c r="B13" s="2" t="s">
        <v>2117</v>
      </c>
      <c r="C13" s="110">
        <v>0</v>
      </c>
      <c r="D13" s="2" t="s">
        <v>2118</v>
      </c>
      <c r="E13" s="2" t="s">
        <v>2119</v>
      </c>
      <c r="F13" s="110">
        <v>0</v>
      </c>
      <c r="G13" s="110">
        <v>0</v>
      </c>
      <c r="H13" s="2" t="s">
        <v>2120</v>
      </c>
      <c r="I13" s="2" t="s">
        <v>182</v>
      </c>
      <c r="J13" s="2" t="s">
        <v>1773</v>
      </c>
      <c r="K13" s="2" t="s">
        <v>599</v>
      </c>
      <c r="L13" s="2" t="s">
        <v>2129</v>
      </c>
      <c r="M13" s="2" t="s">
        <v>1774</v>
      </c>
      <c r="N13" s="2" t="s">
        <v>2122</v>
      </c>
      <c r="O13" s="2" t="s">
        <v>2123</v>
      </c>
      <c r="P13" s="2" t="s">
        <v>2124</v>
      </c>
      <c r="Q13" s="2" t="s">
        <v>152</v>
      </c>
      <c r="R13" s="110">
        <v>1</v>
      </c>
      <c r="S13" s="110">
        <v>0.25</v>
      </c>
      <c r="T13" s="110">
        <v>0</v>
      </c>
      <c r="U13" s="2" t="s">
        <v>2126</v>
      </c>
      <c r="V13" s="110"/>
      <c r="W13" s="110">
        <v>0.25</v>
      </c>
      <c r="X13" s="2" t="s">
        <v>2146</v>
      </c>
      <c r="Y13" s="110">
        <v>5000</v>
      </c>
      <c r="Z13" s="110">
        <f t="shared" si="0"/>
        <v>0</v>
      </c>
      <c r="AA13" cm="1">
        <f t="array" aca="1" ref="AA13" ca="1">IFERROR(INDEX(H_Tables!E:E,MATCH(INDIRECT("I"&amp;ROW()),H_Tables!F:F,0)),"")</f>
        <v>1</v>
      </c>
      <c r="AB13" cm="1">
        <f t="array" aca="1" ref="AB13" ca="1">IFERROR(INDEX(H_Tables!H:H,MATCH(INDIRECT("k"&amp;ROW()),H_Tables!I:I,0)),"")</f>
        <v>1</v>
      </c>
      <c r="AC13" t="str">
        <f t="shared" si="1"/>
        <v>Closed Accounts (PAP),New,Hosted by JHA,0</v>
      </c>
      <c r="AD13">
        <v>12</v>
      </c>
    </row>
    <row r="14" spans="1:30" ht="15" customHeight="1" x14ac:dyDescent="0.25">
      <c r="A14" s="127">
        <v>45895</v>
      </c>
      <c r="B14" s="2" t="s">
        <v>2117</v>
      </c>
      <c r="C14" s="110">
        <v>0</v>
      </c>
      <c r="D14" s="2" t="s">
        <v>2118</v>
      </c>
      <c r="E14" s="2" t="s">
        <v>2119</v>
      </c>
      <c r="F14" s="110">
        <v>0</v>
      </c>
      <c r="G14" s="110">
        <v>0</v>
      </c>
      <c r="H14" s="2" t="s">
        <v>2120</v>
      </c>
      <c r="I14" s="2" t="s">
        <v>190</v>
      </c>
      <c r="J14" s="2" t="s">
        <v>1416</v>
      </c>
      <c r="K14" s="2" t="s">
        <v>599</v>
      </c>
      <c r="L14" s="2" t="s">
        <v>2121</v>
      </c>
      <c r="M14" s="2" t="s">
        <v>2147</v>
      </c>
      <c r="N14" s="2" t="s">
        <v>2122</v>
      </c>
      <c r="O14" s="2" t="s">
        <v>2123</v>
      </c>
      <c r="P14" s="2" t="s">
        <v>2124</v>
      </c>
      <c r="Q14" s="2" t="s">
        <v>2132</v>
      </c>
      <c r="R14" s="110">
        <v>1</v>
      </c>
      <c r="S14" s="110">
        <v>5000</v>
      </c>
      <c r="T14" s="110">
        <v>0</v>
      </c>
      <c r="U14" s="2" t="s">
        <v>2126</v>
      </c>
      <c r="V14" s="110"/>
      <c r="W14" s="110">
        <v>5000</v>
      </c>
      <c r="X14" s="2" t="s">
        <v>2148</v>
      </c>
      <c r="Y14" s="110">
        <v>5000</v>
      </c>
      <c r="Z14" s="110">
        <f t="shared" si="0"/>
        <v>0</v>
      </c>
      <c r="AA14" cm="1">
        <f t="array" aca="1" ref="AA14" ca="1">IFERROR(INDEX(H_Tables!E:E,MATCH(INDIRECT("I"&amp;ROW()),H_Tables!F:F,0)),"")</f>
        <v>9</v>
      </c>
      <c r="AB14" cm="1">
        <f t="array" aca="1" ref="AB14" ca="1">IFERROR(INDEX(H_Tables!H:H,MATCH(INDIRECT("k"&amp;ROW()),H_Tables!I:I,0)),"")</f>
        <v>1</v>
      </c>
      <c r="AC14" t="str">
        <f t="shared" si="1"/>
        <v>User and Device Administration Training,New,Hosted by JHA,0</v>
      </c>
      <c r="AD14">
        <v>13</v>
      </c>
    </row>
    <row r="15" spans="1:30" ht="15" customHeight="1" x14ac:dyDescent="0.25">
      <c r="A15" s="127">
        <v>45895</v>
      </c>
      <c r="B15" s="2" t="s">
        <v>2117</v>
      </c>
      <c r="C15" s="110">
        <v>0</v>
      </c>
      <c r="D15" s="2" t="s">
        <v>2118</v>
      </c>
      <c r="E15" s="2" t="s">
        <v>2119</v>
      </c>
      <c r="F15" s="110">
        <v>0</v>
      </c>
      <c r="G15" s="110">
        <v>0</v>
      </c>
      <c r="H15" s="2" t="s">
        <v>2120</v>
      </c>
      <c r="I15" s="2" t="s">
        <v>182</v>
      </c>
      <c r="J15" s="2" t="s">
        <v>401</v>
      </c>
      <c r="K15" s="2" t="s">
        <v>599</v>
      </c>
      <c r="L15" s="2" t="s">
        <v>2129</v>
      </c>
      <c r="M15" s="2" t="s">
        <v>2149</v>
      </c>
      <c r="N15" s="2" t="s">
        <v>2122</v>
      </c>
      <c r="O15" s="2" t="s">
        <v>2123</v>
      </c>
      <c r="P15" s="2" t="s">
        <v>2150</v>
      </c>
      <c r="Q15" s="2" t="s">
        <v>152</v>
      </c>
      <c r="R15" s="110">
        <v>1</v>
      </c>
      <c r="S15" s="110">
        <v>530</v>
      </c>
      <c r="T15" s="110">
        <v>-132.5</v>
      </c>
      <c r="U15" s="2" t="s">
        <v>2126</v>
      </c>
      <c r="V15" s="110"/>
      <c r="W15" s="110">
        <v>530</v>
      </c>
      <c r="X15" s="2" t="s">
        <v>2151</v>
      </c>
      <c r="Y15" s="110">
        <v>5000</v>
      </c>
      <c r="Z15" s="110">
        <f t="shared" si="0"/>
        <v>0</v>
      </c>
      <c r="AA15" cm="1">
        <f t="array" aca="1" ref="AA15" ca="1">IFERROR(INDEX(H_Tables!E:E,MATCH(INDIRECT("I"&amp;ROW()),H_Tables!F:F,0)),"")</f>
        <v>1</v>
      </c>
      <c r="AB15" cm="1">
        <f t="array" aca="1" ref="AB15" ca="1">IFERROR(INDEX(H_Tables!H:H,MATCH(INDIRECT("k"&amp;ROW()),H_Tables!I:I,0)),"")</f>
        <v>1</v>
      </c>
      <c r="AC15" t="str">
        <f t="shared" si="1"/>
        <v>SilverLake Static Training Bank,New,Hosted by JHA,1</v>
      </c>
      <c r="AD15">
        <v>14</v>
      </c>
    </row>
    <row r="16" spans="1:30" ht="15" customHeight="1" x14ac:dyDescent="0.25">
      <c r="A16" s="127">
        <v>45895</v>
      </c>
      <c r="B16" s="2" t="s">
        <v>2117</v>
      </c>
      <c r="C16" s="110">
        <v>0</v>
      </c>
      <c r="D16" s="2" t="s">
        <v>2118</v>
      </c>
      <c r="E16" s="2" t="s">
        <v>2119</v>
      </c>
      <c r="F16" s="110">
        <v>0</v>
      </c>
      <c r="G16" s="110">
        <v>0</v>
      </c>
      <c r="H16" s="2" t="s">
        <v>2120</v>
      </c>
      <c r="I16" s="2" t="s">
        <v>182</v>
      </c>
      <c r="J16" s="2" t="s">
        <v>401</v>
      </c>
      <c r="K16" s="2" t="s">
        <v>599</v>
      </c>
      <c r="L16" s="2" t="s">
        <v>2121</v>
      </c>
      <c r="M16" s="2" t="s">
        <v>2149</v>
      </c>
      <c r="N16" s="2" t="s">
        <v>2122</v>
      </c>
      <c r="O16" s="2" t="s">
        <v>2123</v>
      </c>
      <c r="P16" s="2" t="s">
        <v>2150</v>
      </c>
      <c r="Q16" s="2" t="s">
        <v>2132</v>
      </c>
      <c r="R16" s="110">
        <v>1</v>
      </c>
      <c r="S16" s="110">
        <v>6000</v>
      </c>
      <c r="T16" s="110">
        <v>-6000</v>
      </c>
      <c r="U16" s="2" t="s">
        <v>2126</v>
      </c>
      <c r="V16" s="110"/>
      <c r="W16" s="110">
        <v>6000</v>
      </c>
      <c r="X16" s="2" t="s">
        <v>2152</v>
      </c>
      <c r="Y16" s="110">
        <v>5000</v>
      </c>
      <c r="Z16" s="110">
        <f t="shared" si="0"/>
        <v>0</v>
      </c>
      <c r="AA16" cm="1">
        <f t="array" aca="1" ref="AA16" ca="1">IFERROR(INDEX(H_Tables!E:E,MATCH(INDIRECT("I"&amp;ROW()),H_Tables!F:F,0)),"")</f>
        <v>1</v>
      </c>
      <c r="AB16" cm="1">
        <f t="array" aca="1" ref="AB16" ca="1">IFERROR(INDEX(H_Tables!H:H,MATCH(INDIRECT("k"&amp;ROW()),H_Tables!I:I,0)),"")</f>
        <v>1</v>
      </c>
      <c r="AC16" t="str">
        <f t="shared" si="1"/>
        <v>SilverLake Static Training Bank,New,Hosted by JHA,1</v>
      </c>
      <c r="AD16">
        <v>15</v>
      </c>
    </row>
    <row r="17" spans="1:30" ht="15" customHeight="1" x14ac:dyDescent="0.25">
      <c r="A17" s="127">
        <v>45895</v>
      </c>
      <c r="B17" s="2" t="s">
        <v>2117</v>
      </c>
      <c r="C17" s="110">
        <v>0</v>
      </c>
      <c r="D17" s="2" t="s">
        <v>2118</v>
      </c>
      <c r="E17" s="2" t="s">
        <v>2119</v>
      </c>
      <c r="F17" s="110">
        <v>0</v>
      </c>
      <c r="G17" s="110">
        <v>0</v>
      </c>
      <c r="H17" s="2" t="s">
        <v>2120</v>
      </c>
      <c r="I17" s="2" t="s">
        <v>183</v>
      </c>
      <c r="J17" s="2" t="s">
        <v>1881</v>
      </c>
      <c r="K17" s="2" t="s">
        <v>599</v>
      </c>
      <c r="L17" s="2" t="s">
        <v>2129</v>
      </c>
      <c r="M17" s="2" t="s">
        <v>2153</v>
      </c>
      <c r="N17" s="2" t="s">
        <v>2122</v>
      </c>
      <c r="O17" s="2" t="s">
        <v>2123</v>
      </c>
      <c r="P17" s="2" t="s">
        <v>2150</v>
      </c>
      <c r="Q17" s="2" t="s">
        <v>152</v>
      </c>
      <c r="R17" s="110">
        <v>1</v>
      </c>
      <c r="S17" s="110">
        <v>110</v>
      </c>
      <c r="T17" s="110">
        <v>-27.5</v>
      </c>
      <c r="U17" s="2" t="s">
        <v>2126</v>
      </c>
      <c r="V17" s="110"/>
      <c r="W17" s="110">
        <v>110</v>
      </c>
      <c r="X17" s="2" t="s">
        <v>2154</v>
      </c>
      <c r="Y17" s="110">
        <v>5000</v>
      </c>
      <c r="Z17" s="110">
        <f t="shared" si="0"/>
        <v>0</v>
      </c>
      <c r="AA17" cm="1">
        <f t="array" aca="1" ref="AA17" ca="1">IFERROR(INDEX(H_Tables!E:E,MATCH(INDIRECT("I"&amp;ROW()),H_Tables!F:F,0)),"")</f>
        <v>2</v>
      </c>
      <c r="AB17" cm="1">
        <f t="array" aca="1" ref="AB17" ca="1">IFERROR(INDEX(H_Tables!H:H,MATCH(INDIRECT("k"&amp;ROW()),H_Tables!I:I,0)),"")</f>
        <v>1</v>
      </c>
      <c r="AC17" t="str">
        <f t="shared" si="1"/>
        <v>Platform Static Training Bank,New,Hosted by JHA,1</v>
      </c>
      <c r="AD17">
        <v>16</v>
      </c>
    </row>
    <row r="18" spans="1:30" ht="15" customHeight="1" x14ac:dyDescent="0.25">
      <c r="A18" s="127">
        <v>45895</v>
      </c>
      <c r="B18" s="2" t="s">
        <v>2117</v>
      </c>
      <c r="C18" s="110">
        <v>0</v>
      </c>
      <c r="D18" s="2" t="s">
        <v>2118</v>
      </c>
      <c r="E18" s="2" t="s">
        <v>2119</v>
      </c>
      <c r="F18" s="110">
        <v>0</v>
      </c>
      <c r="G18" s="110">
        <v>0</v>
      </c>
      <c r="H18" s="2" t="s">
        <v>2120</v>
      </c>
      <c r="I18" s="2" t="s">
        <v>183</v>
      </c>
      <c r="J18" s="2" t="s">
        <v>1881</v>
      </c>
      <c r="K18" s="2" t="s">
        <v>599</v>
      </c>
      <c r="L18" s="2" t="s">
        <v>2121</v>
      </c>
      <c r="M18" s="2" t="s">
        <v>2153</v>
      </c>
      <c r="N18" s="2" t="s">
        <v>2122</v>
      </c>
      <c r="O18" s="2" t="s">
        <v>2123</v>
      </c>
      <c r="P18" s="2" t="s">
        <v>2150</v>
      </c>
      <c r="Q18" s="2" t="s">
        <v>2132</v>
      </c>
      <c r="R18" s="110">
        <v>1</v>
      </c>
      <c r="S18" s="110">
        <v>2500</v>
      </c>
      <c r="T18" s="110">
        <v>-2500</v>
      </c>
      <c r="U18" s="2" t="s">
        <v>2126</v>
      </c>
      <c r="V18" s="110"/>
      <c r="W18" s="110">
        <v>2500</v>
      </c>
      <c r="X18" s="2" t="s">
        <v>2155</v>
      </c>
      <c r="Y18" s="110">
        <v>5000</v>
      </c>
      <c r="Z18" s="110">
        <f t="shared" si="0"/>
        <v>0</v>
      </c>
      <c r="AA18" cm="1">
        <f t="array" aca="1" ref="AA18" ca="1">IFERROR(INDEX(H_Tables!E:E,MATCH(INDIRECT("I"&amp;ROW()),H_Tables!F:F,0)),"")</f>
        <v>2</v>
      </c>
      <c r="AB18" cm="1">
        <f t="array" aca="1" ref="AB18" ca="1">IFERROR(INDEX(H_Tables!H:H,MATCH(INDIRECT("k"&amp;ROW()),H_Tables!I:I,0)),"")</f>
        <v>1</v>
      </c>
      <c r="AC18" t="str">
        <f t="shared" si="1"/>
        <v>Platform Static Training Bank,New,Hosted by JHA,1</v>
      </c>
      <c r="AD18">
        <v>17</v>
      </c>
    </row>
    <row r="19" spans="1:30" ht="15" customHeight="1" x14ac:dyDescent="0.25">
      <c r="A19" s="127">
        <v>45895</v>
      </c>
      <c r="B19" s="2" t="s">
        <v>2117</v>
      </c>
      <c r="C19" s="110">
        <v>0</v>
      </c>
      <c r="D19" s="2" t="s">
        <v>2118</v>
      </c>
      <c r="E19" s="2" t="s">
        <v>2119</v>
      </c>
      <c r="F19" s="110">
        <v>0</v>
      </c>
      <c r="G19" s="110">
        <v>0</v>
      </c>
      <c r="H19" s="2" t="s">
        <v>2120</v>
      </c>
      <c r="I19" s="2" t="s">
        <v>183</v>
      </c>
      <c r="J19" s="2" t="s">
        <v>1881</v>
      </c>
      <c r="K19" s="2" t="s">
        <v>599</v>
      </c>
      <c r="L19" s="2" t="s">
        <v>2129</v>
      </c>
      <c r="M19" s="2" t="s">
        <v>2153</v>
      </c>
      <c r="N19" s="2" t="s">
        <v>2122</v>
      </c>
      <c r="O19" s="2" t="s">
        <v>2123</v>
      </c>
      <c r="P19" s="2" t="s">
        <v>2150</v>
      </c>
      <c r="Q19" s="2" t="s">
        <v>152</v>
      </c>
      <c r="R19" s="110">
        <v>1</v>
      </c>
      <c r="S19" s="110">
        <v>110</v>
      </c>
      <c r="T19" s="110">
        <v>-27.5</v>
      </c>
      <c r="U19" s="2" t="s">
        <v>2126</v>
      </c>
      <c r="V19" s="110"/>
      <c r="W19" s="110">
        <v>110</v>
      </c>
      <c r="X19" s="2" t="s">
        <v>2154</v>
      </c>
      <c r="Y19" s="110">
        <v>5000</v>
      </c>
      <c r="Z19" s="110">
        <f t="shared" si="0"/>
        <v>0</v>
      </c>
      <c r="AA19" cm="1">
        <f t="array" aca="1" ref="AA19" ca="1">IFERROR(INDEX(H_Tables!E:E,MATCH(INDIRECT("I"&amp;ROW()),H_Tables!F:F,0)),"")</f>
        <v>2</v>
      </c>
      <c r="AB19" cm="1">
        <f t="array" aca="1" ref="AB19" ca="1">IFERROR(INDEX(H_Tables!H:H,MATCH(INDIRECT("k"&amp;ROW()),H_Tables!I:I,0)),"")</f>
        <v>1</v>
      </c>
      <c r="AC19" t="str">
        <f t="shared" si="1"/>
        <v>Platform Static Training Bank,New,Hosted by JHA,1</v>
      </c>
      <c r="AD19">
        <v>18</v>
      </c>
    </row>
    <row r="20" spans="1:30" ht="15" customHeight="1" x14ac:dyDescent="0.25">
      <c r="A20" s="127">
        <v>45895</v>
      </c>
      <c r="B20" s="2" t="s">
        <v>2117</v>
      </c>
      <c r="C20" s="110">
        <v>0</v>
      </c>
      <c r="D20" s="2" t="s">
        <v>2118</v>
      </c>
      <c r="E20" s="2" t="s">
        <v>2119</v>
      </c>
      <c r="F20" s="110">
        <v>0</v>
      </c>
      <c r="G20" s="110">
        <v>0</v>
      </c>
      <c r="H20" s="2" t="s">
        <v>2120</v>
      </c>
      <c r="I20" s="2" t="s">
        <v>183</v>
      </c>
      <c r="J20" s="2" t="s">
        <v>1881</v>
      </c>
      <c r="K20" s="2" t="s">
        <v>599</v>
      </c>
      <c r="L20" s="2" t="s">
        <v>2121</v>
      </c>
      <c r="M20" s="2" t="s">
        <v>2153</v>
      </c>
      <c r="N20" s="2" t="s">
        <v>2122</v>
      </c>
      <c r="O20" s="2" t="s">
        <v>2123</v>
      </c>
      <c r="P20" s="2" t="s">
        <v>2150</v>
      </c>
      <c r="Q20" s="2" t="s">
        <v>2132</v>
      </c>
      <c r="R20" s="110">
        <v>1</v>
      </c>
      <c r="S20" s="110">
        <v>2500</v>
      </c>
      <c r="T20" s="110">
        <v>-2500</v>
      </c>
      <c r="U20" s="2" t="s">
        <v>2126</v>
      </c>
      <c r="V20" s="110"/>
      <c r="W20" s="110">
        <v>2500</v>
      </c>
      <c r="X20" s="2" t="s">
        <v>2155</v>
      </c>
      <c r="Y20" s="110">
        <v>5000</v>
      </c>
      <c r="Z20" s="110">
        <f t="shared" si="0"/>
        <v>0</v>
      </c>
      <c r="AA20" cm="1">
        <f t="array" aca="1" ref="AA20" ca="1">IFERROR(INDEX(H_Tables!E:E,MATCH(INDIRECT("I"&amp;ROW()),H_Tables!F:F,0)),"")</f>
        <v>2</v>
      </c>
      <c r="AB20" cm="1">
        <f t="array" aca="1" ref="AB20" ca="1">IFERROR(INDEX(H_Tables!H:H,MATCH(INDIRECT("k"&amp;ROW()),H_Tables!I:I,0)),"")</f>
        <v>1</v>
      </c>
      <c r="AC20" t="str">
        <f t="shared" si="1"/>
        <v>Platform Static Training Bank,New,Hosted by JHA,1</v>
      </c>
      <c r="AD20">
        <v>19</v>
      </c>
    </row>
    <row r="21" spans="1:30" ht="15" customHeight="1" x14ac:dyDescent="0.25">
      <c r="A21" s="127">
        <v>45895</v>
      </c>
      <c r="B21" s="2" t="s">
        <v>2117</v>
      </c>
      <c r="C21" s="110">
        <v>0</v>
      </c>
      <c r="D21" s="2" t="s">
        <v>2118</v>
      </c>
      <c r="E21" s="2" t="s">
        <v>2119</v>
      </c>
      <c r="F21" s="110">
        <v>0</v>
      </c>
      <c r="G21" s="110">
        <v>0</v>
      </c>
      <c r="H21" s="2" t="s">
        <v>2120</v>
      </c>
      <c r="I21" s="2" t="s">
        <v>182</v>
      </c>
      <c r="J21" s="2" t="s">
        <v>404</v>
      </c>
      <c r="K21" s="2" t="s">
        <v>599</v>
      </c>
      <c r="L21" s="2" t="s">
        <v>2129</v>
      </c>
      <c r="M21" s="2" t="s">
        <v>2156</v>
      </c>
      <c r="N21" s="2" t="s">
        <v>2122</v>
      </c>
      <c r="O21" s="2" t="s">
        <v>2123</v>
      </c>
      <c r="P21" s="2" t="s">
        <v>2150</v>
      </c>
      <c r="Q21" s="2" t="s">
        <v>152</v>
      </c>
      <c r="R21" s="110">
        <v>1</v>
      </c>
      <c r="S21" s="110">
        <v>220</v>
      </c>
      <c r="T21" s="110">
        <v>-55</v>
      </c>
      <c r="U21" s="2" t="s">
        <v>2126</v>
      </c>
      <c r="V21" s="110"/>
      <c r="W21" s="110">
        <v>220</v>
      </c>
      <c r="X21" s="2" t="s">
        <v>2157</v>
      </c>
      <c r="Y21" s="110">
        <v>5000</v>
      </c>
      <c r="Z21" s="110">
        <f t="shared" si="0"/>
        <v>0</v>
      </c>
      <c r="AA21" cm="1">
        <f t="array" aca="1" ref="AA21" ca="1">IFERROR(INDEX(H_Tables!E:E,MATCH(INDIRECT("I"&amp;ROW()),H_Tables!F:F,0)),"")</f>
        <v>1</v>
      </c>
      <c r="AB21" cm="1">
        <f t="array" aca="1" ref="AB21" ca="1">IFERROR(INDEX(H_Tables!H:H,MATCH(INDIRECT("k"&amp;ROW()),H_Tables!I:I,0)),"")</f>
        <v>1</v>
      </c>
      <c r="AC21" t="str">
        <f t="shared" si="1"/>
        <v>SilverLake Teller Static Training Bank,New,Hosted by JHA,1</v>
      </c>
      <c r="AD21">
        <v>20</v>
      </c>
    </row>
    <row r="22" spans="1:30" ht="15" customHeight="1" x14ac:dyDescent="0.25">
      <c r="A22" s="127">
        <v>45895</v>
      </c>
      <c r="B22" s="2" t="s">
        <v>2117</v>
      </c>
      <c r="C22" s="110">
        <v>0</v>
      </c>
      <c r="D22" s="2" t="s">
        <v>2118</v>
      </c>
      <c r="E22" s="2" t="s">
        <v>2119</v>
      </c>
      <c r="F22" s="110">
        <v>0</v>
      </c>
      <c r="G22" s="110">
        <v>0</v>
      </c>
      <c r="H22" s="2" t="s">
        <v>2120</v>
      </c>
      <c r="I22" s="2" t="s">
        <v>182</v>
      </c>
      <c r="J22" s="2" t="s">
        <v>404</v>
      </c>
      <c r="K22" s="2" t="s">
        <v>599</v>
      </c>
      <c r="L22" s="2" t="s">
        <v>2121</v>
      </c>
      <c r="M22" s="2" t="s">
        <v>2156</v>
      </c>
      <c r="N22" s="2" t="s">
        <v>2122</v>
      </c>
      <c r="O22" s="2" t="s">
        <v>2123</v>
      </c>
      <c r="P22" s="2" t="s">
        <v>2150</v>
      </c>
      <c r="Q22" s="2" t="s">
        <v>2132</v>
      </c>
      <c r="R22" s="110">
        <v>1</v>
      </c>
      <c r="S22" s="110">
        <v>2340</v>
      </c>
      <c r="T22" s="110">
        <v>-2340</v>
      </c>
      <c r="U22" s="2" t="s">
        <v>2126</v>
      </c>
      <c r="V22" s="110"/>
      <c r="W22" s="110">
        <v>2340</v>
      </c>
      <c r="X22" s="2" t="s">
        <v>2158</v>
      </c>
      <c r="Y22" s="110">
        <v>5000</v>
      </c>
      <c r="Z22" s="110">
        <f t="shared" si="0"/>
        <v>0</v>
      </c>
      <c r="AA22" cm="1">
        <f t="array" aca="1" ref="AA22" ca="1">IFERROR(INDEX(H_Tables!E:E,MATCH(INDIRECT("I"&amp;ROW()),H_Tables!F:F,0)),"")</f>
        <v>1</v>
      </c>
      <c r="AB22" cm="1">
        <f t="array" aca="1" ref="AB22" ca="1">IFERROR(INDEX(H_Tables!H:H,MATCH(INDIRECT("k"&amp;ROW()),H_Tables!I:I,0)),"")</f>
        <v>1</v>
      </c>
      <c r="AC22" t="str">
        <f t="shared" si="1"/>
        <v>SilverLake Teller Static Training Bank,New,Hosted by JHA,1</v>
      </c>
      <c r="AD22">
        <v>21</v>
      </c>
    </row>
    <row r="23" spans="1:30" ht="15" customHeight="1" x14ac:dyDescent="0.25">
      <c r="A23" s="127">
        <v>45895</v>
      </c>
      <c r="B23" s="2" t="s">
        <v>2117</v>
      </c>
      <c r="C23" s="110">
        <v>0</v>
      </c>
      <c r="D23" s="2" t="s">
        <v>2118</v>
      </c>
      <c r="E23" s="2" t="s">
        <v>2119</v>
      </c>
      <c r="F23" s="110">
        <v>0</v>
      </c>
      <c r="G23" s="110">
        <v>0</v>
      </c>
      <c r="H23" s="2" t="s">
        <v>2120</v>
      </c>
      <c r="I23" s="2" t="s">
        <v>190</v>
      </c>
      <c r="J23" s="2" t="s">
        <v>1757</v>
      </c>
      <c r="K23" s="2" t="s">
        <v>599</v>
      </c>
      <c r="L23" s="2" t="s">
        <v>2121</v>
      </c>
      <c r="M23" s="2" t="s">
        <v>1758</v>
      </c>
      <c r="N23" s="2" t="s">
        <v>2122</v>
      </c>
      <c r="O23" s="2" t="s">
        <v>2123</v>
      </c>
      <c r="P23" s="2" t="s">
        <v>2124</v>
      </c>
      <c r="Q23" s="2" t="s">
        <v>2132</v>
      </c>
      <c r="R23" s="110">
        <v>1</v>
      </c>
      <c r="S23" s="110">
        <v>10000</v>
      </c>
      <c r="T23" s="110">
        <v>0</v>
      </c>
      <c r="U23" s="2" t="s">
        <v>2126</v>
      </c>
      <c r="V23" s="110"/>
      <c r="W23" s="110">
        <v>10000</v>
      </c>
      <c r="X23" s="2" t="s">
        <v>2159</v>
      </c>
      <c r="Y23" s="110">
        <v>5000</v>
      </c>
      <c r="Z23" s="110">
        <f t="shared" si="0"/>
        <v>0</v>
      </c>
      <c r="AA23" cm="1">
        <f t="array" aca="1" ref="AA23" ca="1">IFERROR(INDEX(H_Tables!E:E,MATCH(INDIRECT("I"&amp;ROW()),H_Tables!F:F,0)),"")</f>
        <v>9</v>
      </c>
      <c r="AB23" cm="1">
        <f t="array" aca="1" ref="AB23" ca="1">IFERROR(INDEX(H_Tables!H:H,MATCH(INDIRECT("k"&amp;ROW()),H_Tables!I:I,0)),"")</f>
        <v>1</v>
      </c>
      <c r="AC23" t="str">
        <f t="shared" si="1"/>
        <v>Day 2 Project Management - 45 Days engagement,New,Hosted by JHA,0</v>
      </c>
      <c r="AD23">
        <v>22</v>
      </c>
    </row>
    <row r="24" spans="1:30" ht="15" customHeight="1" x14ac:dyDescent="0.25">
      <c r="A24" s="127">
        <v>45895</v>
      </c>
      <c r="B24" s="2" t="s">
        <v>2117</v>
      </c>
      <c r="C24" s="110">
        <v>0</v>
      </c>
      <c r="D24" s="2" t="s">
        <v>2118</v>
      </c>
      <c r="E24" s="2" t="s">
        <v>2119</v>
      </c>
      <c r="F24" s="110">
        <v>0</v>
      </c>
      <c r="G24" s="110">
        <v>0</v>
      </c>
      <c r="H24" s="2" t="s">
        <v>2120</v>
      </c>
      <c r="I24" s="2" t="s">
        <v>182</v>
      </c>
      <c r="J24" s="2" t="s">
        <v>1860</v>
      </c>
      <c r="K24" s="2" t="s">
        <v>599</v>
      </c>
      <c r="L24" s="2" t="s">
        <v>2121</v>
      </c>
      <c r="M24" s="2" t="s">
        <v>2160</v>
      </c>
      <c r="N24" s="2" t="s">
        <v>2122</v>
      </c>
      <c r="O24" s="2" t="s">
        <v>2123</v>
      </c>
      <c r="P24" s="2" t="s">
        <v>2124</v>
      </c>
      <c r="Q24" s="2" t="s">
        <v>152</v>
      </c>
      <c r="R24" s="110">
        <v>1</v>
      </c>
      <c r="S24" s="110">
        <v>0</v>
      </c>
      <c r="T24" s="110">
        <v>0</v>
      </c>
      <c r="U24" s="2" t="s">
        <v>2126</v>
      </c>
      <c r="V24" s="110"/>
      <c r="W24" s="110">
        <v>0</v>
      </c>
      <c r="X24" s="2" t="s">
        <v>2161</v>
      </c>
      <c r="Y24" s="110">
        <v>5000</v>
      </c>
      <c r="Z24" s="110">
        <f t="shared" si="0"/>
        <v>0</v>
      </c>
      <c r="AA24" cm="1">
        <f t="array" aca="1" ref="AA24" ca="1">IFERROR(INDEX(H_Tables!E:E,MATCH(INDIRECT("I"&amp;ROW()),H_Tables!F:F,0)),"")</f>
        <v>1</v>
      </c>
      <c r="AB24" cm="1">
        <f t="array" aca="1" ref="AB24" ca="1">IFERROR(INDEX(H_Tables!H:H,MATCH(INDIRECT("k"&amp;ROW()),H_Tables!I:I,0)),"")</f>
        <v>1</v>
      </c>
      <c r="AC24" t="str">
        <f t="shared" si="1"/>
        <v>JH Technology Architecture Services,New,Hosted by JHA,0</v>
      </c>
      <c r="AD24">
        <v>23</v>
      </c>
    </row>
    <row r="25" spans="1:30" ht="15" customHeight="1" x14ac:dyDescent="0.25">
      <c r="A25" s="127">
        <v>45895</v>
      </c>
      <c r="B25" s="2" t="s">
        <v>2117</v>
      </c>
      <c r="C25" s="110">
        <v>0</v>
      </c>
      <c r="D25" s="2" t="s">
        <v>2118</v>
      </c>
      <c r="E25" s="2" t="s">
        <v>2119</v>
      </c>
      <c r="F25" s="110">
        <v>0</v>
      </c>
      <c r="G25" s="110">
        <v>0</v>
      </c>
      <c r="H25" s="2" t="s">
        <v>2120</v>
      </c>
      <c r="I25" s="2" t="s">
        <v>182</v>
      </c>
      <c r="J25" s="2" t="s">
        <v>2162</v>
      </c>
      <c r="K25" s="2" t="s">
        <v>599</v>
      </c>
      <c r="L25" s="2" t="s">
        <v>2121</v>
      </c>
      <c r="M25" s="2" t="s">
        <v>2163</v>
      </c>
      <c r="N25" s="2" t="s">
        <v>2122</v>
      </c>
      <c r="O25" s="2" t="s">
        <v>2164</v>
      </c>
      <c r="P25" s="2" t="s">
        <v>2124</v>
      </c>
      <c r="Q25" s="2" t="s">
        <v>2132</v>
      </c>
      <c r="R25" s="110">
        <v>1</v>
      </c>
      <c r="S25" s="110">
        <v>0</v>
      </c>
      <c r="T25" s="110">
        <v>0</v>
      </c>
      <c r="U25" s="2" t="s">
        <v>2126</v>
      </c>
      <c r="V25" s="110"/>
      <c r="W25" s="110">
        <v>0</v>
      </c>
      <c r="X25" s="2" t="s">
        <v>2165</v>
      </c>
      <c r="Y25" s="110">
        <v>5000</v>
      </c>
      <c r="Z25" s="110">
        <f t="shared" si="0"/>
        <v>0</v>
      </c>
      <c r="AA25" cm="1">
        <f t="array" aca="1" ref="AA25" ca="1">IFERROR(INDEX(H_Tables!E:E,MATCH(INDIRECT("I"&amp;ROW()),H_Tables!F:F,0)),"")</f>
        <v>1</v>
      </c>
      <c r="AB25" cm="1">
        <f t="array" aca="1" ref="AB25" ca="1">IFERROR(INDEX(H_Tables!H:H,MATCH(INDIRECT("k"&amp;ROW()),H_Tables!I:I,0)),"")</f>
        <v>1</v>
      </c>
      <c r="AC25" t="str">
        <f t="shared" si="1"/>
        <v>JHMenu Express,New,On Premise License,0</v>
      </c>
      <c r="AD25">
        <v>24</v>
      </c>
    </row>
    <row r="26" spans="1:30" ht="15" customHeight="1" x14ac:dyDescent="0.25">
      <c r="A26" s="127">
        <v>45895</v>
      </c>
      <c r="B26" s="2" t="s">
        <v>2117</v>
      </c>
      <c r="C26" s="110">
        <v>0</v>
      </c>
      <c r="D26" s="2" t="s">
        <v>2118</v>
      </c>
      <c r="E26" s="2" t="s">
        <v>2119</v>
      </c>
      <c r="F26" s="110">
        <v>0</v>
      </c>
      <c r="G26" s="110">
        <v>0</v>
      </c>
      <c r="H26" s="2" t="s">
        <v>2120</v>
      </c>
      <c r="I26" s="2" t="s">
        <v>182</v>
      </c>
      <c r="J26" s="2" t="s">
        <v>2162</v>
      </c>
      <c r="K26" s="2" t="s">
        <v>599</v>
      </c>
      <c r="L26" s="2" t="s">
        <v>2166</v>
      </c>
      <c r="M26" s="2" t="s">
        <v>2163</v>
      </c>
      <c r="N26" s="2" t="s">
        <v>2122</v>
      </c>
      <c r="O26" s="2" t="s">
        <v>2164</v>
      </c>
      <c r="P26" s="2" t="s">
        <v>2124</v>
      </c>
      <c r="Q26" s="2" t="s">
        <v>2132</v>
      </c>
      <c r="R26" s="110">
        <v>1</v>
      </c>
      <c r="S26" s="110">
        <v>9000</v>
      </c>
      <c r="T26" s="110">
        <v>0</v>
      </c>
      <c r="U26" s="2" t="s">
        <v>2126</v>
      </c>
      <c r="V26" s="110"/>
      <c r="W26" s="110">
        <v>9000</v>
      </c>
      <c r="X26" s="2" t="s">
        <v>2167</v>
      </c>
      <c r="Y26" s="110">
        <v>5000</v>
      </c>
      <c r="Z26" s="110">
        <f t="shared" si="0"/>
        <v>0</v>
      </c>
      <c r="AA26" cm="1">
        <f t="array" aca="1" ref="AA26" ca="1">IFERROR(INDEX(H_Tables!E:E,MATCH(INDIRECT("I"&amp;ROW()),H_Tables!F:F,0)),"")</f>
        <v>1</v>
      </c>
      <c r="AB26" cm="1">
        <f t="array" aca="1" ref="AB26" ca="1">IFERROR(INDEX(H_Tables!H:H,MATCH(INDIRECT("k"&amp;ROW()),H_Tables!I:I,0)),"")</f>
        <v>1</v>
      </c>
      <c r="AC26" t="str">
        <f t="shared" si="1"/>
        <v>JHMenu Express,New,On Premise License,0</v>
      </c>
      <c r="AD26">
        <v>25</v>
      </c>
    </row>
    <row r="27" spans="1:30" ht="15" customHeight="1" x14ac:dyDescent="0.25">
      <c r="A27" s="127">
        <v>45895</v>
      </c>
      <c r="B27" s="2" t="s">
        <v>2117</v>
      </c>
      <c r="C27" s="110">
        <v>0</v>
      </c>
      <c r="D27" s="2" t="s">
        <v>2118</v>
      </c>
      <c r="E27" s="2" t="s">
        <v>2119</v>
      </c>
      <c r="F27" s="110">
        <v>0</v>
      </c>
      <c r="G27" s="110">
        <v>0</v>
      </c>
      <c r="H27" s="2" t="s">
        <v>2120</v>
      </c>
      <c r="I27" s="2" t="s">
        <v>182</v>
      </c>
      <c r="J27" s="2" t="s">
        <v>2162</v>
      </c>
      <c r="K27" s="2" t="s">
        <v>599</v>
      </c>
      <c r="L27" s="2" t="s">
        <v>2168</v>
      </c>
      <c r="M27" s="2" t="s">
        <v>2163</v>
      </c>
      <c r="N27" s="2" t="s">
        <v>2122</v>
      </c>
      <c r="O27" s="2" t="s">
        <v>2164</v>
      </c>
      <c r="P27" s="2" t="s">
        <v>2124</v>
      </c>
      <c r="Q27" s="2" t="s">
        <v>2125</v>
      </c>
      <c r="R27" s="110">
        <v>1</v>
      </c>
      <c r="S27" s="110">
        <v>0</v>
      </c>
      <c r="T27" s="110">
        <v>0</v>
      </c>
      <c r="U27" s="2" t="s">
        <v>2126</v>
      </c>
      <c r="V27" s="110"/>
      <c r="W27" s="110">
        <v>0</v>
      </c>
      <c r="X27" s="2" t="s">
        <v>2169</v>
      </c>
      <c r="Y27" s="110">
        <v>5000</v>
      </c>
      <c r="Z27" s="110">
        <f t="shared" si="0"/>
        <v>0</v>
      </c>
      <c r="AA27" cm="1">
        <f t="array" aca="1" ref="AA27" ca="1">IFERROR(INDEX(H_Tables!E:E,MATCH(INDIRECT("I"&amp;ROW()),H_Tables!F:F,0)),"")</f>
        <v>1</v>
      </c>
      <c r="AB27" cm="1">
        <f t="array" aca="1" ref="AB27" ca="1">IFERROR(INDEX(H_Tables!H:H,MATCH(INDIRECT("k"&amp;ROW()),H_Tables!I:I,0)),"")</f>
        <v>1</v>
      </c>
      <c r="AC27" t="str">
        <f t="shared" si="1"/>
        <v>JHMenu Express,New,On Premise License,0</v>
      </c>
      <c r="AD27">
        <v>26</v>
      </c>
    </row>
    <row r="28" spans="1:30" ht="15" customHeight="1" x14ac:dyDescent="0.25">
      <c r="A28" s="127">
        <v>45895</v>
      </c>
      <c r="B28" s="2" t="s">
        <v>2117</v>
      </c>
      <c r="C28" s="110">
        <v>0</v>
      </c>
      <c r="D28" s="2" t="s">
        <v>2118</v>
      </c>
      <c r="E28" s="2" t="s">
        <v>2119</v>
      </c>
      <c r="F28" s="110">
        <v>0</v>
      </c>
      <c r="G28" s="110">
        <v>0</v>
      </c>
      <c r="H28" s="2" t="s">
        <v>2120</v>
      </c>
      <c r="I28" s="2" t="s">
        <v>182</v>
      </c>
      <c r="J28" s="2" t="s">
        <v>444</v>
      </c>
      <c r="K28" s="2" t="s">
        <v>599</v>
      </c>
      <c r="L28" s="2" t="s">
        <v>2129</v>
      </c>
      <c r="M28" s="2" t="s">
        <v>2170</v>
      </c>
      <c r="N28" s="2" t="s">
        <v>2122</v>
      </c>
      <c r="O28" s="2" t="s">
        <v>2123</v>
      </c>
      <c r="P28" s="2" t="s">
        <v>2124</v>
      </c>
      <c r="Q28" s="2" t="s">
        <v>152</v>
      </c>
      <c r="R28" s="110">
        <v>1</v>
      </c>
      <c r="S28" s="110">
        <v>300</v>
      </c>
      <c r="T28" s="110">
        <v>-75</v>
      </c>
      <c r="U28" s="2" t="s">
        <v>2126</v>
      </c>
      <c r="V28" s="110"/>
      <c r="W28" s="110">
        <v>300</v>
      </c>
      <c r="X28" s="2" t="s">
        <v>2171</v>
      </c>
      <c r="Y28" s="110">
        <v>5000</v>
      </c>
      <c r="Z28" s="110">
        <f t="shared" si="0"/>
        <v>0</v>
      </c>
      <c r="AA28" cm="1">
        <f t="array" aca="1" ref="AA28" ca="1">IFERROR(INDEX(H_Tables!E:E,MATCH(INDIRECT("I"&amp;ROW()),H_Tables!F:F,0)),"")</f>
        <v>1</v>
      </c>
      <c r="AB28" cm="1">
        <f t="array" aca="1" ref="AB28" ca="1">IFERROR(INDEX(H_Tables!H:H,MATCH(INDIRECT("k"&amp;ROW()),H_Tables!I:I,0)),"")</f>
        <v>1</v>
      </c>
      <c r="AC28" t="str">
        <f t="shared" si="1"/>
        <v>Daily File Transfer Integration IntraFi,New,Hosted by JHA,0</v>
      </c>
      <c r="AD28">
        <v>27</v>
      </c>
    </row>
    <row r="29" spans="1:30" ht="15" customHeight="1" x14ac:dyDescent="0.25">
      <c r="A29" s="127">
        <v>45895</v>
      </c>
      <c r="B29" s="2" t="s">
        <v>2117</v>
      </c>
      <c r="C29" s="110">
        <v>0</v>
      </c>
      <c r="D29" s="2" t="s">
        <v>2118</v>
      </c>
      <c r="E29" s="2" t="s">
        <v>2119</v>
      </c>
      <c r="F29" s="110">
        <v>0</v>
      </c>
      <c r="G29" s="110">
        <v>0</v>
      </c>
      <c r="H29" s="2" t="s">
        <v>2120</v>
      </c>
      <c r="I29" s="2" t="s">
        <v>182</v>
      </c>
      <c r="J29" s="2" t="s">
        <v>444</v>
      </c>
      <c r="K29" s="2" t="s">
        <v>599</v>
      </c>
      <c r="L29" s="2" t="s">
        <v>2121</v>
      </c>
      <c r="M29" s="2" t="s">
        <v>2170</v>
      </c>
      <c r="N29" s="2" t="s">
        <v>2122</v>
      </c>
      <c r="O29" s="2" t="s">
        <v>2123</v>
      </c>
      <c r="P29" s="2" t="s">
        <v>2124</v>
      </c>
      <c r="Q29" s="2" t="s">
        <v>2132</v>
      </c>
      <c r="R29" s="110">
        <v>1</v>
      </c>
      <c r="S29" s="110">
        <v>2500</v>
      </c>
      <c r="T29" s="110">
        <v>-2500</v>
      </c>
      <c r="U29" s="2" t="s">
        <v>2126</v>
      </c>
      <c r="V29" s="110"/>
      <c r="W29" s="110">
        <v>2500</v>
      </c>
      <c r="X29" s="2" t="s">
        <v>2172</v>
      </c>
      <c r="Y29" s="110">
        <v>5000</v>
      </c>
      <c r="Z29" s="110">
        <f t="shared" si="0"/>
        <v>0</v>
      </c>
      <c r="AA29" cm="1">
        <f t="array" aca="1" ref="AA29" ca="1">IFERROR(INDEX(H_Tables!E:E,MATCH(INDIRECT("I"&amp;ROW()),H_Tables!F:F,0)),"")</f>
        <v>1</v>
      </c>
      <c r="AB29" cm="1">
        <f t="array" aca="1" ref="AB29" ca="1">IFERROR(INDEX(H_Tables!H:H,MATCH(INDIRECT("k"&amp;ROW()),H_Tables!I:I,0)),"")</f>
        <v>1</v>
      </c>
      <c r="AC29" t="str">
        <f t="shared" si="1"/>
        <v>Daily File Transfer Integration IntraFi,New,Hosted by JHA,0</v>
      </c>
      <c r="AD29">
        <v>28</v>
      </c>
    </row>
    <row r="30" spans="1:30" ht="15" customHeight="1" x14ac:dyDescent="0.25">
      <c r="A30" s="127">
        <v>45895</v>
      </c>
      <c r="B30" s="2" t="s">
        <v>2117</v>
      </c>
      <c r="C30" s="110">
        <v>0</v>
      </c>
      <c r="D30" s="2" t="s">
        <v>2118</v>
      </c>
      <c r="E30" s="2" t="s">
        <v>2119</v>
      </c>
      <c r="F30" s="110">
        <v>0</v>
      </c>
      <c r="G30" s="110">
        <v>0</v>
      </c>
      <c r="H30" s="2" t="s">
        <v>2120</v>
      </c>
      <c r="I30" s="2" t="s">
        <v>188</v>
      </c>
      <c r="J30" s="2" t="s">
        <v>290</v>
      </c>
      <c r="K30" s="2" t="s">
        <v>596</v>
      </c>
      <c r="L30" s="2" t="s">
        <v>2129</v>
      </c>
      <c r="M30" s="2" t="s">
        <v>1001</v>
      </c>
      <c r="N30" s="2" t="s">
        <v>2122</v>
      </c>
      <c r="O30" s="2" t="s">
        <v>2123</v>
      </c>
      <c r="P30" s="2" t="s">
        <v>2124</v>
      </c>
      <c r="Q30" s="2" t="s">
        <v>152</v>
      </c>
      <c r="R30" s="110">
        <v>1</v>
      </c>
      <c r="S30" s="110">
        <v>450</v>
      </c>
      <c r="T30" s="110">
        <v>0</v>
      </c>
      <c r="U30" s="2" t="s">
        <v>2126</v>
      </c>
      <c r="V30" s="110"/>
      <c r="W30" s="110">
        <v>450</v>
      </c>
      <c r="X30" s="2" t="s">
        <v>2173</v>
      </c>
      <c r="Y30" s="110">
        <v>5000</v>
      </c>
      <c r="Z30" s="110">
        <f t="shared" si="0"/>
        <v>0</v>
      </c>
      <c r="AA30" cm="1">
        <f t="array" aca="1" ref="AA30" ca="1">IFERROR(INDEX(H_Tables!E:E,MATCH(INDIRECT("I"&amp;ROW()),H_Tables!F:F,0)),"")</f>
        <v>6</v>
      </c>
      <c r="AB30" cm="1">
        <f t="array" aca="1" ref="AB30" ca="1">IFERROR(INDEX(H_Tables!H:H,MATCH(INDIRECT("k"&amp;ROW()),H_Tables!I:I,0)),"")</f>
        <v>3</v>
      </c>
      <c r="AC30" t="str">
        <f t="shared" si="1"/>
        <v>DirectLine Wires,New,Hosted by JHA,0</v>
      </c>
      <c r="AD30">
        <v>29</v>
      </c>
    </row>
    <row r="31" spans="1:30" ht="15" customHeight="1" x14ac:dyDescent="0.25">
      <c r="A31" s="127">
        <v>45895</v>
      </c>
      <c r="B31" s="2" t="s">
        <v>2117</v>
      </c>
      <c r="C31" s="110">
        <v>0</v>
      </c>
      <c r="D31" s="2" t="s">
        <v>2118</v>
      </c>
      <c r="E31" s="2" t="s">
        <v>2119</v>
      </c>
      <c r="F31" s="110">
        <v>0</v>
      </c>
      <c r="G31" s="110">
        <v>0</v>
      </c>
      <c r="H31" s="2" t="s">
        <v>2120</v>
      </c>
      <c r="I31" s="2" t="s">
        <v>188</v>
      </c>
      <c r="J31" s="2" t="s">
        <v>290</v>
      </c>
      <c r="K31" s="2" t="s">
        <v>596</v>
      </c>
      <c r="L31" s="2" t="s">
        <v>2121</v>
      </c>
      <c r="M31" s="2" t="s">
        <v>1001</v>
      </c>
      <c r="N31" s="2" t="s">
        <v>2122</v>
      </c>
      <c r="O31" s="2" t="s">
        <v>2123</v>
      </c>
      <c r="P31" s="2" t="s">
        <v>2124</v>
      </c>
      <c r="Q31" s="2" t="s">
        <v>2132</v>
      </c>
      <c r="R31" s="110">
        <v>1</v>
      </c>
      <c r="S31" s="110">
        <v>7500</v>
      </c>
      <c r="T31" s="110">
        <v>-7500</v>
      </c>
      <c r="U31" s="2" t="s">
        <v>2126</v>
      </c>
      <c r="V31" s="110"/>
      <c r="W31" s="110">
        <v>7500</v>
      </c>
      <c r="X31" s="2" t="s">
        <v>2174</v>
      </c>
      <c r="Y31" s="110">
        <v>5000</v>
      </c>
      <c r="Z31" s="110">
        <f t="shared" si="0"/>
        <v>0</v>
      </c>
      <c r="AA31" cm="1">
        <f t="array" aca="1" ref="AA31" ca="1">IFERROR(INDEX(H_Tables!E:E,MATCH(INDIRECT("I"&amp;ROW()),H_Tables!F:F,0)),"")</f>
        <v>6</v>
      </c>
      <c r="AB31" cm="1">
        <f t="array" aca="1" ref="AB31" ca="1">IFERROR(INDEX(H_Tables!H:H,MATCH(INDIRECT("k"&amp;ROW()),H_Tables!I:I,0)),"")</f>
        <v>3</v>
      </c>
      <c r="AC31" t="str">
        <f t="shared" si="1"/>
        <v>DirectLine Wires,New,Hosted by JHA,0</v>
      </c>
      <c r="AD31">
        <v>30</v>
      </c>
    </row>
    <row r="32" spans="1:30" ht="15" customHeight="1" x14ac:dyDescent="0.25">
      <c r="A32" s="127">
        <v>45895</v>
      </c>
      <c r="B32" s="2" t="s">
        <v>2117</v>
      </c>
      <c r="C32" s="110">
        <v>0</v>
      </c>
      <c r="D32" s="2" t="s">
        <v>2118</v>
      </c>
      <c r="E32" s="2" t="s">
        <v>2119</v>
      </c>
      <c r="F32" s="110">
        <v>0</v>
      </c>
      <c r="G32" s="110">
        <v>0</v>
      </c>
      <c r="H32" s="2" t="s">
        <v>2120</v>
      </c>
      <c r="I32" s="2" t="s">
        <v>188</v>
      </c>
      <c r="J32" s="2" t="s">
        <v>1836</v>
      </c>
      <c r="K32" s="2" t="s">
        <v>596</v>
      </c>
      <c r="L32" s="2" t="s">
        <v>2129</v>
      </c>
      <c r="M32" s="2" t="s">
        <v>1837</v>
      </c>
      <c r="N32" s="2" t="s">
        <v>2122</v>
      </c>
      <c r="O32" s="2" t="s">
        <v>2123</v>
      </c>
      <c r="P32" s="2" t="s">
        <v>2124</v>
      </c>
      <c r="Q32" s="2" t="s">
        <v>152</v>
      </c>
      <c r="R32" s="110">
        <v>1</v>
      </c>
      <c r="S32" s="110">
        <v>300</v>
      </c>
      <c r="T32" s="110">
        <v>0</v>
      </c>
      <c r="U32" s="2" t="s">
        <v>2126</v>
      </c>
      <c r="V32" s="110"/>
      <c r="W32" s="110">
        <v>300</v>
      </c>
      <c r="X32" s="2" t="s">
        <v>2175</v>
      </c>
      <c r="Y32" s="110">
        <v>5000</v>
      </c>
      <c r="Z32" s="110">
        <f t="shared" si="0"/>
        <v>0</v>
      </c>
      <c r="AA32" cm="1">
        <f t="array" aca="1" ref="AA32" ca="1">IFERROR(INDEX(H_Tables!E:E,MATCH(INDIRECT("I"&amp;ROW()),H_Tables!F:F,0)),"")</f>
        <v>6</v>
      </c>
      <c r="AB32" cm="1">
        <f t="array" aca="1" ref="AB32" ca="1">IFERROR(INDEX(H_Tables!H:H,MATCH(INDIRECT("k"&amp;ROW()),H_Tables!I:I,0)),"")</f>
        <v>3</v>
      </c>
      <c r="AC32" t="str">
        <f t="shared" si="1"/>
        <v>CorPay Integration,New,Hosted by JHA,0</v>
      </c>
      <c r="AD32">
        <v>31</v>
      </c>
    </row>
    <row r="33" spans="1:30" ht="15" customHeight="1" x14ac:dyDescent="0.25">
      <c r="A33" s="127">
        <v>45895</v>
      </c>
      <c r="B33" s="2" t="s">
        <v>2117</v>
      </c>
      <c r="C33" s="110">
        <v>0</v>
      </c>
      <c r="D33" s="2" t="s">
        <v>2118</v>
      </c>
      <c r="E33" s="2" t="s">
        <v>2119</v>
      </c>
      <c r="F33" s="110">
        <v>0</v>
      </c>
      <c r="G33" s="110">
        <v>0</v>
      </c>
      <c r="H33" s="2" t="s">
        <v>2120</v>
      </c>
      <c r="I33" s="2" t="s">
        <v>188</v>
      </c>
      <c r="J33" s="2" t="s">
        <v>1836</v>
      </c>
      <c r="K33" s="2" t="s">
        <v>596</v>
      </c>
      <c r="L33" s="2" t="s">
        <v>2121</v>
      </c>
      <c r="M33" s="2" t="s">
        <v>1837</v>
      </c>
      <c r="N33" s="2" t="s">
        <v>2122</v>
      </c>
      <c r="O33" s="2" t="s">
        <v>2123</v>
      </c>
      <c r="P33" s="2" t="s">
        <v>2124</v>
      </c>
      <c r="Q33" s="2" t="s">
        <v>2132</v>
      </c>
      <c r="R33" s="110">
        <v>1</v>
      </c>
      <c r="S33" s="110">
        <v>2500</v>
      </c>
      <c r="T33" s="110">
        <v>0</v>
      </c>
      <c r="U33" s="2" t="s">
        <v>2126</v>
      </c>
      <c r="V33" s="110"/>
      <c r="W33" s="110">
        <v>2500</v>
      </c>
      <c r="X33" s="2" t="s">
        <v>2176</v>
      </c>
      <c r="Y33" s="110">
        <v>5000</v>
      </c>
      <c r="Z33" s="110">
        <f t="shared" si="0"/>
        <v>0</v>
      </c>
      <c r="AA33" cm="1">
        <f t="array" aca="1" ref="AA33" ca="1">IFERROR(INDEX(H_Tables!E:E,MATCH(INDIRECT("I"&amp;ROW()),H_Tables!F:F,0)),"")</f>
        <v>6</v>
      </c>
      <c r="AB33" cm="1">
        <f t="array" aca="1" ref="AB33" ca="1">IFERROR(INDEX(H_Tables!H:H,MATCH(INDIRECT("k"&amp;ROW()),H_Tables!I:I,0)),"")</f>
        <v>3</v>
      </c>
      <c r="AC33" t="str">
        <f t="shared" si="1"/>
        <v>CorPay Integration,New,Hosted by JHA,0</v>
      </c>
      <c r="AD33">
        <v>32</v>
      </c>
    </row>
    <row r="34" spans="1:30" ht="15" customHeight="1" x14ac:dyDescent="0.25">
      <c r="A34" s="127">
        <v>45895</v>
      </c>
      <c r="B34" s="2" t="s">
        <v>2117</v>
      </c>
      <c r="C34" s="110">
        <v>0</v>
      </c>
      <c r="D34" s="2" t="s">
        <v>2118</v>
      </c>
      <c r="E34" s="2" t="s">
        <v>2119</v>
      </c>
      <c r="F34" s="110">
        <v>0.17030000000000001</v>
      </c>
      <c r="G34" s="110">
        <v>0</v>
      </c>
      <c r="H34" s="2" t="s">
        <v>2120</v>
      </c>
      <c r="I34" s="2" t="s">
        <v>183</v>
      </c>
      <c r="J34" s="2" t="s">
        <v>348</v>
      </c>
      <c r="K34" s="2" t="s">
        <v>570</v>
      </c>
      <c r="L34" s="2" t="s">
        <v>2129</v>
      </c>
      <c r="M34" s="2" t="s">
        <v>2177</v>
      </c>
      <c r="N34" s="2" t="s">
        <v>2122</v>
      </c>
      <c r="O34" s="2" t="s">
        <v>2123</v>
      </c>
      <c r="P34" s="2" t="s">
        <v>2124</v>
      </c>
      <c r="Q34" s="2" t="s">
        <v>152</v>
      </c>
      <c r="R34" s="110">
        <v>1</v>
      </c>
      <c r="S34" s="110">
        <v>1135</v>
      </c>
      <c r="T34" s="110">
        <v>-283.75</v>
      </c>
      <c r="U34" s="2" t="s">
        <v>2126</v>
      </c>
      <c r="V34" s="110"/>
      <c r="W34" s="110">
        <v>1135</v>
      </c>
      <c r="X34" s="2" t="s">
        <v>2178</v>
      </c>
      <c r="Y34" s="110">
        <v>5000</v>
      </c>
      <c r="Z34" s="110">
        <f t="shared" si="0"/>
        <v>0.22700000000000001</v>
      </c>
      <c r="AA34" cm="1">
        <f t="array" aca="1" ref="AA34" ca="1">IFERROR(INDEX(H_Tables!E:E,MATCH(INDIRECT("I"&amp;ROW()),H_Tables!F:F,0)),"")</f>
        <v>2</v>
      </c>
      <c r="AB34" cm="1">
        <f t="array" aca="1" ref="AB34" ca="1">IFERROR(INDEX(H_Tables!H:H,MATCH(INDIRECT("k"&amp;ROW()),H_Tables!I:I,0)),"")</f>
        <v>1</v>
      </c>
      <c r="AC34" t="str">
        <f t="shared" si="1"/>
        <v>OnBoard Deposits,New,Hosted by JHA,0</v>
      </c>
      <c r="AD34">
        <v>33</v>
      </c>
    </row>
    <row r="35" spans="1:30" ht="15" customHeight="1" x14ac:dyDescent="0.25">
      <c r="A35" s="127">
        <v>45895</v>
      </c>
      <c r="B35" s="2" t="s">
        <v>2117</v>
      </c>
      <c r="C35" s="110">
        <v>0</v>
      </c>
      <c r="D35" s="2" t="s">
        <v>2118</v>
      </c>
      <c r="E35" s="2" t="s">
        <v>2119</v>
      </c>
      <c r="F35" s="110">
        <v>0</v>
      </c>
      <c r="G35" s="110">
        <v>0</v>
      </c>
      <c r="H35" s="2" t="s">
        <v>2120</v>
      </c>
      <c r="I35" s="2" t="s">
        <v>183</v>
      </c>
      <c r="J35" s="2" t="s">
        <v>348</v>
      </c>
      <c r="K35" s="2" t="s">
        <v>570</v>
      </c>
      <c r="L35" s="2" t="s">
        <v>2121</v>
      </c>
      <c r="M35" s="2" t="s">
        <v>2177</v>
      </c>
      <c r="N35" s="2" t="s">
        <v>2122</v>
      </c>
      <c r="O35" s="2" t="s">
        <v>2123</v>
      </c>
      <c r="P35" s="2" t="s">
        <v>2124</v>
      </c>
      <c r="Q35" s="2" t="s">
        <v>2132</v>
      </c>
      <c r="R35" s="110">
        <v>1</v>
      </c>
      <c r="S35" s="110">
        <v>23180</v>
      </c>
      <c r="T35" s="110">
        <v>-23180</v>
      </c>
      <c r="U35" s="2" t="s">
        <v>2126</v>
      </c>
      <c r="V35" s="110"/>
      <c r="W35" s="110">
        <v>23180</v>
      </c>
      <c r="X35" s="2" t="s">
        <v>2179</v>
      </c>
      <c r="Y35" s="110">
        <v>5000</v>
      </c>
      <c r="Z35" s="110">
        <f t="shared" si="0"/>
        <v>0</v>
      </c>
      <c r="AA35" cm="1">
        <f t="array" aca="1" ref="AA35" ca="1">IFERROR(INDEX(H_Tables!E:E,MATCH(INDIRECT("I"&amp;ROW()),H_Tables!F:F,0)),"")</f>
        <v>2</v>
      </c>
      <c r="AB35" cm="1">
        <f t="array" aca="1" ref="AB35" ca="1">IFERROR(INDEX(H_Tables!H:H,MATCH(INDIRECT("k"&amp;ROW()),H_Tables!I:I,0)),"")</f>
        <v>1</v>
      </c>
      <c r="AC35" t="str">
        <f t="shared" si="1"/>
        <v>OnBoard Deposits,New,Hosted by JHA,0</v>
      </c>
      <c r="AD35">
        <v>34</v>
      </c>
    </row>
    <row r="36" spans="1:30" ht="15" customHeight="1" x14ac:dyDescent="0.25">
      <c r="A36" s="127">
        <v>45895</v>
      </c>
      <c r="B36" s="2" t="s">
        <v>2117</v>
      </c>
      <c r="C36" s="110">
        <v>0</v>
      </c>
      <c r="D36" s="2" t="s">
        <v>2118</v>
      </c>
      <c r="E36" s="2" t="s">
        <v>2119</v>
      </c>
      <c r="F36" s="110">
        <v>0</v>
      </c>
      <c r="G36" s="110">
        <v>0.2273</v>
      </c>
      <c r="H36" s="2" t="s">
        <v>2120</v>
      </c>
      <c r="I36" s="2" t="s">
        <v>183</v>
      </c>
      <c r="J36" s="2" t="s">
        <v>374</v>
      </c>
      <c r="K36" s="2" t="s">
        <v>570</v>
      </c>
      <c r="L36" s="2" t="s">
        <v>2129</v>
      </c>
      <c r="M36" s="2" t="s">
        <v>2180</v>
      </c>
      <c r="N36" s="2" t="s">
        <v>2122</v>
      </c>
      <c r="O36" s="2" t="s">
        <v>2123</v>
      </c>
      <c r="P36" s="2" t="s">
        <v>2150</v>
      </c>
      <c r="Q36" s="2" t="s">
        <v>152</v>
      </c>
      <c r="R36" s="110">
        <v>1</v>
      </c>
      <c r="S36" s="110">
        <v>1515</v>
      </c>
      <c r="T36" s="110">
        <v>-378.75</v>
      </c>
      <c r="U36" s="2" t="s">
        <v>2126</v>
      </c>
      <c r="V36" s="110"/>
      <c r="W36" s="110">
        <v>1515</v>
      </c>
      <c r="X36" s="2" t="s">
        <v>2181</v>
      </c>
      <c r="Y36" s="110">
        <v>5000</v>
      </c>
      <c r="Z36" s="110">
        <f t="shared" si="0"/>
        <v>0.30299999999999999</v>
      </c>
      <c r="AA36" cm="1">
        <f t="array" aca="1" ref="AA36" ca="1">IFERROR(INDEX(H_Tables!E:E,MATCH(INDIRECT("I"&amp;ROW()),H_Tables!F:F,0)),"")</f>
        <v>2</v>
      </c>
      <c r="AB36" cm="1">
        <f t="array" aca="1" ref="AB36" ca="1">IFERROR(INDEX(H_Tables!H:H,MATCH(INDIRECT("k"&amp;ROW()),H_Tables!I:I,0)),"")</f>
        <v>1</v>
      </c>
      <c r="AC36" t="str">
        <f t="shared" si="1"/>
        <v>OnBoard Lending,New,Hosted by JHA,1</v>
      </c>
      <c r="AD36">
        <v>35</v>
      </c>
    </row>
    <row r="37" spans="1:30" ht="15" customHeight="1" x14ac:dyDescent="0.25">
      <c r="A37" s="127">
        <v>45895</v>
      </c>
      <c r="B37" s="2" t="s">
        <v>2117</v>
      </c>
      <c r="C37" s="110">
        <v>0</v>
      </c>
      <c r="D37" s="2" t="s">
        <v>2118</v>
      </c>
      <c r="E37" s="2" t="s">
        <v>2119</v>
      </c>
      <c r="F37" s="110">
        <v>0</v>
      </c>
      <c r="G37" s="110">
        <v>0</v>
      </c>
      <c r="H37" s="2" t="s">
        <v>2120</v>
      </c>
      <c r="I37" s="2" t="s">
        <v>183</v>
      </c>
      <c r="J37" s="2" t="s">
        <v>374</v>
      </c>
      <c r="K37" s="2" t="s">
        <v>570</v>
      </c>
      <c r="L37" s="2" t="s">
        <v>2121</v>
      </c>
      <c r="M37" s="2" t="s">
        <v>2180</v>
      </c>
      <c r="N37" s="2" t="s">
        <v>2122</v>
      </c>
      <c r="O37" s="2" t="s">
        <v>2123</v>
      </c>
      <c r="P37" s="2" t="s">
        <v>2150</v>
      </c>
      <c r="Q37" s="2" t="s">
        <v>2132</v>
      </c>
      <c r="R37" s="110">
        <v>1</v>
      </c>
      <c r="S37" s="110">
        <v>42480</v>
      </c>
      <c r="T37" s="110">
        <v>-42480</v>
      </c>
      <c r="U37" s="2" t="s">
        <v>2126</v>
      </c>
      <c r="V37" s="110"/>
      <c r="W37" s="110">
        <v>42480</v>
      </c>
      <c r="X37" s="2" t="s">
        <v>2182</v>
      </c>
      <c r="Y37" s="110">
        <v>5000</v>
      </c>
      <c r="Z37" s="110">
        <f t="shared" si="0"/>
        <v>0</v>
      </c>
      <c r="AA37" cm="1">
        <f t="array" aca="1" ref="AA37" ca="1">IFERROR(INDEX(H_Tables!E:E,MATCH(INDIRECT("I"&amp;ROW()),H_Tables!F:F,0)),"")</f>
        <v>2</v>
      </c>
      <c r="AB37" cm="1">
        <f t="array" aca="1" ref="AB37" ca="1">IFERROR(INDEX(H_Tables!H:H,MATCH(INDIRECT("k"&amp;ROW()),H_Tables!I:I,0)),"")</f>
        <v>1</v>
      </c>
      <c r="AC37" t="str">
        <f t="shared" si="1"/>
        <v>OnBoard Lending,New,Hosted by JHA,1</v>
      </c>
      <c r="AD37">
        <v>36</v>
      </c>
    </row>
    <row r="38" spans="1:30" ht="15" customHeight="1" x14ac:dyDescent="0.25">
      <c r="A38" s="127">
        <v>45895</v>
      </c>
      <c r="B38" s="2" t="s">
        <v>2117</v>
      </c>
      <c r="C38" s="110">
        <v>0</v>
      </c>
      <c r="D38" s="2" t="s">
        <v>2118</v>
      </c>
      <c r="E38" s="2" t="s">
        <v>2119</v>
      </c>
      <c r="F38" s="110">
        <v>0</v>
      </c>
      <c r="G38" s="110">
        <v>0</v>
      </c>
      <c r="H38" s="2" t="s">
        <v>2120</v>
      </c>
      <c r="I38" s="2" t="s">
        <v>183</v>
      </c>
      <c r="J38" s="2" t="s">
        <v>1435</v>
      </c>
      <c r="K38" s="2" t="s">
        <v>570</v>
      </c>
      <c r="L38" s="2" t="s">
        <v>2121</v>
      </c>
      <c r="M38" s="2" t="s">
        <v>1436</v>
      </c>
      <c r="N38" s="2" t="s">
        <v>2122</v>
      </c>
      <c r="O38" s="2" t="s">
        <v>2123</v>
      </c>
      <c r="P38" s="2" t="s">
        <v>2150</v>
      </c>
      <c r="Q38" s="2" t="s">
        <v>2132</v>
      </c>
      <c r="R38" s="110">
        <v>1</v>
      </c>
      <c r="S38" s="110">
        <v>1500</v>
      </c>
      <c r="T38" s="110">
        <v>0</v>
      </c>
      <c r="U38" s="2" t="s">
        <v>2126</v>
      </c>
      <c r="V38" s="110"/>
      <c r="W38" s="110">
        <v>1500</v>
      </c>
      <c r="X38" s="2" t="s">
        <v>2183</v>
      </c>
      <c r="Y38" s="110">
        <v>5000</v>
      </c>
      <c r="Z38" s="110">
        <f t="shared" si="0"/>
        <v>0</v>
      </c>
      <c r="AA38" cm="1">
        <f t="array" aca="1" ref="AA38" ca="1">IFERROR(INDEX(H_Tables!E:E,MATCH(INDIRECT("I"&amp;ROW()),H_Tables!F:F,0)),"")</f>
        <v>2</v>
      </c>
      <c r="AB38" cm="1">
        <f t="array" aca="1" ref="AB38" ca="1">IFERROR(INDEX(H_Tables!H:H,MATCH(INDIRECT("k"&amp;ROW()),H_Tables!I:I,0)),"")</f>
        <v>1</v>
      </c>
      <c r="AC38" t="str">
        <f t="shared" si="1"/>
        <v>Carleton SmartCalcs Lending,New,Hosted by JHA,1</v>
      </c>
      <c r="AD38">
        <v>37</v>
      </c>
    </row>
    <row r="39" spans="1:30" ht="15" customHeight="1" x14ac:dyDescent="0.25">
      <c r="A39" s="127">
        <v>45895</v>
      </c>
      <c r="B39" s="2" t="s">
        <v>2117</v>
      </c>
      <c r="C39" s="110">
        <v>0</v>
      </c>
      <c r="D39" s="2" t="s">
        <v>2118</v>
      </c>
      <c r="E39" s="2" t="s">
        <v>2119</v>
      </c>
      <c r="F39" s="110">
        <v>0.33229999999999998</v>
      </c>
      <c r="G39" s="110">
        <v>0</v>
      </c>
      <c r="H39" s="2" t="s">
        <v>2120</v>
      </c>
      <c r="I39" s="2" t="s">
        <v>184</v>
      </c>
      <c r="J39" s="2" t="s">
        <v>375</v>
      </c>
      <c r="K39" s="2" t="s">
        <v>614</v>
      </c>
      <c r="L39" s="2" t="s">
        <v>2129</v>
      </c>
      <c r="M39" s="2" t="s">
        <v>614</v>
      </c>
      <c r="N39" s="2" t="s">
        <v>2122</v>
      </c>
      <c r="O39" s="2" t="s">
        <v>2123</v>
      </c>
      <c r="P39" s="2" t="s">
        <v>2124</v>
      </c>
      <c r="Q39" s="2" t="s">
        <v>152</v>
      </c>
      <c r="R39" s="110">
        <v>1</v>
      </c>
      <c r="S39" s="110">
        <v>2215</v>
      </c>
      <c r="T39" s="110">
        <v>-553.75</v>
      </c>
      <c r="U39" s="2" t="s">
        <v>2126</v>
      </c>
      <c r="V39" s="110"/>
      <c r="W39" s="110">
        <v>2215</v>
      </c>
      <c r="X39" s="2" t="s">
        <v>2184</v>
      </c>
      <c r="Y39" s="110">
        <v>5000</v>
      </c>
      <c r="Z39" s="110">
        <f t="shared" si="0"/>
        <v>0.443</v>
      </c>
      <c r="AA39" cm="1">
        <f t="array" aca="1" ref="AA39" ca="1">IFERROR(INDEX(H_Tables!E:E,MATCH(INDIRECT("I"&amp;ROW()),H_Tables!F:F,0)),"")</f>
        <v>3</v>
      </c>
      <c r="AB39" cm="1">
        <f t="array" aca="1" ref="AB39" ca="1">IFERROR(INDEX(H_Tables!H:H,MATCH(INDIRECT("k"&amp;ROW()),H_Tables!I:I,0)),"")</f>
        <v>2</v>
      </c>
      <c r="AC39" t="str">
        <f t="shared" si="1"/>
        <v>JHA OpenAnywhere,New,Hosted by JHA,0</v>
      </c>
      <c r="AD39">
        <v>38</v>
      </c>
    </row>
    <row r="40" spans="1:30" ht="15" customHeight="1" x14ac:dyDescent="0.25">
      <c r="A40" s="127">
        <v>45895</v>
      </c>
      <c r="B40" s="2" t="s">
        <v>2117</v>
      </c>
      <c r="C40" s="110">
        <v>0</v>
      </c>
      <c r="D40" s="2" t="s">
        <v>2118</v>
      </c>
      <c r="E40" s="2" t="s">
        <v>2119</v>
      </c>
      <c r="F40" s="110">
        <v>0</v>
      </c>
      <c r="G40" s="110">
        <v>0</v>
      </c>
      <c r="H40" s="2" t="s">
        <v>2120</v>
      </c>
      <c r="I40" s="2" t="s">
        <v>184</v>
      </c>
      <c r="J40" s="2" t="s">
        <v>375</v>
      </c>
      <c r="K40" s="2" t="s">
        <v>614</v>
      </c>
      <c r="L40" s="2" t="s">
        <v>2121</v>
      </c>
      <c r="M40" s="2" t="s">
        <v>614</v>
      </c>
      <c r="N40" s="2" t="s">
        <v>2122</v>
      </c>
      <c r="O40" s="2" t="s">
        <v>2123</v>
      </c>
      <c r="P40" s="2" t="s">
        <v>2124</v>
      </c>
      <c r="Q40" s="2" t="s">
        <v>2132</v>
      </c>
      <c r="R40" s="110">
        <v>1</v>
      </c>
      <c r="S40" s="110">
        <v>20800</v>
      </c>
      <c r="T40" s="110">
        <v>-20800</v>
      </c>
      <c r="U40" s="2" t="s">
        <v>2126</v>
      </c>
      <c r="V40" s="110"/>
      <c r="W40" s="110">
        <v>20800</v>
      </c>
      <c r="X40" s="2" t="s">
        <v>2185</v>
      </c>
      <c r="Y40" s="110">
        <v>5000</v>
      </c>
      <c r="Z40" s="110">
        <f t="shared" si="0"/>
        <v>0</v>
      </c>
      <c r="AA40" cm="1">
        <f t="array" aca="1" ref="AA40" ca="1">IFERROR(INDEX(H_Tables!E:E,MATCH(INDIRECT("I"&amp;ROW()),H_Tables!F:F,0)),"")</f>
        <v>3</v>
      </c>
      <c r="AB40" cm="1">
        <f t="array" aca="1" ref="AB40" ca="1">IFERROR(INDEX(H_Tables!H:H,MATCH(INDIRECT("k"&amp;ROW()),H_Tables!I:I,0)),"")</f>
        <v>2</v>
      </c>
      <c r="AC40" t="str">
        <f t="shared" si="1"/>
        <v>JHA OpenAnywhere,New,Hosted by JHA,0</v>
      </c>
      <c r="AD40">
        <v>39</v>
      </c>
    </row>
    <row r="41" spans="1:30" ht="15" customHeight="1" x14ac:dyDescent="0.25">
      <c r="A41" s="127">
        <v>45895</v>
      </c>
      <c r="B41" s="2" t="s">
        <v>2117</v>
      </c>
      <c r="C41" s="110">
        <v>0</v>
      </c>
      <c r="D41" s="2" t="s">
        <v>2118</v>
      </c>
      <c r="E41" s="2" t="s">
        <v>2119</v>
      </c>
      <c r="F41" s="110">
        <v>0</v>
      </c>
      <c r="G41" s="110">
        <v>0</v>
      </c>
      <c r="H41" s="2" t="s">
        <v>2120</v>
      </c>
      <c r="I41" s="2" t="s">
        <v>184</v>
      </c>
      <c r="J41" s="2" t="s">
        <v>1821</v>
      </c>
      <c r="K41" s="2" t="s">
        <v>614</v>
      </c>
      <c r="L41" s="2" t="s">
        <v>2121</v>
      </c>
      <c r="M41" s="2" t="s">
        <v>1822</v>
      </c>
      <c r="N41" s="2" t="s">
        <v>2122</v>
      </c>
      <c r="O41" s="2" t="s">
        <v>2123</v>
      </c>
      <c r="P41" s="2" t="s">
        <v>2124</v>
      </c>
      <c r="Q41" s="2" t="s">
        <v>2132</v>
      </c>
      <c r="R41" s="110">
        <v>1</v>
      </c>
      <c r="S41" s="110">
        <v>2500</v>
      </c>
      <c r="T41" s="110">
        <v>-2500</v>
      </c>
      <c r="U41" s="2" t="s">
        <v>2126</v>
      </c>
      <c r="V41" s="110"/>
      <c r="W41" s="110">
        <v>2500</v>
      </c>
      <c r="X41" s="2" t="s">
        <v>2186</v>
      </c>
      <c r="Y41" s="110">
        <v>5000</v>
      </c>
      <c r="Z41" s="110">
        <f t="shared" si="0"/>
        <v>0</v>
      </c>
      <c r="AA41" cm="1">
        <f t="array" aca="1" ref="AA41" ca="1">IFERROR(INDEX(H_Tables!E:E,MATCH(INDIRECT("I"&amp;ROW()),H_Tables!F:F,0)),"")</f>
        <v>3</v>
      </c>
      <c r="AB41" cm="1">
        <f t="array" aca="1" ref="AB41" ca="1">IFERROR(INDEX(H_Tables!H:H,MATCH(INDIRECT("k"&amp;ROW()),H_Tables!I:I,0)),"")</f>
        <v>2</v>
      </c>
      <c r="AC41" t="str">
        <f t="shared" si="1"/>
        <v>JHA OpenAnywhere Project Management,New,Hosted by JHA,0</v>
      </c>
      <c r="AD41">
        <v>40</v>
      </c>
    </row>
    <row r="42" spans="1:30" ht="15" customHeight="1" x14ac:dyDescent="0.25">
      <c r="A42" s="127">
        <v>45895</v>
      </c>
      <c r="B42" s="2" t="s">
        <v>2117</v>
      </c>
      <c r="C42" s="110">
        <v>0</v>
      </c>
      <c r="D42" s="2" t="s">
        <v>2118</v>
      </c>
      <c r="E42" s="2" t="s">
        <v>2119</v>
      </c>
      <c r="F42" s="110">
        <v>0</v>
      </c>
      <c r="G42" s="110">
        <v>0</v>
      </c>
      <c r="H42" s="2" t="s">
        <v>2120</v>
      </c>
      <c r="I42" s="2" t="s">
        <v>184</v>
      </c>
      <c r="J42" s="2" t="s">
        <v>376</v>
      </c>
      <c r="K42" s="2" t="s">
        <v>614</v>
      </c>
      <c r="L42" s="2" t="s">
        <v>2129</v>
      </c>
      <c r="M42" s="2" t="s">
        <v>1441</v>
      </c>
      <c r="N42" s="2" t="s">
        <v>2122</v>
      </c>
      <c r="O42" s="2" t="s">
        <v>2123</v>
      </c>
      <c r="P42" s="2" t="s">
        <v>2150</v>
      </c>
      <c r="Q42" s="2" t="s">
        <v>152</v>
      </c>
      <c r="R42" s="110">
        <v>1</v>
      </c>
      <c r="S42" s="110">
        <v>375</v>
      </c>
      <c r="T42" s="110">
        <v>0</v>
      </c>
      <c r="U42" s="2" t="s">
        <v>2126</v>
      </c>
      <c r="V42" s="110"/>
      <c r="W42" s="110">
        <v>375</v>
      </c>
      <c r="X42" s="2" t="s">
        <v>2187</v>
      </c>
      <c r="Y42" s="110">
        <v>5000</v>
      </c>
      <c r="Z42" s="110">
        <f t="shared" si="0"/>
        <v>0</v>
      </c>
      <c r="AA42" cm="1">
        <f t="array" aca="1" ref="AA42" ca="1">IFERROR(INDEX(H_Tables!E:E,MATCH(INDIRECT("I"&amp;ROW()),H_Tables!F:F,0)),"")</f>
        <v>3</v>
      </c>
      <c r="AB42" cm="1">
        <f t="array" aca="1" ref="AB42" ca="1">IFERROR(INDEX(H_Tables!H:H,MATCH(INDIRECT("k"&amp;ROW()),H_Tables!I:I,0)),"")</f>
        <v>2</v>
      </c>
      <c r="AC42" t="str">
        <f t="shared" si="1"/>
        <v>Plaid,New,Hosted by JHA,1</v>
      </c>
      <c r="AD42">
        <v>41</v>
      </c>
    </row>
    <row r="43" spans="1:30" ht="15" customHeight="1" x14ac:dyDescent="0.25">
      <c r="A43" s="127">
        <v>45895</v>
      </c>
      <c r="B43" s="2" t="s">
        <v>2117</v>
      </c>
      <c r="C43" s="110">
        <v>0</v>
      </c>
      <c r="D43" s="2" t="s">
        <v>2118</v>
      </c>
      <c r="E43" s="2" t="s">
        <v>2119</v>
      </c>
      <c r="F43" s="110">
        <v>0</v>
      </c>
      <c r="G43" s="110">
        <v>0</v>
      </c>
      <c r="H43" s="2" t="s">
        <v>2120</v>
      </c>
      <c r="I43" s="2" t="s">
        <v>184</v>
      </c>
      <c r="J43" s="2" t="s">
        <v>1442</v>
      </c>
      <c r="K43" s="2" t="s">
        <v>614</v>
      </c>
      <c r="L43" s="2" t="s">
        <v>2129</v>
      </c>
      <c r="M43" s="2" t="s">
        <v>1443</v>
      </c>
      <c r="N43" s="2" t="s">
        <v>2122</v>
      </c>
      <c r="O43" s="2" t="s">
        <v>2123</v>
      </c>
      <c r="P43" s="2" t="s">
        <v>2124</v>
      </c>
      <c r="Q43" s="2" t="s">
        <v>152</v>
      </c>
      <c r="R43" s="110">
        <v>1</v>
      </c>
      <c r="S43" s="110">
        <v>400</v>
      </c>
      <c r="T43" s="110">
        <v>0</v>
      </c>
      <c r="U43" s="2" t="s">
        <v>2126</v>
      </c>
      <c r="V43" s="110"/>
      <c r="W43" s="110">
        <v>400</v>
      </c>
      <c r="X43" s="2" t="s">
        <v>2188</v>
      </c>
      <c r="Y43" s="110">
        <v>5000</v>
      </c>
      <c r="Z43" s="110">
        <f t="shared" si="0"/>
        <v>0</v>
      </c>
      <c r="AA43" cm="1">
        <f t="array" aca="1" ref="AA43" ca="1">IFERROR(INDEX(H_Tables!E:E,MATCH(INDIRECT("I"&amp;ROW()),H_Tables!F:F,0)),"")</f>
        <v>3</v>
      </c>
      <c r="AB43" cm="1">
        <f t="array" aca="1" ref="AB43" ca="1">IFERROR(INDEX(H_Tables!H:H,MATCH(INDIRECT("k"&amp;ROW()),H_Tables!I:I,0)),"")</f>
        <v>2</v>
      </c>
      <c r="AC43" t="str">
        <f t="shared" si="1"/>
        <v>IDScan.net OCR,New,Hosted by JHA,0</v>
      </c>
      <c r="AD43">
        <v>42</v>
      </c>
    </row>
    <row r="44" spans="1:30" ht="15" customHeight="1" x14ac:dyDescent="0.25">
      <c r="A44" s="127">
        <v>45895</v>
      </c>
      <c r="B44" s="2" t="s">
        <v>2117</v>
      </c>
      <c r="C44" s="110">
        <v>0</v>
      </c>
      <c r="D44" s="2" t="s">
        <v>2118</v>
      </c>
      <c r="E44" s="2" t="s">
        <v>2119</v>
      </c>
      <c r="F44" s="110">
        <v>0</v>
      </c>
      <c r="G44" s="110">
        <v>0</v>
      </c>
      <c r="H44" s="2" t="s">
        <v>2120</v>
      </c>
      <c r="I44" s="2" t="s">
        <v>184</v>
      </c>
      <c r="J44" s="2" t="s">
        <v>1446</v>
      </c>
      <c r="K44" s="2" t="s">
        <v>614</v>
      </c>
      <c r="L44" s="2" t="s">
        <v>2129</v>
      </c>
      <c r="M44" s="2" t="s">
        <v>1447</v>
      </c>
      <c r="N44" s="2" t="s">
        <v>2122</v>
      </c>
      <c r="O44" s="2" t="s">
        <v>2123</v>
      </c>
      <c r="P44" s="2" t="s">
        <v>2150</v>
      </c>
      <c r="Q44" s="2" t="s">
        <v>152</v>
      </c>
      <c r="R44" s="110">
        <v>1</v>
      </c>
      <c r="S44" s="110">
        <v>2000</v>
      </c>
      <c r="T44" s="110">
        <v>0</v>
      </c>
      <c r="U44" s="2" t="s">
        <v>2126</v>
      </c>
      <c r="V44" s="110"/>
      <c r="W44" s="110">
        <v>2000</v>
      </c>
      <c r="X44" s="2" t="s">
        <v>2189</v>
      </c>
      <c r="Y44" s="110">
        <v>5000</v>
      </c>
      <c r="Z44" s="110">
        <f t="shared" si="0"/>
        <v>0</v>
      </c>
      <c r="AA44" cm="1">
        <f t="array" aca="1" ref="AA44" ca="1">IFERROR(INDEX(H_Tables!E:E,MATCH(INDIRECT("I"&amp;ROW()),H_Tables!F:F,0)),"")</f>
        <v>3</v>
      </c>
      <c r="AB44" cm="1">
        <f t="array" aca="1" ref="AB44" ca="1">IFERROR(INDEX(H_Tables!H:H,MATCH(INDIRECT("k"&amp;ROW()),H_Tables!I:I,0)),"")</f>
        <v>2</v>
      </c>
      <c r="AC44" t="str">
        <f t="shared" si="1"/>
        <v>Alloy,New,Hosted by JHA,1</v>
      </c>
      <c r="AD44">
        <v>43</v>
      </c>
    </row>
    <row r="45" spans="1:30" ht="15" customHeight="1" x14ac:dyDescent="0.25">
      <c r="A45" s="127">
        <v>45895</v>
      </c>
      <c r="B45" s="2" t="s">
        <v>2117</v>
      </c>
      <c r="C45" s="110">
        <v>0</v>
      </c>
      <c r="D45" s="2" t="s">
        <v>2118</v>
      </c>
      <c r="E45" s="2" t="s">
        <v>2119</v>
      </c>
      <c r="F45" s="110">
        <v>0</v>
      </c>
      <c r="G45" s="110">
        <v>0</v>
      </c>
      <c r="H45" s="2" t="s">
        <v>2120</v>
      </c>
      <c r="I45" s="2" t="s">
        <v>184</v>
      </c>
      <c r="J45" s="2" t="s">
        <v>1446</v>
      </c>
      <c r="K45" s="2" t="s">
        <v>614</v>
      </c>
      <c r="L45" s="2" t="s">
        <v>2121</v>
      </c>
      <c r="M45" s="2" t="s">
        <v>1447</v>
      </c>
      <c r="N45" s="2" t="s">
        <v>2122</v>
      </c>
      <c r="O45" s="2" t="s">
        <v>2123</v>
      </c>
      <c r="P45" s="2" t="s">
        <v>2150</v>
      </c>
      <c r="Q45" s="2" t="s">
        <v>2132</v>
      </c>
      <c r="R45" s="110">
        <v>1</v>
      </c>
      <c r="S45" s="110">
        <v>3500</v>
      </c>
      <c r="T45" s="110">
        <v>0</v>
      </c>
      <c r="U45" s="2" t="s">
        <v>2126</v>
      </c>
      <c r="V45" s="110"/>
      <c r="W45" s="110">
        <v>3500</v>
      </c>
      <c r="X45" s="2" t="s">
        <v>2190</v>
      </c>
      <c r="Y45" s="110">
        <v>5000</v>
      </c>
      <c r="Z45" s="110">
        <f t="shared" si="0"/>
        <v>0</v>
      </c>
      <c r="AA45" cm="1">
        <f t="array" aca="1" ref="AA45" ca="1">IFERROR(INDEX(H_Tables!E:E,MATCH(INDIRECT("I"&amp;ROW()),H_Tables!F:F,0)),"")</f>
        <v>3</v>
      </c>
      <c r="AB45" cm="1">
        <f t="array" aca="1" ref="AB45" ca="1">IFERROR(INDEX(H_Tables!H:H,MATCH(INDIRECT("k"&amp;ROW()),H_Tables!I:I,0)),"")</f>
        <v>2</v>
      </c>
      <c r="AC45" t="str">
        <f t="shared" si="1"/>
        <v>Alloy,New,Hosted by JHA,1</v>
      </c>
      <c r="AD45">
        <v>44</v>
      </c>
    </row>
    <row r="46" spans="1:30" ht="15" customHeight="1" x14ac:dyDescent="0.25">
      <c r="A46" s="127">
        <v>45895</v>
      </c>
      <c r="B46" s="2" t="s">
        <v>2117</v>
      </c>
      <c r="C46" s="110">
        <v>0</v>
      </c>
      <c r="D46" s="2" t="s">
        <v>2118</v>
      </c>
      <c r="E46" s="2" t="s">
        <v>2119</v>
      </c>
      <c r="F46" s="110">
        <v>0</v>
      </c>
      <c r="G46" s="110">
        <v>0</v>
      </c>
      <c r="H46" s="2" t="s">
        <v>2120</v>
      </c>
      <c r="I46" s="2" t="s">
        <v>184</v>
      </c>
      <c r="J46" s="2" t="s">
        <v>1817</v>
      </c>
      <c r="K46" s="2" t="s">
        <v>614</v>
      </c>
      <c r="L46" s="2" t="s">
        <v>2129</v>
      </c>
      <c r="M46" s="2" t="s">
        <v>1818</v>
      </c>
      <c r="N46" s="2" t="s">
        <v>2122</v>
      </c>
      <c r="O46" s="2" t="s">
        <v>2123</v>
      </c>
      <c r="P46" s="2" t="s">
        <v>2124</v>
      </c>
      <c r="Q46" s="2" t="s">
        <v>152</v>
      </c>
      <c r="R46" s="110">
        <v>1</v>
      </c>
      <c r="S46" s="110">
        <v>200</v>
      </c>
      <c r="T46" s="110">
        <v>0</v>
      </c>
      <c r="U46" s="2" t="s">
        <v>2126</v>
      </c>
      <c r="V46" s="110"/>
      <c r="W46" s="110">
        <v>200</v>
      </c>
      <c r="X46" s="2" t="s">
        <v>2191</v>
      </c>
      <c r="Y46" s="110">
        <v>5000</v>
      </c>
      <c r="Z46" s="110">
        <f t="shared" si="0"/>
        <v>0</v>
      </c>
      <c r="AA46" cm="1">
        <f t="array" aca="1" ref="AA46" ca="1">IFERROR(INDEX(H_Tables!E:E,MATCH(INDIRECT("I"&amp;ROW()),H_Tables!F:F,0)),"")</f>
        <v>3</v>
      </c>
      <c r="AB46" cm="1">
        <f t="array" aca="1" ref="AB46" ca="1">IFERROR(INDEX(H_Tables!H:H,MATCH(INDIRECT("k"&amp;ROW()),H_Tables!I:I,0)),"")</f>
        <v>2</v>
      </c>
      <c r="AC46" t="str">
        <f t="shared" si="1"/>
        <v>JHA OpenAnywhere Finicity,New,Hosted by JHA,0</v>
      </c>
      <c r="AD46">
        <v>45</v>
      </c>
    </row>
    <row r="47" spans="1:30" ht="15" customHeight="1" x14ac:dyDescent="0.25">
      <c r="A47" s="127">
        <v>45895</v>
      </c>
      <c r="B47" s="2" t="s">
        <v>2117</v>
      </c>
      <c r="C47" s="110">
        <v>0</v>
      </c>
      <c r="D47" s="2" t="s">
        <v>2118</v>
      </c>
      <c r="E47" s="2" t="s">
        <v>2119</v>
      </c>
      <c r="F47" s="110">
        <v>0.03</v>
      </c>
      <c r="G47" s="110">
        <v>0</v>
      </c>
      <c r="H47" s="2" t="s">
        <v>2120</v>
      </c>
      <c r="I47" s="2" t="s">
        <v>183</v>
      </c>
      <c r="J47" s="2" t="s">
        <v>428</v>
      </c>
      <c r="K47" s="2" t="s">
        <v>682</v>
      </c>
      <c r="L47" s="2" t="s">
        <v>2129</v>
      </c>
      <c r="M47" s="2" t="s">
        <v>2192</v>
      </c>
      <c r="N47" s="2" t="s">
        <v>2122</v>
      </c>
      <c r="O47" s="2" t="s">
        <v>2123</v>
      </c>
      <c r="P47" s="2" t="s">
        <v>2124</v>
      </c>
      <c r="Q47" s="2" t="s">
        <v>152</v>
      </c>
      <c r="R47" s="110">
        <v>1</v>
      </c>
      <c r="S47" s="110">
        <v>200</v>
      </c>
      <c r="T47" s="110">
        <v>-50</v>
      </c>
      <c r="U47" s="2" t="s">
        <v>2126</v>
      </c>
      <c r="V47" s="110"/>
      <c r="W47" s="110">
        <v>200</v>
      </c>
      <c r="X47" s="2" t="s">
        <v>2193</v>
      </c>
      <c r="Y47" s="110">
        <v>5000</v>
      </c>
      <c r="Z47" s="110">
        <f t="shared" si="0"/>
        <v>0.04</v>
      </c>
      <c r="AA47" cm="1">
        <f t="array" aca="1" ref="AA47" ca="1">IFERROR(INDEX(H_Tables!E:E,MATCH(INDIRECT("I"&amp;ROW()),H_Tables!F:F,0)),"")</f>
        <v>2</v>
      </c>
      <c r="AB47" cm="1">
        <f t="array" aca="1" ref="AB47" ca="1">IFERROR(INDEX(H_Tables!H:H,MATCH(INDIRECT("k"&amp;ROW()),H_Tables!I:I,0)),"")</f>
        <v>2</v>
      </c>
      <c r="AC47" t="str">
        <f t="shared" si="1"/>
        <v>Teller Cash Recycler,New,Hosted by JHA,0</v>
      </c>
      <c r="AD47">
        <v>46</v>
      </c>
    </row>
    <row r="48" spans="1:30" ht="15" customHeight="1" x14ac:dyDescent="0.25">
      <c r="A48" s="127">
        <v>45895</v>
      </c>
      <c r="B48" s="2" t="s">
        <v>2117</v>
      </c>
      <c r="C48" s="110">
        <v>0</v>
      </c>
      <c r="D48" s="2" t="s">
        <v>2118</v>
      </c>
      <c r="E48" s="2" t="s">
        <v>2119</v>
      </c>
      <c r="F48" s="110">
        <v>0</v>
      </c>
      <c r="G48" s="110">
        <v>0</v>
      </c>
      <c r="H48" s="2" t="s">
        <v>2120</v>
      </c>
      <c r="I48" s="2" t="s">
        <v>183</v>
      </c>
      <c r="J48" s="2" t="s">
        <v>428</v>
      </c>
      <c r="K48" s="2" t="s">
        <v>682</v>
      </c>
      <c r="L48" s="2" t="s">
        <v>2121</v>
      </c>
      <c r="M48" s="2" t="s">
        <v>2192</v>
      </c>
      <c r="N48" s="2" t="s">
        <v>2122</v>
      </c>
      <c r="O48" s="2" t="s">
        <v>2123</v>
      </c>
      <c r="P48" s="2" t="s">
        <v>2124</v>
      </c>
      <c r="Q48" s="2" t="s">
        <v>2132</v>
      </c>
      <c r="R48" s="110">
        <v>1</v>
      </c>
      <c r="S48" s="110">
        <v>855</v>
      </c>
      <c r="T48" s="110">
        <v>-855</v>
      </c>
      <c r="U48" s="2" t="s">
        <v>2126</v>
      </c>
      <c r="V48" s="110"/>
      <c r="W48" s="110">
        <v>855</v>
      </c>
      <c r="X48" s="2" t="s">
        <v>2194</v>
      </c>
      <c r="Y48" s="110">
        <v>5000</v>
      </c>
      <c r="Z48" s="110">
        <f t="shared" si="0"/>
        <v>0</v>
      </c>
      <c r="AA48" cm="1">
        <f t="array" aca="1" ref="AA48" ca="1">IFERROR(INDEX(H_Tables!E:E,MATCH(INDIRECT("I"&amp;ROW()),H_Tables!F:F,0)),"")</f>
        <v>2</v>
      </c>
      <c r="AB48" cm="1">
        <f t="array" aca="1" ref="AB48" ca="1">IFERROR(INDEX(H_Tables!H:H,MATCH(INDIRECT("k"&amp;ROW()),H_Tables!I:I,0)),"")</f>
        <v>2</v>
      </c>
      <c r="AC48" t="str">
        <f t="shared" si="1"/>
        <v>Teller Cash Recycler,New,Hosted by JHA,0</v>
      </c>
      <c r="AD48">
        <v>47</v>
      </c>
    </row>
    <row r="49" spans="1:30" ht="15" customHeight="1" x14ac:dyDescent="0.25">
      <c r="A49" s="127">
        <v>45895</v>
      </c>
      <c r="B49" s="2" t="s">
        <v>2117</v>
      </c>
      <c r="C49" s="110">
        <v>0</v>
      </c>
      <c r="D49" s="2" t="s">
        <v>2118</v>
      </c>
      <c r="E49" s="2" t="s">
        <v>2119</v>
      </c>
      <c r="F49" s="110">
        <v>1.35E-2</v>
      </c>
      <c r="G49" s="110">
        <v>0</v>
      </c>
      <c r="H49" s="2" t="s">
        <v>2120</v>
      </c>
      <c r="I49" s="2" t="s">
        <v>183</v>
      </c>
      <c r="J49" s="2" t="s">
        <v>427</v>
      </c>
      <c r="K49" s="2" t="s">
        <v>682</v>
      </c>
      <c r="L49" s="2" t="s">
        <v>2129</v>
      </c>
      <c r="M49" s="2" t="s">
        <v>2195</v>
      </c>
      <c r="N49" s="2" t="s">
        <v>2122</v>
      </c>
      <c r="O49" s="2" t="s">
        <v>2123</v>
      </c>
      <c r="P49" s="2" t="s">
        <v>2124</v>
      </c>
      <c r="Q49" s="2" t="s">
        <v>152</v>
      </c>
      <c r="R49" s="110">
        <v>1</v>
      </c>
      <c r="S49" s="110">
        <v>90</v>
      </c>
      <c r="T49" s="110">
        <v>-22.5</v>
      </c>
      <c r="U49" s="2" t="s">
        <v>2126</v>
      </c>
      <c r="V49" s="110"/>
      <c r="W49" s="110">
        <v>90</v>
      </c>
      <c r="X49" s="2" t="s">
        <v>2196</v>
      </c>
      <c r="Y49" s="110">
        <v>5000</v>
      </c>
      <c r="Z49" s="110">
        <f t="shared" si="0"/>
        <v>1.7999999999999999E-2</v>
      </c>
      <c r="AA49" cm="1">
        <f t="array" aca="1" ref="AA49" ca="1">IFERROR(INDEX(H_Tables!E:E,MATCH(INDIRECT("I"&amp;ROW()),H_Tables!F:F,0)),"")</f>
        <v>2</v>
      </c>
      <c r="AB49" cm="1">
        <f t="array" aca="1" ref="AB49" ca="1">IFERROR(INDEX(H_Tables!H:H,MATCH(INDIRECT("k"&amp;ROW()),H_Tables!I:I,0)),"")</f>
        <v>2</v>
      </c>
      <c r="AC49" t="str">
        <f t="shared" si="1"/>
        <v>Teller CheckMaster Plus,New,Hosted by JHA,0</v>
      </c>
      <c r="AD49">
        <v>48</v>
      </c>
    </row>
    <row r="50" spans="1:30" ht="15" customHeight="1" x14ac:dyDescent="0.25">
      <c r="A50" s="127">
        <v>45895</v>
      </c>
      <c r="B50" s="2" t="s">
        <v>2117</v>
      </c>
      <c r="C50" s="110">
        <v>0</v>
      </c>
      <c r="D50" s="2" t="s">
        <v>2118</v>
      </c>
      <c r="E50" s="2" t="s">
        <v>2119</v>
      </c>
      <c r="F50" s="110">
        <v>0</v>
      </c>
      <c r="G50" s="110">
        <v>0</v>
      </c>
      <c r="H50" s="2" t="s">
        <v>2120</v>
      </c>
      <c r="I50" s="2" t="s">
        <v>183</v>
      </c>
      <c r="J50" s="2" t="s">
        <v>427</v>
      </c>
      <c r="K50" s="2" t="s">
        <v>682</v>
      </c>
      <c r="L50" s="2" t="s">
        <v>2121</v>
      </c>
      <c r="M50" s="2" t="s">
        <v>2195</v>
      </c>
      <c r="N50" s="2" t="s">
        <v>2122</v>
      </c>
      <c r="O50" s="2" t="s">
        <v>2123</v>
      </c>
      <c r="P50" s="2" t="s">
        <v>2124</v>
      </c>
      <c r="Q50" s="2" t="s">
        <v>2132</v>
      </c>
      <c r="R50" s="110">
        <v>1</v>
      </c>
      <c r="S50" s="110">
        <v>390</v>
      </c>
      <c r="T50" s="110">
        <v>-390</v>
      </c>
      <c r="U50" s="2" t="s">
        <v>2126</v>
      </c>
      <c r="V50" s="110"/>
      <c r="W50" s="110">
        <v>390</v>
      </c>
      <c r="X50" s="2" t="s">
        <v>2197</v>
      </c>
      <c r="Y50" s="110">
        <v>5000</v>
      </c>
      <c r="Z50" s="110">
        <f t="shared" si="0"/>
        <v>0</v>
      </c>
      <c r="AA50" cm="1">
        <f t="array" aca="1" ref="AA50" ca="1">IFERROR(INDEX(H_Tables!E:E,MATCH(INDIRECT("I"&amp;ROW()),H_Tables!F:F,0)),"")</f>
        <v>2</v>
      </c>
      <c r="AB50" cm="1">
        <f t="array" aca="1" ref="AB50" ca="1">IFERROR(INDEX(H_Tables!H:H,MATCH(INDIRECT("k"&amp;ROW()),H_Tables!I:I,0)),"")</f>
        <v>2</v>
      </c>
      <c r="AC50" t="str">
        <f t="shared" si="1"/>
        <v>Teller CheckMaster Plus,New,Hosted by JHA,0</v>
      </c>
      <c r="AD50">
        <v>49</v>
      </c>
    </row>
    <row r="51" spans="1:30" ht="15" customHeight="1" x14ac:dyDescent="0.25">
      <c r="A51" s="127">
        <v>45895</v>
      </c>
      <c r="B51" s="2" t="s">
        <v>2117</v>
      </c>
      <c r="C51" s="110">
        <v>0</v>
      </c>
      <c r="D51" s="2" t="s">
        <v>2118</v>
      </c>
      <c r="E51" s="2" t="s">
        <v>2119</v>
      </c>
      <c r="F51" s="110">
        <v>0</v>
      </c>
      <c r="G51" s="110">
        <v>0</v>
      </c>
      <c r="H51" s="2" t="s">
        <v>2120</v>
      </c>
      <c r="I51" s="2" t="s">
        <v>183</v>
      </c>
      <c r="J51" s="2" t="s">
        <v>2198</v>
      </c>
      <c r="K51" s="2" t="s">
        <v>682</v>
      </c>
      <c r="L51" s="2" t="s">
        <v>2121</v>
      </c>
      <c r="M51" s="2" t="s">
        <v>2199</v>
      </c>
      <c r="N51" s="2" t="s">
        <v>2122</v>
      </c>
      <c r="O51" s="2" t="s">
        <v>2123</v>
      </c>
      <c r="P51" s="2" t="s">
        <v>2124</v>
      </c>
      <c r="Q51" s="2" t="s">
        <v>2132</v>
      </c>
      <c r="R51" s="110">
        <v>1</v>
      </c>
      <c r="S51" s="110">
        <v>3750</v>
      </c>
      <c r="T51" s="110">
        <v>-3750</v>
      </c>
      <c r="U51" s="2" t="s">
        <v>2126</v>
      </c>
      <c r="V51" s="110"/>
      <c r="W51" s="110">
        <v>3750</v>
      </c>
      <c r="X51" s="2" t="s">
        <v>2200</v>
      </c>
      <c r="Y51" s="110">
        <v>5000</v>
      </c>
      <c r="Z51" s="110">
        <f t="shared" si="0"/>
        <v>0</v>
      </c>
      <c r="AA51" cm="1">
        <f t="array" aca="1" ref="AA51" ca="1">IFERROR(INDEX(H_Tables!E:E,MATCH(INDIRECT("I"&amp;ROW()),H_Tables!F:F,0)),"")</f>
        <v>2</v>
      </c>
      <c r="AB51" cm="1">
        <f t="array" aca="1" ref="AB51" ca="1">IFERROR(INDEX(H_Tables!H:H,MATCH(INDIRECT("k"&amp;ROW()),H_Tables!I:I,0)),"")</f>
        <v>2</v>
      </c>
      <c r="AC51" t="str">
        <f t="shared" si="1"/>
        <v>Teller Email Receipts,New,Hosted by JHA,0</v>
      </c>
      <c r="AD51">
        <v>50</v>
      </c>
    </row>
    <row r="52" spans="1:30" ht="15" customHeight="1" x14ac:dyDescent="0.25">
      <c r="A52" s="127">
        <v>45895</v>
      </c>
      <c r="B52" s="2" t="s">
        <v>2117</v>
      </c>
      <c r="C52" s="110">
        <v>0</v>
      </c>
      <c r="D52" s="2" t="s">
        <v>2118</v>
      </c>
      <c r="E52" s="2" t="s">
        <v>2119</v>
      </c>
      <c r="F52" s="110">
        <v>0</v>
      </c>
      <c r="G52" s="110">
        <v>0</v>
      </c>
      <c r="H52" s="2" t="s">
        <v>2120</v>
      </c>
      <c r="I52" s="2" t="s">
        <v>183</v>
      </c>
      <c r="J52" s="2" t="s">
        <v>1694</v>
      </c>
      <c r="K52" s="2" t="s">
        <v>682</v>
      </c>
      <c r="L52" s="2" t="s">
        <v>2166</v>
      </c>
      <c r="M52" s="2" t="s">
        <v>2201</v>
      </c>
      <c r="N52" s="2" t="s">
        <v>2122</v>
      </c>
      <c r="O52" s="2" t="s">
        <v>2164</v>
      </c>
      <c r="P52" s="2" t="s">
        <v>2124</v>
      </c>
      <c r="Q52" s="2" t="s">
        <v>2132</v>
      </c>
      <c r="R52" s="110">
        <v>1</v>
      </c>
      <c r="S52" s="110">
        <v>4909</v>
      </c>
      <c r="T52" s="110">
        <v>0</v>
      </c>
      <c r="U52" s="2" t="s">
        <v>2126</v>
      </c>
      <c r="V52" s="110"/>
      <c r="W52" s="110">
        <v>4909</v>
      </c>
      <c r="X52" s="2" t="s">
        <v>2202</v>
      </c>
      <c r="Y52" s="110">
        <v>5000</v>
      </c>
      <c r="Z52" s="110">
        <f t="shared" si="0"/>
        <v>0</v>
      </c>
      <c r="AA52" cm="1">
        <f t="array" aca="1" ref="AA52" ca="1">IFERROR(INDEX(H_Tables!E:E,MATCH(INDIRECT("I"&amp;ROW()),H_Tables!F:F,0)),"")</f>
        <v>2</v>
      </c>
      <c r="AB52" cm="1">
        <f t="array" aca="1" ref="AB52" ca="1">IFERROR(INDEX(H_Tables!H:H,MATCH(INDIRECT("k"&amp;ROW()),H_Tables!I:I,0)),"")</f>
        <v>2</v>
      </c>
      <c r="AC52" t="str">
        <f t="shared" si="1"/>
        <v>Teller OrboAnywhere AI Recognition,New,On Premise License,0</v>
      </c>
      <c r="AD52">
        <v>51</v>
      </c>
    </row>
    <row r="53" spans="1:30" ht="15" customHeight="1" x14ac:dyDescent="0.25">
      <c r="A53" s="127">
        <v>45895</v>
      </c>
      <c r="B53" s="2" t="s">
        <v>2117</v>
      </c>
      <c r="C53" s="110">
        <v>0</v>
      </c>
      <c r="D53" s="2" t="s">
        <v>2118</v>
      </c>
      <c r="E53" s="2" t="s">
        <v>2119</v>
      </c>
      <c r="F53" s="110">
        <v>0</v>
      </c>
      <c r="G53" s="110">
        <v>0</v>
      </c>
      <c r="H53" s="2" t="s">
        <v>2120</v>
      </c>
      <c r="I53" s="2" t="s">
        <v>183</v>
      </c>
      <c r="J53" s="2" t="s">
        <v>1694</v>
      </c>
      <c r="K53" s="2" t="s">
        <v>682</v>
      </c>
      <c r="L53" s="2" t="s">
        <v>2168</v>
      </c>
      <c r="M53" s="2" t="s">
        <v>2201</v>
      </c>
      <c r="N53" s="2" t="s">
        <v>2122</v>
      </c>
      <c r="O53" s="2" t="s">
        <v>2164</v>
      </c>
      <c r="P53" s="2" t="s">
        <v>2124</v>
      </c>
      <c r="Q53" s="2" t="s">
        <v>2125</v>
      </c>
      <c r="R53" s="110">
        <v>1</v>
      </c>
      <c r="S53" s="110">
        <v>982</v>
      </c>
      <c r="T53" s="110">
        <v>0</v>
      </c>
      <c r="U53" s="2" t="s">
        <v>2126</v>
      </c>
      <c r="V53" s="110"/>
      <c r="W53" s="110">
        <v>982</v>
      </c>
      <c r="X53" s="2" t="s">
        <v>2203</v>
      </c>
      <c r="Y53" s="110">
        <v>5000</v>
      </c>
      <c r="Z53" s="110">
        <f t="shared" si="0"/>
        <v>0</v>
      </c>
      <c r="AA53" cm="1">
        <f t="array" aca="1" ref="AA53" ca="1">IFERROR(INDEX(H_Tables!E:E,MATCH(INDIRECT("I"&amp;ROW()),H_Tables!F:F,0)),"")</f>
        <v>2</v>
      </c>
      <c r="AB53" cm="1">
        <f t="array" aca="1" ref="AB53" ca="1">IFERROR(INDEX(H_Tables!H:H,MATCH(INDIRECT("k"&amp;ROW()),H_Tables!I:I,0)),"")</f>
        <v>2</v>
      </c>
      <c r="AC53" t="str">
        <f t="shared" si="1"/>
        <v>Teller OrboAnywhere AI Recognition,New,On Premise License,0</v>
      </c>
      <c r="AD53">
        <v>52</v>
      </c>
    </row>
    <row r="54" spans="1:30" ht="15" customHeight="1" x14ac:dyDescent="0.25">
      <c r="A54" s="127">
        <v>45895</v>
      </c>
      <c r="B54" s="2" t="s">
        <v>2117</v>
      </c>
      <c r="C54" s="110">
        <v>0</v>
      </c>
      <c r="D54" s="2" t="s">
        <v>2118</v>
      </c>
      <c r="E54" s="2" t="s">
        <v>2119</v>
      </c>
      <c r="F54" s="110">
        <v>0</v>
      </c>
      <c r="G54" s="110">
        <v>0</v>
      </c>
      <c r="H54" s="2" t="s">
        <v>2120</v>
      </c>
      <c r="I54" s="2" t="s">
        <v>183</v>
      </c>
      <c r="J54" s="2" t="s">
        <v>1696</v>
      </c>
      <c r="K54" s="2" t="s">
        <v>682</v>
      </c>
      <c r="L54" s="2" t="s">
        <v>2166</v>
      </c>
      <c r="M54" s="2" t="s">
        <v>2204</v>
      </c>
      <c r="N54" s="2" t="s">
        <v>2122</v>
      </c>
      <c r="O54" s="2" t="s">
        <v>2164</v>
      </c>
      <c r="P54" s="2" t="s">
        <v>2124</v>
      </c>
      <c r="Q54" s="2" t="s">
        <v>2132</v>
      </c>
      <c r="R54" s="110">
        <v>1</v>
      </c>
      <c r="S54" s="110">
        <v>1636</v>
      </c>
      <c r="T54" s="110">
        <v>0</v>
      </c>
      <c r="U54" s="2" t="s">
        <v>2126</v>
      </c>
      <c r="V54" s="110"/>
      <c r="W54" s="110">
        <v>1636</v>
      </c>
      <c r="X54" s="2" t="s">
        <v>2205</v>
      </c>
      <c r="Y54" s="110">
        <v>5000</v>
      </c>
      <c r="Z54" s="110">
        <f t="shared" si="0"/>
        <v>0</v>
      </c>
      <c r="AA54" cm="1">
        <f t="array" aca="1" ref="AA54" ca="1">IFERROR(INDEX(H_Tables!E:E,MATCH(INDIRECT("I"&amp;ROW()),H_Tables!F:F,0)),"")</f>
        <v>2</v>
      </c>
      <c r="AB54" cm="1">
        <f t="array" aca="1" ref="AB54" ca="1">IFERROR(INDEX(H_Tables!H:H,MATCH(INDIRECT("k"&amp;ROW()),H_Tables!I:I,0)),"")</f>
        <v>2</v>
      </c>
      <c r="AC54" t="str">
        <f t="shared" si="1"/>
        <v>Teller OrboAnywhere AI Validate,New,On Premise License,0</v>
      </c>
      <c r="AD54">
        <v>53</v>
      </c>
    </row>
    <row r="55" spans="1:30" ht="15" customHeight="1" x14ac:dyDescent="0.25">
      <c r="A55" s="127">
        <v>45895</v>
      </c>
      <c r="B55" s="2" t="s">
        <v>2117</v>
      </c>
      <c r="C55" s="110">
        <v>0</v>
      </c>
      <c r="D55" s="2" t="s">
        <v>2118</v>
      </c>
      <c r="E55" s="2" t="s">
        <v>2119</v>
      </c>
      <c r="F55" s="110">
        <v>0</v>
      </c>
      <c r="G55" s="110">
        <v>0</v>
      </c>
      <c r="H55" s="2" t="s">
        <v>2120</v>
      </c>
      <c r="I55" s="2" t="s">
        <v>183</v>
      </c>
      <c r="J55" s="2" t="s">
        <v>1696</v>
      </c>
      <c r="K55" s="2" t="s">
        <v>682</v>
      </c>
      <c r="L55" s="2" t="s">
        <v>2168</v>
      </c>
      <c r="M55" s="2" t="s">
        <v>2204</v>
      </c>
      <c r="N55" s="2" t="s">
        <v>2122</v>
      </c>
      <c r="O55" s="2" t="s">
        <v>2164</v>
      </c>
      <c r="P55" s="2" t="s">
        <v>2124</v>
      </c>
      <c r="Q55" s="2" t="s">
        <v>2125</v>
      </c>
      <c r="R55" s="110">
        <v>1</v>
      </c>
      <c r="S55" s="110">
        <v>327</v>
      </c>
      <c r="T55" s="110">
        <v>0</v>
      </c>
      <c r="U55" s="2" t="s">
        <v>2126</v>
      </c>
      <c r="V55" s="110"/>
      <c r="W55" s="110">
        <v>327</v>
      </c>
      <c r="X55" s="2" t="s">
        <v>2206</v>
      </c>
      <c r="Y55" s="110">
        <v>5000</v>
      </c>
      <c r="Z55" s="110">
        <f t="shared" si="0"/>
        <v>0</v>
      </c>
      <c r="AA55" cm="1">
        <f t="array" aca="1" ref="AA55" ca="1">IFERROR(INDEX(H_Tables!E:E,MATCH(INDIRECT("I"&amp;ROW()),H_Tables!F:F,0)),"")</f>
        <v>2</v>
      </c>
      <c r="AB55" cm="1">
        <f t="array" aca="1" ref="AB55" ca="1">IFERROR(INDEX(H_Tables!H:H,MATCH(INDIRECT("k"&amp;ROW()),H_Tables!I:I,0)),"")</f>
        <v>2</v>
      </c>
      <c r="AC55" t="str">
        <f t="shared" si="1"/>
        <v>Teller OrboAnywhere AI Validate,New,On Premise License,0</v>
      </c>
      <c r="AD55">
        <v>54</v>
      </c>
    </row>
    <row r="56" spans="1:30" ht="15" customHeight="1" x14ac:dyDescent="0.25">
      <c r="A56" s="127">
        <v>45895</v>
      </c>
      <c r="B56" s="2" t="s">
        <v>2117</v>
      </c>
      <c r="C56" s="110">
        <v>0</v>
      </c>
      <c r="D56" s="2" t="s">
        <v>2118</v>
      </c>
      <c r="E56" s="2" t="s">
        <v>2119</v>
      </c>
      <c r="F56" s="110">
        <v>0</v>
      </c>
      <c r="G56" s="110">
        <v>0</v>
      </c>
      <c r="H56" s="2" t="s">
        <v>2120</v>
      </c>
      <c r="I56" s="2" t="s">
        <v>189</v>
      </c>
      <c r="J56" s="2" t="s">
        <v>1854</v>
      </c>
      <c r="K56" s="2" t="s">
        <v>182</v>
      </c>
      <c r="L56" s="2" t="s">
        <v>2129</v>
      </c>
      <c r="M56" s="2" t="s">
        <v>1855</v>
      </c>
      <c r="N56" s="2" t="s">
        <v>2122</v>
      </c>
      <c r="O56" s="2" t="s">
        <v>2207</v>
      </c>
      <c r="P56" s="2" t="s">
        <v>2124</v>
      </c>
      <c r="Q56" s="2" t="s">
        <v>152</v>
      </c>
      <c r="R56" s="110">
        <v>1</v>
      </c>
      <c r="S56" s="110">
        <v>500</v>
      </c>
      <c r="T56" s="110">
        <v>0</v>
      </c>
      <c r="U56" s="2" t="s">
        <v>2126</v>
      </c>
      <c r="V56" s="110"/>
      <c r="W56" s="110">
        <v>500</v>
      </c>
      <c r="X56" s="2" t="s">
        <v>2208</v>
      </c>
      <c r="Y56" s="110">
        <v>5000</v>
      </c>
      <c r="Z56" s="110">
        <f t="shared" si="0"/>
        <v>0</v>
      </c>
      <c r="AA56" cm="1">
        <f t="array" aca="1" ref="AA56" ca="1">IFERROR(INDEX(H_Tables!E:E,MATCH(INDIRECT("I"&amp;ROW()),H_Tables!F:F,0)),"")</f>
        <v>8</v>
      </c>
      <c r="AB56" cm="1">
        <f t="array" aca="1" ref="AB56" ca="1">IFERROR(INDEX(H_Tables!H:H,MATCH(INDIRECT("k"&amp;ROW()),H_Tables!I:I,0)),"")</f>
        <v>2</v>
      </c>
      <c r="AC56" t="str">
        <f t="shared" si="1"/>
        <v>Jack Henry Loyalty and Rewards Support - Enterprise,New,Hosted by 3rd Party,0</v>
      </c>
      <c r="AD56">
        <v>55</v>
      </c>
    </row>
    <row r="57" spans="1:30" ht="15" customHeight="1" x14ac:dyDescent="0.25">
      <c r="A57" s="127">
        <v>45895</v>
      </c>
      <c r="B57" s="2" t="s">
        <v>2117</v>
      </c>
      <c r="C57" s="110">
        <v>0</v>
      </c>
      <c r="D57" s="2" t="s">
        <v>2118</v>
      </c>
      <c r="E57" s="2" t="s">
        <v>2119</v>
      </c>
      <c r="F57" s="110">
        <v>0</v>
      </c>
      <c r="G57" s="110">
        <v>0</v>
      </c>
      <c r="H57" s="2" t="s">
        <v>2120</v>
      </c>
      <c r="I57" s="2" t="s">
        <v>189</v>
      </c>
      <c r="J57" s="2" t="s">
        <v>1854</v>
      </c>
      <c r="K57" s="2" t="s">
        <v>182</v>
      </c>
      <c r="L57" s="2" t="s">
        <v>2121</v>
      </c>
      <c r="M57" s="2" t="s">
        <v>1855</v>
      </c>
      <c r="N57" s="2" t="s">
        <v>2122</v>
      </c>
      <c r="O57" s="2" t="s">
        <v>2207</v>
      </c>
      <c r="P57" s="2" t="s">
        <v>2124</v>
      </c>
      <c r="Q57" s="2" t="s">
        <v>2132</v>
      </c>
      <c r="R57" s="110">
        <v>1</v>
      </c>
      <c r="S57" s="110">
        <v>16625</v>
      </c>
      <c r="T57" s="110">
        <v>-16625</v>
      </c>
      <c r="U57" s="2" t="s">
        <v>2126</v>
      </c>
      <c r="V57" s="110"/>
      <c r="W57" s="110">
        <v>16625</v>
      </c>
      <c r="X57" s="2" t="s">
        <v>2209</v>
      </c>
      <c r="Y57" s="110">
        <v>5000</v>
      </c>
      <c r="Z57" s="110">
        <f t="shared" si="0"/>
        <v>0</v>
      </c>
      <c r="AA57" cm="1">
        <f t="array" aca="1" ref="AA57" ca="1">IFERROR(INDEX(H_Tables!E:E,MATCH(INDIRECT("I"&amp;ROW()),H_Tables!F:F,0)),"")</f>
        <v>8</v>
      </c>
      <c r="AB57" cm="1">
        <f t="array" aca="1" ref="AB57" ca="1">IFERROR(INDEX(H_Tables!H:H,MATCH(INDIRECT("k"&amp;ROW()),H_Tables!I:I,0)),"")</f>
        <v>2</v>
      </c>
      <c r="AC57" t="str">
        <f t="shared" si="1"/>
        <v>Jack Henry Loyalty and Rewards Support - Enterprise,New,Hosted by 3rd Party,0</v>
      </c>
      <c r="AD57">
        <v>56</v>
      </c>
    </row>
    <row r="58" spans="1:30" ht="15" customHeight="1" x14ac:dyDescent="0.25">
      <c r="A58" s="127">
        <v>45895</v>
      </c>
      <c r="B58" s="2" t="s">
        <v>2117</v>
      </c>
      <c r="C58" s="110">
        <v>0</v>
      </c>
      <c r="D58" s="2" t="s">
        <v>2118</v>
      </c>
      <c r="E58" s="2" t="s">
        <v>2119</v>
      </c>
      <c r="F58" s="110">
        <v>0</v>
      </c>
      <c r="G58" s="110">
        <v>0</v>
      </c>
      <c r="H58" s="2" t="s">
        <v>2120</v>
      </c>
      <c r="I58" s="2" t="s">
        <v>189</v>
      </c>
      <c r="J58" s="2" t="s">
        <v>1856</v>
      </c>
      <c r="K58" s="2" t="s">
        <v>182</v>
      </c>
      <c r="L58" s="2" t="s">
        <v>2129</v>
      </c>
      <c r="M58" s="2" t="s">
        <v>1857</v>
      </c>
      <c r="N58" s="2" t="s">
        <v>2122</v>
      </c>
      <c r="O58" s="2" t="s">
        <v>2207</v>
      </c>
      <c r="P58" s="2" t="s">
        <v>2124</v>
      </c>
      <c r="Q58" s="2" t="s">
        <v>152</v>
      </c>
      <c r="R58" s="110">
        <v>1</v>
      </c>
      <c r="S58" s="110">
        <v>1000</v>
      </c>
      <c r="T58" s="110">
        <v>0</v>
      </c>
      <c r="U58" s="2" t="s">
        <v>2126</v>
      </c>
      <c r="V58" s="110"/>
      <c r="W58" s="110">
        <v>1000</v>
      </c>
      <c r="X58" s="2" t="s">
        <v>2210</v>
      </c>
      <c r="Y58" s="110">
        <v>5000</v>
      </c>
      <c r="Z58" s="110">
        <f t="shared" si="0"/>
        <v>0</v>
      </c>
      <c r="AA58" cm="1">
        <f t="array" aca="1" ref="AA58" ca="1">IFERROR(INDEX(H_Tables!E:E,MATCH(INDIRECT("I"&amp;ROW()),H_Tables!F:F,0)),"")</f>
        <v>8</v>
      </c>
      <c r="AB58" cm="1">
        <f t="array" aca="1" ref="AB58" ca="1">IFERROR(INDEX(H_Tables!H:H,MATCH(INDIRECT("k"&amp;ROW()),H_Tables!I:I,0)),"")</f>
        <v>2</v>
      </c>
      <c r="AC58" t="str">
        <f t="shared" si="1"/>
        <v>Jack Henry Loyalty and Rewards - Enterprise,New,Hosted by 3rd Party,0</v>
      </c>
      <c r="AD58">
        <v>57</v>
      </c>
    </row>
    <row r="59" spans="1:30" ht="15" customHeight="1" x14ac:dyDescent="0.25">
      <c r="A59" s="127">
        <v>45895</v>
      </c>
      <c r="B59" s="2" t="s">
        <v>2117</v>
      </c>
      <c r="C59" s="110">
        <v>0</v>
      </c>
      <c r="D59" s="2" t="s">
        <v>2118</v>
      </c>
      <c r="E59" s="2" t="s">
        <v>2119</v>
      </c>
      <c r="F59" s="110">
        <v>0</v>
      </c>
      <c r="G59" s="110">
        <v>0</v>
      </c>
      <c r="H59" s="2" t="s">
        <v>2120</v>
      </c>
      <c r="I59" s="2" t="s">
        <v>190</v>
      </c>
      <c r="J59" s="2" t="s">
        <v>2211</v>
      </c>
      <c r="K59" s="2" t="s">
        <v>182</v>
      </c>
      <c r="L59" s="2" t="s">
        <v>2121</v>
      </c>
      <c r="M59" s="2" t="s">
        <v>2212</v>
      </c>
      <c r="N59" s="2" t="s">
        <v>2122</v>
      </c>
      <c r="O59" s="2" t="s">
        <v>2207</v>
      </c>
      <c r="P59" s="2" t="s">
        <v>2150</v>
      </c>
      <c r="Q59" s="2" t="s">
        <v>2132</v>
      </c>
      <c r="R59" s="110">
        <v>1</v>
      </c>
      <c r="S59" s="110">
        <v>18000</v>
      </c>
      <c r="T59" s="110">
        <v>0</v>
      </c>
      <c r="U59" s="2" t="s">
        <v>2126</v>
      </c>
      <c r="V59" s="110"/>
      <c r="W59" s="110">
        <v>18000</v>
      </c>
      <c r="X59" s="2" t="s">
        <v>2213</v>
      </c>
      <c r="Y59" s="110">
        <v>5000</v>
      </c>
      <c r="Z59" s="110">
        <f t="shared" si="0"/>
        <v>0</v>
      </c>
      <c r="AA59" cm="1">
        <f t="array" aca="1" ref="AA59" ca="1">IFERROR(INDEX(H_Tables!E:E,MATCH(INDIRECT("I"&amp;ROW()),H_Tables!F:F,0)),"")</f>
        <v>9</v>
      </c>
      <c r="AB59" cm="1">
        <f t="array" aca="1" ref="AB59" ca="1">IFERROR(INDEX(H_Tables!H:H,MATCH(INDIRECT("k"&amp;ROW()),H_Tables!I:I,0)),"")</f>
        <v>2</v>
      </c>
      <c r="AC59" t="str">
        <f t="shared" ref="AC59" si="2">_xlfn.TEXTJOIN(",",TRUE,M59:P59)</f>
        <v>Jack Henry Loyalty and Rewards Strategy Engagement,New,Hosted by 3rd Party,1</v>
      </c>
      <c r="AD59">
        <v>57</v>
      </c>
    </row>
    <row r="60" spans="1:30" ht="15" customHeight="1" x14ac:dyDescent="0.25">
      <c r="A60" s="127">
        <v>45895</v>
      </c>
      <c r="B60" s="2" t="s">
        <v>2117</v>
      </c>
      <c r="C60" s="110">
        <v>0</v>
      </c>
      <c r="D60" s="2" t="s">
        <v>2118</v>
      </c>
      <c r="E60" s="2" t="s">
        <v>2119</v>
      </c>
      <c r="F60" s="110">
        <v>0</v>
      </c>
      <c r="G60" s="110">
        <v>0</v>
      </c>
      <c r="H60" s="2" t="s">
        <v>2120</v>
      </c>
      <c r="I60" s="2" t="s">
        <v>190</v>
      </c>
      <c r="J60" s="2" t="s">
        <v>2214</v>
      </c>
      <c r="K60" s="2" t="s">
        <v>182</v>
      </c>
      <c r="L60" s="2" t="s">
        <v>2121</v>
      </c>
      <c r="M60" s="2" t="s">
        <v>2215</v>
      </c>
      <c r="N60" s="2" t="s">
        <v>2122</v>
      </c>
      <c r="O60" s="2" t="s">
        <v>2207</v>
      </c>
      <c r="P60" s="2" t="s">
        <v>2150</v>
      </c>
      <c r="Q60" s="2" t="s">
        <v>2125</v>
      </c>
      <c r="R60" s="110">
        <v>1</v>
      </c>
      <c r="S60" s="110">
        <v>3500</v>
      </c>
      <c r="T60" s="110">
        <v>0</v>
      </c>
      <c r="U60" s="2" t="s">
        <v>2126</v>
      </c>
      <c r="V60" s="110"/>
      <c r="W60" s="110">
        <v>3500</v>
      </c>
      <c r="X60" s="2" t="s">
        <v>2216</v>
      </c>
      <c r="Y60" s="110">
        <v>5000</v>
      </c>
      <c r="Z60" s="110">
        <f t="shared" si="0"/>
        <v>0</v>
      </c>
      <c r="AA60" cm="1">
        <f t="array" aca="1" ref="AA60" ca="1">IFERROR(INDEX(H_Tables!E:E,MATCH(INDIRECT("I"&amp;ROW()),H_Tables!F:F,0)),"")</f>
        <v>9</v>
      </c>
      <c r="AB60" cm="1">
        <f t="array" aca="1" ref="AB60" ca="1">IFERROR(INDEX(H_Tables!H:H,MATCH(INDIRECT("k"&amp;ROW()),H_Tables!I:I,0)),"")</f>
        <v>2</v>
      </c>
      <c r="AC60" t="str">
        <f t="shared" ref="AC60" si="3">_xlfn.TEXTJOIN(",",TRUE,M60:P60)</f>
        <v>Jack Henry Loyalty and Rewards Optimization Assistance,New,Hosted by 3rd Party,1</v>
      </c>
      <c r="AD60">
        <v>57</v>
      </c>
    </row>
    <row r="61" spans="1:30" ht="15" customHeight="1" x14ac:dyDescent="0.25">
      <c r="A61" s="127">
        <v>45895</v>
      </c>
      <c r="B61" s="2" t="s">
        <v>2117</v>
      </c>
      <c r="C61" s="110">
        <v>0</v>
      </c>
      <c r="D61" s="2" t="s">
        <v>2118</v>
      </c>
      <c r="E61" s="2" t="s">
        <v>2119</v>
      </c>
      <c r="F61" s="110">
        <v>0</v>
      </c>
      <c r="G61" s="110">
        <v>0</v>
      </c>
      <c r="H61" s="2" t="s">
        <v>2120</v>
      </c>
      <c r="I61" s="2" t="s">
        <v>184</v>
      </c>
      <c r="J61" s="2" t="s">
        <v>441</v>
      </c>
      <c r="K61" s="2" t="s">
        <v>561</v>
      </c>
      <c r="L61" s="2" t="s">
        <v>2129</v>
      </c>
      <c r="M61" s="2" t="s">
        <v>561</v>
      </c>
      <c r="N61" s="2" t="s">
        <v>2122</v>
      </c>
      <c r="O61" s="2" t="s">
        <v>2123</v>
      </c>
      <c r="P61" s="2" t="s">
        <v>2124</v>
      </c>
      <c r="Q61" s="2" t="s">
        <v>152</v>
      </c>
      <c r="R61" s="110">
        <v>1</v>
      </c>
      <c r="S61" s="110">
        <v>500</v>
      </c>
      <c r="T61" s="110">
        <v>0</v>
      </c>
      <c r="U61" s="2" t="s">
        <v>2126</v>
      </c>
      <c r="V61" s="110"/>
      <c r="W61" s="110">
        <v>500</v>
      </c>
      <c r="X61" s="2" t="s">
        <v>2217</v>
      </c>
      <c r="Y61" s="110">
        <v>5000</v>
      </c>
      <c r="Z61" s="110">
        <f t="shared" si="0"/>
        <v>0</v>
      </c>
      <c r="AA61" cm="1">
        <f t="array" aca="1" ref="AA61" ca="1">IFERROR(INDEX(H_Tables!E:E,MATCH(INDIRECT("I"&amp;ROW()),H_Tables!F:F,0)),"")</f>
        <v>3</v>
      </c>
      <c r="AB61" cm="1">
        <f t="array" aca="1" ref="AB61" ca="1">IFERROR(INDEX(H_Tables!H:H,MATCH(INDIRECT("k"&amp;ROW()),H_Tables!I:I,0)),"")</f>
        <v>1</v>
      </c>
      <c r="AC61" t="str">
        <f t="shared" si="1"/>
        <v>Banno,New,Hosted by JHA,0</v>
      </c>
      <c r="AD61">
        <v>58</v>
      </c>
    </row>
    <row r="62" spans="1:30" ht="15" customHeight="1" x14ac:dyDescent="0.25">
      <c r="A62" s="127">
        <v>45895</v>
      </c>
      <c r="B62" s="2" t="s">
        <v>2117</v>
      </c>
      <c r="C62" s="110">
        <v>0</v>
      </c>
      <c r="D62" s="2" t="s">
        <v>2118</v>
      </c>
      <c r="E62" s="2" t="s">
        <v>2119</v>
      </c>
      <c r="F62" s="110">
        <v>0</v>
      </c>
      <c r="G62" s="110">
        <v>0</v>
      </c>
      <c r="H62" s="2" t="s">
        <v>2120</v>
      </c>
      <c r="I62" s="2" t="s">
        <v>184</v>
      </c>
      <c r="J62" s="2" t="s">
        <v>441</v>
      </c>
      <c r="K62" s="2" t="s">
        <v>561</v>
      </c>
      <c r="L62" s="2" t="s">
        <v>2121</v>
      </c>
      <c r="M62" s="2" t="s">
        <v>561</v>
      </c>
      <c r="N62" s="2" t="s">
        <v>2122</v>
      </c>
      <c r="O62" s="2" t="s">
        <v>2123</v>
      </c>
      <c r="P62" s="2" t="s">
        <v>2124</v>
      </c>
      <c r="Q62" s="2" t="s">
        <v>2132</v>
      </c>
      <c r="R62" s="110">
        <v>1</v>
      </c>
      <c r="S62" s="110">
        <v>65000</v>
      </c>
      <c r="T62" s="110">
        <v>-65000</v>
      </c>
      <c r="U62" s="2" t="s">
        <v>2126</v>
      </c>
      <c r="V62" s="110"/>
      <c r="W62" s="110">
        <v>50000</v>
      </c>
      <c r="X62" s="2" t="s">
        <v>2218</v>
      </c>
      <c r="Y62" s="110">
        <v>5000</v>
      </c>
      <c r="Z62" s="110">
        <f t="shared" si="0"/>
        <v>0</v>
      </c>
      <c r="AA62" cm="1">
        <f t="array" aca="1" ref="AA62" ca="1">IFERROR(INDEX(H_Tables!E:E,MATCH(INDIRECT("I"&amp;ROW()),H_Tables!F:F,0)),"")</f>
        <v>3</v>
      </c>
      <c r="AB62" cm="1">
        <f t="array" aca="1" ref="AB62" ca="1">IFERROR(INDEX(H_Tables!H:H,MATCH(INDIRECT("k"&amp;ROW()),H_Tables!I:I,0)),"")</f>
        <v>1</v>
      </c>
      <c r="AC62" t="str">
        <f t="shared" si="1"/>
        <v>Banno,New,Hosted by JHA,0</v>
      </c>
      <c r="AD62">
        <v>59</v>
      </c>
    </row>
    <row r="63" spans="1:30" ht="15" customHeight="1" x14ac:dyDescent="0.25">
      <c r="A63" s="127">
        <v>45895</v>
      </c>
      <c r="B63" s="2" t="s">
        <v>2117</v>
      </c>
      <c r="C63" s="110">
        <v>0</v>
      </c>
      <c r="D63" s="2" t="s">
        <v>2118</v>
      </c>
      <c r="E63" s="2" t="s">
        <v>2119</v>
      </c>
      <c r="F63" s="110">
        <v>0</v>
      </c>
      <c r="G63" s="110">
        <v>0</v>
      </c>
      <c r="H63" s="2" t="s">
        <v>2120</v>
      </c>
      <c r="I63" s="2" t="s">
        <v>184</v>
      </c>
      <c r="J63" s="2" t="s">
        <v>224</v>
      </c>
      <c r="K63" s="2" t="s">
        <v>561</v>
      </c>
      <c r="L63" s="2" t="s">
        <v>2129</v>
      </c>
      <c r="M63" s="2" t="s">
        <v>600</v>
      </c>
      <c r="N63" s="2" t="s">
        <v>2122</v>
      </c>
      <c r="O63" s="2" t="s">
        <v>2123</v>
      </c>
      <c r="P63" s="2" t="s">
        <v>2124</v>
      </c>
      <c r="Q63" s="2" t="s">
        <v>152</v>
      </c>
      <c r="R63" s="110">
        <v>1</v>
      </c>
      <c r="S63" s="110">
        <v>0</v>
      </c>
      <c r="T63" s="110">
        <v>0</v>
      </c>
      <c r="U63" s="2" t="s">
        <v>2126</v>
      </c>
      <c r="V63" s="110"/>
      <c r="W63" s="110">
        <v>0</v>
      </c>
      <c r="X63" s="2" t="s">
        <v>2219</v>
      </c>
      <c r="Y63" s="110">
        <v>5000</v>
      </c>
      <c r="Z63" s="110">
        <f t="shared" si="0"/>
        <v>0</v>
      </c>
      <c r="AA63" cm="1">
        <f t="array" aca="1" ref="AA63" ca="1">IFERROR(INDEX(H_Tables!E:E,MATCH(INDIRECT("I"&amp;ROW()),H_Tables!F:F,0)),"")</f>
        <v>3</v>
      </c>
      <c r="AB63" cm="1">
        <f t="array" aca="1" ref="AB63" ca="1">IFERROR(INDEX(H_Tables!H:H,MATCH(INDIRECT("k"&amp;ROW()),H_Tables!I:I,0)),"")</f>
        <v>1</v>
      </c>
      <c r="AC63" t="str">
        <f t="shared" si="1"/>
        <v>Banno Business,New,Hosted by JHA,0</v>
      </c>
      <c r="AD63">
        <v>60</v>
      </c>
    </row>
    <row r="64" spans="1:30" ht="15" customHeight="1" x14ac:dyDescent="0.25">
      <c r="A64" s="127">
        <v>45895</v>
      </c>
      <c r="B64" s="2" t="s">
        <v>2117</v>
      </c>
      <c r="C64" s="110">
        <v>0</v>
      </c>
      <c r="D64" s="2" t="s">
        <v>2118</v>
      </c>
      <c r="E64" s="2" t="s">
        <v>2119</v>
      </c>
      <c r="F64" s="110">
        <v>0</v>
      </c>
      <c r="G64" s="110">
        <v>0</v>
      </c>
      <c r="H64" s="2" t="s">
        <v>2120</v>
      </c>
      <c r="I64" s="2" t="s">
        <v>184</v>
      </c>
      <c r="J64" s="2" t="s">
        <v>224</v>
      </c>
      <c r="K64" s="2" t="s">
        <v>561</v>
      </c>
      <c r="L64" s="2" t="s">
        <v>2121</v>
      </c>
      <c r="M64" s="2" t="s">
        <v>600</v>
      </c>
      <c r="N64" s="2" t="s">
        <v>2122</v>
      </c>
      <c r="O64" s="2" t="s">
        <v>2123</v>
      </c>
      <c r="P64" s="2" t="s">
        <v>2124</v>
      </c>
      <c r="Q64" s="2" t="s">
        <v>2132</v>
      </c>
      <c r="R64" s="110">
        <v>1</v>
      </c>
      <c r="S64" s="110">
        <v>20000</v>
      </c>
      <c r="T64" s="110">
        <v>-20000</v>
      </c>
      <c r="U64" s="2" t="s">
        <v>2126</v>
      </c>
      <c r="V64" s="110"/>
      <c r="W64" s="110">
        <v>20000</v>
      </c>
      <c r="X64" s="2" t="s">
        <v>2220</v>
      </c>
      <c r="Y64" s="110">
        <v>5000</v>
      </c>
      <c r="Z64" s="110">
        <f t="shared" si="0"/>
        <v>0</v>
      </c>
      <c r="AA64" cm="1">
        <f t="array" aca="1" ref="AA64" ca="1">IFERROR(INDEX(H_Tables!E:E,MATCH(INDIRECT("I"&amp;ROW()),H_Tables!F:F,0)),"")</f>
        <v>3</v>
      </c>
      <c r="AB64" cm="1">
        <f t="array" aca="1" ref="AB64" ca="1">IFERROR(INDEX(H_Tables!H:H,MATCH(INDIRECT("k"&amp;ROW()),H_Tables!I:I,0)),"")</f>
        <v>1</v>
      </c>
      <c r="AC64" t="str">
        <f t="shared" si="1"/>
        <v>Banno Business,New,Hosted by JHA,0</v>
      </c>
      <c r="AD64">
        <v>61</v>
      </c>
    </row>
    <row r="65" spans="1:30" ht="15" customHeight="1" x14ac:dyDescent="0.25">
      <c r="A65" s="127">
        <v>45895</v>
      </c>
      <c r="B65" s="2" t="s">
        <v>2117</v>
      </c>
      <c r="C65" s="110">
        <v>0</v>
      </c>
      <c r="D65" s="2" t="s">
        <v>2118</v>
      </c>
      <c r="E65" s="2" t="s">
        <v>2119</v>
      </c>
      <c r="F65" s="110">
        <v>0</v>
      </c>
      <c r="G65" s="110">
        <v>0</v>
      </c>
      <c r="H65" s="2" t="s">
        <v>2120</v>
      </c>
      <c r="I65" s="2" t="s">
        <v>184</v>
      </c>
      <c r="J65" s="2" t="s">
        <v>1803</v>
      </c>
      <c r="K65" s="2" t="s">
        <v>561</v>
      </c>
      <c r="L65" s="2" t="s">
        <v>2129</v>
      </c>
      <c r="M65" s="2" t="s">
        <v>1804</v>
      </c>
      <c r="N65" s="2" t="s">
        <v>2122</v>
      </c>
      <c r="O65" s="2" t="s">
        <v>2123</v>
      </c>
      <c r="P65" s="2" t="s">
        <v>2150</v>
      </c>
      <c r="Q65" s="2" t="s">
        <v>152</v>
      </c>
      <c r="R65" s="110">
        <v>1</v>
      </c>
      <c r="S65" s="110">
        <v>0</v>
      </c>
      <c r="T65" s="110">
        <v>0</v>
      </c>
      <c r="U65" s="2" t="s">
        <v>2126</v>
      </c>
      <c r="V65" s="110"/>
      <c r="W65" s="110">
        <v>0</v>
      </c>
      <c r="X65" s="2" t="s">
        <v>2221</v>
      </c>
      <c r="Y65" s="110">
        <v>5000</v>
      </c>
      <c r="Z65" s="110">
        <f t="shared" si="0"/>
        <v>0</v>
      </c>
      <c r="AA65" cm="1">
        <f t="array" aca="1" ref="AA65" ca="1">IFERROR(INDEX(H_Tables!E:E,MATCH(INDIRECT("I"&amp;ROW()),H_Tables!F:F,0)),"")</f>
        <v>3</v>
      </c>
      <c r="AB65" cm="1">
        <f t="array" aca="1" ref="AB65" ca="1">IFERROR(INDEX(H_Tables!H:H,MATCH(INDIRECT("k"&amp;ROW()),H_Tables!I:I,0)),"")</f>
        <v>1</v>
      </c>
      <c r="AC65" t="str">
        <f t="shared" si="1"/>
        <v>Digital Video Chat and Screen Sharing,New,Hosted by JHA,1</v>
      </c>
      <c r="AD65">
        <v>62</v>
      </c>
    </row>
    <row r="66" spans="1:30" ht="15" customHeight="1" x14ac:dyDescent="0.25">
      <c r="A66" s="127">
        <v>45895</v>
      </c>
      <c r="B66" s="2" t="s">
        <v>2117</v>
      </c>
      <c r="C66" s="110">
        <v>0</v>
      </c>
      <c r="D66" s="2" t="s">
        <v>2118</v>
      </c>
      <c r="E66" s="2" t="s">
        <v>2119</v>
      </c>
      <c r="F66" s="110">
        <v>0</v>
      </c>
      <c r="G66" s="110">
        <v>0</v>
      </c>
      <c r="H66" s="2" t="s">
        <v>2120</v>
      </c>
      <c r="I66" s="2" t="s">
        <v>184</v>
      </c>
      <c r="J66" s="2" t="s">
        <v>1803</v>
      </c>
      <c r="K66" s="2" t="s">
        <v>561</v>
      </c>
      <c r="L66" s="2" t="s">
        <v>2121</v>
      </c>
      <c r="M66" s="2" t="s">
        <v>1804</v>
      </c>
      <c r="N66" s="2" t="s">
        <v>2122</v>
      </c>
      <c r="O66" s="2" t="s">
        <v>2123</v>
      </c>
      <c r="P66" s="2" t="s">
        <v>2150</v>
      </c>
      <c r="Q66" s="2" t="s">
        <v>2132</v>
      </c>
      <c r="R66" s="110">
        <v>1</v>
      </c>
      <c r="S66" s="110">
        <v>5000</v>
      </c>
      <c r="T66" s="110">
        <v>-5000</v>
      </c>
      <c r="U66" s="2" t="s">
        <v>2126</v>
      </c>
      <c r="V66" s="110"/>
      <c r="W66" s="110">
        <v>5000</v>
      </c>
      <c r="X66" s="2" t="s">
        <v>2222</v>
      </c>
      <c r="Y66" s="110">
        <v>5000</v>
      </c>
      <c r="Z66" s="110">
        <f t="shared" ref="Z66:Z129" si="4">ROUND(IF((F66+G66)=0,0,S66/Y66),4)</f>
        <v>0</v>
      </c>
      <c r="AA66" cm="1">
        <f t="array" aca="1" ref="AA66" ca="1">IFERROR(INDEX(H_Tables!E:E,MATCH(INDIRECT("I"&amp;ROW()),H_Tables!F:F,0)),"")</f>
        <v>3</v>
      </c>
      <c r="AB66" cm="1">
        <f t="array" aca="1" ref="AB66" ca="1">IFERROR(INDEX(H_Tables!H:H,MATCH(INDIRECT("k"&amp;ROW()),H_Tables!I:I,0)),"")</f>
        <v>1</v>
      </c>
      <c r="AC66" t="str">
        <f t="shared" si="1"/>
        <v>Digital Video Chat and Screen Sharing,New,Hosted by JHA,1</v>
      </c>
      <c r="AD66">
        <v>63</v>
      </c>
    </row>
    <row r="67" spans="1:30" ht="15" customHeight="1" x14ac:dyDescent="0.25">
      <c r="A67" s="127">
        <v>45895</v>
      </c>
      <c r="B67" s="2" t="s">
        <v>2117</v>
      </c>
      <c r="C67" s="110">
        <v>0</v>
      </c>
      <c r="D67" s="2" t="s">
        <v>2118</v>
      </c>
      <c r="E67" s="2" t="s">
        <v>2119</v>
      </c>
      <c r="F67" s="110">
        <v>0</v>
      </c>
      <c r="G67" s="110">
        <v>0</v>
      </c>
      <c r="H67" s="2" t="s">
        <v>2120</v>
      </c>
      <c r="I67" s="2" t="s">
        <v>184</v>
      </c>
      <c r="J67" s="2" t="s">
        <v>1805</v>
      </c>
      <c r="K67" s="2" t="s">
        <v>561</v>
      </c>
      <c r="L67" s="2" t="s">
        <v>2129</v>
      </c>
      <c r="M67" s="2" t="s">
        <v>1806</v>
      </c>
      <c r="N67" s="2" t="s">
        <v>2122</v>
      </c>
      <c r="O67" s="2" t="s">
        <v>2123</v>
      </c>
      <c r="P67" s="2" t="s">
        <v>2150</v>
      </c>
      <c r="Q67" s="2" t="s">
        <v>152</v>
      </c>
      <c r="R67" s="110">
        <v>1</v>
      </c>
      <c r="S67" s="110">
        <v>500</v>
      </c>
      <c r="T67" s="110">
        <v>0</v>
      </c>
      <c r="U67" s="2" t="s">
        <v>2126</v>
      </c>
      <c r="V67" s="110"/>
      <c r="W67" s="110">
        <v>500</v>
      </c>
      <c r="X67" s="2" t="s">
        <v>2223</v>
      </c>
      <c r="Y67" s="110">
        <v>5000</v>
      </c>
      <c r="Z67" s="110">
        <f t="shared" si="4"/>
        <v>0</v>
      </c>
      <c r="AA67" cm="1">
        <f t="array" aca="1" ref="AA67" ca="1">IFERROR(INDEX(H_Tables!E:E,MATCH(INDIRECT("I"&amp;ROW()),H_Tables!F:F,0)),"")</f>
        <v>3</v>
      </c>
      <c r="AB67" cm="1">
        <f t="array" aca="1" ref="AB67" ca="1">IFERROR(INDEX(H_Tables!H:H,MATCH(INDIRECT("k"&amp;ROW()),H_Tables!I:I,0)),"")</f>
        <v>1</v>
      </c>
      <c r="AC67" t="str">
        <f t="shared" si="1"/>
        <v>JH Online Financial Management with Account Aggregation,New,Hosted by JHA,1</v>
      </c>
      <c r="AD67">
        <v>64</v>
      </c>
    </row>
    <row r="68" spans="1:30" ht="15" customHeight="1" x14ac:dyDescent="0.25">
      <c r="A68" s="127">
        <v>45895</v>
      </c>
      <c r="B68" s="2" t="s">
        <v>2117</v>
      </c>
      <c r="C68" s="110">
        <v>0</v>
      </c>
      <c r="D68" s="2" t="s">
        <v>2118</v>
      </c>
      <c r="E68" s="2" t="s">
        <v>2119</v>
      </c>
      <c r="F68" s="110">
        <v>0</v>
      </c>
      <c r="G68" s="110">
        <v>0</v>
      </c>
      <c r="H68" s="2" t="s">
        <v>2120</v>
      </c>
      <c r="I68" s="2" t="s">
        <v>184</v>
      </c>
      <c r="J68" s="2" t="s">
        <v>1805</v>
      </c>
      <c r="K68" s="2" t="s">
        <v>561</v>
      </c>
      <c r="L68" s="2" t="s">
        <v>2121</v>
      </c>
      <c r="M68" s="2" t="s">
        <v>1806</v>
      </c>
      <c r="N68" s="2" t="s">
        <v>2122</v>
      </c>
      <c r="O68" s="2" t="s">
        <v>2123</v>
      </c>
      <c r="P68" s="2" t="s">
        <v>2150</v>
      </c>
      <c r="Q68" s="2" t="s">
        <v>2132</v>
      </c>
      <c r="R68" s="110">
        <v>1</v>
      </c>
      <c r="S68" s="110">
        <v>10000</v>
      </c>
      <c r="T68" s="110">
        <v>-10000</v>
      </c>
      <c r="U68" s="2" t="s">
        <v>2126</v>
      </c>
      <c r="V68" s="110"/>
      <c r="W68" s="110">
        <v>10000</v>
      </c>
      <c r="X68" s="2" t="s">
        <v>2224</v>
      </c>
      <c r="Y68" s="110">
        <v>5000</v>
      </c>
      <c r="Z68" s="110">
        <f t="shared" si="4"/>
        <v>0</v>
      </c>
      <c r="AA68" cm="1">
        <f t="array" aca="1" ref="AA68" ca="1">IFERROR(INDEX(H_Tables!E:E,MATCH(INDIRECT("I"&amp;ROW()),H_Tables!F:F,0)),"")</f>
        <v>3</v>
      </c>
      <c r="AB68" cm="1">
        <f t="array" aca="1" ref="AB68" ca="1">IFERROR(INDEX(H_Tables!H:H,MATCH(INDIRECT("k"&amp;ROW()),H_Tables!I:I,0)),"")</f>
        <v>1</v>
      </c>
      <c r="AC68" t="str">
        <f t="shared" ref="AC68:AC131" si="5">_xlfn.TEXTJOIN(",",TRUE,M68:P68)</f>
        <v>JH Online Financial Management with Account Aggregation,New,Hosted by JHA,1</v>
      </c>
      <c r="AD68">
        <v>65</v>
      </c>
    </row>
    <row r="69" spans="1:30" ht="15" customHeight="1" x14ac:dyDescent="0.25">
      <c r="A69" s="127">
        <v>45895</v>
      </c>
      <c r="B69" s="2" t="s">
        <v>2117</v>
      </c>
      <c r="C69" s="110">
        <v>0</v>
      </c>
      <c r="D69" s="2" t="s">
        <v>2118</v>
      </c>
      <c r="E69" s="2" t="s">
        <v>2119</v>
      </c>
      <c r="F69" s="110">
        <v>0</v>
      </c>
      <c r="G69" s="110">
        <v>0</v>
      </c>
      <c r="H69" s="2" t="s">
        <v>2120</v>
      </c>
      <c r="I69" s="2" t="s">
        <v>184</v>
      </c>
      <c r="J69" s="2" t="s">
        <v>2225</v>
      </c>
      <c r="K69" s="2" t="s">
        <v>561</v>
      </c>
      <c r="L69" s="2" t="s">
        <v>2129</v>
      </c>
      <c r="M69" s="2" t="s">
        <v>2226</v>
      </c>
      <c r="N69" s="2" t="s">
        <v>2122</v>
      </c>
      <c r="O69" s="2" t="s">
        <v>2207</v>
      </c>
      <c r="P69" s="2" t="s">
        <v>2124</v>
      </c>
      <c r="Q69" s="2" t="s">
        <v>152</v>
      </c>
      <c r="R69" s="110">
        <v>1</v>
      </c>
      <c r="S69" s="110">
        <v>50</v>
      </c>
      <c r="T69" s="110">
        <v>0</v>
      </c>
      <c r="U69" s="2" t="s">
        <v>2126</v>
      </c>
      <c r="V69" s="110"/>
      <c r="W69" s="110">
        <v>50</v>
      </c>
      <c r="X69" s="2" t="s">
        <v>2227</v>
      </c>
      <c r="Y69" s="110">
        <v>5000</v>
      </c>
      <c r="Z69" s="110">
        <f t="shared" si="4"/>
        <v>0</v>
      </c>
      <c r="AA69" cm="1">
        <f t="array" aca="1" ref="AA69" ca="1">IFERROR(INDEX(H_Tables!E:E,MATCH(INDIRECT("I"&amp;ROW()),H_Tables!F:F,0)),"")</f>
        <v>3</v>
      </c>
      <c r="AB69" cm="1">
        <f t="array" aca="1" ref="AB69" ca="1">IFERROR(INDEX(H_Tables!H:H,MATCH(INDIRECT("k"&amp;ROW()),H_Tables!I:I,0)),"")</f>
        <v>1</v>
      </c>
      <c r="AC69" t="str">
        <f t="shared" si="5"/>
        <v>Jack Henry Digital Card Issuance and Provisioning - Mastercard,New,Hosted by 3rd Party,0</v>
      </c>
      <c r="AD69">
        <v>66</v>
      </c>
    </row>
    <row r="70" spans="1:30" ht="15" customHeight="1" x14ac:dyDescent="0.25">
      <c r="A70" s="127">
        <v>45895</v>
      </c>
      <c r="B70" s="2" t="s">
        <v>2117</v>
      </c>
      <c r="C70" s="110">
        <v>0</v>
      </c>
      <c r="D70" s="2" t="s">
        <v>2118</v>
      </c>
      <c r="E70" s="2" t="s">
        <v>2119</v>
      </c>
      <c r="F70" s="110">
        <v>0</v>
      </c>
      <c r="G70" s="110">
        <v>0</v>
      </c>
      <c r="H70" s="2" t="s">
        <v>2120</v>
      </c>
      <c r="I70" s="2" t="s">
        <v>184</v>
      </c>
      <c r="J70" s="2" t="s">
        <v>2225</v>
      </c>
      <c r="K70" s="2" t="s">
        <v>561</v>
      </c>
      <c r="L70" s="2" t="s">
        <v>2121</v>
      </c>
      <c r="M70" s="2" t="s">
        <v>2226</v>
      </c>
      <c r="N70" s="2" t="s">
        <v>2122</v>
      </c>
      <c r="O70" s="2" t="s">
        <v>2207</v>
      </c>
      <c r="P70" s="2" t="s">
        <v>2124</v>
      </c>
      <c r="Q70" s="2" t="s">
        <v>2132</v>
      </c>
      <c r="R70" s="110">
        <v>1</v>
      </c>
      <c r="S70" s="110">
        <v>2000</v>
      </c>
      <c r="T70" s="110">
        <v>-2000</v>
      </c>
      <c r="U70" s="2" t="s">
        <v>2126</v>
      </c>
      <c r="V70" s="110"/>
      <c r="W70" s="110">
        <v>2000</v>
      </c>
      <c r="X70" s="2" t="s">
        <v>2228</v>
      </c>
      <c r="Y70" s="110">
        <v>5000</v>
      </c>
      <c r="Z70" s="110">
        <f t="shared" si="4"/>
        <v>0</v>
      </c>
      <c r="AA70" cm="1">
        <f t="array" aca="1" ref="AA70" ca="1">IFERROR(INDEX(H_Tables!E:E,MATCH(INDIRECT("I"&amp;ROW()),H_Tables!F:F,0)),"")</f>
        <v>3</v>
      </c>
      <c r="AB70" cm="1">
        <f t="array" aca="1" ref="AB70" ca="1">IFERROR(INDEX(H_Tables!H:H,MATCH(INDIRECT("k"&amp;ROW()),H_Tables!I:I,0)),"")</f>
        <v>1</v>
      </c>
      <c r="AC70" t="str">
        <f t="shared" si="5"/>
        <v>Jack Henry Digital Card Issuance and Provisioning - Mastercard,New,Hosted by 3rd Party,0</v>
      </c>
      <c r="AD70">
        <v>67</v>
      </c>
    </row>
    <row r="71" spans="1:30" ht="15" customHeight="1" x14ac:dyDescent="0.25">
      <c r="A71" s="127">
        <v>45895</v>
      </c>
      <c r="B71" s="2" t="s">
        <v>2117</v>
      </c>
      <c r="C71" s="110">
        <v>0</v>
      </c>
      <c r="D71" s="2" t="s">
        <v>2118</v>
      </c>
      <c r="E71" s="2" t="s">
        <v>2119</v>
      </c>
      <c r="F71" s="110">
        <v>0</v>
      </c>
      <c r="G71" s="110">
        <v>0</v>
      </c>
      <c r="H71" s="2" t="s">
        <v>2120</v>
      </c>
      <c r="I71" s="2" t="s">
        <v>184</v>
      </c>
      <c r="J71" s="2" t="s">
        <v>220</v>
      </c>
      <c r="K71" s="2" t="s">
        <v>561</v>
      </c>
      <c r="L71" s="2" t="s">
        <v>2129</v>
      </c>
      <c r="M71" s="2" t="s">
        <v>589</v>
      </c>
      <c r="N71" s="2" t="s">
        <v>2122</v>
      </c>
      <c r="O71" s="2" t="s">
        <v>2123</v>
      </c>
      <c r="P71" s="2" t="s">
        <v>2150</v>
      </c>
      <c r="Q71" s="2" t="s">
        <v>152</v>
      </c>
      <c r="R71" s="110">
        <v>1</v>
      </c>
      <c r="S71" s="110">
        <v>0</v>
      </c>
      <c r="T71" s="110">
        <v>0</v>
      </c>
      <c r="U71" s="2" t="s">
        <v>2126</v>
      </c>
      <c r="V71" s="110"/>
      <c r="W71" s="110">
        <v>0</v>
      </c>
      <c r="X71" s="2" t="s">
        <v>2229</v>
      </c>
      <c r="Y71" s="110">
        <v>5000</v>
      </c>
      <c r="Z71" s="110">
        <f t="shared" si="4"/>
        <v>0</v>
      </c>
      <c r="AA71" cm="1">
        <f t="array" aca="1" ref="AA71" ca="1">IFERROR(INDEX(H_Tables!E:E,MATCH(INDIRECT("I"&amp;ROW()),H_Tables!F:F,0)),"")</f>
        <v>3</v>
      </c>
      <c r="AB71" cm="1">
        <f t="array" aca="1" ref="AB71" ca="1">IFERROR(INDEX(H_Tables!H:H,MATCH(INDIRECT("k"&amp;ROW()),H_Tables!I:I,0)),"")</f>
        <v>1</v>
      </c>
      <c r="AC71" t="str">
        <f t="shared" si="5"/>
        <v>Banno Marketing,New,Hosted by JHA,1</v>
      </c>
      <c r="AD71">
        <v>68</v>
      </c>
    </row>
    <row r="72" spans="1:30" ht="15" customHeight="1" x14ac:dyDescent="0.25">
      <c r="A72" s="127">
        <v>45895</v>
      </c>
      <c r="B72" s="2" t="s">
        <v>2117</v>
      </c>
      <c r="C72" s="110">
        <v>0</v>
      </c>
      <c r="D72" s="2" t="s">
        <v>2118</v>
      </c>
      <c r="E72" s="2" t="s">
        <v>2119</v>
      </c>
      <c r="F72" s="110">
        <v>0</v>
      </c>
      <c r="G72" s="110">
        <v>0</v>
      </c>
      <c r="H72" s="2" t="s">
        <v>2120</v>
      </c>
      <c r="I72" s="2" t="s">
        <v>184</v>
      </c>
      <c r="J72" s="2" t="s">
        <v>220</v>
      </c>
      <c r="K72" s="2" t="s">
        <v>561</v>
      </c>
      <c r="L72" s="2" t="s">
        <v>2121</v>
      </c>
      <c r="M72" s="2" t="s">
        <v>589</v>
      </c>
      <c r="N72" s="2" t="s">
        <v>2122</v>
      </c>
      <c r="O72" s="2" t="s">
        <v>2123</v>
      </c>
      <c r="P72" s="2" t="s">
        <v>2150</v>
      </c>
      <c r="Q72" s="2" t="s">
        <v>2132</v>
      </c>
      <c r="R72" s="110">
        <v>1</v>
      </c>
      <c r="S72" s="110">
        <v>5000</v>
      </c>
      <c r="T72" s="110">
        <v>-5000</v>
      </c>
      <c r="U72" s="2" t="s">
        <v>2126</v>
      </c>
      <c r="V72" s="110"/>
      <c r="W72" s="110">
        <v>5000</v>
      </c>
      <c r="X72" s="2" t="s">
        <v>2230</v>
      </c>
      <c r="Y72" s="110">
        <v>5000</v>
      </c>
      <c r="Z72" s="110">
        <f t="shared" si="4"/>
        <v>0</v>
      </c>
      <c r="AA72" cm="1">
        <f t="array" aca="1" ref="AA72" ca="1">IFERROR(INDEX(H_Tables!E:E,MATCH(INDIRECT("I"&amp;ROW()),H_Tables!F:F,0)),"")</f>
        <v>3</v>
      </c>
      <c r="AB72" cm="1">
        <f t="array" aca="1" ref="AB72" ca="1">IFERROR(INDEX(H_Tables!H:H,MATCH(INDIRECT("k"&amp;ROW()),H_Tables!I:I,0)),"")</f>
        <v>1</v>
      </c>
      <c r="AC72" t="str">
        <f t="shared" si="5"/>
        <v>Banno Marketing,New,Hosted by JHA,1</v>
      </c>
      <c r="AD72">
        <v>69</v>
      </c>
    </row>
    <row r="73" spans="1:30" ht="15" customHeight="1" x14ac:dyDescent="0.25">
      <c r="A73" s="127">
        <v>45895</v>
      </c>
      <c r="B73" s="2" t="s">
        <v>2117</v>
      </c>
      <c r="C73" s="110">
        <v>0</v>
      </c>
      <c r="D73" s="2" t="s">
        <v>2118</v>
      </c>
      <c r="E73" s="2" t="s">
        <v>2119</v>
      </c>
      <c r="F73" s="110">
        <v>0</v>
      </c>
      <c r="G73" s="110">
        <v>0</v>
      </c>
      <c r="H73" s="2" t="s">
        <v>2120</v>
      </c>
      <c r="I73" s="2" t="s">
        <v>188</v>
      </c>
      <c r="J73" s="2" t="s">
        <v>336</v>
      </c>
      <c r="K73" s="2" t="s">
        <v>647</v>
      </c>
      <c r="L73" s="2" t="s">
        <v>2121</v>
      </c>
      <c r="M73" s="2" t="s">
        <v>2231</v>
      </c>
      <c r="N73" s="2" t="s">
        <v>2122</v>
      </c>
      <c r="O73" s="2" t="s">
        <v>2123</v>
      </c>
      <c r="P73" s="2" t="s">
        <v>2124</v>
      </c>
      <c r="Q73" s="2" t="s">
        <v>2132</v>
      </c>
      <c r="R73" s="110">
        <v>1</v>
      </c>
      <c r="S73" s="110">
        <v>5000</v>
      </c>
      <c r="T73" s="110">
        <v>-5000</v>
      </c>
      <c r="U73" s="2" t="s">
        <v>2126</v>
      </c>
      <c r="V73" s="110"/>
      <c r="W73" s="110">
        <v>5000</v>
      </c>
      <c r="X73" s="2" t="s">
        <v>2232</v>
      </c>
      <c r="Y73" s="110">
        <v>5000</v>
      </c>
      <c r="Z73" s="110">
        <f t="shared" si="4"/>
        <v>0</v>
      </c>
      <c r="AA73" cm="1">
        <f t="array" aca="1" ref="AA73" ca="1">IFERROR(INDEX(H_Tables!E:E,MATCH(INDIRECT("I"&amp;ROW()),H_Tables!F:F,0)),"")</f>
        <v>6</v>
      </c>
      <c r="AB73" cm="1">
        <f t="array" aca="1" ref="AB73" ca="1">IFERROR(INDEX(H_Tables!H:H,MATCH(INDIRECT("k"&amp;ROW()),H_Tables!I:I,0)),"")</f>
        <v>4</v>
      </c>
      <c r="AC73" t="str">
        <f t="shared" si="5"/>
        <v>JHA PayCenter,New,Hosted by JHA,0</v>
      </c>
      <c r="AD73">
        <v>70</v>
      </c>
    </row>
    <row r="74" spans="1:30" ht="15" customHeight="1" x14ac:dyDescent="0.25">
      <c r="A74" s="127">
        <v>45895</v>
      </c>
      <c r="B74" s="2" t="s">
        <v>2117</v>
      </c>
      <c r="C74" s="110">
        <v>0</v>
      </c>
      <c r="D74" s="2" t="s">
        <v>2118</v>
      </c>
      <c r="E74" s="2" t="s">
        <v>2119</v>
      </c>
      <c r="F74" s="110">
        <v>0</v>
      </c>
      <c r="G74" s="110">
        <v>0</v>
      </c>
      <c r="H74" s="2" t="s">
        <v>2120</v>
      </c>
      <c r="I74" s="2" t="s">
        <v>188</v>
      </c>
      <c r="J74" s="2" t="s">
        <v>345</v>
      </c>
      <c r="K74" s="2" t="s">
        <v>647</v>
      </c>
      <c r="L74" s="2" t="s">
        <v>2129</v>
      </c>
      <c r="M74" s="2" t="s">
        <v>1322</v>
      </c>
      <c r="N74" s="2" t="s">
        <v>2122</v>
      </c>
      <c r="O74" s="2" t="s">
        <v>2123</v>
      </c>
      <c r="P74" s="2" t="s">
        <v>2124</v>
      </c>
      <c r="Q74" s="2" t="s">
        <v>152</v>
      </c>
      <c r="R74" s="110">
        <v>1</v>
      </c>
      <c r="S74" s="110">
        <v>600</v>
      </c>
      <c r="T74" s="110">
        <v>0</v>
      </c>
      <c r="U74" s="2" t="s">
        <v>2126</v>
      </c>
      <c r="V74" s="110"/>
      <c r="W74" s="110">
        <v>600</v>
      </c>
      <c r="X74" s="2" t="s">
        <v>2233</v>
      </c>
      <c r="Y74" s="110">
        <v>5000</v>
      </c>
      <c r="Z74" s="110">
        <f t="shared" si="4"/>
        <v>0</v>
      </c>
      <c r="AA74" cm="1">
        <f t="array" aca="1" ref="AA74" ca="1">IFERROR(INDEX(H_Tables!E:E,MATCH(INDIRECT("I"&amp;ROW()),H_Tables!F:F,0)),"")</f>
        <v>6</v>
      </c>
      <c r="AB74" cm="1">
        <f t="array" aca="1" ref="AB74" ca="1">IFERROR(INDEX(H_Tables!H:H,MATCH(INDIRECT("k"&amp;ROW()),H_Tables!I:I,0)),"")</f>
        <v>4</v>
      </c>
      <c r="AC74" t="str">
        <f t="shared" si="5"/>
        <v>Zelle Implementation and Monthly Network,New,Hosted by JHA,0</v>
      </c>
      <c r="AD74">
        <v>71</v>
      </c>
    </row>
    <row r="75" spans="1:30" ht="15" customHeight="1" x14ac:dyDescent="0.25">
      <c r="A75" s="127">
        <v>45895</v>
      </c>
      <c r="B75" s="2" t="s">
        <v>2117</v>
      </c>
      <c r="C75" s="110">
        <v>0</v>
      </c>
      <c r="D75" s="2" t="s">
        <v>2118</v>
      </c>
      <c r="E75" s="2" t="s">
        <v>2119</v>
      </c>
      <c r="F75" s="110">
        <v>0</v>
      </c>
      <c r="G75" s="110">
        <v>0</v>
      </c>
      <c r="H75" s="2" t="s">
        <v>2120</v>
      </c>
      <c r="I75" s="2" t="s">
        <v>188</v>
      </c>
      <c r="J75" s="2" t="s">
        <v>345</v>
      </c>
      <c r="K75" s="2" t="s">
        <v>647</v>
      </c>
      <c r="L75" s="2" t="s">
        <v>2121</v>
      </c>
      <c r="M75" s="2" t="s">
        <v>1322</v>
      </c>
      <c r="N75" s="2" t="s">
        <v>2122</v>
      </c>
      <c r="O75" s="2" t="s">
        <v>2123</v>
      </c>
      <c r="P75" s="2" t="s">
        <v>2124</v>
      </c>
      <c r="Q75" s="2" t="s">
        <v>2132</v>
      </c>
      <c r="R75" s="110">
        <v>1</v>
      </c>
      <c r="S75" s="110">
        <v>3000</v>
      </c>
      <c r="T75" s="110">
        <v>-3000</v>
      </c>
      <c r="U75" s="2" t="s">
        <v>2126</v>
      </c>
      <c r="V75" s="110"/>
      <c r="W75" s="110">
        <v>3000</v>
      </c>
      <c r="X75" s="2" t="s">
        <v>2234</v>
      </c>
      <c r="Y75" s="110">
        <v>5000</v>
      </c>
      <c r="Z75" s="110">
        <f t="shared" si="4"/>
        <v>0</v>
      </c>
      <c r="AA75" cm="1">
        <f t="array" aca="1" ref="AA75" ca="1">IFERROR(INDEX(H_Tables!E:E,MATCH(INDIRECT("I"&amp;ROW()),H_Tables!F:F,0)),"")</f>
        <v>6</v>
      </c>
      <c r="AB75" cm="1">
        <f t="array" aca="1" ref="AB75" ca="1">IFERROR(INDEX(H_Tables!H:H,MATCH(INDIRECT("k"&amp;ROW()),H_Tables!I:I,0)),"")</f>
        <v>4</v>
      </c>
      <c r="AC75" t="str">
        <f t="shared" si="5"/>
        <v>Zelle Implementation and Monthly Network,New,Hosted by JHA,0</v>
      </c>
      <c r="AD75">
        <v>72</v>
      </c>
    </row>
    <row r="76" spans="1:30" ht="15" customHeight="1" x14ac:dyDescent="0.25">
      <c r="A76" s="127">
        <v>45895</v>
      </c>
      <c r="B76" s="2" t="s">
        <v>2117</v>
      </c>
      <c r="C76" s="110">
        <v>0</v>
      </c>
      <c r="D76" s="2" t="s">
        <v>2118</v>
      </c>
      <c r="E76" s="2" t="s">
        <v>2119</v>
      </c>
      <c r="F76" s="110">
        <v>0</v>
      </c>
      <c r="G76" s="110">
        <v>0</v>
      </c>
      <c r="H76" s="2" t="s">
        <v>2120</v>
      </c>
      <c r="I76" s="2" t="s">
        <v>188</v>
      </c>
      <c r="J76" s="2" t="s">
        <v>337</v>
      </c>
      <c r="K76" s="2" t="s">
        <v>647</v>
      </c>
      <c r="L76" s="2" t="s">
        <v>2129</v>
      </c>
      <c r="M76" s="2" t="s">
        <v>2235</v>
      </c>
      <c r="N76" s="2" t="s">
        <v>2122</v>
      </c>
      <c r="O76" s="2" t="s">
        <v>2123</v>
      </c>
      <c r="P76" s="2" t="s">
        <v>2124</v>
      </c>
      <c r="Q76" s="2" t="s">
        <v>152</v>
      </c>
      <c r="R76" s="110">
        <v>1</v>
      </c>
      <c r="S76" s="110">
        <v>400</v>
      </c>
      <c r="T76" s="110">
        <v>0</v>
      </c>
      <c r="U76" s="2" t="s">
        <v>2126</v>
      </c>
      <c r="V76" s="110"/>
      <c r="W76" s="110">
        <v>400</v>
      </c>
      <c r="X76" s="2" t="s">
        <v>2236</v>
      </c>
      <c r="Y76" s="110">
        <v>5000</v>
      </c>
      <c r="Z76" s="110">
        <f t="shared" si="4"/>
        <v>0</v>
      </c>
      <c r="AA76" cm="1">
        <f t="array" aca="1" ref="AA76" ca="1">IFERROR(INDEX(H_Tables!E:E,MATCH(INDIRECT("I"&amp;ROW()),H_Tables!F:F,0)),"")</f>
        <v>6</v>
      </c>
      <c r="AB76" cm="1">
        <f t="array" aca="1" ref="AB76" ca="1">IFERROR(INDEX(H_Tables!H:H,MATCH(INDIRECT("k"&amp;ROW()),H_Tables!I:I,0)),"")</f>
        <v>4</v>
      </c>
      <c r="AC76" t="str">
        <f t="shared" si="5"/>
        <v>RTP Implementation and Monthly Network Receive Only,New,Hosted by JHA,0</v>
      </c>
      <c r="AD76">
        <v>73</v>
      </c>
    </row>
    <row r="77" spans="1:30" ht="15" customHeight="1" x14ac:dyDescent="0.25">
      <c r="A77" s="127">
        <v>45895</v>
      </c>
      <c r="B77" s="2" t="s">
        <v>2117</v>
      </c>
      <c r="C77" s="110">
        <v>0</v>
      </c>
      <c r="D77" s="2" t="s">
        <v>2118</v>
      </c>
      <c r="E77" s="2" t="s">
        <v>2119</v>
      </c>
      <c r="F77" s="110">
        <v>0</v>
      </c>
      <c r="G77" s="110">
        <v>0</v>
      </c>
      <c r="H77" s="2" t="s">
        <v>2120</v>
      </c>
      <c r="I77" s="2" t="s">
        <v>188</v>
      </c>
      <c r="J77" s="2" t="s">
        <v>337</v>
      </c>
      <c r="K77" s="2" t="s">
        <v>647</v>
      </c>
      <c r="L77" s="2" t="s">
        <v>2121</v>
      </c>
      <c r="M77" s="2" t="s">
        <v>2235</v>
      </c>
      <c r="N77" s="2" t="s">
        <v>2122</v>
      </c>
      <c r="O77" s="2" t="s">
        <v>2123</v>
      </c>
      <c r="P77" s="2" t="s">
        <v>2124</v>
      </c>
      <c r="Q77" s="2" t="s">
        <v>2132</v>
      </c>
      <c r="R77" s="110">
        <v>1</v>
      </c>
      <c r="S77" s="110">
        <v>1000</v>
      </c>
      <c r="T77" s="110">
        <v>-1000</v>
      </c>
      <c r="U77" s="2" t="s">
        <v>2126</v>
      </c>
      <c r="V77" s="110"/>
      <c r="W77" s="110">
        <v>1000</v>
      </c>
      <c r="X77" s="2" t="s">
        <v>2237</v>
      </c>
      <c r="Y77" s="110">
        <v>5000</v>
      </c>
      <c r="Z77" s="110">
        <f t="shared" si="4"/>
        <v>0</v>
      </c>
      <c r="AA77" cm="1">
        <f t="array" aca="1" ref="AA77" ca="1">IFERROR(INDEX(H_Tables!E:E,MATCH(INDIRECT("I"&amp;ROW()),H_Tables!F:F,0)),"")</f>
        <v>6</v>
      </c>
      <c r="AB77" cm="1">
        <f t="array" aca="1" ref="AB77" ca="1">IFERROR(INDEX(H_Tables!H:H,MATCH(INDIRECT("k"&amp;ROW()),H_Tables!I:I,0)),"")</f>
        <v>4</v>
      </c>
      <c r="AC77" t="str">
        <f t="shared" si="5"/>
        <v>RTP Implementation and Monthly Network Receive Only,New,Hosted by JHA,0</v>
      </c>
      <c r="AD77">
        <v>74</v>
      </c>
    </row>
    <row r="78" spans="1:30" ht="15" customHeight="1" x14ac:dyDescent="0.25">
      <c r="A78" s="127">
        <v>45895</v>
      </c>
      <c r="B78" s="2" t="s">
        <v>2117</v>
      </c>
      <c r="C78" s="110">
        <v>0</v>
      </c>
      <c r="D78" s="2" t="s">
        <v>2118</v>
      </c>
      <c r="E78" s="2" t="s">
        <v>2119</v>
      </c>
      <c r="F78" s="110">
        <v>0</v>
      </c>
      <c r="G78" s="110">
        <v>0</v>
      </c>
      <c r="H78" s="2" t="s">
        <v>2120</v>
      </c>
      <c r="I78" s="2" t="s">
        <v>188</v>
      </c>
      <c r="J78" s="2" t="s">
        <v>1807</v>
      </c>
      <c r="K78" s="2" t="s">
        <v>647</v>
      </c>
      <c r="L78" s="2" t="s">
        <v>2129</v>
      </c>
      <c r="M78" s="2" t="s">
        <v>2238</v>
      </c>
      <c r="N78" s="2" t="s">
        <v>2122</v>
      </c>
      <c r="O78" s="2" t="s">
        <v>2123</v>
      </c>
      <c r="P78" s="2" t="s">
        <v>2124</v>
      </c>
      <c r="Q78" s="2" t="s">
        <v>152</v>
      </c>
      <c r="R78" s="110">
        <v>1</v>
      </c>
      <c r="S78" s="110">
        <v>400</v>
      </c>
      <c r="T78" s="110">
        <v>0</v>
      </c>
      <c r="U78" s="2" t="s">
        <v>2126</v>
      </c>
      <c r="V78" s="110"/>
      <c r="W78" s="110">
        <v>400</v>
      </c>
      <c r="X78" s="2" t="s">
        <v>2239</v>
      </c>
      <c r="Y78" s="110">
        <v>5000</v>
      </c>
      <c r="Z78" s="110">
        <f t="shared" si="4"/>
        <v>0</v>
      </c>
      <c r="AA78" cm="1">
        <f t="array" aca="1" ref="AA78" ca="1">IFERROR(INDEX(H_Tables!E:E,MATCH(INDIRECT("I"&amp;ROW()),H_Tables!F:F,0)),"")</f>
        <v>6</v>
      </c>
      <c r="AB78" cm="1">
        <f t="array" aca="1" ref="AB78" ca="1">IFERROR(INDEX(H_Tables!H:H,MATCH(INDIRECT("k"&amp;ROW()),H_Tables!I:I,0)),"")</f>
        <v>4</v>
      </c>
      <c r="AC78" t="str">
        <f t="shared" si="5"/>
        <v>FedNow Implementation and Monthly Network Receive Only,New,Hosted by JHA,0</v>
      </c>
      <c r="AD78">
        <v>75</v>
      </c>
    </row>
    <row r="79" spans="1:30" ht="15" customHeight="1" x14ac:dyDescent="0.25">
      <c r="A79" s="127">
        <v>45895</v>
      </c>
      <c r="B79" s="2" t="s">
        <v>2117</v>
      </c>
      <c r="C79" s="110">
        <v>0</v>
      </c>
      <c r="D79" s="2" t="s">
        <v>2118</v>
      </c>
      <c r="E79" s="2" t="s">
        <v>2119</v>
      </c>
      <c r="F79" s="110">
        <v>0</v>
      </c>
      <c r="G79" s="110">
        <v>0</v>
      </c>
      <c r="H79" s="2" t="s">
        <v>2120</v>
      </c>
      <c r="I79" s="2" t="s">
        <v>188</v>
      </c>
      <c r="J79" s="2" t="s">
        <v>1807</v>
      </c>
      <c r="K79" s="2" t="s">
        <v>647</v>
      </c>
      <c r="L79" s="2" t="s">
        <v>2121</v>
      </c>
      <c r="M79" s="2" t="s">
        <v>2238</v>
      </c>
      <c r="N79" s="2" t="s">
        <v>2122</v>
      </c>
      <c r="O79" s="2" t="s">
        <v>2123</v>
      </c>
      <c r="P79" s="2" t="s">
        <v>2124</v>
      </c>
      <c r="Q79" s="2" t="s">
        <v>2132</v>
      </c>
      <c r="R79" s="110">
        <v>1</v>
      </c>
      <c r="S79" s="110">
        <v>1000</v>
      </c>
      <c r="T79" s="110">
        <v>-1000</v>
      </c>
      <c r="U79" s="2" t="s">
        <v>2126</v>
      </c>
      <c r="V79" s="110"/>
      <c r="W79" s="110">
        <v>1000</v>
      </c>
      <c r="X79" s="2" t="s">
        <v>2240</v>
      </c>
      <c r="Y79" s="110">
        <v>5000</v>
      </c>
      <c r="Z79" s="110">
        <f t="shared" si="4"/>
        <v>0</v>
      </c>
      <c r="AA79" cm="1">
        <f t="array" aca="1" ref="AA79" ca="1">IFERROR(INDEX(H_Tables!E:E,MATCH(INDIRECT("I"&amp;ROW()),H_Tables!F:F,0)),"")</f>
        <v>6</v>
      </c>
      <c r="AB79" cm="1">
        <f t="array" aca="1" ref="AB79" ca="1">IFERROR(INDEX(H_Tables!H:H,MATCH(INDIRECT("k"&amp;ROW()),H_Tables!I:I,0)),"")</f>
        <v>4</v>
      </c>
      <c r="AC79" t="str">
        <f t="shared" si="5"/>
        <v>FedNow Implementation and Monthly Network Receive Only,New,Hosted by JHA,0</v>
      </c>
      <c r="AD79">
        <v>76</v>
      </c>
    </row>
    <row r="80" spans="1:30" ht="15" customHeight="1" x14ac:dyDescent="0.25">
      <c r="A80" s="127">
        <v>45895</v>
      </c>
      <c r="B80" s="2" t="s">
        <v>2117</v>
      </c>
      <c r="C80" s="110">
        <v>0</v>
      </c>
      <c r="D80" s="2" t="s">
        <v>2118</v>
      </c>
      <c r="E80" s="2" t="s">
        <v>2119</v>
      </c>
      <c r="F80" s="110">
        <v>2.1000000000000001E-2</v>
      </c>
      <c r="G80" s="110">
        <v>0</v>
      </c>
      <c r="H80" s="2" t="s">
        <v>2120</v>
      </c>
      <c r="I80" s="2" t="s">
        <v>184</v>
      </c>
      <c r="J80" s="2" t="s">
        <v>307</v>
      </c>
      <c r="K80" s="2" t="s">
        <v>590</v>
      </c>
      <c r="L80" s="2" t="s">
        <v>2129</v>
      </c>
      <c r="M80" s="2" t="s">
        <v>604</v>
      </c>
      <c r="N80" s="2" t="s">
        <v>2122</v>
      </c>
      <c r="O80" s="2" t="s">
        <v>2123</v>
      </c>
      <c r="P80" s="2" t="s">
        <v>2124</v>
      </c>
      <c r="Q80" s="2" t="s">
        <v>152</v>
      </c>
      <c r="R80" s="110">
        <v>1</v>
      </c>
      <c r="S80" s="110">
        <v>140</v>
      </c>
      <c r="T80" s="110">
        <v>-35</v>
      </c>
      <c r="U80" s="2" t="s">
        <v>2126</v>
      </c>
      <c r="V80" s="110"/>
      <c r="W80" s="110">
        <v>140</v>
      </c>
      <c r="X80" s="2" t="s">
        <v>2241</v>
      </c>
      <c r="Y80" s="110">
        <v>5000</v>
      </c>
      <c r="Z80" s="110">
        <f t="shared" si="4"/>
        <v>2.8000000000000001E-2</v>
      </c>
      <c r="AA80" cm="1">
        <f t="array" aca="1" ref="AA80" ca="1">IFERROR(INDEX(H_Tables!E:E,MATCH(INDIRECT("I"&amp;ROW()),H_Tables!F:F,0)),"")</f>
        <v>3</v>
      </c>
      <c r="AB80" cm="1">
        <f t="array" aca="1" ref="AB80" ca="1">IFERROR(INDEX(H_Tables!H:H,MATCH(INDIRECT("k"&amp;ROW()),H_Tables!I:I,0)),"")</f>
        <v>2</v>
      </c>
      <c r="AC80" t="str">
        <f t="shared" si="5"/>
        <v>Electronic Statement Interactive (ESI),New,Hosted by JHA,0</v>
      </c>
      <c r="AD80">
        <v>77</v>
      </c>
    </row>
    <row r="81" spans="1:30" ht="15" customHeight="1" x14ac:dyDescent="0.25">
      <c r="A81" s="127">
        <v>45895</v>
      </c>
      <c r="B81" s="2" t="s">
        <v>2117</v>
      </c>
      <c r="C81" s="110">
        <v>0</v>
      </c>
      <c r="D81" s="2" t="s">
        <v>2118</v>
      </c>
      <c r="E81" s="2" t="s">
        <v>2119</v>
      </c>
      <c r="F81" s="110">
        <v>0</v>
      </c>
      <c r="G81" s="110">
        <v>0</v>
      </c>
      <c r="H81" s="2" t="s">
        <v>2120</v>
      </c>
      <c r="I81" s="2" t="s">
        <v>184</v>
      </c>
      <c r="J81" s="2" t="s">
        <v>307</v>
      </c>
      <c r="K81" s="2" t="s">
        <v>590</v>
      </c>
      <c r="L81" s="2" t="s">
        <v>2121</v>
      </c>
      <c r="M81" s="2" t="s">
        <v>604</v>
      </c>
      <c r="N81" s="2" t="s">
        <v>2122</v>
      </c>
      <c r="O81" s="2" t="s">
        <v>2123</v>
      </c>
      <c r="P81" s="2" t="s">
        <v>2124</v>
      </c>
      <c r="Q81" s="2" t="s">
        <v>2132</v>
      </c>
      <c r="R81" s="110">
        <v>1</v>
      </c>
      <c r="S81" s="110">
        <v>1750</v>
      </c>
      <c r="T81" s="110">
        <v>-1750</v>
      </c>
      <c r="U81" s="2" t="s">
        <v>2126</v>
      </c>
      <c r="V81" s="110"/>
      <c r="W81" s="110">
        <v>1750</v>
      </c>
      <c r="X81" s="2" t="s">
        <v>2242</v>
      </c>
      <c r="Y81" s="110">
        <v>5000</v>
      </c>
      <c r="Z81" s="110">
        <f t="shared" si="4"/>
        <v>0</v>
      </c>
      <c r="AA81" cm="1">
        <f t="array" aca="1" ref="AA81" ca="1">IFERROR(INDEX(H_Tables!E:E,MATCH(INDIRECT("I"&amp;ROW()),H_Tables!F:F,0)),"")</f>
        <v>3</v>
      </c>
      <c r="AB81" cm="1">
        <f t="array" aca="1" ref="AB81" ca="1">IFERROR(INDEX(H_Tables!H:H,MATCH(INDIRECT("k"&amp;ROW()),H_Tables!I:I,0)),"")</f>
        <v>2</v>
      </c>
      <c r="AC81" t="str">
        <f t="shared" si="5"/>
        <v>Electronic Statement Interactive (ESI),New,Hosted by JHA,0</v>
      </c>
      <c r="AD81">
        <v>78</v>
      </c>
    </row>
    <row r="82" spans="1:30" ht="15" customHeight="1" x14ac:dyDescent="0.25">
      <c r="A82" s="127">
        <v>45895</v>
      </c>
      <c r="B82" s="2" t="s">
        <v>2117</v>
      </c>
      <c r="C82" s="110">
        <v>0</v>
      </c>
      <c r="D82" s="2" t="s">
        <v>2118</v>
      </c>
      <c r="E82" s="2" t="s">
        <v>2119</v>
      </c>
      <c r="F82" s="110">
        <v>0</v>
      </c>
      <c r="G82" s="110">
        <v>0</v>
      </c>
      <c r="H82" s="2" t="s">
        <v>2120</v>
      </c>
      <c r="I82" s="2" t="s">
        <v>184</v>
      </c>
      <c r="J82" s="2" t="s">
        <v>1149</v>
      </c>
      <c r="K82" s="2" t="s">
        <v>619</v>
      </c>
      <c r="L82" s="2" t="s">
        <v>2243</v>
      </c>
      <c r="M82" s="2" t="s">
        <v>1150</v>
      </c>
      <c r="N82" s="2" t="s">
        <v>2122</v>
      </c>
      <c r="O82" s="2" t="s">
        <v>2164</v>
      </c>
      <c r="P82" s="2" t="s">
        <v>2124</v>
      </c>
      <c r="Q82" s="2" t="s">
        <v>2125</v>
      </c>
      <c r="R82" s="110">
        <v>1</v>
      </c>
      <c r="S82" s="110">
        <v>0</v>
      </c>
      <c r="T82" s="110">
        <v>0</v>
      </c>
      <c r="U82" s="2" t="s">
        <v>2126</v>
      </c>
      <c r="V82" s="110"/>
      <c r="W82" s="110">
        <v>0</v>
      </c>
      <c r="X82" s="2" t="s">
        <v>2244</v>
      </c>
      <c r="Y82" s="110">
        <v>5000</v>
      </c>
      <c r="Z82" s="110">
        <f t="shared" si="4"/>
        <v>0</v>
      </c>
      <c r="AA82" cm="1">
        <f t="array" aca="1" ref="AA82" ca="1">IFERROR(INDEX(H_Tables!E:E,MATCH(INDIRECT("I"&amp;ROW()),H_Tables!F:F,0)),"")</f>
        <v>3</v>
      </c>
      <c r="AB82" cm="1">
        <f t="array" aca="1" ref="AB82" ca="1">IFERROR(INDEX(H_Tables!H:H,MATCH(INDIRECT("k"&amp;ROW()),H_Tables!I:I,0)),"")</f>
        <v>3</v>
      </c>
      <c r="AC82" t="str">
        <f t="shared" si="5"/>
        <v>Intuit Connectivity for QuickBooks Current Release,New,On Premise License,0</v>
      </c>
      <c r="AD82">
        <v>79</v>
      </c>
    </row>
    <row r="83" spans="1:30" ht="15" customHeight="1" x14ac:dyDescent="0.25">
      <c r="A83" s="127">
        <v>45895</v>
      </c>
      <c r="B83" s="2" t="s">
        <v>2117</v>
      </c>
      <c r="C83" s="110">
        <v>0</v>
      </c>
      <c r="D83" s="2" t="s">
        <v>2118</v>
      </c>
      <c r="E83" s="2" t="s">
        <v>2119</v>
      </c>
      <c r="F83" s="110">
        <v>0</v>
      </c>
      <c r="G83" s="110">
        <v>0</v>
      </c>
      <c r="H83" s="2" t="s">
        <v>2120</v>
      </c>
      <c r="I83" s="2" t="s">
        <v>184</v>
      </c>
      <c r="J83" s="2" t="s">
        <v>1153</v>
      </c>
      <c r="K83" s="2" t="s">
        <v>619</v>
      </c>
      <c r="L83" s="2" t="s">
        <v>2243</v>
      </c>
      <c r="M83" s="2" t="s">
        <v>1154</v>
      </c>
      <c r="N83" s="2" t="s">
        <v>2122</v>
      </c>
      <c r="O83" s="2" t="s">
        <v>2164</v>
      </c>
      <c r="P83" s="2" t="s">
        <v>2124</v>
      </c>
      <c r="Q83" s="2" t="s">
        <v>2125</v>
      </c>
      <c r="R83" s="110">
        <v>1</v>
      </c>
      <c r="S83" s="110">
        <v>500</v>
      </c>
      <c r="T83" s="110">
        <v>0</v>
      </c>
      <c r="U83" s="2" t="s">
        <v>2126</v>
      </c>
      <c r="V83" s="110"/>
      <c r="W83" s="110">
        <v>500</v>
      </c>
      <c r="X83" s="2" t="s">
        <v>2245</v>
      </c>
      <c r="Y83" s="110">
        <v>5000</v>
      </c>
      <c r="Z83" s="110">
        <f t="shared" si="4"/>
        <v>0</v>
      </c>
      <c r="AA83" cm="1">
        <f t="array" aca="1" ref="AA83" ca="1">IFERROR(INDEX(H_Tables!E:E,MATCH(INDIRECT("I"&amp;ROW()),H_Tables!F:F,0)),"")</f>
        <v>3</v>
      </c>
      <c r="AB83" cm="1">
        <f t="array" aca="1" ref="AB83" ca="1">IFERROR(INDEX(H_Tables!H:H,MATCH(INDIRECT("k"&amp;ROW()),H_Tables!I:I,0)),"")</f>
        <v>3</v>
      </c>
      <c r="AC83" t="str">
        <f t="shared" si="5"/>
        <v>Intuit Connectivity for Quicken Current Release,New,On Premise License,0</v>
      </c>
      <c r="AD83">
        <v>80</v>
      </c>
    </row>
    <row r="84" spans="1:30" ht="15" customHeight="1" x14ac:dyDescent="0.25">
      <c r="A84" s="127">
        <v>45895</v>
      </c>
      <c r="B84" s="2" t="s">
        <v>2117</v>
      </c>
      <c r="C84" s="110">
        <v>0</v>
      </c>
      <c r="D84" s="2" t="s">
        <v>2118</v>
      </c>
      <c r="E84" s="2" t="s">
        <v>2119</v>
      </c>
      <c r="F84" s="110">
        <v>0</v>
      </c>
      <c r="G84" s="110">
        <v>0</v>
      </c>
      <c r="H84" s="2" t="s">
        <v>2120</v>
      </c>
      <c r="I84" s="2" t="s">
        <v>184</v>
      </c>
      <c r="J84" s="2" t="s">
        <v>1151</v>
      </c>
      <c r="K84" s="2" t="s">
        <v>619</v>
      </c>
      <c r="L84" s="2" t="s">
        <v>2243</v>
      </c>
      <c r="M84" s="2" t="s">
        <v>1152</v>
      </c>
      <c r="N84" s="2" t="s">
        <v>2122</v>
      </c>
      <c r="O84" s="2" t="s">
        <v>2164</v>
      </c>
      <c r="P84" s="2" t="s">
        <v>2124</v>
      </c>
      <c r="Q84" s="2" t="s">
        <v>2132</v>
      </c>
      <c r="R84" s="110">
        <v>1</v>
      </c>
      <c r="S84" s="110">
        <v>0</v>
      </c>
      <c r="T84" s="110">
        <v>0</v>
      </c>
      <c r="U84" s="2" t="s">
        <v>2126</v>
      </c>
      <c r="V84" s="110"/>
      <c r="W84" s="110">
        <v>0</v>
      </c>
      <c r="X84" s="2" t="s">
        <v>2246</v>
      </c>
      <c r="Y84" s="110">
        <v>5000</v>
      </c>
      <c r="Z84" s="110">
        <f t="shared" si="4"/>
        <v>0</v>
      </c>
      <c r="AA84" cm="1">
        <f t="array" aca="1" ref="AA84" ca="1">IFERROR(INDEX(H_Tables!E:E,MATCH(INDIRECT("I"&amp;ROW()),H_Tables!F:F,0)),"")</f>
        <v>3</v>
      </c>
      <c r="AB84" cm="1">
        <f t="array" aca="1" ref="AB84" ca="1">IFERROR(INDEX(H_Tables!H:H,MATCH(INDIRECT("k"&amp;ROW()),H_Tables!I:I,0)),"")</f>
        <v>3</v>
      </c>
      <c r="AC84" t="str">
        <f t="shared" si="5"/>
        <v>Intuit Connectivity for QuickBooks Previous two versions support,New,On Premise License,0</v>
      </c>
      <c r="AD84">
        <v>81</v>
      </c>
    </row>
    <row r="85" spans="1:30" ht="15" customHeight="1" x14ac:dyDescent="0.25">
      <c r="A85" s="127">
        <v>45895</v>
      </c>
      <c r="B85" s="2" t="s">
        <v>2117</v>
      </c>
      <c r="C85" s="110">
        <v>0</v>
      </c>
      <c r="D85" s="2" t="s">
        <v>2118</v>
      </c>
      <c r="E85" s="2" t="s">
        <v>2119</v>
      </c>
      <c r="F85" s="110">
        <v>0</v>
      </c>
      <c r="G85" s="110">
        <v>4.0500000000000001E-2</v>
      </c>
      <c r="H85" s="2" t="s">
        <v>2120</v>
      </c>
      <c r="I85" s="2" t="s">
        <v>184</v>
      </c>
      <c r="J85" s="2" t="s">
        <v>320</v>
      </c>
      <c r="K85" s="2" t="s">
        <v>619</v>
      </c>
      <c r="L85" s="2" t="s">
        <v>2129</v>
      </c>
      <c r="M85" s="2" t="s">
        <v>2247</v>
      </c>
      <c r="N85" s="2" t="s">
        <v>2122</v>
      </c>
      <c r="O85" s="2" t="s">
        <v>2123</v>
      </c>
      <c r="P85" s="2" t="s">
        <v>2150</v>
      </c>
      <c r="Q85" s="2" t="s">
        <v>152</v>
      </c>
      <c r="R85" s="110">
        <v>1</v>
      </c>
      <c r="S85" s="110">
        <v>270</v>
      </c>
      <c r="T85" s="110">
        <v>-67.5</v>
      </c>
      <c r="U85" s="2" t="s">
        <v>2126</v>
      </c>
      <c r="V85" s="110"/>
      <c r="W85" s="110">
        <v>270</v>
      </c>
      <c r="X85" s="2" t="s">
        <v>2248</v>
      </c>
      <c r="Y85" s="110">
        <v>5000</v>
      </c>
      <c r="Z85" s="110">
        <f t="shared" si="4"/>
        <v>5.3999999999999999E-2</v>
      </c>
      <c r="AA85" cm="1">
        <f t="array" aca="1" ref="AA85" ca="1">IFERROR(INDEX(H_Tables!E:E,MATCH(INDIRECT("I"&amp;ROW()),H_Tables!F:F,0)),"")</f>
        <v>3</v>
      </c>
      <c r="AB85" cm="1">
        <f t="array" aca="1" ref="AB85" ca="1">IFERROR(INDEX(H_Tables!H:H,MATCH(INDIRECT("k"&amp;ROW()),H_Tables!I:I,0)),"")</f>
        <v>3</v>
      </c>
      <c r="AC85" t="str">
        <f t="shared" si="5"/>
        <v>OFX Gateway CFM,New,Hosted by JHA,1</v>
      </c>
      <c r="AD85">
        <v>82</v>
      </c>
    </row>
    <row r="86" spans="1:30" ht="15" customHeight="1" x14ac:dyDescent="0.25">
      <c r="A86" s="127">
        <v>45895</v>
      </c>
      <c r="B86" s="2" t="s">
        <v>2117</v>
      </c>
      <c r="C86" s="110">
        <v>0</v>
      </c>
      <c r="D86" s="2" t="s">
        <v>2118</v>
      </c>
      <c r="E86" s="2" t="s">
        <v>2119</v>
      </c>
      <c r="F86" s="110">
        <v>0</v>
      </c>
      <c r="G86" s="110">
        <v>0</v>
      </c>
      <c r="H86" s="2" t="s">
        <v>2120</v>
      </c>
      <c r="I86" s="2" t="s">
        <v>184</v>
      </c>
      <c r="J86" s="2" t="s">
        <v>320</v>
      </c>
      <c r="K86" s="2" t="s">
        <v>619</v>
      </c>
      <c r="L86" s="2" t="s">
        <v>2121</v>
      </c>
      <c r="M86" s="2" t="s">
        <v>2247</v>
      </c>
      <c r="N86" s="2" t="s">
        <v>2122</v>
      </c>
      <c r="O86" s="2" t="s">
        <v>2123</v>
      </c>
      <c r="P86" s="2" t="s">
        <v>2150</v>
      </c>
      <c r="Q86" s="2" t="s">
        <v>2132</v>
      </c>
      <c r="R86" s="110">
        <v>1</v>
      </c>
      <c r="S86" s="110">
        <v>2500</v>
      </c>
      <c r="T86" s="110">
        <v>-2500</v>
      </c>
      <c r="U86" s="2" t="s">
        <v>2126</v>
      </c>
      <c r="V86" s="110"/>
      <c r="W86" s="110">
        <v>2500</v>
      </c>
      <c r="X86" s="2" t="s">
        <v>2249</v>
      </c>
      <c r="Y86" s="110">
        <v>5000</v>
      </c>
      <c r="Z86" s="110">
        <f t="shared" si="4"/>
        <v>0</v>
      </c>
      <c r="AA86" cm="1">
        <f t="array" aca="1" ref="AA86" ca="1">IFERROR(INDEX(H_Tables!E:E,MATCH(INDIRECT("I"&amp;ROW()),H_Tables!F:F,0)),"")</f>
        <v>3</v>
      </c>
      <c r="AB86" cm="1">
        <f t="array" aca="1" ref="AB86" ca="1">IFERROR(INDEX(H_Tables!H:H,MATCH(INDIRECT("k"&amp;ROW()),H_Tables!I:I,0)),"")</f>
        <v>3</v>
      </c>
      <c r="AC86" t="str">
        <f t="shared" si="5"/>
        <v>OFX Gateway CFM,New,Hosted by JHA,1</v>
      </c>
      <c r="AD86">
        <v>83</v>
      </c>
    </row>
    <row r="87" spans="1:30" ht="15" customHeight="1" x14ac:dyDescent="0.25">
      <c r="A87" s="127">
        <v>45895</v>
      </c>
      <c r="B87" s="2" t="s">
        <v>2117</v>
      </c>
      <c r="C87" s="110">
        <v>0</v>
      </c>
      <c r="D87" s="2" t="s">
        <v>2118</v>
      </c>
      <c r="E87" s="2" t="s">
        <v>2119</v>
      </c>
      <c r="F87" s="110">
        <v>0</v>
      </c>
      <c r="G87" s="110">
        <v>3.0800000000000001E-2</v>
      </c>
      <c r="H87" s="2" t="s">
        <v>2120</v>
      </c>
      <c r="I87" s="2" t="s">
        <v>184</v>
      </c>
      <c r="J87" s="2" t="s">
        <v>321</v>
      </c>
      <c r="K87" s="2" t="s">
        <v>619</v>
      </c>
      <c r="L87" s="2" t="s">
        <v>2129</v>
      </c>
      <c r="M87" s="2" t="s">
        <v>2250</v>
      </c>
      <c r="N87" s="2" t="s">
        <v>2122</v>
      </c>
      <c r="O87" s="2" t="s">
        <v>2123</v>
      </c>
      <c r="P87" s="2" t="s">
        <v>2150</v>
      </c>
      <c r="Q87" s="2" t="s">
        <v>152</v>
      </c>
      <c r="R87" s="110">
        <v>1</v>
      </c>
      <c r="S87" s="110">
        <v>205</v>
      </c>
      <c r="T87" s="110">
        <v>-51.25</v>
      </c>
      <c r="U87" s="2" t="s">
        <v>2126</v>
      </c>
      <c r="V87" s="110"/>
      <c r="W87" s="110">
        <v>205</v>
      </c>
      <c r="X87" s="2" t="s">
        <v>2251</v>
      </c>
      <c r="Y87" s="110">
        <v>5000</v>
      </c>
      <c r="Z87" s="110">
        <f t="shared" si="4"/>
        <v>4.1000000000000002E-2</v>
      </c>
      <c r="AA87" cm="1">
        <f t="array" aca="1" ref="AA87" ca="1">IFERROR(INDEX(H_Tables!E:E,MATCH(INDIRECT("I"&amp;ROW()),H_Tables!F:F,0)),"")</f>
        <v>3</v>
      </c>
      <c r="AB87" cm="1">
        <f t="array" aca="1" ref="AB87" ca="1">IFERROR(INDEX(H_Tables!H:H,MATCH(INDIRECT("k"&amp;ROW()),H_Tables!I:I,0)),"")</f>
        <v>3</v>
      </c>
      <c r="AC87" t="str">
        <f t="shared" si="5"/>
        <v>OFX Gateway PFM,New,Hosted by JHA,1</v>
      </c>
      <c r="AD87">
        <v>84</v>
      </c>
    </row>
    <row r="88" spans="1:30" ht="15" customHeight="1" x14ac:dyDescent="0.25">
      <c r="A88" s="127">
        <v>45895</v>
      </c>
      <c r="B88" s="2" t="s">
        <v>2117</v>
      </c>
      <c r="C88" s="110">
        <v>0</v>
      </c>
      <c r="D88" s="2" t="s">
        <v>2118</v>
      </c>
      <c r="E88" s="2" t="s">
        <v>2119</v>
      </c>
      <c r="F88" s="110">
        <v>0</v>
      </c>
      <c r="G88" s="110">
        <v>0</v>
      </c>
      <c r="H88" s="2" t="s">
        <v>2120</v>
      </c>
      <c r="I88" s="2" t="s">
        <v>184</v>
      </c>
      <c r="J88" s="2" t="s">
        <v>321</v>
      </c>
      <c r="K88" s="2" t="s">
        <v>619</v>
      </c>
      <c r="L88" s="2" t="s">
        <v>2121</v>
      </c>
      <c r="M88" s="2" t="s">
        <v>2250</v>
      </c>
      <c r="N88" s="2" t="s">
        <v>2122</v>
      </c>
      <c r="O88" s="2" t="s">
        <v>2123</v>
      </c>
      <c r="P88" s="2" t="s">
        <v>2150</v>
      </c>
      <c r="Q88" s="2" t="s">
        <v>2132</v>
      </c>
      <c r="R88" s="110">
        <v>1</v>
      </c>
      <c r="S88" s="110">
        <v>2500</v>
      </c>
      <c r="T88" s="110">
        <v>-2500</v>
      </c>
      <c r="U88" s="2" t="s">
        <v>2126</v>
      </c>
      <c r="V88" s="110"/>
      <c r="W88" s="110">
        <v>2500</v>
      </c>
      <c r="X88" s="2" t="s">
        <v>2252</v>
      </c>
      <c r="Y88" s="110">
        <v>5000</v>
      </c>
      <c r="Z88" s="110">
        <f t="shared" si="4"/>
        <v>0</v>
      </c>
      <c r="AA88" cm="1">
        <f t="array" aca="1" ref="AA88" ca="1">IFERROR(INDEX(H_Tables!E:E,MATCH(INDIRECT("I"&amp;ROW()),H_Tables!F:F,0)),"")</f>
        <v>3</v>
      </c>
      <c r="AB88" cm="1">
        <f t="array" aca="1" ref="AB88" ca="1">IFERROR(INDEX(H_Tables!H:H,MATCH(INDIRECT("k"&amp;ROW()),H_Tables!I:I,0)),"")</f>
        <v>3</v>
      </c>
      <c r="AC88" t="str">
        <f t="shared" si="5"/>
        <v>OFX Gateway PFM,New,Hosted by JHA,1</v>
      </c>
      <c r="AD88">
        <v>85</v>
      </c>
    </row>
    <row r="89" spans="1:30" ht="15" customHeight="1" x14ac:dyDescent="0.25">
      <c r="A89" s="127">
        <v>45895</v>
      </c>
      <c r="B89" s="2" t="s">
        <v>2117</v>
      </c>
      <c r="C89" s="110">
        <v>0</v>
      </c>
      <c r="D89" s="2" t="s">
        <v>2118</v>
      </c>
      <c r="E89" s="2" t="s">
        <v>2119</v>
      </c>
      <c r="F89" s="110">
        <v>0</v>
      </c>
      <c r="G89" s="110">
        <v>0</v>
      </c>
      <c r="H89" s="2" t="s">
        <v>2120</v>
      </c>
      <c r="I89" s="2" t="s">
        <v>185</v>
      </c>
      <c r="J89" s="2" t="s">
        <v>1893</v>
      </c>
      <c r="K89" s="2" t="s">
        <v>517</v>
      </c>
      <c r="L89" s="2" t="s">
        <v>2129</v>
      </c>
      <c r="M89" s="2" t="s">
        <v>2253</v>
      </c>
      <c r="N89" s="2" t="s">
        <v>2122</v>
      </c>
      <c r="O89" s="2" t="s">
        <v>2123</v>
      </c>
      <c r="P89" s="2" t="s">
        <v>2150</v>
      </c>
      <c r="Q89" s="2" t="s">
        <v>152</v>
      </c>
      <c r="R89" s="110">
        <v>1</v>
      </c>
      <c r="S89" s="110">
        <v>760</v>
      </c>
      <c r="T89" s="110">
        <v>0</v>
      </c>
      <c r="U89" s="2" t="s">
        <v>2126</v>
      </c>
      <c r="V89" s="110"/>
      <c r="W89" s="110">
        <v>760</v>
      </c>
      <c r="X89" s="2" t="s">
        <v>2254</v>
      </c>
      <c r="Y89" s="110">
        <v>5000</v>
      </c>
      <c r="Z89" s="110">
        <f t="shared" si="4"/>
        <v>0</v>
      </c>
      <c r="AA89" cm="1">
        <f t="array" aca="1" ref="AA89" ca="1">IFERROR(INDEX(H_Tables!E:E,MATCH(INDIRECT("I"&amp;ROW()),H_Tables!F:F,0)),"")</f>
        <v>4</v>
      </c>
      <c r="AB89" cm="1">
        <f t="array" aca="1" ref="AB89" ca="1">IFERROR(INDEX(H_Tables!H:H,MATCH(INDIRECT("k"&amp;ROW()),H_Tables!I:I,0)),"")</f>
        <v>2</v>
      </c>
      <c r="AC89" t="str">
        <f t="shared" si="5"/>
        <v>4|sight OrboAnywhere Fraud,New,Hosted by JHA,1</v>
      </c>
      <c r="AD89">
        <v>86</v>
      </c>
    </row>
    <row r="90" spans="1:30" ht="15" customHeight="1" x14ac:dyDescent="0.25">
      <c r="A90" s="127">
        <v>45895</v>
      </c>
      <c r="B90" s="2" t="s">
        <v>2117</v>
      </c>
      <c r="C90" s="110">
        <v>0</v>
      </c>
      <c r="D90" s="2" t="s">
        <v>2118</v>
      </c>
      <c r="E90" s="2" t="s">
        <v>2119</v>
      </c>
      <c r="F90" s="110">
        <v>0</v>
      </c>
      <c r="G90" s="110">
        <v>0</v>
      </c>
      <c r="H90" s="2" t="s">
        <v>2120</v>
      </c>
      <c r="I90" s="2" t="s">
        <v>185</v>
      </c>
      <c r="J90" s="2" t="s">
        <v>1893</v>
      </c>
      <c r="K90" s="2" t="s">
        <v>517</v>
      </c>
      <c r="L90" s="2" t="s">
        <v>2121</v>
      </c>
      <c r="M90" s="2" t="s">
        <v>2253</v>
      </c>
      <c r="N90" s="2" t="s">
        <v>2122</v>
      </c>
      <c r="O90" s="2" t="s">
        <v>2123</v>
      </c>
      <c r="P90" s="2" t="s">
        <v>2150</v>
      </c>
      <c r="Q90" s="2" t="s">
        <v>2132</v>
      </c>
      <c r="R90" s="110">
        <v>1</v>
      </c>
      <c r="S90" s="110">
        <v>7425</v>
      </c>
      <c r="T90" s="110">
        <v>0</v>
      </c>
      <c r="U90" s="2" t="s">
        <v>2126</v>
      </c>
      <c r="V90" s="110"/>
      <c r="W90" s="110">
        <v>7425</v>
      </c>
      <c r="X90" s="2" t="s">
        <v>2255</v>
      </c>
      <c r="Y90" s="110">
        <v>5000</v>
      </c>
      <c r="Z90" s="110">
        <f t="shared" si="4"/>
        <v>0</v>
      </c>
      <c r="AA90" cm="1">
        <f t="array" aca="1" ref="AA90" ca="1">IFERROR(INDEX(H_Tables!E:E,MATCH(INDIRECT("I"&amp;ROW()),H_Tables!F:F,0)),"")</f>
        <v>4</v>
      </c>
      <c r="AB90" cm="1">
        <f t="array" aca="1" ref="AB90" ca="1">IFERROR(INDEX(H_Tables!H:H,MATCH(INDIRECT("k"&amp;ROW()),H_Tables!I:I,0)),"")</f>
        <v>2</v>
      </c>
      <c r="AC90" t="str">
        <f t="shared" si="5"/>
        <v>4|sight OrboAnywhere Fraud,New,Hosted by JHA,1</v>
      </c>
      <c r="AD90">
        <v>87</v>
      </c>
    </row>
    <row r="91" spans="1:30" ht="15" customHeight="1" x14ac:dyDescent="0.25">
      <c r="A91" s="127">
        <v>45895</v>
      </c>
      <c r="B91" s="2" t="s">
        <v>2117</v>
      </c>
      <c r="C91" s="110">
        <v>0</v>
      </c>
      <c r="D91" s="2" t="s">
        <v>2118</v>
      </c>
      <c r="E91" s="2" t="s">
        <v>2119</v>
      </c>
      <c r="F91" s="110">
        <v>0.33379999999999999</v>
      </c>
      <c r="G91" s="110">
        <v>0</v>
      </c>
      <c r="H91" s="2" t="s">
        <v>2120</v>
      </c>
      <c r="I91" s="2" t="s">
        <v>185</v>
      </c>
      <c r="J91" s="2" t="s">
        <v>2082</v>
      </c>
      <c r="K91" s="2" t="s">
        <v>517</v>
      </c>
      <c r="L91" s="2" t="s">
        <v>2129</v>
      </c>
      <c r="M91" s="2" t="s">
        <v>2081</v>
      </c>
      <c r="N91" s="2" t="s">
        <v>2122</v>
      </c>
      <c r="O91" s="2" t="s">
        <v>2123</v>
      </c>
      <c r="P91" s="2" t="s">
        <v>2124</v>
      </c>
      <c r="Q91" s="2" t="s">
        <v>152</v>
      </c>
      <c r="R91" s="110">
        <v>1</v>
      </c>
      <c r="S91" s="110">
        <v>2225</v>
      </c>
      <c r="T91" s="110">
        <v>-556.25</v>
      </c>
      <c r="U91" s="2" t="s">
        <v>2126</v>
      </c>
      <c r="V91" s="110"/>
      <c r="W91" s="110">
        <v>2225</v>
      </c>
      <c r="X91" s="2" t="s">
        <v>2256</v>
      </c>
      <c r="Y91" s="110">
        <v>5000</v>
      </c>
      <c r="Z91" s="110">
        <f t="shared" si="4"/>
        <v>0.44500000000000001</v>
      </c>
      <c r="AA91" cm="1">
        <f t="array" aca="1" ref="AA91" ca="1">IFERROR(INDEX(H_Tables!E:E,MATCH(INDIRECT("I"&amp;ROW()),H_Tables!F:F,0)),"")</f>
        <v>4</v>
      </c>
      <c r="AB91" cm="1">
        <f t="array" aca="1" ref="AB91" ca="1">IFERROR(INDEX(H_Tables!H:H,MATCH(INDIRECT("k"&amp;ROW()),H_Tables!I:I,0)),"")</f>
        <v>2</v>
      </c>
      <c r="AC91" t="str">
        <f t="shared" si="5"/>
        <v>OutLink Item Imaging,New,Hosted by JHA,0</v>
      </c>
      <c r="AD91">
        <v>88</v>
      </c>
    </row>
    <row r="92" spans="1:30" ht="15" customHeight="1" x14ac:dyDescent="0.25">
      <c r="A92" s="127">
        <v>45895</v>
      </c>
      <c r="B92" s="2" t="s">
        <v>2117</v>
      </c>
      <c r="C92" s="110">
        <v>0</v>
      </c>
      <c r="D92" s="2" t="s">
        <v>2118</v>
      </c>
      <c r="E92" s="2" t="s">
        <v>2119</v>
      </c>
      <c r="F92" s="110">
        <v>0</v>
      </c>
      <c r="G92" s="110">
        <v>0</v>
      </c>
      <c r="H92" s="2" t="s">
        <v>2120</v>
      </c>
      <c r="I92" s="2" t="s">
        <v>185</v>
      </c>
      <c r="J92" s="2" t="s">
        <v>2082</v>
      </c>
      <c r="K92" s="2" t="s">
        <v>517</v>
      </c>
      <c r="L92" s="2" t="s">
        <v>2121</v>
      </c>
      <c r="M92" s="2" t="s">
        <v>2081</v>
      </c>
      <c r="N92" s="2" t="s">
        <v>2122</v>
      </c>
      <c r="O92" s="2" t="s">
        <v>2123</v>
      </c>
      <c r="P92" s="2" t="s">
        <v>2124</v>
      </c>
      <c r="Q92" s="2" t="s">
        <v>2132</v>
      </c>
      <c r="R92" s="110">
        <v>1</v>
      </c>
      <c r="S92" s="110">
        <v>33900</v>
      </c>
      <c r="T92" s="110">
        <v>-33900</v>
      </c>
      <c r="U92" s="2" t="s">
        <v>2126</v>
      </c>
      <c r="V92" s="110"/>
      <c r="W92" s="110">
        <v>33900</v>
      </c>
      <c r="X92" s="2" t="s">
        <v>2257</v>
      </c>
      <c r="Y92" s="110">
        <v>5000</v>
      </c>
      <c r="Z92" s="110">
        <f t="shared" si="4"/>
        <v>0</v>
      </c>
      <c r="AA92" cm="1">
        <f t="array" aca="1" ref="AA92" ca="1">IFERROR(INDEX(H_Tables!E:E,MATCH(INDIRECT("I"&amp;ROW()),H_Tables!F:F,0)),"")</f>
        <v>4</v>
      </c>
      <c r="AB92" cm="1">
        <f t="array" aca="1" ref="AB92" ca="1">IFERROR(INDEX(H_Tables!H:H,MATCH(INDIRECT("k"&amp;ROW()),H_Tables!I:I,0)),"")</f>
        <v>2</v>
      </c>
      <c r="AC92" t="str">
        <f t="shared" si="5"/>
        <v>OutLink Item Imaging,New,Hosted by JHA,0</v>
      </c>
      <c r="AD92">
        <v>89</v>
      </c>
    </row>
    <row r="93" spans="1:30" ht="15" customHeight="1" x14ac:dyDescent="0.25">
      <c r="A93" s="127">
        <v>45895</v>
      </c>
      <c r="B93" s="2" t="s">
        <v>2117</v>
      </c>
      <c r="C93" s="110">
        <v>0</v>
      </c>
      <c r="D93" s="2" t="s">
        <v>2118</v>
      </c>
      <c r="E93" s="2" t="s">
        <v>2119</v>
      </c>
      <c r="F93" s="110">
        <v>0</v>
      </c>
      <c r="G93" s="110">
        <v>0</v>
      </c>
      <c r="H93" s="2" t="s">
        <v>2120</v>
      </c>
      <c r="I93" s="2" t="s">
        <v>185</v>
      </c>
      <c r="J93" s="2" t="s">
        <v>1353</v>
      </c>
      <c r="K93" s="2" t="s">
        <v>517</v>
      </c>
      <c r="L93" s="2" t="s">
        <v>2121</v>
      </c>
      <c r="M93" s="2" t="s">
        <v>1354</v>
      </c>
      <c r="N93" s="2" t="s">
        <v>2122</v>
      </c>
      <c r="O93" s="2" t="s">
        <v>2123</v>
      </c>
      <c r="P93" s="2" t="s">
        <v>2124</v>
      </c>
      <c r="Q93" s="2" t="s">
        <v>2132</v>
      </c>
      <c r="R93" s="110">
        <v>1</v>
      </c>
      <c r="S93" s="110">
        <v>1125</v>
      </c>
      <c r="T93" s="110">
        <v>0</v>
      </c>
      <c r="U93" s="2" t="s">
        <v>2126</v>
      </c>
      <c r="V93" s="110"/>
      <c r="W93" s="110">
        <v>1125</v>
      </c>
      <c r="X93" s="2" t="s">
        <v>2258</v>
      </c>
      <c r="Y93" s="110">
        <v>5000</v>
      </c>
      <c r="Z93" s="110">
        <f t="shared" si="4"/>
        <v>0</v>
      </c>
      <c r="AA93" cm="1">
        <f t="array" aca="1" ref="AA93" ca="1">IFERROR(INDEX(H_Tables!E:E,MATCH(INDIRECT("I"&amp;ROW()),H_Tables!F:F,0)),"")</f>
        <v>4</v>
      </c>
      <c r="AB93" cm="1">
        <f t="array" aca="1" ref="AB93" ca="1">IFERROR(INDEX(H_Tables!H:H,MATCH(INDIRECT("k"&amp;ROW()),H_Tables!I:I,0)),"")</f>
        <v>2</v>
      </c>
      <c r="AC93" t="str">
        <f t="shared" si="5"/>
        <v>OutLink Item Processing Customer Training,New,Hosted by JHA,0</v>
      </c>
      <c r="AD93">
        <v>90</v>
      </c>
    </row>
    <row r="94" spans="1:30" ht="15" customHeight="1" x14ac:dyDescent="0.25">
      <c r="A94" s="127">
        <v>45895</v>
      </c>
      <c r="B94" s="2" t="s">
        <v>2117</v>
      </c>
      <c r="C94" s="110">
        <v>0</v>
      </c>
      <c r="D94" s="2" t="s">
        <v>2118</v>
      </c>
      <c r="E94" s="2" t="s">
        <v>2119</v>
      </c>
      <c r="F94" s="110">
        <v>0</v>
      </c>
      <c r="G94" s="110">
        <v>0</v>
      </c>
      <c r="H94" s="2" t="s">
        <v>2120</v>
      </c>
      <c r="I94" s="2" t="s">
        <v>185</v>
      </c>
      <c r="J94" s="2" t="s">
        <v>1398</v>
      </c>
      <c r="K94" s="2" t="s">
        <v>517</v>
      </c>
      <c r="L94" s="2" t="s">
        <v>2129</v>
      </c>
      <c r="M94" s="2" t="s">
        <v>2259</v>
      </c>
      <c r="N94" s="2" t="s">
        <v>2122</v>
      </c>
      <c r="O94" s="2" t="s">
        <v>2123</v>
      </c>
      <c r="P94" s="2" t="s">
        <v>2124</v>
      </c>
      <c r="Q94" s="2" t="s">
        <v>152</v>
      </c>
      <c r="R94" s="110">
        <v>1</v>
      </c>
      <c r="S94" s="110">
        <v>900</v>
      </c>
      <c r="T94" s="110">
        <v>0</v>
      </c>
      <c r="U94" s="2" t="s">
        <v>2126</v>
      </c>
      <c r="V94" s="110"/>
      <c r="W94" s="110">
        <v>900</v>
      </c>
      <c r="X94" s="2" t="s">
        <v>2260</v>
      </c>
      <c r="Y94" s="110">
        <v>5000</v>
      </c>
      <c r="Z94" s="110">
        <f t="shared" si="4"/>
        <v>0</v>
      </c>
      <c r="AA94" cm="1">
        <f t="array" aca="1" ref="AA94" ca="1">IFERROR(INDEX(H_Tables!E:E,MATCH(INDIRECT("I"&amp;ROW()),H_Tables!F:F,0)),"")</f>
        <v>4</v>
      </c>
      <c r="AB94" cm="1">
        <f t="array" aca="1" ref="AB94" ca="1">IFERROR(INDEX(H_Tables!H:H,MATCH(INDIRECT("k"&amp;ROW()),H_Tables!I:I,0)),"")</f>
        <v>2</v>
      </c>
      <c r="AC94" t="str">
        <f t="shared" si="5"/>
        <v>Outlink Statement Printing,New,Hosted by JHA,0</v>
      </c>
      <c r="AD94">
        <v>91</v>
      </c>
    </row>
    <row r="95" spans="1:30" ht="15" customHeight="1" x14ac:dyDescent="0.25">
      <c r="A95" s="127">
        <v>45895</v>
      </c>
      <c r="B95" s="2" t="s">
        <v>2117</v>
      </c>
      <c r="C95" s="110">
        <v>0</v>
      </c>
      <c r="D95" s="2" t="s">
        <v>2118</v>
      </c>
      <c r="E95" s="2" t="s">
        <v>2119</v>
      </c>
      <c r="F95" s="110">
        <v>0</v>
      </c>
      <c r="G95" s="110">
        <v>0</v>
      </c>
      <c r="H95" s="2" t="s">
        <v>2120</v>
      </c>
      <c r="I95" s="2" t="s">
        <v>185</v>
      </c>
      <c r="J95" s="2" t="s">
        <v>364</v>
      </c>
      <c r="K95" s="2" t="s">
        <v>517</v>
      </c>
      <c r="L95" s="2" t="s">
        <v>2121</v>
      </c>
      <c r="M95" s="2" t="s">
        <v>1378</v>
      </c>
      <c r="N95" s="2" t="s">
        <v>2122</v>
      </c>
      <c r="O95" s="2" t="s">
        <v>2123</v>
      </c>
      <c r="P95" s="2" t="s">
        <v>2124</v>
      </c>
      <c r="Q95" s="2" t="s">
        <v>2132</v>
      </c>
      <c r="R95" s="110">
        <v>1</v>
      </c>
      <c r="S95" s="110">
        <v>500</v>
      </c>
      <c r="T95" s="110">
        <v>-500</v>
      </c>
      <c r="U95" s="2" t="s">
        <v>2126</v>
      </c>
      <c r="V95" s="110"/>
      <c r="W95" s="110">
        <v>500</v>
      </c>
      <c r="X95" s="2" t="s">
        <v>2261</v>
      </c>
      <c r="Y95" s="110">
        <v>5000</v>
      </c>
      <c r="Z95" s="110">
        <f t="shared" si="4"/>
        <v>0</v>
      </c>
      <c r="AA95" cm="1">
        <f t="array" aca="1" ref="AA95" ca="1">IFERROR(INDEX(H_Tables!E:E,MATCH(INDIRECT("I"&amp;ROW()),H_Tables!F:F,0)),"")</f>
        <v>4</v>
      </c>
      <c r="AB95" cm="1">
        <f t="array" aca="1" ref="AB95" ca="1">IFERROR(INDEX(H_Tables!H:H,MATCH(INDIRECT("k"&amp;ROW()),H_Tables!I:I,0)),"")</f>
        <v>2</v>
      </c>
      <c r="AC95" t="str">
        <f t="shared" si="5"/>
        <v>Premium Notice Printing,New,Hosted by JHA,0</v>
      </c>
      <c r="AD95">
        <v>92</v>
      </c>
    </row>
    <row r="96" spans="1:30" ht="15" customHeight="1" x14ac:dyDescent="0.25">
      <c r="A96" s="127">
        <v>45895</v>
      </c>
      <c r="B96" s="2" t="s">
        <v>2117</v>
      </c>
      <c r="C96" s="110">
        <v>0</v>
      </c>
      <c r="D96" s="2" t="s">
        <v>2118</v>
      </c>
      <c r="E96" s="2" t="s">
        <v>2119</v>
      </c>
      <c r="F96" s="110">
        <v>0</v>
      </c>
      <c r="G96" s="110">
        <v>0</v>
      </c>
      <c r="H96" s="2" t="s">
        <v>2120</v>
      </c>
      <c r="I96" s="2" t="s">
        <v>185</v>
      </c>
      <c r="J96" s="2" t="s">
        <v>1406</v>
      </c>
      <c r="K96" s="2" t="s">
        <v>544</v>
      </c>
      <c r="L96" s="2" t="s">
        <v>2129</v>
      </c>
      <c r="M96" s="2" t="s">
        <v>1407</v>
      </c>
      <c r="N96" s="2" t="s">
        <v>2122</v>
      </c>
      <c r="O96" s="2" t="s">
        <v>2207</v>
      </c>
      <c r="P96" s="2" t="s">
        <v>2150</v>
      </c>
      <c r="Q96" s="2" t="s">
        <v>152</v>
      </c>
      <c r="R96" s="110">
        <v>1</v>
      </c>
      <c r="S96" s="110">
        <v>420</v>
      </c>
      <c r="T96" s="110">
        <v>0</v>
      </c>
      <c r="U96" s="2" t="s">
        <v>2126</v>
      </c>
      <c r="V96" s="110"/>
      <c r="W96" s="110">
        <v>420</v>
      </c>
      <c r="X96" s="2" t="s">
        <v>2262</v>
      </c>
      <c r="Y96" s="110">
        <v>5000</v>
      </c>
      <c r="Z96" s="110">
        <f t="shared" si="4"/>
        <v>0</v>
      </c>
      <c r="AA96" cm="1">
        <f t="array" aca="1" ref="AA96" ca="1">IFERROR(INDEX(H_Tables!E:E,MATCH(INDIRECT("I"&amp;ROW()),H_Tables!F:F,0)),"")</f>
        <v>4</v>
      </c>
      <c r="AB96" cm="1">
        <f t="array" aca="1" ref="AB96" ca="1">IFERROR(INDEX(H_Tables!H:H,MATCH(INDIRECT("k"&amp;ROW()),H_Tables!I:I,0)),"")</f>
        <v>4</v>
      </c>
      <c r="AC96" t="str">
        <f t="shared" si="5"/>
        <v>AlertCenter with: Advanced Fraud Solutions ("AFS"),New,Hosted by 3rd Party,1</v>
      </c>
      <c r="AD96">
        <v>93</v>
      </c>
    </row>
    <row r="97" spans="1:30" ht="15" customHeight="1" x14ac:dyDescent="0.25">
      <c r="A97" s="127">
        <v>45895</v>
      </c>
      <c r="B97" s="2" t="s">
        <v>2117</v>
      </c>
      <c r="C97" s="110">
        <v>0</v>
      </c>
      <c r="D97" s="2" t="s">
        <v>2118</v>
      </c>
      <c r="E97" s="2" t="s">
        <v>2119</v>
      </c>
      <c r="F97" s="110">
        <v>0</v>
      </c>
      <c r="G97" s="110">
        <v>0</v>
      </c>
      <c r="H97" s="2" t="s">
        <v>2120</v>
      </c>
      <c r="I97" s="2" t="s">
        <v>185</v>
      </c>
      <c r="J97" s="2" t="s">
        <v>1408</v>
      </c>
      <c r="K97" s="2" t="s">
        <v>544</v>
      </c>
      <c r="L97" s="2" t="s">
        <v>2121</v>
      </c>
      <c r="M97" s="2" t="s">
        <v>1409</v>
      </c>
      <c r="N97" s="2" t="s">
        <v>2122</v>
      </c>
      <c r="O97" s="2" t="s">
        <v>2207</v>
      </c>
      <c r="P97" s="2" t="s">
        <v>2150</v>
      </c>
      <c r="Q97" s="2" t="s">
        <v>2132</v>
      </c>
      <c r="R97" s="110">
        <v>1</v>
      </c>
      <c r="S97" s="110">
        <v>825</v>
      </c>
      <c r="T97" s="110">
        <v>0</v>
      </c>
      <c r="U97" s="2" t="s">
        <v>2126</v>
      </c>
      <c r="V97" s="110"/>
      <c r="W97" s="110">
        <v>825</v>
      </c>
      <c r="X97" s="2" t="s">
        <v>2263</v>
      </c>
      <c r="Y97" s="110">
        <v>5000</v>
      </c>
      <c r="Z97" s="110">
        <f t="shared" si="4"/>
        <v>0</v>
      </c>
      <c r="AA97" cm="1">
        <f t="array" aca="1" ref="AA97" ca="1">IFERROR(INDEX(H_Tables!E:E,MATCH(INDIRECT("I"&amp;ROW()),H_Tables!F:F,0)),"")</f>
        <v>4</v>
      </c>
      <c r="AB97" cm="1">
        <f t="array" aca="1" ref="AB97" ca="1">IFERROR(INDEX(H_Tables!H:H,MATCH(INDIRECT("k"&amp;ROW()),H_Tables!I:I,0)),"")</f>
        <v>4</v>
      </c>
      <c r="AC97" t="str">
        <f t="shared" si="5"/>
        <v>AFS Deposit Chek Onboarding,New,Hosted by 3rd Party,1</v>
      </c>
      <c r="AD97">
        <v>94</v>
      </c>
    </row>
    <row r="98" spans="1:30" ht="15" customHeight="1" x14ac:dyDescent="0.25">
      <c r="A98" s="127">
        <v>45895</v>
      </c>
      <c r="B98" s="2" t="s">
        <v>2117</v>
      </c>
      <c r="C98" s="110">
        <v>0</v>
      </c>
      <c r="D98" s="2" t="s">
        <v>2118</v>
      </c>
      <c r="E98" s="2" t="s">
        <v>2119</v>
      </c>
      <c r="F98" s="110">
        <v>0</v>
      </c>
      <c r="G98" s="110">
        <v>0</v>
      </c>
      <c r="H98" s="2" t="s">
        <v>2120</v>
      </c>
      <c r="I98" s="2" t="s">
        <v>185</v>
      </c>
      <c r="J98" s="2" t="s">
        <v>1410</v>
      </c>
      <c r="K98" s="2" t="s">
        <v>544</v>
      </c>
      <c r="L98" s="2" t="s">
        <v>2129</v>
      </c>
      <c r="M98" s="2" t="s">
        <v>1411</v>
      </c>
      <c r="N98" s="2" t="s">
        <v>2122</v>
      </c>
      <c r="O98" s="2" t="s">
        <v>2207</v>
      </c>
      <c r="P98" s="2" t="s">
        <v>2150</v>
      </c>
      <c r="Q98" s="2" t="s">
        <v>152</v>
      </c>
      <c r="R98" s="110">
        <v>1</v>
      </c>
      <c r="S98" s="110">
        <v>75</v>
      </c>
      <c r="T98" s="110">
        <v>0</v>
      </c>
      <c r="U98" s="2" t="s">
        <v>2126</v>
      </c>
      <c r="V98" s="110"/>
      <c r="W98" s="110">
        <v>75</v>
      </c>
      <c r="X98" s="2" t="s">
        <v>2264</v>
      </c>
      <c r="Y98" s="110">
        <v>5000</v>
      </c>
      <c r="Z98" s="110">
        <f t="shared" si="4"/>
        <v>0</v>
      </c>
      <c r="AA98" cm="1">
        <f t="array" aca="1" ref="AA98" ca="1">IFERROR(INDEX(H_Tables!E:E,MATCH(INDIRECT("I"&amp;ROW()),H_Tables!F:F,0)),"")</f>
        <v>4</v>
      </c>
      <c r="AB98" cm="1">
        <f t="array" aca="1" ref="AB98" ca="1">IFERROR(INDEX(H_Tables!H:H,MATCH(INDIRECT("k"&amp;ROW()),H_Tables!I:I,0)),"")</f>
        <v>4</v>
      </c>
      <c r="AC98" t="str">
        <f t="shared" si="5"/>
        <v>AlertCenter AFS TrueChecks Frontline,New,Hosted by 3rd Party,1</v>
      </c>
      <c r="AD98">
        <v>95</v>
      </c>
    </row>
    <row r="99" spans="1:30" ht="15" customHeight="1" x14ac:dyDescent="0.25">
      <c r="A99" s="127">
        <v>45895</v>
      </c>
      <c r="B99" s="2" t="s">
        <v>2117</v>
      </c>
      <c r="C99" s="110">
        <v>0</v>
      </c>
      <c r="D99" s="2" t="s">
        <v>2118</v>
      </c>
      <c r="E99" s="2" t="s">
        <v>2119</v>
      </c>
      <c r="F99" s="110">
        <v>0</v>
      </c>
      <c r="G99" s="110">
        <v>0</v>
      </c>
      <c r="H99" s="2" t="s">
        <v>2120</v>
      </c>
      <c r="I99" s="2" t="s">
        <v>185</v>
      </c>
      <c r="J99" s="2" t="s">
        <v>1412</v>
      </c>
      <c r="K99" s="2" t="s">
        <v>544</v>
      </c>
      <c r="L99" s="2" t="s">
        <v>2121</v>
      </c>
      <c r="M99" s="2" t="s">
        <v>1413</v>
      </c>
      <c r="N99" s="2" t="s">
        <v>2122</v>
      </c>
      <c r="O99" s="2" t="s">
        <v>2123</v>
      </c>
      <c r="P99" s="2" t="s">
        <v>2150</v>
      </c>
      <c r="Q99" s="2" t="s">
        <v>2132</v>
      </c>
      <c r="R99" s="110">
        <v>1</v>
      </c>
      <c r="S99" s="110">
        <v>3750</v>
      </c>
      <c r="T99" s="110">
        <v>-3750</v>
      </c>
      <c r="U99" s="2" t="s">
        <v>2126</v>
      </c>
      <c r="V99" s="110"/>
      <c r="W99" s="110">
        <v>3750</v>
      </c>
      <c r="X99" s="2" t="s">
        <v>2265</v>
      </c>
      <c r="Y99" s="110">
        <v>5000</v>
      </c>
      <c r="Z99" s="110">
        <f t="shared" si="4"/>
        <v>0</v>
      </c>
      <c r="AA99" cm="1">
        <f t="array" aca="1" ref="AA99" ca="1">IFERROR(INDEX(H_Tables!E:E,MATCH(INDIRECT("I"&amp;ROW()),H_Tables!F:F,0)),"")</f>
        <v>4</v>
      </c>
      <c r="AB99" cm="1">
        <f t="array" aca="1" ref="AB99" ca="1">IFERROR(INDEX(H_Tables!H:H,MATCH(INDIRECT("k"&amp;ROW()),H_Tables!I:I,0)),"")</f>
        <v>4</v>
      </c>
      <c r="AC99" t="str">
        <f t="shared" si="5"/>
        <v>AlertCenter Integration to 4|Sight,New,Hosted by JHA,1</v>
      </c>
      <c r="AD99">
        <v>96</v>
      </c>
    </row>
    <row r="100" spans="1:30" ht="15" customHeight="1" x14ac:dyDescent="0.25">
      <c r="A100" s="127">
        <v>45895</v>
      </c>
      <c r="B100" s="2" t="s">
        <v>2117</v>
      </c>
      <c r="C100" s="110">
        <v>0</v>
      </c>
      <c r="D100" s="2" t="s">
        <v>2118</v>
      </c>
      <c r="E100" s="2" t="s">
        <v>2119</v>
      </c>
      <c r="F100" s="110">
        <v>0</v>
      </c>
      <c r="G100" s="110">
        <v>0</v>
      </c>
      <c r="H100" s="2" t="s">
        <v>2120</v>
      </c>
      <c r="I100" s="2" t="s">
        <v>183</v>
      </c>
      <c r="J100" s="2" t="s">
        <v>1686</v>
      </c>
      <c r="K100" s="2" t="s">
        <v>544</v>
      </c>
      <c r="L100" s="2" t="s">
        <v>2121</v>
      </c>
      <c r="M100" s="2" t="s">
        <v>1687</v>
      </c>
      <c r="N100" s="2" t="s">
        <v>2122</v>
      </c>
      <c r="O100" s="2" t="s">
        <v>2123</v>
      </c>
      <c r="P100" s="2" t="s">
        <v>2150</v>
      </c>
      <c r="Q100" s="2" t="s">
        <v>2132</v>
      </c>
      <c r="R100" s="110">
        <v>1</v>
      </c>
      <c r="S100" s="110">
        <v>3750</v>
      </c>
      <c r="T100" s="110">
        <v>-3750</v>
      </c>
      <c r="U100" s="2" t="s">
        <v>2126</v>
      </c>
      <c r="V100" s="110"/>
      <c r="W100" s="110">
        <v>3750</v>
      </c>
      <c r="X100" s="2" t="s">
        <v>2266</v>
      </c>
      <c r="Y100" s="110">
        <v>5000</v>
      </c>
      <c r="Z100" s="110">
        <f t="shared" si="4"/>
        <v>0</v>
      </c>
      <c r="AA100" cm="1">
        <f t="array" aca="1" ref="AA100" ca="1">IFERROR(INDEX(H_Tables!E:E,MATCH(INDIRECT("I"&amp;ROW()),H_Tables!F:F,0)),"")</f>
        <v>2</v>
      </c>
      <c r="AB100" cm="1">
        <f t="array" aca="1" ref="AB100" ca="1">IFERROR(INDEX(H_Tables!H:H,MATCH(INDIRECT("k"&amp;ROW()),H_Tables!I:I,0)),"")</f>
        <v>4</v>
      </c>
      <c r="AC100" t="str">
        <f t="shared" si="5"/>
        <v>Teller Integration to AlertCenter,New,Hosted by JHA,1</v>
      </c>
      <c r="AD100">
        <v>97</v>
      </c>
    </row>
    <row r="101" spans="1:30" ht="15" customHeight="1" x14ac:dyDescent="0.25">
      <c r="A101" s="127">
        <v>45895</v>
      </c>
      <c r="B101" s="2" t="s">
        <v>2117</v>
      </c>
      <c r="C101" s="110">
        <v>0</v>
      </c>
      <c r="D101" s="2" t="s">
        <v>2118</v>
      </c>
      <c r="E101" s="2" t="s">
        <v>2119</v>
      </c>
      <c r="F101" s="110">
        <v>0.20549999999999999</v>
      </c>
      <c r="G101" s="110">
        <v>0</v>
      </c>
      <c r="H101" s="2" t="s">
        <v>2120</v>
      </c>
      <c r="I101" s="2" t="s">
        <v>185</v>
      </c>
      <c r="J101" s="2" t="s">
        <v>1879</v>
      </c>
      <c r="K101" s="2" t="s">
        <v>538</v>
      </c>
      <c r="L101" s="2" t="s">
        <v>2129</v>
      </c>
      <c r="M101" s="2" t="s">
        <v>2267</v>
      </c>
      <c r="N101" s="2" t="s">
        <v>2122</v>
      </c>
      <c r="O101" s="2" t="s">
        <v>2123</v>
      </c>
      <c r="P101" s="2" t="s">
        <v>2124</v>
      </c>
      <c r="Q101" s="2" t="s">
        <v>152</v>
      </c>
      <c r="R101" s="110">
        <v>1</v>
      </c>
      <c r="S101" s="110">
        <v>1370</v>
      </c>
      <c r="T101" s="110">
        <v>-342.5</v>
      </c>
      <c r="U101" s="2" t="s">
        <v>2126</v>
      </c>
      <c r="V101" s="110"/>
      <c r="W101" s="110">
        <v>1370</v>
      </c>
      <c r="X101" s="2" t="s">
        <v>2268</v>
      </c>
      <c r="Y101" s="110">
        <v>5000</v>
      </c>
      <c r="Z101" s="110">
        <f t="shared" si="4"/>
        <v>0.27400000000000002</v>
      </c>
      <c r="AA101" cm="1">
        <f t="array" aca="1" ref="AA101" ca="1">IFERROR(INDEX(H_Tables!E:E,MATCH(INDIRECT("I"&amp;ROW()),H_Tables!F:F,0)),"")</f>
        <v>4</v>
      </c>
      <c r="AB101" cm="1">
        <f t="array" aca="1" ref="AB101" ca="1">IFERROR(INDEX(H_Tables!H:H,MATCH(INDIRECT("k"&amp;ROW()),H_Tables!I:I,0)),"")</f>
        <v>2</v>
      </c>
      <c r="AC101" t="str">
        <f t="shared" si="5"/>
        <v>Synergy ECM,New,Hosted by JHA,0</v>
      </c>
      <c r="AD101">
        <v>98</v>
      </c>
    </row>
    <row r="102" spans="1:30" ht="15" customHeight="1" x14ac:dyDescent="0.25">
      <c r="A102" s="127">
        <v>45895</v>
      </c>
      <c r="B102" s="2" t="s">
        <v>2117</v>
      </c>
      <c r="C102" s="110">
        <v>0</v>
      </c>
      <c r="D102" s="2" t="s">
        <v>2118</v>
      </c>
      <c r="E102" s="2" t="s">
        <v>2119</v>
      </c>
      <c r="F102" s="110">
        <v>0</v>
      </c>
      <c r="G102" s="110">
        <v>0</v>
      </c>
      <c r="H102" s="2" t="s">
        <v>2120</v>
      </c>
      <c r="I102" s="2" t="s">
        <v>185</v>
      </c>
      <c r="J102" s="2" t="s">
        <v>1879</v>
      </c>
      <c r="K102" s="2" t="s">
        <v>538</v>
      </c>
      <c r="L102" s="2" t="s">
        <v>2121</v>
      </c>
      <c r="M102" s="2" t="s">
        <v>2267</v>
      </c>
      <c r="N102" s="2" t="s">
        <v>2122</v>
      </c>
      <c r="O102" s="2" t="s">
        <v>2123</v>
      </c>
      <c r="P102" s="2" t="s">
        <v>2124</v>
      </c>
      <c r="Q102" s="2" t="s">
        <v>2132</v>
      </c>
      <c r="R102" s="110">
        <v>1</v>
      </c>
      <c r="S102" s="110">
        <v>19150</v>
      </c>
      <c r="T102" s="110">
        <v>-19150</v>
      </c>
      <c r="U102" s="2" t="s">
        <v>2126</v>
      </c>
      <c r="V102" s="110"/>
      <c r="W102" s="110">
        <v>19150</v>
      </c>
      <c r="X102" s="2" t="s">
        <v>2269</v>
      </c>
      <c r="Y102" s="110">
        <v>5000</v>
      </c>
      <c r="Z102" s="110">
        <f t="shared" si="4"/>
        <v>0</v>
      </c>
      <c r="AA102" cm="1">
        <f t="array" aca="1" ref="AA102" ca="1">IFERROR(INDEX(H_Tables!E:E,MATCH(INDIRECT("I"&amp;ROW()),H_Tables!F:F,0)),"")</f>
        <v>4</v>
      </c>
      <c r="AB102" cm="1">
        <f t="array" aca="1" ref="AB102" ca="1">IFERROR(INDEX(H_Tables!H:H,MATCH(INDIRECT("k"&amp;ROW()),H_Tables!I:I,0)),"")</f>
        <v>2</v>
      </c>
      <c r="AC102" t="str">
        <f t="shared" si="5"/>
        <v>Synergy ECM,New,Hosted by JHA,0</v>
      </c>
      <c r="AD102">
        <v>99</v>
      </c>
    </row>
    <row r="103" spans="1:30" ht="15" customHeight="1" x14ac:dyDescent="0.25">
      <c r="A103" s="127">
        <v>45895</v>
      </c>
      <c r="B103" s="2" t="s">
        <v>2117</v>
      </c>
      <c r="C103" s="110">
        <v>0</v>
      </c>
      <c r="D103" s="2" t="s">
        <v>2118</v>
      </c>
      <c r="E103" s="2" t="s">
        <v>2119</v>
      </c>
      <c r="F103" s="110">
        <v>7.6499999999999999E-2</v>
      </c>
      <c r="G103" s="110">
        <v>0</v>
      </c>
      <c r="H103" s="2" t="s">
        <v>2120</v>
      </c>
      <c r="I103" s="2" t="s">
        <v>185</v>
      </c>
      <c r="J103" s="2" t="s">
        <v>1880</v>
      </c>
      <c r="K103" s="2" t="s">
        <v>538</v>
      </c>
      <c r="L103" s="2" t="s">
        <v>2129</v>
      </c>
      <c r="M103" s="2" t="s">
        <v>2270</v>
      </c>
      <c r="N103" s="2" t="s">
        <v>2122</v>
      </c>
      <c r="O103" s="2" t="s">
        <v>2123</v>
      </c>
      <c r="P103" s="2" t="s">
        <v>2124</v>
      </c>
      <c r="Q103" s="2" t="s">
        <v>152</v>
      </c>
      <c r="R103" s="110">
        <v>1</v>
      </c>
      <c r="S103" s="110">
        <v>510</v>
      </c>
      <c r="T103" s="110">
        <v>-127.5</v>
      </c>
      <c r="U103" s="2" t="s">
        <v>2126</v>
      </c>
      <c r="V103" s="110"/>
      <c r="W103" s="110">
        <v>510</v>
      </c>
      <c r="X103" s="2" t="s">
        <v>2271</v>
      </c>
      <c r="Y103" s="110">
        <v>5000</v>
      </c>
      <c r="Z103" s="110">
        <f t="shared" si="4"/>
        <v>0.10199999999999999</v>
      </c>
      <c r="AA103" cm="1">
        <f t="array" aca="1" ref="AA103" ca="1">IFERROR(INDEX(H_Tables!E:E,MATCH(INDIRECT("I"&amp;ROW()),H_Tables!F:F,0)),"")</f>
        <v>4</v>
      </c>
      <c r="AB103" cm="1">
        <f t="array" aca="1" ref="AB103" ca="1">IFERROR(INDEX(H_Tables!H:H,MATCH(INDIRECT("k"&amp;ROW()),H_Tables!I:I,0)),"")</f>
        <v>2</v>
      </c>
      <c r="AC103" t="str">
        <f t="shared" si="5"/>
        <v>Synergy Productivity,New,Hosted by JHA,0</v>
      </c>
      <c r="AD103">
        <v>100</v>
      </c>
    </row>
    <row r="104" spans="1:30" ht="15" customHeight="1" x14ac:dyDescent="0.25">
      <c r="A104" s="127">
        <v>45895</v>
      </c>
      <c r="B104" s="2" t="s">
        <v>2117</v>
      </c>
      <c r="C104" s="110">
        <v>0</v>
      </c>
      <c r="D104" s="2" t="s">
        <v>2118</v>
      </c>
      <c r="E104" s="2" t="s">
        <v>2119</v>
      </c>
      <c r="F104" s="110">
        <v>0</v>
      </c>
      <c r="G104" s="110">
        <v>0</v>
      </c>
      <c r="H104" s="2" t="s">
        <v>2120</v>
      </c>
      <c r="I104" s="2" t="s">
        <v>185</v>
      </c>
      <c r="J104" s="2" t="s">
        <v>1880</v>
      </c>
      <c r="K104" s="2" t="s">
        <v>538</v>
      </c>
      <c r="L104" s="2" t="s">
        <v>2121</v>
      </c>
      <c r="M104" s="2" t="s">
        <v>2270</v>
      </c>
      <c r="N104" s="2" t="s">
        <v>2122</v>
      </c>
      <c r="O104" s="2" t="s">
        <v>2123</v>
      </c>
      <c r="P104" s="2" t="s">
        <v>2124</v>
      </c>
      <c r="Q104" s="2" t="s">
        <v>2132</v>
      </c>
      <c r="R104" s="110">
        <v>1</v>
      </c>
      <c r="S104" s="110">
        <v>4800</v>
      </c>
      <c r="T104" s="110">
        <v>-4800</v>
      </c>
      <c r="U104" s="2" t="s">
        <v>2126</v>
      </c>
      <c r="V104" s="110"/>
      <c r="W104" s="110">
        <v>4800</v>
      </c>
      <c r="X104" s="2" t="s">
        <v>2272</v>
      </c>
      <c r="Y104" s="110">
        <v>5000</v>
      </c>
      <c r="Z104" s="110">
        <f t="shared" si="4"/>
        <v>0</v>
      </c>
      <c r="AA104" cm="1">
        <f t="array" aca="1" ref="AA104" ca="1">IFERROR(INDEX(H_Tables!E:E,MATCH(INDIRECT("I"&amp;ROW()),H_Tables!F:F,0)),"")</f>
        <v>4</v>
      </c>
      <c r="AB104" cm="1">
        <f t="array" aca="1" ref="AB104" ca="1">IFERROR(INDEX(H_Tables!H:H,MATCH(INDIRECT("k"&amp;ROW()),H_Tables!I:I,0)),"")</f>
        <v>2</v>
      </c>
      <c r="AC104" t="str">
        <f t="shared" si="5"/>
        <v>Synergy Productivity,New,Hosted by JHA,0</v>
      </c>
      <c r="AD104">
        <v>101</v>
      </c>
    </row>
    <row r="105" spans="1:30" ht="15" customHeight="1" x14ac:dyDescent="0.25">
      <c r="A105" s="127">
        <v>45895</v>
      </c>
      <c r="B105" s="2" t="s">
        <v>2117</v>
      </c>
      <c r="C105" s="110">
        <v>0</v>
      </c>
      <c r="D105" s="2" t="s">
        <v>2118</v>
      </c>
      <c r="E105" s="2" t="s">
        <v>2119</v>
      </c>
      <c r="F105" s="110">
        <v>0</v>
      </c>
      <c r="G105" s="110">
        <v>0</v>
      </c>
      <c r="H105" s="2" t="s">
        <v>2120</v>
      </c>
      <c r="I105" s="2" t="s">
        <v>185</v>
      </c>
      <c r="J105" s="2" t="s">
        <v>422</v>
      </c>
      <c r="K105" s="2" t="s">
        <v>538</v>
      </c>
      <c r="L105" s="2" t="s">
        <v>2166</v>
      </c>
      <c r="M105" s="2" t="s">
        <v>1598</v>
      </c>
      <c r="N105" s="2" t="s">
        <v>2122</v>
      </c>
      <c r="O105" s="2" t="s">
        <v>2164</v>
      </c>
      <c r="P105" s="2" t="s">
        <v>2124</v>
      </c>
      <c r="Q105" s="2" t="s">
        <v>2132</v>
      </c>
      <c r="R105" s="110">
        <v>2</v>
      </c>
      <c r="S105" s="110">
        <v>1000</v>
      </c>
      <c r="T105" s="110">
        <v>0</v>
      </c>
      <c r="U105" s="2" t="s">
        <v>2126</v>
      </c>
      <c r="V105" s="110"/>
      <c r="W105" s="110">
        <v>500</v>
      </c>
      <c r="X105" s="2" t="s">
        <v>2273</v>
      </c>
      <c r="Y105" s="110">
        <v>5000</v>
      </c>
      <c r="Z105" s="110">
        <f t="shared" si="4"/>
        <v>0</v>
      </c>
      <c r="AA105" cm="1">
        <f t="array" aca="1" ref="AA105" ca="1">IFERROR(INDEX(H_Tables!E:E,MATCH(INDIRECT("I"&amp;ROW()),H_Tables!F:F,0)),"")</f>
        <v>4</v>
      </c>
      <c r="AB105" cm="1">
        <f t="array" aca="1" ref="AB105" ca="1">IFERROR(INDEX(H_Tables!H:H,MATCH(INDIRECT("k"&amp;ROW()),H_Tables!I:I,0)),"")</f>
        <v>2</v>
      </c>
      <c r="AC105" t="str">
        <f t="shared" si="5"/>
        <v>DSIS Scanner Interface,New,On Premise License,0</v>
      </c>
      <c r="AD105">
        <v>102</v>
      </c>
    </row>
    <row r="106" spans="1:30" ht="15" customHeight="1" x14ac:dyDescent="0.25">
      <c r="A106" s="127">
        <v>45895</v>
      </c>
      <c r="B106" s="2" t="s">
        <v>2117</v>
      </c>
      <c r="C106" s="110">
        <v>0</v>
      </c>
      <c r="D106" s="2" t="s">
        <v>2118</v>
      </c>
      <c r="E106" s="2" t="s">
        <v>2119</v>
      </c>
      <c r="F106" s="110">
        <v>0</v>
      </c>
      <c r="G106" s="110">
        <v>0.08</v>
      </c>
      <c r="H106" s="2" t="s">
        <v>2120</v>
      </c>
      <c r="I106" s="2" t="s">
        <v>185</v>
      </c>
      <c r="J106" s="2" t="s">
        <v>420</v>
      </c>
      <c r="K106" s="2" t="s">
        <v>538</v>
      </c>
      <c r="L106" s="2" t="s">
        <v>2129</v>
      </c>
      <c r="M106" s="2" t="s">
        <v>1572</v>
      </c>
      <c r="N106" s="2" t="s">
        <v>2122</v>
      </c>
      <c r="O106" s="2" t="s">
        <v>2123</v>
      </c>
      <c r="P106" s="2" t="s">
        <v>2150</v>
      </c>
      <c r="Q106" s="2" t="s">
        <v>152</v>
      </c>
      <c r="R106" s="110">
        <v>1</v>
      </c>
      <c r="S106" s="110">
        <v>400</v>
      </c>
      <c r="T106" s="110">
        <v>0</v>
      </c>
      <c r="U106" s="2" t="s">
        <v>2126</v>
      </c>
      <c r="V106" s="110"/>
      <c r="W106" s="110">
        <v>400</v>
      </c>
      <c r="X106" s="2" t="s">
        <v>2274</v>
      </c>
      <c r="Y106" s="110">
        <v>5000</v>
      </c>
      <c r="Z106" s="110">
        <f t="shared" si="4"/>
        <v>0.08</v>
      </c>
      <c r="AA106" cm="1">
        <f t="array" aca="1" ref="AA106" ca="1">IFERROR(INDEX(H_Tables!E:E,MATCH(INDIRECT("I"&amp;ROW()),H_Tables!F:F,0)),"")</f>
        <v>4</v>
      </c>
      <c r="AB106" cm="1">
        <f t="array" aca="1" ref="AB106" ca="1">IFERROR(INDEX(H_Tables!H:H,MATCH(INDIRECT("k"&amp;ROW()),H_Tables!I:I,0)),"")</f>
        <v>2</v>
      </c>
      <c r="AC106" t="str">
        <f t="shared" si="5"/>
        <v>Synergy Automated Document Recognition,New,Hosted by JHA,1</v>
      </c>
      <c r="AD106">
        <v>103</v>
      </c>
    </row>
    <row r="107" spans="1:30" ht="15" customHeight="1" x14ac:dyDescent="0.25">
      <c r="A107" s="127">
        <v>45895</v>
      </c>
      <c r="B107" s="2" t="s">
        <v>2117</v>
      </c>
      <c r="C107" s="110">
        <v>0</v>
      </c>
      <c r="D107" s="2" t="s">
        <v>2118</v>
      </c>
      <c r="E107" s="2" t="s">
        <v>2119</v>
      </c>
      <c r="F107" s="110">
        <v>0</v>
      </c>
      <c r="G107" s="110">
        <v>0</v>
      </c>
      <c r="H107" s="2" t="s">
        <v>2120</v>
      </c>
      <c r="I107" s="2" t="s">
        <v>185</v>
      </c>
      <c r="J107" s="2" t="s">
        <v>420</v>
      </c>
      <c r="K107" s="2" t="s">
        <v>538</v>
      </c>
      <c r="L107" s="2" t="s">
        <v>2121</v>
      </c>
      <c r="M107" s="2" t="s">
        <v>1572</v>
      </c>
      <c r="N107" s="2" t="s">
        <v>2122</v>
      </c>
      <c r="O107" s="2" t="s">
        <v>2123</v>
      </c>
      <c r="P107" s="2" t="s">
        <v>2150</v>
      </c>
      <c r="Q107" s="2" t="s">
        <v>2132</v>
      </c>
      <c r="R107" s="110">
        <v>1</v>
      </c>
      <c r="S107" s="110">
        <v>2800</v>
      </c>
      <c r="T107" s="110">
        <v>-2800</v>
      </c>
      <c r="U107" s="2" t="s">
        <v>2126</v>
      </c>
      <c r="V107" s="110"/>
      <c r="W107" s="110">
        <v>2800</v>
      </c>
      <c r="X107" s="2" t="s">
        <v>2275</v>
      </c>
      <c r="Y107" s="110">
        <v>5000</v>
      </c>
      <c r="Z107" s="110">
        <f t="shared" si="4"/>
        <v>0</v>
      </c>
      <c r="AA107" cm="1">
        <f t="array" aca="1" ref="AA107" ca="1">IFERROR(INDEX(H_Tables!E:E,MATCH(INDIRECT("I"&amp;ROW()),H_Tables!F:F,0)),"")</f>
        <v>4</v>
      </c>
      <c r="AB107" cm="1">
        <f t="array" aca="1" ref="AB107" ca="1">IFERROR(INDEX(H_Tables!H:H,MATCH(INDIRECT("k"&amp;ROW()),H_Tables!I:I,0)),"")</f>
        <v>2</v>
      </c>
      <c r="AC107" t="str">
        <f t="shared" si="5"/>
        <v>Synergy Automated Document Recognition,New,Hosted by JHA,1</v>
      </c>
      <c r="AD107">
        <v>104</v>
      </c>
    </row>
    <row r="108" spans="1:30" ht="15" customHeight="1" x14ac:dyDescent="0.25">
      <c r="A108" s="127">
        <v>45895</v>
      </c>
      <c r="B108" s="2" t="s">
        <v>2117</v>
      </c>
      <c r="C108" s="110">
        <v>0</v>
      </c>
      <c r="D108" s="2" t="s">
        <v>2118</v>
      </c>
      <c r="E108" s="2" t="s">
        <v>2119</v>
      </c>
      <c r="F108" s="110">
        <v>0.184</v>
      </c>
      <c r="G108" s="110">
        <v>0</v>
      </c>
      <c r="H108" s="2" t="s">
        <v>2120</v>
      </c>
      <c r="I108" s="2" t="s">
        <v>185</v>
      </c>
      <c r="J108" s="2" t="s">
        <v>288</v>
      </c>
      <c r="K108" s="2" t="s">
        <v>538</v>
      </c>
      <c r="L108" s="2" t="s">
        <v>2129</v>
      </c>
      <c r="M108" s="2" t="s">
        <v>877</v>
      </c>
      <c r="N108" s="2" t="s">
        <v>2122</v>
      </c>
      <c r="O108" s="2" t="s">
        <v>2123</v>
      </c>
      <c r="P108" s="2" t="s">
        <v>2124</v>
      </c>
      <c r="Q108" s="2" t="s">
        <v>152</v>
      </c>
      <c r="R108" s="110">
        <v>1</v>
      </c>
      <c r="S108" s="110">
        <v>920</v>
      </c>
      <c r="T108" s="110">
        <v>0</v>
      </c>
      <c r="U108" s="2" t="s">
        <v>2126</v>
      </c>
      <c r="V108" s="110"/>
      <c r="W108" s="110">
        <v>920</v>
      </c>
      <c r="X108" s="2" t="s">
        <v>2276</v>
      </c>
      <c r="Y108" s="110">
        <v>5000</v>
      </c>
      <c r="Z108" s="110">
        <f t="shared" si="4"/>
        <v>0.184</v>
      </c>
      <c r="AA108" cm="1">
        <f t="array" aca="1" ref="AA108" ca="1">IFERROR(INDEX(H_Tables!E:E,MATCH(INDIRECT("I"&amp;ROW()),H_Tables!F:F,0)),"")</f>
        <v>4</v>
      </c>
      <c r="AB108" cm="1">
        <f t="array" aca="1" ref="AB108" ca="1">IFERROR(INDEX(H_Tables!H:H,MATCH(INDIRECT("k"&amp;ROW()),H_Tables!I:I,0)),"")</f>
        <v>2</v>
      </c>
      <c r="AC108" t="str">
        <f t="shared" si="5"/>
        <v>Synergy eSign and eSignWeb Bundle,New,Hosted by JHA,0</v>
      </c>
      <c r="AD108">
        <v>105</v>
      </c>
    </row>
    <row r="109" spans="1:30" ht="15" customHeight="1" x14ac:dyDescent="0.25">
      <c r="A109" s="127">
        <v>45895</v>
      </c>
      <c r="B109" s="2" t="s">
        <v>2117</v>
      </c>
      <c r="C109" s="110">
        <v>0</v>
      </c>
      <c r="D109" s="2" t="s">
        <v>2118</v>
      </c>
      <c r="E109" s="2" t="s">
        <v>2119</v>
      </c>
      <c r="F109" s="110">
        <v>0</v>
      </c>
      <c r="G109" s="110">
        <v>0</v>
      </c>
      <c r="H109" s="2" t="s">
        <v>2120</v>
      </c>
      <c r="I109" s="2" t="s">
        <v>185</v>
      </c>
      <c r="J109" s="2" t="s">
        <v>288</v>
      </c>
      <c r="K109" s="2" t="s">
        <v>538</v>
      </c>
      <c r="L109" s="2" t="s">
        <v>2121</v>
      </c>
      <c r="M109" s="2" t="s">
        <v>877</v>
      </c>
      <c r="N109" s="2" t="s">
        <v>2122</v>
      </c>
      <c r="O109" s="2" t="s">
        <v>2123</v>
      </c>
      <c r="P109" s="2" t="s">
        <v>2124</v>
      </c>
      <c r="Q109" s="2" t="s">
        <v>2132</v>
      </c>
      <c r="R109" s="110">
        <v>1</v>
      </c>
      <c r="S109" s="110">
        <v>15750</v>
      </c>
      <c r="T109" s="110">
        <v>0</v>
      </c>
      <c r="U109" s="2" t="s">
        <v>2126</v>
      </c>
      <c r="V109" s="110"/>
      <c r="W109" s="110">
        <v>15750</v>
      </c>
      <c r="X109" s="2" t="s">
        <v>2277</v>
      </c>
      <c r="Y109" s="110">
        <v>5000</v>
      </c>
      <c r="Z109" s="110">
        <f t="shared" si="4"/>
        <v>0</v>
      </c>
      <c r="AA109" cm="1">
        <f t="array" aca="1" ref="AA109" ca="1">IFERROR(INDEX(H_Tables!E:E,MATCH(INDIRECT("I"&amp;ROW()),H_Tables!F:F,0)),"")</f>
        <v>4</v>
      </c>
      <c r="AB109" cm="1">
        <f t="array" aca="1" ref="AB109" ca="1">IFERROR(INDEX(H_Tables!H:H,MATCH(INDIRECT("k"&amp;ROW()),H_Tables!I:I,0)),"")</f>
        <v>2</v>
      </c>
      <c r="AC109" t="str">
        <f t="shared" si="5"/>
        <v>Synergy eSign and eSignWeb Bundle,New,Hosted by JHA,0</v>
      </c>
      <c r="AD109">
        <v>106</v>
      </c>
    </row>
    <row r="110" spans="1:30" ht="15" customHeight="1" x14ac:dyDescent="0.25">
      <c r="A110" s="127">
        <v>45895</v>
      </c>
      <c r="B110" s="2" t="s">
        <v>2117</v>
      </c>
      <c r="C110" s="110">
        <v>0</v>
      </c>
      <c r="D110" s="2" t="s">
        <v>2118</v>
      </c>
      <c r="E110" s="2" t="s">
        <v>2119</v>
      </c>
      <c r="F110" s="110">
        <v>0</v>
      </c>
      <c r="G110" s="110">
        <v>0</v>
      </c>
      <c r="H110" s="2" t="s">
        <v>2120</v>
      </c>
      <c r="I110" s="2" t="s">
        <v>185</v>
      </c>
      <c r="J110" s="2" t="s">
        <v>1495</v>
      </c>
      <c r="K110" s="2" t="s">
        <v>538</v>
      </c>
      <c r="L110" s="2" t="s">
        <v>2121</v>
      </c>
      <c r="M110" s="2" t="s">
        <v>1496</v>
      </c>
      <c r="N110" s="2" t="s">
        <v>2122</v>
      </c>
      <c r="O110" s="2" t="s">
        <v>2123</v>
      </c>
      <c r="P110" s="2" t="s">
        <v>2124</v>
      </c>
      <c r="Q110" s="2" t="s">
        <v>2132</v>
      </c>
      <c r="R110" s="110">
        <v>1</v>
      </c>
      <c r="S110" s="110">
        <v>2600</v>
      </c>
      <c r="T110" s="110">
        <v>0</v>
      </c>
      <c r="U110" s="2" t="s">
        <v>2126</v>
      </c>
      <c r="V110" s="110"/>
      <c r="W110" s="110">
        <v>2600</v>
      </c>
      <c r="X110" s="2" t="s">
        <v>2278</v>
      </c>
      <c r="Y110" s="110">
        <v>5000</v>
      </c>
      <c r="Z110" s="110">
        <f t="shared" si="4"/>
        <v>0</v>
      </c>
      <c r="AA110" cm="1">
        <f t="array" aca="1" ref="AA110" ca="1">IFERROR(INDEX(H_Tables!E:E,MATCH(INDIRECT("I"&amp;ROW()),H_Tables!F:F,0)),"")</f>
        <v>4</v>
      </c>
      <c r="AB110" cm="1">
        <f t="array" aca="1" ref="AB110" ca="1">IFERROR(INDEX(H_Tables!H:H,MATCH(INDIRECT("k"&amp;ROW()),H_Tables!I:I,0)),"")</f>
        <v>2</v>
      </c>
      <c r="AC110" t="str">
        <f t="shared" si="5"/>
        <v>Synergy ECM Administrator Education Pack (Virtual, instructor-led training and eLearning),New,Hosted by JHA,0</v>
      </c>
      <c r="AD110">
        <v>107</v>
      </c>
    </row>
    <row r="111" spans="1:30" ht="15" customHeight="1" x14ac:dyDescent="0.25">
      <c r="A111" s="127">
        <v>45895</v>
      </c>
      <c r="B111" s="2" t="s">
        <v>2117</v>
      </c>
      <c r="C111" s="110">
        <v>0</v>
      </c>
      <c r="D111" s="2" t="s">
        <v>2118</v>
      </c>
      <c r="E111" s="2" t="s">
        <v>2119</v>
      </c>
      <c r="F111" s="110">
        <v>0</v>
      </c>
      <c r="G111" s="110">
        <v>0</v>
      </c>
      <c r="H111" s="2" t="s">
        <v>2120</v>
      </c>
      <c r="I111" s="2" t="s">
        <v>185</v>
      </c>
      <c r="J111" s="2" t="s">
        <v>1499</v>
      </c>
      <c r="K111" s="2" t="s">
        <v>538</v>
      </c>
      <c r="L111" s="2" t="s">
        <v>2121</v>
      </c>
      <c r="M111" s="2" t="s">
        <v>1500</v>
      </c>
      <c r="N111" s="2" t="s">
        <v>2122</v>
      </c>
      <c r="O111" s="2" t="s">
        <v>2123</v>
      </c>
      <c r="P111" s="2" t="s">
        <v>2124</v>
      </c>
      <c r="Q111" s="2" t="s">
        <v>2132</v>
      </c>
      <c r="R111" s="110">
        <v>1</v>
      </c>
      <c r="S111" s="110">
        <v>3250</v>
      </c>
      <c r="T111" s="110">
        <v>0</v>
      </c>
      <c r="U111" s="2" t="s">
        <v>2126</v>
      </c>
      <c r="V111" s="110"/>
      <c r="W111" s="110">
        <v>3250</v>
      </c>
      <c r="X111" s="2" t="s">
        <v>2279</v>
      </c>
      <c r="Y111" s="110">
        <v>5000</v>
      </c>
      <c r="Z111" s="110">
        <f t="shared" si="4"/>
        <v>0</v>
      </c>
      <c r="AA111" cm="1">
        <f t="array" aca="1" ref="AA111" ca="1">IFERROR(INDEX(H_Tables!E:E,MATCH(INDIRECT("I"&amp;ROW()),H_Tables!F:F,0)),"")</f>
        <v>4</v>
      </c>
      <c r="AB111" cm="1">
        <f t="array" aca="1" ref="AB111" ca="1">IFERROR(INDEX(H_Tables!H:H,MATCH(INDIRECT("k"&amp;ROW()),H_Tables!I:I,0)),"")</f>
        <v>2</v>
      </c>
      <c r="AC111" t="str">
        <f t="shared" si="5"/>
        <v>Synergy ECM User/Operator Education Pack (eLearning),New,Hosted by JHA,0</v>
      </c>
      <c r="AD111">
        <v>108</v>
      </c>
    </row>
    <row r="112" spans="1:30" ht="15" customHeight="1" x14ac:dyDescent="0.25">
      <c r="A112" s="127">
        <v>45895</v>
      </c>
      <c r="B112" s="2" t="s">
        <v>2117</v>
      </c>
      <c r="C112" s="110">
        <v>0</v>
      </c>
      <c r="D112" s="2" t="s">
        <v>2118</v>
      </c>
      <c r="E112" s="2" t="s">
        <v>2119</v>
      </c>
      <c r="F112" s="110">
        <v>0</v>
      </c>
      <c r="G112" s="110">
        <v>0</v>
      </c>
      <c r="H112" s="2" t="s">
        <v>2120</v>
      </c>
      <c r="I112" s="2" t="s">
        <v>185</v>
      </c>
      <c r="J112" s="2" t="s">
        <v>1505</v>
      </c>
      <c r="K112" s="2" t="s">
        <v>538</v>
      </c>
      <c r="L112" s="2" t="s">
        <v>2121</v>
      </c>
      <c r="M112" s="2" t="s">
        <v>1506</v>
      </c>
      <c r="N112" s="2" t="s">
        <v>2122</v>
      </c>
      <c r="O112" s="2" t="s">
        <v>2123</v>
      </c>
      <c r="P112" s="2" t="s">
        <v>2124</v>
      </c>
      <c r="Q112" s="2" t="s">
        <v>2132</v>
      </c>
      <c r="R112" s="110">
        <v>1</v>
      </c>
      <c r="S112" s="110">
        <v>1150</v>
      </c>
      <c r="T112" s="110">
        <v>0</v>
      </c>
      <c r="U112" s="2" t="s">
        <v>2126</v>
      </c>
      <c r="V112" s="110"/>
      <c r="W112" s="110">
        <v>1150</v>
      </c>
      <c r="X112" s="2" t="s">
        <v>2280</v>
      </c>
      <c r="Y112" s="110">
        <v>5000</v>
      </c>
      <c r="Z112" s="110">
        <f t="shared" si="4"/>
        <v>0</v>
      </c>
      <c r="AA112" cm="1">
        <f t="array" aca="1" ref="AA112" ca="1">IFERROR(INDEX(H_Tables!E:E,MATCH(INDIRECT("I"&amp;ROW()),H_Tables!F:F,0)),"")</f>
        <v>4</v>
      </c>
      <c r="AB112" cm="1">
        <f t="array" aca="1" ref="AB112" ca="1">IFERROR(INDEX(H_Tables!H:H,MATCH(INDIRECT("k"&amp;ROW()),H_Tables!I:I,0)),"")</f>
        <v>2</v>
      </c>
      <c r="AC112" t="str">
        <f t="shared" si="5"/>
        <v>Synergy Productivity Education Pack (Virtual, instructor-led training and eLearning),New,Hosted by JHA,0</v>
      </c>
      <c r="AD112">
        <v>109</v>
      </c>
    </row>
    <row r="113" spans="1:30" ht="15" customHeight="1" x14ac:dyDescent="0.25">
      <c r="A113" s="127">
        <v>45895</v>
      </c>
      <c r="B113" s="2" t="s">
        <v>2117</v>
      </c>
      <c r="C113" s="110">
        <v>0</v>
      </c>
      <c r="D113" s="2" t="s">
        <v>2118</v>
      </c>
      <c r="E113" s="2" t="s">
        <v>2119</v>
      </c>
      <c r="F113" s="110">
        <v>0</v>
      </c>
      <c r="G113" s="110">
        <v>0</v>
      </c>
      <c r="H113" s="2" t="s">
        <v>2120</v>
      </c>
      <c r="I113" s="2" t="s">
        <v>185</v>
      </c>
      <c r="J113" s="2" t="s">
        <v>1509</v>
      </c>
      <c r="K113" s="2" t="s">
        <v>538</v>
      </c>
      <c r="L113" s="2" t="s">
        <v>2121</v>
      </c>
      <c r="M113" s="2" t="s">
        <v>1510</v>
      </c>
      <c r="N113" s="2" t="s">
        <v>2122</v>
      </c>
      <c r="O113" s="2" t="s">
        <v>2123</v>
      </c>
      <c r="P113" s="2" t="s">
        <v>2150</v>
      </c>
      <c r="Q113" s="2" t="s">
        <v>2132</v>
      </c>
      <c r="R113" s="110">
        <v>1</v>
      </c>
      <c r="S113" s="110">
        <v>450</v>
      </c>
      <c r="T113" s="110">
        <v>0</v>
      </c>
      <c r="U113" s="2" t="s">
        <v>2126</v>
      </c>
      <c r="V113" s="110"/>
      <c r="W113" s="110">
        <v>450</v>
      </c>
      <c r="X113" s="2" t="s">
        <v>2281</v>
      </c>
      <c r="Y113" s="110">
        <v>5000</v>
      </c>
      <c r="Z113" s="110">
        <f t="shared" si="4"/>
        <v>0</v>
      </c>
      <c r="AA113" cm="1">
        <f t="array" aca="1" ref="AA113" ca="1">IFERROR(INDEX(H_Tables!E:E,MATCH(INDIRECT("I"&amp;ROW()),H_Tables!F:F,0)),"")</f>
        <v>4</v>
      </c>
      <c r="AB113" cm="1">
        <f t="array" aca="1" ref="AB113" ca="1">IFERROR(INDEX(H_Tables!H:H,MATCH(INDIRECT("k"&amp;ROW()),H_Tables!I:I,0)),"")</f>
        <v>2</v>
      </c>
      <c r="AC113" t="str">
        <f t="shared" si="5"/>
        <v>Synergy Document Recognition Education (eLearning),New,Hosted by JHA,1</v>
      </c>
      <c r="AD113">
        <v>110</v>
      </c>
    </row>
    <row r="114" spans="1:30" ht="15" customHeight="1" x14ac:dyDescent="0.25">
      <c r="A114" s="127">
        <v>45895</v>
      </c>
      <c r="B114" s="2" t="s">
        <v>2117</v>
      </c>
      <c r="C114" s="110">
        <v>0</v>
      </c>
      <c r="D114" s="2" t="s">
        <v>2118</v>
      </c>
      <c r="E114" s="2" t="s">
        <v>2119</v>
      </c>
      <c r="F114" s="110">
        <v>0</v>
      </c>
      <c r="G114" s="110">
        <v>0</v>
      </c>
      <c r="H114" s="2" t="s">
        <v>2120</v>
      </c>
      <c r="I114" s="2" t="s">
        <v>185</v>
      </c>
      <c r="J114" s="2" t="s">
        <v>1515</v>
      </c>
      <c r="K114" s="2" t="s">
        <v>538</v>
      </c>
      <c r="L114" s="2" t="s">
        <v>2121</v>
      </c>
      <c r="M114" s="2" t="s">
        <v>1516</v>
      </c>
      <c r="N114" s="2" t="s">
        <v>2122</v>
      </c>
      <c r="O114" s="2" t="s">
        <v>2123</v>
      </c>
      <c r="P114" s="2" t="s">
        <v>2124</v>
      </c>
      <c r="Q114" s="2" t="s">
        <v>2132</v>
      </c>
      <c r="R114" s="110">
        <v>1</v>
      </c>
      <c r="S114" s="110">
        <v>1900</v>
      </c>
      <c r="T114" s="110">
        <v>0</v>
      </c>
      <c r="U114" s="2" t="s">
        <v>2126</v>
      </c>
      <c r="V114" s="110"/>
      <c r="W114" s="110">
        <v>1900</v>
      </c>
      <c r="X114" s="2" t="s">
        <v>2282</v>
      </c>
      <c r="Y114" s="110">
        <v>5000</v>
      </c>
      <c r="Z114" s="110">
        <f t="shared" si="4"/>
        <v>0</v>
      </c>
      <c r="AA114" cm="1">
        <f t="array" aca="1" ref="AA114" ca="1">IFERROR(INDEX(H_Tables!E:E,MATCH(INDIRECT("I"&amp;ROW()),H_Tables!F:F,0)),"")</f>
        <v>4</v>
      </c>
      <c r="AB114" cm="1">
        <f t="array" aca="1" ref="AB114" ca="1">IFERROR(INDEX(H_Tables!H:H,MATCH(INDIRECT("k"&amp;ROW()),H_Tables!I:I,0)),"")</f>
        <v>2</v>
      </c>
      <c r="AC114" t="str">
        <f t="shared" si="5"/>
        <v>Synergy eSign &amp; eSignWeb Education Pack (Virtual, instructor-led training and eLearning),New,Hosted by JHA,0</v>
      </c>
      <c r="AD114">
        <v>111</v>
      </c>
    </row>
    <row r="115" spans="1:30" ht="15" customHeight="1" x14ac:dyDescent="0.25">
      <c r="A115" s="127">
        <v>45895</v>
      </c>
      <c r="B115" s="2" t="s">
        <v>2117</v>
      </c>
      <c r="C115" s="110">
        <v>0</v>
      </c>
      <c r="D115" s="2" t="s">
        <v>2118</v>
      </c>
      <c r="E115" s="2" t="s">
        <v>2119</v>
      </c>
      <c r="F115" s="110">
        <v>0</v>
      </c>
      <c r="G115" s="110">
        <v>0</v>
      </c>
      <c r="H115" s="2" t="s">
        <v>2120</v>
      </c>
      <c r="I115" s="2" t="s">
        <v>185</v>
      </c>
      <c r="J115" s="2" t="s">
        <v>1852</v>
      </c>
      <c r="K115" s="2" t="s">
        <v>538</v>
      </c>
      <c r="L115" s="2" t="s">
        <v>2121</v>
      </c>
      <c r="M115" s="2" t="s">
        <v>1853</v>
      </c>
      <c r="N115" s="2" t="s">
        <v>2122</v>
      </c>
      <c r="O115" s="2" t="s">
        <v>2123</v>
      </c>
      <c r="P115" s="2" t="s">
        <v>2124</v>
      </c>
      <c r="Q115" s="2" t="s">
        <v>2132</v>
      </c>
      <c r="R115" s="110">
        <v>1</v>
      </c>
      <c r="S115" s="110">
        <v>5200</v>
      </c>
      <c r="T115" s="110">
        <v>0</v>
      </c>
      <c r="U115" s="2" t="s">
        <v>2126</v>
      </c>
      <c r="V115" s="110"/>
      <c r="W115" s="110">
        <v>5200</v>
      </c>
      <c r="X115" s="2" t="s">
        <v>2283</v>
      </c>
      <c r="Y115" s="110">
        <v>5000</v>
      </c>
      <c r="Z115" s="110">
        <f t="shared" si="4"/>
        <v>0</v>
      </c>
      <c r="AA115" cm="1">
        <f t="array" aca="1" ref="AA115" ca="1">IFERROR(INDEX(H_Tables!E:E,MATCH(INDIRECT("I"&amp;ROW()),H_Tables!F:F,0)),"")</f>
        <v>4</v>
      </c>
      <c r="AB115" cm="1">
        <f t="array" aca="1" ref="AB115" ca="1">IFERROR(INDEX(H_Tables!H:H,MATCH(INDIRECT("k"&amp;ROW()),H_Tables!I:I,0)),"")</f>
        <v>2</v>
      </c>
      <c r="AC115" t="str">
        <f t="shared" si="5"/>
        <v>Synergy Implementation Consulting,New,Hosted by JHA,0</v>
      </c>
      <c r="AD115">
        <v>112</v>
      </c>
    </row>
    <row r="116" spans="1:30" ht="15" customHeight="1" x14ac:dyDescent="0.25">
      <c r="A116" s="127">
        <v>45895</v>
      </c>
      <c r="B116" s="2" t="s">
        <v>2117</v>
      </c>
      <c r="C116" s="110">
        <v>0</v>
      </c>
      <c r="D116" s="2" t="s">
        <v>2118</v>
      </c>
      <c r="E116" s="2" t="s">
        <v>2119</v>
      </c>
      <c r="F116" s="110">
        <v>0.1643</v>
      </c>
      <c r="G116" s="110">
        <v>0</v>
      </c>
      <c r="H116" s="2" t="s">
        <v>2120</v>
      </c>
      <c r="I116" s="2" t="s">
        <v>183</v>
      </c>
      <c r="J116" s="2" t="s">
        <v>403</v>
      </c>
      <c r="K116" s="2" t="s">
        <v>680</v>
      </c>
      <c r="L116" s="2" t="s">
        <v>2129</v>
      </c>
      <c r="M116" s="2" t="s">
        <v>2284</v>
      </c>
      <c r="N116" s="2" t="s">
        <v>2122</v>
      </c>
      <c r="O116" s="2" t="s">
        <v>2123</v>
      </c>
      <c r="P116" s="2" t="s">
        <v>2124</v>
      </c>
      <c r="Q116" s="2" t="s">
        <v>152</v>
      </c>
      <c r="R116" s="110">
        <v>1</v>
      </c>
      <c r="S116" s="110">
        <v>1095</v>
      </c>
      <c r="T116" s="110">
        <v>-273.75</v>
      </c>
      <c r="U116" s="2" t="s">
        <v>2126</v>
      </c>
      <c r="V116" s="110"/>
      <c r="W116" s="110">
        <v>1095</v>
      </c>
      <c r="X116" s="2" t="s">
        <v>2285</v>
      </c>
      <c r="Y116" s="110">
        <v>5000</v>
      </c>
      <c r="Z116" s="110">
        <f t="shared" si="4"/>
        <v>0.219</v>
      </c>
      <c r="AA116" cm="1">
        <f t="array" aca="1" ref="AA116" ca="1">IFERROR(INDEX(H_Tables!E:E,MATCH(INDIRECT("I"&amp;ROW()),H_Tables!F:F,0)),"")</f>
        <v>2</v>
      </c>
      <c r="AB116" cm="1">
        <f t="array" aca="1" ref="AB116" ca="1">IFERROR(INDEX(H_Tables!H:H,MATCH(INDIRECT("k"&amp;ROW()),H_Tables!I:I,0)),"")</f>
        <v>3</v>
      </c>
      <c r="AC116" t="str">
        <f t="shared" si="5"/>
        <v>Synapsys CRM,New,Hosted by JHA,0</v>
      </c>
      <c r="AD116">
        <v>113</v>
      </c>
    </row>
    <row r="117" spans="1:30" ht="15" customHeight="1" x14ac:dyDescent="0.25">
      <c r="A117" s="127">
        <v>45895</v>
      </c>
      <c r="B117" s="2" t="s">
        <v>2117</v>
      </c>
      <c r="C117" s="110">
        <v>0</v>
      </c>
      <c r="D117" s="2" t="s">
        <v>2118</v>
      </c>
      <c r="E117" s="2" t="s">
        <v>2119</v>
      </c>
      <c r="F117" s="110">
        <v>0</v>
      </c>
      <c r="G117" s="110">
        <v>0</v>
      </c>
      <c r="H117" s="2" t="s">
        <v>2120</v>
      </c>
      <c r="I117" s="2" t="s">
        <v>183</v>
      </c>
      <c r="J117" s="2" t="s">
        <v>403</v>
      </c>
      <c r="K117" s="2" t="s">
        <v>680</v>
      </c>
      <c r="L117" s="2" t="s">
        <v>2121</v>
      </c>
      <c r="M117" s="2" t="s">
        <v>2284</v>
      </c>
      <c r="N117" s="2" t="s">
        <v>2122</v>
      </c>
      <c r="O117" s="2" t="s">
        <v>2123</v>
      </c>
      <c r="P117" s="2" t="s">
        <v>2124</v>
      </c>
      <c r="Q117" s="2" t="s">
        <v>2132</v>
      </c>
      <c r="R117" s="110">
        <v>1</v>
      </c>
      <c r="S117" s="110">
        <v>8500</v>
      </c>
      <c r="T117" s="110">
        <v>-8500</v>
      </c>
      <c r="U117" s="2" t="s">
        <v>2126</v>
      </c>
      <c r="V117" s="110"/>
      <c r="W117" s="110">
        <v>8500</v>
      </c>
      <c r="X117" s="2" t="s">
        <v>2286</v>
      </c>
      <c r="Y117" s="110">
        <v>5000</v>
      </c>
      <c r="Z117" s="110">
        <f t="shared" si="4"/>
        <v>0</v>
      </c>
      <c r="AA117" cm="1">
        <f t="array" aca="1" ref="AA117" ca="1">IFERROR(INDEX(H_Tables!E:E,MATCH(INDIRECT("I"&amp;ROW()),H_Tables!F:F,0)),"")</f>
        <v>2</v>
      </c>
      <c r="AB117" cm="1">
        <f t="array" aca="1" ref="AB117" ca="1">IFERROR(INDEX(H_Tables!H:H,MATCH(INDIRECT("k"&amp;ROW()),H_Tables!I:I,0)),"")</f>
        <v>3</v>
      </c>
      <c r="AC117" t="str">
        <f t="shared" si="5"/>
        <v>Synapsys CRM,New,Hosted by JHA,0</v>
      </c>
      <c r="AD117">
        <v>114</v>
      </c>
    </row>
    <row r="118" spans="1:30" ht="15" customHeight="1" x14ac:dyDescent="0.25">
      <c r="A118" s="127">
        <v>45895</v>
      </c>
      <c r="B118" s="2" t="s">
        <v>2117</v>
      </c>
      <c r="C118" s="110">
        <v>0</v>
      </c>
      <c r="D118" s="2" t="s">
        <v>2118</v>
      </c>
      <c r="E118" s="2" t="s">
        <v>2119</v>
      </c>
      <c r="F118" s="110">
        <v>0</v>
      </c>
      <c r="G118" s="110">
        <v>0</v>
      </c>
      <c r="H118" s="2" t="s">
        <v>2120</v>
      </c>
      <c r="I118" s="2" t="s">
        <v>183</v>
      </c>
      <c r="J118" s="2" t="s">
        <v>1530</v>
      </c>
      <c r="K118" s="2" t="s">
        <v>680</v>
      </c>
      <c r="L118" s="2" t="s">
        <v>2168</v>
      </c>
      <c r="M118" s="2" t="s">
        <v>1531</v>
      </c>
      <c r="N118" s="2" t="s">
        <v>2122</v>
      </c>
      <c r="O118" s="2" t="s">
        <v>2123</v>
      </c>
      <c r="P118" s="2" t="s">
        <v>2124</v>
      </c>
      <c r="Q118" s="2" t="s">
        <v>2125</v>
      </c>
      <c r="R118" s="110">
        <v>1</v>
      </c>
      <c r="S118" s="110">
        <v>5000</v>
      </c>
      <c r="T118" s="110">
        <v>0</v>
      </c>
      <c r="U118" s="2" t="s">
        <v>2126</v>
      </c>
      <c r="V118" s="110"/>
      <c r="W118" s="110">
        <v>5000</v>
      </c>
      <c r="X118" s="2" t="s">
        <v>2287</v>
      </c>
      <c r="Y118" s="110">
        <v>5000</v>
      </c>
      <c r="Z118" s="110">
        <f t="shared" si="4"/>
        <v>0</v>
      </c>
      <c r="AA118" cm="1">
        <f t="array" aca="1" ref="AA118" ca="1">IFERROR(INDEX(H_Tables!E:E,MATCH(INDIRECT("I"&amp;ROW()),H_Tables!F:F,0)),"")</f>
        <v>2</v>
      </c>
      <c r="AB118" cm="1">
        <f t="array" aca="1" ref="AB118" ca="1">IFERROR(INDEX(H_Tables!H:H,MATCH(INDIRECT("k"&amp;ROW()),H_Tables!I:I,0)),"")</f>
        <v>3</v>
      </c>
      <c r="AC118" t="str">
        <f t="shared" si="5"/>
        <v>Synapsys CRM Annual Training/Consulting Maintenance (For OutLink/Hosted customers only),New,Hosted by JHA,0</v>
      </c>
      <c r="AD118">
        <v>115</v>
      </c>
    </row>
    <row r="119" spans="1:30" ht="15" customHeight="1" x14ac:dyDescent="0.25">
      <c r="A119" s="127">
        <v>45895</v>
      </c>
      <c r="B119" s="2" t="s">
        <v>2117</v>
      </c>
      <c r="C119" s="110">
        <v>0</v>
      </c>
      <c r="D119" s="2" t="s">
        <v>2118</v>
      </c>
      <c r="E119" s="2" t="s">
        <v>2119</v>
      </c>
      <c r="F119" s="110">
        <v>0.71640000000000004</v>
      </c>
      <c r="G119" s="110">
        <v>0</v>
      </c>
      <c r="H119" s="2" t="s">
        <v>2120</v>
      </c>
      <c r="I119" s="2" t="s">
        <v>187</v>
      </c>
      <c r="J119" s="2" t="s">
        <v>1761</v>
      </c>
      <c r="K119" s="2" t="s">
        <v>2288</v>
      </c>
      <c r="L119" s="2" t="s">
        <v>2129</v>
      </c>
      <c r="M119" s="2" t="s">
        <v>2289</v>
      </c>
      <c r="N119" s="2" t="s">
        <v>2122</v>
      </c>
      <c r="O119" s="2" t="s">
        <v>2123</v>
      </c>
      <c r="P119" s="2" t="s">
        <v>2124</v>
      </c>
      <c r="Q119" s="2" t="s">
        <v>152</v>
      </c>
      <c r="R119" s="110">
        <v>1</v>
      </c>
      <c r="S119" s="110">
        <v>3980</v>
      </c>
      <c r="T119" s="110">
        <v>-398</v>
      </c>
      <c r="U119" s="2" t="s">
        <v>2126</v>
      </c>
      <c r="V119" s="110"/>
      <c r="W119" s="110">
        <v>3980</v>
      </c>
      <c r="X119" s="2" t="s">
        <v>2290</v>
      </c>
      <c r="Y119" s="110">
        <v>5000</v>
      </c>
      <c r="Z119" s="110">
        <f t="shared" si="4"/>
        <v>0.79600000000000004</v>
      </c>
      <c r="AA119" cm="1">
        <f t="array" aca="1" ref="AA119" ca="1">IFERROR(INDEX(H_Tables!E:E,MATCH(INDIRECT("I"&amp;ROW()),H_Tables!F:F,0)),"")</f>
        <v>7</v>
      </c>
      <c r="AB119" t="str" cm="1">
        <f t="array" aca="1" ref="AB119" ca="1">IFERROR(INDEX(H_Tables!H:H,MATCH(INDIRECT("k"&amp;ROW()),H_Tables!I:I,0)),"")</f>
        <v/>
      </c>
      <c r="AC119" t="str">
        <f t="shared" si="5"/>
        <v>Jack Henry Financial Crimes Defender Enterprise,New,Hosted by JHA,0</v>
      </c>
      <c r="AD119">
        <v>116</v>
      </c>
    </row>
    <row r="120" spans="1:30" ht="15" customHeight="1" x14ac:dyDescent="0.25">
      <c r="A120" s="127">
        <v>45895</v>
      </c>
      <c r="B120" s="2" t="s">
        <v>2117</v>
      </c>
      <c r="C120" s="110">
        <v>0</v>
      </c>
      <c r="D120" s="2" t="s">
        <v>2118</v>
      </c>
      <c r="E120" s="2" t="s">
        <v>2119</v>
      </c>
      <c r="F120" s="110">
        <v>0</v>
      </c>
      <c r="G120" s="110">
        <v>0</v>
      </c>
      <c r="H120" s="2" t="s">
        <v>2120</v>
      </c>
      <c r="I120" s="2" t="s">
        <v>187</v>
      </c>
      <c r="J120" s="2" t="s">
        <v>1761</v>
      </c>
      <c r="K120" s="2" t="s">
        <v>2288</v>
      </c>
      <c r="L120" s="2" t="s">
        <v>2121</v>
      </c>
      <c r="M120" s="2" t="s">
        <v>2289</v>
      </c>
      <c r="N120" s="2" t="s">
        <v>2122</v>
      </c>
      <c r="O120" s="2" t="s">
        <v>2123</v>
      </c>
      <c r="P120" s="2" t="s">
        <v>2124</v>
      </c>
      <c r="Q120" s="2" t="s">
        <v>2132</v>
      </c>
      <c r="R120" s="110">
        <v>1</v>
      </c>
      <c r="S120" s="110">
        <v>18890</v>
      </c>
      <c r="T120" s="110">
        <v>-4722.5</v>
      </c>
      <c r="U120" s="2" t="s">
        <v>2126</v>
      </c>
      <c r="V120" s="110"/>
      <c r="W120" s="110">
        <v>18890</v>
      </c>
      <c r="X120" s="2" t="s">
        <v>2291</v>
      </c>
      <c r="Y120" s="110">
        <v>5000</v>
      </c>
      <c r="Z120" s="110">
        <f t="shared" si="4"/>
        <v>0</v>
      </c>
      <c r="AA120" cm="1">
        <f t="array" aca="1" ref="AA120" ca="1">IFERROR(INDEX(H_Tables!E:E,MATCH(INDIRECT("I"&amp;ROW()),H_Tables!F:F,0)),"")</f>
        <v>7</v>
      </c>
      <c r="AB120" t="str" cm="1">
        <f t="array" aca="1" ref="AB120" ca="1">IFERROR(INDEX(H_Tables!H:H,MATCH(INDIRECT("k"&amp;ROW()),H_Tables!I:I,0)),"")</f>
        <v/>
      </c>
      <c r="AC120" t="str">
        <f t="shared" si="5"/>
        <v>Jack Henry Financial Crimes Defender Enterprise,New,Hosted by JHA,0</v>
      </c>
      <c r="AD120">
        <v>117</v>
      </c>
    </row>
    <row r="121" spans="1:30" ht="15" customHeight="1" x14ac:dyDescent="0.25">
      <c r="A121" s="127">
        <v>45895</v>
      </c>
      <c r="B121" s="2" t="s">
        <v>2117</v>
      </c>
      <c r="C121" s="110">
        <v>0</v>
      </c>
      <c r="D121" s="2" t="s">
        <v>2118</v>
      </c>
      <c r="E121" s="2" t="s">
        <v>2119</v>
      </c>
      <c r="F121" s="110">
        <v>0</v>
      </c>
      <c r="G121" s="110">
        <v>0</v>
      </c>
      <c r="H121" s="2" t="s">
        <v>2120</v>
      </c>
      <c r="I121" s="2" t="s">
        <v>187</v>
      </c>
      <c r="J121" s="2" t="s">
        <v>1826</v>
      </c>
      <c r="K121" s="2" t="s">
        <v>2288</v>
      </c>
      <c r="L121" s="2" t="s">
        <v>2129</v>
      </c>
      <c r="M121" s="2" t="s">
        <v>2292</v>
      </c>
      <c r="N121" s="2" t="s">
        <v>2122</v>
      </c>
      <c r="O121" s="2" t="s">
        <v>2123</v>
      </c>
      <c r="P121" s="2" t="s">
        <v>2124</v>
      </c>
      <c r="Q121" s="2" t="s">
        <v>152</v>
      </c>
      <c r="R121" s="110">
        <v>1</v>
      </c>
      <c r="S121" s="110">
        <v>2000</v>
      </c>
      <c r="T121" s="110">
        <v>0</v>
      </c>
      <c r="U121" s="2" t="s">
        <v>2126</v>
      </c>
      <c r="V121" s="110"/>
      <c r="W121" s="110">
        <v>2000</v>
      </c>
      <c r="X121" s="2" t="s">
        <v>2293</v>
      </c>
      <c r="Y121" s="110">
        <v>5000</v>
      </c>
      <c r="Z121" s="110">
        <f t="shared" si="4"/>
        <v>0</v>
      </c>
      <c r="AA121" cm="1">
        <f t="array" aca="1" ref="AA121" ca="1">IFERROR(INDEX(H_Tables!E:E,MATCH(INDIRECT("I"&amp;ROW()),H_Tables!F:F,0)),"")</f>
        <v>7</v>
      </c>
      <c r="AB121" t="str" cm="1">
        <f t="array" aca="1" ref="AB121" ca="1">IFERROR(INDEX(H_Tables!H:H,MATCH(INDIRECT("k"&amp;ROW()),H_Tables!I:I,0)),"")</f>
        <v/>
      </c>
      <c r="AC121" t="str">
        <f t="shared" si="5"/>
        <v>Jack Henry Financial Crimes Defender Real-time Payments Zelle Initial,New,Hosted by JHA,0</v>
      </c>
      <c r="AD121">
        <v>118</v>
      </c>
    </row>
    <row r="122" spans="1:30" ht="15" customHeight="1" x14ac:dyDescent="0.25">
      <c r="A122" s="127">
        <v>45895</v>
      </c>
      <c r="B122" s="2" t="s">
        <v>2117</v>
      </c>
      <c r="C122" s="110">
        <v>0</v>
      </c>
      <c r="D122" s="2" t="s">
        <v>2118</v>
      </c>
      <c r="E122" s="2" t="s">
        <v>2119</v>
      </c>
      <c r="F122" s="110">
        <v>0</v>
      </c>
      <c r="G122" s="110">
        <v>0</v>
      </c>
      <c r="H122" s="2" t="s">
        <v>2120</v>
      </c>
      <c r="I122" s="2" t="s">
        <v>187</v>
      </c>
      <c r="J122" s="2" t="s">
        <v>1826</v>
      </c>
      <c r="K122" s="2" t="s">
        <v>2288</v>
      </c>
      <c r="L122" s="2" t="s">
        <v>2121</v>
      </c>
      <c r="M122" s="2" t="s">
        <v>2292</v>
      </c>
      <c r="N122" s="2" t="s">
        <v>2122</v>
      </c>
      <c r="O122" s="2" t="s">
        <v>2123</v>
      </c>
      <c r="P122" s="2" t="s">
        <v>2124</v>
      </c>
      <c r="Q122" s="2" t="s">
        <v>2132</v>
      </c>
      <c r="R122" s="110">
        <v>1</v>
      </c>
      <c r="S122" s="110">
        <v>6000</v>
      </c>
      <c r="T122" s="110">
        <v>0</v>
      </c>
      <c r="U122" s="2" t="s">
        <v>2126</v>
      </c>
      <c r="V122" s="110"/>
      <c r="W122" s="110">
        <v>6000</v>
      </c>
      <c r="X122" s="2" t="s">
        <v>2294</v>
      </c>
      <c r="Y122" s="110">
        <v>5000</v>
      </c>
      <c r="Z122" s="110">
        <f t="shared" si="4"/>
        <v>0</v>
      </c>
      <c r="AA122" cm="1">
        <f t="array" aca="1" ref="AA122" ca="1">IFERROR(INDEX(H_Tables!E:E,MATCH(INDIRECT("I"&amp;ROW()),H_Tables!F:F,0)),"")</f>
        <v>7</v>
      </c>
      <c r="AB122" t="str" cm="1">
        <f t="array" aca="1" ref="AB122" ca="1">IFERROR(INDEX(H_Tables!H:H,MATCH(INDIRECT("k"&amp;ROW()),H_Tables!I:I,0)),"")</f>
        <v/>
      </c>
      <c r="AC122" t="str">
        <f t="shared" si="5"/>
        <v>Jack Henry Financial Crimes Defender Real-time Payments Zelle Initial,New,Hosted by JHA,0</v>
      </c>
      <c r="AD122">
        <v>119</v>
      </c>
    </row>
    <row r="123" spans="1:30" ht="15" customHeight="1" x14ac:dyDescent="0.25">
      <c r="A123" s="127">
        <v>45895</v>
      </c>
      <c r="B123" s="2" t="s">
        <v>2117</v>
      </c>
      <c r="C123" s="110">
        <v>0</v>
      </c>
      <c r="D123" s="2" t="s">
        <v>2118</v>
      </c>
      <c r="E123" s="2" t="s">
        <v>2119</v>
      </c>
      <c r="F123" s="110">
        <v>0</v>
      </c>
      <c r="G123" s="110">
        <v>0</v>
      </c>
      <c r="H123" s="2" t="s">
        <v>2120</v>
      </c>
      <c r="I123" s="2" t="s">
        <v>187</v>
      </c>
      <c r="J123" s="2" t="s">
        <v>1763</v>
      </c>
      <c r="K123" s="2" t="s">
        <v>2288</v>
      </c>
      <c r="L123" s="2" t="s">
        <v>2121</v>
      </c>
      <c r="M123" s="2" t="s">
        <v>1762</v>
      </c>
      <c r="N123" s="2" t="s">
        <v>2122</v>
      </c>
      <c r="O123" s="2" t="s">
        <v>2123</v>
      </c>
      <c r="P123" s="2" t="s">
        <v>2124</v>
      </c>
      <c r="Q123" s="2" t="s">
        <v>2132</v>
      </c>
      <c r="R123" s="110">
        <v>1</v>
      </c>
      <c r="S123" s="110">
        <v>28500</v>
      </c>
      <c r="T123" s="110">
        <v>0</v>
      </c>
      <c r="U123" s="2" t="s">
        <v>2126</v>
      </c>
      <c r="V123" s="110"/>
      <c r="W123" s="110">
        <v>28500</v>
      </c>
      <c r="X123" s="2" t="s">
        <v>2295</v>
      </c>
      <c r="Y123" s="110">
        <v>5000</v>
      </c>
      <c r="Z123" s="110">
        <f t="shared" si="4"/>
        <v>0</v>
      </c>
      <c r="AA123" cm="1">
        <f t="array" aca="1" ref="AA123" ca="1">IFERROR(INDEX(H_Tables!E:E,MATCH(INDIRECT("I"&amp;ROW()),H_Tables!F:F,0)),"")</f>
        <v>7</v>
      </c>
      <c r="AB123" t="str" cm="1">
        <f t="array" aca="1" ref="AB123" ca="1">IFERROR(INDEX(H_Tables!H:H,MATCH(INDIRECT("k"&amp;ROW()),H_Tables!I:I,0)),"")</f>
        <v/>
      </c>
      <c r="AC123" t="str">
        <f t="shared" si="5"/>
        <v>Jack Henry Financial Crimes Defender Consulting,New,Hosted by JHA,0</v>
      </c>
      <c r="AD123">
        <v>120</v>
      </c>
    </row>
    <row r="124" spans="1:30" ht="15" customHeight="1" x14ac:dyDescent="0.25">
      <c r="A124" s="127">
        <v>45895</v>
      </c>
      <c r="B124" s="2" t="s">
        <v>2117</v>
      </c>
      <c r="C124" s="110">
        <v>0</v>
      </c>
      <c r="D124" s="2" t="s">
        <v>2118</v>
      </c>
      <c r="E124" s="2" t="s">
        <v>2119</v>
      </c>
      <c r="F124" s="110">
        <v>0</v>
      </c>
      <c r="G124" s="110">
        <v>0.24979999999999999</v>
      </c>
      <c r="H124" s="2" t="s">
        <v>2120</v>
      </c>
      <c r="I124" s="2" t="s">
        <v>189</v>
      </c>
      <c r="J124" s="2" t="s">
        <v>1259</v>
      </c>
      <c r="K124" s="2" t="s">
        <v>631</v>
      </c>
      <c r="L124" s="2" t="s">
        <v>2129</v>
      </c>
      <c r="M124" s="2" t="s">
        <v>1260</v>
      </c>
      <c r="N124" s="2" t="s">
        <v>2122</v>
      </c>
      <c r="O124" s="2" t="s">
        <v>2123</v>
      </c>
      <c r="P124" s="2" t="s">
        <v>2150</v>
      </c>
      <c r="Q124" s="2" t="s">
        <v>152</v>
      </c>
      <c r="R124" s="110">
        <v>1</v>
      </c>
      <c r="S124" s="110">
        <v>1665</v>
      </c>
      <c r="T124" s="110">
        <v>-416.25</v>
      </c>
      <c r="U124" s="2" t="s">
        <v>2126</v>
      </c>
      <c r="V124" s="110"/>
      <c r="W124" s="110">
        <v>1665</v>
      </c>
      <c r="X124" s="2" t="s">
        <v>2296</v>
      </c>
      <c r="Y124" s="110">
        <v>5000</v>
      </c>
      <c r="Z124" s="110">
        <f t="shared" si="4"/>
        <v>0.33300000000000002</v>
      </c>
      <c r="AA124" cm="1">
        <f t="array" aca="1" ref="AA124" ca="1">IFERROR(INDEX(H_Tables!E:E,MATCH(INDIRECT("I"&amp;ROW()),H_Tables!F:F,0)),"")</f>
        <v>8</v>
      </c>
      <c r="AB124" cm="1">
        <f t="array" aca="1" ref="AB124" ca="1">IFERROR(INDEX(H_Tables!H:H,MATCH(INDIRECT("k"&amp;ROW()),H_Tables!I:I,0)),"")</f>
        <v>2</v>
      </c>
      <c r="AC124" t="str">
        <f t="shared" si="5"/>
        <v>jhaAnalytics,New,Hosted by JHA,1</v>
      </c>
      <c r="AD124">
        <v>121</v>
      </c>
    </row>
    <row r="125" spans="1:30" ht="15" customHeight="1" x14ac:dyDescent="0.25">
      <c r="A125" s="127">
        <v>45895</v>
      </c>
      <c r="B125" s="2" t="s">
        <v>2117</v>
      </c>
      <c r="C125" s="110">
        <v>0</v>
      </c>
      <c r="D125" s="2" t="s">
        <v>2118</v>
      </c>
      <c r="E125" s="2" t="s">
        <v>2119</v>
      </c>
      <c r="F125" s="110">
        <v>0</v>
      </c>
      <c r="G125" s="110">
        <v>0</v>
      </c>
      <c r="H125" s="2" t="s">
        <v>2120</v>
      </c>
      <c r="I125" s="2" t="s">
        <v>189</v>
      </c>
      <c r="J125" s="2" t="s">
        <v>1259</v>
      </c>
      <c r="K125" s="2" t="s">
        <v>631</v>
      </c>
      <c r="L125" s="2" t="s">
        <v>2121</v>
      </c>
      <c r="M125" s="2" t="s">
        <v>1260</v>
      </c>
      <c r="N125" s="2" t="s">
        <v>2122</v>
      </c>
      <c r="O125" s="2" t="s">
        <v>2123</v>
      </c>
      <c r="P125" s="2" t="s">
        <v>2150</v>
      </c>
      <c r="Q125" s="2" t="s">
        <v>2132</v>
      </c>
      <c r="R125" s="110">
        <v>1</v>
      </c>
      <c r="S125" s="110">
        <v>7500</v>
      </c>
      <c r="T125" s="110">
        <v>-7500</v>
      </c>
      <c r="U125" s="2" t="s">
        <v>2126</v>
      </c>
      <c r="V125" s="110"/>
      <c r="W125" s="110">
        <v>7500</v>
      </c>
      <c r="X125" s="2" t="s">
        <v>2297</v>
      </c>
      <c r="Y125" s="110">
        <v>5000</v>
      </c>
      <c r="Z125" s="110">
        <f t="shared" si="4"/>
        <v>0</v>
      </c>
      <c r="AA125" cm="1">
        <f t="array" aca="1" ref="AA125" ca="1">IFERROR(INDEX(H_Tables!E:E,MATCH(INDIRECT("I"&amp;ROW()),H_Tables!F:F,0)),"")</f>
        <v>8</v>
      </c>
      <c r="AB125" cm="1">
        <f t="array" aca="1" ref="AB125" ca="1">IFERROR(INDEX(H_Tables!H:H,MATCH(INDIRECT("k"&amp;ROW()),H_Tables!I:I,0)),"")</f>
        <v>2</v>
      </c>
      <c r="AC125" t="str">
        <f t="shared" si="5"/>
        <v>jhaAnalytics,New,Hosted by JHA,1</v>
      </c>
      <c r="AD125">
        <v>122</v>
      </c>
    </row>
    <row r="126" spans="1:30" ht="15" customHeight="1" x14ac:dyDescent="0.25">
      <c r="A126" s="127">
        <v>45895</v>
      </c>
      <c r="B126" s="2" t="s">
        <v>2117</v>
      </c>
      <c r="C126" s="110">
        <v>0</v>
      </c>
      <c r="D126" s="2" t="s">
        <v>2118</v>
      </c>
      <c r="E126" s="2" t="s">
        <v>2119</v>
      </c>
      <c r="F126" s="110">
        <v>0</v>
      </c>
      <c r="G126" s="110">
        <v>0</v>
      </c>
      <c r="H126" s="2" t="s">
        <v>2120</v>
      </c>
      <c r="I126" s="2" t="s">
        <v>189</v>
      </c>
      <c r="J126" s="2" t="s">
        <v>231</v>
      </c>
      <c r="K126" s="2" t="s">
        <v>585</v>
      </c>
      <c r="L126" s="2" t="s">
        <v>2129</v>
      </c>
      <c r="M126" s="2" t="s">
        <v>646</v>
      </c>
      <c r="N126" s="2" t="s">
        <v>2122</v>
      </c>
      <c r="O126" s="2" t="s">
        <v>2123</v>
      </c>
      <c r="P126" s="2" t="s">
        <v>2124</v>
      </c>
      <c r="Q126" s="2" t="s">
        <v>152</v>
      </c>
      <c r="R126" s="110">
        <v>1</v>
      </c>
      <c r="S126" s="110">
        <v>665</v>
      </c>
      <c r="T126" s="110">
        <v>0</v>
      </c>
      <c r="U126" s="2" t="s">
        <v>2126</v>
      </c>
      <c r="V126" s="110"/>
      <c r="W126" s="110">
        <v>665</v>
      </c>
      <c r="X126" s="2" t="s">
        <v>2298</v>
      </c>
      <c r="Y126" s="110">
        <v>5000</v>
      </c>
      <c r="Z126" s="110">
        <f t="shared" si="4"/>
        <v>0</v>
      </c>
      <c r="AA126" cm="1">
        <f t="array" aca="1" ref="AA126" ca="1">IFERROR(INDEX(H_Tables!E:E,MATCH(INDIRECT("I"&amp;ROW()),H_Tables!F:F,0)),"")</f>
        <v>8</v>
      </c>
      <c r="AB126" cm="1">
        <f t="array" aca="1" ref="AB126" ca="1">IFERROR(INDEX(H_Tables!H:H,MATCH(INDIRECT("k"&amp;ROW()),H_Tables!I:I,0)),"")</f>
        <v>1</v>
      </c>
      <c r="AC126" t="str">
        <f t="shared" si="5"/>
        <v>Cognos BI Bundles,New,Hosted by JHA,0</v>
      </c>
      <c r="AD126">
        <v>123</v>
      </c>
    </row>
    <row r="127" spans="1:30" ht="15" customHeight="1" x14ac:dyDescent="0.25">
      <c r="A127" s="127">
        <v>45895</v>
      </c>
      <c r="B127" s="2" t="s">
        <v>2117</v>
      </c>
      <c r="C127" s="110">
        <v>0</v>
      </c>
      <c r="D127" s="2" t="s">
        <v>2118</v>
      </c>
      <c r="E127" s="2" t="s">
        <v>2119</v>
      </c>
      <c r="F127" s="110">
        <v>0</v>
      </c>
      <c r="G127" s="110">
        <v>0</v>
      </c>
      <c r="H127" s="2" t="s">
        <v>2120</v>
      </c>
      <c r="I127" s="2" t="s">
        <v>189</v>
      </c>
      <c r="J127" s="2" t="s">
        <v>231</v>
      </c>
      <c r="K127" s="2" t="s">
        <v>585</v>
      </c>
      <c r="L127" s="2" t="s">
        <v>2121</v>
      </c>
      <c r="M127" s="2" t="s">
        <v>646</v>
      </c>
      <c r="N127" s="2" t="s">
        <v>2122</v>
      </c>
      <c r="O127" s="2" t="s">
        <v>2123</v>
      </c>
      <c r="P127" s="2" t="s">
        <v>2124</v>
      </c>
      <c r="Q127" s="2" t="s">
        <v>2132</v>
      </c>
      <c r="R127" s="110">
        <v>1</v>
      </c>
      <c r="S127" s="110">
        <v>5500</v>
      </c>
      <c r="T127" s="110">
        <v>0</v>
      </c>
      <c r="U127" s="2" t="s">
        <v>2126</v>
      </c>
      <c r="V127" s="110"/>
      <c r="W127" s="110">
        <v>5500</v>
      </c>
      <c r="X127" s="2" t="s">
        <v>2299</v>
      </c>
      <c r="Y127" s="110">
        <v>5000</v>
      </c>
      <c r="Z127" s="110">
        <f t="shared" si="4"/>
        <v>0</v>
      </c>
      <c r="AA127" cm="1">
        <f t="array" aca="1" ref="AA127" ca="1">IFERROR(INDEX(H_Tables!E:E,MATCH(INDIRECT("I"&amp;ROW()),H_Tables!F:F,0)),"")</f>
        <v>8</v>
      </c>
      <c r="AB127" cm="1">
        <f t="array" aca="1" ref="AB127" ca="1">IFERROR(INDEX(H_Tables!H:H,MATCH(INDIRECT("k"&amp;ROW()),H_Tables!I:I,0)),"")</f>
        <v>1</v>
      </c>
      <c r="AC127" t="str">
        <f t="shared" si="5"/>
        <v>Cognos BI Bundles,New,Hosted by JHA,0</v>
      </c>
      <c r="AD127">
        <v>124</v>
      </c>
    </row>
    <row r="128" spans="1:30" ht="15" customHeight="1" x14ac:dyDescent="0.25">
      <c r="A128" s="127">
        <v>45895</v>
      </c>
      <c r="B128" s="2" t="s">
        <v>2117</v>
      </c>
      <c r="C128" s="110">
        <v>0</v>
      </c>
      <c r="D128" s="2" t="s">
        <v>2118</v>
      </c>
      <c r="E128" s="2" t="s">
        <v>2119</v>
      </c>
      <c r="F128" s="110">
        <v>1.5800000000000002E-2</v>
      </c>
      <c r="G128" s="110">
        <v>0</v>
      </c>
      <c r="H128" s="2" t="s">
        <v>2120</v>
      </c>
      <c r="I128" s="2" t="s">
        <v>189</v>
      </c>
      <c r="J128" s="2" t="s">
        <v>434</v>
      </c>
      <c r="K128" s="2" t="s">
        <v>585</v>
      </c>
      <c r="L128" s="2" t="s">
        <v>2129</v>
      </c>
      <c r="M128" s="2" t="s">
        <v>2300</v>
      </c>
      <c r="N128" s="2" t="s">
        <v>2122</v>
      </c>
      <c r="O128" s="2" t="s">
        <v>2123</v>
      </c>
      <c r="P128" s="2" t="s">
        <v>2124</v>
      </c>
      <c r="Q128" s="2" t="s">
        <v>152</v>
      </c>
      <c r="R128" s="110">
        <v>1</v>
      </c>
      <c r="S128" s="110">
        <v>105</v>
      </c>
      <c r="T128" s="110">
        <v>-26.25</v>
      </c>
      <c r="U128" s="2" t="s">
        <v>2126</v>
      </c>
      <c r="V128" s="110"/>
      <c r="W128" s="110">
        <v>105</v>
      </c>
      <c r="X128" s="2" t="s">
        <v>2301</v>
      </c>
      <c r="Y128" s="110">
        <v>5000</v>
      </c>
      <c r="Z128" s="110">
        <f t="shared" si="4"/>
        <v>2.1000000000000001E-2</v>
      </c>
      <c r="AA128" cm="1">
        <f t="array" aca="1" ref="AA128" ca="1">IFERROR(INDEX(H_Tables!E:E,MATCH(INDIRECT("I"&amp;ROW()),H_Tables!F:F,0)),"")</f>
        <v>8</v>
      </c>
      <c r="AB128" cm="1">
        <f t="array" aca="1" ref="AB128" ca="1">IFERROR(INDEX(H_Tables!H:H,MATCH(INDIRECT("k"&amp;ROW()),H_Tables!I:I,0)),"")</f>
        <v>1</v>
      </c>
      <c r="AC128" t="str">
        <f t="shared" si="5"/>
        <v>Cognos BI Data Dictionary jhaEnterprise Workflow,New,Hosted by JHA,0</v>
      </c>
      <c r="AD128">
        <v>125</v>
      </c>
    </row>
    <row r="129" spans="1:30" ht="15" customHeight="1" x14ac:dyDescent="0.25">
      <c r="A129" s="127">
        <v>45895</v>
      </c>
      <c r="B129" s="2" t="s">
        <v>2117</v>
      </c>
      <c r="C129" s="110">
        <v>0</v>
      </c>
      <c r="D129" s="2" t="s">
        <v>2118</v>
      </c>
      <c r="E129" s="2" t="s">
        <v>2119</v>
      </c>
      <c r="F129" s="110">
        <v>0</v>
      </c>
      <c r="G129" s="110">
        <v>0</v>
      </c>
      <c r="H129" s="2" t="s">
        <v>2120</v>
      </c>
      <c r="I129" s="2" t="s">
        <v>189</v>
      </c>
      <c r="J129" s="2" t="s">
        <v>434</v>
      </c>
      <c r="K129" s="2" t="s">
        <v>585</v>
      </c>
      <c r="L129" s="2" t="s">
        <v>2121</v>
      </c>
      <c r="M129" s="2" t="s">
        <v>2300</v>
      </c>
      <c r="N129" s="2" t="s">
        <v>2122</v>
      </c>
      <c r="O129" s="2" t="s">
        <v>2123</v>
      </c>
      <c r="P129" s="2" t="s">
        <v>2124</v>
      </c>
      <c r="Q129" s="2" t="s">
        <v>2132</v>
      </c>
      <c r="R129" s="110">
        <v>1</v>
      </c>
      <c r="S129" s="110">
        <v>750</v>
      </c>
      <c r="T129" s="110">
        <v>-750</v>
      </c>
      <c r="U129" s="2" t="s">
        <v>2126</v>
      </c>
      <c r="V129" s="110"/>
      <c r="W129" s="110">
        <v>750</v>
      </c>
      <c r="X129" s="2" t="s">
        <v>2302</v>
      </c>
      <c r="Y129" s="110">
        <v>5000</v>
      </c>
      <c r="Z129" s="110">
        <f t="shared" si="4"/>
        <v>0</v>
      </c>
      <c r="AA129" cm="1">
        <f t="array" aca="1" ref="AA129" ca="1">IFERROR(INDEX(H_Tables!E:E,MATCH(INDIRECT("I"&amp;ROW()),H_Tables!F:F,0)),"")</f>
        <v>8</v>
      </c>
      <c r="AB129" cm="1">
        <f t="array" aca="1" ref="AB129" ca="1">IFERROR(INDEX(H_Tables!H:H,MATCH(INDIRECT("k"&amp;ROW()),H_Tables!I:I,0)),"")</f>
        <v>1</v>
      </c>
      <c r="AC129" t="str">
        <f t="shared" si="5"/>
        <v>Cognos BI Data Dictionary jhaEnterprise Workflow,New,Hosted by JHA,0</v>
      </c>
      <c r="AD129">
        <v>126</v>
      </c>
    </row>
    <row r="130" spans="1:30" ht="15" customHeight="1" x14ac:dyDescent="0.25">
      <c r="A130" s="127">
        <v>45895</v>
      </c>
      <c r="B130" s="2" t="s">
        <v>2117</v>
      </c>
      <c r="C130" s="110">
        <v>0</v>
      </c>
      <c r="D130" s="2" t="s">
        <v>2118</v>
      </c>
      <c r="E130" s="2" t="s">
        <v>2119</v>
      </c>
      <c r="F130" s="110">
        <v>1.5800000000000002E-2</v>
      </c>
      <c r="G130" s="110">
        <v>0</v>
      </c>
      <c r="H130" s="2" t="s">
        <v>2120</v>
      </c>
      <c r="I130" s="2" t="s">
        <v>189</v>
      </c>
      <c r="J130" s="2" t="s">
        <v>434</v>
      </c>
      <c r="K130" s="2" t="s">
        <v>585</v>
      </c>
      <c r="L130" s="2" t="s">
        <v>2129</v>
      </c>
      <c r="M130" s="2" t="s">
        <v>2303</v>
      </c>
      <c r="N130" s="2" t="s">
        <v>2122</v>
      </c>
      <c r="O130" s="2" t="s">
        <v>2123</v>
      </c>
      <c r="P130" s="2" t="s">
        <v>2124</v>
      </c>
      <c r="Q130" s="2" t="s">
        <v>152</v>
      </c>
      <c r="R130" s="110">
        <v>1</v>
      </c>
      <c r="S130" s="110">
        <v>105</v>
      </c>
      <c r="T130" s="110">
        <v>-26.25</v>
      </c>
      <c r="U130" s="2" t="s">
        <v>2126</v>
      </c>
      <c r="V130" s="110"/>
      <c r="W130" s="110">
        <v>105</v>
      </c>
      <c r="X130" s="2" t="s">
        <v>2301</v>
      </c>
      <c r="Y130" s="110">
        <v>5000</v>
      </c>
      <c r="Z130" s="110">
        <f t="shared" ref="Z130:Z193" si="6">ROUND(IF((F130+G130)=0,0,S130/Y130),4)</f>
        <v>2.1000000000000001E-2</v>
      </c>
      <c r="AA130" cm="1">
        <f t="array" aca="1" ref="AA130" ca="1">IFERROR(INDEX(H_Tables!E:E,MATCH(INDIRECT("I"&amp;ROW()),H_Tables!F:F,0)),"")</f>
        <v>8</v>
      </c>
      <c r="AB130" cm="1">
        <f t="array" aca="1" ref="AB130" ca="1">IFERROR(INDEX(H_Tables!H:H,MATCH(INDIRECT("k"&amp;ROW()),H_Tables!I:I,0)),"")</f>
        <v>1</v>
      </c>
      <c r="AC130" t="str">
        <f t="shared" si="5"/>
        <v>Cognos BI Data Dictionary Synapsys,New,Hosted by JHA,0</v>
      </c>
      <c r="AD130">
        <v>127</v>
      </c>
    </row>
    <row r="131" spans="1:30" ht="15" customHeight="1" x14ac:dyDescent="0.25">
      <c r="A131" s="127">
        <v>45895</v>
      </c>
      <c r="B131" s="2" t="s">
        <v>2117</v>
      </c>
      <c r="C131" s="110">
        <v>0</v>
      </c>
      <c r="D131" s="2" t="s">
        <v>2118</v>
      </c>
      <c r="E131" s="2" t="s">
        <v>2119</v>
      </c>
      <c r="F131" s="110">
        <v>0</v>
      </c>
      <c r="G131" s="110">
        <v>0</v>
      </c>
      <c r="H131" s="2" t="s">
        <v>2120</v>
      </c>
      <c r="I131" s="2" t="s">
        <v>189</v>
      </c>
      <c r="J131" s="2" t="s">
        <v>434</v>
      </c>
      <c r="K131" s="2" t="s">
        <v>585</v>
      </c>
      <c r="L131" s="2" t="s">
        <v>2121</v>
      </c>
      <c r="M131" s="2" t="s">
        <v>2303</v>
      </c>
      <c r="N131" s="2" t="s">
        <v>2122</v>
      </c>
      <c r="O131" s="2" t="s">
        <v>2123</v>
      </c>
      <c r="P131" s="2" t="s">
        <v>2124</v>
      </c>
      <c r="Q131" s="2" t="s">
        <v>2132</v>
      </c>
      <c r="R131" s="110">
        <v>1</v>
      </c>
      <c r="S131" s="110">
        <v>0</v>
      </c>
      <c r="T131" s="110">
        <v>0</v>
      </c>
      <c r="U131" s="2" t="s">
        <v>2126</v>
      </c>
      <c r="V131" s="110"/>
      <c r="W131" s="110">
        <v>0</v>
      </c>
      <c r="X131" s="2" t="s">
        <v>2302</v>
      </c>
      <c r="Y131" s="110">
        <v>5000</v>
      </c>
      <c r="Z131" s="110">
        <f t="shared" si="6"/>
        <v>0</v>
      </c>
      <c r="AA131" cm="1">
        <f t="array" aca="1" ref="AA131" ca="1">IFERROR(INDEX(H_Tables!E:E,MATCH(INDIRECT("I"&amp;ROW()),H_Tables!F:F,0)),"")</f>
        <v>8</v>
      </c>
      <c r="AB131" cm="1">
        <f t="array" aca="1" ref="AB131" ca="1">IFERROR(INDEX(H_Tables!H:H,MATCH(INDIRECT("k"&amp;ROW()),H_Tables!I:I,0)),"")</f>
        <v>1</v>
      </c>
      <c r="AC131" t="str">
        <f t="shared" si="5"/>
        <v>Cognos BI Data Dictionary Synapsys,New,Hosted by JHA,0</v>
      </c>
      <c r="AD131">
        <v>128</v>
      </c>
    </row>
    <row r="132" spans="1:30" ht="15" customHeight="1" x14ac:dyDescent="0.25">
      <c r="A132" s="127">
        <v>45895</v>
      </c>
      <c r="B132" s="2" t="s">
        <v>2117</v>
      </c>
      <c r="C132" s="110">
        <v>0</v>
      </c>
      <c r="D132" s="2" t="s">
        <v>2118</v>
      </c>
      <c r="E132" s="2" t="s">
        <v>2119</v>
      </c>
      <c r="F132" s="110">
        <v>1.5800000000000002E-2</v>
      </c>
      <c r="G132" s="110">
        <v>0</v>
      </c>
      <c r="H132" s="2" t="s">
        <v>2120</v>
      </c>
      <c r="I132" s="2" t="s">
        <v>189</v>
      </c>
      <c r="J132" s="2" t="s">
        <v>434</v>
      </c>
      <c r="K132" s="2" t="s">
        <v>585</v>
      </c>
      <c r="L132" s="2" t="s">
        <v>2129</v>
      </c>
      <c r="M132" s="2" t="s">
        <v>2304</v>
      </c>
      <c r="N132" s="2" t="s">
        <v>2122</v>
      </c>
      <c r="O132" s="2" t="s">
        <v>2123</v>
      </c>
      <c r="P132" s="2" t="s">
        <v>2124</v>
      </c>
      <c r="Q132" s="2" t="s">
        <v>152</v>
      </c>
      <c r="R132" s="110">
        <v>1</v>
      </c>
      <c r="S132" s="110">
        <v>105</v>
      </c>
      <c r="T132" s="110">
        <v>-26.25</v>
      </c>
      <c r="U132" s="2" t="s">
        <v>2126</v>
      </c>
      <c r="V132" s="110"/>
      <c r="W132" s="110">
        <v>105</v>
      </c>
      <c r="X132" s="2" t="s">
        <v>2301</v>
      </c>
      <c r="Y132" s="110">
        <v>5000</v>
      </c>
      <c r="Z132" s="110">
        <f t="shared" si="6"/>
        <v>2.1000000000000001E-2</v>
      </c>
      <c r="AA132" cm="1">
        <f t="array" aca="1" ref="AA132" ca="1">IFERROR(INDEX(H_Tables!E:E,MATCH(INDIRECT("I"&amp;ROW()),H_Tables!F:F,0)),"")</f>
        <v>8</v>
      </c>
      <c r="AB132" cm="1">
        <f t="array" aca="1" ref="AB132" ca="1">IFERROR(INDEX(H_Tables!H:H,MATCH(INDIRECT("k"&amp;ROW()),H_Tables!I:I,0)),"")</f>
        <v>1</v>
      </c>
      <c r="AC132" t="str">
        <f t="shared" ref="AC132:AC195" si="7">_xlfn.TEXTJOIN(",",TRUE,M132:P132)</f>
        <v>Cognos BI Data Dictionary Synergy,New,Hosted by JHA,0</v>
      </c>
      <c r="AD132">
        <v>129</v>
      </c>
    </row>
    <row r="133" spans="1:30" ht="15" customHeight="1" x14ac:dyDescent="0.25">
      <c r="A133" s="127">
        <v>45895</v>
      </c>
      <c r="B133" s="2" t="s">
        <v>2117</v>
      </c>
      <c r="C133" s="110">
        <v>0</v>
      </c>
      <c r="D133" s="2" t="s">
        <v>2118</v>
      </c>
      <c r="E133" s="2" t="s">
        <v>2119</v>
      </c>
      <c r="F133" s="110">
        <v>0</v>
      </c>
      <c r="G133" s="110">
        <v>0</v>
      </c>
      <c r="H133" s="2" t="s">
        <v>2120</v>
      </c>
      <c r="I133" s="2" t="s">
        <v>189</v>
      </c>
      <c r="J133" s="2" t="s">
        <v>434</v>
      </c>
      <c r="K133" s="2" t="s">
        <v>585</v>
      </c>
      <c r="L133" s="2" t="s">
        <v>2121</v>
      </c>
      <c r="M133" s="2" t="s">
        <v>2304</v>
      </c>
      <c r="N133" s="2" t="s">
        <v>2122</v>
      </c>
      <c r="O133" s="2" t="s">
        <v>2123</v>
      </c>
      <c r="P133" s="2" t="s">
        <v>2124</v>
      </c>
      <c r="Q133" s="2" t="s">
        <v>2132</v>
      </c>
      <c r="R133" s="110">
        <v>1</v>
      </c>
      <c r="S133" s="110">
        <v>1500</v>
      </c>
      <c r="T133" s="110">
        <v>-1500</v>
      </c>
      <c r="U133" s="2" t="s">
        <v>2126</v>
      </c>
      <c r="V133" s="110"/>
      <c r="W133" s="110">
        <v>1500</v>
      </c>
      <c r="X133" s="2" t="s">
        <v>2302</v>
      </c>
      <c r="Y133" s="110">
        <v>5000</v>
      </c>
      <c r="Z133" s="110">
        <f t="shared" si="6"/>
        <v>0</v>
      </c>
      <c r="AA133" cm="1">
        <f t="array" aca="1" ref="AA133" ca="1">IFERROR(INDEX(H_Tables!E:E,MATCH(INDIRECT("I"&amp;ROW()),H_Tables!F:F,0)),"")</f>
        <v>8</v>
      </c>
      <c r="AB133" cm="1">
        <f t="array" aca="1" ref="AB133" ca="1">IFERROR(INDEX(H_Tables!H:H,MATCH(INDIRECT("k"&amp;ROW()),H_Tables!I:I,0)),"")</f>
        <v>1</v>
      </c>
      <c r="AC133" t="str">
        <f t="shared" si="7"/>
        <v>Cognos BI Data Dictionary Synergy,New,Hosted by JHA,0</v>
      </c>
      <c r="AD133">
        <v>130</v>
      </c>
    </row>
    <row r="134" spans="1:30" ht="15" customHeight="1" x14ac:dyDescent="0.25">
      <c r="A134" s="127">
        <v>45895</v>
      </c>
      <c r="B134" s="2" t="s">
        <v>2117</v>
      </c>
      <c r="C134" s="110">
        <v>0</v>
      </c>
      <c r="D134" s="2" t="s">
        <v>2118</v>
      </c>
      <c r="E134" s="2" t="s">
        <v>2119</v>
      </c>
      <c r="F134" s="110">
        <v>1.5800000000000002E-2</v>
      </c>
      <c r="G134" s="110">
        <v>0</v>
      </c>
      <c r="H134" s="2" t="s">
        <v>2120</v>
      </c>
      <c r="I134" s="2" t="s">
        <v>189</v>
      </c>
      <c r="J134" s="2" t="s">
        <v>434</v>
      </c>
      <c r="K134" s="2" t="s">
        <v>585</v>
      </c>
      <c r="L134" s="2" t="s">
        <v>2129</v>
      </c>
      <c r="M134" s="2" t="s">
        <v>2305</v>
      </c>
      <c r="N134" s="2" t="s">
        <v>2122</v>
      </c>
      <c r="O134" s="2" t="s">
        <v>2123</v>
      </c>
      <c r="P134" s="2" t="s">
        <v>2124</v>
      </c>
      <c r="Q134" s="2" t="s">
        <v>152</v>
      </c>
      <c r="R134" s="110">
        <v>1</v>
      </c>
      <c r="S134" s="110">
        <v>105</v>
      </c>
      <c r="T134" s="110">
        <v>-26.25</v>
      </c>
      <c r="U134" s="2" t="s">
        <v>2126</v>
      </c>
      <c r="V134" s="110"/>
      <c r="W134" s="110">
        <v>105</v>
      </c>
      <c r="X134" s="2" t="s">
        <v>2301</v>
      </c>
      <c r="Y134" s="110">
        <v>5000</v>
      </c>
      <c r="Z134" s="110">
        <f t="shared" si="6"/>
        <v>2.1000000000000001E-2</v>
      </c>
      <c r="AA134" cm="1">
        <f t="array" aca="1" ref="AA134" ca="1">IFERROR(INDEX(H_Tables!E:E,MATCH(INDIRECT("I"&amp;ROW()),H_Tables!F:F,0)),"")</f>
        <v>8</v>
      </c>
      <c r="AB134" cm="1">
        <f t="array" aca="1" ref="AB134" ca="1">IFERROR(INDEX(H_Tables!H:H,MATCH(INDIRECT("k"&amp;ROW()),H_Tables!I:I,0)),"")</f>
        <v>1</v>
      </c>
      <c r="AC134" t="str">
        <f t="shared" si="7"/>
        <v>Cognos BI Data Dictionary Month-End(Silverlake),New,Hosted by JHA,0</v>
      </c>
      <c r="AD134">
        <v>131</v>
      </c>
    </row>
    <row r="135" spans="1:30" ht="15" customHeight="1" x14ac:dyDescent="0.25">
      <c r="A135" s="127">
        <v>45895</v>
      </c>
      <c r="B135" s="2" t="s">
        <v>2117</v>
      </c>
      <c r="C135" s="110">
        <v>0</v>
      </c>
      <c r="D135" s="2" t="s">
        <v>2118</v>
      </c>
      <c r="E135" s="2" t="s">
        <v>2119</v>
      </c>
      <c r="F135" s="110">
        <v>0</v>
      </c>
      <c r="G135" s="110">
        <v>0</v>
      </c>
      <c r="H135" s="2" t="s">
        <v>2120</v>
      </c>
      <c r="I135" s="2" t="s">
        <v>189</v>
      </c>
      <c r="J135" s="2" t="s">
        <v>434</v>
      </c>
      <c r="K135" s="2" t="s">
        <v>585</v>
      </c>
      <c r="L135" s="2" t="s">
        <v>2121</v>
      </c>
      <c r="M135" s="2" t="s">
        <v>2305</v>
      </c>
      <c r="N135" s="2" t="s">
        <v>2122</v>
      </c>
      <c r="O135" s="2" t="s">
        <v>2123</v>
      </c>
      <c r="P135" s="2" t="s">
        <v>2124</v>
      </c>
      <c r="Q135" s="2" t="s">
        <v>2132</v>
      </c>
      <c r="R135" s="110">
        <v>1</v>
      </c>
      <c r="S135" s="110">
        <v>0</v>
      </c>
      <c r="T135" s="110">
        <v>0</v>
      </c>
      <c r="U135" s="2" t="s">
        <v>2126</v>
      </c>
      <c r="V135" s="110"/>
      <c r="W135" s="110">
        <v>0</v>
      </c>
      <c r="X135" s="2" t="s">
        <v>2302</v>
      </c>
      <c r="Y135" s="110">
        <v>5000</v>
      </c>
      <c r="Z135" s="110">
        <f t="shared" si="6"/>
        <v>0</v>
      </c>
      <c r="AA135" cm="1">
        <f t="array" aca="1" ref="AA135" ca="1">IFERROR(INDEX(H_Tables!E:E,MATCH(INDIRECT("I"&amp;ROW()),H_Tables!F:F,0)),"")</f>
        <v>8</v>
      </c>
      <c r="AB135" cm="1">
        <f t="array" aca="1" ref="AB135" ca="1">IFERROR(INDEX(H_Tables!H:H,MATCH(INDIRECT("k"&amp;ROW()),H_Tables!I:I,0)),"")</f>
        <v>1</v>
      </c>
      <c r="AC135" t="str">
        <f t="shared" si="7"/>
        <v>Cognos BI Data Dictionary Month-End(Silverlake),New,Hosted by JHA,0</v>
      </c>
      <c r="AD135">
        <v>132</v>
      </c>
    </row>
    <row r="136" spans="1:30" ht="15" customHeight="1" x14ac:dyDescent="0.25">
      <c r="A136" s="127">
        <v>45895</v>
      </c>
      <c r="B136" s="2" t="s">
        <v>2117</v>
      </c>
      <c r="C136" s="110">
        <v>0</v>
      </c>
      <c r="D136" s="2" t="s">
        <v>2118</v>
      </c>
      <c r="E136" s="2" t="s">
        <v>2119</v>
      </c>
      <c r="F136" s="110">
        <v>0</v>
      </c>
      <c r="G136" s="110">
        <v>0</v>
      </c>
      <c r="H136" s="2" t="s">
        <v>2120</v>
      </c>
      <c r="I136" s="2" t="s">
        <v>187</v>
      </c>
      <c r="J136" s="2" t="s">
        <v>293</v>
      </c>
      <c r="K136" s="2" t="s">
        <v>640</v>
      </c>
      <c r="L136" s="2" t="s">
        <v>2121</v>
      </c>
      <c r="M136" s="2" t="s">
        <v>640</v>
      </c>
      <c r="N136" s="2" t="s">
        <v>2122</v>
      </c>
      <c r="O136" s="2" t="s">
        <v>2306</v>
      </c>
      <c r="P136" s="2" t="s">
        <v>2124</v>
      </c>
      <c r="Q136" s="2" t="s">
        <v>2132</v>
      </c>
      <c r="R136" s="110">
        <v>1</v>
      </c>
      <c r="S136" s="110">
        <v>10000</v>
      </c>
      <c r="T136" s="110">
        <v>-10000</v>
      </c>
      <c r="U136" s="2" t="s">
        <v>2126</v>
      </c>
      <c r="V136" s="110"/>
      <c r="W136" s="110">
        <v>10000</v>
      </c>
      <c r="X136" s="2" t="s">
        <v>2307</v>
      </c>
      <c r="Y136" s="110">
        <v>5000</v>
      </c>
      <c r="Z136" s="110">
        <f t="shared" si="6"/>
        <v>0</v>
      </c>
      <c r="AA136" cm="1">
        <f t="array" aca="1" ref="AA136" ca="1">IFERROR(INDEX(H_Tables!E:E,MATCH(INDIRECT("I"&amp;ROW()),H_Tables!F:F,0)),"")</f>
        <v>7</v>
      </c>
      <c r="AB136" cm="1">
        <f t="array" aca="1" ref="AB136" ca="1">IFERROR(INDEX(H_Tables!H:H,MATCH(INDIRECT("k"&amp;ROW()),H_Tables!I:I,0)),"")</f>
        <v>2</v>
      </c>
      <c r="AC136" t="str">
        <f t="shared" si="7"/>
        <v>jhaEnterprise Workflow,New,On Premise Software Usage,0</v>
      </c>
      <c r="AD136">
        <v>133</v>
      </c>
    </row>
    <row r="137" spans="1:30" ht="15" customHeight="1" x14ac:dyDescent="0.25">
      <c r="A137" s="127">
        <v>45895</v>
      </c>
      <c r="B137" s="2" t="s">
        <v>2117</v>
      </c>
      <c r="C137" s="110">
        <v>0</v>
      </c>
      <c r="D137" s="2" t="s">
        <v>2118</v>
      </c>
      <c r="E137" s="2" t="s">
        <v>2119</v>
      </c>
      <c r="F137" s="110">
        <v>0.1605</v>
      </c>
      <c r="G137" s="110">
        <v>0</v>
      </c>
      <c r="H137" s="2" t="s">
        <v>2120</v>
      </c>
      <c r="I137" s="2" t="s">
        <v>187</v>
      </c>
      <c r="J137" s="2" t="s">
        <v>293</v>
      </c>
      <c r="K137" s="2" t="s">
        <v>640</v>
      </c>
      <c r="L137" s="2" t="s">
        <v>2308</v>
      </c>
      <c r="M137" s="2" t="s">
        <v>640</v>
      </c>
      <c r="N137" s="2" t="s">
        <v>2122</v>
      </c>
      <c r="O137" s="2" t="s">
        <v>2306</v>
      </c>
      <c r="P137" s="2" t="s">
        <v>2124</v>
      </c>
      <c r="Q137" s="2" t="s">
        <v>152</v>
      </c>
      <c r="R137" s="110">
        <v>1</v>
      </c>
      <c r="S137" s="110">
        <v>1070</v>
      </c>
      <c r="T137" s="110">
        <v>-267.5</v>
      </c>
      <c r="U137" s="2" t="s">
        <v>2126</v>
      </c>
      <c r="V137" s="110"/>
      <c r="W137" s="110">
        <v>1070</v>
      </c>
      <c r="X137" s="2" t="s">
        <v>2309</v>
      </c>
      <c r="Y137" s="110">
        <v>5000</v>
      </c>
      <c r="Z137" s="110">
        <f t="shared" si="6"/>
        <v>0.214</v>
      </c>
      <c r="AA137" cm="1">
        <f t="array" aca="1" ref="AA137" ca="1">IFERROR(INDEX(H_Tables!E:E,MATCH(INDIRECT("I"&amp;ROW()),H_Tables!F:F,0)),"")</f>
        <v>7</v>
      </c>
      <c r="AB137" cm="1">
        <f t="array" aca="1" ref="AB137" ca="1">IFERROR(INDEX(H_Tables!H:H,MATCH(INDIRECT("k"&amp;ROW()),H_Tables!I:I,0)),"")</f>
        <v>2</v>
      </c>
      <c r="AC137" t="str">
        <f t="shared" si="7"/>
        <v>jhaEnterprise Workflow,New,On Premise Software Usage,0</v>
      </c>
      <c r="AD137">
        <v>134</v>
      </c>
    </row>
    <row r="138" spans="1:30" ht="15" customHeight="1" x14ac:dyDescent="0.25">
      <c r="A138" s="127">
        <v>45895</v>
      </c>
      <c r="B138" s="2" t="s">
        <v>2117</v>
      </c>
      <c r="C138" s="110">
        <v>0</v>
      </c>
      <c r="D138" s="2" t="s">
        <v>2118</v>
      </c>
      <c r="E138" s="2" t="s">
        <v>2119</v>
      </c>
      <c r="F138" s="110">
        <v>0</v>
      </c>
      <c r="G138" s="110">
        <v>0</v>
      </c>
      <c r="H138" s="2" t="s">
        <v>2120</v>
      </c>
      <c r="I138" s="2" t="s">
        <v>187</v>
      </c>
      <c r="J138" s="2" t="s">
        <v>293</v>
      </c>
      <c r="K138" s="2" t="s">
        <v>640</v>
      </c>
      <c r="L138" s="2" t="s">
        <v>2121</v>
      </c>
      <c r="M138" s="2" t="s">
        <v>2310</v>
      </c>
      <c r="N138" s="2" t="s">
        <v>2122</v>
      </c>
      <c r="O138" s="2" t="s">
        <v>2306</v>
      </c>
      <c r="P138" s="2" t="s">
        <v>2124</v>
      </c>
      <c r="Q138" s="2" t="s">
        <v>2132</v>
      </c>
      <c r="R138" s="110">
        <v>1</v>
      </c>
      <c r="S138" s="110">
        <v>10000</v>
      </c>
      <c r="T138" s="110">
        <v>-10000</v>
      </c>
      <c r="U138" s="2" t="s">
        <v>2126</v>
      </c>
      <c r="V138" s="110"/>
      <c r="W138" s="110">
        <v>10000</v>
      </c>
      <c r="X138" s="2" t="s">
        <v>2307</v>
      </c>
      <c r="Y138" s="110">
        <v>5000</v>
      </c>
      <c r="Z138" s="110">
        <f t="shared" si="6"/>
        <v>0</v>
      </c>
      <c r="AA138" cm="1">
        <f t="array" aca="1" ref="AA138" ca="1">IFERROR(INDEX(H_Tables!E:E,MATCH(INDIRECT("I"&amp;ROW()),H_Tables!F:F,0)),"")</f>
        <v>7</v>
      </c>
      <c r="AB138" cm="1">
        <f t="array" aca="1" ref="AB138" ca="1">IFERROR(INDEX(H_Tables!H:H,MATCH(INDIRECT("k"&amp;ROW()),H_Tables!I:I,0)),"")</f>
        <v>2</v>
      </c>
      <c r="AC138" t="str">
        <f t="shared" si="7"/>
        <v>jhaEnterprise Workflow Synergy,New,On Premise Software Usage,0</v>
      </c>
      <c r="AD138">
        <v>135</v>
      </c>
    </row>
    <row r="139" spans="1:30" ht="15" customHeight="1" x14ac:dyDescent="0.25">
      <c r="A139" s="127">
        <v>45895</v>
      </c>
      <c r="B139" s="2" t="s">
        <v>2117</v>
      </c>
      <c r="C139" s="110">
        <v>0</v>
      </c>
      <c r="D139" s="2" t="s">
        <v>2118</v>
      </c>
      <c r="E139" s="2" t="s">
        <v>2119</v>
      </c>
      <c r="F139" s="110">
        <v>0.1605</v>
      </c>
      <c r="G139" s="110">
        <v>0</v>
      </c>
      <c r="H139" s="2" t="s">
        <v>2120</v>
      </c>
      <c r="I139" s="2" t="s">
        <v>187</v>
      </c>
      <c r="J139" s="2" t="s">
        <v>293</v>
      </c>
      <c r="K139" s="2" t="s">
        <v>640</v>
      </c>
      <c r="L139" s="2" t="s">
        <v>2308</v>
      </c>
      <c r="M139" s="2" t="s">
        <v>2310</v>
      </c>
      <c r="N139" s="2" t="s">
        <v>2122</v>
      </c>
      <c r="O139" s="2" t="s">
        <v>2306</v>
      </c>
      <c r="P139" s="2" t="s">
        <v>2124</v>
      </c>
      <c r="Q139" s="2" t="s">
        <v>152</v>
      </c>
      <c r="R139" s="110">
        <v>1</v>
      </c>
      <c r="S139" s="110">
        <v>1070</v>
      </c>
      <c r="T139" s="110">
        <v>-267.5</v>
      </c>
      <c r="U139" s="2" t="s">
        <v>2126</v>
      </c>
      <c r="V139" s="110"/>
      <c r="W139" s="110">
        <v>1070</v>
      </c>
      <c r="X139" s="2" t="s">
        <v>2309</v>
      </c>
      <c r="Y139" s="110">
        <v>5000</v>
      </c>
      <c r="Z139" s="110">
        <f t="shared" si="6"/>
        <v>0.214</v>
      </c>
      <c r="AA139" cm="1">
        <f t="array" aca="1" ref="AA139" ca="1">IFERROR(INDEX(H_Tables!E:E,MATCH(INDIRECT("I"&amp;ROW()),H_Tables!F:F,0)),"")</f>
        <v>7</v>
      </c>
      <c r="AB139" cm="1">
        <f t="array" aca="1" ref="AB139" ca="1">IFERROR(INDEX(H_Tables!H:H,MATCH(INDIRECT("k"&amp;ROW()),H_Tables!I:I,0)),"")</f>
        <v>2</v>
      </c>
      <c r="AC139" t="str">
        <f t="shared" si="7"/>
        <v>jhaEnterprise Workflow Synergy,New,On Premise Software Usage,0</v>
      </c>
      <c r="AD139">
        <v>136</v>
      </c>
    </row>
    <row r="140" spans="1:30" ht="15" customHeight="1" x14ac:dyDescent="0.25">
      <c r="A140" s="127">
        <v>45895</v>
      </c>
      <c r="B140" s="2" t="s">
        <v>2117</v>
      </c>
      <c r="C140" s="110">
        <v>0</v>
      </c>
      <c r="D140" s="2" t="s">
        <v>2118</v>
      </c>
      <c r="E140" s="2" t="s">
        <v>2119</v>
      </c>
      <c r="F140" s="110">
        <v>0</v>
      </c>
      <c r="G140" s="110">
        <v>0</v>
      </c>
      <c r="H140" s="2" t="s">
        <v>2120</v>
      </c>
      <c r="I140" s="2" t="s">
        <v>187</v>
      </c>
      <c r="J140" s="2" t="s">
        <v>294</v>
      </c>
      <c r="K140" s="2" t="s">
        <v>640</v>
      </c>
      <c r="L140" s="2" t="s">
        <v>2121</v>
      </c>
      <c r="M140" s="2" t="s">
        <v>1073</v>
      </c>
      <c r="N140" s="2" t="s">
        <v>2122</v>
      </c>
      <c r="O140" s="2" t="s">
        <v>2306</v>
      </c>
      <c r="P140" s="2" t="s">
        <v>2124</v>
      </c>
      <c r="Q140" s="2" t="s">
        <v>2132</v>
      </c>
      <c r="R140" s="110">
        <v>1</v>
      </c>
      <c r="S140" s="110">
        <v>12500</v>
      </c>
      <c r="T140" s="110">
        <v>0</v>
      </c>
      <c r="U140" s="2" t="s">
        <v>2126</v>
      </c>
      <c r="V140" s="110"/>
      <c r="W140" s="110">
        <v>12500</v>
      </c>
      <c r="X140" s="2" t="s">
        <v>2311</v>
      </c>
      <c r="Y140" s="110">
        <v>5000</v>
      </c>
      <c r="Z140" s="110">
        <f t="shared" si="6"/>
        <v>0</v>
      </c>
      <c r="AA140" cm="1">
        <f t="array" aca="1" ref="AA140" ca="1">IFERROR(INDEX(H_Tables!E:E,MATCH(INDIRECT("I"&amp;ROW()),H_Tables!F:F,0)),"")</f>
        <v>7</v>
      </c>
      <c r="AB140" cm="1">
        <f t="array" aca="1" ref="AB140" ca="1">IFERROR(INDEX(H_Tables!H:H,MATCH(INDIRECT("k"&amp;ROW()),H_Tables!I:I,0)),"")</f>
        <v>2</v>
      </c>
      <c r="AC140" t="str">
        <f t="shared" si="7"/>
        <v>jhaEnterprise Workflow Consulting,New,On Premise Software Usage,0</v>
      </c>
      <c r="AD140">
        <v>137</v>
      </c>
    </row>
    <row r="141" spans="1:30" ht="15" customHeight="1" x14ac:dyDescent="0.25">
      <c r="A141" s="127">
        <v>45895</v>
      </c>
      <c r="B141" s="2" t="s">
        <v>2117</v>
      </c>
      <c r="C141" s="110">
        <v>0</v>
      </c>
      <c r="D141" s="2" t="s">
        <v>2118</v>
      </c>
      <c r="E141" s="2" t="s">
        <v>2119</v>
      </c>
      <c r="F141" s="110">
        <v>0</v>
      </c>
      <c r="G141" s="110">
        <v>0</v>
      </c>
      <c r="H141" s="2" t="s">
        <v>2120</v>
      </c>
      <c r="I141" s="2" t="s">
        <v>187</v>
      </c>
      <c r="J141" s="2" t="s">
        <v>1074</v>
      </c>
      <c r="K141" s="2" t="s">
        <v>640</v>
      </c>
      <c r="L141" s="2" t="s">
        <v>2121</v>
      </c>
      <c r="M141" s="2" t="s">
        <v>2312</v>
      </c>
      <c r="N141" s="2" t="s">
        <v>2122</v>
      </c>
      <c r="O141" s="2" t="s">
        <v>2306</v>
      </c>
      <c r="P141" s="2" t="s">
        <v>2124</v>
      </c>
      <c r="Q141" s="2" t="s">
        <v>2132</v>
      </c>
      <c r="R141" s="110">
        <v>2</v>
      </c>
      <c r="S141" s="110">
        <v>3600</v>
      </c>
      <c r="T141" s="110">
        <v>0</v>
      </c>
      <c r="U141" s="2" t="s">
        <v>2126</v>
      </c>
      <c r="V141" s="110"/>
      <c r="W141" s="110">
        <v>1800</v>
      </c>
      <c r="X141" s="2" t="s">
        <v>2313</v>
      </c>
      <c r="Y141" s="110">
        <v>5000</v>
      </c>
      <c r="Z141" s="110">
        <f t="shared" si="6"/>
        <v>0</v>
      </c>
      <c r="AA141" cm="1">
        <f t="array" aca="1" ref="AA141" ca="1">IFERROR(INDEX(H_Tables!E:E,MATCH(INDIRECT("I"&amp;ROW()),H_Tables!F:F,0)),"")</f>
        <v>7</v>
      </c>
      <c r="AB141" cm="1">
        <f t="array" aca="1" ref="AB141" ca="1">IFERROR(INDEX(H_Tables!H:H,MATCH(INDIRECT("k"&amp;ROW()),H_Tables!I:I,0)),"")</f>
        <v>2</v>
      </c>
      <c r="AC141" t="str">
        <f t="shared" si="7"/>
        <v>jhaEnterprise Workflow Training Shared,New,On Premise Software Usage,0</v>
      </c>
      <c r="AD141">
        <v>138</v>
      </c>
    </row>
    <row r="142" spans="1:30" ht="15" customHeight="1" x14ac:dyDescent="0.25">
      <c r="A142" s="127">
        <v>45895</v>
      </c>
      <c r="B142" s="2" t="s">
        <v>2117</v>
      </c>
      <c r="C142" s="110">
        <v>0</v>
      </c>
      <c r="D142" s="2" t="s">
        <v>2118</v>
      </c>
      <c r="E142" s="2" t="s">
        <v>2119</v>
      </c>
      <c r="F142" s="110">
        <v>0</v>
      </c>
      <c r="G142" s="110">
        <v>0</v>
      </c>
      <c r="H142" s="2" t="s">
        <v>2120</v>
      </c>
      <c r="I142" s="2" t="s">
        <v>190</v>
      </c>
      <c r="J142" s="2" t="s">
        <v>2314</v>
      </c>
      <c r="K142" s="2" t="s">
        <v>640</v>
      </c>
      <c r="L142" s="2" t="s">
        <v>2121</v>
      </c>
      <c r="M142" s="2" t="s">
        <v>2315</v>
      </c>
      <c r="N142" s="2" t="s">
        <v>2122</v>
      </c>
      <c r="O142" s="2" t="s">
        <v>2306</v>
      </c>
      <c r="P142" s="2" t="s">
        <v>2150</v>
      </c>
      <c r="Q142" s="2" t="s">
        <v>2132</v>
      </c>
      <c r="R142" s="110">
        <v>1</v>
      </c>
      <c r="S142" s="110">
        <v>15000</v>
      </c>
      <c r="T142" s="110">
        <v>0</v>
      </c>
      <c r="U142" s="2" t="s">
        <v>2126</v>
      </c>
      <c r="V142" s="110"/>
      <c r="W142" s="110">
        <v>15000</v>
      </c>
      <c r="X142" s="2" t="s">
        <v>2316</v>
      </c>
      <c r="Y142" s="110">
        <v>5000</v>
      </c>
      <c r="Z142" s="110">
        <f t="shared" si="6"/>
        <v>0</v>
      </c>
      <c r="AA142" cm="1">
        <f t="array" aca="1" ref="AA142" ca="1">IFERROR(INDEX(H_Tables!E:E,MATCH(INDIRECT("I"&amp;ROW()),H_Tables!F:F,0)),"")</f>
        <v>9</v>
      </c>
      <c r="AB142" cm="1">
        <f t="array" aca="1" ref="AB142" ca="1">IFERROR(INDEX(H_Tables!H:H,MATCH(INDIRECT("k"&amp;ROW()),H_Tables!I:I,0)),"")</f>
        <v>2</v>
      </c>
      <c r="AC142" t="str">
        <f t="shared" si="7"/>
        <v>JHA Client Services Consulting Workflow Process Automation Strategy,New,On Premise Software Usage,1</v>
      </c>
      <c r="AD142">
        <v>139</v>
      </c>
    </row>
    <row r="143" spans="1:30" ht="15" customHeight="1" x14ac:dyDescent="0.25">
      <c r="A143" s="127">
        <v>45895</v>
      </c>
      <c r="B143" s="2" t="s">
        <v>2117</v>
      </c>
      <c r="C143" s="110">
        <v>0</v>
      </c>
      <c r="D143" s="2" t="s">
        <v>2118</v>
      </c>
      <c r="E143" s="2" t="s">
        <v>2119</v>
      </c>
      <c r="F143" s="110">
        <v>0</v>
      </c>
      <c r="G143" s="110">
        <v>0</v>
      </c>
      <c r="H143" s="2" t="s">
        <v>2120</v>
      </c>
      <c r="I143" s="2" t="s">
        <v>190</v>
      </c>
      <c r="J143" s="2" t="s">
        <v>2317</v>
      </c>
      <c r="K143" s="2" t="s">
        <v>640</v>
      </c>
      <c r="L143" s="2" t="s">
        <v>2121</v>
      </c>
      <c r="M143" s="2" t="s">
        <v>2318</v>
      </c>
      <c r="N143" s="2" t="s">
        <v>2122</v>
      </c>
      <c r="O143" s="2" t="s">
        <v>2306</v>
      </c>
      <c r="P143" s="2" t="s">
        <v>2150</v>
      </c>
      <c r="Q143" s="2" t="s">
        <v>2132</v>
      </c>
      <c r="R143" s="110">
        <v>1</v>
      </c>
      <c r="S143" s="110">
        <v>25000</v>
      </c>
      <c r="T143" s="110">
        <v>0</v>
      </c>
      <c r="U143" s="2" t="s">
        <v>2126</v>
      </c>
      <c r="V143" s="110"/>
      <c r="W143" s="110">
        <v>25000</v>
      </c>
      <c r="X143" s="2" t="s">
        <v>2319</v>
      </c>
      <c r="Y143" s="110">
        <v>5000</v>
      </c>
      <c r="Z143" s="110">
        <f t="shared" si="6"/>
        <v>0</v>
      </c>
      <c r="AA143" cm="1">
        <f t="array" aca="1" ref="AA143" ca="1">IFERROR(INDEX(H_Tables!E:E,MATCH(INDIRECT("I"&amp;ROW()),H_Tables!F:F,0)),"")</f>
        <v>9</v>
      </c>
      <c r="AB143" cm="1">
        <f t="array" aca="1" ref="AB143" ca="1">IFERROR(INDEX(H_Tables!H:H,MATCH(INDIRECT("k"&amp;ROW()),H_Tables!I:I,0)),"")</f>
        <v>2</v>
      </c>
      <c r="AC143" t="str">
        <f t="shared" si="7"/>
        <v>JHA Client Services Consulting Workflow Process Automation Design,New,On Premise Software Usage,1</v>
      </c>
      <c r="AD143">
        <v>140</v>
      </c>
    </row>
    <row r="144" spans="1:30" ht="15" customHeight="1" x14ac:dyDescent="0.25">
      <c r="A144" s="127">
        <v>45895</v>
      </c>
      <c r="B144" s="2" t="s">
        <v>2117</v>
      </c>
      <c r="C144" s="110">
        <v>0</v>
      </c>
      <c r="D144" s="2" t="s">
        <v>2118</v>
      </c>
      <c r="E144" s="2" t="s">
        <v>2119</v>
      </c>
      <c r="F144" s="110">
        <v>0</v>
      </c>
      <c r="G144" s="110">
        <v>0</v>
      </c>
      <c r="H144" s="2" t="s">
        <v>2120</v>
      </c>
      <c r="I144" s="2" t="s">
        <v>190</v>
      </c>
      <c r="J144" s="2" t="s">
        <v>1299</v>
      </c>
      <c r="K144" s="2" t="s">
        <v>656</v>
      </c>
      <c r="L144" s="2" t="s">
        <v>2121</v>
      </c>
      <c r="M144" s="2" t="s">
        <v>1300</v>
      </c>
      <c r="N144" s="2" t="s">
        <v>2122</v>
      </c>
      <c r="O144" s="2" t="s">
        <v>2123</v>
      </c>
      <c r="P144" s="2" t="s">
        <v>2124</v>
      </c>
      <c r="Q144" s="2" t="s">
        <v>2125</v>
      </c>
      <c r="R144" s="110">
        <v>1</v>
      </c>
      <c r="S144" s="110">
        <v>3500</v>
      </c>
      <c r="T144" s="110">
        <v>0</v>
      </c>
      <c r="U144" s="2" t="s">
        <v>2126</v>
      </c>
      <c r="V144" s="110"/>
      <c r="W144" s="110">
        <v>3500</v>
      </c>
      <c r="X144" s="2" t="s">
        <v>2320</v>
      </c>
      <c r="Y144" s="110">
        <v>5000</v>
      </c>
      <c r="Z144" s="110">
        <f t="shared" si="6"/>
        <v>0</v>
      </c>
      <c r="AA144" cm="1">
        <f t="array" aca="1" ref="AA144" ca="1">IFERROR(INDEX(H_Tables!E:E,MATCH(INDIRECT("I"&amp;ROW()),H_Tables!F:F,0)),"")</f>
        <v>9</v>
      </c>
      <c r="AB144" cm="1">
        <f t="array" aca="1" ref="AB144" ca="1">IFERROR(INDEX(H_Tables!H:H,MATCH(INDIRECT("k"&amp;ROW()),H_Tables!I:I,0)),"")</f>
        <v>1</v>
      </c>
      <c r="AC144" t="str">
        <f t="shared" si="7"/>
        <v>Know-It-All Now eLearning,New,Hosted by JHA,0</v>
      </c>
      <c r="AD144">
        <v>141</v>
      </c>
    </row>
    <row r="145" spans="1:30" ht="15" customHeight="1" x14ac:dyDescent="0.25">
      <c r="A145" s="127">
        <v>45895</v>
      </c>
      <c r="B145" s="2" t="s">
        <v>2117</v>
      </c>
      <c r="C145" s="110">
        <v>0</v>
      </c>
      <c r="D145" s="2" t="s">
        <v>2118</v>
      </c>
      <c r="E145" s="2" t="s">
        <v>2119</v>
      </c>
      <c r="F145" s="110">
        <v>0</v>
      </c>
      <c r="G145" s="110">
        <v>0</v>
      </c>
      <c r="H145" s="2" t="s">
        <v>2120</v>
      </c>
      <c r="I145" s="2" t="s">
        <v>187</v>
      </c>
      <c r="J145" s="2" t="s">
        <v>1767</v>
      </c>
      <c r="K145" s="2" t="s">
        <v>626</v>
      </c>
      <c r="L145" s="2" t="s">
        <v>2129</v>
      </c>
      <c r="M145" s="2" t="s">
        <v>626</v>
      </c>
      <c r="N145" s="2" t="s">
        <v>2122</v>
      </c>
      <c r="O145" s="2" t="s">
        <v>2123</v>
      </c>
      <c r="P145" s="2" t="s">
        <v>2124</v>
      </c>
      <c r="Q145" s="2" t="s">
        <v>152</v>
      </c>
      <c r="R145" s="110">
        <v>1</v>
      </c>
      <c r="S145" s="110">
        <v>1000</v>
      </c>
      <c r="T145" s="110">
        <v>0</v>
      </c>
      <c r="U145" s="2" t="s">
        <v>2126</v>
      </c>
      <c r="V145" s="110"/>
      <c r="W145" s="110">
        <v>1000</v>
      </c>
      <c r="X145" s="2" t="s">
        <v>2321</v>
      </c>
      <c r="Y145" s="110">
        <v>5000</v>
      </c>
      <c r="Z145" s="110">
        <f t="shared" si="6"/>
        <v>0</v>
      </c>
      <c r="AA145" cm="1">
        <f t="array" aca="1" ref="AA145" ca="1">IFERROR(INDEX(H_Tables!E:E,MATCH(INDIRECT("I"&amp;ROW()),H_Tables!F:F,0)),"")</f>
        <v>7</v>
      </c>
      <c r="AB145" cm="1">
        <f t="array" aca="1" ref="AB145" ca="1">IFERROR(INDEX(H_Tables!H:H,MATCH(INDIRECT("k"&amp;ROW()),H_Tables!I:I,0)),"")</f>
        <v>1</v>
      </c>
      <c r="AC145" t="str">
        <f t="shared" si="7"/>
        <v>jConnect,New,Hosted by JHA,0</v>
      </c>
      <c r="AD145">
        <v>142</v>
      </c>
    </row>
    <row r="146" spans="1:30" ht="15" customHeight="1" x14ac:dyDescent="0.25">
      <c r="A146" s="127">
        <v>45895</v>
      </c>
      <c r="B146" s="2" t="s">
        <v>2117</v>
      </c>
      <c r="C146" s="110">
        <v>0</v>
      </c>
      <c r="D146" s="2" t="s">
        <v>2118</v>
      </c>
      <c r="E146" s="2" t="s">
        <v>2119</v>
      </c>
      <c r="F146" s="110">
        <v>2.2499999999999999E-2</v>
      </c>
      <c r="G146" s="110">
        <v>0</v>
      </c>
      <c r="H146" s="2" t="s">
        <v>2120</v>
      </c>
      <c r="I146" s="2" t="s">
        <v>182</v>
      </c>
      <c r="J146" s="2" t="s">
        <v>311</v>
      </c>
      <c r="K146" s="2" t="s">
        <v>612</v>
      </c>
      <c r="L146" s="2" t="s">
        <v>2129</v>
      </c>
      <c r="M146" s="2" t="s">
        <v>2322</v>
      </c>
      <c r="N146" s="2" t="s">
        <v>2122</v>
      </c>
      <c r="O146" s="2" t="s">
        <v>2123</v>
      </c>
      <c r="P146" s="2" t="s">
        <v>2124</v>
      </c>
      <c r="Q146" s="2" t="s">
        <v>152</v>
      </c>
      <c r="R146" s="110">
        <v>1</v>
      </c>
      <c r="S146" s="110">
        <v>150</v>
      </c>
      <c r="T146" s="110">
        <v>-37.5</v>
      </c>
      <c r="U146" s="2" t="s">
        <v>2126</v>
      </c>
      <c r="V146" s="110"/>
      <c r="W146" s="110">
        <v>150</v>
      </c>
      <c r="X146" s="2" t="s">
        <v>2323</v>
      </c>
      <c r="Y146" s="110">
        <v>5000</v>
      </c>
      <c r="Z146" s="110">
        <f t="shared" si="6"/>
        <v>0.03</v>
      </c>
      <c r="AA146" cm="1">
        <f t="array" aca="1" ref="AA146" ca="1">IFERROR(INDEX(H_Tables!E:E,MATCH(INDIRECT("I"&amp;ROW()),H_Tables!F:F,0)),"")</f>
        <v>1</v>
      </c>
      <c r="AB146" cm="1">
        <f t="array" aca="1" ref="AB146" ca="1">IFERROR(INDEX(H_Tables!H:H,MATCH(INDIRECT("k"&amp;ROW()),H_Tables!I:I,0)),"")</f>
        <v>4</v>
      </c>
      <c r="AC146" t="str">
        <f t="shared" si="7"/>
        <v>Hosted Xperience,New,Hosted by JHA,0</v>
      </c>
      <c r="AD146">
        <v>143</v>
      </c>
    </row>
    <row r="147" spans="1:30" ht="15" customHeight="1" x14ac:dyDescent="0.25">
      <c r="A147" s="127">
        <v>45895</v>
      </c>
      <c r="B147" s="2" t="s">
        <v>2117</v>
      </c>
      <c r="C147" s="110">
        <v>0</v>
      </c>
      <c r="D147" s="2" t="s">
        <v>2118</v>
      </c>
      <c r="E147" s="2" t="s">
        <v>2119</v>
      </c>
      <c r="F147" s="110">
        <v>0</v>
      </c>
      <c r="G147" s="110">
        <v>0</v>
      </c>
      <c r="H147" s="2" t="s">
        <v>2120</v>
      </c>
      <c r="I147" s="2" t="s">
        <v>188</v>
      </c>
      <c r="J147" s="2" t="s">
        <v>1121</v>
      </c>
      <c r="K147" s="2" t="s">
        <v>567</v>
      </c>
      <c r="L147" s="2" t="s">
        <v>2121</v>
      </c>
      <c r="M147" s="2" t="s">
        <v>1122</v>
      </c>
      <c r="N147" s="2" t="s">
        <v>2122</v>
      </c>
      <c r="O147" s="2" t="s">
        <v>2123</v>
      </c>
      <c r="P147" s="2" t="s">
        <v>2124</v>
      </c>
      <c r="Q147" s="2" t="s">
        <v>2132</v>
      </c>
      <c r="R147" s="110">
        <v>1</v>
      </c>
      <c r="S147" s="110">
        <v>2500</v>
      </c>
      <c r="T147" s="110">
        <v>-2500</v>
      </c>
      <c r="U147" s="2" t="s">
        <v>2126</v>
      </c>
      <c r="V147" s="110"/>
      <c r="W147" s="110">
        <v>2500</v>
      </c>
      <c r="X147" s="2" t="s">
        <v>2324</v>
      </c>
      <c r="Y147" s="110">
        <v>5000</v>
      </c>
      <c r="Z147" s="110">
        <f t="shared" si="6"/>
        <v>0</v>
      </c>
      <c r="AA147" cm="1">
        <f t="array" aca="1" ref="AA147" ca="1">IFERROR(INDEX(H_Tables!E:E,MATCH(INDIRECT("I"&amp;ROW()),H_Tables!F:F,0)),"")</f>
        <v>6</v>
      </c>
      <c r="AB147" cm="1">
        <f t="array" aca="1" ref="AB147" ca="1">IFERROR(INDEX(H_Tables!H:H,MATCH(INDIRECT("k"&amp;ROW()),H_Tables!I:I,0)),"")</f>
        <v>4</v>
      </c>
      <c r="AC147" t="str">
        <f t="shared" si="7"/>
        <v>EPS Platform Set Up Fee,New,Hosted by JHA,0</v>
      </c>
      <c r="AD147">
        <v>144</v>
      </c>
    </row>
    <row r="148" spans="1:30" ht="15" customHeight="1" x14ac:dyDescent="0.25">
      <c r="A148" s="127">
        <v>45895</v>
      </c>
      <c r="B148" s="2" t="s">
        <v>2117</v>
      </c>
      <c r="C148" s="110">
        <v>0</v>
      </c>
      <c r="D148" s="2" t="s">
        <v>2118</v>
      </c>
      <c r="E148" s="2" t="s">
        <v>2119</v>
      </c>
      <c r="F148" s="110">
        <v>0</v>
      </c>
      <c r="G148" s="110">
        <v>0</v>
      </c>
      <c r="H148" s="2" t="s">
        <v>2120</v>
      </c>
      <c r="I148" s="2" t="s">
        <v>188</v>
      </c>
      <c r="J148" s="2" t="s">
        <v>1478</v>
      </c>
      <c r="K148" s="2" t="s">
        <v>567</v>
      </c>
      <c r="L148" s="2" t="s">
        <v>2129</v>
      </c>
      <c r="M148" s="2" t="s">
        <v>1479</v>
      </c>
      <c r="N148" s="2" t="s">
        <v>2122</v>
      </c>
      <c r="O148" s="2" t="s">
        <v>2123</v>
      </c>
      <c r="P148" s="2" t="s">
        <v>2124</v>
      </c>
      <c r="Q148" s="2" t="s">
        <v>152</v>
      </c>
      <c r="R148" s="110">
        <v>1</v>
      </c>
      <c r="S148" s="110">
        <v>350</v>
      </c>
      <c r="T148" s="110">
        <v>0</v>
      </c>
      <c r="U148" s="2" t="s">
        <v>2126</v>
      </c>
      <c r="V148" s="110"/>
      <c r="W148" s="110">
        <v>350</v>
      </c>
      <c r="X148" s="2" t="s">
        <v>2325</v>
      </c>
      <c r="Y148" s="110">
        <v>5000</v>
      </c>
      <c r="Z148" s="110">
        <f t="shared" si="6"/>
        <v>0</v>
      </c>
      <c r="AA148" cm="1">
        <f t="array" aca="1" ref="AA148" ca="1">IFERROR(INDEX(H_Tables!E:E,MATCH(INDIRECT("I"&amp;ROW()),H_Tables!F:F,0)),"")</f>
        <v>6</v>
      </c>
      <c r="AB148" cm="1">
        <f t="array" aca="1" ref="AB148" ca="1">IFERROR(INDEX(H_Tables!H:H,MATCH(INDIRECT("k"&amp;ROW()),H_Tables!I:I,0)),"")</f>
        <v>4</v>
      </c>
      <c r="AC148" t="str">
        <f t="shared" si="7"/>
        <v>JHA SmartPay Remote Deposit Now (RDN),New,Hosted by JHA,0</v>
      </c>
      <c r="AD148">
        <v>145</v>
      </c>
    </row>
    <row r="149" spans="1:30" ht="15" customHeight="1" x14ac:dyDescent="0.25">
      <c r="A149" s="127">
        <v>45895</v>
      </c>
      <c r="B149" s="2" t="s">
        <v>2117</v>
      </c>
      <c r="C149" s="110">
        <v>0</v>
      </c>
      <c r="D149" s="2" t="s">
        <v>2118</v>
      </c>
      <c r="E149" s="2" t="s">
        <v>2119</v>
      </c>
      <c r="F149" s="110">
        <v>0</v>
      </c>
      <c r="G149" s="110">
        <v>0</v>
      </c>
      <c r="H149" s="2" t="s">
        <v>2120</v>
      </c>
      <c r="I149" s="2" t="s">
        <v>188</v>
      </c>
      <c r="J149" s="2" t="s">
        <v>1478</v>
      </c>
      <c r="K149" s="2" t="s">
        <v>567</v>
      </c>
      <c r="L149" s="2" t="s">
        <v>2121</v>
      </c>
      <c r="M149" s="2" t="s">
        <v>1479</v>
      </c>
      <c r="N149" s="2" t="s">
        <v>2122</v>
      </c>
      <c r="O149" s="2" t="s">
        <v>2123</v>
      </c>
      <c r="P149" s="2" t="s">
        <v>2124</v>
      </c>
      <c r="Q149" s="2" t="s">
        <v>2132</v>
      </c>
      <c r="R149" s="110">
        <v>1</v>
      </c>
      <c r="S149" s="110">
        <v>1000</v>
      </c>
      <c r="T149" s="110">
        <v>-1000</v>
      </c>
      <c r="U149" s="2" t="s">
        <v>2126</v>
      </c>
      <c r="V149" s="110"/>
      <c r="W149" s="110">
        <v>1000</v>
      </c>
      <c r="X149" s="2" t="s">
        <v>2326</v>
      </c>
      <c r="Y149" s="110">
        <v>5000</v>
      </c>
      <c r="Z149" s="110">
        <f t="shared" si="6"/>
        <v>0</v>
      </c>
      <c r="AA149" cm="1">
        <f t="array" aca="1" ref="AA149" ca="1">IFERROR(INDEX(H_Tables!E:E,MATCH(INDIRECT("I"&amp;ROW()),H_Tables!F:F,0)),"")</f>
        <v>6</v>
      </c>
      <c r="AB149" cm="1">
        <f t="array" aca="1" ref="AB149" ca="1">IFERROR(INDEX(H_Tables!H:H,MATCH(INDIRECT("k"&amp;ROW()),H_Tables!I:I,0)),"")</f>
        <v>4</v>
      </c>
      <c r="AC149" t="str">
        <f t="shared" si="7"/>
        <v>JHA SmartPay Remote Deposit Now (RDN),New,Hosted by JHA,0</v>
      </c>
      <c r="AD149">
        <v>146</v>
      </c>
    </row>
    <row r="150" spans="1:30" ht="15" customHeight="1" x14ac:dyDescent="0.25">
      <c r="A150" s="127">
        <v>45895</v>
      </c>
      <c r="B150" s="2" t="s">
        <v>2117</v>
      </c>
      <c r="C150" s="110">
        <v>0</v>
      </c>
      <c r="D150" s="2" t="s">
        <v>2118</v>
      </c>
      <c r="E150" s="2" t="s">
        <v>2119</v>
      </c>
      <c r="F150" s="110">
        <v>0</v>
      </c>
      <c r="G150" s="110">
        <v>0</v>
      </c>
      <c r="H150" s="2" t="s">
        <v>2120</v>
      </c>
      <c r="I150" s="2" t="s">
        <v>188</v>
      </c>
      <c r="J150" s="2" t="s">
        <v>395</v>
      </c>
      <c r="K150" s="2" t="s">
        <v>567</v>
      </c>
      <c r="L150" s="2" t="s">
        <v>2129</v>
      </c>
      <c r="M150" s="2" t="s">
        <v>1476</v>
      </c>
      <c r="N150" s="2" t="s">
        <v>2122</v>
      </c>
      <c r="O150" s="2" t="s">
        <v>2123</v>
      </c>
      <c r="P150" s="2" t="s">
        <v>2124</v>
      </c>
      <c r="Q150" s="2" t="s">
        <v>152</v>
      </c>
      <c r="R150" s="110">
        <v>1</v>
      </c>
      <c r="S150" s="110">
        <v>500</v>
      </c>
      <c r="T150" s="110">
        <v>0</v>
      </c>
      <c r="U150" s="2" t="s">
        <v>2126</v>
      </c>
      <c r="V150" s="110"/>
      <c r="W150" s="110">
        <v>500</v>
      </c>
      <c r="X150" s="2" t="s">
        <v>2327</v>
      </c>
      <c r="Y150" s="110">
        <v>5000</v>
      </c>
      <c r="Z150" s="110">
        <f t="shared" si="6"/>
        <v>0</v>
      </c>
      <c r="AA150" cm="1">
        <f t="array" aca="1" ref="AA150" ca="1">IFERROR(INDEX(H_Tables!E:E,MATCH(INDIRECT("I"&amp;ROW()),H_Tables!F:F,0)),"")</f>
        <v>6</v>
      </c>
      <c r="AB150" cm="1">
        <f t="array" aca="1" ref="AB150" ca="1">IFERROR(INDEX(H_Tables!H:H,MATCH(INDIRECT("k"&amp;ROW()),H_Tables!I:I,0)),"")</f>
        <v>4</v>
      </c>
      <c r="AC150" t="str">
        <f t="shared" si="7"/>
        <v>JHA SmartPay Remote Deposit Anywhere (RDA),New,Hosted by JHA,0</v>
      </c>
      <c r="AD150">
        <v>147</v>
      </c>
    </row>
    <row r="151" spans="1:30" ht="15" customHeight="1" x14ac:dyDescent="0.25">
      <c r="A151" s="127">
        <v>45895</v>
      </c>
      <c r="B151" s="2" t="s">
        <v>2117</v>
      </c>
      <c r="C151" s="110">
        <v>0</v>
      </c>
      <c r="D151" s="2" t="s">
        <v>2118</v>
      </c>
      <c r="E151" s="2" t="s">
        <v>2119</v>
      </c>
      <c r="F151" s="110">
        <v>0</v>
      </c>
      <c r="G151" s="110">
        <v>0</v>
      </c>
      <c r="H151" s="2" t="s">
        <v>2120</v>
      </c>
      <c r="I151" s="2" t="s">
        <v>188</v>
      </c>
      <c r="J151" s="2" t="s">
        <v>395</v>
      </c>
      <c r="K151" s="2" t="s">
        <v>567</v>
      </c>
      <c r="L151" s="2" t="s">
        <v>2121</v>
      </c>
      <c r="M151" s="2" t="s">
        <v>1476</v>
      </c>
      <c r="N151" s="2" t="s">
        <v>2122</v>
      </c>
      <c r="O151" s="2" t="s">
        <v>2123</v>
      </c>
      <c r="P151" s="2" t="s">
        <v>2124</v>
      </c>
      <c r="Q151" s="2" t="s">
        <v>2132</v>
      </c>
      <c r="R151" s="110">
        <v>1</v>
      </c>
      <c r="S151" s="110">
        <v>2500</v>
      </c>
      <c r="T151" s="110">
        <v>-2500</v>
      </c>
      <c r="U151" s="2" t="s">
        <v>2126</v>
      </c>
      <c r="V151" s="110"/>
      <c r="W151" s="110">
        <v>2500</v>
      </c>
      <c r="X151" s="2" t="s">
        <v>2328</v>
      </c>
      <c r="Y151" s="110">
        <v>5000</v>
      </c>
      <c r="Z151" s="110">
        <f t="shared" si="6"/>
        <v>0</v>
      </c>
      <c r="AA151" cm="1">
        <f t="array" aca="1" ref="AA151" ca="1">IFERROR(INDEX(H_Tables!E:E,MATCH(INDIRECT("I"&amp;ROW()),H_Tables!F:F,0)),"")</f>
        <v>6</v>
      </c>
      <c r="AB151" cm="1">
        <f t="array" aca="1" ref="AB151" ca="1">IFERROR(INDEX(H_Tables!H:H,MATCH(INDIRECT("k"&amp;ROW()),H_Tables!I:I,0)),"")</f>
        <v>4</v>
      </c>
      <c r="AC151" t="str">
        <f t="shared" si="7"/>
        <v>JHA SmartPay Remote Deposit Anywhere (RDA),New,Hosted by JHA,0</v>
      </c>
      <c r="AD151">
        <v>148</v>
      </c>
    </row>
    <row r="152" spans="1:30" ht="15" customHeight="1" x14ac:dyDescent="0.25">
      <c r="A152" s="127">
        <v>45895</v>
      </c>
      <c r="B152" s="2" t="s">
        <v>2117</v>
      </c>
      <c r="C152" s="110">
        <v>0</v>
      </c>
      <c r="D152" s="2" t="s">
        <v>2118</v>
      </c>
      <c r="E152" s="2" t="s">
        <v>2119</v>
      </c>
      <c r="F152" s="110">
        <v>0</v>
      </c>
      <c r="G152" s="110">
        <v>0</v>
      </c>
      <c r="H152" s="2" t="s">
        <v>2120</v>
      </c>
      <c r="I152" s="2" t="s">
        <v>188</v>
      </c>
      <c r="J152" s="2" t="s">
        <v>1720</v>
      </c>
      <c r="K152" s="2" t="s">
        <v>567</v>
      </c>
      <c r="L152" s="2" t="s">
        <v>2129</v>
      </c>
      <c r="M152" s="2" t="s">
        <v>1306</v>
      </c>
      <c r="N152" s="2" t="s">
        <v>2122</v>
      </c>
      <c r="O152" s="2" t="s">
        <v>2123</v>
      </c>
      <c r="P152" s="2" t="s">
        <v>2124</v>
      </c>
      <c r="Q152" s="2" t="s">
        <v>152</v>
      </c>
      <c r="R152" s="110">
        <v>1</v>
      </c>
      <c r="S152" s="110">
        <v>350</v>
      </c>
      <c r="T152" s="110">
        <v>-175</v>
      </c>
      <c r="U152" s="2" t="s">
        <v>2126</v>
      </c>
      <c r="V152" s="110"/>
      <c r="W152" s="110">
        <v>350</v>
      </c>
      <c r="X152" s="2" t="s">
        <v>2329</v>
      </c>
      <c r="Y152" s="110">
        <v>5000</v>
      </c>
      <c r="Z152" s="110">
        <f t="shared" si="6"/>
        <v>0</v>
      </c>
      <c r="AA152" cm="1">
        <f t="array" aca="1" ref="AA152" ca="1">IFERROR(INDEX(H_Tables!E:E,MATCH(INDIRECT("I"&amp;ROW()),H_Tables!F:F,0)),"")</f>
        <v>6</v>
      </c>
      <c r="AB152" cm="1">
        <f t="array" aca="1" ref="AB152" ca="1">IFERROR(INDEX(H_Tables!H:H,MATCH(INDIRECT("k"&amp;ROW()),H_Tables!I:I,0)),"")</f>
        <v>4</v>
      </c>
      <c r="AC152" t="str">
        <f t="shared" si="7"/>
        <v>JHA SmartPay mRDC,New,Hosted by JHA,0</v>
      </c>
      <c r="AD152">
        <v>149</v>
      </c>
    </row>
    <row r="153" spans="1:30" ht="15" customHeight="1" x14ac:dyDescent="0.25">
      <c r="A153" s="127">
        <v>45895</v>
      </c>
      <c r="B153" s="2" t="s">
        <v>2117</v>
      </c>
      <c r="C153" s="110">
        <v>0</v>
      </c>
      <c r="D153" s="2" t="s">
        <v>2118</v>
      </c>
      <c r="E153" s="2" t="s">
        <v>2119</v>
      </c>
      <c r="F153" s="110">
        <v>0</v>
      </c>
      <c r="G153" s="110">
        <v>0</v>
      </c>
      <c r="H153" s="2" t="s">
        <v>2120</v>
      </c>
      <c r="I153" s="2" t="s">
        <v>188</v>
      </c>
      <c r="J153" s="2" t="s">
        <v>1720</v>
      </c>
      <c r="K153" s="2" t="s">
        <v>567</v>
      </c>
      <c r="L153" s="2" t="s">
        <v>2121</v>
      </c>
      <c r="M153" s="2" t="s">
        <v>1306</v>
      </c>
      <c r="N153" s="2" t="s">
        <v>2122</v>
      </c>
      <c r="O153" s="2" t="s">
        <v>2123</v>
      </c>
      <c r="P153" s="2" t="s">
        <v>2124</v>
      </c>
      <c r="Q153" s="2" t="s">
        <v>2132</v>
      </c>
      <c r="R153" s="110">
        <v>1</v>
      </c>
      <c r="S153" s="110">
        <v>1000</v>
      </c>
      <c r="T153" s="110">
        <v>-1000</v>
      </c>
      <c r="U153" s="2" t="s">
        <v>2126</v>
      </c>
      <c r="V153" s="110"/>
      <c r="W153" s="110">
        <v>1000</v>
      </c>
      <c r="X153" s="2" t="s">
        <v>2330</v>
      </c>
      <c r="Y153" s="110">
        <v>5000</v>
      </c>
      <c r="Z153" s="110">
        <f t="shared" si="6"/>
        <v>0</v>
      </c>
      <c r="AA153" cm="1">
        <f t="array" aca="1" ref="AA153" ca="1">IFERROR(INDEX(H_Tables!E:E,MATCH(INDIRECT("I"&amp;ROW()),H_Tables!F:F,0)),"")</f>
        <v>6</v>
      </c>
      <c r="AB153" cm="1">
        <f t="array" aca="1" ref="AB153" ca="1">IFERROR(INDEX(H_Tables!H:H,MATCH(INDIRECT("k"&amp;ROW()),H_Tables!I:I,0)),"")</f>
        <v>4</v>
      </c>
      <c r="AC153" t="str">
        <f t="shared" si="7"/>
        <v>JHA SmartPay mRDC,New,Hosted by JHA,0</v>
      </c>
      <c r="AD153">
        <v>150</v>
      </c>
    </row>
    <row r="154" spans="1:30" ht="15" customHeight="1" x14ac:dyDescent="0.25">
      <c r="A154" s="127">
        <v>45895</v>
      </c>
      <c r="B154" s="2" t="s">
        <v>2117</v>
      </c>
      <c r="C154" s="110">
        <v>0</v>
      </c>
      <c r="D154" s="2" t="s">
        <v>2118</v>
      </c>
      <c r="E154" s="2" t="s">
        <v>2119</v>
      </c>
      <c r="F154" s="110">
        <v>0</v>
      </c>
      <c r="G154" s="110">
        <v>0</v>
      </c>
      <c r="H154" s="2" t="s">
        <v>2120</v>
      </c>
      <c r="I154" s="2" t="s">
        <v>188</v>
      </c>
      <c r="J154" s="2" t="s">
        <v>302</v>
      </c>
      <c r="K154" s="2" t="s">
        <v>567</v>
      </c>
      <c r="L154" s="2" t="s">
        <v>2129</v>
      </c>
      <c r="M154" s="2" t="s">
        <v>1109</v>
      </c>
      <c r="N154" s="2" t="s">
        <v>2122</v>
      </c>
      <c r="O154" s="2" t="s">
        <v>2123</v>
      </c>
      <c r="P154" s="2" t="s">
        <v>2124</v>
      </c>
      <c r="Q154" s="2" t="s">
        <v>152</v>
      </c>
      <c r="R154" s="110">
        <v>1</v>
      </c>
      <c r="S154" s="110">
        <v>300</v>
      </c>
      <c r="T154" s="110">
        <v>0</v>
      </c>
      <c r="U154" s="2" t="s">
        <v>2126</v>
      </c>
      <c r="V154" s="110"/>
      <c r="W154" s="110">
        <v>300</v>
      </c>
      <c r="X154" s="2" t="s">
        <v>2331</v>
      </c>
      <c r="Y154" s="110">
        <v>5000</v>
      </c>
      <c r="Z154" s="110">
        <f t="shared" si="6"/>
        <v>0</v>
      </c>
      <c r="AA154" cm="1">
        <f t="array" aca="1" ref="AA154" ca="1">IFERROR(INDEX(H_Tables!E:E,MATCH(INDIRECT("I"&amp;ROW()),H_Tables!F:F,0)),"")</f>
        <v>6</v>
      </c>
      <c r="AB154" cm="1">
        <f t="array" aca="1" ref="AB154" ca="1">IFERROR(INDEX(H_Tables!H:H,MATCH(INDIRECT("k"&amp;ROW()),H_Tables!I:I,0)),"")</f>
        <v>4</v>
      </c>
      <c r="AC154" t="str">
        <f t="shared" si="7"/>
        <v>EPS SmartSight Setup Fee and Monthly Subscription Fee,New,Hosted by JHA,0</v>
      </c>
      <c r="AD154">
        <v>151</v>
      </c>
    </row>
    <row r="155" spans="1:30" ht="15" customHeight="1" x14ac:dyDescent="0.25">
      <c r="A155" s="127">
        <v>45895</v>
      </c>
      <c r="B155" s="2" t="s">
        <v>2117</v>
      </c>
      <c r="C155" s="110">
        <v>0</v>
      </c>
      <c r="D155" s="2" t="s">
        <v>2118</v>
      </c>
      <c r="E155" s="2" t="s">
        <v>2119</v>
      </c>
      <c r="F155" s="110">
        <v>0</v>
      </c>
      <c r="G155" s="110">
        <v>0</v>
      </c>
      <c r="H155" s="2" t="s">
        <v>2120</v>
      </c>
      <c r="I155" s="2" t="s">
        <v>188</v>
      </c>
      <c r="J155" s="2" t="s">
        <v>302</v>
      </c>
      <c r="K155" s="2" t="s">
        <v>567</v>
      </c>
      <c r="L155" s="2" t="s">
        <v>2121</v>
      </c>
      <c r="M155" s="2" t="s">
        <v>1109</v>
      </c>
      <c r="N155" s="2" t="s">
        <v>2122</v>
      </c>
      <c r="O155" s="2" t="s">
        <v>2123</v>
      </c>
      <c r="P155" s="2" t="s">
        <v>2124</v>
      </c>
      <c r="Q155" s="2" t="s">
        <v>2132</v>
      </c>
      <c r="R155" s="110">
        <v>1</v>
      </c>
      <c r="S155" s="110">
        <v>1500</v>
      </c>
      <c r="T155" s="110">
        <v>-1500</v>
      </c>
      <c r="U155" s="2" t="s">
        <v>2126</v>
      </c>
      <c r="V155" s="110"/>
      <c r="W155" s="110">
        <v>1500</v>
      </c>
      <c r="X155" s="2" t="s">
        <v>2332</v>
      </c>
      <c r="Y155" s="110">
        <v>5000</v>
      </c>
      <c r="Z155" s="110">
        <f t="shared" si="6"/>
        <v>0</v>
      </c>
      <c r="AA155" cm="1">
        <f t="array" aca="1" ref="AA155" ca="1">IFERROR(INDEX(H_Tables!E:E,MATCH(INDIRECT("I"&amp;ROW()),H_Tables!F:F,0)),"")</f>
        <v>6</v>
      </c>
      <c r="AB155" cm="1">
        <f t="array" aca="1" ref="AB155" ca="1">IFERROR(INDEX(H_Tables!H:H,MATCH(INDIRECT("k"&amp;ROW()),H_Tables!I:I,0)),"")</f>
        <v>4</v>
      </c>
      <c r="AC155" t="str">
        <f t="shared" si="7"/>
        <v>EPS SmartSight Setup Fee and Monthly Subscription Fee,New,Hosted by JHA,0</v>
      </c>
      <c r="AD155">
        <v>152</v>
      </c>
    </row>
    <row r="156" spans="1:30" ht="15" customHeight="1" x14ac:dyDescent="0.25">
      <c r="A156" s="127">
        <v>45895</v>
      </c>
      <c r="B156" s="2" t="s">
        <v>2117</v>
      </c>
      <c r="C156" s="110">
        <v>0</v>
      </c>
      <c r="D156" s="2" t="s">
        <v>2118</v>
      </c>
      <c r="E156" s="2" t="s">
        <v>2119</v>
      </c>
      <c r="F156" s="110">
        <v>0</v>
      </c>
      <c r="G156" s="110">
        <v>0</v>
      </c>
      <c r="H156" s="2" t="s">
        <v>2120</v>
      </c>
      <c r="I156" s="2" t="s">
        <v>188</v>
      </c>
      <c r="J156" s="2" t="s">
        <v>1450</v>
      </c>
      <c r="K156" s="2" t="s">
        <v>567</v>
      </c>
      <c r="L156" s="2" t="s">
        <v>2129</v>
      </c>
      <c r="M156" s="2" t="s">
        <v>1451</v>
      </c>
      <c r="N156" s="2" t="s">
        <v>2122</v>
      </c>
      <c r="O156" s="2" t="s">
        <v>2123</v>
      </c>
      <c r="P156" s="2" t="s">
        <v>2124</v>
      </c>
      <c r="Q156" s="2" t="s">
        <v>152</v>
      </c>
      <c r="R156" s="110">
        <v>1</v>
      </c>
      <c r="S156" s="110">
        <v>100</v>
      </c>
      <c r="T156" s="110">
        <v>0</v>
      </c>
      <c r="U156" s="2" t="s">
        <v>2126</v>
      </c>
      <c r="V156" s="110"/>
      <c r="W156" s="110">
        <v>100</v>
      </c>
      <c r="X156" s="2" t="s">
        <v>2333</v>
      </c>
      <c r="Y156" s="110">
        <v>5000</v>
      </c>
      <c r="Z156" s="110">
        <f t="shared" si="6"/>
        <v>0</v>
      </c>
      <c r="AA156" cm="1">
        <f t="array" aca="1" ref="AA156" ca="1">IFERROR(INDEX(H_Tables!E:E,MATCH(INDIRECT("I"&amp;ROW()),H_Tables!F:F,0)),"")</f>
        <v>6</v>
      </c>
      <c r="AB156" cm="1">
        <f t="array" aca="1" ref="AB156" ca="1">IFERROR(INDEX(H_Tables!H:H,MATCH(INDIRECT("k"&amp;ROW()),H_Tables!I:I,0)),"")</f>
        <v>4</v>
      </c>
      <c r="AC156" t="str">
        <f t="shared" si="7"/>
        <v>Parascript CAR/LAR,New,Hosted by JHA,0</v>
      </c>
      <c r="AD156">
        <v>153</v>
      </c>
    </row>
    <row r="157" spans="1:30" ht="15" customHeight="1" x14ac:dyDescent="0.25">
      <c r="A157" s="127">
        <v>45895</v>
      </c>
      <c r="B157" s="2" t="s">
        <v>2117</v>
      </c>
      <c r="C157" s="110">
        <v>0</v>
      </c>
      <c r="D157" s="2" t="s">
        <v>2118</v>
      </c>
      <c r="E157" s="2" t="s">
        <v>2119</v>
      </c>
      <c r="F157" s="110">
        <v>2.7799999999999998E-2</v>
      </c>
      <c r="G157" s="110">
        <v>0</v>
      </c>
      <c r="H157" s="2" t="s">
        <v>2120</v>
      </c>
      <c r="I157" s="2" t="s">
        <v>189</v>
      </c>
      <c r="J157" s="2" t="s">
        <v>382</v>
      </c>
      <c r="K157" s="2" t="s">
        <v>535</v>
      </c>
      <c r="L157" s="2" t="s">
        <v>2129</v>
      </c>
      <c r="M157" s="2" t="s">
        <v>1457</v>
      </c>
      <c r="N157" s="2" t="s">
        <v>2122</v>
      </c>
      <c r="O157" s="2" t="s">
        <v>2207</v>
      </c>
      <c r="P157" s="2" t="s">
        <v>2124</v>
      </c>
      <c r="Q157" s="2" t="s">
        <v>152</v>
      </c>
      <c r="R157" s="110">
        <v>1</v>
      </c>
      <c r="S157" s="110">
        <v>185</v>
      </c>
      <c r="T157" s="110">
        <v>-46.25</v>
      </c>
      <c r="U157" s="2" t="s">
        <v>2126</v>
      </c>
      <c r="V157" s="110"/>
      <c r="W157" s="110">
        <v>185</v>
      </c>
      <c r="X157" s="2" t="s">
        <v>2334</v>
      </c>
      <c r="Y157" s="110">
        <v>5000</v>
      </c>
      <c r="Z157" s="110">
        <f t="shared" si="6"/>
        <v>3.6999999999999998E-2</v>
      </c>
      <c r="AA157" cm="1">
        <f t="array" aca="1" ref="AA157" ca="1">IFERROR(INDEX(H_Tables!E:E,MATCH(INDIRECT("I"&amp;ROW()),H_Tables!F:F,0)),"")</f>
        <v>8</v>
      </c>
      <c r="AB157" cm="1">
        <f t="array" aca="1" ref="AB157" ca="1">IFERROR(INDEX(H_Tables!H:H,MATCH(INDIRECT("k"&amp;ROW()),H_Tables!I:I,0)),"")</f>
        <v>1</v>
      </c>
      <c r="AC157" t="str">
        <f t="shared" si="7"/>
        <v>FPS Enterprise,New,Hosted by 3rd Party,0</v>
      </c>
      <c r="AD157">
        <v>154</v>
      </c>
    </row>
    <row r="158" spans="1:30" ht="15" customHeight="1" x14ac:dyDescent="0.25">
      <c r="A158" s="127">
        <v>45895</v>
      </c>
      <c r="B158" s="2" t="s">
        <v>2117</v>
      </c>
      <c r="C158" s="110">
        <v>0</v>
      </c>
      <c r="D158" s="2" t="s">
        <v>2118</v>
      </c>
      <c r="E158" s="2" t="s">
        <v>2119</v>
      </c>
      <c r="F158" s="110">
        <v>3.0800000000000001E-2</v>
      </c>
      <c r="G158" s="110">
        <v>0</v>
      </c>
      <c r="H158" s="2" t="s">
        <v>2120</v>
      </c>
      <c r="I158" s="2" t="s">
        <v>189</v>
      </c>
      <c r="J158" s="2" t="s">
        <v>383</v>
      </c>
      <c r="K158" s="2" t="s">
        <v>535</v>
      </c>
      <c r="L158" s="2" t="s">
        <v>2129</v>
      </c>
      <c r="M158" s="2" t="s">
        <v>1458</v>
      </c>
      <c r="N158" s="2" t="s">
        <v>2122</v>
      </c>
      <c r="O158" s="2" t="s">
        <v>2207</v>
      </c>
      <c r="P158" s="2" t="s">
        <v>2124</v>
      </c>
      <c r="Q158" s="2" t="s">
        <v>152</v>
      </c>
      <c r="R158" s="110">
        <v>1</v>
      </c>
      <c r="S158" s="110">
        <v>205</v>
      </c>
      <c r="T158" s="110">
        <v>-51.25</v>
      </c>
      <c r="U158" s="2" t="s">
        <v>2126</v>
      </c>
      <c r="V158" s="110"/>
      <c r="W158" s="110">
        <v>205</v>
      </c>
      <c r="X158" s="2" t="s">
        <v>2335</v>
      </c>
      <c r="Y158" s="110">
        <v>5000</v>
      </c>
      <c r="Z158" s="110">
        <f t="shared" si="6"/>
        <v>4.1000000000000002E-2</v>
      </c>
      <c r="AA158" cm="1">
        <f t="array" aca="1" ref="AA158" ca="1">IFERROR(INDEX(H_Tables!E:E,MATCH(INDIRECT("I"&amp;ROW()),H_Tables!F:F,0)),"")</f>
        <v>8</v>
      </c>
      <c r="AB158" cm="1">
        <f t="array" aca="1" ref="AB158" ca="1">IFERROR(INDEX(H_Tables!H:H,MATCH(INDIRECT("k"&amp;ROW()),H_Tables!I:I,0)),"")</f>
        <v>1</v>
      </c>
      <c r="AC158" t="str">
        <f t="shared" si="7"/>
        <v>FPS Forecasting and Financial Reporting,New,Hosted by 3rd Party,0</v>
      </c>
      <c r="AD158">
        <v>155</v>
      </c>
    </row>
    <row r="159" spans="1:30" ht="15" customHeight="1" x14ac:dyDescent="0.25">
      <c r="A159" s="127">
        <v>45895</v>
      </c>
      <c r="B159" s="2" t="s">
        <v>2117</v>
      </c>
      <c r="C159" s="110">
        <v>0</v>
      </c>
      <c r="D159" s="2" t="s">
        <v>2118</v>
      </c>
      <c r="E159" s="2" t="s">
        <v>2119</v>
      </c>
      <c r="F159" s="110">
        <v>0</v>
      </c>
      <c r="G159" s="110">
        <v>0</v>
      </c>
      <c r="H159" s="2" t="s">
        <v>2120</v>
      </c>
      <c r="I159" s="2" t="s">
        <v>189</v>
      </c>
      <c r="J159" s="2" t="s">
        <v>383</v>
      </c>
      <c r="K159" s="2" t="s">
        <v>535</v>
      </c>
      <c r="L159" s="2" t="s">
        <v>2121</v>
      </c>
      <c r="M159" s="2" t="s">
        <v>1458</v>
      </c>
      <c r="N159" s="2" t="s">
        <v>2122</v>
      </c>
      <c r="O159" s="2" t="s">
        <v>2207</v>
      </c>
      <c r="P159" s="2" t="s">
        <v>2124</v>
      </c>
      <c r="Q159" s="2" t="s">
        <v>2132</v>
      </c>
      <c r="R159" s="110">
        <v>1</v>
      </c>
      <c r="S159" s="110">
        <v>4000</v>
      </c>
      <c r="T159" s="110">
        <v>-4000</v>
      </c>
      <c r="U159" s="2" t="s">
        <v>2126</v>
      </c>
      <c r="V159" s="110"/>
      <c r="W159" s="110">
        <v>4000</v>
      </c>
      <c r="X159" s="2" t="s">
        <v>2336</v>
      </c>
      <c r="Y159" s="110">
        <v>5000</v>
      </c>
      <c r="Z159" s="110">
        <f t="shared" si="6"/>
        <v>0</v>
      </c>
      <c r="AA159" cm="1">
        <f t="array" aca="1" ref="AA159" ca="1">IFERROR(INDEX(H_Tables!E:E,MATCH(INDIRECT("I"&amp;ROW()),H_Tables!F:F,0)),"")</f>
        <v>8</v>
      </c>
      <c r="AB159" cm="1">
        <f t="array" aca="1" ref="AB159" ca="1">IFERROR(INDEX(H_Tables!H:H,MATCH(INDIRECT("k"&amp;ROW()),H_Tables!I:I,0)),"")</f>
        <v>1</v>
      </c>
      <c r="AC159" t="str">
        <f t="shared" si="7"/>
        <v>FPS Forecasting and Financial Reporting,New,Hosted by 3rd Party,0</v>
      </c>
      <c r="AD159">
        <v>156</v>
      </c>
    </row>
    <row r="160" spans="1:30" ht="15" customHeight="1" x14ac:dyDescent="0.25">
      <c r="A160" s="127">
        <v>45895</v>
      </c>
      <c r="B160" s="2" t="s">
        <v>2117</v>
      </c>
      <c r="C160" s="110">
        <v>0</v>
      </c>
      <c r="D160" s="2" t="s">
        <v>2118</v>
      </c>
      <c r="E160" s="2" t="s">
        <v>2119</v>
      </c>
      <c r="F160" s="110">
        <v>0</v>
      </c>
      <c r="G160" s="110">
        <v>0</v>
      </c>
      <c r="H160" s="2" t="s">
        <v>2120</v>
      </c>
      <c r="I160" s="2" t="s">
        <v>189</v>
      </c>
      <c r="J160" s="2" t="s">
        <v>1471</v>
      </c>
      <c r="K160" s="2" t="s">
        <v>535</v>
      </c>
      <c r="L160" s="2" t="s">
        <v>2129</v>
      </c>
      <c r="M160" s="2" t="s">
        <v>2337</v>
      </c>
      <c r="N160" s="2" t="s">
        <v>2122</v>
      </c>
      <c r="O160" s="2" t="s">
        <v>2123</v>
      </c>
      <c r="P160" s="2" t="s">
        <v>2124</v>
      </c>
      <c r="Q160" s="2" t="s">
        <v>2338</v>
      </c>
      <c r="R160" s="110">
        <v>1</v>
      </c>
      <c r="S160" s="110">
        <v>1235</v>
      </c>
      <c r="T160" s="110">
        <v>0</v>
      </c>
      <c r="U160" s="2" t="s">
        <v>2126</v>
      </c>
      <c r="V160" s="110"/>
      <c r="W160" s="110">
        <v>1235</v>
      </c>
      <c r="X160" s="2" t="s">
        <v>2339</v>
      </c>
      <c r="Y160" s="110">
        <v>5000</v>
      </c>
      <c r="Z160" s="110">
        <f t="shared" si="6"/>
        <v>0</v>
      </c>
      <c r="AA160" cm="1">
        <f t="array" aca="1" ref="AA160" ca="1">IFERROR(INDEX(H_Tables!E:E,MATCH(INDIRECT("I"&amp;ROW()),H_Tables!F:F,0)),"")</f>
        <v>8</v>
      </c>
      <c r="AB160" cm="1">
        <f t="array" aca="1" ref="AB160" ca="1">IFERROR(INDEX(H_Tables!H:H,MATCH(INDIRECT("k"&amp;ROW()),H_Tables!I:I,0)),"")</f>
        <v>1</v>
      </c>
      <c r="AC160" t="str">
        <f t="shared" si="7"/>
        <v>ProfitStars ALM Basic Reporting Service,New,Hosted by JHA,0</v>
      </c>
      <c r="AD160">
        <v>157</v>
      </c>
    </row>
    <row r="161" spans="1:30" ht="15" customHeight="1" x14ac:dyDescent="0.25">
      <c r="A161" s="127">
        <v>45895</v>
      </c>
      <c r="B161" s="2" t="s">
        <v>2117</v>
      </c>
      <c r="C161" s="110">
        <v>0</v>
      </c>
      <c r="D161" s="2" t="s">
        <v>2118</v>
      </c>
      <c r="E161" s="2" t="s">
        <v>2119</v>
      </c>
      <c r="F161" s="110">
        <v>0</v>
      </c>
      <c r="G161" s="110">
        <v>0</v>
      </c>
      <c r="H161" s="2" t="s">
        <v>2120</v>
      </c>
      <c r="I161" s="2" t="s">
        <v>189</v>
      </c>
      <c r="J161" s="2" t="s">
        <v>1471</v>
      </c>
      <c r="K161" s="2" t="s">
        <v>535</v>
      </c>
      <c r="L161" s="2" t="s">
        <v>2121</v>
      </c>
      <c r="M161" s="2" t="s">
        <v>2337</v>
      </c>
      <c r="N161" s="2" t="s">
        <v>2122</v>
      </c>
      <c r="O161" s="2" t="s">
        <v>2123</v>
      </c>
      <c r="P161" s="2" t="s">
        <v>2124</v>
      </c>
      <c r="Q161" s="2" t="s">
        <v>2132</v>
      </c>
      <c r="R161" s="110">
        <v>1</v>
      </c>
      <c r="S161" s="110">
        <v>3200</v>
      </c>
      <c r="T161" s="110">
        <v>-3200</v>
      </c>
      <c r="U161" s="2" t="s">
        <v>2126</v>
      </c>
      <c r="V161" s="110"/>
      <c r="W161" s="110">
        <v>3200</v>
      </c>
      <c r="X161" s="2" t="s">
        <v>2340</v>
      </c>
      <c r="Y161" s="110">
        <v>5000</v>
      </c>
      <c r="Z161" s="110">
        <f t="shared" si="6"/>
        <v>0</v>
      </c>
      <c r="AA161" cm="1">
        <f t="array" aca="1" ref="AA161" ca="1">IFERROR(INDEX(H_Tables!E:E,MATCH(INDIRECT("I"&amp;ROW()),H_Tables!F:F,0)),"")</f>
        <v>8</v>
      </c>
      <c r="AB161" cm="1">
        <f t="array" aca="1" ref="AB161" ca="1">IFERROR(INDEX(H_Tables!H:H,MATCH(INDIRECT("k"&amp;ROW()),H_Tables!I:I,0)),"")</f>
        <v>1</v>
      </c>
      <c r="AC161" t="str">
        <f t="shared" si="7"/>
        <v>ProfitStars ALM Basic Reporting Service,New,Hosted by JHA,0</v>
      </c>
      <c r="AD161">
        <v>158</v>
      </c>
    </row>
    <row r="162" spans="1:30" ht="15" customHeight="1" x14ac:dyDescent="0.25">
      <c r="A162" s="127">
        <v>45895</v>
      </c>
      <c r="B162" s="2" t="s">
        <v>2117</v>
      </c>
      <c r="C162" s="110">
        <v>0</v>
      </c>
      <c r="D162" s="2" t="s">
        <v>2118</v>
      </c>
      <c r="E162" s="2" t="s">
        <v>2119</v>
      </c>
      <c r="F162" s="110">
        <v>0</v>
      </c>
      <c r="G162" s="110">
        <v>0</v>
      </c>
      <c r="H162" s="2" t="s">
        <v>2120</v>
      </c>
      <c r="I162" s="2" t="s">
        <v>188</v>
      </c>
      <c r="J162" s="2" t="s">
        <v>672</v>
      </c>
      <c r="K162" s="2" t="s">
        <v>507</v>
      </c>
      <c r="L162" s="2" t="s">
        <v>2129</v>
      </c>
      <c r="M162" s="2" t="s">
        <v>673</v>
      </c>
      <c r="N162" s="2" t="s">
        <v>2122</v>
      </c>
      <c r="O162" s="2" t="s">
        <v>2207</v>
      </c>
      <c r="P162" s="2" t="s">
        <v>2124</v>
      </c>
      <c r="Q162" s="2" t="s">
        <v>152</v>
      </c>
      <c r="R162" s="110">
        <v>1</v>
      </c>
      <c r="S162" s="110">
        <v>650</v>
      </c>
      <c r="T162" s="110">
        <v>0</v>
      </c>
      <c r="U162" s="2" t="s">
        <v>2126</v>
      </c>
      <c r="V162" s="110"/>
      <c r="W162" s="110">
        <v>650</v>
      </c>
      <c r="X162" s="2" t="s">
        <v>2341</v>
      </c>
      <c r="Y162" s="110">
        <v>5000</v>
      </c>
      <c r="Z162" s="110">
        <f t="shared" si="6"/>
        <v>0</v>
      </c>
      <c r="AA162" cm="1">
        <f t="array" aca="1" ref="AA162" ca="1">IFERROR(INDEX(H_Tables!E:E,MATCH(INDIRECT("I"&amp;ROW()),H_Tables!F:F,0)),"")</f>
        <v>6</v>
      </c>
      <c r="AB162" cm="1">
        <f t="array" aca="1" ref="AB162" ca="1">IFERROR(INDEX(H_Tables!H:H,MATCH(INDIRECT("k"&amp;ROW()),H_Tables!I:I,0)),"")</f>
        <v>1</v>
      </c>
      <c r="AC162" t="str">
        <f t="shared" si="7"/>
        <v>JHA Debit Processing,New,Hosted by 3rd Party,0</v>
      </c>
      <c r="AD162">
        <v>159</v>
      </c>
    </row>
    <row r="163" spans="1:30" ht="15" customHeight="1" x14ac:dyDescent="0.25">
      <c r="A163" s="127">
        <v>45895</v>
      </c>
      <c r="B163" s="2" t="s">
        <v>2117</v>
      </c>
      <c r="C163" s="110">
        <v>0</v>
      </c>
      <c r="D163" s="2" t="s">
        <v>2118</v>
      </c>
      <c r="E163" s="2" t="s">
        <v>2119</v>
      </c>
      <c r="F163" s="110">
        <v>0</v>
      </c>
      <c r="G163" s="110">
        <v>0</v>
      </c>
      <c r="H163" s="2" t="s">
        <v>2120</v>
      </c>
      <c r="I163" s="2" t="s">
        <v>188</v>
      </c>
      <c r="J163" s="2" t="s">
        <v>672</v>
      </c>
      <c r="K163" s="2" t="s">
        <v>507</v>
      </c>
      <c r="L163" s="2" t="s">
        <v>2121</v>
      </c>
      <c r="M163" s="2" t="s">
        <v>673</v>
      </c>
      <c r="N163" s="2" t="s">
        <v>2122</v>
      </c>
      <c r="O163" s="2" t="s">
        <v>2207</v>
      </c>
      <c r="P163" s="2" t="s">
        <v>2124</v>
      </c>
      <c r="Q163" s="2" t="s">
        <v>2132</v>
      </c>
      <c r="R163" s="110">
        <v>1</v>
      </c>
      <c r="S163" s="110">
        <v>12500</v>
      </c>
      <c r="T163" s="110">
        <v>-12500</v>
      </c>
      <c r="U163" s="2" t="s">
        <v>2126</v>
      </c>
      <c r="V163" s="110"/>
      <c r="W163" s="110">
        <v>12500</v>
      </c>
      <c r="X163" s="2" t="s">
        <v>2342</v>
      </c>
      <c r="Y163" s="110">
        <v>5000</v>
      </c>
      <c r="Z163" s="110">
        <f t="shared" si="6"/>
        <v>0</v>
      </c>
      <c r="AA163" cm="1">
        <f t="array" aca="1" ref="AA163" ca="1">IFERROR(INDEX(H_Tables!E:E,MATCH(INDIRECT("I"&amp;ROW()),H_Tables!F:F,0)),"")</f>
        <v>6</v>
      </c>
      <c r="AB163" cm="1">
        <f t="array" aca="1" ref="AB163" ca="1">IFERROR(INDEX(H_Tables!H:H,MATCH(INDIRECT("k"&amp;ROW()),H_Tables!I:I,0)),"")</f>
        <v>1</v>
      </c>
      <c r="AC163" t="str">
        <f t="shared" si="7"/>
        <v>JHA Debit Processing,New,Hosted by 3rd Party,0</v>
      </c>
      <c r="AD163">
        <v>160</v>
      </c>
    </row>
    <row r="164" spans="1:30" ht="15" customHeight="1" x14ac:dyDescent="0.25">
      <c r="A164" s="127">
        <v>45895</v>
      </c>
      <c r="B164" s="2" t="s">
        <v>2117</v>
      </c>
      <c r="C164" s="110">
        <v>0</v>
      </c>
      <c r="D164" s="2" t="s">
        <v>2118</v>
      </c>
      <c r="E164" s="2" t="s">
        <v>2119</v>
      </c>
      <c r="F164" s="110">
        <v>0</v>
      </c>
      <c r="G164" s="110">
        <v>0</v>
      </c>
      <c r="H164" s="2" t="s">
        <v>2120</v>
      </c>
      <c r="I164" s="2" t="s">
        <v>188</v>
      </c>
      <c r="J164" s="2" t="s">
        <v>236</v>
      </c>
      <c r="K164" s="2" t="s">
        <v>507</v>
      </c>
      <c r="L164" s="2" t="s">
        <v>2129</v>
      </c>
      <c r="M164" s="2" t="s">
        <v>2343</v>
      </c>
      <c r="N164" s="2" t="s">
        <v>2122</v>
      </c>
      <c r="O164" s="2" t="s">
        <v>2207</v>
      </c>
      <c r="P164" s="2" t="s">
        <v>2124</v>
      </c>
      <c r="Q164" s="2" t="s">
        <v>152</v>
      </c>
      <c r="R164" s="110">
        <v>1</v>
      </c>
      <c r="S164" s="110">
        <v>250</v>
      </c>
      <c r="T164" s="110">
        <v>0</v>
      </c>
      <c r="U164" s="2" t="s">
        <v>2126</v>
      </c>
      <c r="V164" s="110">
        <v>250</v>
      </c>
      <c r="W164" s="110">
        <v>500</v>
      </c>
      <c r="X164" s="2" t="s">
        <v>2344</v>
      </c>
      <c r="Y164" s="110">
        <v>5000</v>
      </c>
      <c r="Z164" s="110">
        <f t="shared" si="6"/>
        <v>0</v>
      </c>
      <c r="AA164" cm="1">
        <f t="array" aca="1" ref="AA164" ca="1">IFERROR(INDEX(H_Tables!E:E,MATCH(INDIRECT("I"&amp;ROW()),H_Tables!F:F,0)),"")</f>
        <v>6</v>
      </c>
      <c r="AB164" cm="1">
        <f t="array" aca="1" ref="AB164" ca="1">IFERROR(INDEX(H_Tables!H:H,MATCH(INDIRECT("k"&amp;ROW()),H_Tables!I:I,0)),"")</f>
        <v>1</v>
      </c>
      <c r="AC164" t="str">
        <f t="shared" si="7"/>
        <v>Debit Card Authorization subject to {$}250 minimum monthly,New,Hosted by 3rd Party,0</v>
      </c>
      <c r="AD164">
        <v>161</v>
      </c>
    </row>
    <row r="165" spans="1:30" ht="15" customHeight="1" x14ac:dyDescent="0.25">
      <c r="A165" s="127">
        <v>45895</v>
      </c>
      <c r="B165" s="2" t="s">
        <v>2117</v>
      </c>
      <c r="C165" s="110">
        <v>0</v>
      </c>
      <c r="D165" s="2" t="s">
        <v>2118</v>
      </c>
      <c r="E165" s="2" t="s">
        <v>2119</v>
      </c>
      <c r="F165" s="110">
        <v>0</v>
      </c>
      <c r="G165" s="110">
        <v>0</v>
      </c>
      <c r="H165" s="2" t="s">
        <v>2120</v>
      </c>
      <c r="I165" s="2" t="s">
        <v>188</v>
      </c>
      <c r="J165" s="2" t="s">
        <v>237</v>
      </c>
      <c r="K165" s="2" t="s">
        <v>507</v>
      </c>
      <c r="L165" s="2" t="s">
        <v>2129</v>
      </c>
      <c r="M165" s="2" t="s">
        <v>679</v>
      </c>
      <c r="N165" s="2" t="s">
        <v>2122</v>
      </c>
      <c r="O165" s="2" t="s">
        <v>2207</v>
      </c>
      <c r="P165" s="2" t="s">
        <v>2124</v>
      </c>
      <c r="Q165" s="2" t="s">
        <v>152</v>
      </c>
      <c r="R165" s="110">
        <v>0</v>
      </c>
      <c r="S165" s="110">
        <v>0</v>
      </c>
      <c r="T165" s="110">
        <v>0</v>
      </c>
      <c r="U165" s="2" t="s">
        <v>2126</v>
      </c>
      <c r="V165" s="110"/>
      <c r="W165" s="110">
        <v>0.02</v>
      </c>
      <c r="X165" s="2" t="s">
        <v>2345</v>
      </c>
      <c r="Y165" s="110">
        <v>5000</v>
      </c>
      <c r="Z165" s="110">
        <f t="shared" si="6"/>
        <v>0</v>
      </c>
      <c r="AA165" cm="1">
        <f t="array" aca="1" ref="AA165" ca="1">IFERROR(INDEX(H_Tables!E:E,MATCH(INDIRECT("I"&amp;ROW()),H_Tables!F:F,0)),"")</f>
        <v>6</v>
      </c>
      <c r="AB165" cm="1">
        <f t="array" aca="1" ref="AB165" ca="1">IFERROR(INDEX(H_Tables!H:H,MATCH(INDIRECT("k"&amp;ROW()),H_Tables!I:I,0)),"")</f>
        <v>1</v>
      </c>
      <c r="AC165" t="str">
        <f t="shared" si="7"/>
        <v>Debit Card Settlement,New,Hosted by 3rd Party,0</v>
      </c>
      <c r="AD165">
        <v>162</v>
      </c>
    </row>
    <row r="166" spans="1:30" ht="15" customHeight="1" x14ac:dyDescent="0.25">
      <c r="A166" s="127">
        <v>45895</v>
      </c>
      <c r="B166" s="2" t="s">
        <v>2117</v>
      </c>
      <c r="C166" s="110">
        <v>0</v>
      </c>
      <c r="D166" s="2" t="s">
        <v>2118</v>
      </c>
      <c r="E166" s="2" t="s">
        <v>2119</v>
      </c>
      <c r="F166" s="110">
        <v>0</v>
      </c>
      <c r="G166" s="110">
        <v>0</v>
      </c>
      <c r="H166" s="2" t="s">
        <v>2120</v>
      </c>
      <c r="I166" s="2" t="s">
        <v>188</v>
      </c>
      <c r="J166" s="2" t="s">
        <v>238</v>
      </c>
      <c r="K166" s="2" t="s">
        <v>507</v>
      </c>
      <c r="L166" s="2" t="s">
        <v>2129</v>
      </c>
      <c r="M166" s="2" t="s">
        <v>681</v>
      </c>
      <c r="N166" s="2" t="s">
        <v>2122</v>
      </c>
      <c r="O166" s="2" t="s">
        <v>2207</v>
      </c>
      <c r="P166" s="2" t="s">
        <v>2124</v>
      </c>
      <c r="Q166" s="2" t="s">
        <v>152</v>
      </c>
      <c r="R166" s="110">
        <v>0</v>
      </c>
      <c r="S166" s="110">
        <v>0</v>
      </c>
      <c r="T166" s="110">
        <v>0</v>
      </c>
      <c r="U166" s="2" t="s">
        <v>2126</v>
      </c>
      <c r="V166" s="110"/>
      <c r="W166" s="110">
        <v>2.5000000000000001E-2</v>
      </c>
      <c r="X166" s="2" t="s">
        <v>2346</v>
      </c>
      <c r="Y166" s="110">
        <v>5000</v>
      </c>
      <c r="Z166" s="110">
        <f t="shared" si="6"/>
        <v>0</v>
      </c>
      <c r="AA166" cm="1">
        <f t="array" aca="1" ref="AA166" ca="1">IFERROR(INDEX(H_Tables!E:E,MATCH(INDIRECT("I"&amp;ROW()),H_Tables!F:F,0)),"")</f>
        <v>6</v>
      </c>
      <c r="AB166" cm="1">
        <f t="array" aca="1" ref="AB166" ca="1">IFERROR(INDEX(H_Tables!H:H,MATCH(INDIRECT("k"&amp;ROW()),H_Tables!I:I,0)),"")</f>
        <v>1</v>
      </c>
      <c r="AC166" t="str">
        <f t="shared" si="7"/>
        <v>ATM/Debit Cards,New,Hosted by 3rd Party,0</v>
      </c>
      <c r="AD166">
        <v>163</v>
      </c>
    </row>
    <row r="167" spans="1:30" ht="15" customHeight="1" x14ac:dyDescent="0.25">
      <c r="A167" s="127">
        <v>45895</v>
      </c>
      <c r="B167" s="2" t="s">
        <v>2117</v>
      </c>
      <c r="C167" s="110">
        <v>0</v>
      </c>
      <c r="D167" s="2" t="s">
        <v>2118</v>
      </c>
      <c r="E167" s="2" t="s">
        <v>2119</v>
      </c>
      <c r="F167" s="110">
        <v>0</v>
      </c>
      <c r="G167" s="110">
        <v>0</v>
      </c>
      <c r="H167" s="2" t="s">
        <v>2120</v>
      </c>
      <c r="I167" s="2" t="s">
        <v>188</v>
      </c>
      <c r="J167" s="2" t="s">
        <v>257</v>
      </c>
      <c r="K167" s="2" t="s">
        <v>507</v>
      </c>
      <c r="L167" s="2" t="s">
        <v>2129</v>
      </c>
      <c r="M167" s="2" t="s">
        <v>2347</v>
      </c>
      <c r="N167" s="2" t="s">
        <v>2122</v>
      </c>
      <c r="O167" s="2" t="s">
        <v>2207</v>
      </c>
      <c r="P167" s="2" t="s">
        <v>2124</v>
      </c>
      <c r="Q167" s="2" t="s">
        <v>152</v>
      </c>
      <c r="R167" s="110">
        <v>0</v>
      </c>
      <c r="S167" s="110">
        <v>0</v>
      </c>
      <c r="T167" s="110">
        <v>0</v>
      </c>
      <c r="U167" s="2" t="s">
        <v>2126</v>
      </c>
      <c r="V167" s="110"/>
      <c r="W167" s="110">
        <v>1.4999999999999999E-2</v>
      </c>
      <c r="X167" s="2" t="s">
        <v>2348</v>
      </c>
      <c r="Y167" s="110">
        <v>5000</v>
      </c>
      <c r="Z167" s="110">
        <f t="shared" si="6"/>
        <v>0</v>
      </c>
      <c r="AA167" cm="1">
        <f t="array" aca="1" ref="AA167" ca="1">IFERROR(INDEX(H_Tables!E:E,MATCH(INDIRECT("I"&amp;ROW()),H_Tables!F:F,0)),"")</f>
        <v>6</v>
      </c>
      <c r="AB167" cm="1">
        <f t="array" aca="1" ref="AB167" ca="1">IFERROR(INDEX(H_Tables!H:H,MATCH(INDIRECT("k"&amp;ROW()),H_Tables!I:I,0)),"")</f>
        <v>1</v>
      </c>
      <c r="AC167" t="str">
        <f t="shared" si="7"/>
        <v>Administrative Fee,New,Hosted by 3rd Party,0</v>
      </c>
      <c r="AD167">
        <v>164</v>
      </c>
    </row>
    <row r="168" spans="1:30" ht="15" customHeight="1" x14ac:dyDescent="0.25">
      <c r="A168" s="127">
        <v>45895</v>
      </c>
      <c r="B168" s="2" t="s">
        <v>2117</v>
      </c>
      <c r="C168" s="110">
        <v>0</v>
      </c>
      <c r="D168" s="2" t="s">
        <v>2118</v>
      </c>
      <c r="E168" s="2" t="s">
        <v>2119</v>
      </c>
      <c r="F168" s="110">
        <v>0</v>
      </c>
      <c r="G168" s="110">
        <v>0</v>
      </c>
      <c r="H168" s="2" t="s">
        <v>2120</v>
      </c>
      <c r="I168" s="2" t="s">
        <v>188</v>
      </c>
      <c r="J168" s="2" t="s">
        <v>241</v>
      </c>
      <c r="K168" s="2" t="s">
        <v>507</v>
      </c>
      <c r="L168" s="2" t="s">
        <v>2129</v>
      </c>
      <c r="M168" s="2" t="s">
        <v>686</v>
      </c>
      <c r="N168" s="2" t="s">
        <v>2122</v>
      </c>
      <c r="O168" s="2" t="s">
        <v>2207</v>
      </c>
      <c r="P168" s="2" t="s">
        <v>2124</v>
      </c>
      <c r="Q168" s="2" t="s">
        <v>152</v>
      </c>
      <c r="R168" s="110">
        <v>0</v>
      </c>
      <c r="S168" s="110">
        <v>0</v>
      </c>
      <c r="T168" s="110">
        <v>0</v>
      </c>
      <c r="U168" s="2" t="s">
        <v>2126</v>
      </c>
      <c r="V168" s="110"/>
      <c r="W168" s="110">
        <v>7.4999999999999997E-3</v>
      </c>
      <c r="X168" s="2" t="s">
        <v>2349</v>
      </c>
      <c r="Y168" s="110">
        <v>5000</v>
      </c>
      <c r="Z168" s="110">
        <f t="shared" si="6"/>
        <v>0</v>
      </c>
      <c r="AA168" cm="1">
        <f t="array" aca="1" ref="AA168" ca="1">IFERROR(INDEX(H_Tables!E:E,MATCH(INDIRECT("I"&amp;ROW()),H_Tables!F:F,0)),"")</f>
        <v>6</v>
      </c>
      <c r="AB168" cm="1">
        <f t="array" aca="1" ref="AB168" ca="1">IFERROR(INDEX(H_Tables!H:H,MATCH(INDIRECT("k"&amp;ROW()),H_Tables!I:I,0)),"")</f>
        <v>1</v>
      </c>
      <c r="AC168" t="str">
        <f t="shared" si="7"/>
        <v>EMV Chip Card Authorization,New,Hosted by 3rd Party,0</v>
      </c>
      <c r="AD168">
        <v>165</v>
      </c>
    </row>
    <row r="169" spans="1:30" ht="15" customHeight="1" x14ac:dyDescent="0.25">
      <c r="A169" s="127">
        <v>45895</v>
      </c>
      <c r="B169" s="2" t="s">
        <v>2117</v>
      </c>
      <c r="C169" s="110">
        <v>0</v>
      </c>
      <c r="D169" s="2" t="s">
        <v>2118</v>
      </c>
      <c r="E169" s="2" t="s">
        <v>2119</v>
      </c>
      <c r="F169" s="110">
        <v>0</v>
      </c>
      <c r="G169" s="110">
        <v>0</v>
      </c>
      <c r="H169" s="2" t="s">
        <v>2120</v>
      </c>
      <c r="I169" s="2" t="s">
        <v>188</v>
      </c>
      <c r="J169" s="2" t="s">
        <v>1728</v>
      </c>
      <c r="K169" s="2" t="s">
        <v>507</v>
      </c>
      <c r="L169" s="2" t="s">
        <v>2129</v>
      </c>
      <c r="M169" s="2" t="s">
        <v>1729</v>
      </c>
      <c r="N169" s="2" t="s">
        <v>2122</v>
      </c>
      <c r="O169" s="2" t="s">
        <v>2207</v>
      </c>
      <c r="P169" s="2" t="s">
        <v>2124</v>
      </c>
      <c r="Q169" s="2" t="s">
        <v>152</v>
      </c>
      <c r="R169" s="110">
        <v>0</v>
      </c>
      <c r="S169" s="110">
        <v>0</v>
      </c>
      <c r="T169" s="110">
        <v>0</v>
      </c>
      <c r="U169" s="2" t="s">
        <v>2126</v>
      </c>
      <c r="V169" s="110"/>
      <c r="W169" s="110">
        <v>4.0000000000000001E-3</v>
      </c>
      <c r="X169" s="2" t="s">
        <v>2350</v>
      </c>
      <c r="Y169" s="110">
        <v>5000</v>
      </c>
      <c r="Z169" s="110">
        <f t="shared" si="6"/>
        <v>0</v>
      </c>
      <c r="AA169" cm="1">
        <f t="array" aca="1" ref="AA169" ca="1">IFERROR(INDEX(H_Tables!E:E,MATCH(INDIRECT("I"&amp;ROW()),H_Tables!F:F,0)),"")</f>
        <v>6</v>
      </c>
      <c r="AB169" cm="1">
        <f t="array" aca="1" ref="AB169" ca="1">IFERROR(INDEX(H_Tables!H:H,MATCH(INDIRECT("k"&amp;ROW()),H_Tables!I:I,0)),"")</f>
        <v>1</v>
      </c>
      <c r="AC169" t="str">
        <f t="shared" si="7"/>
        <v>Authorization Track One Name Edit,New,Hosted by 3rd Party,0</v>
      </c>
      <c r="AD169">
        <v>166</v>
      </c>
    </row>
    <row r="170" spans="1:30" ht="15" customHeight="1" x14ac:dyDescent="0.25">
      <c r="A170" s="127">
        <v>45895</v>
      </c>
      <c r="B170" s="2" t="s">
        <v>2117</v>
      </c>
      <c r="C170" s="110">
        <v>0</v>
      </c>
      <c r="D170" s="2" t="s">
        <v>2118</v>
      </c>
      <c r="E170" s="2" t="s">
        <v>2119</v>
      </c>
      <c r="F170" s="110">
        <v>0</v>
      </c>
      <c r="G170" s="110">
        <v>0</v>
      </c>
      <c r="H170" s="2" t="s">
        <v>2120</v>
      </c>
      <c r="I170" s="2" t="s">
        <v>188</v>
      </c>
      <c r="J170" s="2" t="s">
        <v>707</v>
      </c>
      <c r="K170" s="2" t="s">
        <v>507</v>
      </c>
      <c r="L170" s="2" t="s">
        <v>2129</v>
      </c>
      <c r="M170" s="2" t="s">
        <v>708</v>
      </c>
      <c r="N170" s="2" t="s">
        <v>2122</v>
      </c>
      <c r="O170" s="2" t="s">
        <v>2207</v>
      </c>
      <c r="P170" s="2" t="s">
        <v>2124</v>
      </c>
      <c r="Q170" s="2" t="s">
        <v>152</v>
      </c>
      <c r="R170" s="110">
        <v>1</v>
      </c>
      <c r="S170" s="110">
        <v>500</v>
      </c>
      <c r="T170" s="110">
        <v>0</v>
      </c>
      <c r="U170" s="2" t="s">
        <v>2126</v>
      </c>
      <c r="V170" s="110"/>
      <c r="W170" s="110">
        <v>500</v>
      </c>
      <c r="X170" s="2" t="s">
        <v>2351</v>
      </c>
      <c r="Y170" s="110">
        <v>5000</v>
      </c>
      <c r="Z170" s="110">
        <f t="shared" si="6"/>
        <v>0</v>
      </c>
      <c r="AA170" cm="1">
        <f t="array" aca="1" ref="AA170" ca="1">IFERROR(INDEX(H_Tables!E:E,MATCH(INDIRECT("I"&amp;ROW()),H_Tables!F:F,0)),"")</f>
        <v>6</v>
      </c>
      <c r="AB170" cm="1">
        <f t="array" aca="1" ref="AB170" ca="1">IFERROR(INDEX(H_Tables!H:H,MATCH(INDIRECT("k"&amp;ROW()),H_Tables!I:I,0)),"")</f>
        <v>1</v>
      </c>
      <c r="AC170" t="str">
        <f t="shared" si="7"/>
        <v>JHA ATM/POS Processing,New,Hosted by 3rd Party,0</v>
      </c>
      <c r="AD170">
        <v>167</v>
      </c>
    </row>
    <row r="171" spans="1:30" ht="15" customHeight="1" x14ac:dyDescent="0.25">
      <c r="A171" s="127">
        <v>45895</v>
      </c>
      <c r="B171" s="2" t="s">
        <v>2117</v>
      </c>
      <c r="C171" s="110">
        <v>0</v>
      </c>
      <c r="D171" s="2" t="s">
        <v>2118</v>
      </c>
      <c r="E171" s="2" t="s">
        <v>2119</v>
      </c>
      <c r="F171" s="110">
        <v>0</v>
      </c>
      <c r="G171" s="110">
        <v>0</v>
      </c>
      <c r="H171" s="2" t="s">
        <v>2120</v>
      </c>
      <c r="I171" s="2" t="s">
        <v>188</v>
      </c>
      <c r="J171" s="2" t="s">
        <v>707</v>
      </c>
      <c r="K171" s="2" t="s">
        <v>507</v>
      </c>
      <c r="L171" s="2" t="s">
        <v>2121</v>
      </c>
      <c r="M171" s="2" t="s">
        <v>708</v>
      </c>
      <c r="N171" s="2" t="s">
        <v>2122</v>
      </c>
      <c r="O171" s="2" t="s">
        <v>2207</v>
      </c>
      <c r="P171" s="2" t="s">
        <v>2124</v>
      </c>
      <c r="Q171" s="2" t="s">
        <v>2132</v>
      </c>
      <c r="R171" s="110">
        <v>1</v>
      </c>
      <c r="S171" s="110">
        <v>3000</v>
      </c>
      <c r="T171" s="110">
        <v>-3000</v>
      </c>
      <c r="U171" s="2" t="s">
        <v>2126</v>
      </c>
      <c r="V171" s="110"/>
      <c r="W171" s="110">
        <v>3000</v>
      </c>
      <c r="X171" s="2" t="s">
        <v>2352</v>
      </c>
      <c r="Y171" s="110">
        <v>5000</v>
      </c>
      <c r="Z171" s="110">
        <f t="shared" si="6"/>
        <v>0</v>
      </c>
      <c r="AA171" cm="1">
        <f t="array" aca="1" ref="AA171" ca="1">IFERROR(INDEX(H_Tables!E:E,MATCH(INDIRECT("I"&amp;ROW()),H_Tables!F:F,0)),"")</f>
        <v>6</v>
      </c>
      <c r="AB171" cm="1">
        <f t="array" aca="1" ref="AB171" ca="1">IFERROR(INDEX(H_Tables!H:H,MATCH(INDIRECT("k"&amp;ROW()),H_Tables!I:I,0)),"")</f>
        <v>1</v>
      </c>
      <c r="AC171" t="str">
        <f t="shared" si="7"/>
        <v>JHA ATM/POS Processing,New,Hosted by 3rd Party,0</v>
      </c>
      <c r="AD171">
        <v>168</v>
      </c>
    </row>
    <row r="172" spans="1:30" ht="15" customHeight="1" x14ac:dyDescent="0.25">
      <c r="A172" s="127">
        <v>45895</v>
      </c>
      <c r="B172" s="2" t="s">
        <v>2117</v>
      </c>
      <c r="C172" s="110">
        <v>0</v>
      </c>
      <c r="D172" s="2" t="s">
        <v>2118</v>
      </c>
      <c r="E172" s="2" t="s">
        <v>2119</v>
      </c>
      <c r="F172" s="110">
        <v>0</v>
      </c>
      <c r="G172" s="110">
        <v>0</v>
      </c>
      <c r="H172" s="2" t="s">
        <v>2120</v>
      </c>
      <c r="I172" s="2" t="s">
        <v>188</v>
      </c>
      <c r="J172" s="2" t="s">
        <v>234</v>
      </c>
      <c r="K172" s="2" t="s">
        <v>507</v>
      </c>
      <c r="L172" s="2" t="s">
        <v>2129</v>
      </c>
      <c r="M172" s="2" t="s">
        <v>2353</v>
      </c>
      <c r="N172" s="2" t="s">
        <v>2122</v>
      </c>
      <c r="O172" s="2" t="s">
        <v>2207</v>
      </c>
      <c r="P172" s="2" t="s">
        <v>2124</v>
      </c>
      <c r="Q172" s="2" t="s">
        <v>152</v>
      </c>
      <c r="R172" s="110">
        <v>1</v>
      </c>
      <c r="S172" s="110">
        <v>250</v>
      </c>
      <c r="T172" s="110">
        <v>0</v>
      </c>
      <c r="U172" s="2" t="s">
        <v>2126</v>
      </c>
      <c r="V172" s="110">
        <v>250</v>
      </c>
      <c r="W172" s="110">
        <v>500</v>
      </c>
      <c r="X172" s="2" t="s">
        <v>2354</v>
      </c>
      <c r="Y172" s="110">
        <v>5000</v>
      </c>
      <c r="Z172" s="110">
        <f t="shared" si="6"/>
        <v>0</v>
      </c>
      <c r="AA172" cm="1">
        <f t="array" aca="1" ref="AA172" ca="1">IFERROR(INDEX(H_Tables!E:E,MATCH(INDIRECT("I"&amp;ROW()),H_Tables!F:F,0)),"")</f>
        <v>6</v>
      </c>
      <c r="AB172" cm="1">
        <f t="array" aca="1" ref="AB172" ca="1">IFERROR(INDEX(H_Tables!H:H,MATCH(INDIRECT("k"&amp;ROW()),H_Tables!I:I,0)),"")</f>
        <v>1</v>
      </c>
      <c r="AC172" t="str">
        <f t="shared" si="7"/>
        <v>ATM/POS Transactions subject to {$}250 minimum monthly,New,Hosted by 3rd Party,0</v>
      </c>
      <c r="AD172">
        <v>169</v>
      </c>
    </row>
    <row r="173" spans="1:30" ht="15" customHeight="1" x14ac:dyDescent="0.25">
      <c r="A173" s="127">
        <v>45895</v>
      </c>
      <c r="B173" s="2" t="s">
        <v>2117</v>
      </c>
      <c r="C173" s="110">
        <v>0</v>
      </c>
      <c r="D173" s="2" t="s">
        <v>2118</v>
      </c>
      <c r="E173" s="2" t="s">
        <v>2119</v>
      </c>
      <c r="F173" s="110">
        <v>0</v>
      </c>
      <c r="G173" s="110">
        <v>0</v>
      </c>
      <c r="H173" s="2" t="s">
        <v>2120</v>
      </c>
      <c r="I173" s="2" t="s">
        <v>188</v>
      </c>
      <c r="J173" s="2" t="s">
        <v>235</v>
      </c>
      <c r="K173" s="2" t="s">
        <v>507</v>
      </c>
      <c r="L173" s="2" t="s">
        <v>2129</v>
      </c>
      <c r="M173" s="2" t="s">
        <v>687</v>
      </c>
      <c r="N173" s="2" t="s">
        <v>2122</v>
      </c>
      <c r="O173" s="2" t="s">
        <v>2207</v>
      </c>
      <c r="P173" s="2" t="s">
        <v>2124</v>
      </c>
      <c r="Q173" s="2" t="s">
        <v>152</v>
      </c>
      <c r="R173" s="110">
        <v>0</v>
      </c>
      <c r="S173" s="110">
        <v>0</v>
      </c>
      <c r="T173" s="110">
        <v>0</v>
      </c>
      <c r="U173" s="2" t="s">
        <v>2126</v>
      </c>
      <c r="V173" s="110"/>
      <c r="W173" s="110">
        <v>0.02</v>
      </c>
      <c r="X173" s="2" t="s">
        <v>2355</v>
      </c>
      <c r="Y173" s="110">
        <v>5000</v>
      </c>
      <c r="Z173" s="110">
        <f t="shared" si="6"/>
        <v>0</v>
      </c>
      <c r="AA173" cm="1">
        <f t="array" aca="1" ref="AA173" ca="1">IFERROR(INDEX(H_Tables!E:E,MATCH(INDIRECT("I"&amp;ROW()),H_Tables!F:F,0)),"")</f>
        <v>6</v>
      </c>
      <c r="AB173" cm="1">
        <f t="array" aca="1" ref="AB173" ca="1">IFERROR(INDEX(H_Tables!H:H,MATCH(INDIRECT("k"&amp;ROW()),H_Tables!I:I,0)),"")</f>
        <v>1</v>
      </c>
      <c r="AC173" t="str">
        <f t="shared" si="7"/>
        <v>ATM Transactions (on-us at-us),New,Hosted by 3rd Party,0</v>
      </c>
      <c r="AD173">
        <v>170</v>
      </c>
    </row>
    <row r="174" spans="1:30" ht="15" customHeight="1" x14ac:dyDescent="0.25">
      <c r="A174" s="127">
        <v>45895</v>
      </c>
      <c r="B174" s="2" t="s">
        <v>2117</v>
      </c>
      <c r="C174" s="110">
        <v>0</v>
      </c>
      <c r="D174" s="2" t="s">
        <v>2118</v>
      </c>
      <c r="E174" s="2" t="s">
        <v>2119</v>
      </c>
      <c r="F174" s="110">
        <v>0</v>
      </c>
      <c r="G174" s="110">
        <v>0</v>
      </c>
      <c r="H174" s="2" t="s">
        <v>2120</v>
      </c>
      <c r="I174" s="2" t="s">
        <v>188</v>
      </c>
      <c r="J174" s="2" t="s">
        <v>693</v>
      </c>
      <c r="K174" s="2" t="s">
        <v>507</v>
      </c>
      <c r="L174" s="2" t="s">
        <v>2121</v>
      </c>
      <c r="M174" s="2" t="s">
        <v>694</v>
      </c>
      <c r="N174" s="2" t="s">
        <v>2122</v>
      </c>
      <c r="O174" s="2" t="s">
        <v>2207</v>
      </c>
      <c r="P174" s="2" t="s">
        <v>2124</v>
      </c>
      <c r="Q174" s="2" t="s">
        <v>2132</v>
      </c>
      <c r="R174" s="110">
        <v>1</v>
      </c>
      <c r="S174" s="110">
        <v>145</v>
      </c>
      <c r="T174" s="110">
        <v>-145</v>
      </c>
      <c r="U174" s="2" t="s">
        <v>2126</v>
      </c>
      <c r="V174" s="110"/>
      <c r="W174" s="110">
        <v>145</v>
      </c>
      <c r="X174" s="2" t="s">
        <v>2356</v>
      </c>
      <c r="Y174" s="110">
        <v>5000</v>
      </c>
      <c r="Z174" s="110">
        <f t="shared" si="6"/>
        <v>0</v>
      </c>
      <c r="AA174" cm="1">
        <f t="array" aca="1" ref="AA174" ca="1">IFERROR(INDEX(H_Tables!E:E,MATCH(INDIRECT("I"&amp;ROW()),H_Tables!F:F,0)),"")</f>
        <v>6</v>
      </c>
      <c r="AB174" cm="1">
        <f t="array" aca="1" ref="AB174" ca="1">IFERROR(INDEX(H_Tables!H:H,MATCH(INDIRECT("k"&amp;ROW()),H_Tables!I:I,0)),"")</f>
        <v>1</v>
      </c>
      <c r="AC174" t="str">
        <f t="shared" si="7"/>
        <v>ATM Setup,New,Hosted by 3rd Party,0</v>
      </c>
      <c r="AD174">
        <v>171</v>
      </c>
    </row>
    <row r="175" spans="1:30" ht="15" customHeight="1" x14ac:dyDescent="0.25">
      <c r="A175" s="127">
        <v>45895</v>
      </c>
      <c r="B175" s="2" t="s">
        <v>2117</v>
      </c>
      <c r="C175" s="110">
        <v>0</v>
      </c>
      <c r="D175" s="2" t="s">
        <v>2118</v>
      </c>
      <c r="E175" s="2" t="s">
        <v>2119</v>
      </c>
      <c r="F175" s="110">
        <v>0</v>
      </c>
      <c r="G175" s="110">
        <v>0</v>
      </c>
      <c r="H175" s="2" t="s">
        <v>2120</v>
      </c>
      <c r="I175" s="2" t="s">
        <v>188</v>
      </c>
      <c r="J175" s="2" t="s">
        <v>245</v>
      </c>
      <c r="K175" s="2" t="s">
        <v>507</v>
      </c>
      <c r="L175" s="2" t="s">
        <v>2129</v>
      </c>
      <c r="M175" s="2" t="s">
        <v>2357</v>
      </c>
      <c r="N175" s="2" t="s">
        <v>2122</v>
      </c>
      <c r="O175" s="2" t="s">
        <v>2207</v>
      </c>
      <c r="P175" s="2" t="s">
        <v>2124</v>
      </c>
      <c r="Q175" s="2" t="s">
        <v>152</v>
      </c>
      <c r="R175" s="110">
        <v>1</v>
      </c>
      <c r="S175" s="110">
        <v>100</v>
      </c>
      <c r="T175" s="110">
        <v>0</v>
      </c>
      <c r="U175" s="2" t="s">
        <v>2126</v>
      </c>
      <c r="V175" s="110"/>
      <c r="W175" s="110">
        <v>100</v>
      </c>
      <c r="X175" s="2" t="s">
        <v>2358</v>
      </c>
      <c r="Y175" s="110">
        <v>5000</v>
      </c>
      <c r="Z175" s="110">
        <f t="shared" si="6"/>
        <v>0</v>
      </c>
      <c r="AA175" cm="1">
        <f t="array" aca="1" ref="AA175" ca="1">IFERROR(INDEX(H_Tables!E:E,MATCH(INDIRECT("I"&amp;ROW()),H_Tables!F:F,0)),"")</f>
        <v>6</v>
      </c>
      <c r="AB175" cm="1">
        <f t="array" aca="1" ref="AB175" ca="1">IFERROR(INDEX(H_Tables!H:H,MATCH(INDIRECT("k"&amp;ROW()),H_Tables!I:I,0)),"")</f>
        <v>1</v>
      </c>
      <c r="AC175" t="str">
        <f t="shared" si="7"/>
        <v>ATM Driving VPN,New,Hosted by 3rd Party,0</v>
      </c>
      <c r="AD175">
        <v>172</v>
      </c>
    </row>
    <row r="176" spans="1:30" ht="15" customHeight="1" x14ac:dyDescent="0.25">
      <c r="A176" s="127">
        <v>45895</v>
      </c>
      <c r="B176" s="2" t="s">
        <v>2117</v>
      </c>
      <c r="C176" s="110">
        <v>0</v>
      </c>
      <c r="D176" s="2" t="s">
        <v>2118</v>
      </c>
      <c r="E176" s="2" t="s">
        <v>2119</v>
      </c>
      <c r="F176" s="110">
        <v>0</v>
      </c>
      <c r="G176" s="110">
        <v>0</v>
      </c>
      <c r="H176" s="2" t="s">
        <v>2120</v>
      </c>
      <c r="I176" s="2" t="s">
        <v>188</v>
      </c>
      <c r="J176" s="2" t="s">
        <v>261</v>
      </c>
      <c r="K176" s="2" t="s">
        <v>507</v>
      </c>
      <c r="L176" s="2" t="s">
        <v>2129</v>
      </c>
      <c r="M176" s="2" t="s">
        <v>715</v>
      </c>
      <c r="N176" s="2" t="s">
        <v>2122</v>
      </c>
      <c r="O176" s="2" t="s">
        <v>2207</v>
      </c>
      <c r="P176" s="2" t="s">
        <v>2124</v>
      </c>
      <c r="Q176" s="2" t="s">
        <v>152</v>
      </c>
      <c r="R176" s="110">
        <v>1</v>
      </c>
      <c r="S176" s="110">
        <v>75</v>
      </c>
      <c r="T176" s="110">
        <v>0</v>
      </c>
      <c r="U176" s="2" t="s">
        <v>2126</v>
      </c>
      <c r="V176" s="110"/>
      <c r="W176" s="110">
        <v>75</v>
      </c>
      <c r="X176" s="2" t="s">
        <v>2359</v>
      </c>
      <c r="Y176" s="110">
        <v>5000</v>
      </c>
      <c r="Z176" s="110">
        <f t="shared" si="6"/>
        <v>0</v>
      </c>
      <c r="AA176" cm="1">
        <f t="array" aca="1" ref="AA176" ca="1">IFERROR(INDEX(H_Tables!E:E,MATCH(INDIRECT("I"&amp;ROW()),H_Tables!F:F,0)),"")</f>
        <v>6</v>
      </c>
      <c r="AB176" cm="1">
        <f t="array" aca="1" ref="AB176" ca="1">IFERROR(INDEX(H_Tables!H:H,MATCH(INDIRECT("k"&amp;ROW()),H_Tables!I:I,0)),"")</f>
        <v>1</v>
      </c>
      <c r="AC176" t="str">
        <f t="shared" si="7"/>
        <v>Regional ATM/Debit Network,New,Hosted by 3rd Party,0</v>
      </c>
      <c r="AD176">
        <v>173</v>
      </c>
    </row>
    <row r="177" spans="1:30" ht="15" customHeight="1" x14ac:dyDescent="0.25">
      <c r="A177" s="127">
        <v>45895</v>
      </c>
      <c r="B177" s="2" t="s">
        <v>2117</v>
      </c>
      <c r="C177" s="110">
        <v>0</v>
      </c>
      <c r="D177" s="2" t="s">
        <v>2118</v>
      </c>
      <c r="E177" s="2" t="s">
        <v>2119</v>
      </c>
      <c r="F177" s="110">
        <v>0</v>
      </c>
      <c r="G177" s="110">
        <v>0</v>
      </c>
      <c r="H177" s="2" t="s">
        <v>2120</v>
      </c>
      <c r="I177" s="2" t="s">
        <v>188</v>
      </c>
      <c r="J177" s="2" t="s">
        <v>261</v>
      </c>
      <c r="K177" s="2" t="s">
        <v>507</v>
      </c>
      <c r="L177" s="2" t="s">
        <v>2121</v>
      </c>
      <c r="M177" s="2" t="s">
        <v>715</v>
      </c>
      <c r="N177" s="2" t="s">
        <v>2122</v>
      </c>
      <c r="O177" s="2" t="s">
        <v>2207</v>
      </c>
      <c r="P177" s="2" t="s">
        <v>2124</v>
      </c>
      <c r="Q177" s="2" t="s">
        <v>2132</v>
      </c>
      <c r="R177" s="110">
        <v>1</v>
      </c>
      <c r="S177" s="110">
        <v>500</v>
      </c>
      <c r="T177" s="110">
        <v>-500</v>
      </c>
      <c r="U177" s="2" t="s">
        <v>2126</v>
      </c>
      <c r="V177" s="110"/>
      <c r="W177" s="110">
        <v>500</v>
      </c>
      <c r="X177" s="2" t="s">
        <v>2360</v>
      </c>
      <c r="Y177" s="110">
        <v>5000</v>
      </c>
      <c r="Z177" s="110">
        <f t="shared" si="6"/>
        <v>0</v>
      </c>
      <c r="AA177" cm="1">
        <f t="array" aca="1" ref="AA177" ca="1">IFERROR(INDEX(H_Tables!E:E,MATCH(INDIRECT("I"&amp;ROW()),H_Tables!F:F,0)),"")</f>
        <v>6</v>
      </c>
      <c r="AB177" cm="1">
        <f t="array" aca="1" ref="AB177" ca="1">IFERROR(INDEX(H_Tables!H:H,MATCH(INDIRECT("k"&amp;ROW()),H_Tables!I:I,0)),"")</f>
        <v>1</v>
      </c>
      <c r="AC177" t="str">
        <f t="shared" si="7"/>
        <v>Regional ATM/Debit Network,New,Hosted by 3rd Party,0</v>
      </c>
      <c r="AD177">
        <v>174</v>
      </c>
    </row>
    <row r="178" spans="1:30" ht="15" customHeight="1" x14ac:dyDescent="0.25">
      <c r="A178" s="127">
        <v>45895</v>
      </c>
      <c r="B178" s="2" t="s">
        <v>2117</v>
      </c>
      <c r="C178" s="110">
        <v>0</v>
      </c>
      <c r="D178" s="2" t="s">
        <v>2118</v>
      </c>
      <c r="E178" s="2" t="s">
        <v>2119</v>
      </c>
      <c r="F178" s="110">
        <v>0</v>
      </c>
      <c r="G178" s="110">
        <v>0</v>
      </c>
      <c r="H178" s="2" t="s">
        <v>2120</v>
      </c>
      <c r="I178" s="2" t="s">
        <v>188</v>
      </c>
      <c r="J178" s="2" t="s">
        <v>262</v>
      </c>
      <c r="K178" s="2" t="s">
        <v>507</v>
      </c>
      <c r="L178" s="2" t="s">
        <v>2129</v>
      </c>
      <c r="M178" s="2" t="s">
        <v>716</v>
      </c>
      <c r="N178" s="2" t="s">
        <v>2122</v>
      </c>
      <c r="O178" s="2" t="s">
        <v>2207</v>
      </c>
      <c r="P178" s="2" t="s">
        <v>2124</v>
      </c>
      <c r="Q178" s="2" t="s">
        <v>152</v>
      </c>
      <c r="R178" s="110">
        <v>3</v>
      </c>
      <c r="S178" s="110">
        <v>225</v>
      </c>
      <c r="T178" s="110">
        <v>0</v>
      </c>
      <c r="U178" s="2" t="s">
        <v>2126</v>
      </c>
      <c r="V178" s="110"/>
      <c r="W178" s="110">
        <v>75</v>
      </c>
      <c r="X178" s="2" t="s">
        <v>2361</v>
      </c>
      <c r="Y178" s="110">
        <v>5000</v>
      </c>
      <c r="Z178" s="110">
        <f t="shared" si="6"/>
        <v>0</v>
      </c>
      <c r="AA178" cm="1">
        <f t="array" aca="1" ref="AA178" ca="1">IFERROR(INDEX(H_Tables!E:E,MATCH(INDIRECT("I"&amp;ROW()),H_Tables!F:F,0)),"")</f>
        <v>6</v>
      </c>
      <c r="AB178" cm="1">
        <f t="array" aca="1" ref="AB178" ca="1">IFERROR(INDEX(H_Tables!H:H,MATCH(INDIRECT("k"&amp;ROW()),H_Tables!I:I,0)),"")</f>
        <v>1</v>
      </c>
      <c r="AC178" t="str">
        <f t="shared" si="7"/>
        <v>National ATM/Debit Network,New,Hosted by 3rd Party,0</v>
      </c>
      <c r="AD178">
        <v>175</v>
      </c>
    </row>
    <row r="179" spans="1:30" ht="15" customHeight="1" x14ac:dyDescent="0.25">
      <c r="A179" s="127">
        <v>45895</v>
      </c>
      <c r="B179" s="2" t="s">
        <v>2117</v>
      </c>
      <c r="C179" s="110">
        <v>0</v>
      </c>
      <c r="D179" s="2" t="s">
        <v>2118</v>
      </c>
      <c r="E179" s="2" t="s">
        <v>2119</v>
      </c>
      <c r="F179" s="110">
        <v>0</v>
      </c>
      <c r="G179" s="110">
        <v>0</v>
      </c>
      <c r="H179" s="2" t="s">
        <v>2120</v>
      </c>
      <c r="I179" s="2" t="s">
        <v>188</v>
      </c>
      <c r="J179" s="2" t="s">
        <v>262</v>
      </c>
      <c r="K179" s="2" t="s">
        <v>507</v>
      </c>
      <c r="L179" s="2" t="s">
        <v>2121</v>
      </c>
      <c r="M179" s="2" t="s">
        <v>716</v>
      </c>
      <c r="N179" s="2" t="s">
        <v>2122</v>
      </c>
      <c r="O179" s="2" t="s">
        <v>2207</v>
      </c>
      <c r="P179" s="2" t="s">
        <v>2124</v>
      </c>
      <c r="Q179" s="2" t="s">
        <v>2132</v>
      </c>
      <c r="R179" s="110">
        <v>3</v>
      </c>
      <c r="S179" s="110">
        <v>1500</v>
      </c>
      <c r="T179" s="110">
        <v>-1500</v>
      </c>
      <c r="U179" s="2" t="s">
        <v>2126</v>
      </c>
      <c r="V179" s="110"/>
      <c r="W179" s="110">
        <v>500</v>
      </c>
      <c r="X179" s="2" t="s">
        <v>2362</v>
      </c>
      <c r="Y179" s="110">
        <v>5000</v>
      </c>
      <c r="Z179" s="110">
        <f t="shared" si="6"/>
        <v>0</v>
      </c>
      <c r="AA179" cm="1">
        <f t="array" aca="1" ref="AA179" ca="1">IFERROR(INDEX(H_Tables!E:E,MATCH(INDIRECT("I"&amp;ROW()),H_Tables!F:F,0)),"")</f>
        <v>6</v>
      </c>
      <c r="AB179" cm="1">
        <f t="array" aca="1" ref="AB179" ca="1">IFERROR(INDEX(H_Tables!H:H,MATCH(INDIRECT("k"&amp;ROW()),H_Tables!I:I,0)),"")</f>
        <v>1</v>
      </c>
      <c r="AC179" t="str">
        <f t="shared" si="7"/>
        <v>National ATM/Debit Network,New,Hosted by 3rd Party,0</v>
      </c>
      <c r="AD179">
        <v>176</v>
      </c>
    </row>
    <row r="180" spans="1:30" ht="15" customHeight="1" x14ac:dyDescent="0.25">
      <c r="A180" s="127">
        <v>45895</v>
      </c>
      <c r="B180" s="2" t="s">
        <v>2117</v>
      </c>
      <c r="C180" s="110">
        <v>0</v>
      </c>
      <c r="D180" s="2" t="s">
        <v>2118</v>
      </c>
      <c r="E180" s="2" t="s">
        <v>2119</v>
      </c>
      <c r="F180" s="110">
        <v>0</v>
      </c>
      <c r="G180" s="110">
        <v>0</v>
      </c>
      <c r="H180" s="2" t="s">
        <v>2120</v>
      </c>
      <c r="I180" s="2" t="s">
        <v>188</v>
      </c>
      <c r="J180" s="2" t="s">
        <v>276</v>
      </c>
      <c r="K180" s="2" t="s">
        <v>507</v>
      </c>
      <c r="L180" s="2" t="s">
        <v>2129</v>
      </c>
      <c r="M180" s="2" t="s">
        <v>2363</v>
      </c>
      <c r="N180" s="2" t="s">
        <v>2122</v>
      </c>
      <c r="O180" s="2" t="s">
        <v>2207</v>
      </c>
      <c r="P180" s="2" t="s">
        <v>2124</v>
      </c>
      <c r="Q180" s="2" t="s">
        <v>152</v>
      </c>
      <c r="R180" s="110">
        <v>0</v>
      </c>
      <c r="S180" s="110">
        <v>0</v>
      </c>
      <c r="T180" s="110">
        <v>0</v>
      </c>
      <c r="U180" s="2" t="s">
        <v>2126</v>
      </c>
      <c r="V180" s="110"/>
      <c r="W180" s="110">
        <v>8.0000000000000004E-4</v>
      </c>
      <c r="X180" s="2" t="s">
        <v>2364</v>
      </c>
      <c r="Y180" s="110">
        <v>5000</v>
      </c>
      <c r="Z180" s="110">
        <f t="shared" si="6"/>
        <v>0</v>
      </c>
      <c r="AA180" cm="1">
        <f t="array" aca="1" ref="AA180" ca="1">IFERROR(INDEX(H_Tables!E:E,MATCH(INDIRECT("I"&amp;ROW()),H_Tables!F:F,0)),"")</f>
        <v>6</v>
      </c>
      <c r="AB180" cm="1">
        <f t="array" aca="1" ref="AB180" ca="1">IFERROR(INDEX(H_Tables!H:H,MATCH(INDIRECT("k"&amp;ROW()),H_Tables!I:I,0)),"")</f>
        <v>1</v>
      </c>
      <c r="AC180" t="str">
        <f t="shared" si="7"/>
        <v>VISA/MasterCard Account Update (Items Needing Review),New,Hosted by 3rd Party,0</v>
      </c>
      <c r="AD180">
        <v>177</v>
      </c>
    </row>
    <row r="181" spans="1:30" ht="15" customHeight="1" x14ac:dyDescent="0.25">
      <c r="A181" s="127">
        <v>45895</v>
      </c>
      <c r="B181" s="2" t="s">
        <v>2117</v>
      </c>
      <c r="C181" s="110">
        <v>0</v>
      </c>
      <c r="D181" s="2" t="s">
        <v>2118</v>
      </c>
      <c r="E181" s="2" t="s">
        <v>2119</v>
      </c>
      <c r="F181" s="110">
        <v>0</v>
      </c>
      <c r="G181" s="110">
        <v>0</v>
      </c>
      <c r="H181" s="2" t="s">
        <v>2120</v>
      </c>
      <c r="I181" s="2" t="s">
        <v>188</v>
      </c>
      <c r="J181" s="2" t="s">
        <v>276</v>
      </c>
      <c r="K181" s="2" t="s">
        <v>507</v>
      </c>
      <c r="L181" s="2" t="s">
        <v>2121</v>
      </c>
      <c r="M181" s="2" t="s">
        <v>2363</v>
      </c>
      <c r="N181" s="2" t="s">
        <v>2122</v>
      </c>
      <c r="O181" s="2" t="s">
        <v>2207</v>
      </c>
      <c r="P181" s="2" t="s">
        <v>2124</v>
      </c>
      <c r="Q181" s="2" t="s">
        <v>2132</v>
      </c>
      <c r="R181" s="110">
        <v>0</v>
      </c>
      <c r="S181" s="110">
        <v>200</v>
      </c>
      <c r="T181" s="110">
        <v>-200</v>
      </c>
      <c r="U181" s="2" t="s">
        <v>2126</v>
      </c>
      <c r="V181" s="110"/>
      <c r="W181" s="110">
        <v>200</v>
      </c>
      <c r="X181" s="2" t="s">
        <v>2365</v>
      </c>
      <c r="Y181" s="110">
        <v>5000</v>
      </c>
      <c r="Z181" s="110">
        <f t="shared" si="6"/>
        <v>0</v>
      </c>
      <c r="AA181" cm="1">
        <f t="array" aca="1" ref="AA181" ca="1">IFERROR(INDEX(H_Tables!E:E,MATCH(INDIRECT("I"&amp;ROW()),H_Tables!F:F,0)),"")</f>
        <v>6</v>
      </c>
      <c r="AB181" cm="1">
        <f t="array" aca="1" ref="AB181" ca="1">IFERROR(INDEX(H_Tables!H:H,MATCH(INDIRECT("k"&amp;ROW()),H_Tables!I:I,0)),"")</f>
        <v>1</v>
      </c>
      <c r="AC181" t="str">
        <f t="shared" si="7"/>
        <v>VISA/MasterCard Account Update (Items Needing Review),New,Hosted by 3rd Party,0</v>
      </c>
      <c r="AD181">
        <v>178</v>
      </c>
    </row>
    <row r="182" spans="1:30" ht="15" customHeight="1" x14ac:dyDescent="0.25">
      <c r="A182" s="127">
        <v>45895</v>
      </c>
      <c r="B182" s="2" t="s">
        <v>2117</v>
      </c>
      <c r="C182" s="110">
        <v>0</v>
      </c>
      <c r="D182" s="2" t="s">
        <v>2118</v>
      </c>
      <c r="E182" s="2" t="s">
        <v>2119</v>
      </c>
      <c r="F182" s="110">
        <v>0</v>
      </c>
      <c r="G182" s="110">
        <v>0</v>
      </c>
      <c r="H182" s="2" t="s">
        <v>2120</v>
      </c>
      <c r="I182" s="2" t="s">
        <v>188</v>
      </c>
      <c r="J182" s="2" t="s">
        <v>275</v>
      </c>
      <c r="K182" s="2" t="s">
        <v>507</v>
      </c>
      <c r="L182" s="2" t="s">
        <v>2129</v>
      </c>
      <c r="M182" s="2" t="s">
        <v>1730</v>
      </c>
      <c r="N182" s="2" t="s">
        <v>2122</v>
      </c>
      <c r="O182" s="2" t="s">
        <v>2207</v>
      </c>
      <c r="P182" s="2" t="s">
        <v>2124</v>
      </c>
      <c r="Q182" s="2" t="s">
        <v>152</v>
      </c>
      <c r="R182" s="110">
        <v>0</v>
      </c>
      <c r="S182" s="110">
        <v>0</v>
      </c>
      <c r="T182" s="110">
        <v>0</v>
      </c>
      <c r="U182" s="2" t="s">
        <v>2126</v>
      </c>
      <c r="V182" s="110"/>
      <c r="W182" s="110">
        <v>0.04</v>
      </c>
      <c r="X182" s="2" t="s">
        <v>2366</v>
      </c>
      <c r="Y182" s="110">
        <v>5000</v>
      </c>
      <c r="Z182" s="110">
        <f t="shared" si="6"/>
        <v>0</v>
      </c>
      <c r="AA182" cm="1">
        <f t="array" aca="1" ref="AA182" ca="1">IFERROR(INDEX(H_Tables!E:E,MATCH(INDIRECT("I"&amp;ROW()),H_Tables!F:F,0)),"")</f>
        <v>6</v>
      </c>
      <c r="AB182" cm="1">
        <f t="array" aca="1" ref="AB182" ca="1">IFERROR(INDEX(H_Tables!H:H,MATCH(INDIRECT("k"&amp;ROW()),H_Tables!I:I,0)),"")</f>
        <v>1</v>
      </c>
      <c r="AC182" t="str">
        <f t="shared" si="7"/>
        <v>VISA/MasterCard Add/Change/Delete,New,Hosted by 3rd Party,0</v>
      </c>
      <c r="AD182">
        <v>179</v>
      </c>
    </row>
    <row r="183" spans="1:30" ht="15" customHeight="1" x14ac:dyDescent="0.25">
      <c r="A183" s="127">
        <v>45895</v>
      </c>
      <c r="B183" s="2" t="s">
        <v>2117</v>
      </c>
      <c r="C183" s="110">
        <v>0</v>
      </c>
      <c r="D183" s="2" t="s">
        <v>2118</v>
      </c>
      <c r="E183" s="2" t="s">
        <v>2119</v>
      </c>
      <c r="F183" s="110">
        <v>0</v>
      </c>
      <c r="G183" s="110">
        <v>0</v>
      </c>
      <c r="H183" s="2" t="s">
        <v>2120</v>
      </c>
      <c r="I183" s="2" t="s">
        <v>188</v>
      </c>
      <c r="J183" s="2" t="s">
        <v>250</v>
      </c>
      <c r="K183" s="2" t="s">
        <v>507</v>
      </c>
      <c r="L183" s="2" t="s">
        <v>2121</v>
      </c>
      <c r="M183" s="2" t="s">
        <v>2367</v>
      </c>
      <c r="N183" s="2" t="s">
        <v>2122</v>
      </c>
      <c r="O183" s="2" t="s">
        <v>2207</v>
      </c>
      <c r="P183" s="2" t="s">
        <v>2124</v>
      </c>
      <c r="Q183" s="2" t="s">
        <v>2132</v>
      </c>
      <c r="R183" s="110">
        <v>1</v>
      </c>
      <c r="S183" s="110">
        <v>4000</v>
      </c>
      <c r="T183" s="110">
        <v>-4000</v>
      </c>
      <c r="U183" s="2" t="s">
        <v>2126</v>
      </c>
      <c r="V183" s="110"/>
      <c r="W183" s="110">
        <v>4000</v>
      </c>
      <c r="X183" s="2" t="s">
        <v>2368</v>
      </c>
      <c r="Y183" s="110">
        <v>5000</v>
      </c>
      <c r="Z183" s="110">
        <f t="shared" si="6"/>
        <v>0</v>
      </c>
      <c r="AA183" cm="1">
        <f t="array" aca="1" ref="AA183" ca="1">IFERROR(INDEX(H_Tables!E:E,MATCH(INDIRECT("I"&amp;ROW()),H_Tables!F:F,0)),"")</f>
        <v>6</v>
      </c>
      <c r="AB183" cm="1">
        <f t="array" aca="1" ref="AB183" ca="1">IFERROR(INDEX(H_Tables!H:H,MATCH(INDIRECT("k"&amp;ROW()),H_Tables!I:I,0)),"")</f>
        <v>1</v>
      </c>
      <c r="AC183" t="str">
        <f t="shared" si="7"/>
        <v>JHA Tokenization (Digital Wallet) JHA Debit Processing,New,Hosted by 3rd Party,0</v>
      </c>
      <c r="AD183">
        <v>180</v>
      </c>
    </row>
    <row r="184" spans="1:30" ht="15" customHeight="1" x14ac:dyDescent="0.25">
      <c r="A184" s="127">
        <v>45895</v>
      </c>
      <c r="B184" s="2" t="s">
        <v>2117</v>
      </c>
      <c r="C184" s="110">
        <v>0</v>
      </c>
      <c r="D184" s="2" t="s">
        <v>2118</v>
      </c>
      <c r="E184" s="2" t="s">
        <v>2119</v>
      </c>
      <c r="F184" s="110">
        <v>0</v>
      </c>
      <c r="G184" s="110">
        <v>0</v>
      </c>
      <c r="H184" s="2" t="s">
        <v>2120</v>
      </c>
      <c r="I184" s="2" t="s">
        <v>188</v>
      </c>
      <c r="J184" s="2" t="s">
        <v>803</v>
      </c>
      <c r="K184" s="2" t="s">
        <v>507</v>
      </c>
      <c r="L184" s="2" t="s">
        <v>2121</v>
      </c>
      <c r="M184" s="2" t="s">
        <v>2369</v>
      </c>
      <c r="N184" s="2" t="s">
        <v>2122</v>
      </c>
      <c r="O184" s="2" t="s">
        <v>2207</v>
      </c>
      <c r="P184" s="2" t="s">
        <v>2124</v>
      </c>
      <c r="Q184" s="2" t="s">
        <v>2132</v>
      </c>
      <c r="R184" s="110">
        <v>1</v>
      </c>
      <c r="S184" s="110">
        <v>2000</v>
      </c>
      <c r="T184" s="110">
        <v>-2000</v>
      </c>
      <c r="U184" s="2" t="s">
        <v>2126</v>
      </c>
      <c r="V184" s="110"/>
      <c r="W184" s="110">
        <v>2000</v>
      </c>
      <c r="X184" s="2" t="s">
        <v>2370</v>
      </c>
      <c r="Y184" s="110">
        <v>5000</v>
      </c>
      <c r="Z184" s="110">
        <f t="shared" si="6"/>
        <v>0</v>
      </c>
      <c r="AA184" cm="1">
        <f t="array" aca="1" ref="AA184" ca="1">IFERROR(INDEX(H_Tables!E:E,MATCH(INDIRECT("I"&amp;ROW()),H_Tables!F:F,0)),"")</f>
        <v>6</v>
      </c>
      <c r="AB184" cm="1">
        <f t="array" aca="1" ref="AB184" ca="1">IFERROR(INDEX(H_Tables!H:H,MATCH(INDIRECT("k"&amp;ROW()),H_Tables!I:I,0)),"")</f>
        <v>1</v>
      </c>
      <c r="AC184" t="str">
        <f t="shared" si="7"/>
        <v>JHA Tokenization (Digital Wallet) Additional Instance JHA Debit Processing,New,Hosted by 3rd Party,0</v>
      </c>
      <c r="AD184">
        <v>181</v>
      </c>
    </row>
    <row r="185" spans="1:30" ht="15" customHeight="1" x14ac:dyDescent="0.25">
      <c r="A185" s="127">
        <v>45895</v>
      </c>
      <c r="B185" s="2" t="s">
        <v>2117</v>
      </c>
      <c r="C185" s="110">
        <v>0</v>
      </c>
      <c r="D185" s="2" t="s">
        <v>2118</v>
      </c>
      <c r="E185" s="2" t="s">
        <v>2119</v>
      </c>
      <c r="F185" s="110">
        <v>0</v>
      </c>
      <c r="G185" s="110">
        <v>0</v>
      </c>
      <c r="H185" s="2" t="s">
        <v>2120</v>
      </c>
      <c r="I185" s="2" t="s">
        <v>188</v>
      </c>
      <c r="J185" s="2" t="s">
        <v>285</v>
      </c>
      <c r="K185" s="2" t="s">
        <v>507</v>
      </c>
      <c r="L185" s="2" t="s">
        <v>2121</v>
      </c>
      <c r="M185" s="2" t="s">
        <v>2472</v>
      </c>
      <c r="N185" s="2" t="s">
        <v>2122</v>
      </c>
      <c r="O185" s="2" t="s">
        <v>2207</v>
      </c>
      <c r="P185" s="2" t="s">
        <v>2124</v>
      </c>
      <c r="Q185" s="2" t="s">
        <v>2132</v>
      </c>
      <c r="R185" s="110">
        <v>1</v>
      </c>
      <c r="S185" s="110">
        <v>250</v>
      </c>
      <c r="T185" s="110">
        <v>-250</v>
      </c>
      <c r="U185" s="2" t="s">
        <v>2126</v>
      </c>
      <c r="V185" s="110"/>
      <c r="W185" s="110">
        <v>250</v>
      </c>
      <c r="X185" s="2" t="s">
        <v>2371</v>
      </c>
      <c r="Y185" s="110">
        <v>5000</v>
      </c>
      <c r="Z185" s="110">
        <f t="shared" si="6"/>
        <v>0</v>
      </c>
      <c r="AA185" cm="1">
        <f t="array" aca="1" ref="AA185" ca="1">IFERROR(INDEX(H_Tables!E:E,MATCH(INDIRECT("I"&amp;ROW()),H_Tables!F:F,0)),"")</f>
        <v>6</v>
      </c>
      <c r="AB185" cm="1">
        <f t="array" aca="1" ref="AB185" ca="1">IFERROR(INDEX(H_Tables!H:H,MATCH(INDIRECT("k"&amp;ROW()),H_Tables!I:I,0)),"")</f>
        <v>1</v>
      </c>
      <c r="AC185" t="str">
        <f t="shared" si="7"/>
        <v>JHA Tokenization (Digital Wallet) Automated Provisioning Notifications Enrollment Fee JHA Debit,New,Hosted by 3rd Party,0</v>
      </c>
      <c r="AD185">
        <v>182</v>
      </c>
    </row>
    <row r="186" spans="1:30" ht="15" customHeight="1" x14ac:dyDescent="0.25">
      <c r="A186" s="127">
        <v>45895</v>
      </c>
      <c r="B186" s="2" t="s">
        <v>2117</v>
      </c>
      <c r="C186" s="110">
        <v>0</v>
      </c>
      <c r="D186" s="2" t="s">
        <v>2118</v>
      </c>
      <c r="E186" s="2" t="s">
        <v>2119</v>
      </c>
      <c r="F186" s="110">
        <v>0</v>
      </c>
      <c r="G186" s="110">
        <v>0</v>
      </c>
      <c r="H186" s="2" t="s">
        <v>2120</v>
      </c>
      <c r="I186" s="2" t="s">
        <v>188</v>
      </c>
      <c r="J186" s="2" t="s">
        <v>450</v>
      </c>
      <c r="K186" s="2" t="s">
        <v>507</v>
      </c>
      <c r="L186" s="2" t="s">
        <v>2129</v>
      </c>
      <c r="M186" s="2" t="s">
        <v>1823</v>
      </c>
      <c r="N186" s="2" t="s">
        <v>2122</v>
      </c>
      <c r="O186" s="2" t="s">
        <v>2207</v>
      </c>
      <c r="P186" s="2" t="s">
        <v>2124</v>
      </c>
      <c r="Q186" s="2" t="s">
        <v>152</v>
      </c>
      <c r="R186" s="110">
        <v>0</v>
      </c>
      <c r="S186" s="110">
        <v>0</v>
      </c>
      <c r="T186" s="110">
        <v>0</v>
      </c>
      <c r="U186" s="2" t="s">
        <v>2126</v>
      </c>
      <c r="V186" s="110"/>
      <c r="W186" s="110">
        <v>1.25</v>
      </c>
      <c r="X186" s="2" t="s">
        <v>2372</v>
      </c>
      <c r="Y186" s="110">
        <v>5000</v>
      </c>
      <c r="Z186" s="110">
        <f t="shared" si="6"/>
        <v>0</v>
      </c>
      <c r="AA186" cm="1">
        <f t="array" aca="1" ref="AA186" ca="1">IFERROR(INDEX(H_Tables!E:E,MATCH(INDIRECT("I"&amp;ROW()),H_Tables!F:F,0)),"")</f>
        <v>6</v>
      </c>
      <c r="AB186" cm="1">
        <f t="array" aca="1" ref="AB186" ca="1">IFERROR(INDEX(H_Tables!H:H,MATCH(INDIRECT("k"&amp;ROW()),H_Tables!I:I,0)),"")</f>
        <v>1</v>
      </c>
      <c r="AC186" t="str">
        <f t="shared" si="7"/>
        <v>JHA Tokenization (Digital Wallet) Automated Provisioning Notifications JHA Debit Processing,New,Hosted by 3rd Party,0</v>
      </c>
      <c r="AD186">
        <v>183</v>
      </c>
    </row>
    <row r="187" spans="1:30" ht="15" customHeight="1" x14ac:dyDescent="0.25">
      <c r="A187" s="127">
        <v>45895</v>
      </c>
      <c r="B187" s="2" t="s">
        <v>2117</v>
      </c>
      <c r="C187" s="110">
        <v>0</v>
      </c>
      <c r="D187" s="2" t="s">
        <v>2118</v>
      </c>
      <c r="E187" s="2" t="s">
        <v>2119</v>
      </c>
      <c r="F187" s="110">
        <v>0</v>
      </c>
      <c r="G187" s="110">
        <v>0</v>
      </c>
      <c r="H187" s="2" t="s">
        <v>2120</v>
      </c>
      <c r="I187" s="2" t="s">
        <v>188</v>
      </c>
      <c r="J187" s="2" t="s">
        <v>449</v>
      </c>
      <c r="K187" s="2" t="s">
        <v>507</v>
      </c>
      <c r="L187" s="2" t="s">
        <v>2129</v>
      </c>
      <c r="M187" s="2" t="s">
        <v>2373</v>
      </c>
      <c r="N187" s="2" t="s">
        <v>2122</v>
      </c>
      <c r="O187" s="2" t="s">
        <v>2207</v>
      </c>
      <c r="P187" s="2" t="s">
        <v>2124</v>
      </c>
      <c r="Q187" s="2" t="s">
        <v>152</v>
      </c>
      <c r="R187" s="110">
        <v>0</v>
      </c>
      <c r="S187" s="110">
        <v>0</v>
      </c>
      <c r="T187" s="110">
        <v>0</v>
      </c>
      <c r="U187" s="2" t="s">
        <v>2126</v>
      </c>
      <c r="V187" s="110"/>
      <c r="W187" s="110">
        <v>1.0999999999999999E-2</v>
      </c>
      <c r="X187" s="2" t="s">
        <v>2374</v>
      </c>
      <c r="Y187" s="110">
        <v>5000</v>
      </c>
      <c r="Z187" s="110">
        <f t="shared" si="6"/>
        <v>0</v>
      </c>
      <c r="AA187" cm="1">
        <f t="array" aca="1" ref="AA187" ca="1">IFERROR(INDEX(H_Tables!E:E,MATCH(INDIRECT("I"&amp;ROW()),H_Tables!F:F,0)),"")</f>
        <v>6</v>
      </c>
      <c r="AB187" cm="1">
        <f t="array" aca="1" ref="AB187" ca="1">IFERROR(INDEX(H_Tables!H:H,MATCH(INDIRECT("k"&amp;ROW()),H_Tables!I:I,0)),"")</f>
        <v>1</v>
      </c>
      <c r="AC187" t="str">
        <f t="shared" si="7"/>
        <v>JHA Tokenization (Digital Wallet) Transactions JHA Debit Processing,New,Hosted by 3rd Party,0</v>
      </c>
      <c r="AD187">
        <v>184</v>
      </c>
    </row>
    <row r="188" spans="1:30" ht="15" customHeight="1" x14ac:dyDescent="0.25">
      <c r="A188" s="127">
        <v>45895</v>
      </c>
      <c r="B188" s="2" t="s">
        <v>2117</v>
      </c>
      <c r="C188" s="110">
        <v>0</v>
      </c>
      <c r="D188" s="2" t="s">
        <v>2118</v>
      </c>
      <c r="E188" s="2" t="s">
        <v>2119</v>
      </c>
      <c r="F188" s="110">
        <v>0</v>
      </c>
      <c r="G188" s="110">
        <v>0</v>
      </c>
      <c r="H188" s="2" t="s">
        <v>2120</v>
      </c>
      <c r="I188" s="2" t="s">
        <v>188</v>
      </c>
      <c r="J188" s="2" t="s">
        <v>1911</v>
      </c>
      <c r="K188" s="2" t="s">
        <v>507</v>
      </c>
      <c r="L188" s="2" t="s">
        <v>2121</v>
      </c>
      <c r="M188" s="2" t="s">
        <v>2375</v>
      </c>
      <c r="N188" s="2" t="s">
        <v>2122</v>
      </c>
      <c r="O188" s="2" t="s">
        <v>2207</v>
      </c>
      <c r="P188" s="2" t="s">
        <v>2124</v>
      </c>
      <c r="Q188" s="2" t="s">
        <v>2132</v>
      </c>
      <c r="R188" s="110">
        <v>1</v>
      </c>
      <c r="S188" s="110">
        <v>1900</v>
      </c>
      <c r="T188" s="110">
        <v>-1900</v>
      </c>
      <c r="U188" s="2" t="s">
        <v>2126</v>
      </c>
      <c r="V188" s="110"/>
      <c r="W188" s="110">
        <v>1900</v>
      </c>
      <c r="X188" s="2" t="s">
        <v>2376</v>
      </c>
      <c r="Y188" s="110">
        <v>5000</v>
      </c>
      <c r="Z188" s="110">
        <f t="shared" si="6"/>
        <v>0</v>
      </c>
      <c r="AA188" cm="1">
        <f t="array" aca="1" ref="AA188" ca="1">IFERROR(INDEX(H_Tables!E:E,MATCH(INDIRECT("I"&amp;ROW()),H_Tables!F:F,0)),"")</f>
        <v>6</v>
      </c>
      <c r="AB188" cm="1">
        <f t="array" aca="1" ref="AB188" ca="1">IFERROR(INDEX(H_Tables!H:H,MATCH(INDIRECT("k"&amp;ROW()),H_Tables!I:I,0)),"")</f>
        <v>1</v>
      </c>
      <c r="AC188" t="str">
        <f t="shared" si="7"/>
        <v>Jack Henry Digital Provisioning Enablement (JHA Tokenization Required) JHA Debit Processing,New,Hosted by 3rd Party,0</v>
      </c>
      <c r="AD188">
        <v>185</v>
      </c>
    </row>
    <row r="189" spans="1:30" ht="15" customHeight="1" x14ac:dyDescent="0.25">
      <c r="A189" s="127">
        <v>45895</v>
      </c>
      <c r="B189" s="2" t="s">
        <v>2117</v>
      </c>
      <c r="C189" s="110">
        <v>0</v>
      </c>
      <c r="D189" s="2" t="s">
        <v>2118</v>
      </c>
      <c r="E189" s="2" t="s">
        <v>2119</v>
      </c>
      <c r="F189" s="110">
        <v>0</v>
      </c>
      <c r="G189" s="110">
        <v>0</v>
      </c>
      <c r="H189" s="2" t="s">
        <v>2120</v>
      </c>
      <c r="I189" s="2" t="s">
        <v>188</v>
      </c>
      <c r="J189" s="2" t="s">
        <v>435</v>
      </c>
      <c r="K189" s="2" t="s">
        <v>507</v>
      </c>
      <c r="L189" s="2" t="s">
        <v>2129</v>
      </c>
      <c r="M189" s="2" t="s">
        <v>2377</v>
      </c>
      <c r="N189" s="2" t="s">
        <v>2122</v>
      </c>
      <c r="O189" s="2" t="s">
        <v>2207</v>
      </c>
      <c r="P189" s="2" t="s">
        <v>2124</v>
      </c>
      <c r="Q189" s="2" t="s">
        <v>152</v>
      </c>
      <c r="R189" s="110">
        <v>1</v>
      </c>
      <c r="S189" s="110">
        <v>350</v>
      </c>
      <c r="T189" s="110">
        <v>0</v>
      </c>
      <c r="U189" s="2" t="s">
        <v>2126</v>
      </c>
      <c r="V189" s="110"/>
      <c r="W189" s="110">
        <v>350</v>
      </c>
      <c r="X189" s="2" t="s">
        <v>2378</v>
      </c>
      <c r="Y189" s="110">
        <v>5000</v>
      </c>
      <c r="Z189" s="110">
        <f t="shared" si="6"/>
        <v>0</v>
      </c>
      <c r="AA189" cm="1">
        <f t="array" aca="1" ref="AA189" ca="1">IFERROR(INDEX(H_Tables!E:E,MATCH(INDIRECT("I"&amp;ROW()),H_Tables!F:F,0)),"")</f>
        <v>6</v>
      </c>
      <c r="AB189" cm="1">
        <f t="array" aca="1" ref="AB189" ca="1">IFERROR(INDEX(H_Tables!H:H,MATCH(INDIRECT("k"&amp;ROW()),H_Tables!I:I,0)),"")</f>
        <v>1</v>
      </c>
      <c r="AC189" t="str">
        <f t="shared" si="7"/>
        <v>JHA Card Analytics JHA Debit Processing,New,Hosted by 3rd Party,0</v>
      </c>
      <c r="AD189">
        <v>186</v>
      </c>
    </row>
    <row r="190" spans="1:30" ht="15" customHeight="1" x14ac:dyDescent="0.25">
      <c r="A190" s="127">
        <v>45895</v>
      </c>
      <c r="B190" s="2" t="s">
        <v>2117</v>
      </c>
      <c r="C190" s="110">
        <v>0</v>
      </c>
      <c r="D190" s="2" t="s">
        <v>2118</v>
      </c>
      <c r="E190" s="2" t="s">
        <v>2119</v>
      </c>
      <c r="F190" s="110">
        <v>0</v>
      </c>
      <c r="G190" s="110">
        <v>0</v>
      </c>
      <c r="H190" s="2" t="s">
        <v>2120</v>
      </c>
      <c r="I190" s="2" t="s">
        <v>188</v>
      </c>
      <c r="J190" s="2" t="s">
        <v>255</v>
      </c>
      <c r="K190" s="2" t="s">
        <v>507</v>
      </c>
      <c r="L190" s="2" t="s">
        <v>2129</v>
      </c>
      <c r="M190" s="2" t="s">
        <v>2379</v>
      </c>
      <c r="N190" s="2" t="s">
        <v>2122</v>
      </c>
      <c r="O190" s="2" t="s">
        <v>2207</v>
      </c>
      <c r="P190" s="2" t="s">
        <v>2124</v>
      </c>
      <c r="Q190" s="2" t="s">
        <v>152</v>
      </c>
      <c r="R190" s="110">
        <v>1</v>
      </c>
      <c r="S190" s="110">
        <v>350</v>
      </c>
      <c r="T190" s="110">
        <v>0</v>
      </c>
      <c r="U190" s="2" t="s">
        <v>2126</v>
      </c>
      <c r="V190" s="110"/>
      <c r="W190" s="110">
        <v>350</v>
      </c>
      <c r="X190" s="2" t="s">
        <v>2380</v>
      </c>
      <c r="Y190" s="110">
        <v>5000</v>
      </c>
      <c r="Z190" s="110">
        <f t="shared" si="6"/>
        <v>0</v>
      </c>
      <c r="AA190" cm="1">
        <f t="array" aca="1" ref="AA190" ca="1">IFERROR(INDEX(H_Tables!E:E,MATCH(INDIRECT("I"&amp;ROW()),H_Tables!F:F,0)),"")</f>
        <v>6</v>
      </c>
      <c r="AB190" cm="1">
        <f t="array" aca="1" ref="AB190" ca="1">IFERROR(INDEX(H_Tables!H:H,MATCH(INDIRECT("k"&amp;ROW()),H_Tables!I:I,0)),"")</f>
        <v>1</v>
      </c>
      <c r="AC190" t="str">
        <f t="shared" si="7"/>
        <v>JHA Card Connect JHA Debit Processing,New,Hosted by 3rd Party,0</v>
      </c>
      <c r="AD190">
        <v>187</v>
      </c>
    </row>
    <row r="191" spans="1:30" ht="15" customHeight="1" x14ac:dyDescent="0.25">
      <c r="A191" s="127">
        <v>45895</v>
      </c>
      <c r="B191" s="2" t="s">
        <v>2117</v>
      </c>
      <c r="C191" s="110">
        <v>0</v>
      </c>
      <c r="D191" s="2" t="s">
        <v>2118</v>
      </c>
      <c r="E191" s="2" t="s">
        <v>2119</v>
      </c>
      <c r="F191" s="110">
        <v>0</v>
      </c>
      <c r="G191" s="110">
        <v>0</v>
      </c>
      <c r="H191" s="2" t="s">
        <v>2120</v>
      </c>
      <c r="I191" s="2" t="s">
        <v>188</v>
      </c>
      <c r="J191" s="2" t="s">
        <v>255</v>
      </c>
      <c r="K191" s="2" t="s">
        <v>507</v>
      </c>
      <c r="L191" s="2" t="s">
        <v>2121</v>
      </c>
      <c r="M191" s="2" t="s">
        <v>2379</v>
      </c>
      <c r="N191" s="2" t="s">
        <v>2122</v>
      </c>
      <c r="O191" s="2" t="s">
        <v>2207</v>
      </c>
      <c r="P191" s="2" t="s">
        <v>2124</v>
      </c>
      <c r="Q191" s="2" t="s">
        <v>2132</v>
      </c>
      <c r="R191" s="110">
        <v>1</v>
      </c>
      <c r="S191" s="110">
        <v>1500</v>
      </c>
      <c r="T191" s="110">
        <v>-1500</v>
      </c>
      <c r="U191" s="2" t="s">
        <v>2126</v>
      </c>
      <c r="V191" s="110"/>
      <c r="W191" s="110">
        <v>1500</v>
      </c>
      <c r="X191" s="2" t="s">
        <v>2381</v>
      </c>
      <c r="Y191" s="110">
        <v>5000</v>
      </c>
      <c r="Z191" s="110">
        <f t="shared" si="6"/>
        <v>0</v>
      </c>
      <c r="AA191" cm="1">
        <f t="array" aca="1" ref="AA191" ca="1">IFERROR(INDEX(H_Tables!E:E,MATCH(INDIRECT("I"&amp;ROW()),H_Tables!F:F,0)),"")</f>
        <v>6</v>
      </c>
      <c r="AB191" cm="1">
        <f t="array" aca="1" ref="AB191" ca="1">IFERROR(INDEX(H_Tables!H:H,MATCH(INDIRECT("k"&amp;ROW()),H_Tables!I:I,0)),"")</f>
        <v>1</v>
      </c>
      <c r="AC191" t="str">
        <f t="shared" si="7"/>
        <v>JHA Card Connect JHA Debit Processing,New,Hosted by 3rd Party,0</v>
      </c>
      <c r="AD191">
        <v>188</v>
      </c>
    </row>
    <row r="192" spans="1:30" ht="15" customHeight="1" x14ac:dyDescent="0.25">
      <c r="A192" s="127">
        <v>45895</v>
      </c>
      <c r="B192" s="2" t="s">
        <v>2117</v>
      </c>
      <c r="C192" s="110">
        <v>0</v>
      </c>
      <c r="D192" s="2" t="s">
        <v>2118</v>
      </c>
      <c r="E192" s="2" t="s">
        <v>2119</v>
      </c>
      <c r="F192" s="110">
        <v>0</v>
      </c>
      <c r="G192" s="110">
        <v>0</v>
      </c>
      <c r="H192" s="2" t="s">
        <v>2120</v>
      </c>
      <c r="I192" s="2" t="s">
        <v>188</v>
      </c>
      <c r="J192" s="2" t="s">
        <v>728</v>
      </c>
      <c r="K192" s="2" t="s">
        <v>507</v>
      </c>
      <c r="L192" s="2" t="s">
        <v>2129</v>
      </c>
      <c r="M192" s="2" t="s">
        <v>2382</v>
      </c>
      <c r="N192" s="2" t="s">
        <v>2122</v>
      </c>
      <c r="O192" s="2" t="s">
        <v>2207</v>
      </c>
      <c r="P192" s="2" t="s">
        <v>2124</v>
      </c>
      <c r="Q192" s="2" t="s">
        <v>152</v>
      </c>
      <c r="R192" s="110">
        <v>1</v>
      </c>
      <c r="S192" s="110">
        <v>150</v>
      </c>
      <c r="T192" s="110">
        <v>0</v>
      </c>
      <c r="U192" s="2" t="s">
        <v>2126</v>
      </c>
      <c r="V192" s="110"/>
      <c r="W192" s="110">
        <v>150</v>
      </c>
      <c r="X192" s="2" t="s">
        <v>2383</v>
      </c>
      <c r="Y192" s="110">
        <v>5000</v>
      </c>
      <c r="Z192" s="110">
        <f t="shared" si="6"/>
        <v>0</v>
      </c>
      <c r="AA192" cm="1">
        <f t="array" aca="1" ref="AA192" ca="1">IFERROR(INDEX(H_Tables!E:E,MATCH(INDIRECT("I"&amp;ROW()),H_Tables!F:F,0)),"")</f>
        <v>6</v>
      </c>
      <c r="AB192" cm="1">
        <f t="array" aca="1" ref="AB192" ca="1">IFERROR(INDEX(H_Tables!H:H,MATCH(INDIRECT("k"&amp;ROW()),H_Tables!I:I,0)),"")</f>
        <v>1</v>
      </c>
      <c r="AC192" t="str">
        <f t="shared" si="7"/>
        <v>Footprints Data Storage JHA Debit Processing,New,Hosted by 3rd Party,0</v>
      </c>
      <c r="AD192">
        <v>189</v>
      </c>
    </row>
    <row r="193" spans="1:30" ht="15" customHeight="1" x14ac:dyDescent="0.25">
      <c r="A193" s="127">
        <v>45895</v>
      </c>
      <c r="B193" s="2" t="s">
        <v>2117</v>
      </c>
      <c r="C193" s="110">
        <v>0</v>
      </c>
      <c r="D193" s="2" t="s">
        <v>2118</v>
      </c>
      <c r="E193" s="2" t="s">
        <v>2119</v>
      </c>
      <c r="F193" s="110">
        <v>0</v>
      </c>
      <c r="G193" s="110">
        <v>0</v>
      </c>
      <c r="H193" s="2" t="s">
        <v>2120</v>
      </c>
      <c r="I193" s="2" t="s">
        <v>188</v>
      </c>
      <c r="J193" s="2" t="s">
        <v>1769</v>
      </c>
      <c r="K193" s="2" t="s">
        <v>507</v>
      </c>
      <c r="L193" s="2" t="s">
        <v>2129</v>
      </c>
      <c r="M193" s="2" t="s">
        <v>2384</v>
      </c>
      <c r="N193" s="2" t="s">
        <v>2122</v>
      </c>
      <c r="O193" s="2" t="s">
        <v>2207</v>
      </c>
      <c r="P193" s="2" t="s">
        <v>2124</v>
      </c>
      <c r="Q193" s="2" t="s">
        <v>152</v>
      </c>
      <c r="R193" s="110">
        <v>0</v>
      </c>
      <c r="S193" s="110">
        <v>0</v>
      </c>
      <c r="T193" s="110">
        <v>0</v>
      </c>
      <c r="U193" s="2" t="s">
        <v>2126</v>
      </c>
      <c r="V193" s="110"/>
      <c r="W193" s="110">
        <v>5.0000000000000001E-3</v>
      </c>
      <c r="X193" s="2" t="s">
        <v>2385</v>
      </c>
      <c r="Y193" s="110">
        <v>5000</v>
      </c>
      <c r="Z193" s="110">
        <f t="shared" si="6"/>
        <v>0</v>
      </c>
      <c r="AA193" cm="1">
        <f t="array" aca="1" ref="AA193" ca="1">IFERROR(INDEX(H_Tables!E:E,MATCH(INDIRECT("I"&amp;ROW()),H_Tables!F:F,0)),"")</f>
        <v>6</v>
      </c>
      <c r="AB193" cm="1">
        <f t="array" aca="1" ref="AB193" ca="1">IFERROR(INDEX(H_Tables!H:H,MATCH(INDIRECT("k"&amp;ROW()),H_Tables!I:I,0)),"")</f>
        <v>1</v>
      </c>
      <c r="AC193" t="str">
        <f t="shared" si="7"/>
        <v>Remote Entered Non-Monetary Transactions JHA Debit Processing,New,Hosted by 3rd Party,0</v>
      </c>
      <c r="AD193">
        <v>190</v>
      </c>
    </row>
    <row r="194" spans="1:30" ht="15" customHeight="1" x14ac:dyDescent="0.25">
      <c r="A194" s="127">
        <v>45895</v>
      </c>
      <c r="B194" s="2" t="s">
        <v>2117</v>
      </c>
      <c r="C194" s="110">
        <v>0</v>
      </c>
      <c r="D194" s="2" t="s">
        <v>2118</v>
      </c>
      <c r="E194" s="2" t="s">
        <v>2119</v>
      </c>
      <c r="F194" s="110">
        <v>0</v>
      </c>
      <c r="G194" s="110">
        <v>0</v>
      </c>
      <c r="H194" s="2" t="s">
        <v>2120</v>
      </c>
      <c r="I194" s="2" t="s">
        <v>188</v>
      </c>
      <c r="J194" s="2" t="s">
        <v>244</v>
      </c>
      <c r="K194" s="2" t="s">
        <v>507</v>
      </c>
      <c r="L194" s="2" t="s">
        <v>2129</v>
      </c>
      <c r="M194" s="2" t="s">
        <v>2386</v>
      </c>
      <c r="N194" s="2" t="s">
        <v>2122</v>
      </c>
      <c r="O194" s="2" t="s">
        <v>2207</v>
      </c>
      <c r="P194" s="2" t="s">
        <v>2124</v>
      </c>
      <c r="Q194" s="2" t="s">
        <v>152</v>
      </c>
      <c r="R194" s="110">
        <v>1</v>
      </c>
      <c r="S194" s="110">
        <v>250</v>
      </c>
      <c r="T194" s="110">
        <v>0</v>
      </c>
      <c r="U194" s="2" t="s">
        <v>2126</v>
      </c>
      <c r="V194" s="110"/>
      <c r="W194" s="110">
        <v>250</v>
      </c>
      <c r="X194" s="2" t="s">
        <v>2387</v>
      </c>
      <c r="Y194" s="110">
        <v>5000</v>
      </c>
      <c r="Z194" s="110">
        <f t="shared" ref="Z194:Z257" si="8">ROUND(IF((F194+G194)=0,0,S194/Y194),4)</f>
        <v>0</v>
      </c>
      <c r="AA194" cm="1">
        <f t="array" aca="1" ref="AA194" ca="1">IFERROR(INDEX(H_Tables!E:E,MATCH(INDIRECT("I"&amp;ROW()),H_Tables!F:F,0)),"")</f>
        <v>6</v>
      </c>
      <c r="AB194" cm="1">
        <f t="array" aca="1" ref="AB194" ca="1">IFERROR(INDEX(H_Tables!H:H,MATCH(INDIRECT("k"&amp;ROW()),H_Tables!I:I,0)),"")</f>
        <v>1</v>
      </c>
      <c r="AC194" t="str">
        <f t="shared" si="7"/>
        <v>Host Based PIN Authorization JHA Debit Processing,New,Hosted by 3rd Party,0</v>
      </c>
      <c r="AD194">
        <v>191</v>
      </c>
    </row>
    <row r="195" spans="1:30" ht="15" customHeight="1" x14ac:dyDescent="0.25">
      <c r="A195" s="127">
        <v>45895</v>
      </c>
      <c r="B195" s="2" t="s">
        <v>2117</v>
      </c>
      <c r="C195" s="110">
        <v>0</v>
      </c>
      <c r="D195" s="2" t="s">
        <v>2118</v>
      </c>
      <c r="E195" s="2" t="s">
        <v>2119</v>
      </c>
      <c r="F195" s="110">
        <v>0</v>
      </c>
      <c r="G195" s="110">
        <v>0</v>
      </c>
      <c r="H195" s="2" t="s">
        <v>2120</v>
      </c>
      <c r="I195" s="2" t="s">
        <v>188</v>
      </c>
      <c r="J195" s="2" t="s">
        <v>244</v>
      </c>
      <c r="K195" s="2" t="s">
        <v>507</v>
      </c>
      <c r="L195" s="2" t="s">
        <v>2121</v>
      </c>
      <c r="M195" s="2" t="s">
        <v>2386</v>
      </c>
      <c r="N195" s="2" t="s">
        <v>2122</v>
      </c>
      <c r="O195" s="2" t="s">
        <v>2207</v>
      </c>
      <c r="P195" s="2" t="s">
        <v>2124</v>
      </c>
      <c r="Q195" s="2" t="s">
        <v>2132</v>
      </c>
      <c r="R195" s="110">
        <v>1</v>
      </c>
      <c r="S195" s="110">
        <v>3000</v>
      </c>
      <c r="T195" s="110">
        <v>-3000</v>
      </c>
      <c r="U195" s="2" t="s">
        <v>2126</v>
      </c>
      <c r="V195" s="110"/>
      <c r="W195" s="110">
        <v>3000</v>
      </c>
      <c r="X195" s="2" t="s">
        <v>2388</v>
      </c>
      <c r="Y195" s="110">
        <v>5000</v>
      </c>
      <c r="Z195" s="110">
        <f t="shared" si="8"/>
        <v>0</v>
      </c>
      <c r="AA195" cm="1">
        <f t="array" aca="1" ref="AA195" ca="1">IFERROR(INDEX(H_Tables!E:E,MATCH(INDIRECT("I"&amp;ROW()),H_Tables!F:F,0)),"")</f>
        <v>6</v>
      </c>
      <c r="AB195" cm="1">
        <f t="array" aca="1" ref="AB195" ca="1">IFERROR(INDEX(H_Tables!H:H,MATCH(INDIRECT("k"&amp;ROW()),H_Tables!I:I,0)),"")</f>
        <v>1</v>
      </c>
      <c r="AC195" t="str">
        <f t="shared" si="7"/>
        <v>Host Based PIN Authorization JHA Debit Processing,New,Hosted by 3rd Party,0</v>
      </c>
      <c r="AD195">
        <v>192</v>
      </c>
    </row>
    <row r="196" spans="1:30" ht="15" customHeight="1" x14ac:dyDescent="0.25">
      <c r="A196" s="127">
        <v>45895</v>
      </c>
      <c r="B196" s="2" t="s">
        <v>2117</v>
      </c>
      <c r="C196" s="110">
        <v>0</v>
      </c>
      <c r="D196" s="2" t="s">
        <v>2118</v>
      </c>
      <c r="E196" s="2" t="s">
        <v>2119</v>
      </c>
      <c r="F196" s="110">
        <v>0</v>
      </c>
      <c r="G196" s="110">
        <v>0</v>
      </c>
      <c r="H196" s="2" t="s">
        <v>2120</v>
      </c>
      <c r="I196" s="2" t="s">
        <v>188</v>
      </c>
      <c r="J196" s="2" t="s">
        <v>1771</v>
      </c>
      <c r="K196" s="2" t="s">
        <v>507</v>
      </c>
      <c r="L196" s="2" t="s">
        <v>2129</v>
      </c>
      <c r="M196" s="2" t="s">
        <v>2389</v>
      </c>
      <c r="N196" s="2" t="s">
        <v>2122</v>
      </c>
      <c r="O196" s="2" t="s">
        <v>2207</v>
      </c>
      <c r="P196" s="2" t="s">
        <v>2124</v>
      </c>
      <c r="Q196" s="2" t="s">
        <v>152</v>
      </c>
      <c r="R196" s="110">
        <v>0</v>
      </c>
      <c r="S196" s="110">
        <v>0</v>
      </c>
      <c r="T196" s="110">
        <v>0</v>
      </c>
      <c r="U196" s="2" t="s">
        <v>2126</v>
      </c>
      <c r="V196" s="110"/>
      <c r="W196" s="110">
        <v>0.15</v>
      </c>
      <c r="X196" s="2" t="s">
        <v>2390</v>
      </c>
      <c r="Y196" s="110">
        <v>5000</v>
      </c>
      <c r="Z196" s="110">
        <f t="shared" si="8"/>
        <v>0</v>
      </c>
      <c r="AA196" cm="1">
        <f t="array" aca="1" ref="AA196" ca="1">IFERROR(INDEX(H_Tables!E:E,MATCH(INDIRECT("I"&amp;ROW()),H_Tables!F:F,0)),"")</f>
        <v>6</v>
      </c>
      <c r="AB196" cm="1">
        <f t="array" aca="1" ref="AB196" ca="1">IFERROR(INDEX(H_Tables!H:H,MATCH(INDIRECT("k"&amp;ROW()),H_Tables!I:I,0)),"")</f>
        <v>1</v>
      </c>
      <c r="AC196" t="str">
        <f t="shared" ref="AC196:AC259" si="9">_xlfn.TEXTJOIN(",",TRUE,M196:P196)</f>
        <v>Tape Entered Non-Monetary Transactions JHA Debit Processing,New,Hosted by 3rd Party,0</v>
      </c>
      <c r="AD196">
        <v>193</v>
      </c>
    </row>
    <row r="197" spans="1:30" ht="15" customHeight="1" x14ac:dyDescent="0.25">
      <c r="A197" s="127">
        <v>45895</v>
      </c>
      <c r="B197" s="2" t="s">
        <v>2117</v>
      </c>
      <c r="C197" s="110">
        <v>0</v>
      </c>
      <c r="D197" s="2" t="s">
        <v>2118</v>
      </c>
      <c r="E197" s="2" t="s">
        <v>2119</v>
      </c>
      <c r="F197" s="110">
        <v>0</v>
      </c>
      <c r="G197" s="110">
        <v>0</v>
      </c>
      <c r="H197" s="2" t="s">
        <v>2120</v>
      </c>
      <c r="I197" s="2" t="s">
        <v>188</v>
      </c>
      <c r="J197" s="2" t="s">
        <v>249</v>
      </c>
      <c r="K197" s="2" t="s">
        <v>507</v>
      </c>
      <c r="L197" s="2" t="s">
        <v>2129</v>
      </c>
      <c r="M197" s="2" t="s">
        <v>2391</v>
      </c>
      <c r="N197" s="2" t="s">
        <v>2122</v>
      </c>
      <c r="O197" s="2" t="s">
        <v>2207</v>
      </c>
      <c r="P197" s="2" t="s">
        <v>2124</v>
      </c>
      <c r="Q197" s="2" t="s">
        <v>152</v>
      </c>
      <c r="R197" s="110">
        <v>1</v>
      </c>
      <c r="S197" s="110">
        <v>75</v>
      </c>
      <c r="T197" s="110">
        <v>0</v>
      </c>
      <c r="U197" s="2" t="s">
        <v>2126</v>
      </c>
      <c r="V197" s="110"/>
      <c r="W197" s="110">
        <v>75</v>
      </c>
      <c r="X197" s="2" t="s">
        <v>2392</v>
      </c>
      <c r="Y197" s="110">
        <v>5000</v>
      </c>
      <c r="Z197" s="110">
        <f t="shared" si="8"/>
        <v>0</v>
      </c>
      <c r="AA197" cm="1">
        <f t="array" aca="1" ref="AA197" ca="1">IFERROR(INDEX(H_Tables!E:E,MATCH(INDIRECT("I"&amp;ROW()),H_Tables!F:F,0)),"")</f>
        <v>6</v>
      </c>
      <c r="AB197" cm="1">
        <f t="array" aca="1" ref="AB197" ca="1">IFERROR(INDEX(H_Tables!H:H,MATCH(INDIRECT("k"&amp;ROW()),H_Tables!I:I,0)),"")</f>
        <v>1</v>
      </c>
      <c r="AC197" t="str">
        <f t="shared" si="9"/>
        <v>Instant Issue JHA Debit Processing,New,Hosted by 3rd Party,0</v>
      </c>
      <c r="AD197">
        <v>194</v>
      </c>
    </row>
    <row r="198" spans="1:30" ht="15" customHeight="1" x14ac:dyDescent="0.25">
      <c r="A198" s="127">
        <v>45895</v>
      </c>
      <c r="B198" s="2" t="s">
        <v>2117</v>
      </c>
      <c r="C198" s="110">
        <v>0</v>
      </c>
      <c r="D198" s="2" t="s">
        <v>2118</v>
      </c>
      <c r="E198" s="2" t="s">
        <v>2119</v>
      </c>
      <c r="F198" s="110">
        <v>0</v>
      </c>
      <c r="G198" s="110">
        <v>0</v>
      </c>
      <c r="H198" s="2" t="s">
        <v>2120</v>
      </c>
      <c r="I198" s="2" t="s">
        <v>188</v>
      </c>
      <c r="J198" s="2" t="s">
        <v>249</v>
      </c>
      <c r="K198" s="2" t="s">
        <v>507</v>
      </c>
      <c r="L198" s="2" t="s">
        <v>2121</v>
      </c>
      <c r="M198" s="2" t="s">
        <v>2391</v>
      </c>
      <c r="N198" s="2" t="s">
        <v>2122</v>
      </c>
      <c r="O198" s="2" t="s">
        <v>2207</v>
      </c>
      <c r="P198" s="2" t="s">
        <v>2124</v>
      </c>
      <c r="Q198" s="2" t="s">
        <v>2132</v>
      </c>
      <c r="R198" s="110">
        <v>1</v>
      </c>
      <c r="S198" s="110">
        <v>4500</v>
      </c>
      <c r="T198" s="110">
        <v>-4500</v>
      </c>
      <c r="U198" s="2" t="s">
        <v>2126</v>
      </c>
      <c r="V198" s="110"/>
      <c r="W198" s="110">
        <v>4500</v>
      </c>
      <c r="X198" s="2" t="s">
        <v>2393</v>
      </c>
      <c r="Y198" s="110">
        <v>5000</v>
      </c>
      <c r="Z198" s="110">
        <f t="shared" si="8"/>
        <v>0</v>
      </c>
      <c r="AA198" cm="1">
        <f t="array" aca="1" ref="AA198" ca="1">IFERROR(INDEX(H_Tables!E:E,MATCH(INDIRECT("I"&amp;ROW()),H_Tables!F:F,0)),"")</f>
        <v>6</v>
      </c>
      <c r="AB198" cm="1">
        <f t="array" aca="1" ref="AB198" ca="1">IFERROR(INDEX(H_Tables!H:H,MATCH(INDIRECT("k"&amp;ROW()),H_Tables!I:I,0)),"")</f>
        <v>1</v>
      </c>
      <c r="AC198" t="str">
        <f t="shared" si="9"/>
        <v>Instant Issue JHA Debit Processing,New,Hosted by 3rd Party,0</v>
      </c>
      <c r="AD198">
        <v>195</v>
      </c>
    </row>
    <row r="199" spans="1:30" ht="15" customHeight="1" x14ac:dyDescent="0.25">
      <c r="A199" s="127">
        <v>45895</v>
      </c>
      <c r="B199" s="2" t="s">
        <v>2117</v>
      </c>
      <c r="C199" s="110">
        <v>0</v>
      </c>
      <c r="D199" s="2" t="s">
        <v>2118</v>
      </c>
      <c r="E199" s="2" t="s">
        <v>2119</v>
      </c>
      <c r="F199" s="110">
        <v>0</v>
      </c>
      <c r="G199" s="110">
        <v>0</v>
      </c>
      <c r="H199" s="2" t="s">
        <v>2120</v>
      </c>
      <c r="I199" s="2" t="s">
        <v>188</v>
      </c>
      <c r="J199" s="2" t="s">
        <v>1722</v>
      </c>
      <c r="K199" s="2" t="s">
        <v>507</v>
      </c>
      <c r="L199" s="2" t="s">
        <v>2129</v>
      </c>
      <c r="M199" s="2" t="s">
        <v>2394</v>
      </c>
      <c r="N199" s="2" t="s">
        <v>2122</v>
      </c>
      <c r="O199" s="2" t="s">
        <v>2207</v>
      </c>
      <c r="P199" s="2" t="s">
        <v>2124</v>
      </c>
      <c r="Q199" s="2" t="s">
        <v>152</v>
      </c>
      <c r="R199" s="110">
        <v>0</v>
      </c>
      <c r="S199" s="110">
        <v>0</v>
      </c>
      <c r="T199" s="110">
        <v>0</v>
      </c>
      <c r="U199" s="2" t="s">
        <v>2126</v>
      </c>
      <c r="V199" s="110"/>
      <c r="W199" s="110">
        <v>3</v>
      </c>
      <c r="X199" s="2" t="s">
        <v>2395</v>
      </c>
      <c r="Y199" s="110">
        <v>5000</v>
      </c>
      <c r="Z199" s="110">
        <f t="shared" si="8"/>
        <v>0</v>
      </c>
      <c r="AA199" cm="1">
        <f t="array" aca="1" ref="AA199" ca="1">IFERROR(INDEX(H_Tables!E:E,MATCH(INDIRECT("I"&amp;ROW()),H_Tables!F:F,0)),"")</f>
        <v>6</v>
      </c>
      <c r="AB199" cm="1">
        <f t="array" aca="1" ref="AB199" ca="1">IFERROR(INDEX(H_Tables!H:H,MATCH(INDIRECT("k"&amp;ROW()),H_Tables!I:I,0)),"")</f>
        <v>1</v>
      </c>
      <c r="AC199" t="str">
        <f t="shared" si="9"/>
        <v>CPU Transmissions, per file JHA Debit Processing,New,Hosted by 3rd Party,0</v>
      </c>
      <c r="AD199">
        <v>196</v>
      </c>
    </row>
    <row r="200" spans="1:30" ht="15" customHeight="1" x14ac:dyDescent="0.25">
      <c r="A200" s="127">
        <v>45895</v>
      </c>
      <c r="B200" s="2" t="s">
        <v>2117</v>
      </c>
      <c r="C200" s="110">
        <v>0</v>
      </c>
      <c r="D200" s="2" t="s">
        <v>2118</v>
      </c>
      <c r="E200" s="2" t="s">
        <v>2119</v>
      </c>
      <c r="F200" s="110">
        <v>0</v>
      </c>
      <c r="G200" s="110">
        <v>0</v>
      </c>
      <c r="H200" s="2" t="s">
        <v>2120</v>
      </c>
      <c r="I200" s="2" t="s">
        <v>188</v>
      </c>
      <c r="J200" s="2" t="s">
        <v>1724</v>
      </c>
      <c r="K200" s="2" t="s">
        <v>507</v>
      </c>
      <c r="L200" s="2" t="s">
        <v>2129</v>
      </c>
      <c r="M200" s="2" t="s">
        <v>2396</v>
      </c>
      <c r="N200" s="2" t="s">
        <v>2122</v>
      </c>
      <c r="O200" s="2" t="s">
        <v>2207</v>
      </c>
      <c r="P200" s="2" t="s">
        <v>2124</v>
      </c>
      <c r="Q200" s="2" t="s">
        <v>152</v>
      </c>
      <c r="R200" s="110">
        <v>0</v>
      </c>
      <c r="S200" s="110">
        <v>0</v>
      </c>
      <c r="T200" s="110">
        <v>0</v>
      </c>
      <c r="U200" s="2" t="s">
        <v>2126</v>
      </c>
      <c r="V200" s="110"/>
      <c r="W200" s="110">
        <v>0.01</v>
      </c>
      <c r="X200" s="2" t="s">
        <v>2397</v>
      </c>
      <c r="Y200" s="110">
        <v>5000</v>
      </c>
      <c r="Z200" s="110">
        <f t="shared" si="8"/>
        <v>0</v>
      </c>
      <c r="AA200" cm="1">
        <f t="array" aca="1" ref="AA200" ca="1">IFERROR(INDEX(H_Tables!E:E,MATCH(INDIRECT("I"&amp;ROW()),H_Tables!F:F,0)),"")</f>
        <v>6</v>
      </c>
      <c r="AB200" cm="1">
        <f t="array" aca="1" ref="AB200" ca="1">IFERROR(INDEX(H_Tables!H:H,MATCH(INDIRECT("k"&amp;ROW()),H_Tables!I:I,0)),"")</f>
        <v>1</v>
      </c>
      <c r="AC200" t="str">
        <f t="shared" si="9"/>
        <v>Report Archival Pages JHA Debit Processing,New,Hosted by 3rd Party,0</v>
      </c>
      <c r="AD200">
        <v>197</v>
      </c>
    </row>
    <row r="201" spans="1:30" ht="15" customHeight="1" x14ac:dyDescent="0.25">
      <c r="A201" s="127">
        <v>45895</v>
      </c>
      <c r="B201" s="2" t="s">
        <v>2117</v>
      </c>
      <c r="C201" s="110">
        <v>0</v>
      </c>
      <c r="D201" s="2" t="s">
        <v>2118</v>
      </c>
      <c r="E201" s="2" t="s">
        <v>2119</v>
      </c>
      <c r="F201" s="110">
        <v>0</v>
      </c>
      <c r="G201" s="110">
        <v>0</v>
      </c>
      <c r="H201" s="2" t="s">
        <v>2120</v>
      </c>
      <c r="I201" s="2" t="s">
        <v>188</v>
      </c>
      <c r="J201" s="2" t="s">
        <v>451</v>
      </c>
      <c r="K201" s="2" t="s">
        <v>507</v>
      </c>
      <c r="L201" s="2" t="s">
        <v>2129</v>
      </c>
      <c r="M201" s="2" t="s">
        <v>2398</v>
      </c>
      <c r="N201" s="2" t="s">
        <v>2122</v>
      </c>
      <c r="O201" s="2" t="s">
        <v>2207</v>
      </c>
      <c r="P201" s="2" t="s">
        <v>2124</v>
      </c>
      <c r="Q201" s="2" t="s">
        <v>152</v>
      </c>
      <c r="R201" s="110">
        <v>0</v>
      </c>
      <c r="S201" s="110">
        <v>0</v>
      </c>
      <c r="T201" s="110">
        <v>0</v>
      </c>
      <c r="U201" s="2" t="s">
        <v>2126</v>
      </c>
      <c r="V201" s="110"/>
      <c r="W201" s="110">
        <v>10</v>
      </c>
      <c r="X201" s="2" t="s">
        <v>2399</v>
      </c>
      <c r="Y201" s="110">
        <v>5000</v>
      </c>
      <c r="Z201" s="110">
        <f t="shared" si="8"/>
        <v>0</v>
      </c>
      <c r="AA201" cm="1">
        <f t="array" aca="1" ref="AA201" ca="1">IFERROR(INDEX(H_Tables!E:E,MATCH(INDIRECT("I"&amp;ROW()),H_Tables!F:F,0)),"")</f>
        <v>6</v>
      </c>
      <c r="AB201" cm="1">
        <f t="array" aca="1" ref="AB201" ca="1">IFERROR(INDEX(H_Tables!H:H,MATCH(INDIRECT("k"&amp;ROW()),H_Tables!I:I,0)),"")</f>
        <v>1</v>
      </c>
      <c r="AC201" t="str">
        <f t="shared" si="9"/>
        <v>Non-Standard Job Request, per job JHA Debit Processing,New,Hosted by 3rd Party,0</v>
      </c>
      <c r="AD201">
        <v>198</v>
      </c>
    </row>
    <row r="202" spans="1:30" ht="15" customHeight="1" x14ac:dyDescent="0.25">
      <c r="A202" s="127">
        <v>45895</v>
      </c>
      <c r="B202" s="2" t="s">
        <v>2117</v>
      </c>
      <c r="C202" s="110">
        <v>0</v>
      </c>
      <c r="D202" s="2" t="s">
        <v>2118</v>
      </c>
      <c r="E202" s="2" t="s">
        <v>2119</v>
      </c>
      <c r="F202" s="110">
        <v>0</v>
      </c>
      <c r="G202" s="110">
        <v>0</v>
      </c>
      <c r="H202" s="2" t="s">
        <v>2120</v>
      </c>
      <c r="I202" s="2" t="s">
        <v>188</v>
      </c>
      <c r="J202" s="2" t="s">
        <v>740</v>
      </c>
      <c r="K202" s="2" t="s">
        <v>507</v>
      </c>
      <c r="L202" s="2" t="s">
        <v>2121</v>
      </c>
      <c r="M202" s="2" t="s">
        <v>2400</v>
      </c>
      <c r="N202" s="2" t="s">
        <v>2122</v>
      </c>
      <c r="O202" s="2" t="s">
        <v>2207</v>
      </c>
      <c r="P202" s="2" t="s">
        <v>2124</v>
      </c>
      <c r="Q202" s="2" t="s">
        <v>2132</v>
      </c>
      <c r="R202" s="110">
        <v>1</v>
      </c>
      <c r="S202" s="110">
        <v>16000</v>
      </c>
      <c r="T202" s="110">
        <v>-16000</v>
      </c>
      <c r="U202" s="2" t="s">
        <v>2126</v>
      </c>
      <c r="V202" s="110"/>
      <c r="W202" s="110">
        <v>16000</v>
      </c>
      <c r="X202" s="2" t="s">
        <v>2401</v>
      </c>
      <c r="Y202" s="110">
        <v>5000</v>
      </c>
      <c r="Z202" s="110">
        <f t="shared" si="8"/>
        <v>0</v>
      </c>
      <c r="AA202" cm="1">
        <f t="array" aca="1" ref="AA202" ca="1">IFERROR(INDEX(H_Tables!E:E,MATCH(INDIRECT("I"&amp;ROW()),H_Tables!F:F,0)),"")</f>
        <v>6</v>
      </c>
      <c r="AB202" cm="1">
        <f t="array" aca="1" ref="AB202" ca="1">IFERROR(INDEX(H_Tables!H:H,MATCH(INDIRECT("k"&amp;ROW()),H_Tables!I:I,0)),"")</f>
        <v>1</v>
      </c>
      <c r="AC202" t="str">
        <f t="shared" si="9"/>
        <v>CPS Dual Interface Cards Fee Schedule JHA Debit Processing,New,Hosted by 3rd Party,0</v>
      </c>
      <c r="AD202">
        <v>199</v>
      </c>
    </row>
    <row r="203" spans="1:30" ht="15" customHeight="1" x14ac:dyDescent="0.25">
      <c r="A203" s="127">
        <v>45895</v>
      </c>
      <c r="B203" s="2" t="s">
        <v>2117</v>
      </c>
      <c r="C203" s="110">
        <v>0</v>
      </c>
      <c r="D203" s="2" t="s">
        <v>2118</v>
      </c>
      <c r="E203" s="2" t="s">
        <v>2119</v>
      </c>
      <c r="F203" s="110">
        <v>0</v>
      </c>
      <c r="G203" s="110">
        <v>0</v>
      </c>
      <c r="H203" s="2" t="s">
        <v>2120</v>
      </c>
      <c r="I203" s="2" t="s">
        <v>188</v>
      </c>
      <c r="J203" s="2" t="s">
        <v>801</v>
      </c>
      <c r="K203" s="2" t="s">
        <v>507</v>
      </c>
      <c r="L203" s="2" t="s">
        <v>2121</v>
      </c>
      <c r="M203" s="2" t="s">
        <v>2402</v>
      </c>
      <c r="N203" s="2" t="s">
        <v>2122</v>
      </c>
      <c r="O203" s="2" t="s">
        <v>2207</v>
      </c>
      <c r="P203" s="2" t="s">
        <v>2124</v>
      </c>
      <c r="Q203" s="2" t="s">
        <v>2132</v>
      </c>
      <c r="R203" s="110">
        <v>2</v>
      </c>
      <c r="S203" s="110">
        <v>3000</v>
      </c>
      <c r="T203" s="110">
        <v>-3000</v>
      </c>
      <c r="U203" s="2" t="s">
        <v>2126</v>
      </c>
      <c r="V203" s="110"/>
      <c r="W203" s="110">
        <v>1500</v>
      </c>
      <c r="X203" s="2" t="s">
        <v>2403</v>
      </c>
      <c r="Y203" s="110">
        <v>5000</v>
      </c>
      <c r="Z203" s="110">
        <f t="shared" si="8"/>
        <v>0</v>
      </c>
      <c r="AA203" cm="1">
        <f t="array" aca="1" ref="AA203" ca="1">IFERROR(INDEX(H_Tables!E:E,MATCH(INDIRECT("I"&amp;ROW()),H_Tables!F:F,0)),"")</f>
        <v>6</v>
      </c>
      <c r="AB203" cm="1">
        <f t="array" aca="1" ref="AB203" ca="1">IFERROR(INDEX(H_Tables!H:H,MATCH(INDIRECT("k"&amp;ROW()),H_Tables!I:I,0)),"")</f>
        <v>1</v>
      </c>
      <c r="AC203" t="str">
        <f t="shared" si="9"/>
        <v>CPS Dual Interface Cards Additional Personalization Vendor BIN(s) JHA Debit Processing,New,Hosted by 3rd Party,0</v>
      </c>
      <c r="AD203">
        <v>200</v>
      </c>
    </row>
    <row r="204" spans="1:30" ht="15" customHeight="1" x14ac:dyDescent="0.25">
      <c r="A204" s="127">
        <v>45895</v>
      </c>
      <c r="B204" s="2" t="s">
        <v>2117</v>
      </c>
      <c r="C204" s="110">
        <v>0</v>
      </c>
      <c r="D204" s="2" t="s">
        <v>2118</v>
      </c>
      <c r="E204" s="2" t="s">
        <v>2119</v>
      </c>
      <c r="F204" s="110">
        <v>0</v>
      </c>
      <c r="G204" s="110">
        <v>0</v>
      </c>
      <c r="H204" s="2" t="s">
        <v>2120</v>
      </c>
      <c r="I204" s="2" t="s">
        <v>188</v>
      </c>
      <c r="J204" s="2" t="s">
        <v>282</v>
      </c>
      <c r="K204" s="2" t="s">
        <v>507</v>
      </c>
      <c r="L204" s="2" t="s">
        <v>2129</v>
      </c>
      <c r="M204" s="2" t="s">
        <v>2473</v>
      </c>
      <c r="N204" s="2" t="s">
        <v>2122</v>
      </c>
      <c r="O204" s="2" t="s">
        <v>2207</v>
      </c>
      <c r="P204" s="2" t="s">
        <v>2124</v>
      </c>
      <c r="Q204" s="2" t="s">
        <v>152</v>
      </c>
      <c r="R204" s="110">
        <v>1</v>
      </c>
      <c r="S204" s="110">
        <v>405</v>
      </c>
      <c r="T204" s="110">
        <v>0</v>
      </c>
      <c r="U204" s="2" t="s">
        <v>2126</v>
      </c>
      <c r="V204" s="110"/>
      <c r="W204" s="110">
        <v>405</v>
      </c>
      <c r="X204" s="2" t="s">
        <v>2404</v>
      </c>
      <c r="Y204" s="110">
        <v>5000</v>
      </c>
      <c r="Z204" s="110">
        <f t="shared" si="8"/>
        <v>0</v>
      </c>
      <c r="AA204" cm="1">
        <f t="array" aca="1" ref="AA204" ca="1">IFERROR(INDEX(H_Tables!E:E,MATCH(INDIRECT("I"&amp;ROW()),H_Tables!F:F,0)),"")</f>
        <v>6</v>
      </c>
      <c r="AB204" cm="1">
        <f t="array" aca="1" ref="AB204" ca="1">IFERROR(INDEX(H_Tables!H:H,MATCH(INDIRECT("k"&amp;ROW()),H_Tables!I:I,0)),"")</f>
        <v>1</v>
      </c>
      <c r="AC204" t="str">
        <f t="shared" si="9"/>
        <v>Online ATM &amp; Debit Authorization to CPS Switch Includes 7,000 ATM Transactions per month &amp; 2,50,New,Hosted by 3rd Party,0</v>
      </c>
      <c r="AD204">
        <v>201</v>
      </c>
    </row>
    <row r="205" spans="1:30" ht="15" customHeight="1" x14ac:dyDescent="0.25">
      <c r="A205" s="127">
        <v>45895</v>
      </c>
      <c r="B205" s="2" t="s">
        <v>2117</v>
      </c>
      <c r="C205" s="110">
        <v>0</v>
      </c>
      <c r="D205" s="2" t="s">
        <v>2118</v>
      </c>
      <c r="E205" s="2" t="s">
        <v>2119</v>
      </c>
      <c r="F205" s="110">
        <v>0</v>
      </c>
      <c r="G205" s="110">
        <v>0</v>
      </c>
      <c r="H205" s="2" t="s">
        <v>2120</v>
      </c>
      <c r="I205" s="2" t="s">
        <v>188</v>
      </c>
      <c r="J205" s="2" t="s">
        <v>282</v>
      </c>
      <c r="K205" s="2" t="s">
        <v>507</v>
      </c>
      <c r="L205" s="2" t="s">
        <v>2121</v>
      </c>
      <c r="M205" s="2" t="s">
        <v>2473</v>
      </c>
      <c r="N205" s="2" t="s">
        <v>2122</v>
      </c>
      <c r="O205" s="2" t="s">
        <v>2207</v>
      </c>
      <c r="P205" s="2" t="s">
        <v>2124</v>
      </c>
      <c r="Q205" s="2" t="s">
        <v>2132</v>
      </c>
      <c r="R205" s="110">
        <v>1</v>
      </c>
      <c r="S205" s="110">
        <v>5500</v>
      </c>
      <c r="T205" s="110">
        <v>-5500</v>
      </c>
      <c r="U205" s="2" t="s">
        <v>2126</v>
      </c>
      <c r="V205" s="110"/>
      <c r="W205" s="110">
        <v>5500</v>
      </c>
      <c r="X205" s="2" t="s">
        <v>2405</v>
      </c>
      <c r="Y205" s="110">
        <v>5000</v>
      </c>
      <c r="Z205" s="110">
        <f t="shared" si="8"/>
        <v>0</v>
      </c>
      <c r="AA205" cm="1">
        <f t="array" aca="1" ref="AA205" ca="1">IFERROR(INDEX(H_Tables!E:E,MATCH(INDIRECT("I"&amp;ROW()),H_Tables!F:F,0)),"")</f>
        <v>6</v>
      </c>
      <c r="AB205" cm="1">
        <f t="array" aca="1" ref="AB205" ca="1">IFERROR(INDEX(H_Tables!H:H,MATCH(INDIRECT("k"&amp;ROW()),H_Tables!I:I,0)),"")</f>
        <v>1</v>
      </c>
      <c r="AC205" t="str">
        <f t="shared" si="9"/>
        <v>Online ATM &amp; Debit Authorization to CPS Switch Includes 7,000 ATM Transactions per month &amp; 2,50,New,Hosted by 3rd Party,0</v>
      </c>
      <c r="AD205">
        <v>202</v>
      </c>
    </row>
    <row r="206" spans="1:30" ht="15" customHeight="1" x14ac:dyDescent="0.25">
      <c r="A206" s="127">
        <v>45895</v>
      </c>
      <c r="B206" s="2" t="s">
        <v>2117</v>
      </c>
      <c r="C206" s="110">
        <v>0</v>
      </c>
      <c r="D206" s="2" t="s">
        <v>2118</v>
      </c>
      <c r="E206" s="2" t="s">
        <v>2119</v>
      </c>
      <c r="F206" s="110">
        <v>0</v>
      </c>
      <c r="G206" s="110">
        <v>0</v>
      </c>
      <c r="H206" s="2" t="s">
        <v>2120</v>
      </c>
      <c r="I206" s="2" t="s">
        <v>188</v>
      </c>
      <c r="J206" s="2" t="s">
        <v>280</v>
      </c>
      <c r="K206" s="2" t="s">
        <v>507</v>
      </c>
      <c r="L206" s="2" t="s">
        <v>2129</v>
      </c>
      <c r="M206" s="2" t="s">
        <v>2406</v>
      </c>
      <c r="N206" s="2" t="s">
        <v>2122</v>
      </c>
      <c r="O206" s="2" t="s">
        <v>2207</v>
      </c>
      <c r="P206" s="2" t="s">
        <v>2124</v>
      </c>
      <c r="Q206" s="2" t="s">
        <v>152</v>
      </c>
      <c r="R206" s="110">
        <v>0</v>
      </c>
      <c r="S206" s="110">
        <v>0</v>
      </c>
      <c r="T206" s="110">
        <v>0</v>
      </c>
      <c r="U206" s="2" t="s">
        <v>2126</v>
      </c>
      <c r="V206" s="110"/>
      <c r="W206" s="110">
        <v>2.5000000000000001E-2</v>
      </c>
      <c r="X206" s="2" t="s">
        <v>2407</v>
      </c>
      <c r="Y206" s="110">
        <v>5000</v>
      </c>
      <c r="Z206" s="110">
        <f t="shared" si="8"/>
        <v>0</v>
      </c>
      <c r="AA206" cm="1">
        <f t="array" aca="1" ref="AA206" ca="1">IFERROR(INDEX(H_Tables!E:E,MATCH(INDIRECT("I"&amp;ROW()),H_Tables!F:F,0)),"")</f>
        <v>6</v>
      </c>
      <c r="AB206" cm="1">
        <f t="array" aca="1" ref="AB206" ca="1">IFERROR(INDEX(H_Tables!H:H,MATCH(INDIRECT("k"&amp;ROW()),H_Tables!I:I,0)),"")</f>
        <v>1</v>
      </c>
      <c r="AC206" t="str">
        <f t="shared" si="9"/>
        <v>Online ATM Authorizations (to CPS) JHA Debit Processing,New,Hosted by 3rd Party,0</v>
      </c>
      <c r="AD206">
        <v>203</v>
      </c>
    </row>
    <row r="207" spans="1:30" ht="15" customHeight="1" x14ac:dyDescent="0.25">
      <c r="A207" s="127">
        <v>45895</v>
      </c>
      <c r="B207" s="2" t="s">
        <v>2117</v>
      </c>
      <c r="C207" s="110">
        <v>0</v>
      </c>
      <c r="D207" s="2" t="s">
        <v>2118</v>
      </c>
      <c r="E207" s="2" t="s">
        <v>2119</v>
      </c>
      <c r="F207" s="110">
        <v>0</v>
      </c>
      <c r="G207" s="110">
        <v>0</v>
      </c>
      <c r="H207" s="2" t="s">
        <v>2120</v>
      </c>
      <c r="I207" s="2" t="s">
        <v>188</v>
      </c>
      <c r="J207" s="2" t="s">
        <v>281</v>
      </c>
      <c r="K207" s="2" t="s">
        <v>507</v>
      </c>
      <c r="L207" s="2" t="s">
        <v>2129</v>
      </c>
      <c r="M207" s="2" t="s">
        <v>2408</v>
      </c>
      <c r="N207" s="2" t="s">
        <v>2122</v>
      </c>
      <c r="O207" s="2" t="s">
        <v>2207</v>
      </c>
      <c r="P207" s="2" t="s">
        <v>2124</v>
      </c>
      <c r="Q207" s="2" t="s">
        <v>152</v>
      </c>
      <c r="R207" s="110">
        <v>0</v>
      </c>
      <c r="S207" s="110">
        <v>0</v>
      </c>
      <c r="T207" s="110">
        <v>0</v>
      </c>
      <c r="U207" s="2" t="s">
        <v>2126</v>
      </c>
      <c r="V207" s="110"/>
      <c r="W207" s="110">
        <v>2.5000000000000001E-2</v>
      </c>
      <c r="X207" s="2" t="s">
        <v>2409</v>
      </c>
      <c r="Y207" s="110">
        <v>5000</v>
      </c>
      <c r="Z207" s="110">
        <f t="shared" si="8"/>
        <v>0</v>
      </c>
      <c r="AA207" cm="1">
        <f t="array" aca="1" ref="AA207" ca="1">IFERROR(INDEX(H_Tables!E:E,MATCH(INDIRECT("I"&amp;ROW()),H_Tables!F:F,0)),"")</f>
        <v>6</v>
      </c>
      <c r="AB207" cm="1">
        <f t="array" aca="1" ref="AB207" ca="1">IFERROR(INDEX(H_Tables!H:H,MATCH(INDIRECT("k"&amp;ROW()),H_Tables!I:I,0)),"")</f>
        <v>1</v>
      </c>
      <c r="AC207" t="str">
        <f t="shared" si="9"/>
        <v>Online Debit Authorizations (to CPS) JHA Debit Processing,New,Hosted by 3rd Party,0</v>
      </c>
      <c r="AD207">
        <v>204</v>
      </c>
    </row>
    <row r="208" spans="1:30" ht="15" customHeight="1" x14ac:dyDescent="0.25">
      <c r="A208" s="127">
        <v>45895</v>
      </c>
      <c r="B208" s="2" t="s">
        <v>2117</v>
      </c>
      <c r="C208" s="110">
        <v>0</v>
      </c>
      <c r="D208" s="2" t="s">
        <v>2118</v>
      </c>
      <c r="E208" s="2" t="s">
        <v>2119</v>
      </c>
      <c r="F208" s="110">
        <v>0</v>
      </c>
      <c r="G208" s="110">
        <v>0</v>
      </c>
      <c r="H208" s="2" t="s">
        <v>2120</v>
      </c>
      <c r="I208" s="2" t="s">
        <v>188</v>
      </c>
      <c r="J208" s="2" t="s">
        <v>247</v>
      </c>
      <c r="K208" s="2" t="s">
        <v>507</v>
      </c>
      <c r="L208" s="2" t="s">
        <v>2129</v>
      </c>
      <c r="M208" s="2" t="s">
        <v>2410</v>
      </c>
      <c r="N208" s="2" t="s">
        <v>2122</v>
      </c>
      <c r="O208" s="2" t="s">
        <v>2207</v>
      </c>
      <c r="P208" s="2" t="s">
        <v>2124</v>
      </c>
      <c r="Q208" s="2" t="s">
        <v>152</v>
      </c>
      <c r="R208" s="110">
        <v>1</v>
      </c>
      <c r="S208" s="110">
        <v>150</v>
      </c>
      <c r="T208" s="110">
        <v>-150</v>
      </c>
      <c r="U208" s="2" t="s">
        <v>2126</v>
      </c>
      <c r="V208" s="110"/>
      <c r="W208" s="110">
        <v>150</v>
      </c>
      <c r="X208" s="2" t="s">
        <v>2411</v>
      </c>
      <c r="Y208" s="110">
        <v>5000</v>
      </c>
      <c r="Z208" s="110">
        <f t="shared" si="8"/>
        <v>0</v>
      </c>
      <c r="AA208" cm="1">
        <f t="array" aca="1" ref="AA208" ca="1">IFERROR(INDEX(H_Tables!E:E,MATCH(INDIRECT("I"&amp;ROW()),H_Tables!F:F,0)),"")</f>
        <v>6</v>
      </c>
      <c r="AB208" cm="1">
        <f t="array" aca="1" ref="AB208" ca="1">IFERROR(INDEX(H_Tables!H:H,MATCH(INDIRECT("k"&amp;ROW()),H_Tables!I:I,0)),"")</f>
        <v>1</v>
      </c>
      <c r="AC208" t="str">
        <f t="shared" si="9"/>
        <v>JHA Card Activation JHA Debit Processing,New,Hosted by 3rd Party,0</v>
      </c>
      <c r="AD208">
        <v>205</v>
      </c>
    </row>
    <row r="209" spans="1:30" ht="15" customHeight="1" x14ac:dyDescent="0.25">
      <c r="A209" s="127">
        <v>45895</v>
      </c>
      <c r="B209" s="2" t="s">
        <v>2117</v>
      </c>
      <c r="C209" s="110">
        <v>0</v>
      </c>
      <c r="D209" s="2" t="s">
        <v>2118</v>
      </c>
      <c r="E209" s="2" t="s">
        <v>2119</v>
      </c>
      <c r="F209" s="110">
        <v>0</v>
      </c>
      <c r="G209" s="110">
        <v>0</v>
      </c>
      <c r="H209" s="2" t="s">
        <v>2120</v>
      </c>
      <c r="I209" s="2" t="s">
        <v>188</v>
      </c>
      <c r="J209" s="2" t="s">
        <v>247</v>
      </c>
      <c r="K209" s="2" t="s">
        <v>507</v>
      </c>
      <c r="L209" s="2" t="s">
        <v>2121</v>
      </c>
      <c r="M209" s="2" t="s">
        <v>2410</v>
      </c>
      <c r="N209" s="2" t="s">
        <v>2122</v>
      </c>
      <c r="O209" s="2" t="s">
        <v>2207</v>
      </c>
      <c r="P209" s="2" t="s">
        <v>2124</v>
      </c>
      <c r="Q209" s="2" t="s">
        <v>2132</v>
      </c>
      <c r="R209" s="110">
        <v>1</v>
      </c>
      <c r="S209" s="110">
        <v>1500</v>
      </c>
      <c r="T209" s="110">
        <v>-1500</v>
      </c>
      <c r="U209" s="2" t="s">
        <v>2126</v>
      </c>
      <c r="V209" s="110"/>
      <c r="W209" s="110">
        <v>1500</v>
      </c>
      <c r="X209" s="2" t="s">
        <v>2412</v>
      </c>
      <c r="Y209" s="110">
        <v>5000</v>
      </c>
      <c r="Z209" s="110">
        <f t="shared" si="8"/>
        <v>0</v>
      </c>
      <c r="AA209" cm="1">
        <f t="array" aca="1" ref="AA209" ca="1">IFERROR(INDEX(H_Tables!E:E,MATCH(INDIRECT("I"&amp;ROW()),H_Tables!F:F,0)),"")</f>
        <v>6</v>
      </c>
      <c r="AB209" cm="1">
        <f t="array" aca="1" ref="AB209" ca="1">IFERROR(INDEX(H_Tables!H:H,MATCH(INDIRECT("k"&amp;ROW()),H_Tables!I:I,0)),"")</f>
        <v>1</v>
      </c>
      <c r="AC209" t="str">
        <f t="shared" si="9"/>
        <v>JHA Card Activation JHA Debit Processing,New,Hosted by 3rd Party,0</v>
      </c>
      <c r="AD209">
        <v>206</v>
      </c>
    </row>
    <row r="210" spans="1:30" ht="15" customHeight="1" x14ac:dyDescent="0.25">
      <c r="A210" s="127">
        <v>45895</v>
      </c>
      <c r="B210" s="2" t="s">
        <v>2117</v>
      </c>
      <c r="C210" s="110">
        <v>0</v>
      </c>
      <c r="D210" s="2" t="s">
        <v>2118</v>
      </c>
      <c r="E210" s="2" t="s">
        <v>2119</v>
      </c>
      <c r="F210" s="110">
        <v>0</v>
      </c>
      <c r="G210" s="110">
        <v>0</v>
      </c>
      <c r="H210" s="2" t="s">
        <v>2120</v>
      </c>
      <c r="I210" s="2" t="s">
        <v>188</v>
      </c>
      <c r="J210" s="2" t="s">
        <v>264</v>
      </c>
      <c r="K210" s="2" t="s">
        <v>507</v>
      </c>
      <c r="L210" s="2" t="s">
        <v>2129</v>
      </c>
      <c r="M210" s="2" t="s">
        <v>2413</v>
      </c>
      <c r="N210" s="2" t="s">
        <v>2122</v>
      </c>
      <c r="O210" s="2" t="s">
        <v>2207</v>
      </c>
      <c r="P210" s="2" t="s">
        <v>2124</v>
      </c>
      <c r="Q210" s="2" t="s">
        <v>152</v>
      </c>
      <c r="R210" s="110">
        <v>0</v>
      </c>
      <c r="S210" s="110">
        <v>0</v>
      </c>
      <c r="T210" s="110">
        <v>0</v>
      </c>
      <c r="U210" s="2" t="s">
        <v>2126</v>
      </c>
      <c r="V210" s="110"/>
      <c r="W210" s="110">
        <v>0.75</v>
      </c>
      <c r="X210" s="2" t="s">
        <v>2414</v>
      </c>
      <c r="Y210" s="110">
        <v>5000</v>
      </c>
      <c r="Z210" s="110">
        <f t="shared" si="8"/>
        <v>0</v>
      </c>
      <c r="AA210" cm="1">
        <f t="array" aca="1" ref="AA210" ca="1">IFERROR(INDEX(H_Tables!E:E,MATCH(INDIRECT("I"&amp;ROW()),H_Tables!F:F,0)),"")</f>
        <v>6</v>
      </c>
      <c r="AB210" cm="1">
        <f t="array" aca="1" ref="AB210" ca="1">IFERROR(INDEX(H_Tables!H:H,MATCH(INDIRECT("k"&amp;ROW()),H_Tables!I:I,0)),"")</f>
        <v>1</v>
      </c>
      <c r="AC210" t="str">
        <f t="shared" si="9"/>
        <v>Card Activations JHA Debit Processing,New,Hosted by 3rd Party,0</v>
      </c>
      <c r="AD210">
        <v>207</v>
      </c>
    </row>
    <row r="211" spans="1:30" ht="15" customHeight="1" x14ac:dyDescent="0.25">
      <c r="A211" s="127">
        <v>45895</v>
      </c>
      <c r="B211" s="2" t="s">
        <v>2117</v>
      </c>
      <c r="C211" s="110">
        <v>0</v>
      </c>
      <c r="D211" s="2" t="s">
        <v>2118</v>
      </c>
      <c r="E211" s="2" t="s">
        <v>2119</v>
      </c>
      <c r="F211" s="110">
        <v>0</v>
      </c>
      <c r="G211" s="110">
        <v>0</v>
      </c>
      <c r="H211" s="2" t="s">
        <v>2120</v>
      </c>
      <c r="I211" s="2" t="s">
        <v>188</v>
      </c>
      <c r="J211" s="2" t="s">
        <v>248</v>
      </c>
      <c r="K211" s="2" t="s">
        <v>507</v>
      </c>
      <c r="L211" s="2" t="s">
        <v>2129</v>
      </c>
      <c r="M211" s="2" t="s">
        <v>2415</v>
      </c>
      <c r="N211" s="2" t="s">
        <v>2122</v>
      </c>
      <c r="O211" s="2" t="s">
        <v>2207</v>
      </c>
      <c r="P211" s="2" t="s">
        <v>2124</v>
      </c>
      <c r="Q211" s="2" t="s">
        <v>152</v>
      </c>
      <c r="R211" s="110">
        <v>1</v>
      </c>
      <c r="S211" s="110">
        <v>150</v>
      </c>
      <c r="T211" s="110">
        <v>0</v>
      </c>
      <c r="U211" s="2" t="s">
        <v>2126</v>
      </c>
      <c r="V211" s="110"/>
      <c r="W211" s="110">
        <v>150</v>
      </c>
      <c r="X211" s="2" t="s">
        <v>2416</v>
      </c>
      <c r="Y211" s="110">
        <v>5000</v>
      </c>
      <c r="Z211" s="110">
        <f t="shared" si="8"/>
        <v>0</v>
      </c>
      <c r="AA211" cm="1">
        <f t="array" aca="1" ref="AA211" ca="1">IFERROR(INDEX(H_Tables!E:E,MATCH(INDIRECT("I"&amp;ROW()),H_Tables!F:F,0)),"")</f>
        <v>6</v>
      </c>
      <c r="AB211" cm="1">
        <f t="array" aca="1" ref="AB211" ca="1">IFERROR(INDEX(H_Tables!H:H,MATCH(INDIRECT("k"&amp;ROW()),H_Tables!I:I,0)),"")</f>
        <v>1</v>
      </c>
      <c r="AC211" t="str">
        <f t="shared" si="9"/>
        <v>JHA PIN Management JHA Debit Processing,New,Hosted by 3rd Party,0</v>
      </c>
      <c r="AD211">
        <v>208</v>
      </c>
    </row>
    <row r="212" spans="1:30" ht="15" customHeight="1" x14ac:dyDescent="0.25">
      <c r="A212" s="127">
        <v>45895</v>
      </c>
      <c r="B212" s="2" t="s">
        <v>2117</v>
      </c>
      <c r="C212" s="110">
        <v>0</v>
      </c>
      <c r="D212" s="2" t="s">
        <v>2118</v>
      </c>
      <c r="E212" s="2" t="s">
        <v>2119</v>
      </c>
      <c r="F212" s="110">
        <v>0</v>
      </c>
      <c r="G212" s="110">
        <v>0</v>
      </c>
      <c r="H212" s="2" t="s">
        <v>2120</v>
      </c>
      <c r="I212" s="2" t="s">
        <v>188</v>
      </c>
      <c r="J212" s="2" t="s">
        <v>248</v>
      </c>
      <c r="K212" s="2" t="s">
        <v>507</v>
      </c>
      <c r="L212" s="2" t="s">
        <v>2121</v>
      </c>
      <c r="M212" s="2" t="s">
        <v>2415</v>
      </c>
      <c r="N212" s="2" t="s">
        <v>2122</v>
      </c>
      <c r="O212" s="2" t="s">
        <v>2207</v>
      </c>
      <c r="P212" s="2" t="s">
        <v>2124</v>
      </c>
      <c r="Q212" s="2" t="s">
        <v>2132</v>
      </c>
      <c r="R212" s="110">
        <v>1</v>
      </c>
      <c r="S212" s="110">
        <v>1500</v>
      </c>
      <c r="T212" s="110">
        <v>-1500</v>
      </c>
      <c r="U212" s="2" t="s">
        <v>2126</v>
      </c>
      <c r="V212" s="110"/>
      <c r="W212" s="110">
        <v>1500</v>
      </c>
      <c r="X212" s="2" t="s">
        <v>2417</v>
      </c>
      <c r="Y212" s="110">
        <v>5000</v>
      </c>
      <c r="Z212" s="110">
        <f t="shared" si="8"/>
        <v>0</v>
      </c>
      <c r="AA212" cm="1">
        <f t="array" aca="1" ref="AA212" ca="1">IFERROR(INDEX(H_Tables!E:E,MATCH(INDIRECT("I"&amp;ROW()),H_Tables!F:F,0)),"")</f>
        <v>6</v>
      </c>
      <c r="AB212" cm="1">
        <f t="array" aca="1" ref="AB212" ca="1">IFERROR(INDEX(H_Tables!H:H,MATCH(INDIRECT("k"&amp;ROW()),H_Tables!I:I,0)),"")</f>
        <v>1</v>
      </c>
      <c r="AC212" t="str">
        <f t="shared" si="9"/>
        <v>JHA PIN Management JHA Debit Processing,New,Hosted by 3rd Party,0</v>
      </c>
      <c r="AD212">
        <v>209</v>
      </c>
    </row>
    <row r="213" spans="1:30" ht="15" customHeight="1" x14ac:dyDescent="0.25">
      <c r="A213" s="127">
        <v>45895</v>
      </c>
      <c r="B213" s="2" t="s">
        <v>2117</v>
      </c>
      <c r="C213" s="110">
        <v>0</v>
      </c>
      <c r="D213" s="2" t="s">
        <v>2118</v>
      </c>
      <c r="E213" s="2" t="s">
        <v>2119</v>
      </c>
      <c r="F213" s="110">
        <v>0</v>
      </c>
      <c r="G213" s="110">
        <v>0</v>
      </c>
      <c r="H213" s="2" t="s">
        <v>2120</v>
      </c>
      <c r="I213" s="2" t="s">
        <v>188</v>
      </c>
      <c r="J213" s="2" t="s">
        <v>265</v>
      </c>
      <c r="K213" s="2" t="s">
        <v>507</v>
      </c>
      <c r="L213" s="2" t="s">
        <v>2129</v>
      </c>
      <c r="M213" s="2" t="s">
        <v>2418</v>
      </c>
      <c r="N213" s="2" t="s">
        <v>2122</v>
      </c>
      <c r="O213" s="2" t="s">
        <v>2207</v>
      </c>
      <c r="P213" s="2" t="s">
        <v>2124</v>
      </c>
      <c r="Q213" s="2" t="s">
        <v>152</v>
      </c>
      <c r="R213" s="110">
        <v>0</v>
      </c>
      <c r="S213" s="110">
        <v>0</v>
      </c>
      <c r="T213" s="110">
        <v>0</v>
      </c>
      <c r="U213" s="2" t="s">
        <v>2126</v>
      </c>
      <c r="V213" s="110"/>
      <c r="W213" s="110">
        <v>0.75</v>
      </c>
      <c r="X213" s="2" t="s">
        <v>2419</v>
      </c>
      <c r="Y213" s="110">
        <v>5000</v>
      </c>
      <c r="Z213" s="110">
        <f t="shared" si="8"/>
        <v>0</v>
      </c>
      <c r="AA213" cm="1">
        <f t="array" aca="1" ref="AA213" ca="1">IFERROR(INDEX(H_Tables!E:E,MATCH(INDIRECT("I"&amp;ROW()),H_Tables!F:F,0)),"")</f>
        <v>6</v>
      </c>
      <c r="AB213" cm="1">
        <f t="array" aca="1" ref="AB213" ca="1">IFERROR(INDEX(H_Tables!H:H,MATCH(INDIRECT("k"&amp;ROW()),H_Tables!I:I,0)),"")</f>
        <v>1</v>
      </c>
      <c r="AC213" t="str">
        <f t="shared" si="9"/>
        <v>PIN Sets or PIN Changes JHA Debit Processing,New,Hosted by 3rd Party,0</v>
      </c>
      <c r="AD213">
        <v>210</v>
      </c>
    </row>
    <row r="214" spans="1:30" ht="15" customHeight="1" x14ac:dyDescent="0.25">
      <c r="A214" s="127">
        <v>45895</v>
      </c>
      <c r="B214" s="2" t="s">
        <v>2117</v>
      </c>
      <c r="C214" s="110">
        <v>0</v>
      </c>
      <c r="D214" s="2" t="s">
        <v>2118</v>
      </c>
      <c r="E214" s="2" t="s">
        <v>2119</v>
      </c>
      <c r="F214" s="110">
        <v>0</v>
      </c>
      <c r="G214" s="110">
        <v>0</v>
      </c>
      <c r="H214" s="2" t="s">
        <v>2120</v>
      </c>
      <c r="I214" s="2" t="s">
        <v>188</v>
      </c>
      <c r="J214" s="2" t="s">
        <v>242</v>
      </c>
      <c r="K214" s="2" t="s">
        <v>507</v>
      </c>
      <c r="L214" s="2" t="s">
        <v>2129</v>
      </c>
      <c r="M214" s="2" t="s">
        <v>2420</v>
      </c>
      <c r="N214" s="2" t="s">
        <v>2122</v>
      </c>
      <c r="O214" s="2" t="s">
        <v>2207</v>
      </c>
      <c r="P214" s="2" t="s">
        <v>2124</v>
      </c>
      <c r="Q214" s="2" t="s">
        <v>152</v>
      </c>
      <c r="R214" s="110">
        <v>0</v>
      </c>
      <c r="S214" s="110">
        <v>0</v>
      </c>
      <c r="T214" s="110">
        <v>0</v>
      </c>
      <c r="U214" s="2" t="s">
        <v>2126</v>
      </c>
      <c r="V214" s="110"/>
      <c r="W214" s="110">
        <v>0.02</v>
      </c>
      <c r="X214" s="2" t="s">
        <v>2421</v>
      </c>
      <c r="Y214" s="110">
        <v>5000</v>
      </c>
      <c r="Z214" s="110">
        <f t="shared" si="8"/>
        <v>0</v>
      </c>
      <c r="AA214" cm="1">
        <f t="array" aca="1" ref="AA214" ca="1">IFERROR(INDEX(H_Tables!E:E,MATCH(INDIRECT("I"&amp;ROW()),H_Tables!F:F,0)),"")</f>
        <v>6</v>
      </c>
      <c r="AB214" cm="1">
        <f t="array" aca="1" ref="AB214" ca="1">IFERROR(INDEX(H_Tables!H:H,MATCH(INDIRECT("k"&amp;ROW()),H_Tables!I:I,0)),"")</f>
        <v>1</v>
      </c>
      <c r="AC214" t="str">
        <f t="shared" si="9"/>
        <v>JHA Card Fraud Center (scored transactions) JHA Debit Processing,New,Hosted by 3rd Party,0</v>
      </c>
      <c r="AD214">
        <v>211</v>
      </c>
    </row>
    <row r="215" spans="1:30" ht="15" customHeight="1" x14ac:dyDescent="0.25">
      <c r="A215" s="127">
        <v>45895</v>
      </c>
      <c r="B215" s="2" t="s">
        <v>2117</v>
      </c>
      <c r="C215" s="110">
        <v>0</v>
      </c>
      <c r="D215" s="2" t="s">
        <v>2118</v>
      </c>
      <c r="E215" s="2" t="s">
        <v>2119</v>
      </c>
      <c r="F215" s="110">
        <v>0</v>
      </c>
      <c r="G215" s="110">
        <v>0</v>
      </c>
      <c r="H215" s="2" t="s">
        <v>2120</v>
      </c>
      <c r="I215" s="2" t="s">
        <v>188</v>
      </c>
      <c r="J215" s="2" t="s">
        <v>242</v>
      </c>
      <c r="K215" s="2" t="s">
        <v>507</v>
      </c>
      <c r="L215" s="2" t="s">
        <v>2121</v>
      </c>
      <c r="M215" s="2" t="s">
        <v>2420</v>
      </c>
      <c r="N215" s="2" t="s">
        <v>2122</v>
      </c>
      <c r="O215" s="2" t="s">
        <v>2207</v>
      </c>
      <c r="P215" s="2" t="s">
        <v>2124</v>
      </c>
      <c r="Q215" s="2" t="s">
        <v>2132</v>
      </c>
      <c r="R215" s="110">
        <v>0</v>
      </c>
      <c r="S215" s="110">
        <v>1000</v>
      </c>
      <c r="T215" s="110">
        <v>-1000</v>
      </c>
      <c r="U215" s="2" t="s">
        <v>2126</v>
      </c>
      <c r="V215" s="110"/>
      <c r="W215" s="110">
        <v>1000</v>
      </c>
      <c r="X215" s="2" t="s">
        <v>2422</v>
      </c>
      <c r="Y215" s="110">
        <v>5000</v>
      </c>
      <c r="Z215" s="110">
        <f t="shared" si="8"/>
        <v>0</v>
      </c>
      <c r="AA215" cm="1">
        <f t="array" aca="1" ref="AA215" ca="1">IFERROR(INDEX(H_Tables!E:E,MATCH(INDIRECT("I"&amp;ROW()),H_Tables!F:F,0)),"")</f>
        <v>6</v>
      </c>
      <c r="AB215" cm="1">
        <f t="array" aca="1" ref="AB215" ca="1">IFERROR(INDEX(H_Tables!H:H,MATCH(INDIRECT("k"&amp;ROW()),H_Tables!I:I,0)),"")</f>
        <v>1</v>
      </c>
      <c r="AC215" t="str">
        <f t="shared" si="9"/>
        <v>JHA Card Fraud Center (scored transactions) JHA Debit Processing,New,Hosted by 3rd Party,0</v>
      </c>
      <c r="AD215">
        <v>212</v>
      </c>
    </row>
    <row r="216" spans="1:30" ht="15" customHeight="1" x14ac:dyDescent="0.25">
      <c r="A216" s="127">
        <v>45895</v>
      </c>
      <c r="B216" s="2" t="s">
        <v>2117</v>
      </c>
      <c r="C216" s="110">
        <v>0</v>
      </c>
      <c r="D216" s="2" t="s">
        <v>2118</v>
      </c>
      <c r="E216" s="2" t="s">
        <v>2119</v>
      </c>
      <c r="F216" s="110">
        <v>0</v>
      </c>
      <c r="G216" s="110">
        <v>0</v>
      </c>
      <c r="H216" s="2" t="s">
        <v>2120</v>
      </c>
      <c r="I216" s="2" t="s">
        <v>188</v>
      </c>
      <c r="J216" s="2" t="s">
        <v>243</v>
      </c>
      <c r="K216" s="2" t="s">
        <v>507</v>
      </c>
      <c r="L216" s="2" t="s">
        <v>2129</v>
      </c>
      <c r="M216" s="2" t="s">
        <v>2423</v>
      </c>
      <c r="N216" s="2" t="s">
        <v>2122</v>
      </c>
      <c r="O216" s="2" t="s">
        <v>2207</v>
      </c>
      <c r="P216" s="2" t="s">
        <v>2124</v>
      </c>
      <c r="Q216" s="2" t="s">
        <v>152</v>
      </c>
      <c r="R216" s="110">
        <v>0</v>
      </c>
      <c r="S216" s="110">
        <v>0</v>
      </c>
      <c r="T216" s="110">
        <v>0</v>
      </c>
      <c r="U216" s="2" t="s">
        <v>2126</v>
      </c>
      <c r="V216" s="110"/>
      <c r="W216" s="110">
        <v>1.4999999999999999E-2</v>
      </c>
      <c r="X216" s="2" t="s">
        <v>2424</v>
      </c>
      <c r="Y216" s="110">
        <v>5000</v>
      </c>
      <c r="Z216" s="110">
        <f t="shared" si="8"/>
        <v>0</v>
      </c>
      <c r="AA216" cm="1">
        <f t="array" aca="1" ref="AA216" ca="1">IFERROR(INDEX(H_Tables!E:E,MATCH(INDIRECT("I"&amp;ROW()),H_Tables!F:F,0)),"")</f>
        <v>6</v>
      </c>
      <c r="AB216" cm="1">
        <f t="array" aca="1" ref="AB216" ca="1">IFERROR(INDEX(H_Tables!H:H,MATCH(INDIRECT("k"&amp;ROW()),H_Tables!I:I,0)),"")</f>
        <v>1</v>
      </c>
      <c r="AC216" t="str">
        <f t="shared" si="9"/>
        <v>Fraud Cardholder Record Storage JHA Debit Processing,New,Hosted by 3rd Party,0</v>
      </c>
      <c r="AD216">
        <v>213</v>
      </c>
    </row>
    <row r="217" spans="1:30" ht="15" customHeight="1" x14ac:dyDescent="0.25">
      <c r="A217" s="127">
        <v>45895</v>
      </c>
      <c r="B217" s="2" t="s">
        <v>2117</v>
      </c>
      <c r="C217" s="110">
        <v>0</v>
      </c>
      <c r="D217" s="2" t="s">
        <v>2118</v>
      </c>
      <c r="E217" s="2" t="s">
        <v>2119</v>
      </c>
      <c r="F217" s="110">
        <v>0</v>
      </c>
      <c r="G217" s="110">
        <v>0</v>
      </c>
      <c r="H217" s="2" t="s">
        <v>2120</v>
      </c>
      <c r="I217" s="2" t="s">
        <v>188</v>
      </c>
      <c r="J217" s="2" t="s">
        <v>258</v>
      </c>
      <c r="K217" s="2" t="s">
        <v>507</v>
      </c>
      <c r="L217" s="2" t="s">
        <v>2129</v>
      </c>
      <c r="M217" s="2" t="s">
        <v>2425</v>
      </c>
      <c r="N217" s="2" t="s">
        <v>2122</v>
      </c>
      <c r="O217" s="2" t="s">
        <v>2207</v>
      </c>
      <c r="P217" s="2" t="s">
        <v>2124</v>
      </c>
      <c r="Q217" s="2" t="s">
        <v>152</v>
      </c>
      <c r="R217" s="110">
        <v>0</v>
      </c>
      <c r="S217" s="110">
        <v>0</v>
      </c>
      <c r="T217" s="110">
        <v>0</v>
      </c>
      <c r="U217" s="2" t="s">
        <v>2126</v>
      </c>
      <c r="V217" s="110"/>
      <c r="W217" s="110">
        <v>5</v>
      </c>
      <c r="X217" s="2" t="s">
        <v>2426</v>
      </c>
      <c r="Y217" s="110">
        <v>5000</v>
      </c>
      <c r="Z217" s="110">
        <f t="shared" si="8"/>
        <v>0</v>
      </c>
      <c r="AA217" cm="1">
        <f t="array" aca="1" ref="AA217" ca="1">IFERROR(INDEX(H_Tables!E:E,MATCH(INDIRECT("I"&amp;ROW()),H_Tables!F:F,0)),"")</f>
        <v>6</v>
      </c>
      <c r="AB217" cm="1">
        <f t="array" aca="1" ref="AB217" ca="1">IFERROR(INDEX(H_Tables!H:H,MATCH(INDIRECT("k"&amp;ROW()),H_Tables!I:I,0)),"")</f>
        <v>1</v>
      </c>
      <c r="AC217" t="str">
        <f t="shared" si="9"/>
        <v>Fraud Alert Case Management JHA Debit Processing,New,Hosted by 3rd Party,0</v>
      </c>
      <c r="AD217">
        <v>214</v>
      </c>
    </row>
    <row r="218" spans="1:30" ht="15" customHeight="1" x14ac:dyDescent="0.25">
      <c r="A218" s="127">
        <v>45895</v>
      </c>
      <c r="B218" s="2" t="s">
        <v>2117</v>
      </c>
      <c r="C218" s="110">
        <v>0</v>
      </c>
      <c r="D218" s="2" t="s">
        <v>2118</v>
      </c>
      <c r="E218" s="2" t="s">
        <v>2119</v>
      </c>
      <c r="F218" s="110">
        <v>0</v>
      </c>
      <c r="G218" s="110">
        <v>0</v>
      </c>
      <c r="H218" s="2" t="s">
        <v>2120</v>
      </c>
      <c r="I218" s="2" t="s">
        <v>188</v>
      </c>
      <c r="J218" s="2" t="s">
        <v>260</v>
      </c>
      <c r="K218" s="2" t="s">
        <v>507</v>
      </c>
      <c r="L218" s="2" t="s">
        <v>2129</v>
      </c>
      <c r="M218" s="2" t="s">
        <v>2427</v>
      </c>
      <c r="N218" s="2" t="s">
        <v>2122</v>
      </c>
      <c r="O218" s="2" t="s">
        <v>2207</v>
      </c>
      <c r="P218" s="2" t="s">
        <v>2124</v>
      </c>
      <c r="Q218" s="2" t="s">
        <v>152</v>
      </c>
      <c r="R218" s="110">
        <v>1</v>
      </c>
      <c r="S218" s="110">
        <v>50</v>
      </c>
      <c r="T218" s="110">
        <v>0</v>
      </c>
      <c r="U218" s="2" t="s">
        <v>2126</v>
      </c>
      <c r="V218" s="110"/>
      <c r="W218" s="110">
        <v>50</v>
      </c>
      <c r="X218" s="2" t="s">
        <v>2428</v>
      </c>
      <c r="Y218" s="110">
        <v>5000</v>
      </c>
      <c r="Z218" s="110">
        <f t="shared" si="8"/>
        <v>0</v>
      </c>
      <c r="AA218" cm="1">
        <f t="array" aca="1" ref="AA218" ca="1">IFERROR(INDEX(H_Tables!E:E,MATCH(INDIRECT("I"&amp;ROW()),H_Tables!F:F,0)),"")</f>
        <v>6</v>
      </c>
      <c r="AB218" cm="1">
        <f t="array" aca="1" ref="AB218" ca="1">IFERROR(INDEX(H_Tables!H:H,MATCH(INDIRECT("k"&amp;ROW()),H_Tables!I:I,0)),"")</f>
        <v>1</v>
      </c>
      <c r="AC218" t="str">
        <f t="shared" si="9"/>
        <v>Two-Way Connect Cardholder Alerts JHA Debit Processing,New,Hosted by 3rd Party,0</v>
      </c>
      <c r="AD218">
        <v>215</v>
      </c>
    </row>
    <row r="219" spans="1:30" ht="15" customHeight="1" x14ac:dyDescent="0.25">
      <c r="A219" s="127">
        <v>45895</v>
      </c>
      <c r="B219" s="2" t="s">
        <v>2117</v>
      </c>
      <c r="C219" s="110">
        <v>0</v>
      </c>
      <c r="D219" s="2" t="s">
        <v>2118</v>
      </c>
      <c r="E219" s="2" t="s">
        <v>2119</v>
      </c>
      <c r="F219" s="110">
        <v>0</v>
      </c>
      <c r="G219" s="110">
        <v>0</v>
      </c>
      <c r="H219" s="2" t="s">
        <v>2120</v>
      </c>
      <c r="I219" s="2" t="s">
        <v>188</v>
      </c>
      <c r="J219" s="2" t="s">
        <v>260</v>
      </c>
      <c r="K219" s="2" t="s">
        <v>507</v>
      </c>
      <c r="L219" s="2" t="s">
        <v>2121</v>
      </c>
      <c r="M219" s="2" t="s">
        <v>2427</v>
      </c>
      <c r="N219" s="2" t="s">
        <v>2122</v>
      </c>
      <c r="O219" s="2" t="s">
        <v>2207</v>
      </c>
      <c r="P219" s="2" t="s">
        <v>2124</v>
      </c>
      <c r="Q219" s="2" t="s">
        <v>2132</v>
      </c>
      <c r="R219" s="110">
        <v>1</v>
      </c>
      <c r="S219" s="110">
        <v>600</v>
      </c>
      <c r="T219" s="110">
        <v>-600</v>
      </c>
      <c r="U219" s="2" t="s">
        <v>2126</v>
      </c>
      <c r="V219" s="110"/>
      <c r="W219" s="110">
        <v>600</v>
      </c>
      <c r="X219" s="2" t="s">
        <v>2429</v>
      </c>
      <c r="Y219" s="110">
        <v>5000</v>
      </c>
      <c r="Z219" s="110">
        <f t="shared" si="8"/>
        <v>0</v>
      </c>
      <c r="AA219" cm="1">
        <f t="array" aca="1" ref="AA219" ca="1">IFERROR(INDEX(H_Tables!E:E,MATCH(INDIRECT("I"&amp;ROW()),H_Tables!F:F,0)),"")</f>
        <v>6</v>
      </c>
      <c r="AB219" cm="1">
        <f t="array" aca="1" ref="AB219" ca="1">IFERROR(INDEX(H_Tables!H:H,MATCH(INDIRECT("k"&amp;ROW()),H_Tables!I:I,0)),"")</f>
        <v>1</v>
      </c>
      <c r="AC219" t="str">
        <f t="shared" si="9"/>
        <v>Two-Way Connect Cardholder Alerts JHA Debit Processing,New,Hosted by 3rd Party,0</v>
      </c>
      <c r="AD219">
        <v>216</v>
      </c>
    </row>
    <row r="220" spans="1:30" ht="15" customHeight="1" x14ac:dyDescent="0.25">
      <c r="A220" s="127">
        <v>45895</v>
      </c>
      <c r="B220" s="2" t="s">
        <v>2117</v>
      </c>
      <c r="C220" s="110">
        <v>0</v>
      </c>
      <c r="D220" s="2" t="s">
        <v>2118</v>
      </c>
      <c r="E220" s="2" t="s">
        <v>2119</v>
      </c>
      <c r="F220" s="110">
        <v>0</v>
      </c>
      <c r="G220" s="110">
        <v>0</v>
      </c>
      <c r="H220" s="2" t="s">
        <v>2120</v>
      </c>
      <c r="I220" s="2" t="s">
        <v>188</v>
      </c>
      <c r="J220" s="2" t="s">
        <v>1824</v>
      </c>
      <c r="K220" s="2" t="s">
        <v>507</v>
      </c>
      <c r="L220" s="2" t="s">
        <v>2129</v>
      </c>
      <c r="M220" s="2" t="s">
        <v>1825</v>
      </c>
      <c r="N220" s="2" t="s">
        <v>2122</v>
      </c>
      <c r="O220" s="2" t="s">
        <v>2207</v>
      </c>
      <c r="P220" s="2" t="s">
        <v>2124</v>
      </c>
      <c r="Q220" s="2" t="s">
        <v>152</v>
      </c>
      <c r="R220" s="110">
        <v>1</v>
      </c>
      <c r="S220" s="110">
        <v>150</v>
      </c>
      <c r="T220" s="110">
        <v>0</v>
      </c>
      <c r="U220" s="2" t="s">
        <v>2126</v>
      </c>
      <c r="V220" s="110"/>
      <c r="W220" s="110">
        <v>150</v>
      </c>
      <c r="X220" s="2" t="s">
        <v>2430</v>
      </c>
      <c r="Y220" s="110">
        <v>5000</v>
      </c>
      <c r="Z220" s="110">
        <f t="shared" si="8"/>
        <v>0</v>
      </c>
      <c r="AA220" cm="1">
        <f t="array" aca="1" ref="AA220" ca="1">IFERROR(INDEX(H_Tables!E:E,MATCH(INDIRECT("I"&amp;ROW()),H_Tables!F:F,0)),"")</f>
        <v>6</v>
      </c>
      <c r="AB220" cm="1">
        <f t="array" aca="1" ref="AB220" ca="1">IFERROR(INDEX(H_Tables!H:H,MATCH(INDIRECT("k"&amp;ROW()),H_Tables!I:I,0)),"")</f>
        <v>1</v>
      </c>
      <c r="AC220" t="str">
        <f t="shared" si="9"/>
        <v>Full-Service Chargeback Dispute Processing JHA Debit Processing,New,Hosted by 3rd Party,0</v>
      </c>
      <c r="AD220">
        <v>217</v>
      </c>
    </row>
    <row r="221" spans="1:30" ht="15" customHeight="1" x14ac:dyDescent="0.25">
      <c r="A221" s="127">
        <v>45895</v>
      </c>
      <c r="B221" s="2" t="s">
        <v>2117</v>
      </c>
      <c r="C221" s="110">
        <v>0</v>
      </c>
      <c r="D221" s="2" t="s">
        <v>2118</v>
      </c>
      <c r="E221" s="2" t="s">
        <v>2119</v>
      </c>
      <c r="F221" s="110">
        <v>0</v>
      </c>
      <c r="G221" s="110">
        <v>0</v>
      </c>
      <c r="H221" s="2" t="s">
        <v>2120</v>
      </c>
      <c r="I221" s="2" t="s">
        <v>188</v>
      </c>
      <c r="J221" s="2" t="s">
        <v>1824</v>
      </c>
      <c r="K221" s="2" t="s">
        <v>507</v>
      </c>
      <c r="L221" s="2" t="s">
        <v>2121</v>
      </c>
      <c r="M221" s="2" t="s">
        <v>1825</v>
      </c>
      <c r="N221" s="2" t="s">
        <v>2122</v>
      </c>
      <c r="O221" s="2" t="s">
        <v>2207</v>
      </c>
      <c r="P221" s="2" t="s">
        <v>2124</v>
      </c>
      <c r="Q221" s="2" t="s">
        <v>2132</v>
      </c>
      <c r="R221" s="110">
        <v>1</v>
      </c>
      <c r="S221" s="110">
        <v>1500</v>
      </c>
      <c r="T221" s="110">
        <v>-1500</v>
      </c>
      <c r="U221" s="2" t="s">
        <v>2126</v>
      </c>
      <c r="V221" s="110"/>
      <c r="W221" s="110">
        <v>1500</v>
      </c>
      <c r="X221" s="2" t="s">
        <v>2431</v>
      </c>
      <c r="Y221" s="110">
        <v>5000</v>
      </c>
      <c r="Z221" s="110">
        <f t="shared" si="8"/>
        <v>0</v>
      </c>
      <c r="AA221" cm="1">
        <f t="array" aca="1" ref="AA221" ca="1">IFERROR(INDEX(H_Tables!E:E,MATCH(INDIRECT("I"&amp;ROW()),H_Tables!F:F,0)),"")</f>
        <v>6</v>
      </c>
      <c r="AB221" cm="1">
        <f t="array" aca="1" ref="AB221" ca="1">IFERROR(INDEX(H_Tables!H:H,MATCH(INDIRECT("k"&amp;ROW()),H_Tables!I:I,0)),"")</f>
        <v>1</v>
      </c>
      <c r="AC221" t="str">
        <f t="shared" si="9"/>
        <v>Full-Service Chargeback Dispute Processing JHA Debit Processing,New,Hosted by 3rd Party,0</v>
      </c>
      <c r="AD221">
        <v>218</v>
      </c>
    </row>
    <row r="222" spans="1:30" ht="15" customHeight="1" x14ac:dyDescent="0.25">
      <c r="A222" s="127">
        <v>45895</v>
      </c>
      <c r="B222" s="2" t="s">
        <v>2117</v>
      </c>
      <c r="C222" s="110">
        <v>0</v>
      </c>
      <c r="D222" s="2" t="s">
        <v>2118</v>
      </c>
      <c r="E222" s="2" t="s">
        <v>2119</v>
      </c>
      <c r="F222" s="110">
        <v>0</v>
      </c>
      <c r="G222" s="110">
        <v>0</v>
      </c>
      <c r="H222" s="2" t="s">
        <v>2120</v>
      </c>
      <c r="I222" s="2" t="s">
        <v>188</v>
      </c>
      <c r="J222" s="2" t="s">
        <v>239</v>
      </c>
      <c r="K222" s="2" t="s">
        <v>507</v>
      </c>
      <c r="L222" s="2" t="s">
        <v>2129</v>
      </c>
      <c r="M222" s="2" t="s">
        <v>2432</v>
      </c>
      <c r="N222" s="2" t="s">
        <v>2122</v>
      </c>
      <c r="O222" s="2" t="s">
        <v>2207</v>
      </c>
      <c r="P222" s="2" t="s">
        <v>2124</v>
      </c>
      <c r="Q222" s="2" t="s">
        <v>152</v>
      </c>
      <c r="R222" s="110">
        <v>0</v>
      </c>
      <c r="S222" s="110">
        <v>0</v>
      </c>
      <c r="T222" s="110">
        <v>0</v>
      </c>
      <c r="U222" s="2" t="s">
        <v>2126</v>
      </c>
      <c r="V222" s="110"/>
      <c r="W222" s="110">
        <v>35</v>
      </c>
      <c r="X222" s="2" t="s">
        <v>2433</v>
      </c>
      <c r="Y222" s="110">
        <v>5000</v>
      </c>
      <c r="Z222" s="110">
        <f t="shared" si="8"/>
        <v>0</v>
      </c>
      <c r="AA222" cm="1">
        <f t="array" aca="1" ref="AA222" ca="1">IFERROR(INDEX(H_Tables!E:E,MATCH(INDIRECT("I"&amp;ROW()),H_Tables!F:F,0)),"")</f>
        <v>6</v>
      </c>
      <c r="AB222" cm="1">
        <f t="array" aca="1" ref="AB222" ca="1">IFERROR(INDEX(H_Tables!H:H,MATCH(INDIRECT("k"&amp;ROW()),H_Tables!I:I,0)),"")</f>
        <v>1</v>
      </c>
      <c r="AC222" t="str">
        <f t="shared" si="9"/>
        <v>Chargeback Dispute Processing Cases Jack Henry intake JHA Debit Processing,New,Hosted by 3rd Party,0</v>
      </c>
      <c r="AD222">
        <v>219</v>
      </c>
    </row>
    <row r="223" spans="1:30" ht="15" customHeight="1" x14ac:dyDescent="0.25">
      <c r="A223" s="127">
        <v>45895</v>
      </c>
      <c r="B223" s="2" t="s">
        <v>2117</v>
      </c>
      <c r="C223" s="110">
        <v>0</v>
      </c>
      <c r="D223" s="2" t="s">
        <v>2118</v>
      </c>
      <c r="E223" s="2" t="s">
        <v>2119</v>
      </c>
      <c r="F223" s="110">
        <v>0</v>
      </c>
      <c r="G223" s="110">
        <v>0</v>
      </c>
      <c r="H223" s="2" t="s">
        <v>2120</v>
      </c>
      <c r="I223" s="2" t="s">
        <v>188</v>
      </c>
      <c r="J223" s="2" t="s">
        <v>1809</v>
      </c>
      <c r="K223" s="2" t="s">
        <v>507</v>
      </c>
      <c r="L223" s="2" t="s">
        <v>2129</v>
      </c>
      <c r="M223" s="2" t="s">
        <v>2434</v>
      </c>
      <c r="N223" s="2" t="s">
        <v>2122</v>
      </c>
      <c r="O223" s="2" t="s">
        <v>2207</v>
      </c>
      <c r="P223" s="2" t="s">
        <v>2124</v>
      </c>
      <c r="Q223" s="2" t="s">
        <v>152</v>
      </c>
      <c r="R223" s="110">
        <v>0</v>
      </c>
      <c r="S223" s="110">
        <v>0</v>
      </c>
      <c r="T223" s="110">
        <v>0</v>
      </c>
      <c r="U223" s="2" t="s">
        <v>2126</v>
      </c>
      <c r="V223" s="110"/>
      <c r="W223" s="110">
        <v>10</v>
      </c>
      <c r="X223" s="2" t="s">
        <v>2435</v>
      </c>
      <c r="Y223" s="110">
        <v>5000</v>
      </c>
      <c r="Z223" s="110">
        <f t="shared" si="8"/>
        <v>0</v>
      </c>
      <c r="AA223" cm="1">
        <f t="array" aca="1" ref="AA223" ca="1">IFERROR(INDEX(H_Tables!E:E,MATCH(INDIRECT("I"&amp;ROW()),H_Tables!F:F,0)),"")</f>
        <v>6</v>
      </c>
      <c r="AB223" cm="1">
        <f t="array" aca="1" ref="AB223" ca="1">IFERROR(INDEX(H_Tables!H:H,MATCH(INDIRECT("k"&amp;ROW()),H_Tables!I:I,0)),"")</f>
        <v>1</v>
      </c>
      <c r="AC223" t="str">
        <f t="shared" si="9"/>
        <v>Low-Dollar Write-off, per case JHA Debit Processing,New,Hosted by 3rd Party,0</v>
      </c>
      <c r="AD223">
        <v>220</v>
      </c>
    </row>
    <row r="224" spans="1:30" ht="15" customHeight="1" x14ac:dyDescent="0.25">
      <c r="A224" s="127">
        <v>45895</v>
      </c>
      <c r="B224" s="2" t="s">
        <v>2117</v>
      </c>
      <c r="C224" s="110">
        <v>0</v>
      </c>
      <c r="D224" s="2" t="s">
        <v>2118</v>
      </c>
      <c r="E224" s="2" t="s">
        <v>2119</v>
      </c>
      <c r="F224" s="110">
        <v>0</v>
      </c>
      <c r="G224" s="110">
        <v>0</v>
      </c>
      <c r="H224" s="2" t="s">
        <v>2120</v>
      </c>
      <c r="I224" s="2" t="s">
        <v>188</v>
      </c>
      <c r="J224" s="2" t="s">
        <v>1811</v>
      </c>
      <c r="K224" s="2" t="s">
        <v>507</v>
      </c>
      <c r="L224" s="2" t="s">
        <v>2129</v>
      </c>
      <c r="M224" s="2" t="s">
        <v>2436</v>
      </c>
      <c r="N224" s="2" t="s">
        <v>2122</v>
      </c>
      <c r="O224" s="2" t="s">
        <v>2207</v>
      </c>
      <c r="P224" s="2" t="s">
        <v>2124</v>
      </c>
      <c r="Q224" s="2" t="s">
        <v>152</v>
      </c>
      <c r="R224" s="110">
        <v>0</v>
      </c>
      <c r="S224" s="110">
        <v>0</v>
      </c>
      <c r="T224" s="110">
        <v>0</v>
      </c>
      <c r="U224" s="2" t="s">
        <v>2126</v>
      </c>
      <c r="V224" s="110"/>
      <c r="W224" s="110">
        <v>1.25</v>
      </c>
      <c r="X224" s="2" t="s">
        <v>2437</v>
      </c>
      <c r="Y224" s="110">
        <v>5000</v>
      </c>
      <c r="Z224" s="110">
        <f t="shared" si="8"/>
        <v>0</v>
      </c>
      <c r="AA224" cm="1">
        <f t="array" aca="1" ref="AA224" ca="1">IFERROR(INDEX(H_Tables!E:E,MATCH(INDIRECT("I"&amp;ROW()),H_Tables!F:F,0)),"")</f>
        <v>6</v>
      </c>
      <c r="AB224" cm="1">
        <f t="array" aca="1" ref="AB224" ca="1">IFERROR(INDEX(H_Tables!H:H,MATCH(INDIRECT("k"&amp;ROW()),H_Tables!I:I,0)),"")</f>
        <v>1</v>
      </c>
      <c r="AC224" t="str">
        <f t="shared" si="9"/>
        <v>Full Service Disputes Letters JHA Debit Processing,New,Hosted by 3rd Party,0</v>
      </c>
      <c r="AD224">
        <v>221</v>
      </c>
    </row>
    <row r="225" spans="1:30" ht="15" customHeight="1" x14ac:dyDescent="0.25">
      <c r="A225" s="127">
        <v>45895</v>
      </c>
      <c r="B225" s="2" t="s">
        <v>2117</v>
      </c>
      <c r="C225" s="110">
        <v>0</v>
      </c>
      <c r="D225" s="2" t="s">
        <v>2118</v>
      </c>
      <c r="E225" s="2" t="s">
        <v>2119</v>
      </c>
      <c r="F225" s="110">
        <v>0</v>
      </c>
      <c r="G225" s="110">
        <v>0</v>
      </c>
      <c r="H225" s="2" t="s">
        <v>2120</v>
      </c>
      <c r="I225" s="2" t="s">
        <v>188</v>
      </c>
      <c r="J225" s="2" t="s">
        <v>1982</v>
      </c>
      <c r="K225" s="2" t="s">
        <v>507</v>
      </c>
      <c r="L225" s="2" t="s">
        <v>2129</v>
      </c>
      <c r="M225" s="2" t="s">
        <v>2438</v>
      </c>
      <c r="N225" s="2" t="s">
        <v>2122</v>
      </c>
      <c r="O225" s="2" t="s">
        <v>2207</v>
      </c>
      <c r="P225" s="2" t="s">
        <v>2124</v>
      </c>
      <c r="Q225" s="2" t="s">
        <v>152</v>
      </c>
      <c r="R225" s="110">
        <v>0</v>
      </c>
      <c r="S225" s="110">
        <v>100</v>
      </c>
      <c r="T225" s="110">
        <v>0</v>
      </c>
      <c r="U225" s="2" t="s">
        <v>2126</v>
      </c>
      <c r="V225" s="110"/>
      <c r="W225" s="110">
        <v>100</v>
      </c>
      <c r="X225" s="2" t="s">
        <v>2439</v>
      </c>
      <c r="Y225" s="110">
        <v>5000</v>
      </c>
      <c r="Z225" s="110">
        <f t="shared" si="8"/>
        <v>0</v>
      </c>
      <c r="AA225" cm="1">
        <f t="array" aca="1" ref="AA225" ca="1">IFERROR(INDEX(H_Tables!E:E,MATCH(INDIRECT("I"&amp;ROW()),H_Tables!F:F,0)),"")</f>
        <v>6</v>
      </c>
      <c r="AB225" cm="1">
        <f t="array" aca="1" ref="AB225" ca="1">IFERROR(INDEX(H_Tables!H:H,MATCH(INDIRECT("k"&amp;ROW()),H_Tables!I:I,0)),"")</f>
        <v>1</v>
      </c>
      <c r="AC225" t="str">
        <f t="shared" si="9"/>
        <v>Full-Service Disputes Digital SSO Support JHA Debit Processing,New,Hosted by 3rd Party,0</v>
      </c>
      <c r="AD225">
        <v>222</v>
      </c>
    </row>
    <row r="226" spans="1:30" ht="15" customHeight="1" x14ac:dyDescent="0.25">
      <c r="A226" s="127">
        <v>45895</v>
      </c>
      <c r="B226" s="2" t="s">
        <v>2117</v>
      </c>
      <c r="C226" s="110">
        <v>0</v>
      </c>
      <c r="D226" s="2" t="s">
        <v>2118</v>
      </c>
      <c r="E226" s="2" t="s">
        <v>2119</v>
      </c>
      <c r="F226" s="110">
        <v>0</v>
      </c>
      <c r="G226" s="110">
        <v>0</v>
      </c>
      <c r="H226" s="2" t="s">
        <v>2120</v>
      </c>
      <c r="I226" s="2" t="s">
        <v>188</v>
      </c>
      <c r="J226" s="2" t="s">
        <v>1982</v>
      </c>
      <c r="K226" s="2" t="s">
        <v>507</v>
      </c>
      <c r="L226" s="2" t="s">
        <v>2121</v>
      </c>
      <c r="M226" s="2" t="s">
        <v>2438</v>
      </c>
      <c r="N226" s="2" t="s">
        <v>2122</v>
      </c>
      <c r="O226" s="2" t="s">
        <v>2207</v>
      </c>
      <c r="P226" s="2" t="s">
        <v>2124</v>
      </c>
      <c r="Q226" s="2" t="s">
        <v>2132</v>
      </c>
      <c r="R226" s="110">
        <v>0</v>
      </c>
      <c r="S226" s="110">
        <v>2500</v>
      </c>
      <c r="T226" s="110">
        <v>-2500</v>
      </c>
      <c r="U226" s="2" t="s">
        <v>2126</v>
      </c>
      <c r="V226" s="110"/>
      <c r="W226" s="110">
        <v>2500</v>
      </c>
      <c r="X226" s="2" t="s">
        <v>2440</v>
      </c>
      <c r="Y226" s="110">
        <v>5000</v>
      </c>
      <c r="Z226" s="110">
        <f t="shared" si="8"/>
        <v>0</v>
      </c>
      <c r="AA226" cm="1">
        <f t="array" aca="1" ref="AA226" ca="1">IFERROR(INDEX(H_Tables!E:E,MATCH(INDIRECT("I"&amp;ROW()),H_Tables!F:F,0)),"")</f>
        <v>6</v>
      </c>
      <c r="AB226" cm="1">
        <f t="array" aca="1" ref="AB226" ca="1">IFERROR(INDEX(H_Tables!H:H,MATCH(INDIRECT("k"&amp;ROW()),H_Tables!I:I,0)),"")</f>
        <v>1</v>
      </c>
      <c r="AC226" t="str">
        <f t="shared" si="9"/>
        <v>Full-Service Disputes Digital SSO Support JHA Debit Processing,New,Hosted by 3rd Party,0</v>
      </c>
      <c r="AD226">
        <v>223</v>
      </c>
    </row>
    <row r="227" spans="1:30" ht="15" customHeight="1" x14ac:dyDescent="0.25">
      <c r="A227" s="127">
        <v>45895</v>
      </c>
      <c r="B227" s="2" t="s">
        <v>2117</v>
      </c>
      <c r="C227" s="110">
        <v>0</v>
      </c>
      <c r="D227" s="2" t="s">
        <v>2118</v>
      </c>
      <c r="E227" s="2" t="s">
        <v>2119</v>
      </c>
      <c r="F227" s="110">
        <v>0</v>
      </c>
      <c r="G227" s="110">
        <v>0</v>
      </c>
      <c r="H227" s="2" t="s">
        <v>2120</v>
      </c>
      <c r="I227" s="2" t="s">
        <v>188</v>
      </c>
      <c r="J227" s="2" t="s">
        <v>252</v>
      </c>
      <c r="K227" s="2" t="s">
        <v>507</v>
      </c>
      <c r="L227" s="2" t="s">
        <v>2129</v>
      </c>
      <c r="M227" s="2" t="s">
        <v>2441</v>
      </c>
      <c r="N227" s="2" t="s">
        <v>2122</v>
      </c>
      <c r="O227" s="2" t="s">
        <v>2207</v>
      </c>
      <c r="P227" s="2" t="s">
        <v>2124</v>
      </c>
      <c r="Q227" s="2" t="s">
        <v>152</v>
      </c>
      <c r="R227" s="110">
        <v>1</v>
      </c>
      <c r="S227" s="110">
        <v>100</v>
      </c>
      <c r="T227" s="110">
        <v>0</v>
      </c>
      <c r="U227" s="2" t="s">
        <v>2126</v>
      </c>
      <c r="V227" s="110"/>
      <c r="W227" s="110">
        <v>100</v>
      </c>
      <c r="X227" s="2" t="s">
        <v>2442</v>
      </c>
      <c r="Y227" s="110">
        <v>5000</v>
      </c>
      <c r="Z227" s="110">
        <f t="shared" si="8"/>
        <v>0</v>
      </c>
      <c r="AA227" cm="1">
        <f t="array" aca="1" ref="AA227" ca="1">IFERROR(INDEX(H_Tables!E:E,MATCH(INDIRECT("I"&amp;ROW()),H_Tables!F:F,0)),"")</f>
        <v>6</v>
      </c>
      <c r="AB227" cm="1">
        <f t="array" aca="1" ref="AB227" ca="1">IFERROR(INDEX(H_Tables!H:H,MATCH(INDIRECT("k"&amp;ROW()),H_Tables!I:I,0)),"")</f>
        <v>1</v>
      </c>
      <c r="AC227" t="str">
        <f t="shared" si="9"/>
        <v>JHA Hot Card Center JHA Debit Processing,New,Hosted by 3rd Party,0</v>
      </c>
      <c r="AD227">
        <v>224</v>
      </c>
    </row>
    <row r="228" spans="1:30" ht="15" customHeight="1" x14ac:dyDescent="0.25">
      <c r="A228" s="127">
        <v>45895</v>
      </c>
      <c r="B228" s="2" t="s">
        <v>2117</v>
      </c>
      <c r="C228" s="110">
        <v>0</v>
      </c>
      <c r="D228" s="2" t="s">
        <v>2118</v>
      </c>
      <c r="E228" s="2" t="s">
        <v>2119</v>
      </c>
      <c r="F228" s="110">
        <v>0</v>
      </c>
      <c r="G228" s="110">
        <v>0</v>
      </c>
      <c r="H228" s="2" t="s">
        <v>2120</v>
      </c>
      <c r="I228" s="2" t="s">
        <v>188</v>
      </c>
      <c r="J228" s="2" t="s">
        <v>252</v>
      </c>
      <c r="K228" s="2" t="s">
        <v>507</v>
      </c>
      <c r="L228" s="2" t="s">
        <v>2121</v>
      </c>
      <c r="M228" s="2" t="s">
        <v>2441</v>
      </c>
      <c r="N228" s="2" t="s">
        <v>2122</v>
      </c>
      <c r="O228" s="2" t="s">
        <v>2207</v>
      </c>
      <c r="P228" s="2" t="s">
        <v>2124</v>
      </c>
      <c r="Q228" s="2" t="s">
        <v>2132</v>
      </c>
      <c r="R228" s="110">
        <v>1</v>
      </c>
      <c r="S228" s="110">
        <v>500</v>
      </c>
      <c r="T228" s="110">
        <v>-500</v>
      </c>
      <c r="U228" s="2" t="s">
        <v>2126</v>
      </c>
      <c r="V228" s="110"/>
      <c r="W228" s="110">
        <v>500</v>
      </c>
      <c r="X228" s="2" t="s">
        <v>2443</v>
      </c>
      <c r="Y228" s="110">
        <v>5000</v>
      </c>
      <c r="Z228" s="110">
        <f t="shared" si="8"/>
        <v>0</v>
      </c>
      <c r="AA228" cm="1">
        <f t="array" aca="1" ref="AA228" ca="1">IFERROR(INDEX(H_Tables!E:E,MATCH(INDIRECT("I"&amp;ROW()),H_Tables!F:F,0)),"")</f>
        <v>6</v>
      </c>
      <c r="AB228" cm="1">
        <f t="array" aca="1" ref="AB228" ca="1">IFERROR(INDEX(H_Tables!H:H,MATCH(INDIRECT("k"&amp;ROW()),H_Tables!I:I,0)),"")</f>
        <v>1</v>
      </c>
      <c r="AC228" t="str">
        <f t="shared" si="9"/>
        <v>JHA Hot Card Center JHA Debit Processing,New,Hosted by 3rd Party,0</v>
      </c>
      <c r="AD228">
        <v>225</v>
      </c>
    </row>
    <row r="229" spans="1:30" ht="15" customHeight="1" x14ac:dyDescent="0.25">
      <c r="A229" s="127">
        <v>45895</v>
      </c>
      <c r="B229" s="2" t="s">
        <v>2117</v>
      </c>
      <c r="C229" s="110">
        <v>0</v>
      </c>
      <c r="D229" s="2" t="s">
        <v>2118</v>
      </c>
      <c r="E229" s="2" t="s">
        <v>2119</v>
      </c>
      <c r="F229" s="110">
        <v>0</v>
      </c>
      <c r="G229" s="110">
        <v>0</v>
      </c>
      <c r="H229" s="2" t="s">
        <v>2120</v>
      </c>
      <c r="I229" s="2" t="s">
        <v>188</v>
      </c>
      <c r="J229" s="2" t="s">
        <v>259</v>
      </c>
      <c r="K229" s="2" t="s">
        <v>507</v>
      </c>
      <c r="L229" s="2" t="s">
        <v>2129</v>
      </c>
      <c r="M229" s="2" t="s">
        <v>2444</v>
      </c>
      <c r="N229" s="2" t="s">
        <v>2122</v>
      </c>
      <c r="O229" s="2" t="s">
        <v>2207</v>
      </c>
      <c r="P229" s="2" t="s">
        <v>2124</v>
      </c>
      <c r="Q229" s="2" t="s">
        <v>152</v>
      </c>
      <c r="R229" s="110">
        <v>0</v>
      </c>
      <c r="S229" s="110">
        <v>0</v>
      </c>
      <c r="T229" s="110">
        <v>0</v>
      </c>
      <c r="U229" s="2" t="s">
        <v>2126</v>
      </c>
      <c r="V229" s="110"/>
      <c r="W229" s="110">
        <v>10</v>
      </c>
      <c r="X229" s="2" t="s">
        <v>2445</v>
      </c>
      <c r="Y229" s="110">
        <v>5000</v>
      </c>
      <c r="Z229" s="110">
        <f t="shared" si="8"/>
        <v>0</v>
      </c>
      <c r="AA229" cm="1">
        <f t="array" aca="1" ref="AA229" ca="1">IFERROR(INDEX(H_Tables!E:E,MATCH(INDIRECT("I"&amp;ROW()),H_Tables!F:F,0)),"")</f>
        <v>6</v>
      </c>
      <c r="AB229" cm="1">
        <f t="array" aca="1" ref="AB229" ca="1">IFERROR(INDEX(H_Tables!H:H,MATCH(INDIRECT("k"&amp;ROW()),H_Tables!I:I,0)),"")</f>
        <v>1</v>
      </c>
      <c r="AC229" t="str">
        <f t="shared" si="9"/>
        <v>JHA Hot Card Center Calls JHA Debit Processing,New,Hosted by 3rd Party,0</v>
      </c>
      <c r="AD229">
        <v>226</v>
      </c>
    </row>
    <row r="230" spans="1:30" ht="15" customHeight="1" x14ac:dyDescent="0.25">
      <c r="A230" s="127">
        <v>45895</v>
      </c>
      <c r="B230" s="2" t="s">
        <v>2117</v>
      </c>
      <c r="C230" s="110">
        <v>0</v>
      </c>
      <c r="D230" s="2" t="s">
        <v>2118</v>
      </c>
      <c r="E230" s="2" t="s">
        <v>2119</v>
      </c>
      <c r="F230" s="110">
        <v>0</v>
      </c>
      <c r="G230" s="110">
        <v>0</v>
      </c>
      <c r="H230" s="2" t="s">
        <v>2120</v>
      </c>
      <c r="I230" s="2" t="s">
        <v>188</v>
      </c>
      <c r="J230" s="2" t="s">
        <v>269</v>
      </c>
      <c r="K230" s="2" t="s">
        <v>507</v>
      </c>
      <c r="L230" s="2" t="s">
        <v>2129</v>
      </c>
      <c r="M230" s="2" t="s">
        <v>2446</v>
      </c>
      <c r="N230" s="2" t="s">
        <v>2122</v>
      </c>
      <c r="O230" s="2" t="s">
        <v>2207</v>
      </c>
      <c r="P230" s="2" t="s">
        <v>2124</v>
      </c>
      <c r="Q230" s="2" t="s">
        <v>152</v>
      </c>
      <c r="R230" s="110">
        <v>0</v>
      </c>
      <c r="S230" s="110">
        <v>0</v>
      </c>
      <c r="T230" s="110">
        <v>0</v>
      </c>
      <c r="U230" s="2" t="s">
        <v>2126</v>
      </c>
      <c r="V230" s="110"/>
      <c r="W230" s="110">
        <v>0.2</v>
      </c>
      <c r="X230" s="2" t="s">
        <v>2447</v>
      </c>
      <c r="Y230" s="110">
        <v>5000</v>
      </c>
      <c r="Z230" s="110">
        <f t="shared" si="8"/>
        <v>0</v>
      </c>
      <c r="AA230" cm="1">
        <f t="array" aca="1" ref="AA230" ca="1">IFERROR(INDEX(H_Tables!E:E,MATCH(INDIRECT("I"&amp;ROW()),H_Tables!F:F,0)),"")</f>
        <v>6</v>
      </c>
      <c r="AB230" cm="1">
        <f t="array" aca="1" ref="AB230" ca="1">IFERROR(INDEX(H_Tables!H:H,MATCH(INDIRECT("k"&amp;ROW()),H_Tables!I:I,0)),"")</f>
        <v>1</v>
      </c>
      <c r="AC230" t="str">
        <f t="shared" si="9"/>
        <v>Ethoca (based on dollars recovered) JHA Debit Processing,New,Hosted by 3rd Party,0</v>
      </c>
      <c r="AD230">
        <v>227</v>
      </c>
    </row>
    <row r="231" spans="1:30" ht="15" customHeight="1" x14ac:dyDescent="0.25">
      <c r="A231" s="127">
        <v>45895</v>
      </c>
      <c r="B231" s="2" t="s">
        <v>2117</v>
      </c>
      <c r="C231" s="110">
        <v>0</v>
      </c>
      <c r="D231" s="2" t="s">
        <v>2118</v>
      </c>
      <c r="E231" s="2" t="s">
        <v>2119</v>
      </c>
      <c r="F231" s="110">
        <v>0</v>
      </c>
      <c r="G231" s="110">
        <v>0</v>
      </c>
      <c r="H231" s="2" t="s">
        <v>2120</v>
      </c>
      <c r="I231" s="2" t="s">
        <v>188</v>
      </c>
      <c r="J231" s="2" t="s">
        <v>269</v>
      </c>
      <c r="K231" s="2" t="s">
        <v>507</v>
      </c>
      <c r="L231" s="2" t="s">
        <v>2121</v>
      </c>
      <c r="M231" s="2" t="s">
        <v>2446</v>
      </c>
      <c r="N231" s="2" t="s">
        <v>2122</v>
      </c>
      <c r="O231" s="2" t="s">
        <v>2207</v>
      </c>
      <c r="P231" s="2" t="s">
        <v>2124</v>
      </c>
      <c r="Q231" s="2" t="s">
        <v>2132</v>
      </c>
      <c r="R231" s="110">
        <v>0</v>
      </c>
      <c r="S231" s="110">
        <v>4000</v>
      </c>
      <c r="T231" s="110">
        <v>-4000</v>
      </c>
      <c r="U231" s="2" t="s">
        <v>2126</v>
      </c>
      <c r="V231" s="110"/>
      <c r="W231" s="110">
        <v>4000</v>
      </c>
      <c r="X231" s="2" t="s">
        <v>2448</v>
      </c>
      <c r="Y231" s="110">
        <v>5000</v>
      </c>
      <c r="Z231" s="110">
        <f t="shared" si="8"/>
        <v>0</v>
      </c>
      <c r="AA231" cm="1">
        <f t="array" aca="1" ref="AA231" ca="1">IFERROR(INDEX(H_Tables!E:E,MATCH(INDIRECT("I"&amp;ROW()),H_Tables!F:F,0)),"")</f>
        <v>6</v>
      </c>
      <c r="AB231" cm="1">
        <f t="array" aca="1" ref="AB231" ca="1">IFERROR(INDEX(H_Tables!H:H,MATCH(INDIRECT("k"&amp;ROW()),H_Tables!I:I,0)),"")</f>
        <v>1</v>
      </c>
      <c r="AC231" t="str">
        <f t="shared" si="9"/>
        <v>Ethoca (based on dollars recovered) JHA Debit Processing,New,Hosted by 3rd Party,0</v>
      </c>
      <c r="AD231">
        <v>228</v>
      </c>
    </row>
    <row r="232" spans="1:30" ht="15" customHeight="1" x14ac:dyDescent="0.25">
      <c r="A232" s="127">
        <v>45895</v>
      </c>
      <c r="B232" s="2" t="s">
        <v>2117</v>
      </c>
      <c r="C232" s="110">
        <v>0</v>
      </c>
      <c r="D232" s="2" t="s">
        <v>2118</v>
      </c>
      <c r="E232" s="2" t="s">
        <v>2119</v>
      </c>
      <c r="F232" s="110">
        <v>0</v>
      </c>
      <c r="G232" s="110">
        <v>0</v>
      </c>
      <c r="H232" s="2" t="s">
        <v>2120</v>
      </c>
      <c r="I232" s="2" t="s">
        <v>188</v>
      </c>
      <c r="J232" s="2" t="s">
        <v>267</v>
      </c>
      <c r="K232" s="2" t="s">
        <v>507</v>
      </c>
      <c r="L232" s="2" t="s">
        <v>2129</v>
      </c>
      <c r="M232" s="2" t="s">
        <v>2449</v>
      </c>
      <c r="N232" s="2" t="s">
        <v>2122</v>
      </c>
      <c r="O232" s="2" t="s">
        <v>2207</v>
      </c>
      <c r="P232" s="2" t="s">
        <v>2124</v>
      </c>
      <c r="Q232" s="2" t="s">
        <v>152</v>
      </c>
      <c r="R232" s="110">
        <v>0</v>
      </c>
      <c r="S232" s="110">
        <v>0</v>
      </c>
      <c r="T232" s="110">
        <v>0</v>
      </c>
      <c r="U232" s="2" t="s">
        <v>2126</v>
      </c>
      <c r="V232" s="110"/>
      <c r="W232" s="110">
        <v>5</v>
      </c>
      <c r="X232" s="2" t="s">
        <v>2450</v>
      </c>
      <c r="Y232" s="110">
        <v>5000</v>
      </c>
      <c r="Z232" s="110">
        <f t="shared" si="8"/>
        <v>0</v>
      </c>
      <c r="AA232" cm="1">
        <f t="array" aca="1" ref="AA232" ca="1">IFERROR(INDEX(H_Tables!E:E,MATCH(INDIRECT("I"&amp;ROW()),H_Tables!F:F,0)),"")</f>
        <v>6</v>
      </c>
      <c r="AB232" cm="1">
        <f t="array" aca="1" ref="AB232" ca="1">IFERROR(INDEX(H_Tables!H:H,MATCH(INDIRECT("k"&amp;ROW()),H_Tables!I:I,0)),"")</f>
        <v>1</v>
      </c>
      <c r="AC232" t="str">
        <f t="shared" si="9"/>
        <v>Debit Adjustment Dispute JHA Debit Processing,New,Hosted by 3rd Party,0</v>
      </c>
      <c r="AD232">
        <v>229</v>
      </c>
    </row>
    <row r="233" spans="1:30" ht="15" customHeight="1" x14ac:dyDescent="0.25">
      <c r="A233" s="127">
        <v>45895</v>
      </c>
      <c r="B233" s="2" t="s">
        <v>2117</v>
      </c>
      <c r="C233" s="110">
        <v>0</v>
      </c>
      <c r="D233" s="2" t="s">
        <v>2118</v>
      </c>
      <c r="E233" s="2" t="s">
        <v>2119</v>
      </c>
      <c r="F233" s="110">
        <v>0</v>
      </c>
      <c r="G233" s="110">
        <v>0</v>
      </c>
      <c r="H233" s="2" t="s">
        <v>2120</v>
      </c>
      <c r="I233" s="2" t="s">
        <v>188</v>
      </c>
      <c r="J233" s="2" t="s">
        <v>268</v>
      </c>
      <c r="K233" s="2" t="s">
        <v>507</v>
      </c>
      <c r="L233" s="2" t="s">
        <v>2129</v>
      </c>
      <c r="M233" s="2" t="s">
        <v>2451</v>
      </c>
      <c r="N233" s="2" t="s">
        <v>2122</v>
      </c>
      <c r="O233" s="2" t="s">
        <v>2207</v>
      </c>
      <c r="P233" s="2" t="s">
        <v>2124</v>
      </c>
      <c r="Q233" s="2" t="s">
        <v>152</v>
      </c>
      <c r="R233" s="110">
        <v>0</v>
      </c>
      <c r="S233" s="110">
        <v>0</v>
      </c>
      <c r="T233" s="110">
        <v>0</v>
      </c>
      <c r="U233" s="2" t="s">
        <v>2126</v>
      </c>
      <c r="V233" s="110"/>
      <c r="W233" s="110">
        <v>5</v>
      </c>
      <c r="X233" s="2" t="s">
        <v>2452</v>
      </c>
      <c r="Y233" s="110">
        <v>5000</v>
      </c>
      <c r="Z233" s="110">
        <f t="shared" si="8"/>
        <v>0</v>
      </c>
      <c r="AA233" cm="1">
        <f t="array" aca="1" ref="AA233" ca="1">IFERROR(INDEX(H_Tables!E:E,MATCH(INDIRECT("I"&amp;ROW()),H_Tables!F:F,0)),"")</f>
        <v>6</v>
      </c>
      <c r="AB233" cm="1">
        <f t="array" aca="1" ref="AB233" ca="1">IFERROR(INDEX(H_Tables!H:H,MATCH(INDIRECT("k"&amp;ROW()),H_Tables!I:I,0)),"")</f>
        <v>1</v>
      </c>
      <c r="AC233" t="str">
        <f t="shared" si="9"/>
        <v>Network Fraud Reporting JHA Debit Processing,New,Hosted by 3rd Party,0</v>
      </c>
      <c r="AD233">
        <v>230</v>
      </c>
    </row>
    <row r="234" spans="1:30" ht="15" customHeight="1" x14ac:dyDescent="0.25">
      <c r="A234" s="127">
        <v>45895</v>
      </c>
      <c r="B234" s="2" t="s">
        <v>2117</v>
      </c>
      <c r="C234" s="110">
        <v>0</v>
      </c>
      <c r="D234" s="2" t="s">
        <v>2118</v>
      </c>
      <c r="E234" s="2" t="s">
        <v>2119</v>
      </c>
      <c r="F234" s="110">
        <v>0</v>
      </c>
      <c r="G234" s="110">
        <v>0</v>
      </c>
      <c r="H234" s="2" t="s">
        <v>2120</v>
      </c>
      <c r="I234" s="2" t="s">
        <v>188</v>
      </c>
      <c r="J234" s="2" t="s">
        <v>254</v>
      </c>
      <c r="K234" s="2" t="s">
        <v>507</v>
      </c>
      <c r="L234" s="2" t="s">
        <v>2129</v>
      </c>
      <c r="M234" s="2" t="s">
        <v>2453</v>
      </c>
      <c r="N234" s="2" t="s">
        <v>2122</v>
      </c>
      <c r="O234" s="2" t="s">
        <v>2207</v>
      </c>
      <c r="P234" s="2" t="s">
        <v>2124</v>
      </c>
      <c r="Q234" s="2" t="s">
        <v>152</v>
      </c>
      <c r="R234" s="110">
        <v>0</v>
      </c>
      <c r="S234" s="110">
        <v>250</v>
      </c>
      <c r="T234" s="110">
        <v>0</v>
      </c>
      <c r="U234" s="2" t="s">
        <v>2126</v>
      </c>
      <c r="V234" s="110"/>
      <c r="W234" s="110">
        <v>250</v>
      </c>
      <c r="X234" s="2" t="s">
        <v>2454</v>
      </c>
      <c r="Y234" s="110">
        <v>5000</v>
      </c>
      <c r="Z234" s="110">
        <f t="shared" si="8"/>
        <v>0</v>
      </c>
      <c r="AA234" cm="1">
        <f t="array" aca="1" ref="AA234" ca="1">IFERROR(INDEX(H_Tables!E:E,MATCH(INDIRECT("I"&amp;ROW()),H_Tables!F:F,0)),"")</f>
        <v>6</v>
      </c>
      <c r="AB234" cm="1">
        <f t="array" aca="1" ref="AB234" ca="1">IFERROR(INDEX(H_Tables!H:H,MATCH(INDIRECT("k"&amp;ROW()),H_Tables!I:I,0)),"")</f>
        <v>1</v>
      </c>
      <c r="AC234" t="str">
        <f t="shared" si="9"/>
        <v>MyCardRules JHA Debit Processing,New,Hosted by 3rd Party,0</v>
      </c>
      <c r="AD234">
        <v>231</v>
      </c>
    </row>
    <row r="235" spans="1:30" ht="15" customHeight="1" x14ac:dyDescent="0.25">
      <c r="A235" s="127">
        <v>45895</v>
      </c>
      <c r="B235" s="2" t="s">
        <v>2117</v>
      </c>
      <c r="C235" s="110">
        <v>0</v>
      </c>
      <c r="D235" s="2" t="s">
        <v>2118</v>
      </c>
      <c r="E235" s="2" t="s">
        <v>2119</v>
      </c>
      <c r="F235" s="110">
        <v>0</v>
      </c>
      <c r="G235" s="110">
        <v>0</v>
      </c>
      <c r="H235" s="2" t="s">
        <v>2120</v>
      </c>
      <c r="I235" s="2" t="s">
        <v>188</v>
      </c>
      <c r="J235" s="2" t="s">
        <v>254</v>
      </c>
      <c r="K235" s="2" t="s">
        <v>507</v>
      </c>
      <c r="L235" s="2" t="s">
        <v>2121</v>
      </c>
      <c r="M235" s="2" t="s">
        <v>2453</v>
      </c>
      <c r="N235" s="2" t="s">
        <v>2122</v>
      </c>
      <c r="O235" s="2" t="s">
        <v>2207</v>
      </c>
      <c r="P235" s="2" t="s">
        <v>2124</v>
      </c>
      <c r="Q235" s="2" t="s">
        <v>2132</v>
      </c>
      <c r="R235" s="110">
        <v>0</v>
      </c>
      <c r="S235" s="110">
        <v>1500</v>
      </c>
      <c r="T235" s="110">
        <v>-1500</v>
      </c>
      <c r="U235" s="2" t="s">
        <v>2126</v>
      </c>
      <c r="V235" s="110"/>
      <c r="W235" s="110">
        <v>1500</v>
      </c>
      <c r="X235" s="2" t="s">
        <v>2455</v>
      </c>
      <c r="Y235" s="110">
        <v>5000</v>
      </c>
      <c r="Z235" s="110">
        <f t="shared" si="8"/>
        <v>0</v>
      </c>
      <c r="AA235" cm="1">
        <f t="array" aca="1" ref="AA235" ca="1">IFERROR(INDEX(H_Tables!E:E,MATCH(INDIRECT("I"&amp;ROW()),H_Tables!F:F,0)),"")</f>
        <v>6</v>
      </c>
      <c r="AB235" cm="1">
        <f t="array" aca="1" ref="AB235" ca="1">IFERROR(INDEX(H_Tables!H:H,MATCH(INDIRECT("k"&amp;ROW()),H_Tables!I:I,0)),"")</f>
        <v>1</v>
      </c>
      <c r="AC235" t="str">
        <f t="shared" si="9"/>
        <v>MyCardRules JHA Debit Processing,New,Hosted by 3rd Party,0</v>
      </c>
      <c r="AD235">
        <v>232</v>
      </c>
    </row>
    <row r="236" spans="1:30" ht="15" customHeight="1" x14ac:dyDescent="0.25">
      <c r="A236" s="127">
        <v>45895</v>
      </c>
      <c r="B236" s="2" t="s">
        <v>2117</v>
      </c>
      <c r="C236" s="110">
        <v>0</v>
      </c>
      <c r="D236" s="2" t="s">
        <v>2118</v>
      </c>
      <c r="E236" s="2" t="s">
        <v>2119</v>
      </c>
      <c r="F236" s="110">
        <v>0</v>
      </c>
      <c r="G236" s="110">
        <v>0</v>
      </c>
      <c r="H236" s="2" t="s">
        <v>2120</v>
      </c>
      <c r="I236" s="2" t="s">
        <v>188</v>
      </c>
      <c r="J236" s="2" t="s">
        <v>1891</v>
      </c>
      <c r="K236" s="2" t="s">
        <v>2456</v>
      </c>
      <c r="L236" s="2" t="s">
        <v>2129</v>
      </c>
      <c r="M236" s="2" t="s">
        <v>2457</v>
      </c>
      <c r="N236" s="2" t="s">
        <v>2122</v>
      </c>
      <c r="O236" s="2" t="s">
        <v>2123</v>
      </c>
      <c r="P236" s="2" t="s">
        <v>2124</v>
      </c>
      <c r="Q236" s="2" t="s">
        <v>152</v>
      </c>
      <c r="R236" s="110">
        <v>1</v>
      </c>
      <c r="S236" s="110">
        <v>350</v>
      </c>
      <c r="T236" s="110">
        <v>0</v>
      </c>
      <c r="U236" s="2" t="s">
        <v>2126</v>
      </c>
      <c r="V236" s="110">
        <v>350</v>
      </c>
      <c r="W236" s="110">
        <v>500</v>
      </c>
      <c r="X236" s="2" t="s">
        <v>2458</v>
      </c>
      <c r="Y236" s="110">
        <v>5000</v>
      </c>
      <c r="Z236" s="110">
        <f t="shared" si="8"/>
        <v>0</v>
      </c>
      <c r="AA236" cm="1">
        <f t="array" aca="1" ref="AA236" ca="1">IFERROR(INDEX(H_Tables!E:E,MATCH(INDIRECT("I"&amp;ROW()),H_Tables!F:F,0)),"")</f>
        <v>6</v>
      </c>
      <c r="AB236" t="str" cm="1">
        <f t="array" aca="1" ref="AB236" ca="1">IFERROR(INDEX(H_Tables!H:H,MATCH(INDIRECT("k"&amp;ROW()),H_Tables!I:I,0)),"")</f>
        <v/>
      </c>
      <c r="AC236" t="str">
        <f t="shared" si="9"/>
        <v>Payrailz Bundle,New,Hosted by JHA,0</v>
      </c>
      <c r="AD236">
        <v>233</v>
      </c>
    </row>
    <row r="237" spans="1:30" ht="15" customHeight="1" x14ac:dyDescent="0.25">
      <c r="A237" s="127">
        <v>45895</v>
      </c>
      <c r="B237" s="2" t="s">
        <v>2117</v>
      </c>
      <c r="C237" s="110">
        <v>0</v>
      </c>
      <c r="D237" s="2" t="s">
        <v>2118</v>
      </c>
      <c r="E237" s="2" t="s">
        <v>2119</v>
      </c>
      <c r="F237" s="110">
        <v>0</v>
      </c>
      <c r="G237" s="110">
        <v>0</v>
      </c>
      <c r="H237" s="2" t="s">
        <v>2120</v>
      </c>
      <c r="I237" s="2" t="s">
        <v>188</v>
      </c>
      <c r="J237" s="2" t="s">
        <v>1891</v>
      </c>
      <c r="K237" s="2" t="s">
        <v>2456</v>
      </c>
      <c r="L237" s="2" t="s">
        <v>2121</v>
      </c>
      <c r="M237" s="2" t="s">
        <v>2457</v>
      </c>
      <c r="N237" s="2" t="s">
        <v>2122</v>
      </c>
      <c r="O237" s="2" t="s">
        <v>2123</v>
      </c>
      <c r="P237" s="2" t="s">
        <v>2124</v>
      </c>
      <c r="Q237" s="2" t="s">
        <v>2132</v>
      </c>
      <c r="R237" s="110">
        <v>1</v>
      </c>
      <c r="S237" s="110">
        <v>5000</v>
      </c>
      <c r="T237" s="110">
        <v>-5000</v>
      </c>
      <c r="U237" s="2" t="s">
        <v>2126</v>
      </c>
      <c r="V237" s="110"/>
      <c r="W237" s="110">
        <v>5000</v>
      </c>
      <c r="X237" s="2" t="s">
        <v>2459</v>
      </c>
      <c r="Y237" s="110">
        <v>5000</v>
      </c>
      <c r="Z237" s="110">
        <f t="shared" si="8"/>
        <v>0</v>
      </c>
      <c r="AA237" cm="1">
        <f t="array" aca="1" ref="AA237" ca="1">IFERROR(INDEX(H_Tables!E:E,MATCH(INDIRECT("I"&amp;ROW()),H_Tables!F:F,0)),"")</f>
        <v>6</v>
      </c>
      <c r="AB237" t="str" cm="1">
        <f t="array" aca="1" ref="AB237" ca="1">IFERROR(INDEX(H_Tables!H:H,MATCH(INDIRECT("k"&amp;ROW()),H_Tables!I:I,0)),"")</f>
        <v/>
      </c>
      <c r="AC237" t="str">
        <f t="shared" si="9"/>
        <v>Payrailz Bundle,New,Hosted by JHA,0</v>
      </c>
      <c r="AD237">
        <v>234</v>
      </c>
    </row>
    <row r="238" spans="1:30" ht="15" customHeight="1" x14ac:dyDescent="0.25">
      <c r="A238" s="127">
        <v>45895</v>
      </c>
      <c r="B238" s="2" t="s">
        <v>2117</v>
      </c>
      <c r="C238" s="110">
        <v>0</v>
      </c>
      <c r="D238" s="2" t="s">
        <v>2118</v>
      </c>
      <c r="E238" s="2" t="s">
        <v>2119</v>
      </c>
      <c r="F238" s="110">
        <v>0</v>
      </c>
      <c r="G238" s="110">
        <v>0</v>
      </c>
      <c r="H238" s="2" t="s">
        <v>2120</v>
      </c>
      <c r="I238" s="2" t="s">
        <v>188</v>
      </c>
      <c r="J238" s="2" t="s">
        <v>2460</v>
      </c>
      <c r="K238" s="2" t="s">
        <v>2456</v>
      </c>
      <c r="L238" s="2" t="s">
        <v>2129</v>
      </c>
      <c r="M238" s="2" t="s">
        <v>2461</v>
      </c>
      <c r="N238" s="2" t="s">
        <v>2122</v>
      </c>
      <c r="O238" s="2" t="s">
        <v>2123</v>
      </c>
      <c r="P238" s="2" t="s">
        <v>2124</v>
      </c>
      <c r="Q238" s="2" t="s">
        <v>152</v>
      </c>
      <c r="R238" s="110">
        <v>500</v>
      </c>
      <c r="S238" s="110">
        <v>310</v>
      </c>
      <c r="T238" s="110">
        <v>0</v>
      </c>
      <c r="U238" s="2" t="s">
        <v>2126</v>
      </c>
      <c r="V238" s="110">
        <v>0.62</v>
      </c>
      <c r="W238" s="110">
        <v>0.6</v>
      </c>
      <c r="X238" s="2" t="s">
        <v>2462</v>
      </c>
      <c r="Y238" s="110">
        <v>5000</v>
      </c>
      <c r="Z238" s="110">
        <f t="shared" si="8"/>
        <v>0</v>
      </c>
      <c r="AA238" cm="1">
        <f t="array" aca="1" ref="AA238" ca="1">IFERROR(INDEX(H_Tables!E:E,MATCH(INDIRECT("I"&amp;ROW()),H_Tables!F:F,0)),"")</f>
        <v>6</v>
      </c>
      <c r="AB238" t="str" cm="1">
        <f t="array" aca="1" ref="AB238" ca="1">IFERROR(INDEX(H_Tables!H:H,MATCH(INDIRECT("k"&amp;ROW()),H_Tables!I:I,0)),"")</f>
        <v/>
      </c>
      <c r="AC238" t="str">
        <f t="shared" si="9"/>
        <v>Payrailz Bundle Transactions,New,Hosted by JHA,0</v>
      </c>
      <c r="AD238">
        <v>235</v>
      </c>
    </row>
    <row r="239" spans="1:30" ht="15" customHeight="1" x14ac:dyDescent="0.25">
      <c r="A239" s="127">
        <v>45895</v>
      </c>
      <c r="B239" s="2" t="s">
        <v>2117</v>
      </c>
      <c r="C239" s="110">
        <v>0</v>
      </c>
      <c r="D239" s="2" t="s">
        <v>2118</v>
      </c>
      <c r="E239" s="2" t="s">
        <v>2119</v>
      </c>
      <c r="F239" s="110">
        <v>0</v>
      </c>
      <c r="G239" s="110">
        <v>0</v>
      </c>
      <c r="H239" s="2" t="s">
        <v>2120</v>
      </c>
      <c r="I239" s="2" t="s">
        <v>188</v>
      </c>
      <c r="J239" s="2" t="s">
        <v>2137</v>
      </c>
      <c r="K239" s="2" t="s">
        <v>2456</v>
      </c>
      <c r="L239" s="2" t="s">
        <v>2121</v>
      </c>
      <c r="M239" s="2" t="s">
        <v>2138</v>
      </c>
      <c r="N239" s="2" t="s">
        <v>2122</v>
      </c>
      <c r="O239" s="2" t="s">
        <v>2123</v>
      </c>
      <c r="P239" s="2" t="s">
        <v>2124</v>
      </c>
      <c r="Q239" s="2" t="s">
        <v>2132</v>
      </c>
      <c r="R239" s="110">
        <v>1</v>
      </c>
      <c r="S239" s="110">
        <v>5000</v>
      </c>
      <c r="T239" s="110">
        <v>-5000</v>
      </c>
      <c r="U239" s="2" t="s">
        <v>2126</v>
      </c>
      <c r="V239" s="110"/>
      <c r="W239" s="110">
        <v>5000</v>
      </c>
      <c r="X239" s="2" t="s">
        <v>2463</v>
      </c>
      <c r="Y239" s="110">
        <v>5000</v>
      </c>
      <c r="Z239" s="110">
        <f t="shared" si="8"/>
        <v>0</v>
      </c>
      <c r="AA239" cm="1">
        <f t="array" aca="1" ref="AA239" ca="1">IFERROR(INDEX(H_Tables!E:E,MATCH(INDIRECT("I"&amp;ROW()),H_Tables!F:F,0)),"")</f>
        <v>6</v>
      </c>
      <c r="AB239" t="str" cm="1">
        <f t="array" aca="1" ref="AB239" ca="1">IFERROR(INDEX(H_Tables!H:H,MATCH(INDIRECT("k"&amp;ROW()),H_Tables!I:I,0)),"")</f>
        <v/>
      </c>
      <c r="AC239" t="str">
        <f t="shared" si="9"/>
        <v>Payrailz/iPay Integration,New,Hosted by JHA,0</v>
      </c>
      <c r="AD239">
        <v>236</v>
      </c>
    </row>
    <row r="240" spans="1:30" ht="15" customHeight="1" x14ac:dyDescent="0.25">
      <c r="A240" s="127">
        <v>45895</v>
      </c>
      <c r="B240" s="2" t="s">
        <v>2117</v>
      </c>
      <c r="C240" s="110">
        <v>0</v>
      </c>
      <c r="D240" s="2" t="s">
        <v>2118</v>
      </c>
      <c r="E240" s="2" t="s">
        <v>2119</v>
      </c>
      <c r="F240" s="110">
        <v>0</v>
      </c>
      <c r="G240" s="110">
        <v>0</v>
      </c>
      <c r="H240" s="2" t="s">
        <v>2120</v>
      </c>
      <c r="I240" s="2" t="s">
        <v>188</v>
      </c>
      <c r="J240" s="2" t="s">
        <v>2464</v>
      </c>
      <c r="K240" s="2" t="s">
        <v>2456</v>
      </c>
      <c r="L240" s="2" t="s">
        <v>2129</v>
      </c>
      <c r="M240" s="2" t="s">
        <v>2465</v>
      </c>
      <c r="N240" s="2" t="s">
        <v>2122</v>
      </c>
      <c r="O240" s="2" t="s">
        <v>2123</v>
      </c>
      <c r="P240" s="2" t="s">
        <v>2124</v>
      </c>
      <c r="Q240" s="2" t="s">
        <v>152</v>
      </c>
      <c r="R240" s="110">
        <v>1</v>
      </c>
      <c r="S240" s="110">
        <v>750</v>
      </c>
      <c r="T240" s="110">
        <v>-750</v>
      </c>
      <c r="U240" s="2" t="s">
        <v>2126</v>
      </c>
      <c r="V240" s="110"/>
      <c r="W240" s="110">
        <v>750</v>
      </c>
      <c r="X240" s="2" t="s">
        <v>2466</v>
      </c>
      <c r="Y240" s="110">
        <v>5000</v>
      </c>
      <c r="Z240" s="110">
        <f t="shared" si="8"/>
        <v>0</v>
      </c>
      <c r="AA240" cm="1">
        <f t="array" aca="1" ref="AA240" ca="1">IFERROR(INDEX(H_Tables!E:E,MATCH(INDIRECT("I"&amp;ROW()),H_Tables!F:F,0)),"")</f>
        <v>6</v>
      </c>
      <c r="AB240" t="str" cm="1">
        <f t="array" aca="1" ref="AB240" ca="1">IFERROR(INDEX(H_Tables!H:H,MATCH(INDIRECT("k"&amp;ROW()),H_Tables!I:I,0)),"")</f>
        <v/>
      </c>
      <c r="AC240" t="str">
        <f t="shared" si="9"/>
        <v>Payrailz Fraud Monitor,New,Hosted by JHA,0</v>
      </c>
      <c r="AD240">
        <v>237</v>
      </c>
    </row>
    <row r="241" spans="1:30" ht="15" customHeight="1" x14ac:dyDescent="0.25">
      <c r="A241" s="127">
        <v>45895</v>
      </c>
      <c r="B241" s="2" t="s">
        <v>2117</v>
      </c>
      <c r="C241" s="110">
        <v>0</v>
      </c>
      <c r="D241" s="2" t="s">
        <v>2118</v>
      </c>
      <c r="E241" s="2" t="s">
        <v>2119</v>
      </c>
      <c r="F241" s="110">
        <v>0</v>
      </c>
      <c r="G241" s="110">
        <v>0</v>
      </c>
      <c r="H241" s="2" t="s">
        <v>2120</v>
      </c>
      <c r="I241" s="2" t="s">
        <v>188</v>
      </c>
      <c r="J241" s="2" t="s">
        <v>2464</v>
      </c>
      <c r="K241" s="2" t="s">
        <v>2456</v>
      </c>
      <c r="L241" s="2" t="s">
        <v>2121</v>
      </c>
      <c r="M241" s="2" t="s">
        <v>2465</v>
      </c>
      <c r="N241" s="2" t="s">
        <v>2122</v>
      </c>
      <c r="O241" s="2" t="s">
        <v>2123</v>
      </c>
      <c r="P241" s="2" t="s">
        <v>2124</v>
      </c>
      <c r="Q241" s="2" t="s">
        <v>2132</v>
      </c>
      <c r="R241" s="110">
        <v>1</v>
      </c>
      <c r="S241" s="110">
        <v>3000</v>
      </c>
      <c r="T241" s="110">
        <v>-3000</v>
      </c>
      <c r="U241" s="2" t="s">
        <v>2126</v>
      </c>
      <c r="V241" s="110"/>
      <c r="W241" s="110">
        <v>3000</v>
      </c>
      <c r="X241" s="2" t="s">
        <v>2467</v>
      </c>
      <c r="Y241" s="110">
        <v>5000</v>
      </c>
      <c r="Z241" s="110">
        <f t="shared" si="8"/>
        <v>0</v>
      </c>
      <c r="AA241" cm="1">
        <f t="array" aca="1" ref="AA241" ca="1">IFERROR(INDEX(H_Tables!E:E,MATCH(INDIRECT("I"&amp;ROW()),H_Tables!F:F,0)),"")</f>
        <v>6</v>
      </c>
      <c r="AB241" t="str" cm="1">
        <f t="array" aca="1" ref="AB241" ca="1">IFERROR(INDEX(H_Tables!H:H,MATCH(INDIRECT("k"&amp;ROW()),H_Tables!I:I,0)),"")</f>
        <v/>
      </c>
      <c r="AC241" t="str">
        <f t="shared" si="9"/>
        <v>Payrailz Fraud Monitor,New,Hosted by JHA,0</v>
      </c>
      <c r="AD241">
        <v>238</v>
      </c>
    </row>
    <row r="242" spans="1:30" ht="15" customHeight="1" x14ac:dyDescent="0.25">
      <c r="A242" s="127">
        <v>45895</v>
      </c>
      <c r="B242" s="2" t="s">
        <v>2117</v>
      </c>
      <c r="C242" s="110">
        <v>0</v>
      </c>
      <c r="D242" s="2" t="s">
        <v>2118</v>
      </c>
      <c r="E242" s="2" t="s">
        <v>2119</v>
      </c>
      <c r="F242" s="110">
        <v>0</v>
      </c>
      <c r="G242" s="110">
        <v>0</v>
      </c>
      <c r="H242" s="2" t="s">
        <v>2120</v>
      </c>
      <c r="I242" s="2" t="s">
        <v>188</v>
      </c>
      <c r="J242" s="2" t="s">
        <v>2468</v>
      </c>
      <c r="K242" s="2" t="s">
        <v>603</v>
      </c>
      <c r="L242" s="2" t="s">
        <v>2129</v>
      </c>
      <c r="M242" s="2" t="s">
        <v>2469</v>
      </c>
      <c r="N242" s="2" t="s">
        <v>2122</v>
      </c>
      <c r="O242" s="2" t="s">
        <v>2123</v>
      </c>
      <c r="P242" s="2" t="s">
        <v>2150</v>
      </c>
      <c r="Q242" s="2" t="s">
        <v>152</v>
      </c>
      <c r="R242" s="110">
        <v>1</v>
      </c>
      <c r="S242" s="110">
        <v>100</v>
      </c>
      <c r="T242" s="110">
        <v>0</v>
      </c>
      <c r="U242" s="2" t="s">
        <v>2126</v>
      </c>
      <c r="V242" s="110"/>
      <c r="W242" s="110">
        <v>100</v>
      </c>
      <c r="X242" s="2" t="s">
        <v>2470</v>
      </c>
      <c r="Y242" s="110">
        <v>5000</v>
      </c>
      <c r="Z242" s="110">
        <f t="shared" si="8"/>
        <v>0</v>
      </c>
      <c r="AA242" cm="1">
        <f t="array" aca="1" ref="AA242" ca="1">IFERROR(INDEX(H_Tables!E:E,MATCH(INDIRECT("I"&amp;ROW()),H_Tables!F:F,0)),"")</f>
        <v>6</v>
      </c>
      <c r="AB242" cm="1">
        <f t="array" aca="1" ref="AB242" ca="1">IFERROR(INDEX(H_Tables!H:H,MATCH(INDIRECT("k"&amp;ROW()),H_Tables!I:I,0)),"")</f>
        <v>4</v>
      </c>
      <c r="AC242" t="str">
        <f t="shared" si="9"/>
        <v>RemitPlus Express - Financial Institution,New,Hosted by JHA,1</v>
      </c>
      <c r="AD242">
        <v>239</v>
      </c>
    </row>
    <row r="243" spans="1:30" ht="15" customHeight="1" x14ac:dyDescent="0.25">
      <c r="A243" s="127">
        <v>45895</v>
      </c>
      <c r="B243" s="2" t="s">
        <v>2117</v>
      </c>
      <c r="C243" s="110">
        <v>0</v>
      </c>
      <c r="D243" s="2" t="s">
        <v>2118</v>
      </c>
      <c r="E243" s="2" t="s">
        <v>2119</v>
      </c>
      <c r="F243" s="110">
        <v>0</v>
      </c>
      <c r="G243" s="110">
        <v>0</v>
      </c>
      <c r="H243" s="2" t="s">
        <v>2120</v>
      </c>
      <c r="I243" s="2" t="s">
        <v>188</v>
      </c>
      <c r="J243" s="2" t="s">
        <v>2468</v>
      </c>
      <c r="K243" s="2" t="s">
        <v>603</v>
      </c>
      <c r="L243" s="2" t="s">
        <v>2121</v>
      </c>
      <c r="M243" s="2" t="s">
        <v>2469</v>
      </c>
      <c r="N243" s="2" t="s">
        <v>2122</v>
      </c>
      <c r="O243" s="2" t="s">
        <v>2123</v>
      </c>
      <c r="P243" s="2" t="s">
        <v>2150</v>
      </c>
      <c r="Q243" s="2" t="s">
        <v>2132</v>
      </c>
      <c r="R243" s="110">
        <v>1</v>
      </c>
      <c r="S243" s="110">
        <v>3000</v>
      </c>
      <c r="T243" s="110">
        <v>0</v>
      </c>
      <c r="U243" s="2" t="s">
        <v>2126</v>
      </c>
      <c r="V243" s="110"/>
      <c r="W243" s="110">
        <v>3000</v>
      </c>
      <c r="X243" s="2" t="s">
        <v>2471</v>
      </c>
      <c r="Y243" s="110">
        <v>5000</v>
      </c>
      <c r="Z243" s="110">
        <f t="shared" si="8"/>
        <v>0</v>
      </c>
      <c r="AA243" cm="1">
        <f t="array" aca="1" ref="AA243" ca="1">IFERROR(INDEX(H_Tables!E:E,MATCH(INDIRECT("I"&amp;ROW()),H_Tables!F:F,0)),"")</f>
        <v>6</v>
      </c>
      <c r="AB243" cm="1">
        <f t="array" aca="1" ref="AB243" ca="1">IFERROR(INDEX(H_Tables!H:H,MATCH(INDIRECT("k"&amp;ROW()),H_Tables!I:I,0)),"")</f>
        <v>4</v>
      </c>
      <c r="AC243" t="str">
        <f t="shared" si="9"/>
        <v>RemitPlus Express - Financial Institution,New,Hosted by JHA,1</v>
      </c>
      <c r="AD243">
        <v>240</v>
      </c>
    </row>
    <row r="244" spans="1:30" ht="15" customHeight="1" x14ac:dyDescent="0.25">
      <c r="M244" t="s">
        <v>2474</v>
      </c>
      <c r="Z244" s="110">
        <f t="shared" si="8"/>
        <v>0</v>
      </c>
      <c r="AA244" t="str" cm="1">
        <f t="array" aca="1" ref="AA244" ca="1">IFERROR(INDEX(H_Tables!E:E,MATCH(INDIRECT("I"&amp;ROW()),H_Tables!F:F,0)),"")</f>
        <v/>
      </c>
      <c r="AB244" t="str" cm="1">
        <f t="array" aca="1" ref="AB244" ca="1">IFERROR(INDEX(H_Tables!H:H,MATCH(INDIRECT("k"&amp;ROW()),H_Tables!I:I,0)),"")</f>
        <v/>
      </c>
      <c r="AC244" t="str">
        <f t="shared" si="9"/>
        <v/>
      </c>
      <c r="AD244">
        <v>241</v>
      </c>
    </row>
    <row r="245" spans="1:30" ht="15" customHeight="1" x14ac:dyDescent="0.25">
      <c r="M245" t="s">
        <v>2474</v>
      </c>
      <c r="Z245" s="110">
        <f t="shared" si="8"/>
        <v>0</v>
      </c>
      <c r="AA245" t="str" cm="1">
        <f t="array" aca="1" ref="AA245" ca="1">IFERROR(INDEX(H_Tables!E:E,MATCH(INDIRECT("I"&amp;ROW()),H_Tables!F:F,0)),"")</f>
        <v/>
      </c>
      <c r="AB245" t="str" cm="1">
        <f t="array" aca="1" ref="AB245" ca="1">IFERROR(INDEX(H_Tables!H:H,MATCH(INDIRECT("k"&amp;ROW()),H_Tables!I:I,0)),"")</f>
        <v/>
      </c>
      <c r="AC245" t="str">
        <f t="shared" si="9"/>
        <v/>
      </c>
      <c r="AD245">
        <v>242</v>
      </c>
    </row>
    <row r="246" spans="1:30" ht="15" customHeight="1" x14ac:dyDescent="0.25">
      <c r="M246" t="s">
        <v>2474</v>
      </c>
      <c r="Z246" s="110">
        <f t="shared" si="8"/>
        <v>0</v>
      </c>
      <c r="AA246" t="str" cm="1">
        <f t="array" aca="1" ref="AA246" ca="1">IFERROR(INDEX(H_Tables!E:E,MATCH(INDIRECT("I"&amp;ROW()),H_Tables!F:F,0)),"")</f>
        <v/>
      </c>
      <c r="AB246" t="str" cm="1">
        <f t="array" aca="1" ref="AB246" ca="1">IFERROR(INDEX(H_Tables!H:H,MATCH(INDIRECT("k"&amp;ROW()),H_Tables!I:I,0)),"")</f>
        <v/>
      </c>
      <c r="AC246" t="str">
        <f t="shared" si="9"/>
        <v/>
      </c>
      <c r="AD246">
        <v>243</v>
      </c>
    </row>
    <row r="247" spans="1:30" ht="15" customHeight="1" x14ac:dyDescent="0.25">
      <c r="M247" t="s">
        <v>2474</v>
      </c>
      <c r="Z247" s="110">
        <f t="shared" si="8"/>
        <v>0</v>
      </c>
      <c r="AA247" t="str" cm="1">
        <f t="array" aca="1" ref="AA247" ca="1">IFERROR(INDEX(H_Tables!E:E,MATCH(INDIRECT("I"&amp;ROW()),H_Tables!F:F,0)),"")</f>
        <v/>
      </c>
      <c r="AB247" t="str" cm="1">
        <f t="array" aca="1" ref="AB247" ca="1">IFERROR(INDEX(H_Tables!H:H,MATCH(INDIRECT("k"&amp;ROW()),H_Tables!I:I,0)),"")</f>
        <v/>
      </c>
      <c r="AC247" t="str">
        <f t="shared" si="9"/>
        <v/>
      </c>
      <c r="AD247">
        <v>244</v>
      </c>
    </row>
    <row r="248" spans="1:30" ht="15" customHeight="1" x14ac:dyDescent="0.25">
      <c r="M248" t="s">
        <v>2474</v>
      </c>
      <c r="Z248" s="110">
        <f t="shared" si="8"/>
        <v>0</v>
      </c>
      <c r="AA248" t="str" cm="1">
        <f t="array" aca="1" ref="AA248" ca="1">IFERROR(INDEX(H_Tables!E:E,MATCH(INDIRECT("I"&amp;ROW()),H_Tables!F:F,0)),"")</f>
        <v/>
      </c>
      <c r="AB248" t="str" cm="1">
        <f t="array" aca="1" ref="AB248" ca="1">IFERROR(INDEX(H_Tables!H:H,MATCH(INDIRECT("k"&amp;ROW()),H_Tables!I:I,0)),"")</f>
        <v/>
      </c>
      <c r="AC248" t="str">
        <f t="shared" si="9"/>
        <v/>
      </c>
      <c r="AD248">
        <v>245</v>
      </c>
    </row>
    <row r="249" spans="1:30" ht="15" customHeight="1" x14ac:dyDescent="0.25">
      <c r="M249" t="s">
        <v>2474</v>
      </c>
      <c r="Z249" s="110">
        <f t="shared" si="8"/>
        <v>0</v>
      </c>
      <c r="AA249" t="str" cm="1">
        <f t="array" aca="1" ref="AA249" ca="1">IFERROR(INDEX(H_Tables!E:E,MATCH(INDIRECT("I"&amp;ROW()),H_Tables!F:F,0)),"")</f>
        <v/>
      </c>
      <c r="AB249" t="str" cm="1">
        <f t="array" aca="1" ref="AB249" ca="1">IFERROR(INDEX(H_Tables!H:H,MATCH(INDIRECT("k"&amp;ROW()),H_Tables!I:I,0)),"")</f>
        <v/>
      </c>
      <c r="AC249" t="str">
        <f t="shared" si="9"/>
        <v/>
      </c>
      <c r="AD249">
        <v>246</v>
      </c>
    </row>
    <row r="250" spans="1:30" ht="15" customHeight="1" x14ac:dyDescent="0.25">
      <c r="M250" t="s">
        <v>2474</v>
      </c>
      <c r="Z250" s="110">
        <f t="shared" si="8"/>
        <v>0</v>
      </c>
      <c r="AA250" t="str" cm="1">
        <f t="array" aca="1" ref="AA250" ca="1">IFERROR(INDEX(H_Tables!E:E,MATCH(INDIRECT("I"&amp;ROW()),H_Tables!F:F,0)),"")</f>
        <v/>
      </c>
      <c r="AB250" t="str" cm="1">
        <f t="array" aca="1" ref="AB250" ca="1">IFERROR(INDEX(H_Tables!H:H,MATCH(INDIRECT("k"&amp;ROW()),H_Tables!I:I,0)),"")</f>
        <v/>
      </c>
      <c r="AC250" t="str">
        <f t="shared" si="9"/>
        <v/>
      </c>
      <c r="AD250">
        <v>247</v>
      </c>
    </row>
    <row r="251" spans="1:30" ht="15" customHeight="1" x14ac:dyDescent="0.25">
      <c r="M251" t="s">
        <v>2474</v>
      </c>
      <c r="Z251" s="110">
        <f t="shared" si="8"/>
        <v>0</v>
      </c>
      <c r="AA251" t="str" cm="1">
        <f t="array" aca="1" ref="AA251" ca="1">IFERROR(INDEX(H_Tables!E:E,MATCH(INDIRECT("I"&amp;ROW()),H_Tables!F:F,0)),"")</f>
        <v/>
      </c>
      <c r="AB251" t="str" cm="1">
        <f t="array" aca="1" ref="AB251" ca="1">IFERROR(INDEX(H_Tables!H:H,MATCH(INDIRECT("k"&amp;ROW()),H_Tables!I:I,0)),"")</f>
        <v/>
      </c>
      <c r="AC251" t="str">
        <f t="shared" si="9"/>
        <v/>
      </c>
      <c r="AD251">
        <v>248</v>
      </c>
    </row>
    <row r="252" spans="1:30" ht="15" customHeight="1" x14ac:dyDescent="0.25">
      <c r="M252" t="s">
        <v>2474</v>
      </c>
      <c r="Z252" s="110">
        <f t="shared" si="8"/>
        <v>0</v>
      </c>
      <c r="AA252" t="str" cm="1">
        <f t="array" aca="1" ref="AA252" ca="1">IFERROR(INDEX(H_Tables!E:E,MATCH(INDIRECT("I"&amp;ROW()),H_Tables!F:F,0)),"")</f>
        <v/>
      </c>
      <c r="AB252" t="str" cm="1">
        <f t="array" aca="1" ref="AB252" ca="1">IFERROR(INDEX(H_Tables!H:H,MATCH(INDIRECT("k"&amp;ROW()),H_Tables!I:I,0)),"")</f>
        <v/>
      </c>
      <c r="AC252" t="str">
        <f t="shared" si="9"/>
        <v/>
      </c>
      <c r="AD252">
        <v>249</v>
      </c>
    </row>
    <row r="253" spans="1:30" ht="15" customHeight="1" x14ac:dyDescent="0.25">
      <c r="M253" t="s">
        <v>2474</v>
      </c>
      <c r="Z253" s="110">
        <f t="shared" si="8"/>
        <v>0</v>
      </c>
      <c r="AA253" t="str" cm="1">
        <f t="array" aca="1" ref="AA253" ca="1">IFERROR(INDEX(H_Tables!E:E,MATCH(INDIRECT("I"&amp;ROW()),H_Tables!F:F,0)),"")</f>
        <v/>
      </c>
      <c r="AB253" t="str" cm="1">
        <f t="array" aca="1" ref="AB253" ca="1">IFERROR(INDEX(H_Tables!H:H,MATCH(INDIRECT("k"&amp;ROW()),H_Tables!I:I,0)),"")</f>
        <v/>
      </c>
      <c r="AC253" t="str">
        <f t="shared" si="9"/>
        <v/>
      </c>
      <c r="AD253">
        <v>250</v>
      </c>
    </row>
    <row r="254" spans="1:30" ht="15" customHeight="1" x14ac:dyDescent="0.25">
      <c r="M254" t="s">
        <v>2474</v>
      </c>
      <c r="Z254" s="110">
        <f t="shared" si="8"/>
        <v>0</v>
      </c>
      <c r="AA254" t="str" cm="1">
        <f t="array" aca="1" ref="AA254" ca="1">IFERROR(INDEX(H_Tables!E:E,MATCH(INDIRECT("I"&amp;ROW()),H_Tables!F:F,0)),"")</f>
        <v/>
      </c>
      <c r="AB254" t="str" cm="1">
        <f t="array" aca="1" ref="AB254" ca="1">IFERROR(INDEX(H_Tables!H:H,MATCH(INDIRECT("k"&amp;ROW()),H_Tables!I:I,0)),"")</f>
        <v/>
      </c>
      <c r="AC254" t="str">
        <f t="shared" si="9"/>
        <v/>
      </c>
      <c r="AD254">
        <v>251</v>
      </c>
    </row>
    <row r="255" spans="1:30" ht="15" customHeight="1" x14ac:dyDescent="0.25">
      <c r="M255" t="s">
        <v>2474</v>
      </c>
      <c r="Z255" s="110">
        <f t="shared" si="8"/>
        <v>0</v>
      </c>
      <c r="AA255" t="str" cm="1">
        <f t="array" aca="1" ref="AA255" ca="1">IFERROR(INDEX(H_Tables!E:E,MATCH(INDIRECT("I"&amp;ROW()),H_Tables!F:F,0)),"")</f>
        <v/>
      </c>
      <c r="AB255" t="str" cm="1">
        <f t="array" aca="1" ref="AB255" ca="1">IFERROR(INDEX(H_Tables!H:H,MATCH(INDIRECT("k"&amp;ROW()),H_Tables!I:I,0)),"")</f>
        <v/>
      </c>
      <c r="AC255" t="str">
        <f t="shared" si="9"/>
        <v/>
      </c>
      <c r="AD255">
        <v>252</v>
      </c>
    </row>
    <row r="256" spans="1:30" ht="15" customHeight="1" x14ac:dyDescent="0.25">
      <c r="M256" t="s">
        <v>2474</v>
      </c>
      <c r="Z256" s="110">
        <f t="shared" si="8"/>
        <v>0</v>
      </c>
      <c r="AA256" t="str" cm="1">
        <f t="array" aca="1" ref="AA256" ca="1">IFERROR(INDEX(H_Tables!E:E,MATCH(INDIRECT("I"&amp;ROW()),H_Tables!F:F,0)),"")</f>
        <v/>
      </c>
      <c r="AB256" t="str" cm="1">
        <f t="array" aca="1" ref="AB256" ca="1">IFERROR(INDEX(H_Tables!H:H,MATCH(INDIRECT("k"&amp;ROW()),H_Tables!I:I,0)),"")</f>
        <v/>
      </c>
      <c r="AC256" t="str">
        <f t="shared" si="9"/>
        <v/>
      </c>
      <c r="AD256">
        <v>253</v>
      </c>
    </row>
    <row r="257" spans="13:30" ht="15" customHeight="1" x14ac:dyDescent="0.25">
      <c r="M257" t="s">
        <v>2474</v>
      </c>
      <c r="Z257" s="110">
        <f t="shared" si="8"/>
        <v>0</v>
      </c>
      <c r="AA257" t="str" cm="1">
        <f t="array" aca="1" ref="AA257" ca="1">IFERROR(INDEX(H_Tables!E:E,MATCH(INDIRECT("I"&amp;ROW()),H_Tables!F:F,0)),"")</f>
        <v/>
      </c>
      <c r="AB257" t="str" cm="1">
        <f t="array" aca="1" ref="AB257" ca="1">IFERROR(INDEX(H_Tables!H:H,MATCH(INDIRECT("k"&amp;ROW()),H_Tables!I:I,0)),"")</f>
        <v/>
      </c>
      <c r="AC257" t="str">
        <f t="shared" si="9"/>
        <v/>
      </c>
      <c r="AD257">
        <v>254</v>
      </c>
    </row>
    <row r="258" spans="13:30" ht="15" customHeight="1" x14ac:dyDescent="0.25">
      <c r="M258" t="s">
        <v>2474</v>
      </c>
      <c r="Z258" s="110">
        <f t="shared" ref="Z258:Z321" si="10">ROUND(IF((F258+G258)=0,0,S258/Y258),4)</f>
        <v>0</v>
      </c>
      <c r="AA258" t="str" cm="1">
        <f t="array" aca="1" ref="AA258" ca="1">IFERROR(INDEX(H_Tables!E:E,MATCH(INDIRECT("I"&amp;ROW()),H_Tables!F:F,0)),"")</f>
        <v/>
      </c>
      <c r="AB258" t="str" cm="1">
        <f t="array" aca="1" ref="AB258" ca="1">IFERROR(INDEX(H_Tables!H:H,MATCH(INDIRECT("k"&amp;ROW()),H_Tables!I:I,0)),"")</f>
        <v/>
      </c>
      <c r="AC258" t="str">
        <f t="shared" si="9"/>
        <v/>
      </c>
      <c r="AD258">
        <v>255</v>
      </c>
    </row>
    <row r="259" spans="13:30" ht="15" customHeight="1" x14ac:dyDescent="0.25">
      <c r="M259" t="s">
        <v>2474</v>
      </c>
      <c r="Z259" s="110">
        <f t="shared" si="10"/>
        <v>0</v>
      </c>
      <c r="AA259" t="str" cm="1">
        <f t="array" aca="1" ref="AA259" ca="1">IFERROR(INDEX(H_Tables!E:E,MATCH(INDIRECT("I"&amp;ROW()),H_Tables!F:F,0)),"")</f>
        <v/>
      </c>
      <c r="AB259" t="str" cm="1">
        <f t="array" aca="1" ref="AB259" ca="1">IFERROR(INDEX(H_Tables!H:H,MATCH(INDIRECT("k"&amp;ROW()),H_Tables!I:I,0)),"")</f>
        <v/>
      </c>
      <c r="AC259" t="str">
        <f t="shared" si="9"/>
        <v/>
      </c>
      <c r="AD259">
        <v>256</v>
      </c>
    </row>
    <row r="260" spans="13:30" ht="15" customHeight="1" x14ac:dyDescent="0.25">
      <c r="M260" t="s">
        <v>2474</v>
      </c>
      <c r="Z260" s="110">
        <f t="shared" si="10"/>
        <v>0</v>
      </c>
      <c r="AA260" t="str" cm="1">
        <f t="array" aca="1" ref="AA260" ca="1">IFERROR(INDEX(H_Tables!E:E,MATCH(INDIRECT("I"&amp;ROW()),H_Tables!F:F,0)),"")</f>
        <v/>
      </c>
      <c r="AB260" t="str" cm="1">
        <f t="array" aca="1" ref="AB260" ca="1">IFERROR(INDEX(H_Tables!H:H,MATCH(INDIRECT("k"&amp;ROW()),H_Tables!I:I,0)),"")</f>
        <v/>
      </c>
      <c r="AC260" t="str">
        <f t="shared" ref="AC260:AC323" si="11">_xlfn.TEXTJOIN(",",TRUE,M260:P260)</f>
        <v/>
      </c>
      <c r="AD260">
        <v>257</v>
      </c>
    </row>
    <row r="261" spans="13:30" ht="15" customHeight="1" x14ac:dyDescent="0.25">
      <c r="M261" t="s">
        <v>2474</v>
      </c>
      <c r="Z261" s="110">
        <f t="shared" si="10"/>
        <v>0</v>
      </c>
      <c r="AA261" t="str" cm="1">
        <f t="array" aca="1" ref="AA261" ca="1">IFERROR(INDEX(H_Tables!E:E,MATCH(INDIRECT("I"&amp;ROW()),H_Tables!F:F,0)),"")</f>
        <v/>
      </c>
      <c r="AB261" t="str" cm="1">
        <f t="array" aca="1" ref="AB261" ca="1">IFERROR(INDEX(H_Tables!H:H,MATCH(INDIRECT("k"&amp;ROW()),H_Tables!I:I,0)),"")</f>
        <v/>
      </c>
      <c r="AC261" t="str">
        <f t="shared" si="11"/>
        <v/>
      </c>
      <c r="AD261">
        <v>258</v>
      </c>
    </row>
    <row r="262" spans="13:30" ht="15" customHeight="1" x14ac:dyDescent="0.25">
      <c r="M262" t="s">
        <v>2474</v>
      </c>
      <c r="Z262" s="110">
        <f t="shared" si="10"/>
        <v>0</v>
      </c>
      <c r="AA262" t="str" cm="1">
        <f t="array" aca="1" ref="AA262" ca="1">IFERROR(INDEX(H_Tables!E:E,MATCH(INDIRECT("I"&amp;ROW()),H_Tables!F:F,0)),"")</f>
        <v/>
      </c>
      <c r="AB262" t="str" cm="1">
        <f t="array" aca="1" ref="AB262" ca="1">IFERROR(INDEX(H_Tables!H:H,MATCH(INDIRECT("k"&amp;ROW()),H_Tables!I:I,0)),"")</f>
        <v/>
      </c>
      <c r="AC262" t="str">
        <f t="shared" si="11"/>
        <v/>
      </c>
      <c r="AD262">
        <v>259</v>
      </c>
    </row>
    <row r="263" spans="13:30" ht="15" customHeight="1" x14ac:dyDescent="0.25">
      <c r="M263" t="s">
        <v>2474</v>
      </c>
      <c r="Z263" s="110">
        <f t="shared" si="10"/>
        <v>0</v>
      </c>
      <c r="AA263" t="str" cm="1">
        <f t="array" aca="1" ref="AA263" ca="1">IFERROR(INDEX(H_Tables!E:E,MATCH(INDIRECT("I"&amp;ROW()),H_Tables!F:F,0)),"")</f>
        <v/>
      </c>
      <c r="AB263" t="str" cm="1">
        <f t="array" aca="1" ref="AB263" ca="1">IFERROR(INDEX(H_Tables!H:H,MATCH(INDIRECT("k"&amp;ROW()),H_Tables!I:I,0)),"")</f>
        <v/>
      </c>
      <c r="AC263" t="str">
        <f t="shared" si="11"/>
        <v/>
      </c>
      <c r="AD263">
        <v>260</v>
      </c>
    </row>
    <row r="264" spans="13:30" ht="15" customHeight="1" x14ac:dyDescent="0.25">
      <c r="M264" t="s">
        <v>2474</v>
      </c>
      <c r="Z264" s="110">
        <f t="shared" si="10"/>
        <v>0</v>
      </c>
      <c r="AA264" t="str" cm="1">
        <f t="array" aca="1" ref="AA264" ca="1">IFERROR(INDEX(H_Tables!E:E,MATCH(INDIRECT("I"&amp;ROW()),H_Tables!F:F,0)),"")</f>
        <v/>
      </c>
      <c r="AB264" t="str" cm="1">
        <f t="array" aca="1" ref="AB264" ca="1">IFERROR(INDEX(H_Tables!H:H,MATCH(INDIRECT("k"&amp;ROW()),H_Tables!I:I,0)),"")</f>
        <v/>
      </c>
      <c r="AC264" t="str">
        <f t="shared" si="11"/>
        <v/>
      </c>
      <c r="AD264">
        <v>261</v>
      </c>
    </row>
    <row r="265" spans="13:30" ht="15" customHeight="1" x14ac:dyDescent="0.25">
      <c r="M265" t="s">
        <v>2474</v>
      </c>
      <c r="Z265" s="110">
        <f t="shared" si="10"/>
        <v>0</v>
      </c>
      <c r="AA265" t="str" cm="1">
        <f t="array" aca="1" ref="AA265" ca="1">IFERROR(INDEX(H_Tables!E:E,MATCH(INDIRECT("I"&amp;ROW()),H_Tables!F:F,0)),"")</f>
        <v/>
      </c>
      <c r="AB265" t="str" cm="1">
        <f t="array" aca="1" ref="AB265" ca="1">IFERROR(INDEX(H_Tables!H:H,MATCH(INDIRECT("k"&amp;ROW()),H_Tables!I:I,0)),"")</f>
        <v/>
      </c>
      <c r="AC265" t="str">
        <f t="shared" si="11"/>
        <v/>
      </c>
      <c r="AD265">
        <v>262</v>
      </c>
    </row>
    <row r="266" spans="13:30" ht="15" customHeight="1" x14ac:dyDescent="0.25">
      <c r="M266" t="s">
        <v>2474</v>
      </c>
      <c r="Z266" s="110">
        <f t="shared" si="10"/>
        <v>0</v>
      </c>
      <c r="AA266" t="str" cm="1">
        <f t="array" aca="1" ref="AA266" ca="1">IFERROR(INDEX(H_Tables!E:E,MATCH(INDIRECT("I"&amp;ROW()),H_Tables!F:F,0)),"")</f>
        <v/>
      </c>
      <c r="AB266" t="str" cm="1">
        <f t="array" aca="1" ref="AB266" ca="1">IFERROR(INDEX(H_Tables!H:H,MATCH(INDIRECT("k"&amp;ROW()),H_Tables!I:I,0)),"")</f>
        <v/>
      </c>
      <c r="AC266" t="str">
        <f t="shared" si="11"/>
        <v/>
      </c>
      <c r="AD266">
        <v>263</v>
      </c>
    </row>
    <row r="267" spans="13:30" ht="15" customHeight="1" x14ac:dyDescent="0.25">
      <c r="M267" t="s">
        <v>2474</v>
      </c>
      <c r="Z267" s="110">
        <f t="shared" si="10"/>
        <v>0</v>
      </c>
      <c r="AA267" t="str" cm="1">
        <f t="array" aca="1" ref="AA267" ca="1">IFERROR(INDEX(H_Tables!E:E,MATCH(INDIRECT("I"&amp;ROW()),H_Tables!F:F,0)),"")</f>
        <v/>
      </c>
      <c r="AB267" t="str" cm="1">
        <f t="array" aca="1" ref="AB267" ca="1">IFERROR(INDEX(H_Tables!H:H,MATCH(INDIRECT("k"&amp;ROW()),H_Tables!I:I,0)),"")</f>
        <v/>
      </c>
      <c r="AC267" t="str">
        <f t="shared" si="11"/>
        <v/>
      </c>
      <c r="AD267">
        <v>264</v>
      </c>
    </row>
    <row r="268" spans="13:30" ht="15" customHeight="1" x14ac:dyDescent="0.25">
      <c r="M268" t="s">
        <v>2474</v>
      </c>
      <c r="Z268" s="110">
        <f t="shared" si="10"/>
        <v>0</v>
      </c>
      <c r="AA268" t="str" cm="1">
        <f t="array" aca="1" ref="AA268" ca="1">IFERROR(INDEX(H_Tables!E:E,MATCH(INDIRECT("I"&amp;ROW()),H_Tables!F:F,0)),"")</f>
        <v/>
      </c>
      <c r="AB268" t="str" cm="1">
        <f t="array" aca="1" ref="AB268" ca="1">IFERROR(INDEX(H_Tables!H:H,MATCH(INDIRECT("k"&amp;ROW()),H_Tables!I:I,0)),"")</f>
        <v/>
      </c>
      <c r="AC268" t="str">
        <f t="shared" si="11"/>
        <v/>
      </c>
      <c r="AD268">
        <v>265</v>
      </c>
    </row>
    <row r="269" spans="13:30" ht="15" customHeight="1" x14ac:dyDescent="0.25">
      <c r="M269" t="s">
        <v>2474</v>
      </c>
      <c r="Z269" s="110">
        <f t="shared" si="10"/>
        <v>0</v>
      </c>
      <c r="AA269" t="str" cm="1">
        <f t="array" aca="1" ref="AA269" ca="1">IFERROR(INDEX(H_Tables!E:E,MATCH(INDIRECT("I"&amp;ROW()),H_Tables!F:F,0)),"")</f>
        <v/>
      </c>
      <c r="AB269" t="str" cm="1">
        <f t="array" aca="1" ref="AB269" ca="1">IFERROR(INDEX(H_Tables!H:H,MATCH(INDIRECT("k"&amp;ROW()),H_Tables!I:I,0)),"")</f>
        <v/>
      </c>
      <c r="AC269" t="str">
        <f t="shared" si="11"/>
        <v/>
      </c>
      <c r="AD269">
        <v>266</v>
      </c>
    </row>
    <row r="270" spans="13:30" ht="15" customHeight="1" x14ac:dyDescent="0.25">
      <c r="M270" t="s">
        <v>2474</v>
      </c>
      <c r="Z270" s="110">
        <f t="shared" si="10"/>
        <v>0</v>
      </c>
      <c r="AA270" t="str" cm="1">
        <f t="array" aca="1" ref="AA270" ca="1">IFERROR(INDEX(H_Tables!E:E,MATCH(INDIRECT("I"&amp;ROW()),H_Tables!F:F,0)),"")</f>
        <v/>
      </c>
      <c r="AB270" t="str" cm="1">
        <f t="array" aca="1" ref="AB270" ca="1">IFERROR(INDEX(H_Tables!H:H,MATCH(INDIRECT("k"&amp;ROW()),H_Tables!I:I,0)),"")</f>
        <v/>
      </c>
      <c r="AC270" t="str">
        <f t="shared" si="11"/>
        <v/>
      </c>
      <c r="AD270">
        <v>267</v>
      </c>
    </row>
    <row r="271" spans="13:30" ht="15" customHeight="1" x14ac:dyDescent="0.25">
      <c r="M271" t="s">
        <v>2474</v>
      </c>
      <c r="Z271" s="110">
        <f t="shared" si="10"/>
        <v>0</v>
      </c>
      <c r="AA271" t="str" cm="1">
        <f t="array" aca="1" ref="AA271" ca="1">IFERROR(INDEX(H_Tables!E:E,MATCH(INDIRECT("I"&amp;ROW()),H_Tables!F:F,0)),"")</f>
        <v/>
      </c>
      <c r="AB271" t="str" cm="1">
        <f t="array" aca="1" ref="AB271" ca="1">IFERROR(INDEX(H_Tables!H:H,MATCH(INDIRECT("k"&amp;ROW()),H_Tables!I:I,0)),"")</f>
        <v/>
      </c>
      <c r="AC271" t="str">
        <f t="shared" si="11"/>
        <v/>
      </c>
      <c r="AD271">
        <v>268</v>
      </c>
    </row>
    <row r="272" spans="13:30" ht="15" customHeight="1" x14ac:dyDescent="0.25">
      <c r="M272" t="s">
        <v>2474</v>
      </c>
      <c r="Z272" s="110">
        <f t="shared" si="10"/>
        <v>0</v>
      </c>
      <c r="AA272" t="str" cm="1">
        <f t="array" aca="1" ref="AA272" ca="1">IFERROR(INDEX(H_Tables!E:E,MATCH(INDIRECT("I"&amp;ROW()),H_Tables!F:F,0)),"")</f>
        <v/>
      </c>
      <c r="AB272" t="str" cm="1">
        <f t="array" aca="1" ref="AB272" ca="1">IFERROR(INDEX(H_Tables!H:H,MATCH(INDIRECT("k"&amp;ROW()),H_Tables!I:I,0)),"")</f>
        <v/>
      </c>
      <c r="AC272" t="str">
        <f t="shared" si="11"/>
        <v/>
      </c>
      <c r="AD272">
        <v>269</v>
      </c>
    </row>
    <row r="273" spans="13:30" ht="15" customHeight="1" x14ac:dyDescent="0.25">
      <c r="M273" t="s">
        <v>2474</v>
      </c>
      <c r="Z273" s="110">
        <f t="shared" si="10"/>
        <v>0</v>
      </c>
      <c r="AA273" t="str" cm="1">
        <f t="array" aca="1" ref="AA273" ca="1">IFERROR(INDEX(H_Tables!E:E,MATCH(INDIRECT("I"&amp;ROW()),H_Tables!F:F,0)),"")</f>
        <v/>
      </c>
      <c r="AB273" t="str" cm="1">
        <f t="array" aca="1" ref="AB273" ca="1">IFERROR(INDEX(H_Tables!H:H,MATCH(INDIRECT("k"&amp;ROW()),H_Tables!I:I,0)),"")</f>
        <v/>
      </c>
      <c r="AC273" t="str">
        <f t="shared" si="11"/>
        <v/>
      </c>
      <c r="AD273">
        <v>270</v>
      </c>
    </row>
    <row r="274" spans="13:30" ht="15" customHeight="1" x14ac:dyDescent="0.25">
      <c r="M274" t="s">
        <v>2474</v>
      </c>
      <c r="Z274" s="110">
        <f t="shared" si="10"/>
        <v>0</v>
      </c>
      <c r="AA274" t="str" cm="1">
        <f t="array" aca="1" ref="AA274" ca="1">IFERROR(INDEX(H_Tables!E:E,MATCH(INDIRECT("I"&amp;ROW()),H_Tables!F:F,0)),"")</f>
        <v/>
      </c>
      <c r="AB274" t="str" cm="1">
        <f t="array" aca="1" ref="AB274" ca="1">IFERROR(INDEX(H_Tables!H:H,MATCH(INDIRECT("k"&amp;ROW()),H_Tables!I:I,0)),"")</f>
        <v/>
      </c>
      <c r="AC274" t="str">
        <f t="shared" si="11"/>
        <v/>
      </c>
      <c r="AD274">
        <v>271</v>
      </c>
    </row>
    <row r="275" spans="13:30" ht="15" customHeight="1" x14ac:dyDescent="0.25">
      <c r="M275" t="s">
        <v>2474</v>
      </c>
      <c r="Z275" s="110">
        <f t="shared" si="10"/>
        <v>0</v>
      </c>
      <c r="AA275" t="str" cm="1">
        <f t="array" aca="1" ref="AA275" ca="1">IFERROR(INDEX(H_Tables!E:E,MATCH(INDIRECT("I"&amp;ROW()),H_Tables!F:F,0)),"")</f>
        <v/>
      </c>
      <c r="AB275" t="str" cm="1">
        <f t="array" aca="1" ref="AB275" ca="1">IFERROR(INDEX(H_Tables!H:H,MATCH(INDIRECT("k"&amp;ROW()),H_Tables!I:I,0)),"")</f>
        <v/>
      </c>
      <c r="AC275" t="str">
        <f t="shared" si="11"/>
        <v/>
      </c>
      <c r="AD275">
        <v>272</v>
      </c>
    </row>
    <row r="276" spans="13:30" ht="15" customHeight="1" x14ac:dyDescent="0.25">
      <c r="M276" t="s">
        <v>2474</v>
      </c>
      <c r="Z276" s="110">
        <f t="shared" si="10"/>
        <v>0</v>
      </c>
      <c r="AA276" t="str" cm="1">
        <f t="array" aca="1" ref="AA276" ca="1">IFERROR(INDEX(H_Tables!E:E,MATCH(INDIRECT("I"&amp;ROW()),H_Tables!F:F,0)),"")</f>
        <v/>
      </c>
      <c r="AB276" t="str" cm="1">
        <f t="array" aca="1" ref="AB276" ca="1">IFERROR(INDEX(H_Tables!H:H,MATCH(INDIRECT("k"&amp;ROW()),H_Tables!I:I,0)),"")</f>
        <v/>
      </c>
      <c r="AC276" t="str">
        <f t="shared" si="11"/>
        <v/>
      </c>
      <c r="AD276">
        <v>273</v>
      </c>
    </row>
    <row r="277" spans="13:30" ht="15" customHeight="1" x14ac:dyDescent="0.25">
      <c r="M277" t="s">
        <v>2474</v>
      </c>
      <c r="Z277" s="110">
        <f t="shared" si="10"/>
        <v>0</v>
      </c>
      <c r="AA277" t="str" cm="1">
        <f t="array" aca="1" ref="AA277" ca="1">IFERROR(INDEX(H_Tables!E:E,MATCH(INDIRECT("I"&amp;ROW()),H_Tables!F:F,0)),"")</f>
        <v/>
      </c>
      <c r="AB277" t="str" cm="1">
        <f t="array" aca="1" ref="AB277" ca="1">IFERROR(INDEX(H_Tables!H:H,MATCH(INDIRECT("k"&amp;ROW()),H_Tables!I:I,0)),"")</f>
        <v/>
      </c>
      <c r="AC277" t="str">
        <f t="shared" si="11"/>
        <v/>
      </c>
      <c r="AD277">
        <v>274</v>
      </c>
    </row>
    <row r="278" spans="13:30" ht="15" customHeight="1" x14ac:dyDescent="0.25">
      <c r="M278" t="s">
        <v>2474</v>
      </c>
      <c r="Z278" s="110">
        <f t="shared" si="10"/>
        <v>0</v>
      </c>
      <c r="AA278" t="str" cm="1">
        <f t="array" aca="1" ref="AA278" ca="1">IFERROR(INDEX(H_Tables!E:E,MATCH(INDIRECT("I"&amp;ROW()),H_Tables!F:F,0)),"")</f>
        <v/>
      </c>
      <c r="AB278" t="str" cm="1">
        <f t="array" aca="1" ref="AB278" ca="1">IFERROR(INDEX(H_Tables!H:H,MATCH(INDIRECT("k"&amp;ROW()),H_Tables!I:I,0)),"")</f>
        <v/>
      </c>
      <c r="AC278" t="str">
        <f t="shared" si="11"/>
        <v/>
      </c>
      <c r="AD278">
        <v>275</v>
      </c>
    </row>
    <row r="279" spans="13:30" ht="15" customHeight="1" x14ac:dyDescent="0.25">
      <c r="M279" t="s">
        <v>2474</v>
      </c>
      <c r="Z279" s="110">
        <f t="shared" si="10"/>
        <v>0</v>
      </c>
      <c r="AA279" t="str" cm="1">
        <f t="array" aca="1" ref="AA279" ca="1">IFERROR(INDEX(H_Tables!E:E,MATCH(INDIRECT("I"&amp;ROW()),H_Tables!F:F,0)),"")</f>
        <v/>
      </c>
      <c r="AB279" t="str" cm="1">
        <f t="array" aca="1" ref="AB279" ca="1">IFERROR(INDEX(H_Tables!H:H,MATCH(INDIRECT("k"&amp;ROW()),H_Tables!I:I,0)),"")</f>
        <v/>
      </c>
      <c r="AC279" t="str">
        <f t="shared" si="11"/>
        <v/>
      </c>
      <c r="AD279">
        <v>276</v>
      </c>
    </row>
    <row r="280" spans="13:30" ht="15" customHeight="1" x14ac:dyDescent="0.25">
      <c r="M280" t="s">
        <v>2474</v>
      </c>
      <c r="Z280" s="110">
        <f t="shared" si="10"/>
        <v>0</v>
      </c>
      <c r="AA280" t="str" cm="1">
        <f t="array" aca="1" ref="AA280" ca="1">IFERROR(INDEX(H_Tables!E:E,MATCH(INDIRECT("I"&amp;ROW()),H_Tables!F:F,0)),"")</f>
        <v/>
      </c>
      <c r="AB280" t="str" cm="1">
        <f t="array" aca="1" ref="AB280" ca="1">IFERROR(INDEX(H_Tables!H:H,MATCH(INDIRECT("k"&amp;ROW()),H_Tables!I:I,0)),"")</f>
        <v/>
      </c>
      <c r="AC280" t="str">
        <f t="shared" si="11"/>
        <v/>
      </c>
      <c r="AD280">
        <v>277</v>
      </c>
    </row>
    <row r="281" spans="13:30" ht="15" customHeight="1" x14ac:dyDescent="0.25">
      <c r="M281" t="s">
        <v>2474</v>
      </c>
      <c r="Z281" s="110">
        <f t="shared" si="10"/>
        <v>0</v>
      </c>
      <c r="AA281" t="str" cm="1">
        <f t="array" aca="1" ref="AA281" ca="1">IFERROR(INDEX(H_Tables!E:E,MATCH(INDIRECT("I"&amp;ROW()),H_Tables!F:F,0)),"")</f>
        <v/>
      </c>
      <c r="AB281" t="str" cm="1">
        <f t="array" aca="1" ref="AB281" ca="1">IFERROR(INDEX(H_Tables!H:H,MATCH(INDIRECT("k"&amp;ROW()),H_Tables!I:I,0)),"")</f>
        <v/>
      </c>
      <c r="AC281" t="str">
        <f t="shared" si="11"/>
        <v/>
      </c>
      <c r="AD281">
        <v>278</v>
      </c>
    </row>
    <row r="282" spans="13:30" ht="15" customHeight="1" x14ac:dyDescent="0.25">
      <c r="M282" t="s">
        <v>2474</v>
      </c>
      <c r="Z282" s="110">
        <f t="shared" si="10"/>
        <v>0</v>
      </c>
      <c r="AA282" t="str" cm="1">
        <f t="array" aca="1" ref="AA282" ca="1">IFERROR(INDEX(H_Tables!E:E,MATCH(INDIRECT("I"&amp;ROW()),H_Tables!F:F,0)),"")</f>
        <v/>
      </c>
      <c r="AB282" t="str" cm="1">
        <f t="array" aca="1" ref="AB282" ca="1">IFERROR(INDEX(H_Tables!H:H,MATCH(INDIRECT("k"&amp;ROW()),H_Tables!I:I,0)),"")</f>
        <v/>
      </c>
      <c r="AC282" t="str">
        <f t="shared" si="11"/>
        <v/>
      </c>
      <c r="AD282">
        <v>279</v>
      </c>
    </row>
    <row r="283" spans="13:30" ht="15" customHeight="1" x14ac:dyDescent="0.25">
      <c r="M283" t="s">
        <v>2474</v>
      </c>
      <c r="Z283" s="110">
        <f t="shared" si="10"/>
        <v>0</v>
      </c>
      <c r="AA283" t="str" cm="1">
        <f t="array" aca="1" ref="AA283" ca="1">IFERROR(INDEX(H_Tables!E:E,MATCH(INDIRECT("I"&amp;ROW()),H_Tables!F:F,0)),"")</f>
        <v/>
      </c>
      <c r="AB283" t="str" cm="1">
        <f t="array" aca="1" ref="AB283" ca="1">IFERROR(INDEX(H_Tables!H:H,MATCH(INDIRECT("k"&amp;ROW()),H_Tables!I:I,0)),"")</f>
        <v/>
      </c>
      <c r="AC283" t="str">
        <f t="shared" si="11"/>
        <v/>
      </c>
      <c r="AD283">
        <v>280</v>
      </c>
    </row>
    <row r="284" spans="13:30" ht="15" customHeight="1" x14ac:dyDescent="0.25">
      <c r="M284" t="s">
        <v>2474</v>
      </c>
      <c r="Z284" s="110">
        <f t="shared" si="10"/>
        <v>0</v>
      </c>
      <c r="AA284" t="str" cm="1">
        <f t="array" aca="1" ref="AA284" ca="1">IFERROR(INDEX(H_Tables!E:E,MATCH(INDIRECT("I"&amp;ROW()),H_Tables!F:F,0)),"")</f>
        <v/>
      </c>
      <c r="AB284" t="str" cm="1">
        <f t="array" aca="1" ref="AB284" ca="1">IFERROR(INDEX(H_Tables!H:H,MATCH(INDIRECT("k"&amp;ROW()),H_Tables!I:I,0)),"")</f>
        <v/>
      </c>
      <c r="AC284" t="str">
        <f t="shared" si="11"/>
        <v/>
      </c>
      <c r="AD284">
        <v>281</v>
      </c>
    </row>
    <row r="285" spans="13:30" ht="15" customHeight="1" x14ac:dyDescent="0.25">
      <c r="M285" t="s">
        <v>2474</v>
      </c>
      <c r="Z285" s="110">
        <f t="shared" si="10"/>
        <v>0</v>
      </c>
      <c r="AA285" t="str" cm="1">
        <f t="array" aca="1" ref="AA285" ca="1">IFERROR(INDEX(H_Tables!E:E,MATCH(INDIRECT("I"&amp;ROW()),H_Tables!F:F,0)),"")</f>
        <v/>
      </c>
      <c r="AB285" t="str" cm="1">
        <f t="array" aca="1" ref="AB285" ca="1">IFERROR(INDEX(H_Tables!H:H,MATCH(INDIRECT("k"&amp;ROW()),H_Tables!I:I,0)),"")</f>
        <v/>
      </c>
      <c r="AC285" t="str">
        <f t="shared" si="11"/>
        <v/>
      </c>
      <c r="AD285">
        <v>282</v>
      </c>
    </row>
    <row r="286" spans="13:30" ht="15" customHeight="1" x14ac:dyDescent="0.25">
      <c r="M286" t="s">
        <v>2474</v>
      </c>
      <c r="Z286" s="110">
        <f t="shared" si="10"/>
        <v>0</v>
      </c>
      <c r="AA286" t="str" cm="1">
        <f t="array" aca="1" ref="AA286" ca="1">IFERROR(INDEX(H_Tables!E:E,MATCH(INDIRECT("I"&amp;ROW()),H_Tables!F:F,0)),"")</f>
        <v/>
      </c>
      <c r="AB286" t="str" cm="1">
        <f t="array" aca="1" ref="AB286" ca="1">IFERROR(INDEX(H_Tables!H:H,MATCH(INDIRECT("k"&amp;ROW()),H_Tables!I:I,0)),"")</f>
        <v/>
      </c>
      <c r="AC286" t="str">
        <f t="shared" si="11"/>
        <v/>
      </c>
      <c r="AD286">
        <v>283</v>
      </c>
    </row>
    <row r="287" spans="13:30" ht="15" customHeight="1" x14ac:dyDescent="0.25">
      <c r="M287" t="s">
        <v>2474</v>
      </c>
      <c r="Z287" s="110">
        <f t="shared" si="10"/>
        <v>0</v>
      </c>
      <c r="AA287" t="str" cm="1">
        <f t="array" aca="1" ref="AA287" ca="1">IFERROR(INDEX(H_Tables!E:E,MATCH(INDIRECT("I"&amp;ROW()),H_Tables!F:F,0)),"")</f>
        <v/>
      </c>
      <c r="AB287" t="str" cm="1">
        <f t="array" aca="1" ref="AB287" ca="1">IFERROR(INDEX(H_Tables!H:H,MATCH(INDIRECT("k"&amp;ROW()),H_Tables!I:I,0)),"")</f>
        <v/>
      </c>
      <c r="AC287" t="str">
        <f t="shared" si="11"/>
        <v/>
      </c>
      <c r="AD287">
        <v>284</v>
      </c>
    </row>
    <row r="288" spans="13:30" ht="15" customHeight="1" x14ac:dyDescent="0.25">
      <c r="M288" t="s">
        <v>2474</v>
      </c>
      <c r="Z288" s="110">
        <f t="shared" si="10"/>
        <v>0</v>
      </c>
      <c r="AA288" t="str" cm="1">
        <f t="array" aca="1" ref="AA288" ca="1">IFERROR(INDEX(H_Tables!E:E,MATCH(INDIRECT("I"&amp;ROW()),H_Tables!F:F,0)),"")</f>
        <v/>
      </c>
      <c r="AB288" t="str" cm="1">
        <f t="array" aca="1" ref="AB288" ca="1">IFERROR(INDEX(H_Tables!H:H,MATCH(INDIRECT("k"&amp;ROW()),H_Tables!I:I,0)),"")</f>
        <v/>
      </c>
      <c r="AC288" t="str">
        <f t="shared" si="11"/>
        <v/>
      </c>
      <c r="AD288">
        <v>285</v>
      </c>
    </row>
    <row r="289" spans="13:30" ht="15" customHeight="1" x14ac:dyDescent="0.25">
      <c r="M289" t="s">
        <v>2474</v>
      </c>
      <c r="Z289" s="110">
        <f t="shared" si="10"/>
        <v>0</v>
      </c>
      <c r="AA289" t="str" cm="1">
        <f t="array" aca="1" ref="AA289" ca="1">IFERROR(INDEX(H_Tables!E:E,MATCH(INDIRECT("I"&amp;ROW()),H_Tables!F:F,0)),"")</f>
        <v/>
      </c>
      <c r="AB289" t="str" cm="1">
        <f t="array" aca="1" ref="AB289" ca="1">IFERROR(INDEX(H_Tables!H:H,MATCH(INDIRECT("k"&amp;ROW()),H_Tables!I:I,0)),"")</f>
        <v/>
      </c>
      <c r="AC289" t="str">
        <f t="shared" si="11"/>
        <v/>
      </c>
      <c r="AD289">
        <v>286</v>
      </c>
    </row>
    <row r="290" spans="13:30" ht="15" customHeight="1" x14ac:dyDescent="0.25">
      <c r="M290" t="s">
        <v>2474</v>
      </c>
      <c r="Z290" s="110">
        <f t="shared" si="10"/>
        <v>0</v>
      </c>
      <c r="AA290" t="str" cm="1">
        <f t="array" aca="1" ref="AA290" ca="1">IFERROR(INDEX(H_Tables!E:E,MATCH(INDIRECT("I"&amp;ROW()),H_Tables!F:F,0)),"")</f>
        <v/>
      </c>
      <c r="AB290" t="str" cm="1">
        <f t="array" aca="1" ref="AB290" ca="1">IFERROR(INDEX(H_Tables!H:H,MATCH(INDIRECT("k"&amp;ROW()),H_Tables!I:I,0)),"")</f>
        <v/>
      </c>
      <c r="AC290" t="str">
        <f t="shared" si="11"/>
        <v/>
      </c>
      <c r="AD290">
        <v>287</v>
      </c>
    </row>
    <row r="291" spans="13:30" ht="15" customHeight="1" x14ac:dyDescent="0.25">
      <c r="M291" t="s">
        <v>2474</v>
      </c>
      <c r="Z291" s="110">
        <f t="shared" si="10"/>
        <v>0</v>
      </c>
      <c r="AA291" t="str" cm="1">
        <f t="array" aca="1" ref="AA291" ca="1">IFERROR(INDEX(H_Tables!E:E,MATCH(INDIRECT("I"&amp;ROW()),H_Tables!F:F,0)),"")</f>
        <v/>
      </c>
      <c r="AB291" t="str" cm="1">
        <f t="array" aca="1" ref="AB291" ca="1">IFERROR(INDEX(H_Tables!H:H,MATCH(INDIRECT("k"&amp;ROW()),H_Tables!I:I,0)),"")</f>
        <v/>
      </c>
      <c r="AC291" t="str">
        <f t="shared" si="11"/>
        <v/>
      </c>
      <c r="AD291">
        <v>288</v>
      </c>
    </row>
    <row r="292" spans="13:30" ht="15" customHeight="1" x14ac:dyDescent="0.25">
      <c r="M292" t="s">
        <v>2474</v>
      </c>
      <c r="Z292" s="110">
        <f t="shared" si="10"/>
        <v>0</v>
      </c>
      <c r="AA292" t="str" cm="1">
        <f t="array" aca="1" ref="AA292" ca="1">IFERROR(INDEX(H_Tables!E:E,MATCH(INDIRECT("I"&amp;ROW()),H_Tables!F:F,0)),"")</f>
        <v/>
      </c>
      <c r="AB292" t="str" cm="1">
        <f t="array" aca="1" ref="AB292" ca="1">IFERROR(INDEX(H_Tables!H:H,MATCH(INDIRECT("k"&amp;ROW()),H_Tables!I:I,0)),"")</f>
        <v/>
      </c>
      <c r="AC292" t="str">
        <f t="shared" si="11"/>
        <v/>
      </c>
      <c r="AD292">
        <v>289</v>
      </c>
    </row>
    <row r="293" spans="13:30" ht="15" customHeight="1" x14ac:dyDescent="0.25">
      <c r="M293" t="s">
        <v>2474</v>
      </c>
      <c r="Z293" s="110">
        <f t="shared" si="10"/>
        <v>0</v>
      </c>
      <c r="AA293" t="str" cm="1">
        <f t="array" aca="1" ref="AA293" ca="1">IFERROR(INDEX(H_Tables!E:E,MATCH(INDIRECT("I"&amp;ROW()),H_Tables!F:F,0)),"")</f>
        <v/>
      </c>
      <c r="AB293" t="str" cm="1">
        <f t="array" aca="1" ref="AB293" ca="1">IFERROR(INDEX(H_Tables!H:H,MATCH(INDIRECT("k"&amp;ROW()),H_Tables!I:I,0)),"")</f>
        <v/>
      </c>
      <c r="AC293" t="str">
        <f t="shared" si="11"/>
        <v/>
      </c>
      <c r="AD293">
        <v>290</v>
      </c>
    </row>
    <row r="294" spans="13:30" ht="15" customHeight="1" x14ac:dyDescent="0.25">
      <c r="M294" t="s">
        <v>2474</v>
      </c>
      <c r="Z294" s="110">
        <f t="shared" si="10"/>
        <v>0</v>
      </c>
      <c r="AA294" t="str" cm="1">
        <f t="array" aca="1" ref="AA294" ca="1">IFERROR(INDEX(H_Tables!E:E,MATCH(INDIRECT("I"&amp;ROW()),H_Tables!F:F,0)),"")</f>
        <v/>
      </c>
      <c r="AB294" t="str" cm="1">
        <f t="array" aca="1" ref="AB294" ca="1">IFERROR(INDEX(H_Tables!H:H,MATCH(INDIRECT("k"&amp;ROW()),H_Tables!I:I,0)),"")</f>
        <v/>
      </c>
      <c r="AC294" t="str">
        <f t="shared" si="11"/>
        <v/>
      </c>
      <c r="AD294">
        <v>291</v>
      </c>
    </row>
    <row r="295" spans="13:30" ht="15" customHeight="1" x14ac:dyDescent="0.25">
      <c r="M295" t="s">
        <v>2474</v>
      </c>
      <c r="Z295" s="110">
        <f t="shared" si="10"/>
        <v>0</v>
      </c>
      <c r="AA295" t="str" cm="1">
        <f t="array" aca="1" ref="AA295" ca="1">IFERROR(INDEX(H_Tables!E:E,MATCH(INDIRECT("I"&amp;ROW()),H_Tables!F:F,0)),"")</f>
        <v/>
      </c>
      <c r="AB295" t="str" cm="1">
        <f t="array" aca="1" ref="AB295" ca="1">IFERROR(INDEX(H_Tables!H:H,MATCH(INDIRECT("k"&amp;ROW()),H_Tables!I:I,0)),"")</f>
        <v/>
      </c>
      <c r="AC295" t="str">
        <f t="shared" si="11"/>
        <v/>
      </c>
      <c r="AD295">
        <v>292</v>
      </c>
    </row>
    <row r="296" spans="13:30" ht="15" customHeight="1" x14ac:dyDescent="0.25">
      <c r="M296" t="s">
        <v>2474</v>
      </c>
      <c r="Z296" s="110">
        <f t="shared" si="10"/>
        <v>0</v>
      </c>
      <c r="AA296" t="str" cm="1">
        <f t="array" aca="1" ref="AA296" ca="1">IFERROR(INDEX(H_Tables!E:E,MATCH(INDIRECT("I"&amp;ROW()),H_Tables!F:F,0)),"")</f>
        <v/>
      </c>
      <c r="AB296" t="str" cm="1">
        <f t="array" aca="1" ref="AB296" ca="1">IFERROR(INDEX(H_Tables!H:H,MATCH(INDIRECT("k"&amp;ROW()),H_Tables!I:I,0)),"")</f>
        <v/>
      </c>
      <c r="AC296" t="str">
        <f t="shared" si="11"/>
        <v/>
      </c>
      <c r="AD296">
        <v>293</v>
      </c>
    </row>
    <row r="297" spans="13:30" ht="15" customHeight="1" x14ac:dyDescent="0.25">
      <c r="M297" t="s">
        <v>2474</v>
      </c>
      <c r="Z297" s="110">
        <f t="shared" si="10"/>
        <v>0</v>
      </c>
      <c r="AA297" t="str" cm="1">
        <f t="array" aca="1" ref="AA297" ca="1">IFERROR(INDEX(H_Tables!E:E,MATCH(INDIRECT("I"&amp;ROW()),H_Tables!F:F,0)),"")</f>
        <v/>
      </c>
      <c r="AB297" t="str" cm="1">
        <f t="array" aca="1" ref="AB297" ca="1">IFERROR(INDEX(H_Tables!H:H,MATCH(INDIRECT("k"&amp;ROW()),H_Tables!I:I,0)),"")</f>
        <v/>
      </c>
      <c r="AC297" t="str">
        <f t="shared" si="11"/>
        <v/>
      </c>
      <c r="AD297">
        <v>294</v>
      </c>
    </row>
    <row r="298" spans="13:30" ht="15" customHeight="1" x14ac:dyDescent="0.25">
      <c r="M298" t="s">
        <v>2474</v>
      </c>
      <c r="Z298" s="110">
        <f t="shared" si="10"/>
        <v>0</v>
      </c>
      <c r="AA298" t="str" cm="1">
        <f t="array" aca="1" ref="AA298" ca="1">IFERROR(INDEX(H_Tables!E:E,MATCH(INDIRECT("I"&amp;ROW()),H_Tables!F:F,0)),"")</f>
        <v/>
      </c>
      <c r="AB298" t="str" cm="1">
        <f t="array" aca="1" ref="AB298" ca="1">IFERROR(INDEX(H_Tables!H:H,MATCH(INDIRECT("k"&amp;ROW()),H_Tables!I:I,0)),"")</f>
        <v/>
      </c>
      <c r="AC298" t="str">
        <f t="shared" si="11"/>
        <v/>
      </c>
      <c r="AD298">
        <v>295</v>
      </c>
    </row>
    <row r="299" spans="13:30" ht="15" customHeight="1" x14ac:dyDescent="0.25">
      <c r="M299" t="s">
        <v>2474</v>
      </c>
      <c r="Z299" s="110">
        <f t="shared" si="10"/>
        <v>0</v>
      </c>
      <c r="AA299" t="str" cm="1">
        <f t="array" aca="1" ref="AA299" ca="1">IFERROR(INDEX(H_Tables!E:E,MATCH(INDIRECT("I"&amp;ROW()),H_Tables!F:F,0)),"")</f>
        <v/>
      </c>
      <c r="AB299" t="str" cm="1">
        <f t="array" aca="1" ref="AB299" ca="1">IFERROR(INDEX(H_Tables!H:H,MATCH(INDIRECT("k"&amp;ROW()),H_Tables!I:I,0)),"")</f>
        <v/>
      </c>
      <c r="AC299" t="str">
        <f t="shared" si="11"/>
        <v/>
      </c>
      <c r="AD299">
        <v>296</v>
      </c>
    </row>
    <row r="300" spans="13:30" ht="15" customHeight="1" x14ac:dyDescent="0.25">
      <c r="M300" t="s">
        <v>2474</v>
      </c>
      <c r="Z300" s="110">
        <f t="shared" si="10"/>
        <v>0</v>
      </c>
      <c r="AA300" t="str" cm="1">
        <f t="array" aca="1" ref="AA300" ca="1">IFERROR(INDEX(H_Tables!E:E,MATCH(INDIRECT("I"&amp;ROW()),H_Tables!F:F,0)),"")</f>
        <v/>
      </c>
      <c r="AB300" t="str" cm="1">
        <f t="array" aca="1" ref="AB300" ca="1">IFERROR(INDEX(H_Tables!H:H,MATCH(INDIRECT("k"&amp;ROW()),H_Tables!I:I,0)),"")</f>
        <v/>
      </c>
      <c r="AC300" t="str">
        <f t="shared" si="11"/>
        <v/>
      </c>
      <c r="AD300">
        <v>297</v>
      </c>
    </row>
    <row r="301" spans="13:30" ht="15" customHeight="1" x14ac:dyDescent="0.25">
      <c r="M301" t="s">
        <v>2474</v>
      </c>
      <c r="Z301" s="110">
        <f t="shared" si="10"/>
        <v>0</v>
      </c>
      <c r="AA301" t="str" cm="1">
        <f t="array" aca="1" ref="AA301" ca="1">IFERROR(INDEX(H_Tables!E:E,MATCH(INDIRECT("I"&amp;ROW()),H_Tables!F:F,0)),"")</f>
        <v/>
      </c>
      <c r="AB301" t="str" cm="1">
        <f t="array" aca="1" ref="AB301" ca="1">IFERROR(INDEX(H_Tables!H:H,MATCH(INDIRECT("k"&amp;ROW()),H_Tables!I:I,0)),"")</f>
        <v/>
      </c>
      <c r="AC301" t="str">
        <f t="shared" si="11"/>
        <v/>
      </c>
      <c r="AD301">
        <v>298</v>
      </c>
    </row>
    <row r="302" spans="13:30" ht="15" customHeight="1" x14ac:dyDescent="0.25">
      <c r="M302" t="s">
        <v>2474</v>
      </c>
      <c r="Z302" s="110">
        <f t="shared" si="10"/>
        <v>0</v>
      </c>
      <c r="AA302" t="str" cm="1">
        <f t="array" aca="1" ref="AA302" ca="1">IFERROR(INDEX(H_Tables!E:E,MATCH(INDIRECT("I"&amp;ROW()),H_Tables!F:F,0)),"")</f>
        <v/>
      </c>
      <c r="AB302" t="str" cm="1">
        <f t="array" aca="1" ref="AB302" ca="1">IFERROR(INDEX(H_Tables!H:H,MATCH(INDIRECT("k"&amp;ROW()),H_Tables!I:I,0)),"")</f>
        <v/>
      </c>
      <c r="AC302" t="str">
        <f t="shared" si="11"/>
        <v/>
      </c>
      <c r="AD302">
        <v>299</v>
      </c>
    </row>
    <row r="303" spans="13:30" ht="15" customHeight="1" x14ac:dyDescent="0.25">
      <c r="M303" t="s">
        <v>2474</v>
      </c>
      <c r="Z303" s="110">
        <f t="shared" si="10"/>
        <v>0</v>
      </c>
      <c r="AA303" t="str" cm="1">
        <f t="array" aca="1" ref="AA303" ca="1">IFERROR(INDEX(H_Tables!E:E,MATCH(INDIRECT("I"&amp;ROW()),H_Tables!F:F,0)),"")</f>
        <v/>
      </c>
      <c r="AB303" t="str" cm="1">
        <f t="array" aca="1" ref="AB303" ca="1">IFERROR(INDEX(H_Tables!H:H,MATCH(INDIRECT("k"&amp;ROW()),H_Tables!I:I,0)),"")</f>
        <v/>
      </c>
      <c r="AC303" t="str">
        <f t="shared" si="11"/>
        <v/>
      </c>
      <c r="AD303">
        <v>300</v>
      </c>
    </row>
    <row r="304" spans="13:30" ht="15" customHeight="1" x14ac:dyDescent="0.25">
      <c r="M304" t="s">
        <v>2474</v>
      </c>
      <c r="Z304" s="110">
        <f t="shared" si="10"/>
        <v>0</v>
      </c>
      <c r="AA304" t="str" cm="1">
        <f t="array" aca="1" ref="AA304" ca="1">IFERROR(INDEX(H_Tables!E:E,MATCH(INDIRECT("I"&amp;ROW()),H_Tables!F:F,0)),"")</f>
        <v/>
      </c>
      <c r="AB304" t="str" cm="1">
        <f t="array" aca="1" ref="AB304" ca="1">IFERROR(INDEX(H_Tables!H:H,MATCH(INDIRECT("k"&amp;ROW()),H_Tables!I:I,0)),"")</f>
        <v/>
      </c>
      <c r="AC304" t="str">
        <f t="shared" si="11"/>
        <v/>
      </c>
      <c r="AD304">
        <v>301</v>
      </c>
    </row>
    <row r="305" spans="13:30" ht="15" customHeight="1" x14ac:dyDescent="0.25">
      <c r="M305" t="s">
        <v>2474</v>
      </c>
      <c r="Z305" s="110">
        <f t="shared" si="10"/>
        <v>0</v>
      </c>
      <c r="AA305" t="str" cm="1">
        <f t="array" aca="1" ref="AA305" ca="1">IFERROR(INDEX(H_Tables!E:E,MATCH(INDIRECT("I"&amp;ROW()),H_Tables!F:F,0)),"")</f>
        <v/>
      </c>
      <c r="AB305" t="str" cm="1">
        <f t="array" aca="1" ref="AB305" ca="1">IFERROR(INDEX(H_Tables!H:H,MATCH(INDIRECT("k"&amp;ROW()),H_Tables!I:I,0)),"")</f>
        <v/>
      </c>
      <c r="AC305" t="str">
        <f t="shared" si="11"/>
        <v/>
      </c>
      <c r="AD305">
        <v>302</v>
      </c>
    </row>
    <row r="306" spans="13:30" ht="15" customHeight="1" x14ac:dyDescent="0.25">
      <c r="M306" t="s">
        <v>2474</v>
      </c>
      <c r="Z306" s="110">
        <f t="shared" si="10"/>
        <v>0</v>
      </c>
      <c r="AA306" t="str" cm="1">
        <f t="array" aca="1" ref="AA306" ca="1">IFERROR(INDEX(H_Tables!E:E,MATCH(INDIRECT("I"&amp;ROW()),H_Tables!F:F,0)),"")</f>
        <v/>
      </c>
      <c r="AB306" t="str" cm="1">
        <f t="array" aca="1" ref="AB306" ca="1">IFERROR(INDEX(H_Tables!H:H,MATCH(INDIRECT("k"&amp;ROW()),H_Tables!I:I,0)),"")</f>
        <v/>
      </c>
      <c r="AC306" t="str">
        <f t="shared" si="11"/>
        <v/>
      </c>
      <c r="AD306">
        <v>303</v>
      </c>
    </row>
    <row r="307" spans="13:30" ht="15" customHeight="1" x14ac:dyDescent="0.25">
      <c r="M307" t="s">
        <v>2474</v>
      </c>
      <c r="Z307" s="110">
        <f t="shared" si="10"/>
        <v>0</v>
      </c>
      <c r="AA307" t="str" cm="1">
        <f t="array" aca="1" ref="AA307" ca="1">IFERROR(INDEX(H_Tables!E:E,MATCH(INDIRECT("I"&amp;ROW()),H_Tables!F:F,0)),"")</f>
        <v/>
      </c>
      <c r="AB307" t="str" cm="1">
        <f t="array" aca="1" ref="AB307" ca="1">IFERROR(INDEX(H_Tables!H:H,MATCH(INDIRECT("k"&amp;ROW()),H_Tables!I:I,0)),"")</f>
        <v/>
      </c>
      <c r="AC307" t="str">
        <f t="shared" si="11"/>
        <v/>
      </c>
      <c r="AD307">
        <v>304</v>
      </c>
    </row>
    <row r="308" spans="13:30" ht="15" customHeight="1" x14ac:dyDescent="0.25">
      <c r="M308" t="s">
        <v>2474</v>
      </c>
      <c r="Z308" s="110">
        <f t="shared" si="10"/>
        <v>0</v>
      </c>
      <c r="AA308" t="str" cm="1">
        <f t="array" aca="1" ref="AA308" ca="1">IFERROR(INDEX(H_Tables!E:E,MATCH(INDIRECT("I"&amp;ROW()),H_Tables!F:F,0)),"")</f>
        <v/>
      </c>
      <c r="AB308" t="str" cm="1">
        <f t="array" aca="1" ref="AB308" ca="1">IFERROR(INDEX(H_Tables!H:H,MATCH(INDIRECT("k"&amp;ROW()),H_Tables!I:I,0)),"")</f>
        <v/>
      </c>
      <c r="AC308" t="str">
        <f t="shared" si="11"/>
        <v/>
      </c>
      <c r="AD308">
        <v>305</v>
      </c>
    </row>
    <row r="309" spans="13:30" ht="15" customHeight="1" x14ac:dyDescent="0.25">
      <c r="M309" t="s">
        <v>2474</v>
      </c>
      <c r="Z309" s="110">
        <f t="shared" si="10"/>
        <v>0</v>
      </c>
      <c r="AA309" t="str" cm="1">
        <f t="array" aca="1" ref="AA309" ca="1">IFERROR(INDEX(H_Tables!E:E,MATCH(INDIRECT("I"&amp;ROW()),H_Tables!F:F,0)),"")</f>
        <v/>
      </c>
      <c r="AB309" t="str" cm="1">
        <f t="array" aca="1" ref="AB309" ca="1">IFERROR(INDEX(H_Tables!H:H,MATCH(INDIRECT("k"&amp;ROW()),H_Tables!I:I,0)),"")</f>
        <v/>
      </c>
      <c r="AC309" t="str">
        <f t="shared" si="11"/>
        <v/>
      </c>
      <c r="AD309">
        <v>306</v>
      </c>
    </row>
    <row r="310" spans="13:30" ht="15" customHeight="1" x14ac:dyDescent="0.25">
      <c r="M310" t="s">
        <v>2474</v>
      </c>
      <c r="Z310" s="110">
        <f t="shared" si="10"/>
        <v>0</v>
      </c>
      <c r="AA310" t="str" cm="1">
        <f t="array" aca="1" ref="AA310" ca="1">IFERROR(INDEX(H_Tables!E:E,MATCH(INDIRECT("I"&amp;ROW()),H_Tables!F:F,0)),"")</f>
        <v/>
      </c>
      <c r="AB310" t="str" cm="1">
        <f t="array" aca="1" ref="AB310" ca="1">IFERROR(INDEX(H_Tables!H:H,MATCH(INDIRECT("k"&amp;ROW()),H_Tables!I:I,0)),"")</f>
        <v/>
      </c>
      <c r="AC310" t="str">
        <f t="shared" si="11"/>
        <v/>
      </c>
      <c r="AD310">
        <v>307</v>
      </c>
    </row>
    <row r="311" spans="13:30" ht="15" customHeight="1" x14ac:dyDescent="0.25">
      <c r="M311" t="s">
        <v>2474</v>
      </c>
      <c r="Z311" s="110">
        <f t="shared" si="10"/>
        <v>0</v>
      </c>
      <c r="AA311" t="str" cm="1">
        <f t="array" aca="1" ref="AA311" ca="1">IFERROR(INDEX(H_Tables!E:E,MATCH(INDIRECT("I"&amp;ROW()),H_Tables!F:F,0)),"")</f>
        <v/>
      </c>
      <c r="AB311" t="str" cm="1">
        <f t="array" aca="1" ref="AB311" ca="1">IFERROR(INDEX(H_Tables!H:H,MATCH(INDIRECT("k"&amp;ROW()),H_Tables!I:I,0)),"")</f>
        <v/>
      </c>
      <c r="AC311" t="str">
        <f t="shared" si="11"/>
        <v/>
      </c>
      <c r="AD311">
        <v>308</v>
      </c>
    </row>
    <row r="312" spans="13:30" ht="15" customHeight="1" x14ac:dyDescent="0.25">
      <c r="M312" t="s">
        <v>2474</v>
      </c>
      <c r="Z312" s="110">
        <f t="shared" si="10"/>
        <v>0</v>
      </c>
      <c r="AA312" t="str" cm="1">
        <f t="array" aca="1" ref="AA312" ca="1">IFERROR(INDEX(H_Tables!E:E,MATCH(INDIRECT("I"&amp;ROW()),H_Tables!F:F,0)),"")</f>
        <v/>
      </c>
      <c r="AB312" t="str" cm="1">
        <f t="array" aca="1" ref="AB312" ca="1">IFERROR(INDEX(H_Tables!H:H,MATCH(INDIRECT("k"&amp;ROW()),H_Tables!I:I,0)),"")</f>
        <v/>
      </c>
      <c r="AC312" t="str">
        <f t="shared" si="11"/>
        <v/>
      </c>
      <c r="AD312">
        <v>309</v>
      </c>
    </row>
    <row r="313" spans="13:30" ht="15" customHeight="1" x14ac:dyDescent="0.25">
      <c r="M313" t="s">
        <v>2474</v>
      </c>
      <c r="Z313" s="110">
        <f t="shared" si="10"/>
        <v>0</v>
      </c>
      <c r="AA313" t="str" cm="1">
        <f t="array" aca="1" ref="AA313" ca="1">IFERROR(INDEX(H_Tables!E:E,MATCH(INDIRECT("I"&amp;ROW()),H_Tables!F:F,0)),"")</f>
        <v/>
      </c>
      <c r="AB313" t="str" cm="1">
        <f t="array" aca="1" ref="AB313" ca="1">IFERROR(INDEX(H_Tables!H:H,MATCH(INDIRECT("k"&amp;ROW()),H_Tables!I:I,0)),"")</f>
        <v/>
      </c>
      <c r="AC313" t="str">
        <f t="shared" si="11"/>
        <v/>
      </c>
      <c r="AD313">
        <v>310</v>
      </c>
    </row>
    <row r="314" spans="13:30" ht="15" customHeight="1" x14ac:dyDescent="0.25">
      <c r="M314" t="s">
        <v>2474</v>
      </c>
      <c r="Z314" s="110">
        <f t="shared" si="10"/>
        <v>0</v>
      </c>
      <c r="AA314" t="str" cm="1">
        <f t="array" aca="1" ref="AA314" ca="1">IFERROR(INDEX(H_Tables!E:E,MATCH(INDIRECT("I"&amp;ROW()),H_Tables!F:F,0)),"")</f>
        <v/>
      </c>
      <c r="AB314" t="str" cm="1">
        <f t="array" aca="1" ref="AB314" ca="1">IFERROR(INDEX(H_Tables!H:H,MATCH(INDIRECT("k"&amp;ROW()),H_Tables!I:I,0)),"")</f>
        <v/>
      </c>
      <c r="AC314" t="str">
        <f t="shared" si="11"/>
        <v/>
      </c>
      <c r="AD314">
        <v>311</v>
      </c>
    </row>
    <row r="315" spans="13:30" ht="15" customHeight="1" x14ac:dyDescent="0.25">
      <c r="M315" t="s">
        <v>2474</v>
      </c>
      <c r="Z315" s="110">
        <f t="shared" si="10"/>
        <v>0</v>
      </c>
      <c r="AA315" t="str" cm="1">
        <f t="array" aca="1" ref="AA315" ca="1">IFERROR(INDEX(H_Tables!E:E,MATCH(INDIRECT("I"&amp;ROW()),H_Tables!F:F,0)),"")</f>
        <v/>
      </c>
      <c r="AB315" t="str" cm="1">
        <f t="array" aca="1" ref="AB315" ca="1">IFERROR(INDEX(H_Tables!H:H,MATCH(INDIRECT("k"&amp;ROW()),H_Tables!I:I,0)),"")</f>
        <v/>
      </c>
      <c r="AC315" t="str">
        <f t="shared" si="11"/>
        <v/>
      </c>
      <c r="AD315">
        <v>312</v>
      </c>
    </row>
    <row r="316" spans="13:30" ht="15" customHeight="1" x14ac:dyDescent="0.25">
      <c r="M316" t="s">
        <v>2474</v>
      </c>
      <c r="Z316" s="110">
        <f t="shared" si="10"/>
        <v>0</v>
      </c>
      <c r="AA316" t="str" cm="1">
        <f t="array" aca="1" ref="AA316" ca="1">IFERROR(INDEX(H_Tables!E:E,MATCH(INDIRECT("I"&amp;ROW()),H_Tables!F:F,0)),"")</f>
        <v/>
      </c>
      <c r="AB316" t="str" cm="1">
        <f t="array" aca="1" ref="AB316" ca="1">IFERROR(INDEX(H_Tables!H:H,MATCH(INDIRECT("k"&amp;ROW()),H_Tables!I:I,0)),"")</f>
        <v/>
      </c>
      <c r="AC316" t="str">
        <f t="shared" si="11"/>
        <v/>
      </c>
      <c r="AD316">
        <v>313</v>
      </c>
    </row>
    <row r="317" spans="13:30" ht="15" customHeight="1" x14ac:dyDescent="0.25">
      <c r="M317" t="s">
        <v>2474</v>
      </c>
      <c r="Z317" s="110">
        <f t="shared" si="10"/>
        <v>0</v>
      </c>
      <c r="AA317" t="str" cm="1">
        <f t="array" aca="1" ref="AA317" ca="1">IFERROR(INDEX(H_Tables!E:E,MATCH(INDIRECT("I"&amp;ROW()),H_Tables!F:F,0)),"")</f>
        <v/>
      </c>
      <c r="AB317" t="str" cm="1">
        <f t="array" aca="1" ref="AB317" ca="1">IFERROR(INDEX(H_Tables!H:H,MATCH(INDIRECT("k"&amp;ROW()),H_Tables!I:I,0)),"")</f>
        <v/>
      </c>
      <c r="AC317" t="str">
        <f t="shared" si="11"/>
        <v/>
      </c>
      <c r="AD317">
        <v>314</v>
      </c>
    </row>
    <row r="318" spans="13:30" ht="15" customHeight="1" x14ac:dyDescent="0.25">
      <c r="M318" t="s">
        <v>2474</v>
      </c>
      <c r="Z318" s="110">
        <f t="shared" si="10"/>
        <v>0</v>
      </c>
      <c r="AA318" t="str" cm="1">
        <f t="array" aca="1" ref="AA318" ca="1">IFERROR(INDEX(H_Tables!E:E,MATCH(INDIRECT("I"&amp;ROW()),H_Tables!F:F,0)),"")</f>
        <v/>
      </c>
      <c r="AB318" t="str" cm="1">
        <f t="array" aca="1" ref="AB318" ca="1">IFERROR(INDEX(H_Tables!H:H,MATCH(INDIRECT("k"&amp;ROW()),H_Tables!I:I,0)),"")</f>
        <v/>
      </c>
      <c r="AC318" t="str">
        <f t="shared" si="11"/>
        <v/>
      </c>
      <c r="AD318">
        <v>315</v>
      </c>
    </row>
    <row r="319" spans="13:30" ht="15" customHeight="1" x14ac:dyDescent="0.25">
      <c r="M319" t="s">
        <v>2474</v>
      </c>
      <c r="Z319" s="110">
        <f t="shared" si="10"/>
        <v>0</v>
      </c>
      <c r="AA319" t="str" cm="1">
        <f t="array" aca="1" ref="AA319" ca="1">IFERROR(INDEX(H_Tables!E:E,MATCH(INDIRECT("I"&amp;ROW()),H_Tables!F:F,0)),"")</f>
        <v/>
      </c>
      <c r="AB319" t="str" cm="1">
        <f t="array" aca="1" ref="AB319" ca="1">IFERROR(INDEX(H_Tables!H:H,MATCH(INDIRECT("k"&amp;ROW()),H_Tables!I:I,0)),"")</f>
        <v/>
      </c>
      <c r="AC319" t="str">
        <f t="shared" si="11"/>
        <v/>
      </c>
      <c r="AD319">
        <v>316</v>
      </c>
    </row>
    <row r="320" spans="13:30" ht="15" customHeight="1" x14ac:dyDescent="0.25">
      <c r="M320" t="s">
        <v>2474</v>
      </c>
      <c r="Z320" s="110">
        <f t="shared" si="10"/>
        <v>0</v>
      </c>
      <c r="AA320" t="str" cm="1">
        <f t="array" aca="1" ref="AA320" ca="1">IFERROR(INDEX(H_Tables!E:E,MATCH(INDIRECT("I"&amp;ROW()),H_Tables!F:F,0)),"")</f>
        <v/>
      </c>
      <c r="AB320" t="str" cm="1">
        <f t="array" aca="1" ref="AB320" ca="1">IFERROR(INDEX(H_Tables!H:H,MATCH(INDIRECT("k"&amp;ROW()),H_Tables!I:I,0)),"")</f>
        <v/>
      </c>
      <c r="AC320" t="str">
        <f t="shared" si="11"/>
        <v/>
      </c>
      <c r="AD320">
        <v>317</v>
      </c>
    </row>
    <row r="321" spans="13:30" ht="15" customHeight="1" x14ac:dyDescent="0.25">
      <c r="M321" t="s">
        <v>2474</v>
      </c>
      <c r="Z321" s="110">
        <f t="shared" si="10"/>
        <v>0</v>
      </c>
      <c r="AA321" t="str" cm="1">
        <f t="array" aca="1" ref="AA321" ca="1">IFERROR(INDEX(H_Tables!E:E,MATCH(INDIRECT("I"&amp;ROW()),H_Tables!F:F,0)),"")</f>
        <v/>
      </c>
      <c r="AB321" t="str" cm="1">
        <f t="array" aca="1" ref="AB321" ca="1">IFERROR(INDEX(H_Tables!H:H,MATCH(INDIRECT("k"&amp;ROW()),H_Tables!I:I,0)),"")</f>
        <v/>
      </c>
      <c r="AC321" t="str">
        <f t="shared" si="11"/>
        <v/>
      </c>
      <c r="AD321">
        <v>318</v>
      </c>
    </row>
    <row r="322" spans="13:30" ht="15" customHeight="1" x14ac:dyDescent="0.25">
      <c r="M322" t="s">
        <v>2474</v>
      </c>
      <c r="Z322" s="110">
        <f t="shared" ref="Z322:Z385" si="12">ROUND(IF((F322+G322)=0,0,S322/Y322),4)</f>
        <v>0</v>
      </c>
      <c r="AA322" t="str" cm="1">
        <f t="array" aca="1" ref="AA322" ca="1">IFERROR(INDEX(H_Tables!E:E,MATCH(INDIRECT("I"&amp;ROW()),H_Tables!F:F,0)),"")</f>
        <v/>
      </c>
      <c r="AB322" t="str" cm="1">
        <f t="array" aca="1" ref="AB322" ca="1">IFERROR(INDEX(H_Tables!H:H,MATCH(INDIRECT("k"&amp;ROW()),H_Tables!I:I,0)),"")</f>
        <v/>
      </c>
      <c r="AC322" t="str">
        <f t="shared" si="11"/>
        <v/>
      </c>
      <c r="AD322">
        <v>319</v>
      </c>
    </row>
    <row r="323" spans="13:30" ht="15" customHeight="1" x14ac:dyDescent="0.25">
      <c r="M323" t="s">
        <v>2474</v>
      </c>
      <c r="Z323" s="110">
        <f t="shared" si="12"/>
        <v>0</v>
      </c>
      <c r="AA323" t="str" cm="1">
        <f t="array" aca="1" ref="AA323" ca="1">IFERROR(INDEX(H_Tables!E:E,MATCH(INDIRECT("I"&amp;ROW()),H_Tables!F:F,0)),"")</f>
        <v/>
      </c>
      <c r="AB323" t="str" cm="1">
        <f t="array" aca="1" ref="AB323" ca="1">IFERROR(INDEX(H_Tables!H:H,MATCH(INDIRECT("k"&amp;ROW()),H_Tables!I:I,0)),"")</f>
        <v/>
      </c>
      <c r="AC323" t="str">
        <f t="shared" si="11"/>
        <v/>
      </c>
      <c r="AD323">
        <v>320</v>
      </c>
    </row>
    <row r="324" spans="13:30" ht="15" customHeight="1" x14ac:dyDescent="0.25">
      <c r="M324" t="s">
        <v>2474</v>
      </c>
      <c r="Z324" s="110">
        <f t="shared" si="12"/>
        <v>0</v>
      </c>
      <c r="AA324" t="str" cm="1">
        <f t="array" aca="1" ref="AA324" ca="1">IFERROR(INDEX(H_Tables!E:E,MATCH(INDIRECT("I"&amp;ROW()),H_Tables!F:F,0)),"")</f>
        <v/>
      </c>
      <c r="AB324" t="str" cm="1">
        <f t="array" aca="1" ref="AB324" ca="1">IFERROR(INDEX(H_Tables!H:H,MATCH(INDIRECT("k"&amp;ROW()),H_Tables!I:I,0)),"")</f>
        <v/>
      </c>
      <c r="AC324" t="str">
        <f t="shared" ref="AC324:AC387" si="13">_xlfn.TEXTJOIN(",",TRUE,M324:P324)</f>
        <v/>
      </c>
      <c r="AD324">
        <v>321</v>
      </c>
    </row>
    <row r="325" spans="13:30" ht="15" customHeight="1" x14ac:dyDescent="0.25">
      <c r="M325" t="s">
        <v>2474</v>
      </c>
      <c r="Z325" s="110">
        <f t="shared" si="12"/>
        <v>0</v>
      </c>
      <c r="AA325" t="str" cm="1">
        <f t="array" aca="1" ref="AA325" ca="1">IFERROR(INDEX(H_Tables!E:E,MATCH(INDIRECT("I"&amp;ROW()),H_Tables!F:F,0)),"")</f>
        <v/>
      </c>
      <c r="AB325" t="str" cm="1">
        <f t="array" aca="1" ref="AB325" ca="1">IFERROR(INDEX(H_Tables!H:H,MATCH(INDIRECT("k"&amp;ROW()),H_Tables!I:I,0)),"")</f>
        <v/>
      </c>
      <c r="AC325" t="str">
        <f t="shared" si="13"/>
        <v/>
      </c>
      <c r="AD325">
        <v>322</v>
      </c>
    </row>
    <row r="326" spans="13:30" ht="15" customHeight="1" x14ac:dyDescent="0.25">
      <c r="M326" t="s">
        <v>2474</v>
      </c>
      <c r="Z326" s="110">
        <f t="shared" si="12"/>
        <v>0</v>
      </c>
      <c r="AA326" t="str" cm="1">
        <f t="array" aca="1" ref="AA326" ca="1">IFERROR(INDEX(H_Tables!E:E,MATCH(INDIRECT("I"&amp;ROW()),H_Tables!F:F,0)),"")</f>
        <v/>
      </c>
      <c r="AB326" t="str" cm="1">
        <f t="array" aca="1" ref="AB326" ca="1">IFERROR(INDEX(H_Tables!H:H,MATCH(INDIRECT("k"&amp;ROW()),H_Tables!I:I,0)),"")</f>
        <v/>
      </c>
      <c r="AC326" t="str">
        <f t="shared" si="13"/>
        <v/>
      </c>
      <c r="AD326">
        <v>323</v>
      </c>
    </row>
    <row r="327" spans="13:30" ht="15" customHeight="1" x14ac:dyDescent="0.25">
      <c r="M327" t="s">
        <v>2474</v>
      </c>
      <c r="Z327" s="110">
        <f t="shared" si="12"/>
        <v>0</v>
      </c>
      <c r="AA327" t="str" cm="1">
        <f t="array" aca="1" ref="AA327" ca="1">IFERROR(INDEX(H_Tables!E:E,MATCH(INDIRECT("I"&amp;ROW()),H_Tables!F:F,0)),"")</f>
        <v/>
      </c>
      <c r="AB327" t="str" cm="1">
        <f t="array" aca="1" ref="AB327" ca="1">IFERROR(INDEX(H_Tables!H:H,MATCH(INDIRECT("k"&amp;ROW()),H_Tables!I:I,0)),"")</f>
        <v/>
      </c>
      <c r="AC327" t="str">
        <f t="shared" si="13"/>
        <v/>
      </c>
      <c r="AD327">
        <v>324</v>
      </c>
    </row>
    <row r="328" spans="13:30" ht="15" customHeight="1" x14ac:dyDescent="0.25">
      <c r="M328" t="s">
        <v>2474</v>
      </c>
      <c r="Z328" s="110">
        <f t="shared" si="12"/>
        <v>0</v>
      </c>
      <c r="AA328" t="str" cm="1">
        <f t="array" aca="1" ref="AA328" ca="1">IFERROR(INDEX(H_Tables!E:E,MATCH(INDIRECT("I"&amp;ROW()),H_Tables!F:F,0)),"")</f>
        <v/>
      </c>
      <c r="AB328" t="str" cm="1">
        <f t="array" aca="1" ref="AB328" ca="1">IFERROR(INDEX(H_Tables!H:H,MATCH(INDIRECT("k"&amp;ROW()),H_Tables!I:I,0)),"")</f>
        <v/>
      </c>
      <c r="AC328" t="str">
        <f t="shared" si="13"/>
        <v/>
      </c>
      <c r="AD328">
        <v>325</v>
      </c>
    </row>
    <row r="329" spans="13:30" ht="15" customHeight="1" x14ac:dyDescent="0.25">
      <c r="M329" t="s">
        <v>2474</v>
      </c>
      <c r="Z329" s="110">
        <f t="shared" si="12"/>
        <v>0</v>
      </c>
      <c r="AA329" t="str" cm="1">
        <f t="array" aca="1" ref="AA329" ca="1">IFERROR(INDEX(H_Tables!E:E,MATCH(INDIRECT("I"&amp;ROW()),H_Tables!F:F,0)),"")</f>
        <v/>
      </c>
      <c r="AB329" t="str" cm="1">
        <f t="array" aca="1" ref="AB329" ca="1">IFERROR(INDEX(H_Tables!H:H,MATCH(INDIRECT("k"&amp;ROW()),H_Tables!I:I,0)),"")</f>
        <v/>
      </c>
      <c r="AC329" t="str">
        <f t="shared" si="13"/>
        <v/>
      </c>
      <c r="AD329">
        <v>326</v>
      </c>
    </row>
    <row r="330" spans="13:30" ht="15" customHeight="1" x14ac:dyDescent="0.25">
      <c r="M330" t="s">
        <v>2474</v>
      </c>
      <c r="Z330" s="110">
        <f t="shared" si="12"/>
        <v>0</v>
      </c>
      <c r="AA330" t="str" cm="1">
        <f t="array" aca="1" ref="AA330" ca="1">IFERROR(INDEX(H_Tables!E:E,MATCH(INDIRECT("I"&amp;ROW()),H_Tables!F:F,0)),"")</f>
        <v/>
      </c>
      <c r="AB330" t="str" cm="1">
        <f t="array" aca="1" ref="AB330" ca="1">IFERROR(INDEX(H_Tables!H:H,MATCH(INDIRECT("k"&amp;ROW()),H_Tables!I:I,0)),"")</f>
        <v/>
      </c>
      <c r="AC330" t="str">
        <f t="shared" si="13"/>
        <v/>
      </c>
      <c r="AD330">
        <v>327</v>
      </c>
    </row>
    <row r="331" spans="13:30" ht="15" customHeight="1" x14ac:dyDescent="0.25">
      <c r="M331" t="s">
        <v>2474</v>
      </c>
      <c r="Z331" s="110">
        <f t="shared" si="12"/>
        <v>0</v>
      </c>
      <c r="AA331" t="str" cm="1">
        <f t="array" aca="1" ref="AA331" ca="1">IFERROR(INDEX(H_Tables!E:E,MATCH(INDIRECT("I"&amp;ROW()),H_Tables!F:F,0)),"")</f>
        <v/>
      </c>
      <c r="AB331" t="str" cm="1">
        <f t="array" aca="1" ref="AB331" ca="1">IFERROR(INDEX(H_Tables!H:H,MATCH(INDIRECT("k"&amp;ROW()),H_Tables!I:I,0)),"")</f>
        <v/>
      </c>
      <c r="AC331" t="str">
        <f t="shared" si="13"/>
        <v/>
      </c>
      <c r="AD331">
        <v>328</v>
      </c>
    </row>
    <row r="332" spans="13:30" ht="15" customHeight="1" x14ac:dyDescent="0.25">
      <c r="M332" t="s">
        <v>2474</v>
      </c>
      <c r="Z332" s="110">
        <f t="shared" si="12"/>
        <v>0</v>
      </c>
      <c r="AA332" t="str" cm="1">
        <f t="array" aca="1" ref="AA332" ca="1">IFERROR(INDEX(H_Tables!E:E,MATCH(INDIRECT("I"&amp;ROW()),H_Tables!F:F,0)),"")</f>
        <v/>
      </c>
      <c r="AB332" t="str" cm="1">
        <f t="array" aca="1" ref="AB332" ca="1">IFERROR(INDEX(H_Tables!H:H,MATCH(INDIRECT("k"&amp;ROW()),H_Tables!I:I,0)),"")</f>
        <v/>
      </c>
      <c r="AC332" t="str">
        <f t="shared" si="13"/>
        <v/>
      </c>
      <c r="AD332">
        <v>329</v>
      </c>
    </row>
    <row r="333" spans="13:30" ht="15" customHeight="1" x14ac:dyDescent="0.25">
      <c r="M333" t="s">
        <v>2474</v>
      </c>
      <c r="Z333" s="110">
        <f t="shared" si="12"/>
        <v>0</v>
      </c>
      <c r="AA333" t="str" cm="1">
        <f t="array" aca="1" ref="AA333" ca="1">IFERROR(INDEX(H_Tables!E:E,MATCH(INDIRECT("I"&amp;ROW()),H_Tables!F:F,0)),"")</f>
        <v/>
      </c>
      <c r="AB333" t="str" cm="1">
        <f t="array" aca="1" ref="AB333" ca="1">IFERROR(INDEX(H_Tables!H:H,MATCH(INDIRECT("k"&amp;ROW()),H_Tables!I:I,0)),"")</f>
        <v/>
      </c>
      <c r="AC333" t="str">
        <f t="shared" si="13"/>
        <v/>
      </c>
      <c r="AD333">
        <v>330</v>
      </c>
    </row>
    <row r="334" spans="13:30" ht="15" customHeight="1" x14ac:dyDescent="0.25">
      <c r="M334" t="s">
        <v>2474</v>
      </c>
      <c r="Z334" s="110">
        <f t="shared" si="12"/>
        <v>0</v>
      </c>
      <c r="AA334" t="str" cm="1">
        <f t="array" aca="1" ref="AA334" ca="1">IFERROR(INDEX(H_Tables!E:E,MATCH(INDIRECT("I"&amp;ROW()),H_Tables!F:F,0)),"")</f>
        <v/>
      </c>
      <c r="AB334" t="str" cm="1">
        <f t="array" aca="1" ref="AB334" ca="1">IFERROR(INDEX(H_Tables!H:H,MATCH(INDIRECT("k"&amp;ROW()),H_Tables!I:I,0)),"")</f>
        <v/>
      </c>
      <c r="AC334" t="str">
        <f t="shared" si="13"/>
        <v/>
      </c>
      <c r="AD334">
        <v>331</v>
      </c>
    </row>
    <row r="335" spans="13:30" ht="15" customHeight="1" x14ac:dyDescent="0.25">
      <c r="M335" t="s">
        <v>2474</v>
      </c>
      <c r="Z335" s="110">
        <f t="shared" si="12"/>
        <v>0</v>
      </c>
      <c r="AA335" t="str" cm="1">
        <f t="array" aca="1" ref="AA335" ca="1">IFERROR(INDEX(H_Tables!E:E,MATCH(INDIRECT("I"&amp;ROW()),H_Tables!F:F,0)),"")</f>
        <v/>
      </c>
      <c r="AB335" t="str" cm="1">
        <f t="array" aca="1" ref="AB335" ca="1">IFERROR(INDEX(H_Tables!H:H,MATCH(INDIRECT("k"&amp;ROW()),H_Tables!I:I,0)),"")</f>
        <v/>
      </c>
      <c r="AC335" t="str">
        <f t="shared" si="13"/>
        <v/>
      </c>
      <c r="AD335">
        <v>332</v>
      </c>
    </row>
    <row r="336" spans="13:30" ht="15" customHeight="1" x14ac:dyDescent="0.25">
      <c r="M336" t="s">
        <v>2474</v>
      </c>
      <c r="Z336" s="110">
        <f t="shared" si="12"/>
        <v>0</v>
      </c>
      <c r="AA336" t="str" cm="1">
        <f t="array" aca="1" ref="AA336" ca="1">IFERROR(INDEX(H_Tables!E:E,MATCH(INDIRECT("I"&amp;ROW()),H_Tables!F:F,0)),"")</f>
        <v/>
      </c>
      <c r="AB336" t="str" cm="1">
        <f t="array" aca="1" ref="AB336" ca="1">IFERROR(INDEX(H_Tables!H:H,MATCH(INDIRECT("k"&amp;ROW()),H_Tables!I:I,0)),"")</f>
        <v/>
      </c>
      <c r="AC336" t="str">
        <f t="shared" si="13"/>
        <v/>
      </c>
      <c r="AD336">
        <v>333</v>
      </c>
    </row>
    <row r="337" spans="13:30" ht="15" customHeight="1" x14ac:dyDescent="0.25">
      <c r="M337" t="s">
        <v>2474</v>
      </c>
      <c r="Z337" s="110">
        <f t="shared" si="12"/>
        <v>0</v>
      </c>
      <c r="AA337" t="str" cm="1">
        <f t="array" aca="1" ref="AA337" ca="1">IFERROR(INDEX(H_Tables!E:E,MATCH(INDIRECT("I"&amp;ROW()),H_Tables!F:F,0)),"")</f>
        <v/>
      </c>
      <c r="AB337" t="str" cm="1">
        <f t="array" aca="1" ref="AB337" ca="1">IFERROR(INDEX(H_Tables!H:H,MATCH(INDIRECT("k"&amp;ROW()),H_Tables!I:I,0)),"")</f>
        <v/>
      </c>
      <c r="AC337" t="str">
        <f t="shared" si="13"/>
        <v/>
      </c>
      <c r="AD337">
        <v>334</v>
      </c>
    </row>
    <row r="338" spans="13:30" ht="15" customHeight="1" x14ac:dyDescent="0.25">
      <c r="M338" t="s">
        <v>2474</v>
      </c>
      <c r="Z338" s="110">
        <f t="shared" si="12"/>
        <v>0</v>
      </c>
      <c r="AA338" t="str" cm="1">
        <f t="array" aca="1" ref="AA338" ca="1">IFERROR(INDEX(H_Tables!E:E,MATCH(INDIRECT("I"&amp;ROW()),H_Tables!F:F,0)),"")</f>
        <v/>
      </c>
      <c r="AB338" t="str" cm="1">
        <f t="array" aca="1" ref="AB338" ca="1">IFERROR(INDEX(H_Tables!H:H,MATCH(INDIRECT("k"&amp;ROW()),H_Tables!I:I,0)),"")</f>
        <v/>
      </c>
      <c r="AC338" t="str">
        <f t="shared" si="13"/>
        <v/>
      </c>
      <c r="AD338">
        <v>335</v>
      </c>
    </row>
    <row r="339" spans="13:30" ht="15" customHeight="1" x14ac:dyDescent="0.25">
      <c r="M339" t="s">
        <v>2474</v>
      </c>
      <c r="Z339" s="110">
        <f t="shared" si="12"/>
        <v>0</v>
      </c>
      <c r="AA339" t="str" cm="1">
        <f t="array" aca="1" ref="AA339" ca="1">IFERROR(INDEX(H_Tables!E:E,MATCH(INDIRECT("I"&amp;ROW()),H_Tables!F:F,0)),"")</f>
        <v/>
      </c>
      <c r="AB339" t="str" cm="1">
        <f t="array" aca="1" ref="AB339" ca="1">IFERROR(INDEX(H_Tables!H:H,MATCH(INDIRECT("k"&amp;ROW()),H_Tables!I:I,0)),"")</f>
        <v/>
      </c>
      <c r="AC339" t="str">
        <f t="shared" si="13"/>
        <v/>
      </c>
      <c r="AD339">
        <v>336</v>
      </c>
    </row>
    <row r="340" spans="13:30" ht="15" customHeight="1" x14ac:dyDescent="0.25">
      <c r="M340" t="s">
        <v>2474</v>
      </c>
      <c r="Z340" s="110">
        <f t="shared" si="12"/>
        <v>0</v>
      </c>
      <c r="AA340" t="str" cm="1">
        <f t="array" aca="1" ref="AA340" ca="1">IFERROR(INDEX(H_Tables!E:E,MATCH(INDIRECT("I"&amp;ROW()),H_Tables!F:F,0)),"")</f>
        <v/>
      </c>
      <c r="AB340" t="str" cm="1">
        <f t="array" aca="1" ref="AB340" ca="1">IFERROR(INDEX(H_Tables!H:H,MATCH(INDIRECT("k"&amp;ROW()),H_Tables!I:I,0)),"")</f>
        <v/>
      </c>
      <c r="AC340" t="str">
        <f t="shared" si="13"/>
        <v/>
      </c>
      <c r="AD340">
        <v>337</v>
      </c>
    </row>
    <row r="341" spans="13:30" ht="15" customHeight="1" x14ac:dyDescent="0.25">
      <c r="M341" t="s">
        <v>2474</v>
      </c>
      <c r="Z341" s="110">
        <f t="shared" si="12"/>
        <v>0</v>
      </c>
      <c r="AA341" t="str" cm="1">
        <f t="array" aca="1" ref="AA341" ca="1">IFERROR(INDEX(H_Tables!E:E,MATCH(INDIRECT("I"&amp;ROW()),H_Tables!F:F,0)),"")</f>
        <v/>
      </c>
      <c r="AB341" t="str" cm="1">
        <f t="array" aca="1" ref="AB341" ca="1">IFERROR(INDEX(H_Tables!H:H,MATCH(INDIRECT("k"&amp;ROW()),H_Tables!I:I,0)),"")</f>
        <v/>
      </c>
      <c r="AC341" t="str">
        <f t="shared" si="13"/>
        <v/>
      </c>
      <c r="AD341">
        <v>338</v>
      </c>
    </row>
    <row r="342" spans="13:30" ht="15" customHeight="1" x14ac:dyDescent="0.25">
      <c r="M342" t="s">
        <v>2474</v>
      </c>
      <c r="Z342" s="110">
        <f t="shared" si="12"/>
        <v>0</v>
      </c>
      <c r="AA342" t="str" cm="1">
        <f t="array" aca="1" ref="AA342" ca="1">IFERROR(INDEX(H_Tables!E:E,MATCH(INDIRECT("I"&amp;ROW()),H_Tables!F:F,0)),"")</f>
        <v/>
      </c>
      <c r="AB342" t="str" cm="1">
        <f t="array" aca="1" ref="AB342" ca="1">IFERROR(INDEX(H_Tables!H:H,MATCH(INDIRECT("k"&amp;ROW()),H_Tables!I:I,0)),"")</f>
        <v/>
      </c>
      <c r="AC342" t="str">
        <f t="shared" si="13"/>
        <v/>
      </c>
      <c r="AD342">
        <v>339</v>
      </c>
    </row>
    <row r="343" spans="13:30" ht="15" customHeight="1" x14ac:dyDescent="0.25">
      <c r="M343" t="s">
        <v>2474</v>
      </c>
      <c r="Z343" s="110">
        <f t="shared" si="12"/>
        <v>0</v>
      </c>
      <c r="AA343" t="str" cm="1">
        <f t="array" aca="1" ref="AA343" ca="1">IFERROR(INDEX(H_Tables!E:E,MATCH(INDIRECT("I"&amp;ROW()),H_Tables!F:F,0)),"")</f>
        <v/>
      </c>
      <c r="AB343" t="str" cm="1">
        <f t="array" aca="1" ref="AB343" ca="1">IFERROR(INDEX(H_Tables!H:H,MATCH(INDIRECT("k"&amp;ROW()),H_Tables!I:I,0)),"")</f>
        <v/>
      </c>
      <c r="AC343" t="str">
        <f t="shared" si="13"/>
        <v/>
      </c>
      <c r="AD343">
        <v>340</v>
      </c>
    </row>
    <row r="344" spans="13:30" ht="15" customHeight="1" x14ac:dyDescent="0.25">
      <c r="M344" t="s">
        <v>2474</v>
      </c>
      <c r="Z344" s="110">
        <f t="shared" si="12"/>
        <v>0</v>
      </c>
      <c r="AA344" t="str" cm="1">
        <f t="array" aca="1" ref="AA344" ca="1">IFERROR(INDEX(H_Tables!E:E,MATCH(INDIRECT("I"&amp;ROW()),H_Tables!F:F,0)),"")</f>
        <v/>
      </c>
      <c r="AB344" t="str" cm="1">
        <f t="array" aca="1" ref="AB344" ca="1">IFERROR(INDEX(H_Tables!H:H,MATCH(INDIRECT("k"&amp;ROW()),H_Tables!I:I,0)),"")</f>
        <v/>
      </c>
      <c r="AC344" t="str">
        <f t="shared" si="13"/>
        <v/>
      </c>
      <c r="AD344">
        <v>341</v>
      </c>
    </row>
    <row r="345" spans="13:30" ht="15" customHeight="1" x14ac:dyDescent="0.25">
      <c r="M345" t="s">
        <v>2474</v>
      </c>
      <c r="Z345" s="110">
        <f t="shared" si="12"/>
        <v>0</v>
      </c>
      <c r="AA345" t="str" cm="1">
        <f t="array" aca="1" ref="AA345" ca="1">IFERROR(INDEX(H_Tables!E:E,MATCH(INDIRECT("I"&amp;ROW()),H_Tables!F:F,0)),"")</f>
        <v/>
      </c>
      <c r="AB345" t="str" cm="1">
        <f t="array" aca="1" ref="AB345" ca="1">IFERROR(INDEX(H_Tables!H:H,MATCH(INDIRECT("k"&amp;ROW()),H_Tables!I:I,0)),"")</f>
        <v/>
      </c>
      <c r="AC345" t="str">
        <f t="shared" si="13"/>
        <v/>
      </c>
      <c r="AD345">
        <v>342</v>
      </c>
    </row>
    <row r="346" spans="13:30" ht="15" customHeight="1" x14ac:dyDescent="0.25">
      <c r="M346" t="s">
        <v>2474</v>
      </c>
      <c r="Z346" s="110">
        <f t="shared" si="12"/>
        <v>0</v>
      </c>
      <c r="AA346" t="str" cm="1">
        <f t="array" aca="1" ref="AA346" ca="1">IFERROR(INDEX(H_Tables!E:E,MATCH(INDIRECT("I"&amp;ROW()),H_Tables!F:F,0)),"")</f>
        <v/>
      </c>
      <c r="AB346" t="str" cm="1">
        <f t="array" aca="1" ref="AB346" ca="1">IFERROR(INDEX(H_Tables!H:H,MATCH(INDIRECT("k"&amp;ROW()),H_Tables!I:I,0)),"")</f>
        <v/>
      </c>
      <c r="AC346" t="str">
        <f t="shared" si="13"/>
        <v/>
      </c>
      <c r="AD346">
        <v>343</v>
      </c>
    </row>
    <row r="347" spans="13:30" ht="15" customHeight="1" x14ac:dyDescent="0.25">
      <c r="M347" t="s">
        <v>2474</v>
      </c>
      <c r="Z347" s="110">
        <f t="shared" si="12"/>
        <v>0</v>
      </c>
      <c r="AA347" t="str" cm="1">
        <f t="array" aca="1" ref="AA347" ca="1">IFERROR(INDEX(H_Tables!E:E,MATCH(INDIRECT("I"&amp;ROW()),H_Tables!F:F,0)),"")</f>
        <v/>
      </c>
      <c r="AB347" t="str" cm="1">
        <f t="array" aca="1" ref="AB347" ca="1">IFERROR(INDEX(H_Tables!H:H,MATCH(INDIRECT("k"&amp;ROW()),H_Tables!I:I,0)),"")</f>
        <v/>
      </c>
      <c r="AC347" t="str">
        <f t="shared" si="13"/>
        <v/>
      </c>
      <c r="AD347">
        <v>344</v>
      </c>
    </row>
    <row r="348" spans="13:30" ht="15" customHeight="1" x14ac:dyDescent="0.25">
      <c r="M348" t="s">
        <v>2474</v>
      </c>
      <c r="Z348" s="110">
        <f t="shared" si="12"/>
        <v>0</v>
      </c>
      <c r="AA348" t="str" cm="1">
        <f t="array" aca="1" ref="AA348" ca="1">IFERROR(INDEX(H_Tables!E:E,MATCH(INDIRECT("I"&amp;ROW()),H_Tables!F:F,0)),"")</f>
        <v/>
      </c>
      <c r="AB348" t="str" cm="1">
        <f t="array" aca="1" ref="AB348" ca="1">IFERROR(INDEX(H_Tables!H:H,MATCH(INDIRECT("k"&amp;ROW()),H_Tables!I:I,0)),"")</f>
        <v/>
      </c>
      <c r="AC348" t="str">
        <f t="shared" si="13"/>
        <v/>
      </c>
      <c r="AD348">
        <v>345</v>
      </c>
    </row>
    <row r="349" spans="13:30" ht="15" customHeight="1" x14ac:dyDescent="0.25">
      <c r="M349" t="s">
        <v>2474</v>
      </c>
      <c r="Z349" s="110">
        <f t="shared" si="12"/>
        <v>0</v>
      </c>
      <c r="AA349" t="str" cm="1">
        <f t="array" aca="1" ref="AA349" ca="1">IFERROR(INDEX(H_Tables!E:E,MATCH(INDIRECT("I"&amp;ROW()),H_Tables!F:F,0)),"")</f>
        <v/>
      </c>
      <c r="AB349" t="str" cm="1">
        <f t="array" aca="1" ref="AB349" ca="1">IFERROR(INDEX(H_Tables!H:H,MATCH(INDIRECT("k"&amp;ROW()),H_Tables!I:I,0)),"")</f>
        <v/>
      </c>
      <c r="AC349" t="str">
        <f t="shared" si="13"/>
        <v/>
      </c>
      <c r="AD349">
        <v>346</v>
      </c>
    </row>
    <row r="350" spans="13:30" ht="15" customHeight="1" x14ac:dyDescent="0.25">
      <c r="M350" t="s">
        <v>2474</v>
      </c>
      <c r="Z350" s="110">
        <f t="shared" si="12"/>
        <v>0</v>
      </c>
      <c r="AA350" t="str" cm="1">
        <f t="array" aca="1" ref="AA350" ca="1">IFERROR(INDEX(H_Tables!E:E,MATCH(INDIRECT("I"&amp;ROW()),H_Tables!F:F,0)),"")</f>
        <v/>
      </c>
      <c r="AB350" t="str" cm="1">
        <f t="array" aca="1" ref="AB350" ca="1">IFERROR(INDEX(H_Tables!H:H,MATCH(INDIRECT("k"&amp;ROW()),H_Tables!I:I,0)),"")</f>
        <v/>
      </c>
      <c r="AC350" t="str">
        <f t="shared" si="13"/>
        <v/>
      </c>
      <c r="AD350">
        <v>347</v>
      </c>
    </row>
    <row r="351" spans="13:30" ht="15" customHeight="1" x14ac:dyDescent="0.25">
      <c r="M351" t="s">
        <v>2474</v>
      </c>
      <c r="Z351" s="110">
        <f t="shared" si="12"/>
        <v>0</v>
      </c>
      <c r="AA351" t="str" cm="1">
        <f t="array" aca="1" ref="AA351" ca="1">IFERROR(INDEX(H_Tables!E:E,MATCH(INDIRECT("I"&amp;ROW()),H_Tables!F:F,0)),"")</f>
        <v/>
      </c>
      <c r="AB351" t="str" cm="1">
        <f t="array" aca="1" ref="AB351" ca="1">IFERROR(INDEX(H_Tables!H:H,MATCH(INDIRECT("k"&amp;ROW()),H_Tables!I:I,0)),"")</f>
        <v/>
      </c>
      <c r="AC351" t="str">
        <f t="shared" si="13"/>
        <v/>
      </c>
      <c r="AD351">
        <v>348</v>
      </c>
    </row>
    <row r="352" spans="13:30" ht="15" customHeight="1" x14ac:dyDescent="0.25">
      <c r="M352" t="s">
        <v>2474</v>
      </c>
      <c r="Z352" s="110">
        <f t="shared" si="12"/>
        <v>0</v>
      </c>
      <c r="AA352" t="str" cm="1">
        <f t="array" aca="1" ref="AA352" ca="1">IFERROR(INDEX(H_Tables!E:E,MATCH(INDIRECT("I"&amp;ROW()),H_Tables!F:F,0)),"")</f>
        <v/>
      </c>
      <c r="AB352" t="str" cm="1">
        <f t="array" aca="1" ref="AB352" ca="1">IFERROR(INDEX(H_Tables!H:H,MATCH(INDIRECT("k"&amp;ROW()),H_Tables!I:I,0)),"")</f>
        <v/>
      </c>
      <c r="AC352" t="str">
        <f t="shared" si="13"/>
        <v/>
      </c>
      <c r="AD352">
        <v>349</v>
      </c>
    </row>
    <row r="353" spans="13:30" ht="15" customHeight="1" x14ac:dyDescent="0.25">
      <c r="M353" t="s">
        <v>2474</v>
      </c>
      <c r="Z353" s="110">
        <f t="shared" si="12"/>
        <v>0</v>
      </c>
      <c r="AA353" t="str" cm="1">
        <f t="array" aca="1" ref="AA353" ca="1">IFERROR(INDEX(H_Tables!E:E,MATCH(INDIRECT("I"&amp;ROW()),H_Tables!F:F,0)),"")</f>
        <v/>
      </c>
      <c r="AB353" t="str" cm="1">
        <f t="array" aca="1" ref="AB353" ca="1">IFERROR(INDEX(H_Tables!H:H,MATCH(INDIRECT("k"&amp;ROW()),H_Tables!I:I,0)),"")</f>
        <v/>
      </c>
      <c r="AC353" t="str">
        <f t="shared" si="13"/>
        <v/>
      </c>
      <c r="AD353">
        <v>350</v>
      </c>
    </row>
    <row r="354" spans="13:30" ht="15" customHeight="1" x14ac:dyDescent="0.25">
      <c r="M354" t="s">
        <v>2474</v>
      </c>
      <c r="Z354" s="110">
        <f t="shared" si="12"/>
        <v>0</v>
      </c>
      <c r="AA354" t="str" cm="1">
        <f t="array" aca="1" ref="AA354" ca="1">IFERROR(INDEX(H_Tables!E:E,MATCH(INDIRECT("I"&amp;ROW()),H_Tables!F:F,0)),"")</f>
        <v/>
      </c>
      <c r="AB354" t="str" cm="1">
        <f t="array" aca="1" ref="AB354" ca="1">IFERROR(INDEX(H_Tables!H:H,MATCH(INDIRECT("k"&amp;ROW()),H_Tables!I:I,0)),"")</f>
        <v/>
      </c>
      <c r="AC354" t="str">
        <f t="shared" si="13"/>
        <v/>
      </c>
      <c r="AD354">
        <v>351</v>
      </c>
    </row>
    <row r="355" spans="13:30" ht="15" customHeight="1" x14ac:dyDescent="0.25">
      <c r="M355" t="s">
        <v>2474</v>
      </c>
      <c r="Z355" s="110">
        <f t="shared" si="12"/>
        <v>0</v>
      </c>
      <c r="AA355" t="str" cm="1">
        <f t="array" aca="1" ref="AA355" ca="1">IFERROR(INDEX(H_Tables!E:E,MATCH(INDIRECT("I"&amp;ROW()),H_Tables!F:F,0)),"")</f>
        <v/>
      </c>
      <c r="AB355" t="str" cm="1">
        <f t="array" aca="1" ref="AB355" ca="1">IFERROR(INDEX(H_Tables!H:H,MATCH(INDIRECT("k"&amp;ROW()),H_Tables!I:I,0)),"")</f>
        <v/>
      </c>
      <c r="AC355" t="str">
        <f t="shared" si="13"/>
        <v/>
      </c>
      <c r="AD355">
        <v>352</v>
      </c>
    </row>
    <row r="356" spans="13:30" ht="15" customHeight="1" x14ac:dyDescent="0.25">
      <c r="M356" t="s">
        <v>2474</v>
      </c>
      <c r="Z356" s="110">
        <f t="shared" si="12"/>
        <v>0</v>
      </c>
      <c r="AA356" t="str" cm="1">
        <f t="array" aca="1" ref="AA356" ca="1">IFERROR(INDEX(H_Tables!E:E,MATCH(INDIRECT("I"&amp;ROW()),H_Tables!F:F,0)),"")</f>
        <v/>
      </c>
      <c r="AB356" t="str" cm="1">
        <f t="array" aca="1" ref="AB356" ca="1">IFERROR(INDEX(H_Tables!H:H,MATCH(INDIRECT("k"&amp;ROW()),H_Tables!I:I,0)),"")</f>
        <v/>
      </c>
      <c r="AC356" t="str">
        <f t="shared" si="13"/>
        <v/>
      </c>
      <c r="AD356">
        <v>353</v>
      </c>
    </row>
    <row r="357" spans="13:30" ht="15" customHeight="1" x14ac:dyDescent="0.25">
      <c r="M357" t="s">
        <v>2474</v>
      </c>
      <c r="Z357" s="110">
        <f t="shared" si="12"/>
        <v>0</v>
      </c>
      <c r="AA357" t="str" cm="1">
        <f t="array" aca="1" ref="AA357" ca="1">IFERROR(INDEX(H_Tables!E:E,MATCH(INDIRECT("I"&amp;ROW()),H_Tables!F:F,0)),"")</f>
        <v/>
      </c>
      <c r="AB357" t="str" cm="1">
        <f t="array" aca="1" ref="AB357" ca="1">IFERROR(INDEX(H_Tables!H:H,MATCH(INDIRECT("k"&amp;ROW()),H_Tables!I:I,0)),"")</f>
        <v/>
      </c>
      <c r="AC357" t="str">
        <f t="shared" si="13"/>
        <v/>
      </c>
      <c r="AD357">
        <v>354</v>
      </c>
    </row>
    <row r="358" spans="13:30" ht="15" customHeight="1" x14ac:dyDescent="0.25">
      <c r="M358" t="s">
        <v>2474</v>
      </c>
      <c r="Z358" s="110">
        <f t="shared" si="12"/>
        <v>0</v>
      </c>
      <c r="AA358" t="str" cm="1">
        <f t="array" aca="1" ref="AA358" ca="1">IFERROR(INDEX(H_Tables!E:E,MATCH(INDIRECT("I"&amp;ROW()),H_Tables!F:F,0)),"")</f>
        <v/>
      </c>
      <c r="AB358" t="str" cm="1">
        <f t="array" aca="1" ref="AB358" ca="1">IFERROR(INDEX(H_Tables!H:H,MATCH(INDIRECT("k"&amp;ROW()),H_Tables!I:I,0)),"")</f>
        <v/>
      </c>
      <c r="AC358" t="str">
        <f t="shared" si="13"/>
        <v/>
      </c>
      <c r="AD358">
        <v>355</v>
      </c>
    </row>
    <row r="359" spans="13:30" ht="15" customHeight="1" x14ac:dyDescent="0.25">
      <c r="M359" t="s">
        <v>2474</v>
      </c>
      <c r="Z359" s="110">
        <f t="shared" si="12"/>
        <v>0</v>
      </c>
      <c r="AA359" t="str" cm="1">
        <f t="array" aca="1" ref="AA359" ca="1">IFERROR(INDEX(H_Tables!E:E,MATCH(INDIRECT("I"&amp;ROW()),H_Tables!F:F,0)),"")</f>
        <v/>
      </c>
      <c r="AB359" t="str" cm="1">
        <f t="array" aca="1" ref="AB359" ca="1">IFERROR(INDEX(H_Tables!H:H,MATCH(INDIRECT("k"&amp;ROW()),H_Tables!I:I,0)),"")</f>
        <v/>
      </c>
      <c r="AC359" t="str">
        <f t="shared" si="13"/>
        <v/>
      </c>
      <c r="AD359">
        <v>356</v>
      </c>
    </row>
    <row r="360" spans="13:30" ht="15" customHeight="1" x14ac:dyDescent="0.25">
      <c r="M360" t="s">
        <v>2474</v>
      </c>
      <c r="Z360" s="110">
        <f t="shared" si="12"/>
        <v>0</v>
      </c>
      <c r="AA360" t="str" cm="1">
        <f t="array" aca="1" ref="AA360" ca="1">IFERROR(INDEX(H_Tables!E:E,MATCH(INDIRECT("I"&amp;ROW()),H_Tables!F:F,0)),"")</f>
        <v/>
      </c>
      <c r="AB360" t="str" cm="1">
        <f t="array" aca="1" ref="AB360" ca="1">IFERROR(INDEX(H_Tables!H:H,MATCH(INDIRECT("k"&amp;ROW()),H_Tables!I:I,0)),"")</f>
        <v/>
      </c>
      <c r="AC360" t="str">
        <f t="shared" si="13"/>
        <v/>
      </c>
      <c r="AD360">
        <v>357</v>
      </c>
    </row>
    <row r="361" spans="13:30" ht="15" customHeight="1" x14ac:dyDescent="0.25">
      <c r="M361" t="s">
        <v>2474</v>
      </c>
      <c r="Z361" s="110">
        <f t="shared" si="12"/>
        <v>0</v>
      </c>
      <c r="AA361" t="str" cm="1">
        <f t="array" aca="1" ref="AA361" ca="1">IFERROR(INDEX(H_Tables!E:E,MATCH(INDIRECT("I"&amp;ROW()),H_Tables!F:F,0)),"")</f>
        <v/>
      </c>
      <c r="AB361" t="str" cm="1">
        <f t="array" aca="1" ref="AB361" ca="1">IFERROR(INDEX(H_Tables!H:H,MATCH(INDIRECT("k"&amp;ROW()),H_Tables!I:I,0)),"")</f>
        <v/>
      </c>
      <c r="AC361" t="str">
        <f t="shared" si="13"/>
        <v/>
      </c>
      <c r="AD361">
        <v>358</v>
      </c>
    </row>
    <row r="362" spans="13:30" ht="15" customHeight="1" x14ac:dyDescent="0.25">
      <c r="M362" t="s">
        <v>2474</v>
      </c>
      <c r="Z362" s="110">
        <f t="shared" si="12"/>
        <v>0</v>
      </c>
      <c r="AA362" t="str" cm="1">
        <f t="array" aca="1" ref="AA362" ca="1">IFERROR(INDEX(H_Tables!E:E,MATCH(INDIRECT("I"&amp;ROW()),H_Tables!F:F,0)),"")</f>
        <v/>
      </c>
      <c r="AB362" t="str" cm="1">
        <f t="array" aca="1" ref="AB362" ca="1">IFERROR(INDEX(H_Tables!H:H,MATCH(INDIRECT("k"&amp;ROW()),H_Tables!I:I,0)),"")</f>
        <v/>
      </c>
      <c r="AC362" t="str">
        <f t="shared" si="13"/>
        <v/>
      </c>
      <c r="AD362">
        <v>359</v>
      </c>
    </row>
    <row r="363" spans="13:30" ht="15" customHeight="1" x14ac:dyDescent="0.25">
      <c r="M363" t="s">
        <v>2474</v>
      </c>
      <c r="Z363" s="110">
        <f t="shared" si="12"/>
        <v>0</v>
      </c>
      <c r="AA363" t="str" cm="1">
        <f t="array" aca="1" ref="AA363" ca="1">IFERROR(INDEX(H_Tables!E:E,MATCH(INDIRECT("I"&amp;ROW()),H_Tables!F:F,0)),"")</f>
        <v/>
      </c>
      <c r="AB363" t="str" cm="1">
        <f t="array" aca="1" ref="AB363" ca="1">IFERROR(INDEX(H_Tables!H:H,MATCH(INDIRECT("k"&amp;ROW()),H_Tables!I:I,0)),"")</f>
        <v/>
      </c>
      <c r="AC363" t="str">
        <f t="shared" si="13"/>
        <v/>
      </c>
      <c r="AD363">
        <v>360</v>
      </c>
    </row>
    <row r="364" spans="13:30" ht="15" customHeight="1" x14ac:dyDescent="0.25">
      <c r="M364" t="s">
        <v>2474</v>
      </c>
      <c r="Z364" s="110">
        <f t="shared" si="12"/>
        <v>0</v>
      </c>
      <c r="AA364" t="str" cm="1">
        <f t="array" aca="1" ref="AA364" ca="1">IFERROR(INDEX(H_Tables!E:E,MATCH(INDIRECT("I"&amp;ROW()),H_Tables!F:F,0)),"")</f>
        <v/>
      </c>
      <c r="AB364" t="str" cm="1">
        <f t="array" aca="1" ref="AB364" ca="1">IFERROR(INDEX(H_Tables!H:H,MATCH(INDIRECT("k"&amp;ROW()),H_Tables!I:I,0)),"")</f>
        <v/>
      </c>
      <c r="AC364" t="str">
        <f t="shared" si="13"/>
        <v/>
      </c>
      <c r="AD364">
        <v>361</v>
      </c>
    </row>
    <row r="365" spans="13:30" ht="15" customHeight="1" x14ac:dyDescent="0.25">
      <c r="M365" t="s">
        <v>2474</v>
      </c>
      <c r="Z365" s="110">
        <f t="shared" si="12"/>
        <v>0</v>
      </c>
      <c r="AA365" t="str" cm="1">
        <f t="array" aca="1" ref="AA365" ca="1">IFERROR(INDEX(H_Tables!E:E,MATCH(INDIRECT("I"&amp;ROW()),H_Tables!F:F,0)),"")</f>
        <v/>
      </c>
      <c r="AB365" t="str" cm="1">
        <f t="array" aca="1" ref="AB365" ca="1">IFERROR(INDEX(H_Tables!H:H,MATCH(INDIRECT("k"&amp;ROW()),H_Tables!I:I,0)),"")</f>
        <v/>
      </c>
      <c r="AC365" t="str">
        <f t="shared" si="13"/>
        <v/>
      </c>
      <c r="AD365">
        <v>362</v>
      </c>
    </row>
    <row r="366" spans="13:30" ht="15" customHeight="1" x14ac:dyDescent="0.25">
      <c r="M366" t="s">
        <v>2474</v>
      </c>
      <c r="Z366" s="110">
        <f t="shared" si="12"/>
        <v>0</v>
      </c>
      <c r="AA366" t="str" cm="1">
        <f t="array" aca="1" ref="AA366" ca="1">IFERROR(INDEX(H_Tables!E:E,MATCH(INDIRECT("I"&amp;ROW()),H_Tables!F:F,0)),"")</f>
        <v/>
      </c>
      <c r="AB366" t="str" cm="1">
        <f t="array" aca="1" ref="AB366" ca="1">IFERROR(INDEX(H_Tables!H:H,MATCH(INDIRECT("k"&amp;ROW()),H_Tables!I:I,0)),"")</f>
        <v/>
      </c>
      <c r="AC366" t="str">
        <f t="shared" si="13"/>
        <v/>
      </c>
      <c r="AD366">
        <v>363</v>
      </c>
    </row>
    <row r="367" spans="13:30" ht="15" customHeight="1" x14ac:dyDescent="0.25">
      <c r="M367" t="s">
        <v>2474</v>
      </c>
      <c r="Z367" s="110">
        <f t="shared" si="12"/>
        <v>0</v>
      </c>
      <c r="AA367" t="str" cm="1">
        <f t="array" aca="1" ref="AA367" ca="1">IFERROR(INDEX(H_Tables!E:E,MATCH(INDIRECT("I"&amp;ROW()),H_Tables!F:F,0)),"")</f>
        <v/>
      </c>
      <c r="AB367" t="str" cm="1">
        <f t="array" aca="1" ref="AB367" ca="1">IFERROR(INDEX(H_Tables!H:H,MATCH(INDIRECT("k"&amp;ROW()),H_Tables!I:I,0)),"")</f>
        <v/>
      </c>
      <c r="AC367" t="str">
        <f t="shared" si="13"/>
        <v/>
      </c>
      <c r="AD367">
        <v>364</v>
      </c>
    </row>
    <row r="368" spans="13:30" ht="15" customHeight="1" x14ac:dyDescent="0.25">
      <c r="M368" t="s">
        <v>2474</v>
      </c>
      <c r="Z368" s="110">
        <f t="shared" si="12"/>
        <v>0</v>
      </c>
      <c r="AA368" t="str" cm="1">
        <f t="array" aca="1" ref="AA368" ca="1">IFERROR(INDEX(H_Tables!E:E,MATCH(INDIRECT("I"&amp;ROW()),H_Tables!F:F,0)),"")</f>
        <v/>
      </c>
      <c r="AB368" t="str" cm="1">
        <f t="array" aca="1" ref="AB368" ca="1">IFERROR(INDEX(H_Tables!H:H,MATCH(INDIRECT("k"&amp;ROW()),H_Tables!I:I,0)),"")</f>
        <v/>
      </c>
      <c r="AC368" t="str">
        <f t="shared" si="13"/>
        <v/>
      </c>
      <c r="AD368">
        <v>365</v>
      </c>
    </row>
    <row r="369" spans="13:30" ht="15" customHeight="1" x14ac:dyDescent="0.25">
      <c r="M369" t="s">
        <v>2474</v>
      </c>
      <c r="Z369" s="110">
        <f t="shared" si="12"/>
        <v>0</v>
      </c>
      <c r="AA369" t="str" cm="1">
        <f t="array" aca="1" ref="AA369" ca="1">IFERROR(INDEX(H_Tables!E:E,MATCH(INDIRECT("I"&amp;ROW()),H_Tables!F:F,0)),"")</f>
        <v/>
      </c>
      <c r="AB369" t="str" cm="1">
        <f t="array" aca="1" ref="AB369" ca="1">IFERROR(INDEX(H_Tables!H:H,MATCH(INDIRECT("k"&amp;ROW()),H_Tables!I:I,0)),"")</f>
        <v/>
      </c>
      <c r="AC369" t="str">
        <f t="shared" si="13"/>
        <v/>
      </c>
      <c r="AD369">
        <v>366</v>
      </c>
    </row>
    <row r="370" spans="13:30" ht="15" customHeight="1" x14ac:dyDescent="0.25">
      <c r="M370" t="s">
        <v>2474</v>
      </c>
      <c r="Z370" s="110">
        <f t="shared" si="12"/>
        <v>0</v>
      </c>
      <c r="AA370" t="str" cm="1">
        <f t="array" aca="1" ref="AA370" ca="1">IFERROR(INDEX(H_Tables!E:E,MATCH(INDIRECT("I"&amp;ROW()),H_Tables!F:F,0)),"")</f>
        <v/>
      </c>
      <c r="AB370" t="str" cm="1">
        <f t="array" aca="1" ref="AB370" ca="1">IFERROR(INDEX(H_Tables!H:H,MATCH(INDIRECT("k"&amp;ROW()),H_Tables!I:I,0)),"")</f>
        <v/>
      </c>
      <c r="AC370" t="str">
        <f t="shared" si="13"/>
        <v/>
      </c>
      <c r="AD370">
        <v>367</v>
      </c>
    </row>
    <row r="371" spans="13:30" ht="15" customHeight="1" x14ac:dyDescent="0.25">
      <c r="M371" t="s">
        <v>2474</v>
      </c>
      <c r="Z371" s="110">
        <f t="shared" si="12"/>
        <v>0</v>
      </c>
      <c r="AA371" t="str" cm="1">
        <f t="array" aca="1" ref="AA371" ca="1">IFERROR(INDEX(H_Tables!E:E,MATCH(INDIRECT("I"&amp;ROW()),H_Tables!F:F,0)),"")</f>
        <v/>
      </c>
      <c r="AB371" t="str" cm="1">
        <f t="array" aca="1" ref="AB371" ca="1">IFERROR(INDEX(H_Tables!H:H,MATCH(INDIRECT("k"&amp;ROW()),H_Tables!I:I,0)),"")</f>
        <v/>
      </c>
      <c r="AC371" t="str">
        <f t="shared" si="13"/>
        <v/>
      </c>
      <c r="AD371">
        <v>368</v>
      </c>
    </row>
    <row r="372" spans="13:30" ht="15" customHeight="1" x14ac:dyDescent="0.25">
      <c r="M372" t="s">
        <v>2474</v>
      </c>
      <c r="Z372" s="110">
        <f t="shared" si="12"/>
        <v>0</v>
      </c>
      <c r="AA372" t="str" cm="1">
        <f t="array" aca="1" ref="AA372" ca="1">IFERROR(INDEX(H_Tables!E:E,MATCH(INDIRECT("I"&amp;ROW()),H_Tables!F:F,0)),"")</f>
        <v/>
      </c>
      <c r="AB372" t="str" cm="1">
        <f t="array" aca="1" ref="AB372" ca="1">IFERROR(INDEX(H_Tables!H:H,MATCH(INDIRECT("k"&amp;ROW()),H_Tables!I:I,0)),"")</f>
        <v/>
      </c>
      <c r="AC372" t="str">
        <f t="shared" si="13"/>
        <v/>
      </c>
      <c r="AD372">
        <v>369</v>
      </c>
    </row>
    <row r="373" spans="13:30" ht="15" customHeight="1" x14ac:dyDescent="0.25">
      <c r="M373" t="s">
        <v>2474</v>
      </c>
      <c r="Z373" s="110">
        <f t="shared" si="12"/>
        <v>0</v>
      </c>
      <c r="AA373" t="str" cm="1">
        <f t="array" aca="1" ref="AA373" ca="1">IFERROR(INDEX(H_Tables!E:E,MATCH(INDIRECT("I"&amp;ROW()),H_Tables!F:F,0)),"")</f>
        <v/>
      </c>
      <c r="AB373" t="str" cm="1">
        <f t="array" aca="1" ref="AB373" ca="1">IFERROR(INDEX(H_Tables!H:H,MATCH(INDIRECT("k"&amp;ROW()),H_Tables!I:I,0)),"")</f>
        <v/>
      </c>
      <c r="AC373" t="str">
        <f t="shared" si="13"/>
        <v/>
      </c>
      <c r="AD373">
        <v>370</v>
      </c>
    </row>
    <row r="374" spans="13:30" ht="15" customHeight="1" x14ac:dyDescent="0.25">
      <c r="M374" t="s">
        <v>2474</v>
      </c>
      <c r="Z374" s="110">
        <f t="shared" si="12"/>
        <v>0</v>
      </c>
      <c r="AA374" t="str" cm="1">
        <f t="array" aca="1" ref="AA374" ca="1">IFERROR(INDEX(H_Tables!E:E,MATCH(INDIRECT("I"&amp;ROW()),H_Tables!F:F,0)),"")</f>
        <v/>
      </c>
      <c r="AB374" t="str" cm="1">
        <f t="array" aca="1" ref="AB374" ca="1">IFERROR(INDEX(H_Tables!H:H,MATCH(INDIRECT("k"&amp;ROW()),H_Tables!I:I,0)),"")</f>
        <v/>
      </c>
      <c r="AC374" t="str">
        <f t="shared" si="13"/>
        <v/>
      </c>
      <c r="AD374">
        <v>371</v>
      </c>
    </row>
    <row r="375" spans="13:30" ht="15" customHeight="1" x14ac:dyDescent="0.25">
      <c r="M375" t="s">
        <v>2474</v>
      </c>
      <c r="Z375" s="110">
        <f t="shared" si="12"/>
        <v>0</v>
      </c>
      <c r="AA375" t="str" cm="1">
        <f t="array" aca="1" ref="AA375" ca="1">IFERROR(INDEX(H_Tables!E:E,MATCH(INDIRECT("I"&amp;ROW()),H_Tables!F:F,0)),"")</f>
        <v/>
      </c>
      <c r="AB375" t="str" cm="1">
        <f t="array" aca="1" ref="AB375" ca="1">IFERROR(INDEX(H_Tables!H:H,MATCH(INDIRECT("k"&amp;ROW()),H_Tables!I:I,0)),"")</f>
        <v/>
      </c>
      <c r="AC375" t="str">
        <f t="shared" si="13"/>
        <v/>
      </c>
      <c r="AD375">
        <v>372</v>
      </c>
    </row>
    <row r="376" spans="13:30" ht="15" customHeight="1" x14ac:dyDescent="0.25">
      <c r="M376" t="s">
        <v>2474</v>
      </c>
      <c r="Z376" s="110">
        <f t="shared" si="12"/>
        <v>0</v>
      </c>
      <c r="AA376" t="str" cm="1">
        <f t="array" aca="1" ref="AA376" ca="1">IFERROR(INDEX(H_Tables!E:E,MATCH(INDIRECT("I"&amp;ROW()),H_Tables!F:F,0)),"")</f>
        <v/>
      </c>
      <c r="AB376" t="str" cm="1">
        <f t="array" aca="1" ref="AB376" ca="1">IFERROR(INDEX(H_Tables!H:H,MATCH(INDIRECT("k"&amp;ROW()),H_Tables!I:I,0)),"")</f>
        <v/>
      </c>
      <c r="AC376" t="str">
        <f t="shared" si="13"/>
        <v/>
      </c>
      <c r="AD376">
        <v>373</v>
      </c>
    </row>
    <row r="377" spans="13:30" ht="15" customHeight="1" x14ac:dyDescent="0.25">
      <c r="M377" t="s">
        <v>2474</v>
      </c>
      <c r="Z377" s="110">
        <f t="shared" si="12"/>
        <v>0</v>
      </c>
      <c r="AA377" t="str" cm="1">
        <f t="array" aca="1" ref="AA377" ca="1">IFERROR(INDEX(H_Tables!E:E,MATCH(INDIRECT("I"&amp;ROW()),H_Tables!F:F,0)),"")</f>
        <v/>
      </c>
      <c r="AB377" t="str" cm="1">
        <f t="array" aca="1" ref="AB377" ca="1">IFERROR(INDEX(H_Tables!H:H,MATCH(INDIRECT("k"&amp;ROW()),H_Tables!I:I,0)),"")</f>
        <v/>
      </c>
      <c r="AC377" t="str">
        <f t="shared" si="13"/>
        <v/>
      </c>
      <c r="AD377">
        <v>374</v>
      </c>
    </row>
    <row r="378" spans="13:30" ht="15" customHeight="1" x14ac:dyDescent="0.25">
      <c r="M378" t="s">
        <v>2474</v>
      </c>
      <c r="Z378" s="110">
        <f t="shared" si="12"/>
        <v>0</v>
      </c>
      <c r="AA378" t="str" cm="1">
        <f t="array" aca="1" ref="AA378" ca="1">IFERROR(INDEX(H_Tables!E:E,MATCH(INDIRECT("I"&amp;ROW()),H_Tables!F:F,0)),"")</f>
        <v/>
      </c>
      <c r="AB378" t="str" cm="1">
        <f t="array" aca="1" ref="AB378" ca="1">IFERROR(INDEX(H_Tables!H:H,MATCH(INDIRECT("k"&amp;ROW()),H_Tables!I:I,0)),"")</f>
        <v/>
      </c>
      <c r="AC378" t="str">
        <f t="shared" si="13"/>
        <v/>
      </c>
      <c r="AD378">
        <v>375</v>
      </c>
    </row>
    <row r="379" spans="13:30" ht="15" customHeight="1" x14ac:dyDescent="0.25">
      <c r="M379" t="s">
        <v>2474</v>
      </c>
      <c r="Z379" s="110">
        <f t="shared" si="12"/>
        <v>0</v>
      </c>
      <c r="AA379" t="str" cm="1">
        <f t="array" aca="1" ref="AA379" ca="1">IFERROR(INDEX(H_Tables!E:E,MATCH(INDIRECT("I"&amp;ROW()),H_Tables!F:F,0)),"")</f>
        <v/>
      </c>
      <c r="AB379" t="str" cm="1">
        <f t="array" aca="1" ref="AB379" ca="1">IFERROR(INDEX(H_Tables!H:H,MATCH(INDIRECT("k"&amp;ROW()),H_Tables!I:I,0)),"")</f>
        <v/>
      </c>
      <c r="AC379" t="str">
        <f t="shared" si="13"/>
        <v/>
      </c>
      <c r="AD379">
        <v>376</v>
      </c>
    </row>
    <row r="380" spans="13:30" ht="15" customHeight="1" x14ac:dyDescent="0.25">
      <c r="M380" t="s">
        <v>2474</v>
      </c>
      <c r="Z380" s="110">
        <f t="shared" si="12"/>
        <v>0</v>
      </c>
      <c r="AA380" t="str" cm="1">
        <f t="array" aca="1" ref="AA380" ca="1">IFERROR(INDEX(H_Tables!E:E,MATCH(INDIRECT("I"&amp;ROW()),H_Tables!F:F,0)),"")</f>
        <v/>
      </c>
      <c r="AB380" t="str" cm="1">
        <f t="array" aca="1" ref="AB380" ca="1">IFERROR(INDEX(H_Tables!H:H,MATCH(INDIRECT("k"&amp;ROW()),H_Tables!I:I,0)),"")</f>
        <v/>
      </c>
      <c r="AC380" t="str">
        <f t="shared" si="13"/>
        <v/>
      </c>
      <c r="AD380">
        <v>377</v>
      </c>
    </row>
    <row r="381" spans="13:30" ht="15" customHeight="1" x14ac:dyDescent="0.25">
      <c r="M381" t="s">
        <v>2474</v>
      </c>
      <c r="Z381" s="110">
        <f t="shared" si="12"/>
        <v>0</v>
      </c>
      <c r="AA381" t="str" cm="1">
        <f t="array" aca="1" ref="AA381" ca="1">IFERROR(INDEX(H_Tables!E:E,MATCH(INDIRECT("I"&amp;ROW()),H_Tables!F:F,0)),"")</f>
        <v/>
      </c>
      <c r="AB381" t="str" cm="1">
        <f t="array" aca="1" ref="AB381" ca="1">IFERROR(INDEX(H_Tables!H:H,MATCH(INDIRECT("k"&amp;ROW()),H_Tables!I:I,0)),"")</f>
        <v/>
      </c>
      <c r="AC381" t="str">
        <f t="shared" si="13"/>
        <v/>
      </c>
      <c r="AD381">
        <v>378</v>
      </c>
    </row>
    <row r="382" spans="13:30" ht="15" customHeight="1" x14ac:dyDescent="0.25">
      <c r="M382" t="s">
        <v>2474</v>
      </c>
      <c r="Z382" s="110">
        <f t="shared" si="12"/>
        <v>0</v>
      </c>
      <c r="AA382" t="str" cm="1">
        <f t="array" aca="1" ref="AA382" ca="1">IFERROR(INDEX(H_Tables!E:E,MATCH(INDIRECT("I"&amp;ROW()),H_Tables!F:F,0)),"")</f>
        <v/>
      </c>
      <c r="AB382" t="str" cm="1">
        <f t="array" aca="1" ref="AB382" ca="1">IFERROR(INDEX(H_Tables!H:H,MATCH(INDIRECT("k"&amp;ROW()),H_Tables!I:I,0)),"")</f>
        <v/>
      </c>
      <c r="AC382" t="str">
        <f t="shared" si="13"/>
        <v/>
      </c>
      <c r="AD382">
        <v>379</v>
      </c>
    </row>
    <row r="383" spans="13:30" ht="15" customHeight="1" x14ac:dyDescent="0.25">
      <c r="M383" t="s">
        <v>2474</v>
      </c>
      <c r="Z383" s="110">
        <f t="shared" si="12"/>
        <v>0</v>
      </c>
      <c r="AA383" t="str" cm="1">
        <f t="array" aca="1" ref="AA383" ca="1">IFERROR(INDEX(H_Tables!E:E,MATCH(INDIRECT("I"&amp;ROW()),H_Tables!F:F,0)),"")</f>
        <v/>
      </c>
      <c r="AB383" t="str" cm="1">
        <f t="array" aca="1" ref="AB383" ca="1">IFERROR(INDEX(H_Tables!H:H,MATCH(INDIRECT("k"&amp;ROW()),H_Tables!I:I,0)),"")</f>
        <v/>
      </c>
      <c r="AC383" t="str">
        <f t="shared" si="13"/>
        <v/>
      </c>
      <c r="AD383">
        <v>380</v>
      </c>
    </row>
    <row r="384" spans="13:30" ht="15" customHeight="1" x14ac:dyDescent="0.25">
      <c r="M384" t="s">
        <v>2474</v>
      </c>
      <c r="Z384" s="110">
        <f t="shared" si="12"/>
        <v>0</v>
      </c>
      <c r="AA384" t="str" cm="1">
        <f t="array" aca="1" ref="AA384" ca="1">IFERROR(INDEX(H_Tables!E:E,MATCH(INDIRECT("I"&amp;ROW()),H_Tables!F:F,0)),"")</f>
        <v/>
      </c>
      <c r="AB384" t="str" cm="1">
        <f t="array" aca="1" ref="AB384" ca="1">IFERROR(INDEX(H_Tables!H:H,MATCH(INDIRECT("k"&amp;ROW()),H_Tables!I:I,0)),"")</f>
        <v/>
      </c>
      <c r="AC384" t="str">
        <f t="shared" si="13"/>
        <v/>
      </c>
      <c r="AD384">
        <v>381</v>
      </c>
    </row>
    <row r="385" spans="13:30" ht="15" customHeight="1" x14ac:dyDescent="0.25">
      <c r="M385" t="s">
        <v>2474</v>
      </c>
      <c r="Z385" s="110">
        <f t="shared" si="12"/>
        <v>0</v>
      </c>
      <c r="AA385" t="str" cm="1">
        <f t="array" aca="1" ref="AA385" ca="1">IFERROR(INDEX(H_Tables!E:E,MATCH(INDIRECT("I"&amp;ROW()),H_Tables!F:F,0)),"")</f>
        <v/>
      </c>
      <c r="AB385" t="str" cm="1">
        <f t="array" aca="1" ref="AB385" ca="1">IFERROR(INDEX(H_Tables!H:H,MATCH(INDIRECT("k"&amp;ROW()),H_Tables!I:I,0)),"")</f>
        <v/>
      </c>
      <c r="AC385" t="str">
        <f t="shared" si="13"/>
        <v/>
      </c>
      <c r="AD385">
        <v>382</v>
      </c>
    </row>
    <row r="386" spans="13:30" ht="15" customHeight="1" x14ac:dyDescent="0.25">
      <c r="M386" t="s">
        <v>2474</v>
      </c>
      <c r="Z386" s="110">
        <f t="shared" ref="Z386:Z449" si="14">ROUND(IF((F386+G386)=0,0,S386/Y386),4)</f>
        <v>0</v>
      </c>
      <c r="AA386" t="str" cm="1">
        <f t="array" aca="1" ref="AA386" ca="1">IFERROR(INDEX(H_Tables!E:E,MATCH(INDIRECT("I"&amp;ROW()),H_Tables!F:F,0)),"")</f>
        <v/>
      </c>
      <c r="AB386" t="str" cm="1">
        <f t="array" aca="1" ref="AB386" ca="1">IFERROR(INDEX(H_Tables!H:H,MATCH(INDIRECT("k"&amp;ROW()),H_Tables!I:I,0)),"")</f>
        <v/>
      </c>
      <c r="AC386" t="str">
        <f t="shared" si="13"/>
        <v/>
      </c>
      <c r="AD386">
        <v>383</v>
      </c>
    </row>
    <row r="387" spans="13:30" ht="15" customHeight="1" x14ac:dyDescent="0.25">
      <c r="M387" t="s">
        <v>2474</v>
      </c>
      <c r="Z387" s="110">
        <f t="shared" si="14"/>
        <v>0</v>
      </c>
      <c r="AA387" t="str" cm="1">
        <f t="array" aca="1" ref="AA387" ca="1">IFERROR(INDEX(H_Tables!E:E,MATCH(INDIRECT("I"&amp;ROW()),H_Tables!F:F,0)),"")</f>
        <v/>
      </c>
      <c r="AB387" t="str" cm="1">
        <f t="array" aca="1" ref="AB387" ca="1">IFERROR(INDEX(H_Tables!H:H,MATCH(INDIRECT("k"&amp;ROW()),H_Tables!I:I,0)),"")</f>
        <v/>
      </c>
      <c r="AC387" t="str">
        <f t="shared" si="13"/>
        <v/>
      </c>
      <c r="AD387">
        <v>384</v>
      </c>
    </row>
    <row r="388" spans="13:30" ht="15" customHeight="1" x14ac:dyDescent="0.25">
      <c r="M388" t="s">
        <v>2474</v>
      </c>
      <c r="Z388" s="110">
        <f t="shared" si="14"/>
        <v>0</v>
      </c>
      <c r="AA388" t="str" cm="1">
        <f t="array" aca="1" ref="AA388" ca="1">IFERROR(INDEX(H_Tables!E:E,MATCH(INDIRECT("I"&amp;ROW()),H_Tables!F:F,0)),"")</f>
        <v/>
      </c>
      <c r="AB388" t="str" cm="1">
        <f t="array" aca="1" ref="AB388" ca="1">IFERROR(INDEX(H_Tables!H:H,MATCH(INDIRECT("k"&amp;ROW()),H_Tables!I:I,0)),"")</f>
        <v/>
      </c>
      <c r="AC388" t="str">
        <f t="shared" ref="AC388:AC451" si="15">_xlfn.TEXTJOIN(",",TRUE,M388:P388)</f>
        <v/>
      </c>
      <c r="AD388">
        <v>385</v>
      </c>
    </row>
    <row r="389" spans="13:30" ht="15" customHeight="1" x14ac:dyDescent="0.25">
      <c r="M389" t="s">
        <v>2474</v>
      </c>
      <c r="Z389" s="110">
        <f t="shared" si="14"/>
        <v>0</v>
      </c>
      <c r="AA389" t="str" cm="1">
        <f t="array" aca="1" ref="AA389" ca="1">IFERROR(INDEX(H_Tables!E:E,MATCH(INDIRECT("I"&amp;ROW()),H_Tables!F:F,0)),"")</f>
        <v/>
      </c>
      <c r="AB389" t="str" cm="1">
        <f t="array" aca="1" ref="AB389" ca="1">IFERROR(INDEX(H_Tables!H:H,MATCH(INDIRECT("k"&amp;ROW()),H_Tables!I:I,0)),"")</f>
        <v/>
      </c>
      <c r="AC389" t="str">
        <f t="shared" si="15"/>
        <v/>
      </c>
      <c r="AD389">
        <v>386</v>
      </c>
    </row>
    <row r="390" spans="13:30" ht="15" customHeight="1" x14ac:dyDescent="0.25">
      <c r="M390" t="s">
        <v>2474</v>
      </c>
      <c r="Z390" s="110">
        <f t="shared" si="14"/>
        <v>0</v>
      </c>
      <c r="AA390" t="str" cm="1">
        <f t="array" aca="1" ref="AA390" ca="1">IFERROR(INDEX(H_Tables!E:E,MATCH(INDIRECT("I"&amp;ROW()),H_Tables!F:F,0)),"")</f>
        <v/>
      </c>
      <c r="AB390" t="str" cm="1">
        <f t="array" aca="1" ref="AB390" ca="1">IFERROR(INDEX(H_Tables!H:H,MATCH(INDIRECT("k"&amp;ROW()),H_Tables!I:I,0)),"")</f>
        <v/>
      </c>
      <c r="AC390" t="str">
        <f t="shared" si="15"/>
        <v/>
      </c>
      <c r="AD390">
        <v>387</v>
      </c>
    </row>
    <row r="391" spans="13:30" ht="15" customHeight="1" x14ac:dyDescent="0.25">
      <c r="M391" t="s">
        <v>2474</v>
      </c>
      <c r="Z391" s="110">
        <f t="shared" si="14"/>
        <v>0</v>
      </c>
      <c r="AA391" t="str" cm="1">
        <f t="array" aca="1" ref="AA391" ca="1">IFERROR(INDEX(H_Tables!E:E,MATCH(INDIRECT("I"&amp;ROW()),H_Tables!F:F,0)),"")</f>
        <v/>
      </c>
      <c r="AB391" t="str" cm="1">
        <f t="array" aca="1" ref="AB391" ca="1">IFERROR(INDEX(H_Tables!H:H,MATCH(INDIRECT("k"&amp;ROW()),H_Tables!I:I,0)),"")</f>
        <v/>
      </c>
      <c r="AC391" t="str">
        <f t="shared" si="15"/>
        <v/>
      </c>
      <c r="AD391">
        <v>388</v>
      </c>
    </row>
    <row r="392" spans="13:30" ht="15" customHeight="1" x14ac:dyDescent="0.25">
      <c r="M392" t="s">
        <v>2474</v>
      </c>
      <c r="Z392" s="110">
        <f t="shared" si="14"/>
        <v>0</v>
      </c>
      <c r="AA392" t="str" cm="1">
        <f t="array" aca="1" ref="AA392" ca="1">IFERROR(INDEX(H_Tables!E:E,MATCH(INDIRECT("I"&amp;ROW()),H_Tables!F:F,0)),"")</f>
        <v/>
      </c>
      <c r="AB392" t="str" cm="1">
        <f t="array" aca="1" ref="AB392" ca="1">IFERROR(INDEX(H_Tables!H:H,MATCH(INDIRECT("k"&amp;ROW()),H_Tables!I:I,0)),"")</f>
        <v/>
      </c>
      <c r="AC392" t="str">
        <f t="shared" si="15"/>
        <v/>
      </c>
      <c r="AD392">
        <v>389</v>
      </c>
    </row>
    <row r="393" spans="13:30" ht="15" customHeight="1" x14ac:dyDescent="0.25">
      <c r="M393" t="s">
        <v>2474</v>
      </c>
      <c r="Z393" s="110">
        <f t="shared" si="14"/>
        <v>0</v>
      </c>
      <c r="AA393" t="str" cm="1">
        <f t="array" aca="1" ref="AA393" ca="1">IFERROR(INDEX(H_Tables!E:E,MATCH(INDIRECT("I"&amp;ROW()),H_Tables!F:F,0)),"")</f>
        <v/>
      </c>
      <c r="AB393" t="str" cm="1">
        <f t="array" aca="1" ref="AB393" ca="1">IFERROR(INDEX(H_Tables!H:H,MATCH(INDIRECT("k"&amp;ROW()),H_Tables!I:I,0)),"")</f>
        <v/>
      </c>
      <c r="AC393" t="str">
        <f t="shared" si="15"/>
        <v/>
      </c>
      <c r="AD393">
        <v>390</v>
      </c>
    </row>
    <row r="394" spans="13:30" ht="15" customHeight="1" x14ac:dyDescent="0.25">
      <c r="M394" t="s">
        <v>2474</v>
      </c>
      <c r="Z394" s="110">
        <f t="shared" si="14"/>
        <v>0</v>
      </c>
      <c r="AA394" t="str" cm="1">
        <f t="array" aca="1" ref="AA394" ca="1">IFERROR(INDEX(H_Tables!E:E,MATCH(INDIRECT("I"&amp;ROW()),H_Tables!F:F,0)),"")</f>
        <v/>
      </c>
      <c r="AB394" t="str" cm="1">
        <f t="array" aca="1" ref="AB394" ca="1">IFERROR(INDEX(H_Tables!H:H,MATCH(INDIRECT("k"&amp;ROW()),H_Tables!I:I,0)),"")</f>
        <v/>
      </c>
      <c r="AC394" t="str">
        <f t="shared" si="15"/>
        <v/>
      </c>
      <c r="AD394">
        <v>391</v>
      </c>
    </row>
    <row r="395" spans="13:30" ht="15" customHeight="1" x14ac:dyDescent="0.25">
      <c r="M395" t="s">
        <v>2474</v>
      </c>
      <c r="Z395" s="110">
        <f t="shared" si="14"/>
        <v>0</v>
      </c>
      <c r="AA395" t="str" cm="1">
        <f t="array" aca="1" ref="AA395" ca="1">IFERROR(INDEX(H_Tables!E:E,MATCH(INDIRECT("I"&amp;ROW()),H_Tables!F:F,0)),"")</f>
        <v/>
      </c>
      <c r="AB395" t="str" cm="1">
        <f t="array" aca="1" ref="AB395" ca="1">IFERROR(INDEX(H_Tables!H:H,MATCH(INDIRECT("k"&amp;ROW()),H_Tables!I:I,0)),"")</f>
        <v/>
      </c>
      <c r="AC395" t="str">
        <f t="shared" si="15"/>
        <v/>
      </c>
      <c r="AD395">
        <v>392</v>
      </c>
    </row>
    <row r="396" spans="13:30" ht="15" customHeight="1" x14ac:dyDescent="0.25">
      <c r="M396" t="s">
        <v>2474</v>
      </c>
      <c r="Z396" s="110">
        <f t="shared" si="14"/>
        <v>0</v>
      </c>
      <c r="AA396" t="str" cm="1">
        <f t="array" aca="1" ref="AA396" ca="1">IFERROR(INDEX(H_Tables!E:E,MATCH(INDIRECT("I"&amp;ROW()),H_Tables!F:F,0)),"")</f>
        <v/>
      </c>
      <c r="AB396" t="str" cm="1">
        <f t="array" aca="1" ref="AB396" ca="1">IFERROR(INDEX(H_Tables!H:H,MATCH(INDIRECT("k"&amp;ROW()),H_Tables!I:I,0)),"")</f>
        <v/>
      </c>
      <c r="AC396" t="str">
        <f t="shared" si="15"/>
        <v/>
      </c>
      <c r="AD396">
        <v>393</v>
      </c>
    </row>
    <row r="397" spans="13:30" ht="15" customHeight="1" x14ac:dyDescent="0.25">
      <c r="M397" t="s">
        <v>2474</v>
      </c>
      <c r="Z397" s="110">
        <f t="shared" si="14"/>
        <v>0</v>
      </c>
      <c r="AA397" t="str" cm="1">
        <f t="array" aca="1" ref="AA397" ca="1">IFERROR(INDEX(H_Tables!E:E,MATCH(INDIRECT("I"&amp;ROW()),H_Tables!F:F,0)),"")</f>
        <v/>
      </c>
      <c r="AB397" t="str" cm="1">
        <f t="array" aca="1" ref="AB397" ca="1">IFERROR(INDEX(H_Tables!H:H,MATCH(INDIRECT("k"&amp;ROW()),H_Tables!I:I,0)),"")</f>
        <v/>
      </c>
      <c r="AC397" t="str">
        <f t="shared" si="15"/>
        <v/>
      </c>
      <c r="AD397">
        <v>394</v>
      </c>
    </row>
    <row r="398" spans="13:30" ht="15" customHeight="1" x14ac:dyDescent="0.25">
      <c r="M398" t="s">
        <v>2474</v>
      </c>
      <c r="Z398" s="110">
        <f t="shared" si="14"/>
        <v>0</v>
      </c>
      <c r="AA398" t="str" cm="1">
        <f t="array" aca="1" ref="AA398" ca="1">IFERROR(INDEX(H_Tables!E:E,MATCH(INDIRECT("I"&amp;ROW()),H_Tables!F:F,0)),"")</f>
        <v/>
      </c>
      <c r="AB398" t="str" cm="1">
        <f t="array" aca="1" ref="AB398" ca="1">IFERROR(INDEX(H_Tables!H:H,MATCH(INDIRECT("k"&amp;ROW()),H_Tables!I:I,0)),"")</f>
        <v/>
      </c>
      <c r="AC398" t="str">
        <f t="shared" si="15"/>
        <v/>
      </c>
      <c r="AD398">
        <v>395</v>
      </c>
    </row>
    <row r="399" spans="13:30" ht="15" customHeight="1" x14ac:dyDescent="0.25">
      <c r="M399" t="s">
        <v>2474</v>
      </c>
      <c r="Z399" s="110">
        <f t="shared" si="14"/>
        <v>0</v>
      </c>
      <c r="AA399" t="str" cm="1">
        <f t="array" aca="1" ref="AA399" ca="1">IFERROR(INDEX(H_Tables!E:E,MATCH(INDIRECT("I"&amp;ROW()),H_Tables!F:F,0)),"")</f>
        <v/>
      </c>
      <c r="AB399" t="str" cm="1">
        <f t="array" aca="1" ref="AB399" ca="1">IFERROR(INDEX(H_Tables!H:H,MATCH(INDIRECT("k"&amp;ROW()),H_Tables!I:I,0)),"")</f>
        <v/>
      </c>
      <c r="AC399" t="str">
        <f t="shared" si="15"/>
        <v/>
      </c>
      <c r="AD399">
        <v>396</v>
      </c>
    </row>
    <row r="400" spans="13:30" ht="15" customHeight="1" x14ac:dyDescent="0.25">
      <c r="M400" t="s">
        <v>2474</v>
      </c>
      <c r="Z400" s="110">
        <f t="shared" si="14"/>
        <v>0</v>
      </c>
      <c r="AA400" t="str" cm="1">
        <f t="array" aca="1" ref="AA400" ca="1">IFERROR(INDEX(H_Tables!E:E,MATCH(INDIRECT("I"&amp;ROW()),H_Tables!F:F,0)),"")</f>
        <v/>
      </c>
      <c r="AB400" t="str" cm="1">
        <f t="array" aca="1" ref="AB400" ca="1">IFERROR(INDEX(H_Tables!H:H,MATCH(INDIRECT("k"&amp;ROW()),H_Tables!I:I,0)),"")</f>
        <v/>
      </c>
      <c r="AC400" t="str">
        <f t="shared" si="15"/>
        <v/>
      </c>
      <c r="AD400">
        <v>397</v>
      </c>
    </row>
    <row r="401" spans="13:30" ht="15" customHeight="1" x14ac:dyDescent="0.25">
      <c r="M401" t="s">
        <v>2474</v>
      </c>
      <c r="Z401" s="110">
        <f t="shared" si="14"/>
        <v>0</v>
      </c>
      <c r="AA401" t="str" cm="1">
        <f t="array" aca="1" ref="AA401" ca="1">IFERROR(INDEX(H_Tables!E:E,MATCH(INDIRECT("I"&amp;ROW()),H_Tables!F:F,0)),"")</f>
        <v/>
      </c>
      <c r="AB401" t="str" cm="1">
        <f t="array" aca="1" ref="AB401" ca="1">IFERROR(INDEX(H_Tables!H:H,MATCH(INDIRECT("k"&amp;ROW()),H_Tables!I:I,0)),"")</f>
        <v/>
      </c>
      <c r="AC401" t="str">
        <f t="shared" si="15"/>
        <v/>
      </c>
      <c r="AD401">
        <v>398</v>
      </c>
    </row>
    <row r="402" spans="13:30" ht="15" customHeight="1" x14ac:dyDescent="0.25">
      <c r="M402" t="s">
        <v>2474</v>
      </c>
      <c r="Z402" s="110">
        <f t="shared" si="14"/>
        <v>0</v>
      </c>
      <c r="AA402" t="str" cm="1">
        <f t="array" aca="1" ref="AA402" ca="1">IFERROR(INDEX(H_Tables!E:E,MATCH(INDIRECT("I"&amp;ROW()),H_Tables!F:F,0)),"")</f>
        <v/>
      </c>
      <c r="AB402" t="str" cm="1">
        <f t="array" aca="1" ref="AB402" ca="1">IFERROR(INDEX(H_Tables!H:H,MATCH(INDIRECT("k"&amp;ROW()),H_Tables!I:I,0)),"")</f>
        <v/>
      </c>
      <c r="AC402" t="str">
        <f t="shared" si="15"/>
        <v/>
      </c>
      <c r="AD402">
        <v>399</v>
      </c>
    </row>
    <row r="403" spans="13:30" ht="15" customHeight="1" x14ac:dyDescent="0.25">
      <c r="M403" t="s">
        <v>2474</v>
      </c>
      <c r="Z403" s="110">
        <f t="shared" si="14"/>
        <v>0</v>
      </c>
      <c r="AA403" t="str" cm="1">
        <f t="array" aca="1" ref="AA403" ca="1">IFERROR(INDEX(H_Tables!E:E,MATCH(INDIRECT("I"&amp;ROW()),H_Tables!F:F,0)),"")</f>
        <v/>
      </c>
      <c r="AB403" t="str" cm="1">
        <f t="array" aca="1" ref="AB403" ca="1">IFERROR(INDEX(H_Tables!H:H,MATCH(INDIRECT("k"&amp;ROW()),H_Tables!I:I,0)),"")</f>
        <v/>
      </c>
      <c r="AC403" t="str">
        <f t="shared" si="15"/>
        <v/>
      </c>
      <c r="AD403">
        <v>400</v>
      </c>
    </row>
    <row r="404" spans="13:30" ht="15" customHeight="1" x14ac:dyDescent="0.25">
      <c r="M404" t="s">
        <v>2474</v>
      </c>
      <c r="Z404" s="110">
        <f t="shared" si="14"/>
        <v>0</v>
      </c>
      <c r="AA404" t="str" cm="1">
        <f t="array" aca="1" ref="AA404" ca="1">IFERROR(INDEX(H_Tables!E:E,MATCH(INDIRECT("I"&amp;ROW()),H_Tables!F:F,0)),"")</f>
        <v/>
      </c>
      <c r="AB404" t="str" cm="1">
        <f t="array" aca="1" ref="AB404" ca="1">IFERROR(INDEX(H_Tables!H:H,MATCH(INDIRECT("k"&amp;ROW()),H_Tables!I:I,0)),"")</f>
        <v/>
      </c>
      <c r="AC404" t="str">
        <f t="shared" si="15"/>
        <v/>
      </c>
      <c r="AD404">
        <v>401</v>
      </c>
    </row>
    <row r="405" spans="13:30" ht="15" customHeight="1" x14ac:dyDescent="0.25">
      <c r="M405" t="s">
        <v>2474</v>
      </c>
      <c r="Z405" s="110">
        <f t="shared" si="14"/>
        <v>0</v>
      </c>
      <c r="AA405" t="str" cm="1">
        <f t="array" aca="1" ref="AA405" ca="1">IFERROR(INDEX(H_Tables!E:E,MATCH(INDIRECT("I"&amp;ROW()),H_Tables!F:F,0)),"")</f>
        <v/>
      </c>
      <c r="AB405" t="str" cm="1">
        <f t="array" aca="1" ref="AB405" ca="1">IFERROR(INDEX(H_Tables!H:H,MATCH(INDIRECT("k"&amp;ROW()),H_Tables!I:I,0)),"")</f>
        <v/>
      </c>
      <c r="AC405" t="str">
        <f t="shared" si="15"/>
        <v/>
      </c>
      <c r="AD405">
        <v>402</v>
      </c>
    </row>
    <row r="406" spans="13:30" ht="15" customHeight="1" x14ac:dyDescent="0.25">
      <c r="M406" t="s">
        <v>2474</v>
      </c>
      <c r="Z406" s="110">
        <f t="shared" si="14"/>
        <v>0</v>
      </c>
      <c r="AA406" t="str" cm="1">
        <f t="array" aca="1" ref="AA406" ca="1">IFERROR(INDEX(H_Tables!E:E,MATCH(INDIRECT("I"&amp;ROW()),H_Tables!F:F,0)),"")</f>
        <v/>
      </c>
      <c r="AB406" t="str" cm="1">
        <f t="array" aca="1" ref="AB406" ca="1">IFERROR(INDEX(H_Tables!H:H,MATCH(INDIRECT("k"&amp;ROW()),H_Tables!I:I,0)),"")</f>
        <v/>
      </c>
      <c r="AC406" t="str">
        <f t="shared" si="15"/>
        <v/>
      </c>
      <c r="AD406">
        <v>403</v>
      </c>
    </row>
    <row r="407" spans="13:30" ht="15" customHeight="1" x14ac:dyDescent="0.25">
      <c r="M407" t="s">
        <v>2474</v>
      </c>
      <c r="Z407" s="110">
        <f t="shared" si="14"/>
        <v>0</v>
      </c>
      <c r="AA407" t="str" cm="1">
        <f t="array" aca="1" ref="AA407" ca="1">IFERROR(INDEX(H_Tables!E:E,MATCH(INDIRECT("I"&amp;ROW()),H_Tables!F:F,0)),"")</f>
        <v/>
      </c>
      <c r="AB407" t="str" cm="1">
        <f t="array" aca="1" ref="AB407" ca="1">IFERROR(INDEX(H_Tables!H:H,MATCH(INDIRECT("k"&amp;ROW()),H_Tables!I:I,0)),"")</f>
        <v/>
      </c>
      <c r="AC407" t="str">
        <f t="shared" si="15"/>
        <v/>
      </c>
      <c r="AD407">
        <v>404</v>
      </c>
    </row>
    <row r="408" spans="13:30" ht="15" customHeight="1" x14ac:dyDescent="0.25">
      <c r="M408" t="s">
        <v>2474</v>
      </c>
      <c r="Z408" s="110">
        <f t="shared" si="14"/>
        <v>0</v>
      </c>
      <c r="AA408" t="str" cm="1">
        <f t="array" aca="1" ref="AA408" ca="1">IFERROR(INDEX(H_Tables!E:E,MATCH(INDIRECT("I"&amp;ROW()),H_Tables!F:F,0)),"")</f>
        <v/>
      </c>
      <c r="AB408" t="str" cm="1">
        <f t="array" aca="1" ref="AB408" ca="1">IFERROR(INDEX(H_Tables!H:H,MATCH(INDIRECT("k"&amp;ROW()),H_Tables!I:I,0)),"")</f>
        <v/>
      </c>
      <c r="AC408" t="str">
        <f t="shared" si="15"/>
        <v/>
      </c>
      <c r="AD408">
        <v>405</v>
      </c>
    </row>
    <row r="409" spans="13:30" ht="15" customHeight="1" x14ac:dyDescent="0.25">
      <c r="M409" t="s">
        <v>2474</v>
      </c>
      <c r="Z409" s="110">
        <f t="shared" si="14"/>
        <v>0</v>
      </c>
      <c r="AA409" t="str" cm="1">
        <f t="array" aca="1" ref="AA409" ca="1">IFERROR(INDEX(H_Tables!E:E,MATCH(INDIRECT("I"&amp;ROW()),H_Tables!F:F,0)),"")</f>
        <v/>
      </c>
      <c r="AB409" t="str" cm="1">
        <f t="array" aca="1" ref="AB409" ca="1">IFERROR(INDEX(H_Tables!H:H,MATCH(INDIRECT("k"&amp;ROW()),H_Tables!I:I,0)),"")</f>
        <v/>
      </c>
      <c r="AC409" t="str">
        <f t="shared" si="15"/>
        <v/>
      </c>
      <c r="AD409">
        <v>406</v>
      </c>
    </row>
    <row r="410" spans="13:30" ht="15" customHeight="1" x14ac:dyDescent="0.25">
      <c r="M410" t="s">
        <v>2474</v>
      </c>
      <c r="Z410" s="110">
        <f t="shared" si="14"/>
        <v>0</v>
      </c>
      <c r="AA410" t="str" cm="1">
        <f t="array" aca="1" ref="AA410" ca="1">IFERROR(INDEX(H_Tables!E:E,MATCH(INDIRECT("I"&amp;ROW()),H_Tables!F:F,0)),"")</f>
        <v/>
      </c>
      <c r="AB410" t="str" cm="1">
        <f t="array" aca="1" ref="AB410" ca="1">IFERROR(INDEX(H_Tables!H:H,MATCH(INDIRECT("k"&amp;ROW()),H_Tables!I:I,0)),"")</f>
        <v/>
      </c>
      <c r="AC410" t="str">
        <f t="shared" si="15"/>
        <v/>
      </c>
      <c r="AD410">
        <v>407</v>
      </c>
    </row>
    <row r="411" spans="13:30" ht="15" customHeight="1" x14ac:dyDescent="0.25">
      <c r="M411" t="s">
        <v>2474</v>
      </c>
      <c r="Z411" s="110">
        <f t="shared" si="14"/>
        <v>0</v>
      </c>
      <c r="AA411" t="str" cm="1">
        <f t="array" aca="1" ref="AA411" ca="1">IFERROR(INDEX(H_Tables!E:E,MATCH(INDIRECT("I"&amp;ROW()),H_Tables!F:F,0)),"")</f>
        <v/>
      </c>
      <c r="AB411" t="str" cm="1">
        <f t="array" aca="1" ref="AB411" ca="1">IFERROR(INDEX(H_Tables!H:H,MATCH(INDIRECT("k"&amp;ROW()),H_Tables!I:I,0)),"")</f>
        <v/>
      </c>
      <c r="AC411" t="str">
        <f t="shared" si="15"/>
        <v/>
      </c>
      <c r="AD411">
        <v>408</v>
      </c>
    </row>
    <row r="412" spans="13:30" ht="15" customHeight="1" x14ac:dyDescent="0.25">
      <c r="M412" t="s">
        <v>2474</v>
      </c>
      <c r="Z412" s="110">
        <f t="shared" si="14"/>
        <v>0</v>
      </c>
      <c r="AA412" t="str" cm="1">
        <f t="array" aca="1" ref="AA412" ca="1">IFERROR(INDEX(H_Tables!E:E,MATCH(INDIRECT("I"&amp;ROW()),H_Tables!F:F,0)),"")</f>
        <v/>
      </c>
      <c r="AB412" t="str" cm="1">
        <f t="array" aca="1" ref="AB412" ca="1">IFERROR(INDEX(H_Tables!H:H,MATCH(INDIRECT("k"&amp;ROW()),H_Tables!I:I,0)),"")</f>
        <v/>
      </c>
      <c r="AC412" t="str">
        <f t="shared" si="15"/>
        <v/>
      </c>
      <c r="AD412">
        <v>409</v>
      </c>
    </row>
    <row r="413" spans="13:30" ht="15" customHeight="1" x14ac:dyDescent="0.25">
      <c r="M413" t="s">
        <v>2474</v>
      </c>
      <c r="Z413" s="110">
        <f t="shared" si="14"/>
        <v>0</v>
      </c>
      <c r="AA413" t="str" cm="1">
        <f t="array" aca="1" ref="AA413" ca="1">IFERROR(INDEX(H_Tables!E:E,MATCH(INDIRECT("I"&amp;ROW()),H_Tables!F:F,0)),"")</f>
        <v/>
      </c>
      <c r="AB413" t="str" cm="1">
        <f t="array" aca="1" ref="AB413" ca="1">IFERROR(INDEX(H_Tables!H:H,MATCH(INDIRECT("k"&amp;ROW()),H_Tables!I:I,0)),"")</f>
        <v/>
      </c>
      <c r="AC413" t="str">
        <f t="shared" si="15"/>
        <v/>
      </c>
      <c r="AD413">
        <v>410</v>
      </c>
    </row>
    <row r="414" spans="13:30" ht="15" customHeight="1" x14ac:dyDescent="0.25">
      <c r="M414" t="s">
        <v>2474</v>
      </c>
      <c r="Z414" s="110">
        <f t="shared" si="14"/>
        <v>0</v>
      </c>
      <c r="AA414" t="str" cm="1">
        <f t="array" aca="1" ref="AA414" ca="1">IFERROR(INDEX(H_Tables!E:E,MATCH(INDIRECT("I"&amp;ROW()),H_Tables!F:F,0)),"")</f>
        <v/>
      </c>
      <c r="AB414" t="str" cm="1">
        <f t="array" aca="1" ref="AB414" ca="1">IFERROR(INDEX(H_Tables!H:H,MATCH(INDIRECT("k"&amp;ROW()),H_Tables!I:I,0)),"")</f>
        <v/>
      </c>
      <c r="AC414" t="str">
        <f t="shared" si="15"/>
        <v/>
      </c>
      <c r="AD414">
        <v>411</v>
      </c>
    </row>
    <row r="415" spans="13:30" ht="15" customHeight="1" x14ac:dyDescent="0.25">
      <c r="M415" t="s">
        <v>2474</v>
      </c>
      <c r="Z415" s="110">
        <f t="shared" si="14"/>
        <v>0</v>
      </c>
      <c r="AA415" t="str" cm="1">
        <f t="array" aca="1" ref="AA415" ca="1">IFERROR(INDEX(H_Tables!E:E,MATCH(INDIRECT("I"&amp;ROW()),H_Tables!F:F,0)),"")</f>
        <v/>
      </c>
      <c r="AB415" t="str" cm="1">
        <f t="array" aca="1" ref="AB415" ca="1">IFERROR(INDEX(H_Tables!H:H,MATCH(INDIRECT("k"&amp;ROW()),H_Tables!I:I,0)),"")</f>
        <v/>
      </c>
      <c r="AC415" t="str">
        <f t="shared" si="15"/>
        <v/>
      </c>
      <c r="AD415">
        <v>412</v>
      </c>
    </row>
    <row r="416" spans="13:30" ht="15" customHeight="1" x14ac:dyDescent="0.25">
      <c r="M416" t="s">
        <v>2474</v>
      </c>
      <c r="Z416" s="110">
        <f t="shared" si="14"/>
        <v>0</v>
      </c>
      <c r="AA416" t="str" cm="1">
        <f t="array" aca="1" ref="AA416" ca="1">IFERROR(INDEX(H_Tables!E:E,MATCH(INDIRECT("I"&amp;ROW()),H_Tables!F:F,0)),"")</f>
        <v/>
      </c>
      <c r="AB416" t="str" cm="1">
        <f t="array" aca="1" ref="AB416" ca="1">IFERROR(INDEX(H_Tables!H:H,MATCH(INDIRECT("k"&amp;ROW()),H_Tables!I:I,0)),"")</f>
        <v/>
      </c>
      <c r="AC416" t="str">
        <f t="shared" si="15"/>
        <v/>
      </c>
      <c r="AD416">
        <v>413</v>
      </c>
    </row>
    <row r="417" spans="13:30" ht="15" customHeight="1" x14ac:dyDescent="0.25">
      <c r="M417" t="s">
        <v>2474</v>
      </c>
      <c r="Z417" s="110">
        <f t="shared" si="14"/>
        <v>0</v>
      </c>
      <c r="AA417" t="str" cm="1">
        <f t="array" aca="1" ref="AA417" ca="1">IFERROR(INDEX(H_Tables!E:E,MATCH(INDIRECT("I"&amp;ROW()),H_Tables!F:F,0)),"")</f>
        <v/>
      </c>
      <c r="AB417" t="str" cm="1">
        <f t="array" aca="1" ref="AB417" ca="1">IFERROR(INDEX(H_Tables!H:H,MATCH(INDIRECT("k"&amp;ROW()),H_Tables!I:I,0)),"")</f>
        <v/>
      </c>
      <c r="AC417" t="str">
        <f t="shared" si="15"/>
        <v/>
      </c>
      <c r="AD417">
        <v>414</v>
      </c>
    </row>
    <row r="418" spans="13:30" ht="15" customHeight="1" x14ac:dyDescent="0.25">
      <c r="M418" t="s">
        <v>2474</v>
      </c>
      <c r="Z418" s="110">
        <f t="shared" si="14"/>
        <v>0</v>
      </c>
      <c r="AA418" t="str" cm="1">
        <f t="array" aca="1" ref="AA418" ca="1">IFERROR(INDEX(H_Tables!E:E,MATCH(INDIRECT("I"&amp;ROW()),H_Tables!F:F,0)),"")</f>
        <v/>
      </c>
      <c r="AB418" t="str" cm="1">
        <f t="array" aca="1" ref="AB418" ca="1">IFERROR(INDEX(H_Tables!H:H,MATCH(INDIRECT("k"&amp;ROW()),H_Tables!I:I,0)),"")</f>
        <v/>
      </c>
      <c r="AC418" t="str">
        <f t="shared" si="15"/>
        <v/>
      </c>
      <c r="AD418">
        <v>415</v>
      </c>
    </row>
    <row r="419" spans="13:30" ht="15" customHeight="1" x14ac:dyDescent="0.25">
      <c r="M419" t="s">
        <v>2474</v>
      </c>
      <c r="Z419" s="110">
        <f t="shared" si="14"/>
        <v>0</v>
      </c>
      <c r="AA419" t="str" cm="1">
        <f t="array" aca="1" ref="AA419" ca="1">IFERROR(INDEX(H_Tables!E:E,MATCH(INDIRECT("I"&amp;ROW()),H_Tables!F:F,0)),"")</f>
        <v/>
      </c>
      <c r="AB419" t="str" cm="1">
        <f t="array" aca="1" ref="AB419" ca="1">IFERROR(INDEX(H_Tables!H:H,MATCH(INDIRECT("k"&amp;ROW()),H_Tables!I:I,0)),"")</f>
        <v/>
      </c>
      <c r="AC419" t="str">
        <f t="shared" si="15"/>
        <v/>
      </c>
      <c r="AD419">
        <v>416</v>
      </c>
    </row>
    <row r="420" spans="13:30" ht="15" customHeight="1" x14ac:dyDescent="0.25">
      <c r="M420" t="s">
        <v>2474</v>
      </c>
      <c r="Z420" s="110">
        <f t="shared" si="14"/>
        <v>0</v>
      </c>
      <c r="AA420" t="str" cm="1">
        <f t="array" aca="1" ref="AA420" ca="1">IFERROR(INDEX(H_Tables!E:E,MATCH(INDIRECT("I"&amp;ROW()),H_Tables!F:F,0)),"")</f>
        <v/>
      </c>
      <c r="AB420" t="str" cm="1">
        <f t="array" aca="1" ref="AB420" ca="1">IFERROR(INDEX(H_Tables!H:H,MATCH(INDIRECT("k"&amp;ROW()),H_Tables!I:I,0)),"")</f>
        <v/>
      </c>
      <c r="AC420" t="str">
        <f t="shared" si="15"/>
        <v/>
      </c>
      <c r="AD420">
        <v>417</v>
      </c>
    </row>
    <row r="421" spans="13:30" ht="15" customHeight="1" x14ac:dyDescent="0.25">
      <c r="M421" t="s">
        <v>2474</v>
      </c>
      <c r="Z421" s="110">
        <f t="shared" si="14"/>
        <v>0</v>
      </c>
      <c r="AA421" t="str" cm="1">
        <f t="array" aca="1" ref="AA421" ca="1">IFERROR(INDEX(H_Tables!E:E,MATCH(INDIRECT("I"&amp;ROW()),H_Tables!F:F,0)),"")</f>
        <v/>
      </c>
      <c r="AB421" t="str" cm="1">
        <f t="array" aca="1" ref="AB421" ca="1">IFERROR(INDEX(H_Tables!H:H,MATCH(INDIRECT("k"&amp;ROW()),H_Tables!I:I,0)),"")</f>
        <v/>
      </c>
      <c r="AC421" t="str">
        <f t="shared" si="15"/>
        <v/>
      </c>
      <c r="AD421">
        <v>418</v>
      </c>
    </row>
    <row r="422" spans="13:30" ht="15" customHeight="1" x14ac:dyDescent="0.25">
      <c r="M422" t="s">
        <v>2474</v>
      </c>
      <c r="Z422" s="110">
        <f t="shared" si="14"/>
        <v>0</v>
      </c>
      <c r="AA422" t="str" cm="1">
        <f t="array" aca="1" ref="AA422" ca="1">IFERROR(INDEX(H_Tables!E:E,MATCH(INDIRECT("I"&amp;ROW()),H_Tables!F:F,0)),"")</f>
        <v/>
      </c>
      <c r="AB422" t="str" cm="1">
        <f t="array" aca="1" ref="AB422" ca="1">IFERROR(INDEX(H_Tables!H:H,MATCH(INDIRECT("k"&amp;ROW()),H_Tables!I:I,0)),"")</f>
        <v/>
      </c>
      <c r="AC422" t="str">
        <f t="shared" si="15"/>
        <v/>
      </c>
      <c r="AD422">
        <v>419</v>
      </c>
    </row>
    <row r="423" spans="13:30" ht="15" customHeight="1" x14ac:dyDescent="0.25">
      <c r="M423" t="s">
        <v>2474</v>
      </c>
      <c r="Z423" s="110">
        <f t="shared" si="14"/>
        <v>0</v>
      </c>
      <c r="AA423" t="str" cm="1">
        <f t="array" aca="1" ref="AA423" ca="1">IFERROR(INDEX(H_Tables!E:E,MATCH(INDIRECT("I"&amp;ROW()),H_Tables!F:F,0)),"")</f>
        <v/>
      </c>
      <c r="AB423" t="str" cm="1">
        <f t="array" aca="1" ref="AB423" ca="1">IFERROR(INDEX(H_Tables!H:H,MATCH(INDIRECT("k"&amp;ROW()),H_Tables!I:I,0)),"")</f>
        <v/>
      </c>
      <c r="AC423" t="str">
        <f t="shared" si="15"/>
        <v/>
      </c>
      <c r="AD423">
        <v>420</v>
      </c>
    </row>
    <row r="424" spans="13:30" ht="15" customHeight="1" x14ac:dyDescent="0.25">
      <c r="M424" t="s">
        <v>2474</v>
      </c>
      <c r="Z424" s="110">
        <f t="shared" si="14"/>
        <v>0</v>
      </c>
      <c r="AA424" t="str" cm="1">
        <f t="array" aca="1" ref="AA424" ca="1">IFERROR(INDEX(H_Tables!E:E,MATCH(INDIRECT("I"&amp;ROW()),H_Tables!F:F,0)),"")</f>
        <v/>
      </c>
      <c r="AB424" t="str" cm="1">
        <f t="array" aca="1" ref="AB424" ca="1">IFERROR(INDEX(H_Tables!H:H,MATCH(INDIRECT("k"&amp;ROW()),H_Tables!I:I,0)),"")</f>
        <v/>
      </c>
      <c r="AC424" t="str">
        <f t="shared" si="15"/>
        <v/>
      </c>
      <c r="AD424">
        <v>421</v>
      </c>
    </row>
    <row r="425" spans="13:30" ht="15" customHeight="1" x14ac:dyDescent="0.25">
      <c r="M425" t="s">
        <v>2474</v>
      </c>
      <c r="Z425" s="110">
        <f t="shared" si="14"/>
        <v>0</v>
      </c>
      <c r="AA425" t="str" cm="1">
        <f t="array" aca="1" ref="AA425" ca="1">IFERROR(INDEX(H_Tables!E:E,MATCH(INDIRECT("I"&amp;ROW()),H_Tables!F:F,0)),"")</f>
        <v/>
      </c>
      <c r="AB425" t="str" cm="1">
        <f t="array" aca="1" ref="AB425" ca="1">IFERROR(INDEX(H_Tables!H:H,MATCH(INDIRECT("k"&amp;ROW()),H_Tables!I:I,0)),"")</f>
        <v/>
      </c>
      <c r="AC425" t="str">
        <f t="shared" si="15"/>
        <v/>
      </c>
      <c r="AD425">
        <v>422</v>
      </c>
    </row>
    <row r="426" spans="13:30" ht="15" customHeight="1" x14ac:dyDescent="0.25">
      <c r="M426" t="s">
        <v>2474</v>
      </c>
      <c r="Z426" s="110">
        <f t="shared" si="14"/>
        <v>0</v>
      </c>
      <c r="AA426" t="str" cm="1">
        <f t="array" aca="1" ref="AA426" ca="1">IFERROR(INDEX(H_Tables!E:E,MATCH(INDIRECT("I"&amp;ROW()),H_Tables!F:F,0)),"")</f>
        <v/>
      </c>
      <c r="AB426" t="str" cm="1">
        <f t="array" aca="1" ref="AB426" ca="1">IFERROR(INDEX(H_Tables!H:H,MATCH(INDIRECT("k"&amp;ROW()),H_Tables!I:I,0)),"")</f>
        <v/>
      </c>
      <c r="AC426" t="str">
        <f t="shared" si="15"/>
        <v/>
      </c>
      <c r="AD426">
        <v>423</v>
      </c>
    </row>
    <row r="427" spans="13:30" ht="15" customHeight="1" x14ac:dyDescent="0.25">
      <c r="M427" t="s">
        <v>2474</v>
      </c>
      <c r="Z427" s="110">
        <f t="shared" si="14"/>
        <v>0</v>
      </c>
      <c r="AA427" t="str" cm="1">
        <f t="array" aca="1" ref="AA427" ca="1">IFERROR(INDEX(H_Tables!E:E,MATCH(INDIRECT("I"&amp;ROW()),H_Tables!F:F,0)),"")</f>
        <v/>
      </c>
      <c r="AB427" t="str" cm="1">
        <f t="array" aca="1" ref="AB427" ca="1">IFERROR(INDEX(H_Tables!H:H,MATCH(INDIRECT("k"&amp;ROW()),H_Tables!I:I,0)),"")</f>
        <v/>
      </c>
      <c r="AC427" t="str">
        <f t="shared" si="15"/>
        <v/>
      </c>
      <c r="AD427">
        <v>424</v>
      </c>
    </row>
    <row r="428" spans="13:30" ht="15" customHeight="1" x14ac:dyDescent="0.25">
      <c r="M428" t="s">
        <v>2474</v>
      </c>
      <c r="Z428" s="110">
        <f t="shared" si="14"/>
        <v>0</v>
      </c>
      <c r="AA428" t="str" cm="1">
        <f t="array" aca="1" ref="AA428" ca="1">IFERROR(INDEX(H_Tables!E:E,MATCH(INDIRECT("I"&amp;ROW()),H_Tables!F:F,0)),"")</f>
        <v/>
      </c>
      <c r="AB428" t="str" cm="1">
        <f t="array" aca="1" ref="AB428" ca="1">IFERROR(INDEX(H_Tables!H:H,MATCH(INDIRECT("k"&amp;ROW()),H_Tables!I:I,0)),"")</f>
        <v/>
      </c>
      <c r="AC428" t="str">
        <f t="shared" si="15"/>
        <v/>
      </c>
      <c r="AD428">
        <v>425</v>
      </c>
    </row>
    <row r="429" spans="13:30" ht="15" customHeight="1" x14ac:dyDescent="0.25">
      <c r="M429" t="s">
        <v>2474</v>
      </c>
      <c r="Z429" s="110">
        <f t="shared" si="14"/>
        <v>0</v>
      </c>
      <c r="AA429" t="str" cm="1">
        <f t="array" aca="1" ref="AA429" ca="1">IFERROR(INDEX(H_Tables!E:E,MATCH(INDIRECT("I"&amp;ROW()),H_Tables!F:F,0)),"")</f>
        <v/>
      </c>
      <c r="AB429" t="str" cm="1">
        <f t="array" aca="1" ref="AB429" ca="1">IFERROR(INDEX(H_Tables!H:H,MATCH(INDIRECT("k"&amp;ROW()),H_Tables!I:I,0)),"")</f>
        <v/>
      </c>
      <c r="AC429" t="str">
        <f t="shared" si="15"/>
        <v/>
      </c>
      <c r="AD429">
        <v>426</v>
      </c>
    </row>
    <row r="430" spans="13:30" ht="15" customHeight="1" x14ac:dyDescent="0.25">
      <c r="M430" t="s">
        <v>2474</v>
      </c>
      <c r="Z430" s="110">
        <f t="shared" si="14"/>
        <v>0</v>
      </c>
      <c r="AA430" t="str" cm="1">
        <f t="array" aca="1" ref="AA430" ca="1">IFERROR(INDEX(H_Tables!E:E,MATCH(INDIRECT("I"&amp;ROW()),H_Tables!F:F,0)),"")</f>
        <v/>
      </c>
      <c r="AB430" t="str" cm="1">
        <f t="array" aca="1" ref="AB430" ca="1">IFERROR(INDEX(H_Tables!H:H,MATCH(INDIRECT("k"&amp;ROW()),H_Tables!I:I,0)),"")</f>
        <v/>
      </c>
      <c r="AC430" t="str">
        <f t="shared" si="15"/>
        <v/>
      </c>
      <c r="AD430">
        <v>427</v>
      </c>
    </row>
    <row r="431" spans="13:30" ht="15" customHeight="1" x14ac:dyDescent="0.25">
      <c r="M431" t="s">
        <v>2474</v>
      </c>
      <c r="Z431" s="110">
        <f t="shared" si="14"/>
        <v>0</v>
      </c>
      <c r="AA431" t="str" cm="1">
        <f t="array" aca="1" ref="AA431" ca="1">IFERROR(INDEX(H_Tables!E:E,MATCH(INDIRECT("I"&amp;ROW()),H_Tables!F:F,0)),"")</f>
        <v/>
      </c>
      <c r="AB431" t="str" cm="1">
        <f t="array" aca="1" ref="AB431" ca="1">IFERROR(INDEX(H_Tables!H:H,MATCH(INDIRECT("k"&amp;ROW()),H_Tables!I:I,0)),"")</f>
        <v/>
      </c>
      <c r="AC431" t="str">
        <f t="shared" si="15"/>
        <v/>
      </c>
      <c r="AD431">
        <v>428</v>
      </c>
    </row>
    <row r="432" spans="13:30" ht="15" customHeight="1" x14ac:dyDescent="0.25">
      <c r="M432" t="s">
        <v>2474</v>
      </c>
      <c r="Z432" s="110">
        <f t="shared" si="14"/>
        <v>0</v>
      </c>
      <c r="AA432" t="str" cm="1">
        <f t="array" aca="1" ref="AA432" ca="1">IFERROR(INDEX(H_Tables!E:E,MATCH(INDIRECT("I"&amp;ROW()),H_Tables!F:F,0)),"")</f>
        <v/>
      </c>
      <c r="AB432" t="str" cm="1">
        <f t="array" aca="1" ref="AB432" ca="1">IFERROR(INDEX(H_Tables!H:H,MATCH(INDIRECT("k"&amp;ROW()),H_Tables!I:I,0)),"")</f>
        <v/>
      </c>
      <c r="AC432" t="str">
        <f t="shared" si="15"/>
        <v/>
      </c>
      <c r="AD432">
        <v>429</v>
      </c>
    </row>
    <row r="433" spans="13:30" ht="15" customHeight="1" x14ac:dyDescent="0.25">
      <c r="M433" t="s">
        <v>2474</v>
      </c>
      <c r="Z433" s="110">
        <f t="shared" si="14"/>
        <v>0</v>
      </c>
      <c r="AA433" t="str" cm="1">
        <f t="array" aca="1" ref="AA433" ca="1">IFERROR(INDEX(H_Tables!E:E,MATCH(INDIRECT("I"&amp;ROW()),H_Tables!F:F,0)),"")</f>
        <v/>
      </c>
      <c r="AB433" t="str" cm="1">
        <f t="array" aca="1" ref="AB433" ca="1">IFERROR(INDEX(H_Tables!H:H,MATCH(INDIRECT("k"&amp;ROW()),H_Tables!I:I,0)),"")</f>
        <v/>
      </c>
      <c r="AC433" t="str">
        <f t="shared" si="15"/>
        <v/>
      </c>
      <c r="AD433">
        <v>430</v>
      </c>
    </row>
    <row r="434" spans="13:30" ht="15" customHeight="1" x14ac:dyDescent="0.25">
      <c r="M434" t="s">
        <v>2474</v>
      </c>
      <c r="Z434" s="110">
        <f t="shared" si="14"/>
        <v>0</v>
      </c>
      <c r="AA434" t="str" cm="1">
        <f t="array" aca="1" ref="AA434" ca="1">IFERROR(INDEX(H_Tables!E:E,MATCH(INDIRECT("I"&amp;ROW()),H_Tables!F:F,0)),"")</f>
        <v/>
      </c>
      <c r="AB434" t="str" cm="1">
        <f t="array" aca="1" ref="AB434" ca="1">IFERROR(INDEX(H_Tables!H:H,MATCH(INDIRECT("k"&amp;ROW()),H_Tables!I:I,0)),"")</f>
        <v/>
      </c>
      <c r="AC434" t="str">
        <f t="shared" si="15"/>
        <v/>
      </c>
      <c r="AD434">
        <v>431</v>
      </c>
    </row>
    <row r="435" spans="13:30" ht="15" customHeight="1" x14ac:dyDescent="0.25">
      <c r="M435" t="s">
        <v>2474</v>
      </c>
      <c r="Z435" s="110">
        <f t="shared" si="14"/>
        <v>0</v>
      </c>
      <c r="AA435" t="str" cm="1">
        <f t="array" aca="1" ref="AA435" ca="1">IFERROR(INDEX(H_Tables!E:E,MATCH(INDIRECT("I"&amp;ROW()),H_Tables!F:F,0)),"")</f>
        <v/>
      </c>
      <c r="AB435" t="str" cm="1">
        <f t="array" aca="1" ref="AB435" ca="1">IFERROR(INDEX(H_Tables!H:H,MATCH(INDIRECT("k"&amp;ROW()),H_Tables!I:I,0)),"")</f>
        <v/>
      </c>
      <c r="AC435" t="str">
        <f t="shared" si="15"/>
        <v/>
      </c>
      <c r="AD435">
        <v>432</v>
      </c>
    </row>
    <row r="436" spans="13:30" ht="15" customHeight="1" x14ac:dyDescent="0.25">
      <c r="M436" t="s">
        <v>2474</v>
      </c>
      <c r="Z436" s="110">
        <f t="shared" si="14"/>
        <v>0</v>
      </c>
      <c r="AA436" t="str" cm="1">
        <f t="array" aca="1" ref="AA436" ca="1">IFERROR(INDEX(H_Tables!E:E,MATCH(INDIRECT("I"&amp;ROW()),H_Tables!F:F,0)),"")</f>
        <v/>
      </c>
      <c r="AB436" t="str" cm="1">
        <f t="array" aca="1" ref="AB436" ca="1">IFERROR(INDEX(H_Tables!H:H,MATCH(INDIRECT("k"&amp;ROW()),H_Tables!I:I,0)),"")</f>
        <v/>
      </c>
      <c r="AC436" t="str">
        <f t="shared" si="15"/>
        <v/>
      </c>
      <c r="AD436">
        <v>433</v>
      </c>
    </row>
    <row r="437" spans="13:30" ht="15" customHeight="1" x14ac:dyDescent="0.25">
      <c r="M437" t="s">
        <v>2474</v>
      </c>
      <c r="Z437" s="110">
        <f t="shared" si="14"/>
        <v>0</v>
      </c>
      <c r="AA437" t="str" cm="1">
        <f t="array" aca="1" ref="AA437" ca="1">IFERROR(INDEX(H_Tables!E:E,MATCH(INDIRECT("I"&amp;ROW()),H_Tables!F:F,0)),"")</f>
        <v/>
      </c>
      <c r="AB437" t="str" cm="1">
        <f t="array" aca="1" ref="AB437" ca="1">IFERROR(INDEX(H_Tables!H:H,MATCH(INDIRECT("k"&amp;ROW()),H_Tables!I:I,0)),"")</f>
        <v/>
      </c>
      <c r="AC437" t="str">
        <f t="shared" si="15"/>
        <v/>
      </c>
      <c r="AD437">
        <v>434</v>
      </c>
    </row>
    <row r="438" spans="13:30" ht="15" customHeight="1" x14ac:dyDescent="0.25">
      <c r="M438" t="s">
        <v>2474</v>
      </c>
      <c r="Z438" s="110">
        <f t="shared" si="14"/>
        <v>0</v>
      </c>
      <c r="AA438" t="str" cm="1">
        <f t="array" aca="1" ref="AA438" ca="1">IFERROR(INDEX(H_Tables!E:E,MATCH(INDIRECT("I"&amp;ROW()),H_Tables!F:F,0)),"")</f>
        <v/>
      </c>
      <c r="AB438" t="str" cm="1">
        <f t="array" aca="1" ref="AB438" ca="1">IFERROR(INDEX(H_Tables!H:H,MATCH(INDIRECT("k"&amp;ROW()),H_Tables!I:I,0)),"")</f>
        <v/>
      </c>
      <c r="AC438" t="str">
        <f t="shared" si="15"/>
        <v/>
      </c>
      <c r="AD438">
        <v>435</v>
      </c>
    </row>
    <row r="439" spans="13:30" ht="15" customHeight="1" x14ac:dyDescent="0.25">
      <c r="M439" t="s">
        <v>2474</v>
      </c>
      <c r="Z439" s="110">
        <f t="shared" si="14"/>
        <v>0</v>
      </c>
      <c r="AA439" t="str" cm="1">
        <f t="array" aca="1" ref="AA439" ca="1">IFERROR(INDEX(H_Tables!E:E,MATCH(INDIRECT("I"&amp;ROW()),H_Tables!F:F,0)),"")</f>
        <v/>
      </c>
      <c r="AB439" t="str" cm="1">
        <f t="array" aca="1" ref="AB439" ca="1">IFERROR(INDEX(H_Tables!H:H,MATCH(INDIRECT("k"&amp;ROW()),H_Tables!I:I,0)),"")</f>
        <v/>
      </c>
      <c r="AC439" t="str">
        <f t="shared" si="15"/>
        <v/>
      </c>
      <c r="AD439">
        <v>436</v>
      </c>
    </row>
    <row r="440" spans="13:30" ht="15" customHeight="1" x14ac:dyDescent="0.25">
      <c r="M440" t="s">
        <v>2474</v>
      </c>
      <c r="Z440" s="110">
        <f t="shared" si="14"/>
        <v>0</v>
      </c>
      <c r="AA440" t="str" cm="1">
        <f t="array" aca="1" ref="AA440" ca="1">IFERROR(INDEX(H_Tables!E:E,MATCH(INDIRECT("I"&amp;ROW()),H_Tables!F:F,0)),"")</f>
        <v/>
      </c>
      <c r="AB440" t="str" cm="1">
        <f t="array" aca="1" ref="AB440" ca="1">IFERROR(INDEX(H_Tables!H:H,MATCH(INDIRECT("k"&amp;ROW()),H_Tables!I:I,0)),"")</f>
        <v/>
      </c>
      <c r="AC440" t="str">
        <f t="shared" si="15"/>
        <v/>
      </c>
      <c r="AD440">
        <v>437</v>
      </c>
    </row>
    <row r="441" spans="13:30" ht="15" customHeight="1" x14ac:dyDescent="0.25">
      <c r="M441" t="s">
        <v>2474</v>
      </c>
      <c r="Z441" s="110">
        <f t="shared" si="14"/>
        <v>0</v>
      </c>
      <c r="AA441" t="str" cm="1">
        <f t="array" aca="1" ref="AA441" ca="1">IFERROR(INDEX(H_Tables!E:E,MATCH(INDIRECT("I"&amp;ROW()),H_Tables!F:F,0)),"")</f>
        <v/>
      </c>
      <c r="AB441" t="str" cm="1">
        <f t="array" aca="1" ref="AB441" ca="1">IFERROR(INDEX(H_Tables!H:H,MATCH(INDIRECT("k"&amp;ROW()),H_Tables!I:I,0)),"")</f>
        <v/>
      </c>
      <c r="AC441" t="str">
        <f t="shared" si="15"/>
        <v/>
      </c>
      <c r="AD441">
        <v>438</v>
      </c>
    </row>
    <row r="442" spans="13:30" ht="15" customHeight="1" x14ac:dyDescent="0.25">
      <c r="M442" t="s">
        <v>2474</v>
      </c>
      <c r="Z442" s="110">
        <f t="shared" si="14"/>
        <v>0</v>
      </c>
      <c r="AA442" t="str" cm="1">
        <f t="array" aca="1" ref="AA442" ca="1">IFERROR(INDEX(H_Tables!E:E,MATCH(INDIRECT("I"&amp;ROW()),H_Tables!F:F,0)),"")</f>
        <v/>
      </c>
      <c r="AB442" t="str" cm="1">
        <f t="array" aca="1" ref="AB442" ca="1">IFERROR(INDEX(H_Tables!H:H,MATCH(INDIRECT("k"&amp;ROW()),H_Tables!I:I,0)),"")</f>
        <v/>
      </c>
      <c r="AC442" t="str">
        <f t="shared" si="15"/>
        <v/>
      </c>
      <c r="AD442">
        <v>439</v>
      </c>
    </row>
    <row r="443" spans="13:30" ht="15" customHeight="1" x14ac:dyDescent="0.25">
      <c r="M443" t="s">
        <v>2474</v>
      </c>
      <c r="Z443" s="110">
        <f t="shared" si="14"/>
        <v>0</v>
      </c>
      <c r="AA443" t="str" cm="1">
        <f t="array" aca="1" ref="AA443" ca="1">IFERROR(INDEX(H_Tables!E:E,MATCH(INDIRECT("I"&amp;ROW()),H_Tables!F:F,0)),"")</f>
        <v/>
      </c>
      <c r="AB443" t="str" cm="1">
        <f t="array" aca="1" ref="AB443" ca="1">IFERROR(INDEX(H_Tables!H:H,MATCH(INDIRECT("k"&amp;ROW()),H_Tables!I:I,0)),"")</f>
        <v/>
      </c>
      <c r="AC443" t="str">
        <f t="shared" si="15"/>
        <v/>
      </c>
      <c r="AD443">
        <v>440</v>
      </c>
    </row>
    <row r="444" spans="13:30" ht="15" customHeight="1" x14ac:dyDescent="0.25">
      <c r="M444" t="s">
        <v>2474</v>
      </c>
      <c r="Z444" s="110">
        <f t="shared" si="14"/>
        <v>0</v>
      </c>
      <c r="AA444" t="str" cm="1">
        <f t="array" aca="1" ref="AA444" ca="1">IFERROR(INDEX(H_Tables!E:E,MATCH(INDIRECT("I"&amp;ROW()),H_Tables!F:F,0)),"")</f>
        <v/>
      </c>
      <c r="AB444" t="str" cm="1">
        <f t="array" aca="1" ref="AB444" ca="1">IFERROR(INDEX(H_Tables!H:H,MATCH(INDIRECT("k"&amp;ROW()),H_Tables!I:I,0)),"")</f>
        <v/>
      </c>
      <c r="AC444" t="str">
        <f t="shared" si="15"/>
        <v/>
      </c>
      <c r="AD444">
        <v>441</v>
      </c>
    </row>
    <row r="445" spans="13:30" ht="15" customHeight="1" x14ac:dyDescent="0.25">
      <c r="M445" t="s">
        <v>2474</v>
      </c>
      <c r="Z445" s="110">
        <f t="shared" si="14"/>
        <v>0</v>
      </c>
      <c r="AA445" t="str" cm="1">
        <f t="array" aca="1" ref="AA445" ca="1">IFERROR(INDEX(H_Tables!E:E,MATCH(INDIRECT("I"&amp;ROW()),H_Tables!F:F,0)),"")</f>
        <v/>
      </c>
      <c r="AB445" t="str" cm="1">
        <f t="array" aca="1" ref="AB445" ca="1">IFERROR(INDEX(H_Tables!H:H,MATCH(INDIRECT("k"&amp;ROW()),H_Tables!I:I,0)),"")</f>
        <v/>
      </c>
      <c r="AC445" t="str">
        <f t="shared" si="15"/>
        <v/>
      </c>
      <c r="AD445">
        <v>442</v>
      </c>
    </row>
    <row r="446" spans="13:30" ht="15" customHeight="1" x14ac:dyDescent="0.25">
      <c r="M446" t="s">
        <v>2474</v>
      </c>
      <c r="Z446" s="110">
        <f t="shared" si="14"/>
        <v>0</v>
      </c>
      <c r="AA446" t="str" cm="1">
        <f t="array" aca="1" ref="AA446" ca="1">IFERROR(INDEX(H_Tables!E:E,MATCH(INDIRECT("I"&amp;ROW()),H_Tables!F:F,0)),"")</f>
        <v/>
      </c>
      <c r="AB446" t="str" cm="1">
        <f t="array" aca="1" ref="AB446" ca="1">IFERROR(INDEX(H_Tables!H:H,MATCH(INDIRECT("k"&amp;ROW()),H_Tables!I:I,0)),"")</f>
        <v/>
      </c>
      <c r="AC446" t="str">
        <f t="shared" si="15"/>
        <v/>
      </c>
      <c r="AD446">
        <v>443</v>
      </c>
    </row>
    <row r="447" spans="13:30" ht="15" customHeight="1" x14ac:dyDescent="0.25">
      <c r="M447" t="s">
        <v>2474</v>
      </c>
      <c r="Z447" s="110">
        <f t="shared" si="14"/>
        <v>0</v>
      </c>
      <c r="AA447" t="str" cm="1">
        <f t="array" aca="1" ref="AA447" ca="1">IFERROR(INDEX(H_Tables!E:E,MATCH(INDIRECT("I"&amp;ROW()),H_Tables!F:F,0)),"")</f>
        <v/>
      </c>
      <c r="AB447" t="str" cm="1">
        <f t="array" aca="1" ref="AB447" ca="1">IFERROR(INDEX(H_Tables!H:H,MATCH(INDIRECT("k"&amp;ROW()),H_Tables!I:I,0)),"")</f>
        <v/>
      </c>
      <c r="AC447" t="str">
        <f t="shared" si="15"/>
        <v/>
      </c>
      <c r="AD447">
        <v>444</v>
      </c>
    </row>
    <row r="448" spans="13:30" ht="15" customHeight="1" x14ac:dyDescent="0.25">
      <c r="M448" t="s">
        <v>2474</v>
      </c>
      <c r="Z448" s="110">
        <f t="shared" si="14"/>
        <v>0</v>
      </c>
      <c r="AA448" t="str" cm="1">
        <f t="array" aca="1" ref="AA448" ca="1">IFERROR(INDEX(H_Tables!E:E,MATCH(INDIRECT("I"&amp;ROW()),H_Tables!F:F,0)),"")</f>
        <v/>
      </c>
      <c r="AB448" t="str" cm="1">
        <f t="array" aca="1" ref="AB448" ca="1">IFERROR(INDEX(H_Tables!H:H,MATCH(INDIRECT("k"&amp;ROW()),H_Tables!I:I,0)),"")</f>
        <v/>
      </c>
      <c r="AC448" t="str">
        <f t="shared" si="15"/>
        <v/>
      </c>
      <c r="AD448">
        <v>445</v>
      </c>
    </row>
    <row r="449" spans="13:30" ht="15" customHeight="1" x14ac:dyDescent="0.25">
      <c r="M449" t="s">
        <v>2474</v>
      </c>
      <c r="Z449" s="110">
        <f t="shared" si="14"/>
        <v>0</v>
      </c>
      <c r="AA449" t="str" cm="1">
        <f t="array" aca="1" ref="AA449" ca="1">IFERROR(INDEX(H_Tables!E:E,MATCH(INDIRECT("I"&amp;ROW()),H_Tables!F:F,0)),"")</f>
        <v/>
      </c>
      <c r="AB449" t="str" cm="1">
        <f t="array" aca="1" ref="AB449" ca="1">IFERROR(INDEX(H_Tables!H:H,MATCH(INDIRECT("k"&amp;ROW()),H_Tables!I:I,0)),"")</f>
        <v/>
      </c>
      <c r="AC449" t="str">
        <f t="shared" si="15"/>
        <v/>
      </c>
      <c r="AD449">
        <v>446</v>
      </c>
    </row>
    <row r="450" spans="13:30" ht="15" customHeight="1" x14ac:dyDescent="0.25">
      <c r="M450" t="s">
        <v>2474</v>
      </c>
      <c r="Z450" s="110">
        <f t="shared" ref="Z450:Z513" si="16">ROUND(IF((F450+G450)=0,0,S450/Y450),4)</f>
        <v>0</v>
      </c>
      <c r="AA450" t="str" cm="1">
        <f t="array" aca="1" ref="AA450" ca="1">IFERROR(INDEX(H_Tables!E:E,MATCH(INDIRECT("I"&amp;ROW()),H_Tables!F:F,0)),"")</f>
        <v/>
      </c>
      <c r="AB450" t="str" cm="1">
        <f t="array" aca="1" ref="AB450" ca="1">IFERROR(INDEX(H_Tables!H:H,MATCH(INDIRECT("k"&amp;ROW()),H_Tables!I:I,0)),"")</f>
        <v/>
      </c>
      <c r="AC450" t="str">
        <f t="shared" si="15"/>
        <v/>
      </c>
      <c r="AD450">
        <v>447</v>
      </c>
    </row>
    <row r="451" spans="13:30" ht="15" customHeight="1" x14ac:dyDescent="0.25">
      <c r="M451" t="s">
        <v>2474</v>
      </c>
      <c r="Z451" s="110">
        <f t="shared" si="16"/>
        <v>0</v>
      </c>
      <c r="AA451" t="str" cm="1">
        <f t="array" aca="1" ref="AA451" ca="1">IFERROR(INDEX(H_Tables!E:E,MATCH(INDIRECT("I"&amp;ROW()),H_Tables!F:F,0)),"")</f>
        <v/>
      </c>
      <c r="AB451" t="str" cm="1">
        <f t="array" aca="1" ref="AB451" ca="1">IFERROR(INDEX(H_Tables!H:H,MATCH(INDIRECT("k"&amp;ROW()),H_Tables!I:I,0)),"")</f>
        <v/>
      </c>
      <c r="AC451" t="str">
        <f t="shared" si="15"/>
        <v/>
      </c>
      <c r="AD451">
        <v>448</v>
      </c>
    </row>
    <row r="452" spans="13:30" ht="15" customHeight="1" x14ac:dyDescent="0.25">
      <c r="M452" t="s">
        <v>2474</v>
      </c>
      <c r="Z452" s="110">
        <f t="shared" si="16"/>
        <v>0</v>
      </c>
      <c r="AA452" t="str" cm="1">
        <f t="array" aca="1" ref="AA452" ca="1">IFERROR(INDEX(H_Tables!E:E,MATCH(INDIRECT("I"&amp;ROW()),H_Tables!F:F,0)),"")</f>
        <v/>
      </c>
      <c r="AB452" t="str" cm="1">
        <f t="array" aca="1" ref="AB452" ca="1">IFERROR(INDEX(H_Tables!H:H,MATCH(INDIRECT("k"&amp;ROW()),H_Tables!I:I,0)),"")</f>
        <v/>
      </c>
      <c r="AC452" t="str">
        <f t="shared" ref="AC452:AC515" si="17">_xlfn.TEXTJOIN(",",TRUE,M452:P452)</f>
        <v/>
      </c>
      <c r="AD452">
        <v>449</v>
      </c>
    </row>
    <row r="453" spans="13:30" ht="15" customHeight="1" x14ac:dyDescent="0.25">
      <c r="M453" t="s">
        <v>2474</v>
      </c>
      <c r="Z453" s="110">
        <f t="shared" si="16"/>
        <v>0</v>
      </c>
      <c r="AA453" t="str" cm="1">
        <f t="array" aca="1" ref="AA453" ca="1">IFERROR(INDEX(H_Tables!E:E,MATCH(INDIRECT("I"&amp;ROW()),H_Tables!F:F,0)),"")</f>
        <v/>
      </c>
      <c r="AB453" t="str" cm="1">
        <f t="array" aca="1" ref="AB453" ca="1">IFERROR(INDEX(H_Tables!H:H,MATCH(INDIRECT("k"&amp;ROW()),H_Tables!I:I,0)),"")</f>
        <v/>
      </c>
      <c r="AC453" t="str">
        <f t="shared" si="17"/>
        <v/>
      </c>
      <c r="AD453">
        <v>450</v>
      </c>
    </row>
    <row r="454" spans="13:30" ht="15" customHeight="1" x14ac:dyDescent="0.25">
      <c r="M454" t="s">
        <v>2474</v>
      </c>
      <c r="Z454" s="110">
        <f t="shared" si="16"/>
        <v>0</v>
      </c>
      <c r="AA454" t="str" cm="1">
        <f t="array" aca="1" ref="AA454" ca="1">IFERROR(INDEX(H_Tables!E:E,MATCH(INDIRECT("I"&amp;ROW()),H_Tables!F:F,0)),"")</f>
        <v/>
      </c>
      <c r="AB454" t="str" cm="1">
        <f t="array" aca="1" ref="AB454" ca="1">IFERROR(INDEX(H_Tables!H:H,MATCH(INDIRECT("k"&amp;ROW()),H_Tables!I:I,0)),"")</f>
        <v/>
      </c>
      <c r="AC454" t="str">
        <f t="shared" si="17"/>
        <v/>
      </c>
      <c r="AD454">
        <v>451</v>
      </c>
    </row>
    <row r="455" spans="13:30" ht="15" customHeight="1" x14ac:dyDescent="0.25">
      <c r="M455" t="s">
        <v>2474</v>
      </c>
      <c r="Z455" s="110">
        <f t="shared" si="16"/>
        <v>0</v>
      </c>
      <c r="AA455" t="str" cm="1">
        <f t="array" aca="1" ref="AA455" ca="1">IFERROR(INDEX(H_Tables!E:E,MATCH(INDIRECT("I"&amp;ROW()),H_Tables!F:F,0)),"")</f>
        <v/>
      </c>
      <c r="AB455" t="str" cm="1">
        <f t="array" aca="1" ref="AB455" ca="1">IFERROR(INDEX(H_Tables!H:H,MATCH(INDIRECT("k"&amp;ROW()),H_Tables!I:I,0)),"")</f>
        <v/>
      </c>
      <c r="AC455" t="str">
        <f t="shared" si="17"/>
        <v/>
      </c>
      <c r="AD455">
        <v>452</v>
      </c>
    </row>
    <row r="456" spans="13:30" ht="15" customHeight="1" x14ac:dyDescent="0.25">
      <c r="M456" t="s">
        <v>2474</v>
      </c>
      <c r="Z456" s="110">
        <f t="shared" si="16"/>
        <v>0</v>
      </c>
      <c r="AA456" t="str" cm="1">
        <f t="array" aca="1" ref="AA456" ca="1">IFERROR(INDEX(H_Tables!E:E,MATCH(INDIRECT("I"&amp;ROW()),H_Tables!F:F,0)),"")</f>
        <v/>
      </c>
      <c r="AB456" t="str" cm="1">
        <f t="array" aca="1" ref="AB456" ca="1">IFERROR(INDEX(H_Tables!H:H,MATCH(INDIRECT("k"&amp;ROW()),H_Tables!I:I,0)),"")</f>
        <v/>
      </c>
      <c r="AC456" t="str">
        <f t="shared" si="17"/>
        <v/>
      </c>
      <c r="AD456">
        <v>453</v>
      </c>
    </row>
    <row r="457" spans="13:30" ht="15" customHeight="1" x14ac:dyDescent="0.25">
      <c r="M457" t="s">
        <v>2474</v>
      </c>
      <c r="Z457" s="110">
        <f t="shared" si="16"/>
        <v>0</v>
      </c>
      <c r="AA457" t="str" cm="1">
        <f t="array" aca="1" ref="AA457" ca="1">IFERROR(INDEX(H_Tables!E:E,MATCH(INDIRECT("I"&amp;ROW()),H_Tables!F:F,0)),"")</f>
        <v/>
      </c>
      <c r="AB457" t="str" cm="1">
        <f t="array" aca="1" ref="AB457" ca="1">IFERROR(INDEX(H_Tables!H:H,MATCH(INDIRECT("k"&amp;ROW()),H_Tables!I:I,0)),"")</f>
        <v/>
      </c>
      <c r="AC457" t="str">
        <f t="shared" si="17"/>
        <v/>
      </c>
      <c r="AD457">
        <v>454</v>
      </c>
    </row>
    <row r="458" spans="13:30" ht="15" customHeight="1" x14ac:dyDescent="0.25">
      <c r="M458" t="s">
        <v>2474</v>
      </c>
      <c r="Z458" s="110">
        <f t="shared" si="16"/>
        <v>0</v>
      </c>
      <c r="AA458" t="str" cm="1">
        <f t="array" aca="1" ref="AA458" ca="1">IFERROR(INDEX(H_Tables!E:E,MATCH(INDIRECT("I"&amp;ROW()),H_Tables!F:F,0)),"")</f>
        <v/>
      </c>
      <c r="AB458" t="str" cm="1">
        <f t="array" aca="1" ref="AB458" ca="1">IFERROR(INDEX(H_Tables!H:H,MATCH(INDIRECT("k"&amp;ROW()),H_Tables!I:I,0)),"")</f>
        <v/>
      </c>
      <c r="AC458" t="str">
        <f t="shared" si="17"/>
        <v/>
      </c>
      <c r="AD458">
        <v>455</v>
      </c>
    </row>
    <row r="459" spans="13:30" ht="15" customHeight="1" x14ac:dyDescent="0.25">
      <c r="M459" t="s">
        <v>2474</v>
      </c>
      <c r="Z459" s="110">
        <f t="shared" si="16"/>
        <v>0</v>
      </c>
      <c r="AA459" t="str" cm="1">
        <f t="array" aca="1" ref="AA459" ca="1">IFERROR(INDEX(H_Tables!E:E,MATCH(INDIRECT("I"&amp;ROW()),H_Tables!F:F,0)),"")</f>
        <v/>
      </c>
      <c r="AB459" t="str" cm="1">
        <f t="array" aca="1" ref="AB459" ca="1">IFERROR(INDEX(H_Tables!H:H,MATCH(INDIRECT("k"&amp;ROW()),H_Tables!I:I,0)),"")</f>
        <v/>
      </c>
      <c r="AC459" t="str">
        <f t="shared" si="17"/>
        <v/>
      </c>
      <c r="AD459">
        <v>456</v>
      </c>
    </row>
    <row r="460" spans="13:30" ht="15" customHeight="1" x14ac:dyDescent="0.25">
      <c r="M460" t="s">
        <v>2474</v>
      </c>
      <c r="Z460" s="110">
        <f t="shared" si="16"/>
        <v>0</v>
      </c>
      <c r="AA460" t="str" cm="1">
        <f t="array" aca="1" ref="AA460" ca="1">IFERROR(INDEX(H_Tables!E:E,MATCH(INDIRECT("I"&amp;ROW()),H_Tables!F:F,0)),"")</f>
        <v/>
      </c>
      <c r="AB460" t="str" cm="1">
        <f t="array" aca="1" ref="AB460" ca="1">IFERROR(INDEX(H_Tables!H:H,MATCH(INDIRECT("k"&amp;ROW()),H_Tables!I:I,0)),"")</f>
        <v/>
      </c>
      <c r="AC460" t="str">
        <f t="shared" si="17"/>
        <v/>
      </c>
      <c r="AD460">
        <v>457</v>
      </c>
    </row>
    <row r="461" spans="13:30" ht="15" customHeight="1" x14ac:dyDescent="0.25">
      <c r="M461" t="s">
        <v>2474</v>
      </c>
      <c r="Z461" s="110">
        <f t="shared" si="16"/>
        <v>0</v>
      </c>
      <c r="AA461" t="str" cm="1">
        <f t="array" aca="1" ref="AA461" ca="1">IFERROR(INDEX(H_Tables!E:E,MATCH(INDIRECT("I"&amp;ROW()),H_Tables!F:F,0)),"")</f>
        <v/>
      </c>
      <c r="AB461" t="str" cm="1">
        <f t="array" aca="1" ref="AB461" ca="1">IFERROR(INDEX(H_Tables!H:H,MATCH(INDIRECT("k"&amp;ROW()),H_Tables!I:I,0)),"")</f>
        <v/>
      </c>
      <c r="AC461" t="str">
        <f t="shared" si="17"/>
        <v/>
      </c>
      <c r="AD461">
        <v>458</v>
      </c>
    </row>
    <row r="462" spans="13:30" ht="15" customHeight="1" x14ac:dyDescent="0.25">
      <c r="M462" t="s">
        <v>2474</v>
      </c>
      <c r="Z462" s="110">
        <f t="shared" si="16"/>
        <v>0</v>
      </c>
      <c r="AA462" t="str" cm="1">
        <f t="array" aca="1" ref="AA462" ca="1">IFERROR(INDEX(H_Tables!E:E,MATCH(INDIRECT("I"&amp;ROW()),H_Tables!F:F,0)),"")</f>
        <v/>
      </c>
      <c r="AB462" t="str" cm="1">
        <f t="array" aca="1" ref="AB462" ca="1">IFERROR(INDEX(H_Tables!H:H,MATCH(INDIRECT("k"&amp;ROW()),H_Tables!I:I,0)),"")</f>
        <v/>
      </c>
      <c r="AC462" t="str">
        <f t="shared" si="17"/>
        <v/>
      </c>
      <c r="AD462">
        <v>459</v>
      </c>
    </row>
    <row r="463" spans="13:30" ht="15" customHeight="1" x14ac:dyDescent="0.25">
      <c r="M463" t="s">
        <v>2474</v>
      </c>
      <c r="Z463" s="110">
        <f t="shared" si="16"/>
        <v>0</v>
      </c>
      <c r="AA463" t="str" cm="1">
        <f t="array" aca="1" ref="AA463" ca="1">IFERROR(INDEX(H_Tables!E:E,MATCH(INDIRECT("I"&amp;ROW()),H_Tables!F:F,0)),"")</f>
        <v/>
      </c>
      <c r="AB463" t="str" cm="1">
        <f t="array" aca="1" ref="AB463" ca="1">IFERROR(INDEX(H_Tables!H:H,MATCH(INDIRECT("k"&amp;ROW()),H_Tables!I:I,0)),"")</f>
        <v/>
      </c>
      <c r="AC463" t="str">
        <f t="shared" si="17"/>
        <v/>
      </c>
      <c r="AD463">
        <v>460</v>
      </c>
    </row>
    <row r="464" spans="13:30" ht="15" customHeight="1" x14ac:dyDescent="0.25">
      <c r="M464" t="s">
        <v>2474</v>
      </c>
      <c r="Z464" s="110">
        <f t="shared" si="16"/>
        <v>0</v>
      </c>
      <c r="AA464" t="str" cm="1">
        <f t="array" aca="1" ref="AA464" ca="1">IFERROR(INDEX(H_Tables!E:E,MATCH(INDIRECT("I"&amp;ROW()),H_Tables!F:F,0)),"")</f>
        <v/>
      </c>
      <c r="AB464" t="str" cm="1">
        <f t="array" aca="1" ref="AB464" ca="1">IFERROR(INDEX(H_Tables!H:H,MATCH(INDIRECT("k"&amp;ROW()),H_Tables!I:I,0)),"")</f>
        <v/>
      </c>
      <c r="AC464" t="str">
        <f t="shared" si="17"/>
        <v/>
      </c>
      <c r="AD464">
        <v>461</v>
      </c>
    </row>
    <row r="465" spans="13:30" ht="15" customHeight="1" x14ac:dyDescent="0.25">
      <c r="M465" t="s">
        <v>2474</v>
      </c>
      <c r="Z465" s="110">
        <f t="shared" si="16"/>
        <v>0</v>
      </c>
      <c r="AA465" t="str" cm="1">
        <f t="array" aca="1" ref="AA465" ca="1">IFERROR(INDEX(H_Tables!E:E,MATCH(INDIRECT("I"&amp;ROW()),H_Tables!F:F,0)),"")</f>
        <v/>
      </c>
      <c r="AB465" t="str" cm="1">
        <f t="array" aca="1" ref="AB465" ca="1">IFERROR(INDEX(H_Tables!H:H,MATCH(INDIRECT("k"&amp;ROW()),H_Tables!I:I,0)),"")</f>
        <v/>
      </c>
      <c r="AC465" t="str">
        <f t="shared" si="17"/>
        <v/>
      </c>
      <c r="AD465">
        <v>462</v>
      </c>
    </row>
    <row r="466" spans="13:30" ht="15" customHeight="1" x14ac:dyDescent="0.25">
      <c r="M466" t="s">
        <v>2474</v>
      </c>
      <c r="Z466" s="110">
        <f t="shared" si="16"/>
        <v>0</v>
      </c>
      <c r="AA466" t="str" cm="1">
        <f t="array" aca="1" ref="AA466" ca="1">IFERROR(INDEX(H_Tables!E:E,MATCH(INDIRECT("I"&amp;ROW()),H_Tables!F:F,0)),"")</f>
        <v/>
      </c>
      <c r="AB466" t="str" cm="1">
        <f t="array" aca="1" ref="AB466" ca="1">IFERROR(INDEX(H_Tables!H:H,MATCH(INDIRECT("k"&amp;ROW()),H_Tables!I:I,0)),"")</f>
        <v/>
      </c>
      <c r="AC466" t="str">
        <f t="shared" si="17"/>
        <v/>
      </c>
      <c r="AD466">
        <v>463</v>
      </c>
    </row>
    <row r="467" spans="13:30" ht="15" customHeight="1" x14ac:dyDescent="0.25">
      <c r="M467" t="s">
        <v>2474</v>
      </c>
      <c r="Z467" s="110">
        <f t="shared" si="16"/>
        <v>0</v>
      </c>
      <c r="AA467" t="str" cm="1">
        <f t="array" aca="1" ref="AA467" ca="1">IFERROR(INDEX(H_Tables!E:E,MATCH(INDIRECT("I"&amp;ROW()),H_Tables!F:F,0)),"")</f>
        <v/>
      </c>
      <c r="AB467" t="str" cm="1">
        <f t="array" aca="1" ref="AB467" ca="1">IFERROR(INDEX(H_Tables!H:H,MATCH(INDIRECT("k"&amp;ROW()),H_Tables!I:I,0)),"")</f>
        <v/>
      </c>
      <c r="AC467" t="str">
        <f t="shared" si="17"/>
        <v/>
      </c>
      <c r="AD467">
        <v>464</v>
      </c>
    </row>
    <row r="468" spans="13:30" ht="15" customHeight="1" x14ac:dyDescent="0.25">
      <c r="M468" t="s">
        <v>2474</v>
      </c>
      <c r="Z468" s="110">
        <f t="shared" si="16"/>
        <v>0</v>
      </c>
      <c r="AA468" t="str" cm="1">
        <f t="array" aca="1" ref="AA468" ca="1">IFERROR(INDEX(H_Tables!E:E,MATCH(INDIRECT("I"&amp;ROW()),H_Tables!F:F,0)),"")</f>
        <v/>
      </c>
      <c r="AB468" t="str" cm="1">
        <f t="array" aca="1" ref="AB468" ca="1">IFERROR(INDEX(H_Tables!H:H,MATCH(INDIRECT("k"&amp;ROW()),H_Tables!I:I,0)),"")</f>
        <v/>
      </c>
      <c r="AC468" t="str">
        <f t="shared" si="17"/>
        <v/>
      </c>
      <c r="AD468">
        <v>465</v>
      </c>
    </row>
    <row r="469" spans="13:30" ht="15" customHeight="1" x14ac:dyDescent="0.25">
      <c r="M469" t="s">
        <v>2474</v>
      </c>
      <c r="Z469" s="110">
        <f t="shared" si="16"/>
        <v>0</v>
      </c>
      <c r="AA469" t="str" cm="1">
        <f t="array" aca="1" ref="AA469" ca="1">IFERROR(INDEX(H_Tables!E:E,MATCH(INDIRECT("I"&amp;ROW()),H_Tables!F:F,0)),"")</f>
        <v/>
      </c>
      <c r="AB469" t="str" cm="1">
        <f t="array" aca="1" ref="AB469" ca="1">IFERROR(INDEX(H_Tables!H:H,MATCH(INDIRECT("k"&amp;ROW()),H_Tables!I:I,0)),"")</f>
        <v/>
      </c>
      <c r="AC469" t="str">
        <f t="shared" si="17"/>
        <v/>
      </c>
      <c r="AD469">
        <v>466</v>
      </c>
    </row>
    <row r="470" spans="13:30" ht="15" customHeight="1" x14ac:dyDescent="0.25">
      <c r="M470" t="s">
        <v>2474</v>
      </c>
      <c r="Z470" s="110">
        <f t="shared" si="16"/>
        <v>0</v>
      </c>
      <c r="AA470" t="str" cm="1">
        <f t="array" aca="1" ref="AA470" ca="1">IFERROR(INDEX(H_Tables!E:E,MATCH(INDIRECT("I"&amp;ROW()),H_Tables!F:F,0)),"")</f>
        <v/>
      </c>
      <c r="AB470" t="str" cm="1">
        <f t="array" aca="1" ref="AB470" ca="1">IFERROR(INDEX(H_Tables!H:H,MATCH(INDIRECT("k"&amp;ROW()),H_Tables!I:I,0)),"")</f>
        <v/>
      </c>
      <c r="AC470" t="str">
        <f t="shared" si="17"/>
        <v/>
      </c>
      <c r="AD470">
        <v>467</v>
      </c>
    </row>
    <row r="471" spans="13:30" ht="15" customHeight="1" x14ac:dyDescent="0.25">
      <c r="M471" t="s">
        <v>2474</v>
      </c>
      <c r="Z471" s="110">
        <f t="shared" si="16"/>
        <v>0</v>
      </c>
      <c r="AA471" t="str" cm="1">
        <f t="array" aca="1" ref="AA471" ca="1">IFERROR(INDEX(H_Tables!E:E,MATCH(INDIRECT("I"&amp;ROW()),H_Tables!F:F,0)),"")</f>
        <v/>
      </c>
      <c r="AB471" t="str" cm="1">
        <f t="array" aca="1" ref="AB471" ca="1">IFERROR(INDEX(H_Tables!H:H,MATCH(INDIRECT("k"&amp;ROW()),H_Tables!I:I,0)),"")</f>
        <v/>
      </c>
      <c r="AC471" t="str">
        <f t="shared" si="17"/>
        <v/>
      </c>
      <c r="AD471">
        <v>468</v>
      </c>
    </row>
    <row r="472" spans="13:30" ht="15" customHeight="1" x14ac:dyDescent="0.25">
      <c r="M472" t="s">
        <v>2474</v>
      </c>
      <c r="Z472" s="110">
        <f t="shared" si="16"/>
        <v>0</v>
      </c>
      <c r="AA472" t="str" cm="1">
        <f t="array" aca="1" ref="AA472" ca="1">IFERROR(INDEX(H_Tables!E:E,MATCH(INDIRECT("I"&amp;ROW()),H_Tables!F:F,0)),"")</f>
        <v/>
      </c>
      <c r="AB472" t="str" cm="1">
        <f t="array" aca="1" ref="AB472" ca="1">IFERROR(INDEX(H_Tables!H:H,MATCH(INDIRECT("k"&amp;ROW()),H_Tables!I:I,0)),"")</f>
        <v/>
      </c>
      <c r="AC472" t="str">
        <f t="shared" si="17"/>
        <v/>
      </c>
      <c r="AD472">
        <v>469</v>
      </c>
    </row>
    <row r="473" spans="13:30" ht="15" customHeight="1" x14ac:dyDescent="0.25">
      <c r="M473" t="s">
        <v>2474</v>
      </c>
      <c r="Z473" s="110">
        <f t="shared" si="16"/>
        <v>0</v>
      </c>
      <c r="AA473" t="str" cm="1">
        <f t="array" aca="1" ref="AA473" ca="1">IFERROR(INDEX(H_Tables!E:E,MATCH(INDIRECT("I"&amp;ROW()),H_Tables!F:F,0)),"")</f>
        <v/>
      </c>
      <c r="AB473" t="str" cm="1">
        <f t="array" aca="1" ref="AB473" ca="1">IFERROR(INDEX(H_Tables!H:H,MATCH(INDIRECT("k"&amp;ROW()),H_Tables!I:I,0)),"")</f>
        <v/>
      </c>
      <c r="AC473" t="str">
        <f t="shared" si="17"/>
        <v/>
      </c>
      <c r="AD473">
        <v>470</v>
      </c>
    </row>
    <row r="474" spans="13:30" ht="15" customHeight="1" x14ac:dyDescent="0.25">
      <c r="M474" t="s">
        <v>2474</v>
      </c>
      <c r="Z474" s="110">
        <f t="shared" si="16"/>
        <v>0</v>
      </c>
      <c r="AA474" t="str" cm="1">
        <f t="array" aca="1" ref="AA474" ca="1">IFERROR(INDEX(H_Tables!E:E,MATCH(INDIRECT("I"&amp;ROW()),H_Tables!F:F,0)),"")</f>
        <v/>
      </c>
      <c r="AB474" t="str" cm="1">
        <f t="array" aca="1" ref="AB474" ca="1">IFERROR(INDEX(H_Tables!H:H,MATCH(INDIRECT("k"&amp;ROW()),H_Tables!I:I,0)),"")</f>
        <v/>
      </c>
      <c r="AC474" t="str">
        <f t="shared" si="17"/>
        <v/>
      </c>
      <c r="AD474">
        <v>471</v>
      </c>
    </row>
    <row r="475" spans="13:30" ht="15" customHeight="1" x14ac:dyDescent="0.25">
      <c r="M475" t="s">
        <v>2474</v>
      </c>
      <c r="Z475" s="110">
        <f t="shared" si="16"/>
        <v>0</v>
      </c>
      <c r="AA475" t="str" cm="1">
        <f t="array" aca="1" ref="AA475" ca="1">IFERROR(INDEX(H_Tables!E:E,MATCH(INDIRECT("I"&amp;ROW()),H_Tables!F:F,0)),"")</f>
        <v/>
      </c>
      <c r="AB475" t="str" cm="1">
        <f t="array" aca="1" ref="AB475" ca="1">IFERROR(INDEX(H_Tables!H:H,MATCH(INDIRECT("k"&amp;ROW()),H_Tables!I:I,0)),"")</f>
        <v/>
      </c>
      <c r="AC475" t="str">
        <f t="shared" si="17"/>
        <v/>
      </c>
      <c r="AD475">
        <v>472</v>
      </c>
    </row>
    <row r="476" spans="13:30" ht="15" customHeight="1" x14ac:dyDescent="0.25">
      <c r="M476" t="s">
        <v>2474</v>
      </c>
      <c r="Z476" s="110">
        <f t="shared" si="16"/>
        <v>0</v>
      </c>
      <c r="AA476" t="str" cm="1">
        <f t="array" aca="1" ref="AA476" ca="1">IFERROR(INDEX(H_Tables!E:E,MATCH(INDIRECT("I"&amp;ROW()),H_Tables!F:F,0)),"")</f>
        <v/>
      </c>
      <c r="AB476" t="str" cm="1">
        <f t="array" aca="1" ref="AB476" ca="1">IFERROR(INDEX(H_Tables!H:H,MATCH(INDIRECT("k"&amp;ROW()),H_Tables!I:I,0)),"")</f>
        <v/>
      </c>
      <c r="AC476" t="str">
        <f t="shared" si="17"/>
        <v/>
      </c>
      <c r="AD476">
        <v>473</v>
      </c>
    </row>
    <row r="477" spans="13:30" ht="15" customHeight="1" x14ac:dyDescent="0.25">
      <c r="M477" t="s">
        <v>2474</v>
      </c>
      <c r="Z477" s="110">
        <f t="shared" si="16"/>
        <v>0</v>
      </c>
      <c r="AA477" t="str" cm="1">
        <f t="array" aca="1" ref="AA477" ca="1">IFERROR(INDEX(H_Tables!E:E,MATCH(INDIRECT("I"&amp;ROW()),H_Tables!F:F,0)),"")</f>
        <v/>
      </c>
      <c r="AB477" t="str" cm="1">
        <f t="array" aca="1" ref="AB477" ca="1">IFERROR(INDEX(H_Tables!H:H,MATCH(INDIRECT("k"&amp;ROW()),H_Tables!I:I,0)),"")</f>
        <v/>
      </c>
      <c r="AC477" t="str">
        <f t="shared" si="17"/>
        <v/>
      </c>
      <c r="AD477">
        <v>474</v>
      </c>
    </row>
    <row r="478" spans="13:30" ht="15" customHeight="1" x14ac:dyDescent="0.25">
      <c r="M478" t="s">
        <v>2474</v>
      </c>
      <c r="Z478" s="110">
        <f t="shared" si="16"/>
        <v>0</v>
      </c>
      <c r="AA478" t="str" cm="1">
        <f t="array" aca="1" ref="AA478" ca="1">IFERROR(INDEX(H_Tables!E:E,MATCH(INDIRECT("I"&amp;ROW()),H_Tables!F:F,0)),"")</f>
        <v/>
      </c>
      <c r="AB478" t="str" cm="1">
        <f t="array" aca="1" ref="AB478" ca="1">IFERROR(INDEX(H_Tables!H:H,MATCH(INDIRECT("k"&amp;ROW()),H_Tables!I:I,0)),"")</f>
        <v/>
      </c>
      <c r="AC478" t="str">
        <f t="shared" si="17"/>
        <v/>
      </c>
      <c r="AD478">
        <v>475</v>
      </c>
    </row>
    <row r="479" spans="13:30" ht="15" customHeight="1" x14ac:dyDescent="0.25">
      <c r="M479" t="s">
        <v>2474</v>
      </c>
      <c r="Z479" s="110">
        <f t="shared" si="16"/>
        <v>0</v>
      </c>
      <c r="AA479" t="str" cm="1">
        <f t="array" aca="1" ref="AA479" ca="1">IFERROR(INDEX(H_Tables!E:E,MATCH(INDIRECT("I"&amp;ROW()),H_Tables!F:F,0)),"")</f>
        <v/>
      </c>
      <c r="AB479" t="str" cm="1">
        <f t="array" aca="1" ref="AB479" ca="1">IFERROR(INDEX(H_Tables!H:H,MATCH(INDIRECT("k"&amp;ROW()),H_Tables!I:I,0)),"")</f>
        <v/>
      </c>
      <c r="AC479" t="str">
        <f t="shared" si="17"/>
        <v/>
      </c>
      <c r="AD479">
        <v>476</v>
      </c>
    </row>
    <row r="480" spans="13:30" ht="15" customHeight="1" x14ac:dyDescent="0.25">
      <c r="M480" t="s">
        <v>2474</v>
      </c>
      <c r="Z480" s="110">
        <f t="shared" si="16"/>
        <v>0</v>
      </c>
      <c r="AA480" t="str" cm="1">
        <f t="array" aca="1" ref="AA480" ca="1">IFERROR(INDEX(H_Tables!E:E,MATCH(INDIRECT("I"&amp;ROW()),H_Tables!F:F,0)),"")</f>
        <v/>
      </c>
      <c r="AB480" t="str" cm="1">
        <f t="array" aca="1" ref="AB480" ca="1">IFERROR(INDEX(H_Tables!H:H,MATCH(INDIRECT("k"&amp;ROW()),H_Tables!I:I,0)),"")</f>
        <v/>
      </c>
      <c r="AC480" t="str">
        <f t="shared" si="17"/>
        <v/>
      </c>
      <c r="AD480">
        <v>477</v>
      </c>
    </row>
    <row r="481" spans="13:30" ht="15" customHeight="1" x14ac:dyDescent="0.25">
      <c r="M481" t="s">
        <v>2474</v>
      </c>
      <c r="Z481" s="110">
        <f t="shared" si="16"/>
        <v>0</v>
      </c>
      <c r="AA481" t="str" cm="1">
        <f t="array" aca="1" ref="AA481" ca="1">IFERROR(INDEX(H_Tables!E:E,MATCH(INDIRECT("I"&amp;ROW()),H_Tables!F:F,0)),"")</f>
        <v/>
      </c>
      <c r="AB481" t="str" cm="1">
        <f t="array" aca="1" ref="AB481" ca="1">IFERROR(INDEX(H_Tables!H:H,MATCH(INDIRECT("k"&amp;ROW()),H_Tables!I:I,0)),"")</f>
        <v/>
      </c>
      <c r="AC481" t="str">
        <f t="shared" si="17"/>
        <v/>
      </c>
      <c r="AD481">
        <v>478</v>
      </c>
    </row>
    <row r="482" spans="13:30" ht="15" customHeight="1" x14ac:dyDescent="0.25">
      <c r="M482" t="s">
        <v>2474</v>
      </c>
      <c r="Z482" s="110">
        <f t="shared" si="16"/>
        <v>0</v>
      </c>
      <c r="AA482" t="str" cm="1">
        <f t="array" aca="1" ref="AA482" ca="1">IFERROR(INDEX(H_Tables!E:E,MATCH(INDIRECT("I"&amp;ROW()),H_Tables!F:F,0)),"")</f>
        <v/>
      </c>
      <c r="AB482" t="str" cm="1">
        <f t="array" aca="1" ref="AB482" ca="1">IFERROR(INDEX(H_Tables!H:H,MATCH(INDIRECT("k"&amp;ROW()),H_Tables!I:I,0)),"")</f>
        <v/>
      </c>
      <c r="AC482" t="str">
        <f t="shared" si="17"/>
        <v/>
      </c>
      <c r="AD482">
        <v>479</v>
      </c>
    </row>
    <row r="483" spans="13:30" ht="15" customHeight="1" x14ac:dyDescent="0.25">
      <c r="M483" t="s">
        <v>2474</v>
      </c>
      <c r="Z483" s="110">
        <f t="shared" si="16"/>
        <v>0</v>
      </c>
      <c r="AA483" t="str" cm="1">
        <f t="array" aca="1" ref="AA483" ca="1">IFERROR(INDEX(H_Tables!E:E,MATCH(INDIRECT("I"&amp;ROW()),H_Tables!F:F,0)),"")</f>
        <v/>
      </c>
      <c r="AB483" t="str" cm="1">
        <f t="array" aca="1" ref="AB483" ca="1">IFERROR(INDEX(H_Tables!H:H,MATCH(INDIRECT("k"&amp;ROW()),H_Tables!I:I,0)),"")</f>
        <v/>
      </c>
      <c r="AC483" t="str">
        <f t="shared" si="17"/>
        <v/>
      </c>
      <c r="AD483">
        <v>480</v>
      </c>
    </row>
    <row r="484" spans="13:30" ht="15" customHeight="1" x14ac:dyDescent="0.25">
      <c r="M484" t="s">
        <v>2474</v>
      </c>
      <c r="Z484" s="110">
        <f t="shared" si="16"/>
        <v>0</v>
      </c>
      <c r="AA484" t="str" cm="1">
        <f t="array" aca="1" ref="AA484" ca="1">IFERROR(INDEX(H_Tables!E:E,MATCH(INDIRECT("I"&amp;ROW()),H_Tables!F:F,0)),"")</f>
        <v/>
      </c>
      <c r="AB484" t="str" cm="1">
        <f t="array" aca="1" ref="AB484" ca="1">IFERROR(INDEX(H_Tables!H:H,MATCH(INDIRECT("k"&amp;ROW()),H_Tables!I:I,0)),"")</f>
        <v/>
      </c>
      <c r="AC484" t="str">
        <f t="shared" si="17"/>
        <v/>
      </c>
      <c r="AD484">
        <v>481</v>
      </c>
    </row>
    <row r="485" spans="13:30" ht="15" customHeight="1" x14ac:dyDescent="0.25">
      <c r="M485" t="s">
        <v>2474</v>
      </c>
      <c r="Z485" s="110">
        <f t="shared" si="16"/>
        <v>0</v>
      </c>
      <c r="AA485" t="str" cm="1">
        <f t="array" aca="1" ref="AA485" ca="1">IFERROR(INDEX(H_Tables!E:E,MATCH(INDIRECT("I"&amp;ROW()),H_Tables!F:F,0)),"")</f>
        <v/>
      </c>
      <c r="AB485" t="str" cm="1">
        <f t="array" aca="1" ref="AB485" ca="1">IFERROR(INDEX(H_Tables!H:H,MATCH(INDIRECT("k"&amp;ROW()),H_Tables!I:I,0)),"")</f>
        <v/>
      </c>
      <c r="AC485" t="str">
        <f t="shared" si="17"/>
        <v/>
      </c>
      <c r="AD485">
        <v>482</v>
      </c>
    </row>
    <row r="486" spans="13:30" ht="15" customHeight="1" x14ac:dyDescent="0.25">
      <c r="M486" t="s">
        <v>2474</v>
      </c>
      <c r="Z486" s="110">
        <f t="shared" si="16"/>
        <v>0</v>
      </c>
      <c r="AA486" t="str" cm="1">
        <f t="array" aca="1" ref="AA486" ca="1">IFERROR(INDEX(H_Tables!E:E,MATCH(INDIRECT("I"&amp;ROW()),H_Tables!F:F,0)),"")</f>
        <v/>
      </c>
      <c r="AB486" t="str" cm="1">
        <f t="array" aca="1" ref="AB486" ca="1">IFERROR(INDEX(H_Tables!H:H,MATCH(INDIRECT("k"&amp;ROW()),H_Tables!I:I,0)),"")</f>
        <v/>
      </c>
      <c r="AC486" t="str">
        <f t="shared" si="17"/>
        <v/>
      </c>
      <c r="AD486">
        <v>483</v>
      </c>
    </row>
    <row r="487" spans="13:30" ht="15" customHeight="1" x14ac:dyDescent="0.25">
      <c r="M487" t="s">
        <v>2474</v>
      </c>
      <c r="Z487" s="110">
        <f t="shared" si="16"/>
        <v>0</v>
      </c>
      <c r="AA487" t="str" cm="1">
        <f t="array" aca="1" ref="AA487" ca="1">IFERROR(INDEX(H_Tables!E:E,MATCH(INDIRECT("I"&amp;ROW()),H_Tables!F:F,0)),"")</f>
        <v/>
      </c>
      <c r="AB487" t="str" cm="1">
        <f t="array" aca="1" ref="AB487" ca="1">IFERROR(INDEX(H_Tables!H:H,MATCH(INDIRECT("k"&amp;ROW()),H_Tables!I:I,0)),"")</f>
        <v/>
      </c>
      <c r="AC487" t="str">
        <f t="shared" si="17"/>
        <v/>
      </c>
      <c r="AD487">
        <v>484</v>
      </c>
    </row>
    <row r="488" spans="13:30" ht="15" customHeight="1" x14ac:dyDescent="0.25">
      <c r="M488" t="s">
        <v>2474</v>
      </c>
      <c r="Z488" s="110">
        <f t="shared" si="16"/>
        <v>0</v>
      </c>
      <c r="AA488" t="str" cm="1">
        <f t="array" aca="1" ref="AA488" ca="1">IFERROR(INDEX(H_Tables!E:E,MATCH(INDIRECT("I"&amp;ROW()),H_Tables!F:F,0)),"")</f>
        <v/>
      </c>
      <c r="AB488" t="str" cm="1">
        <f t="array" aca="1" ref="AB488" ca="1">IFERROR(INDEX(H_Tables!H:H,MATCH(INDIRECT("k"&amp;ROW()),H_Tables!I:I,0)),"")</f>
        <v/>
      </c>
      <c r="AC488" t="str">
        <f t="shared" si="17"/>
        <v/>
      </c>
      <c r="AD488">
        <v>485</v>
      </c>
    </row>
    <row r="489" spans="13:30" ht="15" customHeight="1" x14ac:dyDescent="0.25">
      <c r="M489" t="s">
        <v>2474</v>
      </c>
      <c r="Z489" s="110">
        <f t="shared" si="16"/>
        <v>0</v>
      </c>
      <c r="AA489" t="str" cm="1">
        <f t="array" aca="1" ref="AA489" ca="1">IFERROR(INDEX(H_Tables!E:E,MATCH(INDIRECT("I"&amp;ROW()),H_Tables!F:F,0)),"")</f>
        <v/>
      </c>
      <c r="AB489" t="str" cm="1">
        <f t="array" aca="1" ref="AB489" ca="1">IFERROR(INDEX(H_Tables!H:H,MATCH(INDIRECT("k"&amp;ROW()),H_Tables!I:I,0)),"")</f>
        <v/>
      </c>
      <c r="AC489" t="str">
        <f t="shared" si="17"/>
        <v/>
      </c>
      <c r="AD489">
        <v>486</v>
      </c>
    </row>
    <row r="490" spans="13:30" ht="15" customHeight="1" x14ac:dyDescent="0.25">
      <c r="M490" t="s">
        <v>2474</v>
      </c>
      <c r="Z490" s="110">
        <f t="shared" si="16"/>
        <v>0</v>
      </c>
      <c r="AA490" t="str" cm="1">
        <f t="array" aca="1" ref="AA490" ca="1">IFERROR(INDEX(H_Tables!E:E,MATCH(INDIRECT("I"&amp;ROW()),H_Tables!F:F,0)),"")</f>
        <v/>
      </c>
      <c r="AB490" t="str" cm="1">
        <f t="array" aca="1" ref="AB490" ca="1">IFERROR(INDEX(H_Tables!H:H,MATCH(INDIRECT("k"&amp;ROW()),H_Tables!I:I,0)),"")</f>
        <v/>
      </c>
      <c r="AC490" t="str">
        <f t="shared" si="17"/>
        <v/>
      </c>
      <c r="AD490">
        <v>487</v>
      </c>
    </row>
    <row r="491" spans="13:30" ht="15" customHeight="1" x14ac:dyDescent="0.25">
      <c r="M491" t="s">
        <v>2474</v>
      </c>
      <c r="Z491" s="110">
        <f t="shared" si="16"/>
        <v>0</v>
      </c>
      <c r="AA491" t="str" cm="1">
        <f t="array" aca="1" ref="AA491" ca="1">IFERROR(INDEX(H_Tables!E:E,MATCH(INDIRECT("I"&amp;ROW()),H_Tables!F:F,0)),"")</f>
        <v/>
      </c>
      <c r="AB491" t="str" cm="1">
        <f t="array" aca="1" ref="AB491" ca="1">IFERROR(INDEX(H_Tables!H:H,MATCH(INDIRECT("k"&amp;ROW()),H_Tables!I:I,0)),"")</f>
        <v/>
      </c>
      <c r="AC491" t="str">
        <f t="shared" si="17"/>
        <v/>
      </c>
      <c r="AD491">
        <v>488</v>
      </c>
    </row>
    <row r="492" spans="13:30" ht="15" customHeight="1" x14ac:dyDescent="0.25">
      <c r="M492" t="s">
        <v>2474</v>
      </c>
      <c r="Z492" s="110">
        <f t="shared" si="16"/>
        <v>0</v>
      </c>
      <c r="AA492" t="str" cm="1">
        <f t="array" aca="1" ref="AA492" ca="1">IFERROR(INDEX(H_Tables!E:E,MATCH(INDIRECT("I"&amp;ROW()),H_Tables!F:F,0)),"")</f>
        <v/>
      </c>
      <c r="AB492" t="str" cm="1">
        <f t="array" aca="1" ref="AB492" ca="1">IFERROR(INDEX(H_Tables!H:H,MATCH(INDIRECT("k"&amp;ROW()),H_Tables!I:I,0)),"")</f>
        <v/>
      </c>
      <c r="AC492" t="str">
        <f t="shared" si="17"/>
        <v/>
      </c>
      <c r="AD492">
        <v>489</v>
      </c>
    </row>
    <row r="493" spans="13:30" ht="15" customHeight="1" x14ac:dyDescent="0.25">
      <c r="M493" t="s">
        <v>2474</v>
      </c>
      <c r="Z493" s="110">
        <f t="shared" si="16"/>
        <v>0</v>
      </c>
      <c r="AA493" t="str" cm="1">
        <f t="array" aca="1" ref="AA493" ca="1">IFERROR(INDEX(H_Tables!E:E,MATCH(INDIRECT("I"&amp;ROW()),H_Tables!F:F,0)),"")</f>
        <v/>
      </c>
      <c r="AB493" t="str" cm="1">
        <f t="array" aca="1" ref="AB493" ca="1">IFERROR(INDEX(H_Tables!H:H,MATCH(INDIRECT("k"&amp;ROW()),H_Tables!I:I,0)),"")</f>
        <v/>
      </c>
      <c r="AC493" t="str">
        <f t="shared" si="17"/>
        <v/>
      </c>
      <c r="AD493">
        <v>490</v>
      </c>
    </row>
    <row r="494" spans="13:30" ht="15" customHeight="1" x14ac:dyDescent="0.25">
      <c r="M494" t="s">
        <v>2474</v>
      </c>
      <c r="Z494" s="110">
        <f t="shared" si="16"/>
        <v>0</v>
      </c>
      <c r="AA494" t="str" cm="1">
        <f t="array" aca="1" ref="AA494" ca="1">IFERROR(INDEX(H_Tables!E:E,MATCH(INDIRECT("I"&amp;ROW()),H_Tables!F:F,0)),"")</f>
        <v/>
      </c>
      <c r="AB494" t="str" cm="1">
        <f t="array" aca="1" ref="AB494" ca="1">IFERROR(INDEX(H_Tables!H:H,MATCH(INDIRECT("k"&amp;ROW()),H_Tables!I:I,0)),"")</f>
        <v/>
      </c>
      <c r="AC494" t="str">
        <f t="shared" si="17"/>
        <v/>
      </c>
      <c r="AD494">
        <v>491</v>
      </c>
    </row>
    <row r="495" spans="13:30" ht="15" customHeight="1" x14ac:dyDescent="0.25">
      <c r="M495" t="s">
        <v>2474</v>
      </c>
      <c r="Z495" s="110">
        <f t="shared" si="16"/>
        <v>0</v>
      </c>
      <c r="AA495" t="str" cm="1">
        <f t="array" aca="1" ref="AA495" ca="1">IFERROR(INDEX(H_Tables!E:E,MATCH(INDIRECT("I"&amp;ROW()),H_Tables!F:F,0)),"")</f>
        <v/>
      </c>
      <c r="AB495" t="str" cm="1">
        <f t="array" aca="1" ref="AB495" ca="1">IFERROR(INDEX(H_Tables!H:H,MATCH(INDIRECT("k"&amp;ROW()),H_Tables!I:I,0)),"")</f>
        <v/>
      </c>
      <c r="AC495" t="str">
        <f t="shared" si="17"/>
        <v/>
      </c>
      <c r="AD495">
        <v>492</v>
      </c>
    </row>
    <row r="496" spans="13:30" ht="15" customHeight="1" x14ac:dyDescent="0.25">
      <c r="M496" t="s">
        <v>2474</v>
      </c>
      <c r="Z496" s="110">
        <f t="shared" si="16"/>
        <v>0</v>
      </c>
      <c r="AA496" t="str" cm="1">
        <f t="array" aca="1" ref="AA496" ca="1">IFERROR(INDEX(H_Tables!E:E,MATCH(INDIRECT("I"&amp;ROW()),H_Tables!F:F,0)),"")</f>
        <v/>
      </c>
      <c r="AB496" t="str" cm="1">
        <f t="array" aca="1" ref="AB496" ca="1">IFERROR(INDEX(H_Tables!H:H,MATCH(INDIRECT("k"&amp;ROW()),H_Tables!I:I,0)),"")</f>
        <v/>
      </c>
      <c r="AC496" t="str">
        <f t="shared" si="17"/>
        <v/>
      </c>
      <c r="AD496">
        <v>493</v>
      </c>
    </row>
    <row r="497" spans="13:30" ht="15" customHeight="1" x14ac:dyDescent="0.25">
      <c r="M497" t="s">
        <v>2474</v>
      </c>
      <c r="Z497" s="110">
        <f t="shared" si="16"/>
        <v>0</v>
      </c>
      <c r="AA497" t="str" cm="1">
        <f t="array" aca="1" ref="AA497" ca="1">IFERROR(INDEX(H_Tables!E:E,MATCH(INDIRECT("I"&amp;ROW()),H_Tables!F:F,0)),"")</f>
        <v/>
      </c>
      <c r="AB497" t="str" cm="1">
        <f t="array" aca="1" ref="AB497" ca="1">IFERROR(INDEX(H_Tables!H:H,MATCH(INDIRECT("k"&amp;ROW()),H_Tables!I:I,0)),"")</f>
        <v/>
      </c>
      <c r="AC497" t="str">
        <f t="shared" si="17"/>
        <v/>
      </c>
      <c r="AD497">
        <v>494</v>
      </c>
    </row>
    <row r="498" spans="13:30" ht="15" customHeight="1" x14ac:dyDescent="0.25">
      <c r="M498" t="s">
        <v>2474</v>
      </c>
      <c r="Z498" s="110">
        <f t="shared" si="16"/>
        <v>0</v>
      </c>
      <c r="AA498" t="str" cm="1">
        <f t="array" aca="1" ref="AA498" ca="1">IFERROR(INDEX(H_Tables!E:E,MATCH(INDIRECT("I"&amp;ROW()),H_Tables!F:F,0)),"")</f>
        <v/>
      </c>
      <c r="AB498" t="str" cm="1">
        <f t="array" aca="1" ref="AB498" ca="1">IFERROR(INDEX(H_Tables!H:H,MATCH(INDIRECT("k"&amp;ROW()),H_Tables!I:I,0)),"")</f>
        <v/>
      </c>
      <c r="AC498" t="str">
        <f t="shared" si="17"/>
        <v/>
      </c>
      <c r="AD498">
        <v>495</v>
      </c>
    </row>
    <row r="499" spans="13:30" ht="15" customHeight="1" x14ac:dyDescent="0.25">
      <c r="M499" t="s">
        <v>2474</v>
      </c>
      <c r="Z499" s="110">
        <f t="shared" si="16"/>
        <v>0</v>
      </c>
      <c r="AA499" t="str" cm="1">
        <f t="array" aca="1" ref="AA499" ca="1">IFERROR(INDEX(H_Tables!E:E,MATCH(INDIRECT("I"&amp;ROW()),H_Tables!F:F,0)),"")</f>
        <v/>
      </c>
      <c r="AB499" t="str" cm="1">
        <f t="array" aca="1" ref="AB499" ca="1">IFERROR(INDEX(H_Tables!H:H,MATCH(INDIRECT("k"&amp;ROW()),H_Tables!I:I,0)),"")</f>
        <v/>
      </c>
      <c r="AC499" t="str">
        <f t="shared" si="17"/>
        <v/>
      </c>
      <c r="AD499">
        <v>496</v>
      </c>
    </row>
    <row r="500" spans="13:30" ht="15" customHeight="1" x14ac:dyDescent="0.25">
      <c r="M500" t="s">
        <v>2474</v>
      </c>
      <c r="Z500" s="110">
        <f t="shared" si="16"/>
        <v>0</v>
      </c>
      <c r="AA500" t="str" cm="1">
        <f t="array" aca="1" ref="AA500" ca="1">IFERROR(INDEX(H_Tables!E:E,MATCH(INDIRECT("I"&amp;ROW()),H_Tables!F:F,0)),"")</f>
        <v/>
      </c>
      <c r="AB500" t="str" cm="1">
        <f t="array" aca="1" ref="AB500" ca="1">IFERROR(INDEX(H_Tables!H:H,MATCH(INDIRECT("k"&amp;ROW()),H_Tables!I:I,0)),"")</f>
        <v/>
      </c>
      <c r="AC500" t="str">
        <f t="shared" si="17"/>
        <v/>
      </c>
      <c r="AD500">
        <v>497</v>
      </c>
    </row>
    <row r="501" spans="13:30" ht="15" customHeight="1" x14ac:dyDescent="0.25">
      <c r="M501" t="s">
        <v>2474</v>
      </c>
      <c r="Z501" s="110">
        <f t="shared" si="16"/>
        <v>0</v>
      </c>
      <c r="AA501" t="str" cm="1">
        <f t="array" aca="1" ref="AA501" ca="1">IFERROR(INDEX(H_Tables!E:E,MATCH(INDIRECT("I"&amp;ROW()),H_Tables!F:F,0)),"")</f>
        <v/>
      </c>
      <c r="AB501" t="str" cm="1">
        <f t="array" aca="1" ref="AB501" ca="1">IFERROR(INDEX(H_Tables!H:H,MATCH(INDIRECT("k"&amp;ROW()),H_Tables!I:I,0)),"")</f>
        <v/>
      </c>
      <c r="AC501" t="str">
        <f t="shared" si="17"/>
        <v/>
      </c>
      <c r="AD501">
        <v>498</v>
      </c>
    </row>
    <row r="502" spans="13:30" ht="15" customHeight="1" x14ac:dyDescent="0.25">
      <c r="M502" t="s">
        <v>2474</v>
      </c>
      <c r="Z502" s="110">
        <f t="shared" si="16"/>
        <v>0</v>
      </c>
      <c r="AA502" t="str" cm="1">
        <f t="array" aca="1" ref="AA502" ca="1">IFERROR(INDEX(H_Tables!E:E,MATCH(INDIRECT("I"&amp;ROW()),H_Tables!F:F,0)),"")</f>
        <v/>
      </c>
      <c r="AB502" t="str" cm="1">
        <f t="array" aca="1" ref="AB502" ca="1">IFERROR(INDEX(H_Tables!H:H,MATCH(INDIRECT("k"&amp;ROW()),H_Tables!I:I,0)),"")</f>
        <v/>
      </c>
      <c r="AC502" t="str">
        <f t="shared" si="17"/>
        <v/>
      </c>
      <c r="AD502">
        <v>499</v>
      </c>
    </row>
    <row r="503" spans="13:30" ht="15" customHeight="1" x14ac:dyDescent="0.25">
      <c r="M503" t="s">
        <v>2474</v>
      </c>
      <c r="Z503" s="110">
        <f t="shared" si="16"/>
        <v>0</v>
      </c>
      <c r="AA503" t="str" cm="1">
        <f t="array" aca="1" ref="AA503" ca="1">IFERROR(INDEX(H_Tables!E:E,MATCH(INDIRECT("I"&amp;ROW()),H_Tables!F:F,0)),"")</f>
        <v/>
      </c>
      <c r="AB503" t="str" cm="1">
        <f t="array" aca="1" ref="AB503" ca="1">IFERROR(INDEX(H_Tables!H:H,MATCH(INDIRECT("k"&amp;ROW()),H_Tables!I:I,0)),"")</f>
        <v/>
      </c>
      <c r="AC503" t="str">
        <f t="shared" si="17"/>
        <v/>
      </c>
      <c r="AD503">
        <v>500</v>
      </c>
    </row>
    <row r="504" spans="13:30" ht="15" customHeight="1" x14ac:dyDescent="0.25">
      <c r="M504" t="s">
        <v>2474</v>
      </c>
      <c r="Z504" s="110">
        <f t="shared" si="16"/>
        <v>0</v>
      </c>
      <c r="AA504" t="str" cm="1">
        <f t="array" aca="1" ref="AA504" ca="1">IFERROR(INDEX(H_Tables!E:E,MATCH(INDIRECT("I"&amp;ROW()),H_Tables!F:F,0)),"")</f>
        <v/>
      </c>
      <c r="AB504" t="str" cm="1">
        <f t="array" aca="1" ref="AB504" ca="1">IFERROR(INDEX(H_Tables!H:H,MATCH(INDIRECT("k"&amp;ROW()),H_Tables!I:I,0)),"")</f>
        <v/>
      </c>
      <c r="AC504" t="str">
        <f t="shared" si="17"/>
        <v/>
      </c>
      <c r="AD504">
        <v>501</v>
      </c>
    </row>
    <row r="505" spans="13:30" ht="15" customHeight="1" x14ac:dyDescent="0.25">
      <c r="M505" t="s">
        <v>2474</v>
      </c>
      <c r="Z505" s="110">
        <f t="shared" si="16"/>
        <v>0</v>
      </c>
      <c r="AA505" t="str" cm="1">
        <f t="array" aca="1" ref="AA505" ca="1">IFERROR(INDEX(H_Tables!E:E,MATCH(INDIRECT("I"&amp;ROW()),H_Tables!F:F,0)),"")</f>
        <v/>
      </c>
      <c r="AB505" t="str" cm="1">
        <f t="array" aca="1" ref="AB505" ca="1">IFERROR(INDEX(H_Tables!H:H,MATCH(INDIRECT("k"&amp;ROW()),H_Tables!I:I,0)),"")</f>
        <v/>
      </c>
      <c r="AC505" t="str">
        <f t="shared" si="17"/>
        <v/>
      </c>
      <c r="AD505">
        <v>502</v>
      </c>
    </row>
    <row r="506" spans="13:30" ht="15" customHeight="1" x14ac:dyDescent="0.25">
      <c r="M506" t="s">
        <v>2474</v>
      </c>
      <c r="Z506" s="110">
        <f t="shared" si="16"/>
        <v>0</v>
      </c>
      <c r="AA506" t="str" cm="1">
        <f t="array" aca="1" ref="AA506" ca="1">IFERROR(INDEX(H_Tables!E:E,MATCH(INDIRECT("I"&amp;ROW()),H_Tables!F:F,0)),"")</f>
        <v/>
      </c>
      <c r="AB506" t="str" cm="1">
        <f t="array" aca="1" ref="AB506" ca="1">IFERROR(INDEX(H_Tables!H:H,MATCH(INDIRECT("k"&amp;ROW()),H_Tables!I:I,0)),"")</f>
        <v/>
      </c>
      <c r="AC506" t="str">
        <f t="shared" si="17"/>
        <v/>
      </c>
      <c r="AD506">
        <v>503</v>
      </c>
    </row>
    <row r="507" spans="13:30" ht="15" customHeight="1" x14ac:dyDescent="0.25">
      <c r="M507" t="s">
        <v>2474</v>
      </c>
      <c r="Z507" s="110">
        <f t="shared" si="16"/>
        <v>0</v>
      </c>
      <c r="AA507" t="str" cm="1">
        <f t="array" aca="1" ref="AA507" ca="1">IFERROR(INDEX(H_Tables!E:E,MATCH(INDIRECT("I"&amp;ROW()),H_Tables!F:F,0)),"")</f>
        <v/>
      </c>
      <c r="AB507" t="str" cm="1">
        <f t="array" aca="1" ref="AB507" ca="1">IFERROR(INDEX(H_Tables!H:H,MATCH(INDIRECT("k"&amp;ROW()),H_Tables!I:I,0)),"")</f>
        <v/>
      </c>
      <c r="AC507" t="str">
        <f t="shared" si="17"/>
        <v/>
      </c>
      <c r="AD507">
        <v>504</v>
      </c>
    </row>
    <row r="508" spans="13:30" ht="15" customHeight="1" x14ac:dyDescent="0.25">
      <c r="M508" t="s">
        <v>2474</v>
      </c>
      <c r="Z508" s="110">
        <f t="shared" si="16"/>
        <v>0</v>
      </c>
      <c r="AA508" t="str" cm="1">
        <f t="array" aca="1" ref="AA508" ca="1">IFERROR(INDEX(H_Tables!E:E,MATCH(INDIRECT("I"&amp;ROW()),H_Tables!F:F,0)),"")</f>
        <v/>
      </c>
      <c r="AB508" t="str" cm="1">
        <f t="array" aca="1" ref="AB508" ca="1">IFERROR(INDEX(H_Tables!H:H,MATCH(INDIRECT("k"&amp;ROW()),H_Tables!I:I,0)),"")</f>
        <v/>
      </c>
      <c r="AC508" t="str">
        <f t="shared" si="17"/>
        <v/>
      </c>
      <c r="AD508">
        <v>505</v>
      </c>
    </row>
    <row r="509" spans="13:30" ht="15" customHeight="1" x14ac:dyDescent="0.25">
      <c r="M509" t="s">
        <v>2474</v>
      </c>
      <c r="Z509" s="110">
        <f t="shared" si="16"/>
        <v>0</v>
      </c>
      <c r="AA509" t="str" cm="1">
        <f t="array" aca="1" ref="AA509" ca="1">IFERROR(INDEX(H_Tables!E:E,MATCH(INDIRECT("I"&amp;ROW()),H_Tables!F:F,0)),"")</f>
        <v/>
      </c>
      <c r="AB509" t="str" cm="1">
        <f t="array" aca="1" ref="AB509" ca="1">IFERROR(INDEX(H_Tables!H:H,MATCH(INDIRECT("k"&amp;ROW()),H_Tables!I:I,0)),"")</f>
        <v/>
      </c>
      <c r="AC509" t="str">
        <f t="shared" si="17"/>
        <v/>
      </c>
      <c r="AD509">
        <v>506</v>
      </c>
    </row>
    <row r="510" spans="13:30" ht="15" customHeight="1" x14ac:dyDescent="0.25">
      <c r="M510" t="s">
        <v>2474</v>
      </c>
      <c r="Z510" s="110">
        <f t="shared" si="16"/>
        <v>0</v>
      </c>
      <c r="AA510" t="str" cm="1">
        <f t="array" aca="1" ref="AA510" ca="1">IFERROR(INDEX(H_Tables!E:E,MATCH(INDIRECT("I"&amp;ROW()),H_Tables!F:F,0)),"")</f>
        <v/>
      </c>
      <c r="AB510" t="str" cm="1">
        <f t="array" aca="1" ref="AB510" ca="1">IFERROR(INDEX(H_Tables!H:H,MATCH(INDIRECT("k"&amp;ROW()),H_Tables!I:I,0)),"")</f>
        <v/>
      </c>
      <c r="AC510" t="str">
        <f t="shared" si="17"/>
        <v/>
      </c>
      <c r="AD510">
        <v>507</v>
      </c>
    </row>
    <row r="511" spans="13:30" ht="15" customHeight="1" x14ac:dyDescent="0.25">
      <c r="M511" t="s">
        <v>2474</v>
      </c>
      <c r="Z511" s="110">
        <f t="shared" si="16"/>
        <v>0</v>
      </c>
      <c r="AA511" t="str" cm="1">
        <f t="array" aca="1" ref="AA511" ca="1">IFERROR(INDEX(H_Tables!E:E,MATCH(INDIRECT("I"&amp;ROW()),H_Tables!F:F,0)),"")</f>
        <v/>
      </c>
      <c r="AB511" t="str" cm="1">
        <f t="array" aca="1" ref="AB511" ca="1">IFERROR(INDEX(H_Tables!H:H,MATCH(INDIRECT("k"&amp;ROW()),H_Tables!I:I,0)),"")</f>
        <v/>
      </c>
      <c r="AC511" t="str">
        <f t="shared" si="17"/>
        <v/>
      </c>
      <c r="AD511">
        <v>508</v>
      </c>
    </row>
    <row r="512" spans="13:30" ht="15" customHeight="1" x14ac:dyDescent="0.25">
      <c r="M512" t="s">
        <v>2474</v>
      </c>
      <c r="Z512" s="110">
        <f t="shared" si="16"/>
        <v>0</v>
      </c>
      <c r="AA512" t="str" cm="1">
        <f t="array" aca="1" ref="AA512" ca="1">IFERROR(INDEX(H_Tables!E:E,MATCH(INDIRECT("I"&amp;ROW()),H_Tables!F:F,0)),"")</f>
        <v/>
      </c>
      <c r="AB512" t="str" cm="1">
        <f t="array" aca="1" ref="AB512" ca="1">IFERROR(INDEX(H_Tables!H:H,MATCH(INDIRECT("k"&amp;ROW()),H_Tables!I:I,0)),"")</f>
        <v/>
      </c>
      <c r="AC512" t="str">
        <f t="shared" si="17"/>
        <v/>
      </c>
      <c r="AD512">
        <v>509</v>
      </c>
    </row>
    <row r="513" spans="13:30" ht="15" customHeight="1" x14ac:dyDescent="0.25">
      <c r="M513" t="s">
        <v>2474</v>
      </c>
      <c r="Z513" s="110">
        <f t="shared" si="16"/>
        <v>0</v>
      </c>
      <c r="AA513" t="str" cm="1">
        <f t="array" aca="1" ref="AA513" ca="1">IFERROR(INDEX(H_Tables!E:E,MATCH(INDIRECT("I"&amp;ROW()),H_Tables!F:F,0)),"")</f>
        <v/>
      </c>
      <c r="AB513" t="str" cm="1">
        <f t="array" aca="1" ref="AB513" ca="1">IFERROR(INDEX(H_Tables!H:H,MATCH(INDIRECT("k"&amp;ROW()),H_Tables!I:I,0)),"")</f>
        <v/>
      </c>
      <c r="AC513" t="str">
        <f t="shared" si="17"/>
        <v/>
      </c>
      <c r="AD513">
        <v>510</v>
      </c>
    </row>
    <row r="514" spans="13:30" ht="15" customHeight="1" x14ac:dyDescent="0.25">
      <c r="M514" t="s">
        <v>2474</v>
      </c>
      <c r="Z514" s="110">
        <f t="shared" ref="Z514:Z577" si="18">ROUND(IF((F514+G514)=0,0,S514/Y514),4)</f>
        <v>0</v>
      </c>
      <c r="AA514" t="str" cm="1">
        <f t="array" aca="1" ref="AA514" ca="1">IFERROR(INDEX(H_Tables!E:E,MATCH(INDIRECT("I"&amp;ROW()),H_Tables!F:F,0)),"")</f>
        <v/>
      </c>
      <c r="AB514" t="str" cm="1">
        <f t="array" aca="1" ref="AB514" ca="1">IFERROR(INDEX(H_Tables!H:H,MATCH(INDIRECT("k"&amp;ROW()),H_Tables!I:I,0)),"")</f>
        <v/>
      </c>
      <c r="AC514" t="str">
        <f t="shared" si="17"/>
        <v/>
      </c>
      <c r="AD514">
        <v>511</v>
      </c>
    </row>
    <row r="515" spans="13:30" ht="15" customHeight="1" x14ac:dyDescent="0.25">
      <c r="M515" t="s">
        <v>2474</v>
      </c>
      <c r="Z515" s="110">
        <f t="shared" si="18"/>
        <v>0</v>
      </c>
      <c r="AA515" t="str" cm="1">
        <f t="array" aca="1" ref="AA515" ca="1">IFERROR(INDEX(H_Tables!E:E,MATCH(INDIRECT("I"&amp;ROW()),H_Tables!F:F,0)),"")</f>
        <v/>
      </c>
      <c r="AB515" t="str" cm="1">
        <f t="array" aca="1" ref="AB515" ca="1">IFERROR(INDEX(H_Tables!H:H,MATCH(INDIRECT("k"&amp;ROW()),H_Tables!I:I,0)),"")</f>
        <v/>
      </c>
      <c r="AC515" t="str">
        <f t="shared" si="17"/>
        <v/>
      </c>
      <c r="AD515">
        <v>512</v>
      </c>
    </row>
    <row r="516" spans="13:30" ht="15" customHeight="1" x14ac:dyDescent="0.25">
      <c r="M516" t="s">
        <v>2474</v>
      </c>
      <c r="Z516" s="110">
        <f t="shared" si="18"/>
        <v>0</v>
      </c>
      <c r="AA516" t="str" cm="1">
        <f t="array" aca="1" ref="AA516" ca="1">IFERROR(INDEX(H_Tables!E:E,MATCH(INDIRECT("I"&amp;ROW()),H_Tables!F:F,0)),"")</f>
        <v/>
      </c>
      <c r="AB516" t="str" cm="1">
        <f t="array" aca="1" ref="AB516" ca="1">IFERROR(INDEX(H_Tables!H:H,MATCH(INDIRECT("k"&amp;ROW()),H_Tables!I:I,0)),"")</f>
        <v/>
      </c>
      <c r="AC516" t="str">
        <f t="shared" ref="AC516:AC579" si="19">_xlfn.TEXTJOIN(",",TRUE,M516:P516)</f>
        <v/>
      </c>
      <c r="AD516">
        <v>513</v>
      </c>
    </row>
    <row r="517" spans="13:30" ht="15" customHeight="1" x14ac:dyDescent="0.25">
      <c r="M517" t="s">
        <v>2474</v>
      </c>
      <c r="Z517" s="110">
        <f t="shared" si="18"/>
        <v>0</v>
      </c>
      <c r="AA517" t="str" cm="1">
        <f t="array" aca="1" ref="AA517" ca="1">IFERROR(INDEX(H_Tables!E:E,MATCH(INDIRECT("I"&amp;ROW()),H_Tables!F:F,0)),"")</f>
        <v/>
      </c>
      <c r="AB517" t="str" cm="1">
        <f t="array" aca="1" ref="AB517" ca="1">IFERROR(INDEX(H_Tables!H:H,MATCH(INDIRECT("k"&amp;ROW()),H_Tables!I:I,0)),"")</f>
        <v/>
      </c>
      <c r="AC517" t="str">
        <f t="shared" si="19"/>
        <v/>
      </c>
      <c r="AD517">
        <v>514</v>
      </c>
    </row>
    <row r="518" spans="13:30" ht="15" customHeight="1" x14ac:dyDescent="0.25">
      <c r="M518" t="s">
        <v>2474</v>
      </c>
      <c r="Z518" s="110">
        <f t="shared" si="18"/>
        <v>0</v>
      </c>
      <c r="AA518" t="str" cm="1">
        <f t="array" aca="1" ref="AA518" ca="1">IFERROR(INDEX(H_Tables!E:E,MATCH(INDIRECT("I"&amp;ROW()),H_Tables!F:F,0)),"")</f>
        <v/>
      </c>
      <c r="AB518" t="str" cm="1">
        <f t="array" aca="1" ref="AB518" ca="1">IFERROR(INDEX(H_Tables!H:H,MATCH(INDIRECT("k"&amp;ROW()),H_Tables!I:I,0)),"")</f>
        <v/>
      </c>
      <c r="AC518" t="str">
        <f t="shared" si="19"/>
        <v/>
      </c>
      <c r="AD518">
        <v>515</v>
      </c>
    </row>
    <row r="519" spans="13:30" ht="15" customHeight="1" x14ac:dyDescent="0.25">
      <c r="M519" t="s">
        <v>2474</v>
      </c>
      <c r="Z519" s="110">
        <f t="shared" si="18"/>
        <v>0</v>
      </c>
      <c r="AA519" t="str" cm="1">
        <f t="array" aca="1" ref="AA519" ca="1">IFERROR(INDEX(H_Tables!E:E,MATCH(INDIRECT("I"&amp;ROW()),H_Tables!F:F,0)),"")</f>
        <v/>
      </c>
      <c r="AB519" t="str" cm="1">
        <f t="array" aca="1" ref="AB519" ca="1">IFERROR(INDEX(H_Tables!H:H,MATCH(INDIRECT("k"&amp;ROW()),H_Tables!I:I,0)),"")</f>
        <v/>
      </c>
      <c r="AC519" t="str">
        <f t="shared" si="19"/>
        <v/>
      </c>
      <c r="AD519">
        <v>516</v>
      </c>
    </row>
    <row r="520" spans="13:30" ht="15" customHeight="1" x14ac:dyDescent="0.25">
      <c r="M520" t="s">
        <v>2474</v>
      </c>
      <c r="Z520" s="110">
        <f t="shared" si="18"/>
        <v>0</v>
      </c>
      <c r="AA520" t="str" cm="1">
        <f t="array" aca="1" ref="AA520" ca="1">IFERROR(INDEX(H_Tables!E:E,MATCH(INDIRECT("I"&amp;ROW()),H_Tables!F:F,0)),"")</f>
        <v/>
      </c>
      <c r="AB520" t="str" cm="1">
        <f t="array" aca="1" ref="AB520" ca="1">IFERROR(INDEX(H_Tables!H:H,MATCH(INDIRECT("k"&amp;ROW()),H_Tables!I:I,0)),"")</f>
        <v/>
      </c>
      <c r="AC520" t="str">
        <f t="shared" si="19"/>
        <v/>
      </c>
      <c r="AD520">
        <v>517</v>
      </c>
    </row>
    <row r="521" spans="13:30" ht="15" customHeight="1" x14ac:dyDescent="0.25">
      <c r="M521" t="s">
        <v>2474</v>
      </c>
      <c r="Z521" s="110">
        <f t="shared" si="18"/>
        <v>0</v>
      </c>
      <c r="AA521" t="str" cm="1">
        <f t="array" aca="1" ref="AA521" ca="1">IFERROR(INDEX(H_Tables!E:E,MATCH(INDIRECT("I"&amp;ROW()),H_Tables!F:F,0)),"")</f>
        <v/>
      </c>
      <c r="AB521" t="str" cm="1">
        <f t="array" aca="1" ref="AB521" ca="1">IFERROR(INDEX(H_Tables!H:H,MATCH(INDIRECT("k"&amp;ROW()),H_Tables!I:I,0)),"")</f>
        <v/>
      </c>
      <c r="AC521" t="str">
        <f t="shared" si="19"/>
        <v/>
      </c>
      <c r="AD521">
        <v>518</v>
      </c>
    </row>
    <row r="522" spans="13:30" ht="15" customHeight="1" x14ac:dyDescent="0.25">
      <c r="M522" t="s">
        <v>2474</v>
      </c>
      <c r="Z522" s="110">
        <f t="shared" si="18"/>
        <v>0</v>
      </c>
      <c r="AA522" t="str" cm="1">
        <f t="array" aca="1" ref="AA522" ca="1">IFERROR(INDEX(H_Tables!E:E,MATCH(INDIRECT("I"&amp;ROW()),H_Tables!F:F,0)),"")</f>
        <v/>
      </c>
      <c r="AB522" t="str" cm="1">
        <f t="array" aca="1" ref="AB522" ca="1">IFERROR(INDEX(H_Tables!H:H,MATCH(INDIRECT("k"&amp;ROW()),H_Tables!I:I,0)),"")</f>
        <v/>
      </c>
      <c r="AC522" t="str">
        <f t="shared" si="19"/>
        <v/>
      </c>
      <c r="AD522">
        <v>519</v>
      </c>
    </row>
    <row r="523" spans="13:30" ht="15" customHeight="1" x14ac:dyDescent="0.25">
      <c r="M523" t="s">
        <v>2474</v>
      </c>
      <c r="Z523" s="110">
        <f t="shared" si="18"/>
        <v>0</v>
      </c>
      <c r="AA523" t="str" cm="1">
        <f t="array" aca="1" ref="AA523" ca="1">IFERROR(INDEX(H_Tables!E:E,MATCH(INDIRECT("I"&amp;ROW()),H_Tables!F:F,0)),"")</f>
        <v/>
      </c>
      <c r="AB523" t="str" cm="1">
        <f t="array" aca="1" ref="AB523" ca="1">IFERROR(INDEX(H_Tables!H:H,MATCH(INDIRECT("k"&amp;ROW()),H_Tables!I:I,0)),"")</f>
        <v/>
      </c>
      <c r="AC523" t="str">
        <f t="shared" si="19"/>
        <v/>
      </c>
      <c r="AD523">
        <v>520</v>
      </c>
    </row>
    <row r="524" spans="13:30" ht="15" customHeight="1" x14ac:dyDescent="0.25">
      <c r="M524" t="s">
        <v>2474</v>
      </c>
      <c r="Z524" s="110">
        <f t="shared" si="18"/>
        <v>0</v>
      </c>
      <c r="AA524" t="str" cm="1">
        <f t="array" aca="1" ref="AA524" ca="1">IFERROR(INDEX(H_Tables!E:E,MATCH(INDIRECT("I"&amp;ROW()),H_Tables!F:F,0)),"")</f>
        <v/>
      </c>
      <c r="AB524" t="str" cm="1">
        <f t="array" aca="1" ref="AB524" ca="1">IFERROR(INDEX(H_Tables!H:H,MATCH(INDIRECT("k"&amp;ROW()),H_Tables!I:I,0)),"")</f>
        <v/>
      </c>
      <c r="AC524" t="str">
        <f t="shared" si="19"/>
        <v/>
      </c>
      <c r="AD524">
        <v>521</v>
      </c>
    </row>
    <row r="525" spans="13:30" ht="15" customHeight="1" x14ac:dyDescent="0.25">
      <c r="M525" t="s">
        <v>2474</v>
      </c>
      <c r="Z525" s="110">
        <f t="shared" si="18"/>
        <v>0</v>
      </c>
      <c r="AA525" t="str" cm="1">
        <f t="array" aca="1" ref="AA525" ca="1">IFERROR(INDEX(H_Tables!E:E,MATCH(INDIRECT("I"&amp;ROW()),H_Tables!F:F,0)),"")</f>
        <v/>
      </c>
      <c r="AB525" t="str" cm="1">
        <f t="array" aca="1" ref="AB525" ca="1">IFERROR(INDEX(H_Tables!H:H,MATCH(INDIRECT("k"&amp;ROW()),H_Tables!I:I,0)),"")</f>
        <v/>
      </c>
      <c r="AC525" t="str">
        <f t="shared" si="19"/>
        <v/>
      </c>
      <c r="AD525">
        <v>522</v>
      </c>
    </row>
    <row r="526" spans="13:30" ht="15" customHeight="1" x14ac:dyDescent="0.25">
      <c r="M526" t="s">
        <v>2474</v>
      </c>
      <c r="Z526" s="110">
        <f t="shared" si="18"/>
        <v>0</v>
      </c>
      <c r="AA526" t="str" cm="1">
        <f t="array" aca="1" ref="AA526" ca="1">IFERROR(INDEX(H_Tables!E:E,MATCH(INDIRECT("I"&amp;ROW()),H_Tables!F:F,0)),"")</f>
        <v/>
      </c>
      <c r="AB526" t="str" cm="1">
        <f t="array" aca="1" ref="AB526" ca="1">IFERROR(INDEX(H_Tables!H:H,MATCH(INDIRECT("k"&amp;ROW()),H_Tables!I:I,0)),"")</f>
        <v/>
      </c>
      <c r="AC526" t="str">
        <f t="shared" si="19"/>
        <v/>
      </c>
      <c r="AD526">
        <v>523</v>
      </c>
    </row>
    <row r="527" spans="13:30" ht="15" customHeight="1" x14ac:dyDescent="0.25">
      <c r="M527" t="s">
        <v>2474</v>
      </c>
      <c r="Z527" s="110">
        <f t="shared" si="18"/>
        <v>0</v>
      </c>
      <c r="AA527" t="str" cm="1">
        <f t="array" aca="1" ref="AA527" ca="1">IFERROR(INDEX(H_Tables!E:E,MATCH(INDIRECT("I"&amp;ROW()),H_Tables!F:F,0)),"")</f>
        <v/>
      </c>
      <c r="AB527" t="str" cm="1">
        <f t="array" aca="1" ref="AB527" ca="1">IFERROR(INDEX(H_Tables!H:H,MATCH(INDIRECT("k"&amp;ROW()),H_Tables!I:I,0)),"")</f>
        <v/>
      </c>
      <c r="AC527" t="str">
        <f t="shared" si="19"/>
        <v/>
      </c>
      <c r="AD527">
        <v>524</v>
      </c>
    </row>
    <row r="528" spans="13:30" ht="15" customHeight="1" x14ac:dyDescent="0.25">
      <c r="M528" t="s">
        <v>2474</v>
      </c>
      <c r="Z528" s="110">
        <f t="shared" si="18"/>
        <v>0</v>
      </c>
      <c r="AA528" t="str" cm="1">
        <f t="array" aca="1" ref="AA528" ca="1">IFERROR(INDEX(H_Tables!E:E,MATCH(INDIRECT("I"&amp;ROW()),H_Tables!F:F,0)),"")</f>
        <v/>
      </c>
      <c r="AB528" t="str" cm="1">
        <f t="array" aca="1" ref="AB528" ca="1">IFERROR(INDEX(H_Tables!H:H,MATCH(INDIRECT("k"&amp;ROW()),H_Tables!I:I,0)),"")</f>
        <v/>
      </c>
      <c r="AC528" t="str">
        <f t="shared" si="19"/>
        <v/>
      </c>
      <c r="AD528">
        <v>525</v>
      </c>
    </row>
    <row r="529" spans="13:30" ht="15" customHeight="1" x14ac:dyDescent="0.25">
      <c r="M529" t="s">
        <v>2474</v>
      </c>
      <c r="Z529" s="110">
        <f t="shared" si="18"/>
        <v>0</v>
      </c>
      <c r="AA529" t="str" cm="1">
        <f t="array" aca="1" ref="AA529" ca="1">IFERROR(INDEX(H_Tables!E:E,MATCH(INDIRECT("I"&amp;ROW()),H_Tables!F:F,0)),"")</f>
        <v/>
      </c>
      <c r="AB529" t="str" cm="1">
        <f t="array" aca="1" ref="AB529" ca="1">IFERROR(INDEX(H_Tables!H:H,MATCH(INDIRECT("k"&amp;ROW()),H_Tables!I:I,0)),"")</f>
        <v/>
      </c>
      <c r="AC529" t="str">
        <f t="shared" si="19"/>
        <v/>
      </c>
      <c r="AD529">
        <v>526</v>
      </c>
    </row>
    <row r="530" spans="13:30" ht="15" customHeight="1" x14ac:dyDescent="0.25">
      <c r="M530" t="s">
        <v>2474</v>
      </c>
      <c r="Z530" s="110">
        <f t="shared" si="18"/>
        <v>0</v>
      </c>
      <c r="AA530" t="str" cm="1">
        <f t="array" aca="1" ref="AA530" ca="1">IFERROR(INDEX(H_Tables!E:E,MATCH(INDIRECT("I"&amp;ROW()),H_Tables!F:F,0)),"")</f>
        <v/>
      </c>
      <c r="AB530" t="str" cm="1">
        <f t="array" aca="1" ref="AB530" ca="1">IFERROR(INDEX(H_Tables!H:H,MATCH(INDIRECT("k"&amp;ROW()),H_Tables!I:I,0)),"")</f>
        <v/>
      </c>
      <c r="AC530" t="str">
        <f t="shared" si="19"/>
        <v/>
      </c>
      <c r="AD530">
        <v>527</v>
      </c>
    </row>
    <row r="531" spans="13:30" ht="15" customHeight="1" x14ac:dyDescent="0.25">
      <c r="M531" t="s">
        <v>2474</v>
      </c>
      <c r="Z531" s="110">
        <f t="shared" si="18"/>
        <v>0</v>
      </c>
      <c r="AA531" t="str" cm="1">
        <f t="array" aca="1" ref="AA531" ca="1">IFERROR(INDEX(H_Tables!E:E,MATCH(INDIRECT("I"&amp;ROW()),H_Tables!F:F,0)),"")</f>
        <v/>
      </c>
      <c r="AB531" t="str" cm="1">
        <f t="array" aca="1" ref="AB531" ca="1">IFERROR(INDEX(H_Tables!H:H,MATCH(INDIRECT("k"&amp;ROW()),H_Tables!I:I,0)),"")</f>
        <v/>
      </c>
      <c r="AC531" t="str">
        <f t="shared" si="19"/>
        <v/>
      </c>
      <c r="AD531">
        <v>528</v>
      </c>
    </row>
    <row r="532" spans="13:30" ht="15" customHeight="1" x14ac:dyDescent="0.25">
      <c r="M532" t="s">
        <v>2474</v>
      </c>
      <c r="Z532" s="110">
        <f t="shared" si="18"/>
        <v>0</v>
      </c>
      <c r="AA532" t="str" cm="1">
        <f t="array" aca="1" ref="AA532" ca="1">IFERROR(INDEX(H_Tables!E:E,MATCH(INDIRECT("I"&amp;ROW()),H_Tables!F:F,0)),"")</f>
        <v/>
      </c>
      <c r="AB532" t="str" cm="1">
        <f t="array" aca="1" ref="AB532" ca="1">IFERROR(INDEX(H_Tables!H:H,MATCH(INDIRECT("k"&amp;ROW()),H_Tables!I:I,0)),"")</f>
        <v/>
      </c>
      <c r="AC532" t="str">
        <f t="shared" si="19"/>
        <v/>
      </c>
      <c r="AD532">
        <v>529</v>
      </c>
    </row>
    <row r="533" spans="13:30" ht="15" customHeight="1" x14ac:dyDescent="0.25">
      <c r="M533" t="s">
        <v>2474</v>
      </c>
      <c r="Z533" s="110">
        <f t="shared" si="18"/>
        <v>0</v>
      </c>
      <c r="AA533" t="str" cm="1">
        <f t="array" aca="1" ref="AA533" ca="1">IFERROR(INDEX(H_Tables!E:E,MATCH(INDIRECT("I"&amp;ROW()),H_Tables!F:F,0)),"")</f>
        <v/>
      </c>
      <c r="AB533" t="str" cm="1">
        <f t="array" aca="1" ref="AB533" ca="1">IFERROR(INDEX(H_Tables!H:H,MATCH(INDIRECT("k"&amp;ROW()),H_Tables!I:I,0)),"")</f>
        <v/>
      </c>
      <c r="AC533" t="str">
        <f t="shared" si="19"/>
        <v/>
      </c>
      <c r="AD533">
        <v>530</v>
      </c>
    </row>
    <row r="534" spans="13:30" ht="15" customHeight="1" x14ac:dyDescent="0.25">
      <c r="M534" t="s">
        <v>2474</v>
      </c>
      <c r="Z534" s="110">
        <f t="shared" si="18"/>
        <v>0</v>
      </c>
      <c r="AA534" t="str" cm="1">
        <f t="array" aca="1" ref="AA534" ca="1">IFERROR(INDEX(H_Tables!E:E,MATCH(INDIRECT("I"&amp;ROW()),H_Tables!F:F,0)),"")</f>
        <v/>
      </c>
      <c r="AB534" t="str" cm="1">
        <f t="array" aca="1" ref="AB534" ca="1">IFERROR(INDEX(H_Tables!H:H,MATCH(INDIRECT("k"&amp;ROW()),H_Tables!I:I,0)),"")</f>
        <v/>
      </c>
      <c r="AC534" t="str">
        <f t="shared" si="19"/>
        <v/>
      </c>
      <c r="AD534">
        <v>531</v>
      </c>
    </row>
    <row r="535" spans="13:30" ht="15" customHeight="1" x14ac:dyDescent="0.25">
      <c r="M535" t="s">
        <v>2474</v>
      </c>
      <c r="Z535" s="110">
        <f t="shared" si="18"/>
        <v>0</v>
      </c>
      <c r="AA535" t="str" cm="1">
        <f t="array" aca="1" ref="AA535" ca="1">IFERROR(INDEX(H_Tables!E:E,MATCH(INDIRECT("I"&amp;ROW()),H_Tables!F:F,0)),"")</f>
        <v/>
      </c>
      <c r="AB535" t="str" cm="1">
        <f t="array" aca="1" ref="AB535" ca="1">IFERROR(INDEX(H_Tables!H:H,MATCH(INDIRECT("k"&amp;ROW()),H_Tables!I:I,0)),"")</f>
        <v/>
      </c>
      <c r="AC535" t="str">
        <f t="shared" si="19"/>
        <v/>
      </c>
      <c r="AD535">
        <v>532</v>
      </c>
    </row>
    <row r="536" spans="13:30" ht="15" customHeight="1" x14ac:dyDescent="0.25">
      <c r="M536" t="s">
        <v>2474</v>
      </c>
      <c r="Z536" s="110">
        <f t="shared" si="18"/>
        <v>0</v>
      </c>
      <c r="AA536" t="str" cm="1">
        <f t="array" aca="1" ref="AA536" ca="1">IFERROR(INDEX(H_Tables!E:E,MATCH(INDIRECT("I"&amp;ROW()),H_Tables!F:F,0)),"")</f>
        <v/>
      </c>
      <c r="AB536" t="str" cm="1">
        <f t="array" aca="1" ref="AB536" ca="1">IFERROR(INDEX(H_Tables!H:H,MATCH(INDIRECT("k"&amp;ROW()),H_Tables!I:I,0)),"")</f>
        <v/>
      </c>
      <c r="AC536" t="str">
        <f t="shared" si="19"/>
        <v/>
      </c>
      <c r="AD536">
        <v>533</v>
      </c>
    </row>
    <row r="537" spans="13:30" ht="15" customHeight="1" x14ac:dyDescent="0.25">
      <c r="M537" t="s">
        <v>2474</v>
      </c>
      <c r="Z537" s="110">
        <f t="shared" si="18"/>
        <v>0</v>
      </c>
      <c r="AA537" t="str" cm="1">
        <f t="array" aca="1" ref="AA537" ca="1">IFERROR(INDEX(H_Tables!E:E,MATCH(INDIRECT("I"&amp;ROW()),H_Tables!F:F,0)),"")</f>
        <v/>
      </c>
      <c r="AB537" t="str" cm="1">
        <f t="array" aca="1" ref="AB537" ca="1">IFERROR(INDEX(H_Tables!H:H,MATCH(INDIRECT("k"&amp;ROW()),H_Tables!I:I,0)),"")</f>
        <v/>
      </c>
      <c r="AC537" t="str">
        <f t="shared" si="19"/>
        <v/>
      </c>
      <c r="AD537">
        <v>534</v>
      </c>
    </row>
    <row r="538" spans="13:30" ht="15" customHeight="1" x14ac:dyDescent="0.25">
      <c r="M538" t="s">
        <v>2474</v>
      </c>
      <c r="Z538" s="110">
        <f t="shared" si="18"/>
        <v>0</v>
      </c>
      <c r="AA538" t="str" cm="1">
        <f t="array" aca="1" ref="AA538" ca="1">IFERROR(INDEX(H_Tables!E:E,MATCH(INDIRECT("I"&amp;ROW()),H_Tables!F:F,0)),"")</f>
        <v/>
      </c>
      <c r="AB538" t="str" cm="1">
        <f t="array" aca="1" ref="AB538" ca="1">IFERROR(INDEX(H_Tables!H:H,MATCH(INDIRECT("k"&amp;ROW()),H_Tables!I:I,0)),"")</f>
        <v/>
      </c>
      <c r="AC538" t="str">
        <f t="shared" si="19"/>
        <v/>
      </c>
      <c r="AD538">
        <v>535</v>
      </c>
    </row>
    <row r="539" spans="13:30" ht="15" customHeight="1" x14ac:dyDescent="0.25">
      <c r="M539" t="s">
        <v>2474</v>
      </c>
      <c r="Z539" s="110">
        <f t="shared" si="18"/>
        <v>0</v>
      </c>
      <c r="AA539" t="str" cm="1">
        <f t="array" aca="1" ref="AA539" ca="1">IFERROR(INDEX(H_Tables!E:E,MATCH(INDIRECT("I"&amp;ROW()),H_Tables!F:F,0)),"")</f>
        <v/>
      </c>
      <c r="AB539" t="str" cm="1">
        <f t="array" aca="1" ref="AB539" ca="1">IFERROR(INDEX(H_Tables!H:H,MATCH(INDIRECT("k"&amp;ROW()),H_Tables!I:I,0)),"")</f>
        <v/>
      </c>
      <c r="AC539" t="str">
        <f t="shared" si="19"/>
        <v/>
      </c>
      <c r="AD539">
        <v>536</v>
      </c>
    </row>
    <row r="540" spans="13:30" ht="15" customHeight="1" x14ac:dyDescent="0.25">
      <c r="M540" t="s">
        <v>2474</v>
      </c>
      <c r="Z540" s="110">
        <f t="shared" si="18"/>
        <v>0</v>
      </c>
      <c r="AA540" t="str" cm="1">
        <f t="array" aca="1" ref="AA540" ca="1">IFERROR(INDEX(H_Tables!E:E,MATCH(INDIRECT("I"&amp;ROW()),H_Tables!F:F,0)),"")</f>
        <v/>
      </c>
      <c r="AB540" t="str" cm="1">
        <f t="array" aca="1" ref="AB540" ca="1">IFERROR(INDEX(H_Tables!H:H,MATCH(INDIRECT("k"&amp;ROW()),H_Tables!I:I,0)),"")</f>
        <v/>
      </c>
      <c r="AC540" t="str">
        <f t="shared" si="19"/>
        <v/>
      </c>
      <c r="AD540">
        <v>537</v>
      </c>
    </row>
    <row r="541" spans="13:30" ht="15" customHeight="1" x14ac:dyDescent="0.25">
      <c r="M541" t="s">
        <v>2474</v>
      </c>
      <c r="Z541" s="110">
        <f t="shared" si="18"/>
        <v>0</v>
      </c>
      <c r="AA541" t="str" cm="1">
        <f t="array" aca="1" ref="AA541" ca="1">IFERROR(INDEX(H_Tables!E:E,MATCH(INDIRECT("I"&amp;ROW()),H_Tables!F:F,0)),"")</f>
        <v/>
      </c>
      <c r="AB541" t="str" cm="1">
        <f t="array" aca="1" ref="AB541" ca="1">IFERROR(INDEX(H_Tables!H:H,MATCH(INDIRECT("k"&amp;ROW()),H_Tables!I:I,0)),"")</f>
        <v/>
      </c>
      <c r="AC541" t="str">
        <f t="shared" si="19"/>
        <v/>
      </c>
      <c r="AD541">
        <v>538</v>
      </c>
    </row>
    <row r="542" spans="13:30" ht="15" customHeight="1" x14ac:dyDescent="0.25">
      <c r="M542" t="s">
        <v>2474</v>
      </c>
      <c r="Z542" s="110">
        <f t="shared" si="18"/>
        <v>0</v>
      </c>
      <c r="AA542" t="str" cm="1">
        <f t="array" aca="1" ref="AA542" ca="1">IFERROR(INDEX(H_Tables!E:E,MATCH(INDIRECT("I"&amp;ROW()),H_Tables!F:F,0)),"")</f>
        <v/>
      </c>
      <c r="AB542" t="str" cm="1">
        <f t="array" aca="1" ref="AB542" ca="1">IFERROR(INDEX(H_Tables!H:H,MATCH(INDIRECT("k"&amp;ROW()),H_Tables!I:I,0)),"")</f>
        <v/>
      </c>
      <c r="AC542" t="str">
        <f t="shared" si="19"/>
        <v/>
      </c>
      <c r="AD542">
        <v>539</v>
      </c>
    </row>
    <row r="543" spans="13:30" ht="15" customHeight="1" x14ac:dyDescent="0.25">
      <c r="M543" t="s">
        <v>2474</v>
      </c>
      <c r="Z543" s="110">
        <f t="shared" si="18"/>
        <v>0</v>
      </c>
      <c r="AA543" t="str" cm="1">
        <f t="array" aca="1" ref="AA543" ca="1">IFERROR(INDEX(H_Tables!E:E,MATCH(INDIRECT("I"&amp;ROW()),H_Tables!F:F,0)),"")</f>
        <v/>
      </c>
      <c r="AB543" t="str" cm="1">
        <f t="array" aca="1" ref="AB543" ca="1">IFERROR(INDEX(H_Tables!H:H,MATCH(INDIRECT("k"&amp;ROW()),H_Tables!I:I,0)),"")</f>
        <v/>
      </c>
      <c r="AC543" t="str">
        <f t="shared" si="19"/>
        <v/>
      </c>
      <c r="AD543">
        <v>540</v>
      </c>
    </row>
    <row r="544" spans="13:30" ht="15" customHeight="1" x14ac:dyDescent="0.25">
      <c r="M544" t="s">
        <v>2474</v>
      </c>
      <c r="Z544" s="110">
        <f t="shared" si="18"/>
        <v>0</v>
      </c>
      <c r="AA544" t="str" cm="1">
        <f t="array" aca="1" ref="AA544" ca="1">IFERROR(INDEX(H_Tables!E:E,MATCH(INDIRECT("I"&amp;ROW()),H_Tables!F:F,0)),"")</f>
        <v/>
      </c>
      <c r="AB544" t="str" cm="1">
        <f t="array" aca="1" ref="AB544" ca="1">IFERROR(INDEX(H_Tables!H:H,MATCH(INDIRECT("k"&amp;ROW()),H_Tables!I:I,0)),"")</f>
        <v/>
      </c>
      <c r="AC544" t="str">
        <f t="shared" si="19"/>
        <v/>
      </c>
      <c r="AD544">
        <v>541</v>
      </c>
    </row>
    <row r="545" spans="13:30" ht="15" customHeight="1" x14ac:dyDescent="0.25">
      <c r="M545" t="s">
        <v>2474</v>
      </c>
      <c r="Z545" s="110">
        <f t="shared" si="18"/>
        <v>0</v>
      </c>
      <c r="AA545" t="str" cm="1">
        <f t="array" aca="1" ref="AA545" ca="1">IFERROR(INDEX(H_Tables!E:E,MATCH(INDIRECT("I"&amp;ROW()),H_Tables!F:F,0)),"")</f>
        <v/>
      </c>
      <c r="AB545" t="str" cm="1">
        <f t="array" aca="1" ref="AB545" ca="1">IFERROR(INDEX(H_Tables!H:H,MATCH(INDIRECT("k"&amp;ROW()),H_Tables!I:I,0)),"")</f>
        <v/>
      </c>
      <c r="AC545" t="str">
        <f t="shared" si="19"/>
        <v/>
      </c>
      <c r="AD545">
        <v>542</v>
      </c>
    </row>
    <row r="546" spans="13:30" ht="15" customHeight="1" x14ac:dyDescent="0.25">
      <c r="M546" t="s">
        <v>2474</v>
      </c>
      <c r="Z546" s="110">
        <f t="shared" si="18"/>
        <v>0</v>
      </c>
      <c r="AA546" t="str" cm="1">
        <f t="array" aca="1" ref="AA546" ca="1">IFERROR(INDEX(H_Tables!E:E,MATCH(INDIRECT("I"&amp;ROW()),H_Tables!F:F,0)),"")</f>
        <v/>
      </c>
      <c r="AB546" t="str" cm="1">
        <f t="array" aca="1" ref="AB546" ca="1">IFERROR(INDEX(H_Tables!H:H,MATCH(INDIRECT("k"&amp;ROW()),H_Tables!I:I,0)),"")</f>
        <v/>
      </c>
      <c r="AC546" t="str">
        <f t="shared" si="19"/>
        <v/>
      </c>
      <c r="AD546">
        <v>543</v>
      </c>
    </row>
    <row r="547" spans="13:30" ht="15" customHeight="1" x14ac:dyDescent="0.25">
      <c r="M547" t="s">
        <v>2474</v>
      </c>
      <c r="Z547" s="110">
        <f t="shared" si="18"/>
        <v>0</v>
      </c>
      <c r="AA547" t="str" cm="1">
        <f t="array" aca="1" ref="AA547" ca="1">IFERROR(INDEX(H_Tables!E:E,MATCH(INDIRECT("I"&amp;ROW()),H_Tables!F:F,0)),"")</f>
        <v/>
      </c>
      <c r="AB547" t="str" cm="1">
        <f t="array" aca="1" ref="AB547" ca="1">IFERROR(INDEX(H_Tables!H:H,MATCH(INDIRECT("k"&amp;ROW()),H_Tables!I:I,0)),"")</f>
        <v/>
      </c>
      <c r="AC547" t="str">
        <f t="shared" si="19"/>
        <v/>
      </c>
      <c r="AD547">
        <v>544</v>
      </c>
    </row>
    <row r="548" spans="13:30" ht="15" customHeight="1" x14ac:dyDescent="0.25">
      <c r="M548" t="s">
        <v>2474</v>
      </c>
      <c r="Z548" s="110">
        <f t="shared" si="18"/>
        <v>0</v>
      </c>
      <c r="AA548" t="str" cm="1">
        <f t="array" aca="1" ref="AA548" ca="1">IFERROR(INDEX(H_Tables!E:E,MATCH(INDIRECT("I"&amp;ROW()),H_Tables!F:F,0)),"")</f>
        <v/>
      </c>
      <c r="AB548" t="str" cm="1">
        <f t="array" aca="1" ref="AB548" ca="1">IFERROR(INDEX(H_Tables!H:H,MATCH(INDIRECT("k"&amp;ROW()),H_Tables!I:I,0)),"")</f>
        <v/>
      </c>
      <c r="AC548" t="str">
        <f t="shared" si="19"/>
        <v/>
      </c>
      <c r="AD548">
        <v>545</v>
      </c>
    </row>
    <row r="549" spans="13:30" ht="15" customHeight="1" x14ac:dyDescent="0.25">
      <c r="M549" t="s">
        <v>2474</v>
      </c>
      <c r="Z549" s="110">
        <f t="shared" si="18"/>
        <v>0</v>
      </c>
      <c r="AA549" t="str" cm="1">
        <f t="array" aca="1" ref="AA549" ca="1">IFERROR(INDEX(H_Tables!E:E,MATCH(INDIRECT("I"&amp;ROW()),H_Tables!F:F,0)),"")</f>
        <v/>
      </c>
      <c r="AB549" t="str" cm="1">
        <f t="array" aca="1" ref="AB549" ca="1">IFERROR(INDEX(H_Tables!H:H,MATCH(INDIRECT("k"&amp;ROW()),H_Tables!I:I,0)),"")</f>
        <v/>
      </c>
      <c r="AC549" t="str">
        <f t="shared" si="19"/>
        <v/>
      </c>
      <c r="AD549">
        <v>546</v>
      </c>
    </row>
    <row r="550" spans="13:30" ht="15" customHeight="1" x14ac:dyDescent="0.25">
      <c r="M550" t="s">
        <v>2474</v>
      </c>
      <c r="Z550" s="110">
        <f t="shared" si="18"/>
        <v>0</v>
      </c>
      <c r="AA550" t="str" cm="1">
        <f t="array" aca="1" ref="AA550" ca="1">IFERROR(INDEX(H_Tables!E:E,MATCH(INDIRECT("I"&amp;ROW()),H_Tables!F:F,0)),"")</f>
        <v/>
      </c>
      <c r="AB550" t="str" cm="1">
        <f t="array" aca="1" ref="AB550" ca="1">IFERROR(INDEX(H_Tables!H:H,MATCH(INDIRECT("k"&amp;ROW()),H_Tables!I:I,0)),"")</f>
        <v/>
      </c>
      <c r="AC550" t="str">
        <f t="shared" si="19"/>
        <v/>
      </c>
      <c r="AD550">
        <v>547</v>
      </c>
    </row>
    <row r="551" spans="13:30" ht="15" customHeight="1" x14ac:dyDescent="0.25">
      <c r="M551" t="s">
        <v>2474</v>
      </c>
      <c r="Z551" s="110">
        <f t="shared" si="18"/>
        <v>0</v>
      </c>
      <c r="AA551" t="str" cm="1">
        <f t="array" aca="1" ref="AA551" ca="1">IFERROR(INDEX(H_Tables!E:E,MATCH(INDIRECT("I"&amp;ROW()),H_Tables!F:F,0)),"")</f>
        <v/>
      </c>
      <c r="AB551" t="str" cm="1">
        <f t="array" aca="1" ref="AB551" ca="1">IFERROR(INDEX(H_Tables!H:H,MATCH(INDIRECT("k"&amp;ROW()),H_Tables!I:I,0)),"")</f>
        <v/>
      </c>
      <c r="AC551" t="str">
        <f t="shared" si="19"/>
        <v/>
      </c>
      <c r="AD551">
        <v>548</v>
      </c>
    </row>
    <row r="552" spans="13:30" ht="15" customHeight="1" x14ac:dyDescent="0.25">
      <c r="M552" t="s">
        <v>2474</v>
      </c>
      <c r="Z552" s="110">
        <f t="shared" si="18"/>
        <v>0</v>
      </c>
      <c r="AA552" t="str" cm="1">
        <f t="array" aca="1" ref="AA552" ca="1">IFERROR(INDEX(H_Tables!E:E,MATCH(INDIRECT("I"&amp;ROW()),H_Tables!F:F,0)),"")</f>
        <v/>
      </c>
      <c r="AB552" t="str" cm="1">
        <f t="array" aca="1" ref="AB552" ca="1">IFERROR(INDEX(H_Tables!H:H,MATCH(INDIRECT("k"&amp;ROW()),H_Tables!I:I,0)),"")</f>
        <v/>
      </c>
      <c r="AC552" t="str">
        <f t="shared" si="19"/>
        <v/>
      </c>
      <c r="AD552">
        <v>549</v>
      </c>
    </row>
    <row r="553" spans="13:30" ht="15" customHeight="1" x14ac:dyDescent="0.25">
      <c r="M553" t="s">
        <v>2474</v>
      </c>
      <c r="Z553" s="110">
        <f t="shared" si="18"/>
        <v>0</v>
      </c>
      <c r="AA553" t="str" cm="1">
        <f t="array" aca="1" ref="AA553" ca="1">IFERROR(INDEX(H_Tables!E:E,MATCH(INDIRECT("I"&amp;ROW()),H_Tables!F:F,0)),"")</f>
        <v/>
      </c>
      <c r="AB553" t="str" cm="1">
        <f t="array" aca="1" ref="AB553" ca="1">IFERROR(INDEX(H_Tables!H:H,MATCH(INDIRECT("k"&amp;ROW()),H_Tables!I:I,0)),"")</f>
        <v/>
      </c>
      <c r="AC553" t="str">
        <f t="shared" si="19"/>
        <v/>
      </c>
      <c r="AD553">
        <v>550</v>
      </c>
    </row>
    <row r="554" spans="13:30" ht="15" customHeight="1" x14ac:dyDescent="0.25">
      <c r="M554" t="s">
        <v>2474</v>
      </c>
      <c r="Z554" s="110">
        <f t="shared" si="18"/>
        <v>0</v>
      </c>
      <c r="AA554" t="str" cm="1">
        <f t="array" aca="1" ref="AA554" ca="1">IFERROR(INDEX(H_Tables!E:E,MATCH(INDIRECT("I"&amp;ROW()),H_Tables!F:F,0)),"")</f>
        <v/>
      </c>
      <c r="AB554" t="str" cm="1">
        <f t="array" aca="1" ref="AB554" ca="1">IFERROR(INDEX(H_Tables!H:H,MATCH(INDIRECT("k"&amp;ROW()),H_Tables!I:I,0)),"")</f>
        <v/>
      </c>
      <c r="AC554" t="str">
        <f t="shared" si="19"/>
        <v/>
      </c>
      <c r="AD554">
        <v>551</v>
      </c>
    </row>
    <row r="555" spans="13:30" ht="15" customHeight="1" x14ac:dyDescent="0.25">
      <c r="M555" t="s">
        <v>2474</v>
      </c>
      <c r="Z555" s="110">
        <f t="shared" si="18"/>
        <v>0</v>
      </c>
      <c r="AA555" t="str" cm="1">
        <f t="array" aca="1" ref="AA555" ca="1">IFERROR(INDEX(H_Tables!E:E,MATCH(INDIRECT("I"&amp;ROW()),H_Tables!F:F,0)),"")</f>
        <v/>
      </c>
      <c r="AB555" t="str" cm="1">
        <f t="array" aca="1" ref="AB555" ca="1">IFERROR(INDEX(H_Tables!H:H,MATCH(INDIRECT("k"&amp;ROW()),H_Tables!I:I,0)),"")</f>
        <v/>
      </c>
      <c r="AC555" t="str">
        <f t="shared" si="19"/>
        <v/>
      </c>
      <c r="AD555">
        <v>552</v>
      </c>
    </row>
    <row r="556" spans="13:30" ht="15" customHeight="1" x14ac:dyDescent="0.25">
      <c r="M556" t="s">
        <v>2474</v>
      </c>
      <c r="Z556" s="110">
        <f t="shared" si="18"/>
        <v>0</v>
      </c>
      <c r="AA556" t="str" cm="1">
        <f t="array" aca="1" ref="AA556" ca="1">IFERROR(INDEX(H_Tables!E:E,MATCH(INDIRECT("I"&amp;ROW()),H_Tables!F:F,0)),"")</f>
        <v/>
      </c>
      <c r="AB556" t="str" cm="1">
        <f t="array" aca="1" ref="AB556" ca="1">IFERROR(INDEX(H_Tables!H:H,MATCH(INDIRECT("k"&amp;ROW()),H_Tables!I:I,0)),"")</f>
        <v/>
      </c>
      <c r="AC556" t="str">
        <f t="shared" si="19"/>
        <v/>
      </c>
      <c r="AD556">
        <v>553</v>
      </c>
    </row>
    <row r="557" spans="13:30" ht="15" customHeight="1" x14ac:dyDescent="0.25">
      <c r="M557" t="s">
        <v>2474</v>
      </c>
      <c r="Z557" s="110">
        <f t="shared" si="18"/>
        <v>0</v>
      </c>
      <c r="AA557" t="str" cm="1">
        <f t="array" aca="1" ref="AA557" ca="1">IFERROR(INDEX(H_Tables!E:E,MATCH(INDIRECT("I"&amp;ROW()),H_Tables!F:F,0)),"")</f>
        <v/>
      </c>
      <c r="AB557" t="str" cm="1">
        <f t="array" aca="1" ref="AB557" ca="1">IFERROR(INDEX(H_Tables!H:H,MATCH(INDIRECT("k"&amp;ROW()),H_Tables!I:I,0)),"")</f>
        <v/>
      </c>
      <c r="AC557" t="str">
        <f t="shared" si="19"/>
        <v/>
      </c>
      <c r="AD557">
        <v>554</v>
      </c>
    </row>
    <row r="558" spans="13:30" ht="15" customHeight="1" x14ac:dyDescent="0.25">
      <c r="M558" t="s">
        <v>2474</v>
      </c>
      <c r="Z558" s="110">
        <f t="shared" si="18"/>
        <v>0</v>
      </c>
      <c r="AA558" t="str" cm="1">
        <f t="array" aca="1" ref="AA558" ca="1">IFERROR(INDEX(H_Tables!E:E,MATCH(INDIRECT("I"&amp;ROW()),H_Tables!F:F,0)),"")</f>
        <v/>
      </c>
      <c r="AB558" t="str" cm="1">
        <f t="array" aca="1" ref="AB558" ca="1">IFERROR(INDEX(H_Tables!H:H,MATCH(INDIRECT("k"&amp;ROW()),H_Tables!I:I,0)),"")</f>
        <v/>
      </c>
      <c r="AC558" t="str">
        <f t="shared" si="19"/>
        <v/>
      </c>
      <c r="AD558">
        <v>555</v>
      </c>
    </row>
    <row r="559" spans="13:30" ht="15" customHeight="1" x14ac:dyDescent="0.25">
      <c r="M559" t="s">
        <v>2474</v>
      </c>
      <c r="Z559" s="110">
        <f t="shared" si="18"/>
        <v>0</v>
      </c>
      <c r="AA559" t="str" cm="1">
        <f t="array" aca="1" ref="AA559" ca="1">IFERROR(INDEX(H_Tables!E:E,MATCH(INDIRECT("I"&amp;ROW()),H_Tables!F:F,0)),"")</f>
        <v/>
      </c>
      <c r="AB559" t="str" cm="1">
        <f t="array" aca="1" ref="AB559" ca="1">IFERROR(INDEX(H_Tables!H:H,MATCH(INDIRECT("k"&amp;ROW()),H_Tables!I:I,0)),"")</f>
        <v/>
      </c>
      <c r="AC559" t="str">
        <f t="shared" si="19"/>
        <v/>
      </c>
      <c r="AD559">
        <v>556</v>
      </c>
    </row>
    <row r="560" spans="13:30" ht="15" customHeight="1" x14ac:dyDescent="0.25">
      <c r="M560" t="s">
        <v>2474</v>
      </c>
      <c r="Z560" s="110">
        <f t="shared" si="18"/>
        <v>0</v>
      </c>
      <c r="AA560" t="str" cm="1">
        <f t="array" aca="1" ref="AA560" ca="1">IFERROR(INDEX(H_Tables!E:E,MATCH(INDIRECT("I"&amp;ROW()),H_Tables!F:F,0)),"")</f>
        <v/>
      </c>
      <c r="AB560" t="str" cm="1">
        <f t="array" aca="1" ref="AB560" ca="1">IFERROR(INDEX(H_Tables!H:H,MATCH(INDIRECT("k"&amp;ROW()),H_Tables!I:I,0)),"")</f>
        <v/>
      </c>
      <c r="AC560" t="str">
        <f t="shared" si="19"/>
        <v/>
      </c>
      <c r="AD560">
        <v>557</v>
      </c>
    </row>
    <row r="561" spans="13:30" ht="15" customHeight="1" x14ac:dyDescent="0.25">
      <c r="M561" t="s">
        <v>2474</v>
      </c>
      <c r="Z561" s="110">
        <f t="shared" si="18"/>
        <v>0</v>
      </c>
      <c r="AA561" t="str" cm="1">
        <f t="array" aca="1" ref="AA561" ca="1">IFERROR(INDEX(H_Tables!E:E,MATCH(INDIRECT("I"&amp;ROW()),H_Tables!F:F,0)),"")</f>
        <v/>
      </c>
      <c r="AB561" t="str" cm="1">
        <f t="array" aca="1" ref="AB561" ca="1">IFERROR(INDEX(H_Tables!H:H,MATCH(INDIRECT("k"&amp;ROW()),H_Tables!I:I,0)),"")</f>
        <v/>
      </c>
      <c r="AC561" t="str">
        <f t="shared" si="19"/>
        <v/>
      </c>
      <c r="AD561">
        <v>558</v>
      </c>
    </row>
    <row r="562" spans="13:30" ht="15" customHeight="1" x14ac:dyDescent="0.25">
      <c r="M562" t="s">
        <v>2474</v>
      </c>
      <c r="Z562" s="110">
        <f t="shared" si="18"/>
        <v>0</v>
      </c>
      <c r="AA562" t="str" cm="1">
        <f t="array" aca="1" ref="AA562" ca="1">IFERROR(INDEX(H_Tables!E:E,MATCH(INDIRECT("I"&amp;ROW()),H_Tables!F:F,0)),"")</f>
        <v/>
      </c>
      <c r="AB562" t="str" cm="1">
        <f t="array" aca="1" ref="AB562" ca="1">IFERROR(INDEX(H_Tables!H:H,MATCH(INDIRECT("k"&amp;ROW()),H_Tables!I:I,0)),"")</f>
        <v/>
      </c>
      <c r="AC562" t="str">
        <f t="shared" si="19"/>
        <v/>
      </c>
      <c r="AD562">
        <v>559</v>
      </c>
    </row>
    <row r="563" spans="13:30" ht="15" customHeight="1" x14ac:dyDescent="0.25">
      <c r="M563" t="s">
        <v>2474</v>
      </c>
      <c r="Z563" s="110">
        <f t="shared" si="18"/>
        <v>0</v>
      </c>
      <c r="AA563" t="str" cm="1">
        <f t="array" aca="1" ref="AA563" ca="1">IFERROR(INDEX(H_Tables!E:E,MATCH(INDIRECT("I"&amp;ROW()),H_Tables!F:F,0)),"")</f>
        <v/>
      </c>
      <c r="AB563" t="str" cm="1">
        <f t="array" aca="1" ref="AB563" ca="1">IFERROR(INDEX(H_Tables!H:H,MATCH(INDIRECT("k"&amp;ROW()),H_Tables!I:I,0)),"")</f>
        <v/>
      </c>
      <c r="AC563" t="str">
        <f t="shared" si="19"/>
        <v/>
      </c>
      <c r="AD563">
        <v>560</v>
      </c>
    </row>
    <row r="564" spans="13:30" ht="15" customHeight="1" x14ac:dyDescent="0.25">
      <c r="M564" t="s">
        <v>2474</v>
      </c>
      <c r="Z564" s="110">
        <f t="shared" si="18"/>
        <v>0</v>
      </c>
      <c r="AA564" t="str" cm="1">
        <f t="array" aca="1" ref="AA564" ca="1">IFERROR(INDEX(H_Tables!E:E,MATCH(INDIRECT("I"&amp;ROW()),H_Tables!F:F,0)),"")</f>
        <v/>
      </c>
      <c r="AB564" t="str" cm="1">
        <f t="array" aca="1" ref="AB564" ca="1">IFERROR(INDEX(H_Tables!H:H,MATCH(INDIRECT("k"&amp;ROW()),H_Tables!I:I,0)),"")</f>
        <v/>
      </c>
      <c r="AC564" t="str">
        <f t="shared" si="19"/>
        <v/>
      </c>
      <c r="AD564">
        <v>561</v>
      </c>
    </row>
    <row r="565" spans="13:30" ht="15" customHeight="1" x14ac:dyDescent="0.25">
      <c r="M565" t="s">
        <v>2474</v>
      </c>
      <c r="Z565" s="110">
        <f t="shared" si="18"/>
        <v>0</v>
      </c>
      <c r="AA565" t="str" cm="1">
        <f t="array" aca="1" ref="AA565" ca="1">IFERROR(INDEX(H_Tables!E:E,MATCH(INDIRECT("I"&amp;ROW()),H_Tables!F:F,0)),"")</f>
        <v/>
      </c>
      <c r="AB565" t="str" cm="1">
        <f t="array" aca="1" ref="AB565" ca="1">IFERROR(INDEX(H_Tables!H:H,MATCH(INDIRECT("k"&amp;ROW()),H_Tables!I:I,0)),"")</f>
        <v/>
      </c>
      <c r="AC565" t="str">
        <f t="shared" si="19"/>
        <v/>
      </c>
      <c r="AD565">
        <v>562</v>
      </c>
    </row>
    <row r="566" spans="13:30" ht="15" customHeight="1" x14ac:dyDescent="0.25">
      <c r="M566" t="s">
        <v>2474</v>
      </c>
      <c r="Z566" s="110">
        <f t="shared" si="18"/>
        <v>0</v>
      </c>
      <c r="AA566" t="str" cm="1">
        <f t="array" aca="1" ref="AA566" ca="1">IFERROR(INDEX(H_Tables!E:E,MATCH(INDIRECT("I"&amp;ROW()),H_Tables!F:F,0)),"")</f>
        <v/>
      </c>
      <c r="AB566" t="str" cm="1">
        <f t="array" aca="1" ref="AB566" ca="1">IFERROR(INDEX(H_Tables!H:H,MATCH(INDIRECT("k"&amp;ROW()),H_Tables!I:I,0)),"")</f>
        <v/>
      </c>
      <c r="AC566" t="str">
        <f t="shared" si="19"/>
        <v/>
      </c>
      <c r="AD566">
        <v>563</v>
      </c>
    </row>
    <row r="567" spans="13:30" ht="15" customHeight="1" x14ac:dyDescent="0.25">
      <c r="M567" t="s">
        <v>2474</v>
      </c>
      <c r="Z567" s="110">
        <f t="shared" si="18"/>
        <v>0</v>
      </c>
      <c r="AA567" t="str" cm="1">
        <f t="array" aca="1" ref="AA567" ca="1">IFERROR(INDEX(H_Tables!E:E,MATCH(INDIRECT("I"&amp;ROW()),H_Tables!F:F,0)),"")</f>
        <v/>
      </c>
      <c r="AB567" t="str" cm="1">
        <f t="array" aca="1" ref="AB567" ca="1">IFERROR(INDEX(H_Tables!H:H,MATCH(INDIRECT("k"&amp;ROW()),H_Tables!I:I,0)),"")</f>
        <v/>
      </c>
      <c r="AC567" t="str">
        <f t="shared" si="19"/>
        <v/>
      </c>
      <c r="AD567">
        <v>564</v>
      </c>
    </row>
    <row r="568" spans="13:30" ht="15" customHeight="1" x14ac:dyDescent="0.25">
      <c r="M568" t="s">
        <v>2474</v>
      </c>
      <c r="Z568" s="110">
        <f t="shared" si="18"/>
        <v>0</v>
      </c>
      <c r="AA568" t="str" cm="1">
        <f t="array" aca="1" ref="AA568" ca="1">IFERROR(INDEX(H_Tables!E:E,MATCH(INDIRECT("I"&amp;ROW()),H_Tables!F:F,0)),"")</f>
        <v/>
      </c>
      <c r="AB568" t="str" cm="1">
        <f t="array" aca="1" ref="AB568" ca="1">IFERROR(INDEX(H_Tables!H:H,MATCH(INDIRECT("k"&amp;ROW()),H_Tables!I:I,0)),"")</f>
        <v/>
      </c>
      <c r="AC568" t="str">
        <f t="shared" si="19"/>
        <v/>
      </c>
      <c r="AD568">
        <v>565</v>
      </c>
    </row>
    <row r="569" spans="13:30" ht="15" customHeight="1" x14ac:dyDescent="0.25">
      <c r="M569" t="s">
        <v>2474</v>
      </c>
      <c r="Z569" s="110">
        <f t="shared" si="18"/>
        <v>0</v>
      </c>
      <c r="AA569" t="str" cm="1">
        <f t="array" aca="1" ref="AA569" ca="1">IFERROR(INDEX(H_Tables!E:E,MATCH(INDIRECT("I"&amp;ROW()),H_Tables!F:F,0)),"")</f>
        <v/>
      </c>
      <c r="AB569" t="str" cm="1">
        <f t="array" aca="1" ref="AB569" ca="1">IFERROR(INDEX(H_Tables!H:H,MATCH(INDIRECT("k"&amp;ROW()),H_Tables!I:I,0)),"")</f>
        <v/>
      </c>
      <c r="AC569" t="str">
        <f t="shared" si="19"/>
        <v/>
      </c>
      <c r="AD569">
        <v>566</v>
      </c>
    </row>
    <row r="570" spans="13:30" ht="15" customHeight="1" x14ac:dyDescent="0.25">
      <c r="M570" t="s">
        <v>2474</v>
      </c>
      <c r="Z570" s="110">
        <f t="shared" si="18"/>
        <v>0</v>
      </c>
      <c r="AA570" t="str" cm="1">
        <f t="array" aca="1" ref="AA570" ca="1">IFERROR(INDEX(H_Tables!E:E,MATCH(INDIRECT("I"&amp;ROW()),H_Tables!F:F,0)),"")</f>
        <v/>
      </c>
      <c r="AB570" t="str" cm="1">
        <f t="array" aca="1" ref="AB570" ca="1">IFERROR(INDEX(H_Tables!H:H,MATCH(INDIRECT("k"&amp;ROW()),H_Tables!I:I,0)),"")</f>
        <v/>
      </c>
      <c r="AC570" t="str">
        <f t="shared" si="19"/>
        <v/>
      </c>
      <c r="AD570">
        <v>567</v>
      </c>
    </row>
    <row r="571" spans="13:30" ht="15" customHeight="1" x14ac:dyDescent="0.25">
      <c r="M571" t="s">
        <v>2474</v>
      </c>
      <c r="Z571" s="110">
        <f t="shared" si="18"/>
        <v>0</v>
      </c>
      <c r="AA571" t="str" cm="1">
        <f t="array" aca="1" ref="AA571" ca="1">IFERROR(INDEX(H_Tables!E:E,MATCH(INDIRECT("I"&amp;ROW()),H_Tables!F:F,0)),"")</f>
        <v/>
      </c>
      <c r="AB571" t="str" cm="1">
        <f t="array" aca="1" ref="AB571" ca="1">IFERROR(INDEX(H_Tables!H:H,MATCH(INDIRECT("k"&amp;ROW()),H_Tables!I:I,0)),"")</f>
        <v/>
      </c>
      <c r="AC571" t="str">
        <f t="shared" si="19"/>
        <v/>
      </c>
      <c r="AD571">
        <v>568</v>
      </c>
    </row>
    <row r="572" spans="13:30" ht="15" customHeight="1" x14ac:dyDescent="0.25">
      <c r="M572" t="s">
        <v>2474</v>
      </c>
      <c r="Z572" s="110">
        <f t="shared" si="18"/>
        <v>0</v>
      </c>
      <c r="AA572" t="str" cm="1">
        <f t="array" aca="1" ref="AA572" ca="1">IFERROR(INDEX(H_Tables!E:E,MATCH(INDIRECT("I"&amp;ROW()),H_Tables!F:F,0)),"")</f>
        <v/>
      </c>
      <c r="AB572" t="str" cm="1">
        <f t="array" aca="1" ref="AB572" ca="1">IFERROR(INDEX(H_Tables!H:H,MATCH(INDIRECT("k"&amp;ROW()),H_Tables!I:I,0)),"")</f>
        <v/>
      </c>
      <c r="AC572" t="str">
        <f t="shared" si="19"/>
        <v/>
      </c>
      <c r="AD572">
        <v>569</v>
      </c>
    </row>
    <row r="573" spans="13:30" ht="15" customHeight="1" x14ac:dyDescent="0.25">
      <c r="M573" t="s">
        <v>2474</v>
      </c>
      <c r="Z573" s="110">
        <f t="shared" si="18"/>
        <v>0</v>
      </c>
      <c r="AA573" t="str" cm="1">
        <f t="array" aca="1" ref="AA573" ca="1">IFERROR(INDEX(H_Tables!E:E,MATCH(INDIRECT("I"&amp;ROW()),H_Tables!F:F,0)),"")</f>
        <v/>
      </c>
      <c r="AB573" t="str" cm="1">
        <f t="array" aca="1" ref="AB573" ca="1">IFERROR(INDEX(H_Tables!H:H,MATCH(INDIRECT("k"&amp;ROW()),H_Tables!I:I,0)),"")</f>
        <v/>
      </c>
      <c r="AC573" t="str">
        <f t="shared" si="19"/>
        <v/>
      </c>
      <c r="AD573">
        <v>570</v>
      </c>
    </row>
    <row r="574" spans="13:30" ht="15" customHeight="1" x14ac:dyDescent="0.25">
      <c r="M574" t="s">
        <v>2474</v>
      </c>
      <c r="Z574" s="110">
        <f t="shared" si="18"/>
        <v>0</v>
      </c>
      <c r="AA574" t="str" cm="1">
        <f t="array" aca="1" ref="AA574" ca="1">IFERROR(INDEX(H_Tables!E:E,MATCH(INDIRECT("I"&amp;ROW()),H_Tables!F:F,0)),"")</f>
        <v/>
      </c>
      <c r="AB574" t="str" cm="1">
        <f t="array" aca="1" ref="AB574" ca="1">IFERROR(INDEX(H_Tables!H:H,MATCH(INDIRECT("k"&amp;ROW()),H_Tables!I:I,0)),"")</f>
        <v/>
      </c>
      <c r="AC574" t="str">
        <f t="shared" si="19"/>
        <v/>
      </c>
      <c r="AD574">
        <v>571</v>
      </c>
    </row>
    <row r="575" spans="13:30" ht="15" customHeight="1" x14ac:dyDescent="0.25">
      <c r="M575" t="s">
        <v>2474</v>
      </c>
      <c r="Z575" s="110">
        <f t="shared" si="18"/>
        <v>0</v>
      </c>
      <c r="AA575" t="str" cm="1">
        <f t="array" aca="1" ref="AA575" ca="1">IFERROR(INDEX(H_Tables!E:E,MATCH(INDIRECT("I"&amp;ROW()),H_Tables!F:F,0)),"")</f>
        <v/>
      </c>
      <c r="AB575" t="str" cm="1">
        <f t="array" aca="1" ref="AB575" ca="1">IFERROR(INDEX(H_Tables!H:H,MATCH(INDIRECT("k"&amp;ROW()),H_Tables!I:I,0)),"")</f>
        <v/>
      </c>
      <c r="AC575" t="str">
        <f t="shared" si="19"/>
        <v/>
      </c>
      <c r="AD575">
        <v>572</v>
      </c>
    </row>
    <row r="576" spans="13:30" ht="15" customHeight="1" x14ac:dyDescent="0.25">
      <c r="M576" t="s">
        <v>2474</v>
      </c>
      <c r="Z576" s="110">
        <f t="shared" si="18"/>
        <v>0</v>
      </c>
      <c r="AA576" t="str" cm="1">
        <f t="array" aca="1" ref="AA576" ca="1">IFERROR(INDEX(H_Tables!E:E,MATCH(INDIRECT("I"&amp;ROW()),H_Tables!F:F,0)),"")</f>
        <v/>
      </c>
      <c r="AB576" t="str" cm="1">
        <f t="array" aca="1" ref="AB576" ca="1">IFERROR(INDEX(H_Tables!H:H,MATCH(INDIRECT("k"&amp;ROW()),H_Tables!I:I,0)),"")</f>
        <v/>
      </c>
      <c r="AC576" t="str">
        <f t="shared" si="19"/>
        <v/>
      </c>
      <c r="AD576">
        <v>573</v>
      </c>
    </row>
    <row r="577" spans="13:30" ht="15" customHeight="1" x14ac:dyDescent="0.25">
      <c r="M577" t="s">
        <v>2474</v>
      </c>
      <c r="Z577" s="110">
        <f t="shared" si="18"/>
        <v>0</v>
      </c>
      <c r="AA577" t="str" cm="1">
        <f t="array" aca="1" ref="AA577" ca="1">IFERROR(INDEX(H_Tables!E:E,MATCH(INDIRECT("I"&amp;ROW()),H_Tables!F:F,0)),"")</f>
        <v/>
      </c>
      <c r="AB577" t="str" cm="1">
        <f t="array" aca="1" ref="AB577" ca="1">IFERROR(INDEX(H_Tables!H:H,MATCH(INDIRECT("k"&amp;ROW()),H_Tables!I:I,0)),"")</f>
        <v/>
      </c>
      <c r="AC577" t="str">
        <f t="shared" si="19"/>
        <v/>
      </c>
      <c r="AD577">
        <v>574</v>
      </c>
    </row>
    <row r="578" spans="13:30" ht="15" customHeight="1" x14ac:dyDescent="0.25">
      <c r="M578" t="s">
        <v>2474</v>
      </c>
      <c r="Z578" s="110">
        <f t="shared" ref="Z578:Z641" si="20">ROUND(IF((F578+G578)=0,0,S578/Y578),4)</f>
        <v>0</v>
      </c>
      <c r="AA578" t="str" cm="1">
        <f t="array" aca="1" ref="AA578" ca="1">IFERROR(INDEX(H_Tables!E:E,MATCH(INDIRECT("I"&amp;ROW()),H_Tables!F:F,0)),"")</f>
        <v/>
      </c>
      <c r="AB578" t="str" cm="1">
        <f t="array" aca="1" ref="AB578" ca="1">IFERROR(INDEX(H_Tables!H:H,MATCH(INDIRECT("k"&amp;ROW()),H_Tables!I:I,0)),"")</f>
        <v/>
      </c>
      <c r="AC578" t="str">
        <f t="shared" si="19"/>
        <v/>
      </c>
      <c r="AD578">
        <v>575</v>
      </c>
    </row>
    <row r="579" spans="13:30" ht="15" customHeight="1" x14ac:dyDescent="0.25">
      <c r="M579" t="s">
        <v>2474</v>
      </c>
      <c r="Z579" s="110">
        <f t="shared" si="20"/>
        <v>0</v>
      </c>
      <c r="AA579" t="str" cm="1">
        <f t="array" aca="1" ref="AA579" ca="1">IFERROR(INDEX(H_Tables!E:E,MATCH(INDIRECT("I"&amp;ROW()),H_Tables!F:F,0)),"")</f>
        <v/>
      </c>
      <c r="AB579" t="str" cm="1">
        <f t="array" aca="1" ref="AB579" ca="1">IFERROR(INDEX(H_Tables!H:H,MATCH(INDIRECT("k"&amp;ROW()),H_Tables!I:I,0)),"")</f>
        <v/>
      </c>
      <c r="AC579" t="str">
        <f t="shared" si="19"/>
        <v/>
      </c>
      <c r="AD579">
        <v>576</v>
      </c>
    </row>
    <row r="580" spans="13:30" ht="15" customHeight="1" x14ac:dyDescent="0.25">
      <c r="M580" t="s">
        <v>2474</v>
      </c>
      <c r="Z580" s="110">
        <f t="shared" si="20"/>
        <v>0</v>
      </c>
      <c r="AA580" t="str" cm="1">
        <f t="array" aca="1" ref="AA580" ca="1">IFERROR(INDEX(H_Tables!E:E,MATCH(INDIRECT("I"&amp;ROW()),H_Tables!F:F,0)),"")</f>
        <v/>
      </c>
      <c r="AB580" t="str" cm="1">
        <f t="array" aca="1" ref="AB580" ca="1">IFERROR(INDEX(H_Tables!H:H,MATCH(INDIRECT("k"&amp;ROW()),H_Tables!I:I,0)),"")</f>
        <v/>
      </c>
      <c r="AC580" t="str">
        <f t="shared" ref="AC580:AC643" si="21">_xlfn.TEXTJOIN(",",TRUE,M580:P580)</f>
        <v/>
      </c>
      <c r="AD580">
        <v>577</v>
      </c>
    </row>
    <row r="581" spans="13:30" ht="15" customHeight="1" x14ac:dyDescent="0.25">
      <c r="M581" t="s">
        <v>2474</v>
      </c>
      <c r="Z581" s="110">
        <f t="shared" si="20"/>
        <v>0</v>
      </c>
      <c r="AA581" t="str" cm="1">
        <f t="array" aca="1" ref="AA581" ca="1">IFERROR(INDEX(H_Tables!E:E,MATCH(INDIRECT("I"&amp;ROW()),H_Tables!F:F,0)),"")</f>
        <v/>
      </c>
      <c r="AB581" t="str" cm="1">
        <f t="array" aca="1" ref="AB581" ca="1">IFERROR(INDEX(H_Tables!H:H,MATCH(INDIRECT("k"&amp;ROW()),H_Tables!I:I,0)),"")</f>
        <v/>
      </c>
      <c r="AC581" t="str">
        <f t="shared" si="21"/>
        <v/>
      </c>
      <c r="AD581">
        <v>578</v>
      </c>
    </row>
    <row r="582" spans="13:30" ht="15" customHeight="1" x14ac:dyDescent="0.25">
      <c r="M582" t="s">
        <v>2474</v>
      </c>
      <c r="Z582" s="110">
        <f t="shared" si="20"/>
        <v>0</v>
      </c>
      <c r="AA582" t="str" cm="1">
        <f t="array" aca="1" ref="AA582" ca="1">IFERROR(INDEX(H_Tables!E:E,MATCH(INDIRECT("I"&amp;ROW()),H_Tables!F:F,0)),"")</f>
        <v/>
      </c>
      <c r="AB582" t="str" cm="1">
        <f t="array" aca="1" ref="AB582" ca="1">IFERROR(INDEX(H_Tables!H:H,MATCH(INDIRECT("k"&amp;ROW()),H_Tables!I:I,0)),"")</f>
        <v/>
      </c>
      <c r="AC582" t="str">
        <f t="shared" si="21"/>
        <v/>
      </c>
      <c r="AD582">
        <v>579</v>
      </c>
    </row>
    <row r="583" spans="13:30" ht="15" customHeight="1" x14ac:dyDescent="0.25">
      <c r="M583" t="s">
        <v>2474</v>
      </c>
      <c r="Z583" s="110">
        <f t="shared" si="20"/>
        <v>0</v>
      </c>
      <c r="AA583" t="str" cm="1">
        <f t="array" aca="1" ref="AA583" ca="1">IFERROR(INDEX(H_Tables!E:E,MATCH(INDIRECT("I"&amp;ROW()),H_Tables!F:F,0)),"")</f>
        <v/>
      </c>
      <c r="AB583" t="str" cm="1">
        <f t="array" aca="1" ref="AB583" ca="1">IFERROR(INDEX(H_Tables!H:H,MATCH(INDIRECT("k"&amp;ROW()),H_Tables!I:I,0)),"")</f>
        <v/>
      </c>
      <c r="AC583" t="str">
        <f t="shared" si="21"/>
        <v/>
      </c>
      <c r="AD583">
        <v>580</v>
      </c>
    </row>
    <row r="584" spans="13:30" ht="15" customHeight="1" x14ac:dyDescent="0.25">
      <c r="M584" t="s">
        <v>2474</v>
      </c>
      <c r="Z584" s="110">
        <f t="shared" si="20"/>
        <v>0</v>
      </c>
      <c r="AA584" t="str" cm="1">
        <f t="array" aca="1" ref="AA584" ca="1">IFERROR(INDEX(H_Tables!E:E,MATCH(INDIRECT("I"&amp;ROW()),H_Tables!F:F,0)),"")</f>
        <v/>
      </c>
      <c r="AB584" t="str" cm="1">
        <f t="array" aca="1" ref="AB584" ca="1">IFERROR(INDEX(H_Tables!H:H,MATCH(INDIRECT("k"&amp;ROW()),H_Tables!I:I,0)),"")</f>
        <v/>
      </c>
      <c r="AC584" t="str">
        <f t="shared" si="21"/>
        <v/>
      </c>
      <c r="AD584">
        <v>581</v>
      </c>
    </row>
    <row r="585" spans="13:30" ht="15" customHeight="1" x14ac:dyDescent="0.25">
      <c r="M585" t="s">
        <v>2474</v>
      </c>
      <c r="Z585" s="110">
        <f t="shared" si="20"/>
        <v>0</v>
      </c>
      <c r="AA585" t="str" cm="1">
        <f t="array" aca="1" ref="AA585" ca="1">IFERROR(INDEX(H_Tables!E:E,MATCH(INDIRECT("I"&amp;ROW()),H_Tables!F:F,0)),"")</f>
        <v/>
      </c>
      <c r="AB585" t="str" cm="1">
        <f t="array" aca="1" ref="AB585" ca="1">IFERROR(INDEX(H_Tables!H:H,MATCH(INDIRECT("k"&amp;ROW()),H_Tables!I:I,0)),"")</f>
        <v/>
      </c>
      <c r="AC585" t="str">
        <f t="shared" si="21"/>
        <v/>
      </c>
      <c r="AD585">
        <v>582</v>
      </c>
    </row>
    <row r="586" spans="13:30" ht="15" customHeight="1" x14ac:dyDescent="0.25">
      <c r="M586" t="s">
        <v>2474</v>
      </c>
      <c r="Z586" s="110">
        <f t="shared" si="20"/>
        <v>0</v>
      </c>
      <c r="AA586" t="str" cm="1">
        <f t="array" aca="1" ref="AA586" ca="1">IFERROR(INDEX(H_Tables!E:E,MATCH(INDIRECT("I"&amp;ROW()),H_Tables!F:F,0)),"")</f>
        <v/>
      </c>
      <c r="AB586" t="str" cm="1">
        <f t="array" aca="1" ref="AB586" ca="1">IFERROR(INDEX(H_Tables!H:H,MATCH(INDIRECT("k"&amp;ROW()),H_Tables!I:I,0)),"")</f>
        <v/>
      </c>
      <c r="AC586" t="str">
        <f t="shared" si="21"/>
        <v/>
      </c>
      <c r="AD586">
        <v>583</v>
      </c>
    </row>
    <row r="587" spans="13:30" ht="15" customHeight="1" x14ac:dyDescent="0.25">
      <c r="M587" t="s">
        <v>2474</v>
      </c>
      <c r="Z587" s="110">
        <f t="shared" si="20"/>
        <v>0</v>
      </c>
      <c r="AA587" t="str" cm="1">
        <f t="array" aca="1" ref="AA587" ca="1">IFERROR(INDEX(H_Tables!E:E,MATCH(INDIRECT("I"&amp;ROW()),H_Tables!F:F,0)),"")</f>
        <v/>
      </c>
      <c r="AB587" t="str" cm="1">
        <f t="array" aca="1" ref="AB587" ca="1">IFERROR(INDEX(H_Tables!H:H,MATCH(INDIRECT("k"&amp;ROW()),H_Tables!I:I,0)),"")</f>
        <v/>
      </c>
      <c r="AC587" t="str">
        <f t="shared" si="21"/>
        <v/>
      </c>
      <c r="AD587">
        <v>584</v>
      </c>
    </row>
    <row r="588" spans="13:30" ht="15" customHeight="1" x14ac:dyDescent="0.25">
      <c r="M588" t="s">
        <v>2474</v>
      </c>
      <c r="Z588" s="110">
        <f t="shared" si="20"/>
        <v>0</v>
      </c>
      <c r="AA588" t="str" cm="1">
        <f t="array" aca="1" ref="AA588" ca="1">IFERROR(INDEX(H_Tables!E:E,MATCH(INDIRECT("I"&amp;ROW()),H_Tables!F:F,0)),"")</f>
        <v/>
      </c>
      <c r="AB588" t="str" cm="1">
        <f t="array" aca="1" ref="AB588" ca="1">IFERROR(INDEX(H_Tables!H:H,MATCH(INDIRECT("k"&amp;ROW()),H_Tables!I:I,0)),"")</f>
        <v/>
      </c>
      <c r="AC588" t="str">
        <f t="shared" si="21"/>
        <v/>
      </c>
      <c r="AD588">
        <v>585</v>
      </c>
    </row>
    <row r="589" spans="13:30" ht="15" customHeight="1" x14ac:dyDescent="0.25">
      <c r="M589" t="s">
        <v>2474</v>
      </c>
      <c r="Z589" s="110">
        <f t="shared" si="20"/>
        <v>0</v>
      </c>
      <c r="AA589" t="str" cm="1">
        <f t="array" aca="1" ref="AA589" ca="1">IFERROR(INDEX(H_Tables!E:E,MATCH(INDIRECT("I"&amp;ROW()),H_Tables!F:F,0)),"")</f>
        <v/>
      </c>
      <c r="AB589" t="str" cm="1">
        <f t="array" aca="1" ref="AB589" ca="1">IFERROR(INDEX(H_Tables!H:H,MATCH(INDIRECT("k"&amp;ROW()),H_Tables!I:I,0)),"")</f>
        <v/>
      </c>
      <c r="AC589" t="str">
        <f t="shared" si="21"/>
        <v/>
      </c>
      <c r="AD589">
        <v>586</v>
      </c>
    </row>
    <row r="590" spans="13:30" ht="15" customHeight="1" x14ac:dyDescent="0.25">
      <c r="M590" t="s">
        <v>2474</v>
      </c>
      <c r="Z590" s="110">
        <f t="shared" si="20"/>
        <v>0</v>
      </c>
      <c r="AA590" t="str" cm="1">
        <f t="array" aca="1" ref="AA590" ca="1">IFERROR(INDEX(H_Tables!E:E,MATCH(INDIRECT("I"&amp;ROW()),H_Tables!F:F,0)),"")</f>
        <v/>
      </c>
      <c r="AB590" t="str" cm="1">
        <f t="array" aca="1" ref="AB590" ca="1">IFERROR(INDEX(H_Tables!H:H,MATCH(INDIRECT("k"&amp;ROW()),H_Tables!I:I,0)),"")</f>
        <v/>
      </c>
      <c r="AC590" t="str">
        <f t="shared" si="21"/>
        <v/>
      </c>
      <c r="AD590">
        <v>587</v>
      </c>
    </row>
    <row r="591" spans="13:30" ht="15" customHeight="1" x14ac:dyDescent="0.25">
      <c r="M591" t="s">
        <v>2474</v>
      </c>
      <c r="Z591" s="110">
        <f t="shared" si="20"/>
        <v>0</v>
      </c>
      <c r="AA591" t="str" cm="1">
        <f t="array" aca="1" ref="AA591" ca="1">IFERROR(INDEX(H_Tables!E:E,MATCH(INDIRECT("I"&amp;ROW()),H_Tables!F:F,0)),"")</f>
        <v/>
      </c>
      <c r="AB591" t="str" cm="1">
        <f t="array" aca="1" ref="AB591" ca="1">IFERROR(INDEX(H_Tables!H:H,MATCH(INDIRECT("k"&amp;ROW()),H_Tables!I:I,0)),"")</f>
        <v/>
      </c>
      <c r="AC591" t="str">
        <f t="shared" si="21"/>
        <v/>
      </c>
      <c r="AD591">
        <v>588</v>
      </c>
    </row>
    <row r="592" spans="13:30" ht="15" customHeight="1" x14ac:dyDescent="0.25">
      <c r="M592" t="s">
        <v>2474</v>
      </c>
      <c r="Z592" s="110">
        <f t="shared" si="20"/>
        <v>0</v>
      </c>
      <c r="AA592" t="str" cm="1">
        <f t="array" aca="1" ref="AA592" ca="1">IFERROR(INDEX(H_Tables!E:E,MATCH(INDIRECT("I"&amp;ROW()),H_Tables!F:F,0)),"")</f>
        <v/>
      </c>
      <c r="AB592" t="str" cm="1">
        <f t="array" aca="1" ref="AB592" ca="1">IFERROR(INDEX(H_Tables!H:H,MATCH(INDIRECT("k"&amp;ROW()),H_Tables!I:I,0)),"")</f>
        <v/>
      </c>
      <c r="AC592" t="str">
        <f t="shared" si="21"/>
        <v/>
      </c>
      <c r="AD592">
        <v>589</v>
      </c>
    </row>
    <row r="593" spans="13:30" ht="15" customHeight="1" x14ac:dyDescent="0.25">
      <c r="M593" t="s">
        <v>2474</v>
      </c>
      <c r="Z593" s="110">
        <f t="shared" si="20"/>
        <v>0</v>
      </c>
      <c r="AA593" t="str" cm="1">
        <f t="array" aca="1" ref="AA593" ca="1">IFERROR(INDEX(H_Tables!E:E,MATCH(INDIRECT("I"&amp;ROW()),H_Tables!F:F,0)),"")</f>
        <v/>
      </c>
      <c r="AB593" t="str" cm="1">
        <f t="array" aca="1" ref="AB593" ca="1">IFERROR(INDEX(H_Tables!H:H,MATCH(INDIRECT("k"&amp;ROW()),H_Tables!I:I,0)),"")</f>
        <v/>
      </c>
      <c r="AC593" t="str">
        <f t="shared" si="21"/>
        <v/>
      </c>
      <c r="AD593">
        <v>590</v>
      </c>
    </row>
    <row r="594" spans="13:30" ht="15" customHeight="1" x14ac:dyDescent="0.25">
      <c r="M594" t="s">
        <v>2474</v>
      </c>
      <c r="Z594" s="110">
        <f t="shared" si="20"/>
        <v>0</v>
      </c>
      <c r="AA594" t="str" cm="1">
        <f t="array" aca="1" ref="AA594" ca="1">IFERROR(INDEX(H_Tables!E:E,MATCH(INDIRECT("I"&amp;ROW()),H_Tables!F:F,0)),"")</f>
        <v/>
      </c>
      <c r="AB594" t="str" cm="1">
        <f t="array" aca="1" ref="AB594" ca="1">IFERROR(INDEX(H_Tables!H:H,MATCH(INDIRECT("k"&amp;ROW()),H_Tables!I:I,0)),"")</f>
        <v/>
      </c>
      <c r="AC594" t="str">
        <f t="shared" si="21"/>
        <v/>
      </c>
      <c r="AD594">
        <v>591</v>
      </c>
    </row>
    <row r="595" spans="13:30" ht="15" customHeight="1" x14ac:dyDescent="0.25">
      <c r="M595" t="s">
        <v>2474</v>
      </c>
      <c r="Z595" s="110">
        <f t="shared" si="20"/>
        <v>0</v>
      </c>
      <c r="AA595" t="str" cm="1">
        <f t="array" aca="1" ref="AA595" ca="1">IFERROR(INDEX(H_Tables!E:E,MATCH(INDIRECT("I"&amp;ROW()),H_Tables!F:F,0)),"")</f>
        <v/>
      </c>
      <c r="AB595" t="str" cm="1">
        <f t="array" aca="1" ref="AB595" ca="1">IFERROR(INDEX(H_Tables!H:H,MATCH(INDIRECT("k"&amp;ROW()),H_Tables!I:I,0)),"")</f>
        <v/>
      </c>
      <c r="AC595" t="str">
        <f t="shared" si="21"/>
        <v/>
      </c>
      <c r="AD595">
        <v>592</v>
      </c>
    </row>
    <row r="596" spans="13:30" ht="15" customHeight="1" x14ac:dyDescent="0.25">
      <c r="M596" t="s">
        <v>2474</v>
      </c>
      <c r="Z596" s="110">
        <f t="shared" si="20"/>
        <v>0</v>
      </c>
      <c r="AA596" t="str" cm="1">
        <f t="array" aca="1" ref="AA596" ca="1">IFERROR(INDEX(H_Tables!E:E,MATCH(INDIRECT("I"&amp;ROW()),H_Tables!F:F,0)),"")</f>
        <v/>
      </c>
      <c r="AB596" t="str" cm="1">
        <f t="array" aca="1" ref="AB596" ca="1">IFERROR(INDEX(H_Tables!H:H,MATCH(INDIRECT("k"&amp;ROW()),H_Tables!I:I,0)),"")</f>
        <v/>
      </c>
      <c r="AC596" t="str">
        <f t="shared" si="21"/>
        <v/>
      </c>
      <c r="AD596">
        <v>593</v>
      </c>
    </row>
    <row r="597" spans="13:30" ht="15" customHeight="1" x14ac:dyDescent="0.25">
      <c r="M597" t="s">
        <v>2474</v>
      </c>
      <c r="Z597" s="110">
        <f t="shared" si="20"/>
        <v>0</v>
      </c>
      <c r="AA597" t="str" cm="1">
        <f t="array" aca="1" ref="AA597" ca="1">IFERROR(INDEX(H_Tables!E:E,MATCH(INDIRECT("I"&amp;ROW()),H_Tables!F:F,0)),"")</f>
        <v/>
      </c>
      <c r="AB597" t="str" cm="1">
        <f t="array" aca="1" ref="AB597" ca="1">IFERROR(INDEX(H_Tables!H:H,MATCH(INDIRECT("k"&amp;ROW()),H_Tables!I:I,0)),"")</f>
        <v/>
      </c>
      <c r="AC597" t="str">
        <f t="shared" si="21"/>
        <v/>
      </c>
      <c r="AD597">
        <v>594</v>
      </c>
    </row>
    <row r="598" spans="13:30" ht="15" customHeight="1" x14ac:dyDescent="0.25">
      <c r="M598" t="s">
        <v>2474</v>
      </c>
      <c r="Z598" s="110">
        <f t="shared" si="20"/>
        <v>0</v>
      </c>
      <c r="AA598" t="str" cm="1">
        <f t="array" aca="1" ref="AA598" ca="1">IFERROR(INDEX(H_Tables!E:E,MATCH(INDIRECT("I"&amp;ROW()),H_Tables!F:F,0)),"")</f>
        <v/>
      </c>
      <c r="AB598" t="str" cm="1">
        <f t="array" aca="1" ref="AB598" ca="1">IFERROR(INDEX(H_Tables!H:H,MATCH(INDIRECT("k"&amp;ROW()),H_Tables!I:I,0)),"")</f>
        <v/>
      </c>
      <c r="AC598" t="str">
        <f t="shared" si="21"/>
        <v/>
      </c>
      <c r="AD598">
        <v>595</v>
      </c>
    </row>
    <row r="599" spans="13:30" ht="15" customHeight="1" x14ac:dyDescent="0.25">
      <c r="M599" t="s">
        <v>2474</v>
      </c>
      <c r="Z599" s="110">
        <f t="shared" si="20"/>
        <v>0</v>
      </c>
      <c r="AA599" t="str" cm="1">
        <f t="array" aca="1" ref="AA599" ca="1">IFERROR(INDEX(H_Tables!E:E,MATCH(INDIRECT("I"&amp;ROW()),H_Tables!F:F,0)),"")</f>
        <v/>
      </c>
      <c r="AB599" t="str" cm="1">
        <f t="array" aca="1" ref="AB599" ca="1">IFERROR(INDEX(H_Tables!H:H,MATCH(INDIRECT("k"&amp;ROW()),H_Tables!I:I,0)),"")</f>
        <v/>
      </c>
      <c r="AC599" t="str">
        <f t="shared" si="21"/>
        <v/>
      </c>
      <c r="AD599">
        <v>596</v>
      </c>
    </row>
    <row r="600" spans="13:30" ht="15" customHeight="1" x14ac:dyDescent="0.25">
      <c r="M600" t="s">
        <v>2474</v>
      </c>
      <c r="Z600" s="110">
        <f t="shared" si="20"/>
        <v>0</v>
      </c>
      <c r="AA600" t="str" cm="1">
        <f t="array" aca="1" ref="AA600" ca="1">IFERROR(INDEX(H_Tables!E:E,MATCH(INDIRECT("I"&amp;ROW()),H_Tables!F:F,0)),"")</f>
        <v/>
      </c>
      <c r="AB600" t="str" cm="1">
        <f t="array" aca="1" ref="AB600" ca="1">IFERROR(INDEX(H_Tables!H:H,MATCH(INDIRECT("k"&amp;ROW()),H_Tables!I:I,0)),"")</f>
        <v/>
      </c>
      <c r="AC600" t="str">
        <f t="shared" si="21"/>
        <v/>
      </c>
      <c r="AD600">
        <v>597</v>
      </c>
    </row>
    <row r="601" spans="13:30" ht="15" customHeight="1" x14ac:dyDescent="0.25">
      <c r="M601" t="s">
        <v>2474</v>
      </c>
      <c r="Z601" s="110">
        <f t="shared" si="20"/>
        <v>0</v>
      </c>
      <c r="AA601" t="str" cm="1">
        <f t="array" aca="1" ref="AA601" ca="1">IFERROR(INDEX(H_Tables!E:E,MATCH(INDIRECT("I"&amp;ROW()),H_Tables!F:F,0)),"")</f>
        <v/>
      </c>
      <c r="AB601" t="str" cm="1">
        <f t="array" aca="1" ref="AB601" ca="1">IFERROR(INDEX(H_Tables!H:H,MATCH(INDIRECT("k"&amp;ROW()),H_Tables!I:I,0)),"")</f>
        <v/>
      </c>
      <c r="AC601" t="str">
        <f t="shared" si="21"/>
        <v/>
      </c>
      <c r="AD601">
        <v>598</v>
      </c>
    </row>
    <row r="602" spans="13:30" ht="15" customHeight="1" x14ac:dyDescent="0.25">
      <c r="M602" t="s">
        <v>2474</v>
      </c>
      <c r="Z602" s="110">
        <f t="shared" si="20"/>
        <v>0</v>
      </c>
      <c r="AA602" t="str" cm="1">
        <f t="array" aca="1" ref="AA602" ca="1">IFERROR(INDEX(H_Tables!E:E,MATCH(INDIRECT("I"&amp;ROW()),H_Tables!F:F,0)),"")</f>
        <v/>
      </c>
      <c r="AB602" t="str" cm="1">
        <f t="array" aca="1" ref="AB602" ca="1">IFERROR(INDEX(H_Tables!H:H,MATCH(INDIRECT("k"&amp;ROW()),H_Tables!I:I,0)),"")</f>
        <v/>
      </c>
      <c r="AC602" t="str">
        <f t="shared" si="21"/>
        <v/>
      </c>
      <c r="AD602">
        <v>599</v>
      </c>
    </row>
    <row r="603" spans="13:30" ht="15" customHeight="1" x14ac:dyDescent="0.25">
      <c r="M603" t="s">
        <v>2474</v>
      </c>
      <c r="Z603" s="110">
        <f t="shared" si="20"/>
        <v>0</v>
      </c>
      <c r="AA603" t="str" cm="1">
        <f t="array" aca="1" ref="AA603" ca="1">IFERROR(INDEX(H_Tables!E:E,MATCH(INDIRECT("I"&amp;ROW()),H_Tables!F:F,0)),"")</f>
        <v/>
      </c>
      <c r="AB603" t="str" cm="1">
        <f t="array" aca="1" ref="AB603" ca="1">IFERROR(INDEX(H_Tables!H:H,MATCH(INDIRECT("k"&amp;ROW()),H_Tables!I:I,0)),"")</f>
        <v/>
      </c>
      <c r="AC603" t="str">
        <f t="shared" si="21"/>
        <v/>
      </c>
      <c r="AD603">
        <v>600</v>
      </c>
    </row>
    <row r="604" spans="13:30" ht="15" customHeight="1" x14ac:dyDescent="0.25">
      <c r="M604" t="s">
        <v>2474</v>
      </c>
      <c r="Z604" s="110">
        <f t="shared" si="20"/>
        <v>0</v>
      </c>
      <c r="AA604" t="str" cm="1">
        <f t="array" aca="1" ref="AA604" ca="1">IFERROR(INDEX(H_Tables!E:E,MATCH(INDIRECT("I"&amp;ROW()),H_Tables!F:F,0)),"")</f>
        <v/>
      </c>
      <c r="AB604" t="str" cm="1">
        <f t="array" aca="1" ref="AB604" ca="1">IFERROR(INDEX(H_Tables!H:H,MATCH(INDIRECT("k"&amp;ROW()),H_Tables!I:I,0)),"")</f>
        <v/>
      </c>
      <c r="AC604" t="str">
        <f t="shared" si="21"/>
        <v/>
      </c>
      <c r="AD604">
        <v>601</v>
      </c>
    </row>
    <row r="605" spans="13:30" ht="15" customHeight="1" x14ac:dyDescent="0.25">
      <c r="M605" t="s">
        <v>2474</v>
      </c>
      <c r="Z605" s="110">
        <f t="shared" si="20"/>
        <v>0</v>
      </c>
      <c r="AA605" t="str" cm="1">
        <f t="array" aca="1" ref="AA605" ca="1">IFERROR(INDEX(H_Tables!E:E,MATCH(INDIRECT("I"&amp;ROW()),H_Tables!F:F,0)),"")</f>
        <v/>
      </c>
      <c r="AB605" t="str" cm="1">
        <f t="array" aca="1" ref="AB605" ca="1">IFERROR(INDEX(H_Tables!H:H,MATCH(INDIRECT("k"&amp;ROW()),H_Tables!I:I,0)),"")</f>
        <v/>
      </c>
      <c r="AC605" t="str">
        <f t="shared" si="21"/>
        <v/>
      </c>
      <c r="AD605">
        <v>602</v>
      </c>
    </row>
    <row r="606" spans="13:30" ht="15" customHeight="1" x14ac:dyDescent="0.25">
      <c r="M606" t="s">
        <v>2474</v>
      </c>
      <c r="Z606" s="110">
        <f t="shared" si="20"/>
        <v>0</v>
      </c>
      <c r="AA606" t="str" cm="1">
        <f t="array" aca="1" ref="AA606" ca="1">IFERROR(INDEX(H_Tables!E:E,MATCH(INDIRECT("I"&amp;ROW()),H_Tables!F:F,0)),"")</f>
        <v/>
      </c>
      <c r="AB606" t="str" cm="1">
        <f t="array" aca="1" ref="AB606" ca="1">IFERROR(INDEX(H_Tables!H:H,MATCH(INDIRECT("k"&amp;ROW()),H_Tables!I:I,0)),"")</f>
        <v/>
      </c>
      <c r="AC606" t="str">
        <f t="shared" si="21"/>
        <v/>
      </c>
      <c r="AD606">
        <v>603</v>
      </c>
    </row>
    <row r="607" spans="13:30" ht="15" customHeight="1" x14ac:dyDescent="0.25">
      <c r="M607" t="s">
        <v>2474</v>
      </c>
      <c r="Z607" s="110">
        <f t="shared" si="20"/>
        <v>0</v>
      </c>
      <c r="AA607" t="str" cm="1">
        <f t="array" aca="1" ref="AA607" ca="1">IFERROR(INDEX(H_Tables!E:E,MATCH(INDIRECT("I"&amp;ROW()),H_Tables!F:F,0)),"")</f>
        <v/>
      </c>
      <c r="AB607" t="str" cm="1">
        <f t="array" aca="1" ref="AB607" ca="1">IFERROR(INDEX(H_Tables!H:H,MATCH(INDIRECT("k"&amp;ROW()),H_Tables!I:I,0)),"")</f>
        <v/>
      </c>
      <c r="AC607" t="str">
        <f t="shared" si="21"/>
        <v/>
      </c>
      <c r="AD607">
        <v>604</v>
      </c>
    </row>
    <row r="608" spans="13:30" ht="15" customHeight="1" x14ac:dyDescent="0.25">
      <c r="M608" t="s">
        <v>2474</v>
      </c>
      <c r="Z608" s="110">
        <f t="shared" si="20"/>
        <v>0</v>
      </c>
      <c r="AA608" t="str" cm="1">
        <f t="array" aca="1" ref="AA608" ca="1">IFERROR(INDEX(H_Tables!E:E,MATCH(INDIRECT("I"&amp;ROW()),H_Tables!F:F,0)),"")</f>
        <v/>
      </c>
      <c r="AB608" t="str" cm="1">
        <f t="array" aca="1" ref="AB608" ca="1">IFERROR(INDEX(H_Tables!H:H,MATCH(INDIRECT("k"&amp;ROW()),H_Tables!I:I,0)),"")</f>
        <v/>
      </c>
      <c r="AC608" t="str">
        <f t="shared" si="21"/>
        <v/>
      </c>
      <c r="AD608">
        <v>605</v>
      </c>
    </row>
    <row r="609" spans="13:30" ht="15" customHeight="1" x14ac:dyDescent="0.25">
      <c r="M609" t="s">
        <v>2474</v>
      </c>
      <c r="Z609" s="110">
        <f t="shared" si="20"/>
        <v>0</v>
      </c>
      <c r="AA609" t="str" cm="1">
        <f t="array" aca="1" ref="AA609" ca="1">IFERROR(INDEX(H_Tables!E:E,MATCH(INDIRECT("I"&amp;ROW()),H_Tables!F:F,0)),"")</f>
        <v/>
      </c>
      <c r="AB609" t="str" cm="1">
        <f t="array" aca="1" ref="AB609" ca="1">IFERROR(INDEX(H_Tables!H:H,MATCH(INDIRECT("k"&amp;ROW()),H_Tables!I:I,0)),"")</f>
        <v/>
      </c>
      <c r="AC609" t="str">
        <f t="shared" si="21"/>
        <v/>
      </c>
      <c r="AD609">
        <v>606</v>
      </c>
    </row>
    <row r="610" spans="13:30" ht="15" customHeight="1" x14ac:dyDescent="0.25">
      <c r="M610" t="s">
        <v>2474</v>
      </c>
      <c r="Z610" s="110">
        <f t="shared" si="20"/>
        <v>0</v>
      </c>
      <c r="AA610" t="str" cm="1">
        <f t="array" aca="1" ref="AA610" ca="1">IFERROR(INDEX(H_Tables!E:E,MATCH(INDIRECT("I"&amp;ROW()),H_Tables!F:F,0)),"")</f>
        <v/>
      </c>
      <c r="AB610" t="str" cm="1">
        <f t="array" aca="1" ref="AB610" ca="1">IFERROR(INDEX(H_Tables!H:H,MATCH(INDIRECT("k"&amp;ROW()),H_Tables!I:I,0)),"")</f>
        <v/>
      </c>
      <c r="AC610" t="str">
        <f t="shared" si="21"/>
        <v/>
      </c>
      <c r="AD610">
        <v>607</v>
      </c>
    </row>
    <row r="611" spans="13:30" ht="15" customHeight="1" x14ac:dyDescent="0.25">
      <c r="M611" t="s">
        <v>2474</v>
      </c>
      <c r="Z611" s="110">
        <f t="shared" si="20"/>
        <v>0</v>
      </c>
      <c r="AA611" t="str" cm="1">
        <f t="array" aca="1" ref="AA611" ca="1">IFERROR(INDEX(H_Tables!E:E,MATCH(INDIRECT("I"&amp;ROW()),H_Tables!F:F,0)),"")</f>
        <v/>
      </c>
      <c r="AB611" t="str" cm="1">
        <f t="array" aca="1" ref="AB611" ca="1">IFERROR(INDEX(H_Tables!H:H,MATCH(INDIRECT("k"&amp;ROW()),H_Tables!I:I,0)),"")</f>
        <v/>
      </c>
      <c r="AC611" t="str">
        <f t="shared" si="21"/>
        <v/>
      </c>
      <c r="AD611">
        <v>608</v>
      </c>
    </row>
    <row r="612" spans="13:30" ht="15" customHeight="1" x14ac:dyDescent="0.25">
      <c r="M612" t="s">
        <v>2474</v>
      </c>
      <c r="Z612" s="110">
        <f t="shared" si="20"/>
        <v>0</v>
      </c>
      <c r="AA612" t="str" cm="1">
        <f t="array" aca="1" ref="AA612" ca="1">IFERROR(INDEX(H_Tables!E:E,MATCH(INDIRECT("I"&amp;ROW()),H_Tables!F:F,0)),"")</f>
        <v/>
      </c>
      <c r="AB612" t="str" cm="1">
        <f t="array" aca="1" ref="AB612" ca="1">IFERROR(INDEX(H_Tables!H:H,MATCH(INDIRECT("k"&amp;ROW()),H_Tables!I:I,0)),"")</f>
        <v/>
      </c>
      <c r="AC612" t="str">
        <f t="shared" si="21"/>
        <v/>
      </c>
      <c r="AD612">
        <v>609</v>
      </c>
    </row>
    <row r="613" spans="13:30" ht="15" customHeight="1" x14ac:dyDescent="0.25">
      <c r="M613" t="s">
        <v>2474</v>
      </c>
      <c r="Z613" s="110">
        <f t="shared" si="20"/>
        <v>0</v>
      </c>
      <c r="AA613" t="str" cm="1">
        <f t="array" aca="1" ref="AA613" ca="1">IFERROR(INDEX(H_Tables!E:E,MATCH(INDIRECT("I"&amp;ROW()),H_Tables!F:F,0)),"")</f>
        <v/>
      </c>
      <c r="AB613" t="str" cm="1">
        <f t="array" aca="1" ref="AB613" ca="1">IFERROR(INDEX(H_Tables!H:H,MATCH(INDIRECT("k"&amp;ROW()),H_Tables!I:I,0)),"")</f>
        <v/>
      </c>
      <c r="AC613" t="str">
        <f t="shared" si="21"/>
        <v/>
      </c>
      <c r="AD613">
        <v>610</v>
      </c>
    </row>
    <row r="614" spans="13:30" ht="15" customHeight="1" x14ac:dyDescent="0.25">
      <c r="M614" t="s">
        <v>2474</v>
      </c>
      <c r="Z614" s="110">
        <f t="shared" si="20"/>
        <v>0</v>
      </c>
      <c r="AA614" t="str" cm="1">
        <f t="array" aca="1" ref="AA614" ca="1">IFERROR(INDEX(H_Tables!E:E,MATCH(INDIRECT("I"&amp;ROW()),H_Tables!F:F,0)),"")</f>
        <v/>
      </c>
      <c r="AB614" t="str" cm="1">
        <f t="array" aca="1" ref="AB614" ca="1">IFERROR(INDEX(H_Tables!H:H,MATCH(INDIRECT("k"&amp;ROW()),H_Tables!I:I,0)),"")</f>
        <v/>
      </c>
      <c r="AC614" t="str">
        <f t="shared" si="21"/>
        <v/>
      </c>
      <c r="AD614">
        <v>611</v>
      </c>
    </row>
    <row r="615" spans="13:30" ht="15" customHeight="1" x14ac:dyDescent="0.25">
      <c r="M615" t="s">
        <v>2474</v>
      </c>
      <c r="Z615" s="110">
        <f t="shared" si="20"/>
        <v>0</v>
      </c>
      <c r="AA615" t="str" cm="1">
        <f t="array" aca="1" ref="AA615" ca="1">IFERROR(INDEX(H_Tables!E:E,MATCH(INDIRECT("I"&amp;ROW()),H_Tables!F:F,0)),"")</f>
        <v/>
      </c>
      <c r="AB615" t="str" cm="1">
        <f t="array" aca="1" ref="AB615" ca="1">IFERROR(INDEX(H_Tables!H:H,MATCH(INDIRECT("k"&amp;ROW()),H_Tables!I:I,0)),"")</f>
        <v/>
      </c>
      <c r="AC615" t="str">
        <f t="shared" si="21"/>
        <v/>
      </c>
      <c r="AD615">
        <v>612</v>
      </c>
    </row>
    <row r="616" spans="13:30" ht="15" customHeight="1" x14ac:dyDescent="0.25">
      <c r="M616" t="s">
        <v>2474</v>
      </c>
      <c r="Z616" s="110">
        <f t="shared" si="20"/>
        <v>0</v>
      </c>
      <c r="AA616" t="str" cm="1">
        <f t="array" aca="1" ref="AA616" ca="1">IFERROR(INDEX(H_Tables!E:E,MATCH(INDIRECT("I"&amp;ROW()),H_Tables!F:F,0)),"")</f>
        <v/>
      </c>
      <c r="AB616" t="str" cm="1">
        <f t="array" aca="1" ref="AB616" ca="1">IFERROR(INDEX(H_Tables!H:H,MATCH(INDIRECT("k"&amp;ROW()),H_Tables!I:I,0)),"")</f>
        <v/>
      </c>
      <c r="AC616" t="str">
        <f t="shared" si="21"/>
        <v/>
      </c>
      <c r="AD616">
        <v>613</v>
      </c>
    </row>
    <row r="617" spans="13:30" ht="15" customHeight="1" x14ac:dyDescent="0.25">
      <c r="M617" t="s">
        <v>2474</v>
      </c>
      <c r="Z617" s="110">
        <f t="shared" si="20"/>
        <v>0</v>
      </c>
      <c r="AA617" t="str" cm="1">
        <f t="array" aca="1" ref="AA617" ca="1">IFERROR(INDEX(H_Tables!E:E,MATCH(INDIRECT("I"&amp;ROW()),H_Tables!F:F,0)),"")</f>
        <v/>
      </c>
      <c r="AB617" t="str" cm="1">
        <f t="array" aca="1" ref="AB617" ca="1">IFERROR(INDEX(H_Tables!H:H,MATCH(INDIRECT("k"&amp;ROW()),H_Tables!I:I,0)),"")</f>
        <v/>
      </c>
      <c r="AC617" t="str">
        <f t="shared" si="21"/>
        <v/>
      </c>
      <c r="AD617">
        <v>614</v>
      </c>
    </row>
    <row r="618" spans="13:30" ht="15" customHeight="1" x14ac:dyDescent="0.25">
      <c r="M618" t="s">
        <v>2474</v>
      </c>
      <c r="Z618" s="110">
        <f t="shared" si="20"/>
        <v>0</v>
      </c>
      <c r="AA618" t="str" cm="1">
        <f t="array" aca="1" ref="AA618" ca="1">IFERROR(INDEX(H_Tables!E:E,MATCH(INDIRECT("I"&amp;ROW()),H_Tables!F:F,0)),"")</f>
        <v/>
      </c>
      <c r="AB618" t="str" cm="1">
        <f t="array" aca="1" ref="AB618" ca="1">IFERROR(INDEX(H_Tables!H:H,MATCH(INDIRECT("k"&amp;ROW()),H_Tables!I:I,0)),"")</f>
        <v/>
      </c>
      <c r="AC618" t="str">
        <f t="shared" si="21"/>
        <v/>
      </c>
      <c r="AD618">
        <v>615</v>
      </c>
    </row>
    <row r="619" spans="13:30" ht="15" customHeight="1" x14ac:dyDescent="0.25">
      <c r="M619" t="s">
        <v>2474</v>
      </c>
      <c r="Z619" s="110">
        <f t="shared" si="20"/>
        <v>0</v>
      </c>
      <c r="AA619" t="str" cm="1">
        <f t="array" aca="1" ref="AA619" ca="1">IFERROR(INDEX(H_Tables!E:E,MATCH(INDIRECT("I"&amp;ROW()),H_Tables!F:F,0)),"")</f>
        <v/>
      </c>
      <c r="AB619" t="str" cm="1">
        <f t="array" aca="1" ref="AB619" ca="1">IFERROR(INDEX(H_Tables!H:H,MATCH(INDIRECT("k"&amp;ROW()),H_Tables!I:I,0)),"")</f>
        <v/>
      </c>
      <c r="AC619" t="str">
        <f t="shared" si="21"/>
        <v/>
      </c>
      <c r="AD619">
        <v>616</v>
      </c>
    </row>
    <row r="620" spans="13:30" ht="15" customHeight="1" x14ac:dyDescent="0.25">
      <c r="M620" t="s">
        <v>2474</v>
      </c>
      <c r="Z620" s="110">
        <f t="shared" si="20"/>
        <v>0</v>
      </c>
      <c r="AA620" t="str" cm="1">
        <f t="array" aca="1" ref="AA620" ca="1">IFERROR(INDEX(H_Tables!E:E,MATCH(INDIRECT("I"&amp;ROW()),H_Tables!F:F,0)),"")</f>
        <v/>
      </c>
      <c r="AB620" t="str" cm="1">
        <f t="array" aca="1" ref="AB620" ca="1">IFERROR(INDEX(H_Tables!H:H,MATCH(INDIRECT("k"&amp;ROW()),H_Tables!I:I,0)),"")</f>
        <v/>
      </c>
      <c r="AC620" t="str">
        <f t="shared" si="21"/>
        <v/>
      </c>
      <c r="AD620">
        <v>617</v>
      </c>
    </row>
    <row r="621" spans="13:30" ht="15" customHeight="1" x14ac:dyDescent="0.25">
      <c r="M621" t="s">
        <v>2474</v>
      </c>
      <c r="Z621" s="110">
        <f t="shared" si="20"/>
        <v>0</v>
      </c>
      <c r="AA621" t="str" cm="1">
        <f t="array" aca="1" ref="AA621" ca="1">IFERROR(INDEX(H_Tables!E:E,MATCH(INDIRECT("I"&amp;ROW()),H_Tables!F:F,0)),"")</f>
        <v/>
      </c>
      <c r="AB621" t="str" cm="1">
        <f t="array" aca="1" ref="AB621" ca="1">IFERROR(INDEX(H_Tables!H:H,MATCH(INDIRECT("k"&amp;ROW()),H_Tables!I:I,0)),"")</f>
        <v/>
      </c>
      <c r="AC621" t="str">
        <f t="shared" si="21"/>
        <v/>
      </c>
      <c r="AD621">
        <v>618</v>
      </c>
    </row>
    <row r="622" spans="13:30" ht="15" customHeight="1" x14ac:dyDescent="0.25">
      <c r="M622" t="s">
        <v>2474</v>
      </c>
      <c r="Z622" s="110">
        <f t="shared" si="20"/>
        <v>0</v>
      </c>
      <c r="AA622" t="str" cm="1">
        <f t="array" aca="1" ref="AA622" ca="1">IFERROR(INDEX(H_Tables!E:E,MATCH(INDIRECT("I"&amp;ROW()),H_Tables!F:F,0)),"")</f>
        <v/>
      </c>
      <c r="AB622" t="str" cm="1">
        <f t="array" aca="1" ref="AB622" ca="1">IFERROR(INDEX(H_Tables!H:H,MATCH(INDIRECT("k"&amp;ROW()),H_Tables!I:I,0)),"")</f>
        <v/>
      </c>
      <c r="AC622" t="str">
        <f t="shared" si="21"/>
        <v/>
      </c>
      <c r="AD622">
        <v>619</v>
      </c>
    </row>
    <row r="623" spans="13:30" ht="15" customHeight="1" x14ac:dyDescent="0.25">
      <c r="M623" t="s">
        <v>2474</v>
      </c>
      <c r="Z623" s="110">
        <f t="shared" si="20"/>
        <v>0</v>
      </c>
      <c r="AA623" t="str" cm="1">
        <f t="array" aca="1" ref="AA623" ca="1">IFERROR(INDEX(H_Tables!E:E,MATCH(INDIRECT("I"&amp;ROW()),H_Tables!F:F,0)),"")</f>
        <v/>
      </c>
      <c r="AB623" t="str" cm="1">
        <f t="array" aca="1" ref="AB623" ca="1">IFERROR(INDEX(H_Tables!H:H,MATCH(INDIRECT("k"&amp;ROW()),H_Tables!I:I,0)),"")</f>
        <v/>
      </c>
      <c r="AC623" t="str">
        <f t="shared" si="21"/>
        <v/>
      </c>
      <c r="AD623">
        <v>620</v>
      </c>
    </row>
    <row r="624" spans="13:30" ht="15" customHeight="1" x14ac:dyDescent="0.25">
      <c r="M624" t="s">
        <v>2474</v>
      </c>
      <c r="Z624" s="110">
        <f t="shared" si="20"/>
        <v>0</v>
      </c>
      <c r="AA624" t="str" cm="1">
        <f t="array" aca="1" ref="AA624" ca="1">IFERROR(INDEX(H_Tables!E:E,MATCH(INDIRECT("I"&amp;ROW()),H_Tables!F:F,0)),"")</f>
        <v/>
      </c>
      <c r="AB624" t="str" cm="1">
        <f t="array" aca="1" ref="AB624" ca="1">IFERROR(INDEX(H_Tables!H:H,MATCH(INDIRECT("k"&amp;ROW()),H_Tables!I:I,0)),"")</f>
        <v/>
      </c>
      <c r="AC624" t="str">
        <f t="shared" si="21"/>
        <v/>
      </c>
      <c r="AD624">
        <v>621</v>
      </c>
    </row>
    <row r="625" spans="13:30" ht="15" customHeight="1" x14ac:dyDescent="0.25">
      <c r="M625" t="s">
        <v>2474</v>
      </c>
      <c r="Z625" s="110">
        <f t="shared" si="20"/>
        <v>0</v>
      </c>
      <c r="AA625" t="str" cm="1">
        <f t="array" aca="1" ref="AA625" ca="1">IFERROR(INDEX(H_Tables!E:E,MATCH(INDIRECT("I"&amp;ROW()),H_Tables!F:F,0)),"")</f>
        <v/>
      </c>
      <c r="AB625" t="str" cm="1">
        <f t="array" aca="1" ref="AB625" ca="1">IFERROR(INDEX(H_Tables!H:H,MATCH(INDIRECT("k"&amp;ROW()),H_Tables!I:I,0)),"")</f>
        <v/>
      </c>
      <c r="AC625" t="str">
        <f t="shared" si="21"/>
        <v/>
      </c>
      <c r="AD625">
        <v>622</v>
      </c>
    </row>
    <row r="626" spans="13:30" ht="15" customHeight="1" x14ac:dyDescent="0.25">
      <c r="M626" t="s">
        <v>2474</v>
      </c>
      <c r="Z626" s="110">
        <f t="shared" si="20"/>
        <v>0</v>
      </c>
      <c r="AA626" t="str" cm="1">
        <f t="array" aca="1" ref="AA626" ca="1">IFERROR(INDEX(H_Tables!E:E,MATCH(INDIRECT("I"&amp;ROW()),H_Tables!F:F,0)),"")</f>
        <v/>
      </c>
      <c r="AB626" t="str" cm="1">
        <f t="array" aca="1" ref="AB626" ca="1">IFERROR(INDEX(H_Tables!H:H,MATCH(INDIRECT("k"&amp;ROW()),H_Tables!I:I,0)),"")</f>
        <v/>
      </c>
      <c r="AC626" t="str">
        <f t="shared" si="21"/>
        <v/>
      </c>
      <c r="AD626">
        <v>623</v>
      </c>
    </row>
    <row r="627" spans="13:30" ht="15" customHeight="1" x14ac:dyDescent="0.25">
      <c r="M627" t="s">
        <v>2474</v>
      </c>
      <c r="Z627" s="110">
        <f t="shared" si="20"/>
        <v>0</v>
      </c>
      <c r="AA627" t="str" cm="1">
        <f t="array" aca="1" ref="AA627" ca="1">IFERROR(INDEX(H_Tables!E:E,MATCH(INDIRECT("I"&amp;ROW()),H_Tables!F:F,0)),"")</f>
        <v/>
      </c>
      <c r="AB627" t="str" cm="1">
        <f t="array" aca="1" ref="AB627" ca="1">IFERROR(INDEX(H_Tables!H:H,MATCH(INDIRECT("k"&amp;ROW()),H_Tables!I:I,0)),"")</f>
        <v/>
      </c>
      <c r="AC627" t="str">
        <f t="shared" si="21"/>
        <v/>
      </c>
      <c r="AD627">
        <v>624</v>
      </c>
    </row>
    <row r="628" spans="13:30" ht="15" customHeight="1" x14ac:dyDescent="0.25">
      <c r="M628" t="s">
        <v>2474</v>
      </c>
      <c r="Z628" s="110">
        <f t="shared" si="20"/>
        <v>0</v>
      </c>
      <c r="AA628" t="str" cm="1">
        <f t="array" aca="1" ref="AA628" ca="1">IFERROR(INDEX(H_Tables!E:E,MATCH(INDIRECT("I"&amp;ROW()),H_Tables!F:F,0)),"")</f>
        <v/>
      </c>
      <c r="AB628" t="str" cm="1">
        <f t="array" aca="1" ref="AB628" ca="1">IFERROR(INDEX(H_Tables!H:H,MATCH(INDIRECT("k"&amp;ROW()),H_Tables!I:I,0)),"")</f>
        <v/>
      </c>
      <c r="AC628" t="str">
        <f t="shared" si="21"/>
        <v/>
      </c>
      <c r="AD628">
        <v>625</v>
      </c>
    </row>
    <row r="629" spans="13:30" ht="15" customHeight="1" x14ac:dyDescent="0.25">
      <c r="M629" t="s">
        <v>2474</v>
      </c>
      <c r="Z629" s="110">
        <f t="shared" si="20"/>
        <v>0</v>
      </c>
      <c r="AA629" t="str" cm="1">
        <f t="array" aca="1" ref="AA629" ca="1">IFERROR(INDEX(H_Tables!E:E,MATCH(INDIRECT("I"&amp;ROW()),H_Tables!F:F,0)),"")</f>
        <v/>
      </c>
      <c r="AB629" t="str" cm="1">
        <f t="array" aca="1" ref="AB629" ca="1">IFERROR(INDEX(H_Tables!H:H,MATCH(INDIRECT("k"&amp;ROW()),H_Tables!I:I,0)),"")</f>
        <v/>
      </c>
      <c r="AC629" t="str">
        <f t="shared" si="21"/>
        <v/>
      </c>
      <c r="AD629">
        <v>626</v>
      </c>
    </row>
    <row r="630" spans="13:30" ht="15" customHeight="1" x14ac:dyDescent="0.25">
      <c r="M630" t="s">
        <v>2474</v>
      </c>
      <c r="Z630" s="110">
        <f t="shared" si="20"/>
        <v>0</v>
      </c>
      <c r="AA630" t="str" cm="1">
        <f t="array" aca="1" ref="AA630" ca="1">IFERROR(INDEX(H_Tables!E:E,MATCH(INDIRECT("I"&amp;ROW()),H_Tables!F:F,0)),"")</f>
        <v/>
      </c>
      <c r="AB630" t="str" cm="1">
        <f t="array" aca="1" ref="AB630" ca="1">IFERROR(INDEX(H_Tables!H:H,MATCH(INDIRECT("k"&amp;ROW()),H_Tables!I:I,0)),"")</f>
        <v/>
      </c>
      <c r="AC630" t="str">
        <f t="shared" si="21"/>
        <v/>
      </c>
      <c r="AD630">
        <v>627</v>
      </c>
    </row>
    <row r="631" spans="13:30" ht="15" customHeight="1" x14ac:dyDescent="0.25">
      <c r="M631" t="s">
        <v>2474</v>
      </c>
      <c r="Z631" s="110">
        <f t="shared" si="20"/>
        <v>0</v>
      </c>
      <c r="AA631" t="str" cm="1">
        <f t="array" aca="1" ref="AA631" ca="1">IFERROR(INDEX(H_Tables!E:E,MATCH(INDIRECT("I"&amp;ROW()),H_Tables!F:F,0)),"")</f>
        <v/>
      </c>
      <c r="AB631" t="str" cm="1">
        <f t="array" aca="1" ref="AB631" ca="1">IFERROR(INDEX(H_Tables!H:H,MATCH(INDIRECT("k"&amp;ROW()),H_Tables!I:I,0)),"")</f>
        <v/>
      </c>
      <c r="AC631" t="str">
        <f t="shared" si="21"/>
        <v/>
      </c>
      <c r="AD631">
        <v>628</v>
      </c>
    </row>
    <row r="632" spans="13:30" ht="15" customHeight="1" x14ac:dyDescent="0.25">
      <c r="M632" t="s">
        <v>2474</v>
      </c>
      <c r="Z632" s="110">
        <f t="shared" si="20"/>
        <v>0</v>
      </c>
      <c r="AA632" t="str" cm="1">
        <f t="array" aca="1" ref="AA632" ca="1">IFERROR(INDEX(H_Tables!E:E,MATCH(INDIRECT("I"&amp;ROW()),H_Tables!F:F,0)),"")</f>
        <v/>
      </c>
      <c r="AB632" t="str" cm="1">
        <f t="array" aca="1" ref="AB632" ca="1">IFERROR(INDEX(H_Tables!H:H,MATCH(INDIRECT("k"&amp;ROW()),H_Tables!I:I,0)),"")</f>
        <v/>
      </c>
      <c r="AC632" t="str">
        <f t="shared" si="21"/>
        <v/>
      </c>
      <c r="AD632">
        <v>629</v>
      </c>
    </row>
    <row r="633" spans="13:30" ht="15" customHeight="1" x14ac:dyDescent="0.25">
      <c r="M633" t="s">
        <v>2474</v>
      </c>
      <c r="Z633" s="110">
        <f t="shared" si="20"/>
        <v>0</v>
      </c>
      <c r="AA633" t="str" cm="1">
        <f t="array" aca="1" ref="AA633" ca="1">IFERROR(INDEX(H_Tables!E:E,MATCH(INDIRECT("I"&amp;ROW()),H_Tables!F:F,0)),"")</f>
        <v/>
      </c>
      <c r="AB633" t="str" cm="1">
        <f t="array" aca="1" ref="AB633" ca="1">IFERROR(INDEX(H_Tables!H:H,MATCH(INDIRECT("k"&amp;ROW()),H_Tables!I:I,0)),"")</f>
        <v/>
      </c>
      <c r="AC633" t="str">
        <f t="shared" si="21"/>
        <v/>
      </c>
      <c r="AD633">
        <v>630</v>
      </c>
    </row>
    <row r="634" spans="13:30" ht="15" customHeight="1" x14ac:dyDescent="0.25">
      <c r="M634" t="s">
        <v>2474</v>
      </c>
      <c r="Z634" s="110">
        <f t="shared" si="20"/>
        <v>0</v>
      </c>
      <c r="AA634" t="str" cm="1">
        <f t="array" aca="1" ref="AA634" ca="1">IFERROR(INDEX(H_Tables!E:E,MATCH(INDIRECT("I"&amp;ROW()),H_Tables!F:F,0)),"")</f>
        <v/>
      </c>
      <c r="AB634" t="str" cm="1">
        <f t="array" aca="1" ref="AB634" ca="1">IFERROR(INDEX(H_Tables!H:H,MATCH(INDIRECT("k"&amp;ROW()),H_Tables!I:I,0)),"")</f>
        <v/>
      </c>
      <c r="AC634" t="str">
        <f t="shared" si="21"/>
        <v/>
      </c>
      <c r="AD634">
        <v>631</v>
      </c>
    </row>
    <row r="635" spans="13:30" ht="15" customHeight="1" x14ac:dyDescent="0.25">
      <c r="M635" t="s">
        <v>2474</v>
      </c>
      <c r="Z635" s="110">
        <f t="shared" si="20"/>
        <v>0</v>
      </c>
      <c r="AA635" t="str" cm="1">
        <f t="array" aca="1" ref="AA635" ca="1">IFERROR(INDEX(H_Tables!E:E,MATCH(INDIRECT("I"&amp;ROW()),H_Tables!F:F,0)),"")</f>
        <v/>
      </c>
      <c r="AB635" t="str" cm="1">
        <f t="array" aca="1" ref="AB635" ca="1">IFERROR(INDEX(H_Tables!H:H,MATCH(INDIRECT("k"&amp;ROW()),H_Tables!I:I,0)),"")</f>
        <v/>
      </c>
      <c r="AC635" t="str">
        <f t="shared" si="21"/>
        <v/>
      </c>
      <c r="AD635">
        <v>632</v>
      </c>
    </row>
    <row r="636" spans="13:30" ht="15" customHeight="1" x14ac:dyDescent="0.25">
      <c r="M636" t="s">
        <v>2474</v>
      </c>
      <c r="Z636" s="110">
        <f t="shared" si="20"/>
        <v>0</v>
      </c>
      <c r="AA636" t="str" cm="1">
        <f t="array" aca="1" ref="AA636" ca="1">IFERROR(INDEX(H_Tables!E:E,MATCH(INDIRECT("I"&amp;ROW()),H_Tables!F:F,0)),"")</f>
        <v/>
      </c>
      <c r="AB636" t="str" cm="1">
        <f t="array" aca="1" ref="AB636" ca="1">IFERROR(INDEX(H_Tables!H:H,MATCH(INDIRECT("k"&amp;ROW()),H_Tables!I:I,0)),"")</f>
        <v/>
      </c>
      <c r="AC636" t="str">
        <f t="shared" si="21"/>
        <v/>
      </c>
      <c r="AD636">
        <v>633</v>
      </c>
    </row>
    <row r="637" spans="13:30" ht="15" customHeight="1" x14ac:dyDescent="0.25">
      <c r="M637" t="s">
        <v>2474</v>
      </c>
      <c r="Z637" s="110">
        <f t="shared" si="20"/>
        <v>0</v>
      </c>
      <c r="AA637" t="str" cm="1">
        <f t="array" aca="1" ref="AA637" ca="1">IFERROR(INDEX(H_Tables!E:E,MATCH(INDIRECT("I"&amp;ROW()),H_Tables!F:F,0)),"")</f>
        <v/>
      </c>
      <c r="AB637" t="str" cm="1">
        <f t="array" aca="1" ref="AB637" ca="1">IFERROR(INDEX(H_Tables!H:H,MATCH(INDIRECT("k"&amp;ROW()),H_Tables!I:I,0)),"")</f>
        <v/>
      </c>
      <c r="AC637" t="str">
        <f t="shared" si="21"/>
        <v/>
      </c>
      <c r="AD637">
        <v>634</v>
      </c>
    </row>
    <row r="638" spans="13:30" ht="15" customHeight="1" x14ac:dyDescent="0.25">
      <c r="M638" t="s">
        <v>2474</v>
      </c>
      <c r="Z638" s="110">
        <f t="shared" si="20"/>
        <v>0</v>
      </c>
      <c r="AA638" t="str" cm="1">
        <f t="array" aca="1" ref="AA638" ca="1">IFERROR(INDEX(H_Tables!E:E,MATCH(INDIRECT("I"&amp;ROW()),H_Tables!F:F,0)),"")</f>
        <v/>
      </c>
      <c r="AB638" t="str" cm="1">
        <f t="array" aca="1" ref="AB638" ca="1">IFERROR(INDEX(H_Tables!H:H,MATCH(INDIRECT("k"&amp;ROW()),H_Tables!I:I,0)),"")</f>
        <v/>
      </c>
      <c r="AC638" t="str">
        <f t="shared" si="21"/>
        <v/>
      </c>
      <c r="AD638">
        <v>635</v>
      </c>
    </row>
    <row r="639" spans="13:30" ht="15" customHeight="1" x14ac:dyDescent="0.25">
      <c r="M639" t="s">
        <v>2474</v>
      </c>
      <c r="Z639" s="110">
        <f t="shared" si="20"/>
        <v>0</v>
      </c>
      <c r="AA639" t="str" cm="1">
        <f t="array" aca="1" ref="AA639" ca="1">IFERROR(INDEX(H_Tables!E:E,MATCH(INDIRECT("I"&amp;ROW()),H_Tables!F:F,0)),"")</f>
        <v/>
      </c>
      <c r="AB639" t="str" cm="1">
        <f t="array" aca="1" ref="AB639" ca="1">IFERROR(INDEX(H_Tables!H:H,MATCH(INDIRECT("k"&amp;ROW()),H_Tables!I:I,0)),"")</f>
        <v/>
      </c>
      <c r="AC639" t="str">
        <f t="shared" si="21"/>
        <v/>
      </c>
      <c r="AD639">
        <v>636</v>
      </c>
    </row>
    <row r="640" spans="13:30" ht="15" customHeight="1" x14ac:dyDescent="0.25">
      <c r="M640" t="s">
        <v>2474</v>
      </c>
      <c r="Z640" s="110">
        <f t="shared" si="20"/>
        <v>0</v>
      </c>
      <c r="AA640" t="str" cm="1">
        <f t="array" aca="1" ref="AA640" ca="1">IFERROR(INDEX(H_Tables!E:E,MATCH(INDIRECT("I"&amp;ROW()),H_Tables!F:F,0)),"")</f>
        <v/>
      </c>
      <c r="AB640" t="str" cm="1">
        <f t="array" aca="1" ref="AB640" ca="1">IFERROR(INDEX(H_Tables!H:H,MATCH(INDIRECT("k"&amp;ROW()),H_Tables!I:I,0)),"")</f>
        <v/>
      </c>
      <c r="AC640" t="str">
        <f t="shared" si="21"/>
        <v/>
      </c>
      <c r="AD640">
        <v>637</v>
      </c>
    </row>
    <row r="641" spans="13:30" ht="15" customHeight="1" x14ac:dyDescent="0.25">
      <c r="M641" t="s">
        <v>2474</v>
      </c>
      <c r="Z641" s="110">
        <f t="shared" si="20"/>
        <v>0</v>
      </c>
      <c r="AA641" t="str" cm="1">
        <f t="array" aca="1" ref="AA641" ca="1">IFERROR(INDEX(H_Tables!E:E,MATCH(INDIRECT("I"&amp;ROW()),H_Tables!F:F,0)),"")</f>
        <v/>
      </c>
      <c r="AB641" t="str" cm="1">
        <f t="array" aca="1" ref="AB641" ca="1">IFERROR(INDEX(H_Tables!H:H,MATCH(INDIRECT("k"&amp;ROW()),H_Tables!I:I,0)),"")</f>
        <v/>
      </c>
      <c r="AC641" t="str">
        <f t="shared" si="21"/>
        <v/>
      </c>
      <c r="AD641">
        <v>638</v>
      </c>
    </row>
    <row r="642" spans="13:30" ht="15" customHeight="1" x14ac:dyDescent="0.25">
      <c r="M642" t="s">
        <v>2474</v>
      </c>
      <c r="Z642" s="110">
        <f t="shared" ref="Z642:Z705" si="22">ROUND(IF((F642+G642)=0,0,S642/Y642),4)</f>
        <v>0</v>
      </c>
      <c r="AA642" t="str" cm="1">
        <f t="array" aca="1" ref="AA642" ca="1">IFERROR(INDEX(H_Tables!E:E,MATCH(INDIRECT("I"&amp;ROW()),H_Tables!F:F,0)),"")</f>
        <v/>
      </c>
      <c r="AB642" t="str" cm="1">
        <f t="array" aca="1" ref="AB642" ca="1">IFERROR(INDEX(H_Tables!H:H,MATCH(INDIRECT("k"&amp;ROW()),H_Tables!I:I,0)),"")</f>
        <v/>
      </c>
      <c r="AC642" t="str">
        <f t="shared" si="21"/>
        <v/>
      </c>
      <c r="AD642">
        <v>639</v>
      </c>
    </row>
    <row r="643" spans="13:30" ht="15" customHeight="1" x14ac:dyDescent="0.25">
      <c r="M643" t="s">
        <v>2474</v>
      </c>
      <c r="Z643" s="110">
        <f t="shared" si="22"/>
        <v>0</v>
      </c>
      <c r="AA643" t="str" cm="1">
        <f t="array" aca="1" ref="AA643" ca="1">IFERROR(INDEX(H_Tables!E:E,MATCH(INDIRECT("I"&amp;ROW()),H_Tables!F:F,0)),"")</f>
        <v/>
      </c>
      <c r="AB643" t="str" cm="1">
        <f t="array" aca="1" ref="AB643" ca="1">IFERROR(INDEX(H_Tables!H:H,MATCH(INDIRECT("k"&amp;ROW()),H_Tables!I:I,0)),"")</f>
        <v/>
      </c>
      <c r="AC643" t="str">
        <f t="shared" si="21"/>
        <v/>
      </c>
      <c r="AD643">
        <v>640</v>
      </c>
    </row>
    <row r="644" spans="13:30" ht="15" customHeight="1" x14ac:dyDescent="0.25">
      <c r="M644" t="s">
        <v>2474</v>
      </c>
      <c r="Z644" s="110">
        <f t="shared" si="22"/>
        <v>0</v>
      </c>
      <c r="AA644" t="str" cm="1">
        <f t="array" aca="1" ref="AA644" ca="1">IFERROR(INDEX(H_Tables!E:E,MATCH(INDIRECT("I"&amp;ROW()),H_Tables!F:F,0)),"")</f>
        <v/>
      </c>
      <c r="AB644" t="str" cm="1">
        <f t="array" aca="1" ref="AB644" ca="1">IFERROR(INDEX(H_Tables!H:H,MATCH(INDIRECT("k"&amp;ROW()),H_Tables!I:I,0)),"")</f>
        <v/>
      </c>
      <c r="AC644" t="str">
        <f t="shared" ref="AC644:AC707" si="23">_xlfn.TEXTJOIN(",",TRUE,M644:P644)</f>
        <v/>
      </c>
      <c r="AD644">
        <v>641</v>
      </c>
    </row>
    <row r="645" spans="13:30" ht="15" customHeight="1" x14ac:dyDescent="0.25">
      <c r="M645" t="s">
        <v>2474</v>
      </c>
      <c r="Z645" s="110">
        <f t="shared" si="22"/>
        <v>0</v>
      </c>
      <c r="AA645" t="str" cm="1">
        <f t="array" aca="1" ref="AA645" ca="1">IFERROR(INDEX(H_Tables!E:E,MATCH(INDIRECT("I"&amp;ROW()),H_Tables!F:F,0)),"")</f>
        <v/>
      </c>
      <c r="AB645" t="str" cm="1">
        <f t="array" aca="1" ref="AB645" ca="1">IFERROR(INDEX(H_Tables!H:H,MATCH(INDIRECT("k"&amp;ROW()),H_Tables!I:I,0)),"")</f>
        <v/>
      </c>
      <c r="AC645" t="str">
        <f t="shared" si="23"/>
        <v/>
      </c>
      <c r="AD645">
        <v>642</v>
      </c>
    </row>
    <row r="646" spans="13:30" ht="15" customHeight="1" x14ac:dyDescent="0.25">
      <c r="M646" t="s">
        <v>2474</v>
      </c>
      <c r="Z646" s="110">
        <f t="shared" si="22"/>
        <v>0</v>
      </c>
      <c r="AA646" t="str" cm="1">
        <f t="array" aca="1" ref="AA646" ca="1">IFERROR(INDEX(H_Tables!E:E,MATCH(INDIRECT("I"&amp;ROW()),H_Tables!F:F,0)),"")</f>
        <v/>
      </c>
      <c r="AB646" t="str" cm="1">
        <f t="array" aca="1" ref="AB646" ca="1">IFERROR(INDEX(H_Tables!H:H,MATCH(INDIRECT("k"&amp;ROW()),H_Tables!I:I,0)),"")</f>
        <v/>
      </c>
      <c r="AC646" t="str">
        <f t="shared" si="23"/>
        <v/>
      </c>
      <c r="AD646">
        <v>643</v>
      </c>
    </row>
    <row r="647" spans="13:30" ht="15" customHeight="1" x14ac:dyDescent="0.25">
      <c r="M647" t="s">
        <v>2474</v>
      </c>
      <c r="Z647" s="110">
        <f t="shared" si="22"/>
        <v>0</v>
      </c>
      <c r="AA647" t="str" cm="1">
        <f t="array" aca="1" ref="AA647" ca="1">IFERROR(INDEX(H_Tables!E:E,MATCH(INDIRECT("I"&amp;ROW()),H_Tables!F:F,0)),"")</f>
        <v/>
      </c>
      <c r="AB647" t="str" cm="1">
        <f t="array" aca="1" ref="AB647" ca="1">IFERROR(INDEX(H_Tables!H:H,MATCH(INDIRECT("k"&amp;ROW()),H_Tables!I:I,0)),"")</f>
        <v/>
      </c>
      <c r="AC647" t="str">
        <f t="shared" si="23"/>
        <v/>
      </c>
      <c r="AD647">
        <v>644</v>
      </c>
    </row>
    <row r="648" spans="13:30" ht="15" customHeight="1" x14ac:dyDescent="0.25">
      <c r="M648" t="s">
        <v>2474</v>
      </c>
      <c r="Z648" s="110">
        <f t="shared" si="22"/>
        <v>0</v>
      </c>
      <c r="AA648" t="str" cm="1">
        <f t="array" aca="1" ref="AA648" ca="1">IFERROR(INDEX(H_Tables!E:E,MATCH(INDIRECT("I"&amp;ROW()),H_Tables!F:F,0)),"")</f>
        <v/>
      </c>
      <c r="AB648" t="str" cm="1">
        <f t="array" aca="1" ref="AB648" ca="1">IFERROR(INDEX(H_Tables!H:H,MATCH(INDIRECT("k"&amp;ROW()),H_Tables!I:I,0)),"")</f>
        <v/>
      </c>
      <c r="AC648" t="str">
        <f t="shared" si="23"/>
        <v/>
      </c>
      <c r="AD648">
        <v>645</v>
      </c>
    </row>
    <row r="649" spans="13:30" ht="15" customHeight="1" x14ac:dyDescent="0.25">
      <c r="M649" t="s">
        <v>2474</v>
      </c>
      <c r="Z649" s="110">
        <f t="shared" si="22"/>
        <v>0</v>
      </c>
      <c r="AA649" t="str" cm="1">
        <f t="array" aca="1" ref="AA649" ca="1">IFERROR(INDEX(H_Tables!E:E,MATCH(INDIRECT("I"&amp;ROW()),H_Tables!F:F,0)),"")</f>
        <v/>
      </c>
      <c r="AB649" t="str" cm="1">
        <f t="array" aca="1" ref="AB649" ca="1">IFERROR(INDEX(H_Tables!H:H,MATCH(INDIRECT("k"&amp;ROW()),H_Tables!I:I,0)),"")</f>
        <v/>
      </c>
      <c r="AC649" t="str">
        <f t="shared" si="23"/>
        <v/>
      </c>
      <c r="AD649">
        <v>646</v>
      </c>
    </row>
    <row r="650" spans="13:30" ht="15" customHeight="1" x14ac:dyDescent="0.25">
      <c r="M650" t="s">
        <v>2474</v>
      </c>
      <c r="Z650" s="110">
        <f t="shared" si="22"/>
        <v>0</v>
      </c>
      <c r="AA650" t="str" cm="1">
        <f t="array" aca="1" ref="AA650" ca="1">IFERROR(INDEX(H_Tables!E:E,MATCH(INDIRECT("I"&amp;ROW()),H_Tables!F:F,0)),"")</f>
        <v/>
      </c>
      <c r="AB650" t="str" cm="1">
        <f t="array" aca="1" ref="AB650" ca="1">IFERROR(INDEX(H_Tables!H:H,MATCH(INDIRECT("k"&amp;ROW()),H_Tables!I:I,0)),"")</f>
        <v/>
      </c>
      <c r="AC650" t="str">
        <f t="shared" si="23"/>
        <v/>
      </c>
      <c r="AD650">
        <v>647</v>
      </c>
    </row>
    <row r="651" spans="13:30" ht="15" customHeight="1" x14ac:dyDescent="0.25">
      <c r="M651" t="s">
        <v>2474</v>
      </c>
      <c r="Z651" s="110">
        <f t="shared" si="22"/>
        <v>0</v>
      </c>
      <c r="AA651" t="str" cm="1">
        <f t="array" aca="1" ref="AA651" ca="1">IFERROR(INDEX(H_Tables!E:E,MATCH(INDIRECT("I"&amp;ROW()),H_Tables!F:F,0)),"")</f>
        <v/>
      </c>
      <c r="AB651" t="str" cm="1">
        <f t="array" aca="1" ref="AB651" ca="1">IFERROR(INDEX(H_Tables!H:H,MATCH(INDIRECT("k"&amp;ROW()),H_Tables!I:I,0)),"")</f>
        <v/>
      </c>
      <c r="AC651" t="str">
        <f t="shared" si="23"/>
        <v/>
      </c>
      <c r="AD651">
        <v>648</v>
      </c>
    </row>
    <row r="652" spans="13:30" ht="15" customHeight="1" x14ac:dyDescent="0.25">
      <c r="M652" t="s">
        <v>2474</v>
      </c>
      <c r="Z652" s="110">
        <f t="shared" si="22"/>
        <v>0</v>
      </c>
      <c r="AA652" t="str" cm="1">
        <f t="array" aca="1" ref="AA652" ca="1">IFERROR(INDEX(H_Tables!E:E,MATCH(INDIRECT("I"&amp;ROW()),H_Tables!F:F,0)),"")</f>
        <v/>
      </c>
      <c r="AB652" t="str" cm="1">
        <f t="array" aca="1" ref="AB652" ca="1">IFERROR(INDEX(H_Tables!H:H,MATCH(INDIRECT("k"&amp;ROW()),H_Tables!I:I,0)),"")</f>
        <v/>
      </c>
      <c r="AC652" t="str">
        <f t="shared" si="23"/>
        <v/>
      </c>
      <c r="AD652">
        <v>649</v>
      </c>
    </row>
    <row r="653" spans="13:30" ht="15" customHeight="1" x14ac:dyDescent="0.25">
      <c r="M653" t="s">
        <v>2474</v>
      </c>
      <c r="Z653" s="110">
        <f t="shared" si="22"/>
        <v>0</v>
      </c>
      <c r="AA653" t="str" cm="1">
        <f t="array" aca="1" ref="AA653" ca="1">IFERROR(INDEX(H_Tables!E:E,MATCH(INDIRECT("I"&amp;ROW()),H_Tables!F:F,0)),"")</f>
        <v/>
      </c>
      <c r="AB653" t="str" cm="1">
        <f t="array" aca="1" ref="AB653" ca="1">IFERROR(INDEX(H_Tables!H:H,MATCH(INDIRECT("k"&amp;ROW()),H_Tables!I:I,0)),"")</f>
        <v/>
      </c>
      <c r="AC653" t="str">
        <f t="shared" si="23"/>
        <v/>
      </c>
      <c r="AD653">
        <v>650</v>
      </c>
    </row>
    <row r="654" spans="13:30" ht="15" customHeight="1" x14ac:dyDescent="0.25">
      <c r="M654" t="s">
        <v>2474</v>
      </c>
      <c r="Z654" s="110">
        <f t="shared" si="22"/>
        <v>0</v>
      </c>
      <c r="AA654" t="str" cm="1">
        <f t="array" aca="1" ref="AA654" ca="1">IFERROR(INDEX(H_Tables!E:E,MATCH(INDIRECT("I"&amp;ROW()),H_Tables!F:F,0)),"")</f>
        <v/>
      </c>
      <c r="AB654" t="str" cm="1">
        <f t="array" aca="1" ref="AB654" ca="1">IFERROR(INDEX(H_Tables!H:H,MATCH(INDIRECT("k"&amp;ROW()),H_Tables!I:I,0)),"")</f>
        <v/>
      </c>
      <c r="AC654" t="str">
        <f t="shared" si="23"/>
        <v/>
      </c>
      <c r="AD654">
        <v>651</v>
      </c>
    </row>
    <row r="655" spans="13:30" ht="15" customHeight="1" x14ac:dyDescent="0.25">
      <c r="M655" t="s">
        <v>2474</v>
      </c>
      <c r="Z655" s="110">
        <f t="shared" si="22"/>
        <v>0</v>
      </c>
      <c r="AA655" t="str" cm="1">
        <f t="array" aca="1" ref="AA655" ca="1">IFERROR(INDEX(H_Tables!E:E,MATCH(INDIRECT("I"&amp;ROW()),H_Tables!F:F,0)),"")</f>
        <v/>
      </c>
      <c r="AB655" t="str" cm="1">
        <f t="array" aca="1" ref="AB655" ca="1">IFERROR(INDEX(H_Tables!H:H,MATCH(INDIRECT("k"&amp;ROW()),H_Tables!I:I,0)),"")</f>
        <v/>
      </c>
      <c r="AC655" t="str">
        <f t="shared" si="23"/>
        <v/>
      </c>
      <c r="AD655">
        <v>652</v>
      </c>
    </row>
    <row r="656" spans="13:30" ht="15" customHeight="1" x14ac:dyDescent="0.25">
      <c r="M656" t="s">
        <v>2474</v>
      </c>
      <c r="Z656" s="110">
        <f t="shared" si="22"/>
        <v>0</v>
      </c>
      <c r="AA656" t="str" cm="1">
        <f t="array" aca="1" ref="AA656" ca="1">IFERROR(INDEX(H_Tables!E:E,MATCH(INDIRECT("I"&amp;ROW()),H_Tables!F:F,0)),"")</f>
        <v/>
      </c>
      <c r="AB656" t="str" cm="1">
        <f t="array" aca="1" ref="AB656" ca="1">IFERROR(INDEX(H_Tables!H:H,MATCH(INDIRECT("k"&amp;ROW()),H_Tables!I:I,0)),"")</f>
        <v/>
      </c>
      <c r="AC656" t="str">
        <f t="shared" si="23"/>
        <v/>
      </c>
      <c r="AD656">
        <v>653</v>
      </c>
    </row>
    <row r="657" spans="13:30" ht="15" customHeight="1" x14ac:dyDescent="0.25">
      <c r="M657" t="s">
        <v>2474</v>
      </c>
      <c r="Z657" s="110">
        <f t="shared" si="22"/>
        <v>0</v>
      </c>
      <c r="AA657" t="str" cm="1">
        <f t="array" aca="1" ref="AA657" ca="1">IFERROR(INDEX(H_Tables!E:E,MATCH(INDIRECT("I"&amp;ROW()),H_Tables!F:F,0)),"")</f>
        <v/>
      </c>
      <c r="AB657" t="str" cm="1">
        <f t="array" aca="1" ref="AB657" ca="1">IFERROR(INDEX(H_Tables!H:H,MATCH(INDIRECT("k"&amp;ROW()),H_Tables!I:I,0)),"")</f>
        <v/>
      </c>
      <c r="AC657" t="str">
        <f t="shared" si="23"/>
        <v/>
      </c>
      <c r="AD657">
        <v>654</v>
      </c>
    </row>
    <row r="658" spans="13:30" ht="15" customHeight="1" x14ac:dyDescent="0.25">
      <c r="M658" t="s">
        <v>2474</v>
      </c>
      <c r="Z658" s="110">
        <f t="shared" si="22"/>
        <v>0</v>
      </c>
      <c r="AA658" t="str" cm="1">
        <f t="array" aca="1" ref="AA658" ca="1">IFERROR(INDEX(H_Tables!E:E,MATCH(INDIRECT("I"&amp;ROW()),H_Tables!F:F,0)),"")</f>
        <v/>
      </c>
      <c r="AB658" t="str" cm="1">
        <f t="array" aca="1" ref="AB658" ca="1">IFERROR(INDEX(H_Tables!H:H,MATCH(INDIRECT("k"&amp;ROW()),H_Tables!I:I,0)),"")</f>
        <v/>
      </c>
      <c r="AC658" t="str">
        <f t="shared" si="23"/>
        <v/>
      </c>
      <c r="AD658">
        <v>655</v>
      </c>
    </row>
    <row r="659" spans="13:30" ht="15" customHeight="1" x14ac:dyDescent="0.25">
      <c r="M659" t="s">
        <v>2474</v>
      </c>
      <c r="Z659" s="110">
        <f t="shared" si="22"/>
        <v>0</v>
      </c>
      <c r="AA659" t="str" cm="1">
        <f t="array" aca="1" ref="AA659" ca="1">IFERROR(INDEX(H_Tables!E:E,MATCH(INDIRECT("I"&amp;ROW()),H_Tables!F:F,0)),"")</f>
        <v/>
      </c>
      <c r="AB659" t="str" cm="1">
        <f t="array" aca="1" ref="AB659" ca="1">IFERROR(INDEX(H_Tables!H:H,MATCH(INDIRECT("k"&amp;ROW()),H_Tables!I:I,0)),"")</f>
        <v/>
      </c>
      <c r="AC659" t="str">
        <f t="shared" si="23"/>
        <v/>
      </c>
      <c r="AD659">
        <v>656</v>
      </c>
    </row>
    <row r="660" spans="13:30" ht="15" customHeight="1" x14ac:dyDescent="0.25">
      <c r="M660" t="s">
        <v>2474</v>
      </c>
      <c r="Z660" s="110">
        <f t="shared" si="22"/>
        <v>0</v>
      </c>
      <c r="AA660" t="str" cm="1">
        <f t="array" aca="1" ref="AA660" ca="1">IFERROR(INDEX(H_Tables!E:E,MATCH(INDIRECT("I"&amp;ROW()),H_Tables!F:F,0)),"")</f>
        <v/>
      </c>
      <c r="AB660" t="str" cm="1">
        <f t="array" aca="1" ref="AB660" ca="1">IFERROR(INDEX(H_Tables!H:H,MATCH(INDIRECT("k"&amp;ROW()),H_Tables!I:I,0)),"")</f>
        <v/>
      </c>
      <c r="AC660" t="str">
        <f t="shared" si="23"/>
        <v/>
      </c>
      <c r="AD660">
        <v>657</v>
      </c>
    </row>
    <row r="661" spans="13:30" ht="15" customHeight="1" x14ac:dyDescent="0.25">
      <c r="M661" t="s">
        <v>2474</v>
      </c>
      <c r="Z661" s="110">
        <f t="shared" si="22"/>
        <v>0</v>
      </c>
      <c r="AA661" t="str" cm="1">
        <f t="array" aca="1" ref="AA661" ca="1">IFERROR(INDEX(H_Tables!E:E,MATCH(INDIRECT("I"&amp;ROW()),H_Tables!F:F,0)),"")</f>
        <v/>
      </c>
      <c r="AB661" t="str" cm="1">
        <f t="array" aca="1" ref="AB661" ca="1">IFERROR(INDEX(H_Tables!H:H,MATCH(INDIRECT("k"&amp;ROW()),H_Tables!I:I,0)),"")</f>
        <v/>
      </c>
      <c r="AC661" t="str">
        <f t="shared" si="23"/>
        <v/>
      </c>
      <c r="AD661">
        <v>658</v>
      </c>
    </row>
    <row r="662" spans="13:30" ht="15" customHeight="1" x14ac:dyDescent="0.25">
      <c r="M662" t="s">
        <v>2474</v>
      </c>
      <c r="Z662" s="110">
        <f t="shared" si="22"/>
        <v>0</v>
      </c>
      <c r="AA662" t="str" cm="1">
        <f t="array" aca="1" ref="AA662" ca="1">IFERROR(INDEX(H_Tables!E:E,MATCH(INDIRECT("I"&amp;ROW()),H_Tables!F:F,0)),"")</f>
        <v/>
      </c>
      <c r="AB662" t="str" cm="1">
        <f t="array" aca="1" ref="AB662" ca="1">IFERROR(INDEX(H_Tables!H:H,MATCH(INDIRECT("k"&amp;ROW()),H_Tables!I:I,0)),"")</f>
        <v/>
      </c>
      <c r="AC662" t="str">
        <f t="shared" si="23"/>
        <v/>
      </c>
      <c r="AD662">
        <v>659</v>
      </c>
    </row>
    <row r="663" spans="13:30" ht="15" customHeight="1" x14ac:dyDescent="0.25">
      <c r="M663" t="s">
        <v>2474</v>
      </c>
      <c r="Z663" s="110">
        <f t="shared" si="22"/>
        <v>0</v>
      </c>
      <c r="AA663" t="str" cm="1">
        <f t="array" aca="1" ref="AA663" ca="1">IFERROR(INDEX(H_Tables!E:E,MATCH(INDIRECT("I"&amp;ROW()),H_Tables!F:F,0)),"")</f>
        <v/>
      </c>
      <c r="AB663" t="str" cm="1">
        <f t="array" aca="1" ref="AB663" ca="1">IFERROR(INDEX(H_Tables!H:H,MATCH(INDIRECT("k"&amp;ROW()),H_Tables!I:I,0)),"")</f>
        <v/>
      </c>
      <c r="AC663" t="str">
        <f t="shared" si="23"/>
        <v/>
      </c>
      <c r="AD663">
        <v>660</v>
      </c>
    </row>
    <row r="664" spans="13:30" ht="15" customHeight="1" x14ac:dyDescent="0.25">
      <c r="M664" t="s">
        <v>2474</v>
      </c>
      <c r="Z664" s="110">
        <f t="shared" si="22"/>
        <v>0</v>
      </c>
      <c r="AA664" t="str" cm="1">
        <f t="array" aca="1" ref="AA664" ca="1">IFERROR(INDEX(H_Tables!E:E,MATCH(INDIRECT("I"&amp;ROW()),H_Tables!F:F,0)),"")</f>
        <v/>
      </c>
      <c r="AB664" t="str" cm="1">
        <f t="array" aca="1" ref="AB664" ca="1">IFERROR(INDEX(H_Tables!H:H,MATCH(INDIRECT("k"&amp;ROW()),H_Tables!I:I,0)),"")</f>
        <v/>
      </c>
      <c r="AC664" t="str">
        <f t="shared" si="23"/>
        <v/>
      </c>
      <c r="AD664">
        <v>661</v>
      </c>
    </row>
    <row r="665" spans="13:30" ht="15" customHeight="1" x14ac:dyDescent="0.25">
      <c r="M665" t="s">
        <v>2474</v>
      </c>
      <c r="Z665" s="110">
        <f t="shared" si="22"/>
        <v>0</v>
      </c>
      <c r="AA665" t="str" cm="1">
        <f t="array" aca="1" ref="AA665" ca="1">IFERROR(INDEX(H_Tables!E:E,MATCH(INDIRECT("I"&amp;ROW()),H_Tables!F:F,0)),"")</f>
        <v/>
      </c>
      <c r="AB665" t="str" cm="1">
        <f t="array" aca="1" ref="AB665" ca="1">IFERROR(INDEX(H_Tables!H:H,MATCH(INDIRECT("k"&amp;ROW()),H_Tables!I:I,0)),"")</f>
        <v/>
      </c>
      <c r="AC665" t="str">
        <f t="shared" si="23"/>
        <v/>
      </c>
      <c r="AD665">
        <v>662</v>
      </c>
    </row>
    <row r="666" spans="13:30" ht="15" customHeight="1" x14ac:dyDescent="0.25">
      <c r="M666" t="s">
        <v>2474</v>
      </c>
      <c r="Z666" s="110">
        <f t="shared" si="22"/>
        <v>0</v>
      </c>
      <c r="AA666" t="str" cm="1">
        <f t="array" aca="1" ref="AA666" ca="1">IFERROR(INDEX(H_Tables!E:E,MATCH(INDIRECT("I"&amp;ROW()),H_Tables!F:F,0)),"")</f>
        <v/>
      </c>
      <c r="AB666" t="str" cm="1">
        <f t="array" aca="1" ref="AB666" ca="1">IFERROR(INDEX(H_Tables!H:H,MATCH(INDIRECT("k"&amp;ROW()),H_Tables!I:I,0)),"")</f>
        <v/>
      </c>
      <c r="AC666" t="str">
        <f t="shared" si="23"/>
        <v/>
      </c>
      <c r="AD666">
        <v>663</v>
      </c>
    </row>
    <row r="667" spans="13:30" ht="15" customHeight="1" x14ac:dyDescent="0.25">
      <c r="M667" t="s">
        <v>2474</v>
      </c>
      <c r="Z667" s="110">
        <f t="shared" si="22"/>
        <v>0</v>
      </c>
      <c r="AA667" t="str" cm="1">
        <f t="array" aca="1" ref="AA667" ca="1">IFERROR(INDEX(H_Tables!E:E,MATCH(INDIRECT("I"&amp;ROW()),H_Tables!F:F,0)),"")</f>
        <v/>
      </c>
      <c r="AB667" t="str" cm="1">
        <f t="array" aca="1" ref="AB667" ca="1">IFERROR(INDEX(H_Tables!H:H,MATCH(INDIRECT("k"&amp;ROW()),H_Tables!I:I,0)),"")</f>
        <v/>
      </c>
      <c r="AC667" t="str">
        <f t="shared" si="23"/>
        <v/>
      </c>
      <c r="AD667">
        <v>664</v>
      </c>
    </row>
    <row r="668" spans="13:30" ht="15" customHeight="1" x14ac:dyDescent="0.25">
      <c r="M668" t="s">
        <v>2474</v>
      </c>
      <c r="Z668" s="110">
        <f t="shared" si="22"/>
        <v>0</v>
      </c>
      <c r="AA668" t="str" cm="1">
        <f t="array" aca="1" ref="AA668" ca="1">IFERROR(INDEX(H_Tables!E:E,MATCH(INDIRECT("I"&amp;ROW()),H_Tables!F:F,0)),"")</f>
        <v/>
      </c>
      <c r="AB668" t="str" cm="1">
        <f t="array" aca="1" ref="AB668" ca="1">IFERROR(INDEX(H_Tables!H:H,MATCH(INDIRECT("k"&amp;ROW()),H_Tables!I:I,0)),"")</f>
        <v/>
      </c>
      <c r="AC668" t="str">
        <f t="shared" si="23"/>
        <v/>
      </c>
      <c r="AD668">
        <v>665</v>
      </c>
    </row>
    <row r="669" spans="13:30" ht="15" customHeight="1" x14ac:dyDescent="0.25">
      <c r="M669" t="s">
        <v>2474</v>
      </c>
      <c r="Z669" s="110">
        <f t="shared" si="22"/>
        <v>0</v>
      </c>
      <c r="AA669" t="str" cm="1">
        <f t="array" aca="1" ref="AA669" ca="1">IFERROR(INDEX(H_Tables!E:E,MATCH(INDIRECT("I"&amp;ROW()),H_Tables!F:F,0)),"")</f>
        <v/>
      </c>
      <c r="AB669" t="str" cm="1">
        <f t="array" aca="1" ref="AB669" ca="1">IFERROR(INDEX(H_Tables!H:H,MATCH(INDIRECT("k"&amp;ROW()),H_Tables!I:I,0)),"")</f>
        <v/>
      </c>
      <c r="AC669" t="str">
        <f t="shared" si="23"/>
        <v/>
      </c>
      <c r="AD669">
        <v>666</v>
      </c>
    </row>
    <row r="670" spans="13:30" ht="15" customHeight="1" x14ac:dyDescent="0.25">
      <c r="M670" t="s">
        <v>2474</v>
      </c>
      <c r="Z670" s="110">
        <f t="shared" si="22"/>
        <v>0</v>
      </c>
      <c r="AA670" t="str" cm="1">
        <f t="array" aca="1" ref="AA670" ca="1">IFERROR(INDEX(H_Tables!E:E,MATCH(INDIRECT("I"&amp;ROW()),H_Tables!F:F,0)),"")</f>
        <v/>
      </c>
      <c r="AB670" t="str" cm="1">
        <f t="array" aca="1" ref="AB670" ca="1">IFERROR(INDEX(H_Tables!H:H,MATCH(INDIRECT("k"&amp;ROW()),H_Tables!I:I,0)),"")</f>
        <v/>
      </c>
      <c r="AC670" t="str">
        <f t="shared" si="23"/>
        <v/>
      </c>
      <c r="AD670">
        <v>667</v>
      </c>
    </row>
    <row r="671" spans="13:30" ht="15" customHeight="1" x14ac:dyDescent="0.25">
      <c r="M671" t="s">
        <v>2474</v>
      </c>
      <c r="Z671" s="110">
        <f t="shared" si="22"/>
        <v>0</v>
      </c>
      <c r="AA671" t="str" cm="1">
        <f t="array" aca="1" ref="AA671" ca="1">IFERROR(INDEX(H_Tables!E:E,MATCH(INDIRECT("I"&amp;ROW()),H_Tables!F:F,0)),"")</f>
        <v/>
      </c>
      <c r="AB671" t="str" cm="1">
        <f t="array" aca="1" ref="AB671" ca="1">IFERROR(INDEX(H_Tables!H:H,MATCH(INDIRECT("k"&amp;ROW()),H_Tables!I:I,0)),"")</f>
        <v/>
      </c>
      <c r="AC671" t="str">
        <f t="shared" si="23"/>
        <v/>
      </c>
      <c r="AD671">
        <v>668</v>
      </c>
    </row>
    <row r="672" spans="13:30" ht="15" customHeight="1" x14ac:dyDescent="0.25">
      <c r="M672" t="s">
        <v>2474</v>
      </c>
      <c r="Z672" s="110">
        <f t="shared" si="22"/>
        <v>0</v>
      </c>
      <c r="AA672" t="str" cm="1">
        <f t="array" aca="1" ref="AA672" ca="1">IFERROR(INDEX(H_Tables!E:E,MATCH(INDIRECT("I"&amp;ROW()),H_Tables!F:F,0)),"")</f>
        <v/>
      </c>
      <c r="AB672" t="str" cm="1">
        <f t="array" aca="1" ref="AB672" ca="1">IFERROR(INDEX(H_Tables!H:H,MATCH(INDIRECT("k"&amp;ROW()),H_Tables!I:I,0)),"")</f>
        <v/>
      </c>
      <c r="AC672" t="str">
        <f t="shared" si="23"/>
        <v/>
      </c>
      <c r="AD672">
        <v>669</v>
      </c>
    </row>
    <row r="673" spans="13:30" ht="15" customHeight="1" x14ac:dyDescent="0.25">
      <c r="M673" t="s">
        <v>2474</v>
      </c>
      <c r="Z673" s="110">
        <f t="shared" si="22"/>
        <v>0</v>
      </c>
      <c r="AA673" t="str" cm="1">
        <f t="array" aca="1" ref="AA673" ca="1">IFERROR(INDEX(H_Tables!E:E,MATCH(INDIRECT("I"&amp;ROW()),H_Tables!F:F,0)),"")</f>
        <v/>
      </c>
      <c r="AB673" t="str" cm="1">
        <f t="array" aca="1" ref="AB673" ca="1">IFERROR(INDEX(H_Tables!H:H,MATCH(INDIRECT("k"&amp;ROW()),H_Tables!I:I,0)),"")</f>
        <v/>
      </c>
      <c r="AC673" t="str">
        <f t="shared" si="23"/>
        <v/>
      </c>
      <c r="AD673">
        <v>670</v>
      </c>
    </row>
    <row r="674" spans="13:30" ht="15" customHeight="1" x14ac:dyDescent="0.25">
      <c r="M674" t="s">
        <v>2474</v>
      </c>
      <c r="Z674" s="110">
        <f t="shared" si="22"/>
        <v>0</v>
      </c>
      <c r="AA674" t="str" cm="1">
        <f t="array" aca="1" ref="AA674" ca="1">IFERROR(INDEX(H_Tables!E:E,MATCH(INDIRECT("I"&amp;ROW()),H_Tables!F:F,0)),"")</f>
        <v/>
      </c>
      <c r="AB674" t="str" cm="1">
        <f t="array" aca="1" ref="AB674" ca="1">IFERROR(INDEX(H_Tables!H:H,MATCH(INDIRECT("k"&amp;ROW()),H_Tables!I:I,0)),"")</f>
        <v/>
      </c>
      <c r="AC674" t="str">
        <f t="shared" si="23"/>
        <v/>
      </c>
      <c r="AD674">
        <v>671</v>
      </c>
    </row>
    <row r="675" spans="13:30" ht="15" customHeight="1" x14ac:dyDescent="0.25">
      <c r="M675" t="s">
        <v>2474</v>
      </c>
      <c r="Z675" s="110">
        <f t="shared" si="22"/>
        <v>0</v>
      </c>
      <c r="AA675" t="str" cm="1">
        <f t="array" aca="1" ref="AA675" ca="1">IFERROR(INDEX(H_Tables!E:E,MATCH(INDIRECT("I"&amp;ROW()),H_Tables!F:F,0)),"")</f>
        <v/>
      </c>
      <c r="AB675" t="str" cm="1">
        <f t="array" aca="1" ref="AB675" ca="1">IFERROR(INDEX(H_Tables!H:H,MATCH(INDIRECT("k"&amp;ROW()),H_Tables!I:I,0)),"")</f>
        <v/>
      </c>
      <c r="AC675" t="str">
        <f t="shared" si="23"/>
        <v/>
      </c>
      <c r="AD675">
        <v>672</v>
      </c>
    </row>
    <row r="676" spans="13:30" ht="15" customHeight="1" x14ac:dyDescent="0.25">
      <c r="M676" t="s">
        <v>2474</v>
      </c>
      <c r="Z676" s="110">
        <f t="shared" si="22"/>
        <v>0</v>
      </c>
      <c r="AA676" t="str" cm="1">
        <f t="array" aca="1" ref="AA676" ca="1">IFERROR(INDEX(H_Tables!E:E,MATCH(INDIRECT("I"&amp;ROW()),H_Tables!F:F,0)),"")</f>
        <v/>
      </c>
      <c r="AB676" t="str" cm="1">
        <f t="array" aca="1" ref="AB676" ca="1">IFERROR(INDEX(H_Tables!H:H,MATCH(INDIRECT("k"&amp;ROW()),H_Tables!I:I,0)),"")</f>
        <v/>
      </c>
      <c r="AC676" t="str">
        <f t="shared" si="23"/>
        <v/>
      </c>
      <c r="AD676">
        <v>673</v>
      </c>
    </row>
    <row r="677" spans="13:30" ht="15" customHeight="1" x14ac:dyDescent="0.25">
      <c r="M677" t="s">
        <v>2474</v>
      </c>
      <c r="Z677" s="110">
        <f t="shared" si="22"/>
        <v>0</v>
      </c>
      <c r="AA677" t="str" cm="1">
        <f t="array" aca="1" ref="AA677" ca="1">IFERROR(INDEX(H_Tables!E:E,MATCH(INDIRECT("I"&amp;ROW()),H_Tables!F:F,0)),"")</f>
        <v/>
      </c>
      <c r="AB677" t="str" cm="1">
        <f t="array" aca="1" ref="AB677" ca="1">IFERROR(INDEX(H_Tables!H:H,MATCH(INDIRECT("k"&amp;ROW()),H_Tables!I:I,0)),"")</f>
        <v/>
      </c>
      <c r="AC677" t="str">
        <f t="shared" si="23"/>
        <v/>
      </c>
      <c r="AD677">
        <v>674</v>
      </c>
    </row>
    <row r="678" spans="13:30" ht="15" customHeight="1" x14ac:dyDescent="0.25">
      <c r="M678" t="s">
        <v>2474</v>
      </c>
      <c r="Z678" s="110">
        <f t="shared" si="22"/>
        <v>0</v>
      </c>
      <c r="AA678" t="str" cm="1">
        <f t="array" aca="1" ref="AA678" ca="1">IFERROR(INDEX(H_Tables!E:E,MATCH(INDIRECT("I"&amp;ROW()),H_Tables!F:F,0)),"")</f>
        <v/>
      </c>
      <c r="AB678" t="str" cm="1">
        <f t="array" aca="1" ref="AB678" ca="1">IFERROR(INDEX(H_Tables!H:H,MATCH(INDIRECT("k"&amp;ROW()),H_Tables!I:I,0)),"")</f>
        <v/>
      </c>
      <c r="AC678" t="str">
        <f t="shared" si="23"/>
        <v/>
      </c>
      <c r="AD678">
        <v>675</v>
      </c>
    </row>
    <row r="679" spans="13:30" ht="15" customHeight="1" x14ac:dyDescent="0.25">
      <c r="M679" t="s">
        <v>2474</v>
      </c>
      <c r="Z679" s="110">
        <f t="shared" si="22"/>
        <v>0</v>
      </c>
      <c r="AA679" t="str" cm="1">
        <f t="array" aca="1" ref="AA679" ca="1">IFERROR(INDEX(H_Tables!E:E,MATCH(INDIRECT("I"&amp;ROW()),H_Tables!F:F,0)),"")</f>
        <v/>
      </c>
      <c r="AB679" t="str" cm="1">
        <f t="array" aca="1" ref="AB679" ca="1">IFERROR(INDEX(H_Tables!H:H,MATCH(INDIRECT("k"&amp;ROW()),H_Tables!I:I,0)),"")</f>
        <v/>
      </c>
      <c r="AC679" t="str">
        <f t="shared" si="23"/>
        <v/>
      </c>
      <c r="AD679">
        <v>676</v>
      </c>
    </row>
    <row r="680" spans="13:30" ht="15" customHeight="1" x14ac:dyDescent="0.25">
      <c r="M680" t="s">
        <v>2474</v>
      </c>
      <c r="Z680" s="110">
        <f t="shared" si="22"/>
        <v>0</v>
      </c>
      <c r="AA680" t="str" cm="1">
        <f t="array" aca="1" ref="AA680" ca="1">IFERROR(INDEX(H_Tables!E:E,MATCH(INDIRECT("I"&amp;ROW()),H_Tables!F:F,0)),"")</f>
        <v/>
      </c>
      <c r="AB680" t="str" cm="1">
        <f t="array" aca="1" ref="AB680" ca="1">IFERROR(INDEX(H_Tables!H:H,MATCH(INDIRECT("k"&amp;ROW()),H_Tables!I:I,0)),"")</f>
        <v/>
      </c>
      <c r="AC680" t="str">
        <f t="shared" si="23"/>
        <v/>
      </c>
      <c r="AD680">
        <v>677</v>
      </c>
    </row>
    <row r="681" spans="13:30" ht="15" customHeight="1" x14ac:dyDescent="0.25">
      <c r="M681" t="s">
        <v>2474</v>
      </c>
      <c r="Z681" s="110">
        <f t="shared" si="22"/>
        <v>0</v>
      </c>
      <c r="AA681" t="str" cm="1">
        <f t="array" aca="1" ref="AA681" ca="1">IFERROR(INDEX(H_Tables!E:E,MATCH(INDIRECT("I"&amp;ROW()),H_Tables!F:F,0)),"")</f>
        <v/>
      </c>
      <c r="AB681" t="str" cm="1">
        <f t="array" aca="1" ref="AB681" ca="1">IFERROR(INDEX(H_Tables!H:H,MATCH(INDIRECT("k"&amp;ROW()),H_Tables!I:I,0)),"")</f>
        <v/>
      </c>
      <c r="AC681" t="str">
        <f t="shared" si="23"/>
        <v/>
      </c>
      <c r="AD681">
        <v>678</v>
      </c>
    </row>
    <row r="682" spans="13:30" ht="15" customHeight="1" x14ac:dyDescent="0.25">
      <c r="M682" t="s">
        <v>2474</v>
      </c>
      <c r="Z682" s="110">
        <f t="shared" si="22"/>
        <v>0</v>
      </c>
      <c r="AA682" t="str" cm="1">
        <f t="array" aca="1" ref="AA682" ca="1">IFERROR(INDEX(H_Tables!E:E,MATCH(INDIRECT("I"&amp;ROW()),H_Tables!F:F,0)),"")</f>
        <v/>
      </c>
      <c r="AB682" t="str" cm="1">
        <f t="array" aca="1" ref="AB682" ca="1">IFERROR(INDEX(H_Tables!H:H,MATCH(INDIRECT("k"&amp;ROW()),H_Tables!I:I,0)),"")</f>
        <v/>
      </c>
      <c r="AC682" t="str">
        <f t="shared" si="23"/>
        <v/>
      </c>
      <c r="AD682">
        <v>679</v>
      </c>
    </row>
    <row r="683" spans="13:30" ht="15" customHeight="1" x14ac:dyDescent="0.25">
      <c r="M683" t="s">
        <v>2474</v>
      </c>
      <c r="Z683" s="110">
        <f t="shared" si="22"/>
        <v>0</v>
      </c>
      <c r="AA683" t="str" cm="1">
        <f t="array" aca="1" ref="AA683" ca="1">IFERROR(INDEX(H_Tables!E:E,MATCH(INDIRECT("I"&amp;ROW()),H_Tables!F:F,0)),"")</f>
        <v/>
      </c>
      <c r="AB683" t="str" cm="1">
        <f t="array" aca="1" ref="AB683" ca="1">IFERROR(INDEX(H_Tables!H:H,MATCH(INDIRECT("k"&amp;ROW()),H_Tables!I:I,0)),"")</f>
        <v/>
      </c>
      <c r="AC683" t="str">
        <f t="shared" si="23"/>
        <v/>
      </c>
      <c r="AD683">
        <v>680</v>
      </c>
    </row>
    <row r="684" spans="13:30" ht="15" customHeight="1" x14ac:dyDescent="0.25">
      <c r="M684" t="s">
        <v>2474</v>
      </c>
      <c r="Z684" s="110">
        <f t="shared" si="22"/>
        <v>0</v>
      </c>
      <c r="AA684" t="str" cm="1">
        <f t="array" aca="1" ref="AA684" ca="1">IFERROR(INDEX(H_Tables!E:E,MATCH(INDIRECT("I"&amp;ROW()),H_Tables!F:F,0)),"")</f>
        <v/>
      </c>
      <c r="AB684" t="str" cm="1">
        <f t="array" aca="1" ref="AB684" ca="1">IFERROR(INDEX(H_Tables!H:H,MATCH(INDIRECT("k"&amp;ROW()),H_Tables!I:I,0)),"")</f>
        <v/>
      </c>
      <c r="AC684" t="str">
        <f t="shared" si="23"/>
        <v/>
      </c>
      <c r="AD684">
        <v>681</v>
      </c>
    </row>
    <row r="685" spans="13:30" ht="15" customHeight="1" x14ac:dyDescent="0.25">
      <c r="M685" t="s">
        <v>2474</v>
      </c>
      <c r="Z685" s="110">
        <f t="shared" si="22"/>
        <v>0</v>
      </c>
      <c r="AA685" t="str" cm="1">
        <f t="array" aca="1" ref="AA685" ca="1">IFERROR(INDEX(H_Tables!E:E,MATCH(INDIRECT("I"&amp;ROW()),H_Tables!F:F,0)),"")</f>
        <v/>
      </c>
      <c r="AB685" t="str" cm="1">
        <f t="array" aca="1" ref="AB685" ca="1">IFERROR(INDEX(H_Tables!H:H,MATCH(INDIRECT("k"&amp;ROW()),H_Tables!I:I,0)),"")</f>
        <v/>
      </c>
      <c r="AC685" t="str">
        <f t="shared" si="23"/>
        <v/>
      </c>
      <c r="AD685">
        <v>682</v>
      </c>
    </row>
    <row r="686" spans="13:30" ht="15" customHeight="1" x14ac:dyDescent="0.25">
      <c r="M686" t="s">
        <v>2474</v>
      </c>
      <c r="Z686" s="110">
        <f t="shared" si="22"/>
        <v>0</v>
      </c>
      <c r="AA686" t="str" cm="1">
        <f t="array" aca="1" ref="AA686" ca="1">IFERROR(INDEX(H_Tables!E:E,MATCH(INDIRECT("I"&amp;ROW()),H_Tables!F:F,0)),"")</f>
        <v/>
      </c>
      <c r="AB686" t="str" cm="1">
        <f t="array" aca="1" ref="AB686" ca="1">IFERROR(INDEX(H_Tables!H:H,MATCH(INDIRECT("k"&amp;ROW()),H_Tables!I:I,0)),"")</f>
        <v/>
      </c>
      <c r="AC686" t="str">
        <f t="shared" si="23"/>
        <v/>
      </c>
      <c r="AD686">
        <v>683</v>
      </c>
    </row>
    <row r="687" spans="13:30" ht="15" customHeight="1" x14ac:dyDescent="0.25">
      <c r="M687" t="s">
        <v>2474</v>
      </c>
      <c r="Z687" s="110">
        <f t="shared" si="22"/>
        <v>0</v>
      </c>
      <c r="AA687" t="str" cm="1">
        <f t="array" aca="1" ref="AA687" ca="1">IFERROR(INDEX(H_Tables!E:E,MATCH(INDIRECT("I"&amp;ROW()),H_Tables!F:F,0)),"")</f>
        <v/>
      </c>
      <c r="AB687" t="str" cm="1">
        <f t="array" aca="1" ref="AB687" ca="1">IFERROR(INDEX(H_Tables!H:H,MATCH(INDIRECT("k"&amp;ROW()),H_Tables!I:I,0)),"")</f>
        <v/>
      </c>
      <c r="AC687" t="str">
        <f t="shared" si="23"/>
        <v/>
      </c>
      <c r="AD687">
        <v>684</v>
      </c>
    </row>
    <row r="688" spans="13:30" ht="15" customHeight="1" x14ac:dyDescent="0.25">
      <c r="M688" t="s">
        <v>2474</v>
      </c>
      <c r="Z688" s="110">
        <f t="shared" si="22"/>
        <v>0</v>
      </c>
      <c r="AA688" t="str" cm="1">
        <f t="array" aca="1" ref="AA688" ca="1">IFERROR(INDEX(H_Tables!E:E,MATCH(INDIRECT("I"&amp;ROW()),H_Tables!F:F,0)),"")</f>
        <v/>
      </c>
      <c r="AB688" t="str" cm="1">
        <f t="array" aca="1" ref="AB688" ca="1">IFERROR(INDEX(H_Tables!H:H,MATCH(INDIRECT("k"&amp;ROW()),H_Tables!I:I,0)),"")</f>
        <v/>
      </c>
      <c r="AC688" t="str">
        <f t="shared" si="23"/>
        <v/>
      </c>
      <c r="AD688">
        <v>685</v>
      </c>
    </row>
    <row r="689" spans="13:30" ht="15" customHeight="1" x14ac:dyDescent="0.25">
      <c r="M689" t="s">
        <v>2474</v>
      </c>
      <c r="Z689" s="110">
        <f t="shared" si="22"/>
        <v>0</v>
      </c>
      <c r="AA689" t="str" cm="1">
        <f t="array" aca="1" ref="AA689" ca="1">IFERROR(INDEX(H_Tables!E:E,MATCH(INDIRECT("I"&amp;ROW()),H_Tables!F:F,0)),"")</f>
        <v/>
      </c>
      <c r="AB689" t="str" cm="1">
        <f t="array" aca="1" ref="AB689" ca="1">IFERROR(INDEX(H_Tables!H:H,MATCH(INDIRECT("k"&amp;ROW()),H_Tables!I:I,0)),"")</f>
        <v/>
      </c>
      <c r="AC689" t="str">
        <f t="shared" si="23"/>
        <v/>
      </c>
      <c r="AD689">
        <v>686</v>
      </c>
    </row>
    <row r="690" spans="13:30" ht="15" customHeight="1" x14ac:dyDescent="0.25">
      <c r="M690" t="s">
        <v>2474</v>
      </c>
      <c r="Z690" s="110">
        <f t="shared" si="22"/>
        <v>0</v>
      </c>
      <c r="AA690" t="str" cm="1">
        <f t="array" aca="1" ref="AA690" ca="1">IFERROR(INDEX(H_Tables!E:E,MATCH(INDIRECT("I"&amp;ROW()),H_Tables!F:F,0)),"")</f>
        <v/>
      </c>
      <c r="AB690" t="str" cm="1">
        <f t="array" aca="1" ref="AB690" ca="1">IFERROR(INDEX(H_Tables!H:H,MATCH(INDIRECT("k"&amp;ROW()),H_Tables!I:I,0)),"")</f>
        <v/>
      </c>
      <c r="AC690" t="str">
        <f t="shared" si="23"/>
        <v/>
      </c>
      <c r="AD690">
        <v>687</v>
      </c>
    </row>
    <row r="691" spans="13:30" ht="15" customHeight="1" x14ac:dyDescent="0.25">
      <c r="M691" t="s">
        <v>2474</v>
      </c>
      <c r="Z691" s="110">
        <f t="shared" si="22"/>
        <v>0</v>
      </c>
      <c r="AA691" t="str" cm="1">
        <f t="array" aca="1" ref="AA691" ca="1">IFERROR(INDEX(H_Tables!E:E,MATCH(INDIRECT("I"&amp;ROW()),H_Tables!F:F,0)),"")</f>
        <v/>
      </c>
      <c r="AB691" t="str" cm="1">
        <f t="array" aca="1" ref="AB691" ca="1">IFERROR(INDEX(H_Tables!H:H,MATCH(INDIRECT("k"&amp;ROW()),H_Tables!I:I,0)),"")</f>
        <v/>
      </c>
      <c r="AC691" t="str">
        <f t="shared" si="23"/>
        <v/>
      </c>
      <c r="AD691">
        <v>688</v>
      </c>
    </row>
    <row r="692" spans="13:30" ht="15" customHeight="1" x14ac:dyDescent="0.25">
      <c r="M692" t="s">
        <v>2474</v>
      </c>
      <c r="Z692" s="110">
        <f t="shared" si="22"/>
        <v>0</v>
      </c>
      <c r="AA692" t="str" cm="1">
        <f t="array" aca="1" ref="AA692" ca="1">IFERROR(INDEX(H_Tables!E:E,MATCH(INDIRECT("I"&amp;ROW()),H_Tables!F:F,0)),"")</f>
        <v/>
      </c>
      <c r="AB692" t="str" cm="1">
        <f t="array" aca="1" ref="AB692" ca="1">IFERROR(INDEX(H_Tables!H:H,MATCH(INDIRECT("k"&amp;ROW()),H_Tables!I:I,0)),"")</f>
        <v/>
      </c>
      <c r="AC692" t="str">
        <f t="shared" si="23"/>
        <v/>
      </c>
      <c r="AD692">
        <v>689</v>
      </c>
    </row>
    <row r="693" spans="13:30" ht="15" customHeight="1" x14ac:dyDescent="0.25">
      <c r="M693" t="s">
        <v>2474</v>
      </c>
      <c r="Z693" s="110">
        <f t="shared" si="22"/>
        <v>0</v>
      </c>
      <c r="AA693" t="str" cm="1">
        <f t="array" aca="1" ref="AA693" ca="1">IFERROR(INDEX(H_Tables!E:E,MATCH(INDIRECT("I"&amp;ROW()),H_Tables!F:F,0)),"")</f>
        <v/>
      </c>
      <c r="AB693" t="str" cm="1">
        <f t="array" aca="1" ref="AB693" ca="1">IFERROR(INDEX(H_Tables!H:H,MATCH(INDIRECT("k"&amp;ROW()),H_Tables!I:I,0)),"")</f>
        <v/>
      </c>
      <c r="AC693" t="str">
        <f t="shared" si="23"/>
        <v/>
      </c>
      <c r="AD693">
        <v>690</v>
      </c>
    </row>
    <row r="694" spans="13:30" ht="15" customHeight="1" x14ac:dyDescent="0.25">
      <c r="M694" t="s">
        <v>2474</v>
      </c>
      <c r="Z694" s="110">
        <f t="shared" si="22"/>
        <v>0</v>
      </c>
      <c r="AA694" t="str" cm="1">
        <f t="array" aca="1" ref="AA694" ca="1">IFERROR(INDEX(H_Tables!E:E,MATCH(INDIRECT("I"&amp;ROW()),H_Tables!F:F,0)),"")</f>
        <v/>
      </c>
      <c r="AB694" t="str" cm="1">
        <f t="array" aca="1" ref="AB694" ca="1">IFERROR(INDEX(H_Tables!H:H,MATCH(INDIRECT("k"&amp;ROW()),H_Tables!I:I,0)),"")</f>
        <v/>
      </c>
      <c r="AC694" t="str">
        <f t="shared" si="23"/>
        <v/>
      </c>
      <c r="AD694">
        <v>691</v>
      </c>
    </row>
    <row r="695" spans="13:30" ht="15" customHeight="1" x14ac:dyDescent="0.25">
      <c r="M695" t="s">
        <v>2474</v>
      </c>
      <c r="Z695" s="110">
        <f t="shared" si="22"/>
        <v>0</v>
      </c>
      <c r="AA695" t="str" cm="1">
        <f t="array" aca="1" ref="AA695" ca="1">IFERROR(INDEX(H_Tables!E:E,MATCH(INDIRECT("I"&amp;ROW()),H_Tables!F:F,0)),"")</f>
        <v/>
      </c>
      <c r="AB695" t="str" cm="1">
        <f t="array" aca="1" ref="AB695" ca="1">IFERROR(INDEX(H_Tables!H:H,MATCH(INDIRECT("k"&amp;ROW()),H_Tables!I:I,0)),"")</f>
        <v/>
      </c>
      <c r="AC695" t="str">
        <f t="shared" si="23"/>
        <v/>
      </c>
      <c r="AD695">
        <v>692</v>
      </c>
    </row>
    <row r="696" spans="13:30" ht="15" customHeight="1" x14ac:dyDescent="0.25">
      <c r="M696" t="s">
        <v>2474</v>
      </c>
      <c r="Z696" s="110">
        <f t="shared" si="22"/>
        <v>0</v>
      </c>
      <c r="AA696" t="str" cm="1">
        <f t="array" aca="1" ref="AA696" ca="1">IFERROR(INDEX(H_Tables!E:E,MATCH(INDIRECT("I"&amp;ROW()),H_Tables!F:F,0)),"")</f>
        <v/>
      </c>
      <c r="AB696" t="str" cm="1">
        <f t="array" aca="1" ref="AB696" ca="1">IFERROR(INDEX(H_Tables!H:H,MATCH(INDIRECT("k"&amp;ROW()),H_Tables!I:I,0)),"")</f>
        <v/>
      </c>
      <c r="AC696" t="str">
        <f t="shared" si="23"/>
        <v/>
      </c>
      <c r="AD696">
        <v>693</v>
      </c>
    </row>
    <row r="697" spans="13:30" ht="15" customHeight="1" x14ac:dyDescent="0.25">
      <c r="M697" t="s">
        <v>2474</v>
      </c>
      <c r="Z697" s="110">
        <f t="shared" si="22"/>
        <v>0</v>
      </c>
      <c r="AA697" t="str" cm="1">
        <f t="array" aca="1" ref="AA697" ca="1">IFERROR(INDEX(H_Tables!E:E,MATCH(INDIRECT("I"&amp;ROW()),H_Tables!F:F,0)),"")</f>
        <v/>
      </c>
      <c r="AB697" t="str" cm="1">
        <f t="array" aca="1" ref="AB697" ca="1">IFERROR(INDEX(H_Tables!H:H,MATCH(INDIRECT("k"&amp;ROW()),H_Tables!I:I,0)),"")</f>
        <v/>
      </c>
      <c r="AC697" t="str">
        <f t="shared" si="23"/>
        <v/>
      </c>
      <c r="AD697">
        <v>694</v>
      </c>
    </row>
    <row r="698" spans="13:30" ht="15" customHeight="1" x14ac:dyDescent="0.25">
      <c r="M698" t="s">
        <v>2474</v>
      </c>
      <c r="Z698" s="110">
        <f t="shared" si="22"/>
        <v>0</v>
      </c>
      <c r="AA698" t="str" cm="1">
        <f t="array" aca="1" ref="AA698" ca="1">IFERROR(INDEX(H_Tables!E:E,MATCH(INDIRECT("I"&amp;ROW()),H_Tables!F:F,0)),"")</f>
        <v/>
      </c>
      <c r="AB698" t="str" cm="1">
        <f t="array" aca="1" ref="AB698" ca="1">IFERROR(INDEX(H_Tables!H:H,MATCH(INDIRECT("k"&amp;ROW()),H_Tables!I:I,0)),"")</f>
        <v/>
      </c>
      <c r="AC698" t="str">
        <f t="shared" si="23"/>
        <v/>
      </c>
      <c r="AD698">
        <v>695</v>
      </c>
    </row>
    <row r="699" spans="13:30" ht="15" customHeight="1" x14ac:dyDescent="0.25">
      <c r="M699" t="s">
        <v>2474</v>
      </c>
      <c r="Z699" s="110">
        <f t="shared" si="22"/>
        <v>0</v>
      </c>
      <c r="AA699" t="str" cm="1">
        <f t="array" aca="1" ref="AA699" ca="1">IFERROR(INDEX(H_Tables!E:E,MATCH(INDIRECT("I"&amp;ROW()),H_Tables!F:F,0)),"")</f>
        <v/>
      </c>
      <c r="AB699" t="str" cm="1">
        <f t="array" aca="1" ref="AB699" ca="1">IFERROR(INDEX(H_Tables!H:H,MATCH(INDIRECT("k"&amp;ROW()),H_Tables!I:I,0)),"")</f>
        <v/>
      </c>
      <c r="AC699" t="str">
        <f t="shared" si="23"/>
        <v/>
      </c>
      <c r="AD699">
        <v>696</v>
      </c>
    </row>
    <row r="700" spans="13:30" ht="15" customHeight="1" x14ac:dyDescent="0.25">
      <c r="M700" t="s">
        <v>2474</v>
      </c>
      <c r="Z700" s="110">
        <f t="shared" si="22"/>
        <v>0</v>
      </c>
      <c r="AA700" t="str" cm="1">
        <f t="array" aca="1" ref="AA700" ca="1">IFERROR(INDEX(H_Tables!E:E,MATCH(INDIRECT("I"&amp;ROW()),H_Tables!F:F,0)),"")</f>
        <v/>
      </c>
      <c r="AB700" t="str" cm="1">
        <f t="array" aca="1" ref="AB700" ca="1">IFERROR(INDEX(H_Tables!H:H,MATCH(INDIRECT("k"&amp;ROW()),H_Tables!I:I,0)),"")</f>
        <v/>
      </c>
      <c r="AC700" t="str">
        <f t="shared" si="23"/>
        <v/>
      </c>
      <c r="AD700">
        <v>697</v>
      </c>
    </row>
    <row r="701" spans="13:30" ht="15" customHeight="1" x14ac:dyDescent="0.25">
      <c r="M701" t="s">
        <v>2474</v>
      </c>
      <c r="Z701" s="110">
        <f t="shared" si="22"/>
        <v>0</v>
      </c>
      <c r="AA701" t="str" cm="1">
        <f t="array" aca="1" ref="AA701" ca="1">IFERROR(INDEX(H_Tables!E:E,MATCH(INDIRECT("I"&amp;ROW()),H_Tables!F:F,0)),"")</f>
        <v/>
      </c>
      <c r="AB701" t="str" cm="1">
        <f t="array" aca="1" ref="AB701" ca="1">IFERROR(INDEX(H_Tables!H:H,MATCH(INDIRECT("k"&amp;ROW()),H_Tables!I:I,0)),"")</f>
        <v/>
      </c>
      <c r="AC701" t="str">
        <f t="shared" si="23"/>
        <v/>
      </c>
      <c r="AD701">
        <v>698</v>
      </c>
    </row>
    <row r="702" spans="13:30" ht="15" customHeight="1" x14ac:dyDescent="0.25">
      <c r="M702" t="s">
        <v>2474</v>
      </c>
      <c r="Z702" s="110">
        <f t="shared" si="22"/>
        <v>0</v>
      </c>
      <c r="AA702" t="str" cm="1">
        <f t="array" aca="1" ref="AA702" ca="1">IFERROR(INDEX(H_Tables!E:E,MATCH(INDIRECT("I"&amp;ROW()),H_Tables!F:F,0)),"")</f>
        <v/>
      </c>
      <c r="AB702" t="str" cm="1">
        <f t="array" aca="1" ref="AB702" ca="1">IFERROR(INDEX(H_Tables!H:H,MATCH(INDIRECT("k"&amp;ROW()),H_Tables!I:I,0)),"")</f>
        <v/>
      </c>
      <c r="AC702" t="str">
        <f t="shared" si="23"/>
        <v/>
      </c>
      <c r="AD702">
        <v>699</v>
      </c>
    </row>
    <row r="703" spans="13:30" ht="15" customHeight="1" x14ac:dyDescent="0.25">
      <c r="M703" t="s">
        <v>2474</v>
      </c>
      <c r="Z703" s="110">
        <f t="shared" si="22"/>
        <v>0</v>
      </c>
      <c r="AA703" t="str" cm="1">
        <f t="array" aca="1" ref="AA703" ca="1">IFERROR(INDEX(H_Tables!E:E,MATCH(INDIRECT("I"&amp;ROW()),H_Tables!F:F,0)),"")</f>
        <v/>
      </c>
      <c r="AB703" t="str" cm="1">
        <f t="array" aca="1" ref="AB703" ca="1">IFERROR(INDEX(H_Tables!H:H,MATCH(INDIRECT("k"&amp;ROW()),H_Tables!I:I,0)),"")</f>
        <v/>
      </c>
      <c r="AC703" t="str">
        <f t="shared" si="23"/>
        <v/>
      </c>
      <c r="AD703">
        <v>700</v>
      </c>
    </row>
    <row r="704" spans="13:30" ht="15" customHeight="1" x14ac:dyDescent="0.25">
      <c r="M704" t="s">
        <v>2474</v>
      </c>
      <c r="Z704" s="110">
        <f t="shared" si="22"/>
        <v>0</v>
      </c>
      <c r="AA704" t="str" cm="1">
        <f t="array" aca="1" ref="AA704" ca="1">IFERROR(INDEX(H_Tables!E:E,MATCH(INDIRECT("I"&amp;ROW()),H_Tables!F:F,0)),"")</f>
        <v/>
      </c>
      <c r="AB704" t="str" cm="1">
        <f t="array" aca="1" ref="AB704" ca="1">IFERROR(INDEX(H_Tables!H:H,MATCH(INDIRECT("k"&amp;ROW()),H_Tables!I:I,0)),"")</f>
        <v/>
      </c>
      <c r="AC704" t="str">
        <f t="shared" si="23"/>
        <v/>
      </c>
      <c r="AD704">
        <v>701</v>
      </c>
    </row>
    <row r="705" spans="13:30" ht="15" customHeight="1" x14ac:dyDescent="0.25">
      <c r="M705" t="s">
        <v>2474</v>
      </c>
      <c r="Z705" s="110">
        <f t="shared" si="22"/>
        <v>0</v>
      </c>
      <c r="AA705" t="str" cm="1">
        <f t="array" aca="1" ref="AA705" ca="1">IFERROR(INDEX(H_Tables!E:E,MATCH(INDIRECT("I"&amp;ROW()),H_Tables!F:F,0)),"")</f>
        <v/>
      </c>
      <c r="AB705" t="str" cm="1">
        <f t="array" aca="1" ref="AB705" ca="1">IFERROR(INDEX(H_Tables!H:H,MATCH(INDIRECT("k"&amp;ROW()),H_Tables!I:I,0)),"")</f>
        <v/>
      </c>
      <c r="AC705" t="str">
        <f t="shared" si="23"/>
        <v/>
      </c>
      <c r="AD705">
        <v>702</v>
      </c>
    </row>
    <row r="706" spans="13:30" ht="15" customHeight="1" x14ac:dyDescent="0.25">
      <c r="M706" t="s">
        <v>2474</v>
      </c>
      <c r="Z706" s="110">
        <f t="shared" ref="Z706:Z769" si="24">ROUND(IF((F706+G706)=0,0,S706/Y706),4)</f>
        <v>0</v>
      </c>
      <c r="AA706" t="str" cm="1">
        <f t="array" aca="1" ref="AA706" ca="1">IFERROR(INDEX(H_Tables!E:E,MATCH(INDIRECT("I"&amp;ROW()),H_Tables!F:F,0)),"")</f>
        <v/>
      </c>
      <c r="AB706" t="str" cm="1">
        <f t="array" aca="1" ref="AB706" ca="1">IFERROR(INDEX(H_Tables!H:H,MATCH(INDIRECT("k"&amp;ROW()),H_Tables!I:I,0)),"")</f>
        <v/>
      </c>
      <c r="AC706" t="str">
        <f t="shared" si="23"/>
        <v/>
      </c>
      <c r="AD706">
        <v>703</v>
      </c>
    </row>
    <row r="707" spans="13:30" ht="15" customHeight="1" x14ac:dyDescent="0.25">
      <c r="M707" t="s">
        <v>2474</v>
      </c>
      <c r="Z707" s="110">
        <f t="shared" si="24"/>
        <v>0</v>
      </c>
      <c r="AA707" t="str" cm="1">
        <f t="array" aca="1" ref="AA707" ca="1">IFERROR(INDEX(H_Tables!E:E,MATCH(INDIRECT("I"&amp;ROW()),H_Tables!F:F,0)),"")</f>
        <v/>
      </c>
      <c r="AB707" t="str" cm="1">
        <f t="array" aca="1" ref="AB707" ca="1">IFERROR(INDEX(H_Tables!H:H,MATCH(INDIRECT("k"&amp;ROW()),H_Tables!I:I,0)),"")</f>
        <v/>
      </c>
      <c r="AC707" t="str">
        <f t="shared" si="23"/>
        <v/>
      </c>
      <c r="AD707">
        <v>704</v>
      </c>
    </row>
    <row r="708" spans="13:30" ht="15" customHeight="1" x14ac:dyDescent="0.25">
      <c r="M708" t="s">
        <v>2474</v>
      </c>
      <c r="Z708" s="110">
        <f t="shared" si="24"/>
        <v>0</v>
      </c>
      <c r="AA708" t="str" cm="1">
        <f t="array" aca="1" ref="AA708" ca="1">IFERROR(INDEX(H_Tables!E:E,MATCH(INDIRECT("I"&amp;ROW()),H_Tables!F:F,0)),"")</f>
        <v/>
      </c>
      <c r="AB708" t="str" cm="1">
        <f t="array" aca="1" ref="AB708" ca="1">IFERROR(INDEX(H_Tables!H:H,MATCH(INDIRECT("k"&amp;ROW()),H_Tables!I:I,0)),"")</f>
        <v/>
      </c>
      <c r="AC708" t="str">
        <f t="shared" ref="AC708:AC771" si="25">_xlfn.TEXTJOIN(",",TRUE,M708:P708)</f>
        <v/>
      </c>
      <c r="AD708">
        <v>705</v>
      </c>
    </row>
    <row r="709" spans="13:30" ht="15" customHeight="1" x14ac:dyDescent="0.25">
      <c r="M709" t="s">
        <v>2474</v>
      </c>
      <c r="Z709" s="110">
        <f t="shared" si="24"/>
        <v>0</v>
      </c>
      <c r="AA709" t="str" cm="1">
        <f t="array" aca="1" ref="AA709" ca="1">IFERROR(INDEX(H_Tables!E:E,MATCH(INDIRECT("I"&amp;ROW()),H_Tables!F:F,0)),"")</f>
        <v/>
      </c>
      <c r="AB709" t="str" cm="1">
        <f t="array" aca="1" ref="AB709" ca="1">IFERROR(INDEX(H_Tables!H:H,MATCH(INDIRECT("k"&amp;ROW()),H_Tables!I:I,0)),"")</f>
        <v/>
      </c>
      <c r="AC709" t="str">
        <f t="shared" si="25"/>
        <v/>
      </c>
      <c r="AD709">
        <v>706</v>
      </c>
    </row>
    <row r="710" spans="13:30" ht="15" customHeight="1" x14ac:dyDescent="0.25">
      <c r="M710" t="s">
        <v>2474</v>
      </c>
      <c r="Z710" s="110">
        <f t="shared" si="24"/>
        <v>0</v>
      </c>
      <c r="AA710" t="str" cm="1">
        <f t="array" aca="1" ref="AA710" ca="1">IFERROR(INDEX(H_Tables!E:E,MATCH(INDIRECT("I"&amp;ROW()),H_Tables!F:F,0)),"")</f>
        <v/>
      </c>
      <c r="AB710" t="str" cm="1">
        <f t="array" aca="1" ref="AB710" ca="1">IFERROR(INDEX(H_Tables!H:H,MATCH(INDIRECT("k"&amp;ROW()),H_Tables!I:I,0)),"")</f>
        <v/>
      </c>
      <c r="AC710" t="str">
        <f t="shared" si="25"/>
        <v/>
      </c>
      <c r="AD710">
        <v>707</v>
      </c>
    </row>
    <row r="711" spans="13:30" ht="15" customHeight="1" x14ac:dyDescent="0.25">
      <c r="M711" t="s">
        <v>2474</v>
      </c>
      <c r="Z711" s="110">
        <f t="shared" si="24"/>
        <v>0</v>
      </c>
      <c r="AA711" t="str" cm="1">
        <f t="array" aca="1" ref="AA711" ca="1">IFERROR(INDEX(H_Tables!E:E,MATCH(INDIRECT("I"&amp;ROW()),H_Tables!F:F,0)),"")</f>
        <v/>
      </c>
      <c r="AB711" t="str" cm="1">
        <f t="array" aca="1" ref="AB711" ca="1">IFERROR(INDEX(H_Tables!H:H,MATCH(INDIRECT("k"&amp;ROW()),H_Tables!I:I,0)),"")</f>
        <v/>
      </c>
      <c r="AC711" t="str">
        <f t="shared" si="25"/>
        <v/>
      </c>
      <c r="AD711">
        <v>708</v>
      </c>
    </row>
    <row r="712" spans="13:30" ht="15" customHeight="1" x14ac:dyDescent="0.25">
      <c r="M712" t="s">
        <v>2474</v>
      </c>
      <c r="Z712" s="110">
        <f t="shared" si="24"/>
        <v>0</v>
      </c>
      <c r="AA712" t="str" cm="1">
        <f t="array" aca="1" ref="AA712" ca="1">IFERROR(INDEX(H_Tables!E:E,MATCH(INDIRECT("I"&amp;ROW()),H_Tables!F:F,0)),"")</f>
        <v/>
      </c>
      <c r="AB712" t="str" cm="1">
        <f t="array" aca="1" ref="AB712" ca="1">IFERROR(INDEX(H_Tables!H:H,MATCH(INDIRECT("k"&amp;ROW()),H_Tables!I:I,0)),"")</f>
        <v/>
      </c>
      <c r="AC712" t="str">
        <f t="shared" si="25"/>
        <v/>
      </c>
      <c r="AD712">
        <v>709</v>
      </c>
    </row>
    <row r="713" spans="13:30" ht="15" customHeight="1" x14ac:dyDescent="0.25">
      <c r="M713" t="s">
        <v>2474</v>
      </c>
      <c r="Z713" s="110">
        <f t="shared" si="24"/>
        <v>0</v>
      </c>
      <c r="AA713" t="str" cm="1">
        <f t="array" aca="1" ref="AA713" ca="1">IFERROR(INDEX(H_Tables!E:E,MATCH(INDIRECT("I"&amp;ROW()),H_Tables!F:F,0)),"")</f>
        <v/>
      </c>
      <c r="AB713" t="str" cm="1">
        <f t="array" aca="1" ref="AB713" ca="1">IFERROR(INDEX(H_Tables!H:H,MATCH(INDIRECT("k"&amp;ROW()),H_Tables!I:I,0)),"")</f>
        <v/>
      </c>
      <c r="AC713" t="str">
        <f t="shared" si="25"/>
        <v/>
      </c>
      <c r="AD713">
        <v>710</v>
      </c>
    </row>
    <row r="714" spans="13:30" ht="15" customHeight="1" x14ac:dyDescent="0.25">
      <c r="M714" t="s">
        <v>2474</v>
      </c>
      <c r="Z714" s="110">
        <f t="shared" si="24"/>
        <v>0</v>
      </c>
      <c r="AA714" t="str" cm="1">
        <f t="array" aca="1" ref="AA714" ca="1">IFERROR(INDEX(H_Tables!E:E,MATCH(INDIRECT("I"&amp;ROW()),H_Tables!F:F,0)),"")</f>
        <v/>
      </c>
      <c r="AB714" t="str" cm="1">
        <f t="array" aca="1" ref="AB714" ca="1">IFERROR(INDEX(H_Tables!H:H,MATCH(INDIRECT("k"&amp;ROW()),H_Tables!I:I,0)),"")</f>
        <v/>
      </c>
      <c r="AC714" t="str">
        <f t="shared" si="25"/>
        <v/>
      </c>
      <c r="AD714">
        <v>711</v>
      </c>
    </row>
    <row r="715" spans="13:30" ht="15" customHeight="1" x14ac:dyDescent="0.25">
      <c r="M715" t="s">
        <v>2474</v>
      </c>
      <c r="Z715" s="110">
        <f t="shared" si="24"/>
        <v>0</v>
      </c>
      <c r="AA715" t="str" cm="1">
        <f t="array" aca="1" ref="AA715" ca="1">IFERROR(INDEX(H_Tables!E:E,MATCH(INDIRECT("I"&amp;ROW()),H_Tables!F:F,0)),"")</f>
        <v/>
      </c>
      <c r="AB715" t="str" cm="1">
        <f t="array" aca="1" ref="AB715" ca="1">IFERROR(INDEX(H_Tables!H:H,MATCH(INDIRECT("k"&amp;ROW()),H_Tables!I:I,0)),"")</f>
        <v/>
      </c>
      <c r="AC715" t="str">
        <f t="shared" si="25"/>
        <v/>
      </c>
      <c r="AD715">
        <v>712</v>
      </c>
    </row>
    <row r="716" spans="13:30" ht="15" customHeight="1" x14ac:dyDescent="0.25">
      <c r="M716" t="s">
        <v>2474</v>
      </c>
      <c r="Z716" s="110">
        <f t="shared" si="24"/>
        <v>0</v>
      </c>
      <c r="AA716" t="str" cm="1">
        <f t="array" aca="1" ref="AA716" ca="1">IFERROR(INDEX(H_Tables!E:E,MATCH(INDIRECT("I"&amp;ROW()),H_Tables!F:F,0)),"")</f>
        <v/>
      </c>
      <c r="AB716" t="str" cm="1">
        <f t="array" aca="1" ref="AB716" ca="1">IFERROR(INDEX(H_Tables!H:H,MATCH(INDIRECT("k"&amp;ROW()),H_Tables!I:I,0)),"")</f>
        <v/>
      </c>
      <c r="AC716" t="str">
        <f t="shared" si="25"/>
        <v/>
      </c>
      <c r="AD716">
        <v>713</v>
      </c>
    </row>
    <row r="717" spans="13:30" ht="15" customHeight="1" x14ac:dyDescent="0.25">
      <c r="M717" t="s">
        <v>2474</v>
      </c>
      <c r="Z717" s="110">
        <f t="shared" si="24"/>
        <v>0</v>
      </c>
      <c r="AA717" t="str" cm="1">
        <f t="array" aca="1" ref="AA717" ca="1">IFERROR(INDEX(H_Tables!E:E,MATCH(INDIRECT("I"&amp;ROW()),H_Tables!F:F,0)),"")</f>
        <v/>
      </c>
      <c r="AB717" t="str" cm="1">
        <f t="array" aca="1" ref="AB717" ca="1">IFERROR(INDEX(H_Tables!H:H,MATCH(INDIRECT("k"&amp;ROW()),H_Tables!I:I,0)),"")</f>
        <v/>
      </c>
      <c r="AC717" t="str">
        <f t="shared" si="25"/>
        <v/>
      </c>
      <c r="AD717">
        <v>714</v>
      </c>
    </row>
    <row r="718" spans="13:30" ht="15" customHeight="1" x14ac:dyDescent="0.25">
      <c r="M718" t="s">
        <v>2474</v>
      </c>
      <c r="Z718" s="110">
        <f t="shared" si="24"/>
        <v>0</v>
      </c>
      <c r="AA718" t="str" cm="1">
        <f t="array" aca="1" ref="AA718" ca="1">IFERROR(INDEX(H_Tables!E:E,MATCH(INDIRECT("I"&amp;ROW()),H_Tables!F:F,0)),"")</f>
        <v/>
      </c>
      <c r="AB718" t="str" cm="1">
        <f t="array" aca="1" ref="AB718" ca="1">IFERROR(INDEX(H_Tables!H:H,MATCH(INDIRECT("k"&amp;ROW()),H_Tables!I:I,0)),"")</f>
        <v/>
      </c>
      <c r="AC718" t="str">
        <f t="shared" si="25"/>
        <v/>
      </c>
      <c r="AD718">
        <v>715</v>
      </c>
    </row>
    <row r="719" spans="13:30" ht="15" customHeight="1" x14ac:dyDescent="0.25">
      <c r="M719" t="s">
        <v>2474</v>
      </c>
      <c r="Z719" s="110">
        <f t="shared" si="24"/>
        <v>0</v>
      </c>
      <c r="AA719" t="str" cm="1">
        <f t="array" aca="1" ref="AA719" ca="1">IFERROR(INDEX(H_Tables!E:E,MATCH(INDIRECT("I"&amp;ROW()),H_Tables!F:F,0)),"")</f>
        <v/>
      </c>
      <c r="AB719" t="str" cm="1">
        <f t="array" aca="1" ref="AB719" ca="1">IFERROR(INDEX(H_Tables!H:H,MATCH(INDIRECT("k"&amp;ROW()),H_Tables!I:I,0)),"")</f>
        <v/>
      </c>
      <c r="AC719" t="str">
        <f t="shared" si="25"/>
        <v/>
      </c>
      <c r="AD719">
        <v>716</v>
      </c>
    </row>
    <row r="720" spans="13:30" ht="15" customHeight="1" x14ac:dyDescent="0.25">
      <c r="M720" t="s">
        <v>2474</v>
      </c>
      <c r="Z720" s="110">
        <f t="shared" si="24"/>
        <v>0</v>
      </c>
      <c r="AA720" t="str" cm="1">
        <f t="array" aca="1" ref="AA720" ca="1">IFERROR(INDEX(H_Tables!E:E,MATCH(INDIRECT("I"&amp;ROW()),H_Tables!F:F,0)),"")</f>
        <v/>
      </c>
      <c r="AB720" t="str" cm="1">
        <f t="array" aca="1" ref="AB720" ca="1">IFERROR(INDEX(H_Tables!H:H,MATCH(INDIRECT("k"&amp;ROW()),H_Tables!I:I,0)),"")</f>
        <v/>
      </c>
      <c r="AC720" t="str">
        <f t="shared" si="25"/>
        <v/>
      </c>
      <c r="AD720">
        <v>717</v>
      </c>
    </row>
    <row r="721" spans="13:30" ht="15" customHeight="1" x14ac:dyDescent="0.25">
      <c r="M721" t="s">
        <v>2474</v>
      </c>
      <c r="Z721" s="110">
        <f t="shared" si="24"/>
        <v>0</v>
      </c>
      <c r="AA721" t="str" cm="1">
        <f t="array" aca="1" ref="AA721" ca="1">IFERROR(INDEX(H_Tables!E:E,MATCH(INDIRECT("I"&amp;ROW()),H_Tables!F:F,0)),"")</f>
        <v/>
      </c>
      <c r="AB721" t="str" cm="1">
        <f t="array" aca="1" ref="AB721" ca="1">IFERROR(INDEX(H_Tables!H:H,MATCH(INDIRECT("k"&amp;ROW()),H_Tables!I:I,0)),"")</f>
        <v/>
      </c>
      <c r="AC721" t="str">
        <f t="shared" si="25"/>
        <v/>
      </c>
      <c r="AD721">
        <v>718</v>
      </c>
    </row>
    <row r="722" spans="13:30" ht="15" customHeight="1" x14ac:dyDescent="0.25">
      <c r="M722" t="s">
        <v>2474</v>
      </c>
      <c r="Z722" s="110">
        <f t="shared" si="24"/>
        <v>0</v>
      </c>
      <c r="AA722" t="str" cm="1">
        <f t="array" aca="1" ref="AA722" ca="1">IFERROR(INDEX(H_Tables!E:E,MATCH(INDIRECT("I"&amp;ROW()),H_Tables!F:F,0)),"")</f>
        <v/>
      </c>
      <c r="AB722" t="str" cm="1">
        <f t="array" aca="1" ref="AB722" ca="1">IFERROR(INDEX(H_Tables!H:H,MATCH(INDIRECT("k"&amp;ROW()),H_Tables!I:I,0)),"")</f>
        <v/>
      </c>
      <c r="AC722" t="str">
        <f t="shared" si="25"/>
        <v/>
      </c>
      <c r="AD722">
        <v>719</v>
      </c>
    </row>
    <row r="723" spans="13:30" ht="15" customHeight="1" x14ac:dyDescent="0.25">
      <c r="M723" t="s">
        <v>2474</v>
      </c>
      <c r="Z723" s="110">
        <f t="shared" si="24"/>
        <v>0</v>
      </c>
      <c r="AA723" t="str" cm="1">
        <f t="array" aca="1" ref="AA723" ca="1">IFERROR(INDEX(H_Tables!E:E,MATCH(INDIRECT("I"&amp;ROW()),H_Tables!F:F,0)),"")</f>
        <v/>
      </c>
      <c r="AB723" t="str" cm="1">
        <f t="array" aca="1" ref="AB723" ca="1">IFERROR(INDEX(H_Tables!H:H,MATCH(INDIRECT("k"&amp;ROW()),H_Tables!I:I,0)),"")</f>
        <v/>
      </c>
      <c r="AC723" t="str">
        <f t="shared" si="25"/>
        <v/>
      </c>
      <c r="AD723">
        <v>720</v>
      </c>
    </row>
    <row r="724" spans="13:30" ht="15" customHeight="1" x14ac:dyDescent="0.25">
      <c r="M724" t="s">
        <v>2474</v>
      </c>
      <c r="Z724" s="110">
        <f t="shared" si="24"/>
        <v>0</v>
      </c>
      <c r="AA724" t="str" cm="1">
        <f t="array" aca="1" ref="AA724" ca="1">IFERROR(INDEX(H_Tables!E:E,MATCH(INDIRECT("I"&amp;ROW()),H_Tables!F:F,0)),"")</f>
        <v/>
      </c>
      <c r="AB724" t="str" cm="1">
        <f t="array" aca="1" ref="AB724" ca="1">IFERROR(INDEX(H_Tables!H:H,MATCH(INDIRECT("k"&amp;ROW()),H_Tables!I:I,0)),"")</f>
        <v/>
      </c>
      <c r="AC724" t="str">
        <f t="shared" si="25"/>
        <v/>
      </c>
      <c r="AD724">
        <v>721</v>
      </c>
    </row>
    <row r="725" spans="13:30" ht="15" customHeight="1" x14ac:dyDescent="0.25">
      <c r="M725" t="s">
        <v>2474</v>
      </c>
      <c r="Z725" s="110">
        <f t="shared" si="24"/>
        <v>0</v>
      </c>
      <c r="AA725" t="str" cm="1">
        <f t="array" aca="1" ref="AA725" ca="1">IFERROR(INDEX(H_Tables!E:E,MATCH(INDIRECT("I"&amp;ROW()),H_Tables!F:F,0)),"")</f>
        <v/>
      </c>
      <c r="AB725" t="str" cm="1">
        <f t="array" aca="1" ref="AB725" ca="1">IFERROR(INDEX(H_Tables!H:H,MATCH(INDIRECT("k"&amp;ROW()),H_Tables!I:I,0)),"")</f>
        <v/>
      </c>
      <c r="AC725" t="str">
        <f t="shared" si="25"/>
        <v/>
      </c>
      <c r="AD725">
        <v>722</v>
      </c>
    </row>
    <row r="726" spans="13:30" ht="15" customHeight="1" x14ac:dyDescent="0.25">
      <c r="M726" t="s">
        <v>2474</v>
      </c>
      <c r="Z726" s="110">
        <f t="shared" si="24"/>
        <v>0</v>
      </c>
      <c r="AA726" t="str" cm="1">
        <f t="array" aca="1" ref="AA726" ca="1">IFERROR(INDEX(H_Tables!E:E,MATCH(INDIRECT("I"&amp;ROW()),H_Tables!F:F,0)),"")</f>
        <v/>
      </c>
      <c r="AB726" t="str" cm="1">
        <f t="array" aca="1" ref="AB726" ca="1">IFERROR(INDEX(H_Tables!H:H,MATCH(INDIRECT("k"&amp;ROW()),H_Tables!I:I,0)),"")</f>
        <v/>
      </c>
      <c r="AC726" t="str">
        <f t="shared" si="25"/>
        <v/>
      </c>
      <c r="AD726">
        <v>723</v>
      </c>
    </row>
    <row r="727" spans="13:30" ht="15" customHeight="1" x14ac:dyDescent="0.25">
      <c r="M727" t="s">
        <v>2474</v>
      </c>
      <c r="Z727" s="110">
        <f t="shared" si="24"/>
        <v>0</v>
      </c>
      <c r="AA727" t="str" cm="1">
        <f t="array" aca="1" ref="AA727" ca="1">IFERROR(INDEX(H_Tables!E:E,MATCH(INDIRECT("I"&amp;ROW()),H_Tables!F:F,0)),"")</f>
        <v/>
      </c>
      <c r="AB727" t="str" cm="1">
        <f t="array" aca="1" ref="AB727" ca="1">IFERROR(INDEX(H_Tables!H:H,MATCH(INDIRECT("k"&amp;ROW()),H_Tables!I:I,0)),"")</f>
        <v/>
      </c>
      <c r="AC727" t="str">
        <f t="shared" si="25"/>
        <v/>
      </c>
      <c r="AD727">
        <v>724</v>
      </c>
    </row>
    <row r="728" spans="13:30" ht="15" customHeight="1" x14ac:dyDescent="0.25">
      <c r="M728" t="s">
        <v>2474</v>
      </c>
      <c r="Z728" s="110">
        <f t="shared" si="24"/>
        <v>0</v>
      </c>
      <c r="AA728" t="str" cm="1">
        <f t="array" aca="1" ref="AA728" ca="1">IFERROR(INDEX(H_Tables!E:E,MATCH(INDIRECT("I"&amp;ROW()),H_Tables!F:F,0)),"")</f>
        <v/>
      </c>
      <c r="AB728" t="str" cm="1">
        <f t="array" aca="1" ref="AB728" ca="1">IFERROR(INDEX(H_Tables!H:H,MATCH(INDIRECT("k"&amp;ROW()),H_Tables!I:I,0)),"")</f>
        <v/>
      </c>
      <c r="AC728" t="str">
        <f t="shared" si="25"/>
        <v/>
      </c>
      <c r="AD728">
        <v>725</v>
      </c>
    </row>
    <row r="729" spans="13:30" ht="15" customHeight="1" x14ac:dyDescent="0.25">
      <c r="M729" t="s">
        <v>2474</v>
      </c>
      <c r="Z729" s="110">
        <f t="shared" si="24"/>
        <v>0</v>
      </c>
      <c r="AA729" t="str" cm="1">
        <f t="array" aca="1" ref="AA729" ca="1">IFERROR(INDEX(H_Tables!E:E,MATCH(INDIRECT("I"&amp;ROW()),H_Tables!F:F,0)),"")</f>
        <v/>
      </c>
      <c r="AB729" t="str" cm="1">
        <f t="array" aca="1" ref="AB729" ca="1">IFERROR(INDEX(H_Tables!H:H,MATCH(INDIRECT("k"&amp;ROW()),H_Tables!I:I,0)),"")</f>
        <v/>
      </c>
      <c r="AC729" t="str">
        <f t="shared" si="25"/>
        <v/>
      </c>
      <c r="AD729">
        <v>726</v>
      </c>
    </row>
    <row r="730" spans="13:30" ht="15" customHeight="1" x14ac:dyDescent="0.25">
      <c r="M730" t="s">
        <v>2474</v>
      </c>
      <c r="Z730" s="110">
        <f t="shared" si="24"/>
        <v>0</v>
      </c>
      <c r="AA730" t="str" cm="1">
        <f t="array" aca="1" ref="AA730" ca="1">IFERROR(INDEX(H_Tables!E:E,MATCH(INDIRECT("I"&amp;ROW()),H_Tables!F:F,0)),"")</f>
        <v/>
      </c>
      <c r="AB730" t="str" cm="1">
        <f t="array" aca="1" ref="AB730" ca="1">IFERROR(INDEX(H_Tables!H:H,MATCH(INDIRECT("k"&amp;ROW()),H_Tables!I:I,0)),"")</f>
        <v/>
      </c>
      <c r="AC730" t="str">
        <f t="shared" si="25"/>
        <v/>
      </c>
      <c r="AD730">
        <v>727</v>
      </c>
    </row>
    <row r="731" spans="13:30" ht="15" customHeight="1" x14ac:dyDescent="0.25">
      <c r="M731" t="s">
        <v>2474</v>
      </c>
      <c r="Z731" s="110">
        <f t="shared" si="24"/>
        <v>0</v>
      </c>
      <c r="AA731" t="str" cm="1">
        <f t="array" aca="1" ref="AA731" ca="1">IFERROR(INDEX(H_Tables!E:E,MATCH(INDIRECT("I"&amp;ROW()),H_Tables!F:F,0)),"")</f>
        <v/>
      </c>
      <c r="AB731" t="str" cm="1">
        <f t="array" aca="1" ref="AB731" ca="1">IFERROR(INDEX(H_Tables!H:H,MATCH(INDIRECT("k"&amp;ROW()),H_Tables!I:I,0)),"")</f>
        <v/>
      </c>
      <c r="AC731" t="str">
        <f t="shared" si="25"/>
        <v/>
      </c>
      <c r="AD731">
        <v>728</v>
      </c>
    </row>
    <row r="732" spans="13:30" ht="15" customHeight="1" x14ac:dyDescent="0.25">
      <c r="M732" t="s">
        <v>2474</v>
      </c>
      <c r="Z732" s="110">
        <f t="shared" si="24"/>
        <v>0</v>
      </c>
      <c r="AA732" t="str" cm="1">
        <f t="array" aca="1" ref="AA732" ca="1">IFERROR(INDEX(H_Tables!E:E,MATCH(INDIRECT("I"&amp;ROW()),H_Tables!F:F,0)),"")</f>
        <v/>
      </c>
      <c r="AB732" t="str" cm="1">
        <f t="array" aca="1" ref="AB732" ca="1">IFERROR(INDEX(H_Tables!H:H,MATCH(INDIRECT("k"&amp;ROW()),H_Tables!I:I,0)),"")</f>
        <v/>
      </c>
      <c r="AC732" t="str">
        <f t="shared" si="25"/>
        <v/>
      </c>
      <c r="AD732">
        <v>729</v>
      </c>
    </row>
    <row r="733" spans="13:30" ht="15" customHeight="1" x14ac:dyDescent="0.25">
      <c r="M733" t="s">
        <v>2474</v>
      </c>
      <c r="Z733" s="110">
        <f t="shared" si="24"/>
        <v>0</v>
      </c>
      <c r="AA733" t="str" cm="1">
        <f t="array" aca="1" ref="AA733" ca="1">IFERROR(INDEX(H_Tables!E:E,MATCH(INDIRECT("I"&amp;ROW()),H_Tables!F:F,0)),"")</f>
        <v/>
      </c>
      <c r="AB733" t="str" cm="1">
        <f t="array" aca="1" ref="AB733" ca="1">IFERROR(INDEX(H_Tables!H:H,MATCH(INDIRECT("k"&amp;ROW()),H_Tables!I:I,0)),"")</f>
        <v/>
      </c>
      <c r="AC733" t="str">
        <f t="shared" si="25"/>
        <v/>
      </c>
      <c r="AD733">
        <v>730</v>
      </c>
    </row>
    <row r="734" spans="13:30" ht="15" customHeight="1" x14ac:dyDescent="0.25">
      <c r="M734" t="s">
        <v>2474</v>
      </c>
      <c r="Z734" s="110">
        <f t="shared" si="24"/>
        <v>0</v>
      </c>
      <c r="AA734" t="str" cm="1">
        <f t="array" aca="1" ref="AA734" ca="1">IFERROR(INDEX(H_Tables!E:E,MATCH(INDIRECT("I"&amp;ROW()),H_Tables!F:F,0)),"")</f>
        <v/>
      </c>
      <c r="AB734" t="str" cm="1">
        <f t="array" aca="1" ref="AB734" ca="1">IFERROR(INDEX(H_Tables!H:H,MATCH(INDIRECT("k"&amp;ROW()),H_Tables!I:I,0)),"")</f>
        <v/>
      </c>
      <c r="AC734" t="str">
        <f t="shared" si="25"/>
        <v/>
      </c>
      <c r="AD734">
        <v>731</v>
      </c>
    </row>
    <row r="735" spans="13:30" ht="15" customHeight="1" x14ac:dyDescent="0.25">
      <c r="M735" t="s">
        <v>2474</v>
      </c>
      <c r="Z735" s="110">
        <f t="shared" si="24"/>
        <v>0</v>
      </c>
      <c r="AA735" t="str" cm="1">
        <f t="array" aca="1" ref="AA735" ca="1">IFERROR(INDEX(H_Tables!E:E,MATCH(INDIRECT("I"&amp;ROW()),H_Tables!F:F,0)),"")</f>
        <v/>
      </c>
      <c r="AB735" t="str" cm="1">
        <f t="array" aca="1" ref="AB735" ca="1">IFERROR(INDEX(H_Tables!H:H,MATCH(INDIRECT("k"&amp;ROW()),H_Tables!I:I,0)),"")</f>
        <v/>
      </c>
      <c r="AC735" t="str">
        <f t="shared" si="25"/>
        <v/>
      </c>
      <c r="AD735">
        <v>732</v>
      </c>
    </row>
    <row r="736" spans="13:30" ht="15" customHeight="1" x14ac:dyDescent="0.25">
      <c r="M736" t="s">
        <v>2474</v>
      </c>
      <c r="Z736" s="110">
        <f t="shared" si="24"/>
        <v>0</v>
      </c>
      <c r="AA736" t="str" cm="1">
        <f t="array" aca="1" ref="AA736" ca="1">IFERROR(INDEX(H_Tables!E:E,MATCH(INDIRECT("I"&amp;ROW()),H_Tables!F:F,0)),"")</f>
        <v/>
      </c>
      <c r="AB736" t="str" cm="1">
        <f t="array" aca="1" ref="AB736" ca="1">IFERROR(INDEX(H_Tables!H:H,MATCH(INDIRECT("k"&amp;ROW()),H_Tables!I:I,0)),"")</f>
        <v/>
      </c>
      <c r="AC736" t="str">
        <f t="shared" si="25"/>
        <v/>
      </c>
      <c r="AD736">
        <v>733</v>
      </c>
    </row>
    <row r="737" spans="13:30" ht="15" customHeight="1" x14ac:dyDescent="0.25">
      <c r="M737" t="s">
        <v>2474</v>
      </c>
      <c r="Z737" s="110">
        <f t="shared" si="24"/>
        <v>0</v>
      </c>
      <c r="AA737" t="str" cm="1">
        <f t="array" aca="1" ref="AA737" ca="1">IFERROR(INDEX(H_Tables!E:E,MATCH(INDIRECT("I"&amp;ROW()),H_Tables!F:F,0)),"")</f>
        <v/>
      </c>
      <c r="AB737" t="str" cm="1">
        <f t="array" aca="1" ref="AB737" ca="1">IFERROR(INDEX(H_Tables!H:H,MATCH(INDIRECT("k"&amp;ROW()),H_Tables!I:I,0)),"")</f>
        <v/>
      </c>
      <c r="AC737" t="str">
        <f t="shared" si="25"/>
        <v/>
      </c>
      <c r="AD737">
        <v>734</v>
      </c>
    </row>
    <row r="738" spans="13:30" ht="15" customHeight="1" x14ac:dyDescent="0.25">
      <c r="M738" t="s">
        <v>2474</v>
      </c>
      <c r="Z738" s="110">
        <f t="shared" si="24"/>
        <v>0</v>
      </c>
      <c r="AA738" t="str" cm="1">
        <f t="array" aca="1" ref="AA738" ca="1">IFERROR(INDEX(H_Tables!E:E,MATCH(INDIRECT("I"&amp;ROW()),H_Tables!F:F,0)),"")</f>
        <v/>
      </c>
      <c r="AB738" t="str" cm="1">
        <f t="array" aca="1" ref="AB738" ca="1">IFERROR(INDEX(H_Tables!H:H,MATCH(INDIRECT("k"&amp;ROW()),H_Tables!I:I,0)),"")</f>
        <v/>
      </c>
      <c r="AC738" t="str">
        <f t="shared" si="25"/>
        <v/>
      </c>
      <c r="AD738">
        <v>735</v>
      </c>
    </row>
    <row r="739" spans="13:30" ht="15" customHeight="1" x14ac:dyDescent="0.25">
      <c r="M739" t="s">
        <v>2474</v>
      </c>
      <c r="Z739" s="110">
        <f t="shared" si="24"/>
        <v>0</v>
      </c>
      <c r="AA739" t="str" cm="1">
        <f t="array" aca="1" ref="AA739" ca="1">IFERROR(INDEX(H_Tables!E:E,MATCH(INDIRECT("I"&amp;ROW()),H_Tables!F:F,0)),"")</f>
        <v/>
      </c>
      <c r="AB739" t="str" cm="1">
        <f t="array" aca="1" ref="AB739" ca="1">IFERROR(INDEX(H_Tables!H:H,MATCH(INDIRECT("k"&amp;ROW()),H_Tables!I:I,0)),"")</f>
        <v/>
      </c>
      <c r="AC739" t="str">
        <f t="shared" si="25"/>
        <v/>
      </c>
      <c r="AD739">
        <v>736</v>
      </c>
    </row>
    <row r="740" spans="13:30" ht="15" customHeight="1" x14ac:dyDescent="0.25">
      <c r="M740" t="s">
        <v>2474</v>
      </c>
      <c r="Z740" s="110">
        <f t="shared" si="24"/>
        <v>0</v>
      </c>
      <c r="AA740" t="str" cm="1">
        <f t="array" aca="1" ref="AA740" ca="1">IFERROR(INDEX(H_Tables!E:E,MATCH(INDIRECT("I"&amp;ROW()),H_Tables!F:F,0)),"")</f>
        <v/>
      </c>
      <c r="AB740" t="str" cm="1">
        <f t="array" aca="1" ref="AB740" ca="1">IFERROR(INDEX(H_Tables!H:H,MATCH(INDIRECT("k"&amp;ROW()),H_Tables!I:I,0)),"")</f>
        <v/>
      </c>
      <c r="AC740" t="str">
        <f t="shared" si="25"/>
        <v/>
      </c>
      <c r="AD740">
        <v>737</v>
      </c>
    </row>
    <row r="741" spans="13:30" ht="15" customHeight="1" x14ac:dyDescent="0.25">
      <c r="M741" t="s">
        <v>2474</v>
      </c>
      <c r="Z741" s="110">
        <f t="shared" si="24"/>
        <v>0</v>
      </c>
      <c r="AA741" t="str" cm="1">
        <f t="array" aca="1" ref="AA741" ca="1">IFERROR(INDEX(H_Tables!E:E,MATCH(INDIRECT("I"&amp;ROW()),H_Tables!F:F,0)),"")</f>
        <v/>
      </c>
      <c r="AB741" t="str" cm="1">
        <f t="array" aca="1" ref="AB741" ca="1">IFERROR(INDEX(H_Tables!H:H,MATCH(INDIRECT("k"&amp;ROW()),H_Tables!I:I,0)),"")</f>
        <v/>
      </c>
      <c r="AC741" t="str">
        <f t="shared" si="25"/>
        <v/>
      </c>
      <c r="AD741">
        <v>738</v>
      </c>
    </row>
    <row r="742" spans="13:30" ht="15" customHeight="1" x14ac:dyDescent="0.25">
      <c r="M742" t="s">
        <v>2474</v>
      </c>
      <c r="Z742" s="110">
        <f t="shared" si="24"/>
        <v>0</v>
      </c>
      <c r="AA742" t="str" cm="1">
        <f t="array" aca="1" ref="AA742" ca="1">IFERROR(INDEX(H_Tables!E:E,MATCH(INDIRECT("I"&amp;ROW()),H_Tables!F:F,0)),"")</f>
        <v/>
      </c>
      <c r="AB742" t="str" cm="1">
        <f t="array" aca="1" ref="AB742" ca="1">IFERROR(INDEX(H_Tables!H:H,MATCH(INDIRECT("k"&amp;ROW()),H_Tables!I:I,0)),"")</f>
        <v/>
      </c>
      <c r="AC742" t="str">
        <f t="shared" si="25"/>
        <v/>
      </c>
      <c r="AD742">
        <v>739</v>
      </c>
    </row>
    <row r="743" spans="13:30" ht="15" customHeight="1" x14ac:dyDescent="0.25">
      <c r="M743" t="s">
        <v>2474</v>
      </c>
      <c r="Z743" s="110">
        <f t="shared" si="24"/>
        <v>0</v>
      </c>
      <c r="AA743" t="str" cm="1">
        <f t="array" aca="1" ref="AA743" ca="1">IFERROR(INDEX(H_Tables!E:E,MATCH(INDIRECT("I"&amp;ROW()),H_Tables!F:F,0)),"")</f>
        <v/>
      </c>
      <c r="AB743" t="str" cm="1">
        <f t="array" aca="1" ref="AB743" ca="1">IFERROR(INDEX(H_Tables!H:H,MATCH(INDIRECT("k"&amp;ROW()),H_Tables!I:I,0)),"")</f>
        <v/>
      </c>
      <c r="AC743" t="str">
        <f t="shared" si="25"/>
        <v/>
      </c>
      <c r="AD743">
        <v>740</v>
      </c>
    </row>
    <row r="744" spans="13:30" ht="15" customHeight="1" x14ac:dyDescent="0.25">
      <c r="M744" t="s">
        <v>2474</v>
      </c>
      <c r="Z744" s="110">
        <f t="shared" si="24"/>
        <v>0</v>
      </c>
      <c r="AA744" t="str" cm="1">
        <f t="array" aca="1" ref="AA744" ca="1">IFERROR(INDEX(H_Tables!E:E,MATCH(INDIRECT("I"&amp;ROW()),H_Tables!F:F,0)),"")</f>
        <v/>
      </c>
      <c r="AB744" t="str" cm="1">
        <f t="array" aca="1" ref="AB744" ca="1">IFERROR(INDEX(H_Tables!H:H,MATCH(INDIRECT("k"&amp;ROW()),H_Tables!I:I,0)),"")</f>
        <v/>
      </c>
      <c r="AC744" t="str">
        <f t="shared" si="25"/>
        <v/>
      </c>
      <c r="AD744">
        <v>741</v>
      </c>
    </row>
    <row r="745" spans="13:30" ht="15" customHeight="1" x14ac:dyDescent="0.25">
      <c r="M745" t="s">
        <v>2474</v>
      </c>
      <c r="Z745" s="110">
        <f t="shared" si="24"/>
        <v>0</v>
      </c>
      <c r="AA745" t="str" cm="1">
        <f t="array" aca="1" ref="AA745" ca="1">IFERROR(INDEX(H_Tables!E:E,MATCH(INDIRECT("I"&amp;ROW()),H_Tables!F:F,0)),"")</f>
        <v/>
      </c>
      <c r="AB745" t="str" cm="1">
        <f t="array" aca="1" ref="AB745" ca="1">IFERROR(INDEX(H_Tables!H:H,MATCH(INDIRECT("k"&amp;ROW()),H_Tables!I:I,0)),"")</f>
        <v/>
      </c>
      <c r="AC745" t="str">
        <f t="shared" si="25"/>
        <v/>
      </c>
      <c r="AD745">
        <v>742</v>
      </c>
    </row>
    <row r="746" spans="13:30" ht="15" customHeight="1" x14ac:dyDescent="0.25">
      <c r="M746" t="s">
        <v>2474</v>
      </c>
      <c r="Z746" s="110">
        <f t="shared" si="24"/>
        <v>0</v>
      </c>
      <c r="AA746" t="str" cm="1">
        <f t="array" aca="1" ref="AA746" ca="1">IFERROR(INDEX(H_Tables!E:E,MATCH(INDIRECT("I"&amp;ROW()),H_Tables!F:F,0)),"")</f>
        <v/>
      </c>
      <c r="AB746" t="str" cm="1">
        <f t="array" aca="1" ref="AB746" ca="1">IFERROR(INDEX(H_Tables!H:H,MATCH(INDIRECT("k"&amp;ROW()),H_Tables!I:I,0)),"")</f>
        <v/>
      </c>
      <c r="AC746" t="str">
        <f t="shared" si="25"/>
        <v/>
      </c>
      <c r="AD746">
        <v>743</v>
      </c>
    </row>
    <row r="747" spans="13:30" ht="15" customHeight="1" x14ac:dyDescent="0.25">
      <c r="M747" t="s">
        <v>2474</v>
      </c>
      <c r="Z747" s="110">
        <f t="shared" si="24"/>
        <v>0</v>
      </c>
      <c r="AA747" t="str" cm="1">
        <f t="array" aca="1" ref="AA747" ca="1">IFERROR(INDEX(H_Tables!E:E,MATCH(INDIRECT("I"&amp;ROW()),H_Tables!F:F,0)),"")</f>
        <v/>
      </c>
      <c r="AB747" t="str" cm="1">
        <f t="array" aca="1" ref="AB747" ca="1">IFERROR(INDEX(H_Tables!H:H,MATCH(INDIRECT("k"&amp;ROW()),H_Tables!I:I,0)),"")</f>
        <v/>
      </c>
      <c r="AC747" t="str">
        <f t="shared" si="25"/>
        <v/>
      </c>
      <c r="AD747">
        <v>744</v>
      </c>
    </row>
    <row r="748" spans="13:30" ht="15" customHeight="1" x14ac:dyDescent="0.25">
      <c r="M748" t="s">
        <v>2474</v>
      </c>
      <c r="Z748" s="110">
        <f t="shared" si="24"/>
        <v>0</v>
      </c>
      <c r="AA748" t="str" cm="1">
        <f t="array" aca="1" ref="AA748" ca="1">IFERROR(INDEX(H_Tables!E:E,MATCH(INDIRECT("I"&amp;ROW()),H_Tables!F:F,0)),"")</f>
        <v/>
      </c>
      <c r="AB748" t="str" cm="1">
        <f t="array" aca="1" ref="AB748" ca="1">IFERROR(INDEX(H_Tables!H:H,MATCH(INDIRECT("k"&amp;ROW()),H_Tables!I:I,0)),"")</f>
        <v/>
      </c>
      <c r="AC748" t="str">
        <f t="shared" si="25"/>
        <v/>
      </c>
      <c r="AD748">
        <v>745</v>
      </c>
    </row>
    <row r="749" spans="13:30" ht="15" customHeight="1" x14ac:dyDescent="0.25">
      <c r="M749" t="s">
        <v>2474</v>
      </c>
      <c r="Z749" s="110">
        <f t="shared" si="24"/>
        <v>0</v>
      </c>
      <c r="AA749" t="str" cm="1">
        <f t="array" aca="1" ref="AA749" ca="1">IFERROR(INDEX(H_Tables!E:E,MATCH(INDIRECT("I"&amp;ROW()),H_Tables!F:F,0)),"")</f>
        <v/>
      </c>
      <c r="AB749" t="str" cm="1">
        <f t="array" aca="1" ref="AB749" ca="1">IFERROR(INDEX(H_Tables!H:H,MATCH(INDIRECT("k"&amp;ROW()),H_Tables!I:I,0)),"")</f>
        <v/>
      </c>
      <c r="AC749" t="str">
        <f t="shared" si="25"/>
        <v/>
      </c>
      <c r="AD749">
        <v>746</v>
      </c>
    </row>
    <row r="750" spans="13:30" ht="15" customHeight="1" x14ac:dyDescent="0.25">
      <c r="M750" t="s">
        <v>2474</v>
      </c>
      <c r="Z750" s="110">
        <f t="shared" si="24"/>
        <v>0</v>
      </c>
      <c r="AA750" t="str" cm="1">
        <f t="array" aca="1" ref="AA750" ca="1">IFERROR(INDEX(H_Tables!E:E,MATCH(INDIRECT("I"&amp;ROW()),H_Tables!F:F,0)),"")</f>
        <v/>
      </c>
      <c r="AB750" t="str" cm="1">
        <f t="array" aca="1" ref="AB750" ca="1">IFERROR(INDEX(H_Tables!H:H,MATCH(INDIRECT("k"&amp;ROW()),H_Tables!I:I,0)),"")</f>
        <v/>
      </c>
      <c r="AC750" t="str">
        <f t="shared" si="25"/>
        <v/>
      </c>
      <c r="AD750">
        <v>747</v>
      </c>
    </row>
    <row r="751" spans="13:30" ht="15" customHeight="1" x14ac:dyDescent="0.25">
      <c r="M751" t="s">
        <v>2474</v>
      </c>
      <c r="Z751" s="110">
        <f t="shared" si="24"/>
        <v>0</v>
      </c>
      <c r="AA751" t="str" cm="1">
        <f t="array" aca="1" ref="AA751" ca="1">IFERROR(INDEX(H_Tables!E:E,MATCH(INDIRECT("I"&amp;ROW()),H_Tables!F:F,0)),"")</f>
        <v/>
      </c>
      <c r="AB751" t="str" cm="1">
        <f t="array" aca="1" ref="AB751" ca="1">IFERROR(INDEX(H_Tables!H:H,MATCH(INDIRECT("k"&amp;ROW()),H_Tables!I:I,0)),"")</f>
        <v/>
      </c>
      <c r="AC751" t="str">
        <f t="shared" si="25"/>
        <v/>
      </c>
      <c r="AD751">
        <v>748</v>
      </c>
    </row>
    <row r="752" spans="13:30" ht="15" customHeight="1" x14ac:dyDescent="0.25">
      <c r="M752" t="s">
        <v>2474</v>
      </c>
      <c r="Z752" s="110">
        <f t="shared" si="24"/>
        <v>0</v>
      </c>
      <c r="AA752" t="str" cm="1">
        <f t="array" aca="1" ref="AA752" ca="1">IFERROR(INDEX(H_Tables!E:E,MATCH(INDIRECT("I"&amp;ROW()),H_Tables!F:F,0)),"")</f>
        <v/>
      </c>
      <c r="AB752" t="str" cm="1">
        <f t="array" aca="1" ref="AB752" ca="1">IFERROR(INDEX(H_Tables!H:H,MATCH(INDIRECT("k"&amp;ROW()),H_Tables!I:I,0)),"")</f>
        <v/>
      </c>
      <c r="AC752" t="str">
        <f t="shared" si="25"/>
        <v/>
      </c>
      <c r="AD752">
        <v>749</v>
      </c>
    </row>
    <row r="753" spans="13:30" ht="15" customHeight="1" x14ac:dyDescent="0.25">
      <c r="M753" t="s">
        <v>2474</v>
      </c>
      <c r="Z753" s="110">
        <f t="shared" si="24"/>
        <v>0</v>
      </c>
      <c r="AA753" t="str" cm="1">
        <f t="array" aca="1" ref="AA753" ca="1">IFERROR(INDEX(H_Tables!E:E,MATCH(INDIRECT("I"&amp;ROW()),H_Tables!F:F,0)),"")</f>
        <v/>
      </c>
      <c r="AB753" t="str" cm="1">
        <f t="array" aca="1" ref="AB753" ca="1">IFERROR(INDEX(H_Tables!H:H,MATCH(INDIRECT("k"&amp;ROW()),H_Tables!I:I,0)),"")</f>
        <v/>
      </c>
      <c r="AC753" t="str">
        <f t="shared" si="25"/>
        <v/>
      </c>
      <c r="AD753">
        <v>750</v>
      </c>
    </row>
    <row r="754" spans="13:30" ht="15" customHeight="1" x14ac:dyDescent="0.25">
      <c r="M754" t="s">
        <v>2474</v>
      </c>
      <c r="Z754" s="110">
        <f t="shared" si="24"/>
        <v>0</v>
      </c>
      <c r="AA754" t="str" cm="1">
        <f t="array" aca="1" ref="AA754" ca="1">IFERROR(INDEX(H_Tables!E:E,MATCH(INDIRECT("I"&amp;ROW()),H_Tables!F:F,0)),"")</f>
        <v/>
      </c>
      <c r="AB754" t="str" cm="1">
        <f t="array" aca="1" ref="AB754" ca="1">IFERROR(INDEX(H_Tables!H:H,MATCH(INDIRECT("k"&amp;ROW()),H_Tables!I:I,0)),"")</f>
        <v/>
      </c>
      <c r="AC754" t="str">
        <f t="shared" si="25"/>
        <v/>
      </c>
      <c r="AD754">
        <v>751</v>
      </c>
    </row>
    <row r="755" spans="13:30" ht="15" customHeight="1" x14ac:dyDescent="0.25">
      <c r="M755" t="s">
        <v>2474</v>
      </c>
      <c r="Z755" s="110">
        <f t="shared" si="24"/>
        <v>0</v>
      </c>
      <c r="AA755" t="str" cm="1">
        <f t="array" aca="1" ref="AA755" ca="1">IFERROR(INDEX(H_Tables!E:E,MATCH(INDIRECT("I"&amp;ROW()),H_Tables!F:F,0)),"")</f>
        <v/>
      </c>
      <c r="AB755" t="str" cm="1">
        <f t="array" aca="1" ref="AB755" ca="1">IFERROR(INDEX(H_Tables!H:H,MATCH(INDIRECT("k"&amp;ROW()),H_Tables!I:I,0)),"")</f>
        <v/>
      </c>
      <c r="AC755" t="str">
        <f t="shared" si="25"/>
        <v/>
      </c>
      <c r="AD755">
        <v>752</v>
      </c>
    </row>
    <row r="756" spans="13:30" ht="15" customHeight="1" x14ac:dyDescent="0.25">
      <c r="M756" t="s">
        <v>2474</v>
      </c>
      <c r="Z756" s="110">
        <f t="shared" si="24"/>
        <v>0</v>
      </c>
      <c r="AA756" t="str" cm="1">
        <f t="array" aca="1" ref="AA756" ca="1">IFERROR(INDEX(H_Tables!E:E,MATCH(INDIRECT("I"&amp;ROW()),H_Tables!F:F,0)),"")</f>
        <v/>
      </c>
      <c r="AB756" t="str" cm="1">
        <f t="array" aca="1" ref="AB756" ca="1">IFERROR(INDEX(H_Tables!H:H,MATCH(INDIRECT("k"&amp;ROW()),H_Tables!I:I,0)),"")</f>
        <v/>
      </c>
      <c r="AC756" t="str">
        <f t="shared" si="25"/>
        <v/>
      </c>
      <c r="AD756">
        <v>753</v>
      </c>
    </row>
    <row r="757" spans="13:30" ht="15" customHeight="1" x14ac:dyDescent="0.25">
      <c r="M757" t="s">
        <v>2474</v>
      </c>
      <c r="Z757" s="110">
        <f t="shared" si="24"/>
        <v>0</v>
      </c>
      <c r="AA757" t="str" cm="1">
        <f t="array" aca="1" ref="AA757" ca="1">IFERROR(INDEX(H_Tables!E:E,MATCH(INDIRECT("I"&amp;ROW()),H_Tables!F:F,0)),"")</f>
        <v/>
      </c>
      <c r="AB757" t="str" cm="1">
        <f t="array" aca="1" ref="AB757" ca="1">IFERROR(INDEX(H_Tables!H:H,MATCH(INDIRECT("k"&amp;ROW()),H_Tables!I:I,0)),"")</f>
        <v/>
      </c>
      <c r="AC757" t="str">
        <f t="shared" si="25"/>
        <v/>
      </c>
      <c r="AD757">
        <v>754</v>
      </c>
    </row>
    <row r="758" spans="13:30" ht="15" customHeight="1" x14ac:dyDescent="0.25">
      <c r="M758" t="s">
        <v>2474</v>
      </c>
      <c r="Z758" s="110">
        <f t="shared" si="24"/>
        <v>0</v>
      </c>
      <c r="AA758" t="str" cm="1">
        <f t="array" aca="1" ref="AA758" ca="1">IFERROR(INDEX(H_Tables!E:E,MATCH(INDIRECT("I"&amp;ROW()),H_Tables!F:F,0)),"")</f>
        <v/>
      </c>
      <c r="AB758" t="str" cm="1">
        <f t="array" aca="1" ref="AB758" ca="1">IFERROR(INDEX(H_Tables!H:H,MATCH(INDIRECT("k"&amp;ROW()),H_Tables!I:I,0)),"")</f>
        <v/>
      </c>
      <c r="AC758" t="str">
        <f t="shared" si="25"/>
        <v/>
      </c>
      <c r="AD758">
        <v>755</v>
      </c>
    </row>
    <row r="759" spans="13:30" ht="15" customHeight="1" x14ac:dyDescent="0.25">
      <c r="M759" t="s">
        <v>2474</v>
      </c>
      <c r="Z759" s="110">
        <f t="shared" si="24"/>
        <v>0</v>
      </c>
      <c r="AA759" t="str" cm="1">
        <f t="array" aca="1" ref="AA759" ca="1">IFERROR(INDEX(H_Tables!E:E,MATCH(INDIRECT("I"&amp;ROW()),H_Tables!F:F,0)),"")</f>
        <v/>
      </c>
      <c r="AB759" t="str" cm="1">
        <f t="array" aca="1" ref="AB759" ca="1">IFERROR(INDEX(H_Tables!H:H,MATCH(INDIRECT("k"&amp;ROW()),H_Tables!I:I,0)),"")</f>
        <v/>
      </c>
      <c r="AC759" t="str">
        <f t="shared" si="25"/>
        <v/>
      </c>
      <c r="AD759">
        <v>756</v>
      </c>
    </row>
    <row r="760" spans="13:30" ht="15" customHeight="1" x14ac:dyDescent="0.25">
      <c r="M760" t="s">
        <v>2474</v>
      </c>
      <c r="Z760" s="110">
        <f t="shared" si="24"/>
        <v>0</v>
      </c>
      <c r="AA760" t="str" cm="1">
        <f t="array" aca="1" ref="AA760" ca="1">IFERROR(INDEX(H_Tables!E:E,MATCH(INDIRECT("I"&amp;ROW()),H_Tables!F:F,0)),"")</f>
        <v/>
      </c>
      <c r="AB760" t="str" cm="1">
        <f t="array" aca="1" ref="AB760" ca="1">IFERROR(INDEX(H_Tables!H:H,MATCH(INDIRECT("k"&amp;ROW()),H_Tables!I:I,0)),"")</f>
        <v/>
      </c>
      <c r="AC760" t="str">
        <f t="shared" si="25"/>
        <v/>
      </c>
      <c r="AD760">
        <v>757</v>
      </c>
    </row>
    <row r="761" spans="13:30" ht="15" customHeight="1" x14ac:dyDescent="0.25">
      <c r="M761" t="s">
        <v>2474</v>
      </c>
      <c r="Z761" s="110">
        <f t="shared" si="24"/>
        <v>0</v>
      </c>
      <c r="AA761" t="str" cm="1">
        <f t="array" aca="1" ref="AA761" ca="1">IFERROR(INDEX(H_Tables!E:E,MATCH(INDIRECT("I"&amp;ROW()),H_Tables!F:F,0)),"")</f>
        <v/>
      </c>
      <c r="AB761" t="str" cm="1">
        <f t="array" aca="1" ref="AB761" ca="1">IFERROR(INDEX(H_Tables!H:H,MATCH(INDIRECT("k"&amp;ROW()),H_Tables!I:I,0)),"")</f>
        <v/>
      </c>
      <c r="AC761" t="str">
        <f t="shared" si="25"/>
        <v/>
      </c>
      <c r="AD761">
        <v>758</v>
      </c>
    </row>
    <row r="762" spans="13:30" ht="15" customHeight="1" x14ac:dyDescent="0.25">
      <c r="M762" t="s">
        <v>2474</v>
      </c>
      <c r="Z762" s="110">
        <f t="shared" si="24"/>
        <v>0</v>
      </c>
      <c r="AA762" t="str" cm="1">
        <f t="array" aca="1" ref="AA762" ca="1">IFERROR(INDEX(H_Tables!E:E,MATCH(INDIRECT("I"&amp;ROW()),H_Tables!F:F,0)),"")</f>
        <v/>
      </c>
      <c r="AB762" t="str" cm="1">
        <f t="array" aca="1" ref="AB762" ca="1">IFERROR(INDEX(H_Tables!H:H,MATCH(INDIRECT("k"&amp;ROW()),H_Tables!I:I,0)),"")</f>
        <v/>
      </c>
      <c r="AC762" t="str">
        <f t="shared" si="25"/>
        <v/>
      </c>
      <c r="AD762">
        <v>759</v>
      </c>
    </row>
    <row r="763" spans="13:30" ht="15" customHeight="1" x14ac:dyDescent="0.25">
      <c r="M763" t="s">
        <v>2474</v>
      </c>
      <c r="Z763" s="110">
        <f t="shared" si="24"/>
        <v>0</v>
      </c>
      <c r="AA763" t="str" cm="1">
        <f t="array" aca="1" ref="AA763" ca="1">IFERROR(INDEX(H_Tables!E:E,MATCH(INDIRECT("I"&amp;ROW()),H_Tables!F:F,0)),"")</f>
        <v/>
      </c>
      <c r="AB763" t="str" cm="1">
        <f t="array" aca="1" ref="AB763" ca="1">IFERROR(INDEX(H_Tables!H:H,MATCH(INDIRECT("k"&amp;ROW()),H_Tables!I:I,0)),"")</f>
        <v/>
      </c>
      <c r="AC763" t="str">
        <f t="shared" si="25"/>
        <v/>
      </c>
      <c r="AD763">
        <v>760</v>
      </c>
    </row>
    <row r="764" spans="13:30" ht="15" customHeight="1" x14ac:dyDescent="0.25">
      <c r="M764" t="s">
        <v>2474</v>
      </c>
      <c r="Z764" s="110">
        <f t="shared" si="24"/>
        <v>0</v>
      </c>
      <c r="AA764" t="str" cm="1">
        <f t="array" aca="1" ref="AA764" ca="1">IFERROR(INDEX(H_Tables!E:E,MATCH(INDIRECT("I"&amp;ROW()),H_Tables!F:F,0)),"")</f>
        <v/>
      </c>
      <c r="AB764" t="str" cm="1">
        <f t="array" aca="1" ref="AB764" ca="1">IFERROR(INDEX(H_Tables!H:H,MATCH(INDIRECT("k"&amp;ROW()),H_Tables!I:I,0)),"")</f>
        <v/>
      </c>
      <c r="AC764" t="str">
        <f t="shared" si="25"/>
        <v/>
      </c>
      <c r="AD764">
        <v>761</v>
      </c>
    </row>
    <row r="765" spans="13:30" ht="15" customHeight="1" x14ac:dyDescent="0.25">
      <c r="M765" t="s">
        <v>2474</v>
      </c>
      <c r="Z765" s="110">
        <f t="shared" si="24"/>
        <v>0</v>
      </c>
      <c r="AA765" t="str" cm="1">
        <f t="array" aca="1" ref="AA765" ca="1">IFERROR(INDEX(H_Tables!E:E,MATCH(INDIRECT("I"&amp;ROW()),H_Tables!F:F,0)),"")</f>
        <v/>
      </c>
      <c r="AB765" t="str" cm="1">
        <f t="array" aca="1" ref="AB765" ca="1">IFERROR(INDEX(H_Tables!H:H,MATCH(INDIRECT("k"&amp;ROW()),H_Tables!I:I,0)),"")</f>
        <v/>
      </c>
      <c r="AC765" t="str">
        <f t="shared" si="25"/>
        <v/>
      </c>
      <c r="AD765">
        <v>762</v>
      </c>
    </row>
    <row r="766" spans="13:30" ht="15" customHeight="1" x14ac:dyDescent="0.25">
      <c r="M766" t="s">
        <v>2474</v>
      </c>
      <c r="Z766" s="110">
        <f t="shared" si="24"/>
        <v>0</v>
      </c>
      <c r="AA766" t="str" cm="1">
        <f t="array" aca="1" ref="AA766" ca="1">IFERROR(INDEX(H_Tables!E:E,MATCH(INDIRECT("I"&amp;ROW()),H_Tables!F:F,0)),"")</f>
        <v/>
      </c>
      <c r="AB766" t="str" cm="1">
        <f t="array" aca="1" ref="AB766" ca="1">IFERROR(INDEX(H_Tables!H:H,MATCH(INDIRECT("k"&amp;ROW()),H_Tables!I:I,0)),"")</f>
        <v/>
      </c>
      <c r="AC766" t="str">
        <f t="shared" si="25"/>
        <v/>
      </c>
      <c r="AD766">
        <v>763</v>
      </c>
    </row>
    <row r="767" spans="13:30" ht="15" customHeight="1" x14ac:dyDescent="0.25">
      <c r="M767" t="s">
        <v>2474</v>
      </c>
      <c r="Z767" s="110">
        <f t="shared" si="24"/>
        <v>0</v>
      </c>
      <c r="AA767" t="str" cm="1">
        <f t="array" aca="1" ref="AA767" ca="1">IFERROR(INDEX(H_Tables!E:E,MATCH(INDIRECT("I"&amp;ROW()),H_Tables!F:F,0)),"")</f>
        <v/>
      </c>
      <c r="AB767" t="str" cm="1">
        <f t="array" aca="1" ref="AB767" ca="1">IFERROR(INDEX(H_Tables!H:H,MATCH(INDIRECT("k"&amp;ROW()),H_Tables!I:I,0)),"")</f>
        <v/>
      </c>
      <c r="AC767" t="str">
        <f t="shared" si="25"/>
        <v/>
      </c>
      <c r="AD767">
        <v>764</v>
      </c>
    </row>
    <row r="768" spans="13:30" ht="15" customHeight="1" x14ac:dyDescent="0.25">
      <c r="M768" t="s">
        <v>2474</v>
      </c>
      <c r="Z768" s="110">
        <f t="shared" si="24"/>
        <v>0</v>
      </c>
      <c r="AA768" t="str" cm="1">
        <f t="array" aca="1" ref="AA768" ca="1">IFERROR(INDEX(H_Tables!E:E,MATCH(INDIRECT("I"&amp;ROW()),H_Tables!F:F,0)),"")</f>
        <v/>
      </c>
      <c r="AB768" t="str" cm="1">
        <f t="array" aca="1" ref="AB768" ca="1">IFERROR(INDEX(H_Tables!H:H,MATCH(INDIRECT("k"&amp;ROW()),H_Tables!I:I,0)),"")</f>
        <v/>
      </c>
      <c r="AC768" t="str">
        <f t="shared" si="25"/>
        <v/>
      </c>
      <c r="AD768">
        <v>765</v>
      </c>
    </row>
    <row r="769" spans="13:30" ht="15" customHeight="1" x14ac:dyDescent="0.25">
      <c r="M769" t="s">
        <v>2474</v>
      </c>
      <c r="Z769" s="110">
        <f t="shared" si="24"/>
        <v>0</v>
      </c>
      <c r="AA769" t="str" cm="1">
        <f t="array" aca="1" ref="AA769" ca="1">IFERROR(INDEX(H_Tables!E:E,MATCH(INDIRECT("I"&amp;ROW()),H_Tables!F:F,0)),"")</f>
        <v/>
      </c>
      <c r="AB769" t="str" cm="1">
        <f t="array" aca="1" ref="AB769" ca="1">IFERROR(INDEX(H_Tables!H:H,MATCH(INDIRECT("k"&amp;ROW()),H_Tables!I:I,0)),"")</f>
        <v/>
      </c>
      <c r="AC769" t="str">
        <f t="shared" si="25"/>
        <v/>
      </c>
      <c r="AD769">
        <v>766</v>
      </c>
    </row>
    <row r="770" spans="13:30" ht="15" customHeight="1" x14ac:dyDescent="0.25">
      <c r="M770" t="s">
        <v>2474</v>
      </c>
      <c r="Z770" s="110">
        <f t="shared" ref="Z770:Z833" si="26">ROUND(IF((F770+G770)=0,0,S770/Y770),4)</f>
        <v>0</v>
      </c>
      <c r="AA770" t="str" cm="1">
        <f t="array" aca="1" ref="AA770" ca="1">IFERROR(INDEX(H_Tables!E:E,MATCH(INDIRECT("I"&amp;ROW()),H_Tables!F:F,0)),"")</f>
        <v/>
      </c>
      <c r="AB770" t="str" cm="1">
        <f t="array" aca="1" ref="AB770" ca="1">IFERROR(INDEX(H_Tables!H:H,MATCH(INDIRECT("k"&amp;ROW()),H_Tables!I:I,0)),"")</f>
        <v/>
      </c>
      <c r="AC770" t="str">
        <f t="shared" si="25"/>
        <v/>
      </c>
      <c r="AD770">
        <v>767</v>
      </c>
    </row>
    <row r="771" spans="13:30" ht="15" customHeight="1" x14ac:dyDescent="0.25">
      <c r="M771" t="s">
        <v>2474</v>
      </c>
      <c r="Z771" s="110">
        <f t="shared" si="26"/>
        <v>0</v>
      </c>
      <c r="AA771" t="str" cm="1">
        <f t="array" aca="1" ref="AA771" ca="1">IFERROR(INDEX(H_Tables!E:E,MATCH(INDIRECT("I"&amp;ROW()),H_Tables!F:F,0)),"")</f>
        <v/>
      </c>
      <c r="AB771" t="str" cm="1">
        <f t="array" aca="1" ref="AB771" ca="1">IFERROR(INDEX(H_Tables!H:H,MATCH(INDIRECT("k"&amp;ROW()),H_Tables!I:I,0)),"")</f>
        <v/>
      </c>
      <c r="AC771" t="str">
        <f t="shared" si="25"/>
        <v/>
      </c>
      <c r="AD771">
        <v>768</v>
      </c>
    </row>
    <row r="772" spans="13:30" ht="15" customHeight="1" x14ac:dyDescent="0.25">
      <c r="M772" t="s">
        <v>2474</v>
      </c>
      <c r="Z772" s="110">
        <f t="shared" si="26"/>
        <v>0</v>
      </c>
      <c r="AA772" t="str" cm="1">
        <f t="array" aca="1" ref="AA772" ca="1">IFERROR(INDEX(H_Tables!E:E,MATCH(INDIRECT("I"&amp;ROW()),H_Tables!F:F,0)),"")</f>
        <v/>
      </c>
      <c r="AB772" t="str" cm="1">
        <f t="array" aca="1" ref="AB772" ca="1">IFERROR(INDEX(H_Tables!H:H,MATCH(INDIRECT("k"&amp;ROW()),H_Tables!I:I,0)),"")</f>
        <v/>
      </c>
      <c r="AC772" t="str">
        <f t="shared" ref="AC772:AC835" si="27">_xlfn.TEXTJOIN(",",TRUE,M772:P772)</f>
        <v/>
      </c>
      <c r="AD772">
        <v>769</v>
      </c>
    </row>
    <row r="773" spans="13:30" ht="15" customHeight="1" x14ac:dyDescent="0.25">
      <c r="M773" t="s">
        <v>2474</v>
      </c>
      <c r="Z773" s="110">
        <f t="shared" si="26"/>
        <v>0</v>
      </c>
      <c r="AA773" t="str" cm="1">
        <f t="array" aca="1" ref="AA773" ca="1">IFERROR(INDEX(H_Tables!E:E,MATCH(INDIRECT("I"&amp;ROW()),H_Tables!F:F,0)),"")</f>
        <v/>
      </c>
      <c r="AB773" t="str" cm="1">
        <f t="array" aca="1" ref="AB773" ca="1">IFERROR(INDEX(H_Tables!H:H,MATCH(INDIRECT("k"&amp;ROW()),H_Tables!I:I,0)),"")</f>
        <v/>
      </c>
      <c r="AC773" t="str">
        <f t="shared" si="27"/>
        <v/>
      </c>
      <c r="AD773">
        <v>770</v>
      </c>
    </row>
    <row r="774" spans="13:30" ht="15" customHeight="1" x14ac:dyDescent="0.25">
      <c r="M774" t="s">
        <v>2474</v>
      </c>
      <c r="Z774" s="110">
        <f t="shared" si="26"/>
        <v>0</v>
      </c>
      <c r="AA774" t="str" cm="1">
        <f t="array" aca="1" ref="AA774" ca="1">IFERROR(INDEX(H_Tables!E:E,MATCH(INDIRECT("I"&amp;ROW()),H_Tables!F:F,0)),"")</f>
        <v/>
      </c>
      <c r="AB774" t="str" cm="1">
        <f t="array" aca="1" ref="AB774" ca="1">IFERROR(INDEX(H_Tables!H:H,MATCH(INDIRECT("k"&amp;ROW()),H_Tables!I:I,0)),"")</f>
        <v/>
      </c>
      <c r="AC774" t="str">
        <f t="shared" si="27"/>
        <v/>
      </c>
      <c r="AD774">
        <v>771</v>
      </c>
    </row>
    <row r="775" spans="13:30" ht="15" customHeight="1" x14ac:dyDescent="0.25">
      <c r="M775" t="s">
        <v>2474</v>
      </c>
      <c r="Z775" s="110">
        <f t="shared" si="26"/>
        <v>0</v>
      </c>
      <c r="AA775" t="str" cm="1">
        <f t="array" aca="1" ref="AA775" ca="1">IFERROR(INDEX(H_Tables!E:E,MATCH(INDIRECT("I"&amp;ROW()),H_Tables!F:F,0)),"")</f>
        <v/>
      </c>
      <c r="AB775" t="str" cm="1">
        <f t="array" aca="1" ref="AB775" ca="1">IFERROR(INDEX(H_Tables!H:H,MATCH(INDIRECT("k"&amp;ROW()),H_Tables!I:I,0)),"")</f>
        <v/>
      </c>
      <c r="AC775" t="str">
        <f t="shared" si="27"/>
        <v/>
      </c>
      <c r="AD775">
        <v>772</v>
      </c>
    </row>
    <row r="776" spans="13:30" ht="15" customHeight="1" x14ac:dyDescent="0.25">
      <c r="M776" t="s">
        <v>2474</v>
      </c>
      <c r="Z776" s="110">
        <f t="shared" si="26"/>
        <v>0</v>
      </c>
      <c r="AA776" t="str" cm="1">
        <f t="array" aca="1" ref="AA776" ca="1">IFERROR(INDEX(H_Tables!E:E,MATCH(INDIRECT("I"&amp;ROW()),H_Tables!F:F,0)),"")</f>
        <v/>
      </c>
      <c r="AB776" t="str" cm="1">
        <f t="array" aca="1" ref="AB776" ca="1">IFERROR(INDEX(H_Tables!H:H,MATCH(INDIRECT("k"&amp;ROW()),H_Tables!I:I,0)),"")</f>
        <v/>
      </c>
      <c r="AC776" t="str">
        <f t="shared" si="27"/>
        <v/>
      </c>
      <c r="AD776">
        <v>773</v>
      </c>
    </row>
    <row r="777" spans="13:30" ht="15" customHeight="1" x14ac:dyDescent="0.25">
      <c r="M777" t="s">
        <v>2474</v>
      </c>
      <c r="Z777" s="110">
        <f t="shared" si="26"/>
        <v>0</v>
      </c>
      <c r="AA777" t="str" cm="1">
        <f t="array" aca="1" ref="AA777" ca="1">IFERROR(INDEX(H_Tables!E:E,MATCH(INDIRECT("I"&amp;ROW()),H_Tables!F:F,0)),"")</f>
        <v/>
      </c>
      <c r="AB777" t="str" cm="1">
        <f t="array" aca="1" ref="AB777" ca="1">IFERROR(INDEX(H_Tables!H:H,MATCH(INDIRECT("k"&amp;ROW()),H_Tables!I:I,0)),"")</f>
        <v/>
      </c>
      <c r="AC777" t="str">
        <f t="shared" si="27"/>
        <v/>
      </c>
      <c r="AD777">
        <v>774</v>
      </c>
    </row>
    <row r="778" spans="13:30" ht="15" customHeight="1" x14ac:dyDescent="0.25">
      <c r="M778" t="s">
        <v>2474</v>
      </c>
      <c r="Z778" s="110">
        <f t="shared" si="26"/>
        <v>0</v>
      </c>
      <c r="AA778" t="str" cm="1">
        <f t="array" aca="1" ref="AA778" ca="1">IFERROR(INDEX(H_Tables!E:E,MATCH(INDIRECT("I"&amp;ROW()),H_Tables!F:F,0)),"")</f>
        <v/>
      </c>
      <c r="AB778" t="str" cm="1">
        <f t="array" aca="1" ref="AB778" ca="1">IFERROR(INDEX(H_Tables!H:H,MATCH(INDIRECT("k"&amp;ROW()),H_Tables!I:I,0)),"")</f>
        <v/>
      </c>
      <c r="AC778" t="str">
        <f t="shared" si="27"/>
        <v/>
      </c>
      <c r="AD778">
        <v>775</v>
      </c>
    </row>
    <row r="779" spans="13:30" ht="15" customHeight="1" x14ac:dyDescent="0.25">
      <c r="M779" t="s">
        <v>2474</v>
      </c>
      <c r="Z779" s="110">
        <f t="shared" si="26"/>
        <v>0</v>
      </c>
      <c r="AA779" t="str" cm="1">
        <f t="array" aca="1" ref="AA779" ca="1">IFERROR(INDEX(H_Tables!E:E,MATCH(INDIRECT("I"&amp;ROW()),H_Tables!F:F,0)),"")</f>
        <v/>
      </c>
      <c r="AB779" t="str" cm="1">
        <f t="array" aca="1" ref="AB779" ca="1">IFERROR(INDEX(H_Tables!H:H,MATCH(INDIRECT("k"&amp;ROW()),H_Tables!I:I,0)),"")</f>
        <v/>
      </c>
      <c r="AC779" t="str">
        <f t="shared" si="27"/>
        <v/>
      </c>
      <c r="AD779">
        <v>776</v>
      </c>
    </row>
    <row r="780" spans="13:30" ht="15" customHeight="1" x14ac:dyDescent="0.25">
      <c r="M780" t="s">
        <v>2474</v>
      </c>
      <c r="Z780" s="110">
        <f t="shared" si="26"/>
        <v>0</v>
      </c>
      <c r="AA780" t="str" cm="1">
        <f t="array" aca="1" ref="AA780" ca="1">IFERROR(INDEX(H_Tables!E:E,MATCH(INDIRECT("I"&amp;ROW()),H_Tables!F:F,0)),"")</f>
        <v/>
      </c>
      <c r="AB780" t="str" cm="1">
        <f t="array" aca="1" ref="AB780" ca="1">IFERROR(INDEX(H_Tables!H:H,MATCH(INDIRECT("k"&amp;ROW()),H_Tables!I:I,0)),"")</f>
        <v/>
      </c>
      <c r="AC780" t="str">
        <f t="shared" si="27"/>
        <v/>
      </c>
      <c r="AD780">
        <v>777</v>
      </c>
    </row>
    <row r="781" spans="13:30" ht="15" customHeight="1" x14ac:dyDescent="0.25">
      <c r="M781" t="s">
        <v>2474</v>
      </c>
      <c r="Z781" s="110">
        <f t="shared" si="26"/>
        <v>0</v>
      </c>
      <c r="AA781" t="str" cm="1">
        <f t="array" aca="1" ref="AA781" ca="1">IFERROR(INDEX(H_Tables!E:E,MATCH(INDIRECT("I"&amp;ROW()),H_Tables!F:F,0)),"")</f>
        <v/>
      </c>
      <c r="AB781" t="str" cm="1">
        <f t="array" aca="1" ref="AB781" ca="1">IFERROR(INDEX(H_Tables!H:H,MATCH(INDIRECT("k"&amp;ROW()),H_Tables!I:I,0)),"")</f>
        <v/>
      </c>
      <c r="AC781" t="str">
        <f t="shared" si="27"/>
        <v/>
      </c>
      <c r="AD781">
        <v>778</v>
      </c>
    </row>
    <row r="782" spans="13:30" ht="15" customHeight="1" x14ac:dyDescent="0.25">
      <c r="M782" t="s">
        <v>2474</v>
      </c>
      <c r="Z782" s="110">
        <f t="shared" si="26"/>
        <v>0</v>
      </c>
      <c r="AA782" t="str" cm="1">
        <f t="array" aca="1" ref="AA782" ca="1">IFERROR(INDEX(H_Tables!E:E,MATCH(INDIRECT("I"&amp;ROW()),H_Tables!F:F,0)),"")</f>
        <v/>
      </c>
      <c r="AB782" t="str" cm="1">
        <f t="array" aca="1" ref="AB782" ca="1">IFERROR(INDEX(H_Tables!H:H,MATCH(INDIRECT("k"&amp;ROW()),H_Tables!I:I,0)),"")</f>
        <v/>
      </c>
      <c r="AC782" t="str">
        <f t="shared" si="27"/>
        <v/>
      </c>
      <c r="AD782">
        <v>779</v>
      </c>
    </row>
    <row r="783" spans="13:30" ht="15" customHeight="1" x14ac:dyDescent="0.25">
      <c r="M783" t="s">
        <v>2474</v>
      </c>
      <c r="Z783" s="110">
        <f t="shared" si="26"/>
        <v>0</v>
      </c>
      <c r="AA783" t="str" cm="1">
        <f t="array" aca="1" ref="AA783" ca="1">IFERROR(INDEX(H_Tables!E:E,MATCH(INDIRECT("I"&amp;ROW()),H_Tables!F:F,0)),"")</f>
        <v/>
      </c>
      <c r="AB783" t="str" cm="1">
        <f t="array" aca="1" ref="AB783" ca="1">IFERROR(INDEX(H_Tables!H:H,MATCH(INDIRECT("k"&amp;ROW()),H_Tables!I:I,0)),"")</f>
        <v/>
      </c>
      <c r="AC783" t="str">
        <f t="shared" si="27"/>
        <v/>
      </c>
      <c r="AD783">
        <v>780</v>
      </c>
    </row>
    <row r="784" spans="13:30" ht="15" customHeight="1" x14ac:dyDescent="0.25">
      <c r="M784" t="s">
        <v>2474</v>
      </c>
      <c r="Z784" s="110">
        <f t="shared" si="26"/>
        <v>0</v>
      </c>
      <c r="AA784" t="str" cm="1">
        <f t="array" aca="1" ref="AA784" ca="1">IFERROR(INDEX(H_Tables!E:E,MATCH(INDIRECT("I"&amp;ROW()),H_Tables!F:F,0)),"")</f>
        <v/>
      </c>
      <c r="AB784" t="str" cm="1">
        <f t="array" aca="1" ref="AB784" ca="1">IFERROR(INDEX(H_Tables!H:H,MATCH(INDIRECT("k"&amp;ROW()),H_Tables!I:I,0)),"")</f>
        <v/>
      </c>
      <c r="AC784" t="str">
        <f t="shared" si="27"/>
        <v/>
      </c>
      <c r="AD784">
        <v>781</v>
      </c>
    </row>
    <row r="785" spans="13:30" ht="15" customHeight="1" x14ac:dyDescent="0.25">
      <c r="M785" t="s">
        <v>2474</v>
      </c>
      <c r="Z785" s="110">
        <f t="shared" si="26"/>
        <v>0</v>
      </c>
      <c r="AA785" t="str" cm="1">
        <f t="array" aca="1" ref="AA785" ca="1">IFERROR(INDEX(H_Tables!E:E,MATCH(INDIRECT("I"&amp;ROW()),H_Tables!F:F,0)),"")</f>
        <v/>
      </c>
      <c r="AB785" t="str" cm="1">
        <f t="array" aca="1" ref="AB785" ca="1">IFERROR(INDEX(H_Tables!H:H,MATCH(INDIRECT("k"&amp;ROW()),H_Tables!I:I,0)),"")</f>
        <v/>
      </c>
      <c r="AC785" t="str">
        <f t="shared" si="27"/>
        <v/>
      </c>
      <c r="AD785">
        <v>782</v>
      </c>
    </row>
    <row r="786" spans="13:30" ht="15" customHeight="1" x14ac:dyDescent="0.25">
      <c r="M786" t="s">
        <v>2474</v>
      </c>
      <c r="Z786" s="110">
        <f t="shared" si="26"/>
        <v>0</v>
      </c>
      <c r="AA786" t="str" cm="1">
        <f t="array" aca="1" ref="AA786" ca="1">IFERROR(INDEX(H_Tables!E:E,MATCH(INDIRECT("I"&amp;ROW()),H_Tables!F:F,0)),"")</f>
        <v/>
      </c>
      <c r="AB786" t="str" cm="1">
        <f t="array" aca="1" ref="AB786" ca="1">IFERROR(INDEX(H_Tables!H:H,MATCH(INDIRECT("k"&amp;ROW()),H_Tables!I:I,0)),"")</f>
        <v/>
      </c>
      <c r="AC786" t="str">
        <f t="shared" si="27"/>
        <v/>
      </c>
      <c r="AD786">
        <v>783</v>
      </c>
    </row>
    <row r="787" spans="13:30" ht="15" customHeight="1" x14ac:dyDescent="0.25">
      <c r="M787" t="s">
        <v>2474</v>
      </c>
      <c r="Z787" s="110">
        <f t="shared" si="26"/>
        <v>0</v>
      </c>
      <c r="AA787" t="str" cm="1">
        <f t="array" aca="1" ref="AA787" ca="1">IFERROR(INDEX(H_Tables!E:E,MATCH(INDIRECT("I"&amp;ROW()),H_Tables!F:F,0)),"")</f>
        <v/>
      </c>
      <c r="AB787" t="str" cm="1">
        <f t="array" aca="1" ref="AB787" ca="1">IFERROR(INDEX(H_Tables!H:H,MATCH(INDIRECT("k"&amp;ROW()),H_Tables!I:I,0)),"")</f>
        <v/>
      </c>
      <c r="AC787" t="str">
        <f t="shared" si="27"/>
        <v/>
      </c>
      <c r="AD787">
        <v>784</v>
      </c>
    </row>
    <row r="788" spans="13:30" ht="15" customHeight="1" x14ac:dyDescent="0.25">
      <c r="M788" t="s">
        <v>2474</v>
      </c>
      <c r="Z788" s="110">
        <f t="shared" si="26"/>
        <v>0</v>
      </c>
      <c r="AA788" t="str" cm="1">
        <f t="array" aca="1" ref="AA788" ca="1">IFERROR(INDEX(H_Tables!E:E,MATCH(INDIRECT("I"&amp;ROW()),H_Tables!F:F,0)),"")</f>
        <v/>
      </c>
      <c r="AB788" t="str" cm="1">
        <f t="array" aca="1" ref="AB788" ca="1">IFERROR(INDEX(H_Tables!H:H,MATCH(INDIRECT("k"&amp;ROW()),H_Tables!I:I,0)),"")</f>
        <v/>
      </c>
      <c r="AC788" t="str">
        <f t="shared" si="27"/>
        <v/>
      </c>
      <c r="AD788">
        <v>785</v>
      </c>
    </row>
    <row r="789" spans="13:30" ht="15" customHeight="1" x14ac:dyDescent="0.25">
      <c r="M789" t="s">
        <v>2474</v>
      </c>
      <c r="Z789" s="110">
        <f t="shared" si="26"/>
        <v>0</v>
      </c>
      <c r="AA789" t="str" cm="1">
        <f t="array" aca="1" ref="AA789" ca="1">IFERROR(INDEX(H_Tables!E:E,MATCH(INDIRECT("I"&amp;ROW()),H_Tables!F:F,0)),"")</f>
        <v/>
      </c>
      <c r="AB789" t="str" cm="1">
        <f t="array" aca="1" ref="AB789" ca="1">IFERROR(INDEX(H_Tables!H:H,MATCH(INDIRECT("k"&amp;ROW()),H_Tables!I:I,0)),"")</f>
        <v/>
      </c>
      <c r="AC789" t="str">
        <f t="shared" si="27"/>
        <v/>
      </c>
      <c r="AD789">
        <v>786</v>
      </c>
    </row>
    <row r="790" spans="13:30" ht="15" customHeight="1" x14ac:dyDescent="0.25">
      <c r="M790" t="s">
        <v>2474</v>
      </c>
      <c r="Z790" s="110">
        <f t="shared" si="26"/>
        <v>0</v>
      </c>
      <c r="AA790" t="str" cm="1">
        <f t="array" aca="1" ref="AA790" ca="1">IFERROR(INDEX(H_Tables!E:E,MATCH(INDIRECT("I"&amp;ROW()),H_Tables!F:F,0)),"")</f>
        <v/>
      </c>
      <c r="AB790" t="str" cm="1">
        <f t="array" aca="1" ref="AB790" ca="1">IFERROR(INDEX(H_Tables!H:H,MATCH(INDIRECT("k"&amp;ROW()),H_Tables!I:I,0)),"")</f>
        <v/>
      </c>
      <c r="AC790" t="str">
        <f t="shared" si="27"/>
        <v/>
      </c>
      <c r="AD790">
        <v>787</v>
      </c>
    </row>
    <row r="791" spans="13:30" ht="15" customHeight="1" x14ac:dyDescent="0.25">
      <c r="M791" t="s">
        <v>2474</v>
      </c>
      <c r="Z791" s="110">
        <f t="shared" si="26"/>
        <v>0</v>
      </c>
      <c r="AA791" t="str" cm="1">
        <f t="array" aca="1" ref="AA791" ca="1">IFERROR(INDEX(H_Tables!E:E,MATCH(INDIRECT("I"&amp;ROW()),H_Tables!F:F,0)),"")</f>
        <v/>
      </c>
      <c r="AB791" t="str" cm="1">
        <f t="array" aca="1" ref="AB791" ca="1">IFERROR(INDEX(H_Tables!H:H,MATCH(INDIRECT("k"&amp;ROW()),H_Tables!I:I,0)),"")</f>
        <v/>
      </c>
      <c r="AC791" t="str">
        <f t="shared" si="27"/>
        <v/>
      </c>
      <c r="AD791">
        <v>788</v>
      </c>
    </row>
    <row r="792" spans="13:30" ht="15" customHeight="1" x14ac:dyDescent="0.25">
      <c r="M792" t="s">
        <v>2474</v>
      </c>
      <c r="Z792" s="110">
        <f t="shared" si="26"/>
        <v>0</v>
      </c>
      <c r="AA792" t="str" cm="1">
        <f t="array" aca="1" ref="AA792" ca="1">IFERROR(INDEX(H_Tables!E:E,MATCH(INDIRECT("I"&amp;ROW()),H_Tables!F:F,0)),"")</f>
        <v/>
      </c>
      <c r="AB792" t="str" cm="1">
        <f t="array" aca="1" ref="AB792" ca="1">IFERROR(INDEX(H_Tables!H:H,MATCH(INDIRECT("k"&amp;ROW()),H_Tables!I:I,0)),"")</f>
        <v/>
      </c>
      <c r="AC792" t="str">
        <f t="shared" si="27"/>
        <v/>
      </c>
      <c r="AD792">
        <v>789</v>
      </c>
    </row>
    <row r="793" spans="13:30" ht="15" customHeight="1" x14ac:dyDescent="0.25">
      <c r="M793" t="s">
        <v>2474</v>
      </c>
      <c r="Z793" s="110">
        <f t="shared" si="26"/>
        <v>0</v>
      </c>
      <c r="AA793" t="str" cm="1">
        <f t="array" aca="1" ref="AA793" ca="1">IFERROR(INDEX(H_Tables!E:E,MATCH(INDIRECT("I"&amp;ROW()),H_Tables!F:F,0)),"")</f>
        <v/>
      </c>
      <c r="AB793" t="str" cm="1">
        <f t="array" aca="1" ref="AB793" ca="1">IFERROR(INDEX(H_Tables!H:H,MATCH(INDIRECT("k"&amp;ROW()),H_Tables!I:I,0)),"")</f>
        <v/>
      </c>
      <c r="AC793" t="str">
        <f t="shared" si="27"/>
        <v/>
      </c>
      <c r="AD793">
        <v>790</v>
      </c>
    </row>
    <row r="794" spans="13:30" ht="15" customHeight="1" x14ac:dyDescent="0.25">
      <c r="M794" t="s">
        <v>2474</v>
      </c>
      <c r="Z794" s="110">
        <f t="shared" si="26"/>
        <v>0</v>
      </c>
      <c r="AA794" t="str" cm="1">
        <f t="array" aca="1" ref="AA794" ca="1">IFERROR(INDEX(H_Tables!E:E,MATCH(INDIRECT("I"&amp;ROW()),H_Tables!F:F,0)),"")</f>
        <v/>
      </c>
      <c r="AB794" t="str" cm="1">
        <f t="array" aca="1" ref="AB794" ca="1">IFERROR(INDEX(H_Tables!H:H,MATCH(INDIRECT("k"&amp;ROW()),H_Tables!I:I,0)),"")</f>
        <v/>
      </c>
      <c r="AC794" t="str">
        <f t="shared" si="27"/>
        <v/>
      </c>
      <c r="AD794">
        <v>791</v>
      </c>
    </row>
    <row r="795" spans="13:30" ht="15" customHeight="1" x14ac:dyDescent="0.25">
      <c r="M795" t="s">
        <v>2474</v>
      </c>
      <c r="Z795" s="110">
        <f t="shared" si="26"/>
        <v>0</v>
      </c>
      <c r="AA795" t="str" cm="1">
        <f t="array" aca="1" ref="AA795" ca="1">IFERROR(INDEX(H_Tables!E:E,MATCH(INDIRECT("I"&amp;ROW()),H_Tables!F:F,0)),"")</f>
        <v/>
      </c>
      <c r="AB795" t="str" cm="1">
        <f t="array" aca="1" ref="AB795" ca="1">IFERROR(INDEX(H_Tables!H:H,MATCH(INDIRECT("k"&amp;ROW()),H_Tables!I:I,0)),"")</f>
        <v/>
      </c>
      <c r="AC795" t="str">
        <f t="shared" si="27"/>
        <v/>
      </c>
      <c r="AD795">
        <v>792</v>
      </c>
    </row>
    <row r="796" spans="13:30" ht="15" customHeight="1" x14ac:dyDescent="0.25">
      <c r="M796" t="s">
        <v>2474</v>
      </c>
      <c r="Z796" s="110">
        <f t="shared" si="26"/>
        <v>0</v>
      </c>
      <c r="AA796" t="str" cm="1">
        <f t="array" aca="1" ref="AA796" ca="1">IFERROR(INDEX(H_Tables!E:E,MATCH(INDIRECT("I"&amp;ROW()),H_Tables!F:F,0)),"")</f>
        <v/>
      </c>
      <c r="AB796" t="str" cm="1">
        <f t="array" aca="1" ref="AB796" ca="1">IFERROR(INDEX(H_Tables!H:H,MATCH(INDIRECT("k"&amp;ROW()),H_Tables!I:I,0)),"")</f>
        <v/>
      </c>
      <c r="AC796" t="str">
        <f t="shared" si="27"/>
        <v/>
      </c>
      <c r="AD796">
        <v>793</v>
      </c>
    </row>
    <row r="797" spans="13:30" ht="15" customHeight="1" x14ac:dyDescent="0.25">
      <c r="M797" t="s">
        <v>2474</v>
      </c>
      <c r="Z797" s="110">
        <f t="shared" si="26"/>
        <v>0</v>
      </c>
      <c r="AA797" t="str" cm="1">
        <f t="array" aca="1" ref="AA797" ca="1">IFERROR(INDEX(H_Tables!E:E,MATCH(INDIRECT("I"&amp;ROW()),H_Tables!F:F,0)),"")</f>
        <v/>
      </c>
      <c r="AB797" t="str" cm="1">
        <f t="array" aca="1" ref="AB797" ca="1">IFERROR(INDEX(H_Tables!H:H,MATCH(INDIRECT("k"&amp;ROW()),H_Tables!I:I,0)),"")</f>
        <v/>
      </c>
      <c r="AC797" t="str">
        <f t="shared" si="27"/>
        <v/>
      </c>
      <c r="AD797">
        <v>794</v>
      </c>
    </row>
    <row r="798" spans="13:30" ht="15" customHeight="1" x14ac:dyDescent="0.25">
      <c r="M798" t="s">
        <v>2474</v>
      </c>
      <c r="Z798" s="110">
        <f t="shared" si="26"/>
        <v>0</v>
      </c>
      <c r="AA798" t="str" cm="1">
        <f t="array" aca="1" ref="AA798" ca="1">IFERROR(INDEX(H_Tables!E:E,MATCH(INDIRECT("I"&amp;ROW()),H_Tables!F:F,0)),"")</f>
        <v/>
      </c>
      <c r="AB798" t="str" cm="1">
        <f t="array" aca="1" ref="AB798" ca="1">IFERROR(INDEX(H_Tables!H:H,MATCH(INDIRECT("k"&amp;ROW()),H_Tables!I:I,0)),"")</f>
        <v/>
      </c>
      <c r="AC798" t="str">
        <f t="shared" si="27"/>
        <v/>
      </c>
      <c r="AD798">
        <v>795</v>
      </c>
    </row>
    <row r="799" spans="13:30" ht="15" customHeight="1" x14ac:dyDescent="0.25">
      <c r="M799" t="s">
        <v>2474</v>
      </c>
      <c r="Z799" s="110">
        <f t="shared" si="26"/>
        <v>0</v>
      </c>
      <c r="AA799" t="str" cm="1">
        <f t="array" aca="1" ref="AA799" ca="1">IFERROR(INDEX(H_Tables!E:E,MATCH(INDIRECT("I"&amp;ROW()),H_Tables!F:F,0)),"")</f>
        <v/>
      </c>
      <c r="AB799" t="str" cm="1">
        <f t="array" aca="1" ref="AB799" ca="1">IFERROR(INDEX(H_Tables!H:H,MATCH(INDIRECT("k"&amp;ROW()),H_Tables!I:I,0)),"")</f>
        <v/>
      </c>
      <c r="AC799" t="str">
        <f t="shared" si="27"/>
        <v/>
      </c>
      <c r="AD799">
        <v>796</v>
      </c>
    </row>
    <row r="800" spans="13:30" ht="15" customHeight="1" x14ac:dyDescent="0.25">
      <c r="M800" t="s">
        <v>2474</v>
      </c>
      <c r="Z800" s="110">
        <f t="shared" si="26"/>
        <v>0</v>
      </c>
      <c r="AA800" t="str" cm="1">
        <f t="array" aca="1" ref="AA800" ca="1">IFERROR(INDEX(H_Tables!E:E,MATCH(INDIRECT("I"&amp;ROW()),H_Tables!F:F,0)),"")</f>
        <v/>
      </c>
      <c r="AB800" t="str" cm="1">
        <f t="array" aca="1" ref="AB800" ca="1">IFERROR(INDEX(H_Tables!H:H,MATCH(INDIRECT("k"&amp;ROW()),H_Tables!I:I,0)),"")</f>
        <v/>
      </c>
      <c r="AC800" t="str">
        <f t="shared" si="27"/>
        <v/>
      </c>
      <c r="AD800">
        <v>797</v>
      </c>
    </row>
    <row r="801" spans="13:30" ht="15" customHeight="1" x14ac:dyDescent="0.25">
      <c r="M801" t="s">
        <v>2474</v>
      </c>
      <c r="Z801" s="110">
        <f t="shared" si="26"/>
        <v>0</v>
      </c>
      <c r="AA801" t="str" cm="1">
        <f t="array" aca="1" ref="AA801" ca="1">IFERROR(INDEX(H_Tables!E:E,MATCH(INDIRECT("I"&amp;ROW()),H_Tables!F:F,0)),"")</f>
        <v/>
      </c>
      <c r="AB801" t="str" cm="1">
        <f t="array" aca="1" ref="AB801" ca="1">IFERROR(INDEX(H_Tables!H:H,MATCH(INDIRECT("k"&amp;ROW()),H_Tables!I:I,0)),"")</f>
        <v/>
      </c>
      <c r="AC801" t="str">
        <f t="shared" si="27"/>
        <v/>
      </c>
      <c r="AD801">
        <v>798</v>
      </c>
    </row>
    <row r="802" spans="13:30" ht="15" customHeight="1" x14ac:dyDescent="0.25">
      <c r="M802" t="s">
        <v>2474</v>
      </c>
      <c r="Z802" s="110">
        <f t="shared" si="26"/>
        <v>0</v>
      </c>
      <c r="AA802" t="str" cm="1">
        <f t="array" aca="1" ref="AA802" ca="1">IFERROR(INDEX(H_Tables!E:E,MATCH(INDIRECT("I"&amp;ROW()),H_Tables!F:F,0)),"")</f>
        <v/>
      </c>
      <c r="AB802" t="str" cm="1">
        <f t="array" aca="1" ref="AB802" ca="1">IFERROR(INDEX(H_Tables!H:H,MATCH(INDIRECT("k"&amp;ROW()),H_Tables!I:I,0)),"")</f>
        <v/>
      </c>
      <c r="AC802" t="str">
        <f t="shared" si="27"/>
        <v/>
      </c>
      <c r="AD802">
        <v>799</v>
      </c>
    </row>
    <row r="803" spans="13:30" ht="15" customHeight="1" x14ac:dyDescent="0.25">
      <c r="M803" t="s">
        <v>2474</v>
      </c>
      <c r="Z803" s="110">
        <f t="shared" si="26"/>
        <v>0</v>
      </c>
      <c r="AA803" t="str" cm="1">
        <f t="array" aca="1" ref="AA803" ca="1">IFERROR(INDEX(H_Tables!E:E,MATCH(INDIRECT("I"&amp;ROW()),H_Tables!F:F,0)),"")</f>
        <v/>
      </c>
      <c r="AB803" t="str" cm="1">
        <f t="array" aca="1" ref="AB803" ca="1">IFERROR(INDEX(H_Tables!H:H,MATCH(INDIRECT("k"&amp;ROW()),H_Tables!I:I,0)),"")</f>
        <v/>
      </c>
      <c r="AC803" t="str">
        <f t="shared" si="27"/>
        <v/>
      </c>
      <c r="AD803">
        <v>800</v>
      </c>
    </row>
    <row r="804" spans="13:30" ht="15" customHeight="1" x14ac:dyDescent="0.25">
      <c r="M804" t="s">
        <v>2474</v>
      </c>
      <c r="Z804" s="110">
        <f t="shared" si="26"/>
        <v>0</v>
      </c>
      <c r="AA804" t="str" cm="1">
        <f t="array" aca="1" ref="AA804" ca="1">IFERROR(INDEX(H_Tables!E:E,MATCH(INDIRECT("I"&amp;ROW()),H_Tables!F:F,0)),"")</f>
        <v/>
      </c>
      <c r="AB804" t="str" cm="1">
        <f t="array" aca="1" ref="AB804" ca="1">IFERROR(INDEX(H_Tables!H:H,MATCH(INDIRECT("k"&amp;ROW()),H_Tables!I:I,0)),"")</f>
        <v/>
      </c>
      <c r="AC804" t="str">
        <f t="shared" si="27"/>
        <v/>
      </c>
      <c r="AD804">
        <v>801</v>
      </c>
    </row>
    <row r="805" spans="13:30" ht="15" customHeight="1" x14ac:dyDescent="0.25">
      <c r="M805" t="s">
        <v>2474</v>
      </c>
      <c r="Z805" s="110">
        <f t="shared" si="26"/>
        <v>0</v>
      </c>
      <c r="AA805" t="str" cm="1">
        <f t="array" aca="1" ref="AA805" ca="1">IFERROR(INDEX(H_Tables!E:E,MATCH(INDIRECT("I"&amp;ROW()),H_Tables!F:F,0)),"")</f>
        <v/>
      </c>
      <c r="AB805" t="str" cm="1">
        <f t="array" aca="1" ref="AB805" ca="1">IFERROR(INDEX(H_Tables!H:H,MATCH(INDIRECT("k"&amp;ROW()),H_Tables!I:I,0)),"")</f>
        <v/>
      </c>
      <c r="AC805" t="str">
        <f t="shared" si="27"/>
        <v/>
      </c>
      <c r="AD805">
        <v>802</v>
      </c>
    </row>
    <row r="806" spans="13:30" ht="15" customHeight="1" x14ac:dyDescent="0.25">
      <c r="M806" t="s">
        <v>2474</v>
      </c>
      <c r="Z806" s="110">
        <f t="shared" si="26"/>
        <v>0</v>
      </c>
      <c r="AA806" t="str" cm="1">
        <f t="array" aca="1" ref="AA806" ca="1">IFERROR(INDEX(H_Tables!E:E,MATCH(INDIRECT("I"&amp;ROW()),H_Tables!F:F,0)),"")</f>
        <v/>
      </c>
      <c r="AB806" t="str" cm="1">
        <f t="array" aca="1" ref="AB806" ca="1">IFERROR(INDEX(H_Tables!H:H,MATCH(INDIRECT("k"&amp;ROW()),H_Tables!I:I,0)),"")</f>
        <v/>
      </c>
      <c r="AC806" t="str">
        <f t="shared" si="27"/>
        <v/>
      </c>
      <c r="AD806">
        <v>803</v>
      </c>
    </row>
    <row r="807" spans="13:30" ht="15" customHeight="1" x14ac:dyDescent="0.25">
      <c r="M807" t="s">
        <v>2474</v>
      </c>
      <c r="Z807" s="110">
        <f t="shared" si="26"/>
        <v>0</v>
      </c>
      <c r="AA807" t="str" cm="1">
        <f t="array" aca="1" ref="AA807" ca="1">IFERROR(INDEX(H_Tables!E:E,MATCH(INDIRECT("I"&amp;ROW()),H_Tables!F:F,0)),"")</f>
        <v/>
      </c>
      <c r="AB807" t="str" cm="1">
        <f t="array" aca="1" ref="AB807" ca="1">IFERROR(INDEX(H_Tables!H:H,MATCH(INDIRECT("k"&amp;ROW()),H_Tables!I:I,0)),"")</f>
        <v/>
      </c>
      <c r="AC807" t="str">
        <f t="shared" si="27"/>
        <v/>
      </c>
      <c r="AD807">
        <v>804</v>
      </c>
    </row>
    <row r="808" spans="13:30" ht="15" customHeight="1" x14ac:dyDescent="0.25">
      <c r="M808" t="s">
        <v>2474</v>
      </c>
      <c r="Z808" s="110">
        <f t="shared" si="26"/>
        <v>0</v>
      </c>
      <c r="AA808" t="str" cm="1">
        <f t="array" aca="1" ref="AA808" ca="1">IFERROR(INDEX(H_Tables!E:E,MATCH(INDIRECT("I"&amp;ROW()),H_Tables!F:F,0)),"")</f>
        <v/>
      </c>
      <c r="AB808" t="str" cm="1">
        <f t="array" aca="1" ref="AB808" ca="1">IFERROR(INDEX(H_Tables!H:H,MATCH(INDIRECT("k"&amp;ROW()),H_Tables!I:I,0)),"")</f>
        <v/>
      </c>
      <c r="AC808" t="str">
        <f t="shared" si="27"/>
        <v/>
      </c>
      <c r="AD808">
        <v>805</v>
      </c>
    </row>
    <row r="809" spans="13:30" ht="15" customHeight="1" x14ac:dyDescent="0.25">
      <c r="M809" t="s">
        <v>2474</v>
      </c>
      <c r="Z809" s="110">
        <f t="shared" si="26"/>
        <v>0</v>
      </c>
      <c r="AA809" t="str" cm="1">
        <f t="array" aca="1" ref="AA809" ca="1">IFERROR(INDEX(H_Tables!E:E,MATCH(INDIRECT("I"&amp;ROW()),H_Tables!F:F,0)),"")</f>
        <v/>
      </c>
      <c r="AB809" t="str" cm="1">
        <f t="array" aca="1" ref="AB809" ca="1">IFERROR(INDEX(H_Tables!H:H,MATCH(INDIRECT("k"&amp;ROW()),H_Tables!I:I,0)),"")</f>
        <v/>
      </c>
      <c r="AC809" t="str">
        <f t="shared" si="27"/>
        <v/>
      </c>
      <c r="AD809">
        <v>806</v>
      </c>
    </row>
    <row r="810" spans="13:30" ht="15" customHeight="1" x14ac:dyDescent="0.25">
      <c r="M810" t="s">
        <v>2474</v>
      </c>
      <c r="Z810" s="110">
        <f t="shared" si="26"/>
        <v>0</v>
      </c>
      <c r="AA810" t="str" cm="1">
        <f t="array" aca="1" ref="AA810" ca="1">IFERROR(INDEX(H_Tables!E:E,MATCH(INDIRECT("I"&amp;ROW()),H_Tables!F:F,0)),"")</f>
        <v/>
      </c>
      <c r="AB810" t="str" cm="1">
        <f t="array" aca="1" ref="AB810" ca="1">IFERROR(INDEX(H_Tables!H:H,MATCH(INDIRECT("k"&amp;ROW()),H_Tables!I:I,0)),"")</f>
        <v/>
      </c>
      <c r="AC810" t="str">
        <f t="shared" si="27"/>
        <v/>
      </c>
      <c r="AD810">
        <v>807</v>
      </c>
    </row>
    <row r="811" spans="13:30" ht="15" customHeight="1" x14ac:dyDescent="0.25">
      <c r="M811" t="s">
        <v>2474</v>
      </c>
      <c r="Z811" s="110">
        <f t="shared" si="26"/>
        <v>0</v>
      </c>
      <c r="AA811" t="str" cm="1">
        <f t="array" aca="1" ref="AA811" ca="1">IFERROR(INDEX(H_Tables!E:E,MATCH(INDIRECT("I"&amp;ROW()),H_Tables!F:F,0)),"")</f>
        <v/>
      </c>
      <c r="AB811" t="str" cm="1">
        <f t="array" aca="1" ref="AB811" ca="1">IFERROR(INDEX(H_Tables!H:H,MATCH(INDIRECT("k"&amp;ROW()),H_Tables!I:I,0)),"")</f>
        <v/>
      </c>
      <c r="AC811" t="str">
        <f t="shared" si="27"/>
        <v/>
      </c>
      <c r="AD811">
        <v>808</v>
      </c>
    </row>
    <row r="812" spans="13:30" ht="15" customHeight="1" x14ac:dyDescent="0.25">
      <c r="M812" t="s">
        <v>2474</v>
      </c>
      <c r="Z812" s="110">
        <f t="shared" si="26"/>
        <v>0</v>
      </c>
      <c r="AA812" t="str" cm="1">
        <f t="array" aca="1" ref="AA812" ca="1">IFERROR(INDEX(H_Tables!E:E,MATCH(INDIRECT("I"&amp;ROW()),H_Tables!F:F,0)),"")</f>
        <v/>
      </c>
      <c r="AB812" t="str" cm="1">
        <f t="array" aca="1" ref="AB812" ca="1">IFERROR(INDEX(H_Tables!H:H,MATCH(INDIRECT("k"&amp;ROW()),H_Tables!I:I,0)),"")</f>
        <v/>
      </c>
      <c r="AC812" t="str">
        <f t="shared" si="27"/>
        <v/>
      </c>
      <c r="AD812">
        <v>809</v>
      </c>
    </row>
    <row r="813" spans="13:30" ht="15" customHeight="1" x14ac:dyDescent="0.25">
      <c r="M813" t="s">
        <v>2474</v>
      </c>
      <c r="Z813" s="110">
        <f t="shared" si="26"/>
        <v>0</v>
      </c>
      <c r="AA813" t="str" cm="1">
        <f t="array" aca="1" ref="AA813" ca="1">IFERROR(INDEX(H_Tables!E:E,MATCH(INDIRECT("I"&amp;ROW()),H_Tables!F:F,0)),"")</f>
        <v/>
      </c>
      <c r="AB813" t="str" cm="1">
        <f t="array" aca="1" ref="AB813" ca="1">IFERROR(INDEX(H_Tables!H:H,MATCH(INDIRECT("k"&amp;ROW()),H_Tables!I:I,0)),"")</f>
        <v/>
      </c>
      <c r="AC813" t="str">
        <f t="shared" si="27"/>
        <v/>
      </c>
      <c r="AD813">
        <v>810</v>
      </c>
    </row>
    <row r="814" spans="13:30" ht="15" customHeight="1" x14ac:dyDescent="0.25">
      <c r="M814" t="s">
        <v>2474</v>
      </c>
      <c r="Z814" s="110">
        <f t="shared" si="26"/>
        <v>0</v>
      </c>
      <c r="AA814" t="str" cm="1">
        <f t="array" aca="1" ref="AA814" ca="1">IFERROR(INDEX(H_Tables!E:E,MATCH(INDIRECT("I"&amp;ROW()),H_Tables!F:F,0)),"")</f>
        <v/>
      </c>
      <c r="AB814" t="str" cm="1">
        <f t="array" aca="1" ref="AB814" ca="1">IFERROR(INDEX(H_Tables!H:H,MATCH(INDIRECT("k"&amp;ROW()),H_Tables!I:I,0)),"")</f>
        <v/>
      </c>
      <c r="AC814" t="str">
        <f t="shared" si="27"/>
        <v/>
      </c>
      <c r="AD814">
        <v>811</v>
      </c>
    </row>
    <row r="815" spans="13:30" ht="15" customHeight="1" x14ac:dyDescent="0.25">
      <c r="M815" t="s">
        <v>2474</v>
      </c>
      <c r="Z815" s="110">
        <f t="shared" si="26"/>
        <v>0</v>
      </c>
      <c r="AA815" t="str" cm="1">
        <f t="array" aca="1" ref="AA815" ca="1">IFERROR(INDEX(H_Tables!E:E,MATCH(INDIRECT("I"&amp;ROW()),H_Tables!F:F,0)),"")</f>
        <v/>
      </c>
      <c r="AB815" t="str" cm="1">
        <f t="array" aca="1" ref="AB815" ca="1">IFERROR(INDEX(H_Tables!H:H,MATCH(INDIRECT("k"&amp;ROW()),H_Tables!I:I,0)),"")</f>
        <v/>
      </c>
      <c r="AC815" t="str">
        <f t="shared" si="27"/>
        <v/>
      </c>
      <c r="AD815">
        <v>812</v>
      </c>
    </row>
    <row r="816" spans="13:30" ht="15" customHeight="1" x14ac:dyDescent="0.25">
      <c r="M816" t="s">
        <v>2474</v>
      </c>
      <c r="Z816" s="110">
        <f t="shared" si="26"/>
        <v>0</v>
      </c>
      <c r="AA816" t="str" cm="1">
        <f t="array" aca="1" ref="AA816" ca="1">IFERROR(INDEX(H_Tables!E:E,MATCH(INDIRECT("I"&amp;ROW()),H_Tables!F:F,0)),"")</f>
        <v/>
      </c>
      <c r="AB816" t="str" cm="1">
        <f t="array" aca="1" ref="AB816" ca="1">IFERROR(INDEX(H_Tables!H:H,MATCH(INDIRECT("k"&amp;ROW()),H_Tables!I:I,0)),"")</f>
        <v/>
      </c>
      <c r="AC816" t="str">
        <f t="shared" si="27"/>
        <v/>
      </c>
      <c r="AD816">
        <v>813</v>
      </c>
    </row>
    <row r="817" spans="13:30" ht="15" customHeight="1" x14ac:dyDescent="0.25">
      <c r="M817" t="s">
        <v>2474</v>
      </c>
      <c r="Z817" s="110">
        <f t="shared" si="26"/>
        <v>0</v>
      </c>
      <c r="AA817" t="str" cm="1">
        <f t="array" aca="1" ref="AA817" ca="1">IFERROR(INDEX(H_Tables!E:E,MATCH(INDIRECT("I"&amp;ROW()),H_Tables!F:F,0)),"")</f>
        <v/>
      </c>
      <c r="AB817" t="str" cm="1">
        <f t="array" aca="1" ref="AB817" ca="1">IFERROR(INDEX(H_Tables!H:H,MATCH(INDIRECT("k"&amp;ROW()),H_Tables!I:I,0)),"")</f>
        <v/>
      </c>
      <c r="AC817" t="str">
        <f t="shared" si="27"/>
        <v/>
      </c>
      <c r="AD817">
        <v>814</v>
      </c>
    </row>
    <row r="818" spans="13:30" ht="15" customHeight="1" x14ac:dyDescent="0.25">
      <c r="M818" t="s">
        <v>2474</v>
      </c>
      <c r="Z818" s="110">
        <f t="shared" si="26"/>
        <v>0</v>
      </c>
      <c r="AA818" t="str" cm="1">
        <f t="array" aca="1" ref="AA818" ca="1">IFERROR(INDEX(H_Tables!E:E,MATCH(INDIRECT("I"&amp;ROW()),H_Tables!F:F,0)),"")</f>
        <v/>
      </c>
      <c r="AB818" t="str" cm="1">
        <f t="array" aca="1" ref="AB818" ca="1">IFERROR(INDEX(H_Tables!H:H,MATCH(INDIRECT("k"&amp;ROW()),H_Tables!I:I,0)),"")</f>
        <v/>
      </c>
      <c r="AC818" t="str">
        <f t="shared" si="27"/>
        <v/>
      </c>
      <c r="AD818">
        <v>815</v>
      </c>
    </row>
    <row r="819" spans="13:30" ht="15" customHeight="1" x14ac:dyDescent="0.25">
      <c r="M819" t="s">
        <v>2474</v>
      </c>
      <c r="Z819" s="110">
        <f t="shared" si="26"/>
        <v>0</v>
      </c>
      <c r="AA819" t="str" cm="1">
        <f t="array" aca="1" ref="AA819" ca="1">IFERROR(INDEX(H_Tables!E:E,MATCH(INDIRECT("I"&amp;ROW()),H_Tables!F:F,0)),"")</f>
        <v/>
      </c>
      <c r="AB819" t="str" cm="1">
        <f t="array" aca="1" ref="AB819" ca="1">IFERROR(INDEX(H_Tables!H:H,MATCH(INDIRECT("k"&amp;ROW()),H_Tables!I:I,0)),"")</f>
        <v/>
      </c>
      <c r="AC819" t="str">
        <f t="shared" si="27"/>
        <v/>
      </c>
      <c r="AD819">
        <v>816</v>
      </c>
    </row>
    <row r="820" spans="13:30" ht="15" customHeight="1" x14ac:dyDescent="0.25">
      <c r="M820" t="s">
        <v>2474</v>
      </c>
      <c r="Z820" s="110">
        <f t="shared" si="26"/>
        <v>0</v>
      </c>
      <c r="AA820" t="str" cm="1">
        <f t="array" aca="1" ref="AA820" ca="1">IFERROR(INDEX(H_Tables!E:E,MATCH(INDIRECT("I"&amp;ROW()),H_Tables!F:F,0)),"")</f>
        <v/>
      </c>
      <c r="AB820" t="str" cm="1">
        <f t="array" aca="1" ref="AB820" ca="1">IFERROR(INDEX(H_Tables!H:H,MATCH(INDIRECT("k"&amp;ROW()),H_Tables!I:I,0)),"")</f>
        <v/>
      </c>
      <c r="AC820" t="str">
        <f t="shared" si="27"/>
        <v/>
      </c>
      <c r="AD820">
        <v>817</v>
      </c>
    </row>
    <row r="821" spans="13:30" ht="15" customHeight="1" x14ac:dyDescent="0.25">
      <c r="M821" t="s">
        <v>2474</v>
      </c>
      <c r="Z821" s="110">
        <f t="shared" si="26"/>
        <v>0</v>
      </c>
      <c r="AA821" t="str" cm="1">
        <f t="array" aca="1" ref="AA821" ca="1">IFERROR(INDEX(H_Tables!E:E,MATCH(INDIRECT("I"&amp;ROW()),H_Tables!F:F,0)),"")</f>
        <v/>
      </c>
      <c r="AB821" t="str" cm="1">
        <f t="array" aca="1" ref="AB821" ca="1">IFERROR(INDEX(H_Tables!H:H,MATCH(INDIRECT("k"&amp;ROW()),H_Tables!I:I,0)),"")</f>
        <v/>
      </c>
      <c r="AC821" t="str">
        <f t="shared" si="27"/>
        <v/>
      </c>
      <c r="AD821">
        <v>818</v>
      </c>
    </row>
    <row r="822" spans="13:30" ht="15" customHeight="1" x14ac:dyDescent="0.25">
      <c r="M822" t="s">
        <v>2474</v>
      </c>
      <c r="Z822" s="110">
        <f t="shared" si="26"/>
        <v>0</v>
      </c>
      <c r="AA822" t="str" cm="1">
        <f t="array" aca="1" ref="AA822" ca="1">IFERROR(INDEX(H_Tables!E:E,MATCH(INDIRECT("I"&amp;ROW()),H_Tables!F:F,0)),"")</f>
        <v/>
      </c>
      <c r="AB822" t="str" cm="1">
        <f t="array" aca="1" ref="AB822" ca="1">IFERROR(INDEX(H_Tables!H:H,MATCH(INDIRECT("k"&amp;ROW()),H_Tables!I:I,0)),"")</f>
        <v/>
      </c>
      <c r="AC822" t="str">
        <f t="shared" si="27"/>
        <v/>
      </c>
      <c r="AD822">
        <v>819</v>
      </c>
    </row>
    <row r="823" spans="13:30" ht="15" customHeight="1" x14ac:dyDescent="0.25">
      <c r="M823" t="s">
        <v>2474</v>
      </c>
      <c r="Z823" s="110">
        <f t="shared" si="26"/>
        <v>0</v>
      </c>
      <c r="AA823" t="str" cm="1">
        <f t="array" aca="1" ref="AA823" ca="1">IFERROR(INDEX(H_Tables!E:E,MATCH(INDIRECT("I"&amp;ROW()),H_Tables!F:F,0)),"")</f>
        <v/>
      </c>
      <c r="AB823" t="str" cm="1">
        <f t="array" aca="1" ref="AB823" ca="1">IFERROR(INDEX(H_Tables!H:H,MATCH(INDIRECT("k"&amp;ROW()),H_Tables!I:I,0)),"")</f>
        <v/>
      </c>
      <c r="AC823" t="str">
        <f t="shared" si="27"/>
        <v/>
      </c>
      <c r="AD823">
        <v>820</v>
      </c>
    </row>
    <row r="824" spans="13:30" ht="15" customHeight="1" x14ac:dyDescent="0.25">
      <c r="M824" t="s">
        <v>2474</v>
      </c>
      <c r="Z824" s="110">
        <f t="shared" si="26"/>
        <v>0</v>
      </c>
      <c r="AA824" t="str" cm="1">
        <f t="array" aca="1" ref="AA824" ca="1">IFERROR(INDEX(H_Tables!E:E,MATCH(INDIRECT("I"&amp;ROW()),H_Tables!F:F,0)),"")</f>
        <v/>
      </c>
      <c r="AB824" t="str" cm="1">
        <f t="array" aca="1" ref="AB824" ca="1">IFERROR(INDEX(H_Tables!H:H,MATCH(INDIRECT("k"&amp;ROW()),H_Tables!I:I,0)),"")</f>
        <v/>
      </c>
      <c r="AC824" t="str">
        <f t="shared" si="27"/>
        <v/>
      </c>
      <c r="AD824">
        <v>821</v>
      </c>
    </row>
    <row r="825" spans="13:30" ht="15" customHeight="1" x14ac:dyDescent="0.25">
      <c r="M825" t="s">
        <v>2474</v>
      </c>
      <c r="Z825" s="110">
        <f t="shared" si="26"/>
        <v>0</v>
      </c>
      <c r="AA825" t="str" cm="1">
        <f t="array" aca="1" ref="AA825" ca="1">IFERROR(INDEX(H_Tables!E:E,MATCH(INDIRECT("I"&amp;ROW()),H_Tables!F:F,0)),"")</f>
        <v/>
      </c>
      <c r="AB825" t="str" cm="1">
        <f t="array" aca="1" ref="AB825" ca="1">IFERROR(INDEX(H_Tables!H:H,MATCH(INDIRECT("k"&amp;ROW()),H_Tables!I:I,0)),"")</f>
        <v/>
      </c>
      <c r="AC825" t="str">
        <f t="shared" si="27"/>
        <v/>
      </c>
      <c r="AD825">
        <v>822</v>
      </c>
    </row>
    <row r="826" spans="13:30" ht="15" customHeight="1" x14ac:dyDescent="0.25">
      <c r="M826" t="s">
        <v>2474</v>
      </c>
      <c r="Z826" s="110">
        <f t="shared" si="26"/>
        <v>0</v>
      </c>
      <c r="AA826" t="str" cm="1">
        <f t="array" aca="1" ref="AA826" ca="1">IFERROR(INDEX(H_Tables!E:E,MATCH(INDIRECT("I"&amp;ROW()),H_Tables!F:F,0)),"")</f>
        <v/>
      </c>
      <c r="AB826" t="str" cm="1">
        <f t="array" aca="1" ref="AB826" ca="1">IFERROR(INDEX(H_Tables!H:H,MATCH(INDIRECT("k"&amp;ROW()),H_Tables!I:I,0)),"")</f>
        <v/>
      </c>
      <c r="AC826" t="str">
        <f t="shared" si="27"/>
        <v/>
      </c>
      <c r="AD826">
        <v>823</v>
      </c>
    </row>
    <row r="827" spans="13:30" ht="15" customHeight="1" x14ac:dyDescent="0.25">
      <c r="M827" t="s">
        <v>2474</v>
      </c>
      <c r="Z827" s="110">
        <f t="shared" si="26"/>
        <v>0</v>
      </c>
      <c r="AA827" t="str" cm="1">
        <f t="array" aca="1" ref="AA827" ca="1">IFERROR(INDEX(H_Tables!E:E,MATCH(INDIRECT("I"&amp;ROW()),H_Tables!F:F,0)),"")</f>
        <v/>
      </c>
      <c r="AB827" t="str" cm="1">
        <f t="array" aca="1" ref="AB827" ca="1">IFERROR(INDEX(H_Tables!H:H,MATCH(INDIRECT("k"&amp;ROW()),H_Tables!I:I,0)),"")</f>
        <v/>
      </c>
      <c r="AC827" t="str">
        <f t="shared" si="27"/>
        <v/>
      </c>
      <c r="AD827">
        <v>824</v>
      </c>
    </row>
    <row r="828" spans="13:30" ht="15" customHeight="1" x14ac:dyDescent="0.25">
      <c r="M828" t="s">
        <v>2474</v>
      </c>
      <c r="Z828" s="110">
        <f t="shared" si="26"/>
        <v>0</v>
      </c>
      <c r="AA828" t="str" cm="1">
        <f t="array" aca="1" ref="AA828" ca="1">IFERROR(INDEX(H_Tables!E:E,MATCH(INDIRECT("I"&amp;ROW()),H_Tables!F:F,0)),"")</f>
        <v/>
      </c>
      <c r="AB828" t="str" cm="1">
        <f t="array" aca="1" ref="AB828" ca="1">IFERROR(INDEX(H_Tables!H:H,MATCH(INDIRECT("k"&amp;ROW()),H_Tables!I:I,0)),"")</f>
        <v/>
      </c>
      <c r="AC828" t="str">
        <f t="shared" si="27"/>
        <v/>
      </c>
      <c r="AD828">
        <v>825</v>
      </c>
    </row>
    <row r="829" spans="13:30" ht="15" customHeight="1" x14ac:dyDescent="0.25">
      <c r="M829" t="s">
        <v>2474</v>
      </c>
      <c r="Z829" s="110">
        <f t="shared" si="26"/>
        <v>0</v>
      </c>
      <c r="AA829" t="str" cm="1">
        <f t="array" aca="1" ref="AA829" ca="1">IFERROR(INDEX(H_Tables!E:E,MATCH(INDIRECT("I"&amp;ROW()),H_Tables!F:F,0)),"")</f>
        <v/>
      </c>
      <c r="AB829" t="str" cm="1">
        <f t="array" aca="1" ref="AB829" ca="1">IFERROR(INDEX(H_Tables!H:H,MATCH(INDIRECT("k"&amp;ROW()),H_Tables!I:I,0)),"")</f>
        <v/>
      </c>
      <c r="AC829" t="str">
        <f t="shared" si="27"/>
        <v/>
      </c>
      <c r="AD829">
        <v>826</v>
      </c>
    </row>
    <row r="830" spans="13:30" ht="15" customHeight="1" x14ac:dyDescent="0.25">
      <c r="M830" t="s">
        <v>2474</v>
      </c>
      <c r="Z830" s="110">
        <f t="shared" si="26"/>
        <v>0</v>
      </c>
      <c r="AA830" t="str" cm="1">
        <f t="array" aca="1" ref="AA830" ca="1">IFERROR(INDEX(H_Tables!E:E,MATCH(INDIRECT("I"&amp;ROW()),H_Tables!F:F,0)),"")</f>
        <v/>
      </c>
      <c r="AB830" t="str" cm="1">
        <f t="array" aca="1" ref="AB830" ca="1">IFERROR(INDEX(H_Tables!H:H,MATCH(INDIRECT("k"&amp;ROW()),H_Tables!I:I,0)),"")</f>
        <v/>
      </c>
      <c r="AC830" t="str">
        <f t="shared" si="27"/>
        <v/>
      </c>
      <c r="AD830">
        <v>827</v>
      </c>
    </row>
    <row r="831" spans="13:30" ht="15" customHeight="1" x14ac:dyDescent="0.25">
      <c r="M831" t="s">
        <v>2474</v>
      </c>
      <c r="Z831" s="110">
        <f t="shared" si="26"/>
        <v>0</v>
      </c>
      <c r="AA831" t="str" cm="1">
        <f t="array" aca="1" ref="AA831" ca="1">IFERROR(INDEX(H_Tables!E:E,MATCH(INDIRECT("I"&amp;ROW()),H_Tables!F:F,0)),"")</f>
        <v/>
      </c>
      <c r="AB831" t="str" cm="1">
        <f t="array" aca="1" ref="AB831" ca="1">IFERROR(INDEX(H_Tables!H:H,MATCH(INDIRECT("k"&amp;ROW()),H_Tables!I:I,0)),"")</f>
        <v/>
      </c>
      <c r="AC831" t="str">
        <f t="shared" si="27"/>
        <v/>
      </c>
      <c r="AD831">
        <v>828</v>
      </c>
    </row>
    <row r="832" spans="13:30" ht="15" customHeight="1" x14ac:dyDescent="0.25">
      <c r="M832" t="s">
        <v>2474</v>
      </c>
      <c r="Z832" s="110">
        <f t="shared" si="26"/>
        <v>0</v>
      </c>
      <c r="AA832" t="str" cm="1">
        <f t="array" aca="1" ref="AA832" ca="1">IFERROR(INDEX(H_Tables!E:E,MATCH(INDIRECT("I"&amp;ROW()),H_Tables!F:F,0)),"")</f>
        <v/>
      </c>
      <c r="AB832" t="str" cm="1">
        <f t="array" aca="1" ref="AB832" ca="1">IFERROR(INDEX(H_Tables!H:H,MATCH(INDIRECT("k"&amp;ROW()),H_Tables!I:I,0)),"")</f>
        <v/>
      </c>
      <c r="AC832" t="str">
        <f t="shared" si="27"/>
        <v/>
      </c>
      <c r="AD832">
        <v>829</v>
      </c>
    </row>
    <row r="833" spans="13:30" ht="15" customHeight="1" x14ac:dyDescent="0.25">
      <c r="M833" t="s">
        <v>2474</v>
      </c>
      <c r="Z833" s="110">
        <f t="shared" si="26"/>
        <v>0</v>
      </c>
      <c r="AA833" t="str" cm="1">
        <f t="array" aca="1" ref="AA833" ca="1">IFERROR(INDEX(H_Tables!E:E,MATCH(INDIRECT("I"&amp;ROW()),H_Tables!F:F,0)),"")</f>
        <v/>
      </c>
      <c r="AB833" t="str" cm="1">
        <f t="array" aca="1" ref="AB833" ca="1">IFERROR(INDEX(H_Tables!H:H,MATCH(INDIRECT("k"&amp;ROW()),H_Tables!I:I,0)),"")</f>
        <v/>
      </c>
      <c r="AC833" t="str">
        <f t="shared" si="27"/>
        <v/>
      </c>
      <c r="AD833">
        <v>830</v>
      </c>
    </row>
    <row r="834" spans="13:30" ht="15" customHeight="1" x14ac:dyDescent="0.25">
      <c r="M834" t="s">
        <v>2474</v>
      </c>
      <c r="Z834" s="110">
        <f t="shared" ref="Z834:Z897" si="28">ROUND(IF((F834+G834)=0,0,S834/Y834),4)</f>
        <v>0</v>
      </c>
      <c r="AA834" t="str" cm="1">
        <f t="array" aca="1" ref="AA834" ca="1">IFERROR(INDEX(H_Tables!E:E,MATCH(INDIRECT("I"&amp;ROW()),H_Tables!F:F,0)),"")</f>
        <v/>
      </c>
      <c r="AB834" t="str" cm="1">
        <f t="array" aca="1" ref="AB834" ca="1">IFERROR(INDEX(H_Tables!H:H,MATCH(INDIRECT("k"&amp;ROW()),H_Tables!I:I,0)),"")</f>
        <v/>
      </c>
      <c r="AC834" t="str">
        <f t="shared" si="27"/>
        <v/>
      </c>
      <c r="AD834">
        <v>831</v>
      </c>
    </row>
    <row r="835" spans="13:30" ht="15" customHeight="1" x14ac:dyDescent="0.25">
      <c r="M835" t="s">
        <v>2474</v>
      </c>
      <c r="Z835" s="110">
        <f t="shared" si="28"/>
        <v>0</v>
      </c>
      <c r="AA835" t="str" cm="1">
        <f t="array" aca="1" ref="AA835" ca="1">IFERROR(INDEX(H_Tables!E:E,MATCH(INDIRECT("I"&amp;ROW()),H_Tables!F:F,0)),"")</f>
        <v/>
      </c>
      <c r="AB835" t="str" cm="1">
        <f t="array" aca="1" ref="AB835" ca="1">IFERROR(INDEX(H_Tables!H:H,MATCH(INDIRECT("k"&amp;ROW()),H_Tables!I:I,0)),"")</f>
        <v/>
      </c>
      <c r="AC835" t="str">
        <f t="shared" si="27"/>
        <v/>
      </c>
      <c r="AD835">
        <v>832</v>
      </c>
    </row>
    <row r="836" spans="13:30" ht="15" customHeight="1" x14ac:dyDescent="0.25">
      <c r="M836" t="s">
        <v>2474</v>
      </c>
      <c r="Z836" s="110">
        <f t="shared" si="28"/>
        <v>0</v>
      </c>
      <c r="AA836" t="str" cm="1">
        <f t="array" aca="1" ref="AA836" ca="1">IFERROR(INDEX(H_Tables!E:E,MATCH(INDIRECT("I"&amp;ROW()),H_Tables!F:F,0)),"")</f>
        <v/>
      </c>
      <c r="AB836" t="str" cm="1">
        <f t="array" aca="1" ref="AB836" ca="1">IFERROR(INDEX(H_Tables!H:H,MATCH(INDIRECT("k"&amp;ROW()),H_Tables!I:I,0)),"")</f>
        <v/>
      </c>
      <c r="AC836" t="str">
        <f t="shared" ref="AC836:AC899" si="29">_xlfn.TEXTJOIN(",",TRUE,M836:P836)</f>
        <v/>
      </c>
      <c r="AD836">
        <v>833</v>
      </c>
    </row>
    <row r="837" spans="13:30" ht="15" customHeight="1" x14ac:dyDescent="0.25">
      <c r="M837" t="s">
        <v>2474</v>
      </c>
      <c r="Z837" s="110">
        <f t="shared" si="28"/>
        <v>0</v>
      </c>
      <c r="AA837" t="str" cm="1">
        <f t="array" aca="1" ref="AA837" ca="1">IFERROR(INDEX(H_Tables!E:E,MATCH(INDIRECT("I"&amp;ROW()),H_Tables!F:F,0)),"")</f>
        <v/>
      </c>
      <c r="AB837" t="str" cm="1">
        <f t="array" aca="1" ref="AB837" ca="1">IFERROR(INDEX(H_Tables!H:H,MATCH(INDIRECT("k"&amp;ROW()),H_Tables!I:I,0)),"")</f>
        <v/>
      </c>
      <c r="AC837" t="str">
        <f t="shared" si="29"/>
        <v/>
      </c>
      <c r="AD837">
        <v>834</v>
      </c>
    </row>
    <row r="838" spans="13:30" ht="15" customHeight="1" x14ac:dyDescent="0.25">
      <c r="M838" t="s">
        <v>2474</v>
      </c>
      <c r="Z838" s="110">
        <f t="shared" si="28"/>
        <v>0</v>
      </c>
      <c r="AA838" t="str" cm="1">
        <f t="array" aca="1" ref="AA838" ca="1">IFERROR(INDEX(H_Tables!E:E,MATCH(INDIRECT("I"&amp;ROW()),H_Tables!F:F,0)),"")</f>
        <v/>
      </c>
      <c r="AB838" t="str" cm="1">
        <f t="array" aca="1" ref="AB838" ca="1">IFERROR(INDEX(H_Tables!H:H,MATCH(INDIRECT("k"&amp;ROW()),H_Tables!I:I,0)),"")</f>
        <v/>
      </c>
      <c r="AC838" t="str">
        <f t="shared" si="29"/>
        <v/>
      </c>
      <c r="AD838">
        <v>835</v>
      </c>
    </row>
    <row r="839" spans="13:30" ht="15" customHeight="1" x14ac:dyDescent="0.25">
      <c r="M839" t="s">
        <v>2474</v>
      </c>
      <c r="Z839" s="110">
        <f t="shared" si="28"/>
        <v>0</v>
      </c>
      <c r="AA839" t="str" cm="1">
        <f t="array" aca="1" ref="AA839" ca="1">IFERROR(INDEX(H_Tables!E:E,MATCH(INDIRECT("I"&amp;ROW()),H_Tables!F:F,0)),"")</f>
        <v/>
      </c>
      <c r="AB839" t="str" cm="1">
        <f t="array" aca="1" ref="AB839" ca="1">IFERROR(INDEX(H_Tables!H:H,MATCH(INDIRECT("k"&amp;ROW()),H_Tables!I:I,0)),"")</f>
        <v/>
      </c>
      <c r="AC839" t="str">
        <f t="shared" si="29"/>
        <v/>
      </c>
      <c r="AD839">
        <v>836</v>
      </c>
    </row>
    <row r="840" spans="13:30" ht="15" customHeight="1" x14ac:dyDescent="0.25">
      <c r="M840" t="s">
        <v>2474</v>
      </c>
      <c r="Z840" s="110">
        <f t="shared" si="28"/>
        <v>0</v>
      </c>
      <c r="AA840" t="str" cm="1">
        <f t="array" aca="1" ref="AA840" ca="1">IFERROR(INDEX(H_Tables!E:E,MATCH(INDIRECT("I"&amp;ROW()),H_Tables!F:F,0)),"")</f>
        <v/>
      </c>
      <c r="AB840" t="str" cm="1">
        <f t="array" aca="1" ref="AB840" ca="1">IFERROR(INDEX(H_Tables!H:H,MATCH(INDIRECT("k"&amp;ROW()),H_Tables!I:I,0)),"")</f>
        <v/>
      </c>
      <c r="AC840" t="str">
        <f t="shared" si="29"/>
        <v/>
      </c>
      <c r="AD840">
        <v>837</v>
      </c>
    </row>
    <row r="841" spans="13:30" ht="15" customHeight="1" x14ac:dyDescent="0.25">
      <c r="M841" t="s">
        <v>2474</v>
      </c>
      <c r="Z841" s="110">
        <f t="shared" si="28"/>
        <v>0</v>
      </c>
      <c r="AA841" t="str" cm="1">
        <f t="array" aca="1" ref="AA841" ca="1">IFERROR(INDEX(H_Tables!E:E,MATCH(INDIRECT("I"&amp;ROW()),H_Tables!F:F,0)),"")</f>
        <v/>
      </c>
      <c r="AB841" t="str" cm="1">
        <f t="array" aca="1" ref="AB841" ca="1">IFERROR(INDEX(H_Tables!H:H,MATCH(INDIRECT("k"&amp;ROW()),H_Tables!I:I,0)),"")</f>
        <v/>
      </c>
      <c r="AC841" t="str">
        <f t="shared" si="29"/>
        <v/>
      </c>
      <c r="AD841">
        <v>838</v>
      </c>
    </row>
    <row r="842" spans="13:30" ht="15" customHeight="1" x14ac:dyDescent="0.25">
      <c r="M842" t="s">
        <v>2474</v>
      </c>
      <c r="Z842" s="110">
        <f t="shared" si="28"/>
        <v>0</v>
      </c>
      <c r="AA842" t="str" cm="1">
        <f t="array" aca="1" ref="AA842" ca="1">IFERROR(INDEX(H_Tables!E:E,MATCH(INDIRECT("I"&amp;ROW()),H_Tables!F:F,0)),"")</f>
        <v/>
      </c>
      <c r="AB842" t="str" cm="1">
        <f t="array" aca="1" ref="AB842" ca="1">IFERROR(INDEX(H_Tables!H:H,MATCH(INDIRECT("k"&amp;ROW()),H_Tables!I:I,0)),"")</f>
        <v/>
      </c>
      <c r="AC842" t="str">
        <f t="shared" si="29"/>
        <v/>
      </c>
      <c r="AD842">
        <v>839</v>
      </c>
    </row>
    <row r="843" spans="13:30" ht="15" customHeight="1" x14ac:dyDescent="0.25">
      <c r="M843" t="s">
        <v>2474</v>
      </c>
      <c r="Z843" s="110">
        <f t="shared" si="28"/>
        <v>0</v>
      </c>
      <c r="AA843" t="str" cm="1">
        <f t="array" aca="1" ref="AA843" ca="1">IFERROR(INDEX(H_Tables!E:E,MATCH(INDIRECT("I"&amp;ROW()),H_Tables!F:F,0)),"")</f>
        <v/>
      </c>
      <c r="AB843" t="str" cm="1">
        <f t="array" aca="1" ref="AB843" ca="1">IFERROR(INDEX(H_Tables!H:H,MATCH(INDIRECT("k"&amp;ROW()),H_Tables!I:I,0)),"")</f>
        <v/>
      </c>
      <c r="AC843" t="str">
        <f t="shared" si="29"/>
        <v/>
      </c>
      <c r="AD843">
        <v>840</v>
      </c>
    </row>
    <row r="844" spans="13:30" ht="15" customHeight="1" x14ac:dyDescent="0.25">
      <c r="M844" t="s">
        <v>2474</v>
      </c>
      <c r="Z844" s="110">
        <f t="shared" si="28"/>
        <v>0</v>
      </c>
      <c r="AA844" t="str" cm="1">
        <f t="array" aca="1" ref="AA844" ca="1">IFERROR(INDEX(H_Tables!E:E,MATCH(INDIRECT("I"&amp;ROW()),H_Tables!F:F,0)),"")</f>
        <v/>
      </c>
      <c r="AB844" t="str" cm="1">
        <f t="array" aca="1" ref="AB844" ca="1">IFERROR(INDEX(H_Tables!H:H,MATCH(INDIRECT("k"&amp;ROW()),H_Tables!I:I,0)),"")</f>
        <v/>
      </c>
      <c r="AC844" t="str">
        <f t="shared" si="29"/>
        <v/>
      </c>
      <c r="AD844">
        <v>841</v>
      </c>
    </row>
    <row r="845" spans="13:30" ht="15" customHeight="1" x14ac:dyDescent="0.25">
      <c r="M845" t="s">
        <v>2474</v>
      </c>
      <c r="Z845" s="110">
        <f t="shared" si="28"/>
        <v>0</v>
      </c>
      <c r="AA845" t="str" cm="1">
        <f t="array" aca="1" ref="AA845" ca="1">IFERROR(INDEX(H_Tables!E:E,MATCH(INDIRECT("I"&amp;ROW()),H_Tables!F:F,0)),"")</f>
        <v/>
      </c>
      <c r="AB845" t="str" cm="1">
        <f t="array" aca="1" ref="AB845" ca="1">IFERROR(INDEX(H_Tables!H:H,MATCH(INDIRECT("k"&amp;ROW()),H_Tables!I:I,0)),"")</f>
        <v/>
      </c>
      <c r="AC845" t="str">
        <f t="shared" si="29"/>
        <v/>
      </c>
      <c r="AD845">
        <v>842</v>
      </c>
    </row>
    <row r="846" spans="13:30" ht="15" customHeight="1" x14ac:dyDescent="0.25">
      <c r="M846" t="s">
        <v>2474</v>
      </c>
      <c r="Z846" s="110">
        <f t="shared" si="28"/>
        <v>0</v>
      </c>
      <c r="AA846" t="str" cm="1">
        <f t="array" aca="1" ref="AA846" ca="1">IFERROR(INDEX(H_Tables!E:E,MATCH(INDIRECT("I"&amp;ROW()),H_Tables!F:F,0)),"")</f>
        <v/>
      </c>
      <c r="AB846" t="str" cm="1">
        <f t="array" aca="1" ref="AB846" ca="1">IFERROR(INDEX(H_Tables!H:H,MATCH(INDIRECT("k"&amp;ROW()),H_Tables!I:I,0)),"")</f>
        <v/>
      </c>
      <c r="AC846" t="str">
        <f t="shared" si="29"/>
        <v/>
      </c>
      <c r="AD846">
        <v>843</v>
      </c>
    </row>
    <row r="847" spans="13:30" ht="15" customHeight="1" x14ac:dyDescent="0.25">
      <c r="M847" t="s">
        <v>2474</v>
      </c>
      <c r="Z847" s="110">
        <f t="shared" si="28"/>
        <v>0</v>
      </c>
      <c r="AA847" t="str" cm="1">
        <f t="array" aca="1" ref="AA847" ca="1">IFERROR(INDEX(H_Tables!E:E,MATCH(INDIRECT("I"&amp;ROW()),H_Tables!F:F,0)),"")</f>
        <v/>
      </c>
      <c r="AB847" t="str" cm="1">
        <f t="array" aca="1" ref="AB847" ca="1">IFERROR(INDEX(H_Tables!H:H,MATCH(INDIRECT("k"&amp;ROW()),H_Tables!I:I,0)),"")</f>
        <v/>
      </c>
      <c r="AC847" t="str">
        <f t="shared" si="29"/>
        <v/>
      </c>
      <c r="AD847">
        <v>844</v>
      </c>
    </row>
    <row r="848" spans="13:30" ht="15" customHeight="1" x14ac:dyDescent="0.25">
      <c r="M848" t="s">
        <v>2474</v>
      </c>
      <c r="Z848" s="110">
        <f t="shared" si="28"/>
        <v>0</v>
      </c>
      <c r="AA848" t="str" cm="1">
        <f t="array" aca="1" ref="AA848" ca="1">IFERROR(INDEX(H_Tables!E:E,MATCH(INDIRECT("I"&amp;ROW()),H_Tables!F:F,0)),"")</f>
        <v/>
      </c>
      <c r="AB848" t="str" cm="1">
        <f t="array" aca="1" ref="AB848" ca="1">IFERROR(INDEX(H_Tables!H:H,MATCH(INDIRECT("k"&amp;ROW()),H_Tables!I:I,0)),"")</f>
        <v/>
      </c>
      <c r="AC848" t="str">
        <f t="shared" si="29"/>
        <v/>
      </c>
      <c r="AD848">
        <v>845</v>
      </c>
    </row>
    <row r="849" spans="13:30" ht="15" customHeight="1" x14ac:dyDescent="0.25">
      <c r="M849" t="s">
        <v>2474</v>
      </c>
      <c r="Z849" s="110">
        <f t="shared" si="28"/>
        <v>0</v>
      </c>
      <c r="AA849" t="str" cm="1">
        <f t="array" aca="1" ref="AA849" ca="1">IFERROR(INDEX(H_Tables!E:E,MATCH(INDIRECT("I"&amp;ROW()),H_Tables!F:F,0)),"")</f>
        <v/>
      </c>
      <c r="AB849" t="str" cm="1">
        <f t="array" aca="1" ref="AB849" ca="1">IFERROR(INDEX(H_Tables!H:H,MATCH(INDIRECT("k"&amp;ROW()),H_Tables!I:I,0)),"")</f>
        <v/>
      </c>
      <c r="AC849" t="str">
        <f t="shared" si="29"/>
        <v/>
      </c>
      <c r="AD849">
        <v>846</v>
      </c>
    </row>
    <row r="850" spans="13:30" ht="15" customHeight="1" x14ac:dyDescent="0.25">
      <c r="M850" t="s">
        <v>2474</v>
      </c>
      <c r="Z850" s="110">
        <f t="shared" si="28"/>
        <v>0</v>
      </c>
      <c r="AA850" t="str" cm="1">
        <f t="array" aca="1" ref="AA850" ca="1">IFERROR(INDEX(H_Tables!E:E,MATCH(INDIRECT("I"&amp;ROW()),H_Tables!F:F,0)),"")</f>
        <v/>
      </c>
      <c r="AB850" t="str" cm="1">
        <f t="array" aca="1" ref="AB850" ca="1">IFERROR(INDEX(H_Tables!H:H,MATCH(INDIRECT("k"&amp;ROW()),H_Tables!I:I,0)),"")</f>
        <v/>
      </c>
      <c r="AC850" t="str">
        <f t="shared" si="29"/>
        <v/>
      </c>
      <c r="AD850">
        <v>847</v>
      </c>
    </row>
    <row r="851" spans="13:30" ht="15" customHeight="1" x14ac:dyDescent="0.25">
      <c r="M851" t="s">
        <v>2474</v>
      </c>
      <c r="Z851" s="110">
        <f t="shared" si="28"/>
        <v>0</v>
      </c>
      <c r="AA851" t="str" cm="1">
        <f t="array" aca="1" ref="AA851" ca="1">IFERROR(INDEX(H_Tables!E:E,MATCH(INDIRECT("I"&amp;ROW()),H_Tables!F:F,0)),"")</f>
        <v/>
      </c>
      <c r="AB851" t="str" cm="1">
        <f t="array" aca="1" ref="AB851" ca="1">IFERROR(INDEX(H_Tables!H:H,MATCH(INDIRECT("k"&amp;ROW()),H_Tables!I:I,0)),"")</f>
        <v/>
      </c>
      <c r="AC851" t="str">
        <f t="shared" si="29"/>
        <v/>
      </c>
      <c r="AD851">
        <v>848</v>
      </c>
    </row>
    <row r="852" spans="13:30" ht="15" customHeight="1" x14ac:dyDescent="0.25">
      <c r="M852" t="s">
        <v>2474</v>
      </c>
      <c r="Z852" s="110">
        <f t="shared" si="28"/>
        <v>0</v>
      </c>
      <c r="AA852" t="str" cm="1">
        <f t="array" aca="1" ref="AA852" ca="1">IFERROR(INDEX(H_Tables!E:E,MATCH(INDIRECT("I"&amp;ROW()),H_Tables!F:F,0)),"")</f>
        <v/>
      </c>
      <c r="AB852" t="str" cm="1">
        <f t="array" aca="1" ref="AB852" ca="1">IFERROR(INDEX(H_Tables!H:H,MATCH(INDIRECT("k"&amp;ROW()),H_Tables!I:I,0)),"")</f>
        <v/>
      </c>
      <c r="AC852" t="str">
        <f t="shared" si="29"/>
        <v/>
      </c>
      <c r="AD852">
        <v>849</v>
      </c>
    </row>
    <row r="853" spans="13:30" ht="15" customHeight="1" x14ac:dyDescent="0.25">
      <c r="M853" t="s">
        <v>2474</v>
      </c>
      <c r="Z853" s="110">
        <f t="shared" si="28"/>
        <v>0</v>
      </c>
      <c r="AA853" t="str" cm="1">
        <f t="array" aca="1" ref="AA853" ca="1">IFERROR(INDEX(H_Tables!E:E,MATCH(INDIRECT("I"&amp;ROW()),H_Tables!F:F,0)),"")</f>
        <v/>
      </c>
      <c r="AB853" t="str" cm="1">
        <f t="array" aca="1" ref="AB853" ca="1">IFERROR(INDEX(H_Tables!H:H,MATCH(INDIRECT("k"&amp;ROW()),H_Tables!I:I,0)),"")</f>
        <v/>
      </c>
      <c r="AC853" t="str">
        <f t="shared" si="29"/>
        <v/>
      </c>
      <c r="AD853">
        <v>850</v>
      </c>
    </row>
    <row r="854" spans="13:30" ht="15" customHeight="1" x14ac:dyDescent="0.25">
      <c r="M854" t="s">
        <v>2474</v>
      </c>
      <c r="Z854" s="110">
        <f t="shared" si="28"/>
        <v>0</v>
      </c>
      <c r="AA854" t="str" cm="1">
        <f t="array" aca="1" ref="AA854" ca="1">IFERROR(INDEX(H_Tables!E:E,MATCH(INDIRECT("I"&amp;ROW()),H_Tables!F:F,0)),"")</f>
        <v/>
      </c>
      <c r="AB854" t="str" cm="1">
        <f t="array" aca="1" ref="AB854" ca="1">IFERROR(INDEX(H_Tables!H:H,MATCH(INDIRECT("k"&amp;ROW()),H_Tables!I:I,0)),"")</f>
        <v/>
      </c>
      <c r="AC854" t="str">
        <f t="shared" si="29"/>
        <v/>
      </c>
      <c r="AD854">
        <v>851</v>
      </c>
    </row>
    <row r="855" spans="13:30" ht="15" customHeight="1" x14ac:dyDescent="0.25">
      <c r="M855" t="s">
        <v>2474</v>
      </c>
      <c r="Z855" s="110">
        <f t="shared" si="28"/>
        <v>0</v>
      </c>
      <c r="AA855" t="str" cm="1">
        <f t="array" aca="1" ref="AA855" ca="1">IFERROR(INDEX(H_Tables!E:E,MATCH(INDIRECT("I"&amp;ROW()),H_Tables!F:F,0)),"")</f>
        <v/>
      </c>
      <c r="AB855" t="str" cm="1">
        <f t="array" aca="1" ref="AB855" ca="1">IFERROR(INDEX(H_Tables!H:H,MATCH(INDIRECT("k"&amp;ROW()),H_Tables!I:I,0)),"")</f>
        <v/>
      </c>
      <c r="AC855" t="str">
        <f t="shared" si="29"/>
        <v/>
      </c>
      <c r="AD855">
        <v>852</v>
      </c>
    </row>
    <row r="856" spans="13:30" ht="15" customHeight="1" x14ac:dyDescent="0.25">
      <c r="M856" t="s">
        <v>2474</v>
      </c>
      <c r="Z856" s="110">
        <f t="shared" si="28"/>
        <v>0</v>
      </c>
      <c r="AA856" t="str" cm="1">
        <f t="array" aca="1" ref="AA856" ca="1">IFERROR(INDEX(H_Tables!E:E,MATCH(INDIRECT("I"&amp;ROW()),H_Tables!F:F,0)),"")</f>
        <v/>
      </c>
      <c r="AB856" t="str" cm="1">
        <f t="array" aca="1" ref="AB856" ca="1">IFERROR(INDEX(H_Tables!H:H,MATCH(INDIRECT("k"&amp;ROW()),H_Tables!I:I,0)),"")</f>
        <v/>
      </c>
      <c r="AC856" t="str">
        <f t="shared" si="29"/>
        <v/>
      </c>
      <c r="AD856">
        <v>853</v>
      </c>
    </row>
    <row r="857" spans="13:30" ht="15" customHeight="1" x14ac:dyDescent="0.25">
      <c r="M857" t="s">
        <v>2474</v>
      </c>
      <c r="Z857" s="110">
        <f t="shared" si="28"/>
        <v>0</v>
      </c>
      <c r="AA857" t="str" cm="1">
        <f t="array" aca="1" ref="AA857" ca="1">IFERROR(INDEX(H_Tables!E:E,MATCH(INDIRECT("I"&amp;ROW()),H_Tables!F:F,0)),"")</f>
        <v/>
      </c>
      <c r="AB857" t="str" cm="1">
        <f t="array" aca="1" ref="AB857" ca="1">IFERROR(INDEX(H_Tables!H:H,MATCH(INDIRECT("k"&amp;ROW()),H_Tables!I:I,0)),"")</f>
        <v/>
      </c>
      <c r="AC857" t="str">
        <f t="shared" si="29"/>
        <v/>
      </c>
      <c r="AD857">
        <v>854</v>
      </c>
    </row>
    <row r="858" spans="13:30" ht="15" customHeight="1" x14ac:dyDescent="0.25">
      <c r="M858" t="s">
        <v>2474</v>
      </c>
      <c r="Z858" s="110">
        <f t="shared" si="28"/>
        <v>0</v>
      </c>
      <c r="AA858" t="str" cm="1">
        <f t="array" aca="1" ref="AA858" ca="1">IFERROR(INDEX(H_Tables!E:E,MATCH(INDIRECT("I"&amp;ROW()),H_Tables!F:F,0)),"")</f>
        <v/>
      </c>
      <c r="AB858" t="str" cm="1">
        <f t="array" aca="1" ref="AB858" ca="1">IFERROR(INDEX(H_Tables!H:H,MATCH(INDIRECT("k"&amp;ROW()),H_Tables!I:I,0)),"")</f>
        <v/>
      </c>
      <c r="AC858" t="str">
        <f t="shared" si="29"/>
        <v/>
      </c>
      <c r="AD858">
        <v>855</v>
      </c>
    </row>
    <row r="859" spans="13:30" ht="15" customHeight="1" x14ac:dyDescent="0.25">
      <c r="M859" t="s">
        <v>2474</v>
      </c>
      <c r="Z859" s="110">
        <f t="shared" si="28"/>
        <v>0</v>
      </c>
      <c r="AA859" t="str" cm="1">
        <f t="array" aca="1" ref="AA859" ca="1">IFERROR(INDEX(H_Tables!E:E,MATCH(INDIRECT("I"&amp;ROW()),H_Tables!F:F,0)),"")</f>
        <v/>
      </c>
      <c r="AB859" t="str" cm="1">
        <f t="array" aca="1" ref="AB859" ca="1">IFERROR(INDEX(H_Tables!H:H,MATCH(INDIRECT("k"&amp;ROW()),H_Tables!I:I,0)),"")</f>
        <v/>
      </c>
      <c r="AC859" t="str">
        <f t="shared" si="29"/>
        <v/>
      </c>
      <c r="AD859">
        <v>856</v>
      </c>
    </row>
    <row r="860" spans="13:30" ht="15" customHeight="1" x14ac:dyDescent="0.25">
      <c r="M860" t="s">
        <v>2474</v>
      </c>
      <c r="Z860" s="110">
        <f t="shared" si="28"/>
        <v>0</v>
      </c>
      <c r="AA860" t="str" cm="1">
        <f t="array" aca="1" ref="AA860" ca="1">IFERROR(INDEX(H_Tables!E:E,MATCH(INDIRECT("I"&amp;ROW()),H_Tables!F:F,0)),"")</f>
        <v/>
      </c>
      <c r="AB860" t="str" cm="1">
        <f t="array" aca="1" ref="AB860" ca="1">IFERROR(INDEX(H_Tables!H:H,MATCH(INDIRECT("k"&amp;ROW()),H_Tables!I:I,0)),"")</f>
        <v/>
      </c>
      <c r="AC860" t="str">
        <f t="shared" si="29"/>
        <v/>
      </c>
      <c r="AD860">
        <v>857</v>
      </c>
    </row>
    <row r="861" spans="13:30" ht="15" customHeight="1" x14ac:dyDescent="0.25">
      <c r="M861" t="s">
        <v>2474</v>
      </c>
      <c r="Z861" s="110">
        <f t="shared" si="28"/>
        <v>0</v>
      </c>
      <c r="AA861" t="str" cm="1">
        <f t="array" aca="1" ref="AA861" ca="1">IFERROR(INDEX(H_Tables!E:E,MATCH(INDIRECT("I"&amp;ROW()),H_Tables!F:F,0)),"")</f>
        <v/>
      </c>
      <c r="AB861" t="str" cm="1">
        <f t="array" aca="1" ref="AB861" ca="1">IFERROR(INDEX(H_Tables!H:H,MATCH(INDIRECT("k"&amp;ROW()),H_Tables!I:I,0)),"")</f>
        <v/>
      </c>
      <c r="AC861" t="str">
        <f t="shared" si="29"/>
        <v/>
      </c>
      <c r="AD861">
        <v>858</v>
      </c>
    </row>
    <row r="862" spans="13:30" ht="15" customHeight="1" x14ac:dyDescent="0.25">
      <c r="M862" t="s">
        <v>2474</v>
      </c>
      <c r="Z862" s="110">
        <f t="shared" si="28"/>
        <v>0</v>
      </c>
      <c r="AA862" t="str" cm="1">
        <f t="array" aca="1" ref="AA862" ca="1">IFERROR(INDEX(H_Tables!E:E,MATCH(INDIRECT("I"&amp;ROW()),H_Tables!F:F,0)),"")</f>
        <v/>
      </c>
      <c r="AB862" t="str" cm="1">
        <f t="array" aca="1" ref="AB862" ca="1">IFERROR(INDEX(H_Tables!H:H,MATCH(INDIRECT("k"&amp;ROW()),H_Tables!I:I,0)),"")</f>
        <v/>
      </c>
      <c r="AC862" t="str">
        <f t="shared" si="29"/>
        <v/>
      </c>
      <c r="AD862">
        <v>859</v>
      </c>
    </row>
    <row r="863" spans="13:30" ht="15" customHeight="1" x14ac:dyDescent="0.25">
      <c r="M863" t="s">
        <v>2474</v>
      </c>
      <c r="Z863" s="110">
        <f t="shared" si="28"/>
        <v>0</v>
      </c>
      <c r="AA863" t="str" cm="1">
        <f t="array" aca="1" ref="AA863" ca="1">IFERROR(INDEX(H_Tables!E:E,MATCH(INDIRECT("I"&amp;ROW()),H_Tables!F:F,0)),"")</f>
        <v/>
      </c>
      <c r="AB863" t="str" cm="1">
        <f t="array" aca="1" ref="AB863" ca="1">IFERROR(INDEX(H_Tables!H:H,MATCH(INDIRECT("k"&amp;ROW()),H_Tables!I:I,0)),"")</f>
        <v/>
      </c>
      <c r="AC863" t="str">
        <f t="shared" si="29"/>
        <v/>
      </c>
      <c r="AD863">
        <v>860</v>
      </c>
    </row>
    <row r="864" spans="13:30" ht="15" customHeight="1" x14ac:dyDescent="0.25">
      <c r="M864" t="s">
        <v>2474</v>
      </c>
      <c r="Z864" s="110">
        <f t="shared" si="28"/>
        <v>0</v>
      </c>
      <c r="AA864" t="str" cm="1">
        <f t="array" aca="1" ref="AA864" ca="1">IFERROR(INDEX(H_Tables!E:E,MATCH(INDIRECT("I"&amp;ROW()),H_Tables!F:F,0)),"")</f>
        <v/>
      </c>
      <c r="AB864" t="str" cm="1">
        <f t="array" aca="1" ref="AB864" ca="1">IFERROR(INDEX(H_Tables!H:H,MATCH(INDIRECT("k"&amp;ROW()),H_Tables!I:I,0)),"")</f>
        <v/>
      </c>
      <c r="AC864" t="str">
        <f t="shared" si="29"/>
        <v/>
      </c>
      <c r="AD864">
        <v>861</v>
      </c>
    </row>
    <row r="865" spans="13:30" ht="15" customHeight="1" x14ac:dyDescent="0.25">
      <c r="M865" t="s">
        <v>2474</v>
      </c>
      <c r="Z865" s="110">
        <f t="shared" si="28"/>
        <v>0</v>
      </c>
      <c r="AA865" t="str" cm="1">
        <f t="array" aca="1" ref="AA865" ca="1">IFERROR(INDEX(H_Tables!E:E,MATCH(INDIRECT("I"&amp;ROW()),H_Tables!F:F,0)),"")</f>
        <v/>
      </c>
      <c r="AB865" t="str" cm="1">
        <f t="array" aca="1" ref="AB865" ca="1">IFERROR(INDEX(H_Tables!H:H,MATCH(INDIRECT("k"&amp;ROW()),H_Tables!I:I,0)),"")</f>
        <v/>
      </c>
      <c r="AC865" t="str">
        <f t="shared" si="29"/>
        <v/>
      </c>
      <c r="AD865">
        <v>862</v>
      </c>
    </row>
    <row r="866" spans="13:30" ht="15" customHeight="1" x14ac:dyDescent="0.25">
      <c r="M866" t="s">
        <v>2474</v>
      </c>
      <c r="Z866" s="110">
        <f t="shared" si="28"/>
        <v>0</v>
      </c>
      <c r="AA866" t="str" cm="1">
        <f t="array" aca="1" ref="AA866" ca="1">IFERROR(INDEX(H_Tables!E:E,MATCH(INDIRECT("I"&amp;ROW()),H_Tables!F:F,0)),"")</f>
        <v/>
      </c>
      <c r="AB866" t="str" cm="1">
        <f t="array" aca="1" ref="AB866" ca="1">IFERROR(INDEX(H_Tables!H:H,MATCH(INDIRECT("k"&amp;ROW()),H_Tables!I:I,0)),"")</f>
        <v/>
      </c>
      <c r="AC866" t="str">
        <f t="shared" si="29"/>
        <v/>
      </c>
      <c r="AD866">
        <v>863</v>
      </c>
    </row>
    <row r="867" spans="13:30" ht="15" customHeight="1" x14ac:dyDescent="0.25">
      <c r="M867" t="s">
        <v>2474</v>
      </c>
      <c r="Z867" s="110">
        <f t="shared" si="28"/>
        <v>0</v>
      </c>
      <c r="AA867" t="str" cm="1">
        <f t="array" aca="1" ref="AA867" ca="1">IFERROR(INDEX(H_Tables!E:E,MATCH(INDIRECT("I"&amp;ROW()),H_Tables!F:F,0)),"")</f>
        <v/>
      </c>
      <c r="AB867" t="str" cm="1">
        <f t="array" aca="1" ref="AB867" ca="1">IFERROR(INDEX(H_Tables!H:H,MATCH(INDIRECT("k"&amp;ROW()),H_Tables!I:I,0)),"")</f>
        <v/>
      </c>
      <c r="AC867" t="str">
        <f t="shared" si="29"/>
        <v/>
      </c>
      <c r="AD867">
        <v>864</v>
      </c>
    </row>
    <row r="868" spans="13:30" ht="15" customHeight="1" x14ac:dyDescent="0.25">
      <c r="M868" t="s">
        <v>2474</v>
      </c>
      <c r="Z868" s="110">
        <f t="shared" si="28"/>
        <v>0</v>
      </c>
      <c r="AA868" t="str" cm="1">
        <f t="array" aca="1" ref="AA868" ca="1">IFERROR(INDEX(H_Tables!E:E,MATCH(INDIRECT("I"&amp;ROW()),H_Tables!F:F,0)),"")</f>
        <v/>
      </c>
      <c r="AB868" t="str" cm="1">
        <f t="array" aca="1" ref="AB868" ca="1">IFERROR(INDEX(H_Tables!H:H,MATCH(INDIRECT("k"&amp;ROW()),H_Tables!I:I,0)),"")</f>
        <v/>
      </c>
      <c r="AC868" t="str">
        <f t="shared" si="29"/>
        <v/>
      </c>
      <c r="AD868">
        <v>865</v>
      </c>
    </row>
    <row r="869" spans="13:30" ht="15" customHeight="1" x14ac:dyDescent="0.25">
      <c r="M869" t="s">
        <v>2474</v>
      </c>
      <c r="Z869" s="110">
        <f t="shared" si="28"/>
        <v>0</v>
      </c>
      <c r="AA869" t="str" cm="1">
        <f t="array" aca="1" ref="AA869" ca="1">IFERROR(INDEX(H_Tables!E:E,MATCH(INDIRECT("I"&amp;ROW()),H_Tables!F:F,0)),"")</f>
        <v/>
      </c>
      <c r="AB869" t="str" cm="1">
        <f t="array" aca="1" ref="AB869" ca="1">IFERROR(INDEX(H_Tables!H:H,MATCH(INDIRECT("k"&amp;ROW()),H_Tables!I:I,0)),"")</f>
        <v/>
      </c>
      <c r="AC869" t="str">
        <f t="shared" si="29"/>
        <v/>
      </c>
      <c r="AD869">
        <v>866</v>
      </c>
    </row>
    <row r="870" spans="13:30" ht="15" customHeight="1" x14ac:dyDescent="0.25">
      <c r="M870" t="s">
        <v>2474</v>
      </c>
      <c r="Z870" s="110">
        <f t="shared" si="28"/>
        <v>0</v>
      </c>
      <c r="AA870" t="str" cm="1">
        <f t="array" aca="1" ref="AA870" ca="1">IFERROR(INDEX(H_Tables!E:E,MATCH(INDIRECT("I"&amp;ROW()),H_Tables!F:F,0)),"")</f>
        <v/>
      </c>
      <c r="AB870" t="str" cm="1">
        <f t="array" aca="1" ref="AB870" ca="1">IFERROR(INDEX(H_Tables!H:H,MATCH(INDIRECT("k"&amp;ROW()),H_Tables!I:I,0)),"")</f>
        <v/>
      </c>
      <c r="AC870" t="str">
        <f t="shared" si="29"/>
        <v/>
      </c>
      <c r="AD870">
        <v>867</v>
      </c>
    </row>
    <row r="871" spans="13:30" ht="15" customHeight="1" x14ac:dyDescent="0.25">
      <c r="M871" t="s">
        <v>2474</v>
      </c>
      <c r="Z871" s="110">
        <f t="shared" si="28"/>
        <v>0</v>
      </c>
      <c r="AA871" t="str" cm="1">
        <f t="array" aca="1" ref="AA871" ca="1">IFERROR(INDEX(H_Tables!E:E,MATCH(INDIRECT("I"&amp;ROW()),H_Tables!F:F,0)),"")</f>
        <v/>
      </c>
      <c r="AB871" t="str" cm="1">
        <f t="array" aca="1" ref="AB871" ca="1">IFERROR(INDEX(H_Tables!H:H,MATCH(INDIRECT("k"&amp;ROW()),H_Tables!I:I,0)),"")</f>
        <v/>
      </c>
      <c r="AC871" t="str">
        <f t="shared" si="29"/>
        <v/>
      </c>
      <c r="AD871">
        <v>868</v>
      </c>
    </row>
    <row r="872" spans="13:30" ht="15" customHeight="1" x14ac:dyDescent="0.25">
      <c r="M872" t="s">
        <v>2474</v>
      </c>
      <c r="Z872" s="110">
        <f t="shared" si="28"/>
        <v>0</v>
      </c>
      <c r="AA872" t="str" cm="1">
        <f t="array" aca="1" ref="AA872" ca="1">IFERROR(INDEX(H_Tables!E:E,MATCH(INDIRECT("I"&amp;ROW()),H_Tables!F:F,0)),"")</f>
        <v/>
      </c>
      <c r="AB872" t="str" cm="1">
        <f t="array" aca="1" ref="AB872" ca="1">IFERROR(INDEX(H_Tables!H:H,MATCH(INDIRECT("k"&amp;ROW()),H_Tables!I:I,0)),"")</f>
        <v/>
      </c>
      <c r="AC872" t="str">
        <f t="shared" si="29"/>
        <v/>
      </c>
      <c r="AD872">
        <v>869</v>
      </c>
    </row>
    <row r="873" spans="13:30" ht="15" customHeight="1" x14ac:dyDescent="0.25">
      <c r="M873" t="s">
        <v>2474</v>
      </c>
      <c r="Z873" s="110">
        <f t="shared" si="28"/>
        <v>0</v>
      </c>
      <c r="AA873" t="str" cm="1">
        <f t="array" aca="1" ref="AA873" ca="1">IFERROR(INDEX(H_Tables!E:E,MATCH(INDIRECT("I"&amp;ROW()),H_Tables!F:F,0)),"")</f>
        <v/>
      </c>
      <c r="AB873" t="str" cm="1">
        <f t="array" aca="1" ref="AB873" ca="1">IFERROR(INDEX(H_Tables!H:H,MATCH(INDIRECT("k"&amp;ROW()),H_Tables!I:I,0)),"")</f>
        <v/>
      </c>
      <c r="AC873" t="str">
        <f t="shared" si="29"/>
        <v/>
      </c>
      <c r="AD873">
        <v>870</v>
      </c>
    </row>
    <row r="874" spans="13:30" ht="15" customHeight="1" x14ac:dyDescent="0.25">
      <c r="M874" t="s">
        <v>2474</v>
      </c>
      <c r="Z874" s="110">
        <f t="shared" si="28"/>
        <v>0</v>
      </c>
      <c r="AA874" t="str" cm="1">
        <f t="array" aca="1" ref="AA874" ca="1">IFERROR(INDEX(H_Tables!E:E,MATCH(INDIRECT("I"&amp;ROW()),H_Tables!F:F,0)),"")</f>
        <v/>
      </c>
      <c r="AB874" t="str" cm="1">
        <f t="array" aca="1" ref="AB874" ca="1">IFERROR(INDEX(H_Tables!H:H,MATCH(INDIRECT("k"&amp;ROW()),H_Tables!I:I,0)),"")</f>
        <v/>
      </c>
      <c r="AC874" t="str">
        <f t="shared" si="29"/>
        <v/>
      </c>
      <c r="AD874">
        <v>871</v>
      </c>
    </row>
    <row r="875" spans="13:30" ht="15" customHeight="1" x14ac:dyDescent="0.25">
      <c r="M875" t="s">
        <v>2474</v>
      </c>
      <c r="Z875" s="110">
        <f t="shared" si="28"/>
        <v>0</v>
      </c>
      <c r="AA875" t="str" cm="1">
        <f t="array" aca="1" ref="AA875" ca="1">IFERROR(INDEX(H_Tables!E:E,MATCH(INDIRECT("I"&amp;ROW()),H_Tables!F:F,0)),"")</f>
        <v/>
      </c>
      <c r="AB875" t="str" cm="1">
        <f t="array" aca="1" ref="AB875" ca="1">IFERROR(INDEX(H_Tables!H:H,MATCH(INDIRECT("k"&amp;ROW()),H_Tables!I:I,0)),"")</f>
        <v/>
      </c>
      <c r="AC875" t="str">
        <f t="shared" si="29"/>
        <v/>
      </c>
      <c r="AD875">
        <v>872</v>
      </c>
    </row>
    <row r="876" spans="13:30" ht="15" customHeight="1" x14ac:dyDescent="0.25">
      <c r="M876" t="s">
        <v>2474</v>
      </c>
      <c r="Z876" s="110">
        <f t="shared" si="28"/>
        <v>0</v>
      </c>
      <c r="AA876" t="str" cm="1">
        <f t="array" aca="1" ref="AA876" ca="1">IFERROR(INDEX(H_Tables!E:E,MATCH(INDIRECT("I"&amp;ROW()),H_Tables!F:F,0)),"")</f>
        <v/>
      </c>
      <c r="AB876" t="str" cm="1">
        <f t="array" aca="1" ref="AB876" ca="1">IFERROR(INDEX(H_Tables!H:H,MATCH(INDIRECT("k"&amp;ROW()),H_Tables!I:I,0)),"")</f>
        <v/>
      </c>
      <c r="AC876" t="str">
        <f t="shared" si="29"/>
        <v/>
      </c>
      <c r="AD876">
        <v>873</v>
      </c>
    </row>
    <row r="877" spans="13:30" ht="15" customHeight="1" x14ac:dyDescent="0.25">
      <c r="M877" t="s">
        <v>2474</v>
      </c>
      <c r="Z877" s="110">
        <f t="shared" si="28"/>
        <v>0</v>
      </c>
      <c r="AA877" t="str" cm="1">
        <f t="array" aca="1" ref="AA877" ca="1">IFERROR(INDEX(H_Tables!E:E,MATCH(INDIRECT("I"&amp;ROW()),H_Tables!F:F,0)),"")</f>
        <v/>
      </c>
      <c r="AB877" t="str" cm="1">
        <f t="array" aca="1" ref="AB877" ca="1">IFERROR(INDEX(H_Tables!H:H,MATCH(INDIRECT("k"&amp;ROW()),H_Tables!I:I,0)),"")</f>
        <v/>
      </c>
      <c r="AC877" t="str">
        <f t="shared" si="29"/>
        <v/>
      </c>
      <c r="AD877">
        <v>874</v>
      </c>
    </row>
    <row r="878" spans="13:30" ht="15" customHeight="1" x14ac:dyDescent="0.25">
      <c r="M878" t="s">
        <v>2474</v>
      </c>
      <c r="Z878" s="110">
        <f t="shared" si="28"/>
        <v>0</v>
      </c>
      <c r="AA878" t="str" cm="1">
        <f t="array" aca="1" ref="AA878" ca="1">IFERROR(INDEX(H_Tables!E:E,MATCH(INDIRECT("I"&amp;ROW()),H_Tables!F:F,0)),"")</f>
        <v/>
      </c>
      <c r="AB878" t="str" cm="1">
        <f t="array" aca="1" ref="AB878" ca="1">IFERROR(INDEX(H_Tables!H:H,MATCH(INDIRECT("k"&amp;ROW()),H_Tables!I:I,0)),"")</f>
        <v/>
      </c>
      <c r="AC878" t="str">
        <f t="shared" si="29"/>
        <v/>
      </c>
      <c r="AD878">
        <v>875</v>
      </c>
    </row>
    <row r="879" spans="13:30" ht="15" customHeight="1" x14ac:dyDescent="0.25">
      <c r="M879" t="s">
        <v>2474</v>
      </c>
      <c r="Z879" s="110">
        <f t="shared" si="28"/>
        <v>0</v>
      </c>
      <c r="AA879" t="str" cm="1">
        <f t="array" aca="1" ref="AA879" ca="1">IFERROR(INDEX(H_Tables!E:E,MATCH(INDIRECT("I"&amp;ROW()),H_Tables!F:F,0)),"")</f>
        <v/>
      </c>
      <c r="AB879" t="str" cm="1">
        <f t="array" aca="1" ref="AB879" ca="1">IFERROR(INDEX(H_Tables!H:H,MATCH(INDIRECT("k"&amp;ROW()),H_Tables!I:I,0)),"")</f>
        <v/>
      </c>
      <c r="AC879" t="str">
        <f t="shared" si="29"/>
        <v/>
      </c>
      <c r="AD879">
        <v>876</v>
      </c>
    </row>
    <row r="880" spans="13:30" ht="15" customHeight="1" x14ac:dyDescent="0.25">
      <c r="M880" t="s">
        <v>2474</v>
      </c>
      <c r="Z880" s="110">
        <f t="shared" si="28"/>
        <v>0</v>
      </c>
      <c r="AA880" t="str" cm="1">
        <f t="array" aca="1" ref="AA880" ca="1">IFERROR(INDEX(H_Tables!E:E,MATCH(INDIRECT("I"&amp;ROW()),H_Tables!F:F,0)),"")</f>
        <v/>
      </c>
      <c r="AB880" t="str" cm="1">
        <f t="array" aca="1" ref="AB880" ca="1">IFERROR(INDEX(H_Tables!H:H,MATCH(INDIRECT("k"&amp;ROW()),H_Tables!I:I,0)),"")</f>
        <v/>
      </c>
      <c r="AC880" t="str">
        <f t="shared" si="29"/>
        <v/>
      </c>
      <c r="AD880">
        <v>877</v>
      </c>
    </row>
    <row r="881" spans="13:30" ht="15" customHeight="1" x14ac:dyDescent="0.25">
      <c r="M881" t="s">
        <v>2474</v>
      </c>
      <c r="Z881" s="110">
        <f t="shared" si="28"/>
        <v>0</v>
      </c>
      <c r="AA881" t="str" cm="1">
        <f t="array" aca="1" ref="AA881" ca="1">IFERROR(INDEX(H_Tables!E:E,MATCH(INDIRECT("I"&amp;ROW()),H_Tables!F:F,0)),"")</f>
        <v/>
      </c>
      <c r="AB881" t="str" cm="1">
        <f t="array" aca="1" ref="AB881" ca="1">IFERROR(INDEX(H_Tables!H:H,MATCH(INDIRECT("k"&amp;ROW()),H_Tables!I:I,0)),"")</f>
        <v/>
      </c>
      <c r="AC881" t="str">
        <f t="shared" si="29"/>
        <v/>
      </c>
      <c r="AD881">
        <v>878</v>
      </c>
    </row>
    <row r="882" spans="13:30" ht="15" customHeight="1" x14ac:dyDescent="0.25">
      <c r="M882" t="s">
        <v>2474</v>
      </c>
      <c r="Z882" s="110">
        <f t="shared" si="28"/>
        <v>0</v>
      </c>
      <c r="AA882" t="str" cm="1">
        <f t="array" aca="1" ref="AA882" ca="1">IFERROR(INDEX(H_Tables!E:E,MATCH(INDIRECT("I"&amp;ROW()),H_Tables!F:F,0)),"")</f>
        <v/>
      </c>
      <c r="AB882" t="str" cm="1">
        <f t="array" aca="1" ref="AB882" ca="1">IFERROR(INDEX(H_Tables!H:H,MATCH(INDIRECT("k"&amp;ROW()),H_Tables!I:I,0)),"")</f>
        <v/>
      </c>
      <c r="AC882" t="str">
        <f t="shared" si="29"/>
        <v/>
      </c>
      <c r="AD882">
        <v>879</v>
      </c>
    </row>
    <row r="883" spans="13:30" ht="15" customHeight="1" x14ac:dyDescent="0.25">
      <c r="M883" t="s">
        <v>2474</v>
      </c>
      <c r="Z883" s="110">
        <f t="shared" si="28"/>
        <v>0</v>
      </c>
      <c r="AA883" t="str" cm="1">
        <f t="array" aca="1" ref="AA883" ca="1">IFERROR(INDEX(H_Tables!E:E,MATCH(INDIRECT("I"&amp;ROW()),H_Tables!F:F,0)),"")</f>
        <v/>
      </c>
      <c r="AB883" t="str" cm="1">
        <f t="array" aca="1" ref="AB883" ca="1">IFERROR(INDEX(H_Tables!H:H,MATCH(INDIRECT("k"&amp;ROW()),H_Tables!I:I,0)),"")</f>
        <v/>
      </c>
      <c r="AC883" t="str">
        <f t="shared" si="29"/>
        <v/>
      </c>
      <c r="AD883">
        <v>880</v>
      </c>
    </row>
    <row r="884" spans="13:30" ht="15" customHeight="1" x14ac:dyDescent="0.25">
      <c r="M884" t="s">
        <v>2474</v>
      </c>
      <c r="Z884" s="110">
        <f t="shared" si="28"/>
        <v>0</v>
      </c>
      <c r="AA884" t="str" cm="1">
        <f t="array" aca="1" ref="AA884" ca="1">IFERROR(INDEX(H_Tables!E:E,MATCH(INDIRECT("I"&amp;ROW()),H_Tables!F:F,0)),"")</f>
        <v/>
      </c>
      <c r="AB884" t="str" cm="1">
        <f t="array" aca="1" ref="AB884" ca="1">IFERROR(INDEX(H_Tables!H:H,MATCH(INDIRECT("k"&amp;ROW()),H_Tables!I:I,0)),"")</f>
        <v/>
      </c>
      <c r="AC884" t="str">
        <f t="shared" si="29"/>
        <v/>
      </c>
      <c r="AD884">
        <v>881</v>
      </c>
    </row>
    <row r="885" spans="13:30" ht="15" customHeight="1" x14ac:dyDescent="0.25">
      <c r="M885" t="s">
        <v>2474</v>
      </c>
      <c r="Z885" s="110">
        <f t="shared" si="28"/>
        <v>0</v>
      </c>
      <c r="AA885" t="str" cm="1">
        <f t="array" aca="1" ref="AA885" ca="1">IFERROR(INDEX(H_Tables!E:E,MATCH(INDIRECT("I"&amp;ROW()),H_Tables!F:F,0)),"")</f>
        <v/>
      </c>
      <c r="AB885" t="str" cm="1">
        <f t="array" aca="1" ref="AB885" ca="1">IFERROR(INDEX(H_Tables!H:H,MATCH(INDIRECT("k"&amp;ROW()),H_Tables!I:I,0)),"")</f>
        <v/>
      </c>
      <c r="AC885" t="str">
        <f t="shared" si="29"/>
        <v/>
      </c>
      <c r="AD885">
        <v>882</v>
      </c>
    </row>
    <row r="886" spans="13:30" ht="15" customHeight="1" x14ac:dyDescent="0.25">
      <c r="M886" t="s">
        <v>2474</v>
      </c>
      <c r="Z886" s="110">
        <f t="shared" si="28"/>
        <v>0</v>
      </c>
      <c r="AA886" t="str" cm="1">
        <f t="array" aca="1" ref="AA886" ca="1">IFERROR(INDEX(H_Tables!E:E,MATCH(INDIRECT("I"&amp;ROW()),H_Tables!F:F,0)),"")</f>
        <v/>
      </c>
      <c r="AB886" t="str" cm="1">
        <f t="array" aca="1" ref="AB886" ca="1">IFERROR(INDEX(H_Tables!H:H,MATCH(INDIRECT("k"&amp;ROW()),H_Tables!I:I,0)),"")</f>
        <v/>
      </c>
      <c r="AC886" t="str">
        <f t="shared" si="29"/>
        <v/>
      </c>
      <c r="AD886">
        <v>883</v>
      </c>
    </row>
    <row r="887" spans="13:30" ht="15" customHeight="1" x14ac:dyDescent="0.25">
      <c r="M887" t="s">
        <v>2474</v>
      </c>
      <c r="Z887" s="110">
        <f t="shared" si="28"/>
        <v>0</v>
      </c>
      <c r="AA887" t="str" cm="1">
        <f t="array" aca="1" ref="AA887" ca="1">IFERROR(INDEX(H_Tables!E:E,MATCH(INDIRECT("I"&amp;ROW()),H_Tables!F:F,0)),"")</f>
        <v/>
      </c>
      <c r="AB887" t="str" cm="1">
        <f t="array" aca="1" ref="AB887" ca="1">IFERROR(INDEX(H_Tables!H:H,MATCH(INDIRECT("k"&amp;ROW()),H_Tables!I:I,0)),"")</f>
        <v/>
      </c>
      <c r="AC887" t="str">
        <f t="shared" si="29"/>
        <v/>
      </c>
      <c r="AD887">
        <v>884</v>
      </c>
    </row>
    <row r="888" spans="13:30" ht="15" customHeight="1" x14ac:dyDescent="0.25">
      <c r="M888" t="s">
        <v>2474</v>
      </c>
      <c r="Z888" s="110">
        <f t="shared" si="28"/>
        <v>0</v>
      </c>
      <c r="AA888" t="str" cm="1">
        <f t="array" aca="1" ref="AA888" ca="1">IFERROR(INDEX(H_Tables!E:E,MATCH(INDIRECT("I"&amp;ROW()),H_Tables!F:F,0)),"")</f>
        <v/>
      </c>
      <c r="AB888" t="str" cm="1">
        <f t="array" aca="1" ref="AB888" ca="1">IFERROR(INDEX(H_Tables!H:H,MATCH(INDIRECT("k"&amp;ROW()),H_Tables!I:I,0)),"")</f>
        <v/>
      </c>
      <c r="AC888" t="str">
        <f t="shared" si="29"/>
        <v/>
      </c>
      <c r="AD888">
        <v>885</v>
      </c>
    </row>
    <row r="889" spans="13:30" ht="15" customHeight="1" x14ac:dyDescent="0.25">
      <c r="M889" t="s">
        <v>2474</v>
      </c>
      <c r="Z889" s="110">
        <f t="shared" si="28"/>
        <v>0</v>
      </c>
      <c r="AA889" t="str" cm="1">
        <f t="array" aca="1" ref="AA889" ca="1">IFERROR(INDEX(H_Tables!E:E,MATCH(INDIRECT("I"&amp;ROW()),H_Tables!F:F,0)),"")</f>
        <v/>
      </c>
      <c r="AB889" t="str" cm="1">
        <f t="array" aca="1" ref="AB889" ca="1">IFERROR(INDEX(H_Tables!H:H,MATCH(INDIRECT("k"&amp;ROW()),H_Tables!I:I,0)),"")</f>
        <v/>
      </c>
      <c r="AC889" t="str">
        <f t="shared" si="29"/>
        <v/>
      </c>
      <c r="AD889">
        <v>886</v>
      </c>
    </row>
    <row r="890" spans="13:30" ht="15" customHeight="1" x14ac:dyDescent="0.25">
      <c r="M890" t="s">
        <v>2474</v>
      </c>
      <c r="Z890" s="110">
        <f t="shared" si="28"/>
        <v>0</v>
      </c>
      <c r="AA890" t="str" cm="1">
        <f t="array" aca="1" ref="AA890" ca="1">IFERROR(INDEX(H_Tables!E:E,MATCH(INDIRECT("I"&amp;ROW()),H_Tables!F:F,0)),"")</f>
        <v/>
      </c>
      <c r="AB890" t="str" cm="1">
        <f t="array" aca="1" ref="AB890" ca="1">IFERROR(INDEX(H_Tables!H:H,MATCH(INDIRECT("k"&amp;ROW()),H_Tables!I:I,0)),"")</f>
        <v/>
      </c>
      <c r="AC890" t="str">
        <f t="shared" si="29"/>
        <v/>
      </c>
      <c r="AD890">
        <v>887</v>
      </c>
    </row>
    <row r="891" spans="13:30" ht="15" customHeight="1" x14ac:dyDescent="0.25">
      <c r="M891" t="s">
        <v>2474</v>
      </c>
      <c r="Z891" s="110">
        <f t="shared" si="28"/>
        <v>0</v>
      </c>
      <c r="AA891" t="str" cm="1">
        <f t="array" aca="1" ref="AA891" ca="1">IFERROR(INDEX(H_Tables!E:E,MATCH(INDIRECT("I"&amp;ROW()),H_Tables!F:F,0)),"")</f>
        <v/>
      </c>
      <c r="AB891" t="str" cm="1">
        <f t="array" aca="1" ref="AB891" ca="1">IFERROR(INDEX(H_Tables!H:H,MATCH(INDIRECT("k"&amp;ROW()),H_Tables!I:I,0)),"")</f>
        <v/>
      </c>
      <c r="AC891" t="str">
        <f t="shared" si="29"/>
        <v/>
      </c>
      <c r="AD891">
        <v>888</v>
      </c>
    </row>
    <row r="892" spans="13:30" ht="15" customHeight="1" x14ac:dyDescent="0.25">
      <c r="M892" t="s">
        <v>2474</v>
      </c>
      <c r="Z892" s="110">
        <f t="shared" si="28"/>
        <v>0</v>
      </c>
      <c r="AA892" t="str" cm="1">
        <f t="array" aca="1" ref="AA892" ca="1">IFERROR(INDEX(H_Tables!E:E,MATCH(INDIRECT("I"&amp;ROW()),H_Tables!F:F,0)),"")</f>
        <v/>
      </c>
      <c r="AB892" t="str" cm="1">
        <f t="array" aca="1" ref="AB892" ca="1">IFERROR(INDEX(H_Tables!H:H,MATCH(INDIRECT("k"&amp;ROW()),H_Tables!I:I,0)),"")</f>
        <v/>
      </c>
      <c r="AC892" t="str">
        <f t="shared" si="29"/>
        <v/>
      </c>
      <c r="AD892">
        <v>889</v>
      </c>
    </row>
    <row r="893" spans="13:30" ht="15" customHeight="1" x14ac:dyDescent="0.25">
      <c r="M893" t="s">
        <v>2474</v>
      </c>
      <c r="Z893" s="110">
        <f t="shared" si="28"/>
        <v>0</v>
      </c>
      <c r="AA893" t="str" cm="1">
        <f t="array" aca="1" ref="AA893" ca="1">IFERROR(INDEX(H_Tables!E:E,MATCH(INDIRECT("I"&amp;ROW()),H_Tables!F:F,0)),"")</f>
        <v/>
      </c>
      <c r="AB893" t="str" cm="1">
        <f t="array" aca="1" ref="AB893" ca="1">IFERROR(INDEX(H_Tables!H:H,MATCH(INDIRECT("k"&amp;ROW()),H_Tables!I:I,0)),"")</f>
        <v/>
      </c>
      <c r="AC893" t="str">
        <f t="shared" si="29"/>
        <v/>
      </c>
      <c r="AD893">
        <v>890</v>
      </c>
    </row>
    <row r="894" spans="13:30" ht="15" customHeight="1" x14ac:dyDescent="0.25">
      <c r="M894" t="s">
        <v>2474</v>
      </c>
      <c r="Z894" s="110">
        <f t="shared" si="28"/>
        <v>0</v>
      </c>
      <c r="AA894" t="str" cm="1">
        <f t="array" aca="1" ref="AA894" ca="1">IFERROR(INDEX(H_Tables!E:E,MATCH(INDIRECT("I"&amp;ROW()),H_Tables!F:F,0)),"")</f>
        <v/>
      </c>
      <c r="AB894" t="str" cm="1">
        <f t="array" aca="1" ref="AB894" ca="1">IFERROR(INDEX(H_Tables!H:H,MATCH(INDIRECT("k"&amp;ROW()),H_Tables!I:I,0)),"")</f>
        <v/>
      </c>
      <c r="AC894" t="str">
        <f t="shared" si="29"/>
        <v/>
      </c>
      <c r="AD894">
        <v>891</v>
      </c>
    </row>
    <row r="895" spans="13:30" ht="15" customHeight="1" x14ac:dyDescent="0.25">
      <c r="M895" t="s">
        <v>2474</v>
      </c>
      <c r="Z895" s="110">
        <f t="shared" si="28"/>
        <v>0</v>
      </c>
      <c r="AA895" t="str" cm="1">
        <f t="array" aca="1" ref="AA895" ca="1">IFERROR(INDEX(H_Tables!E:E,MATCH(INDIRECT("I"&amp;ROW()),H_Tables!F:F,0)),"")</f>
        <v/>
      </c>
      <c r="AB895" t="str" cm="1">
        <f t="array" aca="1" ref="AB895" ca="1">IFERROR(INDEX(H_Tables!H:H,MATCH(INDIRECT("k"&amp;ROW()),H_Tables!I:I,0)),"")</f>
        <v/>
      </c>
      <c r="AC895" t="str">
        <f t="shared" si="29"/>
        <v/>
      </c>
      <c r="AD895">
        <v>892</v>
      </c>
    </row>
    <row r="896" spans="13:30" ht="15" customHeight="1" x14ac:dyDescent="0.25">
      <c r="M896" t="s">
        <v>2474</v>
      </c>
      <c r="Z896" s="110">
        <f t="shared" si="28"/>
        <v>0</v>
      </c>
      <c r="AA896" t="str" cm="1">
        <f t="array" aca="1" ref="AA896" ca="1">IFERROR(INDEX(H_Tables!E:E,MATCH(INDIRECT("I"&amp;ROW()),H_Tables!F:F,0)),"")</f>
        <v/>
      </c>
      <c r="AB896" t="str" cm="1">
        <f t="array" aca="1" ref="AB896" ca="1">IFERROR(INDEX(H_Tables!H:H,MATCH(INDIRECT("k"&amp;ROW()),H_Tables!I:I,0)),"")</f>
        <v/>
      </c>
      <c r="AC896" t="str">
        <f t="shared" si="29"/>
        <v/>
      </c>
      <c r="AD896">
        <v>893</v>
      </c>
    </row>
    <row r="897" spans="13:30" ht="15" customHeight="1" x14ac:dyDescent="0.25">
      <c r="M897" t="s">
        <v>2474</v>
      </c>
      <c r="Z897" s="110">
        <f t="shared" si="28"/>
        <v>0</v>
      </c>
      <c r="AA897" t="str" cm="1">
        <f t="array" aca="1" ref="AA897" ca="1">IFERROR(INDEX(H_Tables!E:E,MATCH(INDIRECT("I"&amp;ROW()),H_Tables!F:F,0)),"")</f>
        <v/>
      </c>
      <c r="AB897" t="str" cm="1">
        <f t="array" aca="1" ref="AB897" ca="1">IFERROR(INDEX(H_Tables!H:H,MATCH(INDIRECT("k"&amp;ROW()),H_Tables!I:I,0)),"")</f>
        <v/>
      </c>
      <c r="AC897" t="str">
        <f t="shared" si="29"/>
        <v/>
      </c>
      <c r="AD897">
        <v>894</v>
      </c>
    </row>
    <row r="898" spans="13:30" ht="15" customHeight="1" x14ac:dyDescent="0.25">
      <c r="M898" t="s">
        <v>2474</v>
      </c>
      <c r="Z898" s="110">
        <f t="shared" ref="Z898:Z961" si="30">ROUND(IF((F898+G898)=0,0,S898/Y898),4)</f>
        <v>0</v>
      </c>
      <c r="AA898" t="str" cm="1">
        <f t="array" aca="1" ref="AA898" ca="1">IFERROR(INDEX(H_Tables!E:E,MATCH(INDIRECT("I"&amp;ROW()),H_Tables!F:F,0)),"")</f>
        <v/>
      </c>
      <c r="AB898" t="str" cm="1">
        <f t="array" aca="1" ref="AB898" ca="1">IFERROR(INDEX(H_Tables!H:H,MATCH(INDIRECT("k"&amp;ROW()),H_Tables!I:I,0)),"")</f>
        <v/>
      </c>
      <c r="AC898" t="str">
        <f t="shared" si="29"/>
        <v/>
      </c>
      <c r="AD898">
        <v>895</v>
      </c>
    </row>
    <row r="899" spans="13:30" ht="15" customHeight="1" x14ac:dyDescent="0.25">
      <c r="M899" t="s">
        <v>2474</v>
      </c>
      <c r="Z899" s="110">
        <f t="shared" si="30"/>
        <v>0</v>
      </c>
      <c r="AA899" t="str" cm="1">
        <f t="array" aca="1" ref="AA899" ca="1">IFERROR(INDEX(H_Tables!E:E,MATCH(INDIRECT("I"&amp;ROW()),H_Tables!F:F,0)),"")</f>
        <v/>
      </c>
      <c r="AB899" t="str" cm="1">
        <f t="array" aca="1" ref="AB899" ca="1">IFERROR(INDEX(H_Tables!H:H,MATCH(INDIRECT("k"&amp;ROW()),H_Tables!I:I,0)),"")</f>
        <v/>
      </c>
      <c r="AC899" t="str">
        <f t="shared" si="29"/>
        <v/>
      </c>
      <c r="AD899">
        <v>896</v>
      </c>
    </row>
    <row r="900" spans="13:30" ht="15" customHeight="1" x14ac:dyDescent="0.25">
      <c r="M900" t="s">
        <v>2474</v>
      </c>
      <c r="Z900" s="110">
        <f t="shared" si="30"/>
        <v>0</v>
      </c>
      <c r="AA900" t="str" cm="1">
        <f t="array" aca="1" ref="AA900" ca="1">IFERROR(INDEX(H_Tables!E:E,MATCH(INDIRECT("I"&amp;ROW()),H_Tables!F:F,0)),"")</f>
        <v/>
      </c>
      <c r="AB900" t="str" cm="1">
        <f t="array" aca="1" ref="AB900" ca="1">IFERROR(INDEX(H_Tables!H:H,MATCH(INDIRECT("k"&amp;ROW()),H_Tables!I:I,0)),"")</f>
        <v/>
      </c>
      <c r="AC900" t="str">
        <f t="shared" ref="AC900:AC964" si="31">_xlfn.TEXTJOIN(",",TRUE,M900:P900)</f>
        <v/>
      </c>
      <c r="AD900">
        <v>897</v>
      </c>
    </row>
    <row r="901" spans="13:30" ht="15" customHeight="1" x14ac:dyDescent="0.25">
      <c r="M901" t="s">
        <v>2474</v>
      </c>
      <c r="Z901" s="110">
        <f t="shared" si="30"/>
        <v>0</v>
      </c>
      <c r="AA901" t="str" cm="1">
        <f t="array" aca="1" ref="AA901" ca="1">IFERROR(INDEX(H_Tables!E:E,MATCH(INDIRECT("I"&amp;ROW()),H_Tables!F:F,0)),"")</f>
        <v/>
      </c>
      <c r="AB901" t="str" cm="1">
        <f t="array" aca="1" ref="AB901" ca="1">IFERROR(INDEX(H_Tables!H:H,MATCH(INDIRECT("k"&amp;ROW()),H_Tables!I:I,0)),"")</f>
        <v/>
      </c>
      <c r="AC901" t="str">
        <f t="shared" si="31"/>
        <v/>
      </c>
      <c r="AD901">
        <v>898</v>
      </c>
    </row>
    <row r="902" spans="13:30" ht="15" customHeight="1" x14ac:dyDescent="0.25">
      <c r="M902" t="s">
        <v>2474</v>
      </c>
      <c r="Z902" s="110">
        <f t="shared" si="30"/>
        <v>0</v>
      </c>
      <c r="AA902" t="str" cm="1">
        <f t="array" aca="1" ref="AA902" ca="1">IFERROR(INDEX(H_Tables!E:E,MATCH(INDIRECT("I"&amp;ROW()),H_Tables!F:F,0)),"")</f>
        <v/>
      </c>
      <c r="AB902" t="str" cm="1">
        <f t="array" aca="1" ref="AB902" ca="1">IFERROR(INDEX(H_Tables!H:H,MATCH(INDIRECT("k"&amp;ROW()),H_Tables!I:I,0)),"")</f>
        <v/>
      </c>
      <c r="AC902" t="str">
        <f t="shared" si="31"/>
        <v/>
      </c>
      <c r="AD902">
        <v>899</v>
      </c>
    </row>
    <row r="903" spans="13:30" ht="15" customHeight="1" x14ac:dyDescent="0.25">
      <c r="M903" t="s">
        <v>2474</v>
      </c>
      <c r="Z903" s="110">
        <f t="shared" si="30"/>
        <v>0</v>
      </c>
      <c r="AA903" t="str" cm="1">
        <f t="array" aca="1" ref="AA903" ca="1">IFERROR(INDEX(H_Tables!E:E,MATCH(INDIRECT("I"&amp;ROW()),H_Tables!F:F,0)),"")</f>
        <v/>
      </c>
      <c r="AB903" t="str" cm="1">
        <f t="array" aca="1" ref="AB903" ca="1">IFERROR(INDEX(H_Tables!H:H,MATCH(INDIRECT("k"&amp;ROW()),H_Tables!I:I,0)),"")</f>
        <v/>
      </c>
      <c r="AC903" t="str">
        <f t="shared" si="31"/>
        <v/>
      </c>
      <c r="AD903">
        <v>900</v>
      </c>
    </row>
    <row r="904" spans="13:30" ht="15" customHeight="1" x14ac:dyDescent="0.25">
      <c r="M904" t="s">
        <v>2474</v>
      </c>
      <c r="Z904" s="110">
        <f t="shared" si="30"/>
        <v>0</v>
      </c>
      <c r="AA904" t="str" cm="1">
        <f t="array" aca="1" ref="AA904" ca="1">IFERROR(INDEX(H_Tables!E:E,MATCH(INDIRECT("I"&amp;ROW()),H_Tables!F:F,0)),"")</f>
        <v/>
      </c>
      <c r="AB904" t="str" cm="1">
        <f t="array" aca="1" ref="AB904" ca="1">IFERROR(INDEX(H_Tables!H:H,MATCH(INDIRECT("k"&amp;ROW()),H_Tables!I:I,0)),"")</f>
        <v/>
      </c>
      <c r="AC904" t="str">
        <f t="shared" si="31"/>
        <v/>
      </c>
      <c r="AD904">
        <v>901</v>
      </c>
    </row>
    <row r="905" spans="13:30" ht="15" customHeight="1" x14ac:dyDescent="0.25">
      <c r="M905" t="s">
        <v>2474</v>
      </c>
      <c r="Z905" s="110">
        <f t="shared" si="30"/>
        <v>0</v>
      </c>
      <c r="AA905" t="str" cm="1">
        <f t="array" aca="1" ref="AA905" ca="1">IFERROR(INDEX(H_Tables!E:E,MATCH(INDIRECT("I"&amp;ROW()),H_Tables!F:F,0)),"")</f>
        <v/>
      </c>
      <c r="AB905" t="str" cm="1">
        <f t="array" aca="1" ref="AB905" ca="1">IFERROR(INDEX(H_Tables!H:H,MATCH(INDIRECT("k"&amp;ROW()),H_Tables!I:I,0)),"")</f>
        <v/>
      </c>
      <c r="AC905" t="str">
        <f t="shared" si="31"/>
        <v/>
      </c>
      <c r="AD905">
        <v>902</v>
      </c>
    </row>
    <row r="906" spans="13:30" ht="15" customHeight="1" x14ac:dyDescent="0.25">
      <c r="M906" t="s">
        <v>2474</v>
      </c>
      <c r="Z906" s="110">
        <f t="shared" si="30"/>
        <v>0</v>
      </c>
      <c r="AA906" t="str" cm="1">
        <f t="array" aca="1" ref="AA906" ca="1">IFERROR(INDEX(H_Tables!E:E,MATCH(INDIRECT("I"&amp;ROW()),H_Tables!F:F,0)),"")</f>
        <v/>
      </c>
      <c r="AB906" t="str" cm="1">
        <f t="array" aca="1" ref="AB906" ca="1">IFERROR(INDEX(H_Tables!H:H,MATCH(INDIRECT("k"&amp;ROW()),H_Tables!I:I,0)),"")</f>
        <v/>
      </c>
      <c r="AC906" t="str">
        <f t="shared" si="31"/>
        <v/>
      </c>
      <c r="AD906">
        <v>903</v>
      </c>
    </row>
    <row r="907" spans="13:30" ht="15" customHeight="1" x14ac:dyDescent="0.25">
      <c r="M907" t="s">
        <v>2474</v>
      </c>
      <c r="Z907" s="110">
        <f t="shared" si="30"/>
        <v>0</v>
      </c>
      <c r="AA907" t="str" cm="1">
        <f t="array" aca="1" ref="AA907" ca="1">IFERROR(INDEX(H_Tables!E:E,MATCH(INDIRECT("I"&amp;ROW()),H_Tables!F:F,0)),"")</f>
        <v/>
      </c>
      <c r="AB907" t="str" cm="1">
        <f t="array" aca="1" ref="AB907" ca="1">IFERROR(INDEX(H_Tables!H:H,MATCH(INDIRECT("k"&amp;ROW()),H_Tables!I:I,0)),"")</f>
        <v/>
      </c>
      <c r="AC907" t="str">
        <f t="shared" si="31"/>
        <v/>
      </c>
      <c r="AD907">
        <v>904</v>
      </c>
    </row>
    <row r="908" spans="13:30" ht="15" customHeight="1" x14ac:dyDescent="0.25">
      <c r="M908" t="s">
        <v>2474</v>
      </c>
      <c r="Z908" s="110">
        <f t="shared" si="30"/>
        <v>0</v>
      </c>
      <c r="AA908" t="str" cm="1">
        <f t="array" aca="1" ref="AA908" ca="1">IFERROR(INDEX(H_Tables!E:E,MATCH(INDIRECT("I"&amp;ROW()),H_Tables!F:F,0)),"")</f>
        <v/>
      </c>
      <c r="AB908" t="str" cm="1">
        <f t="array" aca="1" ref="AB908" ca="1">IFERROR(INDEX(H_Tables!H:H,MATCH(INDIRECT("k"&amp;ROW()),H_Tables!I:I,0)),"")</f>
        <v/>
      </c>
      <c r="AC908" t="str">
        <f t="shared" si="31"/>
        <v/>
      </c>
      <c r="AD908">
        <v>905</v>
      </c>
    </row>
    <row r="909" spans="13:30" ht="15" customHeight="1" x14ac:dyDescent="0.25">
      <c r="M909" t="s">
        <v>2474</v>
      </c>
      <c r="Z909" s="110">
        <f t="shared" si="30"/>
        <v>0</v>
      </c>
      <c r="AA909" t="str" cm="1">
        <f t="array" aca="1" ref="AA909" ca="1">IFERROR(INDEX(H_Tables!E:E,MATCH(INDIRECT("I"&amp;ROW()),H_Tables!F:F,0)),"")</f>
        <v/>
      </c>
      <c r="AB909" t="str" cm="1">
        <f t="array" aca="1" ref="AB909" ca="1">IFERROR(INDEX(H_Tables!H:H,MATCH(INDIRECT("k"&amp;ROW()),H_Tables!I:I,0)),"")</f>
        <v/>
      </c>
      <c r="AC909" t="str">
        <f t="shared" si="31"/>
        <v/>
      </c>
      <c r="AD909">
        <v>906</v>
      </c>
    </row>
    <row r="910" spans="13:30" ht="15" customHeight="1" x14ac:dyDescent="0.25">
      <c r="M910" t="s">
        <v>2474</v>
      </c>
      <c r="Z910" s="110">
        <f t="shared" si="30"/>
        <v>0</v>
      </c>
      <c r="AA910" t="str" cm="1">
        <f t="array" aca="1" ref="AA910" ca="1">IFERROR(INDEX(H_Tables!E:E,MATCH(INDIRECT("I"&amp;ROW()),H_Tables!F:F,0)),"")</f>
        <v/>
      </c>
      <c r="AB910" t="str" cm="1">
        <f t="array" aca="1" ref="AB910" ca="1">IFERROR(INDEX(H_Tables!H:H,MATCH(INDIRECT("k"&amp;ROW()),H_Tables!I:I,0)),"")</f>
        <v/>
      </c>
      <c r="AC910" t="str">
        <f t="shared" si="31"/>
        <v/>
      </c>
      <c r="AD910">
        <v>907</v>
      </c>
    </row>
    <row r="911" spans="13:30" ht="15" customHeight="1" x14ac:dyDescent="0.25">
      <c r="M911" t="s">
        <v>2474</v>
      </c>
      <c r="Z911" s="110">
        <f t="shared" si="30"/>
        <v>0</v>
      </c>
      <c r="AA911" t="str" cm="1">
        <f t="array" aca="1" ref="AA911" ca="1">IFERROR(INDEX(H_Tables!E:E,MATCH(INDIRECT("I"&amp;ROW()),H_Tables!F:F,0)),"")</f>
        <v/>
      </c>
      <c r="AB911" t="str" cm="1">
        <f t="array" aca="1" ref="AB911" ca="1">IFERROR(INDEX(H_Tables!H:H,MATCH(INDIRECT("k"&amp;ROW()),H_Tables!I:I,0)),"")</f>
        <v/>
      </c>
      <c r="AC911" t="str">
        <f t="shared" si="31"/>
        <v/>
      </c>
      <c r="AD911">
        <v>908</v>
      </c>
    </row>
    <row r="912" spans="13:30" ht="15" customHeight="1" x14ac:dyDescent="0.25">
      <c r="M912" t="s">
        <v>2474</v>
      </c>
      <c r="Z912" s="110">
        <f t="shared" si="30"/>
        <v>0</v>
      </c>
      <c r="AA912" t="str" cm="1">
        <f t="array" aca="1" ref="AA912" ca="1">IFERROR(INDEX(H_Tables!E:E,MATCH(INDIRECT("I"&amp;ROW()),H_Tables!F:F,0)),"")</f>
        <v/>
      </c>
      <c r="AB912" t="str" cm="1">
        <f t="array" aca="1" ref="AB912" ca="1">IFERROR(INDEX(H_Tables!H:H,MATCH(INDIRECT("k"&amp;ROW()),H_Tables!I:I,0)),"")</f>
        <v/>
      </c>
      <c r="AC912" t="str">
        <f t="shared" si="31"/>
        <v/>
      </c>
      <c r="AD912">
        <v>909</v>
      </c>
    </row>
    <row r="913" spans="13:30" ht="15" customHeight="1" x14ac:dyDescent="0.25">
      <c r="M913" t="s">
        <v>2474</v>
      </c>
      <c r="Z913" s="110">
        <f t="shared" si="30"/>
        <v>0</v>
      </c>
      <c r="AA913" t="str" cm="1">
        <f t="array" aca="1" ref="AA913" ca="1">IFERROR(INDEX(H_Tables!E:E,MATCH(INDIRECT("I"&amp;ROW()),H_Tables!F:F,0)),"")</f>
        <v/>
      </c>
      <c r="AB913" t="str" cm="1">
        <f t="array" aca="1" ref="AB913" ca="1">IFERROR(INDEX(H_Tables!H:H,MATCH(INDIRECT("k"&amp;ROW()),H_Tables!I:I,0)),"")</f>
        <v/>
      </c>
      <c r="AC913" t="str">
        <f t="shared" si="31"/>
        <v/>
      </c>
      <c r="AD913">
        <v>910</v>
      </c>
    </row>
    <row r="914" spans="13:30" ht="15" customHeight="1" x14ac:dyDescent="0.25">
      <c r="M914" t="s">
        <v>2474</v>
      </c>
      <c r="Z914" s="110">
        <f t="shared" si="30"/>
        <v>0</v>
      </c>
      <c r="AA914" t="str" cm="1">
        <f t="array" aca="1" ref="AA914" ca="1">IFERROR(INDEX(H_Tables!E:E,MATCH(INDIRECT("I"&amp;ROW()),H_Tables!F:F,0)),"")</f>
        <v/>
      </c>
      <c r="AB914" t="str" cm="1">
        <f t="array" aca="1" ref="AB914" ca="1">IFERROR(INDEX(H_Tables!H:H,MATCH(INDIRECT("k"&amp;ROW()),H_Tables!I:I,0)),"")</f>
        <v/>
      </c>
      <c r="AC914" t="str">
        <f t="shared" si="31"/>
        <v/>
      </c>
      <c r="AD914">
        <v>911</v>
      </c>
    </row>
    <row r="915" spans="13:30" ht="15" customHeight="1" x14ac:dyDescent="0.25">
      <c r="M915" t="s">
        <v>2474</v>
      </c>
      <c r="Z915" s="110">
        <f t="shared" si="30"/>
        <v>0</v>
      </c>
      <c r="AA915" t="str" cm="1">
        <f t="array" aca="1" ref="AA915" ca="1">IFERROR(INDEX(H_Tables!E:E,MATCH(INDIRECT("I"&amp;ROW()),H_Tables!F:F,0)),"")</f>
        <v/>
      </c>
      <c r="AB915" t="str" cm="1">
        <f t="array" aca="1" ref="AB915" ca="1">IFERROR(INDEX(H_Tables!H:H,MATCH(INDIRECT("k"&amp;ROW()),H_Tables!I:I,0)),"")</f>
        <v/>
      </c>
      <c r="AC915" t="str">
        <f t="shared" si="31"/>
        <v/>
      </c>
      <c r="AD915">
        <v>912</v>
      </c>
    </row>
    <row r="916" spans="13:30" ht="15" customHeight="1" x14ac:dyDescent="0.25">
      <c r="M916" t="s">
        <v>2474</v>
      </c>
      <c r="Z916" s="110">
        <f t="shared" si="30"/>
        <v>0</v>
      </c>
      <c r="AA916" t="str" cm="1">
        <f t="array" aca="1" ref="AA916" ca="1">IFERROR(INDEX(H_Tables!E:E,MATCH(INDIRECT("I"&amp;ROW()),H_Tables!F:F,0)),"")</f>
        <v/>
      </c>
      <c r="AB916" t="str" cm="1">
        <f t="array" aca="1" ref="AB916" ca="1">IFERROR(INDEX(H_Tables!H:H,MATCH(INDIRECT("k"&amp;ROW()),H_Tables!I:I,0)),"")</f>
        <v/>
      </c>
      <c r="AC916" t="str">
        <f t="shared" si="31"/>
        <v/>
      </c>
      <c r="AD916">
        <v>913</v>
      </c>
    </row>
    <row r="917" spans="13:30" ht="15" customHeight="1" x14ac:dyDescent="0.25">
      <c r="M917" t="s">
        <v>2474</v>
      </c>
      <c r="Z917" s="110">
        <f t="shared" si="30"/>
        <v>0</v>
      </c>
      <c r="AA917" t="str" cm="1">
        <f t="array" aca="1" ref="AA917" ca="1">IFERROR(INDEX(H_Tables!E:E,MATCH(INDIRECT("I"&amp;ROW()),H_Tables!F:F,0)),"")</f>
        <v/>
      </c>
      <c r="AB917" t="str" cm="1">
        <f t="array" aca="1" ref="AB917" ca="1">IFERROR(INDEX(H_Tables!H:H,MATCH(INDIRECT("k"&amp;ROW()),H_Tables!I:I,0)),"")</f>
        <v/>
      </c>
      <c r="AC917" t="str">
        <f t="shared" si="31"/>
        <v/>
      </c>
      <c r="AD917">
        <v>914</v>
      </c>
    </row>
    <row r="918" spans="13:30" ht="15" customHeight="1" x14ac:dyDescent="0.25">
      <c r="M918" t="s">
        <v>2474</v>
      </c>
      <c r="Z918" s="110">
        <f t="shared" si="30"/>
        <v>0</v>
      </c>
      <c r="AA918" t="str" cm="1">
        <f t="array" aca="1" ref="AA918" ca="1">IFERROR(INDEX(H_Tables!E:E,MATCH(INDIRECT("I"&amp;ROW()),H_Tables!F:F,0)),"")</f>
        <v/>
      </c>
      <c r="AB918" t="str" cm="1">
        <f t="array" aca="1" ref="AB918" ca="1">IFERROR(INDEX(H_Tables!H:H,MATCH(INDIRECT("k"&amp;ROW()),H_Tables!I:I,0)),"")</f>
        <v/>
      </c>
      <c r="AC918" t="str">
        <f t="shared" si="31"/>
        <v/>
      </c>
      <c r="AD918">
        <v>915</v>
      </c>
    </row>
    <row r="919" spans="13:30" ht="15" customHeight="1" x14ac:dyDescent="0.25">
      <c r="M919" t="s">
        <v>2474</v>
      </c>
      <c r="Z919" s="110">
        <f t="shared" si="30"/>
        <v>0</v>
      </c>
      <c r="AA919" t="str" cm="1">
        <f t="array" aca="1" ref="AA919" ca="1">IFERROR(INDEX(H_Tables!E:E,MATCH(INDIRECT("I"&amp;ROW()),H_Tables!F:F,0)),"")</f>
        <v/>
      </c>
      <c r="AB919" t="str" cm="1">
        <f t="array" aca="1" ref="AB919" ca="1">IFERROR(INDEX(H_Tables!H:H,MATCH(INDIRECT("k"&amp;ROW()),H_Tables!I:I,0)),"")</f>
        <v/>
      </c>
      <c r="AC919" t="str">
        <f t="shared" si="31"/>
        <v/>
      </c>
      <c r="AD919">
        <v>916</v>
      </c>
    </row>
    <row r="920" spans="13:30" ht="15" customHeight="1" x14ac:dyDescent="0.25">
      <c r="M920" t="s">
        <v>2474</v>
      </c>
      <c r="Z920" s="110">
        <f t="shared" si="30"/>
        <v>0</v>
      </c>
      <c r="AA920" t="str" cm="1">
        <f t="array" aca="1" ref="AA920" ca="1">IFERROR(INDEX(H_Tables!E:E,MATCH(INDIRECT("I"&amp;ROW()),H_Tables!F:F,0)),"")</f>
        <v/>
      </c>
      <c r="AB920" t="str" cm="1">
        <f t="array" aca="1" ref="AB920" ca="1">IFERROR(INDEX(H_Tables!H:H,MATCH(INDIRECT("k"&amp;ROW()),H_Tables!I:I,0)),"")</f>
        <v/>
      </c>
      <c r="AC920" t="str">
        <f t="shared" si="31"/>
        <v/>
      </c>
      <c r="AD920">
        <v>917</v>
      </c>
    </row>
    <row r="921" spans="13:30" ht="15" customHeight="1" x14ac:dyDescent="0.25">
      <c r="M921" t="s">
        <v>2474</v>
      </c>
      <c r="Z921" s="110">
        <f t="shared" si="30"/>
        <v>0</v>
      </c>
      <c r="AA921" t="str" cm="1">
        <f t="array" aca="1" ref="AA921" ca="1">IFERROR(INDEX(H_Tables!E:E,MATCH(INDIRECT("I"&amp;ROW()),H_Tables!F:F,0)),"")</f>
        <v/>
      </c>
      <c r="AB921" t="str" cm="1">
        <f t="array" aca="1" ref="AB921" ca="1">IFERROR(INDEX(H_Tables!H:H,MATCH(INDIRECT("k"&amp;ROW()),H_Tables!I:I,0)),"")</f>
        <v/>
      </c>
      <c r="AC921" t="str">
        <f t="shared" si="31"/>
        <v/>
      </c>
      <c r="AD921">
        <v>918</v>
      </c>
    </row>
    <row r="922" spans="13:30" ht="15" customHeight="1" x14ac:dyDescent="0.25">
      <c r="M922" t="s">
        <v>2474</v>
      </c>
      <c r="Z922" s="110">
        <f t="shared" si="30"/>
        <v>0</v>
      </c>
      <c r="AA922" t="str" cm="1">
        <f t="array" aca="1" ref="AA922" ca="1">IFERROR(INDEX(H_Tables!E:E,MATCH(INDIRECT("I"&amp;ROW()),H_Tables!F:F,0)),"")</f>
        <v/>
      </c>
      <c r="AB922" t="str" cm="1">
        <f t="array" aca="1" ref="AB922" ca="1">IFERROR(INDEX(H_Tables!H:H,MATCH(INDIRECT("k"&amp;ROW()),H_Tables!I:I,0)),"")</f>
        <v/>
      </c>
      <c r="AC922" t="str">
        <f t="shared" si="31"/>
        <v/>
      </c>
      <c r="AD922">
        <v>919</v>
      </c>
    </row>
    <row r="923" spans="13:30" ht="15" customHeight="1" x14ac:dyDescent="0.25">
      <c r="M923" t="s">
        <v>2474</v>
      </c>
      <c r="Z923" s="110">
        <f t="shared" si="30"/>
        <v>0</v>
      </c>
      <c r="AA923" t="str" cm="1">
        <f t="array" aca="1" ref="AA923" ca="1">IFERROR(INDEX(H_Tables!E:E,MATCH(INDIRECT("I"&amp;ROW()),H_Tables!F:F,0)),"")</f>
        <v/>
      </c>
      <c r="AB923" t="str" cm="1">
        <f t="array" aca="1" ref="AB923" ca="1">IFERROR(INDEX(H_Tables!H:H,MATCH(INDIRECT("k"&amp;ROW()),H_Tables!I:I,0)),"")</f>
        <v/>
      </c>
      <c r="AC923" t="str">
        <f t="shared" si="31"/>
        <v/>
      </c>
      <c r="AD923">
        <v>920</v>
      </c>
    </row>
    <row r="924" spans="13:30" ht="15" customHeight="1" x14ac:dyDescent="0.25">
      <c r="M924" t="s">
        <v>2474</v>
      </c>
      <c r="Z924" s="110">
        <f t="shared" si="30"/>
        <v>0</v>
      </c>
      <c r="AA924" t="str" cm="1">
        <f t="array" aca="1" ref="AA924" ca="1">IFERROR(INDEX(H_Tables!E:E,MATCH(INDIRECT("I"&amp;ROW()),H_Tables!F:F,0)),"")</f>
        <v/>
      </c>
      <c r="AB924" t="str" cm="1">
        <f t="array" aca="1" ref="AB924" ca="1">IFERROR(INDEX(H_Tables!H:H,MATCH(INDIRECT("k"&amp;ROW()),H_Tables!I:I,0)),"")</f>
        <v/>
      </c>
      <c r="AC924" t="str">
        <f t="shared" si="31"/>
        <v/>
      </c>
      <c r="AD924">
        <v>921</v>
      </c>
    </row>
    <row r="925" spans="13:30" ht="15" customHeight="1" x14ac:dyDescent="0.25">
      <c r="M925" t="s">
        <v>2474</v>
      </c>
      <c r="Z925" s="110">
        <f t="shared" si="30"/>
        <v>0</v>
      </c>
      <c r="AA925" t="str" cm="1">
        <f t="array" aca="1" ref="AA925" ca="1">IFERROR(INDEX(H_Tables!E:E,MATCH(INDIRECT("I"&amp;ROW()),H_Tables!F:F,0)),"")</f>
        <v/>
      </c>
      <c r="AB925" t="str" cm="1">
        <f t="array" aca="1" ref="AB925" ca="1">IFERROR(INDEX(H_Tables!H:H,MATCH(INDIRECT("k"&amp;ROW()),H_Tables!I:I,0)),"")</f>
        <v/>
      </c>
      <c r="AC925" t="str">
        <f t="shared" si="31"/>
        <v/>
      </c>
      <c r="AD925">
        <v>922</v>
      </c>
    </row>
    <row r="926" spans="13:30" ht="15" customHeight="1" x14ac:dyDescent="0.25">
      <c r="M926" t="s">
        <v>2474</v>
      </c>
      <c r="Z926" s="110">
        <f t="shared" si="30"/>
        <v>0</v>
      </c>
      <c r="AA926" t="str" cm="1">
        <f t="array" aca="1" ref="AA926" ca="1">IFERROR(INDEX(H_Tables!E:E,MATCH(INDIRECT("I"&amp;ROW()),H_Tables!F:F,0)),"")</f>
        <v/>
      </c>
      <c r="AB926" t="str" cm="1">
        <f t="array" aca="1" ref="AB926" ca="1">IFERROR(INDEX(H_Tables!H:H,MATCH(INDIRECT("k"&amp;ROW()),H_Tables!I:I,0)),"")</f>
        <v/>
      </c>
      <c r="AC926" t="str">
        <f t="shared" si="31"/>
        <v/>
      </c>
      <c r="AD926">
        <v>923</v>
      </c>
    </row>
    <row r="927" spans="13:30" ht="15" customHeight="1" x14ac:dyDescent="0.25">
      <c r="M927" t="s">
        <v>2474</v>
      </c>
      <c r="Z927" s="110">
        <f t="shared" si="30"/>
        <v>0</v>
      </c>
      <c r="AA927" t="str" cm="1">
        <f t="array" aca="1" ref="AA927" ca="1">IFERROR(INDEX(H_Tables!E:E,MATCH(INDIRECT("I"&amp;ROW()),H_Tables!F:F,0)),"")</f>
        <v/>
      </c>
      <c r="AB927" t="str" cm="1">
        <f t="array" aca="1" ref="AB927" ca="1">IFERROR(INDEX(H_Tables!H:H,MATCH(INDIRECT("k"&amp;ROW()),H_Tables!I:I,0)),"")</f>
        <v/>
      </c>
      <c r="AC927" t="str">
        <f t="shared" si="31"/>
        <v/>
      </c>
      <c r="AD927">
        <v>924</v>
      </c>
    </row>
    <row r="928" spans="13:30" ht="15" customHeight="1" x14ac:dyDescent="0.25">
      <c r="M928" t="s">
        <v>2474</v>
      </c>
      <c r="Z928" s="110">
        <f t="shared" si="30"/>
        <v>0</v>
      </c>
      <c r="AA928" t="str" cm="1">
        <f t="array" aca="1" ref="AA928" ca="1">IFERROR(INDEX(H_Tables!E:E,MATCH(INDIRECT("I"&amp;ROW()),H_Tables!F:F,0)),"")</f>
        <v/>
      </c>
      <c r="AB928" t="str" cm="1">
        <f t="array" aca="1" ref="AB928" ca="1">IFERROR(INDEX(H_Tables!H:H,MATCH(INDIRECT("k"&amp;ROW()),H_Tables!I:I,0)),"")</f>
        <v/>
      </c>
      <c r="AC928" t="str">
        <f t="shared" si="31"/>
        <v/>
      </c>
      <c r="AD928">
        <v>925</v>
      </c>
    </row>
    <row r="929" spans="13:30" ht="15" customHeight="1" x14ac:dyDescent="0.25">
      <c r="M929" t="s">
        <v>2474</v>
      </c>
      <c r="Z929" s="110">
        <f t="shared" si="30"/>
        <v>0</v>
      </c>
      <c r="AA929" t="str" cm="1">
        <f t="array" aca="1" ref="AA929" ca="1">IFERROR(INDEX(H_Tables!E:E,MATCH(INDIRECT("I"&amp;ROW()),H_Tables!F:F,0)),"")</f>
        <v/>
      </c>
      <c r="AB929" t="str" cm="1">
        <f t="array" aca="1" ref="AB929" ca="1">IFERROR(INDEX(H_Tables!H:H,MATCH(INDIRECT("k"&amp;ROW()),H_Tables!I:I,0)),"")</f>
        <v/>
      </c>
      <c r="AC929" t="str">
        <f t="shared" si="31"/>
        <v/>
      </c>
      <c r="AD929">
        <v>926</v>
      </c>
    </row>
    <row r="930" spans="13:30" ht="15" customHeight="1" x14ac:dyDescent="0.25">
      <c r="M930" t="s">
        <v>2474</v>
      </c>
      <c r="Z930" s="110">
        <f t="shared" si="30"/>
        <v>0</v>
      </c>
      <c r="AA930" t="str" cm="1">
        <f t="array" aca="1" ref="AA930" ca="1">IFERROR(INDEX(H_Tables!E:E,MATCH(INDIRECT("I"&amp;ROW()),H_Tables!F:F,0)),"")</f>
        <v/>
      </c>
      <c r="AB930" t="str" cm="1">
        <f t="array" aca="1" ref="AB930" ca="1">IFERROR(INDEX(H_Tables!H:H,MATCH(INDIRECT("k"&amp;ROW()),H_Tables!I:I,0)),"")</f>
        <v/>
      </c>
      <c r="AC930" t="str">
        <f t="shared" si="31"/>
        <v/>
      </c>
      <c r="AD930">
        <v>927</v>
      </c>
    </row>
    <row r="931" spans="13:30" ht="15" customHeight="1" x14ac:dyDescent="0.25">
      <c r="M931" t="s">
        <v>2474</v>
      </c>
      <c r="Z931" s="110">
        <f t="shared" si="30"/>
        <v>0</v>
      </c>
      <c r="AA931" t="str" cm="1">
        <f t="array" aca="1" ref="AA931" ca="1">IFERROR(INDEX(H_Tables!E:E,MATCH(INDIRECT("I"&amp;ROW()),H_Tables!F:F,0)),"")</f>
        <v/>
      </c>
      <c r="AB931" t="str" cm="1">
        <f t="array" aca="1" ref="AB931" ca="1">IFERROR(INDEX(H_Tables!H:H,MATCH(INDIRECT("k"&amp;ROW()),H_Tables!I:I,0)),"")</f>
        <v/>
      </c>
      <c r="AC931" t="str">
        <f t="shared" si="31"/>
        <v/>
      </c>
      <c r="AD931">
        <v>928</v>
      </c>
    </row>
    <row r="932" spans="13:30" ht="15" customHeight="1" x14ac:dyDescent="0.25">
      <c r="M932" t="s">
        <v>2474</v>
      </c>
      <c r="Z932" s="110">
        <f t="shared" si="30"/>
        <v>0</v>
      </c>
      <c r="AA932" t="str" cm="1">
        <f t="array" aca="1" ref="AA932" ca="1">IFERROR(INDEX(H_Tables!E:E,MATCH(INDIRECT("I"&amp;ROW()),H_Tables!F:F,0)),"")</f>
        <v/>
      </c>
      <c r="AB932" t="str" cm="1">
        <f t="array" aca="1" ref="AB932" ca="1">IFERROR(INDEX(H_Tables!H:H,MATCH(INDIRECT("k"&amp;ROW()),H_Tables!I:I,0)),"")</f>
        <v/>
      </c>
      <c r="AC932" t="str">
        <f t="shared" si="31"/>
        <v/>
      </c>
      <c r="AD932">
        <v>929</v>
      </c>
    </row>
    <row r="933" spans="13:30" ht="15" customHeight="1" x14ac:dyDescent="0.25">
      <c r="M933" t="s">
        <v>2474</v>
      </c>
      <c r="Z933" s="110">
        <f t="shared" si="30"/>
        <v>0</v>
      </c>
      <c r="AA933" t="str" cm="1">
        <f t="array" aca="1" ref="AA933" ca="1">IFERROR(INDEX(H_Tables!E:E,MATCH(INDIRECT("I"&amp;ROW()),H_Tables!F:F,0)),"")</f>
        <v/>
      </c>
      <c r="AB933" t="str" cm="1">
        <f t="array" aca="1" ref="AB933" ca="1">IFERROR(INDEX(H_Tables!H:H,MATCH(INDIRECT("k"&amp;ROW()),H_Tables!I:I,0)),"")</f>
        <v/>
      </c>
      <c r="AC933" t="str">
        <f t="shared" si="31"/>
        <v/>
      </c>
      <c r="AD933">
        <v>930</v>
      </c>
    </row>
    <row r="934" spans="13:30" ht="15" customHeight="1" x14ac:dyDescent="0.25">
      <c r="M934" t="s">
        <v>2474</v>
      </c>
      <c r="Z934" s="110">
        <f t="shared" si="30"/>
        <v>0</v>
      </c>
      <c r="AA934" t="str" cm="1">
        <f t="array" aca="1" ref="AA934" ca="1">IFERROR(INDEX(H_Tables!E:E,MATCH(INDIRECT("I"&amp;ROW()),H_Tables!F:F,0)),"")</f>
        <v/>
      </c>
      <c r="AB934" t="str" cm="1">
        <f t="array" aca="1" ref="AB934" ca="1">IFERROR(INDEX(H_Tables!H:H,MATCH(INDIRECT("k"&amp;ROW()),H_Tables!I:I,0)),"")</f>
        <v/>
      </c>
      <c r="AC934" t="str">
        <f t="shared" si="31"/>
        <v/>
      </c>
      <c r="AD934">
        <v>931</v>
      </c>
    </row>
    <row r="935" spans="13:30" ht="15" customHeight="1" x14ac:dyDescent="0.25">
      <c r="M935" t="s">
        <v>2474</v>
      </c>
      <c r="Z935" s="110">
        <f t="shared" si="30"/>
        <v>0</v>
      </c>
      <c r="AA935" t="str" cm="1">
        <f t="array" aca="1" ref="AA935" ca="1">IFERROR(INDEX(H_Tables!E:E,MATCH(INDIRECT("I"&amp;ROW()),H_Tables!F:F,0)),"")</f>
        <v/>
      </c>
      <c r="AB935" t="str" cm="1">
        <f t="array" aca="1" ref="AB935" ca="1">IFERROR(INDEX(H_Tables!H:H,MATCH(INDIRECT("k"&amp;ROW()),H_Tables!I:I,0)),"")</f>
        <v/>
      </c>
      <c r="AC935" t="str">
        <f t="shared" si="31"/>
        <v/>
      </c>
      <c r="AD935">
        <v>932</v>
      </c>
    </row>
    <row r="936" spans="13:30" ht="15" customHeight="1" x14ac:dyDescent="0.25">
      <c r="M936" t="s">
        <v>2474</v>
      </c>
      <c r="Z936" s="110">
        <f t="shared" si="30"/>
        <v>0</v>
      </c>
      <c r="AA936" t="str" cm="1">
        <f t="array" aca="1" ref="AA936" ca="1">IFERROR(INDEX(H_Tables!E:E,MATCH(INDIRECT("I"&amp;ROW()),H_Tables!F:F,0)),"")</f>
        <v/>
      </c>
      <c r="AB936" t="str" cm="1">
        <f t="array" aca="1" ref="AB936" ca="1">IFERROR(INDEX(H_Tables!H:H,MATCH(INDIRECT("k"&amp;ROW()),H_Tables!I:I,0)),"")</f>
        <v/>
      </c>
      <c r="AC936" t="str">
        <f t="shared" si="31"/>
        <v/>
      </c>
      <c r="AD936">
        <v>933</v>
      </c>
    </row>
    <row r="937" spans="13:30" ht="15" customHeight="1" x14ac:dyDescent="0.25">
      <c r="M937" t="s">
        <v>2474</v>
      </c>
      <c r="Z937" s="110">
        <f t="shared" si="30"/>
        <v>0</v>
      </c>
      <c r="AA937" t="str" cm="1">
        <f t="array" aca="1" ref="AA937" ca="1">IFERROR(INDEX(H_Tables!E:E,MATCH(INDIRECT("I"&amp;ROW()),H_Tables!F:F,0)),"")</f>
        <v/>
      </c>
      <c r="AB937" t="str" cm="1">
        <f t="array" aca="1" ref="AB937" ca="1">IFERROR(INDEX(H_Tables!H:H,MATCH(INDIRECT("k"&amp;ROW()),H_Tables!I:I,0)),"")</f>
        <v/>
      </c>
      <c r="AC937" t="str">
        <f t="shared" si="31"/>
        <v/>
      </c>
      <c r="AD937">
        <v>934</v>
      </c>
    </row>
    <row r="938" spans="13:30" ht="15" customHeight="1" x14ac:dyDescent="0.25">
      <c r="M938" t="s">
        <v>2474</v>
      </c>
      <c r="Z938" s="110">
        <f t="shared" si="30"/>
        <v>0</v>
      </c>
      <c r="AA938" t="str" cm="1">
        <f t="array" aca="1" ref="AA938" ca="1">IFERROR(INDEX(H_Tables!E:E,MATCH(INDIRECT("I"&amp;ROW()),H_Tables!F:F,0)),"")</f>
        <v/>
      </c>
      <c r="AB938" t="str" cm="1">
        <f t="array" aca="1" ref="AB938" ca="1">IFERROR(INDEX(H_Tables!H:H,MATCH(INDIRECT("k"&amp;ROW()),H_Tables!I:I,0)),"")</f>
        <v/>
      </c>
      <c r="AC938" t="str">
        <f t="shared" si="31"/>
        <v/>
      </c>
      <c r="AD938">
        <v>935</v>
      </c>
    </row>
    <row r="939" spans="13:30" ht="15" customHeight="1" x14ac:dyDescent="0.25">
      <c r="M939" t="s">
        <v>2474</v>
      </c>
      <c r="Z939" s="110">
        <f t="shared" si="30"/>
        <v>0</v>
      </c>
      <c r="AA939" t="str" cm="1">
        <f t="array" aca="1" ref="AA939" ca="1">IFERROR(INDEX(H_Tables!E:E,MATCH(INDIRECT("I"&amp;ROW()),H_Tables!F:F,0)),"")</f>
        <v/>
      </c>
      <c r="AB939" t="str" cm="1">
        <f t="array" aca="1" ref="AB939" ca="1">IFERROR(INDEX(H_Tables!H:H,MATCH(INDIRECT("k"&amp;ROW()),H_Tables!I:I,0)),"")</f>
        <v/>
      </c>
      <c r="AC939" t="str">
        <f t="shared" si="31"/>
        <v/>
      </c>
      <c r="AD939">
        <v>936</v>
      </c>
    </row>
    <row r="940" spans="13:30" ht="15" customHeight="1" x14ac:dyDescent="0.25">
      <c r="M940" t="s">
        <v>2474</v>
      </c>
      <c r="Z940" s="110">
        <f t="shared" si="30"/>
        <v>0</v>
      </c>
      <c r="AA940" t="str" cm="1">
        <f t="array" aca="1" ref="AA940" ca="1">IFERROR(INDEX(H_Tables!E:E,MATCH(INDIRECT("I"&amp;ROW()),H_Tables!F:F,0)),"")</f>
        <v/>
      </c>
      <c r="AB940" t="str" cm="1">
        <f t="array" aca="1" ref="AB940" ca="1">IFERROR(INDEX(H_Tables!H:H,MATCH(INDIRECT("k"&amp;ROW()),H_Tables!I:I,0)),"")</f>
        <v/>
      </c>
      <c r="AC940" t="str">
        <f t="shared" si="31"/>
        <v/>
      </c>
      <c r="AD940">
        <v>937</v>
      </c>
    </row>
    <row r="941" spans="13:30" ht="15" customHeight="1" x14ac:dyDescent="0.25">
      <c r="M941" t="s">
        <v>2474</v>
      </c>
      <c r="Z941" s="110">
        <f t="shared" si="30"/>
        <v>0</v>
      </c>
      <c r="AA941" t="str" cm="1">
        <f t="array" aca="1" ref="AA941" ca="1">IFERROR(INDEX(H_Tables!E:E,MATCH(INDIRECT("I"&amp;ROW()),H_Tables!F:F,0)),"")</f>
        <v/>
      </c>
      <c r="AB941" t="str" cm="1">
        <f t="array" aca="1" ref="AB941" ca="1">IFERROR(INDEX(H_Tables!H:H,MATCH(INDIRECT("k"&amp;ROW()),H_Tables!I:I,0)),"")</f>
        <v/>
      </c>
      <c r="AC941" t="str">
        <f t="shared" si="31"/>
        <v/>
      </c>
      <c r="AD941">
        <v>938</v>
      </c>
    </row>
    <row r="942" spans="13:30" ht="15" customHeight="1" x14ac:dyDescent="0.25">
      <c r="M942" t="s">
        <v>2474</v>
      </c>
      <c r="Z942" s="110">
        <f t="shared" si="30"/>
        <v>0</v>
      </c>
      <c r="AA942" t="str" cm="1">
        <f t="array" aca="1" ref="AA942" ca="1">IFERROR(INDEX(H_Tables!E:E,MATCH(INDIRECT("I"&amp;ROW()),H_Tables!F:F,0)),"")</f>
        <v/>
      </c>
      <c r="AB942" t="str" cm="1">
        <f t="array" aca="1" ref="AB942" ca="1">IFERROR(INDEX(H_Tables!H:H,MATCH(INDIRECT("k"&amp;ROW()),H_Tables!I:I,0)),"")</f>
        <v/>
      </c>
      <c r="AC942" t="str">
        <f t="shared" si="31"/>
        <v/>
      </c>
      <c r="AD942">
        <v>939</v>
      </c>
    </row>
    <row r="943" spans="13:30" ht="15" customHeight="1" x14ac:dyDescent="0.25">
      <c r="M943" t="s">
        <v>2474</v>
      </c>
      <c r="Z943" s="110">
        <f t="shared" si="30"/>
        <v>0</v>
      </c>
      <c r="AA943" t="str" cm="1">
        <f t="array" aca="1" ref="AA943" ca="1">IFERROR(INDEX(H_Tables!E:E,MATCH(INDIRECT("I"&amp;ROW()),H_Tables!F:F,0)),"")</f>
        <v/>
      </c>
      <c r="AB943" t="str" cm="1">
        <f t="array" aca="1" ref="AB943" ca="1">IFERROR(INDEX(H_Tables!H:H,MATCH(INDIRECT("k"&amp;ROW()),H_Tables!I:I,0)),"")</f>
        <v/>
      </c>
      <c r="AC943" t="str">
        <f t="shared" si="31"/>
        <v/>
      </c>
      <c r="AD943">
        <v>940</v>
      </c>
    </row>
    <row r="944" spans="13:30" ht="15" customHeight="1" x14ac:dyDescent="0.25">
      <c r="M944" t="s">
        <v>2474</v>
      </c>
      <c r="Z944" s="110">
        <f t="shared" si="30"/>
        <v>0</v>
      </c>
      <c r="AA944" t="str" cm="1">
        <f t="array" aca="1" ref="AA944" ca="1">IFERROR(INDEX(H_Tables!E:E,MATCH(INDIRECT("I"&amp;ROW()),H_Tables!F:F,0)),"")</f>
        <v/>
      </c>
      <c r="AB944" t="str" cm="1">
        <f t="array" aca="1" ref="AB944" ca="1">IFERROR(INDEX(H_Tables!H:H,MATCH(INDIRECT("k"&amp;ROW()),H_Tables!I:I,0)),"")</f>
        <v/>
      </c>
      <c r="AC944" t="str">
        <f t="shared" si="31"/>
        <v/>
      </c>
      <c r="AD944">
        <v>941</v>
      </c>
    </row>
    <row r="945" spans="13:30" ht="15" customHeight="1" x14ac:dyDescent="0.25">
      <c r="M945" t="s">
        <v>2474</v>
      </c>
      <c r="Z945" s="110">
        <f t="shared" si="30"/>
        <v>0</v>
      </c>
      <c r="AA945" t="str" cm="1">
        <f t="array" aca="1" ref="AA945" ca="1">IFERROR(INDEX(H_Tables!E:E,MATCH(INDIRECT("I"&amp;ROW()),H_Tables!F:F,0)),"")</f>
        <v/>
      </c>
      <c r="AB945" t="str" cm="1">
        <f t="array" aca="1" ref="AB945" ca="1">IFERROR(INDEX(H_Tables!H:H,MATCH(INDIRECT("k"&amp;ROW()),H_Tables!I:I,0)),"")</f>
        <v/>
      </c>
      <c r="AC945" t="str">
        <f t="shared" si="31"/>
        <v/>
      </c>
      <c r="AD945">
        <v>942</v>
      </c>
    </row>
    <row r="946" spans="13:30" ht="15" customHeight="1" x14ac:dyDescent="0.25">
      <c r="M946" t="s">
        <v>2474</v>
      </c>
      <c r="Z946" s="110">
        <f t="shared" si="30"/>
        <v>0</v>
      </c>
      <c r="AA946" t="str" cm="1">
        <f t="array" aca="1" ref="AA946" ca="1">IFERROR(INDEX(H_Tables!E:E,MATCH(INDIRECT("I"&amp;ROW()),H_Tables!F:F,0)),"")</f>
        <v/>
      </c>
      <c r="AB946" t="str" cm="1">
        <f t="array" aca="1" ref="AB946" ca="1">IFERROR(INDEX(H_Tables!H:H,MATCH(INDIRECT("k"&amp;ROW()),H_Tables!I:I,0)),"")</f>
        <v/>
      </c>
      <c r="AC946" t="str">
        <f t="shared" si="31"/>
        <v/>
      </c>
      <c r="AD946">
        <v>943</v>
      </c>
    </row>
    <row r="947" spans="13:30" ht="15" customHeight="1" x14ac:dyDescent="0.25">
      <c r="M947" t="s">
        <v>2474</v>
      </c>
      <c r="Z947" s="110">
        <f t="shared" si="30"/>
        <v>0</v>
      </c>
      <c r="AA947" t="str" cm="1">
        <f t="array" aca="1" ref="AA947" ca="1">IFERROR(INDEX(H_Tables!E:E,MATCH(INDIRECT("I"&amp;ROW()),H_Tables!F:F,0)),"")</f>
        <v/>
      </c>
      <c r="AB947" t="str" cm="1">
        <f t="array" aca="1" ref="AB947" ca="1">IFERROR(INDEX(H_Tables!H:H,MATCH(INDIRECT("k"&amp;ROW()),H_Tables!I:I,0)),"")</f>
        <v/>
      </c>
      <c r="AC947" t="str">
        <f t="shared" si="31"/>
        <v/>
      </c>
      <c r="AD947">
        <v>944</v>
      </c>
    </row>
    <row r="948" spans="13:30" ht="15" customHeight="1" x14ac:dyDescent="0.25">
      <c r="M948" t="s">
        <v>2474</v>
      </c>
      <c r="Z948" s="110">
        <f t="shared" si="30"/>
        <v>0</v>
      </c>
      <c r="AA948" t="str" cm="1">
        <f t="array" aca="1" ref="AA948" ca="1">IFERROR(INDEX(H_Tables!E:E,MATCH(INDIRECT("I"&amp;ROW()),H_Tables!F:F,0)),"")</f>
        <v/>
      </c>
      <c r="AB948" t="str" cm="1">
        <f t="array" aca="1" ref="AB948" ca="1">IFERROR(INDEX(H_Tables!H:H,MATCH(INDIRECT("k"&amp;ROW()),H_Tables!I:I,0)),"")</f>
        <v/>
      </c>
      <c r="AC948" t="str">
        <f t="shared" si="31"/>
        <v/>
      </c>
      <c r="AD948">
        <v>945</v>
      </c>
    </row>
    <row r="949" spans="13:30" ht="15" customHeight="1" x14ac:dyDescent="0.25">
      <c r="M949" t="s">
        <v>2474</v>
      </c>
      <c r="Z949" s="110">
        <f t="shared" si="30"/>
        <v>0</v>
      </c>
      <c r="AA949" t="str" cm="1">
        <f t="array" aca="1" ref="AA949" ca="1">IFERROR(INDEX(H_Tables!E:E,MATCH(INDIRECT("I"&amp;ROW()),H_Tables!F:F,0)),"")</f>
        <v/>
      </c>
      <c r="AB949" t="str" cm="1">
        <f t="array" aca="1" ref="AB949" ca="1">IFERROR(INDEX(H_Tables!H:H,MATCH(INDIRECT("k"&amp;ROW()),H_Tables!I:I,0)),"")</f>
        <v/>
      </c>
      <c r="AC949" t="str">
        <f t="shared" si="31"/>
        <v/>
      </c>
      <c r="AD949">
        <v>946</v>
      </c>
    </row>
    <row r="950" spans="13:30" ht="15" customHeight="1" x14ac:dyDescent="0.25">
      <c r="M950" t="s">
        <v>2474</v>
      </c>
      <c r="Z950" s="110">
        <f t="shared" si="30"/>
        <v>0</v>
      </c>
      <c r="AA950" t="str" cm="1">
        <f t="array" aca="1" ref="AA950" ca="1">IFERROR(INDEX(H_Tables!E:E,MATCH(INDIRECT("I"&amp;ROW()),H_Tables!F:F,0)),"")</f>
        <v/>
      </c>
      <c r="AB950" t="str" cm="1">
        <f t="array" aca="1" ref="AB950" ca="1">IFERROR(INDEX(H_Tables!H:H,MATCH(INDIRECT("k"&amp;ROW()),H_Tables!I:I,0)),"")</f>
        <v/>
      </c>
      <c r="AC950" t="str">
        <f t="shared" si="31"/>
        <v/>
      </c>
      <c r="AD950">
        <v>947</v>
      </c>
    </row>
    <row r="951" spans="13:30" ht="15" customHeight="1" x14ac:dyDescent="0.25">
      <c r="M951" t="s">
        <v>2474</v>
      </c>
      <c r="Z951" s="110">
        <f t="shared" si="30"/>
        <v>0</v>
      </c>
      <c r="AA951" t="str" cm="1">
        <f t="array" aca="1" ref="AA951" ca="1">IFERROR(INDEX(H_Tables!E:E,MATCH(INDIRECT("I"&amp;ROW()),H_Tables!F:F,0)),"")</f>
        <v/>
      </c>
      <c r="AB951" t="str" cm="1">
        <f t="array" aca="1" ref="AB951" ca="1">IFERROR(INDEX(H_Tables!H:H,MATCH(INDIRECT("k"&amp;ROW()),H_Tables!I:I,0)),"")</f>
        <v/>
      </c>
      <c r="AC951" t="str">
        <f t="shared" si="31"/>
        <v/>
      </c>
      <c r="AD951">
        <v>948</v>
      </c>
    </row>
    <row r="952" spans="13:30" ht="15" customHeight="1" x14ac:dyDescent="0.25">
      <c r="M952" t="s">
        <v>2474</v>
      </c>
      <c r="Z952" s="110">
        <f t="shared" si="30"/>
        <v>0</v>
      </c>
      <c r="AA952" t="str" cm="1">
        <f t="array" aca="1" ref="AA952" ca="1">IFERROR(INDEX(H_Tables!E:E,MATCH(INDIRECT("I"&amp;ROW()),H_Tables!F:F,0)),"")</f>
        <v/>
      </c>
      <c r="AB952" t="str" cm="1">
        <f t="array" aca="1" ref="AB952" ca="1">IFERROR(INDEX(H_Tables!H:H,MATCH(INDIRECT("k"&amp;ROW()),H_Tables!I:I,0)),"")</f>
        <v/>
      </c>
      <c r="AC952" t="str">
        <f t="shared" si="31"/>
        <v/>
      </c>
      <c r="AD952">
        <v>949</v>
      </c>
    </row>
    <row r="953" spans="13:30" ht="15" customHeight="1" x14ac:dyDescent="0.25">
      <c r="M953" t="s">
        <v>2474</v>
      </c>
      <c r="Z953" s="110">
        <f t="shared" si="30"/>
        <v>0</v>
      </c>
      <c r="AA953" t="str" cm="1">
        <f t="array" aca="1" ref="AA953" ca="1">IFERROR(INDEX(H_Tables!E:E,MATCH(INDIRECT("I"&amp;ROW()),H_Tables!F:F,0)),"")</f>
        <v/>
      </c>
      <c r="AB953" t="str" cm="1">
        <f t="array" aca="1" ref="AB953" ca="1">IFERROR(INDEX(H_Tables!H:H,MATCH(INDIRECT("k"&amp;ROW()),H_Tables!I:I,0)),"")</f>
        <v/>
      </c>
      <c r="AC953" t="str">
        <f t="shared" si="31"/>
        <v/>
      </c>
      <c r="AD953">
        <v>950</v>
      </c>
    </row>
    <row r="954" spans="13:30" ht="15" customHeight="1" x14ac:dyDescent="0.25">
      <c r="M954" t="s">
        <v>2474</v>
      </c>
      <c r="Z954" s="110">
        <f t="shared" si="30"/>
        <v>0</v>
      </c>
      <c r="AA954" t="str" cm="1">
        <f t="array" aca="1" ref="AA954" ca="1">IFERROR(INDEX(H_Tables!E:E,MATCH(INDIRECT("I"&amp;ROW()),H_Tables!F:F,0)),"")</f>
        <v/>
      </c>
      <c r="AB954" t="str" cm="1">
        <f t="array" aca="1" ref="AB954" ca="1">IFERROR(INDEX(H_Tables!H:H,MATCH(INDIRECT("k"&amp;ROW()),H_Tables!I:I,0)),"")</f>
        <v/>
      </c>
      <c r="AC954" t="str">
        <f t="shared" si="31"/>
        <v/>
      </c>
      <c r="AD954">
        <v>951</v>
      </c>
    </row>
    <row r="955" spans="13:30" ht="15" customHeight="1" x14ac:dyDescent="0.25">
      <c r="M955" t="s">
        <v>2474</v>
      </c>
      <c r="Z955" s="110">
        <f t="shared" si="30"/>
        <v>0</v>
      </c>
      <c r="AA955" t="str" cm="1">
        <f t="array" aca="1" ref="AA955" ca="1">IFERROR(INDEX(H_Tables!E:E,MATCH(INDIRECT("I"&amp;ROW()),H_Tables!F:F,0)),"")</f>
        <v/>
      </c>
      <c r="AB955" t="str" cm="1">
        <f t="array" aca="1" ref="AB955" ca="1">IFERROR(INDEX(H_Tables!H:H,MATCH(INDIRECT("k"&amp;ROW()),H_Tables!I:I,0)),"")</f>
        <v/>
      </c>
      <c r="AC955" t="str">
        <f t="shared" si="31"/>
        <v/>
      </c>
      <c r="AD955">
        <v>952</v>
      </c>
    </row>
    <row r="956" spans="13:30" ht="15" customHeight="1" x14ac:dyDescent="0.25">
      <c r="M956" t="s">
        <v>2474</v>
      </c>
      <c r="Z956" s="110">
        <f t="shared" si="30"/>
        <v>0</v>
      </c>
      <c r="AA956" t="str" cm="1">
        <f t="array" aca="1" ref="AA956" ca="1">IFERROR(INDEX(H_Tables!E:E,MATCH(INDIRECT("I"&amp;ROW()),H_Tables!F:F,0)),"")</f>
        <v/>
      </c>
      <c r="AB956" t="str" cm="1">
        <f t="array" aca="1" ref="AB956" ca="1">IFERROR(INDEX(H_Tables!H:H,MATCH(INDIRECT("k"&amp;ROW()),H_Tables!I:I,0)),"")</f>
        <v/>
      </c>
      <c r="AC956" t="str">
        <f t="shared" si="31"/>
        <v/>
      </c>
      <c r="AD956">
        <v>953</v>
      </c>
    </row>
    <row r="957" spans="13:30" ht="15" customHeight="1" x14ac:dyDescent="0.25">
      <c r="M957" t="s">
        <v>2474</v>
      </c>
      <c r="Z957" s="110">
        <f t="shared" si="30"/>
        <v>0</v>
      </c>
      <c r="AA957" t="str" cm="1">
        <f t="array" aca="1" ref="AA957" ca="1">IFERROR(INDEX(H_Tables!E:E,MATCH(INDIRECT("I"&amp;ROW()),H_Tables!F:F,0)),"")</f>
        <v/>
      </c>
      <c r="AB957" t="str" cm="1">
        <f t="array" aca="1" ref="AB957" ca="1">IFERROR(INDEX(H_Tables!H:H,MATCH(INDIRECT("k"&amp;ROW()),H_Tables!I:I,0)),"")</f>
        <v/>
      </c>
      <c r="AC957" t="str">
        <f t="shared" si="31"/>
        <v/>
      </c>
      <c r="AD957">
        <v>954</v>
      </c>
    </row>
    <row r="958" spans="13:30" ht="15" customHeight="1" x14ac:dyDescent="0.25">
      <c r="M958" t="s">
        <v>2474</v>
      </c>
      <c r="Z958" s="110">
        <f t="shared" si="30"/>
        <v>0</v>
      </c>
      <c r="AA958" t="str" cm="1">
        <f t="array" aca="1" ref="AA958" ca="1">IFERROR(INDEX(H_Tables!E:E,MATCH(INDIRECT("I"&amp;ROW()),H_Tables!F:F,0)),"")</f>
        <v/>
      </c>
      <c r="AB958" t="str" cm="1">
        <f t="array" aca="1" ref="AB958" ca="1">IFERROR(INDEX(H_Tables!H:H,MATCH(INDIRECT("k"&amp;ROW()),H_Tables!I:I,0)),"")</f>
        <v/>
      </c>
      <c r="AC958" t="str">
        <f t="shared" si="31"/>
        <v/>
      </c>
      <c r="AD958">
        <v>955</v>
      </c>
    </row>
    <row r="959" spans="13:30" ht="15" customHeight="1" x14ac:dyDescent="0.25">
      <c r="M959" t="s">
        <v>2474</v>
      </c>
      <c r="Z959" s="110">
        <f t="shared" si="30"/>
        <v>0</v>
      </c>
      <c r="AA959" t="str" cm="1">
        <f t="array" aca="1" ref="AA959" ca="1">IFERROR(INDEX(H_Tables!E:E,MATCH(INDIRECT("I"&amp;ROW()),H_Tables!F:F,0)),"")</f>
        <v/>
      </c>
      <c r="AB959" t="str" cm="1">
        <f t="array" aca="1" ref="AB959" ca="1">IFERROR(INDEX(H_Tables!H:H,MATCH(INDIRECT("k"&amp;ROW()),H_Tables!I:I,0)),"")</f>
        <v/>
      </c>
      <c r="AC959" t="str">
        <f t="shared" si="31"/>
        <v/>
      </c>
      <c r="AD959">
        <v>956</v>
      </c>
    </row>
    <row r="960" spans="13:30" ht="15" customHeight="1" x14ac:dyDescent="0.25">
      <c r="M960" t="s">
        <v>2474</v>
      </c>
      <c r="Z960" s="110">
        <f t="shared" si="30"/>
        <v>0</v>
      </c>
      <c r="AA960" t="str" cm="1">
        <f t="array" aca="1" ref="AA960" ca="1">IFERROR(INDEX(H_Tables!E:E,MATCH(INDIRECT("I"&amp;ROW()),H_Tables!F:F,0)),"")</f>
        <v/>
      </c>
      <c r="AB960" t="str" cm="1">
        <f t="array" aca="1" ref="AB960" ca="1">IFERROR(INDEX(H_Tables!H:H,MATCH(INDIRECT("k"&amp;ROW()),H_Tables!I:I,0)),"")</f>
        <v/>
      </c>
      <c r="AC960" t="str">
        <f t="shared" si="31"/>
        <v/>
      </c>
      <c r="AD960">
        <v>957</v>
      </c>
    </row>
    <row r="961" spans="13:30" ht="15" customHeight="1" x14ac:dyDescent="0.25">
      <c r="M961" t="s">
        <v>2474</v>
      </c>
      <c r="Z961" s="110">
        <f t="shared" si="30"/>
        <v>0</v>
      </c>
      <c r="AA961" t="str" cm="1">
        <f t="array" aca="1" ref="AA961" ca="1">IFERROR(INDEX(H_Tables!E:E,MATCH(INDIRECT("I"&amp;ROW()),H_Tables!F:F,0)),"")</f>
        <v/>
      </c>
      <c r="AB961" t="str" cm="1">
        <f t="array" aca="1" ref="AB961" ca="1">IFERROR(INDEX(H_Tables!H:H,MATCH(INDIRECT("k"&amp;ROW()),H_Tables!I:I,0)),"")</f>
        <v/>
      </c>
      <c r="AC961" t="str">
        <f t="shared" si="31"/>
        <v/>
      </c>
      <c r="AD961">
        <v>958</v>
      </c>
    </row>
    <row r="962" spans="13:30" ht="15" customHeight="1" x14ac:dyDescent="0.25">
      <c r="M962" t="s">
        <v>2474</v>
      </c>
      <c r="Z962" s="110">
        <f t="shared" ref="Z962:Z1004" si="32">ROUND(IF((F962+G962)=0,0,S962/Y962),4)</f>
        <v>0</v>
      </c>
      <c r="AA962" t="str" cm="1">
        <f t="array" aca="1" ref="AA962" ca="1">IFERROR(INDEX(H_Tables!E:E,MATCH(INDIRECT("I"&amp;ROW()),H_Tables!F:F,0)),"")</f>
        <v/>
      </c>
      <c r="AB962" t="str" cm="1">
        <f t="array" aca="1" ref="AB962" ca="1">IFERROR(INDEX(H_Tables!H:H,MATCH(INDIRECT("k"&amp;ROW()),H_Tables!I:I,0)),"")</f>
        <v/>
      </c>
      <c r="AC962" t="str">
        <f t="shared" si="31"/>
        <v/>
      </c>
      <c r="AD962">
        <v>959</v>
      </c>
    </row>
    <row r="963" spans="13:30" ht="15" customHeight="1" x14ac:dyDescent="0.25">
      <c r="M963" t="s">
        <v>2474</v>
      </c>
      <c r="Z963" s="110">
        <f t="shared" si="32"/>
        <v>0</v>
      </c>
      <c r="AA963" t="str" cm="1">
        <f t="array" aca="1" ref="AA963" ca="1">IFERROR(INDEX(H_Tables!E:E,MATCH(INDIRECT("I"&amp;ROW()),H_Tables!F:F,0)),"")</f>
        <v/>
      </c>
      <c r="AB963" t="str" cm="1">
        <f t="array" aca="1" ref="AB963" ca="1">IFERROR(INDEX(H_Tables!H:H,MATCH(INDIRECT("k"&amp;ROW()),H_Tables!I:I,0)),"")</f>
        <v/>
      </c>
      <c r="AC963" t="str">
        <f t="shared" si="31"/>
        <v/>
      </c>
      <c r="AD963">
        <v>960</v>
      </c>
    </row>
    <row r="964" spans="13:30" ht="15" customHeight="1" x14ac:dyDescent="0.25">
      <c r="M964" t="s">
        <v>2474</v>
      </c>
      <c r="Z964" s="110">
        <f t="shared" si="32"/>
        <v>0</v>
      </c>
      <c r="AA964" t="str" cm="1">
        <f t="array" aca="1" ref="AA964" ca="1">IFERROR(INDEX(H_Tables!E:E,MATCH(INDIRECT("I"&amp;ROW()),H_Tables!F:F,0)),"")</f>
        <v/>
      </c>
      <c r="AB964" t="str" cm="1">
        <f t="array" aca="1" ref="AB964" ca="1">IFERROR(INDEX(H_Tables!H:H,MATCH(INDIRECT("k"&amp;ROW()),H_Tables!I:I,0)),"")</f>
        <v/>
      </c>
      <c r="AC964" t="str">
        <f t="shared" si="31"/>
        <v/>
      </c>
      <c r="AD964">
        <v>961</v>
      </c>
    </row>
    <row r="965" spans="13:30" ht="15" customHeight="1" x14ac:dyDescent="0.25">
      <c r="M965" t="s">
        <v>2474</v>
      </c>
      <c r="Z965" s="110">
        <f t="shared" si="32"/>
        <v>0</v>
      </c>
      <c r="AA965" t="str" cm="1">
        <f t="array" aca="1" ref="AA965" ca="1">IFERROR(INDEX(H_Tables!E:E,MATCH(INDIRECT("I"&amp;ROW()),H_Tables!F:F,0)),"")</f>
        <v/>
      </c>
      <c r="AB965" t="str" cm="1">
        <f t="array" aca="1" ref="AB965" ca="1">IFERROR(INDEX(H_Tables!H:H,MATCH(INDIRECT("k"&amp;ROW()),H_Tables!I:I,0)),"")</f>
        <v/>
      </c>
      <c r="AC965" t="str">
        <f t="shared" ref="AC965:AC1004" si="33">_xlfn.TEXTJOIN(",",TRUE,M965:P965)</f>
        <v/>
      </c>
      <c r="AD965">
        <v>962</v>
      </c>
    </row>
    <row r="966" spans="13:30" ht="15" customHeight="1" x14ac:dyDescent="0.25">
      <c r="M966" t="s">
        <v>2474</v>
      </c>
      <c r="Z966" s="110">
        <f t="shared" si="32"/>
        <v>0</v>
      </c>
      <c r="AA966" t="str" cm="1">
        <f t="array" aca="1" ref="AA966" ca="1">IFERROR(INDEX(H_Tables!E:E,MATCH(INDIRECT("I"&amp;ROW()),H_Tables!F:F,0)),"")</f>
        <v/>
      </c>
      <c r="AB966" t="str" cm="1">
        <f t="array" aca="1" ref="AB966" ca="1">IFERROR(INDEX(H_Tables!H:H,MATCH(INDIRECT("k"&amp;ROW()),H_Tables!I:I,0)),"")</f>
        <v/>
      </c>
      <c r="AC966" t="str">
        <f t="shared" si="33"/>
        <v/>
      </c>
      <c r="AD966">
        <v>963</v>
      </c>
    </row>
    <row r="967" spans="13:30" ht="15" customHeight="1" x14ac:dyDescent="0.25">
      <c r="M967" t="s">
        <v>2474</v>
      </c>
      <c r="Z967" s="110">
        <f t="shared" si="32"/>
        <v>0</v>
      </c>
      <c r="AA967" t="str" cm="1">
        <f t="array" aca="1" ref="AA967" ca="1">IFERROR(INDEX(H_Tables!E:E,MATCH(INDIRECT("I"&amp;ROW()),H_Tables!F:F,0)),"")</f>
        <v/>
      </c>
      <c r="AB967" t="str" cm="1">
        <f t="array" aca="1" ref="AB967" ca="1">IFERROR(INDEX(H_Tables!H:H,MATCH(INDIRECT("k"&amp;ROW()),H_Tables!I:I,0)),"")</f>
        <v/>
      </c>
      <c r="AC967" t="str">
        <f t="shared" si="33"/>
        <v/>
      </c>
      <c r="AD967">
        <v>964</v>
      </c>
    </row>
    <row r="968" spans="13:30" ht="15" customHeight="1" x14ac:dyDescent="0.25">
      <c r="M968" t="s">
        <v>2474</v>
      </c>
      <c r="Z968" s="110">
        <f t="shared" si="32"/>
        <v>0</v>
      </c>
      <c r="AA968" t="str" cm="1">
        <f t="array" aca="1" ref="AA968" ca="1">IFERROR(INDEX(H_Tables!E:E,MATCH(INDIRECT("I"&amp;ROW()),H_Tables!F:F,0)),"")</f>
        <v/>
      </c>
      <c r="AB968" t="str" cm="1">
        <f t="array" aca="1" ref="AB968" ca="1">IFERROR(INDEX(H_Tables!H:H,MATCH(INDIRECT("k"&amp;ROW()),H_Tables!I:I,0)),"")</f>
        <v/>
      </c>
      <c r="AC968" t="str">
        <f t="shared" si="33"/>
        <v/>
      </c>
      <c r="AD968">
        <v>965</v>
      </c>
    </row>
    <row r="969" spans="13:30" ht="15" customHeight="1" x14ac:dyDescent="0.25">
      <c r="M969" t="s">
        <v>2474</v>
      </c>
      <c r="Z969" s="110">
        <f t="shared" si="32"/>
        <v>0</v>
      </c>
      <c r="AA969" t="str" cm="1">
        <f t="array" aca="1" ref="AA969" ca="1">IFERROR(INDEX(H_Tables!E:E,MATCH(INDIRECT("I"&amp;ROW()),H_Tables!F:F,0)),"")</f>
        <v/>
      </c>
      <c r="AB969" t="str" cm="1">
        <f t="array" aca="1" ref="AB969" ca="1">IFERROR(INDEX(H_Tables!H:H,MATCH(INDIRECT("k"&amp;ROW()),H_Tables!I:I,0)),"")</f>
        <v/>
      </c>
      <c r="AC969" t="str">
        <f t="shared" si="33"/>
        <v/>
      </c>
      <c r="AD969">
        <v>966</v>
      </c>
    </row>
    <row r="970" spans="13:30" ht="15" customHeight="1" x14ac:dyDescent="0.25">
      <c r="M970" t="s">
        <v>2474</v>
      </c>
      <c r="Z970" s="110">
        <f t="shared" si="32"/>
        <v>0</v>
      </c>
      <c r="AA970" t="str" cm="1">
        <f t="array" aca="1" ref="AA970" ca="1">IFERROR(INDEX(H_Tables!E:E,MATCH(INDIRECT("I"&amp;ROW()),H_Tables!F:F,0)),"")</f>
        <v/>
      </c>
      <c r="AB970" t="str" cm="1">
        <f t="array" aca="1" ref="AB970" ca="1">IFERROR(INDEX(H_Tables!H:H,MATCH(INDIRECT("k"&amp;ROW()),H_Tables!I:I,0)),"")</f>
        <v/>
      </c>
      <c r="AC970" t="str">
        <f t="shared" si="33"/>
        <v/>
      </c>
      <c r="AD970">
        <v>967</v>
      </c>
    </row>
    <row r="971" spans="13:30" ht="15" customHeight="1" x14ac:dyDescent="0.25">
      <c r="M971" t="s">
        <v>2474</v>
      </c>
      <c r="Z971" s="110">
        <f t="shared" si="32"/>
        <v>0</v>
      </c>
      <c r="AA971" t="str" cm="1">
        <f t="array" aca="1" ref="AA971" ca="1">IFERROR(INDEX(H_Tables!E:E,MATCH(INDIRECT("I"&amp;ROW()),H_Tables!F:F,0)),"")</f>
        <v/>
      </c>
      <c r="AB971" t="str" cm="1">
        <f t="array" aca="1" ref="AB971" ca="1">IFERROR(INDEX(H_Tables!H:H,MATCH(INDIRECT("k"&amp;ROW()),H_Tables!I:I,0)),"")</f>
        <v/>
      </c>
      <c r="AC971" t="str">
        <f t="shared" si="33"/>
        <v/>
      </c>
      <c r="AD971">
        <v>968</v>
      </c>
    </row>
    <row r="972" spans="13:30" ht="15" customHeight="1" x14ac:dyDescent="0.25">
      <c r="M972" t="s">
        <v>2474</v>
      </c>
      <c r="Z972" s="110">
        <f t="shared" si="32"/>
        <v>0</v>
      </c>
      <c r="AA972" t="str" cm="1">
        <f t="array" aca="1" ref="AA972" ca="1">IFERROR(INDEX(H_Tables!E:E,MATCH(INDIRECT("I"&amp;ROW()),H_Tables!F:F,0)),"")</f>
        <v/>
      </c>
      <c r="AB972" t="str" cm="1">
        <f t="array" aca="1" ref="AB972" ca="1">IFERROR(INDEX(H_Tables!H:H,MATCH(INDIRECT("k"&amp;ROW()),H_Tables!I:I,0)),"")</f>
        <v/>
      </c>
      <c r="AC972" t="str">
        <f t="shared" si="33"/>
        <v/>
      </c>
      <c r="AD972">
        <v>969</v>
      </c>
    </row>
    <row r="973" spans="13:30" ht="15" customHeight="1" x14ac:dyDescent="0.25">
      <c r="M973" t="s">
        <v>2474</v>
      </c>
      <c r="Z973" s="110">
        <f t="shared" si="32"/>
        <v>0</v>
      </c>
      <c r="AA973" t="str" cm="1">
        <f t="array" aca="1" ref="AA973" ca="1">IFERROR(INDEX(H_Tables!E:E,MATCH(INDIRECT("I"&amp;ROW()),H_Tables!F:F,0)),"")</f>
        <v/>
      </c>
      <c r="AB973" t="str" cm="1">
        <f t="array" aca="1" ref="AB973" ca="1">IFERROR(INDEX(H_Tables!H:H,MATCH(INDIRECT("k"&amp;ROW()),H_Tables!I:I,0)),"")</f>
        <v/>
      </c>
      <c r="AC973" t="str">
        <f t="shared" si="33"/>
        <v/>
      </c>
      <c r="AD973">
        <v>970</v>
      </c>
    </row>
    <row r="974" spans="13:30" ht="15" customHeight="1" x14ac:dyDescent="0.25">
      <c r="M974" t="s">
        <v>2474</v>
      </c>
      <c r="Z974" s="110">
        <f t="shared" si="32"/>
        <v>0</v>
      </c>
      <c r="AA974" t="str" cm="1">
        <f t="array" aca="1" ref="AA974" ca="1">IFERROR(INDEX(H_Tables!E:E,MATCH(INDIRECT("I"&amp;ROW()),H_Tables!F:F,0)),"")</f>
        <v/>
      </c>
      <c r="AB974" t="str" cm="1">
        <f t="array" aca="1" ref="AB974" ca="1">IFERROR(INDEX(H_Tables!H:H,MATCH(INDIRECT("k"&amp;ROW()),H_Tables!I:I,0)),"")</f>
        <v/>
      </c>
      <c r="AC974" t="str">
        <f t="shared" si="33"/>
        <v/>
      </c>
      <c r="AD974">
        <v>971</v>
      </c>
    </row>
    <row r="975" spans="13:30" ht="15" customHeight="1" x14ac:dyDescent="0.25">
      <c r="M975" t="s">
        <v>2474</v>
      </c>
      <c r="Z975" s="110">
        <f t="shared" si="32"/>
        <v>0</v>
      </c>
      <c r="AA975" t="str" cm="1">
        <f t="array" aca="1" ref="AA975" ca="1">IFERROR(INDEX(H_Tables!E:E,MATCH(INDIRECT("I"&amp;ROW()),H_Tables!F:F,0)),"")</f>
        <v/>
      </c>
      <c r="AB975" t="str" cm="1">
        <f t="array" aca="1" ref="AB975" ca="1">IFERROR(INDEX(H_Tables!H:H,MATCH(INDIRECT("k"&amp;ROW()),H_Tables!I:I,0)),"")</f>
        <v/>
      </c>
      <c r="AC975" t="str">
        <f t="shared" si="33"/>
        <v/>
      </c>
      <c r="AD975">
        <v>972</v>
      </c>
    </row>
    <row r="976" spans="13:30" ht="15" customHeight="1" x14ac:dyDescent="0.25">
      <c r="M976" t="s">
        <v>2474</v>
      </c>
      <c r="Z976" s="110">
        <f t="shared" si="32"/>
        <v>0</v>
      </c>
      <c r="AA976" t="str" cm="1">
        <f t="array" aca="1" ref="AA976" ca="1">IFERROR(INDEX(H_Tables!E:E,MATCH(INDIRECT("I"&amp;ROW()),H_Tables!F:F,0)),"")</f>
        <v/>
      </c>
      <c r="AB976" t="str" cm="1">
        <f t="array" aca="1" ref="AB976" ca="1">IFERROR(INDEX(H_Tables!H:H,MATCH(INDIRECT("k"&amp;ROW()),H_Tables!I:I,0)),"")</f>
        <v/>
      </c>
      <c r="AC976" t="str">
        <f t="shared" si="33"/>
        <v/>
      </c>
      <c r="AD976">
        <v>973</v>
      </c>
    </row>
    <row r="977" spans="13:30" ht="15" customHeight="1" x14ac:dyDescent="0.25">
      <c r="M977" t="s">
        <v>2474</v>
      </c>
      <c r="Z977" s="110">
        <f t="shared" si="32"/>
        <v>0</v>
      </c>
      <c r="AA977" t="str" cm="1">
        <f t="array" aca="1" ref="AA977" ca="1">IFERROR(INDEX(H_Tables!E:E,MATCH(INDIRECT("I"&amp;ROW()),H_Tables!F:F,0)),"")</f>
        <v/>
      </c>
      <c r="AB977" t="str" cm="1">
        <f t="array" aca="1" ref="AB977" ca="1">IFERROR(INDEX(H_Tables!H:H,MATCH(INDIRECT("k"&amp;ROW()),H_Tables!I:I,0)),"")</f>
        <v/>
      </c>
      <c r="AC977" t="str">
        <f t="shared" si="33"/>
        <v/>
      </c>
      <c r="AD977">
        <v>974</v>
      </c>
    </row>
    <row r="978" spans="13:30" ht="15" customHeight="1" x14ac:dyDescent="0.25">
      <c r="M978" t="s">
        <v>2474</v>
      </c>
      <c r="Z978" s="110">
        <f t="shared" si="32"/>
        <v>0</v>
      </c>
      <c r="AA978" t="str" cm="1">
        <f t="array" aca="1" ref="AA978" ca="1">IFERROR(INDEX(H_Tables!E:E,MATCH(INDIRECT("I"&amp;ROW()),H_Tables!F:F,0)),"")</f>
        <v/>
      </c>
      <c r="AB978" t="str" cm="1">
        <f t="array" aca="1" ref="AB978" ca="1">IFERROR(INDEX(H_Tables!H:H,MATCH(INDIRECT("k"&amp;ROW()),H_Tables!I:I,0)),"")</f>
        <v/>
      </c>
      <c r="AC978" t="str">
        <f t="shared" si="33"/>
        <v/>
      </c>
      <c r="AD978">
        <v>975</v>
      </c>
    </row>
    <row r="979" spans="13:30" ht="15" customHeight="1" x14ac:dyDescent="0.25">
      <c r="M979" t="s">
        <v>2474</v>
      </c>
      <c r="Z979" s="110">
        <f t="shared" si="32"/>
        <v>0</v>
      </c>
      <c r="AA979" t="str" cm="1">
        <f t="array" aca="1" ref="AA979" ca="1">IFERROR(INDEX(H_Tables!E:E,MATCH(INDIRECT("I"&amp;ROW()),H_Tables!F:F,0)),"")</f>
        <v/>
      </c>
      <c r="AB979" t="str" cm="1">
        <f t="array" aca="1" ref="AB979" ca="1">IFERROR(INDEX(H_Tables!H:H,MATCH(INDIRECT("k"&amp;ROW()),H_Tables!I:I,0)),"")</f>
        <v/>
      </c>
      <c r="AC979" t="str">
        <f t="shared" si="33"/>
        <v/>
      </c>
      <c r="AD979">
        <v>976</v>
      </c>
    </row>
    <row r="980" spans="13:30" ht="15" customHeight="1" x14ac:dyDescent="0.25">
      <c r="M980" t="s">
        <v>2474</v>
      </c>
      <c r="Z980" s="110">
        <f t="shared" si="32"/>
        <v>0</v>
      </c>
      <c r="AA980" t="str" cm="1">
        <f t="array" aca="1" ref="AA980" ca="1">IFERROR(INDEX(H_Tables!E:E,MATCH(INDIRECT("I"&amp;ROW()),H_Tables!F:F,0)),"")</f>
        <v/>
      </c>
      <c r="AB980" t="str" cm="1">
        <f t="array" aca="1" ref="AB980" ca="1">IFERROR(INDEX(H_Tables!H:H,MATCH(INDIRECT("k"&amp;ROW()),H_Tables!I:I,0)),"")</f>
        <v/>
      </c>
      <c r="AC980" t="str">
        <f t="shared" si="33"/>
        <v/>
      </c>
      <c r="AD980">
        <v>977</v>
      </c>
    </row>
    <row r="981" spans="13:30" ht="15" customHeight="1" x14ac:dyDescent="0.25">
      <c r="M981" t="s">
        <v>2474</v>
      </c>
      <c r="Z981" s="110">
        <f t="shared" si="32"/>
        <v>0</v>
      </c>
      <c r="AA981" t="str" cm="1">
        <f t="array" aca="1" ref="AA981" ca="1">IFERROR(INDEX(H_Tables!E:E,MATCH(INDIRECT("I"&amp;ROW()),H_Tables!F:F,0)),"")</f>
        <v/>
      </c>
      <c r="AB981" t="str" cm="1">
        <f t="array" aca="1" ref="AB981" ca="1">IFERROR(INDEX(H_Tables!H:H,MATCH(INDIRECT("k"&amp;ROW()),H_Tables!I:I,0)),"")</f>
        <v/>
      </c>
      <c r="AC981" t="str">
        <f t="shared" si="33"/>
        <v/>
      </c>
      <c r="AD981">
        <v>978</v>
      </c>
    </row>
    <row r="982" spans="13:30" ht="15" customHeight="1" x14ac:dyDescent="0.25">
      <c r="M982" t="s">
        <v>2474</v>
      </c>
      <c r="Z982" s="110">
        <f t="shared" si="32"/>
        <v>0</v>
      </c>
      <c r="AA982" t="str" cm="1">
        <f t="array" aca="1" ref="AA982" ca="1">IFERROR(INDEX(H_Tables!E:E,MATCH(INDIRECT("I"&amp;ROW()),H_Tables!F:F,0)),"")</f>
        <v/>
      </c>
      <c r="AB982" t="str" cm="1">
        <f t="array" aca="1" ref="AB982" ca="1">IFERROR(INDEX(H_Tables!H:H,MATCH(INDIRECT("k"&amp;ROW()),H_Tables!I:I,0)),"")</f>
        <v/>
      </c>
      <c r="AC982" t="str">
        <f t="shared" si="33"/>
        <v/>
      </c>
      <c r="AD982">
        <v>979</v>
      </c>
    </row>
    <row r="983" spans="13:30" ht="15" customHeight="1" x14ac:dyDescent="0.25">
      <c r="M983" t="s">
        <v>2474</v>
      </c>
      <c r="Z983" s="110">
        <f t="shared" si="32"/>
        <v>0</v>
      </c>
      <c r="AA983" t="str" cm="1">
        <f t="array" aca="1" ref="AA983" ca="1">IFERROR(INDEX(H_Tables!E:E,MATCH(INDIRECT("I"&amp;ROW()),H_Tables!F:F,0)),"")</f>
        <v/>
      </c>
      <c r="AB983" t="str" cm="1">
        <f t="array" aca="1" ref="AB983" ca="1">IFERROR(INDEX(H_Tables!H:H,MATCH(INDIRECT("k"&amp;ROW()),H_Tables!I:I,0)),"")</f>
        <v/>
      </c>
      <c r="AC983" t="str">
        <f t="shared" si="33"/>
        <v/>
      </c>
      <c r="AD983">
        <v>980</v>
      </c>
    </row>
    <row r="984" spans="13:30" ht="15" customHeight="1" x14ac:dyDescent="0.25">
      <c r="M984" t="s">
        <v>2474</v>
      </c>
      <c r="Z984" s="110">
        <f t="shared" si="32"/>
        <v>0</v>
      </c>
      <c r="AA984" t="str" cm="1">
        <f t="array" aca="1" ref="AA984" ca="1">IFERROR(INDEX(H_Tables!E:E,MATCH(INDIRECT("I"&amp;ROW()),H_Tables!F:F,0)),"")</f>
        <v/>
      </c>
      <c r="AB984" t="str" cm="1">
        <f t="array" aca="1" ref="AB984" ca="1">IFERROR(INDEX(H_Tables!H:H,MATCH(INDIRECT("k"&amp;ROW()),H_Tables!I:I,0)),"")</f>
        <v/>
      </c>
      <c r="AC984" t="str">
        <f t="shared" si="33"/>
        <v/>
      </c>
      <c r="AD984">
        <v>981</v>
      </c>
    </row>
    <row r="985" spans="13:30" ht="15" customHeight="1" x14ac:dyDescent="0.25">
      <c r="M985" t="s">
        <v>2474</v>
      </c>
      <c r="Z985" s="110">
        <f t="shared" si="32"/>
        <v>0</v>
      </c>
      <c r="AA985" t="str" cm="1">
        <f t="array" aca="1" ref="AA985" ca="1">IFERROR(INDEX(H_Tables!E:E,MATCH(INDIRECT("I"&amp;ROW()),H_Tables!F:F,0)),"")</f>
        <v/>
      </c>
      <c r="AB985" t="str" cm="1">
        <f t="array" aca="1" ref="AB985" ca="1">IFERROR(INDEX(H_Tables!H:H,MATCH(INDIRECT("k"&amp;ROW()),H_Tables!I:I,0)),"")</f>
        <v/>
      </c>
      <c r="AC985" t="str">
        <f t="shared" si="33"/>
        <v/>
      </c>
      <c r="AD985">
        <v>982</v>
      </c>
    </row>
    <row r="986" spans="13:30" ht="15" customHeight="1" x14ac:dyDescent="0.25">
      <c r="M986" t="s">
        <v>2474</v>
      </c>
      <c r="Z986" s="110">
        <f t="shared" si="32"/>
        <v>0</v>
      </c>
      <c r="AA986" t="str" cm="1">
        <f t="array" aca="1" ref="AA986" ca="1">IFERROR(INDEX(H_Tables!E:E,MATCH(INDIRECT("I"&amp;ROW()),H_Tables!F:F,0)),"")</f>
        <v/>
      </c>
      <c r="AB986" t="str" cm="1">
        <f t="array" aca="1" ref="AB986" ca="1">IFERROR(INDEX(H_Tables!H:H,MATCH(INDIRECT("k"&amp;ROW()),H_Tables!I:I,0)),"")</f>
        <v/>
      </c>
      <c r="AC986" t="str">
        <f t="shared" si="33"/>
        <v/>
      </c>
      <c r="AD986">
        <v>983</v>
      </c>
    </row>
    <row r="987" spans="13:30" ht="15" customHeight="1" x14ac:dyDescent="0.25">
      <c r="M987" t="s">
        <v>2474</v>
      </c>
      <c r="Z987" s="110">
        <f t="shared" si="32"/>
        <v>0</v>
      </c>
      <c r="AA987" t="str" cm="1">
        <f t="array" aca="1" ref="AA987" ca="1">IFERROR(INDEX(H_Tables!E:E,MATCH(INDIRECT("I"&amp;ROW()),H_Tables!F:F,0)),"")</f>
        <v/>
      </c>
      <c r="AB987" t="str" cm="1">
        <f t="array" aca="1" ref="AB987" ca="1">IFERROR(INDEX(H_Tables!H:H,MATCH(INDIRECT("k"&amp;ROW()),H_Tables!I:I,0)),"")</f>
        <v/>
      </c>
      <c r="AC987" t="str">
        <f t="shared" si="33"/>
        <v/>
      </c>
      <c r="AD987">
        <v>984</v>
      </c>
    </row>
    <row r="988" spans="13:30" ht="15" customHeight="1" x14ac:dyDescent="0.25">
      <c r="M988" t="s">
        <v>2474</v>
      </c>
      <c r="Z988" s="110">
        <f t="shared" si="32"/>
        <v>0</v>
      </c>
      <c r="AA988" t="str" cm="1">
        <f t="array" aca="1" ref="AA988" ca="1">IFERROR(INDEX(H_Tables!E:E,MATCH(INDIRECT("I"&amp;ROW()),H_Tables!F:F,0)),"")</f>
        <v/>
      </c>
      <c r="AB988" t="str" cm="1">
        <f t="array" aca="1" ref="AB988" ca="1">IFERROR(INDEX(H_Tables!H:H,MATCH(INDIRECT("k"&amp;ROW()),H_Tables!I:I,0)),"")</f>
        <v/>
      </c>
      <c r="AC988" t="str">
        <f t="shared" si="33"/>
        <v/>
      </c>
      <c r="AD988">
        <v>985</v>
      </c>
    </row>
    <row r="989" spans="13:30" ht="15" customHeight="1" x14ac:dyDescent="0.25">
      <c r="M989" t="s">
        <v>2474</v>
      </c>
      <c r="Z989" s="110">
        <f t="shared" si="32"/>
        <v>0</v>
      </c>
      <c r="AA989" t="str" cm="1">
        <f t="array" aca="1" ref="AA989" ca="1">IFERROR(INDEX(H_Tables!E:E,MATCH(INDIRECT("I"&amp;ROW()),H_Tables!F:F,0)),"")</f>
        <v/>
      </c>
      <c r="AB989" t="str" cm="1">
        <f t="array" aca="1" ref="AB989" ca="1">IFERROR(INDEX(H_Tables!H:H,MATCH(INDIRECT("k"&amp;ROW()),H_Tables!I:I,0)),"")</f>
        <v/>
      </c>
      <c r="AC989" t="str">
        <f t="shared" si="33"/>
        <v/>
      </c>
      <c r="AD989">
        <v>986</v>
      </c>
    </row>
    <row r="990" spans="13:30" ht="15" customHeight="1" x14ac:dyDescent="0.25">
      <c r="M990" t="s">
        <v>2474</v>
      </c>
      <c r="Z990" s="110">
        <f t="shared" si="32"/>
        <v>0</v>
      </c>
      <c r="AA990" t="str" cm="1">
        <f t="array" aca="1" ref="AA990" ca="1">IFERROR(INDEX(H_Tables!E:E,MATCH(INDIRECT("I"&amp;ROW()),H_Tables!F:F,0)),"")</f>
        <v/>
      </c>
      <c r="AB990" t="str" cm="1">
        <f t="array" aca="1" ref="AB990" ca="1">IFERROR(INDEX(H_Tables!H:H,MATCH(INDIRECT("k"&amp;ROW()),H_Tables!I:I,0)),"")</f>
        <v/>
      </c>
      <c r="AC990" t="str">
        <f t="shared" si="33"/>
        <v/>
      </c>
      <c r="AD990">
        <v>987</v>
      </c>
    </row>
    <row r="991" spans="13:30" ht="15" customHeight="1" x14ac:dyDescent="0.25">
      <c r="M991" t="s">
        <v>2474</v>
      </c>
      <c r="Z991" s="110">
        <f t="shared" si="32"/>
        <v>0</v>
      </c>
      <c r="AA991" t="str" cm="1">
        <f t="array" aca="1" ref="AA991" ca="1">IFERROR(INDEX(H_Tables!E:E,MATCH(INDIRECT("I"&amp;ROW()),H_Tables!F:F,0)),"")</f>
        <v/>
      </c>
      <c r="AB991" t="str" cm="1">
        <f t="array" aca="1" ref="AB991" ca="1">IFERROR(INDEX(H_Tables!H:H,MATCH(INDIRECT("k"&amp;ROW()),H_Tables!I:I,0)),"")</f>
        <v/>
      </c>
      <c r="AC991" t="str">
        <f t="shared" si="33"/>
        <v/>
      </c>
      <c r="AD991">
        <v>988</v>
      </c>
    </row>
    <row r="992" spans="13:30" ht="15" customHeight="1" x14ac:dyDescent="0.25">
      <c r="M992" t="s">
        <v>2474</v>
      </c>
      <c r="Z992" s="110">
        <f t="shared" si="32"/>
        <v>0</v>
      </c>
      <c r="AA992" t="str" cm="1">
        <f t="array" aca="1" ref="AA992" ca="1">IFERROR(INDEX(H_Tables!E:E,MATCH(INDIRECT("I"&amp;ROW()),H_Tables!F:F,0)),"")</f>
        <v/>
      </c>
      <c r="AB992" t="str" cm="1">
        <f t="array" aca="1" ref="AB992" ca="1">IFERROR(INDEX(H_Tables!H:H,MATCH(INDIRECT("k"&amp;ROW()),H_Tables!I:I,0)),"")</f>
        <v/>
      </c>
      <c r="AC992" t="str">
        <f t="shared" si="33"/>
        <v/>
      </c>
      <c r="AD992">
        <v>989</v>
      </c>
    </row>
    <row r="993" spans="13:30" ht="15" customHeight="1" x14ac:dyDescent="0.25">
      <c r="M993" t="s">
        <v>2474</v>
      </c>
      <c r="Z993" s="110">
        <f t="shared" si="32"/>
        <v>0</v>
      </c>
      <c r="AA993" t="str" cm="1">
        <f t="array" aca="1" ref="AA993" ca="1">IFERROR(INDEX(H_Tables!E:E,MATCH(INDIRECT("I"&amp;ROW()),H_Tables!F:F,0)),"")</f>
        <v/>
      </c>
      <c r="AB993" t="str" cm="1">
        <f t="array" aca="1" ref="AB993" ca="1">IFERROR(INDEX(H_Tables!H:H,MATCH(INDIRECT("k"&amp;ROW()),H_Tables!I:I,0)),"")</f>
        <v/>
      </c>
      <c r="AC993" t="str">
        <f t="shared" si="33"/>
        <v/>
      </c>
      <c r="AD993">
        <v>990</v>
      </c>
    </row>
    <row r="994" spans="13:30" ht="15" customHeight="1" x14ac:dyDescent="0.25">
      <c r="M994" t="s">
        <v>2474</v>
      </c>
      <c r="Z994" s="110">
        <f t="shared" si="32"/>
        <v>0</v>
      </c>
      <c r="AA994" t="str" cm="1">
        <f t="array" aca="1" ref="AA994" ca="1">IFERROR(INDEX(H_Tables!E:E,MATCH(INDIRECT("I"&amp;ROW()),H_Tables!F:F,0)),"")</f>
        <v/>
      </c>
      <c r="AB994" t="str" cm="1">
        <f t="array" aca="1" ref="AB994" ca="1">IFERROR(INDEX(H_Tables!H:H,MATCH(INDIRECT("k"&amp;ROW()),H_Tables!I:I,0)),"")</f>
        <v/>
      </c>
      <c r="AC994" t="str">
        <f t="shared" si="33"/>
        <v/>
      </c>
      <c r="AD994">
        <v>991</v>
      </c>
    </row>
    <row r="995" spans="13:30" ht="15" customHeight="1" x14ac:dyDescent="0.25">
      <c r="M995" t="s">
        <v>2474</v>
      </c>
      <c r="Z995" s="110">
        <f t="shared" si="32"/>
        <v>0</v>
      </c>
      <c r="AA995" t="str" cm="1">
        <f t="array" aca="1" ref="AA995" ca="1">IFERROR(INDEX(H_Tables!E:E,MATCH(INDIRECT("I"&amp;ROW()),H_Tables!F:F,0)),"")</f>
        <v/>
      </c>
      <c r="AB995" t="str" cm="1">
        <f t="array" aca="1" ref="AB995" ca="1">IFERROR(INDEX(H_Tables!H:H,MATCH(INDIRECT("k"&amp;ROW()),H_Tables!I:I,0)),"")</f>
        <v/>
      </c>
      <c r="AC995" t="str">
        <f t="shared" si="33"/>
        <v/>
      </c>
      <c r="AD995">
        <v>992</v>
      </c>
    </row>
    <row r="996" spans="13:30" ht="15" customHeight="1" x14ac:dyDescent="0.25">
      <c r="M996" t="s">
        <v>2474</v>
      </c>
      <c r="Z996" s="110">
        <f t="shared" si="32"/>
        <v>0</v>
      </c>
      <c r="AA996" t="str" cm="1">
        <f t="array" aca="1" ref="AA996" ca="1">IFERROR(INDEX(H_Tables!E:E,MATCH(INDIRECT("I"&amp;ROW()),H_Tables!F:F,0)),"")</f>
        <v/>
      </c>
      <c r="AB996" t="str" cm="1">
        <f t="array" aca="1" ref="AB996" ca="1">IFERROR(INDEX(H_Tables!H:H,MATCH(INDIRECT("k"&amp;ROW()),H_Tables!I:I,0)),"")</f>
        <v/>
      </c>
      <c r="AC996" t="str">
        <f t="shared" si="33"/>
        <v/>
      </c>
      <c r="AD996">
        <v>993</v>
      </c>
    </row>
    <row r="997" spans="13:30" ht="15" customHeight="1" x14ac:dyDescent="0.25">
      <c r="M997" t="s">
        <v>2474</v>
      </c>
      <c r="Z997" s="110">
        <f t="shared" si="32"/>
        <v>0</v>
      </c>
      <c r="AA997" t="str" cm="1">
        <f t="array" aca="1" ref="AA997" ca="1">IFERROR(INDEX(H_Tables!E:E,MATCH(INDIRECT("I"&amp;ROW()),H_Tables!F:F,0)),"")</f>
        <v/>
      </c>
      <c r="AB997" t="str" cm="1">
        <f t="array" aca="1" ref="AB997" ca="1">IFERROR(INDEX(H_Tables!H:H,MATCH(INDIRECT("k"&amp;ROW()),H_Tables!I:I,0)),"")</f>
        <v/>
      </c>
      <c r="AC997" t="str">
        <f t="shared" si="33"/>
        <v/>
      </c>
      <c r="AD997">
        <v>994</v>
      </c>
    </row>
    <row r="998" spans="13:30" ht="15" customHeight="1" x14ac:dyDescent="0.25">
      <c r="M998" t="s">
        <v>2474</v>
      </c>
      <c r="Z998" s="110">
        <f t="shared" si="32"/>
        <v>0</v>
      </c>
      <c r="AA998" t="str" cm="1">
        <f t="array" aca="1" ref="AA998" ca="1">IFERROR(INDEX(H_Tables!E:E,MATCH(INDIRECT("I"&amp;ROW()),H_Tables!F:F,0)),"")</f>
        <v/>
      </c>
      <c r="AB998" t="str" cm="1">
        <f t="array" aca="1" ref="AB998" ca="1">IFERROR(INDEX(H_Tables!H:H,MATCH(INDIRECT("k"&amp;ROW()),H_Tables!I:I,0)),"")</f>
        <v/>
      </c>
      <c r="AC998" t="str">
        <f t="shared" si="33"/>
        <v/>
      </c>
      <c r="AD998">
        <v>995</v>
      </c>
    </row>
    <row r="999" spans="13:30" ht="15" customHeight="1" x14ac:dyDescent="0.25">
      <c r="M999" t="s">
        <v>2474</v>
      </c>
      <c r="Z999" s="110">
        <f t="shared" si="32"/>
        <v>0</v>
      </c>
      <c r="AA999" t="str" cm="1">
        <f t="array" aca="1" ref="AA999" ca="1">IFERROR(INDEX(H_Tables!E:E,MATCH(INDIRECT("I"&amp;ROW()),H_Tables!F:F,0)),"")</f>
        <v/>
      </c>
      <c r="AB999" t="str" cm="1">
        <f t="array" aca="1" ref="AB999" ca="1">IFERROR(INDEX(H_Tables!H:H,MATCH(INDIRECT("k"&amp;ROW()),H_Tables!I:I,0)),"")</f>
        <v/>
      </c>
      <c r="AC999" t="str">
        <f t="shared" si="33"/>
        <v/>
      </c>
      <c r="AD999">
        <v>996</v>
      </c>
    </row>
    <row r="1000" spans="13:30" ht="15" customHeight="1" x14ac:dyDescent="0.25">
      <c r="M1000" t="s">
        <v>2474</v>
      </c>
      <c r="Z1000" s="110">
        <f t="shared" si="32"/>
        <v>0</v>
      </c>
      <c r="AA1000" t="str" cm="1">
        <f t="array" aca="1" ref="AA1000" ca="1">IFERROR(INDEX(H_Tables!E:E,MATCH(INDIRECT("I"&amp;ROW()),H_Tables!F:F,0)),"")</f>
        <v/>
      </c>
      <c r="AB1000" t="str" cm="1">
        <f t="array" aca="1" ref="AB1000" ca="1">IFERROR(INDEX(H_Tables!H:H,MATCH(INDIRECT("k"&amp;ROW()),H_Tables!I:I,0)),"")</f>
        <v/>
      </c>
      <c r="AC1000" t="str">
        <f t="shared" si="33"/>
        <v/>
      </c>
      <c r="AD1000">
        <v>997</v>
      </c>
    </row>
    <row r="1001" spans="13:30" ht="15" customHeight="1" x14ac:dyDescent="0.25">
      <c r="M1001" t="s">
        <v>2474</v>
      </c>
      <c r="Z1001" s="110">
        <f t="shared" si="32"/>
        <v>0</v>
      </c>
      <c r="AA1001" t="str" cm="1">
        <f t="array" aca="1" ref="AA1001" ca="1">IFERROR(INDEX(H_Tables!E:E,MATCH(INDIRECT("I"&amp;ROW()),H_Tables!F:F,0)),"")</f>
        <v/>
      </c>
      <c r="AB1001" t="str" cm="1">
        <f t="array" aca="1" ref="AB1001" ca="1">IFERROR(INDEX(H_Tables!H:H,MATCH(INDIRECT("k"&amp;ROW()),H_Tables!I:I,0)),"")</f>
        <v/>
      </c>
      <c r="AC1001" t="str">
        <f t="shared" si="33"/>
        <v/>
      </c>
      <c r="AD1001">
        <v>998</v>
      </c>
    </row>
    <row r="1002" spans="13:30" ht="15" customHeight="1" x14ac:dyDescent="0.25">
      <c r="M1002" t="s">
        <v>2474</v>
      </c>
      <c r="Z1002" s="110">
        <f t="shared" si="32"/>
        <v>0</v>
      </c>
      <c r="AA1002" t="str" cm="1">
        <f t="array" aca="1" ref="AA1002" ca="1">IFERROR(INDEX(H_Tables!E:E,MATCH(INDIRECT("I"&amp;ROW()),H_Tables!F:F,0)),"")</f>
        <v/>
      </c>
      <c r="AB1002" t="str" cm="1">
        <f t="array" aca="1" ref="AB1002" ca="1">IFERROR(INDEX(H_Tables!H:H,MATCH(INDIRECT("k"&amp;ROW()),H_Tables!I:I,0)),"")</f>
        <v/>
      </c>
      <c r="AC1002" t="str">
        <f t="shared" si="33"/>
        <v/>
      </c>
      <c r="AD1002">
        <v>999</v>
      </c>
    </row>
    <row r="1003" spans="13:30" ht="15" customHeight="1" x14ac:dyDescent="0.25">
      <c r="M1003" t="s">
        <v>2474</v>
      </c>
      <c r="Z1003" s="110">
        <f t="shared" si="32"/>
        <v>0</v>
      </c>
      <c r="AA1003" t="str" cm="1">
        <f t="array" aca="1" ref="AA1003" ca="1">IFERROR(INDEX(H_Tables!E:E,MATCH(INDIRECT("I"&amp;ROW()),H_Tables!F:F,0)),"")</f>
        <v/>
      </c>
      <c r="AB1003" t="str" cm="1">
        <f t="array" aca="1" ref="AB1003" ca="1">IFERROR(INDEX(H_Tables!H:H,MATCH(INDIRECT("k"&amp;ROW()),H_Tables!I:I,0)),"")</f>
        <v/>
      </c>
      <c r="AC1003" t="str">
        <f t="shared" si="33"/>
        <v/>
      </c>
    </row>
    <row r="1004" spans="13:30" ht="15" customHeight="1" x14ac:dyDescent="0.25">
      <c r="M1004" t="s">
        <v>2474</v>
      </c>
      <c r="Z1004" s="110">
        <f t="shared" si="32"/>
        <v>0</v>
      </c>
      <c r="AA1004" t="str" cm="1">
        <f t="array" aca="1" ref="AA1004" ca="1">IFERROR(INDEX(H_Tables!E:E,MATCH(INDIRECT("I"&amp;ROW()),H_Tables!F:F,0)),"")</f>
        <v/>
      </c>
      <c r="AB1004" t="str" cm="1">
        <f t="array" aca="1" ref="AB1004" ca="1">IFERROR(INDEX(H_Tables!H:H,MATCH(INDIRECT("k"&amp;ROW()),H_Tables!I:I,0)),"")</f>
        <v/>
      </c>
      <c r="AC1004" t="str">
        <f t="shared" si="33"/>
        <v/>
      </c>
    </row>
  </sheetData>
  <autoFilter ref="A1:AD1" xr:uid="{52C041AA-CAF4-40C1-81EE-14988B613FC2}"/>
  <phoneticPr fontId="2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00AA6-13A3-4DD6-9E28-8B3E3D5CFE46}">
  <sheetPr codeName="Sheet12"/>
  <dimension ref="B2:V200"/>
  <sheetViews>
    <sheetView zoomScale="85" zoomScaleNormal="85" workbookViewId="0">
      <selection sqref="A1:X1048576"/>
    </sheetView>
  </sheetViews>
  <sheetFormatPr defaultRowHeight="15" x14ac:dyDescent="0.25"/>
  <cols>
    <col min="1" max="1" width="3.42578125" customWidth="1"/>
    <col min="2" max="2" width="45.85546875" customWidth="1"/>
    <col min="3" max="3" width="3.42578125" customWidth="1"/>
    <col min="4" max="7" width="14.42578125" style="6" customWidth="1"/>
    <col min="8" max="8" width="3.42578125" customWidth="1"/>
    <col min="9" max="12" width="14.42578125" style="6" customWidth="1"/>
    <col min="13" max="13" width="3.42578125" customWidth="1"/>
    <col min="14" max="17" width="14.42578125" style="6" customWidth="1"/>
    <col min="18" max="18" width="3.42578125" hidden="1" customWidth="1"/>
    <col min="19" max="22" width="14.42578125" style="6" hidden="1" customWidth="1"/>
  </cols>
  <sheetData>
    <row r="2" spans="2:22" x14ac:dyDescent="0.25">
      <c r="B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6"/>
      <c r="I2" s="9" t="s">
        <v>8</v>
      </c>
      <c r="J2" s="9" t="s">
        <v>9</v>
      </c>
      <c r="K2" s="9" t="s">
        <v>10</v>
      </c>
      <c r="L2" s="9" t="s">
        <v>11</v>
      </c>
      <c r="M2" s="6"/>
      <c r="N2" s="9" t="s">
        <v>12</v>
      </c>
      <c r="O2" s="9" t="s">
        <v>13</v>
      </c>
      <c r="P2" s="9" t="s">
        <v>14</v>
      </c>
      <c r="Q2" s="9" t="s">
        <v>15</v>
      </c>
      <c r="R2" s="6"/>
      <c r="S2" s="9" t="s">
        <v>16</v>
      </c>
      <c r="T2" s="9" t="s">
        <v>17</v>
      </c>
      <c r="U2" s="9" t="s">
        <v>18</v>
      </c>
      <c r="V2" s="9" t="s">
        <v>19</v>
      </c>
    </row>
    <row r="3" spans="2:22" x14ac:dyDescent="0.25">
      <c r="B3" t="s">
        <v>2475</v>
      </c>
      <c r="D3" s="6">
        <v>0</v>
      </c>
      <c r="E3" s="6">
        <v>0</v>
      </c>
      <c r="F3" s="6">
        <v>0</v>
      </c>
      <c r="G3" s="6">
        <v>6090.5</v>
      </c>
      <c r="I3" s="6">
        <v>0</v>
      </c>
      <c r="J3" s="6">
        <v>0</v>
      </c>
      <c r="K3" s="6">
        <v>0</v>
      </c>
      <c r="L3" s="6">
        <v>6090.5</v>
      </c>
      <c r="N3" s="6">
        <v>0</v>
      </c>
      <c r="O3" s="6">
        <v>0</v>
      </c>
      <c r="P3" s="6">
        <v>0</v>
      </c>
      <c r="Q3" s="6">
        <v>0</v>
      </c>
    </row>
    <row r="4" spans="2:22" x14ac:dyDescent="0.25">
      <c r="B4" t="s">
        <v>2476</v>
      </c>
      <c r="D4" s="6">
        <v>0</v>
      </c>
      <c r="E4" s="6">
        <v>0</v>
      </c>
      <c r="F4" s="6">
        <v>0</v>
      </c>
      <c r="G4" s="6">
        <v>0</v>
      </c>
      <c r="I4" s="6">
        <v>0</v>
      </c>
      <c r="J4" s="6">
        <v>0</v>
      </c>
      <c r="K4" s="6">
        <v>0</v>
      </c>
      <c r="L4" s="6">
        <v>0</v>
      </c>
      <c r="N4" s="6">
        <v>0</v>
      </c>
      <c r="O4" s="6">
        <v>0</v>
      </c>
      <c r="P4" s="6">
        <v>0</v>
      </c>
      <c r="Q4" s="6">
        <v>0</v>
      </c>
    </row>
    <row r="5" spans="2:22" x14ac:dyDescent="0.25">
      <c r="B5" t="s">
        <v>2477</v>
      </c>
      <c r="D5" s="6">
        <v>0</v>
      </c>
      <c r="E5" s="6">
        <v>0</v>
      </c>
      <c r="F5" s="6">
        <v>0</v>
      </c>
      <c r="G5" s="6">
        <v>0.25</v>
      </c>
      <c r="I5" s="6">
        <v>0</v>
      </c>
      <c r="J5" s="6">
        <v>0</v>
      </c>
      <c r="K5" s="6">
        <v>0</v>
      </c>
      <c r="L5" s="6">
        <v>0.25</v>
      </c>
      <c r="N5" s="6">
        <v>0</v>
      </c>
      <c r="O5" s="6">
        <v>0</v>
      </c>
      <c r="P5" s="6">
        <v>0</v>
      </c>
      <c r="Q5" s="6">
        <v>0</v>
      </c>
    </row>
    <row r="6" spans="2:22" x14ac:dyDescent="0.25">
      <c r="B6" t="s">
        <v>2478</v>
      </c>
      <c r="D6" s="6">
        <v>0</v>
      </c>
      <c r="E6" s="6">
        <v>0</v>
      </c>
      <c r="F6" s="6">
        <v>0</v>
      </c>
      <c r="G6" s="6">
        <v>397.5</v>
      </c>
      <c r="I6" s="6">
        <v>0</v>
      </c>
      <c r="J6" s="6">
        <v>0</v>
      </c>
      <c r="K6" s="6">
        <v>0</v>
      </c>
      <c r="L6" s="6">
        <v>397.5</v>
      </c>
      <c r="N6" s="6">
        <v>0</v>
      </c>
      <c r="O6" s="6">
        <v>0</v>
      </c>
      <c r="P6" s="6">
        <v>0</v>
      </c>
      <c r="Q6" s="6">
        <v>0</v>
      </c>
    </row>
    <row r="7" spans="2:22" x14ac:dyDescent="0.25">
      <c r="B7" t="s">
        <v>2479</v>
      </c>
      <c r="D7" s="6">
        <v>0</v>
      </c>
      <c r="E7" s="6">
        <v>0</v>
      </c>
      <c r="F7" s="6">
        <v>0</v>
      </c>
      <c r="G7" s="6">
        <v>165</v>
      </c>
      <c r="I7" s="6">
        <v>0</v>
      </c>
      <c r="J7" s="6">
        <v>0</v>
      </c>
      <c r="K7" s="6">
        <v>0</v>
      </c>
      <c r="L7" s="6">
        <v>165</v>
      </c>
      <c r="N7" s="6">
        <v>0</v>
      </c>
      <c r="O7" s="6">
        <v>0</v>
      </c>
      <c r="P7" s="6">
        <v>0</v>
      </c>
      <c r="Q7" s="6">
        <v>0</v>
      </c>
    </row>
    <row r="8" spans="2:22" x14ac:dyDescent="0.25">
      <c r="B8" t="s">
        <v>2480</v>
      </c>
      <c r="D8" s="6">
        <v>0</v>
      </c>
      <c r="E8" s="6">
        <v>0</v>
      </c>
      <c r="F8" s="6">
        <v>0</v>
      </c>
      <c r="G8" s="6">
        <v>0</v>
      </c>
      <c r="I8" s="6">
        <v>0</v>
      </c>
      <c r="J8" s="6">
        <v>0</v>
      </c>
      <c r="K8" s="6">
        <v>0</v>
      </c>
      <c r="L8" s="6">
        <v>0</v>
      </c>
      <c r="N8" s="6">
        <v>0</v>
      </c>
      <c r="O8" s="6">
        <v>0</v>
      </c>
      <c r="P8" s="6">
        <v>0</v>
      </c>
      <c r="Q8" s="6">
        <v>0</v>
      </c>
    </row>
    <row r="9" spans="2:22" x14ac:dyDescent="0.25">
      <c r="B9" t="s">
        <v>2481</v>
      </c>
      <c r="D9" s="6">
        <v>9000</v>
      </c>
      <c r="E9" s="6">
        <v>0</v>
      </c>
      <c r="F9" s="6">
        <v>0</v>
      </c>
      <c r="G9" s="6">
        <v>0</v>
      </c>
      <c r="I9" s="6">
        <v>9000</v>
      </c>
      <c r="J9" s="6">
        <v>0</v>
      </c>
      <c r="K9" s="6">
        <v>0</v>
      </c>
      <c r="L9" s="6">
        <v>0</v>
      </c>
      <c r="N9" s="6">
        <v>0</v>
      </c>
      <c r="O9" s="6">
        <v>0</v>
      </c>
      <c r="P9" s="6">
        <v>0</v>
      </c>
      <c r="Q9" s="6">
        <v>0</v>
      </c>
    </row>
    <row r="10" spans="2:22" x14ac:dyDescent="0.25">
      <c r="B10" t="s">
        <v>2482</v>
      </c>
      <c r="D10" s="6">
        <v>0</v>
      </c>
      <c r="E10" s="6">
        <v>0</v>
      </c>
      <c r="F10" s="6">
        <v>0</v>
      </c>
      <c r="G10" s="6">
        <v>225</v>
      </c>
      <c r="I10" s="6">
        <v>0</v>
      </c>
      <c r="J10" s="6">
        <v>0</v>
      </c>
      <c r="K10" s="6">
        <v>0</v>
      </c>
      <c r="L10" s="6">
        <v>225</v>
      </c>
      <c r="N10" s="6">
        <v>0</v>
      </c>
      <c r="O10" s="6">
        <v>0</v>
      </c>
      <c r="P10" s="6">
        <v>0</v>
      </c>
      <c r="Q10" s="6">
        <v>0</v>
      </c>
    </row>
    <row r="11" spans="2:22" x14ac:dyDescent="0.25">
      <c r="B11" t="s">
        <v>2483</v>
      </c>
      <c r="D11" s="6">
        <v>0</v>
      </c>
      <c r="E11" s="6">
        <v>0</v>
      </c>
      <c r="F11" s="6">
        <v>0</v>
      </c>
      <c r="G11" s="6">
        <v>112.5</v>
      </c>
      <c r="I11" s="6">
        <v>0</v>
      </c>
      <c r="J11" s="6">
        <v>0</v>
      </c>
      <c r="K11" s="6">
        <v>0</v>
      </c>
      <c r="L11" s="6">
        <v>112.5</v>
      </c>
      <c r="N11" s="6">
        <v>0</v>
      </c>
      <c r="O11" s="6">
        <v>0</v>
      </c>
      <c r="P11" s="6">
        <v>0</v>
      </c>
      <c r="Q11" s="6">
        <v>0</v>
      </c>
    </row>
    <row r="12" spans="2:22" x14ac:dyDescent="0.25">
      <c r="B12" t="s">
        <v>2484</v>
      </c>
      <c r="D12" s="6">
        <v>0</v>
      </c>
      <c r="E12" s="6">
        <v>0</v>
      </c>
      <c r="F12" s="6">
        <v>0</v>
      </c>
      <c r="G12" s="6">
        <v>165</v>
      </c>
      <c r="I12" s="6">
        <v>0</v>
      </c>
      <c r="J12" s="6">
        <v>0</v>
      </c>
      <c r="K12" s="6">
        <v>0</v>
      </c>
      <c r="L12" s="6">
        <v>165</v>
      </c>
      <c r="N12" s="6">
        <v>0</v>
      </c>
      <c r="O12" s="6">
        <v>0</v>
      </c>
      <c r="P12" s="6">
        <v>0</v>
      </c>
      <c r="Q12" s="6">
        <v>0</v>
      </c>
    </row>
    <row r="13" spans="2:22" x14ac:dyDescent="0.25">
      <c r="B13" t="s">
        <v>2485</v>
      </c>
      <c r="D13" s="6">
        <v>0</v>
      </c>
      <c r="E13" s="6">
        <v>0</v>
      </c>
      <c r="F13" s="6">
        <v>0</v>
      </c>
      <c r="G13" s="6">
        <v>851.5</v>
      </c>
      <c r="I13" s="6">
        <v>0</v>
      </c>
      <c r="J13" s="6">
        <v>0</v>
      </c>
      <c r="K13" s="6">
        <v>0</v>
      </c>
      <c r="L13" s="6">
        <v>851.5</v>
      </c>
      <c r="N13" s="6">
        <v>0</v>
      </c>
      <c r="O13" s="6">
        <v>0</v>
      </c>
      <c r="P13" s="6">
        <v>0</v>
      </c>
      <c r="Q13" s="6">
        <v>0</v>
      </c>
    </row>
    <row r="14" spans="2:22" x14ac:dyDescent="0.25">
      <c r="B14" t="s">
        <v>2486</v>
      </c>
      <c r="D14" s="6">
        <v>0</v>
      </c>
      <c r="E14" s="6">
        <v>0</v>
      </c>
      <c r="F14" s="6">
        <v>0</v>
      </c>
      <c r="G14" s="6">
        <v>1136.5</v>
      </c>
      <c r="I14" s="6">
        <v>0</v>
      </c>
      <c r="J14" s="6">
        <v>0</v>
      </c>
      <c r="K14" s="6">
        <v>0</v>
      </c>
      <c r="L14" s="6">
        <v>1136.5</v>
      </c>
      <c r="N14" s="6">
        <v>0</v>
      </c>
      <c r="O14" s="6">
        <v>0</v>
      </c>
      <c r="P14" s="6">
        <v>0</v>
      </c>
      <c r="Q14" s="6">
        <v>0</v>
      </c>
    </row>
    <row r="15" spans="2:22" x14ac:dyDescent="0.25">
      <c r="B15" t="s">
        <v>2487</v>
      </c>
      <c r="D15" s="6">
        <v>0</v>
      </c>
      <c r="E15" s="6">
        <v>1500</v>
      </c>
      <c r="F15" s="6">
        <v>0</v>
      </c>
      <c r="G15" s="6">
        <v>0</v>
      </c>
      <c r="I15" s="6">
        <v>0</v>
      </c>
      <c r="J15" s="6">
        <v>1500</v>
      </c>
      <c r="K15" s="6">
        <v>0</v>
      </c>
      <c r="L15" s="6">
        <v>0</v>
      </c>
      <c r="N15" s="6">
        <v>0</v>
      </c>
      <c r="O15" s="6">
        <v>0</v>
      </c>
      <c r="P15" s="6">
        <v>0</v>
      </c>
      <c r="Q15" s="6">
        <v>0</v>
      </c>
    </row>
    <row r="16" spans="2:22" x14ac:dyDescent="0.25">
      <c r="B16" t="s">
        <v>2488</v>
      </c>
      <c r="D16" s="6">
        <v>0</v>
      </c>
      <c r="E16" s="6">
        <v>0</v>
      </c>
      <c r="F16" s="6">
        <v>0</v>
      </c>
      <c r="G16" s="6">
        <v>150</v>
      </c>
      <c r="I16" s="6">
        <v>0</v>
      </c>
      <c r="J16" s="6">
        <v>0</v>
      </c>
      <c r="K16" s="6">
        <v>0</v>
      </c>
      <c r="L16" s="6">
        <v>150</v>
      </c>
      <c r="N16" s="6">
        <v>0</v>
      </c>
      <c r="O16" s="6">
        <v>0</v>
      </c>
      <c r="P16" s="6">
        <v>0</v>
      </c>
      <c r="Q16" s="6">
        <v>0</v>
      </c>
    </row>
    <row r="17" spans="2:17" x14ac:dyDescent="0.25">
      <c r="B17" t="s">
        <v>2489</v>
      </c>
      <c r="D17" s="6">
        <v>0</v>
      </c>
      <c r="E17" s="6">
        <v>0</v>
      </c>
      <c r="F17" s="6">
        <v>0</v>
      </c>
      <c r="G17" s="6">
        <v>67.5</v>
      </c>
      <c r="I17" s="6">
        <v>0</v>
      </c>
      <c r="J17" s="6">
        <v>0</v>
      </c>
      <c r="K17" s="6">
        <v>0</v>
      </c>
      <c r="L17" s="6">
        <v>67.5</v>
      </c>
      <c r="N17" s="6">
        <v>0</v>
      </c>
      <c r="O17" s="6">
        <v>0</v>
      </c>
      <c r="P17" s="6">
        <v>0</v>
      </c>
      <c r="Q17" s="6">
        <v>0</v>
      </c>
    </row>
    <row r="18" spans="2:17" x14ac:dyDescent="0.25">
      <c r="B18" t="s">
        <v>2490</v>
      </c>
      <c r="D18" s="6">
        <v>0</v>
      </c>
      <c r="E18" s="6">
        <v>0</v>
      </c>
      <c r="F18" s="6">
        <v>0</v>
      </c>
      <c r="G18" s="6">
        <v>0</v>
      </c>
      <c r="I18" s="6">
        <v>0</v>
      </c>
      <c r="J18" s="6">
        <v>0</v>
      </c>
      <c r="K18" s="6">
        <v>0</v>
      </c>
      <c r="L18" s="6">
        <v>0</v>
      </c>
      <c r="N18" s="6">
        <v>0</v>
      </c>
      <c r="O18" s="6">
        <v>0</v>
      </c>
      <c r="P18" s="6">
        <v>0</v>
      </c>
      <c r="Q18" s="6">
        <v>0</v>
      </c>
    </row>
    <row r="19" spans="2:17" x14ac:dyDescent="0.25">
      <c r="B19" t="s">
        <v>2491</v>
      </c>
      <c r="D19" s="6">
        <v>4909</v>
      </c>
      <c r="E19" s="6">
        <v>0</v>
      </c>
      <c r="F19" s="6">
        <v>982</v>
      </c>
      <c r="G19" s="6">
        <v>0</v>
      </c>
      <c r="I19" s="6">
        <v>4909</v>
      </c>
      <c r="J19" s="6">
        <v>0</v>
      </c>
      <c r="K19" s="6">
        <v>982</v>
      </c>
      <c r="L19" s="6">
        <v>0</v>
      </c>
      <c r="N19" s="6">
        <v>0</v>
      </c>
      <c r="O19" s="6">
        <v>0</v>
      </c>
      <c r="P19" s="6">
        <v>0</v>
      </c>
      <c r="Q19" s="6">
        <v>0</v>
      </c>
    </row>
    <row r="20" spans="2:17" x14ac:dyDescent="0.25">
      <c r="B20" t="s">
        <v>2492</v>
      </c>
      <c r="D20" s="6">
        <v>1636</v>
      </c>
      <c r="E20" s="6">
        <v>0</v>
      </c>
      <c r="F20" s="6">
        <v>327</v>
      </c>
      <c r="G20" s="6">
        <v>0</v>
      </c>
      <c r="I20" s="6">
        <v>1636</v>
      </c>
      <c r="J20" s="6">
        <v>0</v>
      </c>
      <c r="K20" s="6">
        <v>327</v>
      </c>
      <c r="L20" s="6">
        <v>0</v>
      </c>
      <c r="N20" s="6">
        <v>0</v>
      </c>
      <c r="O20" s="6">
        <v>0</v>
      </c>
      <c r="P20" s="6">
        <v>0</v>
      </c>
      <c r="Q20" s="6">
        <v>0</v>
      </c>
    </row>
    <row r="21" spans="2:17" x14ac:dyDescent="0.25">
      <c r="B21" t="s">
        <v>2493</v>
      </c>
      <c r="D21" s="6">
        <v>0</v>
      </c>
      <c r="E21" s="6">
        <v>0</v>
      </c>
      <c r="F21" s="6">
        <v>0</v>
      </c>
      <c r="G21" s="6">
        <v>0</v>
      </c>
      <c r="I21" s="6">
        <v>0</v>
      </c>
      <c r="J21" s="6">
        <v>0</v>
      </c>
      <c r="K21" s="6">
        <v>0</v>
      </c>
      <c r="L21" s="6">
        <v>0</v>
      </c>
      <c r="N21" s="6">
        <v>0</v>
      </c>
      <c r="O21" s="6">
        <v>0</v>
      </c>
      <c r="P21" s="6">
        <v>0</v>
      </c>
      <c r="Q21" s="6">
        <v>0</v>
      </c>
    </row>
    <row r="22" spans="2:17" x14ac:dyDescent="0.25">
      <c r="B22" t="s">
        <v>2494</v>
      </c>
      <c r="D22" s="6">
        <v>0</v>
      </c>
      <c r="E22" s="6">
        <v>0</v>
      </c>
      <c r="F22" s="6">
        <v>0</v>
      </c>
      <c r="G22" s="6">
        <v>821.5</v>
      </c>
      <c r="I22" s="6">
        <v>0</v>
      </c>
      <c r="J22" s="6">
        <v>0</v>
      </c>
      <c r="K22" s="6">
        <v>0</v>
      </c>
      <c r="L22" s="6">
        <v>821.5</v>
      </c>
      <c r="N22" s="6">
        <v>0</v>
      </c>
      <c r="O22" s="6">
        <v>0</v>
      </c>
      <c r="P22" s="6">
        <v>0</v>
      </c>
      <c r="Q22" s="6">
        <v>0</v>
      </c>
    </row>
    <row r="23" spans="2:17" x14ac:dyDescent="0.25">
      <c r="B23" t="s">
        <v>2495</v>
      </c>
      <c r="D23" s="6">
        <v>0</v>
      </c>
      <c r="E23" s="6">
        <v>0</v>
      </c>
      <c r="F23" s="6">
        <v>5000</v>
      </c>
      <c r="G23" s="6">
        <v>0</v>
      </c>
      <c r="I23" s="6">
        <v>0</v>
      </c>
      <c r="J23" s="6">
        <v>0</v>
      </c>
      <c r="K23" s="6">
        <v>5000</v>
      </c>
      <c r="L23" s="6">
        <v>0</v>
      </c>
      <c r="N23" s="6">
        <v>0</v>
      </c>
      <c r="O23" s="6">
        <v>0</v>
      </c>
      <c r="P23" s="6">
        <v>0</v>
      </c>
      <c r="Q23" s="6">
        <v>0</v>
      </c>
    </row>
    <row r="24" spans="2:17" x14ac:dyDescent="0.25">
      <c r="B24" t="s">
        <v>2496</v>
      </c>
      <c r="D24" s="6">
        <v>0</v>
      </c>
      <c r="E24" s="6">
        <v>0</v>
      </c>
      <c r="F24" s="6">
        <v>0</v>
      </c>
      <c r="G24" s="6">
        <v>1661.5</v>
      </c>
      <c r="I24" s="6">
        <v>0</v>
      </c>
      <c r="J24" s="6">
        <v>0</v>
      </c>
      <c r="K24" s="6">
        <v>0</v>
      </c>
      <c r="L24" s="6">
        <v>1661.5</v>
      </c>
      <c r="N24" s="6">
        <v>0</v>
      </c>
      <c r="O24" s="6">
        <v>0</v>
      </c>
      <c r="P24" s="6">
        <v>0</v>
      </c>
      <c r="Q24" s="6">
        <v>0</v>
      </c>
    </row>
    <row r="25" spans="2:17" x14ac:dyDescent="0.25">
      <c r="B25" t="s">
        <v>2497</v>
      </c>
      <c r="D25" s="6">
        <v>0</v>
      </c>
      <c r="E25" s="6">
        <v>0</v>
      </c>
      <c r="F25" s="6">
        <v>0</v>
      </c>
      <c r="G25" s="6">
        <v>0</v>
      </c>
      <c r="I25" s="6">
        <v>0</v>
      </c>
      <c r="J25" s="6">
        <v>0</v>
      </c>
      <c r="K25" s="6">
        <v>0</v>
      </c>
      <c r="L25" s="6">
        <v>0</v>
      </c>
      <c r="N25" s="6">
        <v>0</v>
      </c>
      <c r="O25" s="6">
        <v>0</v>
      </c>
      <c r="P25" s="6">
        <v>0</v>
      </c>
      <c r="Q25" s="6">
        <v>0</v>
      </c>
    </row>
    <row r="26" spans="2:17" x14ac:dyDescent="0.25">
      <c r="B26" t="s">
        <v>2498</v>
      </c>
      <c r="D26" s="6">
        <v>0</v>
      </c>
      <c r="E26" s="6">
        <v>0</v>
      </c>
      <c r="F26" s="6">
        <v>0</v>
      </c>
      <c r="G26" s="6">
        <v>375</v>
      </c>
      <c r="I26" s="6">
        <v>0</v>
      </c>
      <c r="J26" s="6">
        <v>0</v>
      </c>
      <c r="K26" s="6">
        <v>0</v>
      </c>
      <c r="L26" s="6">
        <v>375</v>
      </c>
      <c r="N26" s="6">
        <v>0</v>
      </c>
      <c r="O26" s="6">
        <v>0</v>
      </c>
      <c r="P26" s="6">
        <v>0</v>
      </c>
      <c r="Q26" s="6">
        <v>0</v>
      </c>
    </row>
    <row r="27" spans="2:17" x14ac:dyDescent="0.25">
      <c r="B27" t="s">
        <v>2499</v>
      </c>
      <c r="D27" s="6">
        <v>0</v>
      </c>
      <c r="E27" s="6">
        <v>0</v>
      </c>
      <c r="F27" s="6">
        <v>0</v>
      </c>
      <c r="G27" s="6">
        <v>400</v>
      </c>
      <c r="I27" s="6">
        <v>0</v>
      </c>
      <c r="J27" s="6">
        <v>0</v>
      </c>
      <c r="K27" s="6">
        <v>0</v>
      </c>
      <c r="L27" s="6">
        <v>400</v>
      </c>
      <c r="N27" s="6">
        <v>0</v>
      </c>
      <c r="O27" s="6">
        <v>0</v>
      </c>
      <c r="P27" s="6">
        <v>0</v>
      </c>
      <c r="Q27" s="6">
        <v>0</v>
      </c>
    </row>
    <row r="28" spans="2:17" x14ac:dyDescent="0.25">
      <c r="B28" t="s">
        <v>2500</v>
      </c>
      <c r="D28" s="6">
        <v>0</v>
      </c>
      <c r="E28" s="6">
        <v>3500</v>
      </c>
      <c r="F28" s="6">
        <v>0</v>
      </c>
      <c r="G28" s="6">
        <v>2000</v>
      </c>
      <c r="I28" s="6">
        <v>0</v>
      </c>
      <c r="J28" s="6">
        <v>3500</v>
      </c>
      <c r="K28" s="6">
        <v>0</v>
      </c>
      <c r="L28" s="6">
        <v>2000</v>
      </c>
      <c r="N28" s="6">
        <v>0</v>
      </c>
      <c r="O28" s="6">
        <v>0</v>
      </c>
      <c r="P28" s="6">
        <v>0</v>
      </c>
      <c r="Q28" s="6">
        <v>0</v>
      </c>
    </row>
    <row r="29" spans="2:17" x14ac:dyDescent="0.25">
      <c r="B29" t="s">
        <v>2501</v>
      </c>
      <c r="D29" s="6">
        <v>0</v>
      </c>
      <c r="E29" s="6">
        <v>0</v>
      </c>
      <c r="F29" s="6">
        <v>0</v>
      </c>
      <c r="G29" s="6">
        <v>200</v>
      </c>
      <c r="I29" s="6">
        <v>0</v>
      </c>
      <c r="J29" s="6">
        <v>0</v>
      </c>
      <c r="K29" s="6">
        <v>0</v>
      </c>
      <c r="L29" s="6">
        <v>200</v>
      </c>
      <c r="N29" s="6">
        <v>0</v>
      </c>
      <c r="O29" s="6">
        <v>0</v>
      </c>
      <c r="P29" s="6">
        <v>0</v>
      </c>
      <c r="Q29" s="6">
        <v>0</v>
      </c>
    </row>
    <row r="30" spans="2:17" x14ac:dyDescent="0.25">
      <c r="B30" t="s">
        <v>2502</v>
      </c>
      <c r="D30" s="6">
        <v>0</v>
      </c>
      <c r="E30" s="6">
        <v>0</v>
      </c>
      <c r="F30" s="6">
        <v>0</v>
      </c>
      <c r="G30" s="6">
        <v>500</v>
      </c>
      <c r="I30" s="6">
        <v>0</v>
      </c>
      <c r="J30" s="6">
        <v>0</v>
      </c>
      <c r="K30" s="6">
        <v>0</v>
      </c>
      <c r="L30" s="6">
        <v>500</v>
      </c>
      <c r="N30" s="6">
        <v>0</v>
      </c>
      <c r="O30" s="6">
        <v>0</v>
      </c>
      <c r="P30" s="6">
        <v>0</v>
      </c>
      <c r="Q30" s="6">
        <v>0</v>
      </c>
    </row>
    <row r="31" spans="2:17" x14ac:dyDescent="0.25">
      <c r="B31" t="s">
        <v>2503</v>
      </c>
      <c r="D31" s="6">
        <v>0</v>
      </c>
      <c r="E31" s="6">
        <v>0</v>
      </c>
      <c r="F31" s="6">
        <v>0</v>
      </c>
      <c r="G31" s="6">
        <v>0</v>
      </c>
      <c r="I31" s="6">
        <v>0</v>
      </c>
      <c r="J31" s="6">
        <v>0</v>
      </c>
      <c r="K31" s="6">
        <v>0</v>
      </c>
      <c r="L31" s="6">
        <v>0</v>
      </c>
      <c r="N31" s="6">
        <v>0</v>
      </c>
      <c r="O31" s="6">
        <v>0</v>
      </c>
      <c r="P31" s="6">
        <v>0</v>
      </c>
      <c r="Q31" s="6">
        <v>0</v>
      </c>
    </row>
    <row r="32" spans="2:17" x14ac:dyDescent="0.25">
      <c r="B32" t="s">
        <v>2504</v>
      </c>
      <c r="D32" s="6">
        <v>0</v>
      </c>
      <c r="E32" s="6">
        <v>0</v>
      </c>
      <c r="F32" s="6">
        <v>0</v>
      </c>
      <c r="G32" s="6">
        <v>0</v>
      </c>
      <c r="I32" s="6">
        <v>0</v>
      </c>
      <c r="J32" s="6">
        <v>0</v>
      </c>
      <c r="K32" s="6">
        <v>0</v>
      </c>
      <c r="L32" s="6">
        <v>0</v>
      </c>
      <c r="N32" s="6">
        <v>0</v>
      </c>
      <c r="O32" s="6">
        <v>0</v>
      </c>
      <c r="P32" s="6">
        <v>0</v>
      </c>
      <c r="Q32" s="6">
        <v>0</v>
      </c>
    </row>
    <row r="33" spans="2:17" x14ac:dyDescent="0.25">
      <c r="B33" t="s">
        <v>2505</v>
      </c>
      <c r="D33" s="6">
        <v>0</v>
      </c>
      <c r="E33" s="6">
        <v>0</v>
      </c>
      <c r="F33" s="6">
        <v>0</v>
      </c>
      <c r="G33" s="6">
        <v>500</v>
      </c>
      <c r="I33" s="6">
        <v>0</v>
      </c>
      <c r="J33" s="6">
        <v>0</v>
      </c>
      <c r="K33" s="6">
        <v>0</v>
      </c>
      <c r="L33" s="6">
        <v>500</v>
      </c>
      <c r="N33" s="6">
        <v>0</v>
      </c>
      <c r="O33" s="6">
        <v>0</v>
      </c>
      <c r="P33" s="6">
        <v>0</v>
      </c>
      <c r="Q33" s="6">
        <v>0</v>
      </c>
    </row>
    <row r="34" spans="2:17" x14ac:dyDescent="0.25">
      <c r="B34" t="s">
        <v>2506</v>
      </c>
      <c r="D34" s="6">
        <v>0</v>
      </c>
      <c r="E34" s="6">
        <v>0</v>
      </c>
      <c r="F34" s="6">
        <v>0</v>
      </c>
      <c r="G34" s="6">
        <v>50</v>
      </c>
      <c r="I34" s="6">
        <v>0</v>
      </c>
      <c r="J34" s="6">
        <v>0</v>
      </c>
      <c r="K34" s="6">
        <v>0</v>
      </c>
      <c r="L34" s="6">
        <v>50</v>
      </c>
      <c r="N34" s="6">
        <v>0</v>
      </c>
      <c r="O34" s="6">
        <v>0</v>
      </c>
      <c r="P34" s="6">
        <v>0</v>
      </c>
      <c r="Q34" s="6">
        <v>0</v>
      </c>
    </row>
    <row r="35" spans="2:17" x14ac:dyDescent="0.25">
      <c r="B35" t="s">
        <v>2507</v>
      </c>
      <c r="D35" s="6">
        <v>0</v>
      </c>
      <c r="E35" s="6">
        <v>0</v>
      </c>
      <c r="F35" s="6">
        <v>0</v>
      </c>
      <c r="G35" s="6">
        <v>0</v>
      </c>
      <c r="I35" s="6">
        <v>0</v>
      </c>
      <c r="J35" s="6">
        <v>0</v>
      </c>
      <c r="K35" s="6">
        <v>0</v>
      </c>
      <c r="L35" s="6">
        <v>0</v>
      </c>
      <c r="N35" s="6">
        <v>0</v>
      </c>
      <c r="O35" s="6">
        <v>0</v>
      </c>
      <c r="P35" s="6">
        <v>0</v>
      </c>
      <c r="Q35" s="6">
        <v>0</v>
      </c>
    </row>
    <row r="36" spans="2:17" x14ac:dyDescent="0.25">
      <c r="B36" t="s">
        <v>2508</v>
      </c>
      <c r="D36" s="6">
        <v>0</v>
      </c>
      <c r="E36" s="6">
        <v>0</v>
      </c>
      <c r="F36" s="6">
        <v>0</v>
      </c>
      <c r="G36" s="6">
        <v>105</v>
      </c>
      <c r="I36" s="6">
        <v>0</v>
      </c>
      <c r="J36" s="6">
        <v>0</v>
      </c>
      <c r="K36" s="6">
        <v>0</v>
      </c>
      <c r="L36" s="6">
        <v>105</v>
      </c>
      <c r="N36" s="6">
        <v>0</v>
      </c>
      <c r="O36" s="6">
        <v>0</v>
      </c>
      <c r="P36" s="6">
        <v>0</v>
      </c>
      <c r="Q36" s="6">
        <v>0</v>
      </c>
    </row>
    <row r="37" spans="2:17" x14ac:dyDescent="0.25">
      <c r="B37" t="s">
        <v>2509</v>
      </c>
      <c r="D37" s="6">
        <v>0</v>
      </c>
      <c r="E37" s="6">
        <v>0</v>
      </c>
      <c r="F37" s="6">
        <v>0</v>
      </c>
      <c r="G37" s="6">
        <v>0</v>
      </c>
      <c r="I37" s="6">
        <v>0</v>
      </c>
      <c r="J37" s="6">
        <v>0</v>
      </c>
      <c r="K37" s="6">
        <v>0</v>
      </c>
      <c r="L37" s="6">
        <v>0</v>
      </c>
      <c r="N37" s="6">
        <v>0</v>
      </c>
      <c r="O37" s="6">
        <v>0</v>
      </c>
      <c r="P37" s="6">
        <v>0</v>
      </c>
      <c r="Q37" s="6">
        <v>0</v>
      </c>
    </row>
    <row r="38" spans="2:17" x14ac:dyDescent="0.25">
      <c r="B38" t="s">
        <v>2510</v>
      </c>
      <c r="D38" s="6">
        <v>0</v>
      </c>
      <c r="E38" s="6">
        <v>0</v>
      </c>
      <c r="F38" s="6">
        <v>500</v>
      </c>
      <c r="G38" s="6">
        <v>0</v>
      </c>
      <c r="I38" s="6">
        <v>0</v>
      </c>
      <c r="J38" s="6">
        <v>0</v>
      </c>
      <c r="K38" s="6">
        <v>500</v>
      </c>
      <c r="L38" s="6">
        <v>0</v>
      </c>
      <c r="N38" s="6">
        <v>0</v>
      </c>
      <c r="O38" s="6">
        <v>0</v>
      </c>
      <c r="P38" s="6">
        <v>0</v>
      </c>
      <c r="Q38" s="6">
        <v>0</v>
      </c>
    </row>
    <row r="39" spans="2:17" x14ac:dyDescent="0.25">
      <c r="B39" t="s">
        <v>2511</v>
      </c>
      <c r="D39" s="6">
        <v>0</v>
      </c>
      <c r="E39" s="6">
        <v>0</v>
      </c>
      <c r="F39" s="6">
        <v>0</v>
      </c>
      <c r="G39" s="6">
        <v>0</v>
      </c>
      <c r="I39" s="6">
        <v>0</v>
      </c>
      <c r="J39" s="6">
        <v>0</v>
      </c>
      <c r="K39" s="6">
        <v>0</v>
      </c>
      <c r="L39" s="6">
        <v>0</v>
      </c>
      <c r="N39" s="6">
        <v>0</v>
      </c>
      <c r="O39" s="6">
        <v>0</v>
      </c>
      <c r="P39" s="6">
        <v>0</v>
      </c>
      <c r="Q39" s="6">
        <v>0</v>
      </c>
    </row>
    <row r="40" spans="2:17" x14ac:dyDescent="0.25">
      <c r="B40" t="s">
        <v>2512</v>
      </c>
      <c r="D40" s="6">
        <v>0</v>
      </c>
      <c r="E40" s="6">
        <v>0</v>
      </c>
      <c r="F40" s="6">
        <v>0</v>
      </c>
      <c r="G40" s="6">
        <v>202.5</v>
      </c>
      <c r="I40" s="6">
        <v>0</v>
      </c>
      <c r="J40" s="6">
        <v>0</v>
      </c>
      <c r="K40" s="6">
        <v>0</v>
      </c>
      <c r="L40" s="6">
        <v>202.5</v>
      </c>
      <c r="N40" s="6">
        <v>0</v>
      </c>
      <c r="O40" s="6">
        <v>0</v>
      </c>
      <c r="P40" s="6">
        <v>0</v>
      </c>
      <c r="Q40" s="6">
        <v>0</v>
      </c>
    </row>
    <row r="41" spans="2:17" x14ac:dyDescent="0.25">
      <c r="B41" t="s">
        <v>2513</v>
      </c>
      <c r="D41" s="6">
        <v>0</v>
      </c>
      <c r="E41" s="6">
        <v>0</v>
      </c>
      <c r="F41" s="6">
        <v>0</v>
      </c>
      <c r="G41" s="6">
        <v>154</v>
      </c>
      <c r="I41" s="6">
        <v>0</v>
      </c>
      <c r="J41" s="6">
        <v>0</v>
      </c>
      <c r="K41" s="6">
        <v>0</v>
      </c>
      <c r="L41" s="6">
        <v>154</v>
      </c>
      <c r="N41" s="6">
        <v>0</v>
      </c>
      <c r="O41" s="6">
        <v>0</v>
      </c>
      <c r="P41" s="6">
        <v>0</v>
      </c>
      <c r="Q41" s="6">
        <v>0</v>
      </c>
    </row>
    <row r="42" spans="2:17" x14ac:dyDescent="0.25">
      <c r="B42" t="s">
        <v>2514</v>
      </c>
      <c r="D42" s="6">
        <v>0</v>
      </c>
      <c r="E42" s="6">
        <v>7425</v>
      </c>
      <c r="F42" s="6">
        <v>0</v>
      </c>
      <c r="G42" s="6">
        <v>760</v>
      </c>
      <c r="I42" s="6">
        <v>0</v>
      </c>
      <c r="J42" s="6">
        <v>7425</v>
      </c>
      <c r="K42" s="6">
        <v>0</v>
      </c>
      <c r="L42" s="6">
        <v>760</v>
      </c>
      <c r="N42" s="6">
        <v>0</v>
      </c>
      <c r="O42" s="6">
        <v>0</v>
      </c>
      <c r="P42" s="6">
        <v>0</v>
      </c>
      <c r="Q42" s="6">
        <v>0</v>
      </c>
    </row>
    <row r="43" spans="2:17" x14ac:dyDescent="0.25">
      <c r="B43" t="s">
        <v>2515</v>
      </c>
      <c r="D43" s="6">
        <v>0</v>
      </c>
      <c r="E43" s="6">
        <v>0</v>
      </c>
      <c r="F43" s="6">
        <v>0</v>
      </c>
      <c r="G43" s="6">
        <v>1669</v>
      </c>
      <c r="I43" s="6">
        <v>0</v>
      </c>
      <c r="J43" s="6">
        <v>0</v>
      </c>
      <c r="K43" s="6">
        <v>0</v>
      </c>
      <c r="L43" s="6">
        <v>1669</v>
      </c>
      <c r="N43" s="6">
        <v>0</v>
      </c>
      <c r="O43" s="6">
        <v>0</v>
      </c>
      <c r="P43" s="6">
        <v>0</v>
      </c>
      <c r="Q43" s="6">
        <v>0</v>
      </c>
    </row>
    <row r="44" spans="2:17" x14ac:dyDescent="0.25">
      <c r="B44" t="s">
        <v>2516</v>
      </c>
      <c r="D44" s="6">
        <v>0</v>
      </c>
      <c r="E44" s="6">
        <v>1125</v>
      </c>
      <c r="F44" s="6">
        <v>0</v>
      </c>
      <c r="G44" s="6">
        <v>0</v>
      </c>
      <c r="I44" s="6">
        <v>0</v>
      </c>
      <c r="J44" s="6">
        <v>1125</v>
      </c>
      <c r="K44" s="6">
        <v>0</v>
      </c>
      <c r="L44" s="6">
        <v>0</v>
      </c>
      <c r="N44" s="6">
        <v>0</v>
      </c>
      <c r="O44" s="6">
        <v>0</v>
      </c>
      <c r="P44" s="6">
        <v>0</v>
      </c>
      <c r="Q44" s="6">
        <v>0</v>
      </c>
    </row>
    <row r="45" spans="2:17" x14ac:dyDescent="0.25">
      <c r="B45" t="s">
        <v>2517</v>
      </c>
      <c r="D45" s="6">
        <v>0</v>
      </c>
      <c r="E45" s="6">
        <v>0</v>
      </c>
      <c r="F45" s="6">
        <v>0</v>
      </c>
      <c r="G45" s="6">
        <v>900</v>
      </c>
      <c r="I45" s="6">
        <v>0</v>
      </c>
      <c r="J45" s="6">
        <v>0</v>
      </c>
      <c r="K45" s="6">
        <v>0</v>
      </c>
      <c r="L45" s="6">
        <v>900</v>
      </c>
      <c r="N45" s="6">
        <v>0</v>
      </c>
      <c r="O45" s="6">
        <v>0</v>
      </c>
      <c r="P45" s="6">
        <v>0</v>
      </c>
      <c r="Q45" s="6">
        <v>0</v>
      </c>
    </row>
    <row r="46" spans="2:17" x14ac:dyDescent="0.25">
      <c r="B46" t="s">
        <v>2518</v>
      </c>
      <c r="D46" s="6">
        <v>0</v>
      </c>
      <c r="E46" s="6">
        <v>0</v>
      </c>
      <c r="F46" s="6">
        <v>0</v>
      </c>
      <c r="G46" s="6">
        <v>0</v>
      </c>
      <c r="I46" s="6">
        <v>0</v>
      </c>
      <c r="J46" s="6">
        <v>0</v>
      </c>
      <c r="K46" s="6">
        <v>0</v>
      </c>
      <c r="L46" s="6">
        <v>0</v>
      </c>
      <c r="N46" s="6">
        <v>0</v>
      </c>
      <c r="O46" s="6">
        <v>0</v>
      </c>
      <c r="P46" s="6">
        <v>0</v>
      </c>
      <c r="Q46" s="6">
        <v>0</v>
      </c>
    </row>
    <row r="47" spans="2:17" x14ac:dyDescent="0.25">
      <c r="B47" t="s">
        <v>2519</v>
      </c>
      <c r="D47" s="6">
        <v>0</v>
      </c>
      <c r="E47" s="6">
        <v>0</v>
      </c>
      <c r="F47" s="6">
        <v>0</v>
      </c>
      <c r="G47" s="6">
        <v>420</v>
      </c>
      <c r="I47" s="6">
        <v>0</v>
      </c>
      <c r="J47" s="6">
        <v>0</v>
      </c>
      <c r="K47" s="6">
        <v>0</v>
      </c>
      <c r="L47" s="6">
        <v>420</v>
      </c>
      <c r="N47" s="6">
        <v>0</v>
      </c>
      <c r="O47" s="6">
        <v>0</v>
      </c>
      <c r="P47" s="6">
        <v>0</v>
      </c>
      <c r="Q47" s="6">
        <v>0</v>
      </c>
    </row>
    <row r="48" spans="2:17" x14ac:dyDescent="0.25">
      <c r="B48" t="s">
        <v>2520</v>
      </c>
      <c r="D48" s="6">
        <v>0</v>
      </c>
      <c r="E48" s="6">
        <v>825</v>
      </c>
      <c r="F48" s="6">
        <v>0</v>
      </c>
      <c r="G48" s="6">
        <v>0</v>
      </c>
      <c r="I48" s="6">
        <v>0</v>
      </c>
      <c r="J48" s="6">
        <v>825</v>
      </c>
      <c r="K48" s="6">
        <v>0</v>
      </c>
      <c r="L48" s="6">
        <v>0</v>
      </c>
      <c r="N48" s="6">
        <v>0</v>
      </c>
      <c r="O48" s="6">
        <v>0</v>
      </c>
      <c r="P48" s="6">
        <v>0</v>
      </c>
      <c r="Q48" s="6">
        <v>0</v>
      </c>
    </row>
    <row r="49" spans="2:17" x14ac:dyDescent="0.25">
      <c r="B49" t="s">
        <v>2521</v>
      </c>
      <c r="D49" s="6">
        <v>0</v>
      </c>
      <c r="E49" s="6">
        <v>0</v>
      </c>
      <c r="F49" s="6">
        <v>0</v>
      </c>
      <c r="G49" s="6">
        <v>75</v>
      </c>
      <c r="I49" s="6">
        <v>0</v>
      </c>
      <c r="J49" s="6">
        <v>0</v>
      </c>
      <c r="K49" s="6">
        <v>0</v>
      </c>
      <c r="L49" s="6">
        <v>150</v>
      </c>
      <c r="N49" s="6">
        <v>0</v>
      </c>
      <c r="O49" s="6">
        <v>0</v>
      </c>
      <c r="P49" s="6">
        <v>0</v>
      </c>
      <c r="Q49" s="6">
        <v>-75</v>
      </c>
    </row>
    <row r="50" spans="2:17" x14ac:dyDescent="0.25">
      <c r="B50" t="s">
        <v>2522</v>
      </c>
      <c r="D50" s="6">
        <v>0</v>
      </c>
      <c r="E50" s="6">
        <v>0</v>
      </c>
      <c r="F50" s="6">
        <v>0</v>
      </c>
      <c r="G50" s="6">
        <v>0</v>
      </c>
      <c r="I50" s="6">
        <v>0</v>
      </c>
      <c r="J50" s="6">
        <v>0</v>
      </c>
      <c r="K50" s="6">
        <v>0</v>
      </c>
      <c r="L50" s="6">
        <v>0</v>
      </c>
      <c r="N50" s="6">
        <v>0</v>
      </c>
      <c r="O50" s="6">
        <v>0</v>
      </c>
      <c r="P50" s="6">
        <v>0</v>
      </c>
      <c r="Q50" s="6">
        <v>0</v>
      </c>
    </row>
    <row r="51" spans="2:17" x14ac:dyDescent="0.25">
      <c r="B51" t="s">
        <v>2523</v>
      </c>
      <c r="D51" s="6">
        <v>0</v>
      </c>
      <c r="E51" s="6">
        <v>0</v>
      </c>
      <c r="F51" s="6">
        <v>0</v>
      </c>
      <c r="G51" s="6">
        <v>1027.5</v>
      </c>
      <c r="I51" s="6">
        <v>0</v>
      </c>
      <c r="J51" s="6">
        <v>0</v>
      </c>
      <c r="K51" s="6">
        <v>0</v>
      </c>
      <c r="L51" s="6">
        <v>1027.5</v>
      </c>
      <c r="N51" s="6">
        <v>0</v>
      </c>
      <c r="O51" s="6">
        <v>0</v>
      </c>
      <c r="P51" s="6">
        <v>0</v>
      </c>
      <c r="Q51" s="6">
        <v>0</v>
      </c>
    </row>
    <row r="52" spans="2:17" x14ac:dyDescent="0.25">
      <c r="B52" t="s">
        <v>2524</v>
      </c>
      <c r="D52" s="6">
        <v>0</v>
      </c>
      <c r="E52" s="6">
        <v>0</v>
      </c>
      <c r="F52" s="6">
        <v>0</v>
      </c>
      <c r="G52" s="6">
        <v>382.5</v>
      </c>
      <c r="I52" s="6">
        <v>0</v>
      </c>
      <c r="J52" s="6">
        <v>0</v>
      </c>
      <c r="K52" s="6">
        <v>0</v>
      </c>
      <c r="L52" s="6">
        <v>382.5</v>
      </c>
      <c r="N52" s="6">
        <v>0</v>
      </c>
      <c r="O52" s="6">
        <v>0</v>
      </c>
      <c r="P52" s="6">
        <v>0</v>
      </c>
      <c r="Q52" s="6">
        <v>0</v>
      </c>
    </row>
    <row r="53" spans="2:17" x14ac:dyDescent="0.25">
      <c r="B53" t="s">
        <v>2525</v>
      </c>
      <c r="D53" s="6">
        <v>1000</v>
      </c>
      <c r="E53" s="6">
        <v>0</v>
      </c>
      <c r="F53" s="6">
        <v>0</v>
      </c>
      <c r="G53" s="6">
        <v>0</v>
      </c>
      <c r="I53" s="6">
        <v>1000</v>
      </c>
      <c r="J53" s="6">
        <v>0</v>
      </c>
      <c r="K53" s="6">
        <v>0</v>
      </c>
      <c r="L53" s="6">
        <v>0</v>
      </c>
      <c r="N53" s="6">
        <v>0</v>
      </c>
      <c r="O53" s="6">
        <v>0</v>
      </c>
      <c r="P53" s="6">
        <v>0</v>
      </c>
      <c r="Q53" s="6">
        <v>0</v>
      </c>
    </row>
    <row r="54" spans="2:17" x14ac:dyDescent="0.25">
      <c r="B54" t="s">
        <v>2526</v>
      </c>
      <c r="D54" s="6">
        <v>0</v>
      </c>
      <c r="E54" s="6">
        <v>0</v>
      </c>
      <c r="F54" s="6">
        <v>0</v>
      </c>
      <c r="G54" s="6">
        <v>400</v>
      </c>
      <c r="I54" s="6">
        <v>0</v>
      </c>
      <c r="J54" s="6">
        <v>0</v>
      </c>
      <c r="K54" s="6">
        <v>0</v>
      </c>
      <c r="L54" s="6">
        <v>400</v>
      </c>
      <c r="N54" s="6">
        <v>0</v>
      </c>
      <c r="O54" s="6">
        <v>0</v>
      </c>
      <c r="P54" s="6">
        <v>0</v>
      </c>
      <c r="Q54" s="6">
        <v>0</v>
      </c>
    </row>
    <row r="55" spans="2:17" x14ac:dyDescent="0.25">
      <c r="B55" t="s">
        <v>2527</v>
      </c>
      <c r="D55" s="6">
        <v>0</v>
      </c>
      <c r="E55" s="6">
        <v>15750</v>
      </c>
      <c r="F55" s="6">
        <v>0</v>
      </c>
      <c r="G55" s="6">
        <v>920</v>
      </c>
      <c r="I55" s="6">
        <v>0</v>
      </c>
      <c r="J55" s="6">
        <v>15750</v>
      </c>
      <c r="K55" s="6">
        <v>0</v>
      </c>
      <c r="L55" s="6">
        <v>920</v>
      </c>
      <c r="N55" s="6">
        <v>0</v>
      </c>
      <c r="O55" s="6">
        <v>0</v>
      </c>
      <c r="P55" s="6">
        <v>0</v>
      </c>
      <c r="Q55" s="6">
        <v>0</v>
      </c>
    </row>
    <row r="56" spans="2:17" x14ac:dyDescent="0.25">
      <c r="B56" t="s">
        <v>2528</v>
      </c>
      <c r="D56" s="6">
        <v>0</v>
      </c>
      <c r="E56" s="6">
        <v>2600</v>
      </c>
      <c r="F56" s="6">
        <v>0</v>
      </c>
      <c r="G56" s="6">
        <v>0</v>
      </c>
      <c r="I56" s="6">
        <v>0</v>
      </c>
      <c r="J56" s="6">
        <v>2600</v>
      </c>
      <c r="K56" s="6">
        <v>0</v>
      </c>
      <c r="L56" s="6">
        <v>0</v>
      </c>
      <c r="N56" s="6">
        <v>0</v>
      </c>
      <c r="O56" s="6">
        <v>0</v>
      </c>
      <c r="P56" s="6">
        <v>0</v>
      </c>
      <c r="Q56" s="6">
        <v>0</v>
      </c>
    </row>
    <row r="57" spans="2:17" x14ac:dyDescent="0.25">
      <c r="B57" t="s">
        <v>2529</v>
      </c>
      <c r="D57" s="6">
        <v>0</v>
      </c>
      <c r="E57" s="6">
        <v>3250</v>
      </c>
      <c r="F57" s="6">
        <v>0</v>
      </c>
      <c r="G57" s="6">
        <v>0</v>
      </c>
      <c r="I57" s="6">
        <v>0</v>
      </c>
      <c r="J57" s="6">
        <v>3250</v>
      </c>
      <c r="K57" s="6">
        <v>0</v>
      </c>
      <c r="L57" s="6">
        <v>0</v>
      </c>
      <c r="N57" s="6">
        <v>0</v>
      </c>
      <c r="O57" s="6">
        <v>0</v>
      </c>
      <c r="P57" s="6">
        <v>0</v>
      </c>
      <c r="Q57" s="6">
        <v>0</v>
      </c>
    </row>
    <row r="58" spans="2:17" x14ac:dyDescent="0.25">
      <c r="B58" t="s">
        <v>2530</v>
      </c>
      <c r="D58" s="6">
        <v>0</v>
      </c>
      <c r="E58" s="6">
        <v>1150</v>
      </c>
      <c r="F58" s="6">
        <v>0</v>
      </c>
      <c r="G58" s="6">
        <v>0</v>
      </c>
      <c r="I58" s="6">
        <v>0</v>
      </c>
      <c r="J58" s="6">
        <v>1150</v>
      </c>
      <c r="K58" s="6">
        <v>0</v>
      </c>
      <c r="L58" s="6">
        <v>0</v>
      </c>
      <c r="N58" s="6">
        <v>0</v>
      </c>
      <c r="O58" s="6">
        <v>0</v>
      </c>
      <c r="P58" s="6">
        <v>0</v>
      </c>
      <c r="Q58" s="6">
        <v>0</v>
      </c>
    </row>
    <row r="59" spans="2:17" x14ac:dyDescent="0.25">
      <c r="B59" t="s">
        <v>2531</v>
      </c>
      <c r="D59" s="6">
        <v>0</v>
      </c>
      <c r="E59" s="6">
        <v>450</v>
      </c>
      <c r="F59" s="6">
        <v>0</v>
      </c>
      <c r="G59" s="6">
        <v>0</v>
      </c>
      <c r="I59" s="6">
        <v>0</v>
      </c>
      <c r="J59" s="6">
        <v>450</v>
      </c>
      <c r="K59" s="6">
        <v>0</v>
      </c>
      <c r="L59" s="6">
        <v>0</v>
      </c>
      <c r="N59" s="6">
        <v>0</v>
      </c>
      <c r="O59" s="6">
        <v>0</v>
      </c>
      <c r="P59" s="6">
        <v>0</v>
      </c>
      <c r="Q59" s="6">
        <v>0</v>
      </c>
    </row>
    <row r="60" spans="2:17" x14ac:dyDescent="0.25">
      <c r="B60" t="s">
        <v>2532</v>
      </c>
      <c r="D60" s="6">
        <v>0</v>
      </c>
      <c r="E60" s="6">
        <v>1900</v>
      </c>
      <c r="F60" s="6">
        <v>0</v>
      </c>
      <c r="G60" s="6">
        <v>0</v>
      </c>
      <c r="I60" s="6">
        <v>0</v>
      </c>
      <c r="J60" s="6">
        <v>1900</v>
      </c>
      <c r="K60" s="6">
        <v>0</v>
      </c>
      <c r="L60" s="6">
        <v>0</v>
      </c>
      <c r="N60" s="6">
        <v>0</v>
      </c>
      <c r="O60" s="6">
        <v>0</v>
      </c>
      <c r="P60" s="6">
        <v>0</v>
      </c>
      <c r="Q60" s="6">
        <v>0</v>
      </c>
    </row>
    <row r="61" spans="2:17" x14ac:dyDescent="0.25">
      <c r="B61" t="s">
        <v>2533</v>
      </c>
      <c r="D61" s="6">
        <v>0</v>
      </c>
      <c r="E61" s="6">
        <v>5200</v>
      </c>
      <c r="F61" s="6">
        <v>0</v>
      </c>
      <c r="G61" s="6">
        <v>0</v>
      </c>
      <c r="I61" s="6">
        <v>0</v>
      </c>
      <c r="J61" s="6">
        <v>5200</v>
      </c>
      <c r="K61" s="6">
        <v>0</v>
      </c>
      <c r="L61" s="6">
        <v>0</v>
      </c>
      <c r="N61" s="6">
        <v>0</v>
      </c>
      <c r="O61" s="6">
        <v>0</v>
      </c>
      <c r="P61" s="6">
        <v>0</v>
      </c>
      <c r="Q61" s="6">
        <v>0</v>
      </c>
    </row>
    <row r="62" spans="2:17" x14ac:dyDescent="0.25">
      <c r="B62" t="s">
        <v>2534</v>
      </c>
      <c r="D62" s="6">
        <v>0</v>
      </c>
      <c r="E62" s="6">
        <v>0</v>
      </c>
      <c r="F62" s="6">
        <v>0</v>
      </c>
      <c r="G62" s="6">
        <v>400</v>
      </c>
      <c r="I62" s="6">
        <v>0</v>
      </c>
      <c r="J62" s="6">
        <v>0</v>
      </c>
      <c r="K62" s="6">
        <v>0</v>
      </c>
      <c r="L62" s="6">
        <v>400</v>
      </c>
      <c r="N62" s="6">
        <v>0</v>
      </c>
      <c r="O62" s="6">
        <v>0</v>
      </c>
      <c r="P62" s="6">
        <v>0</v>
      </c>
      <c r="Q62" s="6">
        <v>0</v>
      </c>
    </row>
    <row r="63" spans="2:17" x14ac:dyDescent="0.25">
      <c r="B63" t="s">
        <v>2535</v>
      </c>
      <c r="D63" s="6">
        <v>0</v>
      </c>
      <c r="E63" s="6">
        <v>0</v>
      </c>
      <c r="F63" s="6">
        <v>630</v>
      </c>
      <c r="G63" s="6">
        <v>0</v>
      </c>
      <c r="I63" s="6">
        <v>0</v>
      </c>
      <c r="J63" s="6">
        <v>0</v>
      </c>
      <c r="K63" s="6">
        <v>630</v>
      </c>
      <c r="L63" s="6">
        <v>0</v>
      </c>
      <c r="N63" s="6">
        <v>0</v>
      </c>
      <c r="O63" s="6">
        <v>0</v>
      </c>
      <c r="P63" s="6">
        <v>0</v>
      </c>
      <c r="Q63" s="6">
        <v>0</v>
      </c>
    </row>
    <row r="64" spans="2:17" x14ac:dyDescent="0.25">
      <c r="B64" t="s">
        <v>2536</v>
      </c>
      <c r="D64" s="6">
        <v>0</v>
      </c>
      <c r="E64" s="6">
        <v>0</v>
      </c>
      <c r="F64" s="6">
        <v>0</v>
      </c>
      <c r="G64" s="6">
        <v>0</v>
      </c>
      <c r="I64" s="6">
        <v>0</v>
      </c>
      <c r="J64" s="6">
        <v>0</v>
      </c>
      <c r="K64" s="6">
        <v>0</v>
      </c>
      <c r="L64" s="6">
        <v>0</v>
      </c>
      <c r="N64" s="6">
        <v>0</v>
      </c>
      <c r="O64" s="6">
        <v>0</v>
      </c>
      <c r="P64" s="6">
        <v>0</v>
      </c>
      <c r="Q64" s="6">
        <v>0</v>
      </c>
    </row>
    <row r="65" spans="2:17" x14ac:dyDescent="0.25">
      <c r="B65" t="s">
        <v>2537</v>
      </c>
      <c r="D65" s="6">
        <v>0</v>
      </c>
      <c r="E65" s="6">
        <v>0</v>
      </c>
      <c r="F65" s="6">
        <v>0</v>
      </c>
      <c r="G65" s="6">
        <v>0</v>
      </c>
      <c r="I65" s="6">
        <v>0</v>
      </c>
      <c r="J65" s="6">
        <v>0</v>
      </c>
      <c r="K65" s="6">
        <v>0</v>
      </c>
      <c r="L65" s="6">
        <v>0</v>
      </c>
      <c r="N65" s="6">
        <v>0</v>
      </c>
      <c r="O65" s="6">
        <v>0</v>
      </c>
      <c r="P65" s="6">
        <v>0</v>
      </c>
      <c r="Q65" s="6">
        <v>0</v>
      </c>
    </row>
    <row r="66" spans="2:17" x14ac:dyDescent="0.25">
      <c r="B66" t="s">
        <v>2538</v>
      </c>
      <c r="D66" s="6">
        <v>0</v>
      </c>
      <c r="E66" s="6">
        <v>0</v>
      </c>
      <c r="F66" s="6">
        <v>0</v>
      </c>
      <c r="G66" s="6">
        <v>450</v>
      </c>
      <c r="I66" s="6">
        <v>0</v>
      </c>
      <c r="J66" s="6">
        <v>0</v>
      </c>
      <c r="K66" s="6">
        <v>0</v>
      </c>
      <c r="L66" s="6">
        <v>450</v>
      </c>
      <c r="N66" s="6">
        <v>0</v>
      </c>
      <c r="O66" s="6">
        <v>0</v>
      </c>
      <c r="P66" s="6">
        <v>0</v>
      </c>
      <c r="Q66" s="6">
        <v>0</v>
      </c>
    </row>
    <row r="67" spans="2:17" x14ac:dyDescent="0.25">
      <c r="B67" t="s">
        <v>2539</v>
      </c>
      <c r="D67" s="6">
        <v>0</v>
      </c>
      <c r="E67" s="6">
        <v>2500</v>
      </c>
      <c r="F67" s="6">
        <v>0</v>
      </c>
      <c r="G67" s="6">
        <v>300</v>
      </c>
      <c r="I67" s="6">
        <v>0</v>
      </c>
      <c r="J67" s="6">
        <v>2500</v>
      </c>
      <c r="K67" s="6">
        <v>0</v>
      </c>
      <c r="L67" s="6">
        <v>300</v>
      </c>
      <c r="N67" s="6">
        <v>0</v>
      </c>
      <c r="O67" s="6">
        <v>0</v>
      </c>
      <c r="P67" s="6">
        <v>0</v>
      </c>
      <c r="Q67" s="6">
        <v>0</v>
      </c>
    </row>
    <row r="68" spans="2:17" x14ac:dyDescent="0.25">
      <c r="B68" t="s">
        <v>2540</v>
      </c>
      <c r="D68" s="6">
        <v>0</v>
      </c>
      <c r="E68" s="6">
        <v>0</v>
      </c>
      <c r="F68" s="6">
        <v>0</v>
      </c>
      <c r="G68" s="6">
        <v>0</v>
      </c>
      <c r="I68" s="6">
        <v>0</v>
      </c>
      <c r="J68" s="6">
        <v>0</v>
      </c>
      <c r="K68" s="6">
        <v>0</v>
      </c>
      <c r="L68" s="6">
        <v>0</v>
      </c>
      <c r="N68" s="6">
        <v>0</v>
      </c>
      <c r="O68" s="6">
        <v>0</v>
      </c>
      <c r="P68" s="6">
        <v>0</v>
      </c>
      <c r="Q68" s="6">
        <v>0</v>
      </c>
    </row>
    <row r="69" spans="2:17" x14ac:dyDescent="0.25">
      <c r="B69" t="s">
        <v>2541</v>
      </c>
      <c r="D69" s="6">
        <v>0</v>
      </c>
      <c r="E69" s="6">
        <v>0</v>
      </c>
      <c r="F69" s="6">
        <v>0</v>
      </c>
      <c r="G69" s="6">
        <v>600</v>
      </c>
      <c r="I69" s="6">
        <v>0</v>
      </c>
      <c r="J69" s="6">
        <v>0</v>
      </c>
      <c r="K69" s="6">
        <v>0</v>
      </c>
      <c r="L69" s="6">
        <v>600</v>
      </c>
      <c r="N69" s="6">
        <v>0</v>
      </c>
      <c r="O69" s="6">
        <v>0</v>
      </c>
      <c r="P69" s="6">
        <v>0</v>
      </c>
      <c r="Q69" s="6">
        <v>0</v>
      </c>
    </row>
    <row r="70" spans="2:17" x14ac:dyDescent="0.25">
      <c r="B70" t="s">
        <v>2542</v>
      </c>
      <c r="D70" s="6">
        <v>0</v>
      </c>
      <c r="E70" s="6">
        <v>0</v>
      </c>
      <c r="F70" s="6">
        <v>0</v>
      </c>
      <c r="G70" s="6">
        <v>400</v>
      </c>
      <c r="I70" s="6">
        <v>0</v>
      </c>
      <c r="J70" s="6">
        <v>0</v>
      </c>
      <c r="K70" s="6">
        <v>0</v>
      </c>
      <c r="L70" s="6">
        <v>400</v>
      </c>
      <c r="N70" s="6">
        <v>0</v>
      </c>
      <c r="O70" s="6">
        <v>0</v>
      </c>
      <c r="P70" s="6">
        <v>0</v>
      </c>
      <c r="Q70" s="6">
        <v>0</v>
      </c>
    </row>
    <row r="71" spans="2:17" x14ac:dyDescent="0.25">
      <c r="B71" t="s">
        <v>2543</v>
      </c>
      <c r="D71" s="6">
        <v>0</v>
      </c>
      <c r="E71" s="6">
        <v>0</v>
      </c>
      <c r="F71" s="6">
        <v>0</v>
      </c>
      <c r="G71" s="6">
        <v>400</v>
      </c>
      <c r="I71" s="6">
        <v>0</v>
      </c>
      <c r="J71" s="6">
        <v>0</v>
      </c>
      <c r="K71" s="6">
        <v>0</v>
      </c>
      <c r="L71" s="6">
        <v>400</v>
      </c>
      <c r="N71" s="6">
        <v>0</v>
      </c>
      <c r="O71" s="6">
        <v>0</v>
      </c>
      <c r="P71" s="6">
        <v>0</v>
      </c>
      <c r="Q71" s="6">
        <v>0</v>
      </c>
    </row>
    <row r="72" spans="2:17" x14ac:dyDescent="0.25">
      <c r="B72" t="s">
        <v>2544</v>
      </c>
      <c r="D72" s="6">
        <v>0</v>
      </c>
      <c r="E72" s="6">
        <v>0</v>
      </c>
      <c r="F72" s="6">
        <v>0</v>
      </c>
      <c r="G72" s="6">
        <v>0</v>
      </c>
      <c r="I72" s="6">
        <v>0</v>
      </c>
      <c r="J72" s="6">
        <v>0</v>
      </c>
      <c r="K72" s="6">
        <v>0</v>
      </c>
      <c r="L72" s="6">
        <v>0</v>
      </c>
      <c r="N72" s="6">
        <v>0</v>
      </c>
      <c r="O72" s="6">
        <v>0</v>
      </c>
      <c r="P72" s="6">
        <v>0</v>
      </c>
      <c r="Q72" s="6">
        <v>0</v>
      </c>
    </row>
    <row r="73" spans="2:17" x14ac:dyDescent="0.25">
      <c r="B73" t="s">
        <v>2545</v>
      </c>
      <c r="D73" s="6">
        <v>0</v>
      </c>
      <c r="E73" s="6">
        <v>0</v>
      </c>
      <c r="F73" s="6">
        <v>0</v>
      </c>
      <c r="G73" s="6">
        <v>350</v>
      </c>
      <c r="I73" s="6">
        <v>0</v>
      </c>
      <c r="J73" s="6">
        <v>0</v>
      </c>
      <c r="K73" s="6">
        <v>0</v>
      </c>
      <c r="L73" s="6">
        <v>350</v>
      </c>
      <c r="N73" s="6">
        <v>0</v>
      </c>
      <c r="O73" s="6">
        <v>0</v>
      </c>
      <c r="P73" s="6">
        <v>0</v>
      </c>
      <c r="Q73" s="6">
        <v>0</v>
      </c>
    </row>
    <row r="74" spans="2:17" x14ac:dyDescent="0.25">
      <c r="B74" t="s">
        <v>2546</v>
      </c>
      <c r="D74" s="6">
        <v>0</v>
      </c>
      <c r="E74" s="6">
        <v>0</v>
      </c>
      <c r="F74" s="6">
        <v>0</v>
      </c>
      <c r="G74" s="6">
        <v>500</v>
      </c>
      <c r="I74" s="6">
        <v>0</v>
      </c>
      <c r="J74" s="6">
        <v>0</v>
      </c>
      <c r="K74" s="6">
        <v>0</v>
      </c>
      <c r="L74" s="6">
        <v>500</v>
      </c>
      <c r="N74" s="6">
        <v>0</v>
      </c>
      <c r="O74" s="6">
        <v>0</v>
      </c>
      <c r="P74" s="6">
        <v>0</v>
      </c>
      <c r="Q74" s="6">
        <v>0</v>
      </c>
    </row>
    <row r="75" spans="2:17" x14ac:dyDescent="0.25">
      <c r="B75" t="s">
        <v>2547</v>
      </c>
      <c r="D75" s="6">
        <v>0</v>
      </c>
      <c r="E75" s="6">
        <v>0</v>
      </c>
      <c r="F75" s="6">
        <v>0</v>
      </c>
      <c r="G75" s="6">
        <v>175</v>
      </c>
      <c r="I75" s="6">
        <v>0</v>
      </c>
      <c r="J75" s="6">
        <v>0</v>
      </c>
      <c r="K75" s="6">
        <v>0</v>
      </c>
      <c r="L75" s="6">
        <v>175</v>
      </c>
      <c r="N75" s="6">
        <v>0</v>
      </c>
      <c r="O75" s="6">
        <v>0</v>
      </c>
      <c r="P75" s="6">
        <v>0</v>
      </c>
      <c r="Q75" s="6">
        <v>0</v>
      </c>
    </row>
    <row r="76" spans="2:17" x14ac:dyDescent="0.25">
      <c r="B76" t="s">
        <v>2548</v>
      </c>
      <c r="D76" s="6">
        <v>0</v>
      </c>
      <c r="E76" s="6">
        <v>0</v>
      </c>
      <c r="F76" s="6">
        <v>0</v>
      </c>
      <c r="G76" s="6">
        <v>300</v>
      </c>
      <c r="I76" s="6">
        <v>0</v>
      </c>
      <c r="J76" s="6">
        <v>0</v>
      </c>
      <c r="K76" s="6">
        <v>0</v>
      </c>
      <c r="L76" s="6">
        <v>300</v>
      </c>
      <c r="N76" s="6">
        <v>0</v>
      </c>
      <c r="O76" s="6">
        <v>0</v>
      </c>
      <c r="P76" s="6">
        <v>0</v>
      </c>
      <c r="Q76" s="6">
        <v>0</v>
      </c>
    </row>
    <row r="77" spans="2:17" x14ac:dyDescent="0.25">
      <c r="B77" t="s">
        <v>2549</v>
      </c>
      <c r="D77" s="6">
        <v>0</v>
      </c>
      <c r="E77" s="6">
        <v>0</v>
      </c>
      <c r="F77" s="6">
        <v>0</v>
      </c>
      <c r="G77" s="6">
        <v>100</v>
      </c>
      <c r="I77" s="6">
        <v>0</v>
      </c>
      <c r="J77" s="6">
        <v>0</v>
      </c>
      <c r="K77" s="6">
        <v>0</v>
      </c>
      <c r="L77" s="6">
        <v>100</v>
      </c>
      <c r="N77" s="6">
        <v>0</v>
      </c>
      <c r="O77" s="6">
        <v>0</v>
      </c>
      <c r="P77" s="6">
        <v>0</v>
      </c>
      <c r="Q77" s="6">
        <v>0</v>
      </c>
    </row>
    <row r="78" spans="2:17" x14ac:dyDescent="0.25">
      <c r="B78" t="s">
        <v>2550</v>
      </c>
      <c r="D78" s="6">
        <v>0</v>
      </c>
      <c r="E78" s="6">
        <v>0</v>
      </c>
      <c r="F78" s="6">
        <v>0</v>
      </c>
      <c r="G78" s="6">
        <v>650</v>
      </c>
      <c r="I78" s="6">
        <v>0</v>
      </c>
      <c r="J78" s="6">
        <v>0</v>
      </c>
      <c r="K78" s="6">
        <v>0</v>
      </c>
      <c r="L78" s="6">
        <v>650</v>
      </c>
      <c r="N78" s="6">
        <v>0</v>
      </c>
      <c r="O78" s="6">
        <v>0</v>
      </c>
      <c r="P78" s="6">
        <v>0</v>
      </c>
      <c r="Q78" s="6">
        <v>0</v>
      </c>
    </row>
    <row r="79" spans="2:17" x14ac:dyDescent="0.25">
      <c r="B79" t="s">
        <v>2551</v>
      </c>
      <c r="D79" s="6">
        <v>0</v>
      </c>
      <c r="E79" s="6">
        <v>0</v>
      </c>
      <c r="F79" s="6">
        <v>0</v>
      </c>
      <c r="G79" s="6">
        <v>250</v>
      </c>
      <c r="I79" s="6">
        <v>0</v>
      </c>
      <c r="J79" s="6">
        <v>0</v>
      </c>
      <c r="K79" s="6">
        <v>0</v>
      </c>
      <c r="L79" s="6">
        <v>250</v>
      </c>
      <c r="N79" s="6">
        <v>0</v>
      </c>
      <c r="O79" s="6">
        <v>0</v>
      </c>
      <c r="P79" s="6">
        <v>0</v>
      </c>
      <c r="Q79" s="6">
        <v>0</v>
      </c>
    </row>
    <row r="80" spans="2:17" x14ac:dyDescent="0.25">
      <c r="B80" t="s">
        <v>2552</v>
      </c>
      <c r="D80" s="6">
        <v>0</v>
      </c>
      <c r="E80" s="6">
        <v>0</v>
      </c>
      <c r="F80" s="6">
        <v>0</v>
      </c>
      <c r="G80" s="6">
        <v>0</v>
      </c>
      <c r="I80" s="6">
        <v>0</v>
      </c>
      <c r="J80" s="6">
        <v>0</v>
      </c>
      <c r="K80" s="6">
        <v>0</v>
      </c>
      <c r="L80" s="6">
        <v>0</v>
      </c>
      <c r="N80" s="6">
        <v>0</v>
      </c>
      <c r="O80" s="6">
        <v>0</v>
      </c>
      <c r="P80" s="6">
        <v>0</v>
      </c>
      <c r="Q80" s="6">
        <v>0</v>
      </c>
    </row>
    <row r="81" spans="2:17" x14ac:dyDescent="0.25">
      <c r="B81" t="s">
        <v>2553</v>
      </c>
      <c r="D81" s="6">
        <v>0</v>
      </c>
      <c r="E81" s="6">
        <v>0</v>
      </c>
      <c r="F81" s="6">
        <v>0</v>
      </c>
      <c r="G81" s="6">
        <v>0</v>
      </c>
      <c r="I81" s="6">
        <v>0</v>
      </c>
      <c r="J81" s="6">
        <v>0</v>
      </c>
      <c r="K81" s="6">
        <v>0</v>
      </c>
      <c r="L81" s="6">
        <v>0</v>
      </c>
      <c r="N81" s="6">
        <v>0</v>
      </c>
      <c r="O81" s="6">
        <v>0</v>
      </c>
      <c r="P81" s="6">
        <v>0</v>
      </c>
      <c r="Q81" s="6">
        <v>0</v>
      </c>
    </row>
    <row r="82" spans="2:17" x14ac:dyDescent="0.25">
      <c r="B82" t="s">
        <v>2554</v>
      </c>
      <c r="D82" s="6">
        <v>0</v>
      </c>
      <c r="E82" s="6">
        <v>0</v>
      </c>
      <c r="F82" s="6">
        <v>0</v>
      </c>
      <c r="G82" s="6">
        <v>0</v>
      </c>
      <c r="I82" s="6">
        <v>0</v>
      </c>
      <c r="J82" s="6">
        <v>0</v>
      </c>
      <c r="K82" s="6">
        <v>0</v>
      </c>
      <c r="L82" s="6">
        <v>0</v>
      </c>
      <c r="N82" s="6">
        <v>0</v>
      </c>
      <c r="O82" s="6">
        <v>0</v>
      </c>
      <c r="P82" s="6">
        <v>0</v>
      </c>
      <c r="Q82" s="6">
        <v>0</v>
      </c>
    </row>
    <row r="83" spans="2:17" x14ac:dyDescent="0.25">
      <c r="B83" t="s">
        <v>2555</v>
      </c>
      <c r="D83" s="6">
        <v>0</v>
      </c>
      <c r="E83" s="6">
        <v>0</v>
      </c>
      <c r="F83" s="6">
        <v>0</v>
      </c>
      <c r="G83" s="6">
        <v>0</v>
      </c>
      <c r="I83" s="6">
        <v>0</v>
      </c>
      <c r="J83" s="6">
        <v>0</v>
      </c>
      <c r="K83" s="6">
        <v>0</v>
      </c>
      <c r="L83" s="6">
        <v>0</v>
      </c>
      <c r="N83" s="6">
        <v>0</v>
      </c>
      <c r="O83" s="6">
        <v>0</v>
      </c>
      <c r="P83" s="6">
        <v>0</v>
      </c>
      <c r="Q83" s="6">
        <v>0</v>
      </c>
    </row>
    <row r="84" spans="2:17" x14ac:dyDescent="0.25">
      <c r="B84" t="s">
        <v>2556</v>
      </c>
      <c r="D84" s="6">
        <v>0</v>
      </c>
      <c r="E84" s="6">
        <v>0</v>
      </c>
      <c r="F84" s="6">
        <v>0</v>
      </c>
      <c r="G84" s="6">
        <v>0</v>
      </c>
      <c r="I84" s="6">
        <v>0</v>
      </c>
      <c r="J84" s="6">
        <v>0</v>
      </c>
      <c r="K84" s="6">
        <v>0</v>
      </c>
      <c r="L84" s="6">
        <v>0</v>
      </c>
      <c r="N84" s="6">
        <v>0</v>
      </c>
      <c r="O84" s="6">
        <v>0</v>
      </c>
      <c r="P84" s="6">
        <v>0</v>
      </c>
      <c r="Q84" s="6">
        <v>0</v>
      </c>
    </row>
    <row r="85" spans="2:17" x14ac:dyDescent="0.25">
      <c r="B85" t="s">
        <v>2557</v>
      </c>
      <c r="D85" s="6">
        <v>0</v>
      </c>
      <c r="E85" s="6">
        <v>0</v>
      </c>
      <c r="F85" s="6">
        <v>0</v>
      </c>
      <c r="G85" s="6">
        <v>500</v>
      </c>
      <c r="I85" s="6">
        <v>0</v>
      </c>
      <c r="J85" s="6">
        <v>0</v>
      </c>
      <c r="K85" s="6">
        <v>0</v>
      </c>
      <c r="L85" s="6">
        <v>500</v>
      </c>
      <c r="N85" s="6">
        <v>0</v>
      </c>
      <c r="O85" s="6">
        <v>0</v>
      </c>
      <c r="P85" s="6">
        <v>0</v>
      </c>
      <c r="Q85" s="6">
        <v>0</v>
      </c>
    </row>
    <row r="86" spans="2:17" x14ac:dyDescent="0.25">
      <c r="B86" t="s">
        <v>2558</v>
      </c>
      <c r="D86" s="6">
        <v>0</v>
      </c>
      <c r="E86" s="6">
        <v>0</v>
      </c>
      <c r="F86" s="6">
        <v>0</v>
      </c>
      <c r="G86" s="6">
        <v>250</v>
      </c>
      <c r="I86" s="6">
        <v>0</v>
      </c>
      <c r="J86" s="6">
        <v>0</v>
      </c>
      <c r="K86" s="6">
        <v>0</v>
      </c>
      <c r="L86" s="6">
        <v>250</v>
      </c>
      <c r="N86" s="6">
        <v>0</v>
      </c>
      <c r="O86" s="6">
        <v>0</v>
      </c>
      <c r="P86" s="6">
        <v>0</v>
      </c>
      <c r="Q86" s="6">
        <v>0</v>
      </c>
    </row>
    <row r="87" spans="2:17" x14ac:dyDescent="0.25">
      <c r="B87" t="s">
        <v>2559</v>
      </c>
      <c r="D87" s="6">
        <v>0</v>
      </c>
      <c r="E87" s="6">
        <v>0</v>
      </c>
      <c r="F87" s="6">
        <v>0</v>
      </c>
      <c r="G87" s="6">
        <v>0</v>
      </c>
      <c r="I87" s="6">
        <v>0</v>
      </c>
      <c r="J87" s="6">
        <v>0</v>
      </c>
      <c r="K87" s="6">
        <v>0</v>
      </c>
      <c r="L87" s="6">
        <v>0</v>
      </c>
      <c r="N87" s="6">
        <v>0</v>
      </c>
      <c r="O87" s="6">
        <v>0</v>
      </c>
      <c r="P87" s="6">
        <v>0</v>
      </c>
      <c r="Q87" s="6">
        <v>0</v>
      </c>
    </row>
    <row r="88" spans="2:17" x14ac:dyDescent="0.25">
      <c r="B88" t="s">
        <v>2560</v>
      </c>
      <c r="D88" s="6">
        <v>0</v>
      </c>
      <c r="E88" s="6">
        <v>0</v>
      </c>
      <c r="F88" s="6">
        <v>0</v>
      </c>
      <c r="G88" s="6">
        <v>0</v>
      </c>
      <c r="I88" s="6">
        <v>0</v>
      </c>
      <c r="J88" s="6">
        <v>0</v>
      </c>
      <c r="K88" s="6">
        <v>0</v>
      </c>
      <c r="L88" s="6">
        <v>0</v>
      </c>
      <c r="N88" s="6">
        <v>0</v>
      </c>
      <c r="O88" s="6">
        <v>0</v>
      </c>
      <c r="P88" s="6">
        <v>0</v>
      </c>
      <c r="Q88" s="6">
        <v>0</v>
      </c>
    </row>
    <row r="89" spans="2:17" x14ac:dyDescent="0.25">
      <c r="B89" t="s">
        <v>2561</v>
      </c>
      <c r="D89" s="6">
        <v>0</v>
      </c>
      <c r="E89" s="6">
        <v>0</v>
      </c>
      <c r="F89" s="6">
        <v>0</v>
      </c>
      <c r="G89" s="6">
        <v>100</v>
      </c>
      <c r="I89" s="6">
        <v>0</v>
      </c>
      <c r="J89" s="6">
        <v>0</v>
      </c>
      <c r="K89" s="6">
        <v>0</v>
      </c>
      <c r="L89" s="6">
        <v>100</v>
      </c>
      <c r="N89" s="6">
        <v>0</v>
      </c>
      <c r="O89" s="6">
        <v>0</v>
      </c>
      <c r="P89" s="6">
        <v>0</v>
      </c>
      <c r="Q89" s="6">
        <v>0</v>
      </c>
    </row>
    <row r="90" spans="2:17" x14ac:dyDescent="0.25">
      <c r="B90" t="s">
        <v>2562</v>
      </c>
      <c r="D90" s="6">
        <v>0</v>
      </c>
      <c r="E90" s="6">
        <v>0</v>
      </c>
      <c r="F90" s="6">
        <v>0</v>
      </c>
      <c r="G90" s="6">
        <v>75</v>
      </c>
      <c r="I90" s="6">
        <v>0</v>
      </c>
      <c r="J90" s="6">
        <v>0</v>
      </c>
      <c r="K90" s="6">
        <v>0</v>
      </c>
      <c r="L90" s="6">
        <v>75</v>
      </c>
      <c r="N90" s="6">
        <v>0</v>
      </c>
      <c r="O90" s="6">
        <v>0</v>
      </c>
      <c r="P90" s="6">
        <v>0</v>
      </c>
      <c r="Q90" s="6">
        <v>0</v>
      </c>
    </row>
    <row r="91" spans="2:17" x14ac:dyDescent="0.25">
      <c r="B91" t="s">
        <v>2563</v>
      </c>
      <c r="D91" s="6">
        <v>0</v>
      </c>
      <c r="E91" s="6">
        <v>0</v>
      </c>
      <c r="F91" s="6">
        <v>0</v>
      </c>
      <c r="G91" s="6">
        <v>225</v>
      </c>
      <c r="I91" s="6">
        <v>0</v>
      </c>
      <c r="J91" s="6">
        <v>0</v>
      </c>
      <c r="K91" s="6">
        <v>0</v>
      </c>
      <c r="L91" s="6">
        <v>225</v>
      </c>
      <c r="N91" s="6">
        <v>0</v>
      </c>
      <c r="O91" s="6">
        <v>0</v>
      </c>
      <c r="P91" s="6">
        <v>0</v>
      </c>
      <c r="Q91" s="6">
        <v>0</v>
      </c>
    </row>
    <row r="92" spans="2:17" x14ac:dyDescent="0.25">
      <c r="B92" t="s">
        <v>2564</v>
      </c>
      <c r="D92" s="6">
        <v>0</v>
      </c>
      <c r="E92" s="6">
        <v>0</v>
      </c>
      <c r="F92" s="6">
        <v>0</v>
      </c>
      <c r="G92" s="6">
        <v>0</v>
      </c>
      <c r="I92" s="6">
        <v>0</v>
      </c>
      <c r="J92" s="6">
        <v>0</v>
      </c>
      <c r="K92" s="6">
        <v>0</v>
      </c>
      <c r="L92" s="6">
        <v>0</v>
      </c>
      <c r="N92" s="6">
        <v>0</v>
      </c>
      <c r="O92" s="6">
        <v>0</v>
      </c>
      <c r="P92" s="6">
        <v>0</v>
      </c>
      <c r="Q92" s="6">
        <v>0</v>
      </c>
    </row>
    <row r="93" spans="2:17" x14ac:dyDescent="0.25">
      <c r="B93" t="s">
        <v>2565</v>
      </c>
      <c r="D93" s="6">
        <v>0</v>
      </c>
      <c r="E93" s="6">
        <v>0</v>
      </c>
      <c r="F93" s="6">
        <v>0</v>
      </c>
      <c r="G93" s="6">
        <v>0</v>
      </c>
      <c r="I93" s="6">
        <v>0</v>
      </c>
      <c r="J93" s="6">
        <v>0</v>
      </c>
      <c r="K93" s="6">
        <v>0</v>
      </c>
      <c r="L93" s="6">
        <v>0</v>
      </c>
      <c r="N93" s="6">
        <v>0</v>
      </c>
      <c r="O93" s="6">
        <v>0</v>
      </c>
      <c r="P93" s="6">
        <v>0</v>
      </c>
      <c r="Q93" s="6">
        <v>0</v>
      </c>
    </row>
    <row r="94" spans="2:17" x14ac:dyDescent="0.25">
      <c r="B94" t="s">
        <v>2566</v>
      </c>
      <c r="D94" s="6">
        <v>0</v>
      </c>
      <c r="E94" s="6">
        <v>0</v>
      </c>
      <c r="F94" s="6">
        <v>0</v>
      </c>
      <c r="G94" s="6">
        <v>0</v>
      </c>
      <c r="I94" s="6">
        <v>0</v>
      </c>
      <c r="J94" s="6">
        <v>0</v>
      </c>
      <c r="K94" s="6">
        <v>0</v>
      </c>
      <c r="L94" s="6">
        <v>0</v>
      </c>
      <c r="N94" s="6">
        <v>0</v>
      </c>
      <c r="O94" s="6">
        <v>0</v>
      </c>
      <c r="P94" s="6">
        <v>0</v>
      </c>
      <c r="Q94" s="6">
        <v>0</v>
      </c>
    </row>
    <row r="95" spans="2:17" x14ac:dyDescent="0.25">
      <c r="B95" t="s">
        <v>2567</v>
      </c>
      <c r="D95" s="6">
        <v>0</v>
      </c>
      <c r="E95" s="6">
        <v>0</v>
      </c>
      <c r="F95" s="6">
        <v>0</v>
      </c>
      <c r="G95" s="6">
        <v>0</v>
      </c>
      <c r="I95" s="6">
        <v>0</v>
      </c>
      <c r="J95" s="6">
        <v>0</v>
      </c>
      <c r="K95" s="6">
        <v>0</v>
      </c>
      <c r="L95" s="6">
        <v>0</v>
      </c>
      <c r="N95" s="6">
        <v>0</v>
      </c>
      <c r="O95" s="6">
        <v>0</v>
      </c>
      <c r="P95" s="6">
        <v>0</v>
      </c>
      <c r="Q95" s="6">
        <v>0</v>
      </c>
    </row>
    <row r="96" spans="2:17" x14ac:dyDescent="0.25">
      <c r="B96" t="s">
        <v>2568</v>
      </c>
      <c r="D96" s="6">
        <v>0</v>
      </c>
      <c r="E96" s="6">
        <v>0</v>
      </c>
      <c r="F96" s="6">
        <v>0</v>
      </c>
      <c r="G96" s="6">
        <v>0</v>
      </c>
      <c r="I96" s="6">
        <v>0</v>
      </c>
      <c r="J96" s="6">
        <v>0</v>
      </c>
      <c r="K96" s="6">
        <v>0</v>
      </c>
      <c r="L96" s="6">
        <v>0</v>
      </c>
      <c r="N96" s="6">
        <v>0</v>
      </c>
      <c r="O96" s="6">
        <v>0</v>
      </c>
      <c r="P96" s="6">
        <v>0</v>
      </c>
      <c r="Q96" s="6">
        <v>0</v>
      </c>
    </row>
    <row r="97" spans="2:17" x14ac:dyDescent="0.25">
      <c r="B97" t="s">
        <v>2569</v>
      </c>
      <c r="D97" s="6">
        <v>0</v>
      </c>
      <c r="E97" s="6">
        <v>0</v>
      </c>
      <c r="F97" s="6">
        <v>0</v>
      </c>
      <c r="G97" s="6">
        <v>0</v>
      </c>
      <c r="I97" s="6">
        <v>0</v>
      </c>
      <c r="J97" s="6">
        <v>0</v>
      </c>
      <c r="K97" s="6">
        <v>0</v>
      </c>
      <c r="L97" s="6">
        <v>0</v>
      </c>
      <c r="N97" s="6">
        <v>0</v>
      </c>
      <c r="O97" s="6">
        <v>0</v>
      </c>
      <c r="P97" s="6">
        <v>0</v>
      </c>
      <c r="Q97" s="6">
        <v>0</v>
      </c>
    </row>
    <row r="98" spans="2:17" x14ac:dyDescent="0.25">
      <c r="B98" t="s">
        <v>2570</v>
      </c>
      <c r="D98" s="6">
        <v>0</v>
      </c>
      <c r="E98" s="6">
        <v>0</v>
      </c>
      <c r="F98" s="6">
        <v>0</v>
      </c>
      <c r="G98" s="6">
        <v>0</v>
      </c>
      <c r="I98" s="6">
        <v>0</v>
      </c>
      <c r="J98" s="6">
        <v>0</v>
      </c>
      <c r="K98" s="6">
        <v>0</v>
      </c>
      <c r="L98" s="6">
        <v>0</v>
      </c>
      <c r="N98" s="6">
        <v>0</v>
      </c>
      <c r="O98" s="6">
        <v>0</v>
      </c>
      <c r="P98" s="6">
        <v>0</v>
      </c>
      <c r="Q98" s="6">
        <v>0</v>
      </c>
    </row>
    <row r="99" spans="2:17" x14ac:dyDescent="0.25">
      <c r="B99" t="s">
        <v>2571</v>
      </c>
      <c r="D99" s="6">
        <v>0</v>
      </c>
      <c r="E99" s="6">
        <v>0</v>
      </c>
      <c r="F99" s="6">
        <v>0</v>
      </c>
      <c r="G99" s="6">
        <v>0</v>
      </c>
      <c r="I99" s="6">
        <v>0</v>
      </c>
      <c r="J99" s="6">
        <v>0</v>
      </c>
      <c r="K99" s="6">
        <v>0</v>
      </c>
      <c r="L99" s="6">
        <v>0</v>
      </c>
      <c r="N99" s="6">
        <v>0</v>
      </c>
      <c r="O99" s="6">
        <v>0</v>
      </c>
      <c r="P99" s="6">
        <v>0</v>
      </c>
      <c r="Q99" s="6">
        <v>0</v>
      </c>
    </row>
    <row r="100" spans="2:17" x14ac:dyDescent="0.25">
      <c r="B100" t="s">
        <v>2572</v>
      </c>
      <c r="D100" s="6">
        <v>0</v>
      </c>
      <c r="E100" s="6">
        <v>0</v>
      </c>
      <c r="F100" s="6">
        <v>0</v>
      </c>
      <c r="G100" s="6">
        <v>350</v>
      </c>
      <c r="I100" s="6">
        <v>0</v>
      </c>
      <c r="J100" s="6">
        <v>0</v>
      </c>
      <c r="K100" s="6">
        <v>0</v>
      </c>
      <c r="L100" s="6">
        <v>350</v>
      </c>
      <c r="N100" s="6">
        <v>0</v>
      </c>
      <c r="O100" s="6">
        <v>0</v>
      </c>
      <c r="P100" s="6">
        <v>0</v>
      </c>
      <c r="Q100" s="6">
        <v>0</v>
      </c>
    </row>
    <row r="101" spans="2:17" x14ac:dyDescent="0.25">
      <c r="B101" t="s">
        <v>2573</v>
      </c>
      <c r="D101" s="6">
        <v>0</v>
      </c>
      <c r="E101" s="6">
        <v>0</v>
      </c>
      <c r="F101" s="6">
        <v>0</v>
      </c>
      <c r="G101" s="6">
        <v>350</v>
      </c>
      <c r="I101" s="6">
        <v>0</v>
      </c>
      <c r="J101" s="6">
        <v>0</v>
      </c>
      <c r="K101" s="6">
        <v>0</v>
      </c>
      <c r="L101" s="6">
        <v>350</v>
      </c>
      <c r="N101" s="6">
        <v>0</v>
      </c>
      <c r="O101" s="6">
        <v>0</v>
      </c>
      <c r="P101" s="6">
        <v>0</v>
      </c>
      <c r="Q101" s="6">
        <v>0</v>
      </c>
    </row>
    <row r="102" spans="2:17" x14ac:dyDescent="0.25">
      <c r="B102" t="s">
        <v>2574</v>
      </c>
      <c r="D102" s="6">
        <v>0</v>
      </c>
      <c r="E102" s="6">
        <v>0</v>
      </c>
      <c r="F102" s="6">
        <v>0</v>
      </c>
      <c r="G102" s="6">
        <v>150</v>
      </c>
      <c r="I102" s="6">
        <v>0</v>
      </c>
      <c r="J102" s="6">
        <v>0</v>
      </c>
      <c r="K102" s="6">
        <v>0</v>
      </c>
      <c r="L102" s="6">
        <v>150</v>
      </c>
      <c r="N102" s="6">
        <v>0</v>
      </c>
      <c r="O102" s="6">
        <v>0</v>
      </c>
      <c r="P102" s="6">
        <v>0</v>
      </c>
      <c r="Q102" s="6">
        <v>0</v>
      </c>
    </row>
    <row r="103" spans="2:17" x14ac:dyDescent="0.25">
      <c r="B103" t="s">
        <v>2575</v>
      </c>
      <c r="D103" s="6">
        <v>0</v>
      </c>
      <c r="E103" s="6">
        <v>0</v>
      </c>
      <c r="F103" s="6">
        <v>0</v>
      </c>
      <c r="G103" s="6">
        <v>0</v>
      </c>
      <c r="I103" s="6">
        <v>0</v>
      </c>
      <c r="J103" s="6">
        <v>0</v>
      </c>
      <c r="K103" s="6">
        <v>0</v>
      </c>
      <c r="L103" s="6">
        <v>0</v>
      </c>
      <c r="N103" s="6">
        <v>0</v>
      </c>
      <c r="O103" s="6">
        <v>0</v>
      </c>
      <c r="P103" s="6">
        <v>0</v>
      </c>
      <c r="Q103" s="6">
        <v>0</v>
      </c>
    </row>
    <row r="104" spans="2:17" x14ac:dyDescent="0.25">
      <c r="B104" t="s">
        <v>2576</v>
      </c>
      <c r="D104" s="6">
        <v>0</v>
      </c>
      <c r="E104" s="6">
        <v>0</v>
      </c>
      <c r="F104" s="6">
        <v>0</v>
      </c>
      <c r="G104" s="6">
        <v>250</v>
      </c>
      <c r="I104" s="6">
        <v>0</v>
      </c>
      <c r="J104" s="6">
        <v>0</v>
      </c>
      <c r="K104" s="6">
        <v>0</v>
      </c>
      <c r="L104" s="6">
        <v>250</v>
      </c>
      <c r="N104" s="6">
        <v>0</v>
      </c>
      <c r="O104" s="6">
        <v>0</v>
      </c>
      <c r="P104" s="6">
        <v>0</v>
      </c>
      <c r="Q104" s="6">
        <v>0</v>
      </c>
    </row>
    <row r="105" spans="2:17" x14ac:dyDescent="0.25">
      <c r="B105" t="s">
        <v>2577</v>
      </c>
      <c r="D105" s="6">
        <v>0</v>
      </c>
      <c r="E105" s="6">
        <v>0</v>
      </c>
      <c r="F105" s="6">
        <v>0</v>
      </c>
      <c r="G105" s="6">
        <v>0</v>
      </c>
      <c r="I105" s="6">
        <v>0</v>
      </c>
      <c r="J105" s="6">
        <v>0</v>
      </c>
      <c r="K105" s="6">
        <v>0</v>
      </c>
      <c r="L105" s="6">
        <v>0</v>
      </c>
      <c r="N105" s="6">
        <v>0</v>
      </c>
      <c r="O105" s="6">
        <v>0</v>
      </c>
      <c r="P105" s="6">
        <v>0</v>
      </c>
      <c r="Q105" s="6">
        <v>0</v>
      </c>
    </row>
    <row r="106" spans="2:17" x14ac:dyDescent="0.25">
      <c r="B106" t="s">
        <v>2578</v>
      </c>
      <c r="D106" s="6">
        <v>0</v>
      </c>
      <c r="E106" s="6">
        <v>0</v>
      </c>
      <c r="F106" s="6">
        <v>0</v>
      </c>
      <c r="G106" s="6">
        <v>75</v>
      </c>
      <c r="I106" s="6">
        <v>0</v>
      </c>
      <c r="J106" s="6">
        <v>0</v>
      </c>
      <c r="K106" s="6">
        <v>0</v>
      </c>
      <c r="L106" s="6">
        <v>75</v>
      </c>
      <c r="N106" s="6">
        <v>0</v>
      </c>
      <c r="O106" s="6">
        <v>0</v>
      </c>
      <c r="P106" s="6">
        <v>0</v>
      </c>
      <c r="Q106" s="6">
        <v>0</v>
      </c>
    </row>
    <row r="107" spans="2:17" x14ac:dyDescent="0.25">
      <c r="B107" t="s">
        <v>2579</v>
      </c>
      <c r="D107" s="6">
        <v>0</v>
      </c>
      <c r="E107" s="6">
        <v>0</v>
      </c>
      <c r="F107" s="6">
        <v>0</v>
      </c>
      <c r="G107" s="6">
        <v>0</v>
      </c>
      <c r="I107" s="6">
        <v>0</v>
      </c>
      <c r="J107" s="6">
        <v>0</v>
      </c>
      <c r="K107" s="6">
        <v>0</v>
      </c>
      <c r="L107" s="6">
        <v>0</v>
      </c>
      <c r="N107" s="6">
        <v>0</v>
      </c>
      <c r="O107" s="6">
        <v>0</v>
      </c>
      <c r="P107" s="6">
        <v>0</v>
      </c>
      <c r="Q107" s="6">
        <v>0</v>
      </c>
    </row>
    <row r="108" spans="2:17" x14ac:dyDescent="0.25">
      <c r="B108" t="s">
        <v>2580</v>
      </c>
      <c r="D108" s="6">
        <v>0</v>
      </c>
      <c r="E108" s="6">
        <v>0</v>
      </c>
      <c r="F108" s="6">
        <v>0</v>
      </c>
      <c r="G108" s="6">
        <v>0</v>
      </c>
      <c r="I108" s="6">
        <v>0</v>
      </c>
      <c r="J108" s="6">
        <v>0</v>
      </c>
      <c r="K108" s="6">
        <v>0</v>
      </c>
      <c r="L108" s="6">
        <v>0</v>
      </c>
      <c r="N108" s="6">
        <v>0</v>
      </c>
      <c r="O108" s="6">
        <v>0</v>
      </c>
      <c r="P108" s="6">
        <v>0</v>
      </c>
      <c r="Q108" s="6">
        <v>0</v>
      </c>
    </row>
    <row r="109" spans="2:17" x14ac:dyDescent="0.25">
      <c r="B109" t="s">
        <v>2581</v>
      </c>
      <c r="D109" s="6">
        <v>0</v>
      </c>
      <c r="E109" s="6">
        <v>0</v>
      </c>
      <c r="F109" s="6">
        <v>0</v>
      </c>
      <c r="G109" s="6">
        <v>0</v>
      </c>
      <c r="I109" s="6">
        <v>0</v>
      </c>
      <c r="J109" s="6">
        <v>0</v>
      </c>
      <c r="K109" s="6">
        <v>0</v>
      </c>
      <c r="L109" s="6">
        <v>0</v>
      </c>
      <c r="N109" s="6">
        <v>0</v>
      </c>
      <c r="O109" s="6">
        <v>0</v>
      </c>
      <c r="P109" s="6">
        <v>0</v>
      </c>
      <c r="Q109" s="6">
        <v>0</v>
      </c>
    </row>
    <row r="110" spans="2:17" x14ac:dyDescent="0.25">
      <c r="B110" t="s">
        <v>2582</v>
      </c>
      <c r="D110" s="6">
        <v>0</v>
      </c>
      <c r="E110" s="6">
        <v>0</v>
      </c>
      <c r="F110" s="6">
        <v>0</v>
      </c>
      <c r="G110" s="6">
        <v>0</v>
      </c>
      <c r="I110" s="6">
        <v>0</v>
      </c>
      <c r="J110" s="6">
        <v>0</v>
      </c>
      <c r="K110" s="6">
        <v>0</v>
      </c>
      <c r="L110" s="6">
        <v>0</v>
      </c>
      <c r="N110" s="6">
        <v>0</v>
      </c>
      <c r="O110" s="6">
        <v>0</v>
      </c>
      <c r="P110" s="6">
        <v>0</v>
      </c>
      <c r="Q110" s="6">
        <v>0</v>
      </c>
    </row>
    <row r="111" spans="2:17" x14ac:dyDescent="0.25">
      <c r="B111" t="s">
        <v>2583</v>
      </c>
      <c r="D111" s="6">
        <v>0</v>
      </c>
      <c r="E111" s="6">
        <v>0</v>
      </c>
      <c r="F111" s="6">
        <v>0</v>
      </c>
      <c r="G111" s="6">
        <v>0</v>
      </c>
      <c r="I111" s="6">
        <v>0</v>
      </c>
      <c r="J111" s="6">
        <v>0</v>
      </c>
      <c r="K111" s="6">
        <v>0</v>
      </c>
      <c r="L111" s="6">
        <v>0</v>
      </c>
      <c r="N111" s="6">
        <v>0</v>
      </c>
      <c r="O111" s="6">
        <v>0</v>
      </c>
      <c r="P111" s="6">
        <v>0</v>
      </c>
      <c r="Q111" s="6">
        <v>0</v>
      </c>
    </row>
    <row r="112" spans="2:17" x14ac:dyDescent="0.25">
      <c r="B112" t="s">
        <v>2584</v>
      </c>
      <c r="D112" s="6">
        <v>0</v>
      </c>
      <c r="E112" s="6">
        <v>0</v>
      </c>
      <c r="F112" s="6">
        <v>0</v>
      </c>
      <c r="G112" s="6">
        <v>405</v>
      </c>
      <c r="I112" s="6">
        <v>0</v>
      </c>
      <c r="J112" s="6">
        <v>0</v>
      </c>
      <c r="K112" s="6">
        <v>0</v>
      </c>
      <c r="L112" s="6">
        <v>405</v>
      </c>
      <c r="N112" s="6">
        <v>0</v>
      </c>
      <c r="O112" s="6">
        <v>0</v>
      </c>
      <c r="P112" s="6">
        <v>0</v>
      </c>
      <c r="Q112" s="6">
        <v>0</v>
      </c>
    </row>
    <row r="113" spans="2:17" x14ac:dyDescent="0.25">
      <c r="B113" t="s">
        <v>2585</v>
      </c>
      <c r="D113" s="6">
        <v>0</v>
      </c>
      <c r="E113" s="6">
        <v>0</v>
      </c>
      <c r="F113" s="6">
        <v>0</v>
      </c>
      <c r="G113" s="6">
        <v>0</v>
      </c>
      <c r="I113" s="6">
        <v>0</v>
      </c>
      <c r="J113" s="6">
        <v>0</v>
      </c>
      <c r="K113" s="6">
        <v>0</v>
      </c>
      <c r="L113" s="6">
        <v>0</v>
      </c>
      <c r="N113" s="6">
        <v>0</v>
      </c>
      <c r="O113" s="6">
        <v>0</v>
      </c>
      <c r="P113" s="6">
        <v>0</v>
      </c>
      <c r="Q113" s="6">
        <v>0</v>
      </c>
    </row>
    <row r="114" spans="2:17" x14ac:dyDescent="0.25">
      <c r="B114" t="s">
        <v>2586</v>
      </c>
      <c r="D114" s="6">
        <v>0</v>
      </c>
      <c r="E114" s="6">
        <v>0</v>
      </c>
      <c r="F114" s="6">
        <v>0</v>
      </c>
      <c r="G114" s="6">
        <v>0</v>
      </c>
      <c r="I114" s="6">
        <v>0</v>
      </c>
      <c r="J114" s="6">
        <v>0</v>
      </c>
      <c r="K114" s="6">
        <v>0</v>
      </c>
      <c r="L114" s="6">
        <v>0</v>
      </c>
      <c r="N114" s="6">
        <v>0</v>
      </c>
      <c r="O114" s="6">
        <v>0</v>
      </c>
      <c r="P114" s="6">
        <v>0</v>
      </c>
      <c r="Q114" s="6">
        <v>0</v>
      </c>
    </row>
    <row r="115" spans="2:17" x14ac:dyDescent="0.25">
      <c r="B115" t="s">
        <v>2587</v>
      </c>
      <c r="D115" s="6">
        <v>0</v>
      </c>
      <c r="E115" s="6">
        <v>0</v>
      </c>
      <c r="F115" s="6">
        <v>0</v>
      </c>
      <c r="G115" s="6">
        <v>0</v>
      </c>
      <c r="I115" s="6">
        <v>0</v>
      </c>
      <c r="J115" s="6">
        <v>0</v>
      </c>
      <c r="K115" s="6">
        <v>0</v>
      </c>
      <c r="L115" s="6">
        <v>0</v>
      </c>
      <c r="N115" s="6">
        <v>0</v>
      </c>
      <c r="O115" s="6">
        <v>0</v>
      </c>
      <c r="P115" s="6">
        <v>0</v>
      </c>
      <c r="Q115" s="6">
        <v>0</v>
      </c>
    </row>
    <row r="116" spans="2:17" x14ac:dyDescent="0.25">
      <c r="B116" t="s">
        <v>2588</v>
      </c>
      <c r="D116" s="6">
        <v>0</v>
      </c>
      <c r="E116" s="6">
        <v>0</v>
      </c>
      <c r="F116" s="6">
        <v>0</v>
      </c>
      <c r="G116" s="6">
        <v>0</v>
      </c>
      <c r="I116" s="6">
        <v>0</v>
      </c>
      <c r="J116" s="6">
        <v>0</v>
      </c>
      <c r="K116" s="6">
        <v>0</v>
      </c>
      <c r="L116" s="6">
        <v>0</v>
      </c>
      <c r="N116" s="6">
        <v>0</v>
      </c>
      <c r="O116" s="6">
        <v>0</v>
      </c>
      <c r="P116" s="6">
        <v>0</v>
      </c>
      <c r="Q116" s="6">
        <v>0</v>
      </c>
    </row>
    <row r="117" spans="2:17" x14ac:dyDescent="0.25">
      <c r="B117" t="s">
        <v>2589</v>
      </c>
      <c r="D117" s="6">
        <v>0</v>
      </c>
      <c r="E117" s="6">
        <v>0</v>
      </c>
      <c r="F117" s="6">
        <v>0</v>
      </c>
      <c r="G117" s="6">
        <v>150</v>
      </c>
      <c r="I117" s="6">
        <v>0</v>
      </c>
      <c r="J117" s="6">
        <v>0</v>
      </c>
      <c r="K117" s="6">
        <v>0</v>
      </c>
      <c r="L117" s="6">
        <v>150</v>
      </c>
      <c r="N117" s="6">
        <v>0</v>
      </c>
      <c r="O117" s="6">
        <v>0</v>
      </c>
      <c r="P117" s="6">
        <v>0</v>
      </c>
      <c r="Q117" s="6">
        <v>0</v>
      </c>
    </row>
    <row r="118" spans="2:17" x14ac:dyDescent="0.25">
      <c r="B118" t="s">
        <v>2590</v>
      </c>
      <c r="D118" s="6">
        <v>0</v>
      </c>
      <c r="E118" s="6">
        <v>0</v>
      </c>
      <c r="F118" s="6">
        <v>0</v>
      </c>
      <c r="G118" s="6">
        <v>0</v>
      </c>
      <c r="I118" s="6">
        <v>0</v>
      </c>
      <c r="J118" s="6">
        <v>0</v>
      </c>
      <c r="K118" s="6">
        <v>0</v>
      </c>
      <c r="L118" s="6">
        <v>0</v>
      </c>
      <c r="N118" s="6">
        <v>0</v>
      </c>
      <c r="O118" s="6">
        <v>0</v>
      </c>
      <c r="P118" s="6">
        <v>0</v>
      </c>
      <c r="Q118" s="6">
        <v>0</v>
      </c>
    </row>
    <row r="119" spans="2:17" x14ac:dyDescent="0.25">
      <c r="B119" t="s">
        <v>2591</v>
      </c>
      <c r="D119" s="6">
        <v>0</v>
      </c>
      <c r="E119" s="6">
        <v>0</v>
      </c>
      <c r="F119" s="6">
        <v>0</v>
      </c>
      <c r="G119" s="6">
        <v>0</v>
      </c>
      <c r="I119" s="6">
        <v>0</v>
      </c>
      <c r="J119" s="6">
        <v>0</v>
      </c>
      <c r="K119" s="6">
        <v>0</v>
      </c>
      <c r="L119" s="6">
        <v>0</v>
      </c>
      <c r="N119" s="6">
        <v>0</v>
      </c>
      <c r="O119" s="6">
        <v>0</v>
      </c>
      <c r="P119" s="6">
        <v>0</v>
      </c>
      <c r="Q119" s="6">
        <v>0</v>
      </c>
    </row>
    <row r="120" spans="2:17" x14ac:dyDescent="0.25">
      <c r="B120" t="s">
        <v>2592</v>
      </c>
      <c r="D120" s="6">
        <v>0</v>
      </c>
      <c r="E120" s="6">
        <v>0</v>
      </c>
      <c r="F120" s="6">
        <v>0</v>
      </c>
      <c r="G120" s="6">
        <v>0</v>
      </c>
      <c r="I120" s="6">
        <v>0</v>
      </c>
      <c r="J120" s="6">
        <v>0</v>
      </c>
      <c r="K120" s="6">
        <v>0</v>
      </c>
      <c r="L120" s="6">
        <v>0</v>
      </c>
      <c r="N120" s="6">
        <v>0</v>
      </c>
      <c r="O120" s="6">
        <v>0</v>
      </c>
      <c r="P120" s="6">
        <v>0</v>
      </c>
      <c r="Q120" s="6">
        <v>0</v>
      </c>
    </row>
    <row r="121" spans="2:17" x14ac:dyDescent="0.25">
      <c r="B121" t="s">
        <v>2593</v>
      </c>
      <c r="D121" s="6">
        <v>0</v>
      </c>
      <c r="E121" s="6">
        <v>0</v>
      </c>
      <c r="F121" s="6">
        <v>0</v>
      </c>
      <c r="G121" s="6">
        <v>0</v>
      </c>
      <c r="I121" s="6">
        <v>0</v>
      </c>
      <c r="J121" s="6">
        <v>0</v>
      </c>
      <c r="K121" s="6">
        <v>0</v>
      </c>
      <c r="L121" s="6">
        <v>0</v>
      </c>
      <c r="N121" s="6">
        <v>0</v>
      </c>
      <c r="O121" s="6">
        <v>0</v>
      </c>
      <c r="P121" s="6">
        <v>0</v>
      </c>
      <c r="Q121" s="6">
        <v>0</v>
      </c>
    </row>
    <row r="122" spans="2:17" x14ac:dyDescent="0.25">
      <c r="B122" t="s">
        <v>2594</v>
      </c>
      <c r="D122" s="6">
        <v>0</v>
      </c>
      <c r="E122" s="6">
        <v>0</v>
      </c>
      <c r="F122" s="6">
        <v>0</v>
      </c>
      <c r="G122" s="6">
        <v>50</v>
      </c>
      <c r="I122" s="6">
        <v>0</v>
      </c>
      <c r="J122" s="6">
        <v>0</v>
      </c>
      <c r="K122" s="6">
        <v>0</v>
      </c>
      <c r="L122" s="6">
        <v>50</v>
      </c>
      <c r="N122" s="6">
        <v>0</v>
      </c>
      <c r="O122" s="6">
        <v>0</v>
      </c>
      <c r="P122" s="6">
        <v>0</v>
      </c>
      <c r="Q122" s="6">
        <v>0</v>
      </c>
    </row>
    <row r="123" spans="2:17" x14ac:dyDescent="0.25">
      <c r="B123" t="s">
        <v>2595</v>
      </c>
      <c r="D123" s="6">
        <v>0</v>
      </c>
      <c r="E123" s="6">
        <v>0</v>
      </c>
      <c r="F123" s="6">
        <v>0</v>
      </c>
      <c r="G123" s="6">
        <v>150</v>
      </c>
      <c r="I123" s="6">
        <v>0</v>
      </c>
      <c r="J123" s="6">
        <v>0</v>
      </c>
      <c r="K123" s="6">
        <v>0</v>
      </c>
      <c r="L123" s="6">
        <v>150</v>
      </c>
      <c r="N123" s="6">
        <v>0</v>
      </c>
      <c r="O123" s="6">
        <v>0</v>
      </c>
      <c r="P123" s="6">
        <v>0</v>
      </c>
      <c r="Q123" s="6">
        <v>0</v>
      </c>
    </row>
    <row r="124" spans="2:17" x14ac:dyDescent="0.25">
      <c r="B124" t="s">
        <v>2596</v>
      </c>
      <c r="D124" s="6">
        <v>0</v>
      </c>
      <c r="E124" s="6">
        <v>0</v>
      </c>
      <c r="F124" s="6">
        <v>0</v>
      </c>
      <c r="G124" s="6">
        <v>0</v>
      </c>
      <c r="I124" s="6">
        <v>0</v>
      </c>
      <c r="J124" s="6">
        <v>0</v>
      </c>
      <c r="K124" s="6">
        <v>0</v>
      </c>
      <c r="L124" s="6">
        <v>0</v>
      </c>
      <c r="N124" s="6">
        <v>0</v>
      </c>
      <c r="O124" s="6">
        <v>0</v>
      </c>
      <c r="P124" s="6">
        <v>0</v>
      </c>
      <c r="Q124" s="6">
        <v>0</v>
      </c>
    </row>
    <row r="125" spans="2:17" x14ac:dyDescent="0.25">
      <c r="B125" t="s">
        <v>2597</v>
      </c>
      <c r="D125" s="6">
        <v>0</v>
      </c>
      <c r="E125" s="6">
        <v>0</v>
      </c>
      <c r="F125" s="6">
        <v>0</v>
      </c>
      <c r="G125" s="6">
        <v>0</v>
      </c>
      <c r="I125" s="6">
        <v>0</v>
      </c>
      <c r="J125" s="6">
        <v>0</v>
      </c>
      <c r="K125" s="6">
        <v>0</v>
      </c>
      <c r="L125" s="6">
        <v>0</v>
      </c>
      <c r="N125" s="6">
        <v>0</v>
      </c>
      <c r="O125" s="6">
        <v>0</v>
      </c>
      <c r="P125" s="6">
        <v>0</v>
      </c>
      <c r="Q125" s="6">
        <v>0</v>
      </c>
    </row>
    <row r="126" spans="2:17" x14ac:dyDescent="0.25">
      <c r="B126" t="s">
        <v>2598</v>
      </c>
      <c r="D126" s="6">
        <v>0</v>
      </c>
      <c r="E126" s="6">
        <v>0</v>
      </c>
      <c r="F126" s="6">
        <v>0</v>
      </c>
      <c r="G126" s="6">
        <v>0</v>
      </c>
      <c r="I126" s="6">
        <v>0</v>
      </c>
      <c r="J126" s="6">
        <v>0</v>
      </c>
      <c r="K126" s="6">
        <v>0</v>
      </c>
      <c r="L126" s="6">
        <v>0</v>
      </c>
      <c r="N126" s="6">
        <v>0</v>
      </c>
      <c r="O126" s="6">
        <v>0</v>
      </c>
      <c r="P126" s="6">
        <v>0</v>
      </c>
      <c r="Q126" s="6">
        <v>0</v>
      </c>
    </row>
    <row r="127" spans="2:17" x14ac:dyDescent="0.25">
      <c r="B127" t="s">
        <v>2599</v>
      </c>
      <c r="D127" s="6">
        <v>0</v>
      </c>
      <c r="E127" s="6">
        <v>0</v>
      </c>
      <c r="F127" s="6">
        <v>0</v>
      </c>
      <c r="G127" s="6">
        <v>100</v>
      </c>
      <c r="I127" s="6">
        <v>0</v>
      </c>
      <c r="J127" s="6">
        <v>0</v>
      </c>
      <c r="K127" s="6">
        <v>0</v>
      </c>
      <c r="L127" s="6">
        <v>100</v>
      </c>
      <c r="N127" s="6">
        <v>0</v>
      </c>
      <c r="O127" s="6">
        <v>0</v>
      </c>
      <c r="P127" s="6">
        <v>0</v>
      </c>
      <c r="Q127" s="6">
        <v>0</v>
      </c>
    </row>
    <row r="128" spans="2:17" x14ac:dyDescent="0.25">
      <c r="B128" t="s">
        <v>2600</v>
      </c>
      <c r="D128" s="6">
        <v>0</v>
      </c>
      <c r="E128" s="6">
        <v>0</v>
      </c>
      <c r="F128" s="6">
        <v>0</v>
      </c>
      <c r="G128" s="6">
        <v>100</v>
      </c>
      <c r="I128" s="6">
        <v>0</v>
      </c>
      <c r="J128" s="6">
        <v>0</v>
      </c>
      <c r="K128" s="6">
        <v>0</v>
      </c>
      <c r="L128" s="6">
        <v>100</v>
      </c>
      <c r="N128" s="6">
        <v>0</v>
      </c>
      <c r="O128" s="6">
        <v>0</v>
      </c>
      <c r="P128" s="6">
        <v>0</v>
      </c>
      <c r="Q128" s="6">
        <v>0</v>
      </c>
    </row>
    <row r="129" spans="2:17" x14ac:dyDescent="0.25">
      <c r="B129" t="s">
        <v>2601</v>
      </c>
      <c r="D129" s="6">
        <v>0</v>
      </c>
      <c r="E129" s="6">
        <v>0</v>
      </c>
      <c r="F129" s="6">
        <v>0</v>
      </c>
      <c r="G129" s="6">
        <v>0</v>
      </c>
      <c r="I129" s="6">
        <v>0</v>
      </c>
      <c r="J129" s="6">
        <v>0</v>
      </c>
      <c r="K129" s="6">
        <v>0</v>
      </c>
      <c r="L129" s="6">
        <v>0</v>
      </c>
      <c r="N129" s="6">
        <v>0</v>
      </c>
      <c r="O129" s="6">
        <v>0</v>
      </c>
      <c r="P129" s="6">
        <v>0</v>
      </c>
      <c r="Q129" s="6">
        <v>0</v>
      </c>
    </row>
    <row r="130" spans="2:17" x14ac:dyDescent="0.25">
      <c r="B130" t="s">
        <v>2602</v>
      </c>
      <c r="D130" s="6">
        <v>0</v>
      </c>
      <c r="E130" s="6">
        <v>0</v>
      </c>
      <c r="F130" s="6">
        <v>0</v>
      </c>
      <c r="G130" s="6">
        <v>0</v>
      </c>
      <c r="I130" s="6">
        <v>0</v>
      </c>
      <c r="J130" s="6">
        <v>0</v>
      </c>
      <c r="K130" s="6">
        <v>0</v>
      </c>
      <c r="L130" s="6">
        <v>0</v>
      </c>
      <c r="N130" s="6">
        <v>0</v>
      </c>
      <c r="O130" s="6">
        <v>0</v>
      </c>
      <c r="P130" s="6">
        <v>0</v>
      </c>
      <c r="Q130" s="6">
        <v>0</v>
      </c>
    </row>
    <row r="131" spans="2:17" x14ac:dyDescent="0.25">
      <c r="B131" t="s">
        <v>2603</v>
      </c>
      <c r="D131" s="6">
        <v>0</v>
      </c>
      <c r="E131" s="6">
        <v>0</v>
      </c>
      <c r="F131" s="6">
        <v>0</v>
      </c>
      <c r="G131" s="6">
        <v>0</v>
      </c>
      <c r="I131" s="6">
        <v>0</v>
      </c>
      <c r="J131" s="6">
        <v>0</v>
      </c>
      <c r="K131" s="6">
        <v>0</v>
      </c>
      <c r="L131" s="6">
        <v>0</v>
      </c>
      <c r="N131" s="6">
        <v>0</v>
      </c>
      <c r="O131" s="6">
        <v>0</v>
      </c>
      <c r="P131" s="6">
        <v>0</v>
      </c>
      <c r="Q131" s="6">
        <v>0</v>
      </c>
    </row>
    <row r="132" spans="2:17" x14ac:dyDescent="0.25">
      <c r="B132" t="s">
        <v>2604</v>
      </c>
      <c r="D132" s="6">
        <v>0</v>
      </c>
      <c r="E132" s="6">
        <v>0</v>
      </c>
      <c r="F132" s="6">
        <v>0</v>
      </c>
      <c r="G132" s="6">
        <v>0</v>
      </c>
      <c r="I132" s="6">
        <v>0</v>
      </c>
      <c r="J132" s="6">
        <v>0</v>
      </c>
      <c r="K132" s="6">
        <v>0</v>
      </c>
      <c r="L132" s="6">
        <v>0</v>
      </c>
      <c r="N132" s="6">
        <v>0</v>
      </c>
      <c r="O132" s="6">
        <v>0</v>
      </c>
      <c r="P132" s="6">
        <v>0</v>
      </c>
      <c r="Q132" s="6">
        <v>0</v>
      </c>
    </row>
    <row r="133" spans="2:17" x14ac:dyDescent="0.25">
      <c r="B133" t="s">
        <v>2605</v>
      </c>
      <c r="D133" s="6">
        <v>0</v>
      </c>
      <c r="E133" s="6">
        <v>0</v>
      </c>
      <c r="F133" s="6">
        <v>0</v>
      </c>
      <c r="G133" s="6">
        <v>250</v>
      </c>
      <c r="I133" s="6">
        <v>0</v>
      </c>
      <c r="J133" s="6">
        <v>0</v>
      </c>
      <c r="K133" s="6">
        <v>0</v>
      </c>
      <c r="L133" s="6">
        <v>250</v>
      </c>
      <c r="N133" s="6">
        <v>0</v>
      </c>
      <c r="O133" s="6">
        <v>0</v>
      </c>
      <c r="P133" s="6">
        <v>0</v>
      </c>
      <c r="Q133" s="6">
        <v>0</v>
      </c>
    </row>
    <row r="134" spans="2:17" x14ac:dyDescent="0.25">
      <c r="B134" t="s">
        <v>2606</v>
      </c>
      <c r="D134" s="6">
        <v>0</v>
      </c>
      <c r="E134" s="6">
        <v>0</v>
      </c>
      <c r="F134" s="6">
        <v>0</v>
      </c>
      <c r="G134" s="6">
        <v>350</v>
      </c>
      <c r="I134" s="6">
        <v>0</v>
      </c>
      <c r="J134" s="6">
        <v>5000</v>
      </c>
      <c r="K134" s="6">
        <v>0</v>
      </c>
      <c r="L134" s="6">
        <v>350</v>
      </c>
      <c r="N134" s="6">
        <v>0</v>
      </c>
      <c r="O134" s="6">
        <v>-5000</v>
      </c>
      <c r="P134" s="6">
        <v>0</v>
      </c>
      <c r="Q134" s="6">
        <v>0</v>
      </c>
    </row>
    <row r="135" spans="2:17" x14ac:dyDescent="0.25">
      <c r="B135" t="s">
        <v>2607</v>
      </c>
      <c r="D135" s="6">
        <v>0</v>
      </c>
      <c r="E135" s="6">
        <v>0</v>
      </c>
      <c r="F135" s="6">
        <v>0</v>
      </c>
      <c r="G135" s="6">
        <v>310</v>
      </c>
      <c r="I135" s="6">
        <v>0</v>
      </c>
      <c r="J135" s="6">
        <v>0</v>
      </c>
      <c r="K135" s="6">
        <v>0</v>
      </c>
      <c r="L135" s="6">
        <v>310</v>
      </c>
      <c r="N135" s="6">
        <v>0</v>
      </c>
      <c r="O135" s="6">
        <v>0</v>
      </c>
      <c r="P135" s="6">
        <v>0</v>
      </c>
      <c r="Q135" s="6">
        <v>0</v>
      </c>
    </row>
    <row r="136" spans="2:17" x14ac:dyDescent="0.25">
      <c r="B136" t="s">
        <v>2608</v>
      </c>
      <c r="D136" s="6">
        <v>0</v>
      </c>
      <c r="E136" s="6">
        <v>0</v>
      </c>
      <c r="F136" s="6">
        <v>0</v>
      </c>
      <c r="G136" s="6">
        <v>0</v>
      </c>
      <c r="I136" s="6">
        <v>0</v>
      </c>
      <c r="J136" s="6">
        <v>0</v>
      </c>
      <c r="K136" s="6">
        <v>0</v>
      </c>
      <c r="L136" s="6">
        <v>0</v>
      </c>
      <c r="N136" s="6">
        <v>0</v>
      </c>
      <c r="O136" s="6">
        <v>0</v>
      </c>
      <c r="P136" s="6">
        <v>0</v>
      </c>
      <c r="Q136" s="6">
        <v>0</v>
      </c>
    </row>
    <row r="137" spans="2:17" x14ac:dyDescent="0.25">
      <c r="B137" t="s">
        <v>2609</v>
      </c>
      <c r="D137" s="6">
        <v>0</v>
      </c>
      <c r="E137" s="6">
        <v>3000</v>
      </c>
      <c r="F137" s="6">
        <v>0</v>
      </c>
      <c r="G137" s="6">
        <v>100</v>
      </c>
      <c r="I137" s="6">
        <v>0</v>
      </c>
      <c r="J137" s="6">
        <v>0</v>
      </c>
      <c r="K137" s="6">
        <v>0</v>
      </c>
      <c r="L137" s="6">
        <v>0</v>
      </c>
      <c r="N137" s="6">
        <v>0</v>
      </c>
      <c r="O137" s="6">
        <v>3000</v>
      </c>
      <c r="P137" s="6">
        <v>0</v>
      </c>
      <c r="Q137" s="6">
        <v>100</v>
      </c>
    </row>
    <row r="138" spans="2:17" x14ac:dyDescent="0.25">
      <c r="B138" t="s">
        <v>2610</v>
      </c>
      <c r="D138" s="6">
        <v>0</v>
      </c>
      <c r="E138" s="6">
        <v>0</v>
      </c>
      <c r="F138" s="6">
        <v>1880</v>
      </c>
      <c r="G138" s="6">
        <v>0</v>
      </c>
      <c r="I138" s="6">
        <v>0</v>
      </c>
      <c r="J138" s="6">
        <v>0</v>
      </c>
      <c r="K138" s="6">
        <v>1880</v>
      </c>
      <c r="L138" s="6">
        <v>0</v>
      </c>
      <c r="N138" s="6">
        <v>0</v>
      </c>
      <c r="O138" s="6">
        <v>0</v>
      </c>
      <c r="P138" s="6">
        <v>0</v>
      </c>
      <c r="Q138" s="6">
        <v>0</v>
      </c>
    </row>
    <row r="139" spans="2:17" x14ac:dyDescent="0.25">
      <c r="B139" t="s">
        <v>2611</v>
      </c>
      <c r="D139" s="6">
        <v>0</v>
      </c>
      <c r="E139" s="6">
        <v>0</v>
      </c>
      <c r="F139" s="6">
        <v>0</v>
      </c>
      <c r="G139" s="6">
        <v>200</v>
      </c>
      <c r="I139" s="6">
        <v>0</v>
      </c>
      <c r="J139" s="6">
        <v>0</v>
      </c>
      <c r="K139" s="6">
        <v>0</v>
      </c>
      <c r="L139" s="6">
        <v>200</v>
      </c>
      <c r="N139" s="6">
        <v>0</v>
      </c>
      <c r="O139" s="6">
        <v>0</v>
      </c>
      <c r="P139" s="6">
        <v>0</v>
      </c>
      <c r="Q139" s="6">
        <v>0</v>
      </c>
    </row>
    <row r="140" spans="2:17" x14ac:dyDescent="0.25">
      <c r="B140" t="s">
        <v>2612</v>
      </c>
      <c r="D140" s="6">
        <v>0</v>
      </c>
      <c r="E140" s="6">
        <v>14167.5</v>
      </c>
      <c r="F140" s="6">
        <v>0</v>
      </c>
      <c r="G140" s="6">
        <v>3582</v>
      </c>
      <c r="I140" s="6">
        <v>0</v>
      </c>
      <c r="J140" s="6">
        <v>14167.5</v>
      </c>
      <c r="K140" s="6">
        <v>0</v>
      </c>
      <c r="L140" s="6">
        <v>3582</v>
      </c>
      <c r="N140" s="6">
        <v>0</v>
      </c>
      <c r="O140" s="6">
        <v>0</v>
      </c>
      <c r="P140" s="6">
        <v>0</v>
      </c>
      <c r="Q140" s="6">
        <v>0</v>
      </c>
    </row>
    <row r="141" spans="2:17" x14ac:dyDescent="0.25">
      <c r="B141" t="s">
        <v>2613</v>
      </c>
      <c r="D141" s="6">
        <v>0</v>
      </c>
      <c r="E141" s="6">
        <v>6000</v>
      </c>
      <c r="F141" s="6">
        <v>0</v>
      </c>
      <c r="G141" s="6">
        <v>2000</v>
      </c>
      <c r="I141" s="6">
        <v>0</v>
      </c>
      <c r="J141" s="6">
        <v>6000</v>
      </c>
      <c r="K141" s="6">
        <v>0</v>
      </c>
      <c r="L141" s="6">
        <v>2000</v>
      </c>
      <c r="N141" s="6">
        <v>0</v>
      </c>
      <c r="O141" s="6">
        <v>0</v>
      </c>
      <c r="P141" s="6">
        <v>0</v>
      </c>
      <c r="Q141" s="6">
        <v>0</v>
      </c>
    </row>
    <row r="142" spans="2:17" x14ac:dyDescent="0.25">
      <c r="B142" t="s">
        <v>2614</v>
      </c>
      <c r="D142" s="6">
        <v>0</v>
      </c>
      <c r="E142" s="6">
        <v>28500</v>
      </c>
      <c r="F142" s="6">
        <v>0</v>
      </c>
      <c r="G142" s="6">
        <v>0</v>
      </c>
      <c r="I142" s="6">
        <v>0</v>
      </c>
      <c r="J142" s="6">
        <v>28500</v>
      </c>
      <c r="K142" s="6">
        <v>0</v>
      </c>
      <c r="L142" s="6">
        <v>0</v>
      </c>
      <c r="N142" s="6">
        <v>0</v>
      </c>
      <c r="O142" s="6">
        <v>0</v>
      </c>
      <c r="P142" s="6">
        <v>0</v>
      </c>
      <c r="Q142" s="6">
        <v>0</v>
      </c>
    </row>
    <row r="143" spans="2:17" x14ac:dyDescent="0.25">
      <c r="B143" t="s">
        <v>2615</v>
      </c>
      <c r="D143" s="6">
        <v>0</v>
      </c>
      <c r="E143" s="6">
        <v>0</v>
      </c>
      <c r="F143" s="6">
        <v>0</v>
      </c>
      <c r="G143" s="6">
        <v>802.5</v>
      </c>
      <c r="I143" s="6">
        <v>0</v>
      </c>
      <c r="J143" s="6">
        <v>0</v>
      </c>
      <c r="K143" s="6">
        <v>0</v>
      </c>
      <c r="L143" s="6">
        <v>802.5</v>
      </c>
      <c r="N143" s="6">
        <v>0</v>
      </c>
      <c r="O143" s="6">
        <v>0</v>
      </c>
      <c r="P143" s="6">
        <v>0</v>
      </c>
      <c r="Q143" s="6">
        <v>0</v>
      </c>
    </row>
    <row r="144" spans="2:17" x14ac:dyDescent="0.25">
      <c r="B144" t="s">
        <v>2616</v>
      </c>
      <c r="D144" s="6">
        <v>0</v>
      </c>
      <c r="E144" s="6">
        <v>0</v>
      </c>
      <c r="F144" s="6">
        <v>0</v>
      </c>
      <c r="G144" s="6">
        <v>802.5</v>
      </c>
      <c r="I144" s="6">
        <v>0</v>
      </c>
      <c r="J144" s="6">
        <v>0</v>
      </c>
      <c r="K144" s="6">
        <v>0</v>
      </c>
      <c r="L144" s="6">
        <v>802.5</v>
      </c>
      <c r="N144" s="6">
        <v>0</v>
      </c>
      <c r="O144" s="6">
        <v>0</v>
      </c>
      <c r="P144" s="6">
        <v>0</v>
      </c>
      <c r="Q144" s="6">
        <v>0</v>
      </c>
    </row>
    <row r="145" spans="2:17" x14ac:dyDescent="0.25">
      <c r="B145" t="s">
        <v>2617</v>
      </c>
      <c r="D145" s="6">
        <v>0</v>
      </c>
      <c r="E145" s="6">
        <v>12500</v>
      </c>
      <c r="F145" s="6">
        <v>0</v>
      </c>
      <c r="G145" s="6">
        <v>0</v>
      </c>
      <c r="I145" s="6">
        <v>0</v>
      </c>
      <c r="J145" s="6">
        <v>12500</v>
      </c>
      <c r="K145" s="6">
        <v>0</v>
      </c>
      <c r="L145" s="6">
        <v>0</v>
      </c>
      <c r="N145" s="6">
        <v>0</v>
      </c>
      <c r="O145" s="6">
        <v>0</v>
      </c>
      <c r="P145" s="6">
        <v>0</v>
      </c>
      <c r="Q145" s="6">
        <v>0</v>
      </c>
    </row>
    <row r="146" spans="2:17" x14ac:dyDescent="0.25">
      <c r="B146" t="s">
        <v>2618</v>
      </c>
      <c r="D146" s="6">
        <v>0</v>
      </c>
      <c r="E146" s="6">
        <v>3600</v>
      </c>
      <c r="F146" s="6">
        <v>0</v>
      </c>
      <c r="G146" s="6">
        <v>0</v>
      </c>
      <c r="I146" s="6">
        <v>0</v>
      </c>
      <c r="J146" s="6">
        <v>3600</v>
      </c>
      <c r="K146" s="6">
        <v>0</v>
      </c>
      <c r="L146" s="6">
        <v>0</v>
      </c>
      <c r="N146" s="6">
        <v>0</v>
      </c>
      <c r="O146" s="6">
        <v>0</v>
      </c>
      <c r="P146" s="6">
        <v>0</v>
      </c>
      <c r="Q146" s="6">
        <v>0</v>
      </c>
    </row>
    <row r="147" spans="2:17" x14ac:dyDescent="0.25">
      <c r="B147" t="s">
        <v>2619</v>
      </c>
      <c r="D147" s="6">
        <v>0</v>
      </c>
      <c r="E147" s="6">
        <v>0</v>
      </c>
      <c r="F147" s="6">
        <v>0</v>
      </c>
      <c r="G147" s="6">
        <v>1000</v>
      </c>
      <c r="I147" s="6">
        <v>0</v>
      </c>
      <c r="J147" s="6">
        <v>0</v>
      </c>
      <c r="K147" s="6">
        <v>0</v>
      </c>
      <c r="L147" s="6">
        <v>1000</v>
      </c>
      <c r="N147" s="6">
        <v>0</v>
      </c>
      <c r="O147" s="6">
        <v>0</v>
      </c>
      <c r="P147" s="6">
        <v>0</v>
      </c>
      <c r="Q147" s="6">
        <v>0</v>
      </c>
    </row>
    <row r="148" spans="2:17" x14ac:dyDescent="0.25">
      <c r="B148" t="s">
        <v>2620</v>
      </c>
      <c r="D148" s="6">
        <v>0</v>
      </c>
      <c r="E148" s="6">
        <v>0</v>
      </c>
      <c r="F148" s="6">
        <v>0</v>
      </c>
      <c r="G148" s="6">
        <v>500</v>
      </c>
      <c r="I148" s="6">
        <v>0</v>
      </c>
      <c r="J148" s="6">
        <v>0</v>
      </c>
      <c r="K148" s="6">
        <v>0</v>
      </c>
      <c r="L148" s="6">
        <v>500</v>
      </c>
      <c r="N148" s="6">
        <v>0</v>
      </c>
      <c r="O148" s="6">
        <v>0</v>
      </c>
      <c r="P148" s="6">
        <v>0</v>
      </c>
      <c r="Q148" s="6">
        <v>0</v>
      </c>
    </row>
    <row r="149" spans="2:17" x14ac:dyDescent="0.25">
      <c r="B149" t="s">
        <v>2621</v>
      </c>
      <c r="D149" s="6">
        <v>0</v>
      </c>
      <c r="E149" s="6">
        <v>0</v>
      </c>
      <c r="F149" s="6">
        <v>0</v>
      </c>
      <c r="G149" s="6">
        <v>1000</v>
      </c>
      <c r="I149" s="6">
        <v>0</v>
      </c>
      <c r="J149" s="6">
        <v>0</v>
      </c>
      <c r="K149" s="6">
        <v>0</v>
      </c>
      <c r="L149" s="6">
        <v>1000</v>
      </c>
      <c r="N149" s="6">
        <v>0</v>
      </c>
      <c r="O149" s="6">
        <v>0</v>
      </c>
      <c r="P149" s="6">
        <v>0</v>
      </c>
      <c r="Q149" s="6">
        <v>0</v>
      </c>
    </row>
    <row r="150" spans="2:17" x14ac:dyDescent="0.25">
      <c r="B150" t="s">
        <v>2622</v>
      </c>
      <c r="D150" s="6">
        <v>0</v>
      </c>
      <c r="E150" s="6">
        <v>0</v>
      </c>
      <c r="F150" s="6">
        <v>0</v>
      </c>
      <c r="G150" s="6">
        <v>1249</v>
      </c>
      <c r="I150" s="6">
        <v>0</v>
      </c>
      <c r="J150" s="6">
        <v>0</v>
      </c>
      <c r="K150" s="6">
        <v>0</v>
      </c>
      <c r="L150" s="6">
        <v>1249</v>
      </c>
      <c r="N150" s="6">
        <v>0</v>
      </c>
      <c r="O150" s="6">
        <v>0</v>
      </c>
      <c r="P150" s="6">
        <v>0</v>
      </c>
      <c r="Q150" s="6">
        <v>0</v>
      </c>
    </row>
    <row r="151" spans="2:17" x14ac:dyDescent="0.25">
      <c r="B151" t="s">
        <v>2623</v>
      </c>
      <c r="D151" s="6">
        <v>0</v>
      </c>
      <c r="E151" s="6">
        <v>5500</v>
      </c>
      <c r="F151" s="6">
        <v>0</v>
      </c>
      <c r="G151" s="6">
        <v>665</v>
      </c>
      <c r="I151" s="6">
        <v>0</v>
      </c>
      <c r="J151" s="6">
        <v>5500</v>
      </c>
      <c r="K151" s="6">
        <v>0</v>
      </c>
      <c r="L151" s="6">
        <v>665</v>
      </c>
      <c r="N151" s="6">
        <v>0</v>
      </c>
      <c r="O151" s="6">
        <v>0</v>
      </c>
      <c r="P151" s="6">
        <v>0</v>
      </c>
      <c r="Q151" s="6">
        <v>0</v>
      </c>
    </row>
    <row r="152" spans="2:17" x14ac:dyDescent="0.25">
      <c r="B152" t="s">
        <v>2624</v>
      </c>
      <c r="D152" s="6">
        <v>0</v>
      </c>
      <c r="E152" s="6">
        <v>0</v>
      </c>
      <c r="F152" s="6">
        <v>0</v>
      </c>
      <c r="G152" s="6">
        <v>79.000000000000014</v>
      </c>
      <c r="I152" s="6">
        <v>0</v>
      </c>
      <c r="J152" s="6">
        <v>0</v>
      </c>
      <c r="K152" s="6">
        <v>0</v>
      </c>
      <c r="L152" s="6">
        <v>79.000000000000014</v>
      </c>
      <c r="N152" s="6">
        <v>0</v>
      </c>
      <c r="O152" s="6">
        <v>0</v>
      </c>
      <c r="P152" s="6">
        <v>0</v>
      </c>
      <c r="Q152" s="6">
        <v>0</v>
      </c>
    </row>
    <row r="153" spans="2:17" x14ac:dyDescent="0.25">
      <c r="B153" t="s">
        <v>2625</v>
      </c>
      <c r="D153" s="6">
        <v>0</v>
      </c>
      <c r="E153" s="6">
        <v>0</v>
      </c>
      <c r="F153" s="6">
        <v>0</v>
      </c>
      <c r="G153" s="6">
        <v>79.000000000000014</v>
      </c>
      <c r="I153" s="6">
        <v>0</v>
      </c>
      <c r="J153" s="6">
        <v>0</v>
      </c>
      <c r="K153" s="6">
        <v>0</v>
      </c>
      <c r="L153" s="6">
        <v>79.000000000000014</v>
      </c>
      <c r="N153" s="6">
        <v>0</v>
      </c>
      <c r="O153" s="6">
        <v>0</v>
      </c>
      <c r="P153" s="6">
        <v>0</v>
      </c>
      <c r="Q153" s="6">
        <v>0</v>
      </c>
    </row>
    <row r="154" spans="2:17" x14ac:dyDescent="0.25">
      <c r="B154" t="s">
        <v>2626</v>
      </c>
      <c r="D154" s="6">
        <v>0</v>
      </c>
      <c r="E154" s="6">
        <v>0</v>
      </c>
      <c r="F154" s="6">
        <v>0</v>
      </c>
      <c r="G154" s="6">
        <v>79.000000000000014</v>
      </c>
      <c r="I154" s="6">
        <v>0</v>
      </c>
      <c r="J154" s="6">
        <v>0</v>
      </c>
      <c r="K154" s="6">
        <v>0</v>
      </c>
      <c r="L154" s="6">
        <v>79.000000000000014</v>
      </c>
      <c r="N154" s="6">
        <v>0</v>
      </c>
      <c r="O154" s="6">
        <v>0</v>
      </c>
      <c r="P154" s="6">
        <v>0</v>
      </c>
      <c r="Q154" s="6">
        <v>0</v>
      </c>
    </row>
    <row r="155" spans="2:17" x14ac:dyDescent="0.25">
      <c r="B155" t="s">
        <v>2627</v>
      </c>
      <c r="D155" s="6">
        <v>0</v>
      </c>
      <c r="E155" s="6">
        <v>0</v>
      </c>
      <c r="F155" s="6">
        <v>0</v>
      </c>
      <c r="G155" s="6">
        <v>79.000000000000014</v>
      </c>
      <c r="I155" s="6">
        <v>0</v>
      </c>
      <c r="J155" s="6">
        <v>0</v>
      </c>
      <c r="K155" s="6">
        <v>0</v>
      </c>
      <c r="L155" s="6">
        <v>79.000000000000014</v>
      </c>
      <c r="N155" s="6">
        <v>0</v>
      </c>
      <c r="O155" s="6">
        <v>0</v>
      </c>
      <c r="P155" s="6">
        <v>0</v>
      </c>
      <c r="Q155" s="6">
        <v>0</v>
      </c>
    </row>
    <row r="156" spans="2:17" x14ac:dyDescent="0.25">
      <c r="B156" t="s">
        <v>2628</v>
      </c>
      <c r="D156" s="6">
        <v>0</v>
      </c>
      <c r="E156" s="6">
        <v>0</v>
      </c>
      <c r="F156" s="6">
        <v>0</v>
      </c>
      <c r="G156" s="6">
        <v>139</v>
      </c>
      <c r="I156" s="6">
        <v>0</v>
      </c>
      <c r="J156" s="6">
        <v>0</v>
      </c>
      <c r="K156" s="6">
        <v>0</v>
      </c>
      <c r="L156" s="6">
        <v>139</v>
      </c>
      <c r="N156" s="6">
        <v>0</v>
      </c>
      <c r="O156" s="6">
        <v>0</v>
      </c>
      <c r="P156" s="6">
        <v>0</v>
      </c>
      <c r="Q156" s="6">
        <v>0</v>
      </c>
    </row>
    <row r="157" spans="2:17" x14ac:dyDescent="0.25">
      <c r="B157" t="s">
        <v>2629</v>
      </c>
      <c r="D157" s="6">
        <v>0</v>
      </c>
      <c r="E157" s="6">
        <v>0</v>
      </c>
      <c r="F157" s="6">
        <v>0</v>
      </c>
      <c r="G157" s="6">
        <v>154</v>
      </c>
      <c r="I157" s="6">
        <v>0</v>
      </c>
      <c r="J157" s="6">
        <v>0</v>
      </c>
      <c r="K157" s="6">
        <v>0</v>
      </c>
      <c r="L157" s="6">
        <v>154</v>
      </c>
      <c r="N157" s="6">
        <v>0</v>
      </c>
      <c r="O157" s="6">
        <v>0</v>
      </c>
      <c r="P157" s="6">
        <v>0</v>
      </c>
      <c r="Q157" s="6">
        <v>0</v>
      </c>
    </row>
    <row r="158" spans="2:17" x14ac:dyDescent="0.25">
      <c r="B158" t="s">
        <v>2630</v>
      </c>
      <c r="D158" s="6">
        <v>0</v>
      </c>
      <c r="E158" s="6">
        <v>0</v>
      </c>
      <c r="F158" s="6">
        <v>4940</v>
      </c>
      <c r="G158" s="6">
        <v>0</v>
      </c>
      <c r="I158" s="6">
        <v>0</v>
      </c>
      <c r="J158" s="6">
        <v>0</v>
      </c>
      <c r="K158" s="6">
        <v>4940</v>
      </c>
      <c r="L158" s="6">
        <v>0</v>
      </c>
      <c r="N158" s="6">
        <v>0</v>
      </c>
      <c r="O158" s="6">
        <v>0</v>
      </c>
      <c r="P158" s="6">
        <v>0</v>
      </c>
      <c r="Q158" s="6">
        <v>0</v>
      </c>
    </row>
    <row r="159" spans="2:17" x14ac:dyDescent="0.25">
      <c r="B159" t="s">
        <v>2631</v>
      </c>
      <c r="D159" s="6">
        <v>0</v>
      </c>
      <c r="E159" s="6">
        <v>30000</v>
      </c>
      <c r="F159" s="6">
        <v>0</v>
      </c>
      <c r="G159" s="6">
        <v>0</v>
      </c>
      <c r="I159" s="6">
        <v>0</v>
      </c>
      <c r="J159" s="6">
        <v>30000</v>
      </c>
      <c r="K159" s="6">
        <v>0</v>
      </c>
      <c r="L159" s="6">
        <v>0</v>
      </c>
      <c r="N159" s="6">
        <v>0</v>
      </c>
      <c r="O159" s="6">
        <v>0</v>
      </c>
      <c r="P159" s="6">
        <v>0</v>
      </c>
      <c r="Q159" s="6">
        <v>0</v>
      </c>
    </row>
    <row r="160" spans="2:17" x14ac:dyDescent="0.25">
      <c r="B160" t="s">
        <v>2632</v>
      </c>
      <c r="D160" s="6">
        <v>0</v>
      </c>
      <c r="E160" s="6">
        <v>5000</v>
      </c>
      <c r="F160" s="6">
        <v>0</v>
      </c>
      <c r="G160" s="6">
        <v>0</v>
      </c>
      <c r="I160" s="6">
        <v>0</v>
      </c>
      <c r="J160" s="6">
        <v>5000</v>
      </c>
      <c r="K160" s="6">
        <v>0</v>
      </c>
      <c r="L160" s="6">
        <v>0</v>
      </c>
      <c r="N160" s="6">
        <v>0</v>
      </c>
      <c r="O160" s="6">
        <v>0</v>
      </c>
      <c r="P160" s="6">
        <v>0</v>
      </c>
      <c r="Q160" s="6">
        <v>0</v>
      </c>
    </row>
    <row r="161" spans="2:17" x14ac:dyDescent="0.25">
      <c r="B161" t="s">
        <v>2633</v>
      </c>
      <c r="D161" s="6">
        <v>0</v>
      </c>
      <c r="E161" s="6">
        <v>10000</v>
      </c>
      <c r="F161" s="6">
        <v>0</v>
      </c>
      <c r="G161" s="6">
        <v>0</v>
      </c>
      <c r="I161" s="6">
        <v>0</v>
      </c>
      <c r="J161" s="6">
        <v>10000</v>
      </c>
      <c r="K161" s="6">
        <v>0</v>
      </c>
      <c r="L161" s="6">
        <v>0</v>
      </c>
      <c r="N161" s="6">
        <v>0</v>
      </c>
      <c r="O161" s="6">
        <v>0</v>
      </c>
      <c r="P161" s="6">
        <v>0</v>
      </c>
      <c r="Q161" s="6">
        <v>0</v>
      </c>
    </row>
    <row r="162" spans="2:17" x14ac:dyDescent="0.25">
      <c r="B162" t="s">
        <v>2634</v>
      </c>
      <c r="D162" s="6">
        <v>0</v>
      </c>
      <c r="E162" s="6">
        <v>18000</v>
      </c>
      <c r="F162" s="6">
        <v>0</v>
      </c>
      <c r="G162" s="6">
        <v>0</v>
      </c>
      <c r="I162" s="6">
        <v>0</v>
      </c>
      <c r="J162" s="6">
        <v>18000</v>
      </c>
      <c r="K162" s="6">
        <v>0</v>
      </c>
      <c r="L162" s="6">
        <v>0</v>
      </c>
      <c r="N162" s="6">
        <v>0</v>
      </c>
      <c r="O162" s="6">
        <v>0</v>
      </c>
      <c r="P162" s="6">
        <v>0</v>
      </c>
      <c r="Q162" s="6">
        <v>0</v>
      </c>
    </row>
    <row r="163" spans="2:17" x14ac:dyDescent="0.25">
      <c r="B163" t="s">
        <v>2635</v>
      </c>
      <c r="D163" s="6">
        <v>0</v>
      </c>
      <c r="E163" s="6">
        <v>0</v>
      </c>
      <c r="F163" s="6">
        <v>3500</v>
      </c>
      <c r="G163" s="6">
        <v>0</v>
      </c>
      <c r="I163" s="6">
        <v>0</v>
      </c>
      <c r="J163" s="6">
        <v>0</v>
      </c>
      <c r="K163" s="6">
        <v>3500</v>
      </c>
      <c r="L163" s="6">
        <v>0</v>
      </c>
      <c r="N163" s="6">
        <v>0</v>
      </c>
      <c r="O163" s="6">
        <v>0</v>
      </c>
      <c r="P163" s="6">
        <v>0</v>
      </c>
      <c r="Q163" s="6">
        <v>0</v>
      </c>
    </row>
    <row r="164" spans="2:17" x14ac:dyDescent="0.25">
      <c r="B164" t="s">
        <v>2636</v>
      </c>
      <c r="D164" s="6">
        <v>0</v>
      </c>
      <c r="E164" s="6">
        <v>15000</v>
      </c>
      <c r="F164" s="6">
        <v>0</v>
      </c>
      <c r="G164" s="6">
        <v>0</v>
      </c>
      <c r="I164" s="6">
        <v>0</v>
      </c>
      <c r="J164" s="6">
        <v>15000</v>
      </c>
      <c r="K164" s="6">
        <v>0</v>
      </c>
      <c r="L164" s="6">
        <v>0</v>
      </c>
      <c r="N164" s="6">
        <v>0</v>
      </c>
      <c r="O164" s="6">
        <v>0</v>
      </c>
      <c r="P164" s="6">
        <v>0</v>
      </c>
      <c r="Q164" s="6">
        <v>0</v>
      </c>
    </row>
    <row r="165" spans="2:17" x14ac:dyDescent="0.25">
      <c r="B165" t="s">
        <v>2637</v>
      </c>
      <c r="D165" s="6">
        <v>0</v>
      </c>
      <c r="E165" s="6">
        <v>25000</v>
      </c>
      <c r="F165" s="6">
        <v>0</v>
      </c>
      <c r="G165" s="6">
        <v>0</v>
      </c>
      <c r="I165" s="6">
        <v>0</v>
      </c>
      <c r="J165" s="6">
        <v>25000</v>
      </c>
      <c r="K165" s="6">
        <v>0</v>
      </c>
      <c r="L165" s="6">
        <v>0</v>
      </c>
      <c r="N165" s="6">
        <v>0</v>
      </c>
      <c r="O165" s="6">
        <v>0</v>
      </c>
      <c r="P165" s="6">
        <v>0</v>
      </c>
      <c r="Q165" s="6">
        <v>0</v>
      </c>
    </row>
    <row r="166" spans="2:17" x14ac:dyDescent="0.25">
      <c r="B166" t="s">
        <v>2638</v>
      </c>
      <c r="D166" s="6">
        <v>0</v>
      </c>
      <c r="E166" s="6">
        <v>0</v>
      </c>
      <c r="F166" s="6">
        <v>3500</v>
      </c>
      <c r="G166" s="6">
        <v>0</v>
      </c>
      <c r="I166" s="6">
        <v>0</v>
      </c>
      <c r="J166" s="6">
        <v>0</v>
      </c>
      <c r="K166" s="6">
        <v>3500</v>
      </c>
      <c r="L166" s="6">
        <v>0</v>
      </c>
      <c r="N166" s="6">
        <v>0</v>
      </c>
      <c r="O166" s="6">
        <v>0</v>
      </c>
      <c r="P166" s="6">
        <v>0</v>
      </c>
      <c r="Q166" s="6">
        <v>0</v>
      </c>
    </row>
    <row r="167" spans="2:17" x14ac:dyDescent="0.25">
      <c r="B167" t="s">
        <v>2474</v>
      </c>
      <c r="D167" s="6" t="s">
        <v>2474</v>
      </c>
      <c r="E167" s="6" t="s">
        <v>2474</v>
      </c>
      <c r="F167" s="6" t="s">
        <v>2474</v>
      </c>
      <c r="G167" s="6" t="s">
        <v>2474</v>
      </c>
      <c r="I167" s="6" t="s">
        <v>2474</v>
      </c>
      <c r="J167" s="6" t="s">
        <v>2474</v>
      </c>
      <c r="K167" s="6" t="s">
        <v>2474</v>
      </c>
      <c r="L167" s="6" t="s">
        <v>2474</v>
      </c>
      <c r="N167" s="6" t="s">
        <v>2474</v>
      </c>
      <c r="O167" s="6" t="s">
        <v>2474</v>
      </c>
      <c r="P167" s="6" t="s">
        <v>2474</v>
      </c>
      <c r="Q167" s="6" t="s">
        <v>2474</v>
      </c>
    </row>
    <row r="168" spans="2:17" x14ac:dyDescent="0.25">
      <c r="B168" t="s">
        <v>2474</v>
      </c>
      <c r="D168" s="6" t="s">
        <v>2474</v>
      </c>
      <c r="E168" s="6" t="s">
        <v>2474</v>
      </c>
      <c r="F168" s="6" t="s">
        <v>2474</v>
      </c>
      <c r="G168" s="6" t="s">
        <v>2474</v>
      </c>
      <c r="I168" s="6" t="s">
        <v>2474</v>
      </c>
      <c r="J168" s="6" t="s">
        <v>2474</v>
      </c>
      <c r="K168" s="6" t="s">
        <v>2474</v>
      </c>
      <c r="L168" s="6" t="s">
        <v>2474</v>
      </c>
      <c r="N168" s="6" t="s">
        <v>2474</v>
      </c>
      <c r="O168" s="6" t="s">
        <v>2474</v>
      </c>
      <c r="P168" s="6" t="s">
        <v>2474</v>
      </c>
      <c r="Q168" s="6" t="s">
        <v>2474</v>
      </c>
    </row>
    <row r="169" spans="2:17" x14ac:dyDescent="0.25">
      <c r="B169" t="s">
        <v>2474</v>
      </c>
      <c r="D169" s="6" t="s">
        <v>2474</v>
      </c>
      <c r="E169" s="6" t="s">
        <v>2474</v>
      </c>
      <c r="F169" s="6" t="s">
        <v>2474</v>
      </c>
      <c r="G169" s="6" t="s">
        <v>2474</v>
      </c>
      <c r="I169" s="6" t="s">
        <v>2474</v>
      </c>
      <c r="J169" s="6" t="s">
        <v>2474</v>
      </c>
      <c r="K169" s="6" t="s">
        <v>2474</v>
      </c>
      <c r="L169" s="6" t="s">
        <v>2474</v>
      </c>
      <c r="N169" s="6" t="s">
        <v>2474</v>
      </c>
      <c r="O169" s="6" t="s">
        <v>2474</v>
      </c>
      <c r="P169" s="6" t="s">
        <v>2474</v>
      </c>
      <c r="Q169" s="6" t="s">
        <v>2474</v>
      </c>
    </row>
    <row r="170" spans="2:17" x14ac:dyDescent="0.25">
      <c r="B170" t="s">
        <v>2474</v>
      </c>
      <c r="D170" s="6" t="s">
        <v>2474</v>
      </c>
      <c r="E170" s="6" t="s">
        <v>2474</v>
      </c>
      <c r="F170" s="6" t="s">
        <v>2474</v>
      </c>
      <c r="G170" s="6" t="s">
        <v>2474</v>
      </c>
      <c r="I170" s="6" t="s">
        <v>2474</v>
      </c>
      <c r="J170" s="6" t="s">
        <v>2474</v>
      </c>
      <c r="K170" s="6" t="s">
        <v>2474</v>
      </c>
      <c r="L170" s="6" t="s">
        <v>2474</v>
      </c>
      <c r="N170" s="6" t="s">
        <v>2474</v>
      </c>
      <c r="O170" s="6" t="s">
        <v>2474</v>
      </c>
      <c r="P170" s="6" t="s">
        <v>2474</v>
      </c>
      <c r="Q170" s="6" t="s">
        <v>2474</v>
      </c>
    </row>
    <row r="171" spans="2:17" x14ac:dyDescent="0.25">
      <c r="B171" t="s">
        <v>2474</v>
      </c>
      <c r="D171" s="6" t="s">
        <v>2474</v>
      </c>
      <c r="E171" s="6" t="s">
        <v>2474</v>
      </c>
      <c r="F171" s="6" t="s">
        <v>2474</v>
      </c>
      <c r="G171" s="6" t="s">
        <v>2474</v>
      </c>
      <c r="I171" s="6" t="s">
        <v>2474</v>
      </c>
      <c r="J171" s="6" t="s">
        <v>2474</v>
      </c>
      <c r="K171" s="6" t="s">
        <v>2474</v>
      </c>
      <c r="L171" s="6" t="s">
        <v>2474</v>
      </c>
      <c r="N171" s="6" t="s">
        <v>2474</v>
      </c>
      <c r="O171" s="6" t="s">
        <v>2474</v>
      </c>
      <c r="P171" s="6" t="s">
        <v>2474</v>
      </c>
      <c r="Q171" s="6" t="s">
        <v>2474</v>
      </c>
    </row>
    <row r="172" spans="2:17" x14ac:dyDescent="0.25">
      <c r="B172" t="s">
        <v>2474</v>
      </c>
      <c r="D172" s="6" t="s">
        <v>2474</v>
      </c>
      <c r="E172" s="6" t="s">
        <v>2474</v>
      </c>
      <c r="F172" s="6" t="s">
        <v>2474</v>
      </c>
      <c r="G172" s="6" t="s">
        <v>2474</v>
      </c>
      <c r="I172" s="6" t="s">
        <v>2474</v>
      </c>
      <c r="J172" s="6" t="s">
        <v>2474</v>
      </c>
      <c r="K172" s="6" t="s">
        <v>2474</v>
      </c>
      <c r="L172" s="6" t="s">
        <v>2474</v>
      </c>
      <c r="N172" s="6" t="s">
        <v>2474</v>
      </c>
      <c r="O172" s="6" t="s">
        <v>2474</v>
      </c>
      <c r="P172" s="6" t="s">
        <v>2474</v>
      </c>
      <c r="Q172" s="6" t="s">
        <v>2474</v>
      </c>
    </row>
    <row r="173" spans="2:17" x14ac:dyDescent="0.25">
      <c r="B173" t="s">
        <v>2474</v>
      </c>
      <c r="D173" s="6" t="s">
        <v>2474</v>
      </c>
      <c r="E173" s="6" t="s">
        <v>2474</v>
      </c>
      <c r="F173" s="6" t="s">
        <v>2474</v>
      </c>
      <c r="G173" s="6" t="s">
        <v>2474</v>
      </c>
      <c r="I173" s="6" t="s">
        <v>2474</v>
      </c>
      <c r="J173" s="6" t="s">
        <v>2474</v>
      </c>
      <c r="K173" s="6" t="s">
        <v>2474</v>
      </c>
      <c r="L173" s="6" t="s">
        <v>2474</v>
      </c>
      <c r="N173" s="6" t="s">
        <v>2474</v>
      </c>
      <c r="O173" s="6" t="s">
        <v>2474</v>
      </c>
      <c r="P173" s="6" t="s">
        <v>2474</v>
      </c>
      <c r="Q173" s="6" t="s">
        <v>2474</v>
      </c>
    </row>
    <row r="174" spans="2:17" x14ac:dyDescent="0.25">
      <c r="B174" t="s">
        <v>2474</v>
      </c>
      <c r="D174" s="6" t="s">
        <v>2474</v>
      </c>
      <c r="E174" s="6" t="s">
        <v>2474</v>
      </c>
      <c r="F174" s="6" t="s">
        <v>2474</v>
      </c>
      <c r="G174" s="6" t="s">
        <v>2474</v>
      </c>
      <c r="I174" s="6" t="s">
        <v>2474</v>
      </c>
      <c r="J174" s="6" t="s">
        <v>2474</v>
      </c>
      <c r="K174" s="6" t="s">
        <v>2474</v>
      </c>
      <c r="L174" s="6" t="s">
        <v>2474</v>
      </c>
      <c r="N174" s="6" t="s">
        <v>2474</v>
      </c>
      <c r="O174" s="6" t="s">
        <v>2474</v>
      </c>
      <c r="P174" s="6" t="s">
        <v>2474</v>
      </c>
      <c r="Q174" s="6" t="s">
        <v>2474</v>
      </c>
    </row>
    <row r="175" spans="2:17" x14ac:dyDescent="0.25">
      <c r="B175" t="s">
        <v>2474</v>
      </c>
      <c r="D175" s="6" t="s">
        <v>2474</v>
      </c>
      <c r="E175" s="6" t="s">
        <v>2474</v>
      </c>
      <c r="F175" s="6" t="s">
        <v>2474</v>
      </c>
      <c r="G175" s="6" t="s">
        <v>2474</v>
      </c>
      <c r="I175" s="6" t="s">
        <v>2474</v>
      </c>
      <c r="J175" s="6" t="s">
        <v>2474</v>
      </c>
      <c r="K175" s="6" t="s">
        <v>2474</v>
      </c>
      <c r="L175" s="6" t="s">
        <v>2474</v>
      </c>
      <c r="N175" s="6" t="s">
        <v>2474</v>
      </c>
      <c r="O175" s="6" t="s">
        <v>2474</v>
      </c>
      <c r="P175" s="6" t="s">
        <v>2474</v>
      </c>
      <c r="Q175" s="6" t="s">
        <v>2474</v>
      </c>
    </row>
    <row r="176" spans="2:17" x14ac:dyDescent="0.25">
      <c r="B176" t="s">
        <v>2474</v>
      </c>
      <c r="D176" s="6" t="s">
        <v>2474</v>
      </c>
      <c r="E176" s="6" t="s">
        <v>2474</v>
      </c>
      <c r="F176" s="6" t="s">
        <v>2474</v>
      </c>
      <c r="G176" s="6" t="s">
        <v>2474</v>
      </c>
      <c r="I176" s="6" t="s">
        <v>2474</v>
      </c>
      <c r="J176" s="6" t="s">
        <v>2474</v>
      </c>
      <c r="K176" s="6" t="s">
        <v>2474</v>
      </c>
      <c r="L176" s="6" t="s">
        <v>2474</v>
      </c>
      <c r="N176" s="6" t="s">
        <v>2474</v>
      </c>
      <c r="O176" s="6" t="s">
        <v>2474</v>
      </c>
      <c r="P176" s="6" t="s">
        <v>2474</v>
      </c>
      <c r="Q176" s="6" t="s">
        <v>2474</v>
      </c>
    </row>
    <row r="177" spans="2:17" x14ac:dyDescent="0.25">
      <c r="B177" t="s">
        <v>2474</v>
      </c>
      <c r="D177" s="6" t="s">
        <v>2474</v>
      </c>
      <c r="E177" s="6" t="s">
        <v>2474</v>
      </c>
      <c r="F177" s="6" t="s">
        <v>2474</v>
      </c>
      <c r="G177" s="6" t="s">
        <v>2474</v>
      </c>
      <c r="I177" s="6" t="s">
        <v>2474</v>
      </c>
      <c r="J177" s="6" t="s">
        <v>2474</v>
      </c>
      <c r="K177" s="6" t="s">
        <v>2474</v>
      </c>
      <c r="L177" s="6" t="s">
        <v>2474</v>
      </c>
      <c r="N177" s="6" t="s">
        <v>2474</v>
      </c>
      <c r="O177" s="6" t="s">
        <v>2474</v>
      </c>
      <c r="P177" s="6" t="s">
        <v>2474</v>
      </c>
      <c r="Q177" s="6" t="s">
        <v>2474</v>
      </c>
    </row>
    <row r="178" spans="2:17" x14ac:dyDescent="0.25">
      <c r="B178" t="s">
        <v>2474</v>
      </c>
      <c r="D178" s="6" t="s">
        <v>2474</v>
      </c>
      <c r="E178" s="6" t="s">
        <v>2474</v>
      </c>
      <c r="F178" s="6" t="s">
        <v>2474</v>
      </c>
      <c r="G178" s="6" t="s">
        <v>2474</v>
      </c>
      <c r="I178" s="6" t="s">
        <v>2474</v>
      </c>
      <c r="J178" s="6" t="s">
        <v>2474</v>
      </c>
      <c r="K178" s="6" t="s">
        <v>2474</v>
      </c>
      <c r="L178" s="6" t="s">
        <v>2474</v>
      </c>
      <c r="N178" s="6" t="s">
        <v>2474</v>
      </c>
      <c r="O178" s="6" t="s">
        <v>2474</v>
      </c>
      <c r="P178" s="6" t="s">
        <v>2474</v>
      </c>
      <c r="Q178" s="6" t="s">
        <v>2474</v>
      </c>
    </row>
    <row r="179" spans="2:17" x14ac:dyDescent="0.25">
      <c r="B179" t="s">
        <v>2474</v>
      </c>
      <c r="D179" s="6" t="s">
        <v>2474</v>
      </c>
      <c r="E179" s="6" t="s">
        <v>2474</v>
      </c>
      <c r="F179" s="6" t="s">
        <v>2474</v>
      </c>
      <c r="G179" s="6" t="s">
        <v>2474</v>
      </c>
      <c r="I179" s="6" t="s">
        <v>2474</v>
      </c>
      <c r="J179" s="6" t="s">
        <v>2474</v>
      </c>
      <c r="K179" s="6" t="s">
        <v>2474</v>
      </c>
      <c r="L179" s="6" t="s">
        <v>2474</v>
      </c>
      <c r="N179" s="6" t="s">
        <v>2474</v>
      </c>
      <c r="O179" s="6" t="s">
        <v>2474</v>
      </c>
      <c r="P179" s="6" t="s">
        <v>2474</v>
      </c>
      <c r="Q179" s="6" t="s">
        <v>2474</v>
      </c>
    </row>
    <row r="180" spans="2:17" x14ac:dyDescent="0.25">
      <c r="B180" t="s">
        <v>2474</v>
      </c>
      <c r="D180" s="6" t="s">
        <v>2474</v>
      </c>
      <c r="E180" s="6" t="s">
        <v>2474</v>
      </c>
      <c r="F180" s="6" t="s">
        <v>2474</v>
      </c>
      <c r="G180" s="6" t="s">
        <v>2474</v>
      </c>
      <c r="I180" s="6" t="s">
        <v>2474</v>
      </c>
      <c r="J180" s="6" t="s">
        <v>2474</v>
      </c>
      <c r="K180" s="6" t="s">
        <v>2474</v>
      </c>
      <c r="L180" s="6" t="s">
        <v>2474</v>
      </c>
      <c r="N180" s="6" t="s">
        <v>2474</v>
      </c>
      <c r="O180" s="6" t="s">
        <v>2474</v>
      </c>
      <c r="P180" s="6" t="s">
        <v>2474</v>
      </c>
      <c r="Q180" s="6" t="s">
        <v>2474</v>
      </c>
    </row>
    <row r="181" spans="2:17" x14ac:dyDescent="0.25">
      <c r="B181" t="s">
        <v>2474</v>
      </c>
      <c r="D181" s="6" t="s">
        <v>2474</v>
      </c>
      <c r="E181" s="6" t="s">
        <v>2474</v>
      </c>
      <c r="F181" s="6" t="s">
        <v>2474</v>
      </c>
      <c r="G181" s="6" t="s">
        <v>2474</v>
      </c>
      <c r="I181" s="6" t="s">
        <v>2474</v>
      </c>
      <c r="J181" s="6" t="s">
        <v>2474</v>
      </c>
      <c r="K181" s="6" t="s">
        <v>2474</v>
      </c>
      <c r="L181" s="6" t="s">
        <v>2474</v>
      </c>
      <c r="N181" s="6" t="s">
        <v>2474</v>
      </c>
      <c r="O181" s="6" t="s">
        <v>2474</v>
      </c>
      <c r="P181" s="6" t="s">
        <v>2474</v>
      </c>
      <c r="Q181" s="6" t="s">
        <v>2474</v>
      </c>
    </row>
    <row r="182" spans="2:17" x14ac:dyDescent="0.25">
      <c r="B182" t="s">
        <v>2474</v>
      </c>
      <c r="D182" s="6" t="s">
        <v>2474</v>
      </c>
      <c r="E182" s="6" t="s">
        <v>2474</v>
      </c>
      <c r="F182" s="6" t="s">
        <v>2474</v>
      </c>
      <c r="G182" s="6" t="s">
        <v>2474</v>
      </c>
      <c r="I182" s="6" t="s">
        <v>2474</v>
      </c>
      <c r="J182" s="6" t="s">
        <v>2474</v>
      </c>
      <c r="K182" s="6" t="s">
        <v>2474</v>
      </c>
      <c r="L182" s="6" t="s">
        <v>2474</v>
      </c>
      <c r="N182" s="6" t="s">
        <v>2474</v>
      </c>
      <c r="O182" s="6" t="s">
        <v>2474</v>
      </c>
      <c r="P182" s="6" t="s">
        <v>2474</v>
      </c>
      <c r="Q182" s="6" t="s">
        <v>2474</v>
      </c>
    </row>
    <row r="183" spans="2:17" x14ac:dyDescent="0.25">
      <c r="B183" t="s">
        <v>2474</v>
      </c>
      <c r="D183" s="6" t="s">
        <v>2474</v>
      </c>
      <c r="E183" s="6" t="s">
        <v>2474</v>
      </c>
      <c r="F183" s="6" t="s">
        <v>2474</v>
      </c>
      <c r="G183" s="6" t="s">
        <v>2474</v>
      </c>
      <c r="I183" s="6" t="s">
        <v>2474</v>
      </c>
      <c r="J183" s="6" t="s">
        <v>2474</v>
      </c>
      <c r="K183" s="6" t="s">
        <v>2474</v>
      </c>
      <c r="L183" s="6" t="s">
        <v>2474</v>
      </c>
      <c r="N183" s="6" t="s">
        <v>2474</v>
      </c>
      <c r="O183" s="6" t="s">
        <v>2474</v>
      </c>
      <c r="P183" s="6" t="s">
        <v>2474</v>
      </c>
      <c r="Q183" s="6" t="s">
        <v>2474</v>
      </c>
    </row>
    <row r="184" spans="2:17" x14ac:dyDescent="0.25">
      <c r="B184" t="s">
        <v>2474</v>
      </c>
      <c r="D184" s="6" t="s">
        <v>2474</v>
      </c>
      <c r="E184" s="6" t="s">
        <v>2474</v>
      </c>
      <c r="F184" s="6" t="s">
        <v>2474</v>
      </c>
      <c r="G184" s="6" t="s">
        <v>2474</v>
      </c>
      <c r="I184" s="6" t="s">
        <v>2474</v>
      </c>
      <c r="J184" s="6" t="s">
        <v>2474</v>
      </c>
      <c r="K184" s="6" t="s">
        <v>2474</v>
      </c>
      <c r="L184" s="6" t="s">
        <v>2474</v>
      </c>
      <c r="N184" s="6" t="s">
        <v>2474</v>
      </c>
      <c r="O184" s="6" t="s">
        <v>2474</v>
      </c>
      <c r="P184" s="6" t="s">
        <v>2474</v>
      </c>
      <c r="Q184" s="6" t="s">
        <v>2474</v>
      </c>
    </row>
    <row r="185" spans="2:17" x14ac:dyDescent="0.25">
      <c r="B185" t="s">
        <v>2474</v>
      </c>
      <c r="D185" s="6" t="s">
        <v>2474</v>
      </c>
      <c r="E185" s="6" t="s">
        <v>2474</v>
      </c>
      <c r="F185" s="6" t="s">
        <v>2474</v>
      </c>
      <c r="G185" s="6" t="s">
        <v>2474</v>
      </c>
      <c r="I185" s="6" t="s">
        <v>2474</v>
      </c>
      <c r="J185" s="6" t="s">
        <v>2474</v>
      </c>
      <c r="K185" s="6" t="s">
        <v>2474</v>
      </c>
      <c r="L185" s="6" t="s">
        <v>2474</v>
      </c>
      <c r="N185" s="6" t="s">
        <v>2474</v>
      </c>
      <c r="O185" s="6" t="s">
        <v>2474</v>
      </c>
      <c r="P185" s="6" t="s">
        <v>2474</v>
      </c>
      <c r="Q185" s="6" t="s">
        <v>2474</v>
      </c>
    </row>
    <row r="186" spans="2:17" x14ac:dyDescent="0.25">
      <c r="B186" t="s">
        <v>2474</v>
      </c>
      <c r="D186" s="6" t="s">
        <v>2474</v>
      </c>
      <c r="E186" s="6" t="s">
        <v>2474</v>
      </c>
      <c r="F186" s="6" t="s">
        <v>2474</v>
      </c>
      <c r="G186" s="6" t="s">
        <v>2474</v>
      </c>
      <c r="I186" s="6" t="s">
        <v>2474</v>
      </c>
      <c r="J186" s="6" t="s">
        <v>2474</v>
      </c>
      <c r="K186" s="6" t="s">
        <v>2474</v>
      </c>
      <c r="L186" s="6" t="s">
        <v>2474</v>
      </c>
      <c r="N186" s="6" t="s">
        <v>2474</v>
      </c>
      <c r="O186" s="6" t="s">
        <v>2474</v>
      </c>
      <c r="P186" s="6" t="s">
        <v>2474</v>
      </c>
      <c r="Q186" s="6" t="s">
        <v>2474</v>
      </c>
    </row>
    <row r="187" spans="2:17" x14ac:dyDescent="0.25">
      <c r="B187" t="s">
        <v>2474</v>
      </c>
      <c r="D187" s="6" t="s">
        <v>2474</v>
      </c>
      <c r="E187" s="6" t="s">
        <v>2474</v>
      </c>
      <c r="F187" s="6" t="s">
        <v>2474</v>
      </c>
      <c r="G187" s="6" t="s">
        <v>2474</v>
      </c>
      <c r="I187" s="6" t="s">
        <v>2474</v>
      </c>
      <c r="J187" s="6" t="s">
        <v>2474</v>
      </c>
      <c r="K187" s="6" t="s">
        <v>2474</v>
      </c>
      <c r="L187" s="6" t="s">
        <v>2474</v>
      </c>
      <c r="N187" s="6" t="s">
        <v>2474</v>
      </c>
      <c r="O187" s="6" t="s">
        <v>2474</v>
      </c>
      <c r="P187" s="6" t="s">
        <v>2474</v>
      </c>
      <c r="Q187" s="6" t="s">
        <v>2474</v>
      </c>
    </row>
    <row r="188" spans="2:17" x14ac:dyDescent="0.25">
      <c r="B188" t="s">
        <v>2474</v>
      </c>
      <c r="D188" s="6" t="s">
        <v>2474</v>
      </c>
      <c r="E188" s="6" t="s">
        <v>2474</v>
      </c>
      <c r="F188" s="6" t="s">
        <v>2474</v>
      </c>
      <c r="G188" s="6" t="s">
        <v>2474</v>
      </c>
      <c r="I188" s="6" t="s">
        <v>2474</v>
      </c>
      <c r="J188" s="6" t="s">
        <v>2474</v>
      </c>
      <c r="K188" s="6" t="s">
        <v>2474</v>
      </c>
      <c r="L188" s="6" t="s">
        <v>2474</v>
      </c>
      <c r="N188" s="6" t="s">
        <v>2474</v>
      </c>
      <c r="O188" s="6" t="s">
        <v>2474</v>
      </c>
      <c r="P188" s="6" t="s">
        <v>2474</v>
      </c>
      <c r="Q188" s="6" t="s">
        <v>2474</v>
      </c>
    </row>
    <row r="189" spans="2:17" x14ac:dyDescent="0.25">
      <c r="B189" t="s">
        <v>2474</v>
      </c>
      <c r="D189" s="6" t="s">
        <v>2474</v>
      </c>
      <c r="E189" s="6" t="s">
        <v>2474</v>
      </c>
      <c r="F189" s="6" t="s">
        <v>2474</v>
      </c>
      <c r="G189" s="6" t="s">
        <v>2474</v>
      </c>
      <c r="I189" s="6" t="s">
        <v>2474</v>
      </c>
      <c r="J189" s="6" t="s">
        <v>2474</v>
      </c>
      <c r="K189" s="6" t="s">
        <v>2474</v>
      </c>
      <c r="L189" s="6" t="s">
        <v>2474</v>
      </c>
      <c r="N189" s="6" t="s">
        <v>2474</v>
      </c>
      <c r="O189" s="6" t="s">
        <v>2474</v>
      </c>
      <c r="P189" s="6" t="s">
        <v>2474</v>
      </c>
      <c r="Q189" s="6" t="s">
        <v>2474</v>
      </c>
    </row>
    <row r="190" spans="2:17" x14ac:dyDescent="0.25">
      <c r="B190" t="s">
        <v>2474</v>
      </c>
      <c r="D190" s="6" t="s">
        <v>2474</v>
      </c>
      <c r="E190" s="6" t="s">
        <v>2474</v>
      </c>
      <c r="F190" s="6" t="s">
        <v>2474</v>
      </c>
      <c r="G190" s="6" t="s">
        <v>2474</v>
      </c>
      <c r="I190" s="6" t="s">
        <v>2474</v>
      </c>
      <c r="J190" s="6" t="s">
        <v>2474</v>
      </c>
      <c r="K190" s="6" t="s">
        <v>2474</v>
      </c>
      <c r="L190" s="6" t="s">
        <v>2474</v>
      </c>
      <c r="N190" s="6" t="s">
        <v>2474</v>
      </c>
      <c r="O190" s="6" t="s">
        <v>2474</v>
      </c>
      <c r="P190" s="6" t="s">
        <v>2474</v>
      </c>
      <c r="Q190" s="6" t="s">
        <v>2474</v>
      </c>
    </row>
    <row r="191" spans="2:17" x14ac:dyDescent="0.25">
      <c r="B191" t="s">
        <v>2474</v>
      </c>
      <c r="D191" s="6" t="s">
        <v>2474</v>
      </c>
      <c r="E191" s="6" t="s">
        <v>2474</v>
      </c>
      <c r="F191" s="6" t="s">
        <v>2474</v>
      </c>
      <c r="G191" s="6" t="s">
        <v>2474</v>
      </c>
      <c r="I191" s="6" t="s">
        <v>2474</v>
      </c>
      <c r="J191" s="6" t="s">
        <v>2474</v>
      </c>
      <c r="K191" s="6" t="s">
        <v>2474</v>
      </c>
      <c r="L191" s="6" t="s">
        <v>2474</v>
      </c>
      <c r="N191" s="6" t="s">
        <v>2474</v>
      </c>
      <c r="O191" s="6" t="s">
        <v>2474</v>
      </c>
      <c r="P191" s="6" t="s">
        <v>2474</v>
      </c>
      <c r="Q191" s="6" t="s">
        <v>2474</v>
      </c>
    </row>
    <row r="192" spans="2:17" x14ac:dyDescent="0.25">
      <c r="B192" t="s">
        <v>2474</v>
      </c>
      <c r="D192" s="6" t="s">
        <v>2474</v>
      </c>
      <c r="E192" s="6" t="s">
        <v>2474</v>
      </c>
      <c r="F192" s="6" t="s">
        <v>2474</v>
      </c>
      <c r="G192" s="6" t="s">
        <v>2474</v>
      </c>
      <c r="I192" s="6" t="s">
        <v>2474</v>
      </c>
      <c r="J192" s="6" t="s">
        <v>2474</v>
      </c>
      <c r="K192" s="6" t="s">
        <v>2474</v>
      </c>
      <c r="L192" s="6" t="s">
        <v>2474</v>
      </c>
      <c r="N192" s="6" t="s">
        <v>2474</v>
      </c>
      <c r="O192" s="6" t="s">
        <v>2474</v>
      </c>
      <c r="P192" s="6" t="s">
        <v>2474</v>
      </c>
      <c r="Q192" s="6" t="s">
        <v>2474</v>
      </c>
    </row>
    <row r="193" spans="2:17" x14ac:dyDescent="0.25">
      <c r="B193" t="s">
        <v>2474</v>
      </c>
      <c r="D193" s="6" t="s">
        <v>2474</v>
      </c>
      <c r="E193" s="6" t="s">
        <v>2474</v>
      </c>
      <c r="F193" s="6" t="s">
        <v>2474</v>
      </c>
      <c r="G193" s="6" t="s">
        <v>2474</v>
      </c>
      <c r="I193" s="6" t="s">
        <v>2474</v>
      </c>
      <c r="J193" s="6" t="s">
        <v>2474</v>
      </c>
      <c r="K193" s="6" t="s">
        <v>2474</v>
      </c>
      <c r="L193" s="6" t="s">
        <v>2474</v>
      </c>
      <c r="N193" s="6" t="s">
        <v>2474</v>
      </c>
      <c r="O193" s="6" t="s">
        <v>2474</v>
      </c>
      <c r="P193" s="6" t="s">
        <v>2474</v>
      </c>
      <c r="Q193" s="6" t="s">
        <v>2474</v>
      </c>
    </row>
    <row r="194" spans="2:17" x14ac:dyDescent="0.25">
      <c r="B194" t="s">
        <v>2474</v>
      </c>
      <c r="D194" s="6" t="s">
        <v>2474</v>
      </c>
      <c r="E194" s="6" t="s">
        <v>2474</v>
      </c>
      <c r="F194" s="6" t="s">
        <v>2474</v>
      </c>
      <c r="G194" s="6" t="s">
        <v>2474</v>
      </c>
      <c r="I194" s="6" t="s">
        <v>2474</v>
      </c>
      <c r="J194" s="6" t="s">
        <v>2474</v>
      </c>
      <c r="K194" s="6" t="s">
        <v>2474</v>
      </c>
      <c r="L194" s="6" t="s">
        <v>2474</v>
      </c>
      <c r="N194" s="6" t="s">
        <v>2474</v>
      </c>
      <c r="O194" s="6" t="s">
        <v>2474</v>
      </c>
      <c r="P194" s="6" t="s">
        <v>2474</v>
      </c>
      <c r="Q194" s="6" t="s">
        <v>2474</v>
      </c>
    </row>
    <row r="195" spans="2:17" x14ac:dyDescent="0.25">
      <c r="B195" t="s">
        <v>2474</v>
      </c>
      <c r="D195" s="6" t="s">
        <v>2474</v>
      </c>
      <c r="E195" s="6" t="s">
        <v>2474</v>
      </c>
      <c r="F195" s="6" t="s">
        <v>2474</v>
      </c>
      <c r="G195" s="6" t="s">
        <v>2474</v>
      </c>
      <c r="I195" s="6" t="s">
        <v>2474</v>
      </c>
      <c r="J195" s="6" t="s">
        <v>2474</v>
      </c>
      <c r="K195" s="6" t="s">
        <v>2474</v>
      </c>
      <c r="L195" s="6" t="s">
        <v>2474</v>
      </c>
      <c r="N195" s="6" t="s">
        <v>2474</v>
      </c>
      <c r="O195" s="6" t="s">
        <v>2474</v>
      </c>
      <c r="P195" s="6" t="s">
        <v>2474</v>
      </c>
      <c r="Q195" s="6" t="s">
        <v>2474</v>
      </c>
    </row>
    <row r="196" spans="2:17" x14ac:dyDescent="0.25">
      <c r="B196" t="s">
        <v>2474</v>
      </c>
      <c r="D196" s="6" t="s">
        <v>2474</v>
      </c>
      <c r="E196" s="6" t="s">
        <v>2474</v>
      </c>
      <c r="F196" s="6" t="s">
        <v>2474</v>
      </c>
      <c r="G196" s="6" t="s">
        <v>2474</v>
      </c>
      <c r="I196" s="6" t="s">
        <v>2474</v>
      </c>
      <c r="J196" s="6" t="s">
        <v>2474</v>
      </c>
      <c r="K196" s="6" t="s">
        <v>2474</v>
      </c>
      <c r="L196" s="6" t="s">
        <v>2474</v>
      </c>
      <c r="N196" s="6" t="s">
        <v>2474</v>
      </c>
      <c r="O196" s="6" t="s">
        <v>2474</v>
      </c>
      <c r="P196" s="6" t="s">
        <v>2474</v>
      </c>
      <c r="Q196" s="6" t="s">
        <v>2474</v>
      </c>
    </row>
    <row r="197" spans="2:17" x14ac:dyDescent="0.25">
      <c r="B197" t="s">
        <v>2474</v>
      </c>
      <c r="D197" s="6" t="s">
        <v>2474</v>
      </c>
      <c r="E197" s="6" t="s">
        <v>2474</v>
      </c>
      <c r="F197" s="6" t="s">
        <v>2474</v>
      </c>
      <c r="G197" s="6" t="s">
        <v>2474</v>
      </c>
      <c r="I197" s="6" t="s">
        <v>2474</v>
      </c>
      <c r="J197" s="6" t="s">
        <v>2474</v>
      </c>
      <c r="K197" s="6" t="s">
        <v>2474</v>
      </c>
      <c r="L197" s="6" t="s">
        <v>2474</v>
      </c>
      <c r="N197" s="6" t="s">
        <v>2474</v>
      </c>
      <c r="O197" s="6" t="s">
        <v>2474</v>
      </c>
      <c r="P197" s="6" t="s">
        <v>2474</v>
      </c>
      <c r="Q197" s="6" t="s">
        <v>2474</v>
      </c>
    </row>
    <row r="198" spans="2:17" x14ac:dyDescent="0.25">
      <c r="B198" t="s">
        <v>2474</v>
      </c>
      <c r="D198" s="6" t="s">
        <v>2474</v>
      </c>
      <c r="E198" s="6" t="s">
        <v>2474</v>
      </c>
      <c r="F198" s="6" t="s">
        <v>2474</v>
      </c>
      <c r="G198" s="6" t="s">
        <v>2474</v>
      </c>
      <c r="I198" s="6" t="s">
        <v>2474</v>
      </c>
      <c r="J198" s="6" t="s">
        <v>2474</v>
      </c>
      <c r="K198" s="6" t="s">
        <v>2474</v>
      </c>
      <c r="L198" s="6" t="s">
        <v>2474</v>
      </c>
      <c r="N198" s="6" t="s">
        <v>2474</v>
      </c>
      <c r="O198" s="6" t="s">
        <v>2474</v>
      </c>
      <c r="P198" s="6" t="s">
        <v>2474</v>
      </c>
      <c r="Q198" s="6" t="s">
        <v>2474</v>
      </c>
    </row>
    <row r="199" spans="2:17" x14ac:dyDescent="0.25">
      <c r="B199" t="s">
        <v>2474</v>
      </c>
      <c r="D199" s="6" t="s">
        <v>2474</v>
      </c>
      <c r="E199" s="6" t="s">
        <v>2474</v>
      </c>
      <c r="F199" s="6" t="s">
        <v>2474</v>
      </c>
      <c r="G199" s="6" t="s">
        <v>2474</v>
      </c>
      <c r="I199" s="6" t="s">
        <v>2474</v>
      </c>
      <c r="J199" s="6" t="s">
        <v>2474</v>
      </c>
      <c r="K199" s="6" t="s">
        <v>2474</v>
      </c>
      <c r="L199" s="6" t="s">
        <v>2474</v>
      </c>
      <c r="N199" s="6" t="s">
        <v>2474</v>
      </c>
      <c r="O199" s="6" t="s">
        <v>2474</v>
      </c>
      <c r="P199" s="6" t="s">
        <v>2474</v>
      </c>
      <c r="Q199" s="6" t="s">
        <v>2474</v>
      </c>
    </row>
    <row r="200" spans="2:17" x14ac:dyDescent="0.25">
      <c r="B200" t="s">
        <v>2474</v>
      </c>
      <c r="D200" s="6" t="s">
        <v>2474</v>
      </c>
      <c r="E200" s="6" t="s">
        <v>2474</v>
      </c>
      <c r="F200" s="6" t="s">
        <v>2474</v>
      </c>
      <c r="G200" s="6" t="s">
        <v>2474</v>
      </c>
      <c r="I200" s="6" t="s">
        <v>2474</v>
      </c>
      <c r="J200" s="6" t="s">
        <v>2474</v>
      </c>
      <c r="K200" s="6" t="s">
        <v>2474</v>
      </c>
      <c r="L200" s="6" t="s">
        <v>2474</v>
      </c>
      <c r="N200" s="6" t="s">
        <v>2474</v>
      </c>
      <c r="O200" s="6" t="s">
        <v>2474</v>
      </c>
      <c r="P200" s="6" t="s">
        <v>2474</v>
      </c>
      <c r="Q200" s="6" t="s">
        <v>2474</v>
      </c>
    </row>
  </sheetData>
  <autoFilter ref="B2:V2" xr:uid="{32600AA6-13A3-4DD6-9E28-8B3E3D5CFE46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BC196-3E80-47D7-8094-5D0B64DDB4F7}">
  <dimension ref="B2:C2"/>
  <sheetViews>
    <sheetView tabSelected="1" workbookViewId="0">
      <selection activeCell="C2" sqref="C2"/>
    </sheetView>
  </sheetViews>
  <sheetFormatPr defaultRowHeight="15" x14ac:dyDescent="0.25"/>
  <sheetData>
    <row r="2" spans="2:3" x14ac:dyDescent="0.25">
      <c r="B2" t="s">
        <v>2652</v>
      </c>
      <c r="C2" t="s">
        <v>2653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FF1AF-68BB-4CF1-BEB6-85306D0BBBF2}">
  <sheetPr codeName="Sheet3"/>
  <dimension ref="B1:BF300"/>
  <sheetViews>
    <sheetView zoomScale="85" zoomScaleNormal="85" workbookViewId="0">
      <pane xSplit="2" ySplit="13" topLeftCell="C179" activePane="bottomRight" state="frozen"/>
      <selection pane="topRight" activeCell="C1" sqref="C1"/>
      <selection pane="bottomLeft" activeCell="A13" sqref="A13"/>
      <selection pane="bottomRight" activeCell="X188" sqref="X188"/>
    </sheetView>
  </sheetViews>
  <sheetFormatPr defaultRowHeight="15" x14ac:dyDescent="0.25"/>
  <cols>
    <col min="1" max="1" width="3.42578125" customWidth="1"/>
    <col min="2" max="2" width="50.140625" customWidth="1"/>
    <col min="3" max="3" width="15.5703125" customWidth="1"/>
    <col min="4" max="4" width="27.140625" hidden="1" customWidth="1"/>
    <col min="5" max="5" width="11.85546875" hidden="1" customWidth="1"/>
    <col min="6" max="6" width="11.85546875" style="116" customWidth="1"/>
    <col min="7" max="7" width="32.42578125" customWidth="1"/>
    <col min="8" max="8" width="10.7109375" customWidth="1"/>
    <col min="9" max="9" width="11.7109375" style="122" customWidth="1"/>
    <col min="10" max="10" width="15.7109375" style="6" customWidth="1"/>
    <col min="11" max="11" width="15.7109375" style="4" customWidth="1"/>
    <col min="12" max="12" width="15.7109375" style="6" customWidth="1"/>
    <col min="13" max="13" width="3.28515625" style="6" customWidth="1"/>
    <col min="14" max="14" width="15.7109375" style="6" customWidth="1"/>
    <col min="15" max="15" width="15.7109375" style="4" customWidth="1"/>
    <col min="16" max="16" width="15.7109375" style="6" customWidth="1"/>
    <col min="17" max="17" width="3.28515625" style="6" customWidth="1"/>
    <col min="18" max="18" width="15.7109375" style="6" customWidth="1"/>
    <col min="19" max="19" width="15.7109375" style="4" customWidth="1"/>
    <col min="20" max="20" width="15.7109375" style="6" customWidth="1"/>
    <col min="21" max="21" width="3.28515625" style="6" customWidth="1"/>
    <col min="22" max="22" width="18.5703125" style="6" customWidth="1"/>
    <col min="23" max="23" width="15.7109375" style="4" customWidth="1"/>
    <col min="24" max="24" width="18.5703125" style="6" customWidth="1"/>
    <col min="25" max="25" width="3.42578125" style="6" customWidth="1"/>
    <col min="26" max="26" width="18.5703125" style="6" customWidth="1"/>
    <col min="27" max="27" width="13.42578125" style="4" customWidth="1"/>
    <col min="28" max="28" width="18.5703125" style="6" customWidth="1"/>
    <col min="29" max="29" width="3.140625" style="6" customWidth="1"/>
    <col min="30" max="30" width="16.5703125" style="6" customWidth="1"/>
    <col min="31" max="31" width="3.28515625" style="6" customWidth="1"/>
    <col min="32" max="32" width="11.28515625" customWidth="1"/>
    <col min="33" max="33" width="3.28515625" customWidth="1"/>
    <col min="34" max="34" width="48.28515625" customWidth="1"/>
    <col min="35" max="35" width="48" customWidth="1"/>
    <col min="36" max="36" width="9.140625" customWidth="1"/>
    <col min="37" max="37" width="11.85546875" customWidth="1"/>
    <col min="42" max="42" width="9.140625" style="35"/>
    <col min="44" max="44" width="8.140625" style="35" customWidth="1"/>
    <col min="45" max="54" width="9.140625" style="35"/>
    <col min="55" max="55" width="9.140625" style="119"/>
    <col min="56" max="58" width="9.140625" style="35"/>
  </cols>
  <sheetData>
    <row r="1" spans="2:58" x14ac:dyDescent="0.25">
      <c r="H1" t="str" cm="1">
        <f t="array" aca="1" ref="H1" ca="1">MID(CELL("filename",A1),FIND("]",CELL("filename",A1))+1,255)</f>
        <v>Proposal_1</v>
      </c>
      <c r="J1"/>
      <c r="K1" s="6"/>
      <c r="L1" s="4"/>
      <c r="M1" s="4"/>
      <c r="O1" s="6"/>
      <c r="P1" s="4"/>
      <c r="Q1" s="4"/>
      <c r="S1" s="6"/>
      <c r="T1" s="4"/>
      <c r="U1" s="4"/>
      <c r="W1" s="6"/>
      <c r="X1" s="4"/>
      <c r="AA1" s="6"/>
      <c r="AB1" s="4"/>
      <c r="AC1" s="4"/>
      <c r="AD1" s="4"/>
      <c r="AE1" s="4"/>
      <c r="AF1" s="6"/>
      <c r="AG1" s="6"/>
      <c r="AH1" s="6"/>
    </row>
    <row r="2" spans="2:58" x14ac:dyDescent="0.25">
      <c r="B2" s="9"/>
      <c r="C2" s="9"/>
      <c r="D2" s="9"/>
      <c r="E2" s="9"/>
      <c r="F2" s="117"/>
      <c r="G2" s="9"/>
      <c r="H2" s="9"/>
      <c r="I2" s="123"/>
      <c r="J2" s="9" t="s">
        <v>20</v>
      </c>
      <c r="K2" s="10" t="s">
        <v>21</v>
      </c>
      <c r="L2" s="9" t="s">
        <v>22</v>
      </c>
      <c r="M2" s="9"/>
      <c r="N2" s="9" t="s">
        <v>23</v>
      </c>
      <c r="O2" s="10" t="s">
        <v>21</v>
      </c>
      <c r="P2" s="9" t="s">
        <v>24</v>
      </c>
      <c r="Q2" s="9"/>
      <c r="R2" s="9" t="s">
        <v>25</v>
      </c>
      <c r="S2" s="10" t="s">
        <v>21</v>
      </c>
      <c r="T2" s="9" t="s">
        <v>26</v>
      </c>
      <c r="U2" s="9"/>
      <c r="V2" s="9" t="s">
        <v>27</v>
      </c>
      <c r="W2" s="10" t="s">
        <v>21</v>
      </c>
      <c r="X2" s="9" t="s">
        <v>28</v>
      </c>
      <c r="Y2" s="9"/>
      <c r="Z2" s="9" t="s">
        <v>29</v>
      </c>
      <c r="AA2" s="10" t="s">
        <v>21</v>
      </c>
      <c r="AB2" s="9" t="s">
        <v>30</v>
      </c>
      <c r="AC2" s="4"/>
      <c r="AD2" s="4"/>
      <c r="AE2" s="4"/>
    </row>
    <row r="3" spans="2:58" x14ac:dyDescent="0.25">
      <c r="B3" t="s">
        <v>32</v>
      </c>
      <c r="C3" s="11">
        <v>45896</v>
      </c>
      <c r="H3" s="12"/>
      <c r="I3" s="124" t="s">
        <v>33</v>
      </c>
      <c r="J3" s="6">
        <f>SUMIFS(J$14:J$350,$F$14:$F$350,"Included")+SUMIFS(J$14:J$350,$F$14:$F$350,"Add")-J6</f>
        <v>16545</v>
      </c>
      <c r="K3" s="6">
        <f>L3-J3</f>
        <v>0</v>
      </c>
      <c r="L3" s="6">
        <f>SUMIFS(L$14:L$350,$F$14:$F$350,"Included")+SUMIFS(L$14:L$350,$F$14:$F$350,"Add")-L6</f>
        <v>16545</v>
      </c>
      <c r="N3" s="6">
        <f>SUMIFS(N$14:N$350,$F$14:$F$350,"Included")+SUMIFS(N$14:N$350,$F$14:$F$350,"Add")</f>
        <v>840215</v>
      </c>
      <c r="O3" s="6">
        <f>P3-N3</f>
        <v>-589322.5</v>
      </c>
      <c r="P3" s="6">
        <f>SUMIFS(P$14:P$350,$F$14:$F$350,"Included")+SUMIFS(P$14:P$350,$F$14:$F$350,"Add")</f>
        <v>250892.5</v>
      </c>
      <c r="R3" s="6">
        <f>SUMIFS(R$14:R$350,$F$14:$F$350,"Included")+SUMIFS(R$14:R$350,$F$14:$F$350,"Add")</f>
        <v>34899</v>
      </c>
      <c r="S3" s="6">
        <f>T3-R3</f>
        <v>0</v>
      </c>
      <c r="T3" s="6">
        <f>SUMIFS(T$14:T$350,$F$14:$F$350,"Included")+SUMIFS(T$14:T$350,$F$14:$F$350,"Add")</f>
        <v>34899</v>
      </c>
      <c r="V3" s="6">
        <f>SUMIFS(V$14:V$350,$F$14:$F$350,"Included")+SUMIFS(V$14:V$350,$F$14:$F$350,"Add")</f>
        <v>44605.4</v>
      </c>
      <c r="W3" s="6">
        <f>X3-V3</f>
        <v>-5529.9000000000015</v>
      </c>
      <c r="X3" s="6">
        <f>SUMIFS(X$14:X$350,$F$14:$F$350,"Included")+SUMIFS(X$14:X$350,$F$14:$F$350,"Add")</f>
        <v>39075.5</v>
      </c>
      <c r="Y3" s="4"/>
      <c r="Z3" s="6">
        <f>SUMIFS(Z$14:Z$350,$F$14:$F$350,"Included")+SUMIFS(Z$14:Z$350,$F$14:$F$350,"Add")</f>
        <v>0</v>
      </c>
      <c r="AA3" s="6">
        <f>AB3-Z3</f>
        <v>0</v>
      </c>
      <c r="AB3" s="6">
        <f>SUMIFS(AB$14:AB$350,$F$14:$F$350,"Included")+SUMIFS(AB$14:AB$350,$F$14:$F$350,"Add")</f>
        <v>0</v>
      </c>
      <c r="AC3" s="4"/>
      <c r="AD3" s="4"/>
      <c r="AE3" s="4"/>
    </row>
    <row r="4" spans="2:58" x14ac:dyDescent="0.25">
      <c r="B4" t="s">
        <v>34</v>
      </c>
      <c r="C4" s="139" t="s">
        <v>2117</v>
      </c>
      <c r="H4" s="12"/>
      <c r="I4" s="124" t="s">
        <v>35</v>
      </c>
      <c r="J4" s="6">
        <f>SUMIFS(J$14:J$350,$F$14:$F$350,"Optional")-J7</f>
        <v>0</v>
      </c>
      <c r="K4" s="6">
        <f>L4-J4</f>
        <v>0</v>
      </c>
      <c r="L4" s="6">
        <f>SUMIFS(L$14:L$350,$F$14:$F$350,"Optional")-L7</f>
        <v>0</v>
      </c>
      <c r="N4" s="6">
        <f>SUMIFS(N$14:N$350,$F$14:$F$350,"Optional")</f>
        <v>279595</v>
      </c>
      <c r="O4" s="6">
        <f>P4-N4</f>
        <v>-190745</v>
      </c>
      <c r="P4" s="6">
        <f>SUMIFS(P$14:P$350,$F$14:$F$350,"Optional")</f>
        <v>88850</v>
      </c>
      <c r="R4" s="6">
        <f>SUMIFS(R$14:R$350,$F$14:$F$350,"Optional")</f>
        <v>14095.7</v>
      </c>
      <c r="S4" s="6">
        <f>T4-R4</f>
        <v>0</v>
      </c>
      <c r="T4" s="6">
        <f>SUMIFS(T$14:T$350,$F$14:$F$350,"Optional")</f>
        <v>14095.7</v>
      </c>
      <c r="V4" s="6">
        <f>SUMIFS(V$14:V$350,$F$14:$F$350,"Optional")</f>
        <v>11380</v>
      </c>
      <c r="W4" s="6">
        <f>X4-V4</f>
        <v>-1155.5</v>
      </c>
      <c r="X4" s="6">
        <f>SUMIFS(X$14:X$350,$F$14:$F$350,"Optional")</f>
        <v>10224.5</v>
      </c>
      <c r="Y4" s="4"/>
      <c r="Z4" s="6">
        <f>SUMIFS(Z$14:Z$350,$F$14:$F$350,"Optional")</f>
        <v>0</v>
      </c>
      <c r="AA4" s="6">
        <f>AB4-Z4</f>
        <v>0</v>
      </c>
      <c r="AB4" s="6">
        <f>SUMIFS(AB$14:AB$350,$F$14:$F$350,"Optional")</f>
        <v>0</v>
      </c>
      <c r="AC4" s="4"/>
      <c r="AD4" s="4"/>
      <c r="AE4" s="4"/>
    </row>
    <row r="5" spans="2:58" x14ac:dyDescent="0.25">
      <c r="C5" s="13" t="s">
        <v>2120</v>
      </c>
      <c r="H5" s="12"/>
      <c r="I5" s="124" t="s">
        <v>36</v>
      </c>
      <c r="J5" s="6">
        <f>SUMIFS(J$14:J$350,$F$14:$F$350,"Replaced")</f>
        <v>0</v>
      </c>
      <c r="K5" s="6">
        <f>L5-J5</f>
        <v>0</v>
      </c>
      <c r="L5" s="6">
        <f>SUMIFS(L$14:L$350,$F$14:$F$350,"Replaced")</f>
        <v>0</v>
      </c>
      <c r="N5" s="6">
        <f>SUMIFS(N$14:N$350,$F$14:$F$350,"Replaced")</f>
        <v>0</v>
      </c>
      <c r="O5" s="6">
        <f>P5-N5</f>
        <v>0</v>
      </c>
      <c r="P5" s="6">
        <f>SUMIFS(P$14:P$350,$F$14:$F$350,"Replaced")</f>
        <v>0</v>
      </c>
      <c r="R5" s="6">
        <f>SUMIFS(R$14:R$350,$F$14:$F$350,"Replaced")</f>
        <v>0</v>
      </c>
      <c r="S5" s="6">
        <f>T5-R5</f>
        <v>0</v>
      </c>
      <c r="T5" s="6">
        <f>SUMIFS(T$14:T$350,$F$14:$F$350,"Replaced")</f>
        <v>0</v>
      </c>
      <c r="V5" s="6">
        <f>SUMIFS(V$14:V$350,$F$14:$F$350,"Replaced")</f>
        <v>0</v>
      </c>
      <c r="W5" s="6">
        <f>X5-V5</f>
        <v>0</v>
      </c>
      <c r="X5" s="6">
        <f>SUMIFS(X$14:X$350,$F$14:$F$350,"Replaced")</f>
        <v>0</v>
      </c>
      <c r="Z5" s="6">
        <f>SUMIFS(Z$14:Z$350,$F$14:$F$350,"Replaced")</f>
        <v>0</v>
      </c>
      <c r="AA5" s="6">
        <f>AB5-Z5</f>
        <v>0</v>
      </c>
      <c r="AB5" s="6">
        <f>SUMIFS(AB$14:AB$350,$F$14:$F$350,"Replaced")</f>
        <v>0</v>
      </c>
      <c r="AC5" s="4"/>
      <c r="AD5" s="4"/>
      <c r="AE5" s="4"/>
    </row>
    <row r="6" spans="2:58" x14ac:dyDescent="0.25">
      <c r="H6" s="12"/>
      <c r="I6" s="124" t="s">
        <v>37</v>
      </c>
      <c r="J6" s="6">
        <f>SUMIFS($J$14:$J$350,$C$14:$C$350,"",$F$14:$F$350,"Included")</f>
        <v>0</v>
      </c>
      <c r="K6" s="6">
        <f>L6-J6</f>
        <v>0</v>
      </c>
      <c r="L6" s="6">
        <f>SUMIFS($L$14:$L$350,$C$14:$C$350,"",$F$14:$F$350,"Included")</f>
        <v>0</v>
      </c>
      <c r="W6" s="114"/>
      <c r="AE6" s="4"/>
    </row>
    <row r="7" spans="2:58" x14ac:dyDescent="0.25">
      <c r="B7" s="12" t="s">
        <v>38</v>
      </c>
      <c r="C7" s="135">
        <v>116592</v>
      </c>
      <c r="H7" s="12"/>
      <c r="I7" s="124" t="s">
        <v>39</v>
      </c>
      <c r="J7" s="6">
        <f>SUMIFS($J$14:$J$350,$C$14:$C$350,"",$F$14:$F$350,"Optional")</f>
        <v>0</v>
      </c>
      <c r="K7" s="6">
        <f>L7-J7</f>
        <v>0</v>
      </c>
      <c r="L7" s="6">
        <f>SUMIFS($L$14:$L$350,$C$14:$C$350,"",$F$14:$F$350,"Optional")</f>
        <v>0</v>
      </c>
      <c r="V7" s="118" t="str">
        <f>IF(SUM(SF_Output!F:F)&gt;0,"PAP Discount (%)","")</f>
        <v>PAP Discount (%)</v>
      </c>
      <c r="W7" s="137">
        <v>0</v>
      </c>
      <c r="X7" s="131"/>
      <c r="AA7" s="6"/>
      <c r="AE7" s="4"/>
    </row>
    <row r="8" spans="2:58" x14ac:dyDescent="0.25">
      <c r="B8" s="12" t="s">
        <v>40</v>
      </c>
      <c r="C8" s="7">
        <v>0</v>
      </c>
      <c r="X8" s="118"/>
      <c r="AE8" s="4"/>
    </row>
    <row r="9" spans="2:58" x14ac:dyDescent="0.25">
      <c r="B9" s="12" t="s">
        <v>41</v>
      </c>
      <c r="C9" t="s">
        <v>2118</v>
      </c>
      <c r="J9" s="118" t="s">
        <v>42</v>
      </c>
      <c r="K9" s="5">
        <v>0</v>
      </c>
      <c r="N9" s="118" t="s">
        <v>42</v>
      </c>
      <c r="O9" s="5">
        <v>0</v>
      </c>
      <c r="R9" s="118" t="s">
        <v>42</v>
      </c>
      <c r="S9" s="5">
        <v>0</v>
      </c>
      <c r="V9" s="118" t="str">
        <f>IF(SUM(SF_Output!F:F)&gt;0,"","Global Discount")</f>
        <v/>
      </c>
      <c r="W9" s="132">
        <v>0</v>
      </c>
      <c r="AE9" s="4"/>
    </row>
    <row r="10" spans="2:58" x14ac:dyDescent="0.25">
      <c r="B10" s="12" t="s">
        <v>43</v>
      </c>
      <c r="C10" t="s">
        <v>2119</v>
      </c>
      <c r="AE10" s="4"/>
    </row>
    <row r="11" spans="2:58" x14ac:dyDescent="0.25">
      <c r="B11" t="s">
        <v>44</v>
      </c>
      <c r="C11" s="111" t="s">
        <v>2639</v>
      </c>
      <c r="J11" s="9"/>
      <c r="K11" s="10" t="s">
        <v>45</v>
      </c>
      <c r="L11" s="9"/>
      <c r="N11" s="9"/>
      <c r="O11" s="10" t="s">
        <v>46</v>
      </c>
      <c r="P11" s="9"/>
      <c r="R11" s="9"/>
      <c r="S11" s="10" t="s">
        <v>47</v>
      </c>
      <c r="T11" s="9"/>
      <c r="V11" s="9"/>
      <c r="W11" s="10" t="s">
        <v>48</v>
      </c>
      <c r="X11" s="9"/>
      <c r="Z11" s="9"/>
      <c r="AA11" s="10" t="s">
        <v>49</v>
      </c>
      <c r="AB11" s="9"/>
      <c r="AE11" s="4"/>
    </row>
    <row r="12" spans="2:58" x14ac:dyDescent="0.25">
      <c r="C12" s="35">
        <v>5000</v>
      </c>
      <c r="J12"/>
      <c r="K12" s="6"/>
      <c r="L12" s="4"/>
      <c r="M12" s="4"/>
      <c r="O12" s="6"/>
      <c r="P12" s="4"/>
      <c r="Q12" s="4"/>
      <c r="S12" s="6"/>
      <c r="T12" s="4"/>
      <c r="U12" s="4"/>
      <c r="W12" s="6"/>
      <c r="X12" s="4"/>
      <c r="AA12" s="6"/>
      <c r="AB12" s="4"/>
      <c r="AC12" s="4"/>
      <c r="AD12" s="4"/>
      <c r="AE12" s="4"/>
      <c r="AF12" s="6"/>
      <c r="AG12" s="6"/>
      <c r="AH12" s="6"/>
    </row>
    <row r="13" spans="2:58" x14ac:dyDescent="0.25">
      <c r="B13" s="8" t="s">
        <v>50</v>
      </c>
      <c r="C13" s="8" t="s">
        <v>51</v>
      </c>
      <c r="D13" s="8" t="s">
        <v>52</v>
      </c>
      <c r="E13" s="8" t="s">
        <v>53</v>
      </c>
      <c r="F13" s="115" t="s">
        <v>54</v>
      </c>
      <c r="G13" s="8" t="s">
        <v>55</v>
      </c>
      <c r="H13" s="120" t="s">
        <v>56</v>
      </c>
      <c r="I13" s="123" t="s">
        <v>57</v>
      </c>
      <c r="J13" s="9" t="str">
        <f>J2</f>
        <v>License List</v>
      </c>
      <c r="K13" s="10" t="s">
        <v>21</v>
      </c>
      <c r="L13" s="9" t="str">
        <f>L2</f>
        <v>License Net</v>
      </c>
      <c r="M13" s="9"/>
      <c r="N13" s="9" t="str">
        <f>N2</f>
        <v>Install List</v>
      </c>
      <c r="O13" s="10" t="s">
        <v>21</v>
      </c>
      <c r="P13" s="9" t="str">
        <f>P2</f>
        <v>Install Net</v>
      </c>
      <c r="Q13" s="9"/>
      <c r="R13" s="9" t="str">
        <f>R2</f>
        <v>Maintenance List</v>
      </c>
      <c r="S13" s="10" t="s">
        <v>21</v>
      </c>
      <c r="T13" s="9" t="str">
        <f>T2</f>
        <v>Maintenance Net</v>
      </c>
      <c r="U13" s="9"/>
      <c r="V13" s="9" t="str">
        <f>V2</f>
        <v>New Monthly List</v>
      </c>
      <c r="W13" s="10" t="s">
        <v>21</v>
      </c>
      <c r="X13" s="9" t="str">
        <f>X2</f>
        <v>New Monthly Net</v>
      </c>
      <c r="Y13" s="9"/>
      <c r="Z13" s="9" t="s">
        <v>29</v>
      </c>
      <c r="AA13" s="10" t="s">
        <v>21</v>
      </c>
      <c r="AB13" s="9" t="s">
        <v>30</v>
      </c>
      <c r="AC13" s="9"/>
      <c r="AD13" s="9" t="s">
        <v>31</v>
      </c>
      <c r="AE13" s="4"/>
      <c r="AF13" s="9" t="s">
        <v>58</v>
      </c>
      <c r="AH13" s="9" t="s">
        <v>59</v>
      </c>
      <c r="AI13" s="9" t="s">
        <v>60</v>
      </c>
      <c r="AJ13" s="9" t="s">
        <v>61</v>
      </c>
      <c r="AK13" s="8" t="s">
        <v>62</v>
      </c>
      <c r="AP13" s="129"/>
      <c r="AQ13" s="35"/>
      <c r="BC13" s="35"/>
    </row>
    <row r="14" spans="2:58" x14ac:dyDescent="0.25">
      <c r="B14" t="s">
        <v>1794</v>
      </c>
      <c r="C14" t="s">
        <v>2122</v>
      </c>
      <c r="D14" t="s">
        <v>2123</v>
      </c>
      <c r="E14" t="s">
        <v>2124</v>
      </c>
      <c r="F14" s="116" t="str">
        <f t="shared" ref="F14:F77" si="0">IF(B14="","",IF(E14*1=0,"Included","Optional"))</f>
        <v>Included</v>
      </c>
      <c r="G14" t="str">
        <f>IF(B14="","",INDEX(SF_Output!$K$1:$K$400,MATCH(B14,SF_Output!$M$1:$M$400,0)))</f>
        <v>SilverLake</v>
      </c>
      <c r="H14" cm="1">
        <f t="array" ref="H14">_xlfn.IFS(B14="","",(SUMIFS(SF_Output!$F$1:$F$400,SF_Output!$AC$1:$AC$400,_xlfn.TEXTJOIN(",",TRUE,B14:E14))+SUMIFS(SF_Output!$G$1:$G$400,SF_Output!$AC$1:$AC$400,_xlfn.TEXTJOIN(",",TRUE,B14:E14)))&lt;&gt;0,SF_Output!$Y$2,INDEX(SF_Output!$F$1:$F$400,MATCH(_xlfn.TEXTJOIN(",",TRUE,B14:E14),SF_Output!$AC$1:$AC$400,0))=0,INDEX(SF_Output!$R$1:$R$400,MATCH(_xlfn.TEXTJOIN(",",TRUE,B14:E14),SF_Output!$AC$1:$AC$400,0)))</f>
        <v>5000</v>
      </c>
      <c r="I14" s="125">
        <f>IFERROR(IF(AND(H14&gt;1,H14&lt;&gt;""),ROUND(SUMIFS(SF_Output!$S$1:$S$400,SF_Output!$AC$1:$AC$400,_xlfn.TEXTJOIN(",",TRUE,B14:E14),SF_Output!$Q$1:$Q$400,"monthly")*(1-W14)/H14,4),""),"")</f>
        <v>1.2181</v>
      </c>
      <c r="J14" s="6">
        <f>IF(B14="","",SUMIFS(SF_Output!$S$1:$S$400,SF_Output!$AC$1:$AC$400,_xlfn.TEXTJOIN(",",TRUE,B14:E14),SF_Output!$Q$1:$Q$400,"One Time",SF_Output!$L$1:$L$400,"license fee")+SUMIFS(SF_Output!$S$1:$S$400,SF_Output!$AC$1:$AC$400,_xlfn.TEXTJOIN(",",TRUE,B14:E14),SF_Output!$Q$1:$Q$400,"One Time",SF_Output!$L$1:$L$400,"software license")+SUMIFS(SF_Output!$S$1:$S$400,SF_Output!$AC$1:$AC$400,_xlfn.TEXTJOIN(",",TRUE,B14:E14),SF_Output!$Q$1:$Q$400,"One Time",SF_Output!$L$1:$L$400,"hardware"))</f>
        <v>0</v>
      </c>
      <c r="K14" s="112" t="str">
        <f>IF(OR(B14=0,B14="",G14="hardware",J14=0),"",IF(AF14&lt;&gt;"exclusion",MAX(K$9,-((SUMIFS(SF_Output!$T$1:$T$400,SF_Output!$AC$1:$AC$400,_xlfn.TEXTJOIN(",",TRUE,$B14:$E14),SF_Output!$Q$1:$Q$400,"One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license"))/J14)))</f>
        <v/>
      </c>
      <c r="L14" s="6">
        <f t="shared" ref="L14:L77" si="1">IF(K14="",J14,J14*(1-K14))</f>
        <v>0</v>
      </c>
      <c r="N14" s="6">
        <f>IF(B14="","",SUMIFS(SF_Output!$S$1:$S$400,SF_Output!$AC$1:$AC$400,_xlfn.TEXTJOIN(",",TRUE,B14:E14),SF_Output!$Q$1:$Q$400,"One Time",SF_Output!$L$1:$L$400,"professional service"))</f>
        <v>78700</v>
      </c>
      <c r="O14" s="112">
        <f>IF(OR(B14=0,B14="",N14=0),"",IF(AF14&lt;&gt;"exclusion",MAX(O$9,-(SUMIFS(SF_Output!$T$1:$T$400,SF_Output!$AC$1:$AC$400,_xlfn.TEXTJOIN(",",TRUE,$B14:$E14),SF_Output!$Q$1:$Q$400,"One Time",SF_Output!$L$1:$L$400,"professional service"))/N14),-((SUMIFS(SF_Output!$T$1:$T$400,SF_Output!$AC$1:$AC$400,_xlfn.TEXTJOIN(",",TRUE,$B14:$E14),SF_Output!$Q$1:$Q$400,"One Time",SF_Output!$L$1:$L$400,"professional service")/N14))))</f>
        <v>1</v>
      </c>
      <c r="P14" s="6">
        <f t="shared" ref="P14:P77" si="2">IF(O14="",N14,N14*(1-O14))</f>
        <v>0</v>
      </c>
      <c r="R14" s="6">
        <f>IF(B14="","",SUMIFS(SF_Output!$S$1:$S$400,SF_Output!$AC$1:$AC$400,_xlfn.TEXTJOIN(",",TRUE,B14:E14),SF_Output!$Q$1:$Q$400,"yearly")+SUMIFS(SF_Output!$S$1:$S$400,SF_Output!$AC$1:$AC$400,_xlfn.TEXTJOIN(",",TRUE,B14:E14),SF_Output!$Q$1:$Q$400,"quarterly")*4)</f>
        <v>0</v>
      </c>
      <c r="S14" s="112" t="str">
        <f>IF(OR(B14=0,B14="",G14="hardware",R14=0),"",IF(AF14&lt;&gt;"exclusion",MAX(S$9,-(SUMIFS(SF_Output!$T$1:$T$400,SF_Output!$AC$1:$AC$400,_xlfn.TEXTJOIN(",",TRUE,$B14:$E14),SF_Output!$Q$1:$Q$400,"yearly"))/R14),-((SUMIFS(SF_Output!$T$1:$T$400,SF_Output!$AC$1:$AC$400,_xlfn.TEXTJOIN(",",TRUE,$B14:$E14),SF_Output!$Q$1:$Q$400,"yearly")/R14))))</f>
        <v/>
      </c>
      <c r="T14" s="6">
        <f t="shared" ref="T14:T77" si="3">IF(S14="",R14,R14*(1-S14))</f>
        <v>0</v>
      </c>
      <c r="V14" s="6" cm="1">
        <f t="array" ref="V14">_xlfn.IFS(B14="","",AND(B14&lt;&gt;"",H14=SF_Output!$Y$2,SUMIFS(SF_Output!$T$1:$T$400,SF_Output!$AC$1:$AC$400,_xlfn.TEXTJOIN(",",TRUE,B14:E14),SF_Output!$Q$1:$Q$400,"monthly")=0),(SUMIFS(SF_Output!$F$1:$F$400,SF_Output!$AC$1:$AC$400,_xlfn.TEXTJOIN(",",TRUE,B14:E14),SF_Output!$Q$1:$Q$400,"monthly")+SUMIFS(SF_Output!$G$1:$G$400,SF_Output!$AC$1:$AC$400,_xlfn.TEXTJOIN(",",TRUE,B14:E14),SF_Output!$Q$1:$Q$400,"monthly"))*H14,AND(B14&lt;&gt;"",H14=SF_Output!$Y$2,SUMIFS(SF_Output!$T$1:$T$400,SF_Output!$AC$1:$AC$400,_xlfn.TEXTJOIN(",",TRUE,B14:E14),SF_Output!$Q$1:$Q$400,"monthly")&lt;&gt;0),SUMIFS(SF_Output!$S$1:$S$400,SF_Output!$AC$1:$AC$400,_xlfn.TEXTJOIN(",",TRUE,B14:E14),SF_Output!$Q$1:$Q$400,"monthly"),AND(B14&lt;&gt;"",H14&lt;&gt;SF_Output!$Y$2),SUMIFS(SF_Output!$S$1:$S$400,SF_Output!$AC$1:$AC$400,_xlfn.TEXTJOIN(",",TRUE,B14:E14),SF_Output!$Q$1:$Q$400,"monthly"))</f>
        <v>6921.15</v>
      </c>
      <c r="W14" s="112" cm="1">
        <f t="array" ref="W14">_xlfn.IFS(OR(B14=0,B14="",V14=0),"",AF14&lt;&gt;"exclusion",MAX($W$9,$W$7,(-(SUMIFS(SF_Output!$T$1:$T$400,SF_Output!$AC$1:$AC$400,_xlfn.TEXTJOIN(",",TRUE,$B14:$E14),SF_Output!$Q$1:$Q$400,"monthly"))/V14)),AF14="exclusion",-(SUMIFS(SF_Output!$T$1:$T$400,SF_Output!$AC$1:$AC$400,_xlfn.TEXTJOIN(",",TRUE,$B14:$E14),SF_Output!$Q$1:$Q$400,"monthly"))/V14)</f>
        <v>0.12000028896931868</v>
      </c>
      <c r="X14" s="6" cm="1">
        <f t="array" ref="X14">IFERROR(_xlfn.IFS(V14=0,0,V14="","",W14=0,V14,OR(V14&lt;&gt;0,V14&lt;&gt;""),H14*I14),V14*(1-W14))</f>
        <v>6090.5</v>
      </c>
      <c r="Z14" s="6">
        <f>IFERROR(IF(B14="","",SUMIFS(Billing_Fallout!H:H,Billing_Fallout!N:N,B14)),0)</f>
        <v>0</v>
      </c>
      <c r="AA14" s="6">
        <f t="shared" ref="AA14:AA77" si="4">IF(Z14="","",AB14-Z14)</f>
        <v>0</v>
      </c>
      <c r="AB14" s="6">
        <f>IFERROR(IF(B14="","",SUMIFS(Billing_Fallout!J:J,Billing_Fallout!N:N,B14)),0)</f>
        <v>0</v>
      </c>
      <c r="AD14" s="6">
        <f t="shared" ref="AD14:AD77" si="5">IFERROR(X14-AB14,"")</f>
        <v>6090.5</v>
      </c>
      <c r="AF14" t="str">
        <f>IFERROR(INDEX(H_Tables!$B$1:$B$1500,MATCH(INDEX(SF_Output!$J$1:$J$400,MATCH(B14,SF_Output!$M$1:$M$400,0)),H_Tables!$A$1:$A$1500,0)),"")</f>
        <v>Exclusion</v>
      </c>
      <c r="AI14" s="119" t="str">
        <f t="shared" ref="AI14:AI77" si="6">IF(B14="","",IF(F14="remove","Remove Product",IF(F14="add","Add Product",_xlfn.TEXTJOIN(", ",TRUE,AQ14,AR14,AS14,AT14,AU14,AV14,AW14,AX14,AY14,AZ14,BA14,BB14,BC14))))</f>
        <v/>
      </c>
      <c r="AJ14" s="121">
        <f>IFERROR(INDEX(SF_Output!AD:AD,MATCH(_xlfn.TEXTJOIN(",",TRUE,B14:E14),SF_Output!AC1:AC400,0)),0.05)</f>
        <v>8</v>
      </c>
      <c r="AK14" t="str">
        <f>IF(SUMIFS(SF_Output!$F$1:$F$400,SF_Output!$AC$1:$AC$400,_xlfn.TEXTJOIN(",",TRUE,B14:E14))+SUMIFS(SF_Output!$G$1:$G$400,SF_Output!$AC$1:$AC$400,_xlfn.TEXTJOIN(",",TRUE,B14:E14))=0,"","PAP")</f>
        <v>PAP</v>
      </c>
      <c r="AL14" s="35" t="str">
        <f t="shared" ref="AL14:AL77" si="7">LEFT(_xlfn.TEXTJOIN(",",TRUE,B14:E14),80)</f>
        <v>SilverLake System Bundle,New,Hosted by JHA,0</v>
      </c>
      <c r="AQ14" s="35"/>
      <c r="AR14" s="35" t="str" cm="1">
        <f t="array" ref="AR14">IFERROR(_xlfn.IFS(AND(E14*1=1,F14="Included"),"Change to Included",AND(E14*1=0,F14="Optional"),"Change to Optional",OR(B14="",F14="replaced"),""),"")</f>
        <v/>
      </c>
      <c r="AS14" s="35" t="str">
        <f t="shared" ref="AS14:AS77" si="8">IF((OR(NOT(_xlfn.ISFORMULA(J14)),NOT(_xlfn.ISFORMULA(L14)))),"Check License Price Override","")</f>
        <v/>
      </c>
      <c r="AT14" s="35" t="str">
        <f t="shared" ref="AT14:AT77" si="9">IF(OR(AND(K14=$K$9,K14&lt;&gt;0),NOT(_xlfn.ISFORMULA(K14))),"License Discount "&amp;K14*100&amp;"%","")</f>
        <v/>
      </c>
      <c r="AU14" s="35" t="str">
        <f t="shared" ref="AU14:AU77" si="10">IF((OR(NOT(_xlfn.ISFORMULA(N14)),NOT(_xlfn.ISFORMULA(P14)))),"Check Install Price Override","")</f>
        <v/>
      </c>
      <c r="AV14" s="35" t="str">
        <f t="shared" ref="AV14:AV77" si="11">IF(OR(AND(O14=$O$9,O14&lt;&gt;0),NOT(_xlfn.ISFORMULA(O14))),"Install Discount "&amp;O14*100&amp;"%","")</f>
        <v/>
      </c>
      <c r="AW14" s="35" t="str">
        <f t="shared" ref="AW14:AW77" si="12">IF((OR(NOT(_xlfn.ISFORMULA(R14)),NOT(_xlfn.ISFORMULA(T14)))),"Check Maintenance Price Override","")</f>
        <v/>
      </c>
      <c r="AX14" s="35" t="str">
        <f t="shared" ref="AX14:AX77" si="13">IF(OR(AND(S14=$S$9,S14&lt;&gt;0),NOT(_xlfn.ISFORMULA(S14))),"Maintenance Discount "&amp;S14*100&amp;"%","")</f>
        <v/>
      </c>
      <c r="AY14" s="35" t="str">
        <f t="shared" ref="AY14:AY77" si="14">IF((OR(NOT(_xlfn.ISFORMULA(V14)),NOT(_xlfn.ISFORMULA(X14)))),"Check Monthly Price Override","")</f>
        <v/>
      </c>
      <c r="AZ14" s="35" t="str">
        <f t="shared" ref="AZ14:AZ77" si="15">IF(OR((AND(W14=$W$9,W14&lt;&gt;0)),(AND(W14=$W$7,W14&lt;&gt;0)),(NOT(_xlfn.ISFORMULA(W14))),AND($W$7+0.2=W14,$W$7&lt;&gt;0)),"Monthly Discount "&amp;W14*100&amp;"%","")</f>
        <v/>
      </c>
      <c r="BA14" s="35" t="str">
        <f t="shared" ref="BA14:BA77" si="16">IF(NOT(_xlfn.ISFORMULA(H14)),"Check Quantity","")</f>
        <v/>
      </c>
      <c r="BB14" s="35" t="str">
        <f t="shared" ref="BB14:BB77" si="17">IF(NOT(_xlfn.ISFORMULA(I14)),"Check Unit Price Override","")</f>
        <v/>
      </c>
      <c r="BC14" s="35"/>
      <c r="BE14" s="35">
        <f ca="1">INDEX(SF_Output!$AA$2:$AA$400,MATCH($B14,SF_Output!$M$2:$M$400,0))</f>
        <v>1</v>
      </c>
      <c r="BF14" s="35">
        <f ca="1">INDEX(SF_Output!$AB$2:$AB$400,MATCH($B14,SF_Output!$M$2:$M$400,0))</f>
        <v>1</v>
      </c>
    </row>
    <row r="15" spans="2:58" x14ac:dyDescent="0.25">
      <c r="B15" t="s">
        <v>2143</v>
      </c>
      <c r="C15" t="s">
        <v>2122</v>
      </c>
      <c r="D15" t="s">
        <v>2123</v>
      </c>
      <c r="E15" t="s">
        <v>2124</v>
      </c>
      <c r="F15" s="116" t="str">
        <f t="shared" si="0"/>
        <v>Included</v>
      </c>
      <c r="G15" t="str">
        <f>IF(B15="","",INDEX(SF_Output!$K$1:$K$400,MATCH(B15,SF_Output!$M$1:$M$400,0)))</f>
        <v>SilverLake</v>
      </c>
      <c r="H15" cm="1">
        <f t="array" ref="H15">_xlfn.IFS(B15="","",(SUMIFS(SF_Output!$F$1:$F$400,SF_Output!$AC$1:$AC$400,_xlfn.TEXTJOIN(",",TRUE,B15:E15))+SUMIFS(SF_Output!$G$1:$G$400,SF_Output!$AC$1:$AC$400,_xlfn.TEXTJOIN(",",TRUE,B15:E15)))&lt;&gt;0,SF_Output!$Y$2,INDEX(SF_Output!$F$1:$F$400,MATCH(_xlfn.TEXTJOIN(",",TRUE,B15:E15),SF_Output!$AC$1:$AC$400,0))=0,INDEX(SF_Output!$R$1:$R$400,MATCH(_xlfn.TEXTJOIN(",",TRUE,B15:E15),SF_Output!$AC$1:$AC$400,0)))</f>
        <v>1</v>
      </c>
      <c r="I15" s="125" t="str">
        <f>IFERROR(IF(AND(H15&gt;1,H15&lt;&gt;""),ROUND(SUMIFS(SF_Output!$S$1:$S$400,SF_Output!$AC$1:$AC$400,_xlfn.TEXTJOIN(",",TRUE,B15:E15),SF_Output!$Q$1:$Q$400,"monthly")*(1-W15)/H15,4),""),"")</f>
        <v/>
      </c>
      <c r="J15" s="6">
        <f>IF(B15="","",SUMIFS(SF_Output!$S$1:$S$400,SF_Output!$AC$1:$AC$400,_xlfn.TEXTJOIN(",",TRUE,B15:E15),SF_Output!$Q$1:$Q$400,"One Time",SF_Output!$L$1:$L$400,"license fee")+SUMIFS(SF_Output!$S$1:$S$400,SF_Output!$AC$1:$AC$400,_xlfn.TEXTJOIN(",",TRUE,B15:E15),SF_Output!$Q$1:$Q$400,"One Time",SF_Output!$L$1:$L$400,"software license")+SUMIFS(SF_Output!$S$1:$S$400,SF_Output!$AC$1:$AC$400,_xlfn.TEXTJOIN(",",TRUE,B15:E15),SF_Output!$Q$1:$Q$400,"One Time",SF_Output!$L$1:$L$400,"hardware"))</f>
        <v>0</v>
      </c>
      <c r="K15" s="112" t="str">
        <f>IF(OR(B15=0,B15="",G15="hardware",J15=0),"",IF(AF15&lt;&gt;"exclusion",MAX(K$9,-((SUMIFS(SF_Output!$T$1:$T$400,SF_Output!$AC$1:$AC$400,_xlfn.TEXTJOIN(",",TRUE,$B15:$E15),SF_Output!$Q$1:$Q$400,"One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license"))/J15)))</f>
        <v/>
      </c>
      <c r="L15" s="6">
        <f t="shared" si="1"/>
        <v>0</v>
      </c>
      <c r="N15" s="6">
        <f>IF(B15="","",SUMIFS(SF_Output!$S$1:$S$400,SF_Output!$AC$1:$AC$400,_xlfn.TEXTJOIN(",",TRUE,B15:E15),SF_Output!$Q$1:$Q$400,"One Time",SF_Output!$L$1:$L$400,"professional service"))</f>
        <v>125405</v>
      </c>
      <c r="O15" s="112">
        <f>IF(OR(B15=0,B15="",N15=0),"",IF(AF15&lt;&gt;"exclusion",MAX(O$9,-(SUMIFS(SF_Output!$T$1:$T$400,SF_Output!$AC$1:$AC$400,_xlfn.TEXTJOIN(",",TRUE,$B15:$E15),SF_Output!$Q$1:$Q$400,"One Time",SF_Output!$L$1:$L$400,"professional service"))/N15),-((SUMIFS(SF_Output!$T$1:$T$400,SF_Output!$AC$1:$AC$400,_xlfn.TEXTJOIN(",",TRUE,$B15:$E15),SF_Output!$Q$1:$Q$400,"One Time",SF_Output!$L$1:$L$400,"professional service")/N15))))</f>
        <v>1</v>
      </c>
      <c r="P15" s="6">
        <f t="shared" si="2"/>
        <v>0</v>
      </c>
      <c r="R15" s="6">
        <f>IF(B15="","",SUMIFS(SF_Output!$S$1:$S$400,SF_Output!$AC$1:$AC$400,_xlfn.TEXTJOIN(",",TRUE,B15:E15),SF_Output!$Q$1:$Q$400,"yearly")+SUMIFS(SF_Output!$S$1:$S$400,SF_Output!$AC$1:$AC$400,_xlfn.TEXTJOIN(",",TRUE,B15:E15),SF_Output!$Q$1:$Q$400,"quarterly")*4)</f>
        <v>0</v>
      </c>
      <c r="S15" s="112" t="str">
        <f>IF(OR(B15=0,B15="",G15="hardware",R15=0),"",IF(AF15&lt;&gt;"exclusion",MAX(S$9,-(SUMIFS(SF_Output!$T$1:$T$400,SF_Output!$AC$1:$AC$400,_xlfn.TEXTJOIN(",",TRUE,$B15:$E15),SF_Output!$Q$1:$Q$400,"yearly"))/R15),-((SUMIFS(SF_Output!$T$1:$T$400,SF_Output!$AC$1:$AC$400,_xlfn.TEXTJOIN(",",TRUE,$B15:$E15),SF_Output!$Q$1:$Q$400,"yearly")/R15))))</f>
        <v/>
      </c>
      <c r="T15" s="6">
        <f t="shared" si="3"/>
        <v>0</v>
      </c>
      <c r="V15" s="6" cm="1">
        <f t="array" ref="V15">_xlfn.IFS(B15="","",AND(B15&lt;&gt;"",H15=SF_Output!$Y$2,SUMIFS(SF_Output!$T$1:$T$400,SF_Output!$AC$1:$AC$400,_xlfn.TEXTJOIN(",",TRUE,B15:E15),SF_Output!$Q$1:$Q$400,"monthly")=0),(SUMIFS(SF_Output!$F$1:$F$400,SF_Output!$AC$1:$AC$400,_xlfn.TEXTJOIN(",",TRUE,B15:E15),SF_Output!$Q$1:$Q$400,"monthly")+SUMIFS(SF_Output!$G$1:$G$400,SF_Output!$AC$1:$AC$400,_xlfn.TEXTJOIN(",",TRUE,B15:E15),SF_Output!$Q$1:$Q$400,"monthly"))*H15,AND(B15&lt;&gt;"",H15=SF_Output!$Y$2,SUMIFS(SF_Output!$T$1:$T$400,SF_Output!$AC$1:$AC$400,_xlfn.TEXTJOIN(",",TRUE,B15:E15),SF_Output!$Q$1:$Q$400,"monthly")&lt;&gt;0),SUMIFS(SF_Output!$S$1:$S$400,SF_Output!$AC$1:$AC$400,_xlfn.TEXTJOIN(",",TRUE,B15:E15),SF_Output!$Q$1:$Q$400,"monthly"),AND(B15&lt;&gt;"",H15&lt;&gt;SF_Output!$Y$2),SUMIFS(SF_Output!$S$1:$S$400,SF_Output!$AC$1:$AC$400,_xlfn.TEXTJOIN(",",TRUE,B15:E15),SF_Output!$Q$1:$Q$400,"monthly"))</f>
        <v>0</v>
      </c>
      <c r="W15" s="112" t="str" cm="1">
        <f t="array" ref="W15">_xlfn.IFS(OR(B15=0,B15="",V15=0),"",AF15&lt;&gt;"exclusion",MAX($W$9,$W$7,(-(SUMIFS(SF_Output!$T$1:$T$400,SF_Output!$AC$1:$AC$400,_xlfn.TEXTJOIN(",",TRUE,$B15:$E15),SF_Output!$Q$1:$Q$400,"monthly"))/V15)),AF15="exclusion",-(SUMIFS(SF_Output!$T$1:$T$400,SF_Output!$AC$1:$AC$400,_xlfn.TEXTJOIN(",",TRUE,$B15:$E15),SF_Output!$Q$1:$Q$400,"monthly"))/V15)</f>
        <v/>
      </c>
      <c r="X15" s="6" cm="1">
        <f t="array" ref="X15">IFERROR(_xlfn.IFS(V15=0,0,V15="","",W15=0,V15,OR(V15&lt;&gt;0,V15&lt;&gt;""),H15*I15),V15*(1-W15))</f>
        <v>0</v>
      </c>
      <c r="Z15" s="6">
        <f>IFERROR(IF(B15="","",SUMIFS(Billing_Fallout!H:H,Billing_Fallout!N:N,B15)),0)</f>
        <v>0</v>
      </c>
      <c r="AA15" s="6">
        <f t="shared" si="4"/>
        <v>0</v>
      </c>
      <c r="AB15" s="6">
        <f>IFERROR(IF(B15="","",SUMIFS(Billing_Fallout!J:J,Billing_Fallout!N:N,B15)),0)</f>
        <v>0</v>
      </c>
      <c r="AD15" s="6">
        <f t="shared" si="5"/>
        <v>0</v>
      </c>
      <c r="AF15" t="str">
        <f>IFERROR(INDEX(H_Tables!$B$1:$B$1500,MATCH(INDEX(SF_Output!$J$1:$J$400,MATCH(B15,SF_Output!$M$1:$M$400,0)),H_Tables!$A$1:$A$1500,0)),"")</f>
        <v/>
      </c>
      <c r="AI15" s="119" t="str">
        <f t="shared" si="6"/>
        <v/>
      </c>
      <c r="AJ15" s="121">
        <f>IFERROR(INDEX(SF_Output!AD:AD,MATCH(_xlfn.TEXTJOIN(",",TRUE,B15:E15),SF_Output!AC1:AC400,0)),0.05)</f>
        <v>10</v>
      </c>
      <c r="AK15" t="str">
        <f>IF(SUMIFS(SF_Output!$F$1:$F$400,SF_Output!$AC$1:$AC$400,_xlfn.TEXTJOIN(",",TRUE,B15:E15))+SUMIFS(SF_Output!$G$1:$G$400,SF_Output!$AC$1:$AC$400,_xlfn.TEXTJOIN(",",TRUE,B15:E15))=0,"","PAP")</f>
        <v/>
      </c>
      <c r="AL15" s="35" t="str">
        <f t="shared" si="7"/>
        <v>SilverLake Technical Conversion/Installation,New,Hosted by JHA,0</v>
      </c>
      <c r="AQ15" s="35"/>
      <c r="AR15" s="35" t="str" cm="1">
        <f t="array" ref="AR15">IFERROR(_xlfn.IFS(AND(E15*1=1,F15="Included"),"Change to Included",AND(E15*1=0,F15="Optional"),"Change to Optional",OR(B15="",F15="replaced"),""),"")</f>
        <v/>
      </c>
      <c r="AS15" s="35" t="str">
        <f t="shared" si="8"/>
        <v/>
      </c>
      <c r="AT15" s="35" t="str">
        <f t="shared" si="9"/>
        <v/>
      </c>
      <c r="AU15" s="35" t="str">
        <f t="shared" si="10"/>
        <v/>
      </c>
      <c r="AV15" s="35" t="str">
        <f t="shared" si="11"/>
        <v/>
      </c>
      <c r="AW15" s="35" t="str">
        <f t="shared" si="12"/>
        <v/>
      </c>
      <c r="AX15" s="35" t="str">
        <f t="shared" si="13"/>
        <v/>
      </c>
      <c r="AY15" s="35" t="str">
        <f t="shared" si="14"/>
        <v/>
      </c>
      <c r="AZ15" s="35" t="str">
        <f t="shared" si="15"/>
        <v/>
      </c>
      <c r="BA15" s="35" t="str">
        <f t="shared" si="16"/>
        <v/>
      </c>
      <c r="BB15" s="35" t="str">
        <f t="shared" si="17"/>
        <v/>
      </c>
      <c r="BC15" s="35"/>
      <c r="BE15" s="35">
        <f ca="1">INDEX(SF_Output!$AA$2:$AA$400,MATCH($B15,SF_Output!$M$2:$M$400,0))</f>
        <v>1</v>
      </c>
      <c r="BF15" s="35">
        <f ca="1">INDEX(SF_Output!$AB$2:$AB$400,MATCH($B15,SF_Output!$M$2:$M$400,0))</f>
        <v>1</v>
      </c>
    </row>
    <row r="16" spans="2:58" x14ac:dyDescent="0.25">
      <c r="B16" t="s">
        <v>1774</v>
      </c>
      <c r="C16" t="s">
        <v>2122</v>
      </c>
      <c r="D16" t="s">
        <v>2123</v>
      </c>
      <c r="E16" t="s">
        <v>2124</v>
      </c>
      <c r="F16" s="116" t="str">
        <f t="shared" si="0"/>
        <v>Included</v>
      </c>
      <c r="G16" t="str">
        <f>IF(B16="","",INDEX(SF_Output!$K$1:$K$400,MATCH(B16,SF_Output!$M$1:$M$400,0)))</f>
        <v>SilverLake</v>
      </c>
      <c r="H16" cm="1">
        <f t="array" ref="H16">_xlfn.IFS(B16="","",(SUMIFS(SF_Output!$F$1:$F$400,SF_Output!$AC$1:$AC$400,_xlfn.TEXTJOIN(",",TRUE,B16:E16))+SUMIFS(SF_Output!$G$1:$G$400,SF_Output!$AC$1:$AC$400,_xlfn.TEXTJOIN(",",TRUE,B16:E16)))&lt;&gt;0,SF_Output!$Y$2,INDEX(SF_Output!$F$1:$F$400,MATCH(_xlfn.TEXTJOIN(",",TRUE,B16:E16),SF_Output!$AC$1:$AC$400,0))=0,INDEX(SF_Output!$R$1:$R$400,MATCH(_xlfn.TEXTJOIN(",",TRUE,B16:E16),SF_Output!$AC$1:$AC$400,0)))</f>
        <v>1</v>
      </c>
      <c r="I16" s="125" t="str">
        <f>IFERROR(IF(AND(H16&gt;1,H16&lt;&gt;""),ROUND(SUMIFS(SF_Output!$S$1:$S$400,SF_Output!$AC$1:$AC$400,_xlfn.TEXTJOIN(",",TRUE,B16:E16),SF_Output!$Q$1:$Q$400,"monthly")*(1-W16)/H16,4),""),"")</f>
        <v/>
      </c>
      <c r="J16" s="6">
        <f>IF(B16="","",SUMIFS(SF_Output!$S$1:$S$400,SF_Output!$AC$1:$AC$400,_xlfn.TEXTJOIN(",",TRUE,B16:E16),SF_Output!$Q$1:$Q$400,"One Time",SF_Output!$L$1:$L$400,"license fee")+SUMIFS(SF_Output!$S$1:$S$400,SF_Output!$AC$1:$AC$400,_xlfn.TEXTJOIN(",",TRUE,B16:E16),SF_Output!$Q$1:$Q$400,"One Time",SF_Output!$L$1:$L$400,"software license")+SUMIFS(SF_Output!$S$1:$S$400,SF_Output!$AC$1:$AC$400,_xlfn.TEXTJOIN(",",TRUE,B16:E16),SF_Output!$Q$1:$Q$400,"One Time",SF_Output!$L$1:$L$400,"hardware"))</f>
        <v>0</v>
      </c>
      <c r="K16" s="112" t="str">
        <f>IF(OR(B16=0,B16="",G16="hardware",J16=0),"",IF(AF16&lt;&gt;"exclusion",MAX(K$9,-((SUMIFS(SF_Output!$T$1:$T$400,SF_Output!$AC$1:$AC$400,_xlfn.TEXTJOIN(",",TRUE,$B16:$E16),SF_Output!$Q$1:$Q$400,"One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license"))/J16)))</f>
        <v/>
      </c>
      <c r="L16" s="6">
        <f t="shared" si="1"/>
        <v>0</v>
      </c>
      <c r="N16" s="6">
        <f>IF(B16="","",SUMIFS(SF_Output!$S$1:$S$400,SF_Output!$AC$1:$AC$400,_xlfn.TEXTJOIN(",",TRUE,B16:E16),SF_Output!$Q$1:$Q$400,"One Time",SF_Output!$L$1:$L$400,"professional service"))</f>
        <v>0</v>
      </c>
      <c r="O16" s="112" t="str">
        <f>IF(OR(B16=0,B16="",N16=0),"",IF(AF16&lt;&gt;"exclusion",MAX(O$9,-(SUMIFS(SF_Output!$T$1:$T$400,SF_Output!$AC$1:$AC$400,_xlfn.TEXTJOIN(",",TRUE,$B16:$E16),SF_Output!$Q$1:$Q$400,"One Time",SF_Output!$L$1:$L$400,"professional service"))/N16),-((SUMIFS(SF_Output!$T$1:$T$400,SF_Output!$AC$1:$AC$400,_xlfn.TEXTJOIN(",",TRUE,$B16:$E16),SF_Output!$Q$1:$Q$400,"One Time",SF_Output!$L$1:$L$400,"professional service")/N16))))</f>
        <v/>
      </c>
      <c r="P16" s="6">
        <f t="shared" si="2"/>
        <v>0</v>
      </c>
      <c r="R16" s="6">
        <f>IF(B16="","",SUMIFS(SF_Output!$S$1:$S$400,SF_Output!$AC$1:$AC$400,_xlfn.TEXTJOIN(",",TRUE,B16:E16),SF_Output!$Q$1:$Q$400,"yearly")+SUMIFS(SF_Output!$S$1:$S$400,SF_Output!$AC$1:$AC$400,_xlfn.TEXTJOIN(",",TRUE,B16:E16),SF_Output!$Q$1:$Q$400,"quarterly")*4)</f>
        <v>0</v>
      </c>
      <c r="S16" s="112" t="str">
        <f>IF(OR(B16=0,B16="",G16="hardware",R16=0),"",IF(AF16&lt;&gt;"exclusion",MAX(S$9,-(SUMIFS(SF_Output!$T$1:$T$400,SF_Output!$AC$1:$AC$400,_xlfn.TEXTJOIN(",",TRUE,$B16:$E16),SF_Output!$Q$1:$Q$400,"yearly"))/R16),-((SUMIFS(SF_Output!$T$1:$T$400,SF_Output!$AC$1:$AC$400,_xlfn.TEXTJOIN(",",TRUE,$B16:$E16),SF_Output!$Q$1:$Q$400,"yearly")/R16))))</f>
        <v/>
      </c>
      <c r="T16" s="6">
        <f t="shared" si="3"/>
        <v>0</v>
      </c>
      <c r="V16" s="6" cm="1">
        <f t="array" ref="V16">_xlfn.IFS(B16="","",AND(B16&lt;&gt;"",H16=SF_Output!$Y$2,SUMIFS(SF_Output!$T$1:$T$400,SF_Output!$AC$1:$AC$400,_xlfn.TEXTJOIN(",",TRUE,B16:E16),SF_Output!$Q$1:$Q$400,"monthly")=0),(SUMIFS(SF_Output!$F$1:$F$400,SF_Output!$AC$1:$AC$400,_xlfn.TEXTJOIN(",",TRUE,B16:E16),SF_Output!$Q$1:$Q$400,"monthly")+SUMIFS(SF_Output!$G$1:$G$400,SF_Output!$AC$1:$AC$400,_xlfn.TEXTJOIN(",",TRUE,B16:E16),SF_Output!$Q$1:$Q$400,"monthly"))*H16,AND(B16&lt;&gt;"",H16=SF_Output!$Y$2,SUMIFS(SF_Output!$T$1:$T$400,SF_Output!$AC$1:$AC$400,_xlfn.TEXTJOIN(",",TRUE,B16:E16),SF_Output!$Q$1:$Q$400,"monthly")&lt;&gt;0),SUMIFS(SF_Output!$S$1:$S$400,SF_Output!$AC$1:$AC$400,_xlfn.TEXTJOIN(",",TRUE,B16:E16),SF_Output!$Q$1:$Q$400,"monthly"),AND(B16&lt;&gt;"",H16&lt;&gt;SF_Output!$Y$2),SUMIFS(SF_Output!$S$1:$S$400,SF_Output!$AC$1:$AC$400,_xlfn.TEXTJOIN(",",TRUE,B16:E16),SF_Output!$Q$1:$Q$400,"monthly"))</f>
        <v>0.25</v>
      </c>
      <c r="W16" s="112" cm="1">
        <f t="array" ref="W16">_xlfn.IFS(OR(B16=0,B16="",V16=0),"",AF16&lt;&gt;"exclusion",MAX($W$9,$W$7,(-(SUMIFS(SF_Output!$T$1:$T$400,SF_Output!$AC$1:$AC$400,_xlfn.TEXTJOIN(",",TRUE,$B16:$E16),SF_Output!$Q$1:$Q$400,"monthly"))/V16)),AF16="exclusion",-(SUMIFS(SF_Output!$T$1:$T$400,SF_Output!$AC$1:$AC$400,_xlfn.TEXTJOIN(",",TRUE,$B16:$E16),SF_Output!$Q$1:$Q$400,"monthly"))/V16)</f>
        <v>0</v>
      </c>
      <c r="X16" s="6" cm="1">
        <f t="array" ref="X16">IFERROR(_xlfn.IFS(V16=0,0,V16="","",W16=0,V16,OR(V16&lt;&gt;0,V16&lt;&gt;""),H16*I16),V16*(1-W16))</f>
        <v>0.25</v>
      </c>
      <c r="Z16" s="6">
        <f>IFERROR(IF(B16="","",SUMIFS(Billing_Fallout!H:H,Billing_Fallout!N:N,B16)),0)</f>
        <v>0</v>
      </c>
      <c r="AA16" s="6">
        <f t="shared" si="4"/>
        <v>0</v>
      </c>
      <c r="AB16" s="6">
        <f>IFERROR(IF(B16="","",SUMIFS(Billing_Fallout!J:J,Billing_Fallout!N:N,B16)),0)</f>
        <v>0</v>
      </c>
      <c r="AD16" s="6">
        <f t="shared" si="5"/>
        <v>0.25</v>
      </c>
      <c r="AF16" t="str">
        <f>IFERROR(INDEX(H_Tables!$B$1:$B$1500,MATCH(INDEX(SF_Output!$J$1:$J$400,MATCH(B16,SF_Output!$M$1:$M$400,0)),H_Tables!$A$1:$A$1500,0)),"")</f>
        <v>Exclusion</v>
      </c>
      <c r="AI16" s="119" t="str">
        <f t="shared" si="6"/>
        <v/>
      </c>
      <c r="AJ16" s="121">
        <f>IFERROR(INDEX(SF_Output!AD:AD,MATCH(_xlfn.TEXTJOIN(",",TRUE,B16:E16),SF_Output!AC1:AC400,0)),0.05)</f>
        <v>12</v>
      </c>
      <c r="AK16" t="str">
        <f>IF(SUMIFS(SF_Output!$F$1:$F$400,SF_Output!$AC$1:$AC$400,_xlfn.TEXTJOIN(",",TRUE,B16:E16))+SUMIFS(SF_Output!$G$1:$G$400,SF_Output!$AC$1:$AC$400,_xlfn.TEXTJOIN(",",TRUE,B16:E16))=0,"","PAP")</f>
        <v/>
      </c>
      <c r="AL16" s="35" t="str">
        <f t="shared" si="7"/>
        <v>Closed Accounts (PAP),New,Hosted by JHA,0</v>
      </c>
      <c r="AQ16" s="35"/>
      <c r="AR16" s="35" t="str" cm="1">
        <f t="array" ref="AR16">IFERROR(_xlfn.IFS(AND(E16*1=1,F16="Included"),"Change to Included",AND(E16*1=0,F16="Optional"),"Change to Optional",OR(B16="",F16="replaced"),""),"")</f>
        <v/>
      </c>
      <c r="AS16" s="35" t="str">
        <f t="shared" si="8"/>
        <v/>
      </c>
      <c r="AT16" s="35" t="str">
        <f t="shared" si="9"/>
        <v/>
      </c>
      <c r="AU16" s="35" t="str">
        <f t="shared" si="10"/>
        <v/>
      </c>
      <c r="AV16" s="35" t="str">
        <f t="shared" si="11"/>
        <v/>
      </c>
      <c r="AW16" s="35" t="str">
        <f t="shared" si="12"/>
        <v/>
      </c>
      <c r="AX16" s="35" t="str">
        <f t="shared" si="13"/>
        <v/>
      </c>
      <c r="AY16" s="35" t="str">
        <f t="shared" si="14"/>
        <v/>
      </c>
      <c r="AZ16" s="35" t="str">
        <f t="shared" si="15"/>
        <v/>
      </c>
      <c r="BA16" s="35" t="str">
        <f t="shared" si="16"/>
        <v/>
      </c>
      <c r="BB16" s="35" t="str">
        <f t="shared" si="17"/>
        <v/>
      </c>
      <c r="BC16" s="35"/>
      <c r="BE16" s="35">
        <f ca="1">INDEX(SF_Output!$AA$2:$AA$400,MATCH($B16,SF_Output!$M$2:$M$400,0))</f>
        <v>1</v>
      </c>
      <c r="BF16" s="35">
        <f ca="1">INDEX(SF_Output!$AB$2:$AB$400,MATCH($B16,SF_Output!$M$2:$M$400,0))</f>
        <v>1</v>
      </c>
    </row>
    <row r="17" spans="2:58" x14ac:dyDescent="0.25">
      <c r="B17" t="s">
        <v>2149</v>
      </c>
      <c r="C17" t="s">
        <v>2122</v>
      </c>
      <c r="D17" t="s">
        <v>2123</v>
      </c>
      <c r="E17" t="s">
        <v>2150</v>
      </c>
      <c r="F17" s="116" t="str">
        <f t="shared" si="0"/>
        <v>Optional</v>
      </c>
      <c r="G17" t="str">
        <f>IF(B17="","",INDEX(SF_Output!$K$1:$K$400,MATCH(B17,SF_Output!$M$1:$M$400,0)))</f>
        <v>SilverLake</v>
      </c>
      <c r="H17" cm="1">
        <f t="array" ref="H17">_xlfn.IFS(B17="","",(SUMIFS(SF_Output!$F$1:$F$400,SF_Output!$AC$1:$AC$400,_xlfn.TEXTJOIN(",",TRUE,B17:E17))+SUMIFS(SF_Output!$G$1:$G$400,SF_Output!$AC$1:$AC$400,_xlfn.TEXTJOIN(",",TRUE,B17:E17)))&lt;&gt;0,SF_Output!$Y$2,INDEX(SF_Output!$F$1:$F$400,MATCH(_xlfn.TEXTJOIN(",",TRUE,B17:E17),SF_Output!$AC$1:$AC$400,0))=0,INDEX(SF_Output!$R$1:$R$400,MATCH(_xlfn.TEXTJOIN(",",TRUE,B17:E17),SF_Output!$AC$1:$AC$400,0)))</f>
        <v>1</v>
      </c>
      <c r="I17" s="125" t="str">
        <f>IFERROR(IF(AND(H17&gt;1,H17&lt;&gt;""),ROUND(SUMIFS(SF_Output!$S$1:$S$400,SF_Output!$AC$1:$AC$400,_xlfn.TEXTJOIN(",",TRUE,B17:E17),SF_Output!$Q$1:$Q$400,"monthly")*(1-W17)/H17,4),""),"")</f>
        <v/>
      </c>
      <c r="J17" s="6">
        <f>IF(B17="","",SUMIFS(SF_Output!$S$1:$S$400,SF_Output!$AC$1:$AC$400,_xlfn.TEXTJOIN(",",TRUE,B17:E17),SF_Output!$Q$1:$Q$400,"One Time",SF_Output!$L$1:$L$400,"license fee")+SUMIFS(SF_Output!$S$1:$S$400,SF_Output!$AC$1:$AC$400,_xlfn.TEXTJOIN(",",TRUE,B17:E17),SF_Output!$Q$1:$Q$400,"One Time",SF_Output!$L$1:$L$400,"software license")+SUMIFS(SF_Output!$S$1:$S$400,SF_Output!$AC$1:$AC$400,_xlfn.TEXTJOIN(",",TRUE,B17:E17),SF_Output!$Q$1:$Q$400,"One Time",SF_Output!$L$1:$L$400,"hardware"))</f>
        <v>0</v>
      </c>
      <c r="K17" s="112" t="str">
        <f>IF(OR(B17=0,B17="",G17="hardware",J17=0),"",IF(AF17&lt;&gt;"exclusion",MAX(K$9,-((SUMIFS(SF_Output!$T$1:$T$400,SF_Output!$AC$1:$AC$400,_xlfn.TEXTJOIN(",",TRUE,$B17:$E17),SF_Output!$Q$1:$Q$400,"One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license"))/J17)))</f>
        <v/>
      </c>
      <c r="L17" s="6">
        <f t="shared" si="1"/>
        <v>0</v>
      </c>
      <c r="N17" s="6">
        <f>IF(B17="","",SUMIFS(SF_Output!$S$1:$S$400,SF_Output!$AC$1:$AC$400,_xlfn.TEXTJOIN(",",TRUE,B17:E17),SF_Output!$Q$1:$Q$400,"One Time",SF_Output!$L$1:$L$400,"professional service"))</f>
        <v>6000</v>
      </c>
      <c r="O17" s="112">
        <f>IF(OR(B17=0,B17="",N17=0),"",IF(AF17&lt;&gt;"exclusion",MAX(O$9,-(SUMIFS(SF_Output!$T$1:$T$400,SF_Output!$AC$1:$AC$400,_xlfn.TEXTJOIN(",",TRUE,$B17:$E17),SF_Output!$Q$1:$Q$400,"One Time",SF_Output!$L$1:$L$400,"professional service"))/N17),-((SUMIFS(SF_Output!$T$1:$T$400,SF_Output!$AC$1:$AC$400,_xlfn.TEXTJOIN(",",TRUE,$B17:$E17),SF_Output!$Q$1:$Q$400,"One Time",SF_Output!$L$1:$L$400,"professional service")/N17))))</f>
        <v>1</v>
      </c>
      <c r="P17" s="6">
        <f t="shared" si="2"/>
        <v>0</v>
      </c>
      <c r="R17" s="6">
        <f>IF(B17="","",SUMIFS(SF_Output!$S$1:$S$400,SF_Output!$AC$1:$AC$400,_xlfn.TEXTJOIN(",",TRUE,B17:E17),SF_Output!$Q$1:$Q$400,"yearly")+SUMIFS(SF_Output!$S$1:$S$400,SF_Output!$AC$1:$AC$400,_xlfn.TEXTJOIN(",",TRUE,B17:E17),SF_Output!$Q$1:$Q$400,"quarterly")*4)</f>
        <v>0</v>
      </c>
      <c r="S17" s="112" t="str">
        <f>IF(OR(B17=0,B17="",G17="hardware",R17=0),"",IF(AF17&lt;&gt;"exclusion",MAX(S$9,-(SUMIFS(SF_Output!$T$1:$T$400,SF_Output!$AC$1:$AC$400,_xlfn.TEXTJOIN(",",TRUE,$B17:$E17),SF_Output!$Q$1:$Q$400,"yearly"))/R17),-((SUMIFS(SF_Output!$T$1:$T$400,SF_Output!$AC$1:$AC$400,_xlfn.TEXTJOIN(",",TRUE,$B17:$E17),SF_Output!$Q$1:$Q$400,"yearly")/R17))))</f>
        <v/>
      </c>
      <c r="T17" s="6">
        <f t="shared" si="3"/>
        <v>0</v>
      </c>
      <c r="V17" s="6" cm="1">
        <f t="array" ref="V17">_xlfn.IFS(B17="","",AND(B17&lt;&gt;"",H17=SF_Output!$Y$2,SUMIFS(SF_Output!$T$1:$T$400,SF_Output!$AC$1:$AC$400,_xlfn.TEXTJOIN(",",TRUE,B17:E17),SF_Output!$Q$1:$Q$400,"monthly")=0),(SUMIFS(SF_Output!$F$1:$F$400,SF_Output!$AC$1:$AC$400,_xlfn.TEXTJOIN(",",TRUE,B17:E17),SF_Output!$Q$1:$Q$400,"monthly")+SUMIFS(SF_Output!$G$1:$G$400,SF_Output!$AC$1:$AC$400,_xlfn.TEXTJOIN(",",TRUE,B17:E17),SF_Output!$Q$1:$Q$400,"monthly"))*H17,AND(B17&lt;&gt;"",H17=SF_Output!$Y$2,SUMIFS(SF_Output!$T$1:$T$400,SF_Output!$AC$1:$AC$400,_xlfn.TEXTJOIN(",",TRUE,B17:E17),SF_Output!$Q$1:$Q$400,"monthly")&lt;&gt;0),SUMIFS(SF_Output!$S$1:$S$400,SF_Output!$AC$1:$AC$400,_xlfn.TEXTJOIN(",",TRUE,B17:E17),SF_Output!$Q$1:$Q$400,"monthly"),AND(B17&lt;&gt;"",H17&lt;&gt;SF_Output!$Y$2),SUMIFS(SF_Output!$S$1:$S$400,SF_Output!$AC$1:$AC$400,_xlfn.TEXTJOIN(",",TRUE,B17:E17),SF_Output!$Q$1:$Q$400,"monthly"))</f>
        <v>530</v>
      </c>
      <c r="W17" s="112" cm="1">
        <f t="array" ref="W17">_xlfn.IFS(OR(B17=0,B17="",V17=0),"",AF17&lt;&gt;"exclusion",MAX($W$9,$W$7,(-(SUMIFS(SF_Output!$T$1:$T$400,SF_Output!$AC$1:$AC$400,_xlfn.TEXTJOIN(",",TRUE,$B17:$E17),SF_Output!$Q$1:$Q$400,"monthly"))/V17)),AF17="exclusion",-(SUMIFS(SF_Output!$T$1:$T$400,SF_Output!$AC$1:$AC$400,_xlfn.TEXTJOIN(",",TRUE,$B17:$E17),SF_Output!$Q$1:$Q$400,"monthly"))/V17)</f>
        <v>0.25</v>
      </c>
      <c r="X17" s="6" cm="1">
        <f t="array" ref="X17">IFERROR(_xlfn.IFS(V17=0,0,V17="","",W17=0,V17,OR(V17&lt;&gt;0,V17&lt;&gt;""),H17*I17),V17*(1-W17))</f>
        <v>397.5</v>
      </c>
      <c r="Z17" s="6">
        <f>IFERROR(IF(B17="","",SUMIFS(Billing_Fallout!H:H,Billing_Fallout!N:N,B17)),0)</f>
        <v>0</v>
      </c>
      <c r="AA17" s="6">
        <f t="shared" si="4"/>
        <v>0</v>
      </c>
      <c r="AB17" s="6">
        <f>IFERROR(IF(B17="","",SUMIFS(Billing_Fallout!J:J,Billing_Fallout!N:N,B17)),0)</f>
        <v>0</v>
      </c>
      <c r="AD17" s="6">
        <f t="shared" si="5"/>
        <v>397.5</v>
      </c>
      <c r="AF17" t="str">
        <f>IFERROR(INDEX(H_Tables!$B$1:$B$1500,MATCH(INDEX(SF_Output!$J$1:$J$400,MATCH(B17,SF_Output!$M$1:$M$400,0)),H_Tables!$A$1:$A$1500,0)),"")</f>
        <v/>
      </c>
      <c r="AI17" s="119" t="str">
        <f t="shared" si="6"/>
        <v/>
      </c>
      <c r="AJ17" s="121">
        <f>IFERROR(INDEX(SF_Output!AD:AD,MATCH(_xlfn.TEXTJOIN(",",TRUE,B17:E17),SF_Output!AC1:AC400,0)),0.05)</f>
        <v>14</v>
      </c>
      <c r="AK17" t="str">
        <f>IF(SUMIFS(SF_Output!$F$1:$F$400,SF_Output!$AC$1:$AC$400,_xlfn.TEXTJOIN(",",TRUE,B17:E17))+SUMIFS(SF_Output!$G$1:$G$400,SF_Output!$AC$1:$AC$400,_xlfn.TEXTJOIN(",",TRUE,B17:E17))=0,"","PAP")</f>
        <v/>
      </c>
      <c r="AL17" s="35" t="str">
        <f t="shared" si="7"/>
        <v>SilverLake Static Training Bank,New,Hosted by JHA,1</v>
      </c>
      <c r="AQ17" s="35"/>
      <c r="AR17" s="35" t="str" cm="1">
        <f t="array" ref="AR17">IFERROR(_xlfn.IFS(AND(E17*1=1,F17="Included"),"Change to Included",AND(E17*1=0,F17="Optional"),"Change to Optional",OR(B17="",F17="replaced"),""),"")</f>
        <v/>
      </c>
      <c r="AS17" s="35" t="str">
        <f t="shared" si="8"/>
        <v/>
      </c>
      <c r="AT17" s="35" t="str">
        <f t="shared" si="9"/>
        <v/>
      </c>
      <c r="AU17" s="35" t="str">
        <f t="shared" si="10"/>
        <v/>
      </c>
      <c r="AV17" s="35" t="str">
        <f t="shared" si="11"/>
        <v/>
      </c>
      <c r="AW17" s="35" t="str">
        <f t="shared" si="12"/>
        <v/>
      </c>
      <c r="AX17" s="35" t="str">
        <f t="shared" si="13"/>
        <v/>
      </c>
      <c r="AY17" s="35" t="str">
        <f t="shared" si="14"/>
        <v/>
      </c>
      <c r="AZ17" s="35" t="str">
        <f t="shared" si="15"/>
        <v/>
      </c>
      <c r="BA17" s="35" t="str">
        <f t="shared" si="16"/>
        <v/>
      </c>
      <c r="BB17" s="35" t="str">
        <f t="shared" si="17"/>
        <v/>
      </c>
      <c r="BC17" s="35"/>
      <c r="BE17" s="35">
        <f ca="1">INDEX(SF_Output!$AA$2:$AA$400,MATCH($B17,SF_Output!$M$2:$M$400,0))</f>
        <v>1</v>
      </c>
      <c r="BF17" s="35">
        <f ca="1">INDEX(SF_Output!$AB$2:$AB$400,MATCH($B17,SF_Output!$M$2:$M$400,0))</f>
        <v>1</v>
      </c>
    </row>
    <row r="18" spans="2:58" x14ac:dyDescent="0.25">
      <c r="B18" t="s">
        <v>2156</v>
      </c>
      <c r="C18" t="s">
        <v>2122</v>
      </c>
      <c r="D18" t="s">
        <v>2123</v>
      </c>
      <c r="E18" t="s">
        <v>2150</v>
      </c>
      <c r="F18" s="116" t="str">
        <f t="shared" si="0"/>
        <v>Optional</v>
      </c>
      <c r="G18" t="str">
        <f>IF(B18="","",INDEX(SF_Output!$K$1:$K$400,MATCH(B18,SF_Output!$M$1:$M$400,0)))</f>
        <v>SilverLake</v>
      </c>
      <c r="H18" cm="1">
        <f t="array" ref="H18">_xlfn.IFS(B18="","",(SUMIFS(SF_Output!$F$1:$F$400,SF_Output!$AC$1:$AC$400,_xlfn.TEXTJOIN(",",TRUE,B18:E18))+SUMIFS(SF_Output!$G$1:$G$400,SF_Output!$AC$1:$AC$400,_xlfn.TEXTJOIN(",",TRUE,B18:E18)))&lt;&gt;0,SF_Output!$Y$2,INDEX(SF_Output!$F$1:$F$400,MATCH(_xlfn.TEXTJOIN(",",TRUE,B18:E18),SF_Output!$AC$1:$AC$400,0))=0,INDEX(SF_Output!$R$1:$R$400,MATCH(_xlfn.TEXTJOIN(",",TRUE,B18:E18),SF_Output!$AC$1:$AC$400,0)))</f>
        <v>1</v>
      </c>
      <c r="I18" s="125" t="str">
        <f>IFERROR(IF(AND(H18&gt;1,H18&lt;&gt;""),ROUND(SUMIFS(SF_Output!$S$1:$S$400,SF_Output!$AC$1:$AC$400,_xlfn.TEXTJOIN(",",TRUE,B18:E18),SF_Output!$Q$1:$Q$400,"monthly")*(1-W18)/H18,4),""),"")</f>
        <v/>
      </c>
      <c r="J18" s="6">
        <f>IF(B18="","",SUMIFS(SF_Output!$S$1:$S$400,SF_Output!$AC$1:$AC$400,_xlfn.TEXTJOIN(",",TRUE,B18:E18),SF_Output!$Q$1:$Q$400,"One Time",SF_Output!$L$1:$L$400,"license fee")+SUMIFS(SF_Output!$S$1:$S$400,SF_Output!$AC$1:$AC$400,_xlfn.TEXTJOIN(",",TRUE,B18:E18),SF_Output!$Q$1:$Q$400,"One Time",SF_Output!$L$1:$L$400,"software license")+SUMIFS(SF_Output!$S$1:$S$400,SF_Output!$AC$1:$AC$400,_xlfn.TEXTJOIN(",",TRUE,B18:E18),SF_Output!$Q$1:$Q$400,"One Time",SF_Output!$L$1:$L$400,"hardware"))</f>
        <v>0</v>
      </c>
      <c r="K18" s="112" t="str">
        <f>IF(OR(B18=0,B18="",G18="hardware",J18=0),"",IF(AF18&lt;&gt;"exclusion",MAX(K$9,-((SUMIFS(SF_Output!$T$1:$T$400,SF_Output!$AC$1:$AC$400,_xlfn.TEXTJOIN(",",TRUE,$B18:$E18),SF_Output!$Q$1:$Q$400,"One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license"))/J18)))</f>
        <v/>
      </c>
      <c r="L18" s="6">
        <f t="shared" si="1"/>
        <v>0</v>
      </c>
      <c r="N18" s="6">
        <f>IF(B18="","",SUMIFS(SF_Output!$S$1:$S$400,SF_Output!$AC$1:$AC$400,_xlfn.TEXTJOIN(",",TRUE,B18:E18),SF_Output!$Q$1:$Q$400,"One Time",SF_Output!$L$1:$L$400,"professional service"))</f>
        <v>2340</v>
      </c>
      <c r="O18" s="112">
        <f>IF(OR(B18=0,B18="",N18=0),"",IF(AF18&lt;&gt;"exclusion",MAX(O$9,-(SUMIFS(SF_Output!$T$1:$T$400,SF_Output!$AC$1:$AC$400,_xlfn.TEXTJOIN(",",TRUE,$B18:$E18),SF_Output!$Q$1:$Q$400,"One Time",SF_Output!$L$1:$L$400,"professional service"))/N18),-((SUMIFS(SF_Output!$T$1:$T$400,SF_Output!$AC$1:$AC$400,_xlfn.TEXTJOIN(",",TRUE,$B18:$E18),SF_Output!$Q$1:$Q$400,"One Time",SF_Output!$L$1:$L$400,"professional service")/N18))))</f>
        <v>1</v>
      </c>
      <c r="P18" s="6">
        <f t="shared" si="2"/>
        <v>0</v>
      </c>
      <c r="R18" s="6">
        <f>IF(B18="","",SUMIFS(SF_Output!$S$1:$S$400,SF_Output!$AC$1:$AC$400,_xlfn.TEXTJOIN(",",TRUE,B18:E18),SF_Output!$Q$1:$Q$400,"yearly")+SUMIFS(SF_Output!$S$1:$S$400,SF_Output!$AC$1:$AC$400,_xlfn.TEXTJOIN(",",TRUE,B18:E18),SF_Output!$Q$1:$Q$400,"quarterly")*4)</f>
        <v>0</v>
      </c>
      <c r="S18" s="112" t="str">
        <f>IF(OR(B18=0,B18="",G18="hardware",R18=0),"",IF(AF18&lt;&gt;"exclusion",MAX(S$9,-(SUMIFS(SF_Output!$T$1:$T$400,SF_Output!$AC$1:$AC$400,_xlfn.TEXTJOIN(",",TRUE,$B18:$E18),SF_Output!$Q$1:$Q$400,"yearly"))/R18),-((SUMIFS(SF_Output!$T$1:$T$400,SF_Output!$AC$1:$AC$400,_xlfn.TEXTJOIN(",",TRUE,$B18:$E18),SF_Output!$Q$1:$Q$400,"yearly")/R18))))</f>
        <v/>
      </c>
      <c r="T18" s="6">
        <f t="shared" si="3"/>
        <v>0</v>
      </c>
      <c r="V18" s="6" cm="1">
        <f t="array" ref="V18">_xlfn.IFS(B18="","",AND(B18&lt;&gt;"",H18=SF_Output!$Y$2,SUMIFS(SF_Output!$T$1:$T$400,SF_Output!$AC$1:$AC$400,_xlfn.TEXTJOIN(",",TRUE,B18:E18),SF_Output!$Q$1:$Q$400,"monthly")=0),(SUMIFS(SF_Output!$F$1:$F$400,SF_Output!$AC$1:$AC$400,_xlfn.TEXTJOIN(",",TRUE,B18:E18),SF_Output!$Q$1:$Q$400,"monthly")+SUMIFS(SF_Output!$G$1:$G$400,SF_Output!$AC$1:$AC$400,_xlfn.TEXTJOIN(",",TRUE,B18:E18),SF_Output!$Q$1:$Q$400,"monthly"))*H18,AND(B18&lt;&gt;"",H18=SF_Output!$Y$2,SUMIFS(SF_Output!$T$1:$T$400,SF_Output!$AC$1:$AC$400,_xlfn.TEXTJOIN(",",TRUE,B18:E18),SF_Output!$Q$1:$Q$400,"monthly")&lt;&gt;0),SUMIFS(SF_Output!$S$1:$S$400,SF_Output!$AC$1:$AC$400,_xlfn.TEXTJOIN(",",TRUE,B18:E18),SF_Output!$Q$1:$Q$400,"monthly"),AND(B18&lt;&gt;"",H18&lt;&gt;SF_Output!$Y$2),SUMIFS(SF_Output!$S$1:$S$400,SF_Output!$AC$1:$AC$400,_xlfn.TEXTJOIN(",",TRUE,B18:E18),SF_Output!$Q$1:$Q$400,"monthly"))</f>
        <v>220</v>
      </c>
      <c r="W18" s="112" cm="1">
        <f t="array" ref="W18">_xlfn.IFS(OR(B18=0,B18="",V18=0),"",AF18&lt;&gt;"exclusion",MAX($W$9,$W$7,(-(SUMIFS(SF_Output!$T$1:$T$400,SF_Output!$AC$1:$AC$400,_xlfn.TEXTJOIN(",",TRUE,$B18:$E18),SF_Output!$Q$1:$Q$400,"monthly"))/V18)),AF18="exclusion",-(SUMIFS(SF_Output!$T$1:$T$400,SF_Output!$AC$1:$AC$400,_xlfn.TEXTJOIN(",",TRUE,$B18:$E18),SF_Output!$Q$1:$Q$400,"monthly"))/V18)</f>
        <v>0.25</v>
      </c>
      <c r="X18" s="6" cm="1">
        <f t="array" ref="X18">IFERROR(_xlfn.IFS(V18=0,0,V18="","",W18=0,V18,OR(V18&lt;&gt;0,V18&lt;&gt;""),H18*I18),V18*(1-W18))</f>
        <v>165</v>
      </c>
      <c r="Z18" s="6">
        <f>IFERROR(IF(B18="","",SUMIFS(Billing_Fallout!H:H,Billing_Fallout!N:N,B18)),0)</f>
        <v>0</v>
      </c>
      <c r="AA18" s="6">
        <f t="shared" si="4"/>
        <v>0</v>
      </c>
      <c r="AB18" s="6">
        <f>IFERROR(IF(B18="","",SUMIFS(Billing_Fallout!J:J,Billing_Fallout!N:N,B18)),0)</f>
        <v>0</v>
      </c>
      <c r="AD18" s="6">
        <f t="shared" si="5"/>
        <v>165</v>
      </c>
      <c r="AF18" t="str">
        <f>IFERROR(INDEX(H_Tables!$B$1:$B$1500,MATCH(INDEX(SF_Output!$J$1:$J$400,MATCH(B18,SF_Output!$M$1:$M$400,0)),H_Tables!$A$1:$A$1500,0)),"")</f>
        <v/>
      </c>
      <c r="AI18" s="119" t="str">
        <f t="shared" si="6"/>
        <v/>
      </c>
      <c r="AJ18" s="121">
        <f>IFERROR(INDEX(SF_Output!AD:AD,MATCH(_xlfn.TEXTJOIN(",",TRUE,B18:E18),SF_Output!AC1:AC400,0)),0.05)</f>
        <v>20</v>
      </c>
      <c r="AK18" t="str">
        <f>IF(SUMIFS(SF_Output!$F$1:$F$400,SF_Output!$AC$1:$AC$400,_xlfn.TEXTJOIN(",",TRUE,B18:E18))+SUMIFS(SF_Output!$G$1:$G$400,SF_Output!$AC$1:$AC$400,_xlfn.TEXTJOIN(",",TRUE,B18:E18))=0,"","PAP")</f>
        <v/>
      </c>
      <c r="AL18" s="35" t="str">
        <f t="shared" si="7"/>
        <v>SilverLake Teller Static Training Bank,New,Hosted by JHA,1</v>
      </c>
      <c r="AQ18" s="35"/>
      <c r="AR18" s="35" t="str" cm="1">
        <f t="array" ref="AR18">IFERROR(_xlfn.IFS(AND(E18*1=1,F18="Included"),"Change to Included",AND(E18*1=0,F18="Optional"),"Change to Optional",OR(B18="",F18="replaced"),""),"")</f>
        <v/>
      </c>
      <c r="AS18" s="35" t="str">
        <f t="shared" si="8"/>
        <v/>
      </c>
      <c r="AT18" s="35" t="str">
        <f t="shared" si="9"/>
        <v/>
      </c>
      <c r="AU18" s="35" t="str">
        <f t="shared" si="10"/>
        <v/>
      </c>
      <c r="AV18" s="35" t="str">
        <f t="shared" si="11"/>
        <v/>
      </c>
      <c r="AW18" s="35" t="str">
        <f t="shared" si="12"/>
        <v/>
      </c>
      <c r="AX18" s="35" t="str">
        <f t="shared" si="13"/>
        <v/>
      </c>
      <c r="AY18" s="35" t="str">
        <f t="shared" si="14"/>
        <v/>
      </c>
      <c r="AZ18" s="35" t="str">
        <f t="shared" si="15"/>
        <v/>
      </c>
      <c r="BA18" s="35" t="str">
        <f t="shared" si="16"/>
        <v/>
      </c>
      <c r="BB18" s="35" t="str">
        <f t="shared" si="17"/>
        <v/>
      </c>
      <c r="BC18" s="35"/>
      <c r="BE18" s="35">
        <f ca="1">INDEX(SF_Output!$AA$2:$AA$400,MATCH($B18,SF_Output!$M$2:$M$400,0))</f>
        <v>1</v>
      </c>
      <c r="BF18" s="35">
        <f ca="1">INDEX(SF_Output!$AB$2:$AB$400,MATCH($B18,SF_Output!$M$2:$M$400,0))</f>
        <v>1</v>
      </c>
    </row>
    <row r="19" spans="2:58" x14ac:dyDescent="0.25">
      <c r="B19" t="s">
        <v>2160</v>
      </c>
      <c r="C19" t="s">
        <v>2122</v>
      </c>
      <c r="D19" t="s">
        <v>2123</v>
      </c>
      <c r="E19" t="s">
        <v>2124</v>
      </c>
      <c r="F19" s="116" t="str">
        <f t="shared" si="0"/>
        <v>Included</v>
      </c>
      <c r="G19" t="str">
        <f>IF(B19="","",INDEX(SF_Output!$K$1:$K$400,MATCH(B19,SF_Output!$M$1:$M$400,0)))</f>
        <v>SilverLake</v>
      </c>
      <c r="H19" cm="1">
        <f t="array" ref="H19">_xlfn.IFS(B19="","",(SUMIFS(SF_Output!$F$1:$F$400,SF_Output!$AC$1:$AC$400,_xlfn.TEXTJOIN(",",TRUE,B19:E19))+SUMIFS(SF_Output!$G$1:$G$400,SF_Output!$AC$1:$AC$400,_xlfn.TEXTJOIN(",",TRUE,B19:E19)))&lt;&gt;0,SF_Output!$Y$2,INDEX(SF_Output!$F$1:$F$400,MATCH(_xlfn.TEXTJOIN(",",TRUE,B19:E19),SF_Output!$AC$1:$AC$400,0))=0,INDEX(SF_Output!$R$1:$R$400,MATCH(_xlfn.TEXTJOIN(",",TRUE,B19:E19),SF_Output!$AC$1:$AC$400,0)))</f>
        <v>1</v>
      </c>
      <c r="I19" s="125" t="str">
        <f>IFERROR(IF(AND(H19&gt;1,H19&lt;&gt;""),ROUND(SUMIFS(SF_Output!$S$1:$S$400,SF_Output!$AC$1:$AC$400,_xlfn.TEXTJOIN(",",TRUE,B19:E19),SF_Output!$Q$1:$Q$400,"monthly")*(1-W19)/H19,4),""),"")</f>
        <v/>
      </c>
      <c r="J19" s="6">
        <f>IF(B19="","",SUMIFS(SF_Output!$S$1:$S$400,SF_Output!$AC$1:$AC$400,_xlfn.TEXTJOIN(",",TRUE,B19:E19),SF_Output!$Q$1:$Q$400,"One Time",SF_Output!$L$1:$L$400,"license fee")+SUMIFS(SF_Output!$S$1:$S$400,SF_Output!$AC$1:$AC$400,_xlfn.TEXTJOIN(",",TRUE,B19:E19),SF_Output!$Q$1:$Q$400,"One Time",SF_Output!$L$1:$L$400,"software license")+SUMIFS(SF_Output!$S$1:$S$400,SF_Output!$AC$1:$AC$400,_xlfn.TEXTJOIN(",",TRUE,B19:E19),SF_Output!$Q$1:$Q$400,"One Time",SF_Output!$L$1:$L$400,"hardware"))</f>
        <v>0</v>
      </c>
      <c r="K19" s="112" t="str">
        <f>IF(OR(B19=0,B19="",G19="hardware",J19=0),"",IF(AF19&lt;&gt;"exclusion",MAX(K$9,-((SUMIFS(SF_Output!$T$1:$T$400,SF_Output!$AC$1:$AC$400,_xlfn.TEXTJOIN(",",TRUE,$B19:$E19),SF_Output!$Q$1:$Q$400,"One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license"))/J19)))</f>
        <v/>
      </c>
      <c r="L19" s="6">
        <f t="shared" si="1"/>
        <v>0</v>
      </c>
      <c r="N19" s="6">
        <f>IF(B19="","",SUMIFS(SF_Output!$S$1:$S$400,SF_Output!$AC$1:$AC$400,_xlfn.TEXTJOIN(",",TRUE,B19:E19),SF_Output!$Q$1:$Q$400,"One Time",SF_Output!$L$1:$L$400,"professional service"))</f>
        <v>0</v>
      </c>
      <c r="O19" s="112" t="str">
        <f>IF(OR(B19=0,B19="",N19=0),"",IF(AF19&lt;&gt;"exclusion",MAX(O$9,-(SUMIFS(SF_Output!$T$1:$T$400,SF_Output!$AC$1:$AC$400,_xlfn.TEXTJOIN(",",TRUE,$B19:$E19),SF_Output!$Q$1:$Q$400,"One Time",SF_Output!$L$1:$L$400,"professional service"))/N19),-((SUMIFS(SF_Output!$T$1:$T$400,SF_Output!$AC$1:$AC$400,_xlfn.TEXTJOIN(",",TRUE,$B19:$E19),SF_Output!$Q$1:$Q$400,"One Time",SF_Output!$L$1:$L$400,"professional service")/N19))))</f>
        <v/>
      </c>
      <c r="P19" s="6">
        <f t="shared" si="2"/>
        <v>0</v>
      </c>
      <c r="R19" s="6">
        <f>IF(B19="","",SUMIFS(SF_Output!$S$1:$S$400,SF_Output!$AC$1:$AC$400,_xlfn.TEXTJOIN(",",TRUE,B19:E19),SF_Output!$Q$1:$Q$400,"yearly")+SUMIFS(SF_Output!$S$1:$S$400,SF_Output!$AC$1:$AC$400,_xlfn.TEXTJOIN(",",TRUE,B19:E19),SF_Output!$Q$1:$Q$400,"quarterly")*4)</f>
        <v>0</v>
      </c>
      <c r="S19" s="112" t="str">
        <f>IF(OR(B19=0,B19="",G19="hardware",R19=0),"",IF(AF19&lt;&gt;"exclusion",MAX(S$9,-(SUMIFS(SF_Output!$T$1:$T$400,SF_Output!$AC$1:$AC$400,_xlfn.TEXTJOIN(",",TRUE,$B19:$E19),SF_Output!$Q$1:$Q$400,"yearly"))/R19),-((SUMIFS(SF_Output!$T$1:$T$400,SF_Output!$AC$1:$AC$400,_xlfn.TEXTJOIN(",",TRUE,$B19:$E19),SF_Output!$Q$1:$Q$400,"yearly")/R19))))</f>
        <v/>
      </c>
      <c r="T19" s="6">
        <f t="shared" si="3"/>
        <v>0</v>
      </c>
      <c r="V19" s="6" cm="1">
        <f t="array" ref="V19">_xlfn.IFS(B19="","",AND(B19&lt;&gt;"",H19=SF_Output!$Y$2,SUMIFS(SF_Output!$T$1:$T$400,SF_Output!$AC$1:$AC$400,_xlfn.TEXTJOIN(",",TRUE,B19:E19),SF_Output!$Q$1:$Q$400,"monthly")=0),(SUMIFS(SF_Output!$F$1:$F$400,SF_Output!$AC$1:$AC$400,_xlfn.TEXTJOIN(",",TRUE,B19:E19),SF_Output!$Q$1:$Q$400,"monthly")+SUMIFS(SF_Output!$G$1:$G$400,SF_Output!$AC$1:$AC$400,_xlfn.TEXTJOIN(",",TRUE,B19:E19),SF_Output!$Q$1:$Q$400,"monthly"))*H19,AND(B19&lt;&gt;"",H19=SF_Output!$Y$2,SUMIFS(SF_Output!$T$1:$T$400,SF_Output!$AC$1:$AC$400,_xlfn.TEXTJOIN(",",TRUE,B19:E19),SF_Output!$Q$1:$Q$400,"monthly")&lt;&gt;0),SUMIFS(SF_Output!$S$1:$S$400,SF_Output!$AC$1:$AC$400,_xlfn.TEXTJOIN(",",TRUE,B19:E19),SF_Output!$Q$1:$Q$400,"monthly"),AND(B19&lt;&gt;"",H19&lt;&gt;SF_Output!$Y$2),SUMIFS(SF_Output!$S$1:$S$400,SF_Output!$AC$1:$AC$400,_xlfn.TEXTJOIN(",",TRUE,B19:E19),SF_Output!$Q$1:$Q$400,"monthly"))</f>
        <v>0</v>
      </c>
      <c r="W19" s="112" t="str" cm="1">
        <f t="array" ref="W19">_xlfn.IFS(OR(B19=0,B19="",V19=0),"",AF19&lt;&gt;"exclusion",MAX($W$9,$W$7,(-(SUMIFS(SF_Output!$T$1:$T$400,SF_Output!$AC$1:$AC$400,_xlfn.TEXTJOIN(",",TRUE,$B19:$E19),SF_Output!$Q$1:$Q$400,"monthly"))/V19)),AF19="exclusion",-(SUMIFS(SF_Output!$T$1:$T$400,SF_Output!$AC$1:$AC$400,_xlfn.TEXTJOIN(",",TRUE,$B19:$E19),SF_Output!$Q$1:$Q$400,"monthly"))/V19)</f>
        <v/>
      </c>
      <c r="X19" s="6" cm="1">
        <f t="array" ref="X19">IFERROR(_xlfn.IFS(V19=0,0,V19="","",W19=0,V19,OR(V19&lt;&gt;0,V19&lt;&gt;""),H19*I19),V19*(1-W19))</f>
        <v>0</v>
      </c>
      <c r="Z19" s="6">
        <f>IFERROR(IF(B19="","",SUMIFS(Billing_Fallout!H:H,Billing_Fallout!N:N,B19)),0)</f>
        <v>0</v>
      </c>
      <c r="AA19" s="6">
        <f t="shared" si="4"/>
        <v>0</v>
      </c>
      <c r="AB19" s="6">
        <f>IFERROR(IF(B19="","",SUMIFS(Billing_Fallout!J:J,Billing_Fallout!N:N,B19)),0)</f>
        <v>0</v>
      </c>
      <c r="AD19" s="6">
        <f t="shared" si="5"/>
        <v>0</v>
      </c>
      <c r="AF19" t="str">
        <f>IFERROR(INDEX(H_Tables!$B$1:$B$1500,MATCH(INDEX(SF_Output!$J$1:$J$400,MATCH(B19,SF_Output!$M$1:$M$400,0)),H_Tables!$A$1:$A$1500,0)),"")</f>
        <v/>
      </c>
      <c r="AI19" s="119" t="str">
        <f t="shared" si="6"/>
        <v/>
      </c>
      <c r="AJ19" s="121">
        <f>IFERROR(INDEX(SF_Output!AD:AD,MATCH(_xlfn.TEXTJOIN(",",TRUE,B19:E19),SF_Output!AC1:AC400,0)),0.05)</f>
        <v>23</v>
      </c>
      <c r="AK19" t="str">
        <f>IF(SUMIFS(SF_Output!$F$1:$F$400,SF_Output!$AC$1:$AC$400,_xlfn.TEXTJOIN(",",TRUE,B19:E19))+SUMIFS(SF_Output!$G$1:$G$400,SF_Output!$AC$1:$AC$400,_xlfn.TEXTJOIN(",",TRUE,B19:E19))=0,"","PAP")</f>
        <v/>
      </c>
      <c r="AL19" s="35" t="str">
        <f t="shared" si="7"/>
        <v>JH Technology Architecture Services,New,Hosted by JHA,0</v>
      </c>
      <c r="AQ19" s="35"/>
      <c r="AR19" s="35" t="str" cm="1">
        <f t="array" ref="AR19">IFERROR(_xlfn.IFS(AND(E19*1=1,F19="Included"),"Change to Included",AND(E19*1=0,F19="Optional"),"Change to Optional",OR(B19="",F19="replaced"),""),"")</f>
        <v/>
      </c>
      <c r="AS19" s="35" t="str">
        <f t="shared" si="8"/>
        <v/>
      </c>
      <c r="AT19" s="35" t="str">
        <f t="shared" si="9"/>
        <v/>
      </c>
      <c r="AU19" s="35" t="str">
        <f t="shared" si="10"/>
        <v/>
      </c>
      <c r="AV19" s="35" t="str">
        <f t="shared" si="11"/>
        <v/>
      </c>
      <c r="AW19" s="35" t="str">
        <f t="shared" si="12"/>
        <v/>
      </c>
      <c r="AX19" s="35" t="str">
        <f t="shared" si="13"/>
        <v/>
      </c>
      <c r="AY19" s="35" t="str">
        <f t="shared" si="14"/>
        <v/>
      </c>
      <c r="AZ19" s="35" t="str">
        <f t="shared" si="15"/>
        <v/>
      </c>
      <c r="BA19" s="35" t="str">
        <f t="shared" si="16"/>
        <v/>
      </c>
      <c r="BB19" s="35" t="str">
        <f t="shared" si="17"/>
        <v/>
      </c>
      <c r="BC19" s="35"/>
      <c r="BE19" s="35">
        <f ca="1">INDEX(SF_Output!$AA$2:$AA$400,MATCH($B19,SF_Output!$M$2:$M$400,0))</f>
        <v>1</v>
      </c>
      <c r="BF19" s="35">
        <f ca="1">INDEX(SF_Output!$AB$2:$AB$400,MATCH($B19,SF_Output!$M$2:$M$400,0))</f>
        <v>1</v>
      </c>
    </row>
    <row r="20" spans="2:58" x14ac:dyDescent="0.25">
      <c r="B20" t="s">
        <v>2163</v>
      </c>
      <c r="C20" t="s">
        <v>2122</v>
      </c>
      <c r="D20" t="s">
        <v>2164</v>
      </c>
      <c r="E20" t="s">
        <v>2124</v>
      </c>
      <c r="F20" s="116" t="str">
        <f t="shared" si="0"/>
        <v>Included</v>
      </c>
      <c r="G20" t="str">
        <f>IF(B20="","",INDEX(SF_Output!$K$1:$K$400,MATCH(B20,SF_Output!$M$1:$M$400,0)))</f>
        <v>SilverLake</v>
      </c>
      <c r="H20" cm="1">
        <f t="array" ref="H20">_xlfn.IFS(B20="","",(SUMIFS(SF_Output!$F$1:$F$400,SF_Output!$AC$1:$AC$400,_xlfn.TEXTJOIN(",",TRUE,B20:E20))+SUMIFS(SF_Output!$G$1:$G$400,SF_Output!$AC$1:$AC$400,_xlfn.TEXTJOIN(",",TRUE,B20:E20)))&lt;&gt;0,SF_Output!$Y$2,INDEX(SF_Output!$F$1:$F$400,MATCH(_xlfn.TEXTJOIN(",",TRUE,B20:E20),SF_Output!$AC$1:$AC$400,0))=0,INDEX(SF_Output!$R$1:$R$400,MATCH(_xlfn.TEXTJOIN(",",TRUE,B20:E20),SF_Output!$AC$1:$AC$400,0)))</f>
        <v>1</v>
      </c>
      <c r="I20" s="125" t="str">
        <f>IFERROR(IF(AND(H20&gt;1,H20&lt;&gt;""),ROUND(SUMIFS(SF_Output!$S$1:$S$400,SF_Output!$AC$1:$AC$400,_xlfn.TEXTJOIN(",",TRUE,B20:E20),SF_Output!$Q$1:$Q$400,"monthly")*(1-W20)/H20,4),""),"")</f>
        <v/>
      </c>
      <c r="J20" s="6">
        <f>IF(B20="","",SUMIFS(SF_Output!$S$1:$S$400,SF_Output!$AC$1:$AC$400,_xlfn.TEXTJOIN(",",TRUE,B20:E20),SF_Output!$Q$1:$Q$400,"One Time",SF_Output!$L$1:$L$400,"license fee")+SUMIFS(SF_Output!$S$1:$S$400,SF_Output!$AC$1:$AC$400,_xlfn.TEXTJOIN(",",TRUE,B20:E20),SF_Output!$Q$1:$Q$400,"One Time",SF_Output!$L$1:$L$400,"software license")+SUMIFS(SF_Output!$S$1:$S$400,SF_Output!$AC$1:$AC$400,_xlfn.TEXTJOIN(",",TRUE,B20:E20),SF_Output!$Q$1:$Q$400,"One Time",SF_Output!$L$1:$L$400,"hardware"))</f>
        <v>9000</v>
      </c>
      <c r="K20" s="112">
        <f>IF(OR(B20=0,B20="",G20="hardware",J20=0),"",IF(AF20&lt;&gt;"exclusion",MAX(K$9,-((SUMIFS(SF_Output!$T$1:$T$400,SF_Output!$AC$1:$AC$400,_xlfn.TEXTJOIN(",",TRUE,$B20:$E20),SF_Output!$Q$1:$Q$400,"One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license"))/J20)))</f>
        <v>0</v>
      </c>
      <c r="L20" s="6">
        <f t="shared" si="1"/>
        <v>9000</v>
      </c>
      <c r="N20" s="6">
        <f>IF(B20="","",SUMIFS(SF_Output!$S$1:$S$400,SF_Output!$AC$1:$AC$400,_xlfn.TEXTJOIN(",",TRUE,B20:E20),SF_Output!$Q$1:$Q$400,"One Time",SF_Output!$L$1:$L$400,"professional service"))</f>
        <v>0</v>
      </c>
      <c r="O20" s="112" t="str">
        <f>IF(OR(B20=0,B20="",N20=0),"",IF(AF20&lt;&gt;"exclusion",MAX(O$9,-(SUMIFS(SF_Output!$T$1:$T$400,SF_Output!$AC$1:$AC$400,_xlfn.TEXTJOIN(",",TRUE,$B20:$E20),SF_Output!$Q$1:$Q$400,"One Time",SF_Output!$L$1:$L$400,"professional service"))/N20),-((SUMIFS(SF_Output!$T$1:$T$400,SF_Output!$AC$1:$AC$400,_xlfn.TEXTJOIN(",",TRUE,$B20:$E20),SF_Output!$Q$1:$Q$400,"One Time",SF_Output!$L$1:$L$400,"professional service")/N20))))</f>
        <v/>
      </c>
      <c r="P20" s="6">
        <f t="shared" si="2"/>
        <v>0</v>
      </c>
      <c r="R20" s="6">
        <f>IF(B20="","",SUMIFS(SF_Output!$S$1:$S$400,SF_Output!$AC$1:$AC$400,_xlfn.TEXTJOIN(",",TRUE,B20:E20),SF_Output!$Q$1:$Q$400,"yearly")+SUMIFS(SF_Output!$S$1:$S$400,SF_Output!$AC$1:$AC$400,_xlfn.TEXTJOIN(",",TRUE,B20:E20),SF_Output!$Q$1:$Q$400,"quarterly")*4)</f>
        <v>0</v>
      </c>
      <c r="S20" s="112" t="str">
        <f>IF(OR(B20=0,B20="",G20="hardware",R20=0),"",IF(AF20&lt;&gt;"exclusion",MAX(S$9,-(SUMIFS(SF_Output!$T$1:$T$400,SF_Output!$AC$1:$AC$400,_xlfn.TEXTJOIN(",",TRUE,$B20:$E20),SF_Output!$Q$1:$Q$400,"yearly"))/R20),-((SUMIFS(SF_Output!$T$1:$T$400,SF_Output!$AC$1:$AC$400,_xlfn.TEXTJOIN(",",TRUE,$B20:$E20),SF_Output!$Q$1:$Q$400,"yearly")/R20))))</f>
        <v/>
      </c>
      <c r="T20" s="6">
        <f t="shared" si="3"/>
        <v>0</v>
      </c>
      <c r="V20" s="6" cm="1">
        <f t="array" ref="V20">_xlfn.IFS(B20="","",AND(B20&lt;&gt;"",H20=SF_Output!$Y$2,SUMIFS(SF_Output!$T$1:$T$400,SF_Output!$AC$1:$AC$400,_xlfn.TEXTJOIN(",",TRUE,B20:E20),SF_Output!$Q$1:$Q$400,"monthly")=0),(SUMIFS(SF_Output!$F$1:$F$400,SF_Output!$AC$1:$AC$400,_xlfn.TEXTJOIN(",",TRUE,B20:E20),SF_Output!$Q$1:$Q$400,"monthly")+SUMIFS(SF_Output!$G$1:$G$400,SF_Output!$AC$1:$AC$400,_xlfn.TEXTJOIN(",",TRUE,B20:E20),SF_Output!$Q$1:$Q$400,"monthly"))*H20,AND(B20&lt;&gt;"",H20=SF_Output!$Y$2,SUMIFS(SF_Output!$T$1:$T$400,SF_Output!$AC$1:$AC$400,_xlfn.TEXTJOIN(",",TRUE,B20:E20),SF_Output!$Q$1:$Q$400,"monthly")&lt;&gt;0),SUMIFS(SF_Output!$S$1:$S$400,SF_Output!$AC$1:$AC$400,_xlfn.TEXTJOIN(",",TRUE,B20:E20),SF_Output!$Q$1:$Q$400,"monthly"),AND(B20&lt;&gt;"",H20&lt;&gt;SF_Output!$Y$2),SUMIFS(SF_Output!$S$1:$S$400,SF_Output!$AC$1:$AC$400,_xlfn.TEXTJOIN(",",TRUE,B20:E20),SF_Output!$Q$1:$Q$400,"monthly"))</f>
        <v>0</v>
      </c>
      <c r="W20" s="112" t="str" cm="1">
        <f t="array" ref="W20">_xlfn.IFS(OR(B20=0,B20="",V20=0),"",AF20&lt;&gt;"exclusion",MAX($W$9,$W$7,(-(SUMIFS(SF_Output!$T$1:$T$400,SF_Output!$AC$1:$AC$400,_xlfn.TEXTJOIN(",",TRUE,$B20:$E20),SF_Output!$Q$1:$Q$400,"monthly"))/V20)),AF20="exclusion",-(SUMIFS(SF_Output!$T$1:$T$400,SF_Output!$AC$1:$AC$400,_xlfn.TEXTJOIN(",",TRUE,$B20:$E20),SF_Output!$Q$1:$Q$400,"monthly"))/V20)</f>
        <v/>
      </c>
      <c r="X20" s="6" cm="1">
        <f t="array" ref="X20">IFERROR(_xlfn.IFS(V20=0,0,V20="","",W20=0,V20,OR(V20&lt;&gt;0,V20&lt;&gt;""),H20*I20),V20*(1-W20))</f>
        <v>0</v>
      </c>
      <c r="Z20" s="6">
        <f>IFERROR(IF(B20="","",SUMIFS(Billing_Fallout!H:H,Billing_Fallout!N:N,B20)),0)</f>
        <v>0</v>
      </c>
      <c r="AA20" s="6">
        <f t="shared" si="4"/>
        <v>0</v>
      </c>
      <c r="AB20" s="6">
        <f>IFERROR(IF(B20="","",SUMIFS(Billing_Fallout!J:J,Billing_Fallout!N:N,B20)),0)</f>
        <v>0</v>
      </c>
      <c r="AD20" s="6">
        <f t="shared" si="5"/>
        <v>0</v>
      </c>
      <c r="AF20" t="str">
        <f>IFERROR(INDEX(H_Tables!$B$1:$B$1500,MATCH(INDEX(SF_Output!$J$1:$J$400,MATCH(B20,SF_Output!$M$1:$M$400,0)),H_Tables!$A$1:$A$1500,0)),"")</f>
        <v/>
      </c>
      <c r="AI20" s="119" t="str">
        <f t="shared" si="6"/>
        <v/>
      </c>
      <c r="AJ20" s="121">
        <f>IFERROR(INDEX(SF_Output!AD:AD,MATCH(_xlfn.TEXTJOIN(",",TRUE,B20:E20),SF_Output!AC1:AC400,0)),0.05)</f>
        <v>24</v>
      </c>
      <c r="AK20" t="str">
        <f>IF(SUMIFS(SF_Output!$F$1:$F$400,SF_Output!$AC$1:$AC$400,_xlfn.TEXTJOIN(",",TRUE,B20:E20))+SUMIFS(SF_Output!$G$1:$G$400,SF_Output!$AC$1:$AC$400,_xlfn.TEXTJOIN(",",TRUE,B20:E20))=0,"","PAP")</f>
        <v/>
      </c>
      <c r="AL20" s="35" t="str">
        <f t="shared" si="7"/>
        <v>JHMenu Express,New,On Premise License,0</v>
      </c>
      <c r="AQ20" s="35"/>
      <c r="AR20" s="35" t="str" cm="1">
        <f t="array" ref="AR20">IFERROR(_xlfn.IFS(AND(E20*1=1,F20="Included"),"Change to Included",AND(E20*1=0,F20="Optional"),"Change to Optional",OR(B20="",F20="replaced"),""),"")</f>
        <v/>
      </c>
      <c r="AS20" s="35" t="str">
        <f t="shared" si="8"/>
        <v/>
      </c>
      <c r="AT20" s="35" t="str">
        <f t="shared" si="9"/>
        <v/>
      </c>
      <c r="AU20" s="35" t="str">
        <f t="shared" si="10"/>
        <v/>
      </c>
      <c r="AV20" s="35" t="str">
        <f t="shared" si="11"/>
        <v/>
      </c>
      <c r="AW20" s="35" t="str">
        <f t="shared" si="12"/>
        <v/>
      </c>
      <c r="AX20" s="35" t="str">
        <f t="shared" si="13"/>
        <v/>
      </c>
      <c r="AY20" s="35" t="str">
        <f t="shared" si="14"/>
        <v/>
      </c>
      <c r="AZ20" s="35" t="str">
        <f t="shared" si="15"/>
        <v/>
      </c>
      <c r="BA20" s="35" t="str">
        <f t="shared" si="16"/>
        <v/>
      </c>
      <c r="BB20" s="35" t="str">
        <f t="shared" si="17"/>
        <v/>
      </c>
      <c r="BC20" s="35"/>
      <c r="BE20" s="35">
        <f ca="1">INDEX(SF_Output!$AA$2:$AA$400,MATCH($B20,SF_Output!$M$2:$M$400,0))</f>
        <v>1</v>
      </c>
      <c r="BF20" s="35">
        <f ca="1">INDEX(SF_Output!$AB$2:$AB$400,MATCH($B20,SF_Output!$M$2:$M$400,0))</f>
        <v>1</v>
      </c>
    </row>
    <row r="21" spans="2:58" x14ac:dyDescent="0.25">
      <c r="B21" t="s">
        <v>2170</v>
      </c>
      <c r="C21" t="s">
        <v>2122</v>
      </c>
      <c r="D21" t="s">
        <v>2123</v>
      </c>
      <c r="E21" t="s">
        <v>2124</v>
      </c>
      <c r="F21" s="116" t="str">
        <f t="shared" si="0"/>
        <v>Included</v>
      </c>
      <c r="G21" t="str">
        <f>IF(B21="","",INDEX(SF_Output!$K$1:$K$400,MATCH(B21,SF_Output!$M$1:$M$400,0)))</f>
        <v>SilverLake</v>
      </c>
      <c r="H21" cm="1">
        <f t="array" ref="H21">_xlfn.IFS(B21="","",(SUMIFS(SF_Output!$F$1:$F$400,SF_Output!$AC$1:$AC$400,_xlfn.TEXTJOIN(",",TRUE,B21:E21))+SUMIFS(SF_Output!$G$1:$G$400,SF_Output!$AC$1:$AC$400,_xlfn.TEXTJOIN(",",TRUE,B21:E21)))&lt;&gt;0,SF_Output!$Y$2,INDEX(SF_Output!$F$1:$F$400,MATCH(_xlfn.TEXTJOIN(",",TRUE,B21:E21),SF_Output!$AC$1:$AC$400,0))=0,INDEX(SF_Output!$R$1:$R$400,MATCH(_xlfn.TEXTJOIN(",",TRUE,B21:E21),SF_Output!$AC$1:$AC$400,0)))</f>
        <v>1</v>
      </c>
      <c r="I21" s="125" t="str">
        <f>IFERROR(IF(AND(H21&gt;1,H21&lt;&gt;""),ROUND(SUMIFS(SF_Output!$S$1:$S$400,SF_Output!$AC$1:$AC$400,_xlfn.TEXTJOIN(",",TRUE,B21:E21),SF_Output!$Q$1:$Q$400,"monthly")*(1-W21)/H21,4),""),"")</f>
        <v/>
      </c>
      <c r="J21" s="6">
        <f>IF(B21="","",SUMIFS(SF_Output!$S$1:$S$400,SF_Output!$AC$1:$AC$400,_xlfn.TEXTJOIN(",",TRUE,B21:E21),SF_Output!$Q$1:$Q$400,"One Time",SF_Output!$L$1:$L$400,"license fee")+SUMIFS(SF_Output!$S$1:$S$400,SF_Output!$AC$1:$AC$400,_xlfn.TEXTJOIN(",",TRUE,B21:E21),SF_Output!$Q$1:$Q$400,"One Time",SF_Output!$L$1:$L$400,"software license")+SUMIFS(SF_Output!$S$1:$S$400,SF_Output!$AC$1:$AC$400,_xlfn.TEXTJOIN(",",TRUE,B21:E21),SF_Output!$Q$1:$Q$400,"One Time",SF_Output!$L$1:$L$400,"hardware"))</f>
        <v>0</v>
      </c>
      <c r="K21" s="112" t="str">
        <f>IF(OR(B21=0,B21="",G21="hardware",J21=0),"",IF(AF21&lt;&gt;"exclusion",MAX(K$9,-((SUMIFS(SF_Output!$T$1:$T$400,SF_Output!$AC$1:$AC$400,_xlfn.TEXTJOIN(",",TRUE,$B21:$E21),SF_Output!$Q$1:$Q$400,"One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license"))/J21)))</f>
        <v/>
      </c>
      <c r="L21" s="6">
        <f t="shared" si="1"/>
        <v>0</v>
      </c>
      <c r="N21" s="6">
        <f>IF(B21="","",SUMIFS(SF_Output!$S$1:$S$400,SF_Output!$AC$1:$AC$400,_xlfn.TEXTJOIN(",",TRUE,B21:E21),SF_Output!$Q$1:$Q$400,"One Time",SF_Output!$L$1:$L$400,"professional service"))</f>
        <v>2500</v>
      </c>
      <c r="O21" s="112">
        <f>IF(OR(B21=0,B21="",N21=0),"",IF(AF21&lt;&gt;"exclusion",MAX(O$9,-(SUMIFS(SF_Output!$T$1:$T$400,SF_Output!$AC$1:$AC$400,_xlfn.TEXTJOIN(",",TRUE,$B21:$E21),SF_Output!$Q$1:$Q$400,"One Time",SF_Output!$L$1:$L$400,"professional service"))/N21),-((SUMIFS(SF_Output!$T$1:$T$400,SF_Output!$AC$1:$AC$400,_xlfn.TEXTJOIN(",",TRUE,$B21:$E21),SF_Output!$Q$1:$Q$400,"One Time",SF_Output!$L$1:$L$400,"professional service")/N21))))</f>
        <v>1</v>
      </c>
      <c r="P21" s="6">
        <f t="shared" si="2"/>
        <v>0</v>
      </c>
      <c r="R21" s="6">
        <f>IF(B21="","",SUMIFS(SF_Output!$S$1:$S$400,SF_Output!$AC$1:$AC$400,_xlfn.TEXTJOIN(",",TRUE,B21:E21),SF_Output!$Q$1:$Q$400,"yearly")+SUMIFS(SF_Output!$S$1:$S$400,SF_Output!$AC$1:$AC$400,_xlfn.TEXTJOIN(",",TRUE,B21:E21),SF_Output!$Q$1:$Q$400,"quarterly")*4)</f>
        <v>0</v>
      </c>
      <c r="S21" s="112" t="str">
        <f>IF(OR(B21=0,B21="",G21="hardware",R21=0),"",IF(AF21&lt;&gt;"exclusion",MAX(S$9,-(SUMIFS(SF_Output!$T$1:$T$400,SF_Output!$AC$1:$AC$400,_xlfn.TEXTJOIN(",",TRUE,$B21:$E21),SF_Output!$Q$1:$Q$400,"yearly"))/R21),-((SUMIFS(SF_Output!$T$1:$T$400,SF_Output!$AC$1:$AC$400,_xlfn.TEXTJOIN(",",TRUE,$B21:$E21),SF_Output!$Q$1:$Q$400,"yearly")/R21))))</f>
        <v/>
      </c>
      <c r="T21" s="6">
        <f t="shared" si="3"/>
        <v>0</v>
      </c>
      <c r="V21" s="6" cm="1">
        <f t="array" ref="V21">_xlfn.IFS(B21="","",AND(B21&lt;&gt;"",H21=SF_Output!$Y$2,SUMIFS(SF_Output!$T$1:$T$400,SF_Output!$AC$1:$AC$400,_xlfn.TEXTJOIN(",",TRUE,B21:E21),SF_Output!$Q$1:$Q$400,"monthly")=0),(SUMIFS(SF_Output!$F$1:$F$400,SF_Output!$AC$1:$AC$400,_xlfn.TEXTJOIN(",",TRUE,B21:E21),SF_Output!$Q$1:$Q$400,"monthly")+SUMIFS(SF_Output!$G$1:$G$400,SF_Output!$AC$1:$AC$400,_xlfn.TEXTJOIN(",",TRUE,B21:E21),SF_Output!$Q$1:$Q$400,"monthly"))*H21,AND(B21&lt;&gt;"",H21=SF_Output!$Y$2,SUMIFS(SF_Output!$T$1:$T$400,SF_Output!$AC$1:$AC$400,_xlfn.TEXTJOIN(",",TRUE,B21:E21),SF_Output!$Q$1:$Q$400,"monthly")&lt;&gt;0),SUMIFS(SF_Output!$S$1:$S$400,SF_Output!$AC$1:$AC$400,_xlfn.TEXTJOIN(",",TRUE,B21:E21),SF_Output!$Q$1:$Q$400,"monthly"),AND(B21&lt;&gt;"",H21&lt;&gt;SF_Output!$Y$2),SUMIFS(SF_Output!$S$1:$S$400,SF_Output!$AC$1:$AC$400,_xlfn.TEXTJOIN(",",TRUE,B21:E21),SF_Output!$Q$1:$Q$400,"monthly"))</f>
        <v>300</v>
      </c>
      <c r="W21" s="112" cm="1">
        <f t="array" ref="W21">_xlfn.IFS(OR(B21=0,B21="",V21=0),"",AF21&lt;&gt;"exclusion",MAX($W$9,$W$7,(-(SUMIFS(SF_Output!$T$1:$T$400,SF_Output!$AC$1:$AC$400,_xlfn.TEXTJOIN(",",TRUE,$B21:$E21),SF_Output!$Q$1:$Q$400,"monthly"))/V21)),AF21="exclusion",-(SUMIFS(SF_Output!$T$1:$T$400,SF_Output!$AC$1:$AC$400,_xlfn.TEXTJOIN(",",TRUE,$B21:$E21),SF_Output!$Q$1:$Q$400,"monthly"))/V21)</f>
        <v>0.25</v>
      </c>
      <c r="X21" s="6" cm="1">
        <f t="array" ref="X21">IFERROR(_xlfn.IFS(V21=0,0,V21="","",W21=0,V21,OR(V21&lt;&gt;0,V21&lt;&gt;""),H21*I21),V21*(1-W21))</f>
        <v>225</v>
      </c>
      <c r="Z21" s="6">
        <f>IFERROR(IF(B21="","",SUMIFS(Billing_Fallout!H:H,Billing_Fallout!N:N,B21)),0)</f>
        <v>0</v>
      </c>
      <c r="AA21" s="6">
        <f t="shared" si="4"/>
        <v>0</v>
      </c>
      <c r="AB21" s="6">
        <f>IFERROR(IF(B21="","",SUMIFS(Billing_Fallout!J:J,Billing_Fallout!N:N,B21)),0)</f>
        <v>0</v>
      </c>
      <c r="AD21" s="6">
        <f t="shared" si="5"/>
        <v>225</v>
      </c>
      <c r="AF21" t="str">
        <f>IFERROR(INDEX(H_Tables!$B$1:$B$1500,MATCH(INDEX(SF_Output!$J$1:$J$400,MATCH(B21,SF_Output!$M$1:$M$400,0)),H_Tables!$A$1:$A$1500,0)),"")</f>
        <v>Exclusion</v>
      </c>
      <c r="AI21" s="119" t="str">
        <f t="shared" si="6"/>
        <v/>
      </c>
      <c r="AJ21" s="121">
        <f>IFERROR(INDEX(SF_Output!AD:AD,MATCH(_xlfn.TEXTJOIN(",",TRUE,B21:E21),SF_Output!AC1:AC400,0)),0.05)</f>
        <v>27</v>
      </c>
      <c r="AK21" t="str">
        <f>IF(SUMIFS(SF_Output!$F$1:$F$400,SF_Output!$AC$1:$AC$400,_xlfn.TEXTJOIN(",",TRUE,B21:E21))+SUMIFS(SF_Output!$G$1:$G$400,SF_Output!$AC$1:$AC$400,_xlfn.TEXTJOIN(",",TRUE,B21:E21))=0,"","PAP")</f>
        <v/>
      </c>
      <c r="AL21" s="35" t="str">
        <f t="shared" si="7"/>
        <v>Daily File Transfer Integration IntraFi,New,Hosted by JHA,0</v>
      </c>
      <c r="AQ21" s="35"/>
      <c r="AR21" s="35" t="str" cm="1">
        <f t="array" ref="AR21">IFERROR(_xlfn.IFS(AND(E21*1=1,F21="Included"),"Change to Included",AND(E21*1=0,F21="Optional"),"Change to Optional",OR(B21="",F21="replaced"),""),"")</f>
        <v/>
      </c>
      <c r="AS21" s="35" t="str">
        <f t="shared" si="8"/>
        <v/>
      </c>
      <c r="AT21" s="35" t="str">
        <f t="shared" si="9"/>
        <v/>
      </c>
      <c r="AU21" s="35" t="str">
        <f t="shared" si="10"/>
        <v/>
      </c>
      <c r="AV21" s="35" t="str">
        <f t="shared" si="11"/>
        <v/>
      </c>
      <c r="AW21" s="35" t="str">
        <f t="shared" si="12"/>
        <v/>
      </c>
      <c r="AX21" s="35" t="str">
        <f t="shared" si="13"/>
        <v/>
      </c>
      <c r="AY21" s="35" t="str">
        <f t="shared" si="14"/>
        <v/>
      </c>
      <c r="AZ21" s="35" t="str">
        <f t="shared" si="15"/>
        <v/>
      </c>
      <c r="BA21" s="35" t="str">
        <f t="shared" si="16"/>
        <v/>
      </c>
      <c r="BB21" s="35" t="str">
        <f t="shared" si="17"/>
        <v/>
      </c>
      <c r="BC21" s="35"/>
      <c r="BE21" s="35">
        <f ca="1">INDEX(SF_Output!$AA$2:$AA$400,MATCH($B21,SF_Output!$M$2:$M$400,0))</f>
        <v>1</v>
      </c>
      <c r="BF21" s="35">
        <f ca="1">INDEX(SF_Output!$AB$2:$AB$400,MATCH($B21,SF_Output!$M$2:$M$400,0))</f>
        <v>1</v>
      </c>
    </row>
    <row r="22" spans="2:58" x14ac:dyDescent="0.25">
      <c r="B22" t="s">
        <v>2322</v>
      </c>
      <c r="C22" t="s">
        <v>2122</v>
      </c>
      <c r="D22" t="s">
        <v>2123</v>
      </c>
      <c r="E22" t="s">
        <v>2124</v>
      </c>
      <c r="F22" s="116" t="str">
        <f t="shared" si="0"/>
        <v>Included</v>
      </c>
      <c r="G22" t="str">
        <f>IF(B22="","",INDEX(SF_Output!$K$1:$K$400,MATCH(B22,SF_Output!$M$1:$M$400,0)))</f>
        <v>Xperience</v>
      </c>
      <c r="H22" cm="1">
        <f t="array" ref="H22">_xlfn.IFS(B22="","",(SUMIFS(SF_Output!$F$1:$F$400,SF_Output!$AC$1:$AC$400,_xlfn.TEXTJOIN(",",TRUE,B22:E22))+SUMIFS(SF_Output!$G$1:$G$400,SF_Output!$AC$1:$AC$400,_xlfn.TEXTJOIN(",",TRUE,B22:E22)))&lt;&gt;0,SF_Output!$Y$2,INDEX(SF_Output!$F$1:$F$400,MATCH(_xlfn.TEXTJOIN(",",TRUE,B22:E22),SF_Output!$AC$1:$AC$400,0))=0,INDEX(SF_Output!$R$1:$R$400,MATCH(_xlfn.TEXTJOIN(",",TRUE,B22:E22),SF_Output!$AC$1:$AC$400,0)))</f>
        <v>5000</v>
      </c>
      <c r="I22" s="125">
        <f>IFERROR(IF(AND(H22&gt;1,H22&lt;&gt;""),ROUND(SUMIFS(SF_Output!$S$1:$S$400,SF_Output!$AC$1:$AC$400,_xlfn.TEXTJOIN(",",TRUE,B22:E22),SF_Output!$Q$1:$Q$400,"monthly")*(1-W22)/H22,4),""),"")</f>
        <v>2.2499999999999999E-2</v>
      </c>
      <c r="J22" s="6">
        <f>IF(B22="","",SUMIFS(SF_Output!$S$1:$S$400,SF_Output!$AC$1:$AC$400,_xlfn.TEXTJOIN(",",TRUE,B22:E22),SF_Output!$Q$1:$Q$400,"One Time",SF_Output!$L$1:$L$400,"license fee")+SUMIFS(SF_Output!$S$1:$S$400,SF_Output!$AC$1:$AC$400,_xlfn.TEXTJOIN(",",TRUE,B22:E22),SF_Output!$Q$1:$Q$400,"One Time",SF_Output!$L$1:$L$400,"software license")+SUMIFS(SF_Output!$S$1:$S$400,SF_Output!$AC$1:$AC$400,_xlfn.TEXTJOIN(",",TRUE,B22:E22),SF_Output!$Q$1:$Q$400,"One Time",SF_Output!$L$1:$L$400,"hardware"))</f>
        <v>0</v>
      </c>
      <c r="K22" s="112" t="str">
        <f>IF(OR(B22=0,B22="",G22="hardware",J22=0),"",IF(AF22&lt;&gt;"exclusion",MAX(K$9,-((SUMIFS(SF_Output!$T$1:$T$400,SF_Output!$AC$1:$AC$400,_xlfn.TEXTJOIN(",",TRUE,$B22:$E22),SF_Output!$Q$1:$Q$400,"One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license"))/J22)))</f>
        <v/>
      </c>
      <c r="L22" s="6">
        <f t="shared" si="1"/>
        <v>0</v>
      </c>
      <c r="N22" s="6">
        <f>IF(B22="","",SUMIFS(SF_Output!$S$1:$S$400,SF_Output!$AC$1:$AC$400,_xlfn.TEXTJOIN(",",TRUE,B22:E22),SF_Output!$Q$1:$Q$400,"One Time",SF_Output!$L$1:$L$400,"professional service"))</f>
        <v>0</v>
      </c>
      <c r="O22" s="112" t="str">
        <f>IF(OR(B22=0,B22="",N22=0),"",IF(AF22&lt;&gt;"exclusion",MAX(O$9,-(SUMIFS(SF_Output!$T$1:$T$400,SF_Output!$AC$1:$AC$400,_xlfn.TEXTJOIN(",",TRUE,$B22:$E22),SF_Output!$Q$1:$Q$400,"One Time",SF_Output!$L$1:$L$400,"professional service"))/N22),-((SUMIFS(SF_Output!$T$1:$T$400,SF_Output!$AC$1:$AC$400,_xlfn.TEXTJOIN(",",TRUE,$B22:$E22),SF_Output!$Q$1:$Q$400,"One Time",SF_Output!$L$1:$L$400,"professional service")/N22))))</f>
        <v/>
      </c>
      <c r="P22" s="6">
        <f t="shared" si="2"/>
        <v>0</v>
      </c>
      <c r="R22" s="6">
        <f>IF(B22="","",SUMIFS(SF_Output!$S$1:$S$400,SF_Output!$AC$1:$AC$400,_xlfn.TEXTJOIN(",",TRUE,B22:E22),SF_Output!$Q$1:$Q$400,"yearly")+SUMIFS(SF_Output!$S$1:$S$400,SF_Output!$AC$1:$AC$400,_xlfn.TEXTJOIN(",",TRUE,B22:E22),SF_Output!$Q$1:$Q$400,"quarterly")*4)</f>
        <v>0</v>
      </c>
      <c r="S22" s="112" t="str">
        <f>IF(OR(B22=0,B22="",G22="hardware",R22=0),"",IF(AF22&lt;&gt;"exclusion",MAX(S$9,-(SUMIFS(SF_Output!$T$1:$T$400,SF_Output!$AC$1:$AC$400,_xlfn.TEXTJOIN(",",TRUE,$B22:$E22),SF_Output!$Q$1:$Q$400,"yearly"))/R22),-((SUMIFS(SF_Output!$T$1:$T$400,SF_Output!$AC$1:$AC$400,_xlfn.TEXTJOIN(",",TRUE,$B22:$E22),SF_Output!$Q$1:$Q$400,"yearly")/R22))))</f>
        <v/>
      </c>
      <c r="T22" s="6">
        <f t="shared" si="3"/>
        <v>0</v>
      </c>
      <c r="V22" s="6" cm="1">
        <f t="array" ref="V22">_xlfn.IFS(B22="","",AND(B22&lt;&gt;"",H22=SF_Output!$Y$2,SUMIFS(SF_Output!$T$1:$T$400,SF_Output!$AC$1:$AC$400,_xlfn.TEXTJOIN(",",TRUE,B22:E22),SF_Output!$Q$1:$Q$400,"monthly")=0),(SUMIFS(SF_Output!$F$1:$F$400,SF_Output!$AC$1:$AC$400,_xlfn.TEXTJOIN(",",TRUE,B22:E22),SF_Output!$Q$1:$Q$400,"monthly")+SUMIFS(SF_Output!$G$1:$G$400,SF_Output!$AC$1:$AC$400,_xlfn.TEXTJOIN(",",TRUE,B22:E22),SF_Output!$Q$1:$Q$400,"monthly"))*H22,AND(B22&lt;&gt;"",H22=SF_Output!$Y$2,SUMIFS(SF_Output!$T$1:$T$400,SF_Output!$AC$1:$AC$400,_xlfn.TEXTJOIN(",",TRUE,B22:E22),SF_Output!$Q$1:$Q$400,"monthly")&lt;&gt;0),SUMIFS(SF_Output!$S$1:$S$400,SF_Output!$AC$1:$AC$400,_xlfn.TEXTJOIN(",",TRUE,B22:E22),SF_Output!$Q$1:$Q$400,"monthly"),AND(B22&lt;&gt;"",H22&lt;&gt;SF_Output!$Y$2),SUMIFS(SF_Output!$S$1:$S$400,SF_Output!$AC$1:$AC$400,_xlfn.TEXTJOIN(",",TRUE,B22:E22),SF_Output!$Q$1:$Q$400,"monthly"))</f>
        <v>150</v>
      </c>
      <c r="W22" s="112" cm="1">
        <f t="array" ref="W22">_xlfn.IFS(OR(B22=0,B22="",V22=0),"",AF22&lt;&gt;"exclusion",MAX($W$9,$W$7,(-(SUMIFS(SF_Output!$T$1:$T$400,SF_Output!$AC$1:$AC$400,_xlfn.TEXTJOIN(",",TRUE,$B22:$E22),SF_Output!$Q$1:$Q$400,"monthly"))/V22)),AF22="exclusion",-(SUMIFS(SF_Output!$T$1:$T$400,SF_Output!$AC$1:$AC$400,_xlfn.TEXTJOIN(",",TRUE,$B22:$E22),SF_Output!$Q$1:$Q$400,"monthly"))/V22)</f>
        <v>0.25</v>
      </c>
      <c r="X22" s="6" cm="1">
        <f t="array" ref="X22">IFERROR(_xlfn.IFS(V22=0,0,V22="","",W22=0,V22,OR(V22&lt;&gt;0,V22&lt;&gt;""),H22*I22),V22*(1-W22))</f>
        <v>112.5</v>
      </c>
      <c r="Z22" s="6">
        <f>IFERROR(IF(B22="","",SUMIFS(Billing_Fallout!H:H,Billing_Fallout!N:N,B22)),0)</f>
        <v>0</v>
      </c>
      <c r="AA22" s="6">
        <f t="shared" si="4"/>
        <v>0</v>
      </c>
      <c r="AB22" s="6">
        <f>IFERROR(IF(B22="","",SUMIFS(Billing_Fallout!J:J,Billing_Fallout!N:N,B22)),0)</f>
        <v>0</v>
      </c>
      <c r="AD22" s="6">
        <f t="shared" si="5"/>
        <v>112.5</v>
      </c>
      <c r="AF22" t="str">
        <f>IFERROR(INDEX(H_Tables!$B$1:$B$1500,MATCH(INDEX(SF_Output!$J$1:$J$400,MATCH(B22,SF_Output!$M$1:$M$400,0)),H_Tables!$A$1:$A$1500,0)),"")</f>
        <v/>
      </c>
      <c r="AI22" s="119" t="str">
        <f t="shared" si="6"/>
        <v/>
      </c>
      <c r="AJ22" s="121">
        <f>IFERROR(INDEX(SF_Output!AD:AD,MATCH(_xlfn.TEXTJOIN(",",TRUE,B22:E22),SF_Output!AC1:AC400,0)),0.05)</f>
        <v>143</v>
      </c>
      <c r="AK22" t="str">
        <f>IF(SUMIFS(SF_Output!$F$1:$F$400,SF_Output!$AC$1:$AC$400,_xlfn.TEXTJOIN(",",TRUE,B22:E22))+SUMIFS(SF_Output!$G$1:$G$400,SF_Output!$AC$1:$AC$400,_xlfn.TEXTJOIN(",",TRUE,B22:E22))=0,"","PAP")</f>
        <v>PAP</v>
      </c>
      <c r="AL22" s="35" t="str">
        <f t="shared" si="7"/>
        <v>Hosted Xperience,New,Hosted by JHA,0</v>
      </c>
      <c r="AQ22" s="35"/>
      <c r="AR22" s="35" t="str" cm="1">
        <f t="array" ref="AR22">IFERROR(_xlfn.IFS(AND(E22*1=1,F22="Included"),"Change to Included",AND(E22*1=0,F22="Optional"),"Change to Optional",OR(B22="",F22="replaced"),""),"")</f>
        <v/>
      </c>
      <c r="AS22" s="35" t="str">
        <f t="shared" si="8"/>
        <v/>
      </c>
      <c r="AT22" s="35" t="str">
        <f t="shared" si="9"/>
        <v/>
      </c>
      <c r="AU22" s="35" t="str">
        <f t="shared" si="10"/>
        <v/>
      </c>
      <c r="AV22" s="35" t="str">
        <f t="shared" si="11"/>
        <v/>
      </c>
      <c r="AW22" s="35" t="str">
        <f t="shared" si="12"/>
        <v/>
      </c>
      <c r="AX22" s="35" t="str">
        <f t="shared" si="13"/>
        <v/>
      </c>
      <c r="AY22" s="35" t="str">
        <f t="shared" si="14"/>
        <v/>
      </c>
      <c r="AZ22" s="35" t="str">
        <f t="shared" si="15"/>
        <v/>
      </c>
      <c r="BA22" s="35" t="str">
        <f t="shared" si="16"/>
        <v/>
      </c>
      <c r="BB22" s="35" t="str">
        <f t="shared" si="17"/>
        <v/>
      </c>
      <c r="BC22" s="35"/>
      <c r="BE22" s="35">
        <f ca="1">INDEX(SF_Output!$AA$2:$AA$400,MATCH($B22,SF_Output!$M$2:$M$400,0))</f>
        <v>1</v>
      </c>
      <c r="BF22" s="35">
        <f ca="1">INDEX(SF_Output!$AB$2:$AB$400,MATCH($B22,SF_Output!$M$2:$M$400,0))</f>
        <v>4</v>
      </c>
    </row>
    <row r="23" spans="2:58" x14ac:dyDescent="0.25">
      <c r="B23" t="s">
        <v>2153</v>
      </c>
      <c r="C23" t="s">
        <v>2122</v>
      </c>
      <c r="D23" t="s">
        <v>2123</v>
      </c>
      <c r="E23" t="s">
        <v>2150</v>
      </c>
      <c r="F23" s="116" t="str">
        <f t="shared" si="0"/>
        <v>Optional</v>
      </c>
      <c r="G23" t="str">
        <f>IF(B23="","",INDEX(SF_Output!$K$1:$K$400,MATCH(B23,SF_Output!$M$1:$M$400,0)))</f>
        <v>SilverLake</v>
      </c>
      <c r="H23" cm="1">
        <f t="array" ref="H23">_xlfn.IFS(B23="","",(SUMIFS(SF_Output!$F$1:$F$400,SF_Output!$AC$1:$AC$400,_xlfn.TEXTJOIN(",",TRUE,B23:E23))+SUMIFS(SF_Output!$G$1:$G$400,SF_Output!$AC$1:$AC$400,_xlfn.TEXTJOIN(",",TRUE,B23:E23)))&lt;&gt;0,SF_Output!$Y$2,INDEX(SF_Output!$F$1:$F$400,MATCH(_xlfn.TEXTJOIN(",",TRUE,B23:E23),SF_Output!$AC$1:$AC$400,0))=0,INDEX(SF_Output!$R$1:$R$400,MATCH(_xlfn.TEXTJOIN(",",TRUE,B23:E23),SF_Output!$AC$1:$AC$400,0)))</f>
        <v>1</v>
      </c>
      <c r="I23" s="125" t="str">
        <f>IFERROR(IF(AND(H23&gt;1,H23&lt;&gt;""),ROUND(SUMIFS(SF_Output!$S$1:$S$400,SF_Output!$AC$1:$AC$400,_xlfn.TEXTJOIN(",",TRUE,B23:E23),SF_Output!$Q$1:$Q$400,"monthly")*(1-W23)/H23,4),""),"")</f>
        <v/>
      </c>
      <c r="J23" s="6">
        <f>IF(B23="","",SUMIFS(SF_Output!$S$1:$S$400,SF_Output!$AC$1:$AC$400,_xlfn.TEXTJOIN(",",TRUE,B23:E23),SF_Output!$Q$1:$Q$400,"One Time",SF_Output!$L$1:$L$400,"license fee")+SUMIFS(SF_Output!$S$1:$S$400,SF_Output!$AC$1:$AC$400,_xlfn.TEXTJOIN(",",TRUE,B23:E23),SF_Output!$Q$1:$Q$400,"One Time",SF_Output!$L$1:$L$400,"software license")+SUMIFS(SF_Output!$S$1:$S$400,SF_Output!$AC$1:$AC$400,_xlfn.TEXTJOIN(",",TRUE,B23:E23),SF_Output!$Q$1:$Q$400,"One Time",SF_Output!$L$1:$L$400,"hardware"))</f>
        <v>0</v>
      </c>
      <c r="K23" s="112" t="str">
        <f>IF(OR(B23=0,B23="",G23="hardware",J23=0),"",IF(AF23&lt;&gt;"exclusion",MAX(K$9,-((SUMIFS(SF_Output!$T$1:$T$400,SF_Output!$AC$1:$AC$400,_xlfn.TEXTJOIN(",",TRUE,$B23:$E23),SF_Output!$Q$1:$Q$400,"One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license"))/J23)))</f>
        <v/>
      </c>
      <c r="L23" s="6">
        <f t="shared" si="1"/>
        <v>0</v>
      </c>
      <c r="N23" s="6">
        <f>IF(B23="","",SUMIFS(SF_Output!$S$1:$S$400,SF_Output!$AC$1:$AC$400,_xlfn.TEXTJOIN(",",TRUE,B23:E23),SF_Output!$Q$1:$Q$400,"One Time",SF_Output!$L$1:$L$400,"professional service"))</f>
        <v>5000</v>
      </c>
      <c r="O23" s="112">
        <f>IF(OR(B23=0,B23="",N23=0),"",IF(AF23&lt;&gt;"exclusion",MAX(O$9,-(SUMIFS(SF_Output!$T$1:$T$400,SF_Output!$AC$1:$AC$400,_xlfn.TEXTJOIN(",",TRUE,$B23:$E23),SF_Output!$Q$1:$Q$400,"One Time",SF_Output!$L$1:$L$400,"professional service"))/N23),-((SUMIFS(SF_Output!$T$1:$T$400,SF_Output!$AC$1:$AC$400,_xlfn.TEXTJOIN(",",TRUE,$B23:$E23),SF_Output!$Q$1:$Q$400,"One Time",SF_Output!$L$1:$L$400,"professional service")/N23))))</f>
        <v>1</v>
      </c>
      <c r="P23" s="6">
        <f t="shared" si="2"/>
        <v>0</v>
      </c>
      <c r="R23" s="6">
        <f>IF(B23="","",SUMIFS(SF_Output!$S$1:$S$400,SF_Output!$AC$1:$AC$400,_xlfn.TEXTJOIN(",",TRUE,B23:E23),SF_Output!$Q$1:$Q$400,"yearly")+SUMIFS(SF_Output!$S$1:$S$400,SF_Output!$AC$1:$AC$400,_xlfn.TEXTJOIN(",",TRUE,B23:E23),SF_Output!$Q$1:$Q$400,"quarterly")*4)</f>
        <v>0</v>
      </c>
      <c r="S23" s="112" t="str">
        <f>IF(OR(B23=0,B23="",G23="hardware",R23=0),"",IF(AF23&lt;&gt;"exclusion",MAX(S$9,-(SUMIFS(SF_Output!$T$1:$T$400,SF_Output!$AC$1:$AC$400,_xlfn.TEXTJOIN(",",TRUE,$B23:$E23),SF_Output!$Q$1:$Q$400,"yearly"))/R23),-((SUMIFS(SF_Output!$T$1:$T$400,SF_Output!$AC$1:$AC$400,_xlfn.TEXTJOIN(",",TRUE,$B23:$E23),SF_Output!$Q$1:$Q$400,"yearly")/R23))))</f>
        <v/>
      </c>
      <c r="T23" s="6">
        <f t="shared" si="3"/>
        <v>0</v>
      </c>
      <c r="V23" s="6" cm="1">
        <f t="array" ref="V23">_xlfn.IFS(B23="","",AND(B23&lt;&gt;"",H23=SF_Output!$Y$2,SUMIFS(SF_Output!$T$1:$T$400,SF_Output!$AC$1:$AC$400,_xlfn.TEXTJOIN(",",TRUE,B23:E23),SF_Output!$Q$1:$Q$400,"monthly")=0),(SUMIFS(SF_Output!$F$1:$F$400,SF_Output!$AC$1:$AC$400,_xlfn.TEXTJOIN(",",TRUE,B23:E23),SF_Output!$Q$1:$Q$400,"monthly")+SUMIFS(SF_Output!$G$1:$G$400,SF_Output!$AC$1:$AC$400,_xlfn.TEXTJOIN(",",TRUE,B23:E23),SF_Output!$Q$1:$Q$400,"monthly"))*H23,AND(B23&lt;&gt;"",H23=SF_Output!$Y$2,SUMIFS(SF_Output!$T$1:$T$400,SF_Output!$AC$1:$AC$400,_xlfn.TEXTJOIN(",",TRUE,B23:E23),SF_Output!$Q$1:$Q$400,"monthly")&lt;&gt;0),SUMIFS(SF_Output!$S$1:$S$400,SF_Output!$AC$1:$AC$400,_xlfn.TEXTJOIN(",",TRUE,B23:E23),SF_Output!$Q$1:$Q$400,"monthly"),AND(B23&lt;&gt;"",H23&lt;&gt;SF_Output!$Y$2),SUMIFS(SF_Output!$S$1:$S$400,SF_Output!$AC$1:$AC$400,_xlfn.TEXTJOIN(",",TRUE,B23:E23),SF_Output!$Q$1:$Q$400,"monthly"))</f>
        <v>220</v>
      </c>
      <c r="W23" s="112" cm="1">
        <f t="array" ref="W23">_xlfn.IFS(OR(B23=0,B23="",V23=0),"",AF23&lt;&gt;"exclusion",MAX($W$9,$W$7,(-(SUMIFS(SF_Output!$T$1:$T$400,SF_Output!$AC$1:$AC$400,_xlfn.TEXTJOIN(",",TRUE,$B23:$E23),SF_Output!$Q$1:$Q$400,"monthly"))/V23)),AF23="exclusion",-(SUMIFS(SF_Output!$T$1:$T$400,SF_Output!$AC$1:$AC$400,_xlfn.TEXTJOIN(",",TRUE,$B23:$E23),SF_Output!$Q$1:$Q$400,"monthly"))/V23)</f>
        <v>0.25</v>
      </c>
      <c r="X23" s="6" cm="1">
        <f t="array" ref="X23">IFERROR(_xlfn.IFS(V23=0,0,V23="","",W23=0,V23,OR(V23&lt;&gt;0,V23&lt;&gt;""),H23*I23),V23*(1-W23))</f>
        <v>165</v>
      </c>
      <c r="Z23" s="6">
        <f>IFERROR(IF(B23="","",SUMIFS(Billing_Fallout!H:H,Billing_Fallout!N:N,B23)),0)</f>
        <v>0</v>
      </c>
      <c r="AA23" s="6">
        <f t="shared" si="4"/>
        <v>0</v>
      </c>
      <c r="AB23" s="6">
        <f>IFERROR(IF(B23="","",SUMIFS(Billing_Fallout!J:J,Billing_Fallout!N:N,B23)),0)</f>
        <v>0</v>
      </c>
      <c r="AD23" s="6">
        <f t="shared" si="5"/>
        <v>165</v>
      </c>
      <c r="AF23" t="str">
        <f>IFERROR(INDEX(H_Tables!$B$1:$B$1500,MATCH(INDEX(SF_Output!$J$1:$J$400,MATCH(B23,SF_Output!$M$1:$M$400,0)),H_Tables!$A$1:$A$1500,0)),"")</f>
        <v/>
      </c>
      <c r="AI23" s="119" t="str">
        <f t="shared" si="6"/>
        <v/>
      </c>
      <c r="AJ23" s="121">
        <f>IFERROR(INDEX(SF_Output!AD:AD,MATCH(_xlfn.TEXTJOIN(",",TRUE,B23:E23),SF_Output!AC1:AC400,0)),0.05)</f>
        <v>16</v>
      </c>
      <c r="AK23" t="str">
        <f>IF(SUMIFS(SF_Output!$F$1:$F$400,SF_Output!$AC$1:$AC$400,_xlfn.TEXTJOIN(",",TRUE,B23:E23))+SUMIFS(SF_Output!$G$1:$G$400,SF_Output!$AC$1:$AC$400,_xlfn.TEXTJOIN(",",TRUE,B23:E23))=0,"","PAP")</f>
        <v/>
      </c>
      <c r="AL23" s="35" t="str">
        <f t="shared" si="7"/>
        <v>Platform Static Training Bank,New,Hosted by JHA,1</v>
      </c>
      <c r="AQ23" s="35"/>
      <c r="AR23" s="35" t="str" cm="1">
        <f t="array" ref="AR23">IFERROR(_xlfn.IFS(AND(E23*1=1,F23="Included"),"Change to Included",AND(E23*1=0,F23="Optional"),"Change to Optional",OR(B23="",F23="replaced"),""),"")</f>
        <v/>
      </c>
      <c r="AS23" s="35" t="str">
        <f t="shared" si="8"/>
        <v/>
      </c>
      <c r="AT23" s="35" t="str">
        <f t="shared" si="9"/>
        <v/>
      </c>
      <c r="AU23" s="35" t="str">
        <f t="shared" si="10"/>
        <v/>
      </c>
      <c r="AV23" s="35" t="str">
        <f t="shared" si="11"/>
        <v/>
      </c>
      <c r="AW23" s="35" t="str">
        <f t="shared" si="12"/>
        <v/>
      </c>
      <c r="AX23" s="35" t="str">
        <f t="shared" si="13"/>
        <v/>
      </c>
      <c r="AY23" s="35" t="str">
        <f t="shared" si="14"/>
        <v/>
      </c>
      <c r="AZ23" s="35" t="str">
        <f t="shared" si="15"/>
        <v/>
      </c>
      <c r="BA23" s="35" t="str">
        <f t="shared" si="16"/>
        <v/>
      </c>
      <c r="BB23" s="35" t="str">
        <f t="shared" si="17"/>
        <v/>
      </c>
      <c r="BC23" s="35"/>
      <c r="BE23" s="35">
        <f ca="1">INDEX(SF_Output!$AA$2:$AA$400,MATCH($B23,SF_Output!$M$2:$M$400,0))</f>
        <v>2</v>
      </c>
      <c r="BF23" s="35">
        <f ca="1">INDEX(SF_Output!$AB$2:$AB$400,MATCH($B23,SF_Output!$M$2:$M$400,0))</f>
        <v>1</v>
      </c>
    </row>
    <row r="24" spans="2:58" x14ac:dyDescent="0.25">
      <c r="B24" t="s">
        <v>2177</v>
      </c>
      <c r="C24" t="s">
        <v>2122</v>
      </c>
      <c r="D24" t="s">
        <v>2123</v>
      </c>
      <c r="E24" t="s">
        <v>2124</v>
      </c>
      <c r="F24" s="116" t="str">
        <f t="shared" si="0"/>
        <v>Included</v>
      </c>
      <c r="G24" t="str">
        <f>IF(B24="","",INDEX(SF_Output!$K$1:$K$400,MATCH(B24,SF_Output!$M$1:$M$400,0)))</f>
        <v>OnBoard</v>
      </c>
      <c r="H24" cm="1">
        <f t="array" ref="H24">_xlfn.IFS(B24="","",(SUMIFS(SF_Output!$F$1:$F$400,SF_Output!$AC$1:$AC$400,_xlfn.TEXTJOIN(",",TRUE,B24:E24))+SUMIFS(SF_Output!$G$1:$G$400,SF_Output!$AC$1:$AC$400,_xlfn.TEXTJOIN(",",TRUE,B24:E24)))&lt;&gt;0,SF_Output!$Y$2,INDEX(SF_Output!$F$1:$F$400,MATCH(_xlfn.TEXTJOIN(",",TRUE,B24:E24),SF_Output!$AC$1:$AC$400,0))=0,INDEX(SF_Output!$R$1:$R$400,MATCH(_xlfn.TEXTJOIN(",",TRUE,B24:E24),SF_Output!$AC$1:$AC$400,0)))</f>
        <v>5000</v>
      </c>
      <c r="I24" s="125">
        <f>IFERROR(IF(AND(H24&gt;1,H24&lt;&gt;""),ROUND(SUMIFS(SF_Output!$S$1:$S$400,SF_Output!$AC$1:$AC$400,_xlfn.TEXTJOIN(",",TRUE,B24:E24),SF_Output!$Q$1:$Q$400,"monthly")*(1-W24)/H24,4),""),"")</f>
        <v>0.17030000000000001</v>
      </c>
      <c r="J24" s="6">
        <f>IF(B24="","",SUMIFS(SF_Output!$S$1:$S$400,SF_Output!$AC$1:$AC$400,_xlfn.TEXTJOIN(",",TRUE,B24:E24),SF_Output!$Q$1:$Q$400,"One Time",SF_Output!$L$1:$L$400,"license fee")+SUMIFS(SF_Output!$S$1:$S$400,SF_Output!$AC$1:$AC$400,_xlfn.TEXTJOIN(",",TRUE,B24:E24),SF_Output!$Q$1:$Q$400,"One Time",SF_Output!$L$1:$L$400,"software license")+SUMIFS(SF_Output!$S$1:$S$400,SF_Output!$AC$1:$AC$400,_xlfn.TEXTJOIN(",",TRUE,B24:E24),SF_Output!$Q$1:$Q$400,"One Time",SF_Output!$L$1:$L$400,"hardware"))</f>
        <v>0</v>
      </c>
      <c r="K24" s="112" t="str">
        <f>IF(OR(B24=0,B24="",G24="hardware",J24=0),"",IF(AF24&lt;&gt;"exclusion",MAX(K$9,-((SUMIFS(SF_Output!$T$1:$T$400,SF_Output!$AC$1:$AC$400,_xlfn.TEXTJOIN(",",TRUE,$B24:$E24),SF_Output!$Q$1:$Q$400,"One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license"))/J24)))</f>
        <v/>
      </c>
      <c r="L24" s="6">
        <f t="shared" si="1"/>
        <v>0</v>
      </c>
      <c r="N24" s="6">
        <f>IF(B24="","",SUMIFS(SF_Output!$S$1:$S$400,SF_Output!$AC$1:$AC$400,_xlfn.TEXTJOIN(",",TRUE,B24:E24),SF_Output!$Q$1:$Q$400,"One Time",SF_Output!$L$1:$L$400,"professional service"))</f>
        <v>23180</v>
      </c>
      <c r="O24" s="112">
        <f>IF(OR(B24=0,B24="",N24=0),"",IF(AF24&lt;&gt;"exclusion",MAX(O$9,-(SUMIFS(SF_Output!$T$1:$T$400,SF_Output!$AC$1:$AC$400,_xlfn.TEXTJOIN(",",TRUE,$B24:$E24),SF_Output!$Q$1:$Q$400,"One Time",SF_Output!$L$1:$L$400,"professional service"))/N24),-((SUMIFS(SF_Output!$T$1:$T$400,SF_Output!$AC$1:$AC$400,_xlfn.TEXTJOIN(",",TRUE,$B24:$E24),SF_Output!$Q$1:$Q$400,"One Time",SF_Output!$L$1:$L$400,"professional service")/N24))))</f>
        <v>1</v>
      </c>
      <c r="P24" s="6">
        <f t="shared" si="2"/>
        <v>0</v>
      </c>
      <c r="R24" s="6">
        <f>IF(B24="","",SUMIFS(SF_Output!$S$1:$S$400,SF_Output!$AC$1:$AC$400,_xlfn.TEXTJOIN(",",TRUE,B24:E24),SF_Output!$Q$1:$Q$400,"yearly")+SUMIFS(SF_Output!$S$1:$S$400,SF_Output!$AC$1:$AC$400,_xlfn.TEXTJOIN(",",TRUE,B24:E24),SF_Output!$Q$1:$Q$400,"quarterly")*4)</f>
        <v>0</v>
      </c>
      <c r="S24" s="112" t="str">
        <f>IF(OR(B24=0,B24="",G24="hardware",R24=0),"",IF(AF24&lt;&gt;"exclusion",MAX(S$9,-(SUMIFS(SF_Output!$T$1:$T$400,SF_Output!$AC$1:$AC$400,_xlfn.TEXTJOIN(",",TRUE,$B24:$E24),SF_Output!$Q$1:$Q$400,"yearly"))/R24),-((SUMIFS(SF_Output!$T$1:$T$400,SF_Output!$AC$1:$AC$400,_xlfn.TEXTJOIN(",",TRUE,$B24:$E24),SF_Output!$Q$1:$Q$400,"yearly")/R24))))</f>
        <v/>
      </c>
      <c r="T24" s="6">
        <f t="shared" si="3"/>
        <v>0</v>
      </c>
      <c r="V24" s="6" cm="1">
        <f t="array" ref="V24">_xlfn.IFS(B24="","",AND(B24&lt;&gt;"",H24=SF_Output!$Y$2,SUMIFS(SF_Output!$T$1:$T$400,SF_Output!$AC$1:$AC$400,_xlfn.TEXTJOIN(",",TRUE,B24:E24),SF_Output!$Q$1:$Q$400,"monthly")=0),(SUMIFS(SF_Output!$F$1:$F$400,SF_Output!$AC$1:$AC$400,_xlfn.TEXTJOIN(",",TRUE,B24:E24),SF_Output!$Q$1:$Q$400,"monthly")+SUMIFS(SF_Output!$G$1:$G$400,SF_Output!$AC$1:$AC$400,_xlfn.TEXTJOIN(",",TRUE,B24:E24),SF_Output!$Q$1:$Q$400,"monthly"))*H24,AND(B24&lt;&gt;"",H24=SF_Output!$Y$2,SUMIFS(SF_Output!$T$1:$T$400,SF_Output!$AC$1:$AC$400,_xlfn.TEXTJOIN(",",TRUE,B24:E24),SF_Output!$Q$1:$Q$400,"monthly")&lt;&gt;0),SUMIFS(SF_Output!$S$1:$S$400,SF_Output!$AC$1:$AC$400,_xlfn.TEXTJOIN(",",TRUE,B24:E24),SF_Output!$Q$1:$Q$400,"monthly"),AND(B24&lt;&gt;"",H24&lt;&gt;SF_Output!$Y$2),SUMIFS(SF_Output!$S$1:$S$400,SF_Output!$AC$1:$AC$400,_xlfn.TEXTJOIN(",",TRUE,B24:E24),SF_Output!$Q$1:$Q$400,"monthly"))</f>
        <v>1135</v>
      </c>
      <c r="W24" s="112" cm="1">
        <f t="array" ref="W24">_xlfn.IFS(OR(B24=0,B24="",V24=0),"",AF24&lt;&gt;"exclusion",MAX($W$9,$W$7,(-(SUMIFS(SF_Output!$T$1:$T$400,SF_Output!$AC$1:$AC$400,_xlfn.TEXTJOIN(",",TRUE,$B24:$E24),SF_Output!$Q$1:$Q$400,"monthly"))/V24)),AF24="exclusion",-(SUMIFS(SF_Output!$T$1:$T$400,SF_Output!$AC$1:$AC$400,_xlfn.TEXTJOIN(",",TRUE,$B24:$E24),SF_Output!$Q$1:$Q$400,"monthly"))/V24)</f>
        <v>0.25</v>
      </c>
      <c r="X24" s="6" cm="1">
        <f t="array" ref="X24">IFERROR(_xlfn.IFS(V24=0,0,V24="","",W24=0,V24,OR(V24&lt;&gt;0,V24&lt;&gt;""),H24*I24),V24*(1-W24))</f>
        <v>851.5</v>
      </c>
      <c r="Z24" s="6">
        <f>IFERROR(IF(B24="","",SUMIFS(Billing_Fallout!H:H,Billing_Fallout!N:N,B24)),0)</f>
        <v>0</v>
      </c>
      <c r="AA24" s="6">
        <f t="shared" si="4"/>
        <v>0</v>
      </c>
      <c r="AB24" s="6">
        <f>IFERROR(IF(B24="","",SUMIFS(Billing_Fallout!J:J,Billing_Fallout!N:N,B24)),0)</f>
        <v>0</v>
      </c>
      <c r="AD24" s="6">
        <f t="shared" si="5"/>
        <v>851.5</v>
      </c>
      <c r="AF24" t="str">
        <f>IFERROR(INDEX(H_Tables!$B$1:$B$1500,MATCH(INDEX(SF_Output!$J$1:$J$400,MATCH(B24,SF_Output!$M$1:$M$400,0)),H_Tables!$A$1:$A$1500,0)),"")</f>
        <v/>
      </c>
      <c r="AI24" s="119" t="str">
        <f t="shared" si="6"/>
        <v/>
      </c>
      <c r="AJ24" s="121">
        <f>IFERROR(INDEX(SF_Output!AD:AD,MATCH(_xlfn.TEXTJOIN(",",TRUE,B24:E24),SF_Output!AC1:AC400,0)),0.05)</f>
        <v>33</v>
      </c>
      <c r="AK24" t="str">
        <f>IF(SUMIFS(SF_Output!$F$1:$F$400,SF_Output!$AC$1:$AC$400,_xlfn.TEXTJOIN(",",TRUE,B24:E24))+SUMIFS(SF_Output!$G$1:$G$400,SF_Output!$AC$1:$AC$400,_xlfn.TEXTJOIN(",",TRUE,B24:E24))=0,"","PAP")</f>
        <v>PAP</v>
      </c>
      <c r="AL24" s="35" t="str">
        <f t="shared" si="7"/>
        <v>OnBoard Deposits,New,Hosted by JHA,0</v>
      </c>
      <c r="AQ24" s="35"/>
      <c r="AR24" s="35" t="str" cm="1">
        <f t="array" ref="AR24">IFERROR(_xlfn.IFS(AND(E24*1=1,F24="Included"),"Change to Included",AND(E24*1=0,F24="Optional"),"Change to Optional",OR(B24="",F24="replaced"),""),"")</f>
        <v/>
      </c>
      <c r="AS24" s="35" t="str">
        <f t="shared" si="8"/>
        <v/>
      </c>
      <c r="AT24" s="35" t="str">
        <f t="shared" si="9"/>
        <v/>
      </c>
      <c r="AU24" s="35" t="str">
        <f t="shared" si="10"/>
        <v/>
      </c>
      <c r="AV24" s="35" t="str">
        <f t="shared" si="11"/>
        <v/>
      </c>
      <c r="AW24" s="35" t="str">
        <f t="shared" si="12"/>
        <v/>
      </c>
      <c r="AX24" s="35" t="str">
        <f t="shared" si="13"/>
        <v/>
      </c>
      <c r="AY24" s="35" t="str">
        <f t="shared" si="14"/>
        <v/>
      </c>
      <c r="AZ24" s="35" t="str">
        <f t="shared" si="15"/>
        <v/>
      </c>
      <c r="BA24" s="35" t="str">
        <f t="shared" si="16"/>
        <v/>
      </c>
      <c r="BB24" s="35" t="str">
        <f t="shared" si="17"/>
        <v/>
      </c>
      <c r="BC24" s="35"/>
      <c r="BE24" s="35">
        <f ca="1">INDEX(SF_Output!$AA$2:$AA$400,MATCH($B24,SF_Output!$M$2:$M$400,0))</f>
        <v>2</v>
      </c>
      <c r="BF24" s="35">
        <f ca="1">INDEX(SF_Output!$AB$2:$AB$400,MATCH($B24,SF_Output!$M$2:$M$400,0))</f>
        <v>1</v>
      </c>
    </row>
    <row r="25" spans="2:58" x14ac:dyDescent="0.25">
      <c r="B25" t="s">
        <v>2180</v>
      </c>
      <c r="C25" t="s">
        <v>2122</v>
      </c>
      <c r="D25" t="s">
        <v>2123</v>
      </c>
      <c r="E25" t="s">
        <v>2150</v>
      </c>
      <c r="F25" s="116" t="str">
        <f t="shared" si="0"/>
        <v>Optional</v>
      </c>
      <c r="G25" t="str">
        <f>IF(B25="","",INDEX(SF_Output!$K$1:$K$400,MATCH(B25,SF_Output!$M$1:$M$400,0)))</f>
        <v>OnBoard</v>
      </c>
      <c r="H25" cm="1">
        <f t="array" ref="H25">_xlfn.IFS(B25="","",(SUMIFS(SF_Output!$F$1:$F$400,SF_Output!$AC$1:$AC$400,_xlfn.TEXTJOIN(",",TRUE,B25:E25))+SUMIFS(SF_Output!$G$1:$G$400,SF_Output!$AC$1:$AC$400,_xlfn.TEXTJOIN(",",TRUE,B25:E25)))&lt;&gt;0,SF_Output!$Y$2,INDEX(SF_Output!$F$1:$F$400,MATCH(_xlfn.TEXTJOIN(",",TRUE,B25:E25),SF_Output!$AC$1:$AC$400,0))=0,INDEX(SF_Output!$R$1:$R$400,MATCH(_xlfn.TEXTJOIN(",",TRUE,B25:E25),SF_Output!$AC$1:$AC$400,0)))</f>
        <v>5000</v>
      </c>
      <c r="I25" s="125">
        <f>IFERROR(IF(AND(H25&gt;1,H25&lt;&gt;""),ROUND(SUMIFS(SF_Output!$S$1:$S$400,SF_Output!$AC$1:$AC$400,_xlfn.TEXTJOIN(",",TRUE,B25:E25),SF_Output!$Q$1:$Q$400,"monthly")*(1-W25)/H25,4),""),"")</f>
        <v>0.2273</v>
      </c>
      <c r="J25" s="6">
        <f>IF(B25="","",SUMIFS(SF_Output!$S$1:$S$400,SF_Output!$AC$1:$AC$400,_xlfn.TEXTJOIN(",",TRUE,B25:E25),SF_Output!$Q$1:$Q$400,"One Time",SF_Output!$L$1:$L$400,"license fee")+SUMIFS(SF_Output!$S$1:$S$400,SF_Output!$AC$1:$AC$400,_xlfn.TEXTJOIN(",",TRUE,B25:E25),SF_Output!$Q$1:$Q$400,"One Time",SF_Output!$L$1:$L$400,"software license")+SUMIFS(SF_Output!$S$1:$S$400,SF_Output!$AC$1:$AC$400,_xlfn.TEXTJOIN(",",TRUE,B25:E25),SF_Output!$Q$1:$Q$400,"One Time",SF_Output!$L$1:$L$400,"hardware"))</f>
        <v>0</v>
      </c>
      <c r="K25" s="112" t="str">
        <f>IF(OR(B25=0,B25="",G25="hardware",J25=0),"",IF(AF25&lt;&gt;"exclusion",MAX(K$9,-((SUMIFS(SF_Output!$T$1:$T$400,SF_Output!$AC$1:$AC$400,_xlfn.TEXTJOIN(",",TRUE,$B25:$E25),SF_Output!$Q$1:$Q$400,"One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license"))/J25)))</f>
        <v/>
      </c>
      <c r="L25" s="6">
        <f t="shared" si="1"/>
        <v>0</v>
      </c>
      <c r="N25" s="6">
        <f>IF(B25="","",SUMIFS(SF_Output!$S$1:$S$400,SF_Output!$AC$1:$AC$400,_xlfn.TEXTJOIN(",",TRUE,B25:E25),SF_Output!$Q$1:$Q$400,"One Time",SF_Output!$L$1:$L$400,"professional service"))</f>
        <v>42480</v>
      </c>
      <c r="O25" s="112">
        <f>IF(OR(B25=0,B25="",N25=0),"",IF(AF25&lt;&gt;"exclusion",MAX(O$9,-(SUMIFS(SF_Output!$T$1:$T$400,SF_Output!$AC$1:$AC$400,_xlfn.TEXTJOIN(",",TRUE,$B25:$E25),SF_Output!$Q$1:$Q$400,"One Time",SF_Output!$L$1:$L$400,"professional service"))/N25),-((SUMIFS(SF_Output!$T$1:$T$400,SF_Output!$AC$1:$AC$400,_xlfn.TEXTJOIN(",",TRUE,$B25:$E25),SF_Output!$Q$1:$Q$400,"One Time",SF_Output!$L$1:$L$400,"professional service")/N25))))</f>
        <v>1</v>
      </c>
      <c r="P25" s="6">
        <f t="shared" si="2"/>
        <v>0</v>
      </c>
      <c r="R25" s="6">
        <f>IF(B25="","",SUMIFS(SF_Output!$S$1:$S$400,SF_Output!$AC$1:$AC$400,_xlfn.TEXTJOIN(",",TRUE,B25:E25),SF_Output!$Q$1:$Q$400,"yearly")+SUMIFS(SF_Output!$S$1:$S$400,SF_Output!$AC$1:$AC$400,_xlfn.TEXTJOIN(",",TRUE,B25:E25),SF_Output!$Q$1:$Q$400,"quarterly")*4)</f>
        <v>0</v>
      </c>
      <c r="S25" s="112" t="str">
        <f>IF(OR(B25=0,B25="",G25="hardware",R25=0),"",IF(AF25&lt;&gt;"exclusion",MAX(S$9,-(SUMIFS(SF_Output!$T$1:$T$400,SF_Output!$AC$1:$AC$400,_xlfn.TEXTJOIN(",",TRUE,$B25:$E25),SF_Output!$Q$1:$Q$400,"yearly"))/R25),-((SUMIFS(SF_Output!$T$1:$T$400,SF_Output!$AC$1:$AC$400,_xlfn.TEXTJOIN(",",TRUE,$B25:$E25),SF_Output!$Q$1:$Q$400,"yearly")/R25))))</f>
        <v/>
      </c>
      <c r="T25" s="6">
        <f t="shared" si="3"/>
        <v>0</v>
      </c>
      <c r="V25" s="6" cm="1">
        <f t="array" ref="V25">_xlfn.IFS(B25="","",AND(B25&lt;&gt;"",H25=SF_Output!$Y$2,SUMIFS(SF_Output!$T$1:$T$400,SF_Output!$AC$1:$AC$400,_xlfn.TEXTJOIN(",",TRUE,B25:E25),SF_Output!$Q$1:$Q$400,"monthly")=0),(SUMIFS(SF_Output!$F$1:$F$400,SF_Output!$AC$1:$AC$400,_xlfn.TEXTJOIN(",",TRUE,B25:E25),SF_Output!$Q$1:$Q$400,"monthly")+SUMIFS(SF_Output!$G$1:$G$400,SF_Output!$AC$1:$AC$400,_xlfn.TEXTJOIN(",",TRUE,B25:E25),SF_Output!$Q$1:$Q$400,"monthly"))*H25,AND(B25&lt;&gt;"",H25=SF_Output!$Y$2,SUMIFS(SF_Output!$T$1:$T$400,SF_Output!$AC$1:$AC$400,_xlfn.TEXTJOIN(",",TRUE,B25:E25),SF_Output!$Q$1:$Q$400,"monthly")&lt;&gt;0),SUMIFS(SF_Output!$S$1:$S$400,SF_Output!$AC$1:$AC$400,_xlfn.TEXTJOIN(",",TRUE,B25:E25),SF_Output!$Q$1:$Q$400,"monthly"),AND(B25&lt;&gt;"",H25&lt;&gt;SF_Output!$Y$2),SUMIFS(SF_Output!$S$1:$S$400,SF_Output!$AC$1:$AC$400,_xlfn.TEXTJOIN(",",TRUE,B25:E25),SF_Output!$Q$1:$Q$400,"monthly"))</f>
        <v>1515</v>
      </c>
      <c r="W25" s="112" cm="1">
        <f t="array" ref="W25">_xlfn.IFS(OR(B25=0,B25="",V25=0),"",AF25&lt;&gt;"exclusion",MAX($W$9,$W$7,(-(SUMIFS(SF_Output!$T$1:$T$400,SF_Output!$AC$1:$AC$400,_xlfn.TEXTJOIN(",",TRUE,$B25:$E25),SF_Output!$Q$1:$Q$400,"monthly"))/V25)),AF25="exclusion",-(SUMIFS(SF_Output!$T$1:$T$400,SF_Output!$AC$1:$AC$400,_xlfn.TEXTJOIN(",",TRUE,$B25:$E25),SF_Output!$Q$1:$Q$400,"monthly"))/V25)</f>
        <v>0.25</v>
      </c>
      <c r="X25" s="6" cm="1">
        <f t="array" ref="X25">IFERROR(_xlfn.IFS(V25=0,0,V25="","",W25=0,V25,OR(V25&lt;&gt;0,V25&lt;&gt;""),H25*I25),V25*(1-W25))</f>
        <v>1136.5</v>
      </c>
      <c r="Z25" s="6">
        <f>IFERROR(IF(B25="","",SUMIFS(Billing_Fallout!H:H,Billing_Fallout!N:N,B25)),0)</f>
        <v>0</v>
      </c>
      <c r="AA25" s="6">
        <f t="shared" si="4"/>
        <v>0</v>
      </c>
      <c r="AB25" s="6">
        <f>IFERROR(IF(B25="","",SUMIFS(Billing_Fallout!J:J,Billing_Fallout!N:N,B25)),0)</f>
        <v>0</v>
      </c>
      <c r="AD25" s="6">
        <f t="shared" si="5"/>
        <v>1136.5</v>
      </c>
      <c r="AF25" t="str">
        <f>IFERROR(INDEX(H_Tables!$B$1:$B$1500,MATCH(INDEX(SF_Output!$J$1:$J$400,MATCH(B25,SF_Output!$M$1:$M$400,0)),H_Tables!$A$1:$A$1500,0)),"")</f>
        <v/>
      </c>
      <c r="AI25" s="119" t="str">
        <f t="shared" si="6"/>
        <v/>
      </c>
      <c r="AJ25" s="121">
        <f>IFERROR(INDEX(SF_Output!AD:AD,MATCH(_xlfn.TEXTJOIN(",",TRUE,B25:E25),SF_Output!AC1:AC400,0)),0.05)</f>
        <v>35</v>
      </c>
      <c r="AK25" t="str">
        <f>IF(SUMIFS(SF_Output!$F$1:$F$400,SF_Output!$AC$1:$AC$400,_xlfn.TEXTJOIN(",",TRUE,B25:E25))+SUMIFS(SF_Output!$G$1:$G$400,SF_Output!$AC$1:$AC$400,_xlfn.TEXTJOIN(",",TRUE,B25:E25))=0,"","PAP")</f>
        <v>PAP</v>
      </c>
      <c r="AL25" s="35" t="str">
        <f t="shared" si="7"/>
        <v>OnBoard Lending,New,Hosted by JHA,1</v>
      </c>
      <c r="AQ25" s="35"/>
      <c r="AR25" s="35" t="str" cm="1">
        <f t="array" ref="AR25">IFERROR(_xlfn.IFS(AND(E25*1=1,F25="Included"),"Change to Included",AND(E25*1=0,F25="Optional"),"Change to Optional",OR(B25="",F25="replaced"),""),"")</f>
        <v/>
      </c>
      <c r="AS25" s="35" t="str">
        <f t="shared" si="8"/>
        <v/>
      </c>
      <c r="AT25" s="35" t="str">
        <f t="shared" si="9"/>
        <v/>
      </c>
      <c r="AU25" s="35" t="str">
        <f t="shared" si="10"/>
        <v/>
      </c>
      <c r="AV25" s="35" t="str">
        <f t="shared" si="11"/>
        <v/>
      </c>
      <c r="AW25" s="35" t="str">
        <f t="shared" si="12"/>
        <v/>
      </c>
      <c r="AX25" s="35" t="str">
        <f t="shared" si="13"/>
        <v/>
      </c>
      <c r="AY25" s="35" t="str">
        <f t="shared" si="14"/>
        <v/>
      </c>
      <c r="AZ25" s="35" t="str">
        <f t="shared" si="15"/>
        <v/>
      </c>
      <c r="BA25" s="35" t="str">
        <f t="shared" si="16"/>
        <v/>
      </c>
      <c r="BB25" s="35" t="str">
        <f t="shared" si="17"/>
        <v/>
      </c>
      <c r="BC25" s="35"/>
      <c r="BE25" s="35">
        <f ca="1">INDEX(SF_Output!$AA$2:$AA$400,MATCH($B25,SF_Output!$M$2:$M$400,0))</f>
        <v>2</v>
      </c>
      <c r="BF25" s="35">
        <f ca="1">INDEX(SF_Output!$AB$2:$AB$400,MATCH($B25,SF_Output!$M$2:$M$400,0))</f>
        <v>1</v>
      </c>
    </row>
    <row r="26" spans="2:58" x14ac:dyDescent="0.25">
      <c r="B26" t="s">
        <v>1436</v>
      </c>
      <c r="C26" t="s">
        <v>2122</v>
      </c>
      <c r="D26" t="s">
        <v>2123</v>
      </c>
      <c r="E26" t="s">
        <v>2150</v>
      </c>
      <c r="F26" s="116" t="str">
        <f t="shared" si="0"/>
        <v>Optional</v>
      </c>
      <c r="G26" t="str">
        <f>IF(B26="","",INDEX(SF_Output!$K$1:$K$400,MATCH(B26,SF_Output!$M$1:$M$400,0)))</f>
        <v>OnBoard</v>
      </c>
      <c r="H26" cm="1">
        <f t="array" ref="H26">_xlfn.IFS(B26="","",(SUMIFS(SF_Output!$F$1:$F$400,SF_Output!$AC$1:$AC$400,_xlfn.TEXTJOIN(",",TRUE,B26:E26))+SUMIFS(SF_Output!$G$1:$G$400,SF_Output!$AC$1:$AC$400,_xlfn.TEXTJOIN(",",TRUE,B26:E26)))&lt;&gt;0,SF_Output!$Y$2,INDEX(SF_Output!$F$1:$F$400,MATCH(_xlfn.TEXTJOIN(",",TRUE,B26:E26),SF_Output!$AC$1:$AC$400,0))=0,INDEX(SF_Output!$R$1:$R$400,MATCH(_xlfn.TEXTJOIN(",",TRUE,B26:E26),SF_Output!$AC$1:$AC$400,0)))</f>
        <v>1</v>
      </c>
      <c r="I26" s="125" t="str">
        <f>IFERROR(IF(AND(H26&gt;1,H26&lt;&gt;""),ROUND(SUMIFS(SF_Output!$S$1:$S$400,SF_Output!$AC$1:$AC$400,_xlfn.TEXTJOIN(",",TRUE,B26:E26),SF_Output!$Q$1:$Q$400,"monthly")*(1-W26)/H26,4),""),"")</f>
        <v/>
      </c>
      <c r="J26" s="6">
        <f>IF(B26="","",SUMIFS(SF_Output!$S$1:$S$400,SF_Output!$AC$1:$AC$400,_xlfn.TEXTJOIN(",",TRUE,B26:E26),SF_Output!$Q$1:$Q$400,"One Time",SF_Output!$L$1:$L$400,"license fee")+SUMIFS(SF_Output!$S$1:$S$400,SF_Output!$AC$1:$AC$400,_xlfn.TEXTJOIN(",",TRUE,B26:E26),SF_Output!$Q$1:$Q$400,"One Time",SF_Output!$L$1:$L$400,"software license")+SUMIFS(SF_Output!$S$1:$S$400,SF_Output!$AC$1:$AC$400,_xlfn.TEXTJOIN(",",TRUE,B26:E26),SF_Output!$Q$1:$Q$400,"One Time",SF_Output!$L$1:$L$400,"hardware"))</f>
        <v>0</v>
      </c>
      <c r="K26" s="112" t="str">
        <f>IF(OR(B26=0,B26="",G26="hardware",J26=0),"",IF(AF26&lt;&gt;"exclusion",MAX(K$9,-((SUMIFS(SF_Output!$T$1:$T$400,SF_Output!$AC$1:$AC$400,_xlfn.TEXTJOIN(",",TRUE,$B26:$E26),SF_Output!$Q$1:$Q$400,"One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license"))/J26)))</f>
        <v/>
      </c>
      <c r="L26" s="6">
        <f t="shared" si="1"/>
        <v>0</v>
      </c>
      <c r="N26" s="6">
        <f>IF(B26="","",SUMIFS(SF_Output!$S$1:$S$400,SF_Output!$AC$1:$AC$400,_xlfn.TEXTJOIN(",",TRUE,B26:E26),SF_Output!$Q$1:$Q$400,"One Time",SF_Output!$L$1:$L$400,"professional service"))</f>
        <v>1500</v>
      </c>
      <c r="O26" s="112">
        <f>IF(OR(B26=0,B26="",N26=0),"",IF(AF26&lt;&gt;"exclusion",MAX(O$9,-(SUMIFS(SF_Output!$T$1:$T$400,SF_Output!$AC$1:$AC$400,_xlfn.TEXTJOIN(",",TRUE,$B26:$E26),SF_Output!$Q$1:$Q$400,"One Time",SF_Output!$L$1:$L$400,"professional service"))/N26),-((SUMIFS(SF_Output!$T$1:$T$400,SF_Output!$AC$1:$AC$400,_xlfn.TEXTJOIN(",",TRUE,$B26:$E26),SF_Output!$Q$1:$Q$400,"One Time",SF_Output!$L$1:$L$400,"professional service")/N26))))</f>
        <v>0</v>
      </c>
      <c r="P26" s="6">
        <f t="shared" si="2"/>
        <v>1500</v>
      </c>
      <c r="R26" s="6">
        <f>IF(B26="","",SUMIFS(SF_Output!$S$1:$S$400,SF_Output!$AC$1:$AC$400,_xlfn.TEXTJOIN(",",TRUE,B26:E26),SF_Output!$Q$1:$Q$400,"yearly")+SUMIFS(SF_Output!$S$1:$S$400,SF_Output!$AC$1:$AC$400,_xlfn.TEXTJOIN(",",TRUE,B26:E26),SF_Output!$Q$1:$Q$400,"quarterly")*4)</f>
        <v>0</v>
      </c>
      <c r="S26" s="112" t="str">
        <f>IF(OR(B26=0,B26="",G26="hardware",R26=0),"",IF(AF26&lt;&gt;"exclusion",MAX(S$9,-(SUMIFS(SF_Output!$T$1:$T$400,SF_Output!$AC$1:$AC$400,_xlfn.TEXTJOIN(",",TRUE,$B26:$E26),SF_Output!$Q$1:$Q$400,"yearly"))/R26),-((SUMIFS(SF_Output!$T$1:$T$400,SF_Output!$AC$1:$AC$400,_xlfn.TEXTJOIN(",",TRUE,$B26:$E26),SF_Output!$Q$1:$Q$400,"yearly")/R26))))</f>
        <v/>
      </c>
      <c r="T26" s="6">
        <f t="shared" si="3"/>
        <v>0</v>
      </c>
      <c r="V26" s="6" cm="1">
        <f t="array" ref="V26">_xlfn.IFS(B26="","",AND(B26&lt;&gt;"",H26=SF_Output!$Y$2,SUMIFS(SF_Output!$T$1:$T$400,SF_Output!$AC$1:$AC$400,_xlfn.TEXTJOIN(",",TRUE,B26:E26),SF_Output!$Q$1:$Q$400,"monthly")=0),(SUMIFS(SF_Output!$F$1:$F$400,SF_Output!$AC$1:$AC$400,_xlfn.TEXTJOIN(",",TRUE,B26:E26),SF_Output!$Q$1:$Q$400,"monthly")+SUMIFS(SF_Output!$G$1:$G$400,SF_Output!$AC$1:$AC$400,_xlfn.TEXTJOIN(",",TRUE,B26:E26),SF_Output!$Q$1:$Q$400,"monthly"))*H26,AND(B26&lt;&gt;"",H26=SF_Output!$Y$2,SUMIFS(SF_Output!$T$1:$T$400,SF_Output!$AC$1:$AC$400,_xlfn.TEXTJOIN(",",TRUE,B26:E26),SF_Output!$Q$1:$Q$400,"monthly")&lt;&gt;0),SUMIFS(SF_Output!$S$1:$S$400,SF_Output!$AC$1:$AC$400,_xlfn.TEXTJOIN(",",TRUE,B26:E26),SF_Output!$Q$1:$Q$400,"monthly"),AND(B26&lt;&gt;"",H26&lt;&gt;SF_Output!$Y$2),SUMIFS(SF_Output!$S$1:$S$400,SF_Output!$AC$1:$AC$400,_xlfn.TEXTJOIN(",",TRUE,B26:E26),SF_Output!$Q$1:$Q$400,"monthly"))</f>
        <v>0</v>
      </c>
      <c r="W26" s="112" t="str" cm="1">
        <f t="array" ref="W26">_xlfn.IFS(OR(B26=0,B26="",V26=0),"",AF26&lt;&gt;"exclusion",MAX($W$9,$W$7,(-(SUMIFS(SF_Output!$T$1:$T$400,SF_Output!$AC$1:$AC$400,_xlfn.TEXTJOIN(",",TRUE,$B26:$E26),SF_Output!$Q$1:$Q$400,"monthly"))/V26)),AF26="exclusion",-(SUMIFS(SF_Output!$T$1:$T$400,SF_Output!$AC$1:$AC$400,_xlfn.TEXTJOIN(",",TRUE,$B26:$E26),SF_Output!$Q$1:$Q$400,"monthly"))/V26)</f>
        <v/>
      </c>
      <c r="X26" s="6" cm="1">
        <f t="array" ref="X26">IFERROR(_xlfn.IFS(V26=0,0,V26="","",W26=0,V26,OR(V26&lt;&gt;0,V26&lt;&gt;""),H26*I26),V26*(1-W26))</f>
        <v>0</v>
      </c>
      <c r="Z26" s="6">
        <f>IFERROR(IF(B26="","",SUMIFS(Billing_Fallout!H:H,Billing_Fallout!N:N,B26)),0)</f>
        <v>0</v>
      </c>
      <c r="AA26" s="6">
        <f t="shared" si="4"/>
        <v>0</v>
      </c>
      <c r="AB26" s="6">
        <f>IFERROR(IF(B26="","",SUMIFS(Billing_Fallout!J:J,Billing_Fallout!N:N,B26)),0)</f>
        <v>0</v>
      </c>
      <c r="AD26" s="6">
        <f t="shared" si="5"/>
        <v>0</v>
      </c>
      <c r="AF26" t="str">
        <f>IFERROR(INDEX(H_Tables!$B$1:$B$1500,MATCH(INDEX(SF_Output!$J$1:$J$400,MATCH(B26,SF_Output!$M$1:$M$400,0)),H_Tables!$A$1:$A$1500,0)),"")</f>
        <v>Exclusion</v>
      </c>
      <c r="AI26" s="119" t="str">
        <f t="shared" si="6"/>
        <v/>
      </c>
      <c r="AJ26" s="121">
        <f>IFERROR(INDEX(SF_Output!AD:AD,MATCH(_xlfn.TEXTJOIN(",",TRUE,B26:E26),SF_Output!AC1:AC400,0)),0.05)</f>
        <v>37</v>
      </c>
      <c r="AK26" t="str">
        <f>IF(SUMIFS(SF_Output!$F$1:$F$400,SF_Output!$AC$1:$AC$400,_xlfn.TEXTJOIN(",",TRUE,B26:E26))+SUMIFS(SF_Output!$G$1:$G$400,SF_Output!$AC$1:$AC$400,_xlfn.TEXTJOIN(",",TRUE,B26:E26))=0,"","PAP")</f>
        <v/>
      </c>
      <c r="AL26" s="35" t="str">
        <f t="shared" si="7"/>
        <v>Carleton SmartCalcs Lending,New,Hosted by JHA,1</v>
      </c>
      <c r="AQ26" s="35"/>
      <c r="AR26" s="35" t="str" cm="1">
        <f t="array" ref="AR26">IFERROR(_xlfn.IFS(AND(E26*1=1,F26="Included"),"Change to Included",AND(E26*1=0,F26="Optional"),"Change to Optional",OR(B26="",F26="replaced"),""),"")</f>
        <v/>
      </c>
      <c r="AS26" s="35" t="str">
        <f t="shared" si="8"/>
        <v/>
      </c>
      <c r="AT26" s="35" t="str">
        <f t="shared" si="9"/>
        <v/>
      </c>
      <c r="AU26" s="35" t="str">
        <f t="shared" si="10"/>
        <v/>
      </c>
      <c r="AV26" s="35" t="str">
        <f t="shared" si="11"/>
        <v/>
      </c>
      <c r="AW26" s="35" t="str">
        <f t="shared" si="12"/>
        <v/>
      </c>
      <c r="AX26" s="35" t="str">
        <f t="shared" si="13"/>
        <v/>
      </c>
      <c r="AY26" s="35" t="str">
        <f t="shared" si="14"/>
        <v/>
      </c>
      <c r="AZ26" s="35" t="str">
        <f t="shared" si="15"/>
        <v/>
      </c>
      <c r="BA26" s="35" t="str">
        <f t="shared" si="16"/>
        <v/>
      </c>
      <c r="BB26" s="35" t="str">
        <f t="shared" si="17"/>
        <v/>
      </c>
      <c r="BC26" s="35"/>
      <c r="BE26" s="35">
        <f ca="1">INDEX(SF_Output!$AA$2:$AA$400,MATCH($B26,SF_Output!$M$2:$M$400,0))</f>
        <v>2</v>
      </c>
      <c r="BF26" s="35">
        <f ca="1">INDEX(SF_Output!$AB$2:$AB$400,MATCH($B26,SF_Output!$M$2:$M$400,0))</f>
        <v>1</v>
      </c>
    </row>
    <row r="27" spans="2:58" x14ac:dyDescent="0.25">
      <c r="B27" t="s">
        <v>2192</v>
      </c>
      <c r="C27" t="s">
        <v>2122</v>
      </c>
      <c r="D27" t="s">
        <v>2123</v>
      </c>
      <c r="E27" t="s">
        <v>2124</v>
      </c>
      <c r="F27" s="116" t="str">
        <f t="shared" si="0"/>
        <v>Included</v>
      </c>
      <c r="G27" t="str">
        <f>IF(B27="","",INDEX(SF_Output!$K$1:$K$400,MATCH(B27,SF_Output!$M$1:$M$400,0)))</f>
        <v>Teller</v>
      </c>
      <c r="H27" cm="1">
        <f t="array" ref="H27">_xlfn.IFS(B27="","",(SUMIFS(SF_Output!$F$1:$F$400,SF_Output!$AC$1:$AC$400,_xlfn.TEXTJOIN(",",TRUE,B27:E27))+SUMIFS(SF_Output!$G$1:$G$400,SF_Output!$AC$1:$AC$400,_xlfn.TEXTJOIN(",",TRUE,B27:E27)))&lt;&gt;0,SF_Output!$Y$2,INDEX(SF_Output!$F$1:$F$400,MATCH(_xlfn.TEXTJOIN(",",TRUE,B27:E27),SF_Output!$AC$1:$AC$400,0))=0,INDEX(SF_Output!$R$1:$R$400,MATCH(_xlfn.TEXTJOIN(",",TRUE,B27:E27),SF_Output!$AC$1:$AC$400,0)))</f>
        <v>5000</v>
      </c>
      <c r="I27" s="125">
        <f>IFERROR(IF(AND(H27&gt;1,H27&lt;&gt;""),ROUND(SUMIFS(SF_Output!$S$1:$S$400,SF_Output!$AC$1:$AC$400,_xlfn.TEXTJOIN(",",TRUE,B27:E27),SF_Output!$Q$1:$Q$400,"monthly")*(1-W27)/H27,4),""),"")</f>
        <v>0.03</v>
      </c>
      <c r="J27" s="6">
        <f>IF(B27="","",SUMIFS(SF_Output!$S$1:$S$400,SF_Output!$AC$1:$AC$400,_xlfn.TEXTJOIN(",",TRUE,B27:E27),SF_Output!$Q$1:$Q$400,"One Time",SF_Output!$L$1:$L$400,"license fee")+SUMIFS(SF_Output!$S$1:$S$400,SF_Output!$AC$1:$AC$400,_xlfn.TEXTJOIN(",",TRUE,B27:E27),SF_Output!$Q$1:$Q$400,"One Time",SF_Output!$L$1:$L$400,"software license")+SUMIFS(SF_Output!$S$1:$S$400,SF_Output!$AC$1:$AC$400,_xlfn.TEXTJOIN(",",TRUE,B27:E27),SF_Output!$Q$1:$Q$400,"One Time",SF_Output!$L$1:$L$400,"hardware"))</f>
        <v>0</v>
      </c>
      <c r="K27" s="112" t="str">
        <f>IF(OR(B27=0,B27="",G27="hardware",J27=0),"",IF(AF27&lt;&gt;"exclusion",MAX(K$9,-((SUMIFS(SF_Output!$T$1:$T$400,SF_Output!$AC$1:$AC$400,_xlfn.TEXTJOIN(",",TRUE,$B27:$E27),SF_Output!$Q$1:$Q$400,"One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license"))/J27)))</f>
        <v/>
      </c>
      <c r="L27" s="6">
        <f t="shared" si="1"/>
        <v>0</v>
      </c>
      <c r="N27" s="6">
        <f>IF(B27="","",SUMIFS(SF_Output!$S$1:$S$400,SF_Output!$AC$1:$AC$400,_xlfn.TEXTJOIN(",",TRUE,B27:E27),SF_Output!$Q$1:$Q$400,"One Time",SF_Output!$L$1:$L$400,"professional service"))</f>
        <v>855</v>
      </c>
      <c r="O27" s="112">
        <f>IF(OR(B27=0,B27="",N27=0),"",IF(AF27&lt;&gt;"exclusion",MAX(O$9,-(SUMIFS(SF_Output!$T$1:$T$400,SF_Output!$AC$1:$AC$400,_xlfn.TEXTJOIN(",",TRUE,$B27:$E27),SF_Output!$Q$1:$Q$400,"One Time",SF_Output!$L$1:$L$400,"professional service"))/N27),-((SUMIFS(SF_Output!$T$1:$T$400,SF_Output!$AC$1:$AC$400,_xlfn.TEXTJOIN(",",TRUE,$B27:$E27),SF_Output!$Q$1:$Q$400,"One Time",SF_Output!$L$1:$L$400,"professional service")/N27))))</f>
        <v>1</v>
      </c>
      <c r="P27" s="6">
        <f t="shared" si="2"/>
        <v>0</v>
      </c>
      <c r="R27" s="6">
        <f>IF(B27="","",SUMIFS(SF_Output!$S$1:$S$400,SF_Output!$AC$1:$AC$400,_xlfn.TEXTJOIN(",",TRUE,B27:E27),SF_Output!$Q$1:$Q$400,"yearly")+SUMIFS(SF_Output!$S$1:$S$400,SF_Output!$AC$1:$AC$400,_xlfn.TEXTJOIN(",",TRUE,B27:E27),SF_Output!$Q$1:$Q$400,"quarterly")*4)</f>
        <v>0</v>
      </c>
      <c r="S27" s="112" t="str">
        <f>IF(OR(B27=0,B27="",G27="hardware",R27=0),"",IF(AF27&lt;&gt;"exclusion",MAX(S$9,-(SUMIFS(SF_Output!$T$1:$T$400,SF_Output!$AC$1:$AC$400,_xlfn.TEXTJOIN(",",TRUE,$B27:$E27),SF_Output!$Q$1:$Q$400,"yearly"))/R27),-((SUMIFS(SF_Output!$T$1:$T$400,SF_Output!$AC$1:$AC$400,_xlfn.TEXTJOIN(",",TRUE,$B27:$E27),SF_Output!$Q$1:$Q$400,"yearly")/R27))))</f>
        <v/>
      </c>
      <c r="T27" s="6">
        <f t="shared" si="3"/>
        <v>0</v>
      </c>
      <c r="V27" s="6" cm="1">
        <f t="array" ref="V27">_xlfn.IFS(B27="","",AND(B27&lt;&gt;"",H27=SF_Output!$Y$2,SUMIFS(SF_Output!$T$1:$T$400,SF_Output!$AC$1:$AC$400,_xlfn.TEXTJOIN(",",TRUE,B27:E27),SF_Output!$Q$1:$Q$400,"monthly")=0),(SUMIFS(SF_Output!$F$1:$F$400,SF_Output!$AC$1:$AC$400,_xlfn.TEXTJOIN(",",TRUE,B27:E27),SF_Output!$Q$1:$Q$400,"monthly")+SUMIFS(SF_Output!$G$1:$G$400,SF_Output!$AC$1:$AC$400,_xlfn.TEXTJOIN(",",TRUE,B27:E27),SF_Output!$Q$1:$Q$400,"monthly"))*H27,AND(B27&lt;&gt;"",H27=SF_Output!$Y$2,SUMIFS(SF_Output!$T$1:$T$400,SF_Output!$AC$1:$AC$400,_xlfn.TEXTJOIN(",",TRUE,B27:E27),SF_Output!$Q$1:$Q$400,"monthly")&lt;&gt;0),SUMIFS(SF_Output!$S$1:$S$400,SF_Output!$AC$1:$AC$400,_xlfn.TEXTJOIN(",",TRUE,B27:E27),SF_Output!$Q$1:$Q$400,"monthly"),AND(B27&lt;&gt;"",H27&lt;&gt;SF_Output!$Y$2),SUMIFS(SF_Output!$S$1:$S$400,SF_Output!$AC$1:$AC$400,_xlfn.TEXTJOIN(",",TRUE,B27:E27),SF_Output!$Q$1:$Q$400,"monthly"))</f>
        <v>200</v>
      </c>
      <c r="W27" s="112" cm="1">
        <f t="array" ref="W27">_xlfn.IFS(OR(B27=0,B27="",V27=0),"",AF27&lt;&gt;"exclusion",MAX($W$9,$W$7,(-(SUMIFS(SF_Output!$T$1:$T$400,SF_Output!$AC$1:$AC$400,_xlfn.TEXTJOIN(",",TRUE,$B27:$E27),SF_Output!$Q$1:$Q$400,"monthly"))/V27)),AF27="exclusion",-(SUMIFS(SF_Output!$T$1:$T$400,SF_Output!$AC$1:$AC$400,_xlfn.TEXTJOIN(",",TRUE,$B27:$E27),SF_Output!$Q$1:$Q$400,"monthly"))/V27)</f>
        <v>0.25</v>
      </c>
      <c r="X27" s="6" cm="1">
        <f t="array" ref="X27">IFERROR(_xlfn.IFS(V27=0,0,V27="","",W27=0,V27,OR(V27&lt;&gt;0,V27&lt;&gt;""),H27*I27),V27*(1-W27))</f>
        <v>150</v>
      </c>
      <c r="Z27" s="6">
        <f>IFERROR(IF(B27="","",SUMIFS(Billing_Fallout!H:H,Billing_Fallout!N:N,B27)),0)</f>
        <v>0</v>
      </c>
      <c r="AA27" s="6">
        <f t="shared" si="4"/>
        <v>0</v>
      </c>
      <c r="AB27" s="6">
        <f>IFERROR(IF(B27="","",SUMIFS(Billing_Fallout!J:J,Billing_Fallout!N:N,B27)),0)</f>
        <v>0</v>
      </c>
      <c r="AD27" s="6">
        <f t="shared" si="5"/>
        <v>150</v>
      </c>
      <c r="AF27" t="str">
        <f>IFERROR(INDEX(H_Tables!$B$1:$B$1500,MATCH(INDEX(SF_Output!$J$1:$J$400,MATCH(B27,SF_Output!$M$1:$M$400,0)),H_Tables!$A$1:$A$1500,0)),"")</f>
        <v/>
      </c>
      <c r="AI27" s="119" t="str">
        <f t="shared" si="6"/>
        <v/>
      </c>
      <c r="AJ27" s="121">
        <f>IFERROR(INDEX(SF_Output!AD:AD,MATCH(_xlfn.TEXTJOIN(",",TRUE,B27:E27),SF_Output!AC1:AC400,0)),0.05)</f>
        <v>46</v>
      </c>
      <c r="AK27" t="str">
        <f>IF(SUMIFS(SF_Output!$F$1:$F$400,SF_Output!$AC$1:$AC$400,_xlfn.TEXTJOIN(",",TRUE,B27:E27))+SUMIFS(SF_Output!$G$1:$G$400,SF_Output!$AC$1:$AC$400,_xlfn.TEXTJOIN(",",TRUE,B27:E27))=0,"","PAP")</f>
        <v>PAP</v>
      </c>
      <c r="AL27" s="35" t="str">
        <f t="shared" si="7"/>
        <v>Teller Cash Recycler,New,Hosted by JHA,0</v>
      </c>
      <c r="AQ27" s="35"/>
      <c r="AR27" s="35" t="str" cm="1">
        <f t="array" ref="AR27">IFERROR(_xlfn.IFS(AND(E27*1=1,F27="Included"),"Change to Included",AND(E27*1=0,F27="Optional"),"Change to Optional",OR(B27="",F27="replaced"),""),"")</f>
        <v/>
      </c>
      <c r="AS27" s="35" t="str">
        <f t="shared" si="8"/>
        <v/>
      </c>
      <c r="AT27" s="35" t="str">
        <f t="shared" si="9"/>
        <v/>
      </c>
      <c r="AU27" s="35" t="str">
        <f t="shared" si="10"/>
        <v/>
      </c>
      <c r="AV27" s="35" t="str">
        <f t="shared" si="11"/>
        <v/>
      </c>
      <c r="AW27" s="35" t="str">
        <f t="shared" si="12"/>
        <v/>
      </c>
      <c r="AX27" s="35" t="str">
        <f t="shared" si="13"/>
        <v/>
      </c>
      <c r="AY27" s="35" t="str">
        <f t="shared" si="14"/>
        <v/>
      </c>
      <c r="AZ27" s="35" t="str">
        <f t="shared" si="15"/>
        <v/>
      </c>
      <c r="BA27" s="35" t="str">
        <f t="shared" si="16"/>
        <v/>
      </c>
      <c r="BB27" s="35" t="str">
        <f t="shared" si="17"/>
        <v/>
      </c>
      <c r="BC27" s="35"/>
      <c r="BE27" s="35">
        <f ca="1">INDEX(SF_Output!$AA$2:$AA$400,MATCH($B27,SF_Output!$M$2:$M$400,0))</f>
        <v>2</v>
      </c>
      <c r="BF27" s="35">
        <f ca="1">INDEX(SF_Output!$AB$2:$AB$400,MATCH($B27,SF_Output!$M$2:$M$400,0))</f>
        <v>2</v>
      </c>
    </row>
    <row r="28" spans="2:58" x14ac:dyDescent="0.25">
      <c r="B28" t="s">
        <v>2195</v>
      </c>
      <c r="C28" t="s">
        <v>2122</v>
      </c>
      <c r="D28" t="s">
        <v>2123</v>
      </c>
      <c r="E28" t="s">
        <v>2124</v>
      </c>
      <c r="F28" s="116" t="str">
        <f t="shared" si="0"/>
        <v>Included</v>
      </c>
      <c r="G28" t="str">
        <f>IF(B28="","",INDEX(SF_Output!$K$1:$K$400,MATCH(B28,SF_Output!$M$1:$M$400,0)))</f>
        <v>Teller</v>
      </c>
      <c r="H28" cm="1">
        <f t="array" ref="H28">_xlfn.IFS(B28="","",(SUMIFS(SF_Output!$F$1:$F$400,SF_Output!$AC$1:$AC$400,_xlfn.TEXTJOIN(",",TRUE,B28:E28))+SUMIFS(SF_Output!$G$1:$G$400,SF_Output!$AC$1:$AC$400,_xlfn.TEXTJOIN(",",TRUE,B28:E28)))&lt;&gt;0,SF_Output!$Y$2,INDEX(SF_Output!$F$1:$F$400,MATCH(_xlfn.TEXTJOIN(",",TRUE,B28:E28),SF_Output!$AC$1:$AC$400,0))=0,INDEX(SF_Output!$R$1:$R$400,MATCH(_xlfn.TEXTJOIN(",",TRUE,B28:E28),SF_Output!$AC$1:$AC$400,0)))</f>
        <v>5000</v>
      </c>
      <c r="I28" s="125">
        <f>IFERROR(IF(AND(H28&gt;1,H28&lt;&gt;""),ROUND(SUMIFS(SF_Output!$S$1:$S$400,SF_Output!$AC$1:$AC$400,_xlfn.TEXTJOIN(",",TRUE,B28:E28),SF_Output!$Q$1:$Q$400,"monthly")*(1-W28)/H28,4),""),"")</f>
        <v>1.35E-2</v>
      </c>
      <c r="J28" s="6">
        <f>IF(B28="","",SUMIFS(SF_Output!$S$1:$S$400,SF_Output!$AC$1:$AC$400,_xlfn.TEXTJOIN(",",TRUE,B28:E28),SF_Output!$Q$1:$Q$400,"One Time",SF_Output!$L$1:$L$400,"license fee")+SUMIFS(SF_Output!$S$1:$S$400,SF_Output!$AC$1:$AC$400,_xlfn.TEXTJOIN(",",TRUE,B28:E28),SF_Output!$Q$1:$Q$400,"One Time",SF_Output!$L$1:$L$400,"software license")+SUMIFS(SF_Output!$S$1:$S$400,SF_Output!$AC$1:$AC$400,_xlfn.TEXTJOIN(",",TRUE,B28:E28),SF_Output!$Q$1:$Q$400,"One Time",SF_Output!$L$1:$L$400,"hardware"))</f>
        <v>0</v>
      </c>
      <c r="K28" s="112" t="str">
        <f>IF(OR(B28=0,B28="",G28="hardware",J28=0),"",IF(AF28&lt;&gt;"exclusion",MAX(K$9,-((SUMIFS(SF_Output!$T$1:$T$400,SF_Output!$AC$1:$AC$400,_xlfn.TEXTJOIN(",",TRUE,$B28:$E28),SF_Output!$Q$1:$Q$400,"One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license"))/J28)))</f>
        <v/>
      </c>
      <c r="L28" s="6">
        <f t="shared" si="1"/>
        <v>0</v>
      </c>
      <c r="N28" s="6">
        <f>IF(B28="","",SUMIFS(SF_Output!$S$1:$S$400,SF_Output!$AC$1:$AC$400,_xlfn.TEXTJOIN(",",TRUE,B28:E28),SF_Output!$Q$1:$Q$400,"One Time",SF_Output!$L$1:$L$400,"professional service"))</f>
        <v>390</v>
      </c>
      <c r="O28" s="112">
        <f>IF(OR(B28=0,B28="",N28=0),"",IF(AF28&lt;&gt;"exclusion",MAX(O$9,-(SUMIFS(SF_Output!$T$1:$T$400,SF_Output!$AC$1:$AC$400,_xlfn.TEXTJOIN(",",TRUE,$B28:$E28),SF_Output!$Q$1:$Q$400,"One Time",SF_Output!$L$1:$L$400,"professional service"))/N28),-((SUMIFS(SF_Output!$T$1:$T$400,SF_Output!$AC$1:$AC$400,_xlfn.TEXTJOIN(",",TRUE,$B28:$E28),SF_Output!$Q$1:$Q$400,"One Time",SF_Output!$L$1:$L$400,"professional service")/N28))))</f>
        <v>1</v>
      </c>
      <c r="P28" s="6">
        <f t="shared" si="2"/>
        <v>0</v>
      </c>
      <c r="R28" s="6">
        <f>IF(B28="","",SUMIFS(SF_Output!$S$1:$S$400,SF_Output!$AC$1:$AC$400,_xlfn.TEXTJOIN(",",TRUE,B28:E28),SF_Output!$Q$1:$Q$400,"yearly")+SUMIFS(SF_Output!$S$1:$S$400,SF_Output!$AC$1:$AC$400,_xlfn.TEXTJOIN(",",TRUE,B28:E28),SF_Output!$Q$1:$Q$400,"quarterly")*4)</f>
        <v>0</v>
      </c>
      <c r="S28" s="112" t="str">
        <f>IF(OR(B28=0,B28="",G28="hardware",R28=0),"",IF(AF28&lt;&gt;"exclusion",MAX(S$9,-(SUMIFS(SF_Output!$T$1:$T$400,SF_Output!$AC$1:$AC$400,_xlfn.TEXTJOIN(",",TRUE,$B28:$E28),SF_Output!$Q$1:$Q$400,"yearly"))/R28),-((SUMIFS(SF_Output!$T$1:$T$400,SF_Output!$AC$1:$AC$400,_xlfn.TEXTJOIN(",",TRUE,$B28:$E28),SF_Output!$Q$1:$Q$400,"yearly")/R28))))</f>
        <v/>
      </c>
      <c r="T28" s="6">
        <f t="shared" si="3"/>
        <v>0</v>
      </c>
      <c r="V28" s="6" cm="1">
        <f t="array" ref="V28">_xlfn.IFS(B28="","",AND(B28&lt;&gt;"",H28=SF_Output!$Y$2,SUMIFS(SF_Output!$T$1:$T$400,SF_Output!$AC$1:$AC$400,_xlfn.TEXTJOIN(",",TRUE,B28:E28),SF_Output!$Q$1:$Q$400,"monthly")=0),(SUMIFS(SF_Output!$F$1:$F$400,SF_Output!$AC$1:$AC$400,_xlfn.TEXTJOIN(",",TRUE,B28:E28),SF_Output!$Q$1:$Q$400,"monthly")+SUMIFS(SF_Output!$G$1:$G$400,SF_Output!$AC$1:$AC$400,_xlfn.TEXTJOIN(",",TRUE,B28:E28),SF_Output!$Q$1:$Q$400,"monthly"))*H28,AND(B28&lt;&gt;"",H28=SF_Output!$Y$2,SUMIFS(SF_Output!$T$1:$T$400,SF_Output!$AC$1:$AC$400,_xlfn.TEXTJOIN(",",TRUE,B28:E28),SF_Output!$Q$1:$Q$400,"monthly")&lt;&gt;0),SUMIFS(SF_Output!$S$1:$S$400,SF_Output!$AC$1:$AC$400,_xlfn.TEXTJOIN(",",TRUE,B28:E28),SF_Output!$Q$1:$Q$400,"monthly"),AND(B28&lt;&gt;"",H28&lt;&gt;SF_Output!$Y$2),SUMIFS(SF_Output!$S$1:$S$400,SF_Output!$AC$1:$AC$400,_xlfn.TEXTJOIN(",",TRUE,B28:E28),SF_Output!$Q$1:$Q$400,"monthly"))</f>
        <v>90</v>
      </c>
      <c r="W28" s="112" cm="1">
        <f t="array" ref="W28">_xlfn.IFS(OR(B28=0,B28="",V28=0),"",AF28&lt;&gt;"exclusion",MAX($W$9,$W$7,(-(SUMIFS(SF_Output!$T$1:$T$400,SF_Output!$AC$1:$AC$400,_xlfn.TEXTJOIN(",",TRUE,$B28:$E28),SF_Output!$Q$1:$Q$400,"monthly"))/V28)),AF28="exclusion",-(SUMIFS(SF_Output!$T$1:$T$400,SF_Output!$AC$1:$AC$400,_xlfn.TEXTJOIN(",",TRUE,$B28:$E28),SF_Output!$Q$1:$Q$400,"monthly"))/V28)</f>
        <v>0.25</v>
      </c>
      <c r="X28" s="6" cm="1">
        <f t="array" ref="X28">IFERROR(_xlfn.IFS(V28=0,0,V28="","",W28=0,V28,OR(V28&lt;&gt;0,V28&lt;&gt;""),H28*I28),V28*(1-W28))</f>
        <v>67.5</v>
      </c>
      <c r="Z28" s="6">
        <f>IFERROR(IF(B28="","",SUMIFS(Billing_Fallout!H:H,Billing_Fallout!N:N,B28)),0)</f>
        <v>0</v>
      </c>
      <c r="AA28" s="6">
        <f t="shared" si="4"/>
        <v>0</v>
      </c>
      <c r="AB28" s="6">
        <f>IFERROR(IF(B28="","",SUMIFS(Billing_Fallout!J:J,Billing_Fallout!N:N,B28)),0)</f>
        <v>0</v>
      </c>
      <c r="AD28" s="6">
        <f t="shared" si="5"/>
        <v>67.5</v>
      </c>
      <c r="AF28" t="str">
        <f>IFERROR(INDEX(H_Tables!$B$1:$B$1500,MATCH(INDEX(SF_Output!$J$1:$J$400,MATCH(B28,SF_Output!$M$1:$M$400,0)),H_Tables!$A$1:$A$1500,0)),"")</f>
        <v/>
      </c>
      <c r="AI28" s="119" t="str">
        <f t="shared" si="6"/>
        <v/>
      </c>
      <c r="AJ28" s="121">
        <f>IFERROR(INDEX(SF_Output!AD:AD,MATCH(_xlfn.TEXTJOIN(",",TRUE,B28:E28),SF_Output!AC1:AC400,0)),0.05)</f>
        <v>48</v>
      </c>
      <c r="AK28" t="str">
        <f>IF(SUMIFS(SF_Output!$F$1:$F$400,SF_Output!$AC$1:$AC$400,_xlfn.TEXTJOIN(",",TRUE,B28:E28))+SUMIFS(SF_Output!$G$1:$G$400,SF_Output!$AC$1:$AC$400,_xlfn.TEXTJOIN(",",TRUE,B28:E28))=0,"","PAP")</f>
        <v>PAP</v>
      </c>
      <c r="AL28" s="35" t="str">
        <f t="shared" si="7"/>
        <v>Teller CheckMaster Plus,New,Hosted by JHA,0</v>
      </c>
      <c r="AQ28" s="35"/>
      <c r="AR28" s="35" t="str" cm="1">
        <f t="array" ref="AR28">IFERROR(_xlfn.IFS(AND(E28*1=1,F28="Included"),"Change to Included",AND(E28*1=0,F28="Optional"),"Change to Optional",OR(B28="",F28="replaced"),""),"")</f>
        <v/>
      </c>
      <c r="AS28" s="35" t="str">
        <f t="shared" si="8"/>
        <v/>
      </c>
      <c r="AT28" s="35" t="str">
        <f t="shared" si="9"/>
        <v/>
      </c>
      <c r="AU28" s="35" t="str">
        <f t="shared" si="10"/>
        <v/>
      </c>
      <c r="AV28" s="35" t="str">
        <f t="shared" si="11"/>
        <v/>
      </c>
      <c r="AW28" s="35" t="str">
        <f t="shared" si="12"/>
        <v/>
      </c>
      <c r="AX28" s="35" t="str">
        <f t="shared" si="13"/>
        <v/>
      </c>
      <c r="AY28" s="35" t="str">
        <f t="shared" si="14"/>
        <v/>
      </c>
      <c r="AZ28" s="35" t="str">
        <f t="shared" si="15"/>
        <v/>
      </c>
      <c r="BA28" s="35" t="str">
        <f t="shared" si="16"/>
        <v/>
      </c>
      <c r="BB28" s="35" t="str">
        <f t="shared" si="17"/>
        <v/>
      </c>
      <c r="BC28" s="35"/>
      <c r="BE28" s="35">
        <f ca="1">INDEX(SF_Output!$AA$2:$AA$400,MATCH($B28,SF_Output!$M$2:$M$400,0))</f>
        <v>2</v>
      </c>
      <c r="BF28" s="35">
        <f ca="1">INDEX(SF_Output!$AB$2:$AB$400,MATCH($B28,SF_Output!$M$2:$M$400,0))</f>
        <v>2</v>
      </c>
    </row>
    <row r="29" spans="2:58" x14ac:dyDescent="0.25">
      <c r="B29" t="s">
        <v>2199</v>
      </c>
      <c r="C29" t="s">
        <v>2122</v>
      </c>
      <c r="D29" t="s">
        <v>2123</v>
      </c>
      <c r="E29" t="s">
        <v>2124</v>
      </c>
      <c r="F29" s="116" t="str">
        <f t="shared" si="0"/>
        <v>Included</v>
      </c>
      <c r="G29" t="str">
        <f>IF(B29="","",INDEX(SF_Output!$K$1:$K$400,MATCH(B29,SF_Output!$M$1:$M$400,0)))</f>
        <v>Teller</v>
      </c>
      <c r="H29" cm="1">
        <f t="array" ref="H29">_xlfn.IFS(B29="","",(SUMIFS(SF_Output!$F$1:$F$400,SF_Output!$AC$1:$AC$400,_xlfn.TEXTJOIN(",",TRUE,B29:E29))+SUMIFS(SF_Output!$G$1:$G$400,SF_Output!$AC$1:$AC$400,_xlfn.TEXTJOIN(",",TRUE,B29:E29)))&lt;&gt;0,SF_Output!$Y$2,INDEX(SF_Output!$F$1:$F$400,MATCH(_xlfn.TEXTJOIN(",",TRUE,B29:E29),SF_Output!$AC$1:$AC$400,0))=0,INDEX(SF_Output!$R$1:$R$400,MATCH(_xlfn.TEXTJOIN(",",TRUE,B29:E29),SF_Output!$AC$1:$AC$400,0)))</f>
        <v>1</v>
      </c>
      <c r="I29" s="125" t="str">
        <f>IFERROR(IF(AND(H29&gt;1,H29&lt;&gt;""),ROUND(SUMIFS(SF_Output!$S$1:$S$400,SF_Output!$AC$1:$AC$400,_xlfn.TEXTJOIN(",",TRUE,B29:E29),SF_Output!$Q$1:$Q$400,"monthly")*(1-W29)/H29,4),""),"")</f>
        <v/>
      </c>
      <c r="J29" s="6">
        <f>IF(B29="","",SUMIFS(SF_Output!$S$1:$S$400,SF_Output!$AC$1:$AC$400,_xlfn.TEXTJOIN(",",TRUE,B29:E29),SF_Output!$Q$1:$Q$400,"One Time",SF_Output!$L$1:$L$400,"license fee")+SUMIFS(SF_Output!$S$1:$S$400,SF_Output!$AC$1:$AC$400,_xlfn.TEXTJOIN(",",TRUE,B29:E29),SF_Output!$Q$1:$Q$400,"One Time",SF_Output!$L$1:$L$400,"software license")+SUMIFS(SF_Output!$S$1:$S$400,SF_Output!$AC$1:$AC$400,_xlfn.TEXTJOIN(",",TRUE,B29:E29),SF_Output!$Q$1:$Q$400,"One Time",SF_Output!$L$1:$L$400,"hardware"))</f>
        <v>0</v>
      </c>
      <c r="K29" s="112" t="str">
        <f>IF(OR(B29=0,B29="",G29="hardware",J29=0),"",IF(AF29&lt;&gt;"exclusion",MAX(K$9,-((SUMIFS(SF_Output!$T$1:$T$400,SF_Output!$AC$1:$AC$400,_xlfn.TEXTJOIN(",",TRUE,$B29:$E29),SF_Output!$Q$1:$Q$400,"One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license"))/J29)))</f>
        <v/>
      </c>
      <c r="L29" s="6">
        <f t="shared" si="1"/>
        <v>0</v>
      </c>
      <c r="N29" s="6">
        <f>IF(B29="","",SUMIFS(SF_Output!$S$1:$S$400,SF_Output!$AC$1:$AC$400,_xlfn.TEXTJOIN(",",TRUE,B29:E29),SF_Output!$Q$1:$Q$400,"One Time",SF_Output!$L$1:$L$400,"professional service"))</f>
        <v>3750</v>
      </c>
      <c r="O29" s="112">
        <f>IF(OR(B29=0,B29="",N29=0),"",IF(AF29&lt;&gt;"exclusion",MAX(O$9,-(SUMIFS(SF_Output!$T$1:$T$400,SF_Output!$AC$1:$AC$400,_xlfn.TEXTJOIN(",",TRUE,$B29:$E29),SF_Output!$Q$1:$Q$400,"One Time",SF_Output!$L$1:$L$400,"professional service"))/N29),-((SUMIFS(SF_Output!$T$1:$T$400,SF_Output!$AC$1:$AC$400,_xlfn.TEXTJOIN(",",TRUE,$B29:$E29),SF_Output!$Q$1:$Q$400,"One Time",SF_Output!$L$1:$L$400,"professional service")/N29))))</f>
        <v>1</v>
      </c>
      <c r="P29" s="6">
        <f t="shared" si="2"/>
        <v>0</v>
      </c>
      <c r="R29" s="6">
        <f>IF(B29="","",SUMIFS(SF_Output!$S$1:$S$400,SF_Output!$AC$1:$AC$400,_xlfn.TEXTJOIN(",",TRUE,B29:E29),SF_Output!$Q$1:$Q$400,"yearly")+SUMIFS(SF_Output!$S$1:$S$400,SF_Output!$AC$1:$AC$400,_xlfn.TEXTJOIN(",",TRUE,B29:E29),SF_Output!$Q$1:$Q$400,"quarterly")*4)</f>
        <v>0</v>
      </c>
      <c r="S29" s="112" t="str">
        <f>IF(OR(B29=0,B29="",G29="hardware",R29=0),"",IF(AF29&lt;&gt;"exclusion",MAX(S$9,-(SUMIFS(SF_Output!$T$1:$T$400,SF_Output!$AC$1:$AC$400,_xlfn.TEXTJOIN(",",TRUE,$B29:$E29),SF_Output!$Q$1:$Q$400,"yearly"))/R29),-((SUMIFS(SF_Output!$T$1:$T$400,SF_Output!$AC$1:$AC$400,_xlfn.TEXTJOIN(",",TRUE,$B29:$E29),SF_Output!$Q$1:$Q$400,"yearly")/R29))))</f>
        <v/>
      </c>
      <c r="T29" s="6">
        <f t="shared" si="3"/>
        <v>0</v>
      </c>
      <c r="V29" s="6" cm="1">
        <f t="array" ref="V29">_xlfn.IFS(B29="","",AND(B29&lt;&gt;"",H29=SF_Output!$Y$2,SUMIFS(SF_Output!$T$1:$T$400,SF_Output!$AC$1:$AC$400,_xlfn.TEXTJOIN(",",TRUE,B29:E29),SF_Output!$Q$1:$Q$400,"monthly")=0),(SUMIFS(SF_Output!$F$1:$F$400,SF_Output!$AC$1:$AC$400,_xlfn.TEXTJOIN(",",TRUE,B29:E29),SF_Output!$Q$1:$Q$400,"monthly")+SUMIFS(SF_Output!$G$1:$G$400,SF_Output!$AC$1:$AC$400,_xlfn.TEXTJOIN(",",TRUE,B29:E29),SF_Output!$Q$1:$Q$400,"monthly"))*H29,AND(B29&lt;&gt;"",H29=SF_Output!$Y$2,SUMIFS(SF_Output!$T$1:$T$400,SF_Output!$AC$1:$AC$400,_xlfn.TEXTJOIN(",",TRUE,B29:E29),SF_Output!$Q$1:$Q$400,"monthly")&lt;&gt;0),SUMIFS(SF_Output!$S$1:$S$400,SF_Output!$AC$1:$AC$400,_xlfn.TEXTJOIN(",",TRUE,B29:E29),SF_Output!$Q$1:$Q$400,"monthly"),AND(B29&lt;&gt;"",H29&lt;&gt;SF_Output!$Y$2),SUMIFS(SF_Output!$S$1:$S$400,SF_Output!$AC$1:$AC$400,_xlfn.TEXTJOIN(",",TRUE,B29:E29),SF_Output!$Q$1:$Q$400,"monthly"))</f>
        <v>0</v>
      </c>
      <c r="W29" s="112" t="str" cm="1">
        <f t="array" ref="W29">_xlfn.IFS(OR(B29=0,B29="",V29=0),"",AF29&lt;&gt;"exclusion",MAX($W$9,$W$7,(-(SUMIFS(SF_Output!$T$1:$T$400,SF_Output!$AC$1:$AC$400,_xlfn.TEXTJOIN(",",TRUE,$B29:$E29),SF_Output!$Q$1:$Q$400,"monthly"))/V29)),AF29="exclusion",-(SUMIFS(SF_Output!$T$1:$T$400,SF_Output!$AC$1:$AC$400,_xlfn.TEXTJOIN(",",TRUE,$B29:$E29),SF_Output!$Q$1:$Q$400,"monthly"))/V29)</f>
        <v/>
      </c>
      <c r="X29" s="6" cm="1">
        <f t="array" ref="X29">IFERROR(_xlfn.IFS(V29=0,0,V29="","",W29=0,V29,OR(V29&lt;&gt;0,V29&lt;&gt;""),H29*I29),V29*(1-W29))</f>
        <v>0</v>
      </c>
      <c r="Z29" s="6">
        <f>IFERROR(IF(B29="","",SUMIFS(Billing_Fallout!H:H,Billing_Fallout!N:N,B29)),0)</f>
        <v>0</v>
      </c>
      <c r="AA29" s="6">
        <f t="shared" si="4"/>
        <v>0</v>
      </c>
      <c r="AB29" s="6">
        <f>IFERROR(IF(B29="","",SUMIFS(Billing_Fallout!J:J,Billing_Fallout!N:N,B29)),0)</f>
        <v>0</v>
      </c>
      <c r="AD29" s="6">
        <f t="shared" si="5"/>
        <v>0</v>
      </c>
      <c r="AF29" t="str">
        <f>IFERROR(INDEX(H_Tables!$B$1:$B$1500,MATCH(INDEX(SF_Output!$J$1:$J$400,MATCH(B29,SF_Output!$M$1:$M$400,0)),H_Tables!$A$1:$A$1500,0)),"")</f>
        <v/>
      </c>
      <c r="AI29" s="119" t="str">
        <f t="shared" si="6"/>
        <v/>
      </c>
      <c r="AJ29" s="121">
        <f>IFERROR(INDEX(SF_Output!AD:AD,MATCH(_xlfn.TEXTJOIN(",",TRUE,B29:E29),SF_Output!AC1:AC400,0)),0.05)</f>
        <v>50</v>
      </c>
      <c r="AK29" t="str">
        <f>IF(SUMIFS(SF_Output!$F$1:$F$400,SF_Output!$AC$1:$AC$400,_xlfn.TEXTJOIN(",",TRUE,B29:E29))+SUMIFS(SF_Output!$G$1:$G$400,SF_Output!$AC$1:$AC$400,_xlfn.TEXTJOIN(",",TRUE,B29:E29))=0,"","PAP")</f>
        <v/>
      </c>
      <c r="AL29" s="35" t="str">
        <f t="shared" si="7"/>
        <v>Teller Email Receipts,New,Hosted by JHA,0</v>
      </c>
      <c r="AQ29" s="35"/>
      <c r="AR29" s="35" t="str" cm="1">
        <f t="array" ref="AR29">IFERROR(_xlfn.IFS(AND(E29*1=1,F29="Included"),"Change to Included",AND(E29*1=0,F29="Optional"),"Change to Optional",OR(B29="",F29="replaced"),""),"")</f>
        <v/>
      </c>
      <c r="AS29" s="35" t="str">
        <f t="shared" si="8"/>
        <v/>
      </c>
      <c r="AT29" s="35" t="str">
        <f t="shared" si="9"/>
        <v/>
      </c>
      <c r="AU29" s="35" t="str">
        <f t="shared" si="10"/>
        <v/>
      </c>
      <c r="AV29" s="35" t="str">
        <f t="shared" si="11"/>
        <v/>
      </c>
      <c r="AW29" s="35" t="str">
        <f t="shared" si="12"/>
        <v/>
      </c>
      <c r="AX29" s="35" t="str">
        <f t="shared" si="13"/>
        <v/>
      </c>
      <c r="AY29" s="35" t="str">
        <f t="shared" si="14"/>
        <v/>
      </c>
      <c r="AZ29" s="35" t="str">
        <f t="shared" si="15"/>
        <v/>
      </c>
      <c r="BA29" s="35" t="str">
        <f t="shared" si="16"/>
        <v/>
      </c>
      <c r="BB29" s="35" t="str">
        <f t="shared" si="17"/>
        <v/>
      </c>
      <c r="BC29" s="35"/>
      <c r="BE29" s="35">
        <f ca="1">INDEX(SF_Output!$AA$2:$AA$400,MATCH($B29,SF_Output!$M$2:$M$400,0))</f>
        <v>2</v>
      </c>
      <c r="BF29" s="35">
        <f ca="1">INDEX(SF_Output!$AB$2:$AB$400,MATCH($B29,SF_Output!$M$2:$M$400,0))</f>
        <v>2</v>
      </c>
    </row>
    <row r="30" spans="2:58" x14ac:dyDescent="0.25">
      <c r="B30" t="s">
        <v>2201</v>
      </c>
      <c r="C30" t="s">
        <v>2122</v>
      </c>
      <c r="D30" t="s">
        <v>2164</v>
      </c>
      <c r="E30" t="s">
        <v>2124</v>
      </c>
      <c r="F30" s="116" t="str">
        <f t="shared" si="0"/>
        <v>Included</v>
      </c>
      <c r="G30" t="str">
        <f>IF(B30="","",INDEX(SF_Output!$K$1:$K$400,MATCH(B30,SF_Output!$M$1:$M$400,0)))</f>
        <v>Teller</v>
      </c>
      <c r="H30" cm="1">
        <f t="array" ref="H30">_xlfn.IFS(B30="","",(SUMIFS(SF_Output!$F$1:$F$400,SF_Output!$AC$1:$AC$400,_xlfn.TEXTJOIN(",",TRUE,B30:E30))+SUMIFS(SF_Output!$G$1:$G$400,SF_Output!$AC$1:$AC$400,_xlfn.TEXTJOIN(",",TRUE,B30:E30)))&lt;&gt;0,SF_Output!$Y$2,INDEX(SF_Output!$F$1:$F$400,MATCH(_xlfn.TEXTJOIN(",",TRUE,B30:E30),SF_Output!$AC$1:$AC$400,0))=0,INDEX(SF_Output!$R$1:$R$400,MATCH(_xlfn.TEXTJOIN(",",TRUE,B30:E30),SF_Output!$AC$1:$AC$400,0)))</f>
        <v>1</v>
      </c>
      <c r="I30" s="125" t="str">
        <f>IFERROR(IF(AND(H30&gt;1,H30&lt;&gt;""),ROUND(SUMIFS(SF_Output!$S$1:$S$400,SF_Output!$AC$1:$AC$400,_xlfn.TEXTJOIN(",",TRUE,B30:E30),SF_Output!$Q$1:$Q$400,"monthly")*(1-W30)/H30,4),""),"")</f>
        <v/>
      </c>
      <c r="J30" s="6">
        <f>IF(B30="","",SUMIFS(SF_Output!$S$1:$S$400,SF_Output!$AC$1:$AC$400,_xlfn.TEXTJOIN(",",TRUE,B30:E30),SF_Output!$Q$1:$Q$400,"One Time",SF_Output!$L$1:$L$400,"license fee")+SUMIFS(SF_Output!$S$1:$S$400,SF_Output!$AC$1:$AC$400,_xlfn.TEXTJOIN(",",TRUE,B30:E30),SF_Output!$Q$1:$Q$400,"One Time",SF_Output!$L$1:$L$400,"software license")+SUMIFS(SF_Output!$S$1:$S$400,SF_Output!$AC$1:$AC$400,_xlfn.TEXTJOIN(",",TRUE,B30:E30),SF_Output!$Q$1:$Q$400,"One Time",SF_Output!$L$1:$L$400,"hardware"))</f>
        <v>4909</v>
      </c>
      <c r="K30" s="112">
        <f>IF(OR(B30=0,B30="",G30="hardware",J30=0),"",IF(AF30&lt;&gt;"exclusion",MAX(K$9,-((SUMIFS(SF_Output!$T$1:$T$400,SF_Output!$AC$1:$AC$400,_xlfn.TEXTJOIN(",",TRUE,$B30:$E30),SF_Output!$Q$1:$Q$400,"One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license"))/J30)))</f>
        <v>0</v>
      </c>
      <c r="L30" s="6">
        <f t="shared" si="1"/>
        <v>4909</v>
      </c>
      <c r="N30" s="6">
        <f>IF(B30="","",SUMIFS(SF_Output!$S$1:$S$400,SF_Output!$AC$1:$AC$400,_xlfn.TEXTJOIN(",",TRUE,B30:E30),SF_Output!$Q$1:$Q$400,"One Time",SF_Output!$L$1:$L$400,"professional service"))</f>
        <v>0</v>
      </c>
      <c r="O30" s="112" t="str">
        <f>IF(OR(B30=0,B30="",N30=0),"",IF(AF30&lt;&gt;"exclusion",MAX(O$9,-(SUMIFS(SF_Output!$T$1:$T$400,SF_Output!$AC$1:$AC$400,_xlfn.TEXTJOIN(",",TRUE,$B30:$E30),SF_Output!$Q$1:$Q$400,"One Time",SF_Output!$L$1:$L$400,"professional service"))/N30),-((SUMIFS(SF_Output!$T$1:$T$400,SF_Output!$AC$1:$AC$400,_xlfn.TEXTJOIN(",",TRUE,$B30:$E30),SF_Output!$Q$1:$Q$400,"One Time",SF_Output!$L$1:$L$400,"professional service")/N30))))</f>
        <v/>
      </c>
      <c r="P30" s="6">
        <f t="shared" si="2"/>
        <v>0</v>
      </c>
      <c r="R30" s="6">
        <f>IF(B30="","",SUMIFS(SF_Output!$S$1:$S$400,SF_Output!$AC$1:$AC$400,_xlfn.TEXTJOIN(",",TRUE,B30:E30),SF_Output!$Q$1:$Q$400,"yearly")+SUMIFS(SF_Output!$S$1:$S$400,SF_Output!$AC$1:$AC$400,_xlfn.TEXTJOIN(",",TRUE,B30:E30),SF_Output!$Q$1:$Q$400,"quarterly")*4)</f>
        <v>982</v>
      </c>
      <c r="S30" s="112">
        <f>IF(OR(B30=0,B30="",G30="hardware",R30=0),"",IF(AF30&lt;&gt;"exclusion",MAX(S$9,-(SUMIFS(SF_Output!$T$1:$T$400,SF_Output!$AC$1:$AC$400,_xlfn.TEXTJOIN(",",TRUE,$B30:$E30),SF_Output!$Q$1:$Q$400,"yearly"))/R30),-((SUMIFS(SF_Output!$T$1:$T$400,SF_Output!$AC$1:$AC$400,_xlfn.TEXTJOIN(",",TRUE,$B30:$E30),SF_Output!$Q$1:$Q$400,"yearly")/R30))))</f>
        <v>0</v>
      </c>
      <c r="T30" s="6">
        <f t="shared" si="3"/>
        <v>982</v>
      </c>
      <c r="V30" s="6" cm="1">
        <f t="array" ref="V30">_xlfn.IFS(B30="","",AND(B30&lt;&gt;"",H30=SF_Output!$Y$2,SUMIFS(SF_Output!$T$1:$T$400,SF_Output!$AC$1:$AC$400,_xlfn.TEXTJOIN(",",TRUE,B30:E30),SF_Output!$Q$1:$Q$400,"monthly")=0),(SUMIFS(SF_Output!$F$1:$F$400,SF_Output!$AC$1:$AC$400,_xlfn.TEXTJOIN(",",TRUE,B30:E30),SF_Output!$Q$1:$Q$400,"monthly")+SUMIFS(SF_Output!$G$1:$G$400,SF_Output!$AC$1:$AC$400,_xlfn.TEXTJOIN(",",TRUE,B30:E30),SF_Output!$Q$1:$Q$400,"monthly"))*H30,AND(B30&lt;&gt;"",H30=SF_Output!$Y$2,SUMIFS(SF_Output!$T$1:$T$400,SF_Output!$AC$1:$AC$400,_xlfn.TEXTJOIN(",",TRUE,B30:E30),SF_Output!$Q$1:$Q$400,"monthly")&lt;&gt;0),SUMIFS(SF_Output!$S$1:$S$400,SF_Output!$AC$1:$AC$400,_xlfn.TEXTJOIN(",",TRUE,B30:E30),SF_Output!$Q$1:$Q$400,"monthly"),AND(B30&lt;&gt;"",H30&lt;&gt;SF_Output!$Y$2),SUMIFS(SF_Output!$S$1:$S$400,SF_Output!$AC$1:$AC$400,_xlfn.TEXTJOIN(",",TRUE,B30:E30),SF_Output!$Q$1:$Q$400,"monthly"))</f>
        <v>0</v>
      </c>
      <c r="W30" s="112" t="str" cm="1">
        <f t="array" ref="W30">_xlfn.IFS(OR(B30=0,B30="",V30=0),"",AF30&lt;&gt;"exclusion",MAX($W$9,$W$7,(-(SUMIFS(SF_Output!$T$1:$T$400,SF_Output!$AC$1:$AC$400,_xlfn.TEXTJOIN(",",TRUE,$B30:$E30),SF_Output!$Q$1:$Q$400,"monthly"))/V30)),AF30="exclusion",-(SUMIFS(SF_Output!$T$1:$T$400,SF_Output!$AC$1:$AC$400,_xlfn.TEXTJOIN(",",TRUE,$B30:$E30),SF_Output!$Q$1:$Q$400,"monthly"))/V30)</f>
        <v/>
      </c>
      <c r="X30" s="6" cm="1">
        <f t="array" ref="X30">IFERROR(_xlfn.IFS(V30=0,0,V30="","",W30=0,V30,OR(V30&lt;&gt;0,V30&lt;&gt;""),H30*I30),V30*(1-W30))</f>
        <v>0</v>
      </c>
      <c r="Z30" s="6">
        <f>IFERROR(IF(B30="","",SUMIFS(Billing_Fallout!H:H,Billing_Fallout!N:N,B30)),0)</f>
        <v>0</v>
      </c>
      <c r="AA30" s="6">
        <f t="shared" si="4"/>
        <v>0</v>
      </c>
      <c r="AB30" s="6">
        <f>IFERROR(IF(B30="","",SUMIFS(Billing_Fallout!J:J,Billing_Fallout!N:N,B30)),0)</f>
        <v>0</v>
      </c>
      <c r="AD30" s="6">
        <f t="shared" si="5"/>
        <v>0</v>
      </c>
      <c r="AF30" t="str">
        <f>IFERROR(INDEX(H_Tables!$B$1:$B$1500,MATCH(INDEX(SF_Output!$J$1:$J$400,MATCH(B30,SF_Output!$M$1:$M$400,0)),H_Tables!$A$1:$A$1500,0)),"")</f>
        <v>Exclusion</v>
      </c>
      <c r="AI30" s="119" t="str">
        <f t="shared" si="6"/>
        <v/>
      </c>
      <c r="AJ30" s="121">
        <f>IFERROR(INDEX(SF_Output!AD:AD,MATCH(_xlfn.TEXTJOIN(",",TRUE,B30:E30),SF_Output!AC1:AC400,0)),0.05)</f>
        <v>51</v>
      </c>
      <c r="AK30" t="str">
        <f>IF(SUMIFS(SF_Output!$F$1:$F$400,SF_Output!$AC$1:$AC$400,_xlfn.TEXTJOIN(",",TRUE,B30:E30))+SUMIFS(SF_Output!$G$1:$G$400,SF_Output!$AC$1:$AC$400,_xlfn.TEXTJOIN(",",TRUE,B30:E30))=0,"","PAP")</f>
        <v/>
      </c>
      <c r="AL30" s="35" t="str">
        <f t="shared" si="7"/>
        <v>Teller OrboAnywhere AI Recognition,New,On Premise License,0</v>
      </c>
      <c r="AQ30" s="35"/>
      <c r="AR30" s="35" t="str" cm="1">
        <f t="array" ref="AR30">IFERROR(_xlfn.IFS(AND(E30*1=1,F30="Included"),"Change to Included",AND(E30*1=0,F30="Optional"),"Change to Optional",OR(B30="",F30="replaced"),""),"")</f>
        <v/>
      </c>
      <c r="AS30" s="35" t="str">
        <f t="shared" si="8"/>
        <v/>
      </c>
      <c r="AT30" s="35" t="str">
        <f t="shared" si="9"/>
        <v/>
      </c>
      <c r="AU30" s="35" t="str">
        <f t="shared" si="10"/>
        <v/>
      </c>
      <c r="AV30" s="35" t="str">
        <f t="shared" si="11"/>
        <v/>
      </c>
      <c r="AW30" s="35" t="str">
        <f t="shared" si="12"/>
        <v/>
      </c>
      <c r="AX30" s="35" t="str">
        <f t="shared" si="13"/>
        <v/>
      </c>
      <c r="AY30" s="35" t="str">
        <f t="shared" si="14"/>
        <v/>
      </c>
      <c r="AZ30" s="35" t="str">
        <f t="shared" si="15"/>
        <v/>
      </c>
      <c r="BA30" s="35" t="str">
        <f t="shared" si="16"/>
        <v/>
      </c>
      <c r="BB30" s="35" t="str">
        <f t="shared" si="17"/>
        <v/>
      </c>
      <c r="BC30" s="35"/>
      <c r="BE30" s="35">
        <f ca="1">INDEX(SF_Output!$AA$2:$AA$400,MATCH($B30,SF_Output!$M$2:$M$400,0))</f>
        <v>2</v>
      </c>
      <c r="BF30" s="35">
        <f ca="1">INDEX(SF_Output!$AB$2:$AB$400,MATCH($B30,SF_Output!$M$2:$M$400,0))</f>
        <v>2</v>
      </c>
    </row>
    <row r="31" spans="2:58" x14ac:dyDescent="0.25">
      <c r="B31" t="s">
        <v>2204</v>
      </c>
      <c r="C31" t="s">
        <v>2122</v>
      </c>
      <c r="D31" t="s">
        <v>2164</v>
      </c>
      <c r="E31" t="s">
        <v>2124</v>
      </c>
      <c r="F31" s="116" t="str">
        <f t="shared" si="0"/>
        <v>Included</v>
      </c>
      <c r="G31" t="str">
        <f>IF(B31="","",INDEX(SF_Output!$K$1:$K$400,MATCH(B31,SF_Output!$M$1:$M$400,0)))</f>
        <v>Teller</v>
      </c>
      <c r="H31" cm="1">
        <f t="array" ref="H31">_xlfn.IFS(B31="","",(SUMIFS(SF_Output!$F$1:$F$400,SF_Output!$AC$1:$AC$400,_xlfn.TEXTJOIN(",",TRUE,B31:E31))+SUMIFS(SF_Output!$G$1:$G$400,SF_Output!$AC$1:$AC$400,_xlfn.TEXTJOIN(",",TRUE,B31:E31)))&lt;&gt;0,SF_Output!$Y$2,INDEX(SF_Output!$F$1:$F$400,MATCH(_xlfn.TEXTJOIN(",",TRUE,B31:E31),SF_Output!$AC$1:$AC$400,0))=0,INDEX(SF_Output!$R$1:$R$400,MATCH(_xlfn.TEXTJOIN(",",TRUE,B31:E31),SF_Output!$AC$1:$AC$400,0)))</f>
        <v>1</v>
      </c>
      <c r="I31" s="125" t="str">
        <f>IFERROR(IF(AND(H31&gt;1,H31&lt;&gt;""),ROUND(SUMIFS(SF_Output!$S$1:$S$400,SF_Output!$AC$1:$AC$400,_xlfn.TEXTJOIN(",",TRUE,B31:E31),SF_Output!$Q$1:$Q$400,"monthly")*(1-W31)/H31,4),""),"")</f>
        <v/>
      </c>
      <c r="J31" s="6">
        <f>IF(B31="","",SUMIFS(SF_Output!$S$1:$S$400,SF_Output!$AC$1:$AC$400,_xlfn.TEXTJOIN(",",TRUE,B31:E31),SF_Output!$Q$1:$Q$400,"One Time",SF_Output!$L$1:$L$400,"license fee")+SUMIFS(SF_Output!$S$1:$S$400,SF_Output!$AC$1:$AC$400,_xlfn.TEXTJOIN(",",TRUE,B31:E31),SF_Output!$Q$1:$Q$400,"One Time",SF_Output!$L$1:$L$400,"software license")+SUMIFS(SF_Output!$S$1:$S$400,SF_Output!$AC$1:$AC$400,_xlfn.TEXTJOIN(",",TRUE,B31:E31),SF_Output!$Q$1:$Q$400,"One Time",SF_Output!$L$1:$L$400,"hardware"))</f>
        <v>1636</v>
      </c>
      <c r="K31" s="112">
        <f>IF(OR(B31=0,B31="",G31="hardware",J31=0),"",IF(AF31&lt;&gt;"exclusion",MAX(K$9,-((SUMIFS(SF_Output!$T$1:$T$400,SF_Output!$AC$1:$AC$400,_xlfn.TEXTJOIN(",",TRUE,$B31:$E31),SF_Output!$Q$1:$Q$400,"One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license"))/J31)))</f>
        <v>0</v>
      </c>
      <c r="L31" s="6">
        <f t="shared" si="1"/>
        <v>1636</v>
      </c>
      <c r="N31" s="6">
        <f>IF(B31="","",SUMIFS(SF_Output!$S$1:$S$400,SF_Output!$AC$1:$AC$400,_xlfn.TEXTJOIN(",",TRUE,B31:E31),SF_Output!$Q$1:$Q$400,"One Time",SF_Output!$L$1:$L$400,"professional service"))</f>
        <v>0</v>
      </c>
      <c r="O31" s="112" t="str">
        <f>IF(OR(B31=0,B31="",N31=0),"",IF(AF31&lt;&gt;"exclusion",MAX(O$9,-(SUMIFS(SF_Output!$T$1:$T$400,SF_Output!$AC$1:$AC$400,_xlfn.TEXTJOIN(",",TRUE,$B31:$E31),SF_Output!$Q$1:$Q$400,"One Time",SF_Output!$L$1:$L$400,"professional service"))/N31),-((SUMIFS(SF_Output!$T$1:$T$400,SF_Output!$AC$1:$AC$400,_xlfn.TEXTJOIN(",",TRUE,$B31:$E31),SF_Output!$Q$1:$Q$400,"One Time",SF_Output!$L$1:$L$400,"professional service")/N31))))</f>
        <v/>
      </c>
      <c r="P31" s="6">
        <f t="shared" si="2"/>
        <v>0</v>
      </c>
      <c r="R31" s="6">
        <f>IF(B31="","",SUMIFS(SF_Output!$S$1:$S$400,SF_Output!$AC$1:$AC$400,_xlfn.TEXTJOIN(",",TRUE,B31:E31),SF_Output!$Q$1:$Q$400,"yearly")+SUMIFS(SF_Output!$S$1:$S$400,SF_Output!$AC$1:$AC$400,_xlfn.TEXTJOIN(",",TRUE,B31:E31),SF_Output!$Q$1:$Q$400,"quarterly")*4)</f>
        <v>327</v>
      </c>
      <c r="S31" s="112">
        <f>IF(OR(B31=0,B31="",G31="hardware",R31=0),"",IF(AF31&lt;&gt;"exclusion",MAX(S$9,-(SUMIFS(SF_Output!$T$1:$T$400,SF_Output!$AC$1:$AC$400,_xlfn.TEXTJOIN(",",TRUE,$B31:$E31),SF_Output!$Q$1:$Q$400,"yearly"))/R31),-((SUMIFS(SF_Output!$T$1:$T$400,SF_Output!$AC$1:$AC$400,_xlfn.TEXTJOIN(",",TRUE,$B31:$E31),SF_Output!$Q$1:$Q$400,"yearly")/R31))))</f>
        <v>0</v>
      </c>
      <c r="T31" s="6">
        <f t="shared" si="3"/>
        <v>327</v>
      </c>
      <c r="V31" s="6" cm="1">
        <f t="array" ref="V31">_xlfn.IFS(B31="","",AND(B31&lt;&gt;"",H31=SF_Output!$Y$2,SUMIFS(SF_Output!$T$1:$T$400,SF_Output!$AC$1:$AC$400,_xlfn.TEXTJOIN(",",TRUE,B31:E31),SF_Output!$Q$1:$Q$400,"monthly")=0),(SUMIFS(SF_Output!$F$1:$F$400,SF_Output!$AC$1:$AC$400,_xlfn.TEXTJOIN(",",TRUE,B31:E31),SF_Output!$Q$1:$Q$400,"monthly")+SUMIFS(SF_Output!$G$1:$G$400,SF_Output!$AC$1:$AC$400,_xlfn.TEXTJOIN(",",TRUE,B31:E31),SF_Output!$Q$1:$Q$400,"monthly"))*H31,AND(B31&lt;&gt;"",H31=SF_Output!$Y$2,SUMIFS(SF_Output!$T$1:$T$400,SF_Output!$AC$1:$AC$400,_xlfn.TEXTJOIN(",",TRUE,B31:E31),SF_Output!$Q$1:$Q$400,"monthly")&lt;&gt;0),SUMIFS(SF_Output!$S$1:$S$400,SF_Output!$AC$1:$AC$400,_xlfn.TEXTJOIN(",",TRUE,B31:E31),SF_Output!$Q$1:$Q$400,"monthly"),AND(B31&lt;&gt;"",H31&lt;&gt;SF_Output!$Y$2),SUMIFS(SF_Output!$S$1:$S$400,SF_Output!$AC$1:$AC$400,_xlfn.TEXTJOIN(",",TRUE,B31:E31),SF_Output!$Q$1:$Q$400,"monthly"))</f>
        <v>0</v>
      </c>
      <c r="W31" s="112" t="str" cm="1">
        <f t="array" ref="W31">_xlfn.IFS(OR(B31=0,B31="",V31=0),"",AF31&lt;&gt;"exclusion",MAX($W$9,$W$7,(-(SUMIFS(SF_Output!$T$1:$T$400,SF_Output!$AC$1:$AC$400,_xlfn.TEXTJOIN(",",TRUE,$B31:$E31),SF_Output!$Q$1:$Q$400,"monthly"))/V31)),AF31="exclusion",-(SUMIFS(SF_Output!$T$1:$T$400,SF_Output!$AC$1:$AC$400,_xlfn.TEXTJOIN(",",TRUE,$B31:$E31),SF_Output!$Q$1:$Q$400,"monthly"))/V31)</f>
        <v/>
      </c>
      <c r="X31" s="6" cm="1">
        <f t="array" ref="X31">IFERROR(_xlfn.IFS(V31=0,0,V31="","",W31=0,V31,OR(V31&lt;&gt;0,V31&lt;&gt;""),H31*I31),V31*(1-W31))</f>
        <v>0</v>
      </c>
      <c r="Z31" s="6">
        <f>IFERROR(IF(B31="","",SUMIFS(Billing_Fallout!H:H,Billing_Fallout!N:N,B31)),0)</f>
        <v>0</v>
      </c>
      <c r="AA31" s="6">
        <f t="shared" si="4"/>
        <v>0</v>
      </c>
      <c r="AB31" s="6">
        <f>IFERROR(IF(B31="","",SUMIFS(Billing_Fallout!J:J,Billing_Fallout!N:N,B31)),0)</f>
        <v>0</v>
      </c>
      <c r="AD31" s="6">
        <f t="shared" si="5"/>
        <v>0</v>
      </c>
      <c r="AF31" t="str">
        <f>IFERROR(INDEX(H_Tables!$B$1:$B$1500,MATCH(INDEX(SF_Output!$J$1:$J$400,MATCH(B31,SF_Output!$M$1:$M$400,0)),H_Tables!$A$1:$A$1500,0)),"")</f>
        <v>Exclusion</v>
      </c>
      <c r="AI31" s="119" t="str">
        <f t="shared" si="6"/>
        <v/>
      </c>
      <c r="AJ31" s="121">
        <f>IFERROR(INDEX(SF_Output!AD:AD,MATCH(_xlfn.TEXTJOIN(",",TRUE,B31:E31),SF_Output!AC1:AC400,0)),0.05)</f>
        <v>53</v>
      </c>
      <c r="AK31" t="str">
        <f>IF(SUMIFS(SF_Output!$F$1:$F$400,SF_Output!$AC$1:$AC$400,_xlfn.TEXTJOIN(",",TRUE,B31:E31))+SUMIFS(SF_Output!$G$1:$G$400,SF_Output!$AC$1:$AC$400,_xlfn.TEXTJOIN(",",TRUE,B31:E31))=0,"","PAP")</f>
        <v/>
      </c>
      <c r="AL31" s="35" t="str">
        <f t="shared" si="7"/>
        <v>Teller OrboAnywhere AI Validate,New,On Premise License,0</v>
      </c>
      <c r="AQ31" s="35"/>
      <c r="AR31" s="35" t="str" cm="1">
        <f t="array" ref="AR31">IFERROR(_xlfn.IFS(AND(E31*1=1,F31="Included"),"Change to Included",AND(E31*1=0,F31="Optional"),"Change to Optional",OR(B31="",F31="replaced"),""),"")</f>
        <v/>
      </c>
      <c r="AS31" s="35" t="str">
        <f t="shared" si="8"/>
        <v/>
      </c>
      <c r="AT31" s="35" t="str">
        <f t="shared" si="9"/>
        <v/>
      </c>
      <c r="AU31" s="35" t="str">
        <f t="shared" si="10"/>
        <v/>
      </c>
      <c r="AV31" s="35" t="str">
        <f t="shared" si="11"/>
        <v/>
      </c>
      <c r="AW31" s="35" t="str">
        <f t="shared" si="12"/>
        <v/>
      </c>
      <c r="AX31" s="35" t="str">
        <f t="shared" si="13"/>
        <v/>
      </c>
      <c r="AY31" s="35" t="str">
        <f t="shared" si="14"/>
        <v/>
      </c>
      <c r="AZ31" s="35" t="str">
        <f t="shared" si="15"/>
        <v/>
      </c>
      <c r="BA31" s="35" t="str">
        <f t="shared" si="16"/>
        <v/>
      </c>
      <c r="BB31" s="35" t="str">
        <f t="shared" si="17"/>
        <v/>
      </c>
      <c r="BC31" s="35"/>
      <c r="BE31" s="35">
        <f ca="1">INDEX(SF_Output!$AA$2:$AA$400,MATCH($B31,SF_Output!$M$2:$M$400,0))</f>
        <v>2</v>
      </c>
      <c r="BF31" s="35">
        <f ca="1">INDEX(SF_Output!$AB$2:$AB$400,MATCH($B31,SF_Output!$M$2:$M$400,0))</f>
        <v>2</v>
      </c>
    </row>
    <row r="32" spans="2:58" x14ac:dyDescent="0.25">
      <c r="B32" t="s">
        <v>1687</v>
      </c>
      <c r="C32" t="s">
        <v>2122</v>
      </c>
      <c r="D32" t="s">
        <v>2123</v>
      </c>
      <c r="E32" t="s">
        <v>2150</v>
      </c>
      <c r="F32" s="116" t="str">
        <f t="shared" si="0"/>
        <v>Optional</v>
      </c>
      <c r="G32" t="str">
        <f>IF(B32="","",INDEX(SF_Output!$K$1:$K$400,MATCH(B32,SF_Output!$M$1:$M$400,0)))</f>
        <v>AlertCenter</v>
      </c>
      <c r="H32" cm="1">
        <f t="array" ref="H32">_xlfn.IFS(B32="","",(SUMIFS(SF_Output!$F$1:$F$400,SF_Output!$AC$1:$AC$400,_xlfn.TEXTJOIN(",",TRUE,B32:E32))+SUMIFS(SF_Output!$G$1:$G$400,SF_Output!$AC$1:$AC$400,_xlfn.TEXTJOIN(",",TRUE,B32:E32)))&lt;&gt;0,SF_Output!$Y$2,INDEX(SF_Output!$F$1:$F$400,MATCH(_xlfn.TEXTJOIN(",",TRUE,B32:E32),SF_Output!$AC$1:$AC$400,0))=0,INDEX(SF_Output!$R$1:$R$400,MATCH(_xlfn.TEXTJOIN(",",TRUE,B32:E32),SF_Output!$AC$1:$AC$400,0)))</f>
        <v>1</v>
      </c>
      <c r="I32" s="125" t="str">
        <f>IFERROR(IF(AND(H32&gt;1,H32&lt;&gt;""),ROUND(SUMIFS(SF_Output!$S$1:$S$400,SF_Output!$AC$1:$AC$400,_xlfn.TEXTJOIN(",",TRUE,B32:E32),SF_Output!$Q$1:$Q$400,"monthly")*(1-W32)/H32,4),""),"")</f>
        <v/>
      </c>
      <c r="J32" s="6">
        <f>IF(B32="","",SUMIFS(SF_Output!$S$1:$S$400,SF_Output!$AC$1:$AC$400,_xlfn.TEXTJOIN(",",TRUE,B32:E32),SF_Output!$Q$1:$Q$400,"One Time",SF_Output!$L$1:$L$400,"license fee")+SUMIFS(SF_Output!$S$1:$S$400,SF_Output!$AC$1:$AC$400,_xlfn.TEXTJOIN(",",TRUE,B32:E32),SF_Output!$Q$1:$Q$400,"One Time",SF_Output!$L$1:$L$400,"software license")+SUMIFS(SF_Output!$S$1:$S$400,SF_Output!$AC$1:$AC$400,_xlfn.TEXTJOIN(",",TRUE,B32:E32),SF_Output!$Q$1:$Q$400,"One Time",SF_Output!$L$1:$L$400,"hardware"))</f>
        <v>0</v>
      </c>
      <c r="K32" s="112" t="str">
        <f>IF(OR(B32=0,B32="",G32="hardware",J32=0),"",IF(AF32&lt;&gt;"exclusion",MAX(K$9,-((SUMIFS(SF_Output!$T$1:$T$400,SF_Output!$AC$1:$AC$400,_xlfn.TEXTJOIN(",",TRUE,$B32:$E32),SF_Output!$Q$1:$Q$400,"One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license"))/J32)))</f>
        <v/>
      </c>
      <c r="L32" s="6">
        <f t="shared" si="1"/>
        <v>0</v>
      </c>
      <c r="N32" s="6">
        <f>IF(B32="","",SUMIFS(SF_Output!$S$1:$S$400,SF_Output!$AC$1:$AC$400,_xlfn.TEXTJOIN(",",TRUE,B32:E32),SF_Output!$Q$1:$Q$400,"One Time",SF_Output!$L$1:$L$400,"professional service"))</f>
        <v>3750</v>
      </c>
      <c r="O32" s="112">
        <f>IF(OR(B32=0,B32="",N32=0),"",IF(AF32&lt;&gt;"exclusion",MAX(O$9,-(SUMIFS(SF_Output!$T$1:$T$400,SF_Output!$AC$1:$AC$400,_xlfn.TEXTJOIN(",",TRUE,$B32:$E32),SF_Output!$Q$1:$Q$400,"One Time",SF_Output!$L$1:$L$400,"professional service"))/N32),-((SUMIFS(SF_Output!$T$1:$T$400,SF_Output!$AC$1:$AC$400,_xlfn.TEXTJOIN(",",TRUE,$B32:$E32),SF_Output!$Q$1:$Q$400,"One Time",SF_Output!$L$1:$L$400,"professional service")/N32))))</f>
        <v>1</v>
      </c>
      <c r="P32" s="6">
        <f t="shared" si="2"/>
        <v>0</v>
      </c>
      <c r="R32" s="6">
        <f>IF(B32="","",SUMIFS(SF_Output!$S$1:$S$400,SF_Output!$AC$1:$AC$400,_xlfn.TEXTJOIN(",",TRUE,B32:E32),SF_Output!$Q$1:$Q$400,"yearly")+SUMIFS(SF_Output!$S$1:$S$400,SF_Output!$AC$1:$AC$400,_xlfn.TEXTJOIN(",",TRUE,B32:E32),SF_Output!$Q$1:$Q$400,"quarterly")*4)</f>
        <v>0</v>
      </c>
      <c r="S32" s="112" t="str">
        <f>IF(OR(B32=0,B32="",G32="hardware",R32=0),"",IF(AF32&lt;&gt;"exclusion",MAX(S$9,-(SUMIFS(SF_Output!$T$1:$T$400,SF_Output!$AC$1:$AC$400,_xlfn.TEXTJOIN(",",TRUE,$B32:$E32),SF_Output!$Q$1:$Q$400,"yearly"))/R32),-((SUMIFS(SF_Output!$T$1:$T$400,SF_Output!$AC$1:$AC$400,_xlfn.TEXTJOIN(",",TRUE,$B32:$E32),SF_Output!$Q$1:$Q$400,"yearly")/R32))))</f>
        <v/>
      </c>
      <c r="T32" s="6">
        <f t="shared" si="3"/>
        <v>0</v>
      </c>
      <c r="V32" s="6" cm="1">
        <f t="array" ref="V32">_xlfn.IFS(B32="","",AND(B32&lt;&gt;"",H32=SF_Output!$Y$2,SUMIFS(SF_Output!$T$1:$T$400,SF_Output!$AC$1:$AC$400,_xlfn.TEXTJOIN(",",TRUE,B32:E32),SF_Output!$Q$1:$Q$400,"monthly")=0),(SUMIFS(SF_Output!$F$1:$F$400,SF_Output!$AC$1:$AC$400,_xlfn.TEXTJOIN(",",TRUE,B32:E32),SF_Output!$Q$1:$Q$400,"monthly")+SUMIFS(SF_Output!$G$1:$G$400,SF_Output!$AC$1:$AC$400,_xlfn.TEXTJOIN(",",TRUE,B32:E32),SF_Output!$Q$1:$Q$400,"monthly"))*H32,AND(B32&lt;&gt;"",H32=SF_Output!$Y$2,SUMIFS(SF_Output!$T$1:$T$400,SF_Output!$AC$1:$AC$400,_xlfn.TEXTJOIN(",",TRUE,B32:E32),SF_Output!$Q$1:$Q$400,"monthly")&lt;&gt;0),SUMIFS(SF_Output!$S$1:$S$400,SF_Output!$AC$1:$AC$400,_xlfn.TEXTJOIN(",",TRUE,B32:E32),SF_Output!$Q$1:$Q$400,"monthly"),AND(B32&lt;&gt;"",H32&lt;&gt;SF_Output!$Y$2),SUMIFS(SF_Output!$S$1:$S$400,SF_Output!$AC$1:$AC$400,_xlfn.TEXTJOIN(",",TRUE,B32:E32),SF_Output!$Q$1:$Q$400,"monthly"))</f>
        <v>0</v>
      </c>
      <c r="W32" s="112" t="str" cm="1">
        <f t="array" ref="W32">_xlfn.IFS(OR(B32=0,B32="",V32=0),"",AF32&lt;&gt;"exclusion",MAX($W$9,$W$7,(-(SUMIFS(SF_Output!$T$1:$T$400,SF_Output!$AC$1:$AC$400,_xlfn.TEXTJOIN(",",TRUE,$B32:$E32),SF_Output!$Q$1:$Q$400,"monthly"))/V32)),AF32="exclusion",-(SUMIFS(SF_Output!$T$1:$T$400,SF_Output!$AC$1:$AC$400,_xlfn.TEXTJOIN(",",TRUE,$B32:$E32),SF_Output!$Q$1:$Q$400,"monthly"))/V32)</f>
        <v/>
      </c>
      <c r="X32" s="6" cm="1">
        <f t="array" ref="X32">IFERROR(_xlfn.IFS(V32=0,0,V32="","",W32=0,V32,OR(V32&lt;&gt;0,V32&lt;&gt;""),H32*I32),V32*(1-W32))</f>
        <v>0</v>
      </c>
      <c r="Z32" s="6">
        <f>IFERROR(IF(B32="","",SUMIFS(Billing_Fallout!H:H,Billing_Fallout!N:N,B32)),0)</f>
        <v>0</v>
      </c>
      <c r="AA32" s="6">
        <f t="shared" si="4"/>
        <v>0</v>
      </c>
      <c r="AB32" s="6">
        <f>IFERROR(IF(B32="","",SUMIFS(Billing_Fallout!J:J,Billing_Fallout!N:N,B32)),0)</f>
        <v>0</v>
      </c>
      <c r="AD32" s="6">
        <f t="shared" si="5"/>
        <v>0</v>
      </c>
      <c r="AF32" t="str">
        <f>IFERROR(INDEX(H_Tables!$B$1:$B$1500,MATCH(INDEX(SF_Output!$J$1:$J$400,MATCH(B32,SF_Output!$M$1:$M$400,0)),H_Tables!$A$1:$A$1500,0)),"")</f>
        <v>Exclusion</v>
      </c>
      <c r="AI32" s="119" t="str">
        <f t="shared" si="6"/>
        <v/>
      </c>
      <c r="AJ32" s="121">
        <f>IFERROR(INDEX(SF_Output!AD:AD,MATCH(_xlfn.TEXTJOIN(",",TRUE,B32:E32),SF_Output!AC1:AC400,0)),0.05)</f>
        <v>97</v>
      </c>
      <c r="AK32" t="str">
        <f>IF(SUMIFS(SF_Output!$F$1:$F$400,SF_Output!$AC$1:$AC$400,_xlfn.TEXTJOIN(",",TRUE,B32:E32))+SUMIFS(SF_Output!$G$1:$G$400,SF_Output!$AC$1:$AC$400,_xlfn.TEXTJOIN(",",TRUE,B32:E32))=0,"","PAP")</f>
        <v/>
      </c>
      <c r="AL32" s="35" t="str">
        <f t="shared" si="7"/>
        <v>Teller Integration to AlertCenter,New,Hosted by JHA,1</v>
      </c>
      <c r="AQ32" s="35"/>
      <c r="AR32" s="35" t="str" cm="1">
        <f t="array" ref="AR32">IFERROR(_xlfn.IFS(AND(E32*1=1,F32="Included"),"Change to Included",AND(E32*1=0,F32="Optional"),"Change to Optional",OR(B32="",F32="replaced"),""),"")</f>
        <v/>
      </c>
      <c r="AS32" s="35" t="str">
        <f t="shared" si="8"/>
        <v/>
      </c>
      <c r="AT32" s="35" t="str">
        <f t="shared" si="9"/>
        <v/>
      </c>
      <c r="AU32" s="35" t="str">
        <f t="shared" si="10"/>
        <v/>
      </c>
      <c r="AV32" s="35" t="str">
        <f t="shared" si="11"/>
        <v/>
      </c>
      <c r="AW32" s="35" t="str">
        <f t="shared" si="12"/>
        <v/>
      </c>
      <c r="AX32" s="35" t="str">
        <f t="shared" si="13"/>
        <v/>
      </c>
      <c r="AY32" s="35" t="str">
        <f t="shared" si="14"/>
        <v/>
      </c>
      <c r="AZ32" s="35" t="str">
        <f t="shared" si="15"/>
        <v/>
      </c>
      <c r="BA32" s="35" t="str">
        <f t="shared" si="16"/>
        <v/>
      </c>
      <c r="BB32" s="35" t="str">
        <f t="shared" si="17"/>
        <v/>
      </c>
      <c r="BC32" s="35"/>
      <c r="BE32" s="35">
        <f ca="1">INDEX(SF_Output!$AA$2:$AA$400,MATCH($B32,SF_Output!$M$2:$M$400,0))</f>
        <v>2</v>
      </c>
      <c r="BF32" s="35">
        <f ca="1">INDEX(SF_Output!$AB$2:$AB$400,MATCH($B32,SF_Output!$M$2:$M$400,0))</f>
        <v>4</v>
      </c>
    </row>
    <row r="33" spans="2:58" x14ac:dyDescent="0.25">
      <c r="B33" t="s">
        <v>2284</v>
      </c>
      <c r="C33" t="s">
        <v>2122</v>
      </c>
      <c r="D33" t="s">
        <v>2123</v>
      </c>
      <c r="E33" t="s">
        <v>2124</v>
      </c>
      <c r="F33" s="116" t="str">
        <f t="shared" si="0"/>
        <v>Included</v>
      </c>
      <c r="G33" t="str">
        <f>IF(B33="","",INDEX(SF_Output!$K$1:$K$400,MATCH(B33,SF_Output!$M$1:$M$400,0)))</f>
        <v>Synapsys</v>
      </c>
      <c r="H33" cm="1">
        <f t="array" ref="H33">_xlfn.IFS(B33="","",(SUMIFS(SF_Output!$F$1:$F$400,SF_Output!$AC$1:$AC$400,_xlfn.TEXTJOIN(",",TRUE,B33:E33))+SUMIFS(SF_Output!$G$1:$G$400,SF_Output!$AC$1:$AC$400,_xlfn.TEXTJOIN(",",TRUE,B33:E33)))&lt;&gt;0,SF_Output!$Y$2,INDEX(SF_Output!$F$1:$F$400,MATCH(_xlfn.TEXTJOIN(",",TRUE,B33:E33),SF_Output!$AC$1:$AC$400,0))=0,INDEX(SF_Output!$R$1:$R$400,MATCH(_xlfn.TEXTJOIN(",",TRUE,B33:E33),SF_Output!$AC$1:$AC$400,0)))</f>
        <v>5000</v>
      </c>
      <c r="I33" s="125">
        <f>IFERROR(IF(AND(H33&gt;1,H33&lt;&gt;""),ROUND(SUMIFS(SF_Output!$S$1:$S$400,SF_Output!$AC$1:$AC$400,_xlfn.TEXTJOIN(",",TRUE,B33:E33),SF_Output!$Q$1:$Q$400,"monthly")*(1-W33)/H33,4),""),"")</f>
        <v>0.1643</v>
      </c>
      <c r="J33" s="6">
        <f>IF(B33="","",SUMIFS(SF_Output!$S$1:$S$400,SF_Output!$AC$1:$AC$400,_xlfn.TEXTJOIN(",",TRUE,B33:E33),SF_Output!$Q$1:$Q$400,"One Time",SF_Output!$L$1:$L$400,"license fee")+SUMIFS(SF_Output!$S$1:$S$400,SF_Output!$AC$1:$AC$400,_xlfn.TEXTJOIN(",",TRUE,B33:E33),SF_Output!$Q$1:$Q$400,"One Time",SF_Output!$L$1:$L$400,"software license")+SUMIFS(SF_Output!$S$1:$S$400,SF_Output!$AC$1:$AC$400,_xlfn.TEXTJOIN(",",TRUE,B33:E33),SF_Output!$Q$1:$Q$400,"One Time",SF_Output!$L$1:$L$400,"hardware"))</f>
        <v>0</v>
      </c>
      <c r="K33" s="112" t="str">
        <f>IF(OR(B33=0,B33="",G33="hardware",J33=0),"",IF(AF33&lt;&gt;"exclusion",MAX(K$9,-((SUMIFS(SF_Output!$T$1:$T$400,SF_Output!$AC$1:$AC$400,_xlfn.TEXTJOIN(",",TRUE,$B33:$E33),SF_Output!$Q$1:$Q$400,"One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license"))/J33)))</f>
        <v/>
      </c>
      <c r="L33" s="6">
        <f t="shared" si="1"/>
        <v>0</v>
      </c>
      <c r="N33" s="6">
        <f>IF(B33="","",SUMIFS(SF_Output!$S$1:$S$400,SF_Output!$AC$1:$AC$400,_xlfn.TEXTJOIN(",",TRUE,B33:E33),SF_Output!$Q$1:$Q$400,"One Time",SF_Output!$L$1:$L$400,"professional service"))</f>
        <v>8500</v>
      </c>
      <c r="O33" s="112">
        <f>IF(OR(B33=0,B33="",N33=0),"",IF(AF33&lt;&gt;"exclusion",MAX(O$9,-(SUMIFS(SF_Output!$T$1:$T$400,SF_Output!$AC$1:$AC$400,_xlfn.TEXTJOIN(",",TRUE,$B33:$E33),SF_Output!$Q$1:$Q$400,"One Time",SF_Output!$L$1:$L$400,"professional service"))/N33),-((SUMIFS(SF_Output!$T$1:$T$400,SF_Output!$AC$1:$AC$400,_xlfn.TEXTJOIN(",",TRUE,$B33:$E33),SF_Output!$Q$1:$Q$400,"One Time",SF_Output!$L$1:$L$400,"professional service")/N33))))</f>
        <v>1</v>
      </c>
      <c r="P33" s="6">
        <f t="shared" si="2"/>
        <v>0</v>
      </c>
      <c r="R33" s="6">
        <f>IF(B33="","",SUMIFS(SF_Output!$S$1:$S$400,SF_Output!$AC$1:$AC$400,_xlfn.TEXTJOIN(",",TRUE,B33:E33),SF_Output!$Q$1:$Q$400,"yearly")+SUMIFS(SF_Output!$S$1:$S$400,SF_Output!$AC$1:$AC$400,_xlfn.TEXTJOIN(",",TRUE,B33:E33),SF_Output!$Q$1:$Q$400,"quarterly")*4)</f>
        <v>0</v>
      </c>
      <c r="S33" s="112" t="str">
        <f>IF(OR(B33=0,B33="",G33="hardware",R33=0),"",IF(AF33&lt;&gt;"exclusion",MAX(S$9,-(SUMIFS(SF_Output!$T$1:$T$400,SF_Output!$AC$1:$AC$400,_xlfn.TEXTJOIN(",",TRUE,$B33:$E33),SF_Output!$Q$1:$Q$400,"yearly"))/R33),-((SUMIFS(SF_Output!$T$1:$T$400,SF_Output!$AC$1:$AC$400,_xlfn.TEXTJOIN(",",TRUE,$B33:$E33),SF_Output!$Q$1:$Q$400,"yearly")/R33))))</f>
        <v/>
      </c>
      <c r="T33" s="6">
        <f t="shared" si="3"/>
        <v>0</v>
      </c>
      <c r="V33" s="6" cm="1">
        <f t="array" ref="V33">_xlfn.IFS(B33="","",AND(B33&lt;&gt;"",H33=SF_Output!$Y$2,SUMIFS(SF_Output!$T$1:$T$400,SF_Output!$AC$1:$AC$400,_xlfn.TEXTJOIN(",",TRUE,B33:E33),SF_Output!$Q$1:$Q$400,"monthly")=0),(SUMIFS(SF_Output!$F$1:$F$400,SF_Output!$AC$1:$AC$400,_xlfn.TEXTJOIN(",",TRUE,B33:E33),SF_Output!$Q$1:$Q$400,"monthly")+SUMIFS(SF_Output!$G$1:$G$400,SF_Output!$AC$1:$AC$400,_xlfn.TEXTJOIN(",",TRUE,B33:E33),SF_Output!$Q$1:$Q$400,"monthly"))*H33,AND(B33&lt;&gt;"",H33=SF_Output!$Y$2,SUMIFS(SF_Output!$T$1:$T$400,SF_Output!$AC$1:$AC$400,_xlfn.TEXTJOIN(",",TRUE,B33:E33),SF_Output!$Q$1:$Q$400,"monthly")&lt;&gt;0),SUMIFS(SF_Output!$S$1:$S$400,SF_Output!$AC$1:$AC$400,_xlfn.TEXTJOIN(",",TRUE,B33:E33),SF_Output!$Q$1:$Q$400,"monthly"),AND(B33&lt;&gt;"",H33&lt;&gt;SF_Output!$Y$2),SUMIFS(SF_Output!$S$1:$S$400,SF_Output!$AC$1:$AC$400,_xlfn.TEXTJOIN(",",TRUE,B33:E33),SF_Output!$Q$1:$Q$400,"monthly"))</f>
        <v>1095</v>
      </c>
      <c r="W33" s="112" cm="1">
        <f t="array" ref="W33">_xlfn.IFS(OR(B33=0,B33="",V33=0),"",AF33&lt;&gt;"exclusion",MAX($W$9,$W$7,(-(SUMIFS(SF_Output!$T$1:$T$400,SF_Output!$AC$1:$AC$400,_xlfn.TEXTJOIN(",",TRUE,$B33:$E33),SF_Output!$Q$1:$Q$400,"monthly"))/V33)),AF33="exclusion",-(SUMIFS(SF_Output!$T$1:$T$400,SF_Output!$AC$1:$AC$400,_xlfn.TEXTJOIN(",",TRUE,$B33:$E33),SF_Output!$Q$1:$Q$400,"monthly"))/V33)</f>
        <v>0.25</v>
      </c>
      <c r="X33" s="6" cm="1">
        <f t="array" ref="X33">IFERROR(_xlfn.IFS(V33=0,0,V33="","",W33=0,V33,OR(V33&lt;&gt;0,V33&lt;&gt;""),H33*I33),V33*(1-W33))</f>
        <v>821.5</v>
      </c>
      <c r="Z33" s="6">
        <f>IFERROR(IF(B33="","",SUMIFS(Billing_Fallout!H:H,Billing_Fallout!N:N,B33)),0)</f>
        <v>0</v>
      </c>
      <c r="AA33" s="6">
        <f t="shared" si="4"/>
        <v>0</v>
      </c>
      <c r="AB33" s="6">
        <f>IFERROR(IF(B33="","",SUMIFS(Billing_Fallout!J:J,Billing_Fallout!N:N,B33)),0)</f>
        <v>0</v>
      </c>
      <c r="AD33" s="6">
        <f t="shared" si="5"/>
        <v>821.5</v>
      </c>
      <c r="AF33" t="str">
        <f>IFERROR(INDEX(H_Tables!$B$1:$B$1500,MATCH(INDEX(SF_Output!$J$1:$J$400,MATCH(B33,SF_Output!$M$1:$M$400,0)),H_Tables!$A$1:$A$1500,0)),"")</f>
        <v/>
      </c>
      <c r="AI33" s="119" t="str">
        <f t="shared" si="6"/>
        <v/>
      </c>
      <c r="AJ33" s="121">
        <f>IFERROR(INDEX(SF_Output!AD:AD,MATCH(_xlfn.TEXTJOIN(",",TRUE,B33:E33),SF_Output!AC1:AC400,0)),0.05)</f>
        <v>113</v>
      </c>
      <c r="AK33" t="str">
        <f>IF(SUMIFS(SF_Output!$F$1:$F$400,SF_Output!$AC$1:$AC$400,_xlfn.TEXTJOIN(",",TRUE,B33:E33))+SUMIFS(SF_Output!$G$1:$G$400,SF_Output!$AC$1:$AC$400,_xlfn.TEXTJOIN(",",TRUE,B33:E33))=0,"","PAP")</f>
        <v>PAP</v>
      </c>
      <c r="AL33" s="35" t="str">
        <f t="shared" si="7"/>
        <v>Synapsys CRM,New,Hosted by JHA,0</v>
      </c>
      <c r="AQ33" s="35"/>
      <c r="AR33" s="35" t="str" cm="1">
        <f t="array" ref="AR33">IFERROR(_xlfn.IFS(AND(E33*1=1,F33="Included"),"Change to Included",AND(E33*1=0,F33="Optional"),"Change to Optional",OR(B33="",F33="replaced"),""),"")</f>
        <v/>
      </c>
      <c r="AS33" s="35" t="str">
        <f t="shared" si="8"/>
        <v/>
      </c>
      <c r="AT33" s="35" t="str">
        <f t="shared" si="9"/>
        <v/>
      </c>
      <c r="AU33" s="35" t="str">
        <f t="shared" si="10"/>
        <v/>
      </c>
      <c r="AV33" s="35" t="str">
        <f t="shared" si="11"/>
        <v/>
      </c>
      <c r="AW33" s="35" t="str">
        <f t="shared" si="12"/>
        <v/>
      </c>
      <c r="AX33" s="35" t="str">
        <f t="shared" si="13"/>
        <v/>
      </c>
      <c r="AY33" s="35" t="str">
        <f t="shared" si="14"/>
        <v/>
      </c>
      <c r="AZ33" s="35" t="str">
        <f t="shared" si="15"/>
        <v/>
      </c>
      <c r="BA33" s="35" t="str">
        <f t="shared" si="16"/>
        <v/>
      </c>
      <c r="BB33" s="35" t="str">
        <f t="shared" si="17"/>
        <v/>
      </c>
      <c r="BC33" s="35"/>
      <c r="BE33" s="35">
        <f ca="1">INDEX(SF_Output!$AA$2:$AA$400,MATCH($B33,SF_Output!$M$2:$M$400,0))</f>
        <v>2</v>
      </c>
      <c r="BF33" s="35">
        <f ca="1">INDEX(SF_Output!$AB$2:$AB$400,MATCH($B33,SF_Output!$M$2:$M$400,0))</f>
        <v>3</v>
      </c>
    </row>
    <row r="34" spans="2:58" x14ac:dyDescent="0.25">
      <c r="B34" t="s">
        <v>1531</v>
      </c>
      <c r="C34" t="s">
        <v>2122</v>
      </c>
      <c r="D34" t="s">
        <v>2123</v>
      </c>
      <c r="E34" t="s">
        <v>2124</v>
      </c>
      <c r="F34" s="116" t="str">
        <f t="shared" si="0"/>
        <v>Included</v>
      </c>
      <c r="G34" t="str">
        <f>IF(B34="","",INDEX(SF_Output!$K$1:$K$400,MATCH(B34,SF_Output!$M$1:$M$400,0)))</f>
        <v>Synapsys</v>
      </c>
      <c r="H34" cm="1">
        <f t="array" ref="H34">_xlfn.IFS(B34="","",(SUMIFS(SF_Output!$F$1:$F$400,SF_Output!$AC$1:$AC$400,_xlfn.TEXTJOIN(",",TRUE,B34:E34))+SUMIFS(SF_Output!$G$1:$G$400,SF_Output!$AC$1:$AC$400,_xlfn.TEXTJOIN(",",TRUE,B34:E34)))&lt;&gt;0,SF_Output!$Y$2,INDEX(SF_Output!$F$1:$F$400,MATCH(_xlfn.TEXTJOIN(",",TRUE,B34:E34),SF_Output!$AC$1:$AC$400,0))=0,INDEX(SF_Output!$R$1:$R$400,MATCH(_xlfn.TEXTJOIN(",",TRUE,B34:E34),SF_Output!$AC$1:$AC$400,0)))</f>
        <v>1</v>
      </c>
      <c r="I34" s="125" t="str">
        <f>IFERROR(IF(AND(H34&gt;1,H34&lt;&gt;""),ROUND(SUMIFS(SF_Output!$S$1:$S$400,SF_Output!$AC$1:$AC$400,_xlfn.TEXTJOIN(",",TRUE,B34:E34),SF_Output!$Q$1:$Q$400,"monthly")*(1-W34)/H34,4),""),"")</f>
        <v/>
      </c>
      <c r="J34" s="6">
        <f>IF(B34="","",SUMIFS(SF_Output!$S$1:$S$400,SF_Output!$AC$1:$AC$400,_xlfn.TEXTJOIN(",",TRUE,B34:E34),SF_Output!$Q$1:$Q$400,"One Time",SF_Output!$L$1:$L$400,"license fee")+SUMIFS(SF_Output!$S$1:$S$400,SF_Output!$AC$1:$AC$400,_xlfn.TEXTJOIN(",",TRUE,B34:E34),SF_Output!$Q$1:$Q$400,"One Time",SF_Output!$L$1:$L$400,"software license")+SUMIFS(SF_Output!$S$1:$S$400,SF_Output!$AC$1:$AC$400,_xlfn.TEXTJOIN(",",TRUE,B34:E34),SF_Output!$Q$1:$Q$400,"One Time",SF_Output!$L$1:$L$400,"hardware"))</f>
        <v>0</v>
      </c>
      <c r="K34" s="112" t="str">
        <f>IF(OR(B34=0,B34="",G34="hardware",J34=0),"",IF(AF34&lt;&gt;"exclusion",MAX(K$9,-((SUMIFS(SF_Output!$T$1:$T$400,SF_Output!$AC$1:$AC$400,_xlfn.TEXTJOIN(",",TRUE,$B34:$E34),SF_Output!$Q$1:$Q$400,"One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license"))/J34)))</f>
        <v/>
      </c>
      <c r="L34" s="6">
        <f t="shared" si="1"/>
        <v>0</v>
      </c>
      <c r="N34" s="6">
        <f>IF(B34="","",SUMIFS(SF_Output!$S$1:$S$400,SF_Output!$AC$1:$AC$400,_xlfn.TEXTJOIN(",",TRUE,B34:E34),SF_Output!$Q$1:$Q$400,"One Time",SF_Output!$L$1:$L$400,"professional service"))</f>
        <v>0</v>
      </c>
      <c r="O34" s="112" t="str">
        <f>IF(OR(B34=0,B34="",N34=0),"",IF(AF34&lt;&gt;"exclusion",MAX(O$9,-(SUMIFS(SF_Output!$T$1:$T$400,SF_Output!$AC$1:$AC$400,_xlfn.TEXTJOIN(",",TRUE,$B34:$E34),SF_Output!$Q$1:$Q$400,"One Time",SF_Output!$L$1:$L$400,"professional service"))/N34),-((SUMIFS(SF_Output!$T$1:$T$400,SF_Output!$AC$1:$AC$400,_xlfn.TEXTJOIN(",",TRUE,$B34:$E34),SF_Output!$Q$1:$Q$400,"One Time",SF_Output!$L$1:$L$400,"professional service")/N34))))</f>
        <v/>
      </c>
      <c r="P34" s="6">
        <f t="shared" si="2"/>
        <v>0</v>
      </c>
      <c r="R34" s="6">
        <f>IF(B34="","",SUMIFS(SF_Output!$S$1:$S$400,SF_Output!$AC$1:$AC$400,_xlfn.TEXTJOIN(",",TRUE,B34:E34),SF_Output!$Q$1:$Q$400,"yearly")+SUMIFS(SF_Output!$S$1:$S$400,SF_Output!$AC$1:$AC$400,_xlfn.TEXTJOIN(",",TRUE,B34:E34),SF_Output!$Q$1:$Q$400,"quarterly")*4)</f>
        <v>5000</v>
      </c>
      <c r="S34" s="112">
        <f>IF(OR(B34=0,B34="",G34="hardware",R34=0),"",IF(AF34&lt;&gt;"exclusion",MAX(S$9,-(SUMIFS(SF_Output!$T$1:$T$400,SF_Output!$AC$1:$AC$400,_xlfn.TEXTJOIN(",",TRUE,$B34:$E34),SF_Output!$Q$1:$Q$400,"yearly"))/R34),-((SUMIFS(SF_Output!$T$1:$T$400,SF_Output!$AC$1:$AC$400,_xlfn.TEXTJOIN(",",TRUE,$B34:$E34),SF_Output!$Q$1:$Q$400,"yearly")/R34))))</f>
        <v>0</v>
      </c>
      <c r="T34" s="6">
        <f t="shared" si="3"/>
        <v>5000</v>
      </c>
      <c r="V34" s="6" cm="1">
        <f t="array" ref="V34">_xlfn.IFS(B34="","",AND(B34&lt;&gt;"",H34=SF_Output!$Y$2,SUMIFS(SF_Output!$T$1:$T$400,SF_Output!$AC$1:$AC$400,_xlfn.TEXTJOIN(",",TRUE,B34:E34),SF_Output!$Q$1:$Q$400,"monthly")=0),(SUMIFS(SF_Output!$F$1:$F$400,SF_Output!$AC$1:$AC$400,_xlfn.TEXTJOIN(",",TRUE,B34:E34),SF_Output!$Q$1:$Q$400,"monthly")+SUMIFS(SF_Output!$G$1:$G$400,SF_Output!$AC$1:$AC$400,_xlfn.TEXTJOIN(",",TRUE,B34:E34),SF_Output!$Q$1:$Q$400,"monthly"))*H34,AND(B34&lt;&gt;"",H34=SF_Output!$Y$2,SUMIFS(SF_Output!$T$1:$T$400,SF_Output!$AC$1:$AC$400,_xlfn.TEXTJOIN(",",TRUE,B34:E34),SF_Output!$Q$1:$Q$400,"monthly")&lt;&gt;0),SUMIFS(SF_Output!$S$1:$S$400,SF_Output!$AC$1:$AC$400,_xlfn.TEXTJOIN(",",TRUE,B34:E34),SF_Output!$Q$1:$Q$400,"monthly"),AND(B34&lt;&gt;"",H34&lt;&gt;SF_Output!$Y$2),SUMIFS(SF_Output!$S$1:$S$400,SF_Output!$AC$1:$AC$400,_xlfn.TEXTJOIN(",",TRUE,B34:E34),SF_Output!$Q$1:$Q$400,"monthly"))</f>
        <v>0</v>
      </c>
      <c r="W34" s="112" t="str" cm="1">
        <f t="array" ref="W34">_xlfn.IFS(OR(B34=0,B34="",V34=0),"",AF34&lt;&gt;"exclusion",MAX($W$9,$W$7,(-(SUMIFS(SF_Output!$T$1:$T$400,SF_Output!$AC$1:$AC$400,_xlfn.TEXTJOIN(",",TRUE,$B34:$E34),SF_Output!$Q$1:$Q$400,"monthly"))/V34)),AF34="exclusion",-(SUMIFS(SF_Output!$T$1:$T$400,SF_Output!$AC$1:$AC$400,_xlfn.TEXTJOIN(",",TRUE,$B34:$E34),SF_Output!$Q$1:$Q$400,"monthly"))/V34)</f>
        <v/>
      </c>
      <c r="X34" s="6" cm="1">
        <f t="array" ref="X34">IFERROR(_xlfn.IFS(V34=0,0,V34="","",W34=0,V34,OR(V34&lt;&gt;0,V34&lt;&gt;""),H34*I34),V34*(1-W34))</f>
        <v>0</v>
      </c>
      <c r="Z34" s="6">
        <f>IFERROR(IF(B34="","",SUMIFS(Billing_Fallout!H:H,Billing_Fallout!N:N,B34)),0)</f>
        <v>0</v>
      </c>
      <c r="AA34" s="6">
        <f t="shared" si="4"/>
        <v>0</v>
      </c>
      <c r="AB34" s="6">
        <f>IFERROR(IF(B34="","",SUMIFS(Billing_Fallout!J:J,Billing_Fallout!N:N,B34)),0)</f>
        <v>0</v>
      </c>
      <c r="AD34" s="6">
        <f t="shared" si="5"/>
        <v>0</v>
      </c>
      <c r="AF34" t="str">
        <f>IFERROR(INDEX(H_Tables!$B$1:$B$1500,MATCH(INDEX(SF_Output!$J$1:$J$400,MATCH(B34,SF_Output!$M$1:$M$400,0)),H_Tables!$A$1:$A$1500,0)),"")</f>
        <v>Exclusion</v>
      </c>
      <c r="AI34" s="119" t="str">
        <f t="shared" si="6"/>
        <v/>
      </c>
      <c r="AJ34" s="121">
        <f>IFERROR(INDEX(SF_Output!AD:AD,MATCH(_xlfn.TEXTJOIN(",",TRUE,B34:E34),SF_Output!AC1:AC400,0)),0.05)</f>
        <v>115</v>
      </c>
      <c r="AK34" t="str">
        <f>IF(SUMIFS(SF_Output!$F$1:$F$400,SF_Output!$AC$1:$AC$400,_xlfn.TEXTJOIN(",",TRUE,B34:E34))+SUMIFS(SF_Output!$G$1:$G$400,SF_Output!$AC$1:$AC$400,_xlfn.TEXTJOIN(",",TRUE,B34:E34))=0,"","PAP")</f>
        <v/>
      </c>
      <c r="AL34" s="35" t="str">
        <f t="shared" si="7"/>
        <v>Synapsys CRM Annual Training/Consulting Maintenance (For OutLink/Hosted customer</v>
      </c>
      <c r="AQ34" s="35"/>
      <c r="AR34" s="35" t="str" cm="1">
        <f t="array" ref="AR34">IFERROR(_xlfn.IFS(AND(E34*1=1,F34="Included"),"Change to Included",AND(E34*1=0,F34="Optional"),"Change to Optional",OR(B34="",F34="replaced"),""),"")</f>
        <v/>
      </c>
      <c r="AS34" s="35" t="str">
        <f t="shared" si="8"/>
        <v/>
      </c>
      <c r="AT34" s="35" t="str">
        <f t="shared" si="9"/>
        <v/>
      </c>
      <c r="AU34" s="35" t="str">
        <f t="shared" si="10"/>
        <v/>
      </c>
      <c r="AV34" s="35" t="str">
        <f t="shared" si="11"/>
        <v/>
      </c>
      <c r="AW34" s="35" t="str">
        <f t="shared" si="12"/>
        <v/>
      </c>
      <c r="AX34" s="35" t="str">
        <f t="shared" si="13"/>
        <v/>
      </c>
      <c r="AY34" s="35" t="str">
        <f t="shared" si="14"/>
        <v/>
      </c>
      <c r="AZ34" s="35" t="str">
        <f t="shared" si="15"/>
        <v/>
      </c>
      <c r="BA34" s="35" t="str">
        <f t="shared" si="16"/>
        <v/>
      </c>
      <c r="BB34" s="35" t="str">
        <f t="shared" si="17"/>
        <v/>
      </c>
      <c r="BC34" s="35"/>
      <c r="BE34" s="35">
        <f ca="1">INDEX(SF_Output!$AA$2:$AA$400,MATCH($B34,SF_Output!$M$2:$M$400,0))</f>
        <v>2</v>
      </c>
      <c r="BF34" s="35">
        <f ca="1">INDEX(SF_Output!$AB$2:$AB$400,MATCH($B34,SF_Output!$M$2:$M$400,0))</f>
        <v>3</v>
      </c>
    </row>
    <row r="35" spans="2:58" x14ac:dyDescent="0.25">
      <c r="B35" t="s">
        <v>614</v>
      </c>
      <c r="C35" t="s">
        <v>2122</v>
      </c>
      <c r="D35" t="s">
        <v>2123</v>
      </c>
      <c r="E35" t="s">
        <v>2124</v>
      </c>
      <c r="F35" s="116" t="str">
        <f t="shared" si="0"/>
        <v>Included</v>
      </c>
      <c r="G35" t="str">
        <f>IF(B35="","",INDEX(SF_Output!$K$1:$K$400,MATCH(B35,SF_Output!$M$1:$M$400,0)))</f>
        <v>JHA OpenAnywhere</v>
      </c>
      <c r="H35" cm="1">
        <f t="array" ref="H35">_xlfn.IFS(B35="","",(SUMIFS(SF_Output!$F$1:$F$400,SF_Output!$AC$1:$AC$400,_xlfn.TEXTJOIN(",",TRUE,B35:E35))+SUMIFS(SF_Output!$G$1:$G$400,SF_Output!$AC$1:$AC$400,_xlfn.TEXTJOIN(",",TRUE,B35:E35)))&lt;&gt;0,SF_Output!$Y$2,INDEX(SF_Output!$F$1:$F$400,MATCH(_xlfn.TEXTJOIN(",",TRUE,B35:E35),SF_Output!$AC$1:$AC$400,0))=0,INDEX(SF_Output!$R$1:$R$400,MATCH(_xlfn.TEXTJOIN(",",TRUE,B35:E35),SF_Output!$AC$1:$AC$400,0)))</f>
        <v>5000</v>
      </c>
      <c r="I35" s="125">
        <f>IFERROR(IF(AND(H35&gt;1,H35&lt;&gt;""),ROUND(SUMIFS(SF_Output!$S$1:$S$400,SF_Output!$AC$1:$AC$400,_xlfn.TEXTJOIN(",",TRUE,B35:E35),SF_Output!$Q$1:$Q$400,"monthly")*(1-W35)/H35,4),""),"")</f>
        <v>0.33229999999999998</v>
      </c>
      <c r="J35" s="6">
        <f>IF(B35="","",SUMIFS(SF_Output!$S$1:$S$400,SF_Output!$AC$1:$AC$400,_xlfn.TEXTJOIN(",",TRUE,B35:E35),SF_Output!$Q$1:$Q$400,"One Time",SF_Output!$L$1:$L$400,"license fee")+SUMIFS(SF_Output!$S$1:$S$400,SF_Output!$AC$1:$AC$400,_xlfn.TEXTJOIN(",",TRUE,B35:E35),SF_Output!$Q$1:$Q$400,"One Time",SF_Output!$L$1:$L$400,"software license")+SUMIFS(SF_Output!$S$1:$S$400,SF_Output!$AC$1:$AC$400,_xlfn.TEXTJOIN(",",TRUE,B35:E35),SF_Output!$Q$1:$Q$400,"One Time",SF_Output!$L$1:$L$400,"hardware"))</f>
        <v>0</v>
      </c>
      <c r="K35" s="112" t="str">
        <f>IF(OR(B35=0,B35="",G35="hardware",J35=0),"",IF(AF35&lt;&gt;"exclusion",MAX(K$9,-((SUMIFS(SF_Output!$T$1:$T$400,SF_Output!$AC$1:$AC$400,_xlfn.TEXTJOIN(",",TRUE,$B35:$E35),SF_Output!$Q$1:$Q$400,"One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license"))/J35)))</f>
        <v/>
      </c>
      <c r="L35" s="6">
        <f t="shared" si="1"/>
        <v>0</v>
      </c>
      <c r="N35" s="6">
        <f>IF(B35="","",SUMIFS(SF_Output!$S$1:$S$400,SF_Output!$AC$1:$AC$400,_xlfn.TEXTJOIN(",",TRUE,B35:E35),SF_Output!$Q$1:$Q$400,"One Time",SF_Output!$L$1:$L$400,"professional service"))</f>
        <v>20800</v>
      </c>
      <c r="O35" s="112">
        <f>IF(OR(B35=0,B35="",N35=0),"",IF(AF35&lt;&gt;"exclusion",MAX(O$9,-(SUMIFS(SF_Output!$T$1:$T$400,SF_Output!$AC$1:$AC$400,_xlfn.TEXTJOIN(",",TRUE,$B35:$E35),SF_Output!$Q$1:$Q$400,"One Time",SF_Output!$L$1:$L$400,"professional service"))/N35),-((SUMIFS(SF_Output!$T$1:$T$400,SF_Output!$AC$1:$AC$400,_xlfn.TEXTJOIN(",",TRUE,$B35:$E35),SF_Output!$Q$1:$Q$400,"One Time",SF_Output!$L$1:$L$400,"professional service")/N35))))</f>
        <v>1</v>
      </c>
      <c r="P35" s="6">
        <f t="shared" si="2"/>
        <v>0</v>
      </c>
      <c r="R35" s="6">
        <f>IF(B35="","",SUMIFS(SF_Output!$S$1:$S$400,SF_Output!$AC$1:$AC$400,_xlfn.TEXTJOIN(",",TRUE,B35:E35),SF_Output!$Q$1:$Q$400,"yearly")+SUMIFS(SF_Output!$S$1:$S$400,SF_Output!$AC$1:$AC$400,_xlfn.TEXTJOIN(",",TRUE,B35:E35),SF_Output!$Q$1:$Q$400,"quarterly")*4)</f>
        <v>0</v>
      </c>
      <c r="S35" s="112" t="str">
        <f>IF(OR(B35=0,B35="",G35="hardware",R35=0),"",IF(AF35&lt;&gt;"exclusion",MAX(S$9,-(SUMIFS(SF_Output!$T$1:$T$400,SF_Output!$AC$1:$AC$400,_xlfn.TEXTJOIN(",",TRUE,$B35:$E35),SF_Output!$Q$1:$Q$400,"yearly"))/R35),-((SUMIFS(SF_Output!$T$1:$T$400,SF_Output!$AC$1:$AC$400,_xlfn.TEXTJOIN(",",TRUE,$B35:$E35),SF_Output!$Q$1:$Q$400,"yearly")/R35))))</f>
        <v/>
      </c>
      <c r="T35" s="6">
        <f t="shared" si="3"/>
        <v>0</v>
      </c>
      <c r="V35" s="6" cm="1">
        <f t="array" ref="V35">_xlfn.IFS(B35="","",AND(B35&lt;&gt;"",H35=SF_Output!$Y$2,SUMIFS(SF_Output!$T$1:$T$400,SF_Output!$AC$1:$AC$400,_xlfn.TEXTJOIN(",",TRUE,B35:E35),SF_Output!$Q$1:$Q$400,"monthly")=0),(SUMIFS(SF_Output!$F$1:$F$400,SF_Output!$AC$1:$AC$400,_xlfn.TEXTJOIN(",",TRUE,B35:E35),SF_Output!$Q$1:$Q$400,"monthly")+SUMIFS(SF_Output!$G$1:$G$400,SF_Output!$AC$1:$AC$400,_xlfn.TEXTJOIN(",",TRUE,B35:E35),SF_Output!$Q$1:$Q$400,"monthly"))*H35,AND(B35&lt;&gt;"",H35=SF_Output!$Y$2,SUMIFS(SF_Output!$T$1:$T$400,SF_Output!$AC$1:$AC$400,_xlfn.TEXTJOIN(",",TRUE,B35:E35),SF_Output!$Q$1:$Q$400,"monthly")&lt;&gt;0),SUMIFS(SF_Output!$S$1:$S$400,SF_Output!$AC$1:$AC$400,_xlfn.TEXTJOIN(",",TRUE,B35:E35),SF_Output!$Q$1:$Q$400,"monthly"),AND(B35&lt;&gt;"",H35&lt;&gt;SF_Output!$Y$2),SUMIFS(SF_Output!$S$1:$S$400,SF_Output!$AC$1:$AC$400,_xlfn.TEXTJOIN(",",TRUE,B35:E35),SF_Output!$Q$1:$Q$400,"monthly"))</f>
        <v>2215</v>
      </c>
      <c r="W35" s="112" cm="1">
        <f t="array" ref="W35">_xlfn.IFS(OR(B35=0,B35="",V35=0),"",AF35&lt;&gt;"exclusion",MAX($W$9,$W$7,(-(SUMIFS(SF_Output!$T$1:$T$400,SF_Output!$AC$1:$AC$400,_xlfn.TEXTJOIN(",",TRUE,$B35:$E35),SF_Output!$Q$1:$Q$400,"monthly"))/V35)),AF35="exclusion",-(SUMIFS(SF_Output!$T$1:$T$400,SF_Output!$AC$1:$AC$400,_xlfn.TEXTJOIN(",",TRUE,$B35:$E35),SF_Output!$Q$1:$Q$400,"monthly"))/V35)</f>
        <v>0.25</v>
      </c>
      <c r="X35" s="6" cm="1">
        <f t="array" ref="X35">IFERROR(_xlfn.IFS(V35=0,0,V35="","",W35=0,V35,OR(V35&lt;&gt;0,V35&lt;&gt;""),H35*I35),V35*(1-W35))</f>
        <v>1661.5</v>
      </c>
      <c r="Z35" s="6">
        <f>IFERROR(IF(B35="","",SUMIFS(Billing_Fallout!H:H,Billing_Fallout!N:N,B35)),0)</f>
        <v>0</v>
      </c>
      <c r="AA35" s="6">
        <f t="shared" si="4"/>
        <v>0</v>
      </c>
      <c r="AB35" s="6">
        <f>IFERROR(IF(B35="","",SUMIFS(Billing_Fallout!J:J,Billing_Fallout!N:N,B35)),0)</f>
        <v>0</v>
      </c>
      <c r="AD35" s="6">
        <f t="shared" si="5"/>
        <v>1661.5</v>
      </c>
      <c r="AF35" t="str">
        <f>IFERROR(INDEX(H_Tables!$B$1:$B$1500,MATCH(INDEX(SF_Output!$J$1:$J$400,MATCH(B35,SF_Output!$M$1:$M$400,0)),H_Tables!$A$1:$A$1500,0)),"")</f>
        <v>Exclusion</v>
      </c>
      <c r="AI35" s="119" t="str">
        <f t="shared" si="6"/>
        <v/>
      </c>
      <c r="AJ35" s="121">
        <f>IFERROR(INDEX(SF_Output!AD:AD,MATCH(_xlfn.TEXTJOIN(",",TRUE,B35:E35),SF_Output!AC1:AC400,0)),0.05)</f>
        <v>38</v>
      </c>
      <c r="AK35" t="str">
        <f>IF(SUMIFS(SF_Output!$F$1:$F$400,SF_Output!$AC$1:$AC$400,_xlfn.TEXTJOIN(",",TRUE,B35:E35))+SUMIFS(SF_Output!$G$1:$G$400,SF_Output!$AC$1:$AC$400,_xlfn.TEXTJOIN(",",TRUE,B35:E35))=0,"","PAP")</f>
        <v>PAP</v>
      </c>
      <c r="AL35" s="35" t="str">
        <f t="shared" si="7"/>
        <v>JHA OpenAnywhere,New,Hosted by JHA,0</v>
      </c>
      <c r="AQ35" s="35"/>
      <c r="AR35" s="35" t="str" cm="1">
        <f t="array" ref="AR35">IFERROR(_xlfn.IFS(AND(E35*1=1,F35="Included"),"Change to Included",AND(E35*1=0,F35="Optional"),"Change to Optional",OR(B35="",F35="replaced"),""),"")</f>
        <v/>
      </c>
      <c r="AS35" s="35" t="str">
        <f t="shared" si="8"/>
        <v/>
      </c>
      <c r="AT35" s="35" t="str">
        <f t="shared" si="9"/>
        <v/>
      </c>
      <c r="AU35" s="35" t="str">
        <f t="shared" si="10"/>
        <v/>
      </c>
      <c r="AV35" s="35" t="str">
        <f t="shared" si="11"/>
        <v/>
      </c>
      <c r="AW35" s="35" t="str">
        <f t="shared" si="12"/>
        <v/>
      </c>
      <c r="AX35" s="35" t="str">
        <f t="shared" si="13"/>
        <v/>
      </c>
      <c r="AY35" s="35" t="str">
        <f t="shared" si="14"/>
        <v/>
      </c>
      <c r="AZ35" s="35" t="str">
        <f t="shared" si="15"/>
        <v/>
      </c>
      <c r="BA35" s="35" t="str">
        <f t="shared" si="16"/>
        <v/>
      </c>
      <c r="BB35" s="35" t="str">
        <f t="shared" si="17"/>
        <v/>
      </c>
      <c r="BC35" s="35"/>
      <c r="BE35" s="35">
        <f ca="1">INDEX(SF_Output!$AA$2:$AA$400,MATCH($B35,SF_Output!$M$2:$M$400,0))</f>
        <v>3</v>
      </c>
      <c r="BF35" s="35">
        <f ca="1">INDEX(SF_Output!$AB$2:$AB$400,MATCH($B35,SF_Output!$M$2:$M$400,0))</f>
        <v>2</v>
      </c>
    </row>
    <row r="36" spans="2:58" x14ac:dyDescent="0.25">
      <c r="B36" t="s">
        <v>1822</v>
      </c>
      <c r="C36" t="s">
        <v>2122</v>
      </c>
      <c r="D36" t="s">
        <v>2123</v>
      </c>
      <c r="E36" t="s">
        <v>2124</v>
      </c>
      <c r="F36" s="116" t="str">
        <f t="shared" si="0"/>
        <v>Included</v>
      </c>
      <c r="G36" t="str">
        <f>IF(B36="","",INDEX(SF_Output!$K$1:$K$400,MATCH(B36,SF_Output!$M$1:$M$400,0)))</f>
        <v>JHA OpenAnywhere</v>
      </c>
      <c r="H36" cm="1">
        <f t="array" ref="H36">_xlfn.IFS(B36="","",(SUMIFS(SF_Output!$F$1:$F$400,SF_Output!$AC$1:$AC$400,_xlfn.TEXTJOIN(",",TRUE,B36:E36))+SUMIFS(SF_Output!$G$1:$G$400,SF_Output!$AC$1:$AC$400,_xlfn.TEXTJOIN(",",TRUE,B36:E36)))&lt;&gt;0,SF_Output!$Y$2,INDEX(SF_Output!$F$1:$F$400,MATCH(_xlfn.TEXTJOIN(",",TRUE,B36:E36),SF_Output!$AC$1:$AC$400,0))=0,INDEX(SF_Output!$R$1:$R$400,MATCH(_xlfn.TEXTJOIN(",",TRUE,B36:E36),SF_Output!$AC$1:$AC$400,0)))</f>
        <v>1</v>
      </c>
      <c r="I36" s="125" t="str">
        <f>IFERROR(IF(AND(H36&gt;1,H36&lt;&gt;""),ROUND(SUMIFS(SF_Output!$S$1:$S$400,SF_Output!$AC$1:$AC$400,_xlfn.TEXTJOIN(",",TRUE,B36:E36),SF_Output!$Q$1:$Q$400,"monthly")*(1-W36)/H36,4),""),"")</f>
        <v/>
      </c>
      <c r="J36" s="6">
        <f>IF(B36="","",SUMIFS(SF_Output!$S$1:$S$400,SF_Output!$AC$1:$AC$400,_xlfn.TEXTJOIN(",",TRUE,B36:E36),SF_Output!$Q$1:$Q$400,"One Time",SF_Output!$L$1:$L$400,"license fee")+SUMIFS(SF_Output!$S$1:$S$400,SF_Output!$AC$1:$AC$400,_xlfn.TEXTJOIN(",",TRUE,B36:E36),SF_Output!$Q$1:$Q$400,"One Time",SF_Output!$L$1:$L$400,"software license")+SUMIFS(SF_Output!$S$1:$S$400,SF_Output!$AC$1:$AC$400,_xlfn.TEXTJOIN(",",TRUE,B36:E36),SF_Output!$Q$1:$Q$400,"One Time",SF_Output!$L$1:$L$400,"hardware"))</f>
        <v>0</v>
      </c>
      <c r="K36" s="112" t="str">
        <f>IF(OR(B36=0,B36="",G36="hardware",J36=0),"",IF(AF36&lt;&gt;"exclusion",MAX(K$9,-((SUMIFS(SF_Output!$T$1:$T$400,SF_Output!$AC$1:$AC$400,_xlfn.TEXTJOIN(",",TRUE,$B36:$E36),SF_Output!$Q$1:$Q$400,"One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license"))/J36)))</f>
        <v/>
      </c>
      <c r="L36" s="6">
        <f t="shared" si="1"/>
        <v>0</v>
      </c>
      <c r="N36" s="6">
        <f>IF(B36="","",SUMIFS(SF_Output!$S$1:$S$400,SF_Output!$AC$1:$AC$400,_xlfn.TEXTJOIN(",",TRUE,B36:E36),SF_Output!$Q$1:$Q$400,"One Time",SF_Output!$L$1:$L$400,"professional service"))</f>
        <v>2500</v>
      </c>
      <c r="O36" s="112">
        <f>IF(OR(B36=0,B36="",N36=0),"",IF(AF36&lt;&gt;"exclusion",MAX(O$9,-(SUMIFS(SF_Output!$T$1:$T$400,SF_Output!$AC$1:$AC$400,_xlfn.TEXTJOIN(",",TRUE,$B36:$E36),SF_Output!$Q$1:$Q$400,"One Time",SF_Output!$L$1:$L$400,"professional service"))/N36),-((SUMIFS(SF_Output!$T$1:$T$400,SF_Output!$AC$1:$AC$400,_xlfn.TEXTJOIN(",",TRUE,$B36:$E36),SF_Output!$Q$1:$Q$400,"One Time",SF_Output!$L$1:$L$400,"professional service")/N36))))</f>
        <v>1</v>
      </c>
      <c r="P36" s="6">
        <f t="shared" si="2"/>
        <v>0</v>
      </c>
      <c r="R36" s="6">
        <f>IF(B36="","",SUMIFS(SF_Output!$S$1:$S$400,SF_Output!$AC$1:$AC$400,_xlfn.TEXTJOIN(",",TRUE,B36:E36),SF_Output!$Q$1:$Q$400,"yearly")+SUMIFS(SF_Output!$S$1:$S$400,SF_Output!$AC$1:$AC$400,_xlfn.TEXTJOIN(",",TRUE,B36:E36),SF_Output!$Q$1:$Q$400,"quarterly")*4)</f>
        <v>0</v>
      </c>
      <c r="S36" s="112" t="str">
        <f>IF(OR(B36=0,B36="",G36="hardware",R36=0),"",IF(AF36&lt;&gt;"exclusion",MAX(S$9,-(SUMIFS(SF_Output!$T$1:$T$400,SF_Output!$AC$1:$AC$400,_xlfn.TEXTJOIN(",",TRUE,$B36:$E36),SF_Output!$Q$1:$Q$400,"yearly"))/R36),-((SUMIFS(SF_Output!$T$1:$T$400,SF_Output!$AC$1:$AC$400,_xlfn.TEXTJOIN(",",TRUE,$B36:$E36),SF_Output!$Q$1:$Q$400,"yearly")/R36))))</f>
        <v/>
      </c>
      <c r="T36" s="6">
        <f t="shared" si="3"/>
        <v>0</v>
      </c>
      <c r="V36" s="6" cm="1">
        <f t="array" ref="V36">_xlfn.IFS(B36="","",AND(B36&lt;&gt;"",H36=SF_Output!$Y$2,SUMIFS(SF_Output!$T$1:$T$400,SF_Output!$AC$1:$AC$400,_xlfn.TEXTJOIN(",",TRUE,B36:E36),SF_Output!$Q$1:$Q$400,"monthly")=0),(SUMIFS(SF_Output!$F$1:$F$400,SF_Output!$AC$1:$AC$400,_xlfn.TEXTJOIN(",",TRUE,B36:E36),SF_Output!$Q$1:$Q$400,"monthly")+SUMIFS(SF_Output!$G$1:$G$400,SF_Output!$AC$1:$AC$400,_xlfn.TEXTJOIN(",",TRUE,B36:E36),SF_Output!$Q$1:$Q$400,"monthly"))*H36,AND(B36&lt;&gt;"",H36=SF_Output!$Y$2,SUMIFS(SF_Output!$T$1:$T$400,SF_Output!$AC$1:$AC$400,_xlfn.TEXTJOIN(",",TRUE,B36:E36),SF_Output!$Q$1:$Q$400,"monthly")&lt;&gt;0),SUMIFS(SF_Output!$S$1:$S$400,SF_Output!$AC$1:$AC$400,_xlfn.TEXTJOIN(",",TRUE,B36:E36),SF_Output!$Q$1:$Q$400,"monthly"),AND(B36&lt;&gt;"",H36&lt;&gt;SF_Output!$Y$2),SUMIFS(SF_Output!$S$1:$S$400,SF_Output!$AC$1:$AC$400,_xlfn.TEXTJOIN(",",TRUE,B36:E36),SF_Output!$Q$1:$Q$400,"monthly"))</f>
        <v>0</v>
      </c>
      <c r="W36" s="112" t="str" cm="1">
        <f t="array" ref="W36">_xlfn.IFS(OR(B36=0,B36="",V36=0),"",AF36&lt;&gt;"exclusion",MAX($W$9,$W$7,(-(SUMIFS(SF_Output!$T$1:$T$400,SF_Output!$AC$1:$AC$400,_xlfn.TEXTJOIN(",",TRUE,$B36:$E36),SF_Output!$Q$1:$Q$400,"monthly"))/V36)),AF36="exclusion",-(SUMIFS(SF_Output!$T$1:$T$400,SF_Output!$AC$1:$AC$400,_xlfn.TEXTJOIN(",",TRUE,$B36:$E36),SF_Output!$Q$1:$Q$400,"monthly"))/V36)</f>
        <v/>
      </c>
      <c r="X36" s="6" cm="1">
        <f t="array" ref="X36">IFERROR(_xlfn.IFS(V36=0,0,V36="","",W36=0,V36,OR(V36&lt;&gt;0,V36&lt;&gt;""),H36*I36),V36*(1-W36))</f>
        <v>0</v>
      </c>
      <c r="Z36" s="6">
        <f>IFERROR(IF(B36="","",SUMIFS(Billing_Fallout!H:H,Billing_Fallout!N:N,B36)),0)</f>
        <v>0</v>
      </c>
      <c r="AA36" s="6">
        <f t="shared" si="4"/>
        <v>0</v>
      </c>
      <c r="AB36" s="6">
        <f>IFERROR(IF(B36="","",SUMIFS(Billing_Fallout!J:J,Billing_Fallout!N:N,B36)),0)</f>
        <v>0</v>
      </c>
      <c r="AD36" s="6">
        <f t="shared" si="5"/>
        <v>0</v>
      </c>
      <c r="AF36" t="str">
        <f>IFERROR(INDEX(H_Tables!$B$1:$B$1500,MATCH(INDEX(SF_Output!$J$1:$J$400,MATCH(B36,SF_Output!$M$1:$M$400,0)),H_Tables!$A$1:$A$1500,0)),"")</f>
        <v>Exclusion</v>
      </c>
      <c r="AI36" s="119" t="str">
        <f t="shared" si="6"/>
        <v/>
      </c>
      <c r="AJ36" s="121">
        <f>IFERROR(INDEX(SF_Output!AD:AD,MATCH(_xlfn.TEXTJOIN(",",TRUE,B36:E36),SF_Output!AC1:AC400,0)),0.05)</f>
        <v>40</v>
      </c>
      <c r="AK36" t="str">
        <f>IF(SUMIFS(SF_Output!$F$1:$F$400,SF_Output!$AC$1:$AC$400,_xlfn.TEXTJOIN(",",TRUE,B36:E36))+SUMIFS(SF_Output!$G$1:$G$400,SF_Output!$AC$1:$AC$400,_xlfn.TEXTJOIN(",",TRUE,B36:E36))=0,"","PAP")</f>
        <v/>
      </c>
      <c r="AL36" s="35" t="str">
        <f t="shared" si="7"/>
        <v>JHA OpenAnywhere Project Management,New,Hosted by JHA,0</v>
      </c>
      <c r="AQ36" s="35"/>
      <c r="AR36" s="35" t="str" cm="1">
        <f t="array" ref="AR36">IFERROR(_xlfn.IFS(AND(E36*1=1,F36="Included"),"Change to Included",AND(E36*1=0,F36="Optional"),"Change to Optional",OR(B36="",F36="replaced"),""),"")</f>
        <v/>
      </c>
      <c r="AS36" s="35" t="str">
        <f t="shared" si="8"/>
        <v/>
      </c>
      <c r="AT36" s="35" t="str">
        <f t="shared" si="9"/>
        <v/>
      </c>
      <c r="AU36" s="35" t="str">
        <f t="shared" si="10"/>
        <v/>
      </c>
      <c r="AV36" s="35" t="str">
        <f t="shared" si="11"/>
        <v/>
      </c>
      <c r="AW36" s="35" t="str">
        <f t="shared" si="12"/>
        <v/>
      </c>
      <c r="AX36" s="35" t="str">
        <f t="shared" si="13"/>
        <v/>
      </c>
      <c r="AY36" s="35" t="str">
        <f t="shared" si="14"/>
        <v/>
      </c>
      <c r="AZ36" s="35" t="str">
        <f t="shared" si="15"/>
        <v/>
      </c>
      <c r="BA36" s="35" t="str">
        <f t="shared" si="16"/>
        <v/>
      </c>
      <c r="BB36" s="35" t="str">
        <f t="shared" si="17"/>
        <v/>
      </c>
      <c r="BC36" s="35"/>
      <c r="BE36" s="35">
        <f ca="1">INDEX(SF_Output!$AA$2:$AA$400,MATCH($B36,SF_Output!$M$2:$M$400,0))</f>
        <v>3</v>
      </c>
      <c r="BF36" s="35">
        <f ca="1">INDEX(SF_Output!$AB$2:$AB$400,MATCH($B36,SF_Output!$M$2:$M$400,0))</f>
        <v>2</v>
      </c>
    </row>
    <row r="37" spans="2:58" x14ac:dyDescent="0.25">
      <c r="B37" t="s">
        <v>1441</v>
      </c>
      <c r="C37" t="s">
        <v>2122</v>
      </c>
      <c r="D37" t="s">
        <v>2123</v>
      </c>
      <c r="E37" t="s">
        <v>2150</v>
      </c>
      <c r="F37" s="116" t="str">
        <f t="shared" si="0"/>
        <v>Optional</v>
      </c>
      <c r="G37" t="str">
        <f>IF(B37="","",INDEX(SF_Output!$K$1:$K$400,MATCH(B37,SF_Output!$M$1:$M$400,0)))</f>
        <v>JHA OpenAnywhere</v>
      </c>
      <c r="H37" cm="1">
        <f t="array" ref="H37">_xlfn.IFS(B37="","",(SUMIFS(SF_Output!$F$1:$F$400,SF_Output!$AC$1:$AC$400,_xlfn.TEXTJOIN(",",TRUE,B37:E37))+SUMIFS(SF_Output!$G$1:$G$400,SF_Output!$AC$1:$AC$400,_xlfn.TEXTJOIN(",",TRUE,B37:E37)))&lt;&gt;0,SF_Output!$Y$2,INDEX(SF_Output!$F$1:$F$400,MATCH(_xlfn.TEXTJOIN(",",TRUE,B37:E37),SF_Output!$AC$1:$AC$400,0))=0,INDEX(SF_Output!$R$1:$R$400,MATCH(_xlfn.TEXTJOIN(",",TRUE,B37:E37),SF_Output!$AC$1:$AC$400,0)))</f>
        <v>1</v>
      </c>
      <c r="I37" s="125" t="str">
        <f>IFERROR(IF(AND(H37&gt;1,H37&lt;&gt;""),ROUND(SUMIFS(SF_Output!$S$1:$S$400,SF_Output!$AC$1:$AC$400,_xlfn.TEXTJOIN(",",TRUE,B37:E37),SF_Output!$Q$1:$Q$400,"monthly")*(1-W37)/H37,4),""),"")</f>
        <v/>
      </c>
      <c r="J37" s="6">
        <f>IF(B37="","",SUMIFS(SF_Output!$S$1:$S$400,SF_Output!$AC$1:$AC$400,_xlfn.TEXTJOIN(",",TRUE,B37:E37),SF_Output!$Q$1:$Q$400,"One Time",SF_Output!$L$1:$L$400,"license fee")+SUMIFS(SF_Output!$S$1:$S$400,SF_Output!$AC$1:$AC$400,_xlfn.TEXTJOIN(",",TRUE,B37:E37),SF_Output!$Q$1:$Q$400,"One Time",SF_Output!$L$1:$L$400,"software license")+SUMIFS(SF_Output!$S$1:$S$400,SF_Output!$AC$1:$AC$400,_xlfn.TEXTJOIN(",",TRUE,B37:E37),SF_Output!$Q$1:$Q$400,"One Time",SF_Output!$L$1:$L$400,"hardware"))</f>
        <v>0</v>
      </c>
      <c r="K37" s="112" t="str">
        <f>IF(OR(B37=0,B37="",G37="hardware",J37=0),"",IF(AF37&lt;&gt;"exclusion",MAX(K$9,-((SUMIFS(SF_Output!$T$1:$T$400,SF_Output!$AC$1:$AC$400,_xlfn.TEXTJOIN(",",TRUE,$B37:$E37),SF_Output!$Q$1:$Q$400,"One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license"))/J37)))</f>
        <v/>
      </c>
      <c r="L37" s="6">
        <f t="shared" si="1"/>
        <v>0</v>
      </c>
      <c r="N37" s="6">
        <f>IF(B37="","",SUMIFS(SF_Output!$S$1:$S$400,SF_Output!$AC$1:$AC$400,_xlfn.TEXTJOIN(",",TRUE,B37:E37),SF_Output!$Q$1:$Q$400,"One Time",SF_Output!$L$1:$L$400,"professional service"))</f>
        <v>0</v>
      </c>
      <c r="O37" s="112" t="str">
        <f>IF(OR(B37=0,B37="",N37=0),"",IF(AF37&lt;&gt;"exclusion",MAX(O$9,-(SUMIFS(SF_Output!$T$1:$T$400,SF_Output!$AC$1:$AC$400,_xlfn.TEXTJOIN(",",TRUE,$B37:$E37),SF_Output!$Q$1:$Q$400,"One Time",SF_Output!$L$1:$L$400,"professional service"))/N37),-((SUMIFS(SF_Output!$T$1:$T$400,SF_Output!$AC$1:$AC$400,_xlfn.TEXTJOIN(",",TRUE,$B37:$E37),SF_Output!$Q$1:$Q$400,"One Time",SF_Output!$L$1:$L$400,"professional service")/N37))))</f>
        <v/>
      </c>
      <c r="P37" s="6">
        <f t="shared" si="2"/>
        <v>0</v>
      </c>
      <c r="R37" s="6">
        <f>IF(B37="","",SUMIFS(SF_Output!$S$1:$S$400,SF_Output!$AC$1:$AC$400,_xlfn.TEXTJOIN(",",TRUE,B37:E37),SF_Output!$Q$1:$Q$400,"yearly")+SUMIFS(SF_Output!$S$1:$S$400,SF_Output!$AC$1:$AC$400,_xlfn.TEXTJOIN(",",TRUE,B37:E37),SF_Output!$Q$1:$Q$400,"quarterly")*4)</f>
        <v>0</v>
      </c>
      <c r="S37" s="112" t="str">
        <f>IF(OR(B37=0,B37="",G37="hardware",R37=0),"",IF(AF37&lt;&gt;"exclusion",MAX(S$9,-(SUMIFS(SF_Output!$T$1:$T$400,SF_Output!$AC$1:$AC$400,_xlfn.TEXTJOIN(",",TRUE,$B37:$E37),SF_Output!$Q$1:$Q$400,"yearly"))/R37),-((SUMIFS(SF_Output!$T$1:$T$400,SF_Output!$AC$1:$AC$400,_xlfn.TEXTJOIN(",",TRUE,$B37:$E37),SF_Output!$Q$1:$Q$400,"yearly")/R37))))</f>
        <v/>
      </c>
      <c r="T37" s="6">
        <f t="shared" si="3"/>
        <v>0</v>
      </c>
      <c r="V37" s="6" cm="1">
        <f t="array" ref="V37">_xlfn.IFS(B37="","",AND(B37&lt;&gt;"",H37=SF_Output!$Y$2,SUMIFS(SF_Output!$T$1:$T$400,SF_Output!$AC$1:$AC$400,_xlfn.TEXTJOIN(",",TRUE,B37:E37),SF_Output!$Q$1:$Q$400,"monthly")=0),(SUMIFS(SF_Output!$F$1:$F$400,SF_Output!$AC$1:$AC$400,_xlfn.TEXTJOIN(",",TRUE,B37:E37),SF_Output!$Q$1:$Q$400,"monthly")+SUMIFS(SF_Output!$G$1:$G$400,SF_Output!$AC$1:$AC$400,_xlfn.TEXTJOIN(",",TRUE,B37:E37),SF_Output!$Q$1:$Q$400,"monthly"))*H37,AND(B37&lt;&gt;"",H37=SF_Output!$Y$2,SUMIFS(SF_Output!$T$1:$T$400,SF_Output!$AC$1:$AC$400,_xlfn.TEXTJOIN(",",TRUE,B37:E37),SF_Output!$Q$1:$Q$400,"monthly")&lt;&gt;0),SUMIFS(SF_Output!$S$1:$S$400,SF_Output!$AC$1:$AC$400,_xlfn.TEXTJOIN(",",TRUE,B37:E37),SF_Output!$Q$1:$Q$400,"monthly"),AND(B37&lt;&gt;"",H37&lt;&gt;SF_Output!$Y$2),SUMIFS(SF_Output!$S$1:$S$400,SF_Output!$AC$1:$AC$400,_xlfn.TEXTJOIN(",",TRUE,B37:E37),SF_Output!$Q$1:$Q$400,"monthly"))</f>
        <v>375</v>
      </c>
      <c r="W37" s="112" cm="1">
        <f t="array" ref="W37">_xlfn.IFS(OR(B37=0,B37="",V37=0),"",AF37&lt;&gt;"exclusion",MAX($W$9,$W$7,(-(SUMIFS(SF_Output!$T$1:$T$400,SF_Output!$AC$1:$AC$400,_xlfn.TEXTJOIN(",",TRUE,$B37:$E37),SF_Output!$Q$1:$Q$400,"monthly"))/V37)),AF37="exclusion",-(SUMIFS(SF_Output!$T$1:$T$400,SF_Output!$AC$1:$AC$400,_xlfn.TEXTJOIN(",",TRUE,$B37:$E37),SF_Output!$Q$1:$Q$400,"monthly"))/V37)</f>
        <v>0</v>
      </c>
      <c r="X37" s="6" cm="1">
        <f t="array" ref="X37">IFERROR(_xlfn.IFS(V37=0,0,V37="","",W37=0,V37,OR(V37&lt;&gt;0,V37&lt;&gt;""),H37*I37),V37*(1-W37))</f>
        <v>375</v>
      </c>
      <c r="Z37" s="6">
        <f>IFERROR(IF(B37="","",SUMIFS(Billing_Fallout!H:H,Billing_Fallout!N:N,B37)),0)</f>
        <v>0</v>
      </c>
      <c r="AA37" s="6">
        <f t="shared" si="4"/>
        <v>0</v>
      </c>
      <c r="AB37" s="6">
        <f>IFERROR(IF(B37="","",SUMIFS(Billing_Fallout!J:J,Billing_Fallout!N:N,B37)),0)</f>
        <v>0</v>
      </c>
      <c r="AD37" s="6">
        <f t="shared" si="5"/>
        <v>375</v>
      </c>
      <c r="AF37" t="str">
        <f>IFERROR(INDEX(H_Tables!$B$1:$B$1500,MATCH(INDEX(SF_Output!$J$1:$J$400,MATCH(B37,SF_Output!$M$1:$M$400,0)),H_Tables!$A$1:$A$1500,0)),"")</f>
        <v>Exclusion</v>
      </c>
      <c r="AI37" s="119" t="str">
        <f t="shared" si="6"/>
        <v/>
      </c>
      <c r="AJ37" s="121">
        <f>IFERROR(INDEX(SF_Output!AD:AD,MATCH(_xlfn.TEXTJOIN(",",TRUE,B37:E37),SF_Output!AC1:AC400,0)),0.05)</f>
        <v>41</v>
      </c>
      <c r="AK37" t="str">
        <f>IF(SUMIFS(SF_Output!$F$1:$F$400,SF_Output!$AC$1:$AC$400,_xlfn.TEXTJOIN(",",TRUE,B37:E37))+SUMIFS(SF_Output!$G$1:$G$400,SF_Output!$AC$1:$AC$400,_xlfn.TEXTJOIN(",",TRUE,B37:E37))=0,"","PAP")</f>
        <v/>
      </c>
      <c r="AL37" s="35" t="str">
        <f t="shared" si="7"/>
        <v>Plaid,New,Hosted by JHA,1</v>
      </c>
      <c r="AQ37" s="35"/>
      <c r="AR37" s="35" t="str" cm="1">
        <f t="array" ref="AR37">IFERROR(_xlfn.IFS(AND(E37*1=1,F37="Included"),"Change to Included",AND(E37*1=0,F37="Optional"),"Change to Optional",OR(B37="",F37="replaced"),""),"")</f>
        <v/>
      </c>
      <c r="AS37" s="35" t="str">
        <f t="shared" si="8"/>
        <v/>
      </c>
      <c r="AT37" s="35" t="str">
        <f t="shared" si="9"/>
        <v/>
      </c>
      <c r="AU37" s="35" t="str">
        <f t="shared" si="10"/>
        <v/>
      </c>
      <c r="AV37" s="35" t="str">
        <f t="shared" si="11"/>
        <v/>
      </c>
      <c r="AW37" s="35" t="str">
        <f t="shared" si="12"/>
        <v/>
      </c>
      <c r="AX37" s="35" t="str">
        <f t="shared" si="13"/>
        <v/>
      </c>
      <c r="AY37" s="35" t="str">
        <f t="shared" si="14"/>
        <v/>
      </c>
      <c r="AZ37" s="35" t="str">
        <f t="shared" si="15"/>
        <v/>
      </c>
      <c r="BA37" s="35" t="str">
        <f t="shared" si="16"/>
        <v/>
      </c>
      <c r="BB37" s="35" t="str">
        <f t="shared" si="17"/>
        <v/>
      </c>
      <c r="BC37" s="35"/>
      <c r="BE37" s="35">
        <f ca="1">INDEX(SF_Output!$AA$2:$AA$400,MATCH($B37,SF_Output!$M$2:$M$400,0))</f>
        <v>3</v>
      </c>
      <c r="BF37" s="35">
        <f ca="1">INDEX(SF_Output!$AB$2:$AB$400,MATCH($B37,SF_Output!$M$2:$M$400,0))</f>
        <v>2</v>
      </c>
    </row>
    <row r="38" spans="2:58" x14ac:dyDescent="0.25">
      <c r="B38" t="s">
        <v>1443</v>
      </c>
      <c r="C38" t="s">
        <v>2122</v>
      </c>
      <c r="D38" t="s">
        <v>2123</v>
      </c>
      <c r="E38" t="s">
        <v>2124</v>
      </c>
      <c r="F38" s="116" t="str">
        <f t="shared" si="0"/>
        <v>Included</v>
      </c>
      <c r="G38" t="str">
        <f>IF(B38="","",INDEX(SF_Output!$K$1:$K$400,MATCH(B38,SF_Output!$M$1:$M$400,0)))</f>
        <v>JHA OpenAnywhere</v>
      </c>
      <c r="H38" cm="1">
        <f t="array" ref="H38">_xlfn.IFS(B38="","",(SUMIFS(SF_Output!$F$1:$F$400,SF_Output!$AC$1:$AC$400,_xlfn.TEXTJOIN(",",TRUE,B38:E38))+SUMIFS(SF_Output!$G$1:$G$400,SF_Output!$AC$1:$AC$400,_xlfn.TEXTJOIN(",",TRUE,B38:E38)))&lt;&gt;0,SF_Output!$Y$2,INDEX(SF_Output!$F$1:$F$400,MATCH(_xlfn.TEXTJOIN(",",TRUE,B38:E38),SF_Output!$AC$1:$AC$400,0))=0,INDEX(SF_Output!$R$1:$R$400,MATCH(_xlfn.TEXTJOIN(",",TRUE,B38:E38),SF_Output!$AC$1:$AC$400,0)))</f>
        <v>1</v>
      </c>
      <c r="I38" s="125" t="str">
        <f>IFERROR(IF(AND(H38&gt;1,H38&lt;&gt;""),ROUND(SUMIFS(SF_Output!$S$1:$S$400,SF_Output!$AC$1:$AC$400,_xlfn.TEXTJOIN(",",TRUE,B38:E38),SF_Output!$Q$1:$Q$400,"monthly")*(1-W38)/H38,4),""),"")</f>
        <v/>
      </c>
      <c r="J38" s="6">
        <f>IF(B38="","",SUMIFS(SF_Output!$S$1:$S$400,SF_Output!$AC$1:$AC$400,_xlfn.TEXTJOIN(",",TRUE,B38:E38),SF_Output!$Q$1:$Q$400,"One Time",SF_Output!$L$1:$L$400,"license fee")+SUMIFS(SF_Output!$S$1:$S$400,SF_Output!$AC$1:$AC$400,_xlfn.TEXTJOIN(",",TRUE,B38:E38),SF_Output!$Q$1:$Q$400,"One Time",SF_Output!$L$1:$L$400,"software license")+SUMIFS(SF_Output!$S$1:$S$400,SF_Output!$AC$1:$AC$400,_xlfn.TEXTJOIN(",",TRUE,B38:E38),SF_Output!$Q$1:$Q$400,"One Time",SF_Output!$L$1:$L$400,"hardware"))</f>
        <v>0</v>
      </c>
      <c r="K38" s="112" t="str">
        <f>IF(OR(B38=0,B38="",G38="hardware",J38=0),"",IF(AF38&lt;&gt;"exclusion",MAX(K$9,-((SUMIFS(SF_Output!$T$1:$T$400,SF_Output!$AC$1:$AC$400,_xlfn.TEXTJOIN(",",TRUE,$B38:$E38),SF_Output!$Q$1:$Q$400,"One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license"))/J38)))</f>
        <v/>
      </c>
      <c r="L38" s="6">
        <f t="shared" si="1"/>
        <v>0</v>
      </c>
      <c r="N38" s="6">
        <f>IF(B38="","",SUMIFS(SF_Output!$S$1:$S$400,SF_Output!$AC$1:$AC$400,_xlfn.TEXTJOIN(",",TRUE,B38:E38),SF_Output!$Q$1:$Q$400,"One Time",SF_Output!$L$1:$L$400,"professional service"))</f>
        <v>0</v>
      </c>
      <c r="O38" s="112" t="str">
        <f>IF(OR(B38=0,B38="",N38=0),"",IF(AF38&lt;&gt;"exclusion",MAX(O$9,-(SUMIFS(SF_Output!$T$1:$T$400,SF_Output!$AC$1:$AC$400,_xlfn.TEXTJOIN(",",TRUE,$B38:$E38),SF_Output!$Q$1:$Q$400,"One Time",SF_Output!$L$1:$L$400,"professional service"))/N38),-((SUMIFS(SF_Output!$T$1:$T$400,SF_Output!$AC$1:$AC$400,_xlfn.TEXTJOIN(",",TRUE,$B38:$E38),SF_Output!$Q$1:$Q$400,"One Time",SF_Output!$L$1:$L$400,"professional service")/N38))))</f>
        <v/>
      </c>
      <c r="P38" s="6">
        <f t="shared" si="2"/>
        <v>0</v>
      </c>
      <c r="R38" s="6">
        <f>IF(B38="","",SUMIFS(SF_Output!$S$1:$S$400,SF_Output!$AC$1:$AC$400,_xlfn.TEXTJOIN(",",TRUE,B38:E38),SF_Output!$Q$1:$Q$400,"yearly")+SUMIFS(SF_Output!$S$1:$S$400,SF_Output!$AC$1:$AC$400,_xlfn.TEXTJOIN(",",TRUE,B38:E38),SF_Output!$Q$1:$Q$400,"quarterly")*4)</f>
        <v>0</v>
      </c>
      <c r="S38" s="112" t="str">
        <f>IF(OR(B38=0,B38="",G38="hardware",R38=0),"",IF(AF38&lt;&gt;"exclusion",MAX(S$9,-(SUMIFS(SF_Output!$T$1:$T$400,SF_Output!$AC$1:$AC$400,_xlfn.TEXTJOIN(",",TRUE,$B38:$E38),SF_Output!$Q$1:$Q$400,"yearly"))/R38),-((SUMIFS(SF_Output!$T$1:$T$400,SF_Output!$AC$1:$AC$400,_xlfn.TEXTJOIN(",",TRUE,$B38:$E38),SF_Output!$Q$1:$Q$400,"yearly")/R38))))</f>
        <v/>
      </c>
      <c r="T38" s="6">
        <f t="shared" si="3"/>
        <v>0</v>
      </c>
      <c r="V38" s="6" cm="1">
        <f t="array" ref="V38">_xlfn.IFS(B38="","",AND(B38&lt;&gt;"",H38=SF_Output!$Y$2,SUMIFS(SF_Output!$T$1:$T$400,SF_Output!$AC$1:$AC$400,_xlfn.TEXTJOIN(",",TRUE,B38:E38),SF_Output!$Q$1:$Q$400,"monthly")=0),(SUMIFS(SF_Output!$F$1:$F$400,SF_Output!$AC$1:$AC$400,_xlfn.TEXTJOIN(",",TRUE,B38:E38),SF_Output!$Q$1:$Q$400,"monthly")+SUMIFS(SF_Output!$G$1:$G$400,SF_Output!$AC$1:$AC$400,_xlfn.TEXTJOIN(",",TRUE,B38:E38),SF_Output!$Q$1:$Q$400,"monthly"))*H38,AND(B38&lt;&gt;"",H38=SF_Output!$Y$2,SUMIFS(SF_Output!$T$1:$T$400,SF_Output!$AC$1:$AC$400,_xlfn.TEXTJOIN(",",TRUE,B38:E38),SF_Output!$Q$1:$Q$400,"monthly")&lt;&gt;0),SUMIFS(SF_Output!$S$1:$S$400,SF_Output!$AC$1:$AC$400,_xlfn.TEXTJOIN(",",TRUE,B38:E38),SF_Output!$Q$1:$Q$400,"monthly"),AND(B38&lt;&gt;"",H38&lt;&gt;SF_Output!$Y$2),SUMIFS(SF_Output!$S$1:$S$400,SF_Output!$AC$1:$AC$400,_xlfn.TEXTJOIN(",",TRUE,B38:E38),SF_Output!$Q$1:$Q$400,"monthly"))</f>
        <v>400</v>
      </c>
      <c r="W38" s="112" cm="1">
        <f t="array" ref="W38">_xlfn.IFS(OR(B38=0,B38="",V38=0),"",AF38&lt;&gt;"exclusion",MAX($W$9,$W$7,(-(SUMIFS(SF_Output!$T$1:$T$400,SF_Output!$AC$1:$AC$400,_xlfn.TEXTJOIN(",",TRUE,$B38:$E38),SF_Output!$Q$1:$Q$400,"monthly"))/V38)),AF38="exclusion",-(SUMIFS(SF_Output!$T$1:$T$400,SF_Output!$AC$1:$AC$400,_xlfn.TEXTJOIN(",",TRUE,$B38:$E38),SF_Output!$Q$1:$Q$400,"monthly"))/V38)</f>
        <v>0</v>
      </c>
      <c r="X38" s="6" cm="1">
        <f t="array" ref="X38">IFERROR(_xlfn.IFS(V38=0,0,V38="","",W38=0,V38,OR(V38&lt;&gt;0,V38&lt;&gt;""),H38*I38),V38*(1-W38))</f>
        <v>400</v>
      </c>
      <c r="Z38" s="6">
        <f>IFERROR(IF(B38="","",SUMIFS(Billing_Fallout!H:H,Billing_Fallout!N:N,B38)),0)</f>
        <v>0</v>
      </c>
      <c r="AA38" s="6">
        <f t="shared" si="4"/>
        <v>0</v>
      </c>
      <c r="AB38" s="6">
        <f>IFERROR(IF(B38="","",SUMIFS(Billing_Fallout!J:J,Billing_Fallout!N:N,B38)),0)</f>
        <v>0</v>
      </c>
      <c r="AD38" s="6">
        <f t="shared" si="5"/>
        <v>400</v>
      </c>
      <c r="AF38" t="str">
        <f>IFERROR(INDEX(H_Tables!$B$1:$B$1500,MATCH(INDEX(SF_Output!$J$1:$J$400,MATCH(B38,SF_Output!$M$1:$M$400,0)),H_Tables!$A$1:$A$1500,0)),"")</f>
        <v>Exclusion</v>
      </c>
      <c r="AI38" s="119" t="str">
        <f t="shared" si="6"/>
        <v/>
      </c>
      <c r="AJ38" s="121">
        <f>IFERROR(INDEX(SF_Output!AD:AD,MATCH(_xlfn.TEXTJOIN(",",TRUE,B38:E38),SF_Output!AC1:AC400,0)),0.05)</f>
        <v>42</v>
      </c>
      <c r="AK38" t="str">
        <f>IF(SUMIFS(SF_Output!$F$1:$F$400,SF_Output!$AC$1:$AC$400,_xlfn.TEXTJOIN(",",TRUE,B38:E38))+SUMIFS(SF_Output!$G$1:$G$400,SF_Output!$AC$1:$AC$400,_xlfn.TEXTJOIN(",",TRUE,B38:E38))=0,"","PAP")</f>
        <v/>
      </c>
      <c r="AL38" s="35" t="str">
        <f t="shared" si="7"/>
        <v>IDScan.net OCR,New,Hosted by JHA,0</v>
      </c>
      <c r="AQ38" s="35"/>
      <c r="AR38" s="35" t="str" cm="1">
        <f t="array" ref="AR38">IFERROR(_xlfn.IFS(AND(E38*1=1,F38="Included"),"Change to Included",AND(E38*1=0,F38="Optional"),"Change to Optional",OR(B38="",F38="replaced"),""),"")</f>
        <v/>
      </c>
      <c r="AS38" s="35" t="str">
        <f t="shared" si="8"/>
        <v/>
      </c>
      <c r="AT38" s="35" t="str">
        <f t="shared" si="9"/>
        <v/>
      </c>
      <c r="AU38" s="35" t="str">
        <f t="shared" si="10"/>
        <v/>
      </c>
      <c r="AV38" s="35" t="str">
        <f t="shared" si="11"/>
        <v/>
      </c>
      <c r="AW38" s="35" t="str">
        <f t="shared" si="12"/>
        <v/>
      </c>
      <c r="AX38" s="35" t="str">
        <f t="shared" si="13"/>
        <v/>
      </c>
      <c r="AY38" s="35" t="str">
        <f t="shared" si="14"/>
        <v/>
      </c>
      <c r="AZ38" s="35" t="str">
        <f t="shared" si="15"/>
        <v/>
      </c>
      <c r="BA38" s="35" t="str">
        <f t="shared" si="16"/>
        <v/>
      </c>
      <c r="BB38" s="35" t="str">
        <f t="shared" si="17"/>
        <v/>
      </c>
      <c r="BC38" s="35"/>
      <c r="BE38" s="35">
        <f ca="1">INDEX(SF_Output!$AA$2:$AA$400,MATCH($B38,SF_Output!$M$2:$M$400,0))</f>
        <v>3</v>
      </c>
      <c r="BF38" s="35">
        <f ca="1">INDEX(SF_Output!$AB$2:$AB$400,MATCH($B38,SF_Output!$M$2:$M$400,0))</f>
        <v>2</v>
      </c>
    </row>
    <row r="39" spans="2:58" x14ac:dyDescent="0.25">
      <c r="B39" t="s">
        <v>1447</v>
      </c>
      <c r="C39" t="s">
        <v>2122</v>
      </c>
      <c r="D39" t="s">
        <v>2123</v>
      </c>
      <c r="E39" t="s">
        <v>2150</v>
      </c>
      <c r="F39" s="116" t="str">
        <f t="shared" si="0"/>
        <v>Optional</v>
      </c>
      <c r="G39" t="str">
        <f>IF(B39="","",INDEX(SF_Output!$K$1:$K$400,MATCH(B39,SF_Output!$M$1:$M$400,0)))</f>
        <v>JHA OpenAnywhere</v>
      </c>
      <c r="H39" cm="1">
        <f t="array" ref="H39">_xlfn.IFS(B39="","",(SUMIFS(SF_Output!$F$1:$F$400,SF_Output!$AC$1:$AC$400,_xlfn.TEXTJOIN(",",TRUE,B39:E39))+SUMIFS(SF_Output!$G$1:$G$400,SF_Output!$AC$1:$AC$400,_xlfn.TEXTJOIN(",",TRUE,B39:E39)))&lt;&gt;0,SF_Output!$Y$2,INDEX(SF_Output!$F$1:$F$400,MATCH(_xlfn.TEXTJOIN(",",TRUE,B39:E39),SF_Output!$AC$1:$AC$400,0))=0,INDEX(SF_Output!$R$1:$R$400,MATCH(_xlfn.TEXTJOIN(",",TRUE,B39:E39),SF_Output!$AC$1:$AC$400,0)))</f>
        <v>1</v>
      </c>
      <c r="I39" s="125" t="str">
        <f>IFERROR(IF(AND(H39&gt;1,H39&lt;&gt;""),ROUND(SUMIFS(SF_Output!$S$1:$S$400,SF_Output!$AC$1:$AC$400,_xlfn.TEXTJOIN(",",TRUE,B39:E39),SF_Output!$Q$1:$Q$400,"monthly")*(1-W39)/H39,4),""),"")</f>
        <v/>
      </c>
      <c r="J39" s="6">
        <f>IF(B39="","",SUMIFS(SF_Output!$S$1:$S$400,SF_Output!$AC$1:$AC$400,_xlfn.TEXTJOIN(",",TRUE,B39:E39),SF_Output!$Q$1:$Q$400,"One Time",SF_Output!$L$1:$L$400,"license fee")+SUMIFS(SF_Output!$S$1:$S$400,SF_Output!$AC$1:$AC$400,_xlfn.TEXTJOIN(",",TRUE,B39:E39),SF_Output!$Q$1:$Q$400,"One Time",SF_Output!$L$1:$L$400,"software license")+SUMIFS(SF_Output!$S$1:$S$400,SF_Output!$AC$1:$AC$400,_xlfn.TEXTJOIN(",",TRUE,B39:E39),SF_Output!$Q$1:$Q$400,"One Time",SF_Output!$L$1:$L$400,"hardware"))</f>
        <v>0</v>
      </c>
      <c r="K39" s="112" t="str">
        <f>IF(OR(B39=0,B39="",G39="hardware",J39=0),"",IF(AF39&lt;&gt;"exclusion",MAX(K$9,-((SUMIFS(SF_Output!$T$1:$T$400,SF_Output!$AC$1:$AC$400,_xlfn.TEXTJOIN(",",TRUE,$B39:$E39),SF_Output!$Q$1:$Q$400,"One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license"))/J39)))</f>
        <v/>
      </c>
      <c r="L39" s="6">
        <f t="shared" si="1"/>
        <v>0</v>
      </c>
      <c r="N39" s="6">
        <f>IF(B39="","",SUMIFS(SF_Output!$S$1:$S$400,SF_Output!$AC$1:$AC$400,_xlfn.TEXTJOIN(",",TRUE,B39:E39),SF_Output!$Q$1:$Q$400,"One Time",SF_Output!$L$1:$L$400,"professional service"))</f>
        <v>3500</v>
      </c>
      <c r="O39" s="112">
        <f>IF(OR(B39=0,B39="",N39=0),"",IF(AF39&lt;&gt;"exclusion",MAX(O$9,-(SUMIFS(SF_Output!$T$1:$T$400,SF_Output!$AC$1:$AC$400,_xlfn.TEXTJOIN(",",TRUE,$B39:$E39),SF_Output!$Q$1:$Q$400,"One Time",SF_Output!$L$1:$L$400,"professional service"))/N39),-((SUMIFS(SF_Output!$T$1:$T$400,SF_Output!$AC$1:$AC$400,_xlfn.TEXTJOIN(",",TRUE,$B39:$E39),SF_Output!$Q$1:$Q$400,"One Time",SF_Output!$L$1:$L$400,"professional service")/N39))))</f>
        <v>0</v>
      </c>
      <c r="P39" s="6">
        <f t="shared" si="2"/>
        <v>3500</v>
      </c>
      <c r="R39" s="6">
        <f>IF(B39="","",SUMIFS(SF_Output!$S$1:$S$400,SF_Output!$AC$1:$AC$400,_xlfn.TEXTJOIN(",",TRUE,B39:E39),SF_Output!$Q$1:$Q$400,"yearly")+SUMIFS(SF_Output!$S$1:$S$400,SF_Output!$AC$1:$AC$400,_xlfn.TEXTJOIN(",",TRUE,B39:E39),SF_Output!$Q$1:$Q$400,"quarterly")*4)</f>
        <v>0</v>
      </c>
      <c r="S39" s="112" t="str">
        <f>IF(OR(B39=0,B39="",G39="hardware",R39=0),"",IF(AF39&lt;&gt;"exclusion",MAX(S$9,-(SUMIFS(SF_Output!$T$1:$T$400,SF_Output!$AC$1:$AC$400,_xlfn.TEXTJOIN(",",TRUE,$B39:$E39),SF_Output!$Q$1:$Q$400,"yearly"))/R39),-((SUMIFS(SF_Output!$T$1:$T$400,SF_Output!$AC$1:$AC$400,_xlfn.TEXTJOIN(",",TRUE,$B39:$E39),SF_Output!$Q$1:$Q$400,"yearly")/R39))))</f>
        <v/>
      </c>
      <c r="T39" s="6">
        <f t="shared" si="3"/>
        <v>0</v>
      </c>
      <c r="V39" s="6" cm="1">
        <f t="array" ref="V39">_xlfn.IFS(B39="","",AND(B39&lt;&gt;"",H39=SF_Output!$Y$2,SUMIFS(SF_Output!$T$1:$T$400,SF_Output!$AC$1:$AC$400,_xlfn.TEXTJOIN(",",TRUE,B39:E39),SF_Output!$Q$1:$Q$400,"monthly")=0),(SUMIFS(SF_Output!$F$1:$F$400,SF_Output!$AC$1:$AC$400,_xlfn.TEXTJOIN(",",TRUE,B39:E39),SF_Output!$Q$1:$Q$400,"monthly")+SUMIFS(SF_Output!$G$1:$G$400,SF_Output!$AC$1:$AC$400,_xlfn.TEXTJOIN(",",TRUE,B39:E39),SF_Output!$Q$1:$Q$400,"monthly"))*H39,AND(B39&lt;&gt;"",H39=SF_Output!$Y$2,SUMIFS(SF_Output!$T$1:$T$400,SF_Output!$AC$1:$AC$400,_xlfn.TEXTJOIN(",",TRUE,B39:E39),SF_Output!$Q$1:$Q$400,"monthly")&lt;&gt;0),SUMIFS(SF_Output!$S$1:$S$400,SF_Output!$AC$1:$AC$400,_xlfn.TEXTJOIN(",",TRUE,B39:E39),SF_Output!$Q$1:$Q$400,"monthly"),AND(B39&lt;&gt;"",H39&lt;&gt;SF_Output!$Y$2),SUMIFS(SF_Output!$S$1:$S$400,SF_Output!$AC$1:$AC$400,_xlfn.TEXTJOIN(",",TRUE,B39:E39),SF_Output!$Q$1:$Q$400,"monthly"))</f>
        <v>2000</v>
      </c>
      <c r="W39" s="112" cm="1">
        <f t="array" ref="W39">_xlfn.IFS(OR(B39=0,B39="",V39=0),"",AF39&lt;&gt;"exclusion",MAX($W$9,$W$7,(-(SUMIFS(SF_Output!$T$1:$T$400,SF_Output!$AC$1:$AC$400,_xlfn.TEXTJOIN(",",TRUE,$B39:$E39),SF_Output!$Q$1:$Q$400,"monthly"))/V39)),AF39="exclusion",-(SUMIFS(SF_Output!$T$1:$T$400,SF_Output!$AC$1:$AC$400,_xlfn.TEXTJOIN(",",TRUE,$B39:$E39),SF_Output!$Q$1:$Q$400,"monthly"))/V39)</f>
        <v>0</v>
      </c>
      <c r="X39" s="6" cm="1">
        <f t="array" ref="X39">IFERROR(_xlfn.IFS(V39=0,0,V39="","",W39=0,V39,OR(V39&lt;&gt;0,V39&lt;&gt;""),H39*I39),V39*(1-W39))</f>
        <v>2000</v>
      </c>
      <c r="Z39" s="6">
        <f>IFERROR(IF(B39="","",SUMIFS(Billing_Fallout!H:H,Billing_Fallout!N:N,B39)),0)</f>
        <v>0</v>
      </c>
      <c r="AA39" s="6">
        <f t="shared" si="4"/>
        <v>0</v>
      </c>
      <c r="AB39" s="6">
        <f>IFERROR(IF(B39="","",SUMIFS(Billing_Fallout!J:J,Billing_Fallout!N:N,B39)),0)</f>
        <v>0</v>
      </c>
      <c r="AD39" s="6">
        <f t="shared" si="5"/>
        <v>2000</v>
      </c>
      <c r="AF39" t="str">
        <f>IFERROR(INDEX(H_Tables!$B$1:$B$1500,MATCH(INDEX(SF_Output!$J$1:$J$400,MATCH(B39,SF_Output!$M$1:$M$400,0)),H_Tables!$A$1:$A$1500,0)),"")</f>
        <v>Exclusion</v>
      </c>
      <c r="AI39" s="119" t="str">
        <f t="shared" si="6"/>
        <v/>
      </c>
      <c r="AJ39" s="121">
        <f>IFERROR(INDEX(SF_Output!AD:AD,MATCH(_xlfn.TEXTJOIN(",",TRUE,B39:E39),SF_Output!AC1:AC400,0)),0.05)</f>
        <v>43</v>
      </c>
      <c r="AK39" t="str">
        <f>IF(SUMIFS(SF_Output!$F$1:$F$400,SF_Output!$AC$1:$AC$400,_xlfn.TEXTJOIN(",",TRUE,B39:E39))+SUMIFS(SF_Output!$G$1:$G$400,SF_Output!$AC$1:$AC$400,_xlfn.TEXTJOIN(",",TRUE,B39:E39))=0,"","PAP")</f>
        <v/>
      </c>
      <c r="AL39" s="35" t="str">
        <f t="shared" si="7"/>
        <v>Alloy,New,Hosted by JHA,1</v>
      </c>
      <c r="AQ39" s="35"/>
      <c r="AR39" s="35" t="str" cm="1">
        <f t="array" ref="AR39">IFERROR(_xlfn.IFS(AND(E39*1=1,F39="Included"),"Change to Included",AND(E39*1=0,F39="Optional"),"Change to Optional",OR(B39="",F39="replaced"),""),"")</f>
        <v/>
      </c>
      <c r="AS39" s="35" t="str">
        <f t="shared" si="8"/>
        <v/>
      </c>
      <c r="AT39" s="35" t="str">
        <f t="shared" si="9"/>
        <v/>
      </c>
      <c r="AU39" s="35" t="str">
        <f t="shared" si="10"/>
        <v/>
      </c>
      <c r="AV39" s="35" t="str">
        <f t="shared" si="11"/>
        <v/>
      </c>
      <c r="AW39" s="35" t="str">
        <f t="shared" si="12"/>
        <v/>
      </c>
      <c r="AX39" s="35" t="str">
        <f t="shared" si="13"/>
        <v/>
      </c>
      <c r="AY39" s="35" t="str">
        <f t="shared" si="14"/>
        <v/>
      </c>
      <c r="AZ39" s="35" t="str">
        <f t="shared" si="15"/>
        <v/>
      </c>
      <c r="BA39" s="35" t="str">
        <f t="shared" si="16"/>
        <v/>
      </c>
      <c r="BB39" s="35" t="str">
        <f t="shared" si="17"/>
        <v/>
      </c>
      <c r="BC39" s="35"/>
      <c r="BE39" s="35">
        <f ca="1">INDEX(SF_Output!$AA$2:$AA$400,MATCH($B39,SF_Output!$M$2:$M$400,0))</f>
        <v>3</v>
      </c>
      <c r="BF39" s="35">
        <f ca="1">INDEX(SF_Output!$AB$2:$AB$400,MATCH($B39,SF_Output!$M$2:$M$400,0))</f>
        <v>2</v>
      </c>
    </row>
    <row r="40" spans="2:58" x14ac:dyDescent="0.25">
      <c r="B40" t="s">
        <v>1818</v>
      </c>
      <c r="C40" t="s">
        <v>2122</v>
      </c>
      <c r="D40" t="s">
        <v>2123</v>
      </c>
      <c r="E40" t="s">
        <v>2124</v>
      </c>
      <c r="F40" s="116" t="str">
        <f t="shared" si="0"/>
        <v>Included</v>
      </c>
      <c r="G40" t="str">
        <f>IF(B40="","",INDEX(SF_Output!$K$1:$K$400,MATCH(B40,SF_Output!$M$1:$M$400,0)))</f>
        <v>JHA OpenAnywhere</v>
      </c>
      <c r="H40" cm="1">
        <f t="array" ref="H40">_xlfn.IFS(B40="","",(SUMIFS(SF_Output!$F$1:$F$400,SF_Output!$AC$1:$AC$400,_xlfn.TEXTJOIN(",",TRUE,B40:E40))+SUMIFS(SF_Output!$G$1:$G$400,SF_Output!$AC$1:$AC$400,_xlfn.TEXTJOIN(",",TRUE,B40:E40)))&lt;&gt;0,SF_Output!$Y$2,INDEX(SF_Output!$F$1:$F$400,MATCH(_xlfn.TEXTJOIN(",",TRUE,B40:E40),SF_Output!$AC$1:$AC$400,0))=0,INDEX(SF_Output!$R$1:$R$400,MATCH(_xlfn.TEXTJOIN(",",TRUE,B40:E40),SF_Output!$AC$1:$AC$400,0)))</f>
        <v>1</v>
      </c>
      <c r="I40" s="125" t="str">
        <f>IFERROR(IF(AND(H40&gt;1,H40&lt;&gt;""),ROUND(SUMIFS(SF_Output!$S$1:$S$400,SF_Output!$AC$1:$AC$400,_xlfn.TEXTJOIN(",",TRUE,B40:E40),SF_Output!$Q$1:$Q$400,"monthly")*(1-W40)/H40,4),""),"")</f>
        <v/>
      </c>
      <c r="J40" s="6">
        <f>IF(B40="","",SUMIFS(SF_Output!$S$1:$S$400,SF_Output!$AC$1:$AC$400,_xlfn.TEXTJOIN(",",TRUE,B40:E40),SF_Output!$Q$1:$Q$400,"One Time",SF_Output!$L$1:$L$400,"license fee")+SUMIFS(SF_Output!$S$1:$S$400,SF_Output!$AC$1:$AC$400,_xlfn.TEXTJOIN(",",TRUE,B40:E40),SF_Output!$Q$1:$Q$400,"One Time",SF_Output!$L$1:$L$400,"software license")+SUMIFS(SF_Output!$S$1:$S$400,SF_Output!$AC$1:$AC$400,_xlfn.TEXTJOIN(",",TRUE,B40:E40),SF_Output!$Q$1:$Q$400,"One Time",SF_Output!$L$1:$L$400,"hardware"))</f>
        <v>0</v>
      </c>
      <c r="K40" s="112" t="str">
        <f>IF(OR(B40=0,B40="",G40="hardware",J40=0),"",IF(AF40&lt;&gt;"exclusion",MAX(K$9,-((SUMIFS(SF_Output!$T$1:$T$400,SF_Output!$AC$1:$AC$400,_xlfn.TEXTJOIN(",",TRUE,$B40:$E40),SF_Output!$Q$1:$Q$400,"One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license"))/J40)))</f>
        <v/>
      </c>
      <c r="L40" s="6">
        <f t="shared" si="1"/>
        <v>0</v>
      </c>
      <c r="N40" s="6">
        <f>IF(B40="","",SUMIFS(SF_Output!$S$1:$S$400,SF_Output!$AC$1:$AC$400,_xlfn.TEXTJOIN(",",TRUE,B40:E40),SF_Output!$Q$1:$Q$400,"One Time",SF_Output!$L$1:$L$400,"professional service"))</f>
        <v>0</v>
      </c>
      <c r="O40" s="112" t="str">
        <f>IF(OR(B40=0,B40="",N40=0),"",IF(AF40&lt;&gt;"exclusion",MAX(O$9,-(SUMIFS(SF_Output!$T$1:$T$400,SF_Output!$AC$1:$AC$400,_xlfn.TEXTJOIN(",",TRUE,$B40:$E40),SF_Output!$Q$1:$Q$400,"One Time",SF_Output!$L$1:$L$400,"professional service"))/N40),-((SUMIFS(SF_Output!$T$1:$T$400,SF_Output!$AC$1:$AC$400,_xlfn.TEXTJOIN(",",TRUE,$B40:$E40),SF_Output!$Q$1:$Q$400,"One Time",SF_Output!$L$1:$L$400,"professional service")/N40))))</f>
        <v/>
      </c>
      <c r="P40" s="6">
        <f t="shared" si="2"/>
        <v>0</v>
      </c>
      <c r="R40" s="6">
        <f>IF(B40="","",SUMIFS(SF_Output!$S$1:$S$400,SF_Output!$AC$1:$AC$400,_xlfn.TEXTJOIN(",",TRUE,B40:E40),SF_Output!$Q$1:$Q$400,"yearly")+SUMIFS(SF_Output!$S$1:$S$400,SF_Output!$AC$1:$AC$400,_xlfn.TEXTJOIN(",",TRUE,B40:E40),SF_Output!$Q$1:$Q$400,"quarterly")*4)</f>
        <v>0</v>
      </c>
      <c r="S40" s="112" t="str">
        <f>IF(OR(B40=0,B40="",G40="hardware",R40=0),"",IF(AF40&lt;&gt;"exclusion",MAX(S$9,-(SUMIFS(SF_Output!$T$1:$T$400,SF_Output!$AC$1:$AC$400,_xlfn.TEXTJOIN(",",TRUE,$B40:$E40),SF_Output!$Q$1:$Q$400,"yearly"))/R40),-((SUMIFS(SF_Output!$T$1:$T$400,SF_Output!$AC$1:$AC$400,_xlfn.TEXTJOIN(",",TRUE,$B40:$E40),SF_Output!$Q$1:$Q$400,"yearly")/R40))))</f>
        <v/>
      </c>
      <c r="T40" s="6">
        <f t="shared" si="3"/>
        <v>0</v>
      </c>
      <c r="V40" s="6" cm="1">
        <f t="array" ref="V40">_xlfn.IFS(B40="","",AND(B40&lt;&gt;"",H40=SF_Output!$Y$2,SUMIFS(SF_Output!$T$1:$T$400,SF_Output!$AC$1:$AC$400,_xlfn.TEXTJOIN(",",TRUE,B40:E40),SF_Output!$Q$1:$Q$400,"monthly")=0),(SUMIFS(SF_Output!$F$1:$F$400,SF_Output!$AC$1:$AC$400,_xlfn.TEXTJOIN(",",TRUE,B40:E40),SF_Output!$Q$1:$Q$400,"monthly")+SUMIFS(SF_Output!$G$1:$G$400,SF_Output!$AC$1:$AC$400,_xlfn.TEXTJOIN(",",TRUE,B40:E40),SF_Output!$Q$1:$Q$400,"monthly"))*H40,AND(B40&lt;&gt;"",H40=SF_Output!$Y$2,SUMIFS(SF_Output!$T$1:$T$400,SF_Output!$AC$1:$AC$400,_xlfn.TEXTJOIN(",",TRUE,B40:E40),SF_Output!$Q$1:$Q$400,"monthly")&lt;&gt;0),SUMIFS(SF_Output!$S$1:$S$400,SF_Output!$AC$1:$AC$400,_xlfn.TEXTJOIN(",",TRUE,B40:E40),SF_Output!$Q$1:$Q$400,"monthly"),AND(B40&lt;&gt;"",H40&lt;&gt;SF_Output!$Y$2),SUMIFS(SF_Output!$S$1:$S$400,SF_Output!$AC$1:$AC$400,_xlfn.TEXTJOIN(",",TRUE,B40:E40),SF_Output!$Q$1:$Q$400,"monthly"))</f>
        <v>200</v>
      </c>
      <c r="W40" s="112" cm="1">
        <f t="array" ref="W40">_xlfn.IFS(OR(B40=0,B40="",V40=0),"",AF40&lt;&gt;"exclusion",MAX($W$9,$W$7,(-(SUMIFS(SF_Output!$T$1:$T$400,SF_Output!$AC$1:$AC$400,_xlfn.TEXTJOIN(",",TRUE,$B40:$E40),SF_Output!$Q$1:$Q$400,"monthly"))/V40)),AF40="exclusion",-(SUMIFS(SF_Output!$T$1:$T$400,SF_Output!$AC$1:$AC$400,_xlfn.TEXTJOIN(",",TRUE,$B40:$E40),SF_Output!$Q$1:$Q$400,"monthly"))/V40)</f>
        <v>0</v>
      </c>
      <c r="X40" s="6" cm="1">
        <f t="array" ref="X40">IFERROR(_xlfn.IFS(V40=0,0,V40="","",W40=0,V40,OR(V40&lt;&gt;0,V40&lt;&gt;""),H40*I40),V40*(1-W40))</f>
        <v>200</v>
      </c>
      <c r="Z40" s="6">
        <f>IFERROR(IF(B40="","",SUMIFS(Billing_Fallout!H:H,Billing_Fallout!N:N,B40)),0)</f>
        <v>0</v>
      </c>
      <c r="AA40" s="6">
        <f t="shared" si="4"/>
        <v>0</v>
      </c>
      <c r="AB40" s="6">
        <f>IFERROR(IF(B40="","",SUMIFS(Billing_Fallout!J:J,Billing_Fallout!N:N,B40)),0)</f>
        <v>0</v>
      </c>
      <c r="AD40" s="6">
        <f t="shared" si="5"/>
        <v>200</v>
      </c>
      <c r="AF40" t="str">
        <f>IFERROR(INDEX(H_Tables!$B$1:$B$1500,MATCH(INDEX(SF_Output!$J$1:$J$400,MATCH(B40,SF_Output!$M$1:$M$400,0)),H_Tables!$A$1:$A$1500,0)),"")</f>
        <v>Exclusion</v>
      </c>
      <c r="AI40" s="119" t="str">
        <f t="shared" si="6"/>
        <v/>
      </c>
      <c r="AJ40" s="121">
        <f>IFERROR(INDEX(SF_Output!AD:AD,MATCH(_xlfn.TEXTJOIN(",",TRUE,B40:E40),SF_Output!AC1:AC400,0)),0.05)</f>
        <v>45</v>
      </c>
      <c r="AK40" t="str">
        <f>IF(SUMIFS(SF_Output!$F$1:$F$400,SF_Output!$AC$1:$AC$400,_xlfn.TEXTJOIN(",",TRUE,B40:E40))+SUMIFS(SF_Output!$G$1:$G$400,SF_Output!$AC$1:$AC$400,_xlfn.TEXTJOIN(",",TRUE,B40:E40))=0,"","PAP")</f>
        <v/>
      </c>
      <c r="AL40" s="35" t="str">
        <f t="shared" si="7"/>
        <v>JHA OpenAnywhere Finicity,New,Hosted by JHA,0</v>
      </c>
      <c r="AQ40" s="35"/>
      <c r="AR40" s="35" t="str" cm="1">
        <f t="array" ref="AR40">IFERROR(_xlfn.IFS(AND(E40*1=1,F40="Included"),"Change to Included",AND(E40*1=0,F40="Optional"),"Change to Optional",OR(B40="",F40="replaced"),""),"")</f>
        <v/>
      </c>
      <c r="AS40" s="35" t="str">
        <f t="shared" si="8"/>
        <v/>
      </c>
      <c r="AT40" s="35" t="str">
        <f t="shared" si="9"/>
        <v/>
      </c>
      <c r="AU40" s="35" t="str">
        <f t="shared" si="10"/>
        <v/>
      </c>
      <c r="AV40" s="35" t="str">
        <f t="shared" si="11"/>
        <v/>
      </c>
      <c r="AW40" s="35" t="str">
        <f t="shared" si="12"/>
        <v/>
      </c>
      <c r="AX40" s="35" t="str">
        <f t="shared" si="13"/>
        <v/>
      </c>
      <c r="AY40" s="35" t="str">
        <f t="shared" si="14"/>
        <v/>
      </c>
      <c r="AZ40" s="35" t="str">
        <f t="shared" si="15"/>
        <v/>
      </c>
      <c r="BA40" s="35" t="str">
        <f t="shared" si="16"/>
        <v/>
      </c>
      <c r="BB40" s="35" t="str">
        <f t="shared" si="17"/>
        <v/>
      </c>
      <c r="BC40" s="35"/>
      <c r="BE40" s="35">
        <f ca="1">INDEX(SF_Output!$AA$2:$AA$400,MATCH($B40,SF_Output!$M$2:$M$400,0))</f>
        <v>3</v>
      </c>
      <c r="BF40" s="35">
        <f ca="1">INDEX(SF_Output!$AB$2:$AB$400,MATCH($B40,SF_Output!$M$2:$M$400,0))</f>
        <v>2</v>
      </c>
    </row>
    <row r="41" spans="2:58" x14ac:dyDescent="0.25">
      <c r="B41" t="s">
        <v>561</v>
      </c>
      <c r="C41" t="s">
        <v>2122</v>
      </c>
      <c r="D41" t="s">
        <v>2123</v>
      </c>
      <c r="E41" t="s">
        <v>2124</v>
      </c>
      <c r="F41" s="116" t="str">
        <f t="shared" si="0"/>
        <v>Included</v>
      </c>
      <c r="G41" t="str">
        <f>IF(B41="","",INDEX(SF_Output!$K$1:$K$400,MATCH(B41,SF_Output!$M$1:$M$400,0)))</f>
        <v>Banno</v>
      </c>
      <c r="H41" cm="1">
        <f t="array" ref="H41">_xlfn.IFS(B41="","",(SUMIFS(SF_Output!$F$1:$F$400,SF_Output!$AC$1:$AC$400,_xlfn.TEXTJOIN(",",TRUE,B41:E41))+SUMIFS(SF_Output!$G$1:$G$400,SF_Output!$AC$1:$AC$400,_xlfn.TEXTJOIN(",",TRUE,B41:E41)))&lt;&gt;0,SF_Output!$Y$2,INDEX(SF_Output!$F$1:$F$400,MATCH(_xlfn.TEXTJOIN(",",TRUE,B41:E41),SF_Output!$AC$1:$AC$400,0))=0,INDEX(SF_Output!$R$1:$R$400,MATCH(_xlfn.TEXTJOIN(",",TRUE,B41:E41),SF_Output!$AC$1:$AC$400,0)))</f>
        <v>1</v>
      </c>
      <c r="I41" s="125" t="str">
        <f>IFERROR(IF(AND(H41&gt;1,H41&lt;&gt;""),ROUND(SUMIFS(SF_Output!$S$1:$S$400,SF_Output!$AC$1:$AC$400,_xlfn.TEXTJOIN(",",TRUE,B41:E41),SF_Output!$Q$1:$Q$400,"monthly")*(1-W41)/H41,4),""),"")</f>
        <v/>
      </c>
      <c r="J41" s="6">
        <f>IF(B41="","",SUMIFS(SF_Output!$S$1:$S$400,SF_Output!$AC$1:$AC$400,_xlfn.TEXTJOIN(",",TRUE,B41:E41),SF_Output!$Q$1:$Q$400,"One Time",SF_Output!$L$1:$L$400,"license fee")+SUMIFS(SF_Output!$S$1:$S$400,SF_Output!$AC$1:$AC$400,_xlfn.TEXTJOIN(",",TRUE,B41:E41),SF_Output!$Q$1:$Q$400,"One Time",SF_Output!$L$1:$L$400,"software license")+SUMIFS(SF_Output!$S$1:$S$400,SF_Output!$AC$1:$AC$400,_xlfn.TEXTJOIN(",",TRUE,B41:E41),SF_Output!$Q$1:$Q$400,"One Time",SF_Output!$L$1:$L$400,"hardware"))</f>
        <v>0</v>
      </c>
      <c r="K41" s="112" t="str">
        <f>IF(OR(B41=0,B41="",G41="hardware",J41=0),"",IF(AF41&lt;&gt;"exclusion",MAX(K$9,-((SUMIFS(SF_Output!$T$1:$T$400,SF_Output!$AC$1:$AC$400,_xlfn.TEXTJOIN(",",TRUE,$B41:$E41),SF_Output!$Q$1:$Q$400,"One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license"))/J41)))</f>
        <v/>
      </c>
      <c r="L41" s="6">
        <f t="shared" si="1"/>
        <v>0</v>
      </c>
      <c r="N41" s="6">
        <f>IF(B41="","",SUMIFS(SF_Output!$S$1:$S$400,SF_Output!$AC$1:$AC$400,_xlfn.TEXTJOIN(",",TRUE,B41:E41),SF_Output!$Q$1:$Q$400,"One Time",SF_Output!$L$1:$L$400,"professional service"))</f>
        <v>65000</v>
      </c>
      <c r="O41" s="112">
        <f>IF(OR(B41=0,B41="",N41=0),"",IF(AF41&lt;&gt;"exclusion",MAX(O$9,-(SUMIFS(SF_Output!$T$1:$T$400,SF_Output!$AC$1:$AC$400,_xlfn.TEXTJOIN(",",TRUE,$B41:$E41),SF_Output!$Q$1:$Q$400,"One Time",SF_Output!$L$1:$L$400,"professional service"))/N41),-((SUMIFS(SF_Output!$T$1:$T$400,SF_Output!$AC$1:$AC$400,_xlfn.TEXTJOIN(",",TRUE,$B41:$E41),SF_Output!$Q$1:$Q$400,"One Time",SF_Output!$L$1:$L$400,"professional service")/N41))))</f>
        <v>1</v>
      </c>
      <c r="P41" s="6">
        <f t="shared" si="2"/>
        <v>0</v>
      </c>
      <c r="R41" s="6">
        <f>IF(B41="","",SUMIFS(SF_Output!$S$1:$S$400,SF_Output!$AC$1:$AC$400,_xlfn.TEXTJOIN(",",TRUE,B41:E41),SF_Output!$Q$1:$Q$400,"yearly")+SUMIFS(SF_Output!$S$1:$S$400,SF_Output!$AC$1:$AC$400,_xlfn.TEXTJOIN(",",TRUE,B41:E41),SF_Output!$Q$1:$Q$400,"quarterly")*4)</f>
        <v>0</v>
      </c>
      <c r="S41" s="112" t="str">
        <f>IF(OR(B41=0,B41="",G41="hardware",R41=0),"",IF(AF41&lt;&gt;"exclusion",MAX(S$9,-(SUMIFS(SF_Output!$T$1:$T$400,SF_Output!$AC$1:$AC$400,_xlfn.TEXTJOIN(",",TRUE,$B41:$E41),SF_Output!$Q$1:$Q$400,"yearly"))/R41),-((SUMIFS(SF_Output!$T$1:$T$400,SF_Output!$AC$1:$AC$400,_xlfn.TEXTJOIN(",",TRUE,$B41:$E41),SF_Output!$Q$1:$Q$400,"yearly")/R41))))</f>
        <v/>
      </c>
      <c r="T41" s="6">
        <f t="shared" si="3"/>
        <v>0</v>
      </c>
      <c r="V41" s="6" cm="1">
        <f t="array" ref="V41">_xlfn.IFS(B41="","",AND(B41&lt;&gt;"",H41=SF_Output!$Y$2,SUMIFS(SF_Output!$T$1:$T$400,SF_Output!$AC$1:$AC$400,_xlfn.TEXTJOIN(",",TRUE,B41:E41),SF_Output!$Q$1:$Q$400,"monthly")=0),(SUMIFS(SF_Output!$F$1:$F$400,SF_Output!$AC$1:$AC$400,_xlfn.TEXTJOIN(",",TRUE,B41:E41),SF_Output!$Q$1:$Q$400,"monthly")+SUMIFS(SF_Output!$G$1:$G$400,SF_Output!$AC$1:$AC$400,_xlfn.TEXTJOIN(",",TRUE,B41:E41),SF_Output!$Q$1:$Q$400,"monthly"))*H41,AND(B41&lt;&gt;"",H41=SF_Output!$Y$2,SUMIFS(SF_Output!$T$1:$T$400,SF_Output!$AC$1:$AC$400,_xlfn.TEXTJOIN(",",TRUE,B41:E41),SF_Output!$Q$1:$Q$400,"monthly")&lt;&gt;0),SUMIFS(SF_Output!$S$1:$S$400,SF_Output!$AC$1:$AC$400,_xlfn.TEXTJOIN(",",TRUE,B41:E41),SF_Output!$Q$1:$Q$400,"monthly"),AND(B41&lt;&gt;"",H41&lt;&gt;SF_Output!$Y$2),SUMIFS(SF_Output!$S$1:$S$400,SF_Output!$AC$1:$AC$400,_xlfn.TEXTJOIN(",",TRUE,B41:E41),SF_Output!$Q$1:$Q$400,"monthly"))</f>
        <v>500</v>
      </c>
      <c r="W41" s="112" cm="1">
        <f t="array" ref="W41">_xlfn.IFS(OR(B41=0,B41="",V41=0),"",AF41&lt;&gt;"exclusion",MAX($W$9,$W$7,(-(SUMIFS(SF_Output!$T$1:$T$400,SF_Output!$AC$1:$AC$400,_xlfn.TEXTJOIN(",",TRUE,$B41:$E41),SF_Output!$Q$1:$Q$400,"monthly"))/V41)),AF41="exclusion",-(SUMIFS(SF_Output!$T$1:$T$400,SF_Output!$AC$1:$AC$400,_xlfn.TEXTJOIN(",",TRUE,$B41:$E41),SF_Output!$Q$1:$Q$400,"monthly"))/V41)</f>
        <v>0</v>
      </c>
      <c r="X41" s="6" cm="1">
        <f t="array" ref="X41">IFERROR(_xlfn.IFS(V41=0,0,V41="","",W41=0,V41,OR(V41&lt;&gt;0,V41&lt;&gt;""),H41*I41),V41*(1-W41))</f>
        <v>500</v>
      </c>
      <c r="Z41" s="6">
        <f>IFERROR(IF(B41="","",SUMIFS(Billing_Fallout!H:H,Billing_Fallout!N:N,B41)),0)</f>
        <v>0</v>
      </c>
      <c r="AA41" s="6">
        <f t="shared" si="4"/>
        <v>0</v>
      </c>
      <c r="AB41" s="6">
        <f>IFERROR(IF(B41="","",SUMIFS(Billing_Fallout!J:J,Billing_Fallout!N:N,B41)),0)</f>
        <v>0</v>
      </c>
      <c r="AD41" s="6">
        <f t="shared" si="5"/>
        <v>500</v>
      </c>
      <c r="AF41" t="str">
        <f>IFERROR(INDEX(H_Tables!$B$1:$B$1500,MATCH(INDEX(SF_Output!$J$1:$J$400,MATCH(B41,SF_Output!$M$1:$M$400,0)),H_Tables!$A$1:$A$1500,0)),"")</f>
        <v>Exclusion</v>
      </c>
      <c r="AI41" s="119" t="str">
        <f t="shared" si="6"/>
        <v/>
      </c>
      <c r="AJ41" s="121">
        <f>IFERROR(INDEX(SF_Output!AD:AD,MATCH(_xlfn.TEXTJOIN(",",TRUE,B41:E41),SF_Output!AC1:AC400,0)),0.05)</f>
        <v>58</v>
      </c>
      <c r="AK41" t="str">
        <f>IF(SUMIFS(SF_Output!$F$1:$F$400,SF_Output!$AC$1:$AC$400,_xlfn.TEXTJOIN(",",TRUE,B41:E41))+SUMIFS(SF_Output!$G$1:$G$400,SF_Output!$AC$1:$AC$400,_xlfn.TEXTJOIN(",",TRUE,B41:E41))=0,"","PAP")</f>
        <v/>
      </c>
      <c r="AL41" s="35" t="str">
        <f t="shared" si="7"/>
        <v>Banno,New,Hosted by JHA,0</v>
      </c>
      <c r="AQ41" s="35"/>
      <c r="AR41" s="35" t="str" cm="1">
        <f t="array" ref="AR41">IFERROR(_xlfn.IFS(AND(E41*1=1,F41="Included"),"Change to Included",AND(E41*1=0,F41="Optional"),"Change to Optional",OR(B41="",F41="replaced"),""),"")</f>
        <v/>
      </c>
      <c r="AS41" s="35" t="str">
        <f t="shared" si="8"/>
        <v/>
      </c>
      <c r="AT41" s="35" t="str">
        <f t="shared" si="9"/>
        <v/>
      </c>
      <c r="AU41" s="35" t="str">
        <f t="shared" si="10"/>
        <v/>
      </c>
      <c r="AV41" s="35" t="str">
        <f t="shared" si="11"/>
        <v/>
      </c>
      <c r="AW41" s="35" t="str">
        <f t="shared" si="12"/>
        <v/>
      </c>
      <c r="AX41" s="35" t="str">
        <f t="shared" si="13"/>
        <v/>
      </c>
      <c r="AY41" s="35" t="str">
        <f t="shared" si="14"/>
        <v/>
      </c>
      <c r="AZ41" s="35" t="str">
        <f t="shared" si="15"/>
        <v/>
      </c>
      <c r="BA41" s="35" t="str">
        <f t="shared" si="16"/>
        <v/>
      </c>
      <c r="BB41" s="35" t="str">
        <f t="shared" si="17"/>
        <v/>
      </c>
      <c r="BC41" s="35"/>
      <c r="BE41" s="35">
        <f ca="1">INDEX(SF_Output!$AA$2:$AA$400,MATCH($B41,SF_Output!$M$2:$M$400,0))</f>
        <v>3</v>
      </c>
      <c r="BF41" s="35">
        <f ca="1">INDEX(SF_Output!$AB$2:$AB$400,MATCH($B41,SF_Output!$M$2:$M$400,0))</f>
        <v>1</v>
      </c>
    </row>
    <row r="42" spans="2:58" x14ac:dyDescent="0.25">
      <c r="B42" t="s">
        <v>600</v>
      </c>
      <c r="C42" t="s">
        <v>2122</v>
      </c>
      <c r="D42" t="s">
        <v>2123</v>
      </c>
      <c r="E42" t="s">
        <v>2124</v>
      </c>
      <c r="F42" s="116" t="str">
        <f t="shared" si="0"/>
        <v>Included</v>
      </c>
      <c r="G42" t="str">
        <f>IF(B42="","",INDEX(SF_Output!$K$1:$K$400,MATCH(B42,SF_Output!$M$1:$M$400,0)))</f>
        <v>Banno</v>
      </c>
      <c r="H42" cm="1">
        <f t="array" ref="H42">_xlfn.IFS(B42="","",(SUMIFS(SF_Output!$F$1:$F$400,SF_Output!$AC$1:$AC$400,_xlfn.TEXTJOIN(",",TRUE,B42:E42))+SUMIFS(SF_Output!$G$1:$G$400,SF_Output!$AC$1:$AC$400,_xlfn.TEXTJOIN(",",TRUE,B42:E42)))&lt;&gt;0,SF_Output!$Y$2,INDEX(SF_Output!$F$1:$F$400,MATCH(_xlfn.TEXTJOIN(",",TRUE,B42:E42),SF_Output!$AC$1:$AC$400,0))=0,INDEX(SF_Output!$R$1:$R$400,MATCH(_xlfn.TEXTJOIN(",",TRUE,B42:E42),SF_Output!$AC$1:$AC$400,0)))</f>
        <v>1</v>
      </c>
      <c r="I42" s="125" t="str">
        <f>IFERROR(IF(AND(H42&gt;1,H42&lt;&gt;""),ROUND(SUMIFS(SF_Output!$S$1:$S$400,SF_Output!$AC$1:$AC$400,_xlfn.TEXTJOIN(",",TRUE,B42:E42),SF_Output!$Q$1:$Q$400,"monthly")*(1-W42)/H42,4),""),"")</f>
        <v/>
      </c>
      <c r="J42" s="6">
        <f>IF(B42="","",SUMIFS(SF_Output!$S$1:$S$400,SF_Output!$AC$1:$AC$400,_xlfn.TEXTJOIN(",",TRUE,B42:E42),SF_Output!$Q$1:$Q$400,"One Time",SF_Output!$L$1:$L$400,"license fee")+SUMIFS(SF_Output!$S$1:$S$400,SF_Output!$AC$1:$AC$400,_xlfn.TEXTJOIN(",",TRUE,B42:E42),SF_Output!$Q$1:$Q$400,"One Time",SF_Output!$L$1:$L$400,"software license")+SUMIFS(SF_Output!$S$1:$S$400,SF_Output!$AC$1:$AC$400,_xlfn.TEXTJOIN(",",TRUE,B42:E42),SF_Output!$Q$1:$Q$400,"One Time",SF_Output!$L$1:$L$400,"hardware"))</f>
        <v>0</v>
      </c>
      <c r="K42" s="112" t="str">
        <f>IF(OR(B42=0,B42="",G42="hardware",J42=0),"",IF(AF42&lt;&gt;"exclusion",MAX(K$9,-((SUMIFS(SF_Output!$T$1:$T$400,SF_Output!$AC$1:$AC$400,_xlfn.TEXTJOIN(",",TRUE,$B42:$E42),SF_Output!$Q$1:$Q$400,"One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license"))/J42)))</f>
        <v/>
      </c>
      <c r="L42" s="6">
        <f t="shared" si="1"/>
        <v>0</v>
      </c>
      <c r="N42" s="6">
        <f>IF(B42="","",SUMIFS(SF_Output!$S$1:$S$400,SF_Output!$AC$1:$AC$400,_xlfn.TEXTJOIN(",",TRUE,B42:E42),SF_Output!$Q$1:$Q$400,"One Time",SF_Output!$L$1:$L$400,"professional service"))</f>
        <v>20000</v>
      </c>
      <c r="O42" s="112">
        <f>IF(OR(B42=0,B42="",N42=0),"",IF(AF42&lt;&gt;"exclusion",MAX(O$9,-(SUMIFS(SF_Output!$T$1:$T$400,SF_Output!$AC$1:$AC$400,_xlfn.TEXTJOIN(",",TRUE,$B42:$E42),SF_Output!$Q$1:$Q$400,"One Time",SF_Output!$L$1:$L$400,"professional service"))/N42),-((SUMIFS(SF_Output!$T$1:$T$400,SF_Output!$AC$1:$AC$400,_xlfn.TEXTJOIN(",",TRUE,$B42:$E42),SF_Output!$Q$1:$Q$400,"One Time",SF_Output!$L$1:$L$400,"professional service")/N42))))</f>
        <v>1</v>
      </c>
      <c r="P42" s="6">
        <f t="shared" si="2"/>
        <v>0</v>
      </c>
      <c r="R42" s="6">
        <f>IF(B42="","",SUMIFS(SF_Output!$S$1:$S$400,SF_Output!$AC$1:$AC$400,_xlfn.TEXTJOIN(",",TRUE,B42:E42),SF_Output!$Q$1:$Q$400,"yearly")+SUMIFS(SF_Output!$S$1:$S$400,SF_Output!$AC$1:$AC$400,_xlfn.TEXTJOIN(",",TRUE,B42:E42),SF_Output!$Q$1:$Q$400,"quarterly")*4)</f>
        <v>0</v>
      </c>
      <c r="S42" s="112" t="str">
        <f>IF(OR(B42=0,B42="",G42="hardware",R42=0),"",IF(AF42&lt;&gt;"exclusion",MAX(S$9,-(SUMIFS(SF_Output!$T$1:$T$400,SF_Output!$AC$1:$AC$400,_xlfn.TEXTJOIN(",",TRUE,$B42:$E42),SF_Output!$Q$1:$Q$400,"yearly"))/R42),-((SUMIFS(SF_Output!$T$1:$T$400,SF_Output!$AC$1:$AC$400,_xlfn.TEXTJOIN(",",TRUE,$B42:$E42),SF_Output!$Q$1:$Q$400,"yearly")/R42))))</f>
        <v/>
      </c>
      <c r="T42" s="6">
        <f t="shared" si="3"/>
        <v>0</v>
      </c>
      <c r="V42" s="6" cm="1">
        <f t="array" ref="V42">_xlfn.IFS(B42="","",AND(B42&lt;&gt;"",H42=SF_Output!$Y$2,SUMIFS(SF_Output!$T$1:$T$400,SF_Output!$AC$1:$AC$400,_xlfn.TEXTJOIN(",",TRUE,B42:E42),SF_Output!$Q$1:$Q$400,"monthly")=0),(SUMIFS(SF_Output!$F$1:$F$400,SF_Output!$AC$1:$AC$400,_xlfn.TEXTJOIN(",",TRUE,B42:E42),SF_Output!$Q$1:$Q$400,"monthly")+SUMIFS(SF_Output!$G$1:$G$400,SF_Output!$AC$1:$AC$400,_xlfn.TEXTJOIN(",",TRUE,B42:E42),SF_Output!$Q$1:$Q$400,"monthly"))*H42,AND(B42&lt;&gt;"",H42=SF_Output!$Y$2,SUMIFS(SF_Output!$T$1:$T$400,SF_Output!$AC$1:$AC$400,_xlfn.TEXTJOIN(",",TRUE,B42:E42),SF_Output!$Q$1:$Q$400,"monthly")&lt;&gt;0),SUMIFS(SF_Output!$S$1:$S$400,SF_Output!$AC$1:$AC$400,_xlfn.TEXTJOIN(",",TRUE,B42:E42),SF_Output!$Q$1:$Q$400,"monthly"),AND(B42&lt;&gt;"",H42&lt;&gt;SF_Output!$Y$2),SUMIFS(SF_Output!$S$1:$S$400,SF_Output!$AC$1:$AC$400,_xlfn.TEXTJOIN(",",TRUE,B42:E42),SF_Output!$Q$1:$Q$400,"monthly"))</f>
        <v>0</v>
      </c>
      <c r="W42" s="112" t="str" cm="1">
        <f t="array" ref="W42">_xlfn.IFS(OR(B42=0,B42="",V42=0),"",AF42&lt;&gt;"exclusion",MAX($W$9,$W$7,(-(SUMIFS(SF_Output!$T$1:$T$400,SF_Output!$AC$1:$AC$400,_xlfn.TEXTJOIN(",",TRUE,$B42:$E42),SF_Output!$Q$1:$Q$400,"monthly"))/V42)),AF42="exclusion",-(SUMIFS(SF_Output!$T$1:$T$400,SF_Output!$AC$1:$AC$400,_xlfn.TEXTJOIN(",",TRUE,$B42:$E42),SF_Output!$Q$1:$Q$400,"monthly"))/V42)</f>
        <v/>
      </c>
      <c r="X42" s="6" cm="1">
        <f t="array" ref="X42">IFERROR(_xlfn.IFS(V42=0,0,V42="","",W42=0,V42,OR(V42&lt;&gt;0,V42&lt;&gt;""),H42*I42),V42*(1-W42))</f>
        <v>0</v>
      </c>
      <c r="Z42" s="6">
        <f>IFERROR(IF(B42="","",SUMIFS(Billing_Fallout!H:H,Billing_Fallout!N:N,B42)),0)</f>
        <v>0</v>
      </c>
      <c r="AA42" s="6">
        <f t="shared" si="4"/>
        <v>0</v>
      </c>
      <c r="AB42" s="6">
        <f>IFERROR(IF(B42="","",SUMIFS(Billing_Fallout!J:J,Billing_Fallout!N:N,B42)),0)</f>
        <v>0</v>
      </c>
      <c r="AD42" s="6">
        <f t="shared" si="5"/>
        <v>0</v>
      </c>
      <c r="AF42" t="str">
        <f>IFERROR(INDEX(H_Tables!$B$1:$B$1500,MATCH(INDEX(SF_Output!$J$1:$J$400,MATCH(B42,SF_Output!$M$1:$M$400,0)),H_Tables!$A$1:$A$1500,0)),"")</f>
        <v>Exclusion</v>
      </c>
      <c r="AI42" s="119" t="str">
        <f t="shared" si="6"/>
        <v/>
      </c>
      <c r="AJ42" s="121">
        <f>IFERROR(INDEX(SF_Output!AD:AD,MATCH(_xlfn.TEXTJOIN(",",TRUE,B42:E42),SF_Output!AC1:AC400,0)),0.05)</f>
        <v>60</v>
      </c>
      <c r="AK42" t="str">
        <f>IF(SUMIFS(SF_Output!$F$1:$F$400,SF_Output!$AC$1:$AC$400,_xlfn.TEXTJOIN(",",TRUE,B42:E42))+SUMIFS(SF_Output!$G$1:$G$400,SF_Output!$AC$1:$AC$400,_xlfn.TEXTJOIN(",",TRUE,B42:E42))=0,"","PAP")</f>
        <v/>
      </c>
      <c r="AL42" s="35" t="str">
        <f t="shared" si="7"/>
        <v>Banno Business,New,Hosted by JHA,0</v>
      </c>
      <c r="AQ42" s="35"/>
      <c r="AR42" s="35" t="str" cm="1">
        <f t="array" ref="AR42">IFERROR(_xlfn.IFS(AND(E42*1=1,F42="Included"),"Change to Included",AND(E42*1=0,F42="Optional"),"Change to Optional",OR(B42="",F42="replaced"),""),"")</f>
        <v/>
      </c>
      <c r="AS42" s="35" t="str">
        <f t="shared" si="8"/>
        <v/>
      </c>
      <c r="AT42" s="35" t="str">
        <f t="shared" si="9"/>
        <v/>
      </c>
      <c r="AU42" s="35" t="str">
        <f t="shared" si="10"/>
        <v/>
      </c>
      <c r="AV42" s="35" t="str">
        <f t="shared" si="11"/>
        <v/>
      </c>
      <c r="AW42" s="35" t="str">
        <f t="shared" si="12"/>
        <v/>
      </c>
      <c r="AX42" s="35" t="str">
        <f t="shared" si="13"/>
        <v/>
      </c>
      <c r="AY42" s="35" t="str">
        <f t="shared" si="14"/>
        <v/>
      </c>
      <c r="AZ42" s="35" t="str">
        <f t="shared" si="15"/>
        <v/>
      </c>
      <c r="BA42" s="35" t="str">
        <f t="shared" si="16"/>
        <v/>
      </c>
      <c r="BB42" s="35" t="str">
        <f t="shared" si="17"/>
        <v/>
      </c>
      <c r="BC42" s="35"/>
      <c r="BE42" s="35">
        <f ca="1">INDEX(SF_Output!$AA$2:$AA$400,MATCH($B42,SF_Output!$M$2:$M$400,0))</f>
        <v>3</v>
      </c>
      <c r="BF42" s="35">
        <f ca="1">INDEX(SF_Output!$AB$2:$AB$400,MATCH($B42,SF_Output!$M$2:$M$400,0))</f>
        <v>1</v>
      </c>
    </row>
    <row r="43" spans="2:58" x14ac:dyDescent="0.25">
      <c r="B43" t="s">
        <v>1804</v>
      </c>
      <c r="C43" t="s">
        <v>2122</v>
      </c>
      <c r="D43" t="s">
        <v>2123</v>
      </c>
      <c r="E43" t="s">
        <v>2150</v>
      </c>
      <c r="F43" s="116" t="str">
        <f t="shared" si="0"/>
        <v>Optional</v>
      </c>
      <c r="G43" t="str">
        <f>IF(B43="","",INDEX(SF_Output!$K$1:$K$400,MATCH(B43,SF_Output!$M$1:$M$400,0)))</f>
        <v>Banno</v>
      </c>
      <c r="H43" cm="1">
        <f t="array" ref="H43">_xlfn.IFS(B43="","",(SUMIFS(SF_Output!$F$1:$F$400,SF_Output!$AC$1:$AC$400,_xlfn.TEXTJOIN(",",TRUE,B43:E43))+SUMIFS(SF_Output!$G$1:$G$400,SF_Output!$AC$1:$AC$400,_xlfn.TEXTJOIN(",",TRUE,B43:E43)))&lt;&gt;0,SF_Output!$Y$2,INDEX(SF_Output!$F$1:$F$400,MATCH(_xlfn.TEXTJOIN(",",TRUE,B43:E43),SF_Output!$AC$1:$AC$400,0))=0,INDEX(SF_Output!$R$1:$R$400,MATCH(_xlfn.TEXTJOIN(",",TRUE,B43:E43),SF_Output!$AC$1:$AC$400,0)))</f>
        <v>1</v>
      </c>
      <c r="I43" s="125" t="str">
        <f>IFERROR(IF(AND(H43&gt;1,H43&lt;&gt;""),ROUND(SUMIFS(SF_Output!$S$1:$S$400,SF_Output!$AC$1:$AC$400,_xlfn.TEXTJOIN(",",TRUE,B43:E43),SF_Output!$Q$1:$Q$400,"monthly")*(1-W43)/H43,4),""),"")</f>
        <v/>
      </c>
      <c r="J43" s="6">
        <f>IF(B43="","",SUMIFS(SF_Output!$S$1:$S$400,SF_Output!$AC$1:$AC$400,_xlfn.TEXTJOIN(",",TRUE,B43:E43),SF_Output!$Q$1:$Q$400,"One Time",SF_Output!$L$1:$L$400,"license fee")+SUMIFS(SF_Output!$S$1:$S$400,SF_Output!$AC$1:$AC$400,_xlfn.TEXTJOIN(",",TRUE,B43:E43),SF_Output!$Q$1:$Q$400,"One Time",SF_Output!$L$1:$L$400,"software license")+SUMIFS(SF_Output!$S$1:$S$400,SF_Output!$AC$1:$AC$400,_xlfn.TEXTJOIN(",",TRUE,B43:E43),SF_Output!$Q$1:$Q$400,"One Time",SF_Output!$L$1:$L$400,"hardware"))</f>
        <v>0</v>
      </c>
      <c r="K43" s="112" t="str">
        <f>IF(OR(B43=0,B43="",G43="hardware",J43=0),"",IF(AF43&lt;&gt;"exclusion",MAX(K$9,-((SUMIFS(SF_Output!$T$1:$T$400,SF_Output!$AC$1:$AC$400,_xlfn.TEXTJOIN(",",TRUE,$B43:$E43),SF_Output!$Q$1:$Q$400,"One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license"))/J43)))</f>
        <v/>
      </c>
      <c r="L43" s="6">
        <f t="shared" si="1"/>
        <v>0</v>
      </c>
      <c r="N43" s="6">
        <f>IF(B43="","",SUMIFS(SF_Output!$S$1:$S$400,SF_Output!$AC$1:$AC$400,_xlfn.TEXTJOIN(",",TRUE,B43:E43),SF_Output!$Q$1:$Q$400,"One Time",SF_Output!$L$1:$L$400,"professional service"))</f>
        <v>5000</v>
      </c>
      <c r="O43" s="112">
        <f>IF(OR(B43=0,B43="",N43=0),"",IF(AF43&lt;&gt;"exclusion",MAX(O$9,-(SUMIFS(SF_Output!$T$1:$T$400,SF_Output!$AC$1:$AC$400,_xlfn.TEXTJOIN(",",TRUE,$B43:$E43),SF_Output!$Q$1:$Q$400,"One Time",SF_Output!$L$1:$L$400,"professional service"))/N43),-((SUMIFS(SF_Output!$T$1:$T$400,SF_Output!$AC$1:$AC$400,_xlfn.TEXTJOIN(",",TRUE,$B43:$E43),SF_Output!$Q$1:$Q$400,"One Time",SF_Output!$L$1:$L$400,"professional service")/N43))))</f>
        <v>1</v>
      </c>
      <c r="P43" s="6">
        <f t="shared" si="2"/>
        <v>0</v>
      </c>
      <c r="R43" s="6">
        <f>IF(B43="","",SUMIFS(SF_Output!$S$1:$S$400,SF_Output!$AC$1:$AC$400,_xlfn.TEXTJOIN(",",TRUE,B43:E43),SF_Output!$Q$1:$Q$400,"yearly")+SUMIFS(SF_Output!$S$1:$S$400,SF_Output!$AC$1:$AC$400,_xlfn.TEXTJOIN(",",TRUE,B43:E43),SF_Output!$Q$1:$Q$400,"quarterly")*4)</f>
        <v>0</v>
      </c>
      <c r="S43" s="112" t="str">
        <f>IF(OR(B43=0,B43="",G43="hardware",R43=0),"",IF(AF43&lt;&gt;"exclusion",MAX(S$9,-(SUMIFS(SF_Output!$T$1:$T$400,SF_Output!$AC$1:$AC$400,_xlfn.TEXTJOIN(",",TRUE,$B43:$E43),SF_Output!$Q$1:$Q$400,"yearly"))/R43),-((SUMIFS(SF_Output!$T$1:$T$400,SF_Output!$AC$1:$AC$400,_xlfn.TEXTJOIN(",",TRUE,$B43:$E43),SF_Output!$Q$1:$Q$400,"yearly")/R43))))</f>
        <v/>
      </c>
      <c r="T43" s="6">
        <f t="shared" si="3"/>
        <v>0</v>
      </c>
      <c r="V43" s="6" cm="1">
        <f t="array" ref="V43">_xlfn.IFS(B43="","",AND(B43&lt;&gt;"",H43=SF_Output!$Y$2,SUMIFS(SF_Output!$T$1:$T$400,SF_Output!$AC$1:$AC$400,_xlfn.TEXTJOIN(",",TRUE,B43:E43),SF_Output!$Q$1:$Q$400,"monthly")=0),(SUMIFS(SF_Output!$F$1:$F$400,SF_Output!$AC$1:$AC$400,_xlfn.TEXTJOIN(",",TRUE,B43:E43),SF_Output!$Q$1:$Q$400,"monthly")+SUMIFS(SF_Output!$G$1:$G$400,SF_Output!$AC$1:$AC$400,_xlfn.TEXTJOIN(",",TRUE,B43:E43),SF_Output!$Q$1:$Q$400,"monthly"))*H43,AND(B43&lt;&gt;"",H43=SF_Output!$Y$2,SUMIFS(SF_Output!$T$1:$T$400,SF_Output!$AC$1:$AC$400,_xlfn.TEXTJOIN(",",TRUE,B43:E43),SF_Output!$Q$1:$Q$400,"monthly")&lt;&gt;0),SUMIFS(SF_Output!$S$1:$S$400,SF_Output!$AC$1:$AC$400,_xlfn.TEXTJOIN(",",TRUE,B43:E43),SF_Output!$Q$1:$Q$400,"monthly"),AND(B43&lt;&gt;"",H43&lt;&gt;SF_Output!$Y$2),SUMIFS(SF_Output!$S$1:$S$400,SF_Output!$AC$1:$AC$400,_xlfn.TEXTJOIN(",",TRUE,B43:E43),SF_Output!$Q$1:$Q$400,"monthly"))</f>
        <v>0</v>
      </c>
      <c r="W43" s="112" t="str" cm="1">
        <f t="array" ref="W43">_xlfn.IFS(OR(B43=0,B43="",V43=0),"",AF43&lt;&gt;"exclusion",MAX($W$9,$W$7,(-(SUMIFS(SF_Output!$T$1:$T$400,SF_Output!$AC$1:$AC$400,_xlfn.TEXTJOIN(",",TRUE,$B43:$E43),SF_Output!$Q$1:$Q$400,"monthly"))/V43)),AF43="exclusion",-(SUMIFS(SF_Output!$T$1:$T$400,SF_Output!$AC$1:$AC$400,_xlfn.TEXTJOIN(",",TRUE,$B43:$E43),SF_Output!$Q$1:$Q$400,"monthly"))/V43)</f>
        <v/>
      </c>
      <c r="X43" s="6" cm="1">
        <f t="array" ref="X43">IFERROR(_xlfn.IFS(V43=0,0,V43="","",W43=0,V43,OR(V43&lt;&gt;0,V43&lt;&gt;""),H43*I43),V43*(1-W43))</f>
        <v>0</v>
      </c>
      <c r="Z43" s="6">
        <f>IFERROR(IF(B43="","",SUMIFS(Billing_Fallout!H:H,Billing_Fallout!N:N,B43)),0)</f>
        <v>0</v>
      </c>
      <c r="AA43" s="6">
        <f t="shared" si="4"/>
        <v>0</v>
      </c>
      <c r="AB43" s="6">
        <f>IFERROR(IF(B43="","",SUMIFS(Billing_Fallout!J:J,Billing_Fallout!N:N,B43)),0)</f>
        <v>0</v>
      </c>
      <c r="AD43" s="6">
        <f t="shared" si="5"/>
        <v>0</v>
      </c>
      <c r="AF43" t="str">
        <f>IFERROR(INDEX(H_Tables!$B$1:$B$1500,MATCH(INDEX(SF_Output!$J$1:$J$400,MATCH(B43,SF_Output!$M$1:$M$400,0)),H_Tables!$A$1:$A$1500,0)),"")</f>
        <v>Exclusion</v>
      </c>
      <c r="AI43" s="119" t="str">
        <f t="shared" si="6"/>
        <v/>
      </c>
      <c r="AJ43" s="121">
        <f>IFERROR(INDEX(SF_Output!AD:AD,MATCH(_xlfn.TEXTJOIN(",",TRUE,B43:E43),SF_Output!AC1:AC400,0)),0.05)</f>
        <v>62</v>
      </c>
      <c r="AK43" t="str">
        <f>IF(SUMIFS(SF_Output!$F$1:$F$400,SF_Output!$AC$1:$AC$400,_xlfn.TEXTJOIN(",",TRUE,B43:E43))+SUMIFS(SF_Output!$G$1:$G$400,SF_Output!$AC$1:$AC$400,_xlfn.TEXTJOIN(",",TRUE,B43:E43))=0,"","PAP")</f>
        <v/>
      </c>
      <c r="AL43" s="35" t="str">
        <f t="shared" si="7"/>
        <v>Digital Video Chat and Screen Sharing,New,Hosted by JHA,1</v>
      </c>
      <c r="AQ43" s="35"/>
      <c r="AR43" s="35" t="str" cm="1">
        <f t="array" ref="AR43">IFERROR(_xlfn.IFS(AND(E43*1=1,F43="Included"),"Change to Included",AND(E43*1=0,F43="Optional"),"Change to Optional",OR(B43="",F43="replaced"),""),"")</f>
        <v/>
      </c>
      <c r="AS43" s="35" t="str">
        <f t="shared" si="8"/>
        <v/>
      </c>
      <c r="AT43" s="35" t="str">
        <f t="shared" si="9"/>
        <v/>
      </c>
      <c r="AU43" s="35" t="str">
        <f t="shared" si="10"/>
        <v/>
      </c>
      <c r="AV43" s="35" t="str">
        <f t="shared" si="11"/>
        <v/>
      </c>
      <c r="AW43" s="35" t="str">
        <f t="shared" si="12"/>
        <v/>
      </c>
      <c r="AX43" s="35" t="str">
        <f t="shared" si="13"/>
        <v/>
      </c>
      <c r="AY43" s="35" t="str">
        <f t="shared" si="14"/>
        <v/>
      </c>
      <c r="AZ43" s="35" t="str">
        <f t="shared" si="15"/>
        <v/>
      </c>
      <c r="BA43" s="35" t="str">
        <f t="shared" si="16"/>
        <v/>
      </c>
      <c r="BB43" s="35" t="str">
        <f t="shared" si="17"/>
        <v/>
      </c>
      <c r="BC43" s="35"/>
      <c r="BE43" s="35">
        <f ca="1">INDEX(SF_Output!$AA$2:$AA$400,MATCH($B43,SF_Output!$M$2:$M$400,0))</f>
        <v>3</v>
      </c>
      <c r="BF43" s="35">
        <f ca="1">INDEX(SF_Output!$AB$2:$AB$400,MATCH($B43,SF_Output!$M$2:$M$400,0))</f>
        <v>1</v>
      </c>
    </row>
    <row r="44" spans="2:58" x14ac:dyDescent="0.25">
      <c r="B44" t="s">
        <v>1806</v>
      </c>
      <c r="C44" t="s">
        <v>2122</v>
      </c>
      <c r="D44" t="s">
        <v>2123</v>
      </c>
      <c r="E44" t="s">
        <v>2150</v>
      </c>
      <c r="F44" s="116" t="str">
        <f t="shared" si="0"/>
        <v>Optional</v>
      </c>
      <c r="G44" t="str">
        <f>IF(B44="","",INDEX(SF_Output!$K$1:$K$400,MATCH(B44,SF_Output!$M$1:$M$400,0)))</f>
        <v>Banno</v>
      </c>
      <c r="H44" cm="1">
        <f t="array" ref="H44">_xlfn.IFS(B44="","",(SUMIFS(SF_Output!$F$1:$F$400,SF_Output!$AC$1:$AC$400,_xlfn.TEXTJOIN(",",TRUE,B44:E44))+SUMIFS(SF_Output!$G$1:$G$400,SF_Output!$AC$1:$AC$400,_xlfn.TEXTJOIN(",",TRUE,B44:E44)))&lt;&gt;0,SF_Output!$Y$2,INDEX(SF_Output!$F$1:$F$400,MATCH(_xlfn.TEXTJOIN(",",TRUE,B44:E44),SF_Output!$AC$1:$AC$400,0))=0,INDEX(SF_Output!$R$1:$R$400,MATCH(_xlfn.TEXTJOIN(",",TRUE,B44:E44),SF_Output!$AC$1:$AC$400,0)))</f>
        <v>1</v>
      </c>
      <c r="I44" s="125" t="str">
        <f>IFERROR(IF(AND(H44&gt;1,H44&lt;&gt;""),ROUND(SUMIFS(SF_Output!$S$1:$S$400,SF_Output!$AC$1:$AC$400,_xlfn.TEXTJOIN(",",TRUE,B44:E44),SF_Output!$Q$1:$Q$400,"monthly")*(1-W44)/H44,4),""),"")</f>
        <v/>
      </c>
      <c r="J44" s="6">
        <f>IF(B44="","",SUMIFS(SF_Output!$S$1:$S$400,SF_Output!$AC$1:$AC$400,_xlfn.TEXTJOIN(",",TRUE,B44:E44),SF_Output!$Q$1:$Q$400,"One Time",SF_Output!$L$1:$L$400,"license fee")+SUMIFS(SF_Output!$S$1:$S$400,SF_Output!$AC$1:$AC$400,_xlfn.TEXTJOIN(",",TRUE,B44:E44),SF_Output!$Q$1:$Q$400,"One Time",SF_Output!$L$1:$L$400,"software license")+SUMIFS(SF_Output!$S$1:$S$400,SF_Output!$AC$1:$AC$400,_xlfn.TEXTJOIN(",",TRUE,B44:E44),SF_Output!$Q$1:$Q$400,"One Time",SF_Output!$L$1:$L$400,"hardware"))</f>
        <v>0</v>
      </c>
      <c r="K44" s="112" t="str">
        <f>IF(OR(B44=0,B44="",G44="hardware",J44=0),"",IF(AF44&lt;&gt;"exclusion",MAX(K$9,-((SUMIFS(SF_Output!$T$1:$T$400,SF_Output!$AC$1:$AC$400,_xlfn.TEXTJOIN(",",TRUE,$B44:$E44),SF_Output!$Q$1:$Q$400,"One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license"))/J44)))</f>
        <v/>
      </c>
      <c r="L44" s="6">
        <f t="shared" si="1"/>
        <v>0</v>
      </c>
      <c r="N44" s="6">
        <f>IF(B44="","",SUMIFS(SF_Output!$S$1:$S$400,SF_Output!$AC$1:$AC$400,_xlfn.TEXTJOIN(",",TRUE,B44:E44),SF_Output!$Q$1:$Q$400,"One Time",SF_Output!$L$1:$L$400,"professional service"))</f>
        <v>10000</v>
      </c>
      <c r="O44" s="112">
        <f>IF(OR(B44=0,B44="",N44=0),"",IF(AF44&lt;&gt;"exclusion",MAX(O$9,-(SUMIFS(SF_Output!$T$1:$T$400,SF_Output!$AC$1:$AC$400,_xlfn.TEXTJOIN(",",TRUE,$B44:$E44),SF_Output!$Q$1:$Q$400,"One Time",SF_Output!$L$1:$L$400,"professional service"))/N44),-((SUMIFS(SF_Output!$T$1:$T$400,SF_Output!$AC$1:$AC$400,_xlfn.TEXTJOIN(",",TRUE,$B44:$E44),SF_Output!$Q$1:$Q$400,"One Time",SF_Output!$L$1:$L$400,"professional service")/N44))))</f>
        <v>1</v>
      </c>
      <c r="P44" s="6">
        <f t="shared" si="2"/>
        <v>0</v>
      </c>
      <c r="R44" s="6">
        <f>IF(B44="","",SUMIFS(SF_Output!$S$1:$S$400,SF_Output!$AC$1:$AC$400,_xlfn.TEXTJOIN(",",TRUE,B44:E44),SF_Output!$Q$1:$Q$400,"yearly")+SUMIFS(SF_Output!$S$1:$S$400,SF_Output!$AC$1:$AC$400,_xlfn.TEXTJOIN(",",TRUE,B44:E44),SF_Output!$Q$1:$Q$400,"quarterly")*4)</f>
        <v>0</v>
      </c>
      <c r="S44" s="112" t="str">
        <f>IF(OR(B44=0,B44="",G44="hardware",R44=0),"",IF(AF44&lt;&gt;"exclusion",MAX(S$9,-(SUMIFS(SF_Output!$T$1:$T$400,SF_Output!$AC$1:$AC$400,_xlfn.TEXTJOIN(",",TRUE,$B44:$E44),SF_Output!$Q$1:$Q$400,"yearly"))/R44),-((SUMIFS(SF_Output!$T$1:$T$400,SF_Output!$AC$1:$AC$400,_xlfn.TEXTJOIN(",",TRUE,$B44:$E44),SF_Output!$Q$1:$Q$400,"yearly")/R44))))</f>
        <v/>
      </c>
      <c r="T44" s="6">
        <f t="shared" si="3"/>
        <v>0</v>
      </c>
      <c r="V44" s="6" cm="1">
        <f t="array" ref="V44">_xlfn.IFS(B44="","",AND(B44&lt;&gt;"",H44=SF_Output!$Y$2,SUMIFS(SF_Output!$T$1:$T$400,SF_Output!$AC$1:$AC$400,_xlfn.TEXTJOIN(",",TRUE,B44:E44),SF_Output!$Q$1:$Q$400,"monthly")=0),(SUMIFS(SF_Output!$F$1:$F$400,SF_Output!$AC$1:$AC$400,_xlfn.TEXTJOIN(",",TRUE,B44:E44),SF_Output!$Q$1:$Q$400,"monthly")+SUMIFS(SF_Output!$G$1:$G$400,SF_Output!$AC$1:$AC$400,_xlfn.TEXTJOIN(",",TRUE,B44:E44),SF_Output!$Q$1:$Q$400,"monthly"))*H44,AND(B44&lt;&gt;"",H44=SF_Output!$Y$2,SUMIFS(SF_Output!$T$1:$T$400,SF_Output!$AC$1:$AC$400,_xlfn.TEXTJOIN(",",TRUE,B44:E44),SF_Output!$Q$1:$Q$400,"monthly")&lt;&gt;0),SUMIFS(SF_Output!$S$1:$S$400,SF_Output!$AC$1:$AC$400,_xlfn.TEXTJOIN(",",TRUE,B44:E44),SF_Output!$Q$1:$Q$400,"monthly"),AND(B44&lt;&gt;"",H44&lt;&gt;SF_Output!$Y$2),SUMIFS(SF_Output!$S$1:$S$400,SF_Output!$AC$1:$AC$400,_xlfn.TEXTJOIN(",",TRUE,B44:E44),SF_Output!$Q$1:$Q$400,"monthly"))</f>
        <v>500</v>
      </c>
      <c r="W44" s="112" cm="1">
        <f t="array" ref="W44">_xlfn.IFS(OR(B44=0,B44="",V44=0),"",AF44&lt;&gt;"exclusion",MAX($W$9,$W$7,(-(SUMIFS(SF_Output!$T$1:$T$400,SF_Output!$AC$1:$AC$400,_xlfn.TEXTJOIN(",",TRUE,$B44:$E44),SF_Output!$Q$1:$Q$400,"monthly"))/V44)),AF44="exclusion",-(SUMIFS(SF_Output!$T$1:$T$400,SF_Output!$AC$1:$AC$400,_xlfn.TEXTJOIN(",",TRUE,$B44:$E44),SF_Output!$Q$1:$Q$400,"monthly"))/V44)</f>
        <v>0</v>
      </c>
      <c r="X44" s="6" cm="1">
        <f t="array" ref="X44">IFERROR(_xlfn.IFS(V44=0,0,V44="","",W44=0,V44,OR(V44&lt;&gt;0,V44&lt;&gt;""),H44*I44),V44*(1-W44))</f>
        <v>500</v>
      </c>
      <c r="Z44" s="6">
        <f>IFERROR(IF(B44="","",SUMIFS(Billing_Fallout!H:H,Billing_Fallout!N:N,B44)),0)</f>
        <v>0</v>
      </c>
      <c r="AA44" s="6">
        <f t="shared" si="4"/>
        <v>0</v>
      </c>
      <c r="AB44" s="6">
        <f>IFERROR(IF(B44="","",SUMIFS(Billing_Fallout!J:J,Billing_Fallout!N:N,B44)),0)</f>
        <v>0</v>
      </c>
      <c r="AD44" s="6">
        <f t="shared" si="5"/>
        <v>500</v>
      </c>
      <c r="AF44" t="str">
        <f>IFERROR(INDEX(H_Tables!$B$1:$B$1500,MATCH(INDEX(SF_Output!$J$1:$J$400,MATCH(B44,SF_Output!$M$1:$M$400,0)),H_Tables!$A$1:$A$1500,0)),"")</f>
        <v>Exclusion</v>
      </c>
      <c r="AI44" s="119" t="str">
        <f t="shared" si="6"/>
        <v/>
      </c>
      <c r="AJ44" s="121">
        <f>IFERROR(INDEX(SF_Output!AD:AD,MATCH(_xlfn.TEXTJOIN(",",TRUE,B44:E44),SF_Output!AC1:AC400,0)),0.05)</f>
        <v>64</v>
      </c>
      <c r="AK44" t="str">
        <f>IF(SUMIFS(SF_Output!$F$1:$F$400,SF_Output!$AC$1:$AC$400,_xlfn.TEXTJOIN(",",TRUE,B44:E44))+SUMIFS(SF_Output!$G$1:$G$400,SF_Output!$AC$1:$AC$400,_xlfn.TEXTJOIN(",",TRUE,B44:E44))=0,"","PAP")</f>
        <v/>
      </c>
      <c r="AL44" s="35" t="str">
        <f t="shared" si="7"/>
        <v>JH Online Financial Management with Account Aggregation,New,Hosted by JHA,1</v>
      </c>
      <c r="AQ44" s="35"/>
      <c r="AR44" s="35" t="str" cm="1">
        <f t="array" ref="AR44">IFERROR(_xlfn.IFS(AND(E44*1=1,F44="Included"),"Change to Included",AND(E44*1=0,F44="Optional"),"Change to Optional",OR(B44="",F44="replaced"),""),"")</f>
        <v/>
      </c>
      <c r="AS44" s="35" t="str">
        <f t="shared" si="8"/>
        <v/>
      </c>
      <c r="AT44" s="35" t="str">
        <f t="shared" si="9"/>
        <v/>
      </c>
      <c r="AU44" s="35" t="str">
        <f t="shared" si="10"/>
        <v/>
      </c>
      <c r="AV44" s="35" t="str">
        <f t="shared" si="11"/>
        <v/>
      </c>
      <c r="AW44" s="35" t="str">
        <f t="shared" si="12"/>
        <v/>
      </c>
      <c r="AX44" s="35" t="str">
        <f t="shared" si="13"/>
        <v/>
      </c>
      <c r="AY44" s="35" t="str">
        <f t="shared" si="14"/>
        <v/>
      </c>
      <c r="AZ44" s="35" t="str">
        <f t="shared" si="15"/>
        <v/>
      </c>
      <c r="BA44" s="35" t="str">
        <f t="shared" si="16"/>
        <v/>
      </c>
      <c r="BB44" s="35" t="str">
        <f t="shared" si="17"/>
        <v/>
      </c>
      <c r="BC44" s="35"/>
      <c r="BE44" s="35">
        <f ca="1">INDEX(SF_Output!$AA$2:$AA$400,MATCH($B44,SF_Output!$M$2:$M$400,0))</f>
        <v>3</v>
      </c>
      <c r="BF44" s="35">
        <f ca="1">INDEX(SF_Output!$AB$2:$AB$400,MATCH($B44,SF_Output!$M$2:$M$400,0))</f>
        <v>1</v>
      </c>
    </row>
    <row r="45" spans="2:58" x14ac:dyDescent="0.25">
      <c r="B45" t="s">
        <v>2226</v>
      </c>
      <c r="C45" t="s">
        <v>2122</v>
      </c>
      <c r="D45" t="s">
        <v>2207</v>
      </c>
      <c r="E45" t="s">
        <v>2124</v>
      </c>
      <c r="F45" s="116" t="str">
        <f t="shared" si="0"/>
        <v>Included</v>
      </c>
      <c r="G45" t="str">
        <f>IF(B45="","",INDEX(SF_Output!$K$1:$K$400,MATCH(B45,SF_Output!$M$1:$M$400,0)))</f>
        <v>Banno</v>
      </c>
      <c r="H45" cm="1">
        <f t="array" ref="H45">_xlfn.IFS(B45="","",(SUMIFS(SF_Output!$F$1:$F$400,SF_Output!$AC$1:$AC$400,_xlfn.TEXTJOIN(",",TRUE,B45:E45))+SUMIFS(SF_Output!$G$1:$G$400,SF_Output!$AC$1:$AC$400,_xlfn.TEXTJOIN(",",TRUE,B45:E45)))&lt;&gt;0,SF_Output!$Y$2,INDEX(SF_Output!$F$1:$F$400,MATCH(_xlfn.TEXTJOIN(",",TRUE,B45:E45),SF_Output!$AC$1:$AC$400,0))=0,INDEX(SF_Output!$R$1:$R$400,MATCH(_xlfn.TEXTJOIN(",",TRUE,B45:E45),SF_Output!$AC$1:$AC$400,0)))</f>
        <v>1</v>
      </c>
      <c r="I45" s="125" t="str">
        <f>IFERROR(IF(AND(H45&gt;1,H45&lt;&gt;""),ROUND(SUMIFS(SF_Output!$S$1:$S$400,SF_Output!$AC$1:$AC$400,_xlfn.TEXTJOIN(",",TRUE,B45:E45),SF_Output!$Q$1:$Q$400,"monthly")*(1-W45)/H45,4),""),"")</f>
        <v/>
      </c>
      <c r="J45" s="6">
        <f>IF(B45="","",SUMIFS(SF_Output!$S$1:$S$400,SF_Output!$AC$1:$AC$400,_xlfn.TEXTJOIN(",",TRUE,B45:E45),SF_Output!$Q$1:$Q$400,"One Time",SF_Output!$L$1:$L$400,"license fee")+SUMIFS(SF_Output!$S$1:$S$400,SF_Output!$AC$1:$AC$400,_xlfn.TEXTJOIN(",",TRUE,B45:E45),SF_Output!$Q$1:$Q$400,"One Time",SF_Output!$L$1:$L$400,"software license")+SUMIFS(SF_Output!$S$1:$S$400,SF_Output!$AC$1:$AC$400,_xlfn.TEXTJOIN(",",TRUE,B45:E45),SF_Output!$Q$1:$Q$400,"One Time",SF_Output!$L$1:$L$400,"hardware"))</f>
        <v>0</v>
      </c>
      <c r="K45" s="112" t="str">
        <f>IF(OR(B45=0,B45="",G45="hardware",J45=0),"",IF(AF45&lt;&gt;"exclusion",MAX(K$9,-((SUMIFS(SF_Output!$T$1:$T$400,SF_Output!$AC$1:$AC$400,_xlfn.TEXTJOIN(",",TRUE,$B45:$E45),SF_Output!$Q$1:$Q$400,"One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license"))/J45)))</f>
        <v/>
      </c>
      <c r="L45" s="6">
        <f t="shared" si="1"/>
        <v>0</v>
      </c>
      <c r="N45" s="6">
        <f>IF(B45="","",SUMIFS(SF_Output!$S$1:$S$400,SF_Output!$AC$1:$AC$400,_xlfn.TEXTJOIN(",",TRUE,B45:E45),SF_Output!$Q$1:$Q$400,"One Time",SF_Output!$L$1:$L$400,"professional service"))</f>
        <v>2000</v>
      </c>
      <c r="O45" s="112">
        <f>IF(OR(B45=0,B45="",N45=0),"",IF(AF45&lt;&gt;"exclusion",MAX(O$9,-(SUMIFS(SF_Output!$T$1:$T$400,SF_Output!$AC$1:$AC$400,_xlfn.TEXTJOIN(",",TRUE,$B45:$E45),SF_Output!$Q$1:$Q$400,"One Time",SF_Output!$L$1:$L$400,"professional service"))/N45),-((SUMIFS(SF_Output!$T$1:$T$400,SF_Output!$AC$1:$AC$400,_xlfn.TEXTJOIN(",",TRUE,$B45:$E45),SF_Output!$Q$1:$Q$400,"One Time",SF_Output!$L$1:$L$400,"professional service")/N45))))</f>
        <v>1</v>
      </c>
      <c r="P45" s="6">
        <f t="shared" si="2"/>
        <v>0</v>
      </c>
      <c r="R45" s="6">
        <f>IF(B45="","",SUMIFS(SF_Output!$S$1:$S$400,SF_Output!$AC$1:$AC$400,_xlfn.TEXTJOIN(",",TRUE,B45:E45),SF_Output!$Q$1:$Q$400,"yearly")+SUMIFS(SF_Output!$S$1:$S$400,SF_Output!$AC$1:$AC$400,_xlfn.TEXTJOIN(",",TRUE,B45:E45),SF_Output!$Q$1:$Q$400,"quarterly")*4)</f>
        <v>0</v>
      </c>
      <c r="S45" s="112" t="str">
        <f>IF(OR(B45=0,B45="",G45="hardware",R45=0),"",IF(AF45&lt;&gt;"exclusion",MAX(S$9,-(SUMIFS(SF_Output!$T$1:$T$400,SF_Output!$AC$1:$AC$400,_xlfn.TEXTJOIN(",",TRUE,$B45:$E45),SF_Output!$Q$1:$Q$400,"yearly"))/R45),-((SUMIFS(SF_Output!$T$1:$T$400,SF_Output!$AC$1:$AC$400,_xlfn.TEXTJOIN(",",TRUE,$B45:$E45),SF_Output!$Q$1:$Q$400,"yearly")/R45))))</f>
        <v/>
      </c>
      <c r="T45" s="6">
        <f t="shared" si="3"/>
        <v>0</v>
      </c>
      <c r="V45" s="6" cm="1">
        <f t="array" ref="V45">_xlfn.IFS(B45="","",AND(B45&lt;&gt;"",H45=SF_Output!$Y$2,SUMIFS(SF_Output!$T$1:$T$400,SF_Output!$AC$1:$AC$400,_xlfn.TEXTJOIN(",",TRUE,B45:E45),SF_Output!$Q$1:$Q$400,"monthly")=0),(SUMIFS(SF_Output!$F$1:$F$400,SF_Output!$AC$1:$AC$400,_xlfn.TEXTJOIN(",",TRUE,B45:E45),SF_Output!$Q$1:$Q$400,"monthly")+SUMIFS(SF_Output!$G$1:$G$400,SF_Output!$AC$1:$AC$400,_xlfn.TEXTJOIN(",",TRUE,B45:E45),SF_Output!$Q$1:$Q$400,"monthly"))*H45,AND(B45&lt;&gt;"",H45=SF_Output!$Y$2,SUMIFS(SF_Output!$T$1:$T$400,SF_Output!$AC$1:$AC$400,_xlfn.TEXTJOIN(",",TRUE,B45:E45),SF_Output!$Q$1:$Q$400,"monthly")&lt;&gt;0),SUMIFS(SF_Output!$S$1:$S$400,SF_Output!$AC$1:$AC$400,_xlfn.TEXTJOIN(",",TRUE,B45:E45),SF_Output!$Q$1:$Q$400,"monthly"),AND(B45&lt;&gt;"",H45&lt;&gt;SF_Output!$Y$2),SUMIFS(SF_Output!$S$1:$S$400,SF_Output!$AC$1:$AC$400,_xlfn.TEXTJOIN(",",TRUE,B45:E45),SF_Output!$Q$1:$Q$400,"monthly"))</f>
        <v>50</v>
      </c>
      <c r="W45" s="112" cm="1">
        <f t="array" ref="W45">_xlfn.IFS(OR(B45=0,B45="",V45=0),"",AF45&lt;&gt;"exclusion",MAX($W$9,$W$7,(-(SUMIFS(SF_Output!$T$1:$T$400,SF_Output!$AC$1:$AC$400,_xlfn.TEXTJOIN(",",TRUE,$B45:$E45),SF_Output!$Q$1:$Q$400,"monthly"))/V45)),AF45="exclusion",-(SUMIFS(SF_Output!$T$1:$T$400,SF_Output!$AC$1:$AC$400,_xlfn.TEXTJOIN(",",TRUE,$B45:$E45),SF_Output!$Q$1:$Q$400,"monthly"))/V45)</f>
        <v>0</v>
      </c>
      <c r="X45" s="6" cm="1">
        <f t="array" ref="X45">IFERROR(_xlfn.IFS(V45=0,0,V45="","",W45=0,V45,OR(V45&lt;&gt;0,V45&lt;&gt;""),H45*I45),V45*(1-W45))</f>
        <v>50</v>
      </c>
      <c r="Z45" s="6">
        <f>IFERROR(IF(B45="","",SUMIFS(Billing_Fallout!H:H,Billing_Fallout!N:N,B45)),0)</f>
        <v>0</v>
      </c>
      <c r="AA45" s="6">
        <f t="shared" si="4"/>
        <v>0</v>
      </c>
      <c r="AB45" s="6">
        <f>IFERROR(IF(B45="","",SUMIFS(Billing_Fallout!J:J,Billing_Fallout!N:N,B45)),0)</f>
        <v>0</v>
      </c>
      <c r="AD45" s="6">
        <f t="shared" si="5"/>
        <v>50</v>
      </c>
      <c r="AF45" t="str">
        <f>IFERROR(INDEX(H_Tables!$B$1:$B$1500,MATCH(INDEX(SF_Output!$J$1:$J$400,MATCH(B45,SF_Output!$M$1:$M$400,0)),H_Tables!$A$1:$A$1500,0)),"")</f>
        <v/>
      </c>
      <c r="AI45" s="119" t="str">
        <f t="shared" si="6"/>
        <v/>
      </c>
      <c r="AJ45" s="121">
        <f>IFERROR(INDEX(SF_Output!AD:AD,MATCH(_xlfn.TEXTJOIN(",",TRUE,B45:E45),SF_Output!AC1:AC400,0)),0.05)</f>
        <v>66</v>
      </c>
      <c r="AK45" t="str">
        <f>IF(SUMIFS(SF_Output!$F$1:$F$400,SF_Output!$AC$1:$AC$400,_xlfn.TEXTJOIN(",",TRUE,B45:E45))+SUMIFS(SF_Output!$G$1:$G$400,SF_Output!$AC$1:$AC$400,_xlfn.TEXTJOIN(",",TRUE,B45:E45))=0,"","PAP")</f>
        <v/>
      </c>
      <c r="AL45" s="35" t="str">
        <f t="shared" si="7"/>
        <v>Jack Henry Digital Card Issuance and Provisioning - Mastercard,New,Hosted by 3rd</v>
      </c>
      <c r="AQ45" s="35"/>
      <c r="AR45" s="35" t="str" cm="1">
        <f t="array" ref="AR45">IFERROR(_xlfn.IFS(AND(E45*1=1,F45="Included"),"Change to Included",AND(E45*1=0,F45="Optional"),"Change to Optional",OR(B45="",F45="replaced"),""),"")</f>
        <v/>
      </c>
      <c r="AS45" s="35" t="str">
        <f t="shared" si="8"/>
        <v/>
      </c>
      <c r="AT45" s="35" t="str">
        <f t="shared" si="9"/>
        <v/>
      </c>
      <c r="AU45" s="35" t="str">
        <f t="shared" si="10"/>
        <v/>
      </c>
      <c r="AV45" s="35" t="str">
        <f t="shared" si="11"/>
        <v/>
      </c>
      <c r="AW45" s="35" t="str">
        <f t="shared" si="12"/>
        <v/>
      </c>
      <c r="AX45" s="35" t="str">
        <f t="shared" si="13"/>
        <v/>
      </c>
      <c r="AY45" s="35" t="str">
        <f t="shared" si="14"/>
        <v/>
      </c>
      <c r="AZ45" s="35" t="str">
        <f t="shared" si="15"/>
        <v/>
      </c>
      <c r="BA45" s="35" t="str">
        <f t="shared" si="16"/>
        <v/>
      </c>
      <c r="BB45" s="35" t="str">
        <f t="shared" si="17"/>
        <v/>
      </c>
      <c r="BC45" s="35"/>
      <c r="BE45" s="35">
        <f ca="1">INDEX(SF_Output!$AA$2:$AA$400,MATCH($B45,SF_Output!$M$2:$M$400,0))</f>
        <v>3</v>
      </c>
      <c r="BF45" s="35">
        <f ca="1">INDEX(SF_Output!$AB$2:$AB$400,MATCH($B45,SF_Output!$M$2:$M$400,0))</f>
        <v>1</v>
      </c>
    </row>
    <row r="46" spans="2:58" x14ac:dyDescent="0.25">
      <c r="B46" t="s">
        <v>589</v>
      </c>
      <c r="C46" t="s">
        <v>2122</v>
      </c>
      <c r="D46" t="s">
        <v>2123</v>
      </c>
      <c r="E46" t="s">
        <v>2150</v>
      </c>
      <c r="F46" s="116" t="str">
        <f t="shared" si="0"/>
        <v>Optional</v>
      </c>
      <c r="G46" t="str">
        <f>IF(B46="","",INDEX(SF_Output!$K$1:$K$400,MATCH(B46,SF_Output!$M$1:$M$400,0)))</f>
        <v>Banno</v>
      </c>
      <c r="H46" cm="1">
        <f t="array" ref="H46">_xlfn.IFS(B46="","",(SUMIFS(SF_Output!$F$1:$F$400,SF_Output!$AC$1:$AC$400,_xlfn.TEXTJOIN(",",TRUE,B46:E46))+SUMIFS(SF_Output!$G$1:$G$400,SF_Output!$AC$1:$AC$400,_xlfn.TEXTJOIN(",",TRUE,B46:E46)))&lt;&gt;0,SF_Output!$Y$2,INDEX(SF_Output!$F$1:$F$400,MATCH(_xlfn.TEXTJOIN(",",TRUE,B46:E46),SF_Output!$AC$1:$AC$400,0))=0,INDEX(SF_Output!$R$1:$R$400,MATCH(_xlfn.TEXTJOIN(",",TRUE,B46:E46),SF_Output!$AC$1:$AC$400,0)))</f>
        <v>1</v>
      </c>
      <c r="I46" s="125" t="str">
        <f>IFERROR(IF(AND(H46&gt;1,H46&lt;&gt;""),ROUND(SUMIFS(SF_Output!$S$1:$S$400,SF_Output!$AC$1:$AC$400,_xlfn.TEXTJOIN(",",TRUE,B46:E46),SF_Output!$Q$1:$Q$400,"monthly")*(1-W46)/H46,4),""),"")</f>
        <v/>
      </c>
      <c r="J46" s="6">
        <f>IF(B46="","",SUMIFS(SF_Output!$S$1:$S$400,SF_Output!$AC$1:$AC$400,_xlfn.TEXTJOIN(",",TRUE,B46:E46),SF_Output!$Q$1:$Q$400,"One Time",SF_Output!$L$1:$L$400,"license fee")+SUMIFS(SF_Output!$S$1:$S$400,SF_Output!$AC$1:$AC$400,_xlfn.TEXTJOIN(",",TRUE,B46:E46),SF_Output!$Q$1:$Q$400,"One Time",SF_Output!$L$1:$L$400,"software license")+SUMIFS(SF_Output!$S$1:$S$400,SF_Output!$AC$1:$AC$400,_xlfn.TEXTJOIN(",",TRUE,B46:E46),SF_Output!$Q$1:$Q$400,"One Time",SF_Output!$L$1:$L$400,"hardware"))</f>
        <v>0</v>
      </c>
      <c r="K46" s="112" t="str">
        <f>IF(OR(B46=0,B46="",G46="hardware",J46=0),"",IF(AF46&lt;&gt;"exclusion",MAX(K$9,-((SUMIFS(SF_Output!$T$1:$T$400,SF_Output!$AC$1:$AC$400,_xlfn.TEXTJOIN(",",TRUE,$B46:$E46),SF_Output!$Q$1:$Q$400,"One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license"))/J46)))</f>
        <v/>
      </c>
      <c r="L46" s="6">
        <f t="shared" si="1"/>
        <v>0</v>
      </c>
      <c r="N46" s="6">
        <f>IF(B46="","",SUMIFS(SF_Output!$S$1:$S$400,SF_Output!$AC$1:$AC$400,_xlfn.TEXTJOIN(",",TRUE,B46:E46),SF_Output!$Q$1:$Q$400,"One Time",SF_Output!$L$1:$L$400,"professional service"))</f>
        <v>5000</v>
      </c>
      <c r="O46" s="112">
        <f>IF(OR(B46=0,B46="",N46=0),"",IF(AF46&lt;&gt;"exclusion",MAX(O$9,-(SUMIFS(SF_Output!$T$1:$T$400,SF_Output!$AC$1:$AC$400,_xlfn.TEXTJOIN(",",TRUE,$B46:$E46),SF_Output!$Q$1:$Q$400,"One Time",SF_Output!$L$1:$L$400,"professional service"))/N46),-((SUMIFS(SF_Output!$T$1:$T$400,SF_Output!$AC$1:$AC$400,_xlfn.TEXTJOIN(",",TRUE,$B46:$E46),SF_Output!$Q$1:$Q$400,"One Time",SF_Output!$L$1:$L$400,"professional service")/N46))))</f>
        <v>1</v>
      </c>
      <c r="P46" s="6">
        <f t="shared" si="2"/>
        <v>0</v>
      </c>
      <c r="R46" s="6">
        <f>IF(B46="","",SUMIFS(SF_Output!$S$1:$S$400,SF_Output!$AC$1:$AC$400,_xlfn.TEXTJOIN(",",TRUE,B46:E46),SF_Output!$Q$1:$Q$400,"yearly")+SUMIFS(SF_Output!$S$1:$S$400,SF_Output!$AC$1:$AC$400,_xlfn.TEXTJOIN(",",TRUE,B46:E46),SF_Output!$Q$1:$Q$400,"quarterly")*4)</f>
        <v>0</v>
      </c>
      <c r="S46" s="112" t="str">
        <f>IF(OR(B46=0,B46="",G46="hardware",R46=0),"",IF(AF46&lt;&gt;"exclusion",MAX(S$9,-(SUMIFS(SF_Output!$T$1:$T$400,SF_Output!$AC$1:$AC$400,_xlfn.TEXTJOIN(",",TRUE,$B46:$E46),SF_Output!$Q$1:$Q$400,"yearly"))/R46),-((SUMIFS(SF_Output!$T$1:$T$400,SF_Output!$AC$1:$AC$400,_xlfn.TEXTJOIN(",",TRUE,$B46:$E46),SF_Output!$Q$1:$Q$400,"yearly")/R46))))</f>
        <v/>
      </c>
      <c r="T46" s="6">
        <f t="shared" si="3"/>
        <v>0</v>
      </c>
      <c r="V46" s="6" cm="1">
        <f t="array" ref="V46">_xlfn.IFS(B46="","",AND(B46&lt;&gt;"",H46=SF_Output!$Y$2,SUMIFS(SF_Output!$T$1:$T$400,SF_Output!$AC$1:$AC$400,_xlfn.TEXTJOIN(",",TRUE,B46:E46),SF_Output!$Q$1:$Q$400,"monthly")=0),(SUMIFS(SF_Output!$F$1:$F$400,SF_Output!$AC$1:$AC$400,_xlfn.TEXTJOIN(",",TRUE,B46:E46),SF_Output!$Q$1:$Q$400,"monthly")+SUMIFS(SF_Output!$G$1:$G$400,SF_Output!$AC$1:$AC$400,_xlfn.TEXTJOIN(",",TRUE,B46:E46),SF_Output!$Q$1:$Q$400,"monthly"))*H46,AND(B46&lt;&gt;"",H46=SF_Output!$Y$2,SUMIFS(SF_Output!$T$1:$T$400,SF_Output!$AC$1:$AC$400,_xlfn.TEXTJOIN(",",TRUE,B46:E46),SF_Output!$Q$1:$Q$400,"monthly")&lt;&gt;0),SUMIFS(SF_Output!$S$1:$S$400,SF_Output!$AC$1:$AC$400,_xlfn.TEXTJOIN(",",TRUE,B46:E46),SF_Output!$Q$1:$Q$400,"monthly"),AND(B46&lt;&gt;"",H46&lt;&gt;SF_Output!$Y$2),SUMIFS(SF_Output!$S$1:$S$400,SF_Output!$AC$1:$AC$400,_xlfn.TEXTJOIN(",",TRUE,B46:E46),SF_Output!$Q$1:$Q$400,"monthly"))</f>
        <v>0</v>
      </c>
      <c r="W46" s="112" t="str" cm="1">
        <f t="array" ref="W46">_xlfn.IFS(OR(B46=0,B46="",V46=0),"",AF46&lt;&gt;"exclusion",MAX($W$9,$W$7,(-(SUMIFS(SF_Output!$T$1:$T$400,SF_Output!$AC$1:$AC$400,_xlfn.TEXTJOIN(",",TRUE,$B46:$E46),SF_Output!$Q$1:$Q$400,"monthly"))/V46)),AF46="exclusion",-(SUMIFS(SF_Output!$T$1:$T$400,SF_Output!$AC$1:$AC$400,_xlfn.TEXTJOIN(",",TRUE,$B46:$E46),SF_Output!$Q$1:$Q$400,"monthly"))/V46)</f>
        <v/>
      </c>
      <c r="X46" s="6" cm="1">
        <f t="array" ref="X46">IFERROR(_xlfn.IFS(V46=0,0,V46="","",W46=0,V46,OR(V46&lt;&gt;0,V46&lt;&gt;""),H46*I46),V46*(1-W46))</f>
        <v>0</v>
      </c>
      <c r="Z46" s="6">
        <f>IFERROR(IF(B46="","",SUMIFS(Billing_Fallout!H:H,Billing_Fallout!N:N,B46)),0)</f>
        <v>0</v>
      </c>
      <c r="AA46" s="6">
        <f t="shared" si="4"/>
        <v>0</v>
      </c>
      <c r="AB46" s="6">
        <f>IFERROR(IF(B46="","",SUMIFS(Billing_Fallout!J:J,Billing_Fallout!N:N,B46)),0)</f>
        <v>0</v>
      </c>
      <c r="AD46" s="6">
        <f t="shared" si="5"/>
        <v>0</v>
      </c>
      <c r="AF46" t="str">
        <f>IFERROR(INDEX(H_Tables!$B$1:$B$1500,MATCH(INDEX(SF_Output!$J$1:$J$400,MATCH(B46,SF_Output!$M$1:$M$400,0)),H_Tables!$A$1:$A$1500,0)),"")</f>
        <v>Exclusion</v>
      </c>
      <c r="AI46" s="119" t="str">
        <f t="shared" si="6"/>
        <v/>
      </c>
      <c r="AJ46" s="121">
        <f>IFERROR(INDEX(SF_Output!AD:AD,MATCH(_xlfn.TEXTJOIN(",",TRUE,B46:E46),SF_Output!AC1:AC400,0)),0.05)</f>
        <v>68</v>
      </c>
      <c r="AK46" t="str">
        <f>IF(SUMIFS(SF_Output!$F$1:$F$400,SF_Output!$AC$1:$AC$400,_xlfn.TEXTJOIN(",",TRUE,B46:E46))+SUMIFS(SF_Output!$G$1:$G$400,SF_Output!$AC$1:$AC$400,_xlfn.TEXTJOIN(",",TRUE,B46:E46))=0,"","PAP")</f>
        <v/>
      </c>
      <c r="AL46" s="35" t="str">
        <f t="shared" si="7"/>
        <v>Banno Marketing,New,Hosted by JHA,1</v>
      </c>
      <c r="AQ46" s="35"/>
      <c r="AR46" s="35" t="str" cm="1">
        <f t="array" ref="AR46">IFERROR(_xlfn.IFS(AND(E46*1=1,F46="Included"),"Change to Included",AND(E46*1=0,F46="Optional"),"Change to Optional",OR(B46="",F46="replaced"),""),"")</f>
        <v/>
      </c>
      <c r="AS46" s="35" t="str">
        <f t="shared" si="8"/>
        <v/>
      </c>
      <c r="AT46" s="35" t="str">
        <f t="shared" si="9"/>
        <v/>
      </c>
      <c r="AU46" s="35" t="str">
        <f t="shared" si="10"/>
        <v/>
      </c>
      <c r="AV46" s="35" t="str">
        <f t="shared" si="11"/>
        <v/>
      </c>
      <c r="AW46" s="35" t="str">
        <f t="shared" si="12"/>
        <v/>
      </c>
      <c r="AX46" s="35" t="str">
        <f t="shared" si="13"/>
        <v/>
      </c>
      <c r="AY46" s="35" t="str">
        <f t="shared" si="14"/>
        <v/>
      </c>
      <c r="AZ46" s="35" t="str">
        <f t="shared" si="15"/>
        <v/>
      </c>
      <c r="BA46" s="35" t="str">
        <f t="shared" si="16"/>
        <v/>
      </c>
      <c r="BB46" s="35" t="str">
        <f t="shared" si="17"/>
        <v/>
      </c>
      <c r="BC46" s="35"/>
      <c r="BE46" s="35">
        <f ca="1">INDEX(SF_Output!$AA$2:$AA$400,MATCH($B46,SF_Output!$M$2:$M$400,0))</f>
        <v>3</v>
      </c>
      <c r="BF46" s="35">
        <f ca="1">INDEX(SF_Output!$AB$2:$AB$400,MATCH($B46,SF_Output!$M$2:$M$400,0))</f>
        <v>1</v>
      </c>
    </row>
    <row r="47" spans="2:58" x14ac:dyDescent="0.25">
      <c r="B47" t="s">
        <v>604</v>
      </c>
      <c r="C47" t="s">
        <v>2122</v>
      </c>
      <c r="D47" t="s">
        <v>2123</v>
      </c>
      <c r="E47" t="s">
        <v>2124</v>
      </c>
      <c r="F47" s="116" t="str">
        <f t="shared" si="0"/>
        <v>Included</v>
      </c>
      <c r="G47" t="str">
        <f>IF(B47="","",INDEX(SF_Output!$K$1:$K$400,MATCH(B47,SF_Output!$M$1:$M$400,0)))</f>
        <v>Electronic Statements Interactive(ESI)</v>
      </c>
      <c r="H47" cm="1">
        <f t="array" ref="H47">_xlfn.IFS(B47="","",(SUMIFS(SF_Output!$F$1:$F$400,SF_Output!$AC$1:$AC$400,_xlfn.TEXTJOIN(",",TRUE,B47:E47))+SUMIFS(SF_Output!$G$1:$G$400,SF_Output!$AC$1:$AC$400,_xlfn.TEXTJOIN(",",TRUE,B47:E47)))&lt;&gt;0,SF_Output!$Y$2,INDEX(SF_Output!$F$1:$F$400,MATCH(_xlfn.TEXTJOIN(",",TRUE,B47:E47),SF_Output!$AC$1:$AC$400,0))=0,INDEX(SF_Output!$R$1:$R$400,MATCH(_xlfn.TEXTJOIN(",",TRUE,B47:E47),SF_Output!$AC$1:$AC$400,0)))</f>
        <v>5000</v>
      </c>
      <c r="I47" s="125">
        <f>IFERROR(IF(AND(H47&gt;1,H47&lt;&gt;""),ROUND(SUMIFS(SF_Output!$S$1:$S$400,SF_Output!$AC$1:$AC$400,_xlfn.TEXTJOIN(",",TRUE,B47:E47),SF_Output!$Q$1:$Q$400,"monthly")*(1-W47)/H47,4),""),"")</f>
        <v>2.1000000000000001E-2</v>
      </c>
      <c r="J47" s="6">
        <f>IF(B47="","",SUMIFS(SF_Output!$S$1:$S$400,SF_Output!$AC$1:$AC$400,_xlfn.TEXTJOIN(",",TRUE,B47:E47),SF_Output!$Q$1:$Q$400,"One Time",SF_Output!$L$1:$L$400,"license fee")+SUMIFS(SF_Output!$S$1:$S$400,SF_Output!$AC$1:$AC$400,_xlfn.TEXTJOIN(",",TRUE,B47:E47),SF_Output!$Q$1:$Q$400,"One Time",SF_Output!$L$1:$L$400,"software license")+SUMIFS(SF_Output!$S$1:$S$400,SF_Output!$AC$1:$AC$400,_xlfn.TEXTJOIN(",",TRUE,B47:E47),SF_Output!$Q$1:$Q$400,"One Time",SF_Output!$L$1:$L$400,"hardware"))</f>
        <v>0</v>
      </c>
      <c r="K47" s="112" t="str">
        <f>IF(OR(B47=0,B47="",G47="hardware",J47=0),"",IF(AF47&lt;&gt;"exclusion",MAX(K$9,-((SUMIFS(SF_Output!$T$1:$T$400,SF_Output!$AC$1:$AC$400,_xlfn.TEXTJOIN(",",TRUE,$B47:$E47),SF_Output!$Q$1:$Q$400,"One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license"))/J47)))</f>
        <v/>
      </c>
      <c r="L47" s="6">
        <f t="shared" si="1"/>
        <v>0</v>
      </c>
      <c r="N47" s="6">
        <f>IF(B47="","",SUMIFS(SF_Output!$S$1:$S$400,SF_Output!$AC$1:$AC$400,_xlfn.TEXTJOIN(",",TRUE,B47:E47),SF_Output!$Q$1:$Q$400,"One Time",SF_Output!$L$1:$L$400,"professional service"))</f>
        <v>1750</v>
      </c>
      <c r="O47" s="112">
        <f>IF(OR(B47=0,B47="",N47=0),"",IF(AF47&lt;&gt;"exclusion",MAX(O$9,-(SUMIFS(SF_Output!$T$1:$T$400,SF_Output!$AC$1:$AC$400,_xlfn.TEXTJOIN(",",TRUE,$B47:$E47),SF_Output!$Q$1:$Q$400,"One Time",SF_Output!$L$1:$L$400,"professional service"))/N47),-((SUMIFS(SF_Output!$T$1:$T$400,SF_Output!$AC$1:$AC$400,_xlfn.TEXTJOIN(",",TRUE,$B47:$E47),SF_Output!$Q$1:$Q$400,"One Time",SF_Output!$L$1:$L$400,"professional service")/N47))))</f>
        <v>1</v>
      </c>
      <c r="P47" s="6">
        <f t="shared" si="2"/>
        <v>0</v>
      </c>
      <c r="R47" s="6">
        <f>IF(B47="","",SUMIFS(SF_Output!$S$1:$S$400,SF_Output!$AC$1:$AC$400,_xlfn.TEXTJOIN(",",TRUE,B47:E47),SF_Output!$Q$1:$Q$400,"yearly")+SUMIFS(SF_Output!$S$1:$S$400,SF_Output!$AC$1:$AC$400,_xlfn.TEXTJOIN(",",TRUE,B47:E47),SF_Output!$Q$1:$Q$400,"quarterly")*4)</f>
        <v>0</v>
      </c>
      <c r="S47" s="112" t="str">
        <f>IF(OR(B47=0,B47="",G47="hardware",R47=0),"",IF(AF47&lt;&gt;"exclusion",MAX(S$9,-(SUMIFS(SF_Output!$T$1:$T$400,SF_Output!$AC$1:$AC$400,_xlfn.TEXTJOIN(",",TRUE,$B47:$E47),SF_Output!$Q$1:$Q$400,"yearly"))/R47),-((SUMIFS(SF_Output!$T$1:$T$400,SF_Output!$AC$1:$AC$400,_xlfn.TEXTJOIN(",",TRUE,$B47:$E47),SF_Output!$Q$1:$Q$400,"yearly")/R47))))</f>
        <v/>
      </c>
      <c r="T47" s="6">
        <f t="shared" si="3"/>
        <v>0</v>
      </c>
      <c r="V47" s="6" cm="1">
        <f t="array" ref="V47">_xlfn.IFS(B47="","",AND(B47&lt;&gt;"",H47=SF_Output!$Y$2,SUMIFS(SF_Output!$T$1:$T$400,SF_Output!$AC$1:$AC$400,_xlfn.TEXTJOIN(",",TRUE,B47:E47),SF_Output!$Q$1:$Q$400,"monthly")=0),(SUMIFS(SF_Output!$F$1:$F$400,SF_Output!$AC$1:$AC$400,_xlfn.TEXTJOIN(",",TRUE,B47:E47),SF_Output!$Q$1:$Q$400,"monthly")+SUMIFS(SF_Output!$G$1:$G$400,SF_Output!$AC$1:$AC$400,_xlfn.TEXTJOIN(",",TRUE,B47:E47),SF_Output!$Q$1:$Q$400,"monthly"))*H47,AND(B47&lt;&gt;"",H47=SF_Output!$Y$2,SUMIFS(SF_Output!$T$1:$T$400,SF_Output!$AC$1:$AC$400,_xlfn.TEXTJOIN(",",TRUE,B47:E47),SF_Output!$Q$1:$Q$400,"monthly")&lt;&gt;0),SUMIFS(SF_Output!$S$1:$S$400,SF_Output!$AC$1:$AC$400,_xlfn.TEXTJOIN(",",TRUE,B47:E47),SF_Output!$Q$1:$Q$400,"monthly"),AND(B47&lt;&gt;"",H47&lt;&gt;SF_Output!$Y$2),SUMIFS(SF_Output!$S$1:$S$400,SF_Output!$AC$1:$AC$400,_xlfn.TEXTJOIN(",",TRUE,B47:E47),SF_Output!$Q$1:$Q$400,"monthly"))</f>
        <v>140</v>
      </c>
      <c r="W47" s="112" cm="1">
        <f t="array" ref="W47">_xlfn.IFS(OR(B47=0,B47="",V47=0),"",AF47&lt;&gt;"exclusion",MAX($W$9,$W$7,(-(SUMIFS(SF_Output!$T$1:$T$400,SF_Output!$AC$1:$AC$400,_xlfn.TEXTJOIN(",",TRUE,$B47:$E47),SF_Output!$Q$1:$Q$400,"monthly"))/V47)),AF47="exclusion",-(SUMIFS(SF_Output!$T$1:$T$400,SF_Output!$AC$1:$AC$400,_xlfn.TEXTJOIN(",",TRUE,$B47:$E47),SF_Output!$Q$1:$Q$400,"monthly"))/V47)</f>
        <v>0.25</v>
      </c>
      <c r="X47" s="6" cm="1">
        <f t="array" ref="X47">IFERROR(_xlfn.IFS(V47=0,0,V47="","",W47=0,V47,OR(V47&lt;&gt;0,V47&lt;&gt;""),H47*I47),V47*(1-W47))</f>
        <v>105</v>
      </c>
      <c r="Z47" s="6">
        <f>IFERROR(IF(B47="","",SUMIFS(Billing_Fallout!H:H,Billing_Fallout!N:N,B47)),0)</f>
        <v>0</v>
      </c>
      <c r="AA47" s="6">
        <f t="shared" si="4"/>
        <v>0</v>
      </c>
      <c r="AB47" s="6">
        <f>IFERROR(IF(B47="","",SUMIFS(Billing_Fallout!J:J,Billing_Fallout!N:N,B47)),0)</f>
        <v>0</v>
      </c>
      <c r="AD47" s="6">
        <f t="shared" si="5"/>
        <v>105</v>
      </c>
      <c r="AF47" t="str">
        <f>IFERROR(INDEX(H_Tables!$B$1:$B$1500,MATCH(INDEX(SF_Output!$J$1:$J$400,MATCH(B47,SF_Output!$M$1:$M$400,0)),H_Tables!$A$1:$A$1500,0)),"")</f>
        <v/>
      </c>
      <c r="AI47" s="119" t="str">
        <f t="shared" si="6"/>
        <v/>
      </c>
      <c r="AJ47" s="121">
        <f>IFERROR(INDEX(SF_Output!AD:AD,MATCH(_xlfn.TEXTJOIN(",",TRUE,B47:E47),SF_Output!AC1:AC400,0)),0.05)</f>
        <v>77</v>
      </c>
      <c r="AK47" t="str">
        <f>IF(SUMIFS(SF_Output!$F$1:$F$400,SF_Output!$AC$1:$AC$400,_xlfn.TEXTJOIN(",",TRUE,B47:E47))+SUMIFS(SF_Output!$G$1:$G$400,SF_Output!$AC$1:$AC$400,_xlfn.TEXTJOIN(",",TRUE,B47:E47))=0,"","PAP")</f>
        <v>PAP</v>
      </c>
      <c r="AL47" s="35" t="str">
        <f t="shared" si="7"/>
        <v>Electronic Statement Interactive (ESI),New,Hosted by JHA,0</v>
      </c>
      <c r="AQ47" s="35"/>
      <c r="AR47" s="35" t="str" cm="1">
        <f t="array" ref="AR47">IFERROR(_xlfn.IFS(AND(E47*1=1,F47="Included"),"Change to Included",AND(E47*1=0,F47="Optional"),"Change to Optional",OR(B47="",F47="replaced"),""),"")</f>
        <v/>
      </c>
      <c r="AS47" s="35" t="str">
        <f t="shared" si="8"/>
        <v/>
      </c>
      <c r="AT47" s="35" t="str">
        <f t="shared" si="9"/>
        <v/>
      </c>
      <c r="AU47" s="35" t="str">
        <f t="shared" si="10"/>
        <v/>
      </c>
      <c r="AV47" s="35" t="str">
        <f t="shared" si="11"/>
        <v/>
      </c>
      <c r="AW47" s="35" t="str">
        <f t="shared" si="12"/>
        <v/>
      </c>
      <c r="AX47" s="35" t="str">
        <f t="shared" si="13"/>
        <v/>
      </c>
      <c r="AY47" s="35" t="str">
        <f t="shared" si="14"/>
        <v/>
      </c>
      <c r="AZ47" s="35" t="str">
        <f t="shared" si="15"/>
        <v/>
      </c>
      <c r="BA47" s="35" t="str">
        <f t="shared" si="16"/>
        <v/>
      </c>
      <c r="BB47" s="35" t="str">
        <f t="shared" si="17"/>
        <v/>
      </c>
      <c r="BC47" s="35"/>
      <c r="BE47" s="35">
        <f ca="1">INDEX(SF_Output!$AA$2:$AA$400,MATCH($B47,SF_Output!$M$2:$M$400,0))</f>
        <v>3</v>
      </c>
      <c r="BF47" s="35">
        <f ca="1">INDEX(SF_Output!$AB$2:$AB$400,MATCH($B47,SF_Output!$M$2:$M$400,0))</f>
        <v>2</v>
      </c>
    </row>
    <row r="48" spans="2:58" x14ac:dyDescent="0.25">
      <c r="B48" t="s">
        <v>1150</v>
      </c>
      <c r="C48" t="s">
        <v>2122</v>
      </c>
      <c r="D48" t="s">
        <v>2164</v>
      </c>
      <c r="E48" t="s">
        <v>2124</v>
      </c>
      <c r="F48" s="116" t="str">
        <f t="shared" si="0"/>
        <v>Included</v>
      </c>
      <c r="G48" t="str">
        <f>IF(B48="","",INDEX(SF_Output!$K$1:$K$400,MATCH(B48,SF_Output!$M$1:$M$400,0)))</f>
        <v>Intuit</v>
      </c>
      <c r="H48" cm="1">
        <f t="array" ref="H48">_xlfn.IFS(B48="","",(SUMIFS(SF_Output!$F$1:$F$400,SF_Output!$AC$1:$AC$400,_xlfn.TEXTJOIN(",",TRUE,B48:E48))+SUMIFS(SF_Output!$G$1:$G$400,SF_Output!$AC$1:$AC$400,_xlfn.TEXTJOIN(",",TRUE,B48:E48)))&lt;&gt;0,SF_Output!$Y$2,INDEX(SF_Output!$F$1:$F$400,MATCH(_xlfn.TEXTJOIN(",",TRUE,B48:E48),SF_Output!$AC$1:$AC$400,0))=0,INDEX(SF_Output!$R$1:$R$400,MATCH(_xlfn.TEXTJOIN(",",TRUE,B48:E48),SF_Output!$AC$1:$AC$400,0)))</f>
        <v>1</v>
      </c>
      <c r="I48" s="125" t="str">
        <f>IFERROR(IF(AND(H48&gt;1,H48&lt;&gt;""),ROUND(SUMIFS(SF_Output!$S$1:$S$400,SF_Output!$AC$1:$AC$400,_xlfn.TEXTJOIN(",",TRUE,B48:E48),SF_Output!$Q$1:$Q$400,"monthly")*(1-W48)/H48,4),""),"")</f>
        <v/>
      </c>
      <c r="J48" s="6">
        <f>IF(B48="","",SUMIFS(SF_Output!$S$1:$S$400,SF_Output!$AC$1:$AC$400,_xlfn.TEXTJOIN(",",TRUE,B48:E48),SF_Output!$Q$1:$Q$400,"One Time",SF_Output!$L$1:$L$400,"license fee")+SUMIFS(SF_Output!$S$1:$S$400,SF_Output!$AC$1:$AC$400,_xlfn.TEXTJOIN(",",TRUE,B48:E48),SF_Output!$Q$1:$Q$400,"One Time",SF_Output!$L$1:$L$400,"software license")+SUMIFS(SF_Output!$S$1:$S$400,SF_Output!$AC$1:$AC$400,_xlfn.TEXTJOIN(",",TRUE,B48:E48),SF_Output!$Q$1:$Q$400,"One Time",SF_Output!$L$1:$L$400,"hardware"))</f>
        <v>0</v>
      </c>
      <c r="K48" s="112" t="str">
        <f>IF(OR(B48=0,B48="",G48="hardware",J48=0),"",IF(AF48&lt;&gt;"exclusion",MAX(K$9,-((SUMIFS(SF_Output!$T$1:$T$400,SF_Output!$AC$1:$AC$400,_xlfn.TEXTJOIN(",",TRUE,$B48:$E48),SF_Output!$Q$1:$Q$400,"One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license"))/J48)))</f>
        <v/>
      </c>
      <c r="L48" s="6">
        <f t="shared" si="1"/>
        <v>0</v>
      </c>
      <c r="N48" s="6">
        <f>IF(B48="","",SUMIFS(SF_Output!$S$1:$S$400,SF_Output!$AC$1:$AC$400,_xlfn.TEXTJOIN(",",TRUE,B48:E48),SF_Output!$Q$1:$Q$400,"One Time",SF_Output!$L$1:$L$400,"professional service"))</f>
        <v>0</v>
      </c>
      <c r="O48" s="112" t="str">
        <f>IF(OR(B48=0,B48="",N48=0),"",IF(AF48&lt;&gt;"exclusion",MAX(O$9,-(SUMIFS(SF_Output!$T$1:$T$400,SF_Output!$AC$1:$AC$400,_xlfn.TEXTJOIN(",",TRUE,$B48:$E48),SF_Output!$Q$1:$Q$400,"One Time",SF_Output!$L$1:$L$400,"professional service"))/N48),-((SUMIFS(SF_Output!$T$1:$T$400,SF_Output!$AC$1:$AC$400,_xlfn.TEXTJOIN(",",TRUE,$B48:$E48),SF_Output!$Q$1:$Q$400,"One Time",SF_Output!$L$1:$L$400,"professional service")/N48))))</f>
        <v/>
      </c>
      <c r="P48" s="6">
        <f t="shared" si="2"/>
        <v>0</v>
      </c>
      <c r="R48" s="6">
        <f>IF(B48="","",SUMIFS(SF_Output!$S$1:$S$400,SF_Output!$AC$1:$AC$400,_xlfn.TEXTJOIN(",",TRUE,B48:E48),SF_Output!$Q$1:$Q$400,"yearly")+SUMIFS(SF_Output!$S$1:$S$400,SF_Output!$AC$1:$AC$400,_xlfn.TEXTJOIN(",",TRUE,B48:E48),SF_Output!$Q$1:$Q$400,"quarterly")*4)</f>
        <v>0</v>
      </c>
      <c r="S48" s="112" t="str">
        <f>IF(OR(B48=0,B48="",G48="hardware",R48=0),"",IF(AF48&lt;&gt;"exclusion",MAX(S$9,-(SUMIFS(SF_Output!$T$1:$T$400,SF_Output!$AC$1:$AC$400,_xlfn.TEXTJOIN(",",TRUE,$B48:$E48),SF_Output!$Q$1:$Q$400,"yearly"))/R48),-((SUMIFS(SF_Output!$T$1:$T$400,SF_Output!$AC$1:$AC$400,_xlfn.TEXTJOIN(",",TRUE,$B48:$E48),SF_Output!$Q$1:$Q$400,"yearly")/R48))))</f>
        <v/>
      </c>
      <c r="T48" s="6">
        <f t="shared" si="3"/>
        <v>0</v>
      </c>
      <c r="V48" s="6" cm="1">
        <f t="array" ref="V48">_xlfn.IFS(B48="","",AND(B48&lt;&gt;"",H48=SF_Output!$Y$2,SUMIFS(SF_Output!$T$1:$T$400,SF_Output!$AC$1:$AC$400,_xlfn.TEXTJOIN(",",TRUE,B48:E48),SF_Output!$Q$1:$Q$400,"monthly")=0),(SUMIFS(SF_Output!$F$1:$F$400,SF_Output!$AC$1:$AC$400,_xlfn.TEXTJOIN(",",TRUE,B48:E48),SF_Output!$Q$1:$Q$400,"monthly")+SUMIFS(SF_Output!$G$1:$G$400,SF_Output!$AC$1:$AC$400,_xlfn.TEXTJOIN(",",TRUE,B48:E48),SF_Output!$Q$1:$Q$400,"monthly"))*H48,AND(B48&lt;&gt;"",H48=SF_Output!$Y$2,SUMIFS(SF_Output!$T$1:$T$400,SF_Output!$AC$1:$AC$400,_xlfn.TEXTJOIN(",",TRUE,B48:E48),SF_Output!$Q$1:$Q$400,"monthly")&lt;&gt;0),SUMIFS(SF_Output!$S$1:$S$400,SF_Output!$AC$1:$AC$400,_xlfn.TEXTJOIN(",",TRUE,B48:E48),SF_Output!$Q$1:$Q$400,"monthly"),AND(B48&lt;&gt;"",H48&lt;&gt;SF_Output!$Y$2),SUMIFS(SF_Output!$S$1:$S$400,SF_Output!$AC$1:$AC$400,_xlfn.TEXTJOIN(",",TRUE,B48:E48),SF_Output!$Q$1:$Q$400,"monthly"))</f>
        <v>0</v>
      </c>
      <c r="W48" s="112" t="str" cm="1">
        <f t="array" ref="W48">_xlfn.IFS(OR(B48=0,B48="",V48=0),"",AF48&lt;&gt;"exclusion",MAX($W$9,$W$7,(-(SUMIFS(SF_Output!$T$1:$T$400,SF_Output!$AC$1:$AC$400,_xlfn.TEXTJOIN(",",TRUE,$B48:$E48),SF_Output!$Q$1:$Q$400,"monthly"))/V48)),AF48="exclusion",-(SUMIFS(SF_Output!$T$1:$T$400,SF_Output!$AC$1:$AC$400,_xlfn.TEXTJOIN(",",TRUE,$B48:$E48),SF_Output!$Q$1:$Q$400,"monthly"))/V48)</f>
        <v/>
      </c>
      <c r="X48" s="6" cm="1">
        <f t="array" ref="X48">IFERROR(_xlfn.IFS(V48=0,0,V48="","",W48=0,V48,OR(V48&lt;&gt;0,V48&lt;&gt;""),H48*I48),V48*(1-W48))</f>
        <v>0</v>
      </c>
      <c r="Z48" s="6">
        <f>IFERROR(IF(B48="","",SUMIFS(Billing_Fallout!H:H,Billing_Fallout!N:N,B48)),0)</f>
        <v>0</v>
      </c>
      <c r="AA48" s="6">
        <f t="shared" si="4"/>
        <v>0</v>
      </c>
      <c r="AB48" s="6">
        <f>IFERROR(IF(B48="","",SUMIFS(Billing_Fallout!J:J,Billing_Fallout!N:N,B48)),0)</f>
        <v>0</v>
      </c>
      <c r="AD48" s="6">
        <f t="shared" si="5"/>
        <v>0</v>
      </c>
      <c r="AF48" t="str">
        <f>IFERROR(INDEX(H_Tables!$B$1:$B$1500,MATCH(INDEX(SF_Output!$J$1:$J$400,MATCH(B48,SF_Output!$M$1:$M$400,0)),H_Tables!$A$1:$A$1500,0)),"")</f>
        <v>Exclusion</v>
      </c>
      <c r="AI48" s="119" t="str">
        <f t="shared" si="6"/>
        <v/>
      </c>
      <c r="AJ48" s="121">
        <f>IFERROR(INDEX(SF_Output!AD:AD,MATCH(_xlfn.TEXTJOIN(",",TRUE,B48:E48),SF_Output!AC1:AC400,0)),0.05)</f>
        <v>79</v>
      </c>
      <c r="AK48" t="str">
        <f>IF(SUMIFS(SF_Output!$F$1:$F$400,SF_Output!$AC$1:$AC$400,_xlfn.TEXTJOIN(",",TRUE,B48:E48))+SUMIFS(SF_Output!$G$1:$G$400,SF_Output!$AC$1:$AC$400,_xlfn.TEXTJOIN(",",TRUE,B48:E48))=0,"","PAP")</f>
        <v/>
      </c>
      <c r="AL48" s="35" t="str">
        <f t="shared" si="7"/>
        <v>Intuit Connectivity for QuickBooks Current Release,New,On Premise License,0</v>
      </c>
      <c r="AQ48" s="35"/>
      <c r="AR48" s="35" t="str" cm="1">
        <f t="array" ref="AR48">IFERROR(_xlfn.IFS(AND(E48*1=1,F48="Included"),"Change to Included",AND(E48*1=0,F48="Optional"),"Change to Optional",OR(B48="",F48="replaced"),""),"")</f>
        <v/>
      </c>
      <c r="AS48" s="35" t="str">
        <f t="shared" si="8"/>
        <v/>
      </c>
      <c r="AT48" s="35" t="str">
        <f t="shared" si="9"/>
        <v/>
      </c>
      <c r="AU48" s="35" t="str">
        <f t="shared" si="10"/>
        <v/>
      </c>
      <c r="AV48" s="35" t="str">
        <f t="shared" si="11"/>
        <v/>
      </c>
      <c r="AW48" s="35" t="str">
        <f t="shared" si="12"/>
        <v/>
      </c>
      <c r="AX48" s="35" t="str">
        <f t="shared" si="13"/>
        <v/>
      </c>
      <c r="AY48" s="35" t="str">
        <f t="shared" si="14"/>
        <v/>
      </c>
      <c r="AZ48" s="35" t="str">
        <f t="shared" si="15"/>
        <v/>
      </c>
      <c r="BA48" s="35" t="str">
        <f t="shared" si="16"/>
        <v/>
      </c>
      <c r="BB48" s="35" t="str">
        <f t="shared" si="17"/>
        <v/>
      </c>
      <c r="BC48" s="35"/>
      <c r="BE48" s="35">
        <f ca="1">INDEX(SF_Output!$AA$2:$AA$400,MATCH($B48,SF_Output!$M$2:$M$400,0))</f>
        <v>3</v>
      </c>
      <c r="BF48" s="35">
        <f ca="1">INDEX(SF_Output!$AB$2:$AB$400,MATCH($B48,SF_Output!$M$2:$M$400,0))</f>
        <v>3</v>
      </c>
    </row>
    <row r="49" spans="2:58" x14ac:dyDescent="0.25">
      <c r="B49" t="s">
        <v>1154</v>
      </c>
      <c r="C49" t="s">
        <v>2122</v>
      </c>
      <c r="D49" t="s">
        <v>2164</v>
      </c>
      <c r="E49" t="s">
        <v>2124</v>
      </c>
      <c r="F49" s="116" t="str">
        <f t="shared" si="0"/>
        <v>Included</v>
      </c>
      <c r="G49" t="str">
        <f>IF(B49="","",INDEX(SF_Output!$K$1:$K$400,MATCH(B49,SF_Output!$M$1:$M$400,0)))</f>
        <v>Intuit</v>
      </c>
      <c r="H49" cm="1">
        <f t="array" ref="H49">_xlfn.IFS(B49="","",(SUMIFS(SF_Output!$F$1:$F$400,SF_Output!$AC$1:$AC$400,_xlfn.TEXTJOIN(",",TRUE,B49:E49))+SUMIFS(SF_Output!$G$1:$G$400,SF_Output!$AC$1:$AC$400,_xlfn.TEXTJOIN(",",TRUE,B49:E49)))&lt;&gt;0,SF_Output!$Y$2,INDEX(SF_Output!$F$1:$F$400,MATCH(_xlfn.TEXTJOIN(",",TRUE,B49:E49),SF_Output!$AC$1:$AC$400,0))=0,INDEX(SF_Output!$R$1:$R$400,MATCH(_xlfn.TEXTJOIN(",",TRUE,B49:E49),SF_Output!$AC$1:$AC$400,0)))</f>
        <v>1</v>
      </c>
      <c r="I49" s="125" t="str">
        <f>IFERROR(IF(AND(H49&gt;1,H49&lt;&gt;""),ROUND(SUMIFS(SF_Output!$S$1:$S$400,SF_Output!$AC$1:$AC$400,_xlfn.TEXTJOIN(",",TRUE,B49:E49),SF_Output!$Q$1:$Q$400,"monthly")*(1-W49)/H49,4),""),"")</f>
        <v/>
      </c>
      <c r="J49" s="6">
        <f>IF(B49="","",SUMIFS(SF_Output!$S$1:$S$400,SF_Output!$AC$1:$AC$400,_xlfn.TEXTJOIN(",",TRUE,B49:E49),SF_Output!$Q$1:$Q$400,"One Time",SF_Output!$L$1:$L$400,"license fee")+SUMIFS(SF_Output!$S$1:$S$400,SF_Output!$AC$1:$AC$400,_xlfn.TEXTJOIN(",",TRUE,B49:E49),SF_Output!$Q$1:$Q$400,"One Time",SF_Output!$L$1:$L$400,"software license")+SUMIFS(SF_Output!$S$1:$S$400,SF_Output!$AC$1:$AC$400,_xlfn.TEXTJOIN(",",TRUE,B49:E49),SF_Output!$Q$1:$Q$400,"One Time",SF_Output!$L$1:$L$400,"hardware"))</f>
        <v>0</v>
      </c>
      <c r="K49" s="112" t="str">
        <f>IF(OR(B49=0,B49="",G49="hardware",J49=0),"",IF(AF49&lt;&gt;"exclusion",MAX(K$9,-((SUMIFS(SF_Output!$T$1:$T$400,SF_Output!$AC$1:$AC$400,_xlfn.TEXTJOIN(",",TRUE,$B49:$E49),SF_Output!$Q$1:$Q$400,"One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license"))/J49)))</f>
        <v/>
      </c>
      <c r="L49" s="6">
        <f t="shared" si="1"/>
        <v>0</v>
      </c>
      <c r="N49" s="6">
        <f>IF(B49="","",SUMIFS(SF_Output!$S$1:$S$400,SF_Output!$AC$1:$AC$400,_xlfn.TEXTJOIN(",",TRUE,B49:E49),SF_Output!$Q$1:$Q$400,"One Time",SF_Output!$L$1:$L$400,"professional service"))</f>
        <v>0</v>
      </c>
      <c r="O49" s="112" t="str">
        <f>IF(OR(B49=0,B49="",N49=0),"",IF(AF49&lt;&gt;"exclusion",MAX(O$9,-(SUMIFS(SF_Output!$T$1:$T$400,SF_Output!$AC$1:$AC$400,_xlfn.TEXTJOIN(",",TRUE,$B49:$E49),SF_Output!$Q$1:$Q$400,"One Time",SF_Output!$L$1:$L$400,"professional service"))/N49),-((SUMIFS(SF_Output!$T$1:$T$400,SF_Output!$AC$1:$AC$400,_xlfn.TEXTJOIN(",",TRUE,$B49:$E49),SF_Output!$Q$1:$Q$400,"One Time",SF_Output!$L$1:$L$400,"professional service")/N49))))</f>
        <v/>
      </c>
      <c r="P49" s="6">
        <f t="shared" si="2"/>
        <v>0</v>
      </c>
      <c r="R49" s="6">
        <f>IF(B49="","",SUMIFS(SF_Output!$S$1:$S$400,SF_Output!$AC$1:$AC$400,_xlfn.TEXTJOIN(",",TRUE,B49:E49),SF_Output!$Q$1:$Q$400,"yearly")+SUMIFS(SF_Output!$S$1:$S$400,SF_Output!$AC$1:$AC$400,_xlfn.TEXTJOIN(",",TRUE,B49:E49),SF_Output!$Q$1:$Q$400,"quarterly")*4)</f>
        <v>500</v>
      </c>
      <c r="S49" s="112">
        <f>IF(OR(B49=0,B49="",G49="hardware",R49=0),"",IF(AF49&lt;&gt;"exclusion",MAX(S$9,-(SUMIFS(SF_Output!$T$1:$T$400,SF_Output!$AC$1:$AC$400,_xlfn.TEXTJOIN(",",TRUE,$B49:$E49),SF_Output!$Q$1:$Q$400,"yearly"))/R49),-((SUMIFS(SF_Output!$T$1:$T$400,SF_Output!$AC$1:$AC$400,_xlfn.TEXTJOIN(",",TRUE,$B49:$E49),SF_Output!$Q$1:$Q$400,"yearly")/R49))))</f>
        <v>0</v>
      </c>
      <c r="T49" s="6">
        <f t="shared" si="3"/>
        <v>500</v>
      </c>
      <c r="V49" s="6" cm="1">
        <f t="array" ref="V49">_xlfn.IFS(B49="","",AND(B49&lt;&gt;"",H49=SF_Output!$Y$2,SUMIFS(SF_Output!$T$1:$T$400,SF_Output!$AC$1:$AC$400,_xlfn.TEXTJOIN(",",TRUE,B49:E49),SF_Output!$Q$1:$Q$400,"monthly")=0),(SUMIFS(SF_Output!$F$1:$F$400,SF_Output!$AC$1:$AC$400,_xlfn.TEXTJOIN(",",TRUE,B49:E49),SF_Output!$Q$1:$Q$400,"monthly")+SUMIFS(SF_Output!$G$1:$G$400,SF_Output!$AC$1:$AC$400,_xlfn.TEXTJOIN(",",TRUE,B49:E49),SF_Output!$Q$1:$Q$400,"monthly"))*H49,AND(B49&lt;&gt;"",H49=SF_Output!$Y$2,SUMIFS(SF_Output!$T$1:$T$400,SF_Output!$AC$1:$AC$400,_xlfn.TEXTJOIN(",",TRUE,B49:E49),SF_Output!$Q$1:$Q$400,"monthly")&lt;&gt;0),SUMIFS(SF_Output!$S$1:$S$400,SF_Output!$AC$1:$AC$400,_xlfn.TEXTJOIN(",",TRUE,B49:E49),SF_Output!$Q$1:$Q$400,"monthly"),AND(B49&lt;&gt;"",H49&lt;&gt;SF_Output!$Y$2),SUMIFS(SF_Output!$S$1:$S$400,SF_Output!$AC$1:$AC$400,_xlfn.TEXTJOIN(",",TRUE,B49:E49),SF_Output!$Q$1:$Q$400,"monthly"))</f>
        <v>0</v>
      </c>
      <c r="W49" s="112" t="str" cm="1">
        <f t="array" ref="W49">_xlfn.IFS(OR(B49=0,B49="",V49=0),"",AF49&lt;&gt;"exclusion",MAX($W$9,$W$7,(-(SUMIFS(SF_Output!$T$1:$T$400,SF_Output!$AC$1:$AC$400,_xlfn.TEXTJOIN(",",TRUE,$B49:$E49),SF_Output!$Q$1:$Q$400,"monthly"))/V49)),AF49="exclusion",-(SUMIFS(SF_Output!$T$1:$T$400,SF_Output!$AC$1:$AC$400,_xlfn.TEXTJOIN(",",TRUE,$B49:$E49),SF_Output!$Q$1:$Q$400,"monthly"))/V49)</f>
        <v/>
      </c>
      <c r="X49" s="6" cm="1">
        <f t="array" ref="X49">IFERROR(_xlfn.IFS(V49=0,0,V49="","",W49=0,V49,OR(V49&lt;&gt;0,V49&lt;&gt;""),H49*I49),V49*(1-W49))</f>
        <v>0</v>
      </c>
      <c r="Z49" s="6">
        <f>IFERROR(IF(B49="","",SUMIFS(Billing_Fallout!H:H,Billing_Fallout!N:N,B49)),0)</f>
        <v>0</v>
      </c>
      <c r="AA49" s="6">
        <f t="shared" si="4"/>
        <v>0</v>
      </c>
      <c r="AB49" s="6">
        <f>IFERROR(IF(B49="","",SUMIFS(Billing_Fallout!J:J,Billing_Fallout!N:N,B49)),0)</f>
        <v>0</v>
      </c>
      <c r="AD49" s="6">
        <f t="shared" si="5"/>
        <v>0</v>
      </c>
      <c r="AF49" t="str">
        <f>IFERROR(INDEX(H_Tables!$B$1:$B$1500,MATCH(INDEX(SF_Output!$J$1:$J$400,MATCH(B49,SF_Output!$M$1:$M$400,0)),H_Tables!$A$1:$A$1500,0)),"")</f>
        <v>Exclusion</v>
      </c>
      <c r="AI49" s="119" t="str">
        <f t="shared" si="6"/>
        <v/>
      </c>
      <c r="AJ49" s="121">
        <f>IFERROR(INDEX(SF_Output!AD:AD,MATCH(_xlfn.TEXTJOIN(",",TRUE,B49:E49),SF_Output!AC1:AC400,0)),0.05)</f>
        <v>80</v>
      </c>
      <c r="AK49" t="str">
        <f>IF(SUMIFS(SF_Output!$F$1:$F$400,SF_Output!$AC$1:$AC$400,_xlfn.TEXTJOIN(",",TRUE,B49:E49))+SUMIFS(SF_Output!$G$1:$G$400,SF_Output!$AC$1:$AC$400,_xlfn.TEXTJOIN(",",TRUE,B49:E49))=0,"","PAP")</f>
        <v/>
      </c>
      <c r="AL49" s="35" t="str">
        <f t="shared" si="7"/>
        <v>Intuit Connectivity for Quicken Current Release,New,On Premise License,0</v>
      </c>
      <c r="AQ49" s="35"/>
      <c r="AR49" s="35" t="str" cm="1">
        <f t="array" ref="AR49">IFERROR(_xlfn.IFS(AND(E49*1=1,F49="Included"),"Change to Included",AND(E49*1=0,F49="Optional"),"Change to Optional",OR(B49="",F49="replaced"),""),"")</f>
        <v/>
      </c>
      <c r="AS49" s="35" t="str">
        <f t="shared" si="8"/>
        <v/>
      </c>
      <c r="AT49" s="35" t="str">
        <f t="shared" si="9"/>
        <v/>
      </c>
      <c r="AU49" s="35" t="str">
        <f t="shared" si="10"/>
        <v/>
      </c>
      <c r="AV49" s="35" t="str">
        <f t="shared" si="11"/>
        <v/>
      </c>
      <c r="AW49" s="35" t="str">
        <f t="shared" si="12"/>
        <v/>
      </c>
      <c r="AX49" s="35" t="str">
        <f t="shared" si="13"/>
        <v/>
      </c>
      <c r="AY49" s="35" t="str">
        <f t="shared" si="14"/>
        <v/>
      </c>
      <c r="AZ49" s="35" t="str">
        <f t="shared" si="15"/>
        <v/>
      </c>
      <c r="BA49" s="35" t="str">
        <f t="shared" si="16"/>
        <v/>
      </c>
      <c r="BB49" s="35" t="str">
        <f t="shared" si="17"/>
        <v/>
      </c>
      <c r="BC49" s="35"/>
      <c r="BE49" s="35">
        <f ca="1">INDEX(SF_Output!$AA$2:$AA$400,MATCH($B49,SF_Output!$M$2:$M$400,0))</f>
        <v>3</v>
      </c>
      <c r="BF49" s="35">
        <f ca="1">INDEX(SF_Output!$AB$2:$AB$400,MATCH($B49,SF_Output!$M$2:$M$400,0))</f>
        <v>3</v>
      </c>
    </row>
    <row r="50" spans="2:58" x14ac:dyDescent="0.25">
      <c r="B50" t="s">
        <v>1152</v>
      </c>
      <c r="C50" t="s">
        <v>2122</v>
      </c>
      <c r="D50" t="s">
        <v>2164</v>
      </c>
      <c r="E50" t="s">
        <v>2124</v>
      </c>
      <c r="F50" s="116" t="str">
        <f t="shared" si="0"/>
        <v>Included</v>
      </c>
      <c r="G50" t="str">
        <f>IF(B50="","",INDEX(SF_Output!$K$1:$K$400,MATCH(B50,SF_Output!$M$1:$M$400,0)))</f>
        <v>Intuit</v>
      </c>
      <c r="H50" cm="1">
        <f t="array" ref="H50">_xlfn.IFS(B50="","",(SUMIFS(SF_Output!$F$1:$F$400,SF_Output!$AC$1:$AC$400,_xlfn.TEXTJOIN(",",TRUE,B50:E50))+SUMIFS(SF_Output!$G$1:$G$400,SF_Output!$AC$1:$AC$400,_xlfn.TEXTJOIN(",",TRUE,B50:E50)))&lt;&gt;0,SF_Output!$Y$2,INDEX(SF_Output!$F$1:$F$400,MATCH(_xlfn.TEXTJOIN(",",TRUE,B50:E50),SF_Output!$AC$1:$AC$400,0))=0,INDEX(SF_Output!$R$1:$R$400,MATCH(_xlfn.TEXTJOIN(",",TRUE,B50:E50),SF_Output!$AC$1:$AC$400,0)))</f>
        <v>1</v>
      </c>
      <c r="I50" s="125" t="str">
        <f>IFERROR(IF(AND(H50&gt;1,H50&lt;&gt;""),ROUND(SUMIFS(SF_Output!$S$1:$S$400,SF_Output!$AC$1:$AC$400,_xlfn.TEXTJOIN(",",TRUE,B50:E50),SF_Output!$Q$1:$Q$400,"monthly")*(1-W50)/H50,4),""),"")</f>
        <v/>
      </c>
      <c r="J50" s="6">
        <f>IF(B50="","",SUMIFS(SF_Output!$S$1:$S$400,SF_Output!$AC$1:$AC$400,_xlfn.TEXTJOIN(",",TRUE,B50:E50),SF_Output!$Q$1:$Q$400,"One Time",SF_Output!$L$1:$L$400,"license fee")+SUMIFS(SF_Output!$S$1:$S$400,SF_Output!$AC$1:$AC$400,_xlfn.TEXTJOIN(",",TRUE,B50:E50),SF_Output!$Q$1:$Q$400,"One Time",SF_Output!$L$1:$L$400,"software license")+SUMIFS(SF_Output!$S$1:$S$400,SF_Output!$AC$1:$AC$400,_xlfn.TEXTJOIN(",",TRUE,B50:E50),SF_Output!$Q$1:$Q$400,"One Time",SF_Output!$L$1:$L$400,"hardware"))</f>
        <v>0</v>
      </c>
      <c r="K50" s="112" t="str">
        <f>IF(OR(B50=0,B50="",G50="hardware",J50=0),"",IF(AF50&lt;&gt;"exclusion",MAX(K$9,-((SUMIFS(SF_Output!$T$1:$T$400,SF_Output!$AC$1:$AC$400,_xlfn.TEXTJOIN(",",TRUE,$B50:$E50),SF_Output!$Q$1:$Q$400,"One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license"))/J50)))</f>
        <v/>
      </c>
      <c r="L50" s="6">
        <f t="shared" si="1"/>
        <v>0</v>
      </c>
      <c r="N50" s="6">
        <f>IF(B50="","",SUMIFS(SF_Output!$S$1:$S$400,SF_Output!$AC$1:$AC$400,_xlfn.TEXTJOIN(",",TRUE,B50:E50),SF_Output!$Q$1:$Q$400,"One Time",SF_Output!$L$1:$L$400,"professional service"))</f>
        <v>0</v>
      </c>
      <c r="O50" s="112" t="str">
        <f>IF(OR(B50=0,B50="",N50=0),"",IF(AF50&lt;&gt;"exclusion",MAX(O$9,-(SUMIFS(SF_Output!$T$1:$T$400,SF_Output!$AC$1:$AC$400,_xlfn.TEXTJOIN(",",TRUE,$B50:$E50),SF_Output!$Q$1:$Q$400,"One Time",SF_Output!$L$1:$L$400,"professional service"))/N50),-((SUMIFS(SF_Output!$T$1:$T$400,SF_Output!$AC$1:$AC$400,_xlfn.TEXTJOIN(",",TRUE,$B50:$E50),SF_Output!$Q$1:$Q$400,"One Time",SF_Output!$L$1:$L$400,"professional service")/N50))))</f>
        <v/>
      </c>
      <c r="P50" s="6">
        <f t="shared" si="2"/>
        <v>0</v>
      </c>
      <c r="R50" s="6">
        <f>IF(B50="","",SUMIFS(SF_Output!$S$1:$S$400,SF_Output!$AC$1:$AC$400,_xlfn.TEXTJOIN(",",TRUE,B50:E50),SF_Output!$Q$1:$Q$400,"yearly")+SUMIFS(SF_Output!$S$1:$S$400,SF_Output!$AC$1:$AC$400,_xlfn.TEXTJOIN(",",TRUE,B50:E50),SF_Output!$Q$1:$Q$400,"quarterly")*4)</f>
        <v>0</v>
      </c>
      <c r="S50" s="112" t="str">
        <f>IF(OR(B50=0,B50="",G50="hardware",R50=0),"",IF(AF50&lt;&gt;"exclusion",MAX(S$9,-(SUMIFS(SF_Output!$T$1:$T$400,SF_Output!$AC$1:$AC$400,_xlfn.TEXTJOIN(",",TRUE,$B50:$E50),SF_Output!$Q$1:$Q$400,"yearly"))/R50),-((SUMIFS(SF_Output!$T$1:$T$400,SF_Output!$AC$1:$AC$400,_xlfn.TEXTJOIN(",",TRUE,$B50:$E50),SF_Output!$Q$1:$Q$400,"yearly")/R50))))</f>
        <v/>
      </c>
      <c r="T50" s="6">
        <f t="shared" si="3"/>
        <v>0</v>
      </c>
      <c r="V50" s="6" cm="1">
        <f t="array" ref="V50">_xlfn.IFS(B50="","",AND(B50&lt;&gt;"",H50=SF_Output!$Y$2,SUMIFS(SF_Output!$T$1:$T$400,SF_Output!$AC$1:$AC$400,_xlfn.TEXTJOIN(",",TRUE,B50:E50),SF_Output!$Q$1:$Q$400,"monthly")=0),(SUMIFS(SF_Output!$F$1:$F$400,SF_Output!$AC$1:$AC$400,_xlfn.TEXTJOIN(",",TRUE,B50:E50),SF_Output!$Q$1:$Q$400,"monthly")+SUMIFS(SF_Output!$G$1:$G$400,SF_Output!$AC$1:$AC$400,_xlfn.TEXTJOIN(",",TRUE,B50:E50),SF_Output!$Q$1:$Q$400,"monthly"))*H50,AND(B50&lt;&gt;"",H50=SF_Output!$Y$2,SUMIFS(SF_Output!$T$1:$T$400,SF_Output!$AC$1:$AC$400,_xlfn.TEXTJOIN(",",TRUE,B50:E50),SF_Output!$Q$1:$Q$400,"monthly")&lt;&gt;0),SUMIFS(SF_Output!$S$1:$S$400,SF_Output!$AC$1:$AC$400,_xlfn.TEXTJOIN(",",TRUE,B50:E50),SF_Output!$Q$1:$Q$400,"monthly"),AND(B50&lt;&gt;"",H50&lt;&gt;SF_Output!$Y$2),SUMIFS(SF_Output!$S$1:$S$400,SF_Output!$AC$1:$AC$400,_xlfn.TEXTJOIN(",",TRUE,B50:E50),SF_Output!$Q$1:$Q$400,"monthly"))</f>
        <v>0</v>
      </c>
      <c r="W50" s="112" t="str" cm="1">
        <f t="array" ref="W50">_xlfn.IFS(OR(B50=0,B50="",V50=0),"",AF50&lt;&gt;"exclusion",MAX($W$9,$W$7,(-(SUMIFS(SF_Output!$T$1:$T$400,SF_Output!$AC$1:$AC$400,_xlfn.TEXTJOIN(",",TRUE,$B50:$E50),SF_Output!$Q$1:$Q$400,"monthly"))/V50)),AF50="exclusion",-(SUMIFS(SF_Output!$T$1:$T$400,SF_Output!$AC$1:$AC$400,_xlfn.TEXTJOIN(",",TRUE,$B50:$E50),SF_Output!$Q$1:$Q$400,"monthly"))/V50)</f>
        <v/>
      </c>
      <c r="X50" s="6" cm="1">
        <f t="array" ref="X50">IFERROR(_xlfn.IFS(V50=0,0,V50="","",W50=0,V50,OR(V50&lt;&gt;0,V50&lt;&gt;""),H50*I50),V50*(1-W50))</f>
        <v>0</v>
      </c>
      <c r="Z50" s="6">
        <f>IFERROR(IF(B50="","",SUMIFS(Billing_Fallout!H:H,Billing_Fallout!N:N,B50)),0)</f>
        <v>0</v>
      </c>
      <c r="AA50" s="6">
        <f t="shared" si="4"/>
        <v>0</v>
      </c>
      <c r="AB50" s="6">
        <f>IFERROR(IF(B50="","",SUMIFS(Billing_Fallout!J:J,Billing_Fallout!N:N,B50)),0)</f>
        <v>0</v>
      </c>
      <c r="AD50" s="6">
        <f t="shared" si="5"/>
        <v>0</v>
      </c>
      <c r="AF50" t="str">
        <f>IFERROR(INDEX(H_Tables!$B$1:$B$1500,MATCH(INDEX(SF_Output!$J$1:$J$400,MATCH(B50,SF_Output!$M$1:$M$400,0)),H_Tables!$A$1:$A$1500,0)),"")</f>
        <v>Exclusion</v>
      </c>
      <c r="AI50" s="119" t="str">
        <f t="shared" si="6"/>
        <v/>
      </c>
      <c r="AJ50" s="121">
        <f>IFERROR(INDEX(SF_Output!AD:AD,MATCH(_xlfn.TEXTJOIN(",",TRUE,B50:E50),SF_Output!AC1:AC400,0)),0.05)</f>
        <v>81</v>
      </c>
      <c r="AK50" t="str">
        <f>IF(SUMIFS(SF_Output!$F$1:$F$400,SF_Output!$AC$1:$AC$400,_xlfn.TEXTJOIN(",",TRUE,B50:E50))+SUMIFS(SF_Output!$G$1:$G$400,SF_Output!$AC$1:$AC$400,_xlfn.TEXTJOIN(",",TRUE,B50:E50))=0,"","PAP")</f>
        <v/>
      </c>
      <c r="AL50" s="35" t="str">
        <f t="shared" si="7"/>
        <v xml:space="preserve">Intuit Connectivity for QuickBooks Previous two versions support,New,On Premise </v>
      </c>
      <c r="AQ50" s="35"/>
      <c r="AR50" s="35" t="str" cm="1">
        <f t="array" ref="AR50">IFERROR(_xlfn.IFS(AND(E50*1=1,F50="Included"),"Change to Included",AND(E50*1=0,F50="Optional"),"Change to Optional",OR(B50="",F50="replaced"),""),"")</f>
        <v/>
      </c>
      <c r="AS50" s="35" t="str">
        <f t="shared" si="8"/>
        <v/>
      </c>
      <c r="AT50" s="35" t="str">
        <f t="shared" si="9"/>
        <v/>
      </c>
      <c r="AU50" s="35" t="str">
        <f t="shared" si="10"/>
        <v/>
      </c>
      <c r="AV50" s="35" t="str">
        <f t="shared" si="11"/>
        <v/>
      </c>
      <c r="AW50" s="35" t="str">
        <f t="shared" si="12"/>
        <v/>
      </c>
      <c r="AX50" s="35" t="str">
        <f t="shared" si="13"/>
        <v/>
      </c>
      <c r="AY50" s="35" t="str">
        <f t="shared" si="14"/>
        <v/>
      </c>
      <c r="AZ50" s="35" t="str">
        <f t="shared" si="15"/>
        <v/>
      </c>
      <c r="BA50" s="35" t="str">
        <f t="shared" si="16"/>
        <v/>
      </c>
      <c r="BB50" s="35" t="str">
        <f t="shared" si="17"/>
        <v/>
      </c>
      <c r="BC50" s="35"/>
      <c r="BE50" s="35">
        <f ca="1">INDEX(SF_Output!$AA$2:$AA$400,MATCH($B50,SF_Output!$M$2:$M$400,0))</f>
        <v>3</v>
      </c>
      <c r="BF50" s="35">
        <f ca="1">INDEX(SF_Output!$AB$2:$AB$400,MATCH($B50,SF_Output!$M$2:$M$400,0))</f>
        <v>3</v>
      </c>
    </row>
    <row r="51" spans="2:58" x14ac:dyDescent="0.25">
      <c r="B51" t="s">
        <v>2247</v>
      </c>
      <c r="C51" t="s">
        <v>2122</v>
      </c>
      <c r="D51" t="s">
        <v>2123</v>
      </c>
      <c r="E51" t="s">
        <v>2150</v>
      </c>
      <c r="F51" s="116" t="str">
        <f t="shared" si="0"/>
        <v>Optional</v>
      </c>
      <c r="G51" t="str">
        <f>IF(B51="","",INDEX(SF_Output!$K$1:$K$400,MATCH(B51,SF_Output!$M$1:$M$400,0)))</f>
        <v>Intuit</v>
      </c>
      <c r="H51" cm="1">
        <f t="array" ref="H51">_xlfn.IFS(B51="","",(SUMIFS(SF_Output!$F$1:$F$400,SF_Output!$AC$1:$AC$400,_xlfn.TEXTJOIN(",",TRUE,B51:E51))+SUMIFS(SF_Output!$G$1:$G$400,SF_Output!$AC$1:$AC$400,_xlfn.TEXTJOIN(",",TRUE,B51:E51)))&lt;&gt;0,SF_Output!$Y$2,INDEX(SF_Output!$F$1:$F$400,MATCH(_xlfn.TEXTJOIN(",",TRUE,B51:E51),SF_Output!$AC$1:$AC$400,0))=0,INDEX(SF_Output!$R$1:$R$400,MATCH(_xlfn.TEXTJOIN(",",TRUE,B51:E51),SF_Output!$AC$1:$AC$400,0)))</f>
        <v>5000</v>
      </c>
      <c r="I51" s="125">
        <f>IFERROR(IF(AND(H51&gt;1,H51&lt;&gt;""),ROUND(SUMIFS(SF_Output!$S$1:$S$400,SF_Output!$AC$1:$AC$400,_xlfn.TEXTJOIN(",",TRUE,B51:E51),SF_Output!$Q$1:$Q$400,"monthly")*(1-W51)/H51,4),""),"")</f>
        <v>4.0500000000000001E-2</v>
      </c>
      <c r="J51" s="6">
        <f>IF(B51="","",SUMIFS(SF_Output!$S$1:$S$400,SF_Output!$AC$1:$AC$400,_xlfn.TEXTJOIN(",",TRUE,B51:E51),SF_Output!$Q$1:$Q$400,"One Time",SF_Output!$L$1:$L$400,"license fee")+SUMIFS(SF_Output!$S$1:$S$400,SF_Output!$AC$1:$AC$400,_xlfn.TEXTJOIN(",",TRUE,B51:E51),SF_Output!$Q$1:$Q$400,"One Time",SF_Output!$L$1:$L$400,"software license")+SUMIFS(SF_Output!$S$1:$S$400,SF_Output!$AC$1:$AC$400,_xlfn.TEXTJOIN(",",TRUE,B51:E51),SF_Output!$Q$1:$Q$400,"One Time",SF_Output!$L$1:$L$400,"hardware"))</f>
        <v>0</v>
      </c>
      <c r="K51" s="112" t="str">
        <f>IF(OR(B51=0,B51="",G51="hardware",J51=0),"",IF(AF51&lt;&gt;"exclusion",MAX(K$9,-((SUMIFS(SF_Output!$T$1:$T$400,SF_Output!$AC$1:$AC$400,_xlfn.TEXTJOIN(",",TRUE,$B51:$E51),SF_Output!$Q$1:$Q$400,"One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license"))/J51)))</f>
        <v/>
      </c>
      <c r="L51" s="6">
        <f t="shared" si="1"/>
        <v>0</v>
      </c>
      <c r="N51" s="6">
        <f>IF(B51="","",SUMIFS(SF_Output!$S$1:$S$400,SF_Output!$AC$1:$AC$400,_xlfn.TEXTJOIN(",",TRUE,B51:E51),SF_Output!$Q$1:$Q$400,"One Time",SF_Output!$L$1:$L$400,"professional service"))</f>
        <v>2500</v>
      </c>
      <c r="O51" s="112">
        <f>IF(OR(B51=0,B51="",N51=0),"",IF(AF51&lt;&gt;"exclusion",MAX(O$9,-(SUMIFS(SF_Output!$T$1:$T$400,SF_Output!$AC$1:$AC$400,_xlfn.TEXTJOIN(",",TRUE,$B51:$E51),SF_Output!$Q$1:$Q$400,"One Time",SF_Output!$L$1:$L$400,"professional service"))/N51),-((SUMIFS(SF_Output!$T$1:$T$400,SF_Output!$AC$1:$AC$400,_xlfn.TEXTJOIN(",",TRUE,$B51:$E51),SF_Output!$Q$1:$Q$400,"One Time",SF_Output!$L$1:$L$400,"professional service")/N51))))</f>
        <v>1</v>
      </c>
      <c r="P51" s="6">
        <f t="shared" si="2"/>
        <v>0</v>
      </c>
      <c r="R51" s="6">
        <f>IF(B51="","",SUMIFS(SF_Output!$S$1:$S$400,SF_Output!$AC$1:$AC$400,_xlfn.TEXTJOIN(",",TRUE,B51:E51),SF_Output!$Q$1:$Q$400,"yearly")+SUMIFS(SF_Output!$S$1:$S$400,SF_Output!$AC$1:$AC$400,_xlfn.TEXTJOIN(",",TRUE,B51:E51),SF_Output!$Q$1:$Q$400,"quarterly")*4)</f>
        <v>0</v>
      </c>
      <c r="S51" s="112" t="str">
        <f>IF(OR(B51=0,B51="",G51="hardware",R51=0),"",IF(AF51&lt;&gt;"exclusion",MAX(S$9,-(SUMIFS(SF_Output!$T$1:$T$400,SF_Output!$AC$1:$AC$400,_xlfn.TEXTJOIN(",",TRUE,$B51:$E51),SF_Output!$Q$1:$Q$400,"yearly"))/R51),-((SUMIFS(SF_Output!$T$1:$T$400,SF_Output!$AC$1:$AC$400,_xlfn.TEXTJOIN(",",TRUE,$B51:$E51),SF_Output!$Q$1:$Q$400,"yearly")/R51))))</f>
        <v/>
      </c>
      <c r="T51" s="6">
        <f t="shared" si="3"/>
        <v>0</v>
      </c>
      <c r="V51" s="6" cm="1">
        <f t="array" ref="V51">_xlfn.IFS(B51="","",AND(B51&lt;&gt;"",H51=SF_Output!$Y$2,SUMIFS(SF_Output!$T$1:$T$400,SF_Output!$AC$1:$AC$400,_xlfn.TEXTJOIN(",",TRUE,B51:E51),SF_Output!$Q$1:$Q$400,"monthly")=0),(SUMIFS(SF_Output!$F$1:$F$400,SF_Output!$AC$1:$AC$400,_xlfn.TEXTJOIN(",",TRUE,B51:E51),SF_Output!$Q$1:$Q$400,"monthly")+SUMIFS(SF_Output!$G$1:$G$400,SF_Output!$AC$1:$AC$400,_xlfn.TEXTJOIN(",",TRUE,B51:E51),SF_Output!$Q$1:$Q$400,"monthly"))*H51,AND(B51&lt;&gt;"",H51=SF_Output!$Y$2,SUMIFS(SF_Output!$T$1:$T$400,SF_Output!$AC$1:$AC$400,_xlfn.TEXTJOIN(",",TRUE,B51:E51),SF_Output!$Q$1:$Q$400,"monthly")&lt;&gt;0),SUMIFS(SF_Output!$S$1:$S$400,SF_Output!$AC$1:$AC$400,_xlfn.TEXTJOIN(",",TRUE,B51:E51),SF_Output!$Q$1:$Q$400,"monthly"),AND(B51&lt;&gt;"",H51&lt;&gt;SF_Output!$Y$2),SUMIFS(SF_Output!$S$1:$S$400,SF_Output!$AC$1:$AC$400,_xlfn.TEXTJOIN(",",TRUE,B51:E51),SF_Output!$Q$1:$Q$400,"monthly"))</f>
        <v>270</v>
      </c>
      <c r="W51" s="112" cm="1">
        <f t="array" ref="W51">_xlfn.IFS(OR(B51=0,B51="",V51=0),"",AF51&lt;&gt;"exclusion",MAX($W$9,$W$7,(-(SUMIFS(SF_Output!$T$1:$T$400,SF_Output!$AC$1:$AC$400,_xlfn.TEXTJOIN(",",TRUE,$B51:$E51),SF_Output!$Q$1:$Q$400,"monthly"))/V51)),AF51="exclusion",-(SUMIFS(SF_Output!$T$1:$T$400,SF_Output!$AC$1:$AC$400,_xlfn.TEXTJOIN(",",TRUE,$B51:$E51),SF_Output!$Q$1:$Q$400,"monthly"))/V51)</f>
        <v>0.25</v>
      </c>
      <c r="X51" s="6" cm="1">
        <f t="array" ref="X51">IFERROR(_xlfn.IFS(V51=0,0,V51="","",W51=0,V51,OR(V51&lt;&gt;0,V51&lt;&gt;""),H51*I51),V51*(1-W51))</f>
        <v>202.5</v>
      </c>
      <c r="Z51" s="6">
        <f>IFERROR(IF(B51="","",SUMIFS(Billing_Fallout!H:H,Billing_Fallout!N:N,B51)),0)</f>
        <v>0</v>
      </c>
      <c r="AA51" s="6">
        <f t="shared" si="4"/>
        <v>0</v>
      </c>
      <c r="AB51" s="6">
        <f>IFERROR(IF(B51="","",SUMIFS(Billing_Fallout!J:J,Billing_Fallout!N:N,B51)),0)</f>
        <v>0</v>
      </c>
      <c r="AD51" s="6">
        <f t="shared" si="5"/>
        <v>202.5</v>
      </c>
      <c r="AF51" t="str">
        <f>IFERROR(INDEX(H_Tables!$B$1:$B$1500,MATCH(INDEX(SF_Output!$J$1:$J$400,MATCH(B51,SF_Output!$M$1:$M$400,0)),H_Tables!$A$1:$A$1500,0)),"")</f>
        <v/>
      </c>
      <c r="AI51" s="119" t="str">
        <f t="shared" si="6"/>
        <v/>
      </c>
      <c r="AJ51" s="121">
        <f>IFERROR(INDEX(SF_Output!AD:AD,MATCH(_xlfn.TEXTJOIN(",",TRUE,B51:E51),SF_Output!AC1:AC400,0)),0.05)</f>
        <v>82</v>
      </c>
      <c r="AK51" t="str">
        <f>IF(SUMIFS(SF_Output!$F$1:$F$400,SF_Output!$AC$1:$AC$400,_xlfn.TEXTJOIN(",",TRUE,B51:E51))+SUMIFS(SF_Output!$G$1:$G$400,SF_Output!$AC$1:$AC$400,_xlfn.TEXTJOIN(",",TRUE,B51:E51))=0,"","PAP")</f>
        <v>PAP</v>
      </c>
      <c r="AL51" s="35" t="str">
        <f t="shared" si="7"/>
        <v>OFX Gateway CFM,New,Hosted by JHA,1</v>
      </c>
      <c r="AQ51" s="35"/>
      <c r="AR51" s="35" t="str" cm="1">
        <f t="array" ref="AR51">IFERROR(_xlfn.IFS(AND(E51*1=1,F51="Included"),"Change to Included",AND(E51*1=0,F51="Optional"),"Change to Optional",OR(B51="",F51="replaced"),""),"")</f>
        <v/>
      </c>
      <c r="AS51" s="35" t="str">
        <f t="shared" si="8"/>
        <v/>
      </c>
      <c r="AT51" s="35" t="str">
        <f t="shared" si="9"/>
        <v/>
      </c>
      <c r="AU51" s="35" t="str">
        <f t="shared" si="10"/>
        <v/>
      </c>
      <c r="AV51" s="35" t="str">
        <f t="shared" si="11"/>
        <v/>
      </c>
      <c r="AW51" s="35" t="str">
        <f t="shared" si="12"/>
        <v/>
      </c>
      <c r="AX51" s="35" t="str">
        <f t="shared" si="13"/>
        <v/>
      </c>
      <c r="AY51" s="35" t="str">
        <f t="shared" si="14"/>
        <v/>
      </c>
      <c r="AZ51" s="35" t="str">
        <f t="shared" si="15"/>
        <v/>
      </c>
      <c r="BA51" s="35" t="str">
        <f t="shared" si="16"/>
        <v/>
      </c>
      <c r="BB51" s="35" t="str">
        <f t="shared" si="17"/>
        <v/>
      </c>
      <c r="BC51" s="35"/>
      <c r="BE51" s="35">
        <f ca="1">INDEX(SF_Output!$AA$2:$AA$400,MATCH($B51,SF_Output!$M$2:$M$400,0))</f>
        <v>3</v>
      </c>
      <c r="BF51" s="35">
        <f ca="1">INDEX(SF_Output!$AB$2:$AB$400,MATCH($B51,SF_Output!$M$2:$M$400,0))</f>
        <v>3</v>
      </c>
    </row>
    <row r="52" spans="2:58" x14ac:dyDescent="0.25">
      <c r="B52" t="s">
        <v>2250</v>
      </c>
      <c r="C52" t="s">
        <v>2122</v>
      </c>
      <c r="D52" t="s">
        <v>2123</v>
      </c>
      <c r="E52" t="s">
        <v>2150</v>
      </c>
      <c r="F52" s="116" t="str">
        <f t="shared" si="0"/>
        <v>Optional</v>
      </c>
      <c r="G52" t="str">
        <f>IF(B52="","",INDEX(SF_Output!$K$1:$K$400,MATCH(B52,SF_Output!$M$1:$M$400,0)))</f>
        <v>Intuit</v>
      </c>
      <c r="H52" cm="1">
        <f t="array" ref="H52">_xlfn.IFS(B52="","",(SUMIFS(SF_Output!$F$1:$F$400,SF_Output!$AC$1:$AC$400,_xlfn.TEXTJOIN(",",TRUE,B52:E52))+SUMIFS(SF_Output!$G$1:$G$400,SF_Output!$AC$1:$AC$400,_xlfn.TEXTJOIN(",",TRUE,B52:E52)))&lt;&gt;0,SF_Output!$Y$2,INDEX(SF_Output!$F$1:$F$400,MATCH(_xlfn.TEXTJOIN(",",TRUE,B52:E52),SF_Output!$AC$1:$AC$400,0))=0,INDEX(SF_Output!$R$1:$R$400,MATCH(_xlfn.TEXTJOIN(",",TRUE,B52:E52),SF_Output!$AC$1:$AC$400,0)))</f>
        <v>5000</v>
      </c>
      <c r="I52" s="125">
        <f>IFERROR(IF(AND(H52&gt;1,H52&lt;&gt;""),ROUND(SUMIFS(SF_Output!$S$1:$S$400,SF_Output!$AC$1:$AC$400,_xlfn.TEXTJOIN(",",TRUE,B52:E52),SF_Output!$Q$1:$Q$400,"monthly")*(1-W52)/H52,4),""),"")</f>
        <v>3.0800000000000001E-2</v>
      </c>
      <c r="J52" s="6">
        <f>IF(B52="","",SUMIFS(SF_Output!$S$1:$S$400,SF_Output!$AC$1:$AC$400,_xlfn.TEXTJOIN(",",TRUE,B52:E52),SF_Output!$Q$1:$Q$400,"One Time",SF_Output!$L$1:$L$400,"license fee")+SUMIFS(SF_Output!$S$1:$S$400,SF_Output!$AC$1:$AC$400,_xlfn.TEXTJOIN(",",TRUE,B52:E52),SF_Output!$Q$1:$Q$400,"One Time",SF_Output!$L$1:$L$400,"software license")+SUMIFS(SF_Output!$S$1:$S$400,SF_Output!$AC$1:$AC$400,_xlfn.TEXTJOIN(",",TRUE,B52:E52),SF_Output!$Q$1:$Q$400,"One Time",SF_Output!$L$1:$L$400,"hardware"))</f>
        <v>0</v>
      </c>
      <c r="K52" s="112" t="str">
        <f>IF(OR(B52=0,B52="",G52="hardware",J52=0),"",IF(AF52&lt;&gt;"exclusion",MAX(K$9,-((SUMIFS(SF_Output!$T$1:$T$400,SF_Output!$AC$1:$AC$400,_xlfn.TEXTJOIN(",",TRUE,$B52:$E52),SF_Output!$Q$1:$Q$400,"One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license"))/J52)))</f>
        <v/>
      </c>
      <c r="L52" s="6">
        <f t="shared" si="1"/>
        <v>0</v>
      </c>
      <c r="N52" s="6">
        <f>IF(B52="","",SUMIFS(SF_Output!$S$1:$S$400,SF_Output!$AC$1:$AC$400,_xlfn.TEXTJOIN(",",TRUE,B52:E52),SF_Output!$Q$1:$Q$400,"One Time",SF_Output!$L$1:$L$400,"professional service"))</f>
        <v>2500</v>
      </c>
      <c r="O52" s="112">
        <f>IF(OR(B52=0,B52="",N52=0),"",IF(AF52&lt;&gt;"exclusion",MAX(O$9,-(SUMIFS(SF_Output!$T$1:$T$400,SF_Output!$AC$1:$AC$400,_xlfn.TEXTJOIN(",",TRUE,$B52:$E52),SF_Output!$Q$1:$Q$400,"One Time",SF_Output!$L$1:$L$400,"professional service"))/N52),-((SUMIFS(SF_Output!$T$1:$T$400,SF_Output!$AC$1:$AC$400,_xlfn.TEXTJOIN(",",TRUE,$B52:$E52),SF_Output!$Q$1:$Q$400,"One Time",SF_Output!$L$1:$L$400,"professional service")/N52))))</f>
        <v>1</v>
      </c>
      <c r="P52" s="6">
        <f t="shared" si="2"/>
        <v>0</v>
      </c>
      <c r="R52" s="6">
        <f>IF(B52="","",SUMIFS(SF_Output!$S$1:$S$400,SF_Output!$AC$1:$AC$400,_xlfn.TEXTJOIN(",",TRUE,B52:E52),SF_Output!$Q$1:$Q$400,"yearly")+SUMIFS(SF_Output!$S$1:$S$400,SF_Output!$AC$1:$AC$400,_xlfn.TEXTJOIN(",",TRUE,B52:E52),SF_Output!$Q$1:$Q$400,"quarterly")*4)</f>
        <v>0</v>
      </c>
      <c r="S52" s="112" t="str">
        <f>IF(OR(B52=0,B52="",G52="hardware",R52=0),"",IF(AF52&lt;&gt;"exclusion",MAX(S$9,-(SUMIFS(SF_Output!$T$1:$T$400,SF_Output!$AC$1:$AC$400,_xlfn.TEXTJOIN(",",TRUE,$B52:$E52),SF_Output!$Q$1:$Q$400,"yearly"))/R52),-((SUMIFS(SF_Output!$T$1:$T$400,SF_Output!$AC$1:$AC$400,_xlfn.TEXTJOIN(",",TRUE,$B52:$E52),SF_Output!$Q$1:$Q$400,"yearly")/R52))))</f>
        <v/>
      </c>
      <c r="T52" s="6">
        <f t="shared" si="3"/>
        <v>0</v>
      </c>
      <c r="V52" s="6" cm="1">
        <f t="array" ref="V52">_xlfn.IFS(B52="","",AND(B52&lt;&gt;"",H52=SF_Output!$Y$2,SUMIFS(SF_Output!$T$1:$T$400,SF_Output!$AC$1:$AC$400,_xlfn.TEXTJOIN(",",TRUE,B52:E52),SF_Output!$Q$1:$Q$400,"monthly")=0),(SUMIFS(SF_Output!$F$1:$F$400,SF_Output!$AC$1:$AC$400,_xlfn.TEXTJOIN(",",TRUE,B52:E52),SF_Output!$Q$1:$Q$400,"monthly")+SUMIFS(SF_Output!$G$1:$G$400,SF_Output!$AC$1:$AC$400,_xlfn.TEXTJOIN(",",TRUE,B52:E52),SF_Output!$Q$1:$Q$400,"monthly"))*H52,AND(B52&lt;&gt;"",H52=SF_Output!$Y$2,SUMIFS(SF_Output!$T$1:$T$400,SF_Output!$AC$1:$AC$400,_xlfn.TEXTJOIN(",",TRUE,B52:E52),SF_Output!$Q$1:$Q$400,"monthly")&lt;&gt;0),SUMIFS(SF_Output!$S$1:$S$400,SF_Output!$AC$1:$AC$400,_xlfn.TEXTJOIN(",",TRUE,B52:E52),SF_Output!$Q$1:$Q$400,"monthly"),AND(B52&lt;&gt;"",H52&lt;&gt;SF_Output!$Y$2),SUMIFS(SF_Output!$S$1:$S$400,SF_Output!$AC$1:$AC$400,_xlfn.TEXTJOIN(",",TRUE,B52:E52),SF_Output!$Q$1:$Q$400,"monthly"))</f>
        <v>205</v>
      </c>
      <c r="W52" s="112" cm="1">
        <f t="array" ref="W52">_xlfn.IFS(OR(B52=0,B52="",V52=0),"",AF52&lt;&gt;"exclusion",MAX($W$9,$W$7,(-(SUMIFS(SF_Output!$T$1:$T$400,SF_Output!$AC$1:$AC$400,_xlfn.TEXTJOIN(",",TRUE,$B52:$E52),SF_Output!$Q$1:$Q$400,"monthly"))/V52)),AF52="exclusion",-(SUMIFS(SF_Output!$T$1:$T$400,SF_Output!$AC$1:$AC$400,_xlfn.TEXTJOIN(",",TRUE,$B52:$E52),SF_Output!$Q$1:$Q$400,"monthly"))/V52)</f>
        <v>0.25</v>
      </c>
      <c r="X52" s="6" cm="1">
        <f t="array" ref="X52">IFERROR(_xlfn.IFS(V52=0,0,V52="","",W52=0,V52,OR(V52&lt;&gt;0,V52&lt;&gt;""),H52*I52),V52*(1-W52))</f>
        <v>154</v>
      </c>
      <c r="Z52" s="6">
        <f>IFERROR(IF(B52="","",SUMIFS(Billing_Fallout!H:H,Billing_Fallout!N:N,B52)),0)</f>
        <v>0</v>
      </c>
      <c r="AA52" s="6">
        <f t="shared" si="4"/>
        <v>0</v>
      </c>
      <c r="AB52" s="6">
        <f>IFERROR(IF(B52="","",SUMIFS(Billing_Fallout!J:J,Billing_Fallout!N:N,B52)),0)</f>
        <v>0</v>
      </c>
      <c r="AD52" s="6">
        <f t="shared" si="5"/>
        <v>154</v>
      </c>
      <c r="AF52" t="str">
        <f>IFERROR(INDEX(H_Tables!$B$1:$B$1500,MATCH(INDEX(SF_Output!$J$1:$J$400,MATCH(B52,SF_Output!$M$1:$M$400,0)),H_Tables!$A$1:$A$1500,0)),"")</f>
        <v/>
      </c>
      <c r="AI52" s="119" t="str">
        <f t="shared" si="6"/>
        <v/>
      </c>
      <c r="AJ52" s="121">
        <f>IFERROR(INDEX(SF_Output!AD:AD,MATCH(_xlfn.TEXTJOIN(",",TRUE,B52:E52),SF_Output!AC1:AC400,0)),0.05)</f>
        <v>84</v>
      </c>
      <c r="AK52" t="str">
        <f>IF(SUMIFS(SF_Output!$F$1:$F$400,SF_Output!$AC$1:$AC$400,_xlfn.TEXTJOIN(",",TRUE,B52:E52))+SUMIFS(SF_Output!$G$1:$G$400,SF_Output!$AC$1:$AC$400,_xlfn.TEXTJOIN(",",TRUE,B52:E52))=0,"","PAP")</f>
        <v>PAP</v>
      </c>
      <c r="AL52" s="35" t="str">
        <f t="shared" si="7"/>
        <v>OFX Gateway PFM,New,Hosted by JHA,1</v>
      </c>
      <c r="AQ52" s="35"/>
      <c r="AR52" s="35" t="str" cm="1">
        <f t="array" ref="AR52">IFERROR(_xlfn.IFS(AND(E52*1=1,F52="Included"),"Change to Included",AND(E52*1=0,F52="Optional"),"Change to Optional",OR(B52="",F52="replaced"),""),"")</f>
        <v/>
      </c>
      <c r="AS52" s="35" t="str">
        <f t="shared" si="8"/>
        <v/>
      </c>
      <c r="AT52" s="35" t="str">
        <f t="shared" si="9"/>
        <v/>
      </c>
      <c r="AU52" s="35" t="str">
        <f t="shared" si="10"/>
        <v/>
      </c>
      <c r="AV52" s="35" t="str">
        <f t="shared" si="11"/>
        <v/>
      </c>
      <c r="AW52" s="35" t="str">
        <f t="shared" si="12"/>
        <v/>
      </c>
      <c r="AX52" s="35" t="str">
        <f t="shared" si="13"/>
        <v/>
      </c>
      <c r="AY52" s="35" t="str">
        <f t="shared" si="14"/>
        <v/>
      </c>
      <c r="AZ52" s="35" t="str">
        <f t="shared" si="15"/>
        <v/>
      </c>
      <c r="BA52" s="35" t="str">
        <f t="shared" si="16"/>
        <v/>
      </c>
      <c r="BB52" s="35" t="str">
        <f t="shared" si="17"/>
        <v/>
      </c>
      <c r="BC52" s="35"/>
      <c r="BE52" s="35">
        <f ca="1">INDEX(SF_Output!$AA$2:$AA$400,MATCH($B52,SF_Output!$M$2:$M$400,0))</f>
        <v>3</v>
      </c>
      <c r="BF52" s="35">
        <f ca="1">INDEX(SF_Output!$AB$2:$AB$400,MATCH($B52,SF_Output!$M$2:$M$400,0))</f>
        <v>3</v>
      </c>
    </row>
    <row r="53" spans="2:58" x14ac:dyDescent="0.25">
      <c r="B53" t="s">
        <v>2253</v>
      </c>
      <c r="C53" t="s">
        <v>2122</v>
      </c>
      <c r="D53" t="s">
        <v>2123</v>
      </c>
      <c r="E53" t="s">
        <v>2150</v>
      </c>
      <c r="F53" s="116" t="str">
        <f t="shared" si="0"/>
        <v>Optional</v>
      </c>
      <c r="G53" t="str">
        <f>IF(B53="","",INDEX(SF_Output!$K$1:$K$400,MATCH(B53,SF_Output!$M$1:$M$400,0)))</f>
        <v>OutLink Item Processing</v>
      </c>
      <c r="H53" cm="1">
        <f t="array" ref="H53">_xlfn.IFS(B53="","",(SUMIFS(SF_Output!$F$1:$F$400,SF_Output!$AC$1:$AC$400,_xlfn.TEXTJOIN(",",TRUE,B53:E53))+SUMIFS(SF_Output!$G$1:$G$400,SF_Output!$AC$1:$AC$400,_xlfn.TEXTJOIN(",",TRUE,B53:E53)))&lt;&gt;0,SF_Output!$Y$2,INDEX(SF_Output!$F$1:$F$400,MATCH(_xlfn.TEXTJOIN(",",TRUE,B53:E53),SF_Output!$AC$1:$AC$400,0))=0,INDEX(SF_Output!$R$1:$R$400,MATCH(_xlfn.TEXTJOIN(",",TRUE,B53:E53),SF_Output!$AC$1:$AC$400,0)))</f>
        <v>1</v>
      </c>
      <c r="I53" s="125" t="str">
        <f>IFERROR(IF(AND(H53&gt;1,H53&lt;&gt;""),ROUND(SUMIFS(SF_Output!$S$1:$S$400,SF_Output!$AC$1:$AC$400,_xlfn.TEXTJOIN(",",TRUE,B53:E53),SF_Output!$Q$1:$Q$400,"monthly")*(1-W53)/H53,4),""),"")</f>
        <v/>
      </c>
      <c r="J53" s="6">
        <f>IF(B53="","",SUMIFS(SF_Output!$S$1:$S$400,SF_Output!$AC$1:$AC$400,_xlfn.TEXTJOIN(",",TRUE,B53:E53),SF_Output!$Q$1:$Q$400,"One Time",SF_Output!$L$1:$L$400,"license fee")+SUMIFS(SF_Output!$S$1:$S$400,SF_Output!$AC$1:$AC$400,_xlfn.TEXTJOIN(",",TRUE,B53:E53),SF_Output!$Q$1:$Q$400,"One Time",SF_Output!$L$1:$L$400,"software license")+SUMIFS(SF_Output!$S$1:$S$400,SF_Output!$AC$1:$AC$400,_xlfn.TEXTJOIN(",",TRUE,B53:E53),SF_Output!$Q$1:$Q$400,"One Time",SF_Output!$L$1:$L$400,"hardware"))</f>
        <v>0</v>
      </c>
      <c r="K53" s="112" t="str">
        <f>IF(OR(B53=0,B53="",G53="hardware",J53=0),"",IF(AF53&lt;&gt;"exclusion",MAX(K$9,-((SUMIFS(SF_Output!$T$1:$T$400,SF_Output!$AC$1:$AC$400,_xlfn.TEXTJOIN(",",TRUE,$B53:$E53),SF_Output!$Q$1:$Q$400,"One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license"))/J53)))</f>
        <v/>
      </c>
      <c r="L53" s="6">
        <f t="shared" si="1"/>
        <v>0</v>
      </c>
      <c r="N53" s="6">
        <f>IF(B53="","",SUMIFS(SF_Output!$S$1:$S$400,SF_Output!$AC$1:$AC$400,_xlfn.TEXTJOIN(",",TRUE,B53:E53),SF_Output!$Q$1:$Q$400,"One Time",SF_Output!$L$1:$L$400,"professional service"))</f>
        <v>7425</v>
      </c>
      <c r="O53" s="112">
        <f>IF(OR(B53=0,B53="",N53=0),"",IF(AF53&lt;&gt;"exclusion",MAX(O$9,-(SUMIFS(SF_Output!$T$1:$T$400,SF_Output!$AC$1:$AC$400,_xlfn.TEXTJOIN(",",TRUE,$B53:$E53),SF_Output!$Q$1:$Q$400,"One Time",SF_Output!$L$1:$L$400,"professional service"))/N53),-((SUMIFS(SF_Output!$T$1:$T$400,SF_Output!$AC$1:$AC$400,_xlfn.TEXTJOIN(",",TRUE,$B53:$E53),SF_Output!$Q$1:$Q$400,"One Time",SF_Output!$L$1:$L$400,"professional service")/N53))))</f>
        <v>0</v>
      </c>
      <c r="P53" s="6">
        <f t="shared" si="2"/>
        <v>7425</v>
      </c>
      <c r="R53" s="6">
        <f>IF(B53="","",SUMIFS(SF_Output!$S$1:$S$400,SF_Output!$AC$1:$AC$400,_xlfn.TEXTJOIN(",",TRUE,B53:E53),SF_Output!$Q$1:$Q$400,"yearly")+SUMIFS(SF_Output!$S$1:$S$400,SF_Output!$AC$1:$AC$400,_xlfn.TEXTJOIN(",",TRUE,B53:E53),SF_Output!$Q$1:$Q$400,"quarterly")*4)</f>
        <v>0</v>
      </c>
      <c r="S53" s="112" t="str">
        <f>IF(OR(B53=0,B53="",G53="hardware",R53=0),"",IF(AF53&lt;&gt;"exclusion",MAX(S$9,-(SUMIFS(SF_Output!$T$1:$T$400,SF_Output!$AC$1:$AC$400,_xlfn.TEXTJOIN(",",TRUE,$B53:$E53),SF_Output!$Q$1:$Q$400,"yearly"))/R53),-((SUMIFS(SF_Output!$T$1:$T$400,SF_Output!$AC$1:$AC$400,_xlfn.TEXTJOIN(",",TRUE,$B53:$E53),SF_Output!$Q$1:$Q$400,"yearly")/R53))))</f>
        <v/>
      </c>
      <c r="T53" s="6">
        <f t="shared" si="3"/>
        <v>0</v>
      </c>
      <c r="V53" s="6" cm="1">
        <f t="array" ref="V53">_xlfn.IFS(B53="","",AND(B53&lt;&gt;"",H53=SF_Output!$Y$2,SUMIFS(SF_Output!$T$1:$T$400,SF_Output!$AC$1:$AC$400,_xlfn.TEXTJOIN(",",TRUE,B53:E53),SF_Output!$Q$1:$Q$400,"monthly")=0),(SUMIFS(SF_Output!$F$1:$F$400,SF_Output!$AC$1:$AC$400,_xlfn.TEXTJOIN(",",TRUE,B53:E53),SF_Output!$Q$1:$Q$400,"monthly")+SUMIFS(SF_Output!$G$1:$G$400,SF_Output!$AC$1:$AC$400,_xlfn.TEXTJOIN(",",TRUE,B53:E53),SF_Output!$Q$1:$Q$400,"monthly"))*H53,AND(B53&lt;&gt;"",H53=SF_Output!$Y$2,SUMIFS(SF_Output!$T$1:$T$400,SF_Output!$AC$1:$AC$400,_xlfn.TEXTJOIN(",",TRUE,B53:E53),SF_Output!$Q$1:$Q$400,"monthly")&lt;&gt;0),SUMIFS(SF_Output!$S$1:$S$400,SF_Output!$AC$1:$AC$400,_xlfn.TEXTJOIN(",",TRUE,B53:E53),SF_Output!$Q$1:$Q$400,"monthly"),AND(B53&lt;&gt;"",H53&lt;&gt;SF_Output!$Y$2),SUMIFS(SF_Output!$S$1:$S$400,SF_Output!$AC$1:$AC$400,_xlfn.TEXTJOIN(",",TRUE,B53:E53),SF_Output!$Q$1:$Q$400,"monthly"))</f>
        <v>760</v>
      </c>
      <c r="W53" s="112" cm="1">
        <f t="array" ref="W53">_xlfn.IFS(OR(B53=0,B53="",V53=0),"",AF53&lt;&gt;"exclusion",MAX($W$9,$W$7,(-(SUMIFS(SF_Output!$T$1:$T$400,SF_Output!$AC$1:$AC$400,_xlfn.TEXTJOIN(",",TRUE,$B53:$E53),SF_Output!$Q$1:$Q$400,"monthly"))/V53)),AF53="exclusion",-(SUMIFS(SF_Output!$T$1:$T$400,SF_Output!$AC$1:$AC$400,_xlfn.TEXTJOIN(",",TRUE,$B53:$E53),SF_Output!$Q$1:$Q$400,"monthly"))/V53)</f>
        <v>0</v>
      </c>
      <c r="X53" s="6" cm="1">
        <f t="array" ref="X53">IFERROR(_xlfn.IFS(V53=0,0,V53="","",W53=0,V53,OR(V53&lt;&gt;0,V53&lt;&gt;""),H53*I53),V53*(1-W53))</f>
        <v>760</v>
      </c>
      <c r="Z53" s="6">
        <f>IFERROR(IF(B53="","",SUMIFS(Billing_Fallout!H:H,Billing_Fallout!N:N,B53)),0)</f>
        <v>0</v>
      </c>
      <c r="AA53" s="6">
        <f t="shared" si="4"/>
        <v>0</v>
      </c>
      <c r="AB53" s="6">
        <f>IFERROR(IF(B53="","",SUMIFS(Billing_Fallout!J:J,Billing_Fallout!N:N,B53)),0)</f>
        <v>0</v>
      </c>
      <c r="AD53" s="6">
        <f t="shared" si="5"/>
        <v>760</v>
      </c>
      <c r="AF53" t="str">
        <f>IFERROR(INDEX(H_Tables!$B$1:$B$1500,MATCH(INDEX(SF_Output!$J$1:$J$400,MATCH(B53,SF_Output!$M$1:$M$400,0)),H_Tables!$A$1:$A$1500,0)),"")</f>
        <v>Exclusion</v>
      </c>
      <c r="AI53" s="119" t="str">
        <f t="shared" si="6"/>
        <v/>
      </c>
      <c r="AJ53" s="121">
        <f>IFERROR(INDEX(SF_Output!AD:AD,MATCH(_xlfn.TEXTJOIN(",",TRUE,B53:E53),SF_Output!AC1:AC400,0)),0.05)</f>
        <v>86</v>
      </c>
      <c r="AK53" t="str">
        <f>IF(SUMIFS(SF_Output!$F$1:$F$400,SF_Output!$AC$1:$AC$400,_xlfn.TEXTJOIN(",",TRUE,B53:E53))+SUMIFS(SF_Output!$G$1:$G$400,SF_Output!$AC$1:$AC$400,_xlfn.TEXTJOIN(",",TRUE,B53:E53))=0,"","PAP")</f>
        <v/>
      </c>
      <c r="AL53" s="35" t="str">
        <f t="shared" si="7"/>
        <v>4|sight OrboAnywhere Fraud,New,Hosted by JHA,1</v>
      </c>
      <c r="AQ53" s="35"/>
      <c r="AR53" s="35" t="str" cm="1">
        <f t="array" ref="AR53">IFERROR(_xlfn.IFS(AND(E53*1=1,F53="Included"),"Change to Included",AND(E53*1=0,F53="Optional"),"Change to Optional",OR(B53="",F53="replaced"),""),"")</f>
        <v/>
      </c>
      <c r="AS53" s="35" t="str">
        <f t="shared" si="8"/>
        <v/>
      </c>
      <c r="AT53" s="35" t="str">
        <f t="shared" si="9"/>
        <v/>
      </c>
      <c r="AU53" s="35" t="str">
        <f t="shared" si="10"/>
        <v/>
      </c>
      <c r="AV53" s="35" t="str">
        <f t="shared" si="11"/>
        <v/>
      </c>
      <c r="AW53" s="35" t="str">
        <f t="shared" si="12"/>
        <v/>
      </c>
      <c r="AX53" s="35" t="str">
        <f t="shared" si="13"/>
        <v/>
      </c>
      <c r="AY53" s="35" t="str">
        <f t="shared" si="14"/>
        <v/>
      </c>
      <c r="AZ53" s="35" t="str">
        <f t="shared" si="15"/>
        <v/>
      </c>
      <c r="BA53" s="35" t="str">
        <f t="shared" si="16"/>
        <v/>
      </c>
      <c r="BB53" s="35" t="str">
        <f t="shared" si="17"/>
        <v/>
      </c>
      <c r="BC53" s="35"/>
      <c r="BE53" s="35">
        <f ca="1">INDEX(SF_Output!$AA$2:$AA$400,MATCH($B53,SF_Output!$M$2:$M$400,0))</f>
        <v>4</v>
      </c>
      <c r="BF53" s="35">
        <f ca="1">INDEX(SF_Output!$AB$2:$AB$400,MATCH($B53,SF_Output!$M$2:$M$400,0))</f>
        <v>2</v>
      </c>
    </row>
    <row r="54" spans="2:58" x14ac:dyDescent="0.25">
      <c r="B54" t="s">
        <v>2081</v>
      </c>
      <c r="C54" t="s">
        <v>2122</v>
      </c>
      <c r="D54" t="s">
        <v>2123</v>
      </c>
      <c r="E54" t="s">
        <v>2124</v>
      </c>
      <c r="F54" s="116" t="str">
        <f t="shared" si="0"/>
        <v>Included</v>
      </c>
      <c r="G54" t="str">
        <f>IF(B54="","",INDEX(SF_Output!$K$1:$K$400,MATCH(B54,SF_Output!$M$1:$M$400,0)))</f>
        <v>OutLink Item Processing</v>
      </c>
      <c r="H54" cm="1">
        <f t="array" ref="H54">_xlfn.IFS(B54="","",(SUMIFS(SF_Output!$F$1:$F$400,SF_Output!$AC$1:$AC$400,_xlfn.TEXTJOIN(",",TRUE,B54:E54))+SUMIFS(SF_Output!$G$1:$G$400,SF_Output!$AC$1:$AC$400,_xlfn.TEXTJOIN(",",TRUE,B54:E54)))&lt;&gt;0,SF_Output!$Y$2,INDEX(SF_Output!$F$1:$F$400,MATCH(_xlfn.TEXTJOIN(",",TRUE,B54:E54),SF_Output!$AC$1:$AC$400,0))=0,INDEX(SF_Output!$R$1:$R$400,MATCH(_xlfn.TEXTJOIN(",",TRUE,B54:E54),SF_Output!$AC$1:$AC$400,0)))</f>
        <v>5000</v>
      </c>
      <c r="I54" s="125">
        <f>IFERROR(IF(AND(H54&gt;1,H54&lt;&gt;""),ROUND(SUMIFS(SF_Output!$S$1:$S$400,SF_Output!$AC$1:$AC$400,_xlfn.TEXTJOIN(",",TRUE,B54:E54),SF_Output!$Q$1:$Q$400,"monthly")*(1-W54)/H54,4),""),"")</f>
        <v>0.33379999999999999</v>
      </c>
      <c r="J54" s="6">
        <f>IF(B54="","",SUMIFS(SF_Output!$S$1:$S$400,SF_Output!$AC$1:$AC$400,_xlfn.TEXTJOIN(",",TRUE,B54:E54),SF_Output!$Q$1:$Q$400,"One Time",SF_Output!$L$1:$L$400,"license fee")+SUMIFS(SF_Output!$S$1:$S$400,SF_Output!$AC$1:$AC$400,_xlfn.TEXTJOIN(",",TRUE,B54:E54),SF_Output!$Q$1:$Q$400,"One Time",SF_Output!$L$1:$L$400,"software license")+SUMIFS(SF_Output!$S$1:$S$400,SF_Output!$AC$1:$AC$400,_xlfn.TEXTJOIN(",",TRUE,B54:E54),SF_Output!$Q$1:$Q$400,"One Time",SF_Output!$L$1:$L$400,"hardware"))</f>
        <v>0</v>
      </c>
      <c r="K54" s="112" t="str">
        <f>IF(OR(B54=0,B54="",G54="hardware",J54=0),"",IF(AF54&lt;&gt;"exclusion",MAX(K$9,-((SUMIFS(SF_Output!$T$1:$T$400,SF_Output!$AC$1:$AC$400,_xlfn.TEXTJOIN(",",TRUE,$B54:$E54),SF_Output!$Q$1:$Q$400,"One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license"))/J54)))</f>
        <v/>
      </c>
      <c r="L54" s="6">
        <f t="shared" si="1"/>
        <v>0</v>
      </c>
      <c r="N54" s="6">
        <f>IF(B54="","",SUMIFS(SF_Output!$S$1:$S$400,SF_Output!$AC$1:$AC$400,_xlfn.TEXTJOIN(",",TRUE,B54:E54),SF_Output!$Q$1:$Q$400,"One Time",SF_Output!$L$1:$L$400,"professional service"))</f>
        <v>33900</v>
      </c>
      <c r="O54" s="112">
        <f>IF(OR(B54=0,B54="",N54=0),"",IF(AF54&lt;&gt;"exclusion",MAX(O$9,-(SUMIFS(SF_Output!$T$1:$T$400,SF_Output!$AC$1:$AC$400,_xlfn.TEXTJOIN(",",TRUE,$B54:$E54),SF_Output!$Q$1:$Q$400,"One Time",SF_Output!$L$1:$L$400,"professional service"))/N54),-((SUMIFS(SF_Output!$T$1:$T$400,SF_Output!$AC$1:$AC$400,_xlfn.TEXTJOIN(",",TRUE,$B54:$E54),SF_Output!$Q$1:$Q$400,"One Time",SF_Output!$L$1:$L$400,"professional service")/N54))))</f>
        <v>1</v>
      </c>
      <c r="P54" s="6">
        <f t="shared" si="2"/>
        <v>0</v>
      </c>
      <c r="R54" s="6">
        <f>IF(B54="","",SUMIFS(SF_Output!$S$1:$S$400,SF_Output!$AC$1:$AC$400,_xlfn.TEXTJOIN(",",TRUE,B54:E54),SF_Output!$Q$1:$Q$400,"yearly")+SUMIFS(SF_Output!$S$1:$S$400,SF_Output!$AC$1:$AC$400,_xlfn.TEXTJOIN(",",TRUE,B54:E54),SF_Output!$Q$1:$Q$400,"quarterly")*4)</f>
        <v>0</v>
      </c>
      <c r="S54" s="112" t="str">
        <f>IF(OR(B54=0,B54="",G54="hardware",R54=0),"",IF(AF54&lt;&gt;"exclusion",MAX(S$9,-(SUMIFS(SF_Output!$T$1:$T$400,SF_Output!$AC$1:$AC$400,_xlfn.TEXTJOIN(",",TRUE,$B54:$E54),SF_Output!$Q$1:$Q$400,"yearly"))/R54),-((SUMIFS(SF_Output!$T$1:$T$400,SF_Output!$AC$1:$AC$400,_xlfn.TEXTJOIN(",",TRUE,$B54:$E54),SF_Output!$Q$1:$Q$400,"yearly")/R54))))</f>
        <v/>
      </c>
      <c r="T54" s="6">
        <f t="shared" si="3"/>
        <v>0</v>
      </c>
      <c r="V54" s="6" cm="1">
        <f t="array" ref="V54">_xlfn.IFS(B54="","",AND(B54&lt;&gt;"",H54=SF_Output!$Y$2,SUMIFS(SF_Output!$T$1:$T$400,SF_Output!$AC$1:$AC$400,_xlfn.TEXTJOIN(",",TRUE,B54:E54),SF_Output!$Q$1:$Q$400,"monthly")=0),(SUMIFS(SF_Output!$F$1:$F$400,SF_Output!$AC$1:$AC$400,_xlfn.TEXTJOIN(",",TRUE,B54:E54),SF_Output!$Q$1:$Q$400,"monthly")+SUMIFS(SF_Output!$G$1:$G$400,SF_Output!$AC$1:$AC$400,_xlfn.TEXTJOIN(",",TRUE,B54:E54),SF_Output!$Q$1:$Q$400,"monthly"))*H54,AND(B54&lt;&gt;"",H54=SF_Output!$Y$2,SUMIFS(SF_Output!$T$1:$T$400,SF_Output!$AC$1:$AC$400,_xlfn.TEXTJOIN(",",TRUE,B54:E54),SF_Output!$Q$1:$Q$400,"monthly")&lt;&gt;0),SUMIFS(SF_Output!$S$1:$S$400,SF_Output!$AC$1:$AC$400,_xlfn.TEXTJOIN(",",TRUE,B54:E54),SF_Output!$Q$1:$Q$400,"monthly"),AND(B54&lt;&gt;"",H54&lt;&gt;SF_Output!$Y$2),SUMIFS(SF_Output!$S$1:$S$400,SF_Output!$AC$1:$AC$400,_xlfn.TEXTJOIN(",",TRUE,B54:E54),SF_Output!$Q$1:$Q$400,"monthly"))</f>
        <v>2225</v>
      </c>
      <c r="W54" s="112" cm="1">
        <f t="array" ref="W54">_xlfn.IFS(OR(B54=0,B54="",V54=0),"",AF54&lt;&gt;"exclusion",MAX($W$9,$W$7,(-(SUMIFS(SF_Output!$T$1:$T$400,SF_Output!$AC$1:$AC$400,_xlfn.TEXTJOIN(",",TRUE,$B54:$E54),SF_Output!$Q$1:$Q$400,"monthly"))/V54)),AF54="exclusion",-(SUMIFS(SF_Output!$T$1:$T$400,SF_Output!$AC$1:$AC$400,_xlfn.TEXTJOIN(",",TRUE,$B54:$E54),SF_Output!$Q$1:$Q$400,"monthly"))/V54)</f>
        <v>0.25</v>
      </c>
      <c r="X54" s="6" cm="1">
        <f t="array" ref="X54">IFERROR(_xlfn.IFS(V54=0,0,V54="","",W54=0,V54,OR(V54&lt;&gt;0,V54&lt;&gt;""),H54*I54),V54*(1-W54))</f>
        <v>1669</v>
      </c>
      <c r="Z54" s="6">
        <f>IFERROR(IF(B54="","",SUMIFS(Billing_Fallout!H:H,Billing_Fallout!N:N,B54)),0)</f>
        <v>0</v>
      </c>
      <c r="AA54" s="6">
        <f t="shared" si="4"/>
        <v>0</v>
      </c>
      <c r="AB54" s="6">
        <f>IFERROR(IF(B54="","",SUMIFS(Billing_Fallout!J:J,Billing_Fallout!N:N,B54)),0)</f>
        <v>0</v>
      </c>
      <c r="AD54" s="6">
        <f t="shared" si="5"/>
        <v>1669</v>
      </c>
      <c r="AF54" t="str">
        <f>IFERROR(INDEX(H_Tables!$B$1:$B$1500,MATCH(INDEX(SF_Output!$J$1:$J$400,MATCH(B54,SF_Output!$M$1:$M$400,0)),H_Tables!$A$1:$A$1500,0)),"")</f>
        <v>Exclusion</v>
      </c>
      <c r="AI54" s="119" t="str">
        <f t="shared" si="6"/>
        <v/>
      </c>
      <c r="AJ54" s="121">
        <f>IFERROR(INDEX(SF_Output!AD:AD,MATCH(_xlfn.TEXTJOIN(",",TRUE,B54:E54),SF_Output!AC1:AC400,0)),0.05)</f>
        <v>88</v>
      </c>
      <c r="AK54" t="str">
        <f>IF(SUMIFS(SF_Output!$F$1:$F$400,SF_Output!$AC$1:$AC$400,_xlfn.TEXTJOIN(",",TRUE,B54:E54))+SUMIFS(SF_Output!$G$1:$G$400,SF_Output!$AC$1:$AC$400,_xlfn.TEXTJOIN(",",TRUE,B54:E54))=0,"","PAP")</f>
        <v>PAP</v>
      </c>
      <c r="AL54" s="35" t="str">
        <f t="shared" si="7"/>
        <v>OutLink Item Imaging,New,Hosted by JHA,0</v>
      </c>
      <c r="AQ54" s="35"/>
      <c r="AR54" s="35" t="str" cm="1">
        <f t="array" ref="AR54">IFERROR(_xlfn.IFS(AND(E54*1=1,F54="Included"),"Change to Included",AND(E54*1=0,F54="Optional"),"Change to Optional",OR(B54="",F54="replaced"),""),"")</f>
        <v/>
      </c>
      <c r="AS54" s="35" t="str">
        <f t="shared" si="8"/>
        <v/>
      </c>
      <c r="AT54" s="35" t="str">
        <f t="shared" si="9"/>
        <v/>
      </c>
      <c r="AU54" s="35" t="str">
        <f t="shared" si="10"/>
        <v/>
      </c>
      <c r="AV54" s="35" t="str">
        <f t="shared" si="11"/>
        <v/>
      </c>
      <c r="AW54" s="35" t="str">
        <f t="shared" si="12"/>
        <v/>
      </c>
      <c r="AX54" s="35" t="str">
        <f t="shared" si="13"/>
        <v/>
      </c>
      <c r="AY54" s="35" t="str">
        <f t="shared" si="14"/>
        <v/>
      </c>
      <c r="AZ54" s="35" t="str">
        <f t="shared" si="15"/>
        <v/>
      </c>
      <c r="BA54" s="35" t="str">
        <f t="shared" si="16"/>
        <v/>
      </c>
      <c r="BB54" s="35" t="str">
        <f t="shared" si="17"/>
        <v/>
      </c>
      <c r="BC54" s="35"/>
      <c r="BE54" s="35">
        <f ca="1">INDEX(SF_Output!$AA$2:$AA$400,MATCH($B54,SF_Output!$M$2:$M$400,0))</f>
        <v>4</v>
      </c>
      <c r="BF54" s="35">
        <f ca="1">INDEX(SF_Output!$AB$2:$AB$400,MATCH($B54,SF_Output!$M$2:$M$400,0))</f>
        <v>2</v>
      </c>
    </row>
    <row r="55" spans="2:58" x14ac:dyDescent="0.25">
      <c r="B55" t="s">
        <v>1354</v>
      </c>
      <c r="C55" t="s">
        <v>2122</v>
      </c>
      <c r="D55" t="s">
        <v>2123</v>
      </c>
      <c r="E55" t="s">
        <v>2124</v>
      </c>
      <c r="F55" s="116" t="str">
        <f t="shared" si="0"/>
        <v>Included</v>
      </c>
      <c r="G55" t="str">
        <f>IF(B55="","",INDEX(SF_Output!$K$1:$K$400,MATCH(B55,SF_Output!$M$1:$M$400,0)))</f>
        <v>OutLink Item Processing</v>
      </c>
      <c r="H55" cm="1">
        <f t="array" ref="H55">_xlfn.IFS(B55="","",(SUMIFS(SF_Output!$F$1:$F$400,SF_Output!$AC$1:$AC$400,_xlfn.TEXTJOIN(",",TRUE,B55:E55))+SUMIFS(SF_Output!$G$1:$G$400,SF_Output!$AC$1:$AC$400,_xlfn.TEXTJOIN(",",TRUE,B55:E55)))&lt;&gt;0,SF_Output!$Y$2,INDEX(SF_Output!$F$1:$F$400,MATCH(_xlfn.TEXTJOIN(",",TRUE,B55:E55),SF_Output!$AC$1:$AC$400,0))=0,INDEX(SF_Output!$R$1:$R$400,MATCH(_xlfn.TEXTJOIN(",",TRUE,B55:E55),SF_Output!$AC$1:$AC$400,0)))</f>
        <v>1</v>
      </c>
      <c r="I55" s="125" t="str">
        <f>IFERROR(IF(AND(H55&gt;1,H55&lt;&gt;""),ROUND(SUMIFS(SF_Output!$S$1:$S$400,SF_Output!$AC$1:$AC$400,_xlfn.TEXTJOIN(",",TRUE,B55:E55),SF_Output!$Q$1:$Q$400,"monthly")*(1-W55)/H55,4),""),"")</f>
        <v/>
      </c>
      <c r="J55" s="6">
        <f>IF(B55="","",SUMIFS(SF_Output!$S$1:$S$400,SF_Output!$AC$1:$AC$400,_xlfn.TEXTJOIN(",",TRUE,B55:E55),SF_Output!$Q$1:$Q$400,"One Time",SF_Output!$L$1:$L$400,"license fee")+SUMIFS(SF_Output!$S$1:$S$400,SF_Output!$AC$1:$AC$400,_xlfn.TEXTJOIN(",",TRUE,B55:E55),SF_Output!$Q$1:$Q$400,"One Time",SF_Output!$L$1:$L$400,"software license")+SUMIFS(SF_Output!$S$1:$S$400,SF_Output!$AC$1:$AC$400,_xlfn.TEXTJOIN(",",TRUE,B55:E55),SF_Output!$Q$1:$Q$400,"One Time",SF_Output!$L$1:$L$400,"hardware"))</f>
        <v>0</v>
      </c>
      <c r="K55" s="112" t="str">
        <f>IF(OR(B55=0,B55="",G55="hardware",J55=0),"",IF(AF55&lt;&gt;"exclusion",MAX(K$9,-((SUMIFS(SF_Output!$T$1:$T$400,SF_Output!$AC$1:$AC$400,_xlfn.TEXTJOIN(",",TRUE,$B55:$E55),SF_Output!$Q$1:$Q$400,"One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license"))/J55)))</f>
        <v/>
      </c>
      <c r="L55" s="6">
        <f t="shared" si="1"/>
        <v>0</v>
      </c>
      <c r="N55" s="6">
        <f>IF(B55="","",SUMIFS(SF_Output!$S$1:$S$400,SF_Output!$AC$1:$AC$400,_xlfn.TEXTJOIN(",",TRUE,B55:E55),SF_Output!$Q$1:$Q$400,"One Time",SF_Output!$L$1:$L$400,"professional service"))</f>
        <v>1125</v>
      </c>
      <c r="O55" s="112">
        <f>IF(OR(B55=0,B55="",N55=0),"",IF(AF55&lt;&gt;"exclusion",MAX(O$9,-(SUMIFS(SF_Output!$T$1:$T$400,SF_Output!$AC$1:$AC$400,_xlfn.TEXTJOIN(",",TRUE,$B55:$E55),SF_Output!$Q$1:$Q$400,"One Time",SF_Output!$L$1:$L$400,"professional service"))/N55),-((SUMIFS(SF_Output!$T$1:$T$400,SF_Output!$AC$1:$AC$400,_xlfn.TEXTJOIN(",",TRUE,$B55:$E55),SF_Output!$Q$1:$Q$400,"One Time",SF_Output!$L$1:$L$400,"professional service")/N55))))</f>
        <v>0</v>
      </c>
      <c r="P55" s="6">
        <f t="shared" si="2"/>
        <v>1125</v>
      </c>
      <c r="R55" s="6">
        <f>IF(B55="","",SUMIFS(SF_Output!$S$1:$S$400,SF_Output!$AC$1:$AC$400,_xlfn.TEXTJOIN(",",TRUE,B55:E55),SF_Output!$Q$1:$Q$400,"yearly")+SUMIFS(SF_Output!$S$1:$S$400,SF_Output!$AC$1:$AC$400,_xlfn.TEXTJOIN(",",TRUE,B55:E55),SF_Output!$Q$1:$Q$400,"quarterly")*4)</f>
        <v>0</v>
      </c>
      <c r="S55" s="112" t="str">
        <f>IF(OR(B55=0,B55="",G55="hardware",R55=0),"",IF(AF55&lt;&gt;"exclusion",MAX(S$9,-(SUMIFS(SF_Output!$T$1:$T$400,SF_Output!$AC$1:$AC$400,_xlfn.TEXTJOIN(",",TRUE,$B55:$E55),SF_Output!$Q$1:$Q$400,"yearly"))/R55),-((SUMIFS(SF_Output!$T$1:$T$400,SF_Output!$AC$1:$AC$400,_xlfn.TEXTJOIN(",",TRUE,$B55:$E55),SF_Output!$Q$1:$Q$400,"yearly")/R55))))</f>
        <v/>
      </c>
      <c r="T55" s="6">
        <f t="shared" si="3"/>
        <v>0</v>
      </c>
      <c r="V55" s="6" cm="1">
        <f t="array" ref="V55">_xlfn.IFS(B55="","",AND(B55&lt;&gt;"",H55=SF_Output!$Y$2,SUMIFS(SF_Output!$T$1:$T$400,SF_Output!$AC$1:$AC$400,_xlfn.TEXTJOIN(",",TRUE,B55:E55),SF_Output!$Q$1:$Q$400,"monthly")=0),(SUMIFS(SF_Output!$F$1:$F$400,SF_Output!$AC$1:$AC$400,_xlfn.TEXTJOIN(",",TRUE,B55:E55),SF_Output!$Q$1:$Q$400,"monthly")+SUMIFS(SF_Output!$G$1:$G$400,SF_Output!$AC$1:$AC$400,_xlfn.TEXTJOIN(",",TRUE,B55:E55),SF_Output!$Q$1:$Q$400,"monthly"))*H55,AND(B55&lt;&gt;"",H55=SF_Output!$Y$2,SUMIFS(SF_Output!$T$1:$T$400,SF_Output!$AC$1:$AC$400,_xlfn.TEXTJOIN(",",TRUE,B55:E55),SF_Output!$Q$1:$Q$400,"monthly")&lt;&gt;0),SUMIFS(SF_Output!$S$1:$S$400,SF_Output!$AC$1:$AC$400,_xlfn.TEXTJOIN(",",TRUE,B55:E55),SF_Output!$Q$1:$Q$400,"monthly"),AND(B55&lt;&gt;"",H55&lt;&gt;SF_Output!$Y$2),SUMIFS(SF_Output!$S$1:$S$400,SF_Output!$AC$1:$AC$400,_xlfn.TEXTJOIN(",",TRUE,B55:E55),SF_Output!$Q$1:$Q$400,"monthly"))</f>
        <v>0</v>
      </c>
      <c r="W55" s="112" t="str" cm="1">
        <f t="array" ref="W55">_xlfn.IFS(OR(B55=0,B55="",V55=0),"",AF55&lt;&gt;"exclusion",MAX($W$9,$W$7,(-(SUMIFS(SF_Output!$T$1:$T$400,SF_Output!$AC$1:$AC$400,_xlfn.TEXTJOIN(",",TRUE,$B55:$E55),SF_Output!$Q$1:$Q$400,"monthly"))/V55)),AF55="exclusion",-(SUMIFS(SF_Output!$T$1:$T$400,SF_Output!$AC$1:$AC$400,_xlfn.TEXTJOIN(",",TRUE,$B55:$E55),SF_Output!$Q$1:$Q$400,"monthly"))/V55)</f>
        <v/>
      </c>
      <c r="X55" s="6" cm="1">
        <f t="array" ref="X55">IFERROR(_xlfn.IFS(V55=0,0,V55="","",W55=0,V55,OR(V55&lt;&gt;0,V55&lt;&gt;""),H55*I55),V55*(1-W55))</f>
        <v>0</v>
      </c>
      <c r="Z55" s="6">
        <f>IFERROR(IF(B55="","",SUMIFS(Billing_Fallout!H:H,Billing_Fallout!N:N,B55)),0)</f>
        <v>0</v>
      </c>
      <c r="AA55" s="6">
        <f t="shared" si="4"/>
        <v>0</v>
      </c>
      <c r="AB55" s="6">
        <f>IFERROR(IF(B55="","",SUMIFS(Billing_Fallout!J:J,Billing_Fallout!N:N,B55)),0)</f>
        <v>0</v>
      </c>
      <c r="AD55" s="6">
        <f t="shared" si="5"/>
        <v>0</v>
      </c>
      <c r="AF55" t="str">
        <f>IFERROR(INDEX(H_Tables!$B$1:$B$1500,MATCH(INDEX(SF_Output!$J$1:$J$400,MATCH(B55,SF_Output!$M$1:$M$400,0)),H_Tables!$A$1:$A$1500,0)),"")</f>
        <v>Exclusion</v>
      </c>
      <c r="AI55" s="119" t="str">
        <f t="shared" si="6"/>
        <v/>
      </c>
      <c r="AJ55" s="121">
        <f>IFERROR(INDEX(SF_Output!AD:AD,MATCH(_xlfn.TEXTJOIN(",",TRUE,B55:E55),SF_Output!AC1:AC400,0)),0.05)</f>
        <v>90</v>
      </c>
      <c r="AK55" t="str">
        <f>IF(SUMIFS(SF_Output!$F$1:$F$400,SF_Output!$AC$1:$AC$400,_xlfn.TEXTJOIN(",",TRUE,B55:E55))+SUMIFS(SF_Output!$G$1:$G$400,SF_Output!$AC$1:$AC$400,_xlfn.TEXTJOIN(",",TRUE,B55:E55))=0,"","PAP")</f>
        <v/>
      </c>
      <c r="AL55" s="35" t="str">
        <f t="shared" si="7"/>
        <v>OutLink Item Processing Customer Training,New,Hosted by JHA,0</v>
      </c>
      <c r="AQ55" s="35"/>
      <c r="AR55" s="35" t="str" cm="1">
        <f t="array" ref="AR55">IFERROR(_xlfn.IFS(AND(E55*1=1,F55="Included"),"Change to Included",AND(E55*1=0,F55="Optional"),"Change to Optional",OR(B55="",F55="replaced"),""),"")</f>
        <v/>
      </c>
      <c r="AS55" s="35" t="str">
        <f t="shared" si="8"/>
        <v/>
      </c>
      <c r="AT55" s="35" t="str">
        <f t="shared" si="9"/>
        <v/>
      </c>
      <c r="AU55" s="35" t="str">
        <f t="shared" si="10"/>
        <v/>
      </c>
      <c r="AV55" s="35" t="str">
        <f t="shared" si="11"/>
        <v/>
      </c>
      <c r="AW55" s="35" t="str">
        <f t="shared" si="12"/>
        <v/>
      </c>
      <c r="AX55" s="35" t="str">
        <f t="shared" si="13"/>
        <v/>
      </c>
      <c r="AY55" s="35" t="str">
        <f t="shared" si="14"/>
        <v/>
      </c>
      <c r="AZ55" s="35" t="str">
        <f t="shared" si="15"/>
        <v/>
      </c>
      <c r="BA55" s="35" t="str">
        <f t="shared" si="16"/>
        <v/>
      </c>
      <c r="BB55" s="35" t="str">
        <f t="shared" si="17"/>
        <v/>
      </c>
      <c r="BC55" s="35"/>
      <c r="BE55" s="35">
        <f ca="1">INDEX(SF_Output!$AA$2:$AA$400,MATCH($B55,SF_Output!$M$2:$M$400,0))</f>
        <v>4</v>
      </c>
      <c r="BF55" s="35">
        <f ca="1">INDEX(SF_Output!$AB$2:$AB$400,MATCH($B55,SF_Output!$M$2:$M$400,0))</f>
        <v>2</v>
      </c>
    </row>
    <row r="56" spans="2:58" x14ac:dyDescent="0.25">
      <c r="B56" t="s">
        <v>2259</v>
      </c>
      <c r="C56" t="s">
        <v>2122</v>
      </c>
      <c r="D56" t="s">
        <v>2123</v>
      </c>
      <c r="E56" t="s">
        <v>2124</v>
      </c>
      <c r="F56" s="116" t="str">
        <f t="shared" si="0"/>
        <v>Included</v>
      </c>
      <c r="G56" t="str">
        <f>IF(B56="","",INDEX(SF_Output!$K$1:$K$400,MATCH(B56,SF_Output!$M$1:$M$400,0)))</f>
        <v>OutLink Item Processing</v>
      </c>
      <c r="H56" cm="1">
        <f t="array" ref="H56">_xlfn.IFS(B56="","",(SUMIFS(SF_Output!$F$1:$F$400,SF_Output!$AC$1:$AC$400,_xlfn.TEXTJOIN(",",TRUE,B56:E56))+SUMIFS(SF_Output!$G$1:$G$400,SF_Output!$AC$1:$AC$400,_xlfn.TEXTJOIN(",",TRUE,B56:E56)))&lt;&gt;0,SF_Output!$Y$2,INDEX(SF_Output!$F$1:$F$400,MATCH(_xlfn.TEXTJOIN(",",TRUE,B56:E56),SF_Output!$AC$1:$AC$400,0))=0,INDEX(SF_Output!$R$1:$R$400,MATCH(_xlfn.TEXTJOIN(",",TRUE,B56:E56),SF_Output!$AC$1:$AC$400,0)))</f>
        <v>1</v>
      </c>
      <c r="I56" s="125" t="str">
        <f>IFERROR(IF(AND(H56&gt;1,H56&lt;&gt;""),ROUND(SUMIFS(SF_Output!$S$1:$S$400,SF_Output!$AC$1:$AC$400,_xlfn.TEXTJOIN(",",TRUE,B56:E56),SF_Output!$Q$1:$Q$400,"monthly")*(1-W56)/H56,4),""),"")</f>
        <v/>
      </c>
      <c r="J56" s="6">
        <f>IF(B56="","",SUMIFS(SF_Output!$S$1:$S$400,SF_Output!$AC$1:$AC$400,_xlfn.TEXTJOIN(",",TRUE,B56:E56),SF_Output!$Q$1:$Q$400,"One Time",SF_Output!$L$1:$L$400,"license fee")+SUMIFS(SF_Output!$S$1:$S$400,SF_Output!$AC$1:$AC$400,_xlfn.TEXTJOIN(",",TRUE,B56:E56),SF_Output!$Q$1:$Q$400,"One Time",SF_Output!$L$1:$L$400,"software license")+SUMIFS(SF_Output!$S$1:$S$400,SF_Output!$AC$1:$AC$400,_xlfn.TEXTJOIN(",",TRUE,B56:E56),SF_Output!$Q$1:$Q$400,"One Time",SF_Output!$L$1:$L$400,"hardware"))</f>
        <v>0</v>
      </c>
      <c r="K56" s="112" t="str">
        <f>IF(OR(B56=0,B56="",G56="hardware",J56=0),"",IF(AF56&lt;&gt;"exclusion",MAX(K$9,-((SUMIFS(SF_Output!$T$1:$T$400,SF_Output!$AC$1:$AC$400,_xlfn.TEXTJOIN(",",TRUE,$B56:$E56),SF_Output!$Q$1:$Q$400,"One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license"))/J56)))</f>
        <v/>
      </c>
      <c r="L56" s="6">
        <f t="shared" si="1"/>
        <v>0</v>
      </c>
      <c r="N56" s="6">
        <f>IF(B56="","",SUMIFS(SF_Output!$S$1:$S$400,SF_Output!$AC$1:$AC$400,_xlfn.TEXTJOIN(",",TRUE,B56:E56),SF_Output!$Q$1:$Q$400,"One Time",SF_Output!$L$1:$L$400,"professional service"))</f>
        <v>0</v>
      </c>
      <c r="O56" s="112" t="str">
        <f>IF(OR(B56=0,B56="",N56=0),"",IF(AF56&lt;&gt;"exclusion",MAX(O$9,-(SUMIFS(SF_Output!$T$1:$T$400,SF_Output!$AC$1:$AC$400,_xlfn.TEXTJOIN(",",TRUE,$B56:$E56),SF_Output!$Q$1:$Q$400,"One Time",SF_Output!$L$1:$L$400,"professional service"))/N56),-((SUMIFS(SF_Output!$T$1:$T$400,SF_Output!$AC$1:$AC$400,_xlfn.TEXTJOIN(",",TRUE,$B56:$E56),SF_Output!$Q$1:$Q$400,"One Time",SF_Output!$L$1:$L$400,"professional service")/N56))))</f>
        <v/>
      </c>
      <c r="P56" s="6">
        <f t="shared" si="2"/>
        <v>0</v>
      </c>
      <c r="R56" s="6">
        <f>IF(B56="","",SUMIFS(SF_Output!$S$1:$S$400,SF_Output!$AC$1:$AC$400,_xlfn.TEXTJOIN(",",TRUE,B56:E56),SF_Output!$Q$1:$Q$400,"yearly")+SUMIFS(SF_Output!$S$1:$S$400,SF_Output!$AC$1:$AC$400,_xlfn.TEXTJOIN(",",TRUE,B56:E56),SF_Output!$Q$1:$Q$400,"quarterly")*4)</f>
        <v>0</v>
      </c>
      <c r="S56" s="112" t="str">
        <f>IF(OR(B56=0,B56="",G56="hardware",R56=0),"",IF(AF56&lt;&gt;"exclusion",MAX(S$9,-(SUMIFS(SF_Output!$T$1:$T$400,SF_Output!$AC$1:$AC$400,_xlfn.TEXTJOIN(",",TRUE,$B56:$E56),SF_Output!$Q$1:$Q$400,"yearly"))/R56),-((SUMIFS(SF_Output!$T$1:$T$400,SF_Output!$AC$1:$AC$400,_xlfn.TEXTJOIN(",",TRUE,$B56:$E56),SF_Output!$Q$1:$Q$400,"yearly")/R56))))</f>
        <v/>
      </c>
      <c r="T56" s="6">
        <f t="shared" si="3"/>
        <v>0</v>
      </c>
      <c r="V56" s="6" cm="1">
        <f t="array" ref="V56">_xlfn.IFS(B56="","",AND(B56&lt;&gt;"",H56=SF_Output!$Y$2,SUMIFS(SF_Output!$T$1:$T$400,SF_Output!$AC$1:$AC$400,_xlfn.TEXTJOIN(",",TRUE,B56:E56),SF_Output!$Q$1:$Q$400,"monthly")=0),(SUMIFS(SF_Output!$F$1:$F$400,SF_Output!$AC$1:$AC$400,_xlfn.TEXTJOIN(",",TRUE,B56:E56),SF_Output!$Q$1:$Q$400,"monthly")+SUMIFS(SF_Output!$G$1:$G$400,SF_Output!$AC$1:$AC$400,_xlfn.TEXTJOIN(",",TRUE,B56:E56),SF_Output!$Q$1:$Q$400,"monthly"))*H56,AND(B56&lt;&gt;"",H56=SF_Output!$Y$2,SUMIFS(SF_Output!$T$1:$T$400,SF_Output!$AC$1:$AC$400,_xlfn.TEXTJOIN(",",TRUE,B56:E56),SF_Output!$Q$1:$Q$400,"monthly")&lt;&gt;0),SUMIFS(SF_Output!$S$1:$S$400,SF_Output!$AC$1:$AC$400,_xlfn.TEXTJOIN(",",TRUE,B56:E56),SF_Output!$Q$1:$Q$400,"monthly"),AND(B56&lt;&gt;"",H56&lt;&gt;SF_Output!$Y$2),SUMIFS(SF_Output!$S$1:$S$400,SF_Output!$AC$1:$AC$400,_xlfn.TEXTJOIN(",",TRUE,B56:E56),SF_Output!$Q$1:$Q$400,"monthly"))</f>
        <v>900</v>
      </c>
      <c r="W56" s="112" cm="1">
        <f t="array" ref="W56">_xlfn.IFS(OR(B56=0,B56="",V56=0),"",AF56&lt;&gt;"exclusion",MAX($W$9,$W$7,(-(SUMIFS(SF_Output!$T$1:$T$400,SF_Output!$AC$1:$AC$400,_xlfn.TEXTJOIN(",",TRUE,$B56:$E56),SF_Output!$Q$1:$Q$400,"monthly"))/V56)),AF56="exclusion",-(SUMIFS(SF_Output!$T$1:$T$400,SF_Output!$AC$1:$AC$400,_xlfn.TEXTJOIN(",",TRUE,$B56:$E56),SF_Output!$Q$1:$Q$400,"monthly"))/V56)</f>
        <v>0</v>
      </c>
      <c r="X56" s="6" cm="1">
        <f t="array" ref="X56">IFERROR(_xlfn.IFS(V56=0,0,V56="","",W56=0,V56,OR(V56&lt;&gt;0,V56&lt;&gt;""),H56*I56),V56*(1-W56))</f>
        <v>900</v>
      </c>
      <c r="Z56" s="6">
        <f>IFERROR(IF(B56="","",SUMIFS(Billing_Fallout!H:H,Billing_Fallout!N:N,B56)),0)</f>
        <v>0</v>
      </c>
      <c r="AA56" s="6">
        <f t="shared" si="4"/>
        <v>0</v>
      </c>
      <c r="AB56" s="6">
        <f>IFERROR(IF(B56="","",SUMIFS(Billing_Fallout!J:J,Billing_Fallout!N:N,B56)),0)</f>
        <v>0</v>
      </c>
      <c r="AD56" s="6">
        <f t="shared" si="5"/>
        <v>900</v>
      </c>
      <c r="AF56" t="str">
        <f>IFERROR(INDEX(H_Tables!$B$1:$B$1500,MATCH(INDEX(SF_Output!$J$1:$J$400,MATCH(B56,SF_Output!$M$1:$M$400,0)),H_Tables!$A$1:$A$1500,0)),"")</f>
        <v>Exclusion</v>
      </c>
      <c r="AI56" s="119" t="str">
        <f t="shared" si="6"/>
        <v/>
      </c>
      <c r="AJ56" s="121">
        <f>IFERROR(INDEX(SF_Output!AD:AD,MATCH(_xlfn.TEXTJOIN(",",TRUE,B56:E56),SF_Output!AC1:AC400,0)),0.05)</f>
        <v>91</v>
      </c>
      <c r="AK56" t="str">
        <f>IF(SUMIFS(SF_Output!$F$1:$F$400,SF_Output!$AC$1:$AC$400,_xlfn.TEXTJOIN(",",TRUE,B56:E56))+SUMIFS(SF_Output!$G$1:$G$400,SF_Output!$AC$1:$AC$400,_xlfn.TEXTJOIN(",",TRUE,B56:E56))=0,"","PAP")</f>
        <v/>
      </c>
      <c r="AL56" s="35" t="str">
        <f t="shared" si="7"/>
        <v>Outlink Statement Printing,New,Hosted by JHA,0</v>
      </c>
      <c r="AQ56" s="35"/>
      <c r="AR56" s="35" t="str" cm="1">
        <f t="array" ref="AR56">IFERROR(_xlfn.IFS(AND(E56*1=1,F56="Included"),"Change to Included",AND(E56*1=0,F56="Optional"),"Change to Optional",OR(B56="",F56="replaced"),""),"")</f>
        <v/>
      </c>
      <c r="AS56" s="35" t="str">
        <f t="shared" si="8"/>
        <v/>
      </c>
      <c r="AT56" s="35" t="str">
        <f t="shared" si="9"/>
        <v/>
      </c>
      <c r="AU56" s="35" t="str">
        <f t="shared" si="10"/>
        <v/>
      </c>
      <c r="AV56" s="35" t="str">
        <f t="shared" si="11"/>
        <v/>
      </c>
      <c r="AW56" s="35" t="str">
        <f t="shared" si="12"/>
        <v/>
      </c>
      <c r="AX56" s="35" t="str">
        <f t="shared" si="13"/>
        <v/>
      </c>
      <c r="AY56" s="35" t="str">
        <f t="shared" si="14"/>
        <v/>
      </c>
      <c r="AZ56" s="35" t="str">
        <f t="shared" si="15"/>
        <v/>
      </c>
      <c r="BA56" s="35" t="str">
        <f t="shared" si="16"/>
        <v/>
      </c>
      <c r="BB56" s="35" t="str">
        <f t="shared" si="17"/>
        <v/>
      </c>
      <c r="BC56" s="35"/>
      <c r="BE56" s="35">
        <f ca="1">INDEX(SF_Output!$AA$2:$AA$400,MATCH($B56,SF_Output!$M$2:$M$400,0))</f>
        <v>4</v>
      </c>
      <c r="BF56" s="35">
        <f ca="1">INDEX(SF_Output!$AB$2:$AB$400,MATCH($B56,SF_Output!$M$2:$M$400,0))</f>
        <v>2</v>
      </c>
    </row>
    <row r="57" spans="2:58" x14ac:dyDescent="0.25">
      <c r="B57" t="s">
        <v>1378</v>
      </c>
      <c r="C57" t="s">
        <v>2122</v>
      </c>
      <c r="D57" t="s">
        <v>2123</v>
      </c>
      <c r="E57" t="s">
        <v>2124</v>
      </c>
      <c r="F57" s="116" t="str">
        <f t="shared" si="0"/>
        <v>Included</v>
      </c>
      <c r="G57" t="str">
        <f>IF(B57="","",INDEX(SF_Output!$K$1:$K$400,MATCH(B57,SF_Output!$M$1:$M$400,0)))</f>
        <v>OutLink Item Processing</v>
      </c>
      <c r="H57" cm="1">
        <f t="array" ref="H57">_xlfn.IFS(B57="","",(SUMIFS(SF_Output!$F$1:$F$400,SF_Output!$AC$1:$AC$400,_xlfn.TEXTJOIN(",",TRUE,B57:E57))+SUMIFS(SF_Output!$G$1:$G$400,SF_Output!$AC$1:$AC$400,_xlfn.TEXTJOIN(",",TRUE,B57:E57)))&lt;&gt;0,SF_Output!$Y$2,INDEX(SF_Output!$F$1:$F$400,MATCH(_xlfn.TEXTJOIN(",",TRUE,B57:E57),SF_Output!$AC$1:$AC$400,0))=0,INDEX(SF_Output!$R$1:$R$400,MATCH(_xlfn.TEXTJOIN(",",TRUE,B57:E57),SF_Output!$AC$1:$AC$400,0)))</f>
        <v>1</v>
      </c>
      <c r="I57" s="125" t="str">
        <f>IFERROR(IF(AND(H57&gt;1,H57&lt;&gt;""),ROUND(SUMIFS(SF_Output!$S$1:$S$400,SF_Output!$AC$1:$AC$400,_xlfn.TEXTJOIN(",",TRUE,B57:E57),SF_Output!$Q$1:$Q$400,"monthly")*(1-W57)/H57,4),""),"")</f>
        <v/>
      </c>
      <c r="J57" s="6">
        <f>IF(B57="","",SUMIFS(SF_Output!$S$1:$S$400,SF_Output!$AC$1:$AC$400,_xlfn.TEXTJOIN(",",TRUE,B57:E57),SF_Output!$Q$1:$Q$400,"One Time",SF_Output!$L$1:$L$400,"license fee")+SUMIFS(SF_Output!$S$1:$S$400,SF_Output!$AC$1:$AC$400,_xlfn.TEXTJOIN(",",TRUE,B57:E57),SF_Output!$Q$1:$Q$400,"One Time",SF_Output!$L$1:$L$400,"software license")+SUMIFS(SF_Output!$S$1:$S$400,SF_Output!$AC$1:$AC$400,_xlfn.TEXTJOIN(",",TRUE,B57:E57),SF_Output!$Q$1:$Q$400,"One Time",SF_Output!$L$1:$L$400,"hardware"))</f>
        <v>0</v>
      </c>
      <c r="K57" s="112" t="str">
        <f>IF(OR(B57=0,B57="",G57="hardware",J57=0),"",IF(AF57&lt;&gt;"exclusion",MAX(K$9,-((SUMIFS(SF_Output!$T$1:$T$400,SF_Output!$AC$1:$AC$400,_xlfn.TEXTJOIN(",",TRUE,$B57:$E57),SF_Output!$Q$1:$Q$400,"One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license"))/J57)))</f>
        <v/>
      </c>
      <c r="L57" s="6">
        <f t="shared" si="1"/>
        <v>0</v>
      </c>
      <c r="N57" s="6">
        <f>IF(B57="","",SUMIFS(SF_Output!$S$1:$S$400,SF_Output!$AC$1:$AC$400,_xlfn.TEXTJOIN(",",TRUE,B57:E57),SF_Output!$Q$1:$Q$400,"One Time",SF_Output!$L$1:$L$400,"professional service"))</f>
        <v>500</v>
      </c>
      <c r="O57" s="112">
        <f>IF(OR(B57=0,B57="",N57=0),"",IF(AF57&lt;&gt;"exclusion",MAX(O$9,-(SUMIFS(SF_Output!$T$1:$T$400,SF_Output!$AC$1:$AC$400,_xlfn.TEXTJOIN(",",TRUE,$B57:$E57),SF_Output!$Q$1:$Q$400,"One Time",SF_Output!$L$1:$L$400,"professional service"))/N57),-((SUMIFS(SF_Output!$T$1:$T$400,SF_Output!$AC$1:$AC$400,_xlfn.TEXTJOIN(",",TRUE,$B57:$E57),SF_Output!$Q$1:$Q$400,"One Time",SF_Output!$L$1:$L$400,"professional service")/N57))))</f>
        <v>1</v>
      </c>
      <c r="P57" s="6">
        <f t="shared" si="2"/>
        <v>0</v>
      </c>
      <c r="R57" s="6">
        <f>IF(B57="","",SUMIFS(SF_Output!$S$1:$S$400,SF_Output!$AC$1:$AC$400,_xlfn.TEXTJOIN(",",TRUE,B57:E57),SF_Output!$Q$1:$Q$400,"yearly")+SUMIFS(SF_Output!$S$1:$S$400,SF_Output!$AC$1:$AC$400,_xlfn.TEXTJOIN(",",TRUE,B57:E57),SF_Output!$Q$1:$Q$400,"quarterly")*4)</f>
        <v>0</v>
      </c>
      <c r="S57" s="112" t="str">
        <f>IF(OR(B57=0,B57="",G57="hardware",R57=0),"",IF(AF57&lt;&gt;"exclusion",MAX(S$9,-(SUMIFS(SF_Output!$T$1:$T$400,SF_Output!$AC$1:$AC$400,_xlfn.TEXTJOIN(",",TRUE,$B57:$E57),SF_Output!$Q$1:$Q$400,"yearly"))/R57),-((SUMIFS(SF_Output!$T$1:$T$400,SF_Output!$AC$1:$AC$400,_xlfn.TEXTJOIN(",",TRUE,$B57:$E57),SF_Output!$Q$1:$Q$400,"yearly")/R57))))</f>
        <v/>
      </c>
      <c r="T57" s="6">
        <f t="shared" si="3"/>
        <v>0</v>
      </c>
      <c r="V57" s="6" cm="1">
        <f t="array" ref="V57">_xlfn.IFS(B57="","",AND(B57&lt;&gt;"",H57=SF_Output!$Y$2,SUMIFS(SF_Output!$T$1:$T$400,SF_Output!$AC$1:$AC$400,_xlfn.TEXTJOIN(",",TRUE,B57:E57),SF_Output!$Q$1:$Q$400,"monthly")=0),(SUMIFS(SF_Output!$F$1:$F$400,SF_Output!$AC$1:$AC$400,_xlfn.TEXTJOIN(",",TRUE,B57:E57),SF_Output!$Q$1:$Q$400,"monthly")+SUMIFS(SF_Output!$G$1:$G$400,SF_Output!$AC$1:$AC$400,_xlfn.TEXTJOIN(",",TRUE,B57:E57),SF_Output!$Q$1:$Q$400,"monthly"))*H57,AND(B57&lt;&gt;"",H57=SF_Output!$Y$2,SUMIFS(SF_Output!$T$1:$T$400,SF_Output!$AC$1:$AC$400,_xlfn.TEXTJOIN(",",TRUE,B57:E57),SF_Output!$Q$1:$Q$400,"monthly")&lt;&gt;0),SUMIFS(SF_Output!$S$1:$S$400,SF_Output!$AC$1:$AC$400,_xlfn.TEXTJOIN(",",TRUE,B57:E57),SF_Output!$Q$1:$Q$400,"monthly"),AND(B57&lt;&gt;"",H57&lt;&gt;SF_Output!$Y$2),SUMIFS(SF_Output!$S$1:$S$400,SF_Output!$AC$1:$AC$400,_xlfn.TEXTJOIN(",",TRUE,B57:E57),SF_Output!$Q$1:$Q$400,"monthly"))</f>
        <v>0</v>
      </c>
      <c r="W57" s="112" t="str" cm="1">
        <f t="array" ref="W57">_xlfn.IFS(OR(B57=0,B57="",V57=0),"",AF57&lt;&gt;"exclusion",MAX($W$9,$W$7,(-(SUMIFS(SF_Output!$T$1:$T$400,SF_Output!$AC$1:$AC$400,_xlfn.TEXTJOIN(",",TRUE,$B57:$E57),SF_Output!$Q$1:$Q$400,"monthly"))/V57)),AF57="exclusion",-(SUMIFS(SF_Output!$T$1:$T$400,SF_Output!$AC$1:$AC$400,_xlfn.TEXTJOIN(",",TRUE,$B57:$E57),SF_Output!$Q$1:$Q$400,"monthly"))/V57)</f>
        <v/>
      </c>
      <c r="X57" s="6" cm="1">
        <f t="array" ref="X57">IFERROR(_xlfn.IFS(V57=0,0,V57="","",W57=0,V57,OR(V57&lt;&gt;0,V57&lt;&gt;""),H57*I57),V57*(1-W57))</f>
        <v>0</v>
      </c>
      <c r="Z57" s="6">
        <f>IFERROR(IF(B57="","",SUMIFS(Billing_Fallout!H:H,Billing_Fallout!N:N,B57)),0)</f>
        <v>0</v>
      </c>
      <c r="AA57" s="6">
        <f t="shared" si="4"/>
        <v>0</v>
      </c>
      <c r="AB57" s="6">
        <f>IFERROR(IF(B57="","",SUMIFS(Billing_Fallout!J:J,Billing_Fallout!N:N,B57)),0)</f>
        <v>0</v>
      </c>
      <c r="AD57" s="6">
        <f t="shared" si="5"/>
        <v>0</v>
      </c>
      <c r="AF57" t="str">
        <f>IFERROR(INDEX(H_Tables!$B$1:$B$1500,MATCH(INDEX(SF_Output!$J$1:$J$400,MATCH(B57,SF_Output!$M$1:$M$400,0)),H_Tables!$A$1:$A$1500,0)),"")</f>
        <v>Exclusion</v>
      </c>
      <c r="AI57" s="119" t="str">
        <f t="shared" si="6"/>
        <v/>
      </c>
      <c r="AJ57" s="121">
        <f>IFERROR(INDEX(SF_Output!AD:AD,MATCH(_xlfn.TEXTJOIN(",",TRUE,B57:E57),SF_Output!AC1:AC400,0)),0.05)</f>
        <v>92</v>
      </c>
      <c r="AK57" t="str">
        <f>IF(SUMIFS(SF_Output!$F$1:$F$400,SF_Output!$AC$1:$AC$400,_xlfn.TEXTJOIN(",",TRUE,B57:E57))+SUMIFS(SF_Output!$G$1:$G$400,SF_Output!$AC$1:$AC$400,_xlfn.TEXTJOIN(",",TRUE,B57:E57))=0,"","PAP")</f>
        <v/>
      </c>
      <c r="AL57" s="35" t="str">
        <f t="shared" si="7"/>
        <v>Premium Notice Printing,New,Hosted by JHA,0</v>
      </c>
      <c r="AQ57" s="35"/>
      <c r="AR57" s="35" t="str" cm="1">
        <f t="array" ref="AR57">IFERROR(_xlfn.IFS(AND(E57*1=1,F57="Included"),"Change to Included",AND(E57*1=0,F57="Optional"),"Change to Optional",OR(B57="",F57="replaced"),""),"")</f>
        <v/>
      </c>
      <c r="AS57" s="35" t="str">
        <f t="shared" si="8"/>
        <v/>
      </c>
      <c r="AT57" s="35" t="str">
        <f t="shared" si="9"/>
        <v/>
      </c>
      <c r="AU57" s="35" t="str">
        <f t="shared" si="10"/>
        <v/>
      </c>
      <c r="AV57" s="35" t="str">
        <f t="shared" si="11"/>
        <v/>
      </c>
      <c r="AW57" s="35" t="str">
        <f t="shared" si="12"/>
        <v/>
      </c>
      <c r="AX57" s="35" t="str">
        <f t="shared" si="13"/>
        <v/>
      </c>
      <c r="AY57" s="35" t="str">
        <f t="shared" si="14"/>
        <v/>
      </c>
      <c r="AZ57" s="35" t="str">
        <f t="shared" si="15"/>
        <v/>
      </c>
      <c r="BA57" s="35" t="str">
        <f t="shared" si="16"/>
        <v/>
      </c>
      <c r="BB57" s="35" t="str">
        <f t="shared" si="17"/>
        <v/>
      </c>
      <c r="BC57" s="35"/>
      <c r="BE57" s="35">
        <f ca="1">INDEX(SF_Output!$AA$2:$AA$400,MATCH($B57,SF_Output!$M$2:$M$400,0))</f>
        <v>4</v>
      </c>
      <c r="BF57" s="35">
        <f ca="1">INDEX(SF_Output!$AB$2:$AB$400,MATCH($B57,SF_Output!$M$2:$M$400,0))</f>
        <v>2</v>
      </c>
    </row>
    <row r="58" spans="2:58" x14ac:dyDescent="0.25">
      <c r="B58" t="s">
        <v>1407</v>
      </c>
      <c r="C58" t="s">
        <v>2122</v>
      </c>
      <c r="D58" t="s">
        <v>2207</v>
      </c>
      <c r="E58" t="s">
        <v>2150</v>
      </c>
      <c r="F58" s="116" t="str">
        <f t="shared" si="0"/>
        <v>Optional</v>
      </c>
      <c r="G58" t="str">
        <f>IF(B58="","",INDEX(SF_Output!$K$1:$K$400,MATCH(B58,SF_Output!$M$1:$M$400,0)))</f>
        <v>AlertCenter</v>
      </c>
      <c r="H58" cm="1">
        <f t="array" ref="H58">_xlfn.IFS(B58="","",(SUMIFS(SF_Output!$F$1:$F$400,SF_Output!$AC$1:$AC$400,_xlfn.TEXTJOIN(",",TRUE,B58:E58))+SUMIFS(SF_Output!$G$1:$G$400,SF_Output!$AC$1:$AC$400,_xlfn.TEXTJOIN(",",TRUE,B58:E58)))&lt;&gt;0,SF_Output!$Y$2,INDEX(SF_Output!$F$1:$F$400,MATCH(_xlfn.TEXTJOIN(",",TRUE,B58:E58),SF_Output!$AC$1:$AC$400,0))=0,INDEX(SF_Output!$R$1:$R$400,MATCH(_xlfn.TEXTJOIN(",",TRUE,B58:E58),SF_Output!$AC$1:$AC$400,0)))</f>
        <v>1</v>
      </c>
      <c r="I58" s="125" t="str">
        <f>IFERROR(IF(AND(H58&gt;1,H58&lt;&gt;""),ROUND(SUMIFS(SF_Output!$S$1:$S$400,SF_Output!$AC$1:$AC$400,_xlfn.TEXTJOIN(",",TRUE,B58:E58),SF_Output!$Q$1:$Q$400,"monthly")*(1-W58)/H58,4),""),"")</f>
        <v/>
      </c>
      <c r="J58" s="6">
        <f>IF(B58="","",SUMIFS(SF_Output!$S$1:$S$400,SF_Output!$AC$1:$AC$400,_xlfn.TEXTJOIN(",",TRUE,B58:E58),SF_Output!$Q$1:$Q$400,"One Time",SF_Output!$L$1:$L$400,"license fee")+SUMIFS(SF_Output!$S$1:$S$400,SF_Output!$AC$1:$AC$400,_xlfn.TEXTJOIN(",",TRUE,B58:E58),SF_Output!$Q$1:$Q$400,"One Time",SF_Output!$L$1:$L$400,"software license")+SUMIFS(SF_Output!$S$1:$S$400,SF_Output!$AC$1:$AC$400,_xlfn.TEXTJOIN(",",TRUE,B58:E58),SF_Output!$Q$1:$Q$400,"One Time",SF_Output!$L$1:$L$400,"hardware"))</f>
        <v>0</v>
      </c>
      <c r="K58" s="112" t="str">
        <f>IF(OR(B58=0,B58="",G58="hardware",J58=0),"",IF(AF58&lt;&gt;"exclusion",MAX(K$9,-((SUMIFS(SF_Output!$T$1:$T$400,SF_Output!$AC$1:$AC$400,_xlfn.TEXTJOIN(",",TRUE,$B58:$E58),SF_Output!$Q$1:$Q$400,"One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license"))/J58)))</f>
        <v/>
      </c>
      <c r="L58" s="6">
        <f t="shared" si="1"/>
        <v>0</v>
      </c>
      <c r="N58" s="6">
        <f>IF(B58="","",SUMIFS(SF_Output!$S$1:$S$400,SF_Output!$AC$1:$AC$400,_xlfn.TEXTJOIN(",",TRUE,B58:E58),SF_Output!$Q$1:$Q$400,"One Time",SF_Output!$L$1:$L$400,"professional service"))</f>
        <v>0</v>
      </c>
      <c r="O58" s="112" t="str">
        <f>IF(OR(B58=0,B58="",N58=0),"",IF(AF58&lt;&gt;"exclusion",MAX(O$9,-(SUMIFS(SF_Output!$T$1:$T$400,SF_Output!$AC$1:$AC$400,_xlfn.TEXTJOIN(",",TRUE,$B58:$E58),SF_Output!$Q$1:$Q$400,"One Time",SF_Output!$L$1:$L$400,"professional service"))/N58),-((SUMIFS(SF_Output!$T$1:$T$400,SF_Output!$AC$1:$AC$400,_xlfn.TEXTJOIN(",",TRUE,$B58:$E58),SF_Output!$Q$1:$Q$400,"One Time",SF_Output!$L$1:$L$400,"professional service")/N58))))</f>
        <v/>
      </c>
      <c r="P58" s="6">
        <f t="shared" si="2"/>
        <v>0</v>
      </c>
      <c r="R58" s="6">
        <f>IF(B58="","",SUMIFS(SF_Output!$S$1:$S$400,SF_Output!$AC$1:$AC$400,_xlfn.TEXTJOIN(",",TRUE,B58:E58),SF_Output!$Q$1:$Q$400,"yearly")+SUMIFS(SF_Output!$S$1:$S$400,SF_Output!$AC$1:$AC$400,_xlfn.TEXTJOIN(",",TRUE,B58:E58),SF_Output!$Q$1:$Q$400,"quarterly")*4)</f>
        <v>0</v>
      </c>
      <c r="S58" s="112" t="str">
        <f>IF(OR(B58=0,B58="",G58="hardware",R58=0),"",IF(AF58&lt;&gt;"exclusion",MAX(S$9,-(SUMIFS(SF_Output!$T$1:$T$400,SF_Output!$AC$1:$AC$400,_xlfn.TEXTJOIN(",",TRUE,$B58:$E58),SF_Output!$Q$1:$Q$400,"yearly"))/R58),-((SUMIFS(SF_Output!$T$1:$T$400,SF_Output!$AC$1:$AC$400,_xlfn.TEXTJOIN(",",TRUE,$B58:$E58),SF_Output!$Q$1:$Q$400,"yearly")/R58))))</f>
        <v/>
      </c>
      <c r="T58" s="6">
        <f t="shared" si="3"/>
        <v>0</v>
      </c>
      <c r="V58" s="6" cm="1">
        <f t="array" ref="V58">_xlfn.IFS(B58="","",AND(B58&lt;&gt;"",H58=SF_Output!$Y$2,SUMIFS(SF_Output!$T$1:$T$400,SF_Output!$AC$1:$AC$400,_xlfn.TEXTJOIN(",",TRUE,B58:E58),SF_Output!$Q$1:$Q$400,"monthly")=0),(SUMIFS(SF_Output!$F$1:$F$400,SF_Output!$AC$1:$AC$400,_xlfn.TEXTJOIN(",",TRUE,B58:E58),SF_Output!$Q$1:$Q$400,"monthly")+SUMIFS(SF_Output!$G$1:$G$400,SF_Output!$AC$1:$AC$400,_xlfn.TEXTJOIN(",",TRUE,B58:E58),SF_Output!$Q$1:$Q$400,"monthly"))*H58,AND(B58&lt;&gt;"",H58=SF_Output!$Y$2,SUMIFS(SF_Output!$T$1:$T$400,SF_Output!$AC$1:$AC$400,_xlfn.TEXTJOIN(",",TRUE,B58:E58),SF_Output!$Q$1:$Q$400,"monthly")&lt;&gt;0),SUMIFS(SF_Output!$S$1:$S$400,SF_Output!$AC$1:$AC$400,_xlfn.TEXTJOIN(",",TRUE,B58:E58),SF_Output!$Q$1:$Q$400,"monthly"),AND(B58&lt;&gt;"",H58&lt;&gt;SF_Output!$Y$2),SUMIFS(SF_Output!$S$1:$S$400,SF_Output!$AC$1:$AC$400,_xlfn.TEXTJOIN(",",TRUE,B58:E58),SF_Output!$Q$1:$Q$400,"monthly"))</f>
        <v>420</v>
      </c>
      <c r="W58" s="112" cm="1">
        <f t="array" ref="W58">_xlfn.IFS(OR(B58=0,B58="",V58=0),"",AF58&lt;&gt;"exclusion",MAX($W$9,$W$7,(-(SUMIFS(SF_Output!$T$1:$T$400,SF_Output!$AC$1:$AC$400,_xlfn.TEXTJOIN(",",TRUE,$B58:$E58),SF_Output!$Q$1:$Q$400,"monthly"))/V58)),AF58="exclusion",-(SUMIFS(SF_Output!$T$1:$T$400,SF_Output!$AC$1:$AC$400,_xlfn.TEXTJOIN(",",TRUE,$B58:$E58),SF_Output!$Q$1:$Q$400,"monthly"))/V58)</f>
        <v>0</v>
      </c>
      <c r="X58" s="6" cm="1">
        <f t="array" ref="X58">IFERROR(_xlfn.IFS(V58=0,0,V58="","",W58=0,V58,OR(V58&lt;&gt;0,V58&lt;&gt;""),H58*I58),V58*(1-W58))</f>
        <v>420</v>
      </c>
      <c r="Z58" s="6">
        <f>IFERROR(IF(B58="","",SUMIFS(Billing_Fallout!H:H,Billing_Fallout!N:N,B58)),0)</f>
        <v>0</v>
      </c>
      <c r="AA58" s="6">
        <f t="shared" si="4"/>
        <v>0</v>
      </c>
      <c r="AB58" s="6">
        <f>IFERROR(IF(B58="","",SUMIFS(Billing_Fallout!J:J,Billing_Fallout!N:N,B58)),0)</f>
        <v>0</v>
      </c>
      <c r="AD58" s="6">
        <f t="shared" si="5"/>
        <v>420</v>
      </c>
      <c r="AF58" t="str">
        <f>IFERROR(INDEX(H_Tables!$B$1:$B$1500,MATCH(INDEX(SF_Output!$J$1:$J$400,MATCH(B58,SF_Output!$M$1:$M$400,0)),H_Tables!$A$1:$A$1500,0)),"")</f>
        <v>Exclusion</v>
      </c>
      <c r="AI58" s="119" t="str">
        <f t="shared" si="6"/>
        <v/>
      </c>
      <c r="AJ58" s="121">
        <f>IFERROR(INDEX(SF_Output!AD:AD,MATCH(_xlfn.TEXTJOIN(",",TRUE,B58:E58),SF_Output!AC1:AC400,0)),0.05)</f>
        <v>93</v>
      </c>
      <c r="AK58" t="str">
        <f>IF(SUMIFS(SF_Output!$F$1:$F$400,SF_Output!$AC$1:$AC$400,_xlfn.TEXTJOIN(",",TRUE,B58:E58))+SUMIFS(SF_Output!$G$1:$G$400,SF_Output!$AC$1:$AC$400,_xlfn.TEXTJOIN(",",TRUE,B58:E58))=0,"","PAP")</f>
        <v/>
      </c>
      <c r="AL58" s="35" t="str">
        <f t="shared" si="7"/>
        <v>AlertCenter with: Advanced Fraud Solutions ("AFS"),New,Hosted by 3rd Party,1</v>
      </c>
      <c r="AQ58" s="35"/>
      <c r="AR58" s="35" t="str" cm="1">
        <f t="array" ref="AR58">IFERROR(_xlfn.IFS(AND(E58*1=1,F58="Included"),"Change to Included",AND(E58*1=0,F58="Optional"),"Change to Optional",OR(B58="",F58="replaced"),""),"")</f>
        <v/>
      </c>
      <c r="AS58" s="35" t="str">
        <f t="shared" si="8"/>
        <v/>
      </c>
      <c r="AT58" s="35" t="str">
        <f t="shared" si="9"/>
        <v/>
      </c>
      <c r="AU58" s="35" t="str">
        <f t="shared" si="10"/>
        <v/>
      </c>
      <c r="AV58" s="35" t="str">
        <f t="shared" si="11"/>
        <v/>
      </c>
      <c r="AW58" s="35" t="str">
        <f t="shared" si="12"/>
        <v/>
      </c>
      <c r="AX58" s="35" t="str">
        <f t="shared" si="13"/>
        <v/>
      </c>
      <c r="AY58" s="35" t="str">
        <f t="shared" si="14"/>
        <v/>
      </c>
      <c r="AZ58" s="35" t="str">
        <f t="shared" si="15"/>
        <v/>
      </c>
      <c r="BA58" s="35" t="str">
        <f t="shared" si="16"/>
        <v/>
      </c>
      <c r="BB58" s="35" t="str">
        <f t="shared" si="17"/>
        <v/>
      </c>
      <c r="BC58" s="35"/>
      <c r="BE58" s="35">
        <f ca="1">INDEX(SF_Output!$AA$2:$AA$400,MATCH($B58,SF_Output!$M$2:$M$400,0))</f>
        <v>4</v>
      </c>
      <c r="BF58" s="35">
        <f ca="1">INDEX(SF_Output!$AB$2:$AB$400,MATCH($B58,SF_Output!$M$2:$M$400,0))</f>
        <v>4</v>
      </c>
    </row>
    <row r="59" spans="2:58" x14ac:dyDescent="0.25">
      <c r="B59" t="s">
        <v>1409</v>
      </c>
      <c r="C59" t="s">
        <v>2122</v>
      </c>
      <c r="D59" t="s">
        <v>2207</v>
      </c>
      <c r="E59" t="s">
        <v>2150</v>
      </c>
      <c r="F59" s="116" t="str">
        <f t="shared" si="0"/>
        <v>Optional</v>
      </c>
      <c r="G59" t="str">
        <f>IF(B59="","",INDEX(SF_Output!$K$1:$K$400,MATCH(B59,SF_Output!$M$1:$M$400,0)))</f>
        <v>AlertCenter</v>
      </c>
      <c r="H59" cm="1">
        <f t="array" ref="H59">_xlfn.IFS(B59="","",(SUMIFS(SF_Output!$F$1:$F$400,SF_Output!$AC$1:$AC$400,_xlfn.TEXTJOIN(",",TRUE,B59:E59))+SUMIFS(SF_Output!$G$1:$G$400,SF_Output!$AC$1:$AC$400,_xlfn.TEXTJOIN(",",TRUE,B59:E59)))&lt;&gt;0,SF_Output!$Y$2,INDEX(SF_Output!$F$1:$F$400,MATCH(_xlfn.TEXTJOIN(",",TRUE,B59:E59),SF_Output!$AC$1:$AC$400,0))=0,INDEX(SF_Output!$R$1:$R$400,MATCH(_xlfn.TEXTJOIN(",",TRUE,B59:E59),SF_Output!$AC$1:$AC$400,0)))</f>
        <v>1</v>
      </c>
      <c r="I59" s="125" t="str">
        <f>IFERROR(IF(AND(H59&gt;1,H59&lt;&gt;""),ROUND(SUMIFS(SF_Output!$S$1:$S$400,SF_Output!$AC$1:$AC$400,_xlfn.TEXTJOIN(",",TRUE,B59:E59),SF_Output!$Q$1:$Q$400,"monthly")*(1-W59)/H59,4),""),"")</f>
        <v/>
      </c>
      <c r="J59" s="6">
        <f>IF(B59="","",SUMIFS(SF_Output!$S$1:$S$400,SF_Output!$AC$1:$AC$400,_xlfn.TEXTJOIN(",",TRUE,B59:E59),SF_Output!$Q$1:$Q$400,"One Time",SF_Output!$L$1:$L$400,"license fee")+SUMIFS(SF_Output!$S$1:$S$400,SF_Output!$AC$1:$AC$400,_xlfn.TEXTJOIN(",",TRUE,B59:E59),SF_Output!$Q$1:$Q$400,"One Time",SF_Output!$L$1:$L$400,"software license")+SUMIFS(SF_Output!$S$1:$S$400,SF_Output!$AC$1:$AC$400,_xlfn.TEXTJOIN(",",TRUE,B59:E59),SF_Output!$Q$1:$Q$400,"One Time",SF_Output!$L$1:$L$400,"hardware"))</f>
        <v>0</v>
      </c>
      <c r="K59" s="112" t="str">
        <f>IF(OR(B59=0,B59="",G59="hardware",J59=0),"",IF(AF59&lt;&gt;"exclusion",MAX(K$9,-((SUMIFS(SF_Output!$T$1:$T$400,SF_Output!$AC$1:$AC$400,_xlfn.TEXTJOIN(",",TRUE,$B59:$E59),SF_Output!$Q$1:$Q$400,"One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license"))/J59)))</f>
        <v/>
      </c>
      <c r="L59" s="6">
        <f t="shared" si="1"/>
        <v>0</v>
      </c>
      <c r="N59" s="6">
        <f>IF(B59="","",SUMIFS(SF_Output!$S$1:$S$400,SF_Output!$AC$1:$AC$400,_xlfn.TEXTJOIN(",",TRUE,B59:E59),SF_Output!$Q$1:$Q$400,"One Time",SF_Output!$L$1:$L$400,"professional service"))</f>
        <v>825</v>
      </c>
      <c r="O59" s="112">
        <f>IF(OR(B59=0,B59="",N59=0),"",IF(AF59&lt;&gt;"exclusion",MAX(O$9,-(SUMIFS(SF_Output!$T$1:$T$400,SF_Output!$AC$1:$AC$400,_xlfn.TEXTJOIN(",",TRUE,$B59:$E59),SF_Output!$Q$1:$Q$400,"One Time",SF_Output!$L$1:$L$400,"professional service"))/N59),-((SUMIFS(SF_Output!$T$1:$T$400,SF_Output!$AC$1:$AC$400,_xlfn.TEXTJOIN(",",TRUE,$B59:$E59),SF_Output!$Q$1:$Q$400,"One Time",SF_Output!$L$1:$L$400,"professional service")/N59))))</f>
        <v>0</v>
      </c>
      <c r="P59" s="6">
        <f t="shared" si="2"/>
        <v>825</v>
      </c>
      <c r="R59" s="6">
        <f>IF(B59="","",SUMIFS(SF_Output!$S$1:$S$400,SF_Output!$AC$1:$AC$400,_xlfn.TEXTJOIN(",",TRUE,B59:E59),SF_Output!$Q$1:$Q$400,"yearly")+SUMIFS(SF_Output!$S$1:$S$400,SF_Output!$AC$1:$AC$400,_xlfn.TEXTJOIN(",",TRUE,B59:E59),SF_Output!$Q$1:$Q$400,"quarterly")*4)</f>
        <v>0</v>
      </c>
      <c r="S59" s="112" t="str">
        <f>IF(OR(B59=0,B59="",G59="hardware",R59=0),"",IF(AF59&lt;&gt;"exclusion",MAX(S$9,-(SUMIFS(SF_Output!$T$1:$T$400,SF_Output!$AC$1:$AC$400,_xlfn.TEXTJOIN(",",TRUE,$B59:$E59),SF_Output!$Q$1:$Q$400,"yearly"))/R59),-((SUMIFS(SF_Output!$T$1:$T$400,SF_Output!$AC$1:$AC$400,_xlfn.TEXTJOIN(",",TRUE,$B59:$E59),SF_Output!$Q$1:$Q$400,"yearly")/R59))))</f>
        <v/>
      </c>
      <c r="T59" s="6">
        <f t="shared" si="3"/>
        <v>0</v>
      </c>
      <c r="V59" s="6" cm="1">
        <f t="array" ref="V59">_xlfn.IFS(B59="","",AND(B59&lt;&gt;"",H59=SF_Output!$Y$2,SUMIFS(SF_Output!$T$1:$T$400,SF_Output!$AC$1:$AC$400,_xlfn.TEXTJOIN(",",TRUE,B59:E59),SF_Output!$Q$1:$Q$400,"monthly")=0),(SUMIFS(SF_Output!$F$1:$F$400,SF_Output!$AC$1:$AC$400,_xlfn.TEXTJOIN(",",TRUE,B59:E59),SF_Output!$Q$1:$Q$400,"monthly")+SUMIFS(SF_Output!$G$1:$G$400,SF_Output!$AC$1:$AC$400,_xlfn.TEXTJOIN(",",TRUE,B59:E59),SF_Output!$Q$1:$Q$400,"monthly"))*H59,AND(B59&lt;&gt;"",H59=SF_Output!$Y$2,SUMIFS(SF_Output!$T$1:$T$400,SF_Output!$AC$1:$AC$400,_xlfn.TEXTJOIN(",",TRUE,B59:E59),SF_Output!$Q$1:$Q$400,"monthly")&lt;&gt;0),SUMIFS(SF_Output!$S$1:$S$400,SF_Output!$AC$1:$AC$400,_xlfn.TEXTJOIN(",",TRUE,B59:E59),SF_Output!$Q$1:$Q$400,"monthly"),AND(B59&lt;&gt;"",H59&lt;&gt;SF_Output!$Y$2),SUMIFS(SF_Output!$S$1:$S$400,SF_Output!$AC$1:$AC$400,_xlfn.TEXTJOIN(",",TRUE,B59:E59),SF_Output!$Q$1:$Q$400,"monthly"))</f>
        <v>0</v>
      </c>
      <c r="W59" s="112" t="str" cm="1">
        <f t="array" ref="W59">_xlfn.IFS(OR(B59=0,B59="",V59=0),"",AF59&lt;&gt;"exclusion",MAX($W$9,$W$7,(-(SUMIFS(SF_Output!$T$1:$T$400,SF_Output!$AC$1:$AC$400,_xlfn.TEXTJOIN(",",TRUE,$B59:$E59),SF_Output!$Q$1:$Q$400,"monthly"))/V59)),AF59="exclusion",-(SUMIFS(SF_Output!$T$1:$T$400,SF_Output!$AC$1:$AC$400,_xlfn.TEXTJOIN(",",TRUE,$B59:$E59),SF_Output!$Q$1:$Q$400,"monthly"))/V59)</f>
        <v/>
      </c>
      <c r="X59" s="6" cm="1">
        <f t="array" ref="X59">IFERROR(_xlfn.IFS(V59=0,0,V59="","",W59=0,V59,OR(V59&lt;&gt;0,V59&lt;&gt;""),H59*I59),V59*(1-W59))</f>
        <v>0</v>
      </c>
      <c r="Z59" s="6">
        <f>IFERROR(IF(B59="","",SUMIFS(Billing_Fallout!H:H,Billing_Fallout!N:N,B59)),0)</f>
        <v>0</v>
      </c>
      <c r="AA59" s="6">
        <f t="shared" si="4"/>
        <v>0</v>
      </c>
      <c r="AB59" s="6">
        <f>IFERROR(IF(B59="","",SUMIFS(Billing_Fallout!J:J,Billing_Fallout!N:N,B59)),0)</f>
        <v>0</v>
      </c>
      <c r="AD59" s="6">
        <f t="shared" si="5"/>
        <v>0</v>
      </c>
      <c r="AF59" t="str">
        <f>IFERROR(INDEX(H_Tables!$B$1:$B$1500,MATCH(INDEX(SF_Output!$J$1:$J$400,MATCH(B59,SF_Output!$M$1:$M$400,0)),H_Tables!$A$1:$A$1500,0)),"")</f>
        <v>Exclusion</v>
      </c>
      <c r="AI59" s="119" t="str">
        <f t="shared" si="6"/>
        <v/>
      </c>
      <c r="AJ59" s="121">
        <f>IFERROR(INDEX(SF_Output!AD:AD,MATCH(_xlfn.TEXTJOIN(",",TRUE,B59:E59),SF_Output!AC1:AC400,0)),0.05)</f>
        <v>94</v>
      </c>
      <c r="AK59" t="str">
        <f>IF(SUMIFS(SF_Output!$F$1:$F$400,SF_Output!$AC$1:$AC$400,_xlfn.TEXTJOIN(",",TRUE,B59:E59))+SUMIFS(SF_Output!$G$1:$G$400,SF_Output!$AC$1:$AC$400,_xlfn.TEXTJOIN(",",TRUE,B59:E59))=0,"","PAP")</f>
        <v/>
      </c>
      <c r="AL59" s="35" t="str">
        <f t="shared" si="7"/>
        <v>AFS Deposit Chek Onboarding,New,Hosted by 3rd Party,1</v>
      </c>
      <c r="AQ59" s="35"/>
      <c r="AR59" s="35" t="str" cm="1">
        <f t="array" ref="AR59">IFERROR(_xlfn.IFS(AND(E59*1=1,F59="Included"),"Change to Included",AND(E59*1=0,F59="Optional"),"Change to Optional",OR(B59="",F59="replaced"),""),"")</f>
        <v/>
      </c>
      <c r="AS59" s="35" t="str">
        <f t="shared" si="8"/>
        <v/>
      </c>
      <c r="AT59" s="35" t="str">
        <f t="shared" si="9"/>
        <v/>
      </c>
      <c r="AU59" s="35" t="str">
        <f t="shared" si="10"/>
        <v/>
      </c>
      <c r="AV59" s="35" t="str">
        <f t="shared" si="11"/>
        <v/>
      </c>
      <c r="AW59" s="35" t="str">
        <f t="shared" si="12"/>
        <v/>
      </c>
      <c r="AX59" s="35" t="str">
        <f t="shared" si="13"/>
        <v/>
      </c>
      <c r="AY59" s="35" t="str">
        <f t="shared" si="14"/>
        <v/>
      </c>
      <c r="AZ59" s="35" t="str">
        <f t="shared" si="15"/>
        <v/>
      </c>
      <c r="BA59" s="35" t="str">
        <f t="shared" si="16"/>
        <v/>
      </c>
      <c r="BB59" s="35" t="str">
        <f t="shared" si="17"/>
        <v/>
      </c>
      <c r="BC59" s="35"/>
      <c r="BE59" s="35">
        <f ca="1">INDEX(SF_Output!$AA$2:$AA$400,MATCH($B59,SF_Output!$M$2:$M$400,0))</f>
        <v>4</v>
      </c>
      <c r="BF59" s="35">
        <f ca="1">INDEX(SF_Output!$AB$2:$AB$400,MATCH($B59,SF_Output!$M$2:$M$400,0))</f>
        <v>4</v>
      </c>
    </row>
    <row r="60" spans="2:58" x14ac:dyDescent="0.25">
      <c r="B60" t="s">
        <v>1411</v>
      </c>
      <c r="C60" t="s">
        <v>2122</v>
      </c>
      <c r="D60" t="s">
        <v>2207</v>
      </c>
      <c r="E60" t="s">
        <v>2150</v>
      </c>
      <c r="F60" s="116" t="str">
        <f t="shared" si="0"/>
        <v>Optional</v>
      </c>
      <c r="G60" t="str">
        <f>IF(B60="","",INDEX(SF_Output!$K$1:$K$400,MATCH(B60,SF_Output!$M$1:$M$400,0)))</f>
        <v>AlertCenter</v>
      </c>
      <c r="H60" cm="1">
        <f t="array" ref="H60">_xlfn.IFS(B60="","",(SUMIFS(SF_Output!$F$1:$F$400,SF_Output!$AC$1:$AC$400,_xlfn.TEXTJOIN(",",TRUE,B60:E60))+SUMIFS(SF_Output!$G$1:$G$400,SF_Output!$AC$1:$AC$400,_xlfn.TEXTJOIN(",",TRUE,B60:E60)))&lt;&gt;0,SF_Output!$Y$2,INDEX(SF_Output!$F$1:$F$400,MATCH(_xlfn.TEXTJOIN(",",TRUE,B60:E60),SF_Output!$AC$1:$AC$400,0))=0,INDEX(SF_Output!$R$1:$R$400,MATCH(_xlfn.TEXTJOIN(",",TRUE,B60:E60),SF_Output!$AC$1:$AC$400,0)))</f>
        <v>1</v>
      </c>
      <c r="I60" s="125" t="str">
        <f>IFERROR(IF(AND(H60&gt;1,H60&lt;&gt;""),ROUND(SUMIFS(SF_Output!$S$1:$S$400,SF_Output!$AC$1:$AC$400,_xlfn.TEXTJOIN(",",TRUE,B60:E60),SF_Output!$Q$1:$Q$400,"monthly")*(1-W60)/H60,4),""),"")</f>
        <v/>
      </c>
      <c r="J60" s="6">
        <f>IF(B60="","",SUMIFS(SF_Output!$S$1:$S$400,SF_Output!$AC$1:$AC$400,_xlfn.TEXTJOIN(",",TRUE,B60:E60),SF_Output!$Q$1:$Q$400,"One Time",SF_Output!$L$1:$L$400,"license fee")+SUMIFS(SF_Output!$S$1:$S$400,SF_Output!$AC$1:$AC$400,_xlfn.TEXTJOIN(",",TRUE,B60:E60),SF_Output!$Q$1:$Q$400,"One Time",SF_Output!$L$1:$L$400,"software license")+SUMIFS(SF_Output!$S$1:$S$400,SF_Output!$AC$1:$AC$400,_xlfn.TEXTJOIN(",",TRUE,B60:E60),SF_Output!$Q$1:$Q$400,"One Time",SF_Output!$L$1:$L$400,"hardware"))</f>
        <v>0</v>
      </c>
      <c r="K60" s="112" t="str">
        <f>IF(OR(B60=0,B60="",G60="hardware",J60=0),"",IF(AF60&lt;&gt;"exclusion",MAX(K$9,-((SUMIFS(SF_Output!$T$1:$T$400,SF_Output!$AC$1:$AC$400,_xlfn.TEXTJOIN(",",TRUE,$B60:$E60),SF_Output!$Q$1:$Q$400,"One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license"))/J60)))</f>
        <v/>
      </c>
      <c r="L60" s="6">
        <f t="shared" si="1"/>
        <v>0</v>
      </c>
      <c r="N60" s="6">
        <f>IF(B60="","",SUMIFS(SF_Output!$S$1:$S$400,SF_Output!$AC$1:$AC$400,_xlfn.TEXTJOIN(",",TRUE,B60:E60),SF_Output!$Q$1:$Q$400,"One Time",SF_Output!$L$1:$L$400,"professional service"))</f>
        <v>0</v>
      </c>
      <c r="O60" s="112" t="str">
        <f>IF(OR(B60=0,B60="",N60=0),"",IF(AF60&lt;&gt;"exclusion",MAX(O$9,-(SUMIFS(SF_Output!$T$1:$T$400,SF_Output!$AC$1:$AC$400,_xlfn.TEXTJOIN(",",TRUE,$B60:$E60),SF_Output!$Q$1:$Q$400,"One Time",SF_Output!$L$1:$L$400,"professional service"))/N60),-((SUMIFS(SF_Output!$T$1:$T$400,SF_Output!$AC$1:$AC$400,_xlfn.TEXTJOIN(",",TRUE,$B60:$E60),SF_Output!$Q$1:$Q$400,"One Time",SF_Output!$L$1:$L$400,"professional service")/N60))))</f>
        <v/>
      </c>
      <c r="P60" s="6">
        <f t="shared" si="2"/>
        <v>0</v>
      </c>
      <c r="R60" s="6">
        <f>IF(B60="","",SUMIFS(SF_Output!$S$1:$S$400,SF_Output!$AC$1:$AC$400,_xlfn.TEXTJOIN(",",TRUE,B60:E60),SF_Output!$Q$1:$Q$400,"yearly")+SUMIFS(SF_Output!$S$1:$S$400,SF_Output!$AC$1:$AC$400,_xlfn.TEXTJOIN(",",TRUE,B60:E60),SF_Output!$Q$1:$Q$400,"quarterly")*4)</f>
        <v>0</v>
      </c>
      <c r="S60" s="112" t="str">
        <f>IF(OR(B60=0,B60="",G60="hardware",R60=0),"",IF(AF60&lt;&gt;"exclusion",MAX(S$9,-(SUMIFS(SF_Output!$T$1:$T$400,SF_Output!$AC$1:$AC$400,_xlfn.TEXTJOIN(",",TRUE,$B60:$E60),SF_Output!$Q$1:$Q$400,"yearly"))/R60),-((SUMIFS(SF_Output!$T$1:$T$400,SF_Output!$AC$1:$AC$400,_xlfn.TEXTJOIN(",",TRUE,$B60:$E60),SF_Output!$Q$1:$Q$400,"yearly")/R60))))</f>
        <v/>
      </c>
      <c r="T60" s="6">
        <f t="shared" si="3"/>
        <v>0</v>
      </c>
      <c r="V60" s="6" cm="1">
        <f t="array" ref="V60">_xlfn.IFS(B60="","",AND(B60&lt;&gt;"",H60=SF_Output!$Y$2,SUMIFS(SF_Output!$T$1:$T$400,SF_Output!$AC$1:$AC$400,_xlfn.TEXTJOIN(",",TRUE,B60:E60),SF_Output!$Q$1:$Q$400,"monthly")=0),(SUMIFS(SF_Output!$F$1:$F$400,SF_Output!$AC$1:$AC$400,_xlfn.TEXTJOIN(",",TRUE,B60:E60),SF_Output!$Q$1:$Q$400,"monthly")+SUMIFS(SF_Output!$G$1:$G$400,SF_Output!$AC$1:$AC$400,_xlfn.TEXTJOIN(",",TRUE,B60:E60),SF_Output!$Q$1:$Q$400,"monthly"))*H60,AND(B60&lt;&gt;"",H60=SF_Output!$Y$2,SUMIFS(SF_Output!$T$1:$T$400,SF_Output!$AC$1:$AC$400,_xlfn.TEXTJOIN(",",TRUE,B60:E60),SF_Output!$Q$1:$Q$400,"monthly")&lt;&gt;0),SUMIFS(SF_Output!$S$1:$S$400,SF_Output!$AC$1:$AC$400,_xlfn.TEXTJOIN(",",TRUE,B60:E60),SF_Output!$Q$1:$Q$400,"monthly"),AND(B60&lt;&gt;"",H60&lt;&gt;SF_Output!$Y$2),SUMIFS(SF_Output!$S$1:$S$400,SF_Output!$AC$1:$AC$400,_xlfn.TEXTJOIN(",",TRUE,B60:E60),SF_Output!$Q$1:$Q$400,"monthly"))</f>
        <v>75</v>
      </c>
      <c r="W60" s="112" cm="1">
        <f t="array" ref="W60">_xlfn.IFS(OR(B60=0,B60="",V60=0),"",AF60&lt;&gt;"exclusion",MAX($W$9,$W$7,(-(SUMIFS(SF_Output!$T$1:$T$400,SF_Output!$AC$1:$AC$400,_xlfn.TEXTJOIN(",",TRUE,$B60:$E60),SF_Output!$Q$1:$Q$400,"monthly"))/V60)),AF60="exclusion",-(SUMIFS(SF_Output!$T$1:$T$400,SF_Output!$AC$1:$AC$400,_xlfn.TEXTJOIN(",",TRUE,$B60:$E60),SF_Output!$Q$1:$Q$400,"monthly"))/V60)</f>
        <v>0</v>
      </c>
      <c r="X60" s="6" cm="1">
        <f t="array" ref="X60">IFERROR(_xlfn.IFS(V60=0,0,V60="","",W60=0,V60,OR(V60&lt;&gt;0,V60&lt;&gt;""),H60*I60),V60*(1-W60))</f>
        <v>75</v>
      </c>
      <c r="Z60" s="6">
        <f>IFERROR(IF(B60="","",SUMIFS(Billing_Fallout!H:H,Billing_Fallout!N:N,B60)),0)</f>
        <v>0</v>
      </c>
      <c r="AA60" s="6">
        <f t="shared" si="4"/>
        <v>0</v>
      </c>
      <c r="AB60" s="6">
        <f>IFERROR(IF(B60="","",SUMIFS(Billing_Fallout!J:J,Billing_Fallout!N:N,B60)),0)</f>
        <v>0</v>
      </c>
      <c r="AD60" s="6">
        <f t="shared" si="5"/>
        <v>75</v>
      </c>
      <c r="AF60" t="str">
        <f>IFERROR(INDEX(H_Tables!$B$1:$B$1500,MATCH(INDEX(SF_Output!$J$1:$J$400,MATCH(B60,SF_Output!$M$1:$M$400,0)),H_Tables!$A$1:$A$1500,0)),"")</f>
        <v>Exclusion</v>
      </c>
      <c r="AI60" s="119" t="str">
        <f t="shared" si="6"/>
        <v/>
      </c>
      <c r="AJ60" s="121">
        <f>IFERROR(INDEX(SF_Output!AD:AD,MATCH(_xlfn.TEXTJOIN(",",TRUE,B60:E60),SF_Output!AC1:AC400,0)),0.05)</f>
        <v>95</v>
      </c>
      <c r="AK60" t="str">
        <f>IF(SUMIFS(SF_Output!$F$1:$F$400,SF_Output!$AC$1:$AC$400,_xlfn.TEXTJOIN(",",TRUE,B60:E60))+SUMIFS(SF_Output!$G$1:$G$400,SF_Output!$AC$1:$AC$400,_xlfn.TEXTJOIN(",",TRUE,B60:E60))=0,"","PAP")</f>
        <v/>
      </c>
      <c r="AL60" s="35" t="str">
        <f t="shared" si="7"/>
        <v>AlertCenter AFS TrueChecks Frontline,New,Hosted by 3rd Party,1</v>
      </c>
      <c r="AQ60" s="35"/>
      <c r="AR60" s="35" t="str" cm="1">
        <f t="array" ref="AR60">IFERROR(_xlfn.IFS(AND(E60*1=1,F60="Included"),"Change to Included",AND(E60*1=0,F60="Optional"),"Change to Optional",OR(B60="",F60="replaced"),""),"")</f>
        <v/>
      </c>
      <c r="AS60" s="35" t="str">
        <f t="shared" si="8"/>
        <v/>
      </c>
      <c r="AT60" s="35" t="str">
        <f t="shared" si="9"/>
        <v/>
      </c>
      <c r="AU60" s="35" t="str">
        <f t="shared" si="10"/>
        <v/>
      </c>
      <c r="AV60" s="35" t="str">
        <f t="shared" si="11"/>
        <v/>
      </c>
      <c r="AW60" s="35" t="str">
        <f t="shared" si="12"/>
        <v/>
      </c>
      <c r="AX60" s="35" t="str">
        <f t="shared" si="13"/>
        <v/>
      </c>
      <c r="AY60" s="35" t="str">
        <f t="shared" si="14"/>
        <v/>
      </c>
      <c r="AZ60" s="35" t="str">
        <f t="shared" si="15"/>
        <v/>
      </c>
      <c r="BA60" s="35" t="str">
        <f t="shared" si="16"/>
        <v/>
      </c>
      <c r="BB60" s="35" t="str">
        <f t="shared" si="17"/>
        <v/>
      </c>
      <c r="BC60" s="35"/>
      <c r="BE60" s="35">
        <f ca="1">INDEX(SF_Output!$AA$2:$AA$400,MATCH($B60,SF_Output!$M$2:$M$400,0))</f>
        <v>4</v>
      </c>
      <c r="BF60" s="35">
        <f ca="1">INDEX(SF_Output!$AB$2:$AB$400,MATCH($B60,SF_Output!$M$2:$M$400,0))</f>
        <v>4</v>
      </c>
    </row>
    <row r="61" spans="2:58" x14ac:dyDescent="0.25">
      <c r="B61" t="s">
        <v>1413</v>
      </c>
      <c r="C61" t="s">
        <v>2122</v>
      </c>
      <c r="D61" t="s">
        <v>2123</v>
      </c>
      <c r="E61" t="s">
        <v>2150</v>
      </c>
      <c r="F61" s="116" t="str">
        <f t="shared" si="0"/>
        <v>Optional</v>
      </c>
      <c r="G61" t="str">
        <f>IF(B61="","",INDEX(SF_Output!$K$1:$K$400,MATCH(B61,SF_Output!$M$1:$M$400,0)))</f>
        <v>AlertCenter</v>
      </c>
      <c r="H61" cm="1">
        <f t="array" ref="H61">_xlfn.IFS(B61="","",(SUMIFS(SF_Output!$F$1:$F$400,SF_Output!$AC$1:$AC$400,_xlfn.TEXTJOIN(",",TRUE,B61:E61))+SUMIFS(SF_Output!$G$1:$G$400,SF_Output!$AC$1:$AC$400,_xlfn.TEXTJOIN(",",TRUE,B61:E61)))&lt;&gt;0,SF_Output!$Y$2,INDEX(SF_Output!$F$1:$F$400,MATCH(_xlfn.TEXTJOIN(",",TRUE,B61:E61),SF_Output!$AC$1:$AC$400,0))=0,INDEX(SF_Output!$R$1:$R$400,MATCH(_xlfn.TEXTJOIN(",",TRUE,B61:E61),SF_Output!$AC$1:$AC$400,0)))</f>
        <v>1</v>
      </c>
      <c r="I61" s="125" t="str">
        <f>IFERROR(IF(AND(H61&gt;1,H61&lt;&gt;""),ROUND(SUMIFS(SF_Output!$S$1:$S$400,SF_Output!$AC$1:$AC$400,_xlfn.TEXTJOIN(",",TRUE,B61:E61),SF_Output!$Q$1:$Q$400,"monthly")*(1-W61)/H61,4),""),"")</f>
        <v/>
      </c>
      <c r="J61" s="6">
        <f>IF(B61="","",SUMIFS(SF_Output!$S$1:$S$400,SF_Output!$AC$1:$AC$400,_xlfn.TEXTJOIN(",",TRUE,B61:E61),SF_Output!$Q$1:$Q$400,"One Time",SF_Output!$L$1:$L$400,"license fee")+SUMIFS(SF_Output!$S$1:$S$400,SF_Output!$AC$1:$AC$400,_xlfn.TEXTJOIN(",",TRUE,B61:E61),SF_Output!$Q$1:$Q$400,"One Time",SF_Output!$L$1:$L$400,"software license")+SUMIFS(SF_Output!$S$1:$S$400,SF_Output!$AC$1:$AC$400,_xlfn.TEXTJOIN(",",TRUE,B61:E61),SF_Output!$Q$1:$Q$400,"One Time",SF_Output!$L$1:$L$400,"hardware"))</f>
        <v>0</v>
      </c>
      <c r="K61" s="112" t="str">
        <f>IF(OR(B61=0,B61="",G61="hardware",J61=0),"",IF(AF61&lt;&gt;"exclusion",MAX(K$9,-((SUMIFS(SF_Output!$T$1:$T$400,SF_Output!$AC$1:$AC$400,_xlfn.TEXTJOIN(",",TRUE,$B61:$E61),SF_Output!$Q$1:$Q$400,"One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license"))/J61)))</f>
        <v/>
      </c>
      <c r="L61" s="6">
        <f t="shared" si="1"/>
        <v>0</v>
      </c>
      <c r="N61" s="6">
        <f>IF(B61="","",SUMIFS(SF_Output!$S$1:$S$400,SF_Output!$AC$1:$AC$400,_xlfn.TEXTJOIN(",",TRUE,B61:E61),SF_Output!$Q$1:$Q$400,"One Time",SF_Output!$L$1:$L$400,"professional service"))</f>
        <v>3750</v>
      </c>
      <c r="O61" s="112">
        <f>IF(OR(B61=0,B61="",N61=0),"",IF(AF61&lt;&gt;"exclusion",MAX(O$9,-(SUMIFS(SF_Output!$T$1:$T$400,SF_Output!$AC$1:$AC$400,_xlfn.TEXTJOIN(",",TRUE,$B61:$E61),SF_Output!$Q$1:$Q$400,"One Time",SF_Output!$L$1:$L$400,"professional service"))/N61),-((SUMIFS(SF_Output!$T$1:$T$400,SF_Output!$AC$1:$AC$400,_xlfn.TEXTJOIN(",",TRUE,$B61:$E61),SF_Output!$Q$1:$Q$400,"One Time",SF_Output!$L$1:$L$400,"professional service")/N61))))</f>
        <v>1</v>
      </c>
      <c r="P61" s="6">
        <f t="shared" si="2"/>
        <v>0</v>
      </c>
      <c r="R61" s="6">
        <f>IF(B61="","",SUMIFS(SF_Output!$S$1:$S$400,SF_Output!$AC$1:$AC$400,_xlfn.TEXTJOIN(",",TRUE,B61:E61),SF_Output!$Q$1:$Q$400,"yearly")+SUMIFS(SF_Output!$S$1:$S$400,SF_Output!$AC$1:$AC$400,_xlfn.TEXTJOIN(",",TRUE,B61:E61),SF_Output!$Q$1:$Q$400,"quarterly")*4)</f>
        <v>0</v>
      </c>
      <c r="S61" s="112" t="str">
        <f>IF(OR(B61=0,B61="",G61="hardware",R61=0),"",IF(AF61&lt;&gt;"exclusion",MAX(S$9,-(SUMIFS(SF_Output!$T$1:$T$400,SF_Output!$AC$1:$AC$400,_xlfn.TEXTJOIN(",",TRUE,$B61:$E61),SF_Output!$Q$1:$Q$400,"yearly"))/R61),-((SUMIFS(SF_Output!$T$1:$T$400,SF_Output!$AC$1:$AC$400,_xlfn.TEXTJOIN(",",TRUE,$B61:$E61),SF_Output!$Q$1:$Q$400,"yearly")/R61))))</f>
        <v/>
      </c>
      <c r="T61" s="6">
        <f t="shared" si="3"/>
        <v>0</v>
      </c>
      <c r="V61" s="6" cm="1">
        <f t="array" ref="V61">_xlfn.IFS(B61="","",AND(B61&lt;&gt;"",H61=SF_Output!$Y$2,SUMIFS(SF_Output!$T$1:$T$400,SF_Output!$AC$1:$AC$400,_xlfn.TEXTJOIN(",",TRUE,B61:E61),SF_Output!$Q$1:$Q$400,"monthly")=0),(SUMIFS(SF_Output!$F$1:$F$400,SF_Output!$AC$1:$AC$400,_xlfn.TEXTJOIN(",",TRUE,B61:E61),SF_Output!$Q$1:$Q$400,"monthly")+SUMIFS(SF_Output!$G$1:$G$400,SF_Output!$AC$1:$AC$400,_xlfn.TEXTJOIN(",",TRUE,B61:E61),SF_Output!$Q$1:$Q$400,"monthly"))*H61,AND(B61&lt;&gt;"",H61=SF_Output!$Y$2,SUMIFS(SF_Output!$T$1:$T$400,SF_Output!$AC$1:$AC$400,_xlfn.TEXTJOIN(",",TRUE,B61:E61),SF_Output!$Q$1:$Q$400,"monthly")&lt;&gt;0),SUMIFS(SF_Output!$S$1:$S$400,SF_Output!$AC$1:$AC$400,_xlfn.TEXTJOIN(",",TRUE,B61:E61),SF_Output!$Q$1:$Q$400,"monthly"),AND(B61&lt;&gt;"",H61&lt;&gt;SF_Output!$Y$2),SUMIFS(SF_Output!$S$1:$S$400,SF_Output!$AC$1:$AC$400,_xlfn.TEXTJOIN(",",TRUE,B61:E61),SF_Output!$Q$1:$Q$400,"monthly"))</f>
        <v>0</v>
      </c>
      <c r="W61" s="112" t="str" cm="1">
        <f t="array" ref="W61">_xlfn.IFS(OR(B61=0,B61="",V61=0),"",AF61&lt;&gt;"exclusion",MAX($W$9,$W$7,(-(SUMIFS(SF_Output!$T$1:$T$400,SF_Output!$AC$1:$AC$400,_xlfn.TEXTJOIN(",",TRUE,$B61:$E61),SF_Output!$Q$1:$Q$400,"monthly"))/V61)),AF61="exclusion",-(SUMIFS(SF_Output!$T$1:$T$400,SF_Output!$AC$1:$AC$400,_xlfn.TEXTJOIN(",",TRUE,$B61:$E61),SF_Output!$Q$1:$Q$400,"monthly"))/V61)</f>
        <v/>
      </c>
      <c r="X61" s="6" cm="1">
        <f t="array" ref="X61">IFERROR(_xlfn.IFS(V61=0,0,V61="","",W61=0,V61,OR(V61&lt;&gt;0,V61&lt;&gt;""),H61*I61),V61*(1-W61))</f>
        <v>0</v>
      </c>
      <c r="Z61" s="6">
        <f>IFERROR(IF(B61="","",SUMIFS(Billing_Fallout!H:H,Billing_Fallout!N:N,B61)),0)</f>
        <v>0</v>
      </c>
      <c r="AA61" s="6">
        <f t="shared" si="4"/>
        <v>0</v>
      </c>
      <c r="AB61" s="6">
        <f>IFERROR(IF(B61="","",SUMIFS(Billing_Fallout!J:J,Billing_Fallout!N:N,B61)),0)</f>
        <v>0</v>
      </c>
      <c r="AD61" s="6">
        <f t="shared" si="5"/>
        <v>0</v>
      </c>
      <c r="AF61" t="str">
        <f>IFERROR(INDEX(H_Tables!$B$1:$B$1500,MATCH(INDEX(SF_Output!$J$1:$J$400,MATCH(B61,SF_Output!$M$1:$M$400,0)),H_Tables!$A$1:$A$1500,0)),"")</f>
        <v>Exclusion</v>
      </c>
      <c r="AI61" s="119" t="str">
        <f t="shared" si="6"/>
        <v/>
      </c>
      <c r="AJ61" s="121">
        <f>IFERROR(INDEX(SF_Output!AD:AD,MATCH(_xlfn.TEXTJOIN(",",TRUE,B61:E61),SF_Output!AC1:AC400,0)),0.05)</f>
        <v>96</v>
      </c>
      <c r="AK61" t="str">
        <f>IF(SUMIFS(SF_Output!$F$1:$F$400,SF_Output!$AC$1:$AC$400,_xlfn.TEXTJOIN(",",TRUE,B61:E61))+SUMIFS(SF_Output!$G$1:$G$400,SF_Output!$AC$1:$AC$400,_xlfn.TEXTJOIN(",",TRUE,B61:E61))=0,"","PAP")</f>
        <v/>
      </c>
      <c r="AL61" s="35" t="str">
        <f t="shared" si="7"/>
        <v>AlertCenter Integration to 4|Sight,New,Hosted by JHA,1</v>
      </c>
      <c r="AQ61" s="35"/>
      <c r="AR61" s="35" t="str" cm="1">
        <f t="array" ref="AR61">IFERROR(_xlfn.IFS(AND(E61*1=1,F61="Included"),"Change to Included",AND(E61*1=0,F61="Optional"),"Change to Optional",OR(B61="",F61="replaced"),""),"")</f>
        <v/>
      </c>
      <c r="AS61" s="35" t="str">
        <f t="shared" si="8"/>
        <v/>
      </c>
      <c r="AT61" s="35" t="str">
        <f t="shared" si="9"/>
        <v/>
      </c>
      <c r="AU61" s="35" t="str">
        <f t="shared" si="10"/>
        <v/>
      </c>
      <c r="AV61" s="35" t="str">
        <f t="shared" si="11"/>
        <v/>
      </c>
      <c r="AW61" s="35" t="str">
        <f t="shared" si="12"/>
        <v/>
      </c>
      <c r="AX61" s="35" t="str">
        <f t="shared" si="13"/>
        <v/>
      </c>
      <c r="AY61" s="35" t="str">
        <f t="shared" si="14"/>
        <v/>
      </c>
      <c r="AZ61" s="35" t="str">
        <f t="shared" si="15"/>
        <v/>
      </c>
      <c r="BA61" s="35" t="str">
        <f t="shared" si="16"/>
        <v/>
      </c>
      <c r="BB61" s="35" t="str">
        <f t="shared" si="17"/>
        <v/>
      </c>
      <c r="BC61" s="35"/>
      <c r="BE61" s="35">
        <f ca="1">INDEX(SF_Output!$AA$2:$AA$400,MATCH($B61,SF_Output!$M$2:$M$400,0))</f>
        <v>4</v>
      </c>
      <c r="BF61" s="35">
        <f ca="1">INDEX(SF_Output!$AB$2:$AB$400,MATCH($B61,SF_Output!$M$2:$M$400,0))</f>
        <v>4</v>
      </c>
    </row>
    <row r="62" spans="2:58" x14ac:dyDescent="0.25">
      <c r="B62" t="s">
        <v>2267</v>
      </c>
      <c r="C62" t="s">
        <v>2122</v>
      </c>
      <c r="D62" t="s">
        <v>2123</v>
      </c>
      <c r="E62" t="s">
        <v>2124</v>
      </c>
      <c r="F62" s="116" t="str">
        <f t="shared" si="0"/>
        <v>Included</v>
      </c>
      <c r="G62" t="str">
        <f>IF(B62="","",INDEX(SF_Output!$K$1:$K$400,MATCH(B62,SF_Output!$M$1:$M$400,0)))</f>
        <v>Synergy</v>
      </c>
      <c r="H62" cm="1">
        <f t="array" ref="H62">_xlfn.IFS(B62="","",(SUMIFS(SF_Output!$F$1:$F$400,SF_Output!$AC$1:$AC$400,_xlfn.TEXTJOIN(",",TRUE,B62:E62))+SUMIFS(SF_Output!$G$1:$G$400,SF_Output!$AC$1:$AC$400,_xlfn.TEXTJOIN(",",TRUE,B62:E62)))&lt;&gt;0,SF_Output!$Y$2,INDEX(SF_Output!$F$1:$F$400,MATCH(_xlfn.TEXTJOIN(",",TRUE,B62:E62),SF_Output!$AC$1:$AC$400,0))=0,INDEX(SF_Output!$R$1:$R$400,MATCH(_xlfn.TEXTJOIN(",",TRUE,B62:E62),SF_Output!$AC$1:$AC$400,0)))</f>
        <v>5000</v>
      </c>
      <c r="I62" s="125">
        <f>IFERROR(IF(AND(H62&gt;1,H62&lt;&gt;""),ROUND(SUMIFS(SF_Output!$S$1:$S$400,SF_Output!$AC$1:$AC$400,_xlfn.TEXTJOIN(",",TRUE,B62:E62),SF_Output!$Q$1:$Q$400,"monthly")*(1-W62)/H62,4),""),"")</f>
        <v>0.20549999999999999</v>
      </c>
      <c r="J62" s="6">
        <f>IF(B62="","",SUMIFS(SF_Output!$S$1:$S$400,SF_Output!$AC$1:$AC$400,_xlfn.TEXTJOIN(",",TRUE,B62:E62),SF_Output!$Q$1:$Q$400,"One Time",SF_Output!$L$1:$L$400,"license fee")+SUMIFS(SF_Output!$S$1:$S$400,SF_Output!$AC$1:$AC$400,_xlfn.TEXTJOIN(",",TRUE,B62:E62),SF_Output!$Q$1:$Q$400,"One Time",SF_Output!$L$1:$L$400,"software license")+SUMIFS(SF_Output!$S$1:$S$400,SF_Output!$AC$1:$AC$400,_xlfn.TEXTJOIN(",",TRUE,B62:E62),SF_Output!$Q$1:$Q$400,"One Time",SF_Output!$L$1:$L$400,"hardware"))</f>
        <v>0</v>
      </c>
      <c r="K62" s="112" t="str">
        <f>IF(OR(B62=0,B62="",G62="hardware",J62=0),"",IF(AF62&lt;&gt;"exclusion",MAX(K$9,-((SUMIFS(SF_Output!$T$1:$T$400,SF_Output!$AC$1:$AC$400,_xlfn.TEXTJOIN(",",TRUE,$B62:$E62),SF_Output!$Q$1:$Q$400,"One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license"))/J62)))</f>
        <v/>
      </c>
      <c r="L62" s="6">
        <f t="shared" si="1"/>
        <v>0</v>
      </c>
      <c r="N62" s="6">
        <f>IF(B62="","",SUMIFS(SF_Output!$S$1:$S$400,SF_Output!$AC$1:$AC$400,_xlfn.TEXTJOIN(",",TRUE,B62:E62),SF_Output!$Q$1:$Q$400,"One Time",SF_Output!$L$1:$L$400,"professional service"))</f>
        <v>19150</v>
      </c>
      <c r="O62" s="112">
        <f>IF(OR(B62=0,B62="",N62=0),"",IF(AF62&lt;&gt;"exclusion",MAX(O$9,-(SUMIFS(SF_Output!$T$1:$T$400,SF_Output!$AC$1:$AC$400,_xlfn.TEXTJOIN(",",TRUE,$B62:$E62),SF_Output!$Q$1:$Q$400,"One Time",SF_Output!$L$1:$L$400,"professional service"))/N62),-((SUMIFS(SF_Output!$T$1:$T$400,SF_Output!$AC$1:$AC$400,_xlfn.TEXTJOIN(",",TRUE,$B62:$E62),SF_Output!$Q$1:$Q$400,"One Time",SF_Output!$L$1:$L$400,"professional service")/N62))))</f>
        <v>1</v>
      </c>
      <c r="P62" s="6">
        <f t="shared" si="2"/>
        <v>0</v>
      </c>
      <c r="R62" s="6">
        <f>IF(B62="","",SUMIFS(SF_Output!$S$1:$S$400,SF_Output!$AC$1:$AC$400,_xlfn.TEXTJOIN(",",TRUE,B62:E62),SF_Output!$Q$1:$Q$400,"yearly")+SUMIFS(SF_Output!$S$1:$S$400,SF_Output!$AC$1:$AC$400,_xlfn.TEXTJOIN(",",TRUE,B62:E62),SF_Output!$Q$1:$Q$400,"quarterly")*4)</f>
        <v>0</v>
      </c>
      <c r="S62" s="112" t="str">
        <f>IF(OR(B62=0,B62="",G62="hardware",R62=0),"",IF(AF62&lt;&gt;"exclusion",MAX(S$9,-(SUMIFS(SF_Output!$T$1:$T$400,SF_Output!$AC$1:$AC$400,_xlfn.TEXTJOIN(",",TRUE,$B62:$E62),SF_Output!$Q$1:$Q$400,"yearly"))/R62),-((SUMIFS(SF_Output!$T$1:$T$400,SF_Output!$AC$1:$AC$400,_xlfn.TEXTJOIN(",",TRUE,$B62:$E62),SF_Output!$Q$1:$Q$400,"yearly")/R62))))</f>
        <v/>
      </c>
      <c r="T62" s="6">
        <f t="shared" si="3"/>
        <v>0</v>
      </c>
      <c r="V62" s="6" cm="1">
        <f t="array" ref="V62">_xlfn.IFS(B62="","",AND(B62&lt;&gt;"",H62=SF_Output!$Y$2,SUMIFS(SF_Output!$T$1:$T$400,SF_Output!$AC$1:$AC$400,_xlfn.TEXTJOIN(",",TRUE,B62:E62),SF_Output!$Q$1:$Q$400,"monthly")=0),(SUMIFS(SF_Output!$F$1:$F$400,SF_Output!$AC$1:$AC$400,_xlfn.TEXTJOIN(",",TRUE,B62:E62),SF_Output!$Q$1:$Q$400,"monthly")+SUMIFS(SF_Output!$G$1:$G$400,SF_Output!$AC$1:$AC$400,_xlfn.TEXTJOIN(",",TRUE,B62:E62),SF_Output!$Q$1:$Q$400,"monthly"))*H62,AND(B62&lt;&gt;"",H62=SF_Output!$Y$2,SUMIFS(SF_Output!$T$1:$T$400,SF_Output!$AC$1:$AC$400,_xlfn.TEXTJOIN(",",TRUE,B62:E62),SF_Output!$Q$1:$Q$400,"monthly")&lt;&gt;0),SUMIFS(SF_Output!$S$1:$S$400,SF_Output!$AC$1:$AC$400,_xlfn.TEXTJOIN(",",TRUE,B62:E62),SF_Output!$Q$1:$Q$400,"monthly"),AND(B62&lt;&gt;"",H62&lt;&gt;SF_Output!$Y$2),SUMIFS(SF_Output!$S$1:$S$400,SF_Output!$AC$1:$AC$400,_xlfn.TEXTJOIN(",",TRUE,B62:E62),SF_Output!$Q$1:$Q$400,"monthly"))</f>
        <v>1370</v>
      </c>
      <c r="W62" s="112" cm="1">
        <f t="array" ref="W62">_xlfn.IFS(OR(B62=0,B62="",V62=0),"",AF62&lt;&gt;"exclusion",MAX($W$9,$W$7,(-(SUMIFS(SF_Output!$T$1:$T$400,SF_Output!$AC$1:$AC$400,_xlfn.TEXTJOIN(",",TRUE,$B62:$E62),SF_Output!$Q$1:$Q$400,"monthly"))/V62)),AF62="exclusion",-(SUMIFS(SF_Output!$T$1:$T$400,SF_Output!$AC$1:$AC$400,_xlfn.TEXTJOIN(",",TRUE,$B62:$E62),SF_Output!$Q$1:$Q$400,"monthly"))/V62)</f>
        <v>0.25</v>
      </c>
      <c r="X62" s="6" cm="1">
        <f t="array" ref="X62">IFERROR(_xlfn.IFS(V62=0,0,V62="","",W62=0,V62,OR(V62&lt;&gt;0,V62&lt;&gt;""),H62*I62),V62*(1-W62))</f>
        <v>1027.5</v>
      </c>
      <c r="Z62" s="6">
        <f>IFERROR(IF(B62="","",SUMIFS(Billing_Fallout!H:H,Billing_Fallout!N:N,B62)),0)</f>
        <v>0</v>
      </c>
      <c r="AA62" s="6">
        <f t="shared" si="4"/>
        <v>0</v>
      </c>
      <c r="AB62" s="6">
        <f>IFERROR(IF(B62="","",SUMIFS(Billing_Fallout!J:J,Billing_Fallout!N:N,B62)),0)</f>
        <v>0</v>
      </c>
      <c r="AD62" s="6">
        <f t="shared" si="5"/>
        <v>1027.5</v>
      </c>
      <c r="AF62" t="str">
        <f>IFERROR(INDEX(H_Tables!$B$1:$B$1500,MATCH(INDEX(SF_Output!$J$1:$J$400,MATCH(B62,SF_Output!$M$1:$M$400,0)),H_Tables!$A$1:$A$1500,0)),"")</f>
        <v/>
      </c>
      <c r="AI62" s="119" t="str">
        <f t="shared" si="6"/>
        <v/>
      </c>
      <c r="AJ62" s="121">
        <f>IFERROR(INDEX(SF_Output!AD:AD,MATCH(_xlfn.TEXTJOIN(",",TRUE,B62:E62),SF_Output!AC1:AC400,0)),0.05)</f>
        <v>98</v>
      </c>
      <c r="AK62" t="str">
        <f>IF(SUMIFS(SF_Output!$F$1:$F$400,SF_Output!$AC$1:$AC$400,_xlfn.TEXTJOIN(",",TRUE,B62:E62))+SUMIFS(SF_Output!$G$1:$G$400,SF_Output!$AC$1:$AC$400,_xlfn.TEXTJOIN(",",TRUE,B62:E62))=0,"","PAP")</f>
        <v>PAP</v>
      </c>
      <c r="AL62" s="35" t="str">
        <f t="shared" si="7"/>
        <v>Synergy ECM,New,Hosted by JHA,0</v>
      </c>
      <c r="AQ62" s="35"/>
      <c r="AR62" s="35" t="str" cm="1">
        <f t="array" ref="AR62">IFERROR(_xlfn.IFS(AND(E62*1=1,F62="Included"),"Change to Included",AND(E62*1=0,F62="Optional"),"Change to Optional",OR(B62="",F62="replaced"),""),"")</f>
        <v/>
      </c>
      <c r="AS62" s="35" t="str">
        <f t="shared" si="8"/>
        <v/>
      </c>
      <c r="AT62" s="35" t="str">
        <f t="shared" si="9"/>
        <v/>
      </c>
      <c r="AU62" s="35" t="str">
        <f t="shared" si="10"/>
        <v/>
      </c>
      <c r="AV62" s="35" t="str">
        <f t="shared" si="11"/>
        <v/>
      </c>
      <c r="AW62" s="35" t="str">
        <f t="shared" si="12"/>
        <v/>
      </c>
      <c r="AX62" s="35" t="str">
        <f t="shared" si="13"/>
        <v/>
      </c>
      <c r="AY62" s="35" t="str">
        <f t="shared" si="14"/>
        <v/>
      </c>
      <c r="AZ62" s="35" t="str">
        <f t="shared" si="15"/>
        <v/>
      </c>
      <c r="BA62" s="35" t="str">
        <f t="shared" si="16"/>
        <v/>
      </c>
      <c r="BB62" s="35" t="str">
        <f t="shared" si="17"/>
        <v/>
      </c>
      <c r="BC62" s="35"/>
      <c r="BE62" s="35">
        <f ca="1">INDEX(SF_Output!$AA$2:$AA$400,MATCH($B62,SF_Output!$M$2:$M$400,0))</f>
        <v>4</v>
      </c>
      <c r="BF62" s="35">
        <f ca="1">INDEX(SF_Output!$AB$2:$AB$400,MATCH($B62,SF_Output!$M$2:$M$400,0))</f>
        <v>2</v>
      </c>
    </row>
    <row r="63" spans="2:58" x14ac:dyDescent="0.25">
      <c r="B63" t="s">
        <v>2270</v>
      </c>
      <c r="C63" t="s">
        <v>2122</v>
      </c>
      <c r="D63" t="s">
        <v>2123</v>
      </c>
      <c r="E63" t="s">
        <v>2124</v>
      </c>
      <c r="F63" s="116" t="str">
        <f t="shared" si="0"/>
        <v>Included</v>
      </c>
      <c r="G63" t="str">
        <f>IF(B63="","",INDEX(SF_Output!$K$1:$K$400,MATCH(B63,SF_Output!$M$1:$M$400,0)))</f>
        <v>Synergy</v>
      </c>
      <c r="H63" cm="1">
        <f t="array" ref="H63">_xlfn.IFS(B63="","",(SUMIFS(SF_Output!$F$1:$F$400,SF_Output!$AC$1:$AC$400,_xlfn.TEXTJOIN(",",TRUE,B63:E63))+SUMIFS(SF_Output!$G$1:$G$400,SF_Output!$AC$1:$AC$400,_xlfn.TEXTJOIN(",",TRUE,B63:E63)))&lt;&gt;0,SF_Output!$Y$2,INDEX(SF_Output!$F$1:$F$400,MATCH(_xlfn.TEXTJOIN(",",TRUE,B63:E63),SF_Output!$AC$1:$AC$400,0))=0,INDEX(SF_Output!$R$1:$R$400,MATCH(_xlfn.TEXTJOIN(",",TRUE,B63:E63),SF_Output!$AC$1:$AC$400,0)))</f>
        <v>5000</v>
      </c>
      <c r="I63" s="125">
        <f>IFERROR(IF(AND(H63&gt;1,H63&lt;&gt;""),ROUND(SUMIFS(SF_Output!$S$1:$S$400,SF_Output!$AC$1:$AC$400,_xlfn.TEXTJOIN(",",TRUE,B63:E63),SF_Output!$Q$1:$Q$400,"monthly")*(1-W63)/H63,4),""),"")</f>
        <v>7.6499999999999999E-2</v>
      </c>
      <c r="J63" s="6">
        <f>IF(B63="","",SUMIFS(SF_Output!$S$1:$S$400,SF_Output!$AC$1:$AC$400,_xlfn.TEXTJOIN(",",TRUE,B63:E63),SF_Output!$Q$1:$Q$400,"One Time",SF_Output!$L$1:$L$400,"license fee")+SUMIFS(SF_Output!$S$1:$S$400,SF_Output!$AC$1:$AC$400,_xlfn.TEXTJOIN(",",TRUE,B63:E63),SF_Output!$Q$1:$Q$400,"One Time",SF_Output!$L$1:$L$400,"software license")+SUMIFS(SF_Output!$S$1:$S$400,SF_Output!$AC$1:$AC$400,_xlfn.TEXTJOIN(",",TRUE,B63:E63),SF_Output!$Q$1:$Q$400,"One Time",SF_Output!$L$1:$L$400,"hardware"))</f>
        <v>0</v>
      </c>
      <c r="K63" s="112" t="str">
        <f>IF(OR(B63=0,B63="",G63="hardware",J63=0),"",IF(AF63&lt;&gt;"exclusion",MAX(K$9,-((SUMIFS(SF_Output!$T$1:$T$400,SF_Output!$AC$1:$AC$400,_xlfn.TEXTJOIN(",",TRUE,$B63:$E63),SF_Output!$Q$1:$Q$400,"One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license"))/J63)))</f>
        <v/>
      </c>
      <c r="L63" s="6">
        <f t="shared" si="1"/>
        <v>0</v>
      </c>
      <c r="N63" s="6">
        <f>IF(B63="","",SUMIFS(SF_Output!$S$1:$S$400,SF_Output!$AC$1:$AC$400,_xlfn.TEXTJOIN(",",TRUE,B63:E63),SF_Output!$Q$1:$Q$400,"One Time",SF_Output!$L$1:$L$400,"professional service"))</f>
        <v>4800</v>
      </c>
      <c r="O63" s="112">
        <f>IF(OR(B63=0,B63="",N63=0),"",IF(AF63&lt;&gt;"exclusion",MAX(O$9,-(SUMIFS(SF_Output!$T$1:$T$400,SF_Output!$AC$1:$AC$400,_xlfn.TEXTJOIN(",",TRUE,$B63:$E63),SF_Output!$Q$1:$Q$400,"One Time",SF_Output!$L$1:$L$400,"professional service"))/N63),-((SUMIFS(SF_Output!$T$1:$T$400,SF_Output!$AC$1:$AC$400,_xlfn.TEXTJOIN(",",TRUE,$B63:$E63),SF_Output!$Q$1:$Q$400,"One Time",SF_Output!$L$1:$L$400,"professional service")/N63))))</f>
        <v>1</v>
      </c>
      <c r="P63" s="6">
        <f t="shared" si="2"/>
        <v>0</v>
      </c>
      <c r="R63" s="6">
        <f>IF(B63="","",SUMIFS(SF_Output!$S$1:$S$400,SF_Output!$AC$1:$AC$400,_xlfn.TEXTJOIN(",",TRUE,B63:E63),SF_Output!$Q$1:$Q$400,"yearly")+SUMIFS(SF_Output!$S$1:$S$400,SF_Output!$AC$1:$AC$400,_xlfn.TEXTJOIN(",",TRUE,B63:E63),SF_Output!$Q$1:$Q$400,"quarterly")*4)</f>
        <v>0</v>
      </c>
      <c r="S63" s="112" t="str">
        <f>IF(OR(B63=0,B63="",G63="hardware",R63=0),"",IF(AF63&lt;&gt;"exclusion",MAX(S$9,-(SUMIFS(SF_Output!$T$1:$T$400,SF_Output!$AC$1:$AC$400,_xlfn.TEXTJOIN(",",TRUE,$B63:$E63),SF_Output!$Q$1:$Q$400,"yearly"))/R63),-((SUMIFS(SF_Output!$T$1:$T$400,SF_Output!$AC$1:$AC$400,_xlfn.TEXTJOIN(",",TRUE,$B63:$E63),SF_Output!$Q$1:$Q$400,"yearly")/R63))))</f>
        <v/>
      </c>
      <c r="T63" s="6">
        <f t="shared" si="3"/>
        <v>0</v>
      </c>
      <c r="V63" s="6" cm="1">
        <f t="array" ref="V63">_xlfn.IFS(B63="","",AND(B63&lt;&gt;"",H63=SF_Output!$Y$2,SUMIFS(SF_Output!$T$1:$T$400,SF_Output!$AC$1:$AC$400,_xlfn.TEXTJOIN(",",TRUE,B63:E63),SF_Output!$Q$1:$Q$400,"monthly")=0),(SUMIFS(SF_Output!$F$1:$F$400,SF_Output!$AC$1:$AC$400,_xlfn.TEXTJOIN(",",TRUE,B63:E63),SF_Output!$Q$1:$Q$400,"monthly")+SUMIFS(SF_Output!$G$1:$G$400,SF_Output!$AC$1:$AC$400,_xlfn.TEXTJOIN(",",TRUE,B63:E63),SF_Output!$Q$1:$Q$400,"monthly"))*H63,AND(B63&lt;&gt;"",H63=SF_Output!$Y$2,SUMIFS(SF_Output!$T$1:$T$400,SF_Output!$AC$1:$AC$400,_xlfn.TEXTJOIN(",",TRUE,B63:E63),SF_Output!$Q$1:$Q$400,"monthly")&lt;&gt;0),SUMIFS(SF_Output!$S$1:$S$400,SF_Output!$AC$1:$AC$400,_xlfn.TEXTJOIN(",",TRUE,B63:E63),SF_Output!$Q$1:$Q$400,"monthly"),AND(B63&lt;&gt;"",H63&lt;&gt;SF_Output!$Y$2),SUMIFS(SF_Output!$S$1:$S$400,SF_Output!$AC$1:$AC$400,_xlfn.TEXTJOIN(",",TRUE,B63:E63),SF_Output!$Q$1:$Q$400,"monthly"))</f>
        <v>510</v>
      </c>
      <c r="W63" s="112" cm="1">
        <f t="array" ref="W63">_xlfn.IFS(OR(B63=0,B63="",V63=0),"",AF63&lt;&gt;"exclusion",MAX($W$9,$W$7,(-(SUMIFS(SF_Output!$T$1:$T$400,SF_Output!$AC$1:$AC$400,_xlfn.TEXTJOIN(",",TRUE,$B63:$E63),SF_Output!$Q$1:$Q$400,"monthly"))/V63)),AF63="exclusion",-(SUMIFS(SF_Output!$T$1:$T$400,SF_Output!$AC$1:$AC$400,_xlfn.TEXTJOIN(",",TRUE,$B63:$E63),SF_Output!$Q$1:$Q$400,"monthly"))/V63)</f>
        <v>0.25</v>
      </c>
      <c r="X63" s="6" cm="1">
        <f t="array" ref="X63">IFERROR(_xlfn.IFS(V63=0,0,V63="","",W63=0,V63,OR(V63&lt;&gt;0,V63&lt;&gt;""),H63*I63),V63*(1-W63))</f>
        <v>382.5</v>
      </c>
      <c r="Z63" s="6">
        <f>IFERROR(IF(B63="","",SUMIFS(Billing_Fallout!H:H,Billing_Fallout!N:N,B63)),0)</f>
        <v>0</v>
      </c>
      <c r="AA63" s="6">
        <f t="shared" si="4"/>
        <v>0</v>
      </c>
      <c r="AB63" s="6">
        <f>IFERROR(IF(B63="","",SUMIFS(Billing_Fallout!J:J,Billing_Fallout!N:N,B63)),0)</f>
        <v>0</v>
      </c>
      <c r="AD63" s="6">
        <f t="shared" si="5"/>
        <v>382.5</v>
      </c>
      <c r="AF63" t="str">
        <f>IFERROR(INDEX(H_Tables!$B$1:$B$1500,MATCH(INDEX(SF_Output!$J$1:$J$400,MATCH(B63,SF_Output!$M$1:$M$400,0)),H_Tables!$A$1:$A$1500,0)),"")</f>
        <v/>
      </c>
      <c r="AI63" s="119" t="str">
        <f t="shared" si="6"/>
        <v/>
      </c>
      <c r="AJ63" s="121">
        <f>IFERROR(INDEX(SF_Output!AD:AD,MATCH(_xlfn.TEXTJOIN(",",TRUE,B63:E63),SF_Output!AC1:AC400,0)),0.05)</f>
        <v>100</v>
      </c>
      <c r="AK63" t="str">
        <f>IF(SUMIFS(SF_Output!$F$1:$F$400,SF_Output!$AC$1:$AC$400,_xlfn.TEXTJOIN(",",TRUE,B63:E63))+SUMIFS(SF_Output!$G$1:$G$400,SF_Output!$AC$1:$AC$400,_xlfn.TEXTJOIN(",",TRUE,B63:E63))=0,"","PAP")</f>
        <v>PAP</v>
      </c>
      <c r="AL63" s="35" t="str">
        <f t="shared" si="7"/>
        <v>Synergy Productivity,New,Hosted by JHA,0</v>
      </c>
      <c r="AQ63" s="35"/>
      <c r="AR63" s="35" t="str" cm="1">
        <f t="array" ref="AR63">IFERROR(_xlfn.IFS(AND(E63*1=1,F63="Included"),"Change to Included",AND(E63*1=0,F63="Optional"),"Change to Optional",OR(B63="",F63="replaced"),""),"")</f>
        <v/>
      </c>
      <c r="AS63" s="35" t="str">
        <f t="shared" si="8"/>
        <v/>
      </c>
      <c r="AT63" s="35" t="str">
        <f t="shared" si="9"/>
        <v/>
      </c>
      <c r="AU63" s="35" t="str">
        <f t="shared" si="10"/>
        <v/>
      </c>
      <c r="AV63" s="35" t="str">
        <f t="shared" si="11"/>
        <v/>
      </c>
      <c r="AW63" s="35" t="str">
        <f t="shared" si="12"/>
        <v/>
      </c>
      <c r="AX63" s="35" t="str">
        <f t="shared" si="13"/>
        <v/>
      </c>
      <c r="AY63" s="35" t="str">
        <f t="shared" si="14"/>
        <v/>
      </c>
      <c r="AZ63" s="35" t="str">
        <f t="shared" si="15"/>
        <v/>
      </c>
      <c r="BA63" s="35" t="str">
        <f t="shared" si="16"/>
        <v/>
      </c>
      <c r="BB63" s="35" t="str">
        <f t="shared" si="17"/>
        <v/>
      </c>
      <c r="BC63" s="35"/>
      <c r="BE63" s="35">
        <f ca="1">INDEX(SF_Output!$AA$2:$AA$400,MATCH($B63,SF_Output!$M$2:$M$400,0))</f>
        <v>4</v>
      </c>
      <c r="BF63" s="35">
        <f ca="1">INDEX(SF_Output!$AB$2:$AB$400,MATCH($B63,SF_Output!$M$2:$M$400,0))</f>
        <v>2</v>
      </c>
    </row>
    <row r="64" spans="2:58" x14ac:dyDescent="0.25">
      <c r="B64" t="s">
        <v>1598</v>
      </c>
      <c r="C64" t="s">
        <v>2122</v>
      </c>
      <c r="D64" t="s">
        <v>2164</v>
      </c>
      <c r="E64" t="s">
        <v>2124</v>
      </c>
      <c r="F64" s="116" t="str">
        <f t="shared" si="0"/>
        <v>Included</v>
      </c>
      <c r="G64" t="str">
        <f>IF(B64="","",INDEX(SF_Output!$K$1:$K$400,MATCH(B64,SF_Output!$M$1:$M$400,0)))</f>
        <v>Synergy</v>
      </c>
      <c r="H64" cm="1">
        <f t="array" ref="H64">_xlfn.IFS(B64="","",(SUMIFS(SF_Output!$F$1:$F$400,SF_Output!$AC$1:$AC$400,_xlfn.TEXTJOIN(",",TRUE,B64:E64))+SUMIFS(SF_Output!$G$1:$G$400,SF_Output!$AC$1:$AC$400,_xlfn.TEXTJOIN(",",TRUE,B64:E64)))&lt;&gt;0,SF_Output!$Y$2,INDEX(SF_Output!$F$1:$F$400,MATCH(_xlfn.TEXTJOIN(",",TRUE,B64:E64),SF_Output!$AC$1:$AC$400,0))=0,INDEX(SF_Output!$R$1:$R$400,MATCH(_xlfn.TEXTJOIN(",",TRUE,B64:E64),SF_Output!$AC$1:$AC$400,0)))</f>
        <v>2</v>
      </c>
      <c r="I64" s="125" t="str">
        <f>IFERROR(IF(AND(H64&gt;1,H64&lt;&gt;""),ROUND(SUMIFS(SF_Output!$S$1:$S$400,SF_Output!$AC$1:$AC$400,_xlfn.TEXTJOIN(",",TRUE,B64:E64),SF_Output!$Q$1:$Q$400,"monthly")*(1-W64)/H64,4),""),"")</f>
        <v/>
      </c>
      <c r="J64" s="6">
        <f>IF(B64="","",SUMIFS(SF_Output!$S$1:$S$400,SF_Output!$AC$1:$AC$400,_xlfn.TEXTJOIN(",",TRUE,B64:E64),SF_Output!$Q$1:$Q$400,"One Time",SF_Output!$L$1:$L$400,"license fee")+SUMIFS(SF_Output!$S$1:$S$400,SF_Output!$AC$1:$AC$400,_xlfn.TEXTJOIN(",",TRUE,B64:E64),SF_Output!$Q$1:$Q$400,"One Time",SF_Output!$L$1:$L$400,"software license")+SUMIFS(SF_Output!$S$1:$S$400,SF_Output!$AC$1:$AC$400,_xlfn.TEXTJOIN(",",TRUE,B64:E64),SF_Output!$Q$1:$Q$400,"One Time",SF_Output!$L$1:$L$400,"hardware"))</f>
        <v>1000</v>
      </c>
      <c r="K64" s="112">
        <f>IF(OR(B64=0,B64="",G64="hardware",J64=0),"",IF(AF64&lt;&gt;"exclusion",MAX(K$9,-((SUMIFS(SF_Output!$T$1:$T$400,SF_Output!$AC$1:$AC$400,_xlfn.TEXTJOIN(",",TRUE,$B64:$E64),SF_Output!$Q$1:$Q$400,"One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license"))/J64)))</f>
        <v>0</v>
      </c>
      <c r="L64" s="6">
        <f t="shared" si="1"/>
        <v>1000</v>
      </c>
      <c r="N64" s="6">
        <f>IF(B64="","",SUMIFS(SF_Output!$S$1:$S$400,SF_Output!$AC$1:$AC$400,_xlfn.TEXTJOIN(",",TRUE,B64:E64),SF_Output!$Q$1:$Q$400,"One Time",SF_Output!$L$1:$L$400,"professional service"))</f>
        <v>0</v>
      </c>
      <c r="O64" s="112" t="str">
        <f>IF(OR(B64=0,B64="",N64=0),"",IF(AF64&lt;&gt;"exclusion",MAX(O$9,-(SUMIFS(SF_Output!$T$1:$T$400,SF_Output!$AC$1:$AC$400,_xlfn.TEXTJOIN(",",TRUE,$B64:$E64),SF_Output!$Q$1:$Q$400,"One Time",SF_Output!$L$1:$L$400,"professional service"))/N64),-((SUMIFS(SF_Output!$T$1:$T$400,SF_Output!$AC$1:$AC$400,_xlfn.TEXTJOIN(",",TRUE,$B64:$E64),SF_Output!$Q$1:$Q$400,"One Time",SF_Output!$L$1:$L$400,"professional service")/N64))))</f>
        <v/>
      </c>
      <c r="P64" s="6">
        <f t="shared" si="2"/>
        <v>0</v>
      </c>
      <c r="R64" s="6">
        <f>IF(B64="","",SUMIFS(SF_Output!$S$1:$S$400,SF_Output!$AC$1:$AC$400,_xlfn.TEXTJOIN(",",TRUE,B64:E64),SF_Output!$Q$1:$Q$400,"yearly")+SUMIFS(SF_Output!$S$1:$S$400,SF_Output!$AC$1:$AC$400,_xlfn.TEXTJOIN(",",TRUE,B64:E64),SF_Output!$Q$1:$Q$400,"quarterly")*4)</f>
        <v>0</v>
      </c>
      <c r="S64" s="112" t="str">
        <f>IF(OR(B64=0,B64="",G64="hardware",R64=0),"",IF(AF64&lt;&gt;"exclusion",MAX(S$9,-(SUMIFS(SF_Output!$T$1:$T$400,SF_Output!$AC$1:$AC$400,_xlfn.TEXTJOIN(",",TRUE,$B64:$E64),SF_Output!$Q$1:$Q$400,"yearly"))/R64),-((SUMIFS(SF_Output!$T$1:$T$400,SF_Output!$AC$1:$AC$400,_xlfn.TEXTJOIN(",",TRUE,$B64:$E64),SF_Output!$Q$1:$Q$400,"yearly")/R64))))</f>
        <v/>
      </c>
      <c r="T64" s="6">
        <f t="shared" si="3"/>
        <v>0</v>
      </c>
      <c r="V64" s="6" cm="1">
        <f t="array" ref="V64">_xlfn.IFS(B64="","",AND(B64&lt;&gt;"",H64=SF_Output!$Y$2,SUMIFS(SF_Output!$T$1:$T$400,SF_Output!$AC$1:$AC$400,_xlfn.TEXTJOIN(",",TRUE,B64:E64),SF_Output!$Q$1:$Q$400,"monthly")=0),(SUMIFS(SF_Output!$F$1:$F$400,SF_Output!$AC$1:$AC$400,_xlfn.TEXTJOIN(",",TRUE,B64:E64),SF_Output!$Q$1:$Q$400,"monthly")+SUMIFS(SF_Output!$G$1:$G$400,SF_Output!$AC$1:$AC$400,_xlfn.TEXTJOIN(",",TRUE,B64:E64),SF_Output!$Q$1:$Q$400,"monthly"))*H64,AND(B64&lt;&gt;"",H64=SF_Output!$Y$2,SUMIFS(SF_Output!$T$1:$T$400,SF_Output!$AC$1:$AC$400,_xlfn.TEXTJOIN(",",TRUE,B64:E64),SF_Output!$Q$1:$Q$400,"monthly")&lt;&gt;0),SUMIFS(SF_Output!$S$1:$S$400,SF_Output!$AC$1:$AC$400,_xlfn.TEXTJOIN(",",TRUE,B64:E64),SF_Output!$Q$1:$Q$400,"monthly"),AND(B64&lt;&gt;"",H64&lt;&gt;SF_Output!$Y$2),SUMIFS(SF_Output!$S$1:$S$400,SF_Output!$AC$1:$AC$400,_xlfn.TEXTJOIN(",",TRUE,B64:E64),SF_Output!$Q$1:$Q$400,"monthly"))</f>
        <v>0</v>
      </c>
      <c r="W64" s="112" t="str" cm="1">
        <f t="array" ref="W64">_xlfn.IFS(OR(B64=0,B64="",V64=0),"",AF64&lt;&gt;"exclusion",MAX($W$9,$W$7,(-(SUMIFS(SF_Output!$T$1:$T$400,SF_Output!$AC$1:$AC$400,_xlfn.TEXTJOIN(",",TRUE,$B64:$E64),SF_Output!$Q$1:$Q$400,"monthly"))/V64)),AF64="exclusion",-(SUMIFS(SF_Output!$T$1:$T$400,SF_Output!$AC$1:$AC$400,_xlfn.TEXTJOIN(",",TRUE,$B64:$E64),SF_Output!$Q$1:$Q$400,"monthly"))/V64)</f>
        <v/>
      </c>
      <c r="X64" s="6" cm="1">
        <f t="array" ref="X64">IFERROR(_xlfn.IFS(V64=0,0,V64="","",W64=0,V64,OR(V64&lt;&gt;0,V64&lt;&gt;""),H64*I64),V64*(1-W64))</f>
        <v>0</v>
      </c>
      <c r="Z64" s="6">
        <f>IFERROR(IF(B64="","",SUMIFS(Billing_Fallout!H:H,Billing_Fallout!N:N,B64)),0)</f>
        <v>0</v>
      </c>
      <c r="AA64" s="6">
        <f t="shared" si="4"/>
        <v>0</v>
      </c>
      <c r="AB64" s="6">
        <f>IFERROR(IF(B64="","",SUMIFS(Billing_Fallout!J:J,Billing_Fallout!N:N,B64)),0)</f>
        <v>0</v>
      </c>
      <c r="AD64" s="6">
        <f t="shared" si="5"/>
        <v>0</v>
      </c>
      <c r="AF64" t="str">
        <f>IFERROR(INDEX(H_Tables!$B$1:$B$1500,MATCH(INDEX(SF_Output!$J$1:$J$400,MATCH(B64,SF_Output!$M$1:$M$400,0)),H_Tables!$A$1:$A$1500,0)),"")</f>
        <v>Exclusion</v>
      </c>
      <c r="AI64" s="119" t="str">
        <f t="shared" si="6"/>
        <v/>
      </c>
      <c r="AJ64" s="121">
        <f>IFERROR(INDEX(SF_Output!AD:AD,MATCH(_xlfn.TEXTJOIN(",",TRUE,B64:E64),SF_Output!AC1:AC400,0)),0.05)</f>
        <v>102</v>
      </c>
      <c r="AK64" t="str">
        <f>IF(SUMIFS(SF_Output!$F$1:$F$400,SF_Output!$AC$1:$AC$400,_xlfn.TEXTJOIN(",",TRUE,B64:E64))+SUMIFS(SF_Output!$G$1:$G$400,SF_Output!$AC$1:$AC$400,_xlfn.TEXTJOIN(",",TRUE,B64:E64))=0,"","PAP")</f>
        <v/>
      </c>
      <c r="AL64" s="35" t="str">
        <f t="shared" si="7"/>
        <v>DSIS Scanner Interface,New,On Premise License,0</v>
      </c>
      <c r="AQ64" s="35"/>
      <c r="AR64" s="35" t="str" cm="1">
        <f t="array" ref="AR64">IFERROR(_xlfn.IFS(AND(E64*1=1,F64="Included"),"Change to Included",AND(E64*1=0,F64="Optional"),"Change to Optional",OR(B64="",F64="replaced"),""),"")</f>
        <v/>
      </c>
      <c r="AS64" s="35" t="str">
        <f t="shared" si="8"/>
        <v/>
      </c>
      <c r="AT64" s="35" t="str">
        <f t="shared" si="9"/>
        <v/>
      </c>
      <c r="AU64" s="35" t="str">
        <f t="shared" si="10"/>
        <v/>
      </c>
      <c r="AV64" s="35" t="str">
        <f t="shared" si="11"/>
        <v/>
      </c>
      <c r="AW64" s="35" t="str">
        <f t="shared" si="12"/>
        <v/>
      </c>
      <c r="AX64" s="35" t="str">
        <f t="shared" si="13"/>
        <v/>
      </c>
      <c r="AY64" s="35" t="str">
        <f t="shared" si="14"/>
        <v/>
      </c>
      <c r="AZ64" s="35" t="str">
        <f t="shared" si="15"/>
        <v/>
      </c>
      <c r="BA64" s="35" t="str">
        <f t="shared" si="16"/>
        <v/>
      </c>
      <c r="BB64" s="35" t="str">
        <f t="shared" si="17"/>
        <v/>
      </c>
      <c r="BC64" s="35"/>
      <c r="BE64" s="35">
        <f ca="1">INDEX(SF_Output!$AA$2:$AA$400,MATCH($B64,SF_Output!$M$2:$M$400,0))</f>
        <v>4</v>
      </c>
      <c r="BF64" s="35">
        <f ca="1">INDEX(SF_Output!$AB$2:$AB$400,MATCH($B64,SF_Output!$M$2:$M$400,0))</f>
        <v>2</v>
      </c>
    </row>
    <row r="65" spans="2:58" x14ac:dyDescent="0.25">
      <c r="B65" t="s">
        <v>1572</v>
      </c>
      <c r="C65" t="s">
        <v>2122</v>
      </c>
      <c r="D65" t="s">
        <v>2123</v>
      </c>
      <c r="E65" t="s">
        <v>2150</v>
      </c>
      <c r="F65" s="116" t="str">
        <f t="shared" si="0"/>
        <v>Optional</v>
      </c>
      <c r="G65" t="str">
        <f>IF(B65="","",INDEX(SF_Output!$K$1:$K$400,MATCH(B65,SF_Output!$M$1:$M$400,0)))</f>
        <v>Synergy</v>
      </c>
      <c r="H65" cm="1">
        <f t="array" ref="H65">_xlfn.IFS(B65="","",(SUMIFS(SF_Output!$F$1:$F$400,SF_Output!$AC$1:$AC$400,_xlfn.TEXTJOIN(",",TRUE,B65:E65))+SUMIFS(SF_Output!$G$1:$G$400,SF_Output!$AC$1:$AC$400,_xlfn.TEXTJOIN(",",TRUE,B65:E65)))&lt;&gt;0,SF_Output!$Y$2,INDEX(SF_Output!$F$1:$F$400,MATCH(_xlfn.TEXTJOIN(",",TRUE,B65:E65),SF_Output!$AC$1:$AC$400,0))=0,INDEX(SF_Output!$R$1:$R$400,MATCH(_xlfn.TEXTJOIN(",",TRUE,B65:E65),SF_Output!$AC$1:$AC$400,0)))</f>
        <v>5000</v>
      </c>
      <c r="I65" s="125">
        <f>IFERROR(IF(AND(H65&gt;1,H65&lt;&gt;""),ROUND(SUMIFS(SF_Output!$S$1:$S$400,SF_Output!$AC$1:$AC$400,_xlfn.TEXTJOIN(",",TRUE,B65:E65),SF_Output!$Q$1:$Q$400,"monthly")*(1-W65)/H65,4),""),"")</f>
        <v>0.08</v>
      </c>
      <c r="J65" s="6">
        <f>IF(B65="","",SUMIFS(SF_Output!$S$1:$S$400,SF_Output!$AC$1:$AC$400,_xlfn.TEXTJOIN(",",TRUE,B65:E65),SF_Output!$Q$1:$Q$400,"One Time",SF_Output!$L$1:$L$400,"license fee")+SUMIFS(SF_Output!$S$1:$S$400,SF_Output!$AC$1:$AC$400,_xlfn.TEXTJOIN(",",TRUE,B65:E65),SF_Output!$Q$1:$Q$400,"One Time",SF_Output!$L$1:$L$400,"software license")+SUMIFS(SF_Output!$S$1:$S$400,SF_Output!$AC$1:$AC$400,_xlfn.TEXTJOIN(",",TRUE,B65:E65),SF_Output!$Q$1:$Q$400,"One Time",SF_Output!$L$1:$L$400,"hardware"))</f>
        <v>0</v>
      </c>
      <c r="K65" s="112" t="str">
        <f>IF(OR(B65=0,B65="",G65="hardware",J65=0),"",IF(AF65&lt;&gt;"exclusion",MAX(K$9,-((SUMIFS(SF_Output!$T$1:$T$400,SF_Output!$AC$1:$AC$400,_xlfn.TEXTJOIN(",",TRUE,$B65:$E65),SF_Output!$Q$1:$Q$400,"One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license"))/J65)))</f>
        <v/>
      </c>
      <c r="L65" s="6">
        <f t="shared" si="1"/>
        <v>0</v>
      </c>
      <c r="N65" s="6">
        <f>IF(B65="","",SUMIFS(SF_Output!$S$1:$S$400,SF_Output!$AC$1:$AC$400,_xlfn.TEXTJOIN(",",TRUE,B65:E65),SF_Output!$Q$1:$Q$400,"One Time",SF_Output!$L$1:$L$400,"professional service"))</f>
        <v>2800</v>
      </c>
      <c r="O65" s="112">
        <f>IF(OR(B65=0,B65="",N65=0),"",IF(AF65&lt;&gt;"exclusion",MAX(O$9,-(SUMIFS(SF_Output!$T$1:$T$400,SF_Output!$AC$1:$AC$400,_xlfn.TEXTJOIN(",",TRUE,$B65:$E65),SF_Output!$Q$1:$Q$400,"One Time",SF_Output!$L$1:$L$400,"professional service"))/N65),-((SUMIFS(SF_Output!$T$1:$T$400,SF_Output!$AC$1:$AC$400,_xlfn.TEXTJOIN(",",TRUE,$B65:$E65),SF_Output!$Q$1:$Q$400,"One Time",SF_Output!$L$1:$L$400,"professional service")/N65))))</f>
        <v>1</v>
      </c>
      <c r="P65" s="6">
        <f t="shared" si="2"/>
        <v>0</v>
      </c>
      <c r="R65" s="6">
        <f>IF(B65="","",SUMIFS(SF_Output!$S$1:$S$400,SF_Output!$AC$1:$AC$400,_xlfn.TEXTJOIN(",",TRUE,B65:E65),SF_Output!$Q$1:$Q$400,"yearly")+SUMIFS(SF_Output!$S$1:$S$400,SF_Output!$AC$1:$AC$400,_xlfn.TEXTJOIN(",",TRUE,B65:E65),SF_Output!$Q$1:$Q$400,"quarterly")*4)</f>
        <v>0</v>
      </c>
      <c r="S65" s="112" t="str">
        <f>IF(OR(B65=0,B65="",G65="hardware",R65=0),"",IF(AF65&lt;&gt;"exclusion",MAX(S$9,-(SUMIFS(SF_Output!$T$1:$T$400,SF_Output!$AC$1:$AC$400,_xlfn.TEXTJOIN(",",TRUE,$B65:$E65),SF_Output!$Q$1:$Q$400,"yearly"))/R65),-((SUMIFS(SF_Output!$T$1:$T$400,SF_Output!$AC$1:$AC$400,_xlfn.TEXTJOIN(",",TRUE,$B65:$E65),SF_Output!$Q$1:$Q$400,"yearly")/R65))))</f>
        <v/>
      </c>
      <c r="T65" s="6">
        <f t="shared" si="3"/>
        <v>0</v>
      </c>
      <c r="V65" s="6" cm="1">
        <f t="array" ref="V65">_xlfn.IFS(B65="","",AND(B65&lt;&gt;"",H65=SF_Output!$Y$2,SUMIFS(SF_Output!$T$1:$T$400,SF_Output!$AC$1:$AC$400,_xlfn.TEXTJOIN(",",TRUE,B65:E65),SF_Output!$Q$1:$Q$400,"monthly")=0),(SUMIFS(SF_Output!$F$1:$F$400,SF_Output!$AC$1:$AC$400,_xlfn.TEXTJOIN(",",TRUE,B65:E65),SF_Output!$Q$1:$Q$400,"monthly")+SUMIFS(SF_Output!$G$1:$G$400,SF_Output!$AC$1:$AC$400,_xlfn.TEXTJOIN(",",TRUE,B65:E65),SF_Output!$Q$1:$Q$400,"monthly"))*H65,AND(B65&lt;&gt;"",H65=SF_Output!$Y$2,SUMIFS(SF_Output!$T$1:$T$400,SF_Output!$AC$1:$AC$400,_xlfn.TEXTJOIN(",",TRUE,B65:E65),SF_Output!$Q$1:$Q$400,"monthly")&lt;&gt;0),SUMIFS(SF_Output!$S$1:$S$400,SF_Output!$AC$1:$AC$400,_xlfn.TEXTJOIN(",",TRUE,B65:E65),SF_Output!$Q$1:$Q$400,"monthly"),AND(B65&lt;&gt;"",H65&lt;&gt;SF_Output!$Y$2),SUMIFS(SF_Output!$S$1:$S$400,SF_Output!$AC$1:$AC$400,_xlfn.TEXTJOIN(",",TRUE,B65:E65),SF_Output!$Q$1:$Q$400,"monthly"))</f>
        <v>400</v>
      </c>
      <c r="W65" s="112" cm="1">
        <f t="array" ref="W65">_xlfn.IFS(OR(B65=0,B65="",V65=0),"",AF65&lt;&gt;"exclusion",MAX($W$9,$W$7,(-(SUMIFS(SF_Output!$T$1:$T$400,SF_Output!$AC$1:$AC$400,_xlfn.TEXTJOIN(",",TRUE,$B65:$E65),SF_Output!$Q$1:$Q$400,"monthly"))/V65)),AF65="exclusion",-(SUMIFS(SF_Output!$T$1:$T$400,SF_Output!$AC$1:$AC$400,_xlfn.TEXTJOIN(",",TRUE,$B65:$E65),SF_Output!$Q$1:$Q$400,"monthly"))/V65)</f>
        <v>0</v>
      </c>
      <c r="X65" s="6" cm="1">
        <f t="array" ref="X65">IFERROR(_xlfn.IFS(V65=0,0,V65="","",W65=0,V65,OR(V65&lt;&gt;0,V65&lt;&gt;""),H65*I65),V65*(1-W65))</f>
        <v>400</v>
      </c>
      <c r="Z65" s="6">
        <f>IFERROR(IF(B65="","",SUMIFS(Billing_Fallout!H:H,Billing_Fallout!N:N,B65)),0)</f>
        <v>0</v>
      </c>
      <c r="AA65" s="6">
        <f t="shared" si="4"/>
        <v>0</v>
      </c>
      <c r="AB65" s="6">
        <f>IFERROR(IF(B65="","",SUMIFS(Billing_Fallout!J:J,Billing_Fallout!N:N,B65)),0)</f>
        <v>0</v>
      </c>
      <c r="AD65" s="6">
        <f t="shared" si="5"/>
        <v>400</v>
      </c>
      <c r="AF65" t="str">
        <f>IFERROR(INDEX(H_Tables!$B$1:$B$1500,MATCH(INDEX(SF_Output!$J$1:$J$400,MATCH(B65,SF_Output!$M$1:$M$400,0)),H_Tables!$A$1:$A$1500,0)),"")</f>
        <v>Exclusion</v>
      </c>
      <c r="AI65" s="119" t="str">
        <f t="shared" si="6"/>
        <v/>
      </c>
      <c r="AJ65" s="121">
        <f>IFERROR(INDEX(SF_Output!AD:AD,MATCH(_xlfn.TEXTJOIN(",",TRUE,B65:E65),SF_Output!AC1:AC400,0)),0.05)</f>
        <v>103</v>
      </c>
      <c r="AK65" t="str">
        <f>IF(SUMIFS(SF_Output!$F$1:$F$400,SF_Output!$AC$1:$AC$400,_xlfn.TEXTJOIN(",",TRUE,B65:E65))+SUMIFS(SF_Output!$G$1:$G$400,SF_Output!$AC$1:$AC$400,_xlfn.TEXTJOIN(",",TRUE,B65:E65))=0,"","PAP")</f>
        <v>PAP</v>
      </c>
      <c r="AL65" s="35" t="str">
        <f t="shared" si="7"/>
        <v>Synergy Automated Document Recognition,New,Hosted by JHA,1</v>
      </c>
      <c r="AQ65" s="35"/>
      <c r="AR65" s="35" t="str" cm="1">
        <f t="array" ref="AR65">IFERROR(_xlfn.IFS(AND(E65*1=1,F65="Included"),"Change to Included",AND(E65*1=0,F65="Optional"),"Change to Optional",OR(B65="",F65="replaced"),""),"")</f>
        <v/>
      </c>
      <c r="AS65" s="35" t="str">
        <f t="shared" si="8"/>
        <v/>
      </c>
      <c r="AT65" s="35" t="str">
        <f t="shared" si="9"/>
        <v/>
      </c>
      <c r="AU65" s="35" t="str">
        <f t="shared" si="10"/>
        <v/>
      </c>
      <c r="AV65" s="35" t="str">
        <f t="shared" si="11"/>
        <v/>
      </c>
      <c r="AW65" s="35" t="str">
        <f t="shared" si="12"/>
        <v/>
      </c>
      <c r="AX65" s="35" t="str">
        <f t="shared" si="13"/>
        <v/>
      </c>
      <c r="AY65" s="35" t="str">
        <f t="shared" si="14"/>
        <v/>
      </c>
      <c r="AZ65" s="35" t="str">
        <f t="shared" si="15"/>
        <v/>
      </c>
      <c r="BA65" s="35" t="str">
        <f t="shared" si="16"/>
        <v/>
      </c>
      <c r="BB65" s="35" t="str">
        <f t="shared" si="17"/>
        <v/>
      </c>
      <c r="BC65" s="35"/>
      <c r="BE65" s="35">
        <f ca="1">INDEX(SF_Output!$AA$2:$AA$400,MATCH($B65,SF_Output!$M$2:$M$400,0))</f>
        <v>4</v>
      </c>
      <c r="BF65" s="35">
        <f ca="1">INDEX(SF_Output!$AB$2:$AB$400,MATCH($B65,SF_Output!$M$2:$M$400,0))</f>
        <v>2</v>
      </c>
    </row>
    <row r="66" spans="2:58" x14ac:dyDescent="0.25">
      <c r="B66" t="s">
        <v>877</v>
      </c>
      <c r="C66" t="s">
        <v>2122</v>
      </c>
      <c r="D66" t="s">
        <v>2123</v>
      </c>
      <c r="E66" t="s">
        <v>2124</v>
      </c>
      <c r="F66" s="116" t="str">
        <f t="shared" si="0"/>
        <v>Included</v>
      </c>
      <c r="G66" t="str">
        <f>IF(B66="","",INDEX(SF_Output!$K$1:$K$400,MATCH(B66,SF_Output!$M$1:$M$400,0)))</f>
        <v>Synergy</v>
      </c>
      <c r="H66" cm="1">
        <f t="array" ref="H66">_xlfn.IFS(B66="","",(SUMIFS(SF_Output!$F$1:$F$400,SF_Output!$AC$1:$AC$400,_xlfn.TEXTJOIN(",",TRUE,B66:E66))+SUMIFS(SF_Output!$G$1:$G$400,SF_Output!$AC$1:$AC$400,_xlfn.TEXTJOIN(",",TRUE,B66:E66)))&lt;&gt;0,SF_Output!$Y$2,INDEX(SF_Output!$F$1:$F$400,MATCH(_xlfn.TEXTJOIN(",",TRUE,B66:E66),SF_Output!$AC$1:$AC$400,0))=0,INDEX(SF_Output!$R$1:$R$400,MATCH(_xlfn.TEXTJOIN(",",TRUE,B66:E66),SF_Output!$AC$1:$AC$400,0)))</f>
        <v>5000</v>
      </c>
      <c r="I66" s="125">
        <f>IFERROR(IF(AND(H66&gt;1,H66&lt;&gt;""),ROUND(SUMIFS(SF_Output!$S$1:$S$400,SF_Output!$AC$1:$AC$400,_xlfn.TEXTJOIN(",",TRUE,B66:E66),SF_Output!$Q$1:$Q$400,"monthly")*(1-W66)/H66,4),""),"")</f>
        <v>0.184</v>
      </c>
      <c r="J66" s="6">
        <f>IF(B66="","",SUMIFS(SF_Output!$S$1:$S$400,SF_Output!$AC$1:$AC$400,_xlfn.TEXTJOIN(",",TRUE,B66:E66),SF_Output!$Q$1:$Q$400,"One Time",SF_Output!$L$1:$L$400,"license fee")+SUMIFS(SF_Output!$S$1:$S$400,SF_Output!$AC$1:$AC$400,_xlfn.TEXTJOIN(",",TRUE,B66:E66),SF_Output!$Q$1:$Q$400,"One Time",SF_Output!$L$1:$L$400,"software license")+SUMIFS(SF_Output!$S$1:$S$400,SF_Output!$AC$1:$AC$400,_xlfn.TEXTJOIN(",",TRUE,B66:E66),SF_Output!$Q$1:$Q$400,"One Time",SF_Output!$L$1:$L$400,"hardware"))</f>
        <v>0</v>
      </c>
      <c r="K66" s="112" t="str">
        <f>IF(OR(B66=0,B66="",G66="hardware",J66=0),"",IF(AF66&lt;&gt;"exclusion",MAX(K$9,-((SUMIFS(SF_Output!$T$1:$T$400,SF_Output!$AC$1:$AC$400,_xlfn.TEXTJOIN(",",TRUE,$B66:$E66),SF_Output!$Q$1:$Q$400,"One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license"))/J66)))</f>
        <v/>
      </c>
      <c r="L66" s="6">
        <f t="shared" si="1"/>
        <v>0</v>
      </c>
      <c r="N66" s="6">
        <f>IF(B66="","",SUMIFS(SF_Output!$S$1:$S$400,SF_Output!$AC$1:$AC$400,_xlfn.TEXTJOIN(",",TRUE,B66:E66),SF_Output!$Q$1:$Q$400,"One Time",SF_Output!$L$1:$L$400,"professional service"))</f>
        <v>15750</v>
      </c>
      <c r="O66" s="112">
        <f>IF(OR(B66=0,B66="",N66=0),"",IF(AF66&lt;&gt;"exclusion",MAX(O$9,-(SUMIFS(SF_Output!$T$1:$T$400,SF_Output!$AC$1:$AC$400,_xlfn.TEXTJOIN(",",TRUE,$B66:$E66),SF_Output!$Q$1:$Q$400,"One Time",SF_Output!$L$1:$L$400,"professional service"))/N66),-((SUMIFS(SF_Output!$T$1:$T$400,SF_Output!$AC$1:$AC$400,_xlfn.TEXTJOIN(",",TRUE,$B66:$E66),SF_Output!$Q$1:$Q$400,"One Time",SF_Output!$L$1:$L$400,"professional service")/N66))))</f>
        <v>0</v>
      </c>
      <c r="P66" s="6">
        <f t="shared" si="2"/>
        <v>15750</v>
      </c>
      <c r="R66" s="6">
        <f>IF(B66="","",SUMIFS(SF_Output!$S$1:$S$400,SF_Output!$AC$1:$AC$400,_xlfn.TEXTJOIN(",",TRUE,B66:E66),SF_Output!$Q$1:$Q$400,"yearly")+SUMIFS(SF_Output!$S$1:$S$400,SF_Output!$AC$1:$AC$400,_xlfn.TEXTJOIN(",",TRUE,B66:E66),SF_Output!$Q$1:$Q$400,"quarterly")*4)</f>
        <v>0</v>
      </c>
      <c r="S66" s="112" t="str">
        <f>IF(OR(B66=0,B66="",G66="hardware",R66=0),"",IF(AF66&lt;&gt;"exclusion",MAX(S$9,-(SUMIFS(SF_Output!$T$1:$T$400,SF_Output!$AC$1:$AC$400,_xlfn.TEXTJOIN(",",TRUE,$B66:$E66),SF_Output!$Q$1:$Q$400,"yearly"))/R66),-((SUMIFS(SF_Output!$T$1:$T$400,SF_Output!$AC$1:$AC$400,_xlfn.TEXTJOIN(",",TRUE,$B66:$E66),SF_Output!$Q$1:$Q$400,"yearly")/R66))))</f>
        <v/>
      </c>
      <c r="T66" s="6">
        <f t="shared" si="3"/>
        <v>0</v>
      </c>
      <c r="V66" s="6" cm="1">
        <f t="array" ref="V66">_xlfn.IFS(B66="","",AND(B66&lt;&gt;"",H66=SF_Output!$Y$2,SUMIFS(SF_Output!$T$1:$T$400,SF_Output!$AC$1:$AC$400,_xlfn.TEXTJOIN(",",TRUE,B66:E66),SF_Output!$Q$1:$Q$400,"monthly")=0),(SUMIFS(SF_Output!$F$1:$F$400,SF_Output!$AC$1:$AC$400,_xlfn.TEXTJOIN(",",TRUE,B66:E66),SF_Output!$Q$1:$Q$400,"monthly")+SUMIFS(SF_Output!$G$1:$G$400,SF_Output!$AC$1:$AC$400,_xlfn.TEXTJOIN(",",TRUE,B66:E66),SF_Output!$Q$1:$Q$400,"monthly"))*H66,AND(B66&lt;&gt;"",H66=SF_Output!$Y$2,SUMIFS(SF_Output!$T$1:$T$400,SF_Output!$AC$1:$AC$400,_xlfn.TEXTJOIN(",",TRUE,B66:E66),SF_Output!$Q$1:$Q$400,"monthly")&lt;&gt;0),SUMIFS(SF_Output!$S$1:$S$400,SF_Output!$AC$1:$AC$400,_xlfn.TEXTJOIN(",",TRUE,B66:E66),SF_Output!$Q$1:$Q$400,"monthly"),AND(B66&lt;&gt;"",H66&lt;&gt;SF_Output!$Y$2),SUMIFS(SF_Output!$S$1:$S$400,SF_Output!$AC$1:$AC$400,_xlfn.TEXTJOIN(",",TRUE,B66:E66),SF_Output!$Q$1:$Q$400,"monthly"))</f>
        <v>920</v>
      </c>
      <c r="W66" s="112" cm="1">
        <f t="array" ref="W66">_xlfn.IFS(OR(B66=0,B66="",V66=0),"",AF66&lt;&gt;"exclusion",MAX($W$9,$W$7,(-(SUMIFS(SF_Output!$T$1:$T$400,SF_Output!$AC$1:$AC$400,_xlfn.TEXTJOIN(",",TRUE,$B66:$E66),SF_Output!$Q$1:$Q$400,"monthly"))/V66)),AF66="exclusion",-(SUMIFS(SF_Output!$T$1:$T$400,SF_Output!$AC$1:$AC$400,_xlfn.TEXTJOIN(",",TRUE,$B66:$E66),SF_Output!$Q$1:$Q$400,"monthly"))/V66)</f>
        <v>0</v>
      </c>
      <c r="X66" s="6" cm="1">
        <f t="array" ref="X66">IFERROR(_xlfn.IFS(V66=0,0,V66="","",W66=0,V66,OR(V66&lt;&gt;0,V66&lt;&gt;""),H66*I66),V66*(1-W66))</f>
        <v>920</v>
      </c>
      <c r="Z66" s="6">
        <f>IFERROR(IF(B66="","",SUMIFS(Billing_Fallout!H:H,Billing_Fallout!N:N,B66)),0)</f>
        <v>0</v>
      </c>
      <c r="AA66" s="6">
        <f t="shared" si="4"/>
        <v>0</v>
      </c>
      <c r="AB66" s="6">
        <f>IFERROR(IF(B66="","",SUMIFS(Billing_Fallout!J:J,Billing_Fallout!N:N,B66)),0)</f>
        <v>0</v>
      </c>
      <c r="AD66" s="6">
        <f t="shared" si="5"/>
        <v>920</v>
      </c>
      <c r="AF66" t="str">
        <f>IFERROR(INDEX(H_Tables!$B$1:$B$1500,MATCH(INDEX(SF_Output!$J$1:$J$400,MATCH(B66,SF_Output!$M$1:$M$400,0)),H_Tables!$A$1:$A$1500,0)),"")</f>
        <v>Exclusion</v>
      </c>
      <c r="AI66" s="119" t="str">
        <f t="shared" si="6"/>
        <v/>
      </c>
      <c r="AJ66" s="121">
        <f>IFERROR(INDEX(SF_Output!AD:AD,MATCH(_xlfn.TEXTJOIN(",",TRUE,B66:E66),SF_Output!AC1:AC400,0)),0.05)</f>
        <v>105</v>
      </c>
      <c r="AK66" t="str">
        <f>IF(SUMIFS(SF_Output!$F$1:$F$400,SF_Output!$AC$1:$AC$400,_xlfn.TEXTJOIN(",",TRUE,B66:E66))+SUMIFS(SF_Output!$G$1:$G$400,SF_Output!$AC$1:$AC$400,_xlfn.TEXTJOIN(",",TRUE,B66:E66))=0,"","PAP")</f>
        <v>PAP</v>
      </c>
      <c r="AL66" s="35" t="str">
        <f t="shared" si="7"/>
        <v>Synergy eSign and eSignWeb Bundle,New,Hosted by JHA,0</v>
      </c>
      <c r="AQ66" s="35"/>
      <c r="AR66" s="35" t="str" cm="1">
        <f t="array" ref="AR66">IFERROR(_xlfn.IFS(AND(E66*1=1,F66="Included"),"Change to Included",AND(E66*1=0,F66="Optional"),"Change to Optional",OR(B66="",F66="replaced"),""),"")</f>
        <v/>
      </c>
      <c r="AS66" s="35" t="str">
        <f t="shared" si="8"/>
        <v/>
      </c>
      <c r="AT66" s="35" t="str">
        <f t="shared" si="9"/>
        <v/>
      </c>
      <c r="AU66" s="35" t="str">
        <f t="shared" si="10"/>
        <v/>
      </c>
      <c r="AV66" s="35" t="str">
        <f t="shared" si="11"/>
        <v/>
      </c>
      <c r="AW66" s="35" t="str">
        <f t="shared" si="12"/>
        <v/>
      </c>
      <c r="AX66" s="35" t="str">
        <f t="shared" si="13"/>
        <v/>
      </c>
      <c r="AY66" s="35" t="str">
        <f t="shared" si="14"/>
        <v/>
      </c>
      <c r="AZ66" s="35" t="str">
        <f t="shared" si="15"/>
        <v/>
      </c>
      <c r="BA66" s="35" t="str">
        <f t="shared" si="16"/>
        <v/>
      </c>
      <c r="BB66" s="35" t="str">
        <f t="shared" si="17"/>
        <v/>
      </c>
      <c r="BC66" s="35"/>
      <c r="BE66" s="35">
        <f ca="1">INDEX(SF_Output!$AA$2:$AA$400,MATCH($B66,SF_Output!$M$2:$M$400,0))</f>
        <v>4</v>
      </c>
      <c r="BF66" s="35">
        <f ca="1">INDEX(SF_Output!$AB$2:$AB$400,MATCH($B66,SF_Output!$M$2:$M$400,0))</f>
        <v>2</v>
      </c>
    </row>
    <row r="67" spans="2:58" x14ac:dyDescent="0.25">
      <c r="B67" t="s">
        <v>1496</v>
      </c>
      <c r="C67" t="s">
        <v>2122</v>
      </c>
      <c r="D67" t="s">
        <v>2123</v>
      </c>
      <c r="E67" t="s">
        <v>2124</v>
      </c>
      <c r="F67" s="116" t="str">
        <f t="shared" si="0"/>
        <v>Included</v>
      </c>
      <c r="G67" t="str">
        <f>IF(B67="","",INDEX(SF_Output!$K$1:$K$400,MATCH(B67,SF_Output!$M$1:$M$400,0)))</f>
        <v>Synergy</v>
      </c>
      <c r="H67" cm="1">
        <f t="array" ref="H67">_xlfn.IFS(B67="","",(SUMIFS(SF_Output!$F$1:$F$400,SF_Output!$AC$1:$AC$400,_xlfn.TEXTJOIN(",",TRUE,B67:E67))+SUMIFS(SF_Output!$G$1:$G$400,SF_Output!$AC$1:$AC$400,_xlfn.TEXTJOIN(",",TRUE,B67:E67)))&lt;&gt;0,SF_Output!$Y$2,INDEX(SF_Output!$F$1:$F$400,MATCH(_xlfn.TEXTJOIN(",",TRUE,B67:E67),SF_Output!$AC$1:$AC$400,0))=0,INDEX(SF_Output!$R$1:$R$400,MATCH(_xlfn.TEXTJOIN(",",TRUE,B67:E67),SF_Output!$AC$1:$AC$400,0)))</f>
        <v>1</v>
      </c>
      <c r="I67" s="125" t="str">
        <f>IFERROR(IF(AND(H67&gt;1,H67&lt;&gt;""),ROUND(SUMIFS(SF_Output!$S$1:$S$400,SF_Output!$AC$1:$AC$400,_xlfn.TEXTJOIN(",",TRUE,B67:E67),SF_Output!$Q$1:$Q$400,"monthly")*(1-W67)/H67,4),""),"")</f>
        <v/>
      </c>
      <c r="J67" s="6">
        <f>IF(B67="","",SUMIFS(SF_Output!$S$1:$S$400,SF_Output!$AC$1:$AC$400,_xlfn.TEXTJOIN(",",TRUE,B67:E67),SF_Output!$Q$1:$Q$400,"One Time",SF_Output!$L$1:$L$400,"license fee")+SUMIFS(SF_Output!$S$1:$S$400,SF_Output!$AC$1:$AC$400,_xlfn.TEXTJOIN(",",TRUE,B67:E67),SF_Output!$Q$1:$Q$400,"One Time",SF_Output!$L$1:$L$400,"software license")+SUMIFS(SF_Output!$S$1:$S$400,SF_Output!$AC$1:$AC$400,_xlfn.TEXTJOIN(",",TRUE,B67:E67),SF_Output!$Q$1:$Q$400,"One Time",SF_Output!$L$1:$L$400,"hardware"))</f>
        <v>0</v>
      </c>
      <c r="K67" s="112" t="str">
        <f>IF(OR(B67=0,B67="",G67="hardware",J67=0),"",IF(AF67&lt;&gt;"exclusion",MAX(K$9,-((SUMIFS(SF_Output!$T$1:$T$400,SF_Output!$AC$1:$AC$400,_xlfn.TEXTJOIN(",",TRUE,$B67:$E67),SF_Output!$Q$1:$Q$400,"One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license"))/J67)))</f>
        <v/>
      </c>
      <c r="L67" s="6">
        <f t="shared" si="1"/>
        <v>0</v>
      </c>
      <c r="N67" s="6">
        <f>IF(B67="","",SUMIFS(SF_Output!$S$1:$S$400,SF_Output!$AC$1:$AC$400,_xlfn.TEXTJOIN(",",TRUE,B67:E67),SF_Output!$Q$1:$Q$400,"One Time",SF_Output!$L$1:$L$400,"professional service"))</f>
        <v>2600</v>
      </c>
      <c r="O67" s="112">
        <f>IF(OR(B67=0,B67="",N67=0),"",IF(AF67&lt;&gt;"exclusion",MAX(O$9,-(SUMIFS(SF_Output!$T$1:$T$400,SF_Output!$AC$1:$AC$400,_xlfn.TEXTJOIN(",",TRUE,$B67:$E67),SF_Output!$Q$1:$Q$400,"One Time",SF_Output!$L$1:$L$400,"professional service"))/N67),-((SUMIFS(SF_Output!$T$1:$T$400,SF_Output!$AC$1:$AC$400,_xlfn.TEXTJOIN(",",TRUE,$B67:$E67),SF_Output!$Q$1:$Q$400,"One Time",SF_Output!$L$1:$L$400,"professional service")/N67))))</f>
        <v>0</v>
      </c>
      <c r="P67" s="6">
        <f t="shared" si="2"/>
        <v>2600</v>
      </c>
      <c r="R67" s="6">
        <f>IF(B67="","",SUMIFS(SF_Output!$S$1:$S$400,SF_Output!$AC$1:$AC$400,_xlfn.TEXTJOIN(",",TRUE,B67:E67),SF_Output!$Q$1:$Q$400,"yearly")+SUMIFS(SF_Output!$S$1:$S$400,SF_Output!$AC$1:$AC$400,_xlfn.TEXTJOIN(",",TRUE,B67:E67),SF_Output!$Q$1:$Q$400,"quarterly")*4)</f>
        <v>0</v>
      </c>
      <c r="S67" s="112" t="str">
        <f>IF(OR(B67=0,B67="",G67="hardware",R67=0),"",IF(AF67&lt;&gt;"exclusion",MAX(S$9,-(SUMIFS(SF_Output!$T$1:$T$400,SF_Output!$AC$1:$AC$400,_xlfn.TEXTJOIN(",",TRUE,$B67:$E67),SF_Output!$Q$1:$Q$400,"yearly"))/R67),-((SUMIFS(SF_Output!$T$1:$T$400,SF_Output!$AC$1:$AC$400,_xlfn.TEXTJOIN(",",TRUE,$B67:$E67),SF_Output!$Q$1:$Q$400,"yearly")/R67))))</f>
        <v/>
      </c>
      <c r="T67" s="6">
        <f t="shared" si="3"/>
        <v>0</v>
      </c>
      <c r="V67" s="6" cm="1">
        <f t="array" ref="V67">_xlfn.IFS(B67="","",AND(B67&lt;&gt;"",H67=SF_Output!$Y$2,SUMIFS(SF_Output!$T$1:$T$400,SF_Output!$AC$1:$AC$400,_xlfn.TEXTJOIN(",",TRUE,B67:E67),SF_Output!$Q$1:$Q$400,"monthly")=0),(SUMIFS(SF_Output!$F$1:$F$400,SF_Output!$AC$1:$AC$400,_xlfn.TEXTJOIN(",",TRUE,B67:E67),SF_Output!$Q$1:$Q$400,"monthly")+SUMIFS(SF_Output!$G$1:$G$400,SF_Output!$AC$1:$AC$400,_xlfn.TEXTJOIN(",",TRUE,B67:E67),SF_Output!$Q$1:$Q$400,"monthly"))*H67,AND(B67&lt;&gt;"",H67=SF_Output!$Y$2,SUMIFS(SF_Output!$T$1:$T$400,SF_Output!$AC$1:$AC$400,_xlfn.TEXTJOIN(",",TRUE,B67:E67),SF_Output!$Q$1:$Q$400,"monthly")&lt;&gt;0),SUMIFS(SF_Output!$S$1:$S$400,SF_Output!$AC$1:$AC$400,_xlfn.TEXTJOIN(",",TRUE,B67:E67),SF_Output!$Q$1:$Q$400,"monthly"),AND(B67&lt;&gt;"",H67&lt;&gt;SF_Output!$Y$2),SUMIFS(SF_Output!$S$1:$S$400,SF_Output!$AC$1:$AC$400,_xlfn.TEXTJOIN(",",TRUE,B67:E67),SF_Output!$Q$1:$Q$400,"monthly"))</f>
        <v>0</v>
      </c>
      <c r="W67" s="112" t="str" cm="1">
        <f t="array" ref="W67">_xlfn.IFS(OR(B67=0,B67="",V67=0),"",AF67&lt;&gt;"exclusion",MAX($W$9,$W$7,(-(SUMIFS(SF_Output!$T$1:$T$400,SF_Output!$AC$1:$AC$400,_xlfn.TEXTJOIN(",",TRUE,$B67:$E67),SF_Output!$Q$1:$Q$400,"monthly"))/V67)),AF67="exclusion",-(SUMIFS(SF_Output!$T$1:$T$400,SF_Output!$AC$1:$AC$400,_xlfn.TEXTJOIN(",",TRUE,$B67:$E67),SF_Output!$Q$1:$Q$400,"monthly"))/V67)</f>
        <v/>
      </c>
      <c r="X67" s="6" cm="1">
        <f t="array" ref="X67">IFERROR(_xlfn.IFS(V67=0,0,V67="","",W67=0,V67,OR(V67&lt;&gt;0,V67&lt;&gt;""),H67*I67),V67*(1-W67))</f>
        <v>0</v>
      </c>
      <c r="Z67" s="6">
        <f>IFERROR(IF(B67="","",SUMIFS(Billing_Fallout!H:H,Billing_Fallout!N:N,B67)),0)</f>
        <v>0</v>
      </c>
      <c r="AA67" s="6">
        <f t="shared" si="4"/>
        <v>0</v>
      </c>
      <c r="AB67" s="6">
        <f>IFERROR(IF(B67="","",SUMIFS(Billing_Fallout!J:J,Billing_Fallout!N:N,B67)),0)</f>
        <v>0</v>
      </c>
      <c r="AD67" s="6">
        <f t="shared" si="5"/>
        <v>0</v>
      </c>
      <c r="AF67" t="str">
        <f>IFERROR(INDEX(H_Tables!$B$1:$B$1500,MATCH(INDEX(SF_Output!$J$1:$J$400,MATCH(B67,SF_Output!$M$1:$M$400,0)),H_Tables!$A$1:$A$1500,0)),"")</f>
        <v>Exclusion</v>
      </c>
      <c r="AI67" s="119" t="str">
        <f t="shared" si="6"/>
        <v/>
      </c>
      <c r="AJ67" s="121">
        <f>IFERROR(INDEX(SF_Output!AD:AD,MATCH(_xlfn.TEXTJOIN(",",TRUE,B67:E67),SF_Output!AC1:AC400,0)),0.05)</f>
        <v>107</v>
      </c>
      <c r="AK67" t="str">
        <f>IF(SUMIFS(SF_Output!$F$1:$F$400,SF_Output!$AC$1:$AC$400,_xlfn.TEXTJOIN(",",TRUE,B67:E67))+SUMIFS(SF_Output!$G$1:$G$400,SF_Output!$AC$1:$AC$400,_xlfn.TEXTJOIN(",",TRUE,B67:E67))=0,"","PAP")</f>
        <v/>
      </c>
      <c r="AL67" s="35" t="str">
        <f t="shared" si="7"/>
        <v>Synergy ECM Administrator Education Pack (Virtual, instructor-led training and e</v>
      </c>
      <c r="AQ67" s="35"/>
      <c r="AR67" s="35" t="str" cm="1">
        <f t="array" ref="AR67">IFERROR(_xlfn.IFS(AND(E67*1=1,F67="Included"),"Change to Included",AND(E67*1=0,F67="Optional"),"Change to Optional",OR(B67="",F67="replaced"),""),"")</f>
        <v/>
      </c>
      <c r="AS67" s="35" t="str">
        <f t="shared" si="8"/>
        <v/>
      </c>
      <c r="AT67" s="35" t="str">
        <f t="shared" si="9"/>
        <v/>
      </c>
      <c r="AU67" s="35" t="str">
        <f t="shared" si="10"/>
        <v/>
      </c>
      <c r="AV67" s="35" t="str">
        <f t="shared" si="11"/>
        <v/>
      </c>
      <c r="AW67" s="35" t="str">
        <f t="shared" si="12"/>
        <v/>
      </c>
      <c r="AX67" s="35" t="str">
        <f t="shared" si="13"/>
        <v/>
      </c>
      <c r="AY67" s="35" t="str">
        <f t="shared" si="14"/>
        <v/>
      </c>
      <c r="AZ67" s="35" t="str">
        <f t="shared" si="15"/>
        <v/>
      </c>
      <c r="BA67" s="35" t="str">
        <f t="shared" si="16"/>
        <v/>
      </c>
      <c r="BB67" s="35" t="str">
        <f t="shared" si="17"/>
        <v/>
      </c>
      <c r="BC67" s="35"/>
      <c r="BE67" s="35">
        <f ca="1">INDEX(SF_Output!$AA$2:$AA$400,MATCH($B67,SF_Output!$M$2:$M$400,0))</f>
        <v>4</v>
      </c>
      <c r="BF67" s="35">
        <f ca="1">INDEX(SF_Output!$AB$2:$AB$400,MATCH($B67,SF_Output!$M$2:$M$400,0))</f>
        <v>2</v>
      </c>
    </row>
    <row r="68" spans="2:58" x14ac:dyDescent="0.25">
      <c r="B68" t="s">
        <v>1500</v>
      </c>
      <c r="C68" t="s">
        <v>2122</v>
      </c>
      <c r="D68" t="s">
        <v>2123</v>
      </c>
      <c r="E68" t="s">
        <v>2124</v>
      </c>
      <c r="F68" s="116" t="str">
        <f t="shared" si="0"/>
        <v>Included</v>
      </c>
      <c r="G68" t="str">
        <f>IF(B68="","",INDEX(SF_Output!$K$1:$K$400,MATCH(B68,SF_Output!$M$1:$M$400,0)))</f>
        <v>Synergy</v>
      </c>
      <c r="H68" cm="1">
        <f t="array" ref="H68">_xlfn.IFS(B68="","",(SUMIFS(SF_Output!$F$1:$F$400,SF_Output!$AC$1:$AC$400,_xlfn.TEXTJOIN(",",TRUE,B68:E68))+SUMIFS(SF_Output!$G$1:$G$400,SF_Output!$AC$1:$AC$400,_xlfn.TEXTJOIN(",",TRUE,B68:E68)))&lt;&gt;0,SF_Output!$Y$2,INDEX(SF_Output!$F$1:$F$400,MATCH(_xlfn.TEXTJOIN(",",TRUE,B68:E68),SF_Output!$AC$1:$AC$400,0))=0,INDEX(SF_Output!$R$1:$R$400,MATCH(_xlfn.TEXTJOIN(",",TRUE,B68:E68),SF_Output!$AC$1:$AC$400,0)))</f>
        <v>1</v>
      </c>
      <c r="I68" s="125" t="str">
        <f>IFERROR(IF(AND(H68&gt;1,H68&lt;&gt;""),ROUND(SUMIFS(SF_Output!$S$1:$S$400,SF_Output!$AC$1:$AC$400,_xlfn.TEXTJOIN(",",TRUE,B68:E68),SF_Output!$Q$1:$Q$400,"monthly")*(1-W68)/H68,4),""),"")</f>
        <v/>
      </c>
      <c r="J68" s="6">
        <f>IF(B68="","",SUMIFS(SF_Output!$S$1:$S$400,SF_Output!$AC$1:$AC$400,_xlfn.TEXTJOIN(",",TRUE,B68:E68),SF_Output!$Q$1:$Q$400,"One Time",SF_Output!$L$1:$L$400,"license fee")+SUMIFS(SF_Output!$S$1:$S$400,SF_Output!$AC$1:$AC$400,_xlfn.TEXTJOIN(",",TRUE,B68:E68),SF_Output!$Q$1:$Q$400,"One Time",SF_Output!$L$1:$L$400,"software license")+SUMIFS(SF_Output!$S$1:$S$400,SF_Output!$AC$1:$AC$400,_xlfn.TEXTJOIN(",",TRUE,B68:E68),SF_Output!$Q$1:$Q$400,"One Time",SF_Output!$L$1:$L$400,"hardware"))</f>
        <v>0</v>
      </c>
      <c r="K68" s="112" t="str">
        <f>IF(OR(B68=0,B68="",G68="hardware",J68=0),"",IF(AF68&lt;&gt;"exclusion",MAX(K$9,-((SUMIFS(SF_Output!$T$1:$T$400,SF_Output!$AC$1:$AC$400,_xlfn.TEXTJOIN(",",TRUE,$B68:$E68),SF_Output!$Q$1:$Q$400,"One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license"))/J68)))</f>
        <v/>
      </c>
      <c r="L68" s="6">
        <f t="shared" si="1"/>
        <v>0</v>
      </c>
      <c r="N68" s="6">
        <f>IF(B68="","",SUMIFS(SF_Output!$S$1:$S$400,SF_Output!$AC$1:$AC$400,_xlfn.TEXTJOIN(",",TRUE,B68:E68),SF_Output!$Q$1:$Q$400,"One Time",SF_Output!$L$1:$L$400,"professional service"))</f>
        <v>3250</v>
      </c>
      <c r="O68" s="112">
        <f>IF(OR(B68=0,B68="",N68=0),"",IF(AF68&lt;&gt;"exclusion",MAX(O$9,-(SUMIFS(SF_Output!$T$1:$T$400,SF_Output!$AC$1:$AC$400,_xlfn.TEXTJOIN(",",TRUE,$B68:$E68),SF_Output!$Q$1:$Q$400,"One Time",SF_Output!$L$1:$L$400,"professional service"))/N68),-((SUMIFS(SF_Output!$T$1:$T$400,SF_Output!$AC$1:$AC$400,_xlfn.TEXTJOIN(",",TRUE,$B68:$E68),SF_Output!$Q$1:$Q$400,"One Time",SF_Output!$L$1:$L$400,"professional service")/N68))))</f>
        <v>0</v>
      </c>
      <c r="P68" s="6">
        <f t="shared" si="2"/>
        <v>3250</v>
      </c>
      <c r="R68" s="6">
        <f>IF(B68="","",SUMIFS(SF_Output!$S$1:$S$400,SF_Output!$AC$1:$AC$400,_xlfn.TEXTJOIN(",",TRUE,B68:E68),SF_Output!$Q$1:$Q$400,"yearly")+SUMIFS(SF_Output!$S$1:$S$400,SF_Output!$AC$1:$AC$400,_xlfn.TEXTJOIN(",",TRUE,B68:E68),SF_Output!$Q$1:$Q$400,"quarterly")*4)</f>
        <v>0</v>
      </c>
      <c r="S68" s="112" t="str">
        <f>IF(OR(B68=0,B68="",G68="hardware",R68=0),"",IF(AF68&lt;&gt;"exclusion",MAX(S$9,-(SUMIFS(SF_Output!$T$1:$T$400,SF_Output!$AC$1:$AC$400,_xlfn.TEXTJOIN(",",TRUE,$B68:$E68),SF_Output!$Q$1:$Q$400,"yearly"))/R68),-((SUMIFS(SF_Output!$T$1:$T$400,SF_Output!$AC$1:$AC$400,_xlfn.TEXTJOIN(",",TRUE,$B68:$E68),SF_Output!$Q$1:$Q$400,"yearly")/R68))))</f>
        <v/>
      </c>
      <c r="T68" s="6">
        <f t="shared" si="3"/>
        <v>0</v>
      </c>
      <c r="V68" s="6" cm="1">
        <f t="array" ref="V68">_xlfn.IFS(B68="","",AND(B68&lt;&gt;"",H68=SF_Output!$Y$2,SUMIFS(SF_Output!$T$1:$T$400,SF_Output!$AC$1:$AC$400,_xlfn.TEXTJOIN(",",TRUE,B68:E68),SF_Output!$Q$1:$Q$400,"monthly")=0),(SUMIFS(SF_Output!$F$1:$F$400,SF_Output!$AC$1:$AC$400,_xlfn.TEXTJOIN(",",TRUE,B68:E68),SF_Output!$Q$1:$Q$400,"monthly")+SUMIFS(SF_Output!$G$1:$G$400,SF_Output!$AC$1:$AC$400,_xlfn.TEXTJOIN(",",TRUE,B68:E68),SF_Output!$Q$1:$Q$400,"monthly"))*H68,AND(B68&lt;&gt;"",H68=SF_Output!$Y$2,SUMIFS(SF_Output!$T$1:$T$400,SF_Output!$AC$1:$AC$400,_xlfn.TEXTJOIN(",",TRUE,B68:E68),SF_Output!$Q$1:$Q$400,"monthly")&lt;&gt;0),SUMIFS(SF_Output!$S$1:$S$400,SF_Output!$AC$1:$AC$400,_xlfn.TEXTJOIN(",",TRUE,B68:E68),SF_Output!$Q$1:$Q$400,"monthly"),AND(B68&lt;&gt;"",H68&lt;&gt;SF_Output!$Y$2),SUMIFS(SF_Output!$S$1:$S$400,SF_Output!$AC$1:$AC$400,_xlfn.TEXTJOIN(",",TRUE,B68:E68),SF_Output!$Q$1:$Q$400,"monthly"))</f>
        <v>0</v>
      </c>
      <c r="W68" s="112" t="str" cm="1">
        <f t="array" ref="W68">_xlfn.IFS(OR(B68=0,B68="",V68=0),"",AF68&lt;&gt;"exclusion",MAX($W$9,$W$7,(-(SUMIFS(SF_Output!$T$1:$T$400,SF_Output!$AC$1:$AC$400,_xlfn.TEXTJOIN(",",TRUE,$B68:$E68),SF_Output!$Q$1:$Q$400,"monthly"))/V68)),AF68="exclusion",-(SUMIFS(SF_Output!$T$1:$T$400,SF_Output!$AC$1:$AC$400,_xlfn.TEXTJOIN(",",TRUE,$B68:$E68),SF_Output!$Q$1:$Q$400,"monthly"))/V68)</f>
        <v/>
      </c>
      <c r="X68" s="6" cm="1">
        <f t="array" ref="X68">IFERROR(_xlfn.IFS(V68=0,0,V68="","",W68=0,V68,OR(V68&lt;&gt;0,V68&lt;&gt;""),H68*I68),V68*(1-W68))</f>
        <v>0</v>
      </c>
      <c r="Z68" s="6">
        <f>IFERROR(IF(B68="","",SUMIFS(Billing_Fallout!H:H,Billing_Fallout!N:N,B68)),0)</f>
        <v>0</v>
      </c>
      <c r="AA68" s="6">
        <f t="shared" si="4"/>
        <v>0</v>
      </c>
      <c r="AB68" s="6">
        <f>IFERROR(IF(B68="","",SUMIFS(Billing_Fallout!J:J,Billing_Fallout!N:N,B68)),0)</f>
        <v>0</v>
      </c>
      <c r="AD68" s="6">
        <f t="shared" si="5"/>
        <v>0</v>
      </c>
      <c r="AF68" t="str">
        <f>IFERROR(INDEX(H_Tables!$B$1:$B$1500,MATCH(INDEX(SF_Output!$J$1:$J$400,MATCH(B68,SF_Output!$M$1:$M$400,0)),H_Tables!$A$1:$A$1500,0)),"")</f>
        <v>Exclusion</v>
      </c>
      <c r="AI68" s="119" t="str">
        <f t="shared" si="6"/>
        <v/>
      </c>
      <c r="AJ68" s="121">
        <f>IFERROR(INDEX(SF_Output!AD:AD,MATCH(_xlfn.TEXTJOIN(",",TRUE,B68:E68),SF_Output!AC1:AC400,0)),0.05)</f>
        <v>108</v>
      </c>
      <c r="AK68" t="str">
        <f>IF(SUMIFS(SF_Output!$F$1:$F$400,SF_Output!$AC$1:$AC$400,_xlfn.TEXTJOIN(",",TRUE,B68:E68))+SUMIFS(SF_Output!$G$1:$G$400,SF_Output!$AC$1:$AC$400,_xlfn.TEXTJOIN(",",TRUE,B68:E68))=0,"","PAP")</f>
        <v/>
      </c>
      <c r="AL68" s="35" t="str">
        <f t="shared" si="7"/>
        <v>Synergy ECM User/Operator Education Pack (eLearning),New,Hosted by JHA,0</v>
      </c>
      <c r="AQ68" s="35"/>
      <c r="AR68" s="35" t="str" cm="1">
        <f t="array" ref="AR68">IFERROR(_xlfn.IFS(AND(E68*1=1,F68="Included"),"Change to Included",AND(E68*1=0,F68="Optional"),"Change to Optional",OR(B68="",F68="replaced"),""),"")</f>
        <v/>
      </c>
      <c r="AS68" s="35" t="str">
        <f t="shared" si="8"/>
        <v/>
      </c>
      <c r="AT68" s="35" t="str">
        <f t="shared" si="9"/>
        <v/>
      </c>
      <c r="AU68" s="35" t="str">
        <f t="shared" si="10"/>
        <v/>
      </c>
      <c r="AV68" s="35" t="str">
        <f t="shared" si="11"/>
        <v/>
      </c>
      <c r="AW68" s="35" t="str">
        <f t="shared" si="12"/>
        <v/>
      </c>
      <c r="AX68" s="35" t="str">
        <f t="shared" si="13"/>
        <v/>
      </c>
      <c r="AY68" s="35" t="str">
        <f t="shared" si="14"/>
        <v/>
      </c>
      <c r="AZ68" s="35" t="str">
        <f t="shared" si="15"/>
        <v/>
      </c>
      <c r="BA68" s="35" t="str">
        <f t="shared" si="16"/>
        <v/>
      </c>
      <c r="BB68" s="35" t="str">
        <f t="shared" si="17"/>
        <v/>
      </c>
      <c r="BC68" s="35"/>
      <c r="BE68" s="35">
        <f ca="1">INDEX(SF_Output!$AA$2:$AA$400,MATCH($B68,SF_Output!$M$2:$M$400,0))</f>
        <v>4</v>
      </c>
      <c r="BF68" s="35">
        <f ca="1">INDEX(SF_Output!$AB$2:$AB$400,MATCH($B68,SF_Output!$M$2:$M$400,0))</f>
        <v>2</v>
      </c>
    </row>
    <row r="69" spans="2:58" x14ac:dyDescent="0.25">
      <c r="B69" t="s">
        <v>1506</v>
      </c>
      <c r="C69" t="s">
        <v>2122</v>
      </c>
      <c r="D69" t="s">
        <v>2123</v>
      </c>
      <c r="E69" t="s">
        <v>2124</v>
      </c>
      <c r="F69" s="116" t="str">
        <f t="shared" si="0"/>
        <v>Included</v>
      </c>
      <c r="G69" t="str">
        <f>IF(B69="","",INDEX(SF_Output!$K$1:$K$400,MATCH(B69,SF_Output!$M$1:$M$400,0)))</f>
        <v>Synergy</v>
      </c>
      <c r="H69" cm="1">
        <f t="array" ref="H69">_xlfn.IFS(B69="","",(SUMIFS(SF_Output!$F$1:$F$400,SF_Output!$AC$1:$AC$400,_xlfn.TEXTJOIN(",",TRUE,B69:E69))+SUMIFS(SF_Output!$G$1:$G$400,SF_Output!$AC$1:$AC$400,_xlfn.TEXTJOIN(",",TRUE,B69:E69)))&lt;&gt;0,SF_Output!$Y$2,INDEX(SF_Output!$F$1:$F$400,MATCH(_xlfn.TEXTJOIN(",",TRUE,B69:E69),SF_Output!$AC$1:$AC$400,0))=0,INDEX(SF_Output!$R$1:$R$400,MATCH(_xlfn.TEXTJOIN(",",TRUE,B69:E69),SF_Output!$AC$1:$AC$400,0)))</f>
        <v>1</v>
      </c>
      <c r="I69" s="125" t="str">
        <f>IFERROR(IF(AND(H69&gt;1,H69&lt;&gt;""),ROUND(SUMIFS(SF_Output!$S$1:$S$400,SF_Output!$AC$1:$AC$400,_xlfn.TEXTJOIN(",",TRUE,B69:E69),SF_Output!$Q$1:$Q$400,"monthly")*(1-W69)/H69,4),""),"")</f>
        <v/>
      </c>
      <c r="J69" s="6">
        <f>IF(B69="","",SUMIFS(SF_Output!$S$1:$S$400,SF_Output!$AC$1:$AC$400,_xlfn.TEXTJOIN(",",TRUE,B69:E69),SF_Output!$Q$1:$Q$400,"One Time",SF_Output!$L$1:$L$400,"license fee")+SUMIFS(SF_Output!$S$1:$S$400,SF_Output!$AC$1:$AC$400,_xlfn.TEXTJOIN(",",TRUE,B69:E69),SF_Output!$Q$1:$Q$400,"One Time",SF_Output!$L$1:$L$400,"software license")+SUMIFS(SF_Output!$S$1:$S$400,SF_Output!$AC$1:$AC$400,_xlfn.TEXTJOIN(",",TRUE,B69:E69),SF_Output!$Q$1:$Q$400,"One Time",SF_Output!$L$1:$L$400,"hardware"))</f>
        <v>0</v>
      </c>
      <c r="K69" s="112" t="str">
        <f>IF(OR(B69=0,B69="",G69="hardware",J69=0),"",IF(AF69&lt;&gt;"exclusion",MAX(K$9,-((SUMIFS(SF_Output!$T$1:$T$400,SF_Output!$AC$1:$AC$400,_xlfn.TEXTJOIN(",",TRUE,$B69:$E69),SF_Output!$Q$1:$Q$400,"One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license"))/J69)))</f>
        <v/>
      </c>
      <c r="L69" s="6">
        <f t="shared" si="1"/>
        <v>0</v>
      </c>
      <c r="N69" s="6">
        <f>IF(B69="","",SUMIFS(SF_Output!$S$1:$S$400,SF_Output!$AC$1:$AC$400,_xlfn.TEXTJOIN(",",TRUE,B69:E69),SF_Output!$Q$1:$Q$400,"One Time",SF_Output!$L$1:$L$400,"professional service"))</f>
        <v>1150</v>
      </c>
      <c r="O69" s="112">
        <f>IF(OR(B69=0,B69="",N69=0),"",IF(AF69&lt;&gt;"exclusion",MAX(O$9,-(SUMIFS(SF_Output!$T$1:$T$400,SF_Output!$AC$1:$AC$400,_xlfn.TEXTJOIN(",",TRUE,$B69:$E69),SF_Output!$Q$1:$Q$400,"One Time",SF_Output!$L$1:$L$400,"professional service"))/N69),-((SUMIFS(SF_Output!$T$1:$T$400,SF_Output!$AC$1:$AC$400,_xlfn.TEXTJOIN(",",TRUE,$B69:$E69),SF_Output!$Q$1:$Q$400,"One Time",SF_Output!$L$1:$L$400,"professional service")/N69))))</f>
        <v>0</v>
      </c>
      <c r="P69" s="6">
        <f t="shared" si="2"/>
        <v>1150</v>
      </c>
      <c r="R69" s="6">
        <f>IF(B69="","",SUMIFS(SF_Output!$S$1:$S$400,SF_Output!$AC$1:$AC$400,_xlfn.TEXTJOIN(",",TRUE,B69:E69),SF_Output!$Q$1:$Q$400,"yearly")+SUMIFS(SF_Output!$S$1:$S$400,SF_Output!$AC$1:$AC$400,_xlfn.TEXTJOIN(",",TRUE,B69:E69),SF_Output!$Q$1:$Q$400,"quarterly")*4)</f>
        <v>0</v>
      </c>
      <c r="S69" s="112" t="str">
        <f>IF(OR(B69=0,B69="",G69="hardware",R69=0),"",IF(AF69&lt;&gt;"exclusion",MAX(S$9,-(SUMIFS(SF_Output!$T$1:$T$400,SF_Output!$AC$1:$AC$400,_xlfn.TEXTJOIN(",",TRUE,$B69:$E69),SF_Output!$Q$1:$Q$400,"yearly"))/R69),-((SUMIFS(SF_Output!$T$1:$T$400,SF_Output!$AC$1:$AC$400,_xlfn.TEXTJOIN(",",TRUE,$B69:$E69),SF_Output!$Q$1:$Q$400,"yearly")/R69))))</f>
        <v/>
      </c>
      <c r="T69" s="6">
        <f t="shared" si="3"/>
        <v>0</v>
      </c>
      <c r="V69" s="6" cm="1">
        <f t="array" ref="V69">_xlfn.IFS(B69="","",AND(B69&lt;&gt;"",H69=SF_Output!$Y$2,SUMIFS(SF_Output!$T$1:$T$400,SF_Output!$AC$1:$AC$400,_xlfn.TEXTJOIN(",",TRUE,B69:E69),SF_Output!$Q$1:$Q$400,"monthly")=0),(SUMIFS(SF_Output!$F$1:$F$400,SF_Output!$AC$1:$AC$400,_xlfn.TEXTJOIN(",",TRUE,B69:E69),SF_Output!$Q$1:$Q$400,"monthly")+SUMIFS(SF_Output!$G$1:$G$400,SF_Output!$AC$1:$AC$400,_xlfn.TEXTJOIN(",",TRUE,B69:E69),SF_Output!$Q$1:$Q$400,"monthly"))*H69,AND(B69&lt;&gt;"",H69=SF_Output!$Y$2,SUMIFS(SF_Output!$T$1:$T$400,SF_Output!$AC$1:$AC$400,_xlfn.TEXTJOIN(",",TRUE,B69:E69),SF_Output!$Q$1:$Q$400,"monthly")&lt;&gt;0),SUMIFS(SF_Output!$S$1:$S$400,SF_Output!$AC$1:$AC$400,_xlfn.TEXTJOIN(",",TRUE,B69:E69),SF_Output!$Q$1:$Q$400,"monthly"),AND(B69&lt;&gt;"",H69&lt;&gt;SF_Output!$Y$2),SUMIFS(SF_Output!$S$1:$S$400,SF_Output!$AC$1:$AC$400,_xlfn.TEXTJOIN(",",TRUE,B69:E69),SF_Output!$Q$1:$Q$400,"monthly"))</f>
        <v>0</v>
      </c>
      <c r="W69" s="112" t="str" cm="1">
        <f t="array" ref="W69">_xlfn.IFS(OR(B69=0,B69="",V69=0),"",AF69&lt;&gt;"exclusion",MAX($W$9,$W$7,(-(SUMIFS(SF_Output!$T$1:$T$400,SF_Output!$AC$1:$AC$400,_xlfn.TEXTJOIN(",",TRUE,$B69:$E69),SF_Output!$Q$1:$Q$400,"monthly"))/V69)),AF69="exclusion",-(SUMIFS(SF_Output!$T$1:$T$400,SF_Output!$AC$1:$AC$400,_xlfn.TEXTJOIN(",",TRUE,$B69:$E69),SF_Output!$Q$1:$Q$400,"monthly"))/V69)</f>
        <v/>
      </c>
      <c r="X69" s="6" cm="1">
        <f t="array" ref="X69">IFERROR(_xlfn.IFS(V69=0,0,V69="","",W69=0,V69,OR(V69&lt;&gt;0,V69&lt;&gt;""),H69*I69),V69*(1-W69))</f>
        <v>0</v>
      </c>
      <c r="Z69" s="6">
        <f>IFERROR(IF(B69="","",SUMIFS(Billing_Fallout!H:H,Billing_Fallout!N:N,B69)),0)</f>
        <v>0</v>
      </c>
      <c r="AA69" s="6">
        <f t="shared" si="4"/>
        <v>0</v>
      </c>
      <c r="AB69" s="6">
        <f>IFERROR(IF(B69="","",SUMIFS(Billing_Fallout!J:J,Billing_Fallout!N:N,B69)),0)</f>
        <v>0</v>
      </c>
      <c r="AD69" s="6">
        <f t="shared" si="5"/>
        <v>0</v>
      </c>
      <c r="AF69" t="str">
        <f>IFERROR(INDEX(H_Tables!$B$1:$B$1500,MATCH(INDEX(SF_Output!$J$1:$J$400,MATCH(B69,SF_Output!$M$1:$M$400,0)),H_Tables!$A$1:$A$1500,0)),"")</f>
        <v>Exclusion</v>
      </c>
      <c r="AI69" s="119" t="str">
        <f t="shared" si="6"/>
        <v/>
      </c>
      <c r="AJ69" s="121">
        <f>IFERROR(INDEX(SF_Output!AD:AD,MATCH(_xlfn.TEXTJOIN(",",TRUE,B69:E69),SF_Output!AC1:AC400,0)),0.05)</f>
        <v>109</v>
      </c>
      <c r="AK69" t="str">
        <f>IF(SUMIFS(SF_Output!$F$1:$F$400,SF_Output!$AC$1:$AC$400,_xlfn.TEXTJOIN(",",TRUE,B69:E69))+SUMIFS(SF_Output!$G$1:$G$400,SF_Output!$AC$1:$AC$400,_xlfn.TEXTJOIN(",",TRUE,B69:E69))=0,"","PAP")</f>
        <v/>
      </c>
      <c r="AL69" s="35" t="str">
        <f t="shared" si="7"/>
        <v>Synergy Productivity Education Pack (Virtual, instructor-led training and eLearn</v>
      </c>
      <c r="AQ69" s="35"/>
      <c r="AR69" s="35" t="str" cm="1">
        <f t="array" ref="AR69">IFERROR(_xlfn.IFS(AND(E69*1=1,F69="Included"),"Change to Included",AND(E69*1=0,F69="Optional"),"Change to Optional",OR(B69="",F69="replaced"),""),"")</f>
        <v/>
      </c>
      <c r="AS69" s="35" t="str">
        <f t="shared" si="8"/>
        <v/>
      </c>
      <c r="AT69" s="35" t="str">
        <f t="shared" si="9"/>
        <v/>
      </c>
      <c r="AU69" s="35" t="str">
        <f t="shared" si="10"/>
        <v/>
      </c>
      <c r="AV69" s="35" t="str">
        <f t="shared" si="11"/>
        <v/>
      </c>
      <c r="AW69" s="35" t="str">
        <f t="shared" si="12"/>
        <v/>
      </c>
      <c r="AX69" s="35" t="str">
        <f t="shared" si="13"/>
        <v/>
      </c>
      <c r="AY69" s="35" t="str">
        <f t="shared" si="14"/>
        <v/>
      </c>
      <c r="AZ69" s="35" t="str">
        <f t="shared" si="15"/>
        <v/>
      </c>
      <c r="BA69" s="35" t="str">
        <f t="shared" si="16"/>
        <v/>
      </c>
      <c r="BB69" s="35" t="str">
        <f t="shared" si="17"/>
        <v/>
      </c>
      <c r="BC69" s="35"/>
      <c r="BE69" s="35">
        <f ca="1">INDEX(SF_Output!$AA$2:$AA$400,MATCH($B69,SF_Output!$M$2:$M$400,0))</f>
        <v>4</v>
      </c>
      <c r="BF69" s="35">
        <f ca="1">INDEX(SF_Output!$AB$2:$AB$400,MATCH($B69,SF_Output!$M$2:$M$400,0))</f>
        <v>2</v>
      </c>
    </row>
    <row r="70" spans="2:58" x14ac:dyDescent="0.25">
      <c r="B70" t="s">
        <v>1510</v>
      </c>
      <c r="C70" t="s">
        <v>2122</v>
      </c>
      <c r="D70" t="s">
        <v>2123</v>
      </c>
      <c r="E70" t="s">
        <v>2150</v>
      </c>
      <c r="F70" s="116" t="str">
        <f t="shared" si="0"/>
        <v>Optional</v>
      </c>
      <c r="G70" t="str">
        <f>IF(B70="","",INDEX(SF_Output!$K$1:$K$400,MATCH(B70,SF_Output!$M$1:$M$400,0)))</f>
        <v>Synergy</v>
      </c>
      <c r="H70" cm="1">
        <f t="array" ref="H70">_xlfn.IFS(B70="","",(SUMIFS(SF_Output!$F$1:$F$400,SF_Output!$AC$1:$AC$400,_xlfn.TEXTJOIN(",",TRUE,B70:E70))+SUMIFS(SF_Output!$G$1:$G$400,SF_Output!$AC$1:$AC$400,_xlfn.TEXTJOIN(",",TRUE,B70:E70)))&lt;&gt;0,SF_Output!$Y$2,INDEX(SF_Output!$F$1:$F$400,MATCH(_xlfn.TEXTJOIN(",",TRUE,B70:E70),SF_Output!$AC$1:$AC$400,0))=0,INDEX(SF_Output!$R$1:$R$400,MATCH(_xlfn.TEXTJOIN(",",TRUE,B70:E70),SF_Output!$AC$1:$AC$400,0)))</f>
        <v>1</v>
      </c>
      <c r="I70" s="125" t="str">
        <f>IFERROR(IF(AND(H70&gt;1,H70&lt;&gt;""),ROUND(SUMIFS(SF_Output!$S$1:$S$400,SF_Output!$AC$1:$AC$400,_xlfn.TEXTJOIN(",",TRUE,B70:E70),SF_Output!$Q$1:$Q$400,"monthly")*(1-W70)/H70,4),""),"")</f>
        <v/>
      </c>
      <c r="J70" s="6">
        <f>IF(B70="","",SUMIFS(SF_Output!$S$1:$S$400,SF_Output!$AC$1:$AC$400,_xlfn.TEXTJOIN(",",TRUE,B70:E70),SF_Output!$Q$1:$Q$400,"One Time",SF_Output!$L$1:$L$400,"license fee")+SUMIFS(SF_Output!$S$1:$S$400,SF_Output!$AC$1:$AC$400,_xlfn.TEXTJOIN(",",TRUE,B70:E70),SF_Output!$Q$1:$Q$400,"One Time",SF_Output!$L$1:$L$400,"software license")+SUMIFS(SF_Output!$S$1:$S$400,SF_Output!$AC$1:$AC$400,_xlfn.TEXTJOIN(",",TRUE,B70:E70),SF_Output!$Q$1:$Q$400,"One Time",SF_Output!$L$1:$L$400,"hardware"))</f>
        <v>0</v>
      </c>
      <c r="K70" s="112" t="str">
        <f>IF(OR(B70=0,B70="",G70="hardware",J70=0),"",IF(AF70&lt;&gt;"exclusion",MAX(K$9,-((SUMIFS(SF_Output!$T$1:$T$400,SF_Output!$AC$1:$AC$400,_xlfn.TEXTJOIN(",",TRUE,$B70:$E70),SF_Output!$Q$1:$Q$400,"One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license"))/J70)))</f>
        <v/>
      </c>
      <c r="L70" s="6">
        <f t="shared" si="1"/>
        <v>0</v>
      </c>
      <c r="N70" s="6">
        <f>IF(B70="","",SUMIFS(SF_Output!$S$1:$S$400,SF_Output!$AC$1:$AC$400,_xlfn.TEXTJOIN(",",TRUE,B70:E70),SF_Output!$Q$1:$Q$400,"One Time",SF_Output!$L$1:$L$400,"professional service"))</f>
        <v>450</v>
      </c>
      <c r="O70" s="112">
        <f>IF(OR(B70=0,B70="",N70=0),"",IF(AF70&lt;&gt;"exclusion",MAX(O$9,-(SUMIFS(SF_Output!$T$1:$T$400,SF_Output!$AC$1:$AC$400,_xlfn.TEXTJOIN(",",TRUE,$B70:$E70),SF_Output!$Q$1:$Q$400,"One Time",SF_Output!$L$1:$L$400,"professional service"))/N70),-((SUMIFS(SF_Output!$T$1:$T$400,SF_Output!$AC$1:$AC$400,_xlfn.TEXTJOIN(",",TRUE,$B70:$E70),SF_Output!$Q$1:$Q$400,"One Time",SF_Output!$L$1:$L$400,"professional service")/N70))))</f>
        <v>0</v>
      </c>
      <c r="P70" s="6">
        <f t="shared" si="2"/>
        <v>450</v>
      </c>
      <c r="R70" s="6">
        <f>IF(B70="","",SUMIFS(SF_Output!$S$1:$S$400,SF_Output!$AC$1:$AC$400,_xlfn.TEXTJOIN(",",TRUE,B70:E70),SF_Output!$Q$1:$Q$400,"yearly")+SUMIFS(SF_Output!$S$1:$S$400,SF_Output!$AC$1:$AC$400,_xlfn.TEXTJOIN(",",TRUE,B70:E70),SF_Output!$Q$1:$Q$400,"quarterly")*4)</f>
        <v>0</v>
      </c>
      <c r="S70" s="112" t="str">
        <f>IF(OR(B70=0,B70="",G70="hardware",R70=0),"",IF(AF70&lt;&gt;"exclusion",MAX(S$9,-(SUMIFS(SF_Output!$T$1:$T$400,SF_Output!$AC$1:$AC$400,_xlfn.TEXTJOIN(",",TRUE,$B70:$E70),SF_Output!$Q$1:$Q$400,"yearly"))/R70),-((SUMIFS(SF_Output!$T$1:$T$400,SF_Output!$AC$1:$AC$400,_xlfn.TEXTJOIN(",",TRUE,$B70:$E70),SF_Output!$Q$1:$Q$400,"yearly")/R70))))</f>
        <v/>
      </c>
      <c r="T70" s="6">
        <f t="shared" si="3"/>
        <v>0</v>
      </c>
      <c r="V70" s="6" cm="1">
        <f t="array" ref="V70">_xlfn.IFS(B70="","",AND(B70&lt;&gt;"",H70=SF_Output!$Y$2,SUMIFS(SF_Output!$T$1:$T$400,SF_Output!$AC$1:$AC$400,_xlfn.TEXTJOIN(",",TRUE,B70:E70),SF_Output!$Q$1:$Q$400,"monthly")=0),(SUMIFS(SF_Output!$F$1:$F$400,SF_Output!$AC$1:$AC$400,_xlfn.TEXTJOIN(",",TRUE,B70:E70),SF_Output!$Q$1:$Q$400,"monthly")+SUMIFS(SF_Output!$G$1:$G$400,SF_Output!$AC$1:$AC$400,_xlfn.TEXTJOIN(",",TRUE,B70:E70),SF_Output!$Q$1:$Q$400,"monthly"))*H70,AND(B70&lt;&gt;"",H70=SF_Output!$Y$2,SUMIFS(SF_Output!$T$1:$T$400,SF_Output!$AC$1:$AC$400,_xlfn.TEXTJOIN(",",TRUE,B70:E70),SF_Output!$Q$1:$Q$400,"monthly")&lt;&gt;0),SUMIFS(SF_Output!$S$1:$S$400,SF_Output!$AC$1:$AC$400,_xlfn.TEXTJOIN(",",TRUE,B70:E70),SF_Output!$Q$1:$Q$400,"monthly"),AND(B70&lt;&gt;"",H70&lt;&gt;SF_Output!$Y$2),SUMIFS(SF_Output!$S$1:$S$400,SF_Output!$AC$1:$AC$400,_xlfn.TEXTJOIN(",",TRUE,B70:E70),SF_Output!$Q$1:$Q$400,"monthly"))</f>
        <v>0</v>
      </c>
      <c r="W70" s="112" t="str" cm="1">
        <f t="array" ref="W70">_xlfn.IFS(OR(B70=0,B70="",V70=0),"",AF70&lt;&gt;"exclusion",MAX($W$9,$W$7,(-(SUMIFS(SF_Output!$T$1:$T$400,SF_Output!$AC$1:$AC$400,_xlfn.TEXTJOIN(",",TRUE,$B70:$E70),SF_Output!$Q$1:$Q$400,"monthly"))/V70)),AF70="exclusion",-(SUMIFS(SF_Output!$T$1:$T$400,SF_Output!$AC$1:$AC$400,_xlfn.TEXTJOIN(",",TRUE,$B70:$E70),SF_Output!$Q$1:$Q$400,"monthly"))/V70)</f>
        <v/>
      </c>
      <c r="X70" s="6" cm="1">
        <f t="array" ref="X70">IFERROR(_xlfn.IFS(V70=0,0,V70="","",W70=0,V70,OR(V70&lt;&gt;0,V70&lt;&gt;""),H70*I70),V70*(1-W70))</f>
        <v>0</v>
      </c>
      <c r="Z70" s="6">
        <f>IFERROR(IF(B70="","",SUMIFS(Billing_Fallout!H:H,Billing_Fallout!N:N,B70)),0)</f>
        <v>0</v>
      </c>
      <c r="AA70" s="6">
        <f t="shared" si="4"/>
        <v>0</v>
      </c>
      <c r="AB70" s="6">
        <f>IFERROR(IF(B70="","",SUMIFS(Billing_Fallout!J:J,Billing_Fallout!N:N,B70)),0)</f>
        <v>0</v>
      </c>
      <c r="AD70" s="6">
        <f t="shared" si="5"/>
        <v>0</v>
      </c>
      <c r="AF70" t="str">
        <f>IFERROR(INDEX(H_Tables!$B$1:$B$1500,MATCH(INDEX(SF_Output!$J$1:$J$400,MATCH(B70,SF_Output!$M$1:$M$400,0)),H_Tables!$A$1:$A$1500,0)),"")</f>
        <v>Exclusion</v>
      </c>
      <c r="AI70" s="119" t="str">
        <f t="shared" si="6"/>
        <v/>
      </c>
      <c r="AJ70" s="121">
        <f>IFERROR(INDEX(SF_Output!AD:AD,MATCH(_xlfn.TEXTJOIN(",",TRUE,B70:E70),SF_Output!AC1:AC400,0)),0.05)</f>
        <v>110</v>
      </c>
      <c r="AK70" t="str">
        <f>IF(SUMIFS(SF_Output!$F$1:$F$400,SF_Output!$AC$1:$AC$400,_xlfn.TEXTJOIN(",",TRUE,B70:E70))+SUMIFS(SF_Output!$G$1:$G$400,SF_Output!$AC$1:$AC$400,_xlfn.TEXTJOIN(",",TRUE,B70:E70))=0,"","PAP")</f>
        <v/>
      </c>
      <c r="AL70" s="35" t="str">
        <f t="shared" si="7"/>
        <v>Synergy Document Recognition Education (eLearning),New,Hosted by JHA,1</v>
      </c>
      <c r="AQ70" s="35"/>
      <c r="AR70" s="35" t="str" cm="1">
        <f t="array" ref="AR70">IFERROR(_xlfn.IFS(AND(E70*1=1,F70="Included"),"Change to Included",AND(E70*1=0,F70="Optional"),"Change to Optional",OR(B70="",F70="replaced"),""),"")</f>
        <v/>
      </c>
      <c r="AS70" s="35" t="str">
        <f t="shared" si="8"/>
        <v/>
      </c>
      <c r="AT70" s="35" t="str">
        <f t="shared" si="9"/>
        <v/>
      </c>
      <c r="AU70" s="35" t="str">
        <f t="shared" si="10"/>
        <v/>
      </c>
      <c r="AV70" s="35" t="str">
        <f t="shared" si="11"/>
        <v/>
      </c>
      <c r="AW70" s="35" t="str">
        <f t="shared" si="12"/>
        <v/>
      </c>
      <c r="AX70" s="35" t="str">
        <f t="shared" si="13"/>
        <v/>
      </c>
      <c r="AY70" s="35" t="str">
        <f t="shared" si="14"/>
        <v/>
      </c>
      <c r="AZ70" s="35" t="str">
        <f t="shared" si="15"/>
        <v/>
      </c>
      <c r="BA70" s="35" t="str">
        <f t="shared" si="16"/>
        <v/>
      </c>
      <c r="BB70" s="35" t="str">
        <f t="shared" si="17"/>
        <v/>
      </c>
      <c r="BC70" s="35"/>
      <c r="BE70" s="35">
        <f ca="1">INDEX(SF_Output!$AA$2:$AA$400,MATCH($B70,SF_Output!$M$2:$M$400,0))</f>
        <v>4</v>
      </c>
      <c r="BF70" s="35">
        <f ca="1">INDEX(SF_Output!$AB$2:$AB$400,MATCH($B70,SF_Output!$M$2:$M$400,0))</f>
        <v>2</v>
      </c>
    </row>
    <row r="71" spans="2:58" x14ac:dyDescent="0.25">
      <c r="B71" t="s">
        <v>1516</v>
      </c>
      <c r="C71" t="s">
        <v>2122</v>
      </c>
      <c r="D71" t="s">
        <v>2123</v>
      </c>
      <c r="E71" t="s">
        <v>2124</v>
      </c>
      <c r="F71" s="116" t="str">
        <f t="shared" si="0"/>
        <v>Included</v>
      </c>
      <c r="G71" t="str">
        <f>IF(B71="","",INDEX(SF_Output!$K$1:$K$400,MATCH(B71,SF_Output!$M$1:$M$400,0)))</f>
        <v>Synergy</v>
      </c>
      <c r="H71" cm="1">
        <f t="array" ref="H71">_xlfn.IFS(B71="","",(SUMIFS(SF_Output!$F$1:$F$400,SF_Output!$AC$1:$AC$400,_xlfn.TEXTJOIN(",",TRUE,B71:E71))+SUMIFS(SF_Output!$G$1:$G$400,SF_Output!$AC$1:$AC$400,_xlfn.TEXTJOIN(",",TRUE,B71:E71)))&lt;&gt;0,SF_Output!$Y$2,INDEX(SF_Output!$F$1:$F$400,MATCH(_xlfn.TEXTJOIN(",",TRUE,B71:E71),SF_Output!$AC$1:$AC$400,0))=0,INDEX(SF_Output!$R$1:$R$400,MATCH(_xlfn.TEXTJOIN(",",TRUE,B71:E71),SF_Output!$AC$1:$AC$400,0)))</f>
        <v>1</v>
      </c>
      <c r="I71" s="125" t="str">
        <f>IFERROR(IF(AND(H71&gt;1,H71&lt;&gt;""),ROUND(SUMIFS(SF_Output!$S$1:$S$400,SF_Output!$AC$1:$AC$400,_xlfn.TEXTJOIN(",",TRUE,B71:E71),SF_Output!$Q$1:$Q$400,"monthly")*(1-W71)/H71,4),""),"")</f>
        <v/>
      </c>
      <c r="J71" s="6">
        <f>IF(B71="","",SUMIFS(SF_Output!$S$1:$S$400,SF_Output!$AC$1:$AC$400,_xlfn.TEXTJOIN(",",TRUE,B71:E71),SF_Output!$Q$1:$Q$400,"One Time",SF_Output!$L$1:$L$400,"license fee")+SUMIFS(SF_Output!$S$1:$S$400,SF_Output!$AC$1:$AC$400,_xlfn.TEXTJOIN(",",TRUE,B71:E71),SF_Output!$Q$1:$Q$400,"One Time",SF_Output!$L$1:$L$400,"software license")+SUMIFS(SF_Output!$S$1:$S$400,SF_Output!$AC$1:$AC$400,_xlfn.TEXTJOIN(",",TRUE,B71:E71),SF_Output!$Q$1:$Q$400,"One Time",SF_Output!$L$1:$L$400,"hardware"))</f>
        <v>0</v>
      </c>
      <c r="K71" s="112" t="str">
        <f>IF(OR(B71=0,B71="",G71="hardware",J71=0),"",IF(AF71&lt;&gt;"exclusion",MAX(K$9,-((SUMIFS(SF_Output!$T$1:$T$400,SF_Output!$AC$1:$AC$400,_xlfn.TEXTJOIN(",",TRUE,$B71:$E71),SF_Output!$Q$1:$Q$400,"One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license"))/J71)))</f>
        <v/>
      </c>
      <c r="L71" s="6">
        <f t="shared" si="1"/>
        <v>0</v>
      </c>
      <c r="N71" s="6">
        <f>IF(B71="","",SUMIFS(SF_Output!$S$1:$S$400,SF_Output!$AC$1:$AC$400,_xlfn.TEXTJOIN(",",TRUE,B71:E71),SF_Output!$Q$1:$Q$400,"One Time",SF_Output!$L$1:$L$400,"professional service"))</f>
        <v>1900</v>
      </c>
      <c r="O71" s="112">
        <f>IF(OR(B71=0,B71="",N71=0),"",IF(AF71&lt;&gt;"exclusion",MAX(O$9,-(SUMIFS(SF_Output!$T$1:$T$400,SF_Output!$AC$1:$AC$400,_xlfn.TEXTJOIN(",",TRUE,$B71:$E71),SF_Output!$Q$1:$Q$400,"One Time",SF_Output!$L$1:$L$400,"professional service"))/N71),-((SUMIFS(SF_Output!$T$1:$T$400,SF_Output!$AC$1:$AC$400,_xlfn.TEXTJOIN(",",TRUE,$B71:$E71),SF_Output!$Q$1:$Q$400,"One Time",SF_Output!$L$1:$L$400,"professional service")/N71))))</f>
        <v>0</v>
      </c>
      <c r="P71" s="6">
        <f t="shared" si="2"/>
        <v>1900</v>
      </c>
      <c r="R71" s="6">
        <f>IF(B71="","",SUMIFS(SF_Output!$S$1:$S$400,SF_Output!$AC$1:$AC$400,_xlfn.TEXTJOIN(",",TRUE,B71:E71),SF_Output!$Q$1:$Q$400,"yearly")+SUMIFS(SF_Output!$S$1:$S$400,SF_Output!$AC$1:$AC$400,_xlfn.TEXTJOIN(",",TRUE,B71:E71),SF_Output!$Q$1:$Q$400,"quarterly")*4)</f>
        <v>0</v>
      </c>
      <c r="S71" s="112" t="str">
        <f>IF(OR(B71=0,B71="",G71="hardware",R71=0),"",IF(AF71&lt;&gt;"exclusion",MAX(S$9,-(SUMIFS(SF_Output!$T$1:$T$400,SF_Output!$AC$1:$AC$400,_xlfn.TEXTJOIN(",",TRUE,$B71:$E71),SF_Output!$Q$1:$Q$400,"yearly"))/R71),-((SUMIFS(SF_Output!$T$1:$T$400,SF_Output!$AC$1:$AC$400,_xlfn.TEXTJOIN(",",TRUE,$B71:$E71),SF_Output!$Q$1:$Q$400,"yearly")/R71))))</f>
        <v/>
      </c>
      <c r="T71" s="6">
        <f t="shared" si="3"/>
        <v>0</v>
      </c>
      <c r="V71" s="6" cm="1">
        <f t="array" ref="V71">_xlfn.IFS(B71="","",AND(B71&lt;&gt;"",H71=SF_Output!$Y$2,SUMIFS(SF_Output!$T$1:$T$400,SF_Output!$AC$1:$AC$400,_xlfn.TEXTJOIN(",",TRUE,B71:E71),SF_Output!$Q$1:$Q$400,"monthly")=0),(SUMIFS(SF_Output!$F$1:$F$400,SF_Output!$AC$1:$AC$400,_xlfn.TEXTJOIN(",",TRUE,B71:E71),SF_Output!$Q$1:$Q$400,"monthly")+SUMIFS(SF_Output!$G$1:$G$400,SF_Output!$AC$1:$AC$400,_xlfn.TEXTJOIN(",",TRUE,B71:E71),SF_Output!$Q$1:$Q$400,"monthly"))*H71,AND(B71&lt;&gt;"",H71=SF_Output!$Y$2,SUMIFS(SF_Output!$T$1:$T$400,SF_Output!$AC$1:$AC$400,_xlfn.TEXTJOIN(",",TRUE,B71:E71),SF_Output!$Q$1:$Q$400,"monthly")&lt;&gt;0),SUMIFS(SF_Output!$S$1:$S$400,SF_Output!$AC$1:$AC$400,_xlfn.TEXTJOIN(",",TRUE,B71:E71),SF_Output!$Q$1:$Q$400,"monthly"),AND(B71&lt;&gt;"",H71&lt;&gt;SF_Output!$Y$2),SUMIFS(SF_Output!$S$1:$S$400,SF_Output!$AC$1:$AC$400,_xlfn.TEXTJOIN(",",TRUE,B71:E71),SF_Output!$Q$1:$Q$400,"monthly"))</f>
        <v>0</v>
      </c>
      <c r="W71" s="112" t="str" cm="1">
        <f t="array" ref="W71">_xlfn.IFS(OR(B71=0,B71="",V71=0),"",AF71&lt;&gt;"exclusion",MAX($W$9,$W$7,(-(SUMIFS(SF_Output!$T$1:$T$400,SF_Output!$AC$1:$AC$400,_xlfn.TEXTJOIN(",",TRUE,$B71:$E71),SF_Output!$Q$1:$Q$400,"monthly"))/V71)),AF71="exclusion",-(SUMIFS(SF_Output!$T$1:$T$400,SF_Output!$AC$1:$AC$400,_xlfn.TEXTJOIN(",",TRUE,$B71:$E71),SF_Output!$Q$1:$Q$400,"monthly"))/V71)</f>
        <v/>
      </c>
      <c r="X71" s="6" cm="1">
        <f t="array" ref="X71">IFERROR(_xlfn.IFS(V71=0,0,V71="","",W71=0,V71,OR(V71&lt;&gt;0,V71&lt;&gt;""),H71*I71),V71*(1-W71))</f>
        <v>0</v>
      </c>
      <c r="Z71" s="6">
        <f>IFERROR(IF(B71="","",SUMIFS(Billing_Fallout!H:H,Billing_Fallout!N:N,B71)),0)</f>
        <v>0</v>
      </c>
      <c r="AA71" s="6">
        <f t="shared" si="4"/>
        <v>0</v>
      </c>
      <c r="AB71" s="6">
        <f>IFERROR(IF(B71="","",SUMIFS(Billing_Fallout!J:J,Billing_Fallout!N:N,B71)),0)</f>
        <v>0</v>
      </c>
      <c r="AD71" s="6">
        <f t="shared" si="5"/>
        <v>0</v>
      </c>
      <c r="AF71" t="str">
        <f>IFERROR(INDEX(H_Tables!$B$1:$B$1500,MATCH(INDEX(SF_Output!$J$1:$J$400,MATCH(B71,SF_Output!$M$1:$M$400,0)),H_Tables!$A$1:$A$1500,0)),"")</f>
        <v>Exclusion</v>
      </c>
      <c r="AI71" s="119" t="str">
        <f t="shared" si="6"/>
        <v/>
      </c>
      <c r="AJ71" s="121">
        <f>IFERROR(INDEX(SF_Output!AD:AD,MATCH(_xlfn.TEXTJOIN(",",TRUE,B71:E71),SF_Output!AC1:AC400,0)),0.05)</f>
        <v>111</v>
      </c>
      <c r="AK71" t="str">
        <f>IF(SUMIFS(SF_Output!$F$1:$F$400,SF_Output!$AC$1:$AC$400,_xlfn.TEXTJOIN(",",TRUE,B71:E71))+SUMIFS(SF_Output!$G$1:$G$400,SF_Output!$AC$1:$AC$400,_xlfn.TEXTJOIN(",",TRUE,B71:E71))=0,"","PAP")</f>
        <v/>
      </c>
      <c r="AL71" s="35" t="str">
        <f t="shared" si="7"/>
        <v>Synergy eSign &amp; eSignWeb Education Pack (Virtual, instructor-led training and eL</v>
      </c>
      <c r="AQ71" s="35"/>
      <c r="AR71" s="35" t="str" cm="1">
        <f t="array" ref="AR71">IFERROR(_xlfn.IFS(AND(E71*1=1,F71="Included"),"Change to Included",AND(E71*1=0,F71="Optional"),"Change to Optional",OR(B71="",F71="replaced"),""),"")</f>
        <v/>
      </c>
      <c r="AS71" s="35" t="str">
        <f t="shared" si="8"/>
        <v/>
      </c>
      <c r="AT71" s="35" t="str">
        <f t="shared" si="9"/>
        <v/>
      </c>
      <c r="AU71" s="35" t="str">
        <f t="shared" si="10"/>
        <v/>
      </c>
      <c r="AV71" s="35" t="str">
        <f t="shared" si="11"/>
        <v/>
      </c>
      <c r="AW71" s="35" t="str">
        <f t="shared" si="12"/>
        <v/>
      </c>
      <c r="AX71" s="35" t="str">
        <f t="shared" si="13"/>
        <v/>
      </c>
      <c r="AY71" s="35" t="str">
        <f t="shared" si="14"/>
        <v/>
      </c>
      <c r="AZ71" s="35" t="str">
        <f t="shared" si="15"/>
        <v/>
      </c>
      <c r="BA71" s="35" t="str">
        <f t="shared" si="16"/>
        <v/>
      </c>
      <c r="BB71" s="35" t="str">
        <f t="shared" si="17"/>
        <v/>
      </c>
      <c r="BC71" s="35"/>
      <c r="BE71" s="35">
        <f ca="1">INDEX(SF_Output!$AA$2:$AA$400,MATCH($B71,SF_Output!$M$2:$M$400,0))</f>
        <v>4</v>
      </c>
      <c r="BF71" s="35">
        <f ca="1">INDEX(SF_Output!$AB$2:$AB$400,MATCH($B71,SF_Output!$M$2:$M$400,0))</f>
        <v>2</v>
      </c>
    </row>
    <row r="72" spans="2:58" x14ac:dyDescent="0.25">
      <c r="B72" t="s">
        <v>1853</v>
      </c>
      <c r="C72" t="s">
        <v>2122</v>
      </c>
      <c r="D72" t="s">
        <v>2123</v>
      </c>
      <c r="E72" t="s">
        <v>2124</v>
      </c>
      <c r="F72" s="116" t="str">
        <f t="shared" si="0"/>
        <v>Included</v>
      </c>
      <c r="G72" t="str">
        <f>IF(B72="","",INDEX(SF_Output!$K$1:$K$400,MATCH(B72,SF_Output!$M$1:$M$400,0)))</f>
        <v>Synergy</v>
      </c>
      <c r="H72" cm="1">
        <f t="array" ref="H72">_xlfn.IFS(B72="","",(SUMIFS(SF_Output!$F$1:$F$400,SF_Output!$AC$1:$AC$400,_xlfn.TEXTJOIN(",",TRUE,B72:E72))+SUMIFS(SF_Output!$G$1:$G$400,SF_Output!$AC$1:$AC$400,_xlfn.TEXTJOIN(",",TRUE,B72:E72)))&lt;&gt;0,SF_Output!$Y$2,INDEX(SF_Output!$F$1:$F$400,MATCH(_xlfn.TEXTJOIN(",",TRUE,B72:E72),SF_Output!$AC$1:$AC$400,0))=0,INDEX(SF_Output!$R$1:$R$400,MATCH(_xlfn.TEXTJOIN(",",TRUE,B72:E72),SF_Output!$AC$1:$AC$400,0)))</f>
        <v>1</v>
      </c>
      <c r="I72" s="125" t="str">
        <f>IFERROR(IF(AND(H72&gt;1,H72&lt;&gt;""),ROUND(SUMIFS(SF_Output!$S$1:$S$400,SF_Output!$AC$1:$AC$400,_xlfn.TEXTJOIN(",",TRUE,B72:E72),SF_Output!$Q$1:$Q$400,"monthly")*(1-W72)/H72,4),""),"")</f>
        <v/>
      </c>
      <c r="J72" s="6">
        <f>IF(B72="","",SUMIFS(SF_Output!$S$1:$S$400,SF_Output!$AC$1:$AC$400,_xlfn.TEXTJOIN(",",TRUE,B72:E72),SF_Output!$Q$1:$Q$400,"One Time",SF_Output!$L$1:$L$400,"license fee")+SUMIFS(SF_Output!$S$1:$S$400,SF_Output!$AC$1:$AC$400,_xlfn.TEXTJOIN(",",TRUE,B72:E72),SF_Output!$Q$1:$Q$400,"One Time",SF_Output!$L$1:$L$400,"software license")+SUMIFS(SF_Output!$S$1:$S$400,SF_Output!$AC$1:$AC$400,_xlfn.TEXTJOIN(",",TRUE,B72:E72),SF_Output!$Q$1:$Q$400,"One Time",SF_Output!$L$1:$L$400,"hardware"))</f>
        <v>0</v>
      </c>
      <c r="K72" s="112" t="str">
        <f>IF(OR(B72=0,B72="",G72="hardware",J72=0),"",IF(AF72&lt;&gt;"exclusion",MAX(K$9,-((SUMIFS(SF_Output!$T$1:$T$400,SF_Output!$AC$1:$AC$400,_xlfn.TEXTJOIN(",",TRUE,$B72:$E72),SF_Output!$Q$1:$Q$400,"One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license"))/J72)))</f>
        <v/>
      </c>
      <c r="L72" s="6">
        <f t="shared" si="1"/>
        <v>0</v>
      </c>
      <c r="N72" s="6">
        <f>IF(B72="","",SUMIFS(SF_Output!$S$1:$S$400,SF_Output!$AC$1:$AC$400,_xlfn.TEXTJOIN(",",TRUE,B72:E72),SF_Output!$Q$1:$Q$400,"One Time",SF_Output!$L$1:$L$400,"professional service"))</f>
        <v>5200</v>
      </c>
      <c r="O72" s="112">
        <f>IF(OR(B72=0,B72="",N72=0),"",IF(AF72&lt;&gt;"exclusion",MAX(O$9,-(SUMIFS(SF_Output!$T$1:$T$400,SF_Output!$AC$1:$AC$400,_xlfn.TEXTJOIN(",",TRUE,$B72:$E72),SF_Output!$Q$1:$Q$400,"One Time",SF_Output!$L$1:$L$400,"professional service"))/N72),-((SUMIFS(SF_Output!$T$1:$T$400,SF_Output!$AC$1:$AC$400,_xlfn.TEXTJOIN(",",TRUE,$B72:$E72),SF_Output!$Q$1:$Q$400,"One Time",SF_Output!$L$1:$L$400,"professional service")/N72))))</f>
        <v>0</v>
      </c>
      <c r="P72" s="6">
        <f t="shared" si="2"/>
        <v>5200</v>
      </c>
      <c r="R72" s="6">
        <f>IF(B72="","",SUMIFS(SF_Output!$S$1:$S$400,SF_Output!$AC$1:$AC$400,_xlfn.TEXTJOIN(",",TRUE,B72:E72),SF_Output!$Q$1:$Q$400,"yearly")+SUMIFS(SF_Output!$S$1:$S$400,SF_Output!$AC$1:$AC$400,_xlfn.TEXTJOIN(",",TRUE,B72:E72),SF_Output!$Q$1:$Q$400,"quarterly")*4)</f>
        <v>0</v>
      </c>
      <c r="S72" s="112" t="str">
        <f>IF(OR(B72=0,B72="",G72="hardware",R72=0),"",IF(AF72&lt;&gt;"exclusion",MAX(S$9,-(SUMIFS(SF_Output!$T$1:$T$400,SF_Output!$AC$1:$AC$400,_xlfn.TEXTJOIN(",",TRUE,$B72:$E72),SF_Output!$Q$1:$Q$400,"yearly"))/R72),-((SUMIFS(SF_Output!$T$1:$T$400,SF_Output!$AC$1:$AC$400,_xlfn.TEXTJOIN(",",TRUE,$B72:$E72),SF_Output!$Q$1:$Q$400,"yearly")/R72))))</f>
        <v/>
      </c>
      <c r="T72" s="6">
        <f t="shared" si="3"/>
        <v>0</v>
      </c>
      <c r="V72" s="6" cm="1">
        <f t="array" ref="V72">_xlfn.IFS(B72="","",AND(B72&lt;&gt;"",H72=SF_Output!$Y$2,SUMIFS(SF_Output!$T$1:$T$400,SF_Output!$AC$1:$AC$400,_xlfn.TEXTJOIN(",",TRUE,B72:E72),SF_Output!$Q$1:$Q$400,"monthly")=0),(SUMIFS(SF_Output!$F$1:$F$400,SF_Output!$AC$1:$AC$400,_xlfn.TEXTJOIN(",",TRUE,B72:E72),SF_Output!$Q$1:$Q$400,"monthly")+SUMIFS(SF_Output!$G$1:$G$400,SF_Output!$AC$1:$AC$400,_xlfn.TEXTJOIN(",",TRUE,B72:E72),SF_Output!$Q$1:$Q$400,"monthly"))*H72,AND(B72&lt;&gt;"",H72=SF_Output!$Y$2,SUMIFS(SF_Output!$T$1:$T$400,SF_Output!$AC$1:$AC$400,_xlfn.TEXTJOIN(",",TRUE,B72:E72),SF_Output!$Q$1:$Q$400,"monthly")&lt;&gt;0),SUMIFS(SF_Output!$S$1:$S$400,SF_Output!$AC$1:$AC$400,_xlfn.TEXTJOIN(",",TRUE,B72:E72),SF_Output!$Q$1:$Q$400,"monthly"),AND(B72&lt;&gt;"",H72&lt;&gt;SF_Output!$Y$2),SUMIFS(SF_Output!$S$1:$S$400,SF_Output!$AC$1:$AC$400,_xlfn.TEXTJOIN(",",TRUE,B72:E72),SF_Output!$Q$1:$Q$400,"monthly"))</f>
        <v>0</v>
      </c>
      <c r="W72" s="112" t="str" cm="1">
        <f t="array" ref="W72">_xlfn.IFS(OR(B72=0,B72="",V72=0),"",AF72&lt;&gt;"exclusion",MAX($W$9,$W$7,(-(SUMIFS(SF_Output!$T$1:$T$400,SF_Output!$AC$1:$AC$400,_xlfn.TEXTJOIN(",",TRUE,$B72:$E72),SF_Output!$Q$1:$Q$400,"monthly"))/V72)),AF72="exclusion",-(SUMIFS(SF_Output!$T$1:$T$400,SF_Output!$AC$1:$AC$400,_xlfn.TEXTJOIN(",",TRUE,$B72:$E72),SF_Output!$Q$1:$Q$400,"monthly"))/V72)</f>
        <v/>
      </c>
      <c r="X72" s="6" cm="1">
        <f t="array" ref="X72">IFERROR(_xlfn.IFS(V72=0,0,V72="","",W72=0,V72,OR(V72&lt;&gt;0,V72&lt;&gt;""),H72*I72),V72*(1-W72))</f>
        <v>0</v>
      </c>
      <c r="Z72" s="6">
        <f>IFERROR(IF(B72="","",SUMIFS(Billing_Fallout!H:H,Billing_Fallout!N:N,B72)),0)</f>
        <v>0</v>
      </c>
      <c r="AA72" s="6">
        <f t="shared" si="4"/>
        <v>0</v>
      </c>
      <c r="AB72" s="6">
        <f>IFERROR(IF(B72="","",SUMIFS(Billing_Fallout!J:J,Billing_Fallout!N:N,B72)),0)</f>
        <v>0</v>
      </c>
      <c r="AD72" s="6">
        <f t="shared" si="5"/>
        <v>0</v>
      </c>
      <c r="AF72" t="str">
        <f>IFERROR(INDEX(H_Tables!$B$1:$B$1500,MATCH(INDEX(SF_Output!$J$1:$J$400,MATCH(B72,SF_Output!$M$1:$M$400,0)),H_Tables!$A$1:$A$1500,0)),"")</f>
        <v>Exclusion</v>
      </c>
      <c r="AI72" s="119" t="str">
        <f t="shared" si="6"/>
        <v/>
      </c>
      <c r="AJ72" s="121">
        <f>IFERROR(INDEX(SF_Output!AD:AD,MATCH(_xlfn.TEXTJOIN(",",TRUE,B72:E72),SF_Output!AC1:AC400,0)),0.05)</f>
        <v>112</v>
      </c>
      <c r="AK72" t="str">
        <f>IF(SUMIFS(SF_Output!$F$1:$F$400,SF_Output!$AC$1:$AC$400,_xlfn.TEXTJOIN(",",TRUE,B72:E72))+SUMIFS(SF_Output!$G$1:$G$400,SF_Output!$AC$1:$AC$400,_xlfn.TEXTJOIN(",",TRUE,B72:E72))=0,"","PAP")</f>
        <v/>
      </c>
      <c r="AL72" s="35" t="str">
        <f t="shared" si="7"/>
        <v>Synergy Implementation Consulting,New,Hosted by JHA,0</v>
      </c>
      <c r="AQ72" s="35"/>
      <c r="AR72" s="35" t="str" cm="1">
        <f t="array" ref="AR72">IFERROR(_xlfn.IFS(AND(E72*1=1,F72="Included"),"Change to Included",AND(E72*1=0,F72="Optional"),"Change to Optional",OR(B72="",F72="replaced"),""),"")</f>
        <v/>
      </c>
      <c r="AS72" s="35" t="str">
        <f t="shared" si="8"/>
        <v/>
      </c>
      <c r="AT72" s="35" t="str">
        <f t="shared" si="9"/>
        <v/>
      </c>
      <c r="AU72" s="35" t="str">
        <f t="shared" si="10"/>
        <v/>
      </c>
      <c r="AV72" s="35" t="str">
        <f t="shared" si="11"/>
        <v/>
      </c>
      <c r="AW72" s="35" t="str">
        <f t="shared" si="12"/>
        <v/>
      </c>
      <c r="AX72" s="35" t="str">
        <f t="shared" si="13"/>
        <v/>
      </c>
      <c r="AY72" s="35" t="str">
        <f t="shared" si="14"/>
        <v/>
      </c>
      <c r="AZ72" s="35" t="str">
        <f t="shared" si="15"/>
        <v/>
      </c>
      <c r="BA72" s="35" t="str">
        <f t="shared" si="16"/>
        <v/>
      </c>
      <c r="BB72" s="35" t="str">
        <f t="shared" si="17"/>
        <v/>
      </c>
      <c r="BC72" s="35"/>
      <c r="BE72" s="35">
        <f ca="1">INDEX(SF_Output!$AA$2:$AA$400,MATCH($B72,SF_Output!$M$2:$M$400,0))</f>
        <v>4</v>
      </c>
      <c r="BF72" s="35">
        <f ca="1">INDEX(SF_Output!$AB$2:$AB$400,MATCH($B72,SF_Output!$M$2:$M$400,0))</f>
        <v>2</v>
      </c>
    </row>
    <row r="73" spans="2:58" x14ac:dyDescent="0.25">
      <c r="B73" t="s">
        <v>2130</v>
      </c>
      <c r="C73" t="s">
        <v>2122</v>
      </c>
      <c r="D73" t="s">
        <v>2123</v>
      </c>
      <c r="E73" t="s">
        <v>2124</v>
      </c>
      <c r="F73" s="116" t="str">
        <f t="shared" si="0"/>
        <v>Included</v>
      </c>
      <c r="G73" t="str">
        <f>IF(B73="","",INDEX(SF_Output!$K$1:$K$400,MATCH(B73,SF_Output!$M$1:$M$400,0)))</f>
        <v>iPay</v>
      </c>
      <c r="H73" cm="1">
        <f t="array" ref="H73">_xlfn.IFS(B73="","",(SUMIFS(SF_Output!$F$1:$F$400,SF_Output!$AC$1:$AC$400,_xlfn.TEXTJOIN(",",TRUE,B73:E73))+SUMIFS(SF_Output!$G$1:$G$400,SF_Output!$AC$1:$AC$400,_xlfn.TEXTJOIN(",",TRUE,B73:E73)))&lt;&gt;0,SF_Output!$Y$2,INDEX(SF_Output!$F$1:$F$400,MATCH(_xlfn.TEXTJOIN(",",TRUE,B73:E73),SF_Output!$AC$1:$AC$400,0))=0,INDEX(SF_Output!$R$1:$R$400,MATCH(_xlfn.TEXTJOIN(",",TRUE,B73:E73),SF_Output!$AC$1:$AC$400,0)))</f>
        <v>1</v>
      </c>
      <c r="I73" s="125" t="str">
        <f>IFERROR(IF(AND(H73&gt;1,H73&lt;&gt;""),ROUND(SUMIFS(SF_Output!$S$1:$S$400,SF_Output!$AC$1:$AC$400,_xlfn.TEXTJOIN(",",TRUE,B73:E73),SF_Output!$Q$1:$Q$400,"monthly")*(1-W73)/H73,4),""),"")</f>
        <v/>
      </c>
      <c r="J73" s="6">
        <f>IF(B73="","",SUMIFS(SF_Output!$S$1:$S$400,SF_Output!$AC$1:$AC$400,_xlfn.TEXTJOIN(",",TRUE,B73:E73),SF_Output!$Q$1:$Q$400,"One Time",SF_Output!$L$1:$L$400,"license fee")+SUMIFS(SF_Output!$S$1:$S$400,SF_Output!$AC$1:$AC$400,_xlfn.TEXTJOIN(",",TRUE,B73:E73),SF_Output!$Q$1:$Q$400,"One Time",SF_Output!$L$1:$L$400,"software license")+SUMIFS(SF_Output!$S$1:$S$400,SF_Output!$AC$1:$AC$400,_xlfn.TEXTJOIN(",",TRUE,B73:E73),SF_Output!$Q$1:$Q$400,"One Time",SF_Output!$L$1:$L$400,"hardware"))</f>
        <v>0</v>
      </c>
      <c r="K73" s="112" t="str">
        <f>IF(OR(B73=0,B73="",G73="hardware",J73=0),"",IF(AF73&lt;&gt;"exclusion",MAX(K$9,-((SUMIFS(SF_Output!$T$1:$T$400,SF_Output!$AC$1:$AC$400,_xlfn.TEXTJOIN(",",TRUE,$B73:$E73),SF_Output!$Q$1:$Q$400,"One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license"))/J73)))</f>
        <v/>
      </c>
      <c r="L73" s="6">
        <f t="shared" si="1"/>
        <v>0</v>
      </c>
      <c r="N73" s="6">
        <f>IF(B73="","",SUMIFS(SF_Output!$S$1:$S$400,SF_Output!$AC$1:$AC$400,_xlfn.TEXTJOIN(",",TRUE,B73:E73),SF_Output!$Q$1:$Q$400,"One Time",SF_Output!$L$1:$L$400,"professional service"))</f>
        <v>2500</v>
      </c>
      <c r="O73" s="112">
        <f>IF(OR(B73=0,B73="",N73=0),"",IF(AF73&lt;&gt;"exclusion",MAX(O$9,-(SUMIFS(SF_Output!$T$1:$T$400,SF_Output!$AC$1:$AC$400,_xlfn.TEXTJOIN(",",TRUE,$B73:$E73),SF_Output!$Q$1:$Q$400,"One Time",SF_Output!$L$1:$L$400,"professional service"))/N73),-((SUMIFS(SF_Output!$T$1:$T$400,SF_Output!$AC$1:$AC$400,_xlfn.TEXTJOIN(",",TRUE,$B73:$E73),SF_Output!$Q$1:$Q$400,"One Time",SF_Output!$L$1:$L$400,"professional service")/N73))))</f>
        <v>1</v>
      </c>
      <c r="P73" s="6">
        <f t="shared" si="2"/>
        <v>0</v>
      </c>
      <c r="R73" s="6">
        <f>IF(B73="","",SUMIFS(SF_Output!$S$1:$S$400,SF_Output!$AC$1:$AC$400,_xlfn.TEXTJOIN(",",TRUE,B73:E73),SF_Output!$Q$1:$Q$400,"yearly")+SUMIFS(SF_Output!$S$1:$S$400,SF_Output!$AC$1:$AC$400,_xlfn.TEXTJOIN(",",TRUE,B73:E73),SF_Output!$Q$1:$Q$400,"quarterly")*4)</f>
        <v>0</v>
      </c>
      <c r="S73" s="112" t="str">
        <f>IF(OR(B73=0,B73="",G73="hardware",R73=0),"",IF(AF73&lt;&gt;"exclusion",MAX(S$9,-(SUMIFS(SF_Output!$T$1:$T$400,SF_Output!$AC$1:$AC$400,_xlfn.TEXTJOIN(",",TRUE,$B73:$E73),SF_Output!$Q$1:$Q$400,"yearly"))/R73),-((SUMIFS(SF_Output!$T$1:$T$400,SF_Output!$AC$1:$AC$400,_xlfn.TEXTJOIN(",",TRUE,$B73:$E73),SF_Output!$Q$1:$Q$400,"yearly")/R73))))</f>
        <v/>
      </c>
      <c r="T73" s="6">
        <f t="shared" si="3"/>
        <v>0</v>
      </c>
      <c r="V73" s="6" cm="1">
        <f t="array" ref="V73">_xlfn.IFS(B73="","",AND(B73&lt;&gt;"",H73=SF_Output!$Y$2,SUMIFS(SF_Output!$T$1:$T$400,SF_Output!$AC$1:$AC$400,_xlfn.TEXTJOIN(",",TRUE,B73:E73),SF_Output!$Q$1:$Q$400,"monthly")=0),(SUMIFS(SF_Output!$F$1:$F$400,SF_Output!$AC$1:$AC$400,_xlfn.TEXTJOIN(",",TRUE,B73:E73),SF_Output!$Q$1:$Q$400,"monthly")+SUMIFS(SF_Output!$G$1:$G$400,SF_Output!$AC$1:$AC$400,_xlfn.TEXTJOIN(",",TRUE,B73:E73),SF_Output!$Q$1:$Q$400,"monthly"))*H73,AND(B73&lt;&gt;"",H73=SF_Output!$Y$2,SUMIFS(SF_Output!$T$1:$T$400,SF_Output!$AC$1:$AC$400,_xlfn.TEXTJOIN(",",TRUE,B73:E73),SF_Output!$Q$1:$Q$400,"monthly")&lt;&gt;0),SUMIFS(SF_Output!$S$1:$S$400,SF_Output!$AC$1:$AC$400,_xlfn.TEXTJOIN(",",TRUE,B73:E73),SF_Output!$Q$1:$Q$400,"monthly"),AND(B73&lt;&gt;"",H73&lt;&gt;SF_Output!$Y$2),SUMIFS(SF_Output!$S$1:$S$400,SF_Output!$AC$1:$AC$400,_xlfn.TEXTJOIN(",",TRUE,B73:E73),SF_Output!$Q$1:$Q$400,"monthly"))</f>
        <v>400</v>
      </c>
      <c r="W73" s="112" cm="1">
        <f t="array" ref="W73">_xlfn.IFS(OR(B73=0,B73="",V73=0),"",AF73&lt;&gt;"exclusion",MAX($W$9,$W$7,(-(SUMIFS(SF_Output!$T$1:$T$400,SF_Output!$AC$1:$AC$400,_xlfn.TEXTJOIN(",",TRUE,$B73:$E73),SF_Output!$Q$1:$Q$400,"monthly"))/V73)),AF73="exclusion",-(SUMIFS(SF_Output!$T$1:$T$400,SF_Output!$AC$1:$AC$400,_xlfn.TEXTJOIN(",",TRUE,$B73:$E73),SF_Output!$Q$1:$Q$400,"monthly"))/V73)</f>
        <v>0</v>
      </c>
      <c r="X73" s="6" cm="1">
        <f t="array" ref="X73">IFERROR(_xlfn.IFS(V73=0,0,V73="","",W73=0,V73,OR(V73&lt;&gt;0,V73&lt;&gt;""),H73*I73),V73*(1-W73))</f>
        <v>400</v>
      </c>
      <c r="Z73" s="6">
        <f>IFERROR(IF(B73="","",SUMIFS(Billing_Fallout!H:H,Billing_Fallout!N:N,B73)),0)</f>
        <v>0</v>
      </c>
      <c r="AA73" s="6">
        <f t="shared" si="4"/>
        <v>0</v>
      </c>
      <c r="AB73" s="6">
        <f>IFERROR(IF(B73="","",SUMIFS(Billing_Fallout!J:J,Billing_Fallout!N:N,B73)),0)</f>
        <v>0</v>
      </c>
      <c r="AD73" s="6">
        <f t="shared" si="5"/>
        <v>400</v>
      </c>
      <c r="AF73" t="str">
        <f>IFERROR(INDEX(H_Tables!$B$1:$B$1500,MATCH(INDEX(SF_Output!$J$1:$J$400,MATCH(B73,SF_Output!$M$1:$M$400,0)),H_Tables!$A$1:$A$1500,0)),"")</f>
        <v>Exclusion</v>
      </c>
      <c r="AI73" s="119" t="str">
        <f t="shared" si="6"/>
        <v/>
      </c>
      <c r="AJ73" s="121">
        <f>IFERROR(INDEX(SF_Output!AD:AD,MATCH(_xlfn.TEXTJOIN(",",TRUE,B73:E73),SF_Output!AC1:AC400,0)),0.05)</f>
        <v>3</v>
      </c>
      <c r="AK73" t="str">
        <f>IF(SUMIFS(SF_Output!$F$1:$F$400,SF_Output!$AC$1:$AC$400,_xlfn.TEXTJOIN(",",TRUE,B73:E73))+SUMIFS(SF_Output!$G$1:$G$400,SF_Output!$AC$1:$AC$400,_xlfn.TEXTJOIN(",",TRUE,B73:E73))=0,"","PAP")</f>
        <v/>
      </c>
      <c r="AL73" s="35" t="str">
        <f t="shared" si="7"/>
        <v>iPay Business BillPay Banno,New,Hosted by JHA,0</v>
      </c>
      <c r="AQ73" s="35"/>
      <c r="AR73" s="35" t="str" cm="1">
        <f t="array" ref="AR73">IFERROR(_xlfn.IFS(AND(E73*1=1,F73="Included"),"Change to Included",AND(E73*1=0,F73="Optional"),"Change to Optional",OR(B73="",F73="replaced"),""),"")</f>
        <v/>
      </c>
      <c r="AS73" s="35" t="str">
        <f t="shared" si="8"/>
        <v/>
      </c>
      <c r="AT73" s="35" t="str">
        <f t="shared" si="9"/>
        <v/>
      </c>
      <c r="AU73" s="35" t="str">
        <f t="shared" si="10"/>
        <v/>
      </c>
      <c r="AV73" s="35" t="str">
        <f t="shared" si="11"/>
        <v/>
      </c>
      <c r="AW73" s="35" t="str">
        <f t="shared" si="12"/>
        <v/>
      </c>
      <c r="AX73" s="35" t="str">
        <f t="shared" si="13"/>
        <v/>
      </c>
      <c r="AY73" s="35" t="str">
        <f t="shared" si="14"/>
        <v/>
      </c>
      <c r="AZ73" s="35" t="str">
        <f t="shared" si="15"/>
        <v/>
      </c>
      <c r="BA73" s="35" t="str">
        <f t="shared" si="16"/>
        <v/>
      </c>
      <c r="BB73" s="35" t="str">
        <f t="shared" si="17"/>
        <v/>
      </c>
      <c r="BC73" s="35"/>
      <c r="BE73" s="35">
        <f ca="1">INDEX(SF_Output!$AA$2:$AA$400,MATCH($B73,SF_Output!$M$2:$M$400,0))</f>
        <v>6</v>
      </c>
      <c r="BF73" s="35">
        <f ca="1">INDEX(SF_Output!$AB$2:$AB$400,MATCH($B73,SF_Output!$M$2:$M$400,0))</f>
        <v>3</v>
      </c>
    </row>
    <row r="74" spans="2:58" x14ac:dyDescent="0.25">
      <c r="B74" t="s">
        <v>2134</v>
      </c>
      <c r="C74" t="s">
        <v>2122</v>
      </c>
      <c r="D74" t="s">
        <v>2123</v>
      </c>
      <c r="E74" t="s">
        <v>2124</v>
      </c>
      <c r="F74" s="116" t="str">
        <f t="shared" si="0"/>
        <v>Included</v>
      </c>
      <c r="G74" t="str">
        <f>IF(B74="","",INDEX(SF_Output!$K$1:$K$400,MATCH(B74,SF_Output!$M$1:$M$400,0)))</f>
        <v>iPay</v>
      </c>
      <c r="H74" cm="1">
        <f t="array" ref="H74">_xlfn.IFS(B74="","",(SUMIFS(SF_Output!$F$1:$F$400,SF_Output!$AC$1:$AC$400,_xlfn.TEXTJOIN(",",TRUE,B74:E74))+SUMIFS(SF_Output!$G$1:$G$400,SF_Output!$AC$1:$AC$400,_xlfn.TEXTJOIN(",",TRUE,B74:E74)))&lt;&gt;0,SF_Output!$Y$2,INDEX(SF_Output!$F$1:$F$400,MATCH(_xlfn.TEXTJOIN(",",TRUE,B74:E74),SF_Output!$AC$1:$AC$400,0))=0,INDEX(SF_Output!$R$1:$R$400,MATCH(_xlfn.TEXTJOIN(",",TRUE,B74:E74),SF_Output!$AC$1:$AC$400,0)))</f>
        <v>1</v>
      </c>
      <c r="I74" s="125" t="str">
        <f>IFERROR(IF(AND(H74&gt;1,H74&lt;&gt;""),ROUND(SUMIFS(SF_Output!$S$1:$S$400,SF_Output!$AC$1:$AC$400,_xlfn.TEXTJOIN(",",TRUE,B74:E74),SF_Output!$Q$1:$Q$400,"monthly")*(1-W74)/H74,4),""),"")</f>
        <v/>
      </c>
      <c r="J74" s="6">
        <f>IF(B74="","",SUMIFS(SF_Output!$S$1:$S$400,SF_Output!$AC$1:$AC$400,_xlfn.TEXTJOIN(",",TRUE,B74:E74),SF_Output!$Q$1:$Q$400,"One Time",SF_Output!$L$1:$L$400,"license fee")+SUMIFS(SF_Output!$S$1:$S$400,SF_Output!$AC$1:$AC$400,_xlfn.TEXTJOIN(",",TRUE,B74:E74),SF_Output!$Q$1:$Q$400,"One Time",SF_Output!$L$1:$L$400,"software license")+SUMIFS(SF_Output!$S$1:$S$400,SF_Output!$AC$1:$AC$400,_xlfn.TEXTJOIN(",",TRUE,B74:E74),SF_Output!$Q$1:$Q$400,"One Time",SF_Output!$L$1:$L$400,"hardware"))</f>
        <v>0</v>
      </c>
      <c r="K74" s="112" t="str">
        <f>IF(OR(B74=0,B74="",G74="hardware",J74=0),"",IF(AF74&lt;&gt;"exclusion",MAX(K$9,-((SUMIFS(SF_Output!$T$1:$T$400,SF_Output!$AC$1:$AC$400,_xlfn.TEXTJOIN(",",TRUE,$B74:$E74),SF_Output!$Q$1:$Q$400,"One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license"))/J74)))</f>
        <v/>
      </c>
      <c r="L74" s="6">
        <f t="shared" si="1"/>
        <v>0</v>
      </c>
      <c r="N74" s="6">
        <f>IF(B74="","",SUMIFS(SF_Output!$S$1:$S$400,SF_Output!$AC$1:$AC$400,_xlfn.TEXTJOIN(",",TRUE,B74:E74),SF_Output!$Q$1:$Q$400,"One Time",SF_Output!$L$1:$L$400,"professional service"))</f>
        <v>0</v>
      </c>
      <c r="O74" s="112" t="str">
        <f>IF(OR(B74=0,B74="",N74=0),"",IF(AF74&lt;&gt;"exclusion",MAX(O$9,-(SUMIFS(SF_Output!$T$1:$T$400,SF_Output!$AC$1:$AC$400,_xlfn.TEXTJOIN(",",TRUE,$B74:$E74),SF_Output!$Q$1:$Q$400,"One Time",SF_Output!$L$1:$L$400,"professional service"))/N74),-((SUMIFS(SF_Output!$T$1:$T$400,SF_Output!$AC$1:$AC$400,_xlfn.TEXTJOIN(",",TRUE,$B74:$E74),SF_Output!$Q$1:$Q$400,"One Time",SF_Output!$L$1:$L$400,"professional service")/N74))))</f>
        <v/>
      </c>
      <c r="P74" s="6">
        <f t="shared" si="2"/>
        <v>0</v>
      </c>
      <c r="R74" s="6">
        <f>IF(B74="","",SUMIFS(SF_Output!$S$1:$S$400,SF_Output!$AC$1:$AC$400,_xlfn.TEXTJOIN(",",TRUE,B74:E74),SF_Output!$Q$1:$Q$400,"yearly")+SUMIFS(SF_Output!$S$1:$S$400,SF_Output!$AC$1:$AC$400,_xlfn.TEXTJOIN(",",TRUE,B74:E74),SF_Output!$Q$1:$Q$400,"quarterly")*4)</f>
        <v>630</v>
      </c>
      <c r="S74" s="112">
        <f>IF(OR(B74=0,B74="",G74="hardware",R74=0),"",IF(AF74&lt;&gt;"exclusion",MAX(S$9,-(SUMIFS(SF_Output!$T$1:$T$400,SF_Output!$AC$1:$AC$400,_xlfn.TEXTJOIN(",",TRUE,$B74:$E74),SF_Output!$Q$1:$Q$400,"yearly"))/R74),-((SUMIFS(SF_Output!$T$1:$T$400,SF_Output!$AC$1:$AC$400,_xlfn.TEXTJOIN(",",TRUE,$B74:$E74),SF_Output!$Q$1:$Q$400,"yearly")/R74))))</f>
        <v>0</v>
      </c>
      <c r="T74" s="6">
        <f t="shared" si="3"/>
        <v>630</v>
      </c>
      <c r="V74" s="6" cm="1">
        <f t="array" ref="V74">_xlfn.IFS(B74="","",AND(B74&lt;&gt;"",H74=SF_Output!$Y$2,SUMIFS(SF_Output!$T$1:$T$400,SF_Output!$AC$1:$AC$400,_xlfn.TEXTJOIN(",",TRUE,B74:E74),SF_Output!$Q$1:$Q$400,"monthly")=0),(SUMIFS(SF_Output!$F$1:$F$400,SF_Output!$AC$1:$AC$400,_xlfn.TEXTJOIN(",",TRUE,B74:E74),SF_Output!$Q$1:$Q$400,"monthly")+SUMIFS(SF_Output!$G$1:$G$400,SF_Output!$AC$1:$AC$400,_xlfn.TEXTJOIN(",",TRUE,B74:E74),SF_Output!$Q$1:$Q$400,"monthly"))*H74,AND(B74&lt;&gt;"",H74=SF_Output!$Y$2,SUMIFS(SF_Output!$T$1:$T$400,SF_Output!$AC$1:$AC$400,_xlfn.TEXTJOIN(",",TRUE,B74:E74),SF_Output!$Q$1:$Q$400,"monthly")&lt;&gt;0),SUMIFS(SF_Output!$S$1:$S$400,SF_Output!$AC$1:$AC$400,_xlfn.TEXTJOIN(",",TRUE,B74:E74),SF_Output!$Q$1:$Q$400,"monthly"),AND(B74&lt;&gt;"",H74&lt;&gt;SF_Output!$Y$2),SUMIFS(SF_Output!$S$1:$S$400,SF_Output!$AC$1:$AC$400,_xlfn.TEXTJOIN(",",TRUE,B74:E74),SF_Output!$Q$1:$Q$400,"monthly"))</f>
        <v>0</v>
      </c>
      <c r="W74" s="112" t="str" cm="1">
        <f t="array" ref="W74">_xlfn.IFS(OR(B74=0,B74="",V74=0),"",AF74&lt;&gt;"exclusion",MAX($W$9,$W$7,(-(SUMIFS(SF_Output!$T$1:$T$400,SF_Output!$AC$1:$AC$400,_xlfn.TEXTJOIN(",",TRUE,$B74:$E74),SF_Output!$Q$1:$Q$400,"monthly"))/V74)),AF74="exclusion",-(SUMIFS(SF_Output!$T$1:$T$400,SF_Output!$AC$1:$AC$400,_xlfn.TEXTJOIN(",",TRUE,$B74:$E74),SF_Output!$Q$1:$Q$400,"monthly"))/V74)</f>
        <v/>
      </c>
      <c r="X74" s="6" cm="1">
        <f t="array" ref="X74">IFERROR(_xlfn.IFS(V74=0,0,V74="","",W74=0,V74,OR(V74&lt;&gt;0,V74&lt;&gt;""),H74*I74),V74*(1-W74))</f>
        <v>0</v>
      </c>
      <c r="Z74" s="6">
        <f>IFERROR(IF(B74="","",SUMIFS(Billing_Fallout!H:H,Billing_Fallout!N:N,B74)),0)</f>
        <v>0</v>
      </c>
      <c r="AA74" s="6">
        <f t="shared" si="4"/>
        <v>0</v>
      </c>
      <c r="AB74" s="6">
        <f>IFERROR(IF(B74="","",SUMIFS(Billing_Fallout!J:J,Billing_Fallout!N:N,B74)),0)</f>
        <v>0</v>
      </c>
      <c r="AD74" s="6">
        <f t="shared" si="5"/>
        <v>0</v>
      </c>
      <c r="AF74" t="str">
        <f>IFERROR(INDEX(H_Tables!$B$1:$B$1500,MATCH(INDEX(SF_Output!$J$1:$J$400,MATCH(B74,SF_Output!$M$1:$M$400,0)),H_Tables!$A$1:$A$1500,0)),"")</f>
        <v>Exclusion</v>
      </c>
      <c r="AI74" s="119" t="str">
        <f t="shared" si="6"/>
        <v/>
      </c>
      <c r="AJ74" s="121">
        <f>IFERROR(INDEX(SF_Output!AD:AD,MATCH(_xlfn.TEXTJOIN(",",TRUE,B74:E74),SF_Output!AC1:AC400,0)),0.05)</f>
        <v>5</v>
      </c>
      <c r="AK74" t="str">
        <f>IF(SUMIFS(SF_Output!$F$1:$F$400,SF_Output!$AC$1:$AC$400,_xlfn.TEXTJOIN(",",TRUE,B74:E74))+SUMIFS(SF_Output!$G$1:$G$400,SF_Output!$AC$1:$AC$400,_xlfn.TEXTJOIN(",",TRUE,B74:E74))=0,"","PAP")</f>
        <v/>
      </c>
      <c r="AL74" s="35" t="str">
        <f t="shared" si="7"/>
        <v>iPay Electronic Bill Payment Annual Compliance Package Banno,New,Hosted by JHA,0</v>
      </c>
      <c r="AQ74" s="35"/>
      <c r="AR74" s="35" t="str" cm="1">
        <f t="array" ref="AR74">IFERROR(_xlfn.IFS(AND(E74*1=1,F74="Included"),"Change to Included",AND(E74*1=0,F74="Optional"),"Change to Optional",OR(B74="",F74="replaced"),""),"")</f>
        <v/>
      </c>
      <c r="AS74" s="35" t="str">
        <f t="shared" si="8"/>
        <v/>
      </c>
      <c r="AT74" s="35" t="str">
        <f t="shared" si="9"/>
        <v/>
      </c>
      <c r="AU74" s="35" t="str">
        <f t="shared" si="10"/>
        <v/>
      </c>
      <c r="AV74" s="35" t="str">
        <f t="shared" si="11"/>
        <v/>
      </c>
      <c r="AW74" s="35" t="str">
        <f t="shared" si="12"/>
        <v/>
      </c>
      <c r="AX74" s="35" t="str">
        <f t="shared" si="13"/>
        <v/>
      </c>
      <c r="AY74" s="35" t="str">
        <f t="shared" si="14"/>
        <v/>
      </c>
      <c r="AZ74" s="35" t="str">
        <f t="shared" si="15"/>
        <v/>
      </c>
      <c r="BA74" s="35" t="str">
        <f t="shared" si="16"/>
        <v/>
      </c>
      <c r="BB74" s="35" t="str">
        <f t="shared" si="17"/>
        <v/>
      </c>
      <c r="BC74" s="35"/>
      <c r="BE74" s="35">
        <f ca="1">INDEX(SF_Output!$AA$2:$AA$400,MATCH($B74,SF_Output!$M$2:$M$400,0))</f>
        <v>6</v>
      </c>
      <c r="BF74" s="35">
        <f ca="1">INDEX(SF_Output!$AB$2:$AB$400,MATCH($B74,SF_Output!$M$2:$M$400,0))</f>
        <v>3</v>
      </c>
    </row>
    <row r="75" spans="2:58" x14ac:dyDescent="0.25">
      <c r="B75" t="s">
        <v>1161</v>
      </c>
      <c r="C75" t="s">
        <v>2122</v>
      </c>
      <c r="D75" t="s">
        <v>2123</v>
      </c>
      <c r="E75" t="s">
        <v>2124</v>
      </c>
      <c r="F75" s="116" t="str">
        <f t="shared" si="0"/>
        <v>Included</v>
      </c>
      <c r="G75" t="str">
        <f>IF(B75="","",INDEX(SF_Output!$K$1:$K$400,MATCH(B75,SF_Output!$M$1:$M$400,0)))</f>
        <v>iPay</v>
      </c>
      <c r="H75" cm="1">
        <f t="array" ref="H75">_xlfn.IFS(B75="","",(SUMIFS(SF_Output!$F$1:$F$400,SF_Output!$AC$1:$AC$400,_xlfn.TEXTJOIN(",",TRUE,B75:E75))+SUMIFS(SF_Output!$G$1:$G$400,SF_Output!$AC$1:$AC$400,_xlfn.TEXTJOIN(",",TRUE,B75:E75)))&lt;&gt;0,SF_Output!$Y$2,INDEX(SF_Output!$F$1:$F$400,MATCH(_xlfn.TEXTJOIN(",",TRUE,B75:E75),SF_Output!$AC$1:$AC$400,0))=0,INDEX(SF_Output!$R$1:$R$400,MATCH(_xlfn.TEXTJOIN(",",TRUE,B75:E75),SF_Output!$AC$1:$AC$400,0)))</f>
        <v>1</v>
      </c>
      <c r="I75" s="125" t="str">
        <f>IFERROR(IF(AND(H75&gt;1,H75&lt;&gt;""),ROUND(SUMIFS(SF_Output!$S$1:$S$400,SF_Output!$AC$1:$AC$400,_xlfn.TEXTJOIN(",",TRUE,B75:E75),SF_Output!$Q$1:$Q$400,"monthly")*(1-W75)/H75,4),""),"")</f>
        <v/>
      </c>
      <c r="J75" s="6">
        <f>IF(B75="","",SUMIFS(SF_Output!$S$1:$S$400,SF_Output!$AC$1:$AC$400,_xlfn.TEXTJOIN(",",TRUE,B75:E75),SF_Output!$Q$1:$Q$400,"One Time",SF_Output!$L$1:$L$400,"license fee")+SUMIFS(SF_Output!$S$1:$S$400,SF_Output!$AC$1:$AC$400,_xlfn.TEXTJOIN(",",TRUE,B75:E75),SF_Output!$Q$1:$Q$400,"One Time",SF_Output!$L$1:$L$400,"software license")+SUMIFS(SF_Output!$S$1:$S$400,SF_Output!$AC$1:$AC$400,_xlfn.TEXTJOIN(",",TRUE,B75:E75),SF_Output!$Q$1:$Q$400,"One Time",SF_Output!$L$1:$L$400,"hardware"))</f>
        <v>0</v>
      </c>
      <c r="K75" s="112" t="str">
        <f>IF(OR(B75=0,B75="",G75="hardware",J75=0),"",IF(AF75&lt;&gt;"exclusion",MAX(K$9,-((SUMIFS(SF_Output!$T$1:$T$400,SF_Output!$AC$1:$AC$400,_xlfn.TEXTJOIN(",",TRUE,$B75:$E75),SF_Output!$Q$1:$Q$400,"One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license"))/J75)))</f>
        <v/>
      </c>
      <c r="L75" s="6">
        <f t="shared" si="1"/>
        <v>0</v>
      </c>
      <c r="N75" s="6">
        <f>IF(B75="","",SUMIFS(SF_Output!$S$1:$S$400,SF_Output!$AC$1:$AC$400,_xlfn.TEXTJOIN(",",TRUE,B75:E75),SF_Output!$Q$1:$Q$400,"One Time",SF_Output!$L$1:$L$400,"professional service"))</f>
        <v>0</v>
      </c>
      <c r="O75" s="112" t="str">
        <f>IF(OR(B75=0,B75="",N75=0),"",IF(AF75&lt;&gt;"exclusion",MAX(O$9,-(SUMIFS(SF_Output!$T$1:$T$400,SF_Output!$AC$1:$AC$400,_xlfn.TEXTJOIN(",",TRUE,$B75:$E75),SF_Output!$Q$1:$Q$400,"One Time",SF_Output!$L$1:$L$400,"professional service"))/N75),-((SUMIFS(SF_Output!$T$1:$T$400,SF_Output!$AC$1:$AC$400,_xlfn.TEXTJOIN(",",TRUE,$B75:$E75),SF_Output!$Q$1:$Q$400,"One Time",SF_Output!$L$1:$L$400,"professional service")/N75))))</f>
        <v/>
      </c>
      <c r="P75" s="6">
        <f t="shared" si="2"/>
        <v>0</v>
      </c>
      <c r="R75" s="6">
        <f>IF(B75="","",SUMIFS(SF_Output!$S$1:$S$400,SF_Output!$AC$1:$AC$400,_xlfn.TEXTJOIN(",",TRUE,B75:E75),SF_Output!$Q$1:$Q$400,"yearly")+SUMIFS(SF_Output!$S$1:$S$400,SF_Output!$AC$1:$AC$400,_xlfn.TEXTJOIN(",",TRUE,B75:E75),SF_Output!$Q$1:$Q$400,"quarterly")*4)</f>
        <v>0</v>
      </c>
      <c r="S75" s="112" t="str">
        <f>IF(OR(B75=0,B75="",G75="hardware",R75=0),"",IF(AF75&lt;&gt;"exclusion",MAX(S$9,-(SUMIFS(SF_Output!$T$1:$T$400,SF_Output!$AC$1:$AC$400,_xlfn.TEXTJOIN(",",TRUE,$B75:$E75),SF_Output!$Q$1:$Q$400,"yearly"))/R75),-((SUMIFS(SF_Output!$T$1:$T$400,SF_Output!$AC$1:$AC$400,_xlfn.TEXTJOIN(",",TRUE,$B75:$E75),SF_Output!$Q$1:$Q$400,"yearly")/R75))))</f>
        <v/>
      </c>
      <c r="T75" s="6">
        <f t="shared" si="3"/>
        <v>0</v>
      </c>
      <c r="V75" s="6" cm="1">
        <f t="array" ref="V75">_xlfn.IFS(B75="","",AND(B75&lt;&gt;"",H75=SF_Output!$Y$2,SUMIFS(SF_Output!$T$1:$T$400,SF_Output!$AC$1:$AC$400,_xlfn.TEXTJOIN(",",TRUE,B75:E75),SF_Output!$Q$1:$Q$400,"monthly")=0),(SUMIFS(SF_Output!$F$1:$F$400,SF_Output!$AC$1:$AC$400,_xlfn.TEXTJOIN(",",TRUE,B75:E75),SF_Output!$Q$1:$Q$400,"monthly")+SUMIFS(SF_Output!$G$1:$G$400,SF_Output!$AC$1:$AC$400,_xlfn.TEXTJOIN(",",TRUE,B75:E75),SF_Output!$Q$1:$Q$400,"monthly"))*H75,AND(B75&lt;&gt;"",H75=SF_Output!$Y$2,SUMIFS(SF_Output!$T$1:$T$400,SF_Output!$AC$1:$AC$400,_xlfn.TEXTJOIN(",",TRUE,B75:E75),SF_Output!$Q$1:$Q$400,"monthly")&lt;&gt;0),SUMIFS(SF_Output!$S$1:$S$400,SF_Output!$AC$1:$AC$400,_xlfn.TEXTJOIN(",",TRUE,B75:E75),SF_Output!$Q$1:$Q$400,"monthly"),AND(B75&lt;&gt;"",H75&lt;&gt;SF_Output!$Y$2),SUMIFS(SF_Output!$S$1:$S$400,SF_Output!$AC$1:$AC$400,_xlfn.TEXTJOIN(",",TRUE,B75:E75),SF_Output!$Q$1:$Q$400,"monthly"))</f>
        <v>0</v>
      </c>
      <c r="W75" s="112" t="str" cm="1">
        <f t="array" ref="W75">_xlfn.IFS(OR(B75=0,B75="",V75=0),"",AF75&lt;&gt;"exclusion",MAX($W$9,$W$7,(-(SUMIFS(SF_Output!$T$1:$T$400,SF_Output!$AC$1:$AC$400,_xlfn.TEXTJOIN(",",TRUE,$B75:$E75),SF_Output!$Q$1:$Q$400,"monthly"))/V75)),AF75="exclusion",-(SUMIFS(SF_Output!$T$1:$T$400,SF_Output!$AC$1:$AC$400,_xlfn.TEXTJOIN(",",TRUE,$B75:$E75),SF_Output!$Q$1:$Q$400,"monthly"))/V75)</f>
        <v/>
      </c>
      <c r="X75" s="6" cm="1">
        <f t="array" ref="X75">IFERROR(_xlfn.IFS(V75=0,0,V75="","",W75=0,V75,OR(V75&lt;&gt;0,V75&lt;&gt;""),H75*I75),V75*(1-W75))</f>
        <v>0</v>
      </c>
      <c r="Z75" s="6">
        <f>IFERROR(IF(B75="","",SUMIFS(Billing_Fallout!H:H,Billing_Fallout!N:N,B75)),0)</f>
        <v>0</v>
      </c>
      <c r="AA75" s="6">
        <f t="shared" si="4"/>
        <v>0</v>
      </c>
      <c r="AB75" s="6">
        <f>IFERROR(IF(B75="","",SUMIFS(Billing_Fallout!J:J,Billing_Fallout!N:N,B75)),0)</f>
        <v>0</v>
      </c>
      <c r="AD75" s="6">
        <f t="shared" si="5"/>
        <v>0</v>
      </c>
      <c r="AF75" t="str">
        <f>IFERROR(INDEX(H_Tables!$B$1:$B$1500,MATCH(INDEX(SF_Output!$J$1:$J$400,MATCH(B75,SF_Output!$M$1:$M$400,0)),H_Tables!$A$1:$A$1500,0)),"")</f>
        <v>Exclusion</v>
      </c>
      <c r="AI75" s="119" t="str">
        <f t="shared" si="6"/>
        <v/>
      </c>
      <c r="AJ75" s="121">
        <f>IFERROR(INDEX(SF_Output!AD:AD,MATCH(_xlfn.TEXTJOIN(",",TRUE,B75:E75),SF_Output!AC1:AC400,0)),0.05)</f>
        <v>6</v>
      </c>
      <c r="AK75" t="str">
        <f>IF(SUMIFS(SF_Output!$F$1:$F$400,SF_Output!$AC$1:$AC$400,_xlfn.TEXTJOIN(",",TRUE,B75:E75))+SUMIFS(SF_Output!$G$1:$G$400,SF_Output!$AC$1:$AC$400,_xlfn.TEXTJOIN(",",TRUE,B75:E75))=0,"","PAP")</f>
        <v/>
      </c>
      <c r="AL75" s="35" t="str">
        <f t="shared" si="7"/>
        <v>iPay eBill Detail,New,Hosted by JHA,0</v>
      </c>
      <c r="AQ75" s="35"/>
      <c r="AR75" s="35" t="str" cm="1">
        <f t="array" ref="AR75">IFERROR(_xlfn.IFS(AND(E75*1=1,F75="Included"),"Change to Included",AND(E75*1=0,F75="Optional"),"Change to Optional",OR(B75="",F75="replaced"),""),"")</f>
        <v/>
      </c>
      <c r="AS75" s="35" t="str">
        <f t="shared" si="8"/>
        <v/>
      </c>
      <c r="AT75" s="35" t="str">
        <f t="shared" si="9"/>
        <v/>
      </c>
      <c r="AU75" s="35" t="str">
        <f t="shared" si="10"/>
        <v/>
      </c>
      <c r="AV75" s="35" t="str">
        <f t="shared" si="11"/>
        <v/>
      </c>
      <c r="AW75" s="35" t="str">
        <f t="shared" si="12"/>
        <v/>
      </c>
      <c r="AX75" s="35" t="str">
        <f t="shared" si="13"/>
        <v/>
      </c>
      <c r="AY75" s="35" t="str">
        <f t="shared" si="14"/>
        <v/>
      </c>
      <c r="AZ75" s="35" t="str">
        <f t="shared" si="15"/>
        <v/>
      </c>
      <c r="BA75" s="35" t="str">
        <f t="shared" si="16"/>
        <v/>
      </c>
      <c r="BB75" s="35" t="str">
        <f t="shared" si="17"/>
        <v/>
      </c>
      <c r="BC75" s="35"/>
      <c r="BE75" s="35">
        <f ca="1">INDEX(SF_Output!$AA$2:$AA$400,MATCH($B75,SF_Output!$M$2:$M$400,0))</f>
        <v>6</v>
      </c>
      <c r="BF75" s="35">
        <f ca="1">INDEX(SF_Output!$AB$2:$AB$400,MATCH($B75,SF_Output!$M$2:$M$400,0))</f>
        <v>3</v>
      </c>
    </row>
    <row r="76" spans="2:58" x14ac:dyDescent="0.25">
      <c r="B76" t="s">
        <v>2138</v>
      </c>
      <c r="C76" t="s">
        <v>2122</v>
      </c>
      <c r="D76" t="s">
        <v>2123</v>
      </c>
      <c r="E76" t="s">
        <v>2124</v>
      </c>
      <c r="F76" s="116" t="str">
        <f t="shared" si="0"/>
        <v>Included</v>
      </c>
      <c r="G76" t="str">
        <f>IF(B76="","",INDEX(SF_Output!$K$1:$K$400,MATCH(B76,SF_Output!$M$1:$M$400,0)))</f>
        <v>iPay</v>
      </c>
      <c r="H76" cm="1">
        <f t="array" ref="H76">_xlfn.IFS(B76="","",(SUMIFS(SF_Output!$F$1:$F$400,SF_Output!$AC$1:$AC$400,_xlfn.TEXTJOIN(",",TRUE,B76:E76))+SUMIFS(SF_Output!$G$1:$G$400,SF_Output!$AC$1:$AC$400,_xlfn.TEXTJOIN(",",TRUE,B76:E76)))&lt;&gt;0,SF_Output!$Y$2,INDEX(SF_Output!$F$1:$F$400,MATCH(_xlfn.TEXTJOIN(",",TRUE,B76:E76),SF_Output!$AC$1:$AC$400,0))=0,INDEX(SF_Output!$R$1:$R$400,MATCH(_xlfn.TEXTJOIN(",",TRUE,B76:E76),SF_Output!$AC$1:$AC$400,0)))</f>
        <v>1</v>
      </c>
      <c r="I76" s="125" t="str">
        <f>IFERROR(IF(AND(H76&gt;1,H76&lt;&gt;""),ROUND(SUMIFS(SF_Output!$S$1:$S$400,SF_Output!$AC$1:$AC$400,_xlfn.TEXTJOIN(",",TRUE,B76:E76),SF_Output!$Q$1:$Q$400,"monthly")*(1-W76)/H76,4),""),"")</f>
        <v/>
      </c>
      <c r="J76" s="6">
        <f>IF(B76="","",SUMIFS(SF_Output!$S$1:$S$400,SF_Output!$AC$1:$AC$400,_xlfn.TEXTJOIN(",",TRUE,B76:E76),SF_Output!$Q$1:$Q$400,"One Time",SF_Output!$L$1:$L$400,"license fee")+SUMIFS(SF_Output!$S$1:$S$400,SF_Output!$AC$1:$AC$400,_xlfn.TEXTJOIN(",",TRUE,B76:E76),SF_Output!$Q$1:$Q$400,"One Time",SF_Output!$L$1:$L$400,"software license")+SUMIFS(SF_Output!$S$1:$S$400,SF_Output!$AC$1:$AC$400,_xlfn.TEXTJOIN(",",TRUE,B76:E76),SF_Output!$Q$1:$Q$400,"One Time",SF_Output!$L$1:$L$400,"hardware"))</f>
        <v>0</v>
      </c>
      <c r="K76" s="112" t="str">
        <f>IF(OR(B76=0,B76="",G76="hardware",J76=0),"",IF(AF76&lt;&gt;"exclusion",MAX(K$9,-((SUMIFS(SF_Output!$T$1:$T$400,SF_Output!$AC$1:$AC$400,_xlfn.TEXTJOIN(",",TRUE,$B76:$E76),SF_Output!$Q$1:$Q$400,"One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license"))/J76)))</f>
        <v/>
      </c>
      <c r="L76" s="6">
        <f t="shared" si="1"/>
        <v>0</v>
      </c>
      <c r="N76" s="6">
        <f>IF(B76="","",SUMIFS(SF_Output!$S$1:$S$400,SF_Output!$AC$1:$AC$400,_xlfn.TEXTJOIN(",",TRUE,B76:E76),SF_Output!$Q$1:$Q$400,"One Time",SF_Output!$L$1:$L$400,"professional service"))</f>
        <v>10000</v>
      </c>
      <c r="O76" s="112">
        <f>IF(OR(B76=0,B76="",N76=0),"",IF(AF76&lt;&gt;"exclusion",MAX(O$9,-(SUMIFS(SF_Output!$T$1:$T$400,SF_Output!$AC$1:$AC$400,_xlfn.TEXTJOIN(",",TRUE,$B76:$E76),SF_Output!$Q$1:$Q$400,"One Time",SF_Output!$L$1:$L$400,"professional service"))/N76),-((SUMIFS(SF_Output!$T$1:$T$400,SF_Output!$AC$1:$AC$400,_xlfn.TEXTJOIN(",",TRUE,$B76:$E76),SF_Output!$Q$1:$Q$400,"One Time",SF_Output!$L$1:$L$400,"professional service")/N76))))</f>
        <v>1</v>
      </c>
      <c r="P76" s="6">
        <f t="shared" si="2"/>
        <v>0</v>
      </c>
      <c r="R76" s="6">
        <f>IF(B76="","",SUMIFS(SF_Output!$S$1:$S$400,SF_Output!$AC$1:$AC$400,_xlfn.TEXTJOIN(",",TRUE,B76:E76),SF_Output!$Q$1:$Q$400,"yearly")+SUMIFS(SF_Output!$S$1:$S$400,SF_Output!$AC$1:$AC$400,_xlfn.TEXTJOIN(",",TRUE,B76:E76),SF_Output!$Q$1:$Q$400,"quarterly")*4)</f>
        <v>0</v>
      </c>
      <c r="S76" s="112" t="str">
        <f>IF(OR(B76=0,B76="",G76="hardware",R76=0),"",IF(AF76&lt;&gt;"exclusion",MAX(S$9,-(SUMIFS(SF_Output!$T$1:$T$400,SF_Output!$AC$1:$AC$400,_xlfn.TEXTJOIN(",",TRUE,$B76:$E76),SF_Output!$Q$1:$Q$400,"yearly"))/R76),-((SUMIFS(SF_Output!$T$1:$T$400,SF_Output!$AC$1:$AC$400,_xlfn.TEXTJOIN(",",TRUE,$B76:$E76),SF_Output!$Q$1:$Q$400,"yearly")/R76))))</f>
        <v/>
      </c>
      <c r="T76" s="6">
        <f t="shared" si="3"/>
        <v>0</v>
      </c>
      <c r="V76" s="6" cm="1">
        <f t="array" ref="V76">_xlfn.IFS(B76="","",AND(B76&lt;&gt;"",H76=SF_Output!$Y$2,SUMIFS(SF_Output!$T$1:$T$400,SF_Output!$AC$1:$AC$400,_xlfn.TEXTJOIN(",",TRUE,B76:E76),SF_Output!$Q$1:$Q$400,"monthly")=0),(SUMIFS(SF_Output!$F$1:$F$400,SF_Output!$AC$1:$AC$400,_xlfn.TEXTJOIN(",",TRUE,B76:E76),SF_Output!$Q$1:$Q$400,"monthly")+SUMIFS(SF_Output!$G$1:$G$400,SF_Output!$AC$1:$AC$400,_xlfn.TEXTJOIN(",",TRUE,B76:E76),SF_Output!$Q$1:$Q$400,"monthly"))*H76,AND(B76&lt;&gt;"",H76=SF_Output!$Y$2,SUMIFS(SF_Output!$T$1:$T$400,SF_Output!$AC$1:$AC$400,_xlfn.TEXTJOIN(",",TRUE,B76:E76),SF_Output!$Q$1:$Q$400,"monthly")&lt;&gt;0),SUMIFS(SF_Output!$S$1:$S$400,SF_Output!$AC$1:$AC$400,_xlfn.TEXTJOIN(",",TRUE,B76:E76),SF_Output!$Q$1:$Q$400,"monthly"),AND(B76&lt;&gt;"",H76&lt;&gt;SF_Output!$Y$2),SUMIFS(SF_Output!$S$1:$S$400,SF_Output!$AC$1:$AC$400,_xlfn.TEXTJOIN(",",TRUE,B76:E76),SF_Output!$Q$1:$Q$400,"monthly"))</f>
        <v>0</v>
      </c>
      <c r="W76" s="112" t="str" cm="1">
        <f t="array" ref="W76">_xlfn.IFS(OR(B76=0,B76="",V76=0),"",AF76&lt;&gt;"exclusion",MAX($W$9,$W$7,(-(SUMIFS(SF_Output!$T$1:$T$400,SF_Output!$AC$1:$AC$400,_xlfn.TEXTJOIN(",",TRUE,$B76:$E76),SF_Output!$Q$1:$Q$400,"monthly"))/V76)),AF76="exclusion",-(SUMIFS(SF_Output!$T$1:$T$400,SF_Output!$AC$1:$AC$400,_xlfn.TEXTJOIN(",",TRUE,$B76:$E76),SF_Output!$Q$1:$Q$400,"monthly"))/V76)</f>
        <v/>
      </c>
      <c r="X76" s="6" cm="1">
        <f t="array" ref="X76">IFERROR(_xlfn.IFS(V76=0,0,V76="","",W76=0,V76,OR(V76&lt;&gt;0,V76&lt;&gt;""),H76*I76),V76*(1-W76))</f>
        <v>0</v>
      </c>
      <c r="Z76" s="6">
        <f>IFERROR(IF(B76="","",SUMIFS(Billing_Fallout!H:H,Billing_Fallout!N:N,B76)),0)</f>
        <v>0</v>
      </c>
      <c r="AA76" s="6">
        <f t="shared" si="4"/>
        <v>0</v>
      </c>
      <c r="AB76" s="6">
        <f>IFERROR(IF(B76="","",SUMIFS(Billing_Fallout!J:J,Billing_Fallout!N:N,B76)),0)</f>
        <v>0</v>
      </c>
      <c r="AD76" s="6">
        <f t="shared" si="5"/>
        <v>0</v>
      </c>
      <c r="AF76" t="str">
        <f>IFERROR(INDEX(H_Tables!$B$1:$B$1500,MATCH(INDEX(SF_Output!$J$1:$J$400,MATCH(B76,SF_Output!$M$1:$M$400,0)),H_Tables!$A$1:$A$1500,0)),"")</f>
        <v/>
      </c>
      <c r="AI76" s="119" t="str">
        <f t="shared" si="6"/>
        <v/>
      </c>
      <c r="AJ76" s="121">
        <f>IFERROR(INDEX(SF_Output!AD:AD,MATCH(_xlfn.TEXTJOIN(",",TRUE,B76:E76),SF_Output!AC1:AC400,0)),0.05)</f>
        <v>7</v>
      </c>
      <c r="AK76" t="str">
        <f>IF(SUMIFS(SF_Output!$F$1:$F$400,SF_Output!$AC$1:$AC$400,_xlfn.TEXTJOIN(",",TRUE,B76:E76))+SUMIFS(SF_Output!$G$1:$G$400,SF_Output!$AC$1:$AC$400,_xlfn.TEXTJOIN(",",TRUE,B76:E76))=0,"","PAP")</f>
        <v/>
      </c>
      <c r="AL76" s="35" t="str">
        <f t="shared" si="7"/>
        <v>Payrailz/iPay Integration,New,Hosted by JHA,0</v>
      </c>
      <c r="AQ76" s="35"/>
      <c r="AR76" s="35" t="str" cm="1">
        <f t="array" ref="AR76">IFERROR(_xlfn.IFS(AND(E76*1=1,F76="Included"),"Change to Included",AND(E76*1=0,F76="Optional"),"Change to Optional",OR(B76="",F76="replaced"),""),"")</f>
        <v/>
      </c>
      <c r="AS76" s="35" t="str">
        <f t="shared" si="8"/>
        <v/>
      </c>
      <c r="AT76" s="35" t="str">
        <f t="shared" si="9"/>
        <v/>
      </c>
      <c r="AU76" s="35" t="str">
        <f t="shared" si="10"/>
        <v/>
      </c>
      <c r="AV76" s="35" t="str">
        <f t="shared" si="11"/>
        <v/>
      </c>
      <c r="AW76" s="35" t="str">
        <f t="shared" si="12"/>
        <v/>
      </c>
      <c r="AX76" s="35" t="str">
        <f t="shared" si="13"/>
        <v/>
      </c>
      <c r="AY76" s="35" t="str">
        <f t="shared" si="14"/>
        <v/>
      </c>
      <c r="AZ76" s="35" t="str">
        <f t="shared" si="15"/>
        <v/>
      </c>
      <c r="BA76" s="35" t="str">
        <f t="shared" si="16"/>
        <v/>
      </c>
      <c r="BB76" s="35" t="str">
        <f t="shared" si="17"/>
        <v/>
      </c>
      <c r="BC76" s="35"/>
      <c r="BE76" s="35">
        <f ca="1">INDEX(SF_Output!$AA$2:$AA$400,MATCH($B76,SF_Output!$M$2:$M$400,0))</f>
        <v>6</v>
      </c>
      <c r="BF76" s="35">
        <f ca="1">INDEX(SF_Output!$AB$2:$AB$400,MATCH($B76,SF_Output!$M$2:$M$400,0))</f>
        <v>3</v>
      </c>
    </row>
    <row r="77" spans="2:58" x14ac:dyDescent="0.25">
      <c r="B77" t="s">
        <v>1001</v>
      </c>
      <c r="C77" t="s">
        <v>2122</v>
      </c>
      <c r="D77" t="s">
        <v>2123</v>
      </c>
      <c r="E77" t="s">
        <v>2124</v>
      </c>
      <c r="F77" s="116" t="str">
        <f t="shared" si="0"/>
        <v>Included</v>
      </c>
      <c r="G77" t="str">
        <f>IF(B77="","",INDEX(SF_Output!$K$1:$K$400,MATCH(B77,SF_Output!$M$1:$M$400,0)))</f>
        <v>DirectLine</v>
      </c>
      <c r="H77" cm="1">
        <f t="array" ref="H77">_xlfn.IFS(B77="","",(SUMIFS(SF_Output!$F$1:$F$400,SF_Output!$AC$1:$AC$400,_xlfn.TEXTJOIN(",",TRUE,B77:E77))+SUMIFS(SF_Output!$G$1:$G$400,SF_Output!$AC$1:$AC$400,_xlfn.TEXTJOIN(",",TRUE,B77:E77)))&lt;&gt;0,SF_Output!$Y$2,INDEX(SF_Output!$F$1:$F$400,MATCH(_xlfn.TEXTJOIN(",",TRUE,B77:E77),SF_Output!$AC$1:$AC$400,0))=0,INDEX(SF_Output!$R$1:$R$400,MATCH(_xlfn.TEXTJOIN(",",TRUE,B77:E77),SF_Output!$AC$1:$AC$400,0)))</f>
        <v>1</v>
      </c>
      <c r="I77" s="125" t="str">
        <f>IFERROR(IF(AND(H77&gt;1,H77&lt;&gt;""),ROUND(SUMIFS(SF_Output!$S$1:$S$400,SF_Output!$AC$1:$AC$400,_xlfn.TEXTJOIN(",",TRUE,B77:E77),SF_Output!$Q$1:$Q$400,"monthly")*(1-W77)/H77,4),""),"")</f>
        <v/>
      </c>
      <c r="J77" s="6">
        <f>IF(B77="","",SUMIFS(SF_Output!$S$1:$S$400,SF_Output!$AC$1:$AC$400,_xlfn.TEXTJOIN(",",TRUE,B77:E77),SF_Output!$Q$1:$Q$400,"One Time",SF_Output!$L$1:$L$400,"license fee")+SUMIFS(SF_Output!$S$1:$S$400,SF_Output!$AC$1:$AC$400,_xlfn.TEXTJOIN(",",TRUE,B77:E77),SF_Output!$Q$1:$Q$400,"One Time",SF_Output!$L$1:$L$400,"software license")+SUMIFS(SF_Output!$S$1:$S$400,SF_Output!$AC$1:$AC$400,_xlfn.TEXTJOIN(",",TRUE,B77:E77),SF_Output!$Q$1:$Q$400,"One Time",SF_Output!$L$1:$L$400,"hardware"))</f>
        <v>0</v>
      </c>
      <c r="K77" s="112" t="str">
        <f>IF(OR(B77=0,B77="",G77="hardware",J77=0),"",IF(AF77&lt;&gt;"exclusion",MAX(K$9,-((SUMIFS(SF_Output!$T$1:$T$400,SF_Output!$AC$1:$AC$400,_xlfn.TEXTJOIN(",",TRUE,$B77:$E77),SF_Output!$Q$1:$Q$400,"One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license"))/J77)))</f>
        <v/>
      </c>
      <c r="L77" s="6">
        <f t="shared" si="1"/>
        <v>0</v>
      </c>
      <c r="N77" s="6">
        <f>IF(B77="","",SUMIFS(SF_Output!$S$1:$S$400,SF_Output!$AC$1:$AC$400,_xlfn.TEXTJOIN(",",TRUE,B77:E77),SF_Output!$Q$1:$Q$400,"One Time",SF_Output!$L$1:$L$400,"professional service"))</f>
        <v>7500</v>
      </c>
      <c r="O77" s="112">
        <f>IF(OR(B77=0,B77="",N77=0),"",IF(AF77&lt;&gt;"exclusion",MAX(O$9,-(SUMIFS(SF_Output!$T$1:$T$400,SF_Output!$AC$1:$AC$400,_xlfn.TEXTJOIN(",",TRUE,$B77:$E77),SF_Output!$Q$1:$Q$400,"One Time",SF_Output!$L$1:$L$400,"professional service"))/N77),-((SUMIFS(SF_Output!$T$1:$T$400,SF_Output!$AC$1:$AC$400,_xlfn.TEXTJOIN(",",TRUE,$B77:$E77),SF_Output!$Q$1:$Q$400,"One Time",SF_Output!$L$1:$L$400,"professional service")/N77))))</f>
        <v>1</v>
      </c>
      <c r="P77" s="6">
        <f t="shared" si="2"/>
        <v>0</v>
      </c>
      <c r="R77" s="6">
        <f>IF(B77="","",SUMIFS(SF_Output!$S$1:$S$400,SF_Output!$AC$1:$AC$400,_xlfn.TEXTJOIN(",",TRUE,B77:E77),SF_Output!$Q$1:$Q$400,"yearly")+SUMIFS(SF_Output!$S$1:$S$400,SF_Output!$AC$1:$AC$400,_xlfn.TEXTJOIN(",",TRUE,B77:E77),SF_Output!$Q$1:$Q$400,"quarterly")*4)</f>
        <v>0</v>
      </c>
      <c r="S77" s="112" t="str">
        <f>IF(OR(B77=0,B77="",G77="hardware",R77=0),"",IF(AF77&lt;&gt;"exclusion",MAX(S$9,-(SUMIFS(SF_Output!$T$1:$T$400,SF_Output!$AC$1:$AC$400,_xlfn.TEXTJOIN(",",TRUE,$B77:$E77),SF_Output!$Q$1:$Q$400,"yearly"))/R77),-((SUMIFS(SF_Output!$T$1:$T$400,SF_Output!$AC$1:$AC$400,_xlfn.TEXTJOIN(",",TRUE,$B77:$E77),SF_Output!$Q$1:$Q$400,"yearly")/R77))))</f>
        <v/>
      </c>
      <c r="T77" s="6">
        <f t="shared" si="3"/>
        <v>0</v>
      </c>
      <c r="V77" s="6" cm="1">
        <f t="array" ref="V77">_xlfn.IFS(B77="","",AND(B77&lt;&gt;"",H77=SF_Output!$Y$2,SUMIFS(SF_Output!$T$1:$T$400,SF_Output!$AC$1:$AC$400,_xlfn.TEXTJOIN(",",TRUE,B77:E77),SF_Output!$Q$1:$Q$400,"monthly")=0),(SUMIFS(SF_Output!$F$1:$F$400,SF_Output!$AC$1:$AC$400,_xlfn.TEXTJOIN(",",TRUE,B77:E77),SF_Output!$Q$1:$Q$400,"monthly")+SUMIFS(SF_Output!$G$1:$G$400,SF_Output!$AC$1:$AC$400,_xlfn.TEXTJOIN(",",TRUE,B77:E77),SF_Output!$Q$1:$Q$400,"monthly"))*H77,AND(B77&lt;&gt;"",H77=SF_Output!$Y$2,SUMIFS(SF_Output!$T$1:$T$400,SF_Output!$AC$1:$AC$400,_xlfn.TEXTJOIN(",",TRUE,B77:E77),SF_Output!$Q$1:$Q$400,"monthly")&lt;&gt;0),SUMIFS(SF_Output!$S$1:$S$400,SF_Output!$AC$1:$AC$400,_xlfn.TEXTJOIN(",",TRUE,B77:E77),SF_Output!$Q$1:$Q$400,"monthly"),AND(B77&lt;&gt;"",H77&lt;&gt;SF_Output!$Y$2),SUMIFS(SF_Output!$S$1:$S$400,SF_Output!$AC$1:$AC$400,_xlfn.TEXTJOIN(",",TRUE,B77:E77),SF_Output!$Q$1:$Q$400,"monthly"))</f>
        <v>450</v>
      </c>
      <c r="W77" s="112" cm="1">
        <f t="array" ref="W77">_xlfn.IFS(OR(B77=0,B77="",V77=0),"",AF77&lt;&gt;"exclusion",MAX($W$9,$W$7,(-(SUMIFS(SF_Output!$T$1:$T$400,SF_Output!$AC$1:$AC$400,_xlfn.TEXTJOIN(",",TRUE,$B77:$E77),SF_Output!$Q$1:$Q$400,"monthly"))/V77)),AF77="exclusion",-(SUMIFS(SF_Output!$T$1:$T$400,SF_Output!$AC$1:$AC$400,_xlfn.TEXTJOIN(",",TRUE,$B77:$E77),SF_Output!$Q$1:$Q$400,"monthly"))/V77)</f>
        <v>0</v>
      </c>
      <c r="X77" s="6" cm="1">
        <f t="array" ref="X77">IFERROR(_xlfn.IFS(V77=0,0,V77="","",W77=0,V77,OR(V77&lt;&gt;0,V77&lt;&gt;""),H77*I77),V77*(1-W77))</f>
        <v>450</v>
      </c>
      <c r="Z77" s="6">
        <f>IFERROR(IF(B77="","",SUMIFS(Billing_Fallout!H:H,Billing_Fallout!N:N,B77)),0)</f>
        <v>0</v>
      </c>
      <c r="AA77" s="6">
        <f t="shared" si="4"/>
        <v>0</v>
      </c>
      <c r="AB77" s="6">
        <f>IFERROR(IF(B77="","",SUMIFS(Billing_Fallout!J:J,Billing_Fallout!N:N,B77)),0)</f>
        <v>0</v>
      </c>
      <c r="AD77" s="6">
        <f t="shared" si="5"/>
        <v>450</v>
      </c>
      <c r="AF77" t="str">
        <f>IFERROR(INDEX(H_Tables!$B$1:$B$1500,MATCH(INDEX(SF_Output!$J$1:$J$400,MATCH(B77,SF_Output!$M$1:$M$400,0)),H_Tables!$A$1:$A$1500,0)),"")</f>
        <v>Exclusion</v>
      </c>
      <c r="AI77" s="119" t="str">
        <f t="shared" si="6"/>
        <v/>
      </c>
      <c r="AJ77" s="121">
        <f>IFERROR(INDEX(SF_Output!AD:AD,MATCH(_xlfn.TEXTJOIN(",",TRUE,B77:E77),SF_Output!AC1:AC400,0)),0.05)</f>
        <v>29</v>
      </c>
      <c r="AK77" t="str">
        <f>IF(SUMIFS(SF_Output!$F$1:$F$400,SF_Output!$AC$1:$AC$400,_xlfn.TEXTJOIN(",",TRUE,B77:E77))+SUMIFS(SF_Output!$G$1:$G$400,SF_Output!$AC$1:$AC$400,_xlfn.TEXTJOIN(",",TRUE,B77:E77))=0,"","PAP")</f>
        <v/>
      </c>
      <c r="AL77" s="35" t="str">
        <f t="shared" si="7"/>
        <v>DirectLine Wires,New,Hosted by JHA,0</v>
      </c>
      <c r="AQ77" s="35"/>
      <c r="AR77" s="35" t="str" cm="1">
        <f t="array" ref="AR77">IFERROR(_xlfn.IFS(AND(E77*1=1,F77="Included"),"Change to Included",AND(E77*1=0,F77="Optional"),"Change to Optional",OR(B77="",F77="replaced"),""),"")</f>
        <v/>
      </c>
      <c r="AS77" s="35" t="str">
        <f t="shared" si="8"/>
        <v/>
      </c>
      <c r="AT77" s="35" t="str">
        <f t="shared" si="9"/>
        <v/>
      </c>
      <c r="AU77" s="35" t="str">
        <f t="shared" si="10"/>
        <v/>
      </c>
      <c r="AV77" s="35" t="str">
        <f t="shared" si="11"/>
        <v/>
      </c>
      <c r="AW77" s="35" t="str">
        <f t="shared" si="12"/>
        <v/>
      </c>
      <c r="AX77" s="35" t="str">
        <f t="shared" si="13"/>
        <v/>
      </c>
      <c r="AY77" s="35" t="str">
        <f t="shared" si="14"/>
        <v/>
      </c>
      <c r="AZ77" s="35" t="str">
        <f t="shared" si="15"/>
        <v/>
      </c>
      <c r="BA77" s="35" t="str">
        <f t="shared" si="16"/>
        <v/>
      </c>
      <c r="BB77" s="35" t="str">
        <f t="shared" si="17"/>
        <v/>
      </c>
      <c r="BC77" s="35"/>
      <c r="BE77" s="35">
        <f ca="1">INDEX(SF_Output!$AA$2:$AA$400,MATCH($B77,SF_Output!$M$2:$M$400,0))</f>
        <v>6</v>
      </c>
      <c r="BF77" s="35">
        <f ca="1">INDEX(SF_Output!$AB$2:$AB$400,MATCH($B77,SF_Output!$M$2:$M$400,0))</f>
        <v>3</v>
      </c>
    </row>
    <row r="78" spans="2:58" x14ac:dyDescent="0.25">
      <c r="B78" t="s">
        <v>1837</v>
      </c>
      <c r="C78" t="s">
        <v>2122</v>
      </c>
      <c r="D78" t="s">
        <v>2123</v>
      </c>
      <c r="E78" t="s">
        <v>2124</v>
      </c>
      <c r="F78" s="116" t="str">
        <f t="shared" ref="F78:F141" si="18">IF(B78="","",IF(E78*1=0,"Included","Optional"))</f>
        <v>Included</v>
      </c>
      <c r="G78" t="str">
        <f>IF(B78="","",INDEX(SF_Output!$K$1:$K$400,MATCH(B78,SF_Output!$M$1:$M$400,0)))</f>
        <v>DirectLine</v>
      </c>
      <c r="H78" cm="1">
        <f t="array" ref="H78">_xlfn.IFS(B78="","",(SUMIFS(SF_Output!$F$1:$F$400,SF_Output!$AC$1:$AC$400,_xlfn.TEXTJOIN(",",TRUE,B78:E78))+SUMIFS(SF_Output!$G$1:$G$400,SF_Output!$AC$1:$AC$400,_xlfn.TEXTJOIN(",",TRUE,B78:E78)))&lt;&gt;0,SF_Output!$Y$2,INDEX(SF_Output!$F$1:$F$400,MATCH(_xlfn.TEXTJOIN(",",TRUE,B78:E78),SF_Output!$AC$1:$AC$400,0))=0,INDEX(SF_Output!$R$1:$R$400,MATCH(_xlfn.TEXTJOIN(",",TRUE,B78:E78),SF_Output!$AC$1:$AC$400,0)))</f>
        <v>1</v>
      </c>
      <c r="I78" s="125" t="str">
        <f>IFERROR(IF(AND(H78&gt;1,H78&lt;&gt;""),ROUND(SUMIFS(SF_Output!$S$1:$S$400,SF_Output!$AC$1:$AC$400,_xlfn.TEXTJOIN(",",TRUE,B78:E78),SF_Output!$Q$1:$Q$400,"monthly")*(1-W78)/H78,4),""),"")</f>
        <v/>
      </c>
      <c r="J78" s="6">
        <f>IF(B78="","",SUMIFS(SF_Output!$S$1:$S$400,SF_Output!$AC$1:$AC$400,_xlfn.TEXTJOIN(",",TRUE,B78:E78),SF_Output!$Q$1:$Q$400,"One Time",SF_Output!$L$1:$L$400,"license fee")+SUMIFS(SF_Output!$S$1:$S$400,SF_Output!$AC$1:$AC$400,_xlfn.TEXTJOIN(",",TRUE,B78:E78),SF_Output!$Q$1:$Q$400,"One Time",SF_Output!$L$1:$L$400,"software license")+SUMIFS(SF_Output!$S$1:$S$400,SF_Output!$AC$1:$AC$400,_xlfn.TEXTJOIN(",",TRUE,B78:E78),SF_Output!$Q$1:$Q$400,"One Time",SF_Output!$L$1:$L$400,"hardware"))</f>
        <v>0</v>
      </c>
      <c r="K78" s="112" t="str">
        <f>IF(OR(B78=0,B78="",G78="hardware",J78=0),"",IF(AF78&lt;&gt;"exclusion",MAX(K$9,-((SUMIFS(SF_Output!$T$1:$T$400,SF_Output!$AC$1:$AC$400,_xlfn.TEXTJOIN(",",TRUE,$B78:$E78),SF_Output!$Q$1:$Q$400,"One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license"))/J78)))</f>
        <v/>
      </c>
      <c r="L78" s="6">
        <f t="shared" ref="L78:L141" si="19">IF(K78="",J78,J78*(1-K78))</f>
        <v>0</v>
      </c>
      <c r="N78" s="6">
        <f>IF(B78="","",SUMIFS(SF_Output!$S$1:$S$400,SF_Output!$AC$1:$AC$400,_xlfn.TEXTJOIN(",",TRUE,B78:E78),SF_Output!$Q$1:$Q$400,"One Time",SF_Output!$L$1:$L$400,"professional service"))</f>
        <v>2500</v>
      </c>
      <c r="O78" s="112">
        <f>IF(OR(B78=0,B78="",N78=0),"",IF(AF78&lt;&gt;"exclusion",MAX(O$9,-(SUMIFS(SF_Output!$T$1:$T$400,SF_Output!$AC$1:$AC$400,_xlfn.TEXTJOIN(",",TRUE,$B78:$E78),SF_Output!$Q$1:$Q$400,"One Time",SF_Output!$L$1:$L$400,"professional service"))/N78),-((SUMIFS(SF_Output!$T$1:$T$400,SF_Output!$AC$1:$AC$400,_xlfn.TEXTJOIN(",",TRUE,$B78:$E78),SF_Output!$Q$1:$Q$400,"One Time",SF_Output!$L$1:$L$400,"professional service")/N78))))</f>
        <v>0</v>
      </c>
      <c r="P78" s="6">
        <f t="shared" ref="P78:P141" si="20">IF(O78="",N78,N78*(1-O78))</f>
        <v>2500</v>
      </c>
      <c r="R78" s="6">
        <f>IF(B78="","",SUMIFS(SF_Output!$S$1:$S$400,SF_Output!$AC$1:$AC$400,_xlfn.TEXTJOIN(",",TRUE,B78:E78),SF_Output!$Q$1:$Q$400,"yearly")+SUMIFS(SF_Output!$S$1:$S$400,SF_Output!$AC$1:$AC$400,_xlfn.TEXTJOIN(",",TRUE,B78:E78),SF_Output!$Q$1:$Q$400,"quarterly")*4)</f>
        <v>0</v>
      </c>
      <c r="S78" s="112" t="str">
        <f>IF(OR(B78=0,B78="",G78="hardware",R78=0),"",IF(AF78&lt;&gt;"exclusion",MAX(S$9,-(SUMIFS(SF_Output!$T$1:$T$400,SF_Output!$AC$1:$AC$400,_xlfn.TEXTJOIN(",",TRUE,$B78:$E78),SF_Output!$Q$1:$Q$400,"yearly"))/R78),-((SUMIFS(SF_Output!$T$1:$T$400,SF_Output!$AC$1:$AC$400,_xlfn.TEXTJOIN(",",TRUE,$B78:$E78),SF_Output!$Q$1:$Q$400,"yearly")/R78))))</f>
        <v/>
      </c>
      <c r="T78" s="6">
        <f t="shared" ref="T78:T141" si="21">IF(S78="",R78,R78*(1-S78))</f>
        <v>0</v>
      </c>
      <c r="V78" s="6" cm="1">
        <f t="array" ref="V78">_xlfn.IFS(B78="","",AND(B78&lt;&gt;"",H78=SF_Output!$Y$2,SUMIFS(SF_Output!$T$1:$T$400,SF_Output!$AC$1:$AC$400,_xlfn.TEXTJOIN(",",TRUE,B78:E78),SF_Output!$Q$1:$Q$400,"monthly")=0),(SUMIFS(SF_Output!$F$1:$F$400,SF_Output!$AC$1:$AC$400,_xlfn.TEXTJOIN(",",TRUE,B78:E78),SF_Output!$Q$1:$Q$400,"monthly")+SUMIFS(SF_Output!$G$1:$G$400,SF_Output!$AC$1:$AC$400,_xlfn.TEXTJOIN(",",TRUE,B78:E78),SF_Output!$Q$1:$Q$400,"monthly"))*H78,AND(B78&lt;&gt;"",H78=SF_Output!$Y$2,SUMIFS(SF_Output!$T$1:$T$400,SF_Output!$AC$1:$AC$400,_xlfn.TEXTJOIN(",",TRUE,B78:E78),SF_Output!$Q$1:$Q$400,"monthly")&lt;&gt;0),SUMIFS(SF_Output!$S$1:$S$400,SF_Output!$AC$1:$AC$400,_xlfn.TEXTJOIN(",",TRUE,B78:E78),SF_Output!$Q$1:$Q$400,"monthly"),AND(B78&lt;&gt;"",H78&lt;&gt;SF_Output!$Y$2),SUMIFS(SF_Output!$S$1:$S$400,SF_Output!$AC$1:$AC$400,_xlfn.TEXTJOIN(",",TRUE,B78:E78),SF_Output!$Q$1:$Q$400,"monthly"))</f>
        <v>300</v>
      </c>
      <c r="W78" s="112" cm="1">
        <f t="array" ref="W78">_xlfn.IFS(OR(B78=0,B78="",V78=0),"",AF78&lt;&gt;"exclusion",MAX($W$9,$W$7,(-(SUMIFS(SF_Output!$T$1:$T$400,SF_Output!$AC$1:$AC$400,_xlfn.TEXTJOIN(",",TRUE,$B78:$E78),SF_Output!$Q$1:$Q$400,"monthly"))/V78)),AF78="exclusion",-(SUMIFS(SF_Output!$T$1:$T$400,SF_Output!$AC$1:$AC$400,_xlfn.TEXTJOIN(",",TRUE,$B78:$E78),SF_Output!$Q$1:$Q$400,"monthly"))/V78)</f>
        <v>0</v>
      </c>
      <c r="X78" s="6" cm="1">
        <f t="array" ref="X78">IFERROR(_xlfn.IFS(V78=0,0,V78="","",W78=0,V78,OR(V78&lt;&gt;0,V78&lt;&gt;""),H78*I78),V78*(1-W78))</f>
        <v>300</v>
      </c>
      <c r="Z78" s="6">
        <f>IFERROR(IF(B78="","",SUMIFS(Billing_Fallout!H:H,Billing_Fallout!N:N,B78)),0)</f>
        <v>0</v>
      </c>
      <c r="AA78" s="6">
        <f t="shared" ref="AA78:AA141" si="22">IF(Z78="","",AB78-Z78)</f>
        <v>0</v>
      </c>
      <c r="AB78" s="6">
        <f>IFERROR(IF(B78="","",SUMIFS(Billing_Fallout!J:J,Billing_Fallout!N:N,B78)),0)</f>
        <v>0</v>
      </c>
      <c r="AD78" s="6">
        <f t="shared" ref="AD78:AD141" si="23">IFERROR(X78-AB78,"")</f>
        <v>300</v>
      </c>
      <c r="AF78" t="str">
        <f>IFERROR(INDEX(H_Tables!$B$1:$B$1500,MATCH(INDEX(SF_Output!$J$1:$J$400,MATCH(B78,SF_Output!$M$1:$M$400,0)),H_Tables!$A$1:$A$1500,0)),"")</f>
        <v>Exclusion</v>
      </c>
      <c r="AI78" s="119" t="str">
        <f t="shared" ref="AI78:AI141" si="24">IF(B78="","",IF(F78="remove","Remove Product",IF(F78="add","Add Product",_xlfn.TEXTJOIN(", ",TRUE,AQ78,AR78,AS78,AT78,AU78,AV78,AW78,AX78,AY78,AZ78,BA78,BB78,BC78))))</f>
        <v/>
      </c>
      <c r="AJ78" s="121">
        <f>IFERROR(INDEX(SF_Output!AD:AD,MATCH(_xlfn.TEXTJOIN(",",TRUE,B78:E78),SF_Output!AC1:AC400,0)),0.05)</f>
        <v>31</v>
      </c>
      <c r="AK78" t="str">
        <f>IF(SUMIFS(SF_Output!$F$1:$F$400,SF_Output!$AC$1:$AC$400,_xlfn.TEXTJOIN(",",TRUE,B78:E78))+SUMIFS(SF_Output!$G$1:$G$400,SF_Output!$AC$1:$AC$400,_xlfn.TEXTJOIN(",",TRUE,B78:E78))=0,"","PAP")</f>
        <v/>
      </c>
      <c r="AL78" s="35" t="str">
        <f t="shared" ref="AL78:AL141" si="25">LEFT(_xlfn.TEXTJOIN(",",TRUE,B78:E78),80)</f>
        <v>CorPay Integration,New,Hosted by JHA,0</v>
      </c>
      <c r="AQ78" s="35"/>
      <c r="AR78" s="35" t="str" cm="1">
        <f t="array" ref="AR78">IFERROR(_xlfn.IFS(AND(E78*1=1,F78="Included"),"Change to Included",AND(E78*1=0,F78="Optional"),"Change to Optional",OR(B78="",F78="replaced"),""),"")</f>
        <v/>
      </c>
      <c r="AS78" s="35" t="str">
        <f t="shared" ref="AS78:AS141" si="26">IF((OR(NOT(_xlfn.ISFORMULA(J78)),NOT(_xlfn.ISFORMULA(L78)))),"Check License Price Override","")</f>
        <v/>
      </c>
      <c r="AT78" s="35" t="str">
        <f t="shared" ref="AT78:AT141" si="27">IF(OR(AND(K78=$K$9,K78&lt;&gt;0),NOT(_xlfn.ISFORMULA(K78))),"License Discount "&amp;K78*100&amp;"%","")</f>
        <v/>
      </c>
      <c r="AU78" s="35" t="str">
        <f t="shared" ref="AU78:AU141" si="28">IF((OR(NOT(_xlfn.ISFORMULA(N78)),NOT(_xlfn.ISFORMULA(P78)))),"Check Install Price Override","")</f>
        <v/>
      </c>
      <c r="AV78" s="35" t="str">
        <f t="shared" ref="AV78:AV141" si="29">IF(OR(AND(O78=$O$9,O78&lt;&gt;0),NOT(_xlfn.ISFORMULA(O78))),"Install Discount "&amp;O78*100&amp;"%","")</f>
        <v/>
      </c>
      <c r="AW78" s="35" t="str">
        <f t="shared" ref="AW78:AW141" si="30">IF((OR(NOT(_xlfn.ISFORMULA(R78)),NOT(_xlfn.ISFORMULA(T78)))),"Check Maintenance Price Override","")</f>
        <v/>
      </c>
      <c r="AX78" s="35" t="str">
        <f t="shared" ref="AX78:AX141" si="31">IF(OR(AND(S78=$S$9,S78&lt;&gt;0),NOT(_xlfn.ISFORMULA(S78))),"Maintenance Discount "&amp;S78*100&amp;"%","")</f>
        <v/>
      </c>
      <c r="AY78" s="35" t="str">
        <f t="shared" ref="AY78:AY141" si="32">IF((OR(NOT(_xlfn.ISFORMULA(V78)),NOT(_xlfn.ISFORMULA(X78)))),"Check Monthly Price Override","")</f>
        <v/>
      </c>
      <c r="AZ78" s="35" t="str">
        <f t="shared" ref="AZ78:AZ141" si="33">IF(OR((AND(W78=$W$9,W78&lt;&gt;0)),(AND(W78=$W$7,W78&lt;&gt;0)),(NOT(_xlfn.ISFORMULA(W78))),AND($W$7+0.2=W78,$W$7&lt;&gt;0)),"Monthly Discount "&amp;W78*100&amp;"%","")</f>
        <v/>
      </c>
      <c r="BA78" s="35" t="str">
        <f t="shared" ref="BA78:BA141" si="34">IF(NOT(_xlfn.ISFORMULA(H78)),"Check Quantity","")</f>
        <v/>
      </c>
      <c r="BB78" s="35" t="str">
        <f t="shared" ref="BB78:BB141" si="35">IF(NOT(_xlfn.ISFORMULA(I78)),"Check Unit Price Override","")</f>
        <v/>
      </c>
      <c r="BC78" s="35"/>
      <c r="BE78" s="35">
        <f ca="1">INDEX(SF_Output!$AA$2:$AA$400,MATCH($B78,SF_Output!$M$2:$M$400,0))</f>
        <v>6</v>
      </c>
      <c r="BF78" s="35">
        <f ca="1">INDEX(SF_Output!$AB$2:$AB$400,MATCH($B78,SF_Output!$M$2:$M$400,0))</f>
        <v>3</v>
      </c>
    </row>
    <row r="79" spans="2:58" x14ac:dyDescent="0.25">
      <c r="B79" t="s">
        <v>2231</v>
      </c>
      <c r="C79" t="s">
        <v>2122</v>
      </c>
      <c r="D79" t="s">
        <v>2123</v>
      </c>
      <c r="E79" t="s">
        <v>2124</v>
      </c>
      <c r="F79" s="116" t="str">
        <f t="shared" si="18"/>
        <v>Included</v>
      </c>
      <c r="G79" t="str">
        <f>IF(B79="","",INDEX(SF_Output!$K$1:$K$400,MATCH(B79,SF_Output!$M$1:$M$400,0)))</f>
        <v>JHA Payment Center</v>
      </c>
      <c r="H79" cm="1">
        <f t="array" ref="H79">_xlfn.IFS(B79="","",(SUMIFS(SF_Output!$F$1:$F$400,SF_Output!$AC$1:$AC$400,_xlfn.TEXTJOIN(",",TRUE,B79:E79))+SUMIFS(SF_Output!$G$1:$G$400,SF_Output!$AC$1:$AC$400,_xlfn.TEXTJOIN(",",TRUE,B79:E79)))&lt;&gt;0,SF_Output!$Y$2,INDEX(SF_Output!$F$1:$F$400,MATCH(_xlfn.TEXTJOIN(",",TRUE,B79:E79),SF_Output!$AC$1:$AC$400,0))=0,INDEX(SF_Output!$R$1:$R$400,MATCH(_xlfn.TEXTJOIN(",",TRUE,B79:E79),SF_Output!$AC$1:$AC$400,0)))</f>
        <v>1</v>
      </c>
      <c r="I79" s="125" t="str">
        <f>IFERROR(IF(AND(H79&gt;1,H79&lt;&gt;""),ROUND(SUMIFS(SF_Output!$S$1:$S$400,SF_Output!$AC$1:$AC$400,_xlfn.TEXTJOIN(",",TRUE,B79:E79),SF_Output!$Q$1:$Q$400,"monthly")*(1-W79)/H79,4),""),"")</f>
        <v/>
      </c>
      <c r="J79" s="6">
        <f>IF(B79="","",SUMIFS(SF_Output!$S$1:$S$400,SF_Output!$AC$1:$AC$400,_xlfn.TEXTJOIN(",",TRUE,B79:E79),SF_Output!$Q$1:$Q$400,"One Time",SF_Output!$L$1:$L$400,"license fee")+SUMIFS(SF_Output!$S$1:$S$400,SF_Output!$AC$1:$AC$400,_xlfn.TEXTJOIN(",",TRUE,B79:E79),SF_Output!$Q$1:$Q$400,"One Time",SF_Output!$L$1:$L$400,"software license")+SUMIFS(SF_Output!$S$1:$S$400,SF_Output!$AC$1:$AC$400,_xlfn.TEXTJOIN(",",TRUE,B79:E79),SF_Output!$Q$1:$Q$400,"One Time",SF_Output!$L$1:$L$400,"hardware"))</f>
        <v>0</v>
      </c>
      <c r="K79" s="112" t="str">
        <f>IF(OR(B79=0,B79="",G79="hardware",J79=0),"",IF(AF79&lt;&gt;"exclusion",MAX(K$9,-((SUMIFS(SF_Output!$T$1:$T$400,SF_Output!$AC$1:$AC$400,_xlfn.TEXTJOIN(",",TRUE,$B79:$E79),SF_Output!$Q$1:$Q$400,"One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license"))/J79)))</f>
        <v/>
      </c>
      <c r="L79" s="6">
        <f t="shared" si="19"/>
        <v>0</v>
      </c>
      <c r="N79" s="6">
        <f>IF(B79="","",SUMIFS(SF_Output!$S$1:$S$400,SF_Output!$AC$1:$AC$400,_xlfn.TEXTJOIN(",",TRUE,B79:E79),SF_Output!$Q$1:$Q$400,"One Time",SF_Output!$L$1:$L$400,"professional service"))</f>
        <v>5000</v>
      </c>
      <c r="O79" s="112">
        <f>IF(OR(B79=0,B79="",N79=0),"",IF(AF79&lt;&gt;"exclusion",MAX(O$9,-(SUMIFS(SF_Output!$T$1:$T$400,SF_Output!$AC$1:$AC$400,_xlfn.TEXTJOIN(",",TRUE,$B79:$E79),SF_Output!$Q$1:$Q$400,"One Time",SF_Output!$L$1:$L$400,"professional service"))/N79),-((SUMIFS(SF_Output!$T$1:$T$400,SF_Output!$AC$1:$AC$400,_xlfn.TEXTJOIN(",",TRUE,$B79:$E79),SF_Output!$Q$1:$Q$400,"One Time",SF_Output!$L$1:$L$400,"professional service")/N79))))</f>
        <v>1</v>
      </c>
      <c r="P79" s="6">
        <f t="shared" si="20"/>
        <v>0</v>
      </c>
      <c r="R79" s="6">
        <f>IF(B79="","",SUMIFS(SF_Output!$S$1:$S$400,SF_Output!$AC$1:$AC$400,_xlfn.TEXTJOIN(",",TRUE,B79:E79),SF_Output!$Q$1:$Q$400,"yearly")+SUMIFS(SF_Output!$S$1:$S$400,SF_Output!$AC$1:$AC$400,_xlfn.TEXTJOIN(",",TRUE,B79:E79),SF_Output!$Q$1:$Q$400,"quarterly")*4)</f>
        <v>0</v>
      </c>
      <c r="S79" s="112" t="str">
        <f>IF(OR(B79=0,B79="",G79="hardware",R79=0),"",IF(AF79&lt;&gt;"exclusion",MAX(S$9,-(SUMIFS(SF_Output!$T$1:$T$400,SF_Output!$AC$1:$AC$400,_xlfn.TEXTJOIN(",",TRUE,$B79:$E79),SF_Output!$Q$1:$Q$400,"yearly"))/R79),-((SUMIFS(SF_Output!$T$1:$T$400,SF_Output!$AC$1:$AC$400,_xlfn.TEXTJOIN(",",TRUE,$B79:$E79),SF_Output!$Q$1:$Q$400,"yearly")/R79))))</f>
        <v/>
      </c>
      <c r="T79" s="6">
        <f t="shared" si="21"/>
        <v>0</v>
      </c>
      <c r="V79" s="6" cm="1">
        <f t="array" ref="V79">_xlfn.IFS(B79="","",AND(B79&lt;&gt;"",H79=SF_Output!$Y$2,SUMIFS(SF_Output!$T$1:$T$400,SF_Output!$AC$1:$AC$400,_xlfn.TEXTJOIN(",",TRUE,B79:E79),SF_Output!$Q$1:$Q$400,"monthly")=0),(SUMIFS(SF_Output!$F$1:$F$400,SF_Output!$AC$1:$AC$400,_xlfn.TEXTJOIN(",",TRUE,B79:E79),SF_Output!$Q$1:$Q$400,"monthly")+SUMIFS(SF_Output!$G$1:$G$400,SF_Output!$AC$1:$AC$400,_xlfn.TEXTJOIN(",",TRUE,B79:E79),SF_Output!$Q$1:$Q$400,"monthly"))*H79,AND(B79&lt;&gt;"",H79=SF_Output!$Y$2,SUMIFS(SF_Output!$T$1:$T$400,SF_Output!$AC$1:$AC$400,_xlfn.TEXTJOIN(",",TRUE,B79:E79),SF_Output!$Q$1:$Q$400,"monthly")&lt;&gt;0),SUMIFS(SF_Output!$S$1:$S$400,SF_Output!$AC$1:$AC$400,_xlfn.TEXTJOIN(",",TRUE,B79:E79),SF_Output!$Q$1:$Q$400,"monthly"),AND(B79&lt;&gt;"",H79&lt;&gt;SF_Output!$Y$2),SUMIFS(SF_Output!$S$1:$S$400,SF_Output!$AC$1:$AC$400,_xlfn.TEXTJOIN(",",TRUE,B79:E79),SF_Output!$Q$1:$Q$400,"monthly"))</f>
        <v>0</v>
      </c>
      <c r="W79" s="112" t="str" cm="1">
        <f t="array" ref="W79">_xlfn.IFS(OR(B79=0,B79="",V79=0),"",AF79&lt;&gt;"exclusion",MAX($W$9,$W$7,(-(SUMIFS(SF_Output!$T$1:$T$400,SF_Output!$AC$1:$AC$400,_xlfn.TEXTJOIN(",",TRUE,$B79:$E79),SF_Output!$Q$1:$Q$400,"monthly"))/V79)),AF79="exclusion",-(SUMIFS(SF_Output!$T$1:$T$400,SF_Output!$AC$1:$AC$400,_xlfn.TEXTJOIN(",",TRUE,$B79:$E79),SF_Output!$Q$1:$Q$400,"monthly"))/V79)</f>
        <v/>
      </c>
      <c r="X79" s="6" cm="1">
        <f t="array" ref="X79">IFERROR(_xlfn.IFS(V79=0,0,V79="","",W79=0,V79,OR(V79&lt;&gt;0,V79&lt;&gt;""),H79*I79),V79*(1-W79))</f>
        <v>0</v>
      </c>
      <c r="Z79" s="6">
        <f>IFERROR(IF(B79="","",SUMIFS(Billing_Fallout!H:H,Billing_Fallout!N:N,B79)),0)</f>
        <v>0</v>
      </c>
      <c r="AA79" s="6">
        <f t="shared" si="22"/>
        <v>0</v>
      </c>
      <c r="AB79" s="6">
        <f>IFERROR(IF(B79="","",SUMIFS(Billing_Fallout!J:J,Billing_Fallout!N:N,B79)),0)</f>
        <v>0</v>
      </c>
      <c r="AD79" s="6">
        <f t="shared" si="23"/>
        <v>0</v>
      </c>
      <c r="AF79" t="str">
        <f>IFERROR(INDEX(H_Tables!$B$1:$B$1500,MATCH(INDEX(SF_Output!$J$1:$J$400,MATCH(B79,SF_Output!$M$1:$M$400,0)),H_Tables!$A$1:$A$1500,0)),"")</f>
        <v/>
      </c>
      <c r="AI79" s="119" t="str">
        <f t="shared" si="24"/>
        <v/>
      </c>
      <c r="AJ79" s="121">
        <f>IFERROR(INDEX(SF_Output!AD:AD,MATCH(_xlfn.TEXTJOIN(",",TRUE,B79:E79),SF_Output!AC1:AC400,0)),0.05)</f>
        <v>70</v>
      </c>
      <c r="AK79" t="str">
        <f>IF(SUMIFS(SF_Output!$F$1:$F$400,SF_Output!$AC$1:$AC$400,_xlfn.TEXTJOIN(",",TRUE,B79:E79))+SUMIFS(SF_Output!$G$1:$G$400,SF_Output!$AC$1:$AC$400,_xlfn.TEXTJOIN(",",TRUE,B79:E79))=0,"","PAP")</f>
        <v/>
      </c>
      <c r="AL79" s="35" t="str">
        <f t="shared" si="25"/>
        <v>JHA PayCenter,New,Hosted by JHA,0</v>
      </c>
      <c r="AQ79" s="35"/>
      <c r="AR79" s="35" t="str" cm="1">
        <f t="array" ref="AR79">IFERROR(_xlfn.IFS(AND(E79*1=1,F79="Included"),"Change to Included",AND(E79*1=0,F79="Optional"),"Change to Optional",OR(B79="",F79="replaced"),""),"")</f>
        <v/>
      </c>
      <c r="AS79" s="35" t="str">
        <f t="shared" si="26"/>
        <v/>
      </c>
      <c r="AT79" s="35" t="str">
        <f t="shared" si="27"/>
        <v/>
      </c>
      <c r="AU79" s="35" t="str">
        <f t="shared" si="28"/>
        <v/>
      </c>
      <c r="AV79" s="35" t="str">
        <f t="shared" si="29"/>
        <v/>
      </c>
      <c r="AW79" s="35" t="str">
        <f t="shared" si="30"/>
        <v/>
      </c>
      <c r="AX79" s="35" t="str">
        <f t="shared" si="31"/>
        <v/>
      </c>
      <c r="AY79" s="35" t="str">
        <f t="shared" si="32"/>
        <v/>
      </c>
      <c r="AZ79" s="35" t="str">
        <f t="shared" si="33"/>
        <v/>
      </c>
      <c r="BA79" s="35" t="str">
        <f t="shared" si="34"/>
        <v/>
      </c>
      <c r="BB79" s="35" t="str">
        <f t="shared" si="35"/>
        <v/>
      </c>
      <c r="BC79" s="35"/>
      <c r="BE79" s="35">
        <f ca="1">INDEX(SF_Output!$AA$2:$AA$400,MATCH($B79,SF_Output!$M$2:$M$400,0))</f>
        <v>6</v>
      </c>
      <c r="BF79" s="35">
        <f ca="1">INDEX(SF_Output!$AB$2:$AB$400,MATCH($B79,SF_Output!$M$2:$M$400,0))</f>
        <v>4</v>
      </c>
    </row>
    <row r="80" spans="2:58" x14ac:dyDescent="0.25">
      <c r="B80" t="s">
        <v>1322</v>
      </c>
      <c r="C80" t="s">
        <v>2122</v>
      </c>
      <c r="D80" t="s">
        <v>2123</v>
      </c>
      <c r="E80" t="s">
        <v>2124</v>
      </c>
      <c r="F80" s="116" t="str">
        <f t="shared" si="18"/>
        <v>Included</v>
      </c>
      <c r="G80" t="str">
        <f>IF(B80="","",INDEX(SF_Output!$K$1:$K$400,MATCH(B80,SF_Output!$M$1:$M$400,0)))</f>
        <v>JHA Payment Center</v>
      </c>
      <c r="H80" cm="1">
        <f t="array" ref="H80">_xlfn.IFS(B80="","",(SUMIFS(SF_Output!$F$1:$F$400,SF_Output!$AC$1:$AC$400,_xlfn.TEXTJOIN(",",TRUE,B80:E80))+SUMIFS(SF_Output!$G$1:$G$400,SF_Output!$AC$1:$AC$400,_xlfn.TEXTJOIN(",",TRUE,B80:E80)))&lt;&gt;0,SF_Output!$Y$2,INDEX(SF_Output!$F$1:$F$400,MATCH(_xlfn.TEXTJOIN(",",TRUE,B80:E80),SF_Output!$AC$1:$AC$400,0))=0,INDEX(SF_Output!$R$1:$R$400,MATCH(_xlfn.TEXTJOIN(",",TRUE,B80:E80),SF_Output!$AC$1:$AC$400,0)))</f>
        <v>1</v>
      </c>
      <c r="I80" s="125" t="str">
        <f>IFERROR(IF(AND(H80&gt;1,H80&lt;&gt;""),ROUND(SUMIFS(SF_Output!$S$1:$S$400,SF_Output!$AC$1:$AC$400,_xlfn.TEXTJOIN(",",TRUE,B80:E80),SF_Output!$Q$1:$Q$400,"monthly")*(1-W80)/H80,4),""),"")</f>
        <v/>
      </c>
      <c r="J80" s="6">
        <f>IF(B80="","",SUMIFS(SF_Output!$S$1:$S$400,SF_Output!$AC$1:$AC$400,_xlfn.TEXTJOIN(",",TRUE,B80:E80),SF_Output!$Q$1:$Q$400,"One Time",SF_Output!$L$1:$L$400,"license fee")+SUMIFS(SF_Output!$S$1:$S$400,SF_Output!$AC$1:$AC$400,_xlfn.TEXTJOIN(",",TRUE,B80:E80),SF_Output!$Q$1:$Q$400,"One Time",SF_Output!$L$1:$L$400,"software license")+SUMIFS(SF_Output!$S$1:$S$400,SF_Output!$AC$1:$AC$400,_xlfn.TEXTJOIN(",",TRUE,B80:E80),SF_Output!$Q$1:$Q$400,"One Time",SF_Output!$L$1:$L$400,"hardware"))</f>
        <v>0</v>
      </c>
      <c r="K80" s="112" t="str">
        <f>IF(OR(B80=0,B80="",G80="hardware",J80=0),"",IF(AF80&lt;&gt;"exclusion",MAX(K$9,-((SUMIFS(SF_Output!$T$1:$T$400,SF_Output!$AC$1:$AC$400,_xlfn.TEXTJOIN(",",TRUE,$B80:$E80),SF_Output!$Q$1:$Q$400,"One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license"))/J80)))</f>
        <v/>
      </c>
      <c r="L80" s="6">
        <f t="shared" si="19"/>
        <v>0</v>
      </c>
      <c r="N80" s="6">
        <f>IF(B80="","",SUMIFS(SF_Output!$S$1:$S$400,SF_Output!$AC$1:$AC$400,_xlfn.TEXTJOIN(",",TRUE,B80:E80),SF_Output!$Q$1:$Q$400,"One Time",SF_Output!$L$1:$L$400,"professional service"))</f>
        <v>3000</v>
      </c>
      <c r="O80" s="112">
        <f>IF(OR(B80=0,B80="",N80=0),"",IF(AF80&lt;&gt;"exclusion",MAX(O$9,-(SUMIFS(SF_Output!$T$1:$T$400,SF_Output!$AC$1:$AC$400,_xlfn.TEXTJOIN(",",TRUE,$B80:$E80),SF_Output!$Q$1:$Q$400,"One Time",SF_Output!$L$1:$L$400,"professional service"))/N80),-((SUMIFS(SF_Output!$T$1:$T$400,SF_Output!$AC$1:$AC$400,_xlfn.TEXTJOIN(",",TRUE,$B80:$E80),SF_Output!$Q$1:$Q$400,"One Time",SF_Output!$L$1:$L$400,"professional service")/N80))))</f>
        <v>1</v>
      </c>
      <c r="P80" s="6">
        <f t="shared" si="20"/>
        <v>0</v>
      </c>
      <c r="R80" s="6">
        <f>IF(B80="","",SUMIFS(SF_Output!$S$1:$S$400,SF_Output!$AC$1:$AC$400,_xlfn.TEXTJOIN(",",TRUE,B80:E80),SF_Output!$Q$1:$Q$400,"yearly")+SUMIFS(SF_Output!$S$1:$S$400,SF_Output!$AC$1:$AC$400,_xlfn.TEXTJOIN(",",TRUE,B80:E80),SF_Output!$Q$1:$Q$400,"quarterly")*4)</f>
        <v>0</v>
      </c>
      <c r="S80" s="112" t="str">
        <f>IF(OR(B80=0,B80="",G80="hardware",R80=0),"",IF(AF80&lt;&gt;"exclusion",MAX(S$9,-(SUMIFS(SF_Output!$T$1:$T$400,SF_Output!$AC$1:$AC$400,_xlfn.TEXTJOIN(",",TRUE,$B80:$E80),SF_Output!$Q$1:$Q$400,"yearly"))/R80),-((SUMIFS(SF_Output!$T$1:$T$400,SF_Output!$AC$1:$AC$400,_xlfn.TEXTJOIN(",",TRUE,$B80:$E80),SF_Output!$Q$1:$Q$400,"yearly")/R80))))</f>
        <v/>
      </c>
      <c r="T80" s="6">
        <f t="shared" si="21"/>
        <v>0</v>
      </c>
      <c r="V80" s="6" cm="1">
        <f t="array" ref="V80">_xlfn.IFS(B80="","",AND(B80&lt;&gt;"",H80=SF_Output!$Y$2,SUMIFS(SF_Output!$T$1:$T$400,SF_Output!$AC$1:$AC$400,_xlfn.TEXTJOIN(",",TRUE,B80:E80),SF_Output!$Q$1:$Q$400,"monthly")=0),(SUMIFS(SF_Output!$F$1:$F$400,SF_Output!$AC$1:$AC$400,_xlfn.TEXTJOIN(",",TRUE,B80:E80),SF_Output!$Q$1:$Q$400,"monthly")+SUMIFS(SF_Output!$G$1:$G$400,SF_Output!$AC$1:$AC$400,_xlfn.TEXTJOIN(",",TRUE,B80:E80),SF_Output!$Q$1:$Q$400,"monthly"))*H80,AND(B80&lt;&gt;"",H80=SF_Output!$Y$2,SUMIFS(SF_Output!$T$1:$T$400,SF_Output!$AC$1:$AC$400,_xlfn.TEXTJOIN(",",TRUE,B80:E80),SF_Output!$Q$1:$Q$400,"monthly")&lt;&gt;0),SUMIFS(SF_Output!$S$1:$S$400,SF_Output!$AC$1:$AC$400,_xlfn.TEXTJOIN(",",TRUE,B80:E80),SF_Output!$Q$1:$Q$400,"monthly"),AND(B80&lt;&gt;"",H80&lt;&gt;SF_Output!$Y$2),SUMIFS(SF_Output!$S$1:$S$400,SF_Output!$AC$1:$AC$400,_xlfn.TEXTJOIN(",",TRUE,B80:E80),SF_Output!$Q$1:$Q$400,"monthly"))</f>
        <v>600</v>
      </c>
      <c r="W80" s="112" cm="1">
        <f t="array" ref="W80">_xlfn.IFS(OR(B80=0,B80="",V80=0),"",AF80&lt;&gt;"exclusion",MAX($W$9,$W$7,(-(SUMIFS(SF_Output!$T$1:$T$400,SF_Output!$AC$1:$AC$400,_xlfn.TEXTJOIN(",",TRUE,$B80:$E80),SF_Output!$Q$1:$Q$400,"monthly"))/V80)),AF80="exclusion",-(SUMIFS(SF_Output!$T$1:$T$400,SF_Output!$AC$1:$AC$400,_xlfn.TEXTJOIN(",",TRUE,$B80:$E80),SF_Output!$Q$1:$Q$400,"monthly"))/V80)</f>
        <v>0</v>
      </c>
      <c r="X80" s="6" cm="1">
        <f t="array" ref="X80">IFERROR(_xlfn.IFS(V80=0,0,V80="","",W80=0,V80,OR(V80&lt;&gt;0,V80&lt;&gt;""),H80*I80),V80*(1-W80))</f>
        <v>600</v>
      </c>
      <c r="Z80" s="6">
        <f>IFERROR(IF(B80="","",SUMIFS(Billing_Fallout!H:H,Billing_Fallout!N:N,B80)),0)</f>
        <v>0</v>
      </c>
      <c r="AA80" s="6">
        <f t="shared" si="22"/>
        <v>0</v>
      </c>
      <c r="AB80" s="6">
        <f>IFERROR(IF(B80="","",SUMIFS(Billing_Fallout!J:J,Billing_Fallout!N:N,B80)),0)</f>
        <v>0</v>
      </c>
      <c r="AD80" s="6">
        <f t="shared" si="23"/>
        <v>600</v>
      </c>
      <c r="AF80" t="str">
        <f>IFERROR(INDEX(H_Tables!$B$1:$B$1500,MATCH(INDEX(SF_Output!$J$1:$J$400,MATCH(B80,SF_Output!$M$1:$M$400,0)),H_Tables!$A$1:$A$1500,0)),"")</f>
        <v>Exclusion</v>
      </c>
      <c r="AI80" s="119" t="str">
        <f t="shared" si="24"/>
        <v/>
      </c>
      <c r="AJ80" s="121">
        <f>IFERROR(INDEX(SF_Output!AD:AD,MATCH(_xlfn.TEXTJOIN(",",TRUE,B80:E80),SF_Output!AC1:AC400,0)),0.05)</f>
        <v>71</v>
      </c>
      <c r="AK80" t="str">
        <f>IF(SUMIFS(SF_Output!$F$1:$F$400,SF_Output!$AC$1:$AC$400,_xlfn.TEXTJOIN(",",TRUE,B80:E80))+SUMIFS(SF_Output!$G$1:$G$400,SF_Output!$AC$1:$AC$400,_xlfn.TEXTJOIN(",",TRUE,B80:E80))=0,"","PAP")</f>
        <v/>
      </c>
      <c r="AL80" s="35" t="str">
        <f t="shared" si="25"/>
        <v>Zelle Implementation and Monthly Network,New,Hosted by JHA,0</v>
      </c>
      <c r="AQ80" s="35"/>
      <c r="AR80" s="35" t="str" cm="1">
        <f t="array" ref="AR80">IFERROR(_xlfn.IFS(AND(E80*1=1,F80="Included"),"Change to Included",AND(E80*1=0,F80="Optional"),"Change to Optional",OR(B80="",F80="replaced"),""),"")</f>
        <v/>
      </c>
      <c r="AS80" s="35" t="str">
        <f t="shared" si="26"/>
        <v/>
      </c>
      <c r="AT80" s="35" t="str">
        <f t="shared" si="27"/>
        <v/>
      </c>
      <c r="AU80" s="35" t="str">
        <f t="shared" si="28"/>
        <v/>
      </c>
      <c r="AV80" s="35" t="str">
        <f t="shared" si="29"/>
        <v/>
      </c>
      <c r="AW80" s="35" t="str">
        <f t="shared" si="30"/>
        <v/>
      </c>
      <c r="AX80" s="35" t="str">
        <f t="shared" si="31"/>
        <v/>
      </c>
      <c r="AY80" s="35" t="str">
        <f t="shared" si="32"/>
        <v/>
      </c>
      <c r="AZ80" s="35" t="str">
        <f t="shared" si="33"/>
        <v/>
      </c>
      <c r="BA80" s="35" t="str">
        <f t="shared" si="34"/>
        <v/>
      </c>
      <c r="BB80" s="35" t="str">
        <f t="shared" si="35"/>
        <v/>
      </c>
      <c r="BC80" s="35"/>
      <c r="BE80" s="35">
        <f ca="1">INDEX(SF_Output!$AA$2:$AA$400,MATCH($B80,SF_Output!$M$2:$M$400,0))</f>
        <v>6</v>
      </c>
      <c r="BF80" s="35">
        <f ca="1">INDEX(SF_Output!$AB$2:$AB$400,MATCH($B80,SF_Output!$M$2:$M$400,0))</f>
        <v>4</v>
      </c>
    </row>
    <row r="81" spans="2:58" x14ac:dyDescent="0.25">
      <c r="B81" t="s">
        <v>2235</v>
      </c>
      <c r="C81" t="s">
        <v>2122</v>
      </c>
      <c r="D81" t="s">
        <v>2123</v>
      </c>
      <c r="E81" t="s">
        <v>2124</v>
      </c>
      <c r="F81" s="116" t="str">
        <f t="shared" si="18"/>
        <v>Included</v>
      </c>
      <c r="G81" t="str">
        <f>IF(B81="","",INDEX(SF_Output!$K$1:$K$400,MATCH(B81,SF_Output!$M$1:$M$400,0)))</f>
        <v>JHA Payment Center</v>
      </c>
      <c r="H81" cm="1">
        <f t="array" ref="H81">_xlfn.IFS(B81="","",(SUMIFS(SF_Output!$F$1:$F$400,SF_Output!$AC$1:$AC$400,_xlfn.TEXTJOIN(",",TRUE,B81:E81))+SUMIFS(SF_Output!$G$1:$G$400,SF_Output!$AC$1:$AC$400,_xlfn.TEXTJOIN(",",TRUE,B81:E81)))&lt;&gt;0,SF_Output!$Y$2,INDEX(SF_Output!$F$1:$F$400,MATCH(_xlfn.TEXTJOIN(",",TRUE,B81:E81),SF_Output!$AC$1:$AC$400,0))=0,INDEX(SF_Output!$R$1:$R$400,MATCH(_xlfn.TEXTJOIN(",",TRUE,B81:E81),SF_Output!$AC$1:$AC$400,0)))</f>
        <v>1</v>
      </c>
      <c r="I81" s="125" t="str">
        <f>IFERROR(IF(AND(H81&gt;1,H81&lt;&gt;""),ROUND(SUMIFS(SF_Output!$S$1:$S$400,SF_Output!$AC$1:$AC$400,_xlfn.TEXTJOIN(",",TRUE,B81:E81),SF_Output!$Q$1:$Q$400,"monthly")*(1-W81)/H81,4),""),"")</f>
        <v/>
      </c>
      <c r="J81" s="6">
        <f>IF(B81="","",SUMIFS(SF_Output!$S$1:$S$400,SF_Output!$AC$1:$AC$400,_xlfn.TEXTJOIN(",",TRUE,B81:E81),SF_Output!$Q$1:$Q$400,"One Time",SF_Output!$L$1:$L$400,"license fee")+SUMIFS(SF_Output!$S$1:$S$400,SF_Output!$AC$1:$AC$400,_xlfn.TEXTJOIN(",",TRUE,B81:E81),SF_Output!$Q$1:$Q$400,"One Time",SF_Output!$L$1:$L$400,"software license")+SUMIFS(SF_Output!$S$1:$S$400,SF_Output!$AC$1:$AC$400,_xlfn.TEXTJOIN(",",TRUE,B81:E81),SF_Output!$Q$1:$Q$400,"One Time",SF_Output!$L$1:$L$400,"hardware"))</f>
        <v>0</v>
      </c>
      <c r="K81" s="112" t="str">
        <f>IF(OR(B81=0,B81="",G81="hardware",J81=0),"",IF(AF81&lt;&gt;"exclusion",MAX(K$9,-((SUMIFS(SF_Output!$T$1:$T$400,SF_Output!$AC$1:$AC$400,_xlfn.TEXTJOIN(",",TRUE,$B81:$E81),SF_Output!$Q$1:$Q$400,"One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license"))/J81)))</f>
        <v/>
      </c>
      <c r="L81" s="6">
        <f t="shared" si="19"/>
        <v>0</v>
      </c>
      <c r="N81" s="6">
        <f>IF(B81="","",SUMIFS(SF_Output!$S$1:$S$400,SF_Output!$AC$1:$AC$400,_xlfn.TEXTJOIN(",",TRUE,B81:E81),SF_Output!$Q$1:$Q$400,"One Time",SF_Output!$L$1:$L$400,"professional service"))</f>
        <v>1000</v>
      </c>
      <c r="O81" s="112">
        <f>IF(OR(B81=0,B81="",N81=0),"",IF(AF81&lt;&gt;"exclusion",MAX(O$9,-(SUMIFS(SF_Output!$T$1:$T$400,SF_Output!$AC$1:$AC$400,_xlfn.TEXTJOIN(",",TRUE,$B81:$E81),SF_Output!$Q$1:$Q$400,"One Time",SF_Output!$L$1:$L$400,"professional service"))/N81),-((SUMIFS(SF_Output!$T$1:$T$400,SF_Output!$AC$1:$AC$400,_xlfn.TEXTJOIN(",",TRUE,$B81:$E81),SF_Output!$Q$1:$Q$400,"One Time",SF_Output!$L$1:$L$400,"professional service")/N81))))</f>
        <v>1</v>
      </c>
      <c r="P81" s="6">
        <f t="shared" si="20"/>
        <v>0</v>
      </c>
      <c r="R81" s="6">
        <f>IF(B81="","",SUMIFS(SF_Output!$S$1:$S$400,SF_Output!$AC$1:$AC$400,_xlfn.TEXTJOIN(",",TRUE,B81:E81),SF_Output!$Q$1:$Q$400,"yearly")+SUMIFS(SF_Output!$S$1:$S$400,SF_Output!$AC$1:$AC$400,_xlfn.TEXTJOIN(",",TRUE,B81:E81),SF_Output!$Q$1:$Q$400,"quarterly")*4)</f>
        <v>0</v>
      </c>
      <c r="S81" s="112" t="str">
        <f>IF(OR(B81=0,B81="",G81="hardware",R81=0),"",IF(AF81&lt;&gt;"exclusion",MAX(S$9,-(SUMIFS(SF_Output!$T$1:$T$400,SF_Output!$AC$1:$AC$400,_xlfn.TEXTJOIN(",",TRUE,$B81:$E81),SF_Output!$Q$1:$Q$400,"yearly"))/R81),-((SUMIFS(SF_Output!$T$1:$T$400,SF_Output!$AC$1:$AC$400,_xlfn.TEXTJOIN(",",TRUE,$B81:$E81),SF_Output!$Q$1:$Q$400,"yearly")/R81))))</f>
        <v/>
      </c>
      <c r="T81" s="6">
        <f t="shared" si="21"/>
        <v>0</v>
      </c>
      <c r="V81" s="6" cm="1">
        <f t="array" ref="V81">_xlfn.IFS(B81="","",AND(B81&lt;&gt;"",H81=SF_Output!$Y$2,SUMIFS(SF_Output!$T$1:$T$400,SF_Output!$AC$1:$AC$400,_xlfn.TEXTJOIN(",",TRUE,B81:E81),SF_Output!$Q$1:$Q$400,"monthly")=0),(SUMIFS(SF_Output!$F$1:$F$400,SF_Output!$AC$1:$AC$400,_xlfn.TEXTJOIN(",",TRUE,B81:E81),SF_Output!$Q$1:$Q$400,"monthly")+SUMIFS(SF_Output!$G$1:$G$400,SF_Output!$AC$1:$AC$400,_xlfn.TEXTJOIN(",",TRUE,B81:E81),SF_Output!$Q$1:$Q$400,"monthly"))*H81,AND(B81&lt;&gt;"",H81=SF_Output!$Y$2,SUMIFS(SF_Output!$T$1:$T$400,SF_Output!$AC$1:$AC$400,_xlfn.TEXTJOIN(",",TRUE,B81:E81),SF_Output!$Q$1:$Q$400,"monthly")&lt;&gt;0),SUMIFS(SF_Output!$S$1:$S$400,SF_Output!$AC$1:$AC$400,_xlfn.TEXTJOIN(",",TRUE,B81:E81),SF_Output!$Q$1:$Q$400,"monthly"),AND(B81&lt;&gt;"",H81&lt;&gt;SF_Output!$Y$2),SUMIFS(SF_Output!$S$1:$S$400,SF_Output!$AC$1:$AC$400,_xlfn.TEXTJOIN(",",TRUE,B81:E81),SF_Output!$Q$1:$Q$400,"monthly"))</f>
        <v>400</v>
      </c>
      <c r="W81" s="112" cm="1">
        <f t="array" ref="W81">_xlfn.IFS(OR(B81=0,B81="",V81=0),"",AF81&lt;&gt;"exclusion",MAX($W$9,$W$7,(-(SUMIFS(SF_Output!$T$1:$T$400,SF_Output!$AC$1:$AC$400,_xlfn.TEXTJOIN(",",TRUE,$B81:$E81),SF_Output!$Q$1:$Q$400,"monthly"))/V81)),AF81="exclusion",-(SUMIFS(SF_Output!$T$1:$T$400,SF_Output!$AC$1:$AC$400,_xlfn.TEXTJOIN(",",TRUE,$B81:$E81),SF_Output!$Q$1:$Q$400,"monthly"))/V81)</f>
        <v>0</v>
      </c>
      <c r="X81" s="6" cm="1">
        <f t="array" ref="X81">IFERROR(_xlfn.IFS(V81=0,0,V81="","",W81=0,V81,OR(V81&lt;&gt;0,V81&lt;&gt;""),H81*I81),V81*(1-W81))</f>
        <v>400</v>
      </c>
      <c r="Z81" s="6">
        <f>IFERROR(IF(B81="","",SUMIFS(Billing_Fallout!H:H,Billing_Fallout!N:N,B81)),0)</f>
        <v>0</v>
      </c>
      <c r="AA81" s="6">
        <f t="shared" si="22"/>
        <v>0</v>
      </c>
      <c r="AB81" s="6">
        <f>IFERROR(IF(B81="","",SUMIFS(Billing_Fallout!J:J,Billing_Fallout!N:N,B81)),0)</f>
        <v>0</v>
      </c>
      <c r="AD81" s="6">
        <f t="shared" si="23"/>
        <v>400</v>
      </c>
      <c r="AF81" t="str">
        <f>IFERROR(INDEX(H_Tables!$B$1:$B$1500,MATCH(INDEX(SF_Output!$J$1:$J$400,MATCH(B81,SF_Output!$M$1:$M$400,0)),H_Tables!$A$1:$A$1500,0)),"")</f>
        <v>Exclusion</v>
      </c>
      <c r="AI81" s="119" t="str">
        <f t="shared" si="24"/>
        <v/>
      </c>
      <c r="AJ81" s="121">
        <f>IFERROR(INDEX(SF_Output!AD:AD,MATCH(_xlfn.TEXTJOIN(",",TRUE,B81:E81),SF_Output!AC1:AC400,0)),0.05)</f>
        <v>73</v>
      </c>
      <c r="AK81" t="str">
        <f>IF(SUMIFS(SF_Output!$F$1:$F$400,SF_Output!$AC$1:$AC$400,_xlfn.TEXTJOIN(",",TRUE,B81:E81))+SUMIFS(SF_Output!$G$1:$G$400,SF_Output!$AC$1:$AC$400,_xlfn.TEXTJOIN(",",TRUE,B81:E81))=0,"","PAP")</f>
        <v/>
      </c>
      <c r="AL81" s="35" t="str">
        <f t="shared" si="25"/>
        <v>RTP Implementation and Monthly Network Receive Only,New,Hosted by JHA,0</v>
      </c>
      <c r="AQ81" s="35"/>
      <c r="AR81" s="35" t="str" cm="1">
        <f t="array" ref="AR81">IFERROR(_xlfn.IFS(AND(E81*1=1,F81="Included"),"Change to Included",AND(E81*1=0,F81="Optional"),"Change to Optional",OR(B81="",F81="replaced"),""),"")</f>
        <v/>
      </c>
      <c r="AS81" s="35" t="str">
        <f t="shared" si="26"/>
        <v/>
      </c>
      <c r="AT81" s="35" t="str">
        <f t="shared" si="27"/>
        <v/>
      </c>
      <c r="AU81" s="35" t="str">
        <f t="shared" si="28"/>
        <v/>
      </c>
      <c r="AV81" s="35" t="str">
        <f t="shared" si="29"/>
        <v/>
      </c>
      <c r="AW81" s="35" t="str">
        <f t="shared" si="30"/>
        <v/>
      </c>
      <c r="AX81" s="35" t="str">
        <f t="shared" si="31"/>
        <v/>
      </c>
      <c r="AY81" s="35" t="str">
        <f t="shared" si="32"/>
        <v/>
      </c>
      <c r="AZ81" s="35" t="str">
        <f t="shared" si="33"/>
        <v/>
      </c>
      <c r="BA81" s="35" t="str">
        <f t="shared" si="34"/>
        <v/>
      </c>
      <c r="BB81" s="35" t="str">
        <f t="shared" si="35"/>
        <v/>
      </c>
      <c r="BC81" s="35"/>
      <c r="BE81" s="35">
        <f ca="1">INDEX(SF_Output!$AA$2:$AA$400,MATCH($B81,SF_Output!$M$2:$M$400,0))</f>
        <v>6</v>
      </c>
      <c r="BF81" s="35">
        <f ca="1">INDEX(SF_Output!$AB$2:$AB$400,MATCH($B81,SF_Output!$M$2:$M$400,0))</f>
        <v>4</v>
      </c>
    </row>
    <row r="82" spans="2:58" x14ac:dyDescent="0.25">
      <c r="B82" t="s">
        <v>2238</v>
      </c>
      <c r="C82" t="s">
        <v>2122</v>
      </c>
      <c r="D82" t="s">
        <v>2123</v>
      </c>
      <c r="E82" t="s">
        <v>2124</v>
      </c>
      <c r="F82" s="116" t="str">
        <f t="shared" si="18"/>
        <v>Included</v>
      </c>
      <c r="G82" t="str">
        <f>IF(B82="","",INDEX(SF_Output!$K$1:$K$400,MATCH(B82,SF_Output!$M$1:$M$400,0)))</f>
        <v>JHA Payment Center</v>
      </c>
      <c r="H82" cm="1">
        <f t="array" ref="H82">_xlfn.IFS(B82="","",(SUMIFS(SF_Output!$F$1:$F$400,SF_Output!$AC$1:$AC$400,_xlfn.TEXTJOIN(",",TRUE,B82:E82))+SUMIFS(SF_Output!$G$1:$G$400,SF_Output!$AC$1:$AC$400,_xlfn.TEXTJOIN(",",TRUE,B82:E82)))&lt;&gt;0,SF_Output!$Y$2,INDEX(SF_Output!$F$1:$F$400,MATCH(_xlfn.TEXTJOIN(",",TRUE,B82:E82),SF_Output!$AC$1:$AC$400,0))=0,INDEX(SF_Output!$R$1:$R$400,MATCH(_xlfn.TEXTJOIN(",",TRUE,B82:E82),SF_Output!$AC$1:$AC$400,0)))</f>
        <v>1</v>
      </c>
      <c r="I82" s="125" t="str">
        <f>IFERROR(IF(AND(H82&gt;1,H82&lt;&gt;""),ROUND(SUMIFS(SF_Output!$S$1:$S$400,SF_Output!$AC$1:$AC$400,_xlfn.TEXTJOIN(",",TRUE,B82:E82),SF_Output!$Q$1:$Q$400,"monthly")*(1-W82)/H82,4),""),"")</f>
        <v/>
      </c>
      <c r="J82" s="6">
        <f>IF(B82="","",SUMIFS(SF_Output!$S$1:$S$400,SF_Output!$AC$1:$AC$400,_xlfn.TEXTJOIN(",",TRUE,B82:E82),SF_Output!$Q$1:$Q$400,"One Time",SF_Output!$L$1:$L$400,"license fee")+SUMIFS(SF_Output!$S$1:$S$400,SF_Output!$AC$1:$AC$400,_xlfn.TEXTJOIN(",",TRUE,B82:E82),SF_Output!$Q$1:$Q$400,"One Time",SF_Output!$L$1:$L$400,"software license")+SUMIFS(SF_Output!$S$1:$S$400,SF_Output!$AC$1:$AC$400,_xlfn.TEXTJOIN(",",TRUE,B82:E82),SF_Output!$Q$1:$Q$400,"One Time",SF_Output!$L$1:$L$400,"hardware"))</f>
        <v>0</v>
      </c>
      <c r="K82" s="112" t="str">
        <f>IF(OR(B82=0,B82="",G82="hardware",J82=0),"",IF(AF82&lt;&gt;"exclusion",MAX(K$9,-((SUMIFS(SF_Output!$T$1:$T$400,SF_Output!$AC$1:$AC$400,_xlfn.TEXTJOIN(",",TRUE,$B82:$E82),SF_Output!$Q$1:$Q$400,"One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license"))/J82)))</f>
        <v/>
      </c>
      <c r="L82" s="6">
        <f t="shared" si="19"/>
        <v>0</v>
      </c>
      <c r="N82" s="6">
        <f>IF(B82="","",SUMIFS(SF_Output!$S$1:$S$400,SF_Output!$AC$1:$AC$400,_xlfn.TEXTJOIN(",",TRUE,B82:E82),SF_Output!$Q$1:$Q$400,"One Time",SF_Output!$L$1:$L$400,"professional service"))</f>
        <v>1000</v>
      </c>
      <c r="O82" s="112">
        <f>IF(OR(B82=0,B82="",N82=0),"",IF(AF82&lt;&gt;"exclusion",MAX(O$9,-(SUMIFS(SF_Output!$T$1:$T$400,SF_Output!$AC$1:$AC$400,_xlfn.TEXTJOIN(",",TRUE,$B82:$E82),SF_Output!$Q$1:$Q$400,"One Time",SF_Output!$L$1:$L$400,"professional service"))/N82),-((SUMIFS(SF_Output!$T$1:$T$400,SF_Output!$AC$1:$AC$400,_xlfn.TEXTJOIN(",",TRUE,$B82:$E82),SF_Output!$Q$1:$Q$400,"One Time",SF_Output!$L$1:$L$400,"professional service")/N82))))</f>
        <v>1</v>
      </c>
      <c r="P82" s="6">
        <f t="shared" si="20"/>
        <v>0</v>
      </c>
      <c r="R82" s="6">
        <f>IF(B82="","",SUMIFS(SF_Output!$S$1:$S$400,SF_Output!$AC$1:$AC$400,_xlfn.TEXTJOIN(",",TRUE,B82:E82),SF_Output!$Q$1:$Q$400,"yearly")+SUMIFS(SF_Output!$S$1:$S$400,SF_Output!$AC$1:$AC$400,_xlfn.TEXTJOIN(",",TRUE,B82:E82),SF_Output!$Q$1:$Q$400,"quarterly")*4)</f>
        <v>0</v>
      </c>
      <c r="S82" s="112" t="str">
        <f>IF(OR(B82=0,B82="",G82="hardware",R82=0),"",IF(AF82&lt;&gt;"exclusion",MAX(S$9,-(SUMIFS(SF_Output!$T$1:$T$400,SF_Output!$AC$1:$AC$400,_xlfn.TEXTJOIN(",",TRUE,$B82:$E82),SF_Output!$Q$1:$Q$400,"yearly"))/R82),-((SUMIFS(SF_Output!$T$1:$T$400,SF_Output!$AC$1:$AC$400,_xlfn.TEXTJOIN(",",TRUE,$B82:$E82),SF_Output!$Q$1:$Q$400,"yearly")/R82))))</f>
        <v/>
      </c>
      <c r="T82" s="6">
        <f t="shared" si="21"/>
        <v>0</v>
      </c>
      <c r="V82" s="6" cm="1">
        <f t="array" ref="V82">_xlfn.IFS(B82="","",AND(B82&lt;&gt;"",H82=SF_Output!$Y$2,SUMIFS(SF_Output!$T$1:$T$400,SF_Output!$AC$1:$AC$400,_xlfn.TEXTJOIN(",",TRUE,B82:E82),SF_Output!$Q$1:$Q$400,"monthly")=0),(SUMIFS(SF_Output!$F$1:$F$400,SF_Output!$AC$1:$AC$400,_xlfn.TEXTJOIN(",",TRUE,B82:E82),SF_Output!$Q$1:$Q$400,"monthly")+SUMIFS(SF_Output!$G$1:$G$400,SF_Output!$AC$1:$AC$400,_xlfn.TEXTJOIN(",",TRUE,B82:E82),SF_Output!$Q$1:$Q$400,"monthly"))*H82,AND(B82&lt;&gt;"",H82=SF_Output!$Y$2,SUMIFS(SF_Output!$T$1:$T$400,SF_Output!$AC$1:$AC$400,_xlfn.TEXTJOIN(",",TRUE,B82:E82),SF_Output!$Q$1:$Q$400,"monthly")&lt;&gt;0),SUMIFS(SF_Output!$S$1:$S$400,SF_Output!$AC$1:$AC$400,_xlfn.TEXTJOIN(",",TRUE,B82:E82),SF_Output!$Q$1:$Q$400,"monthly"),AND(B82&lt;&gt;"",H82&lt;&gt;SF_Output!$Y$2),SUMIFS(SF_Output!$S$1:$S$400,SF_Output!$AC$1:$AC$400,_xlfn.TEXTJOIN(",",TRUE,B82:E82),SF_Output!$Q$1:$Q$400,"monthly"))</f>
        <v>400</v>
      </c>
      <c r="W82" s="112" cm="1">
        <f t="array" ref="W82">_xlfn.IFS(OR(B82=0,B82="",V82=0),"",AF82&lt;&gt;"exclusion",MAX($W$9,$W$7,(-(SUMIFS(SF_Output!$T$1:$T$400,SF_Output!$AC$1:$AC$400,_xlfn.TEXTJOIN(",",TRUE,$B82:$E82),SF_Output!$Q$1:$Q$400,"monthly"))/V82)),AF82="exclusion",-(SUMIFS(SF_Output!$T$1:$T$400,SF_Output!$AC$1:$AC$400,_xlfn.TEXTJOIN(",",TRUE,$B82:$E82),SF_Output!$Q$1:$Q$400,"monthly"))/V82)</f>
        <v>0</v>
      </c>
      <c r="X82" s="6" cm="1">
        <f t="array" ref="X82">IFERROR(_xlfn.IFS(V82=0,0,V82="","",W82=0,V82,OR(V82&lt;&gt;0,V82&lt;&gt;""),H82*I82),V82*(1-W82))</f>
        <v>400</v>
      </c>
      <c r="Z82" s="6">
        <f>IFERROR(IF(B82="","",SUMIFS(Billing_Fallout!H:H,Billing_Fallout!N:N,B82)),0)</f>
        <v>0</v>
      </c>
      <c r="AA82" s="6">
        <f t="shared" si="22"/>
        <v>0</v>
      </c>
      <c r="AB82" s="6">
        <f>IFERROR(IF(B82="","",SUMIFS(Billing_Fallout!J:J,Billing_Fallout!N:N,B82)),0)</f>
        <v>0</v>
      </c>
      <c r="AD82" s="6">
        <f t="shared" si="23"/>
        <v>400</v>
      </c>
      <c r="AF82" t="str">
        <f>IFERROR(INDEX(H_Tables!$B$1:$B$1500,MATCH(INDEX(SF_Output!$J$1:$J$400,MATCH(B82,SF_Output!$M$1:$M$400,0)),H_Tables!$A$1:$A$1500,0)),"")</f>
        <v>Exclusion</v>
      </c>
      <c r="AI82" s="119" t="str">
        <f t="shared" si="24"/>
        <v/>
      </c>
      <c r="AJ82" s="121">
        <f>IFERROR(INDEX(SF_Output!AD:AD,MATCH(_xlfn.TEXTJOIN(",",TRUE,B82:E82),SF_Output!AC1:AC400,0)),0.05)</f>
        <v>75</v>
      </c>
      <c r="AK82" t="str">
        <f>IF(SUMIFS(SF_Output!$F$1:$F$400,SF_Output!$AC$1:$AC$400,_xlfn.TEXTJOIN(",",TRUE,B82:E82))+SUMIFS(SF_Output!$G$1:$G$400,SF_Output!$AC$1:$AC$400,_xlfn.TEXTJOIN(",",TRUE,B82:E82))=0,"","PAP")</f>
        <v/>
      </c>
      <c r="AL82" s="35" t="str">
        <f t="shared" si="25"/>
        <v>FedNow Implementation and Monthly Network Receive Only,New,Hosted by JHA,0</v>
      </c>
      <c r="AQ82" s="35"/>
      <c r="AR82" s="35" t="str" cm="1">
        <f t="array" ref="AR82">IFERROR(_xlfn.IFS(AND(E82*1=1,F82="Included"),"Change to Included",AND(E82*1=0,F82="Optional"),"Change to Optional",OR(B82="",F82="replaced"),""),"")</f>
        <v/>
      </c>
      <c r="AS82" s="35" t="str">
        <f t="shared" si="26"/>
        <v/>
      </c>
      <c r="AT82" s="35" t="str">
        <f t="shared" si="27"/>
        <v/>
      </c>
      <c r="AU82" s="35" t="str">
        <f t="shared" si="28"/>
        <v/>
      </c>
      <c r="AV82" s="35" t="str">
        <f t="shared" si="29"/>
        <v/>
      </c>
      <c r="AW82" s="35" t="str">
        <f t="shared" si="30"/>
        <v/>
      </c>
      <c r="AX82" s="35" t="str">
        <f t="shared" si="31"/>
        <v/>
      </c>
      <c r="AY82" s="35" t="str">
        <f t="shared" si="32"/>
        <v/>
      </c>
      <c r="AZ82" s="35" t="str">
        <f t="shared" si="33"/>
        <v/>
      </c>
      <c r="BA82" s="35" t="str">
        <f t="shared" si="34"/>
        <v/>
      </c>
      <c r="BB82" s="35" t="str">
        <f t="shared" si="35"/>
        <v/>
      </c>
      <c r="BC82" s="35"/>
      <c r="BE82" s="35">
        <f ca="1">INDEX(SF_Output!$AA$2:$AA$400,MATCH($B82,SF_Output!$M$2:$M$400,0))</f>
        <v>6</v>
      </c>
      <c r="BF82" s="35">
        <f ca="1">INDEX(SF_Output!$AB$2:$AB$400,MATCH($B82,SF_Output!$M$2:$M$400,0))</f>
        <v>4</v>
      </c>
    </row>
    <row r="83" spans="2:58" x14ac:dyDescent="0.25">
      <c r="B83" t="s">
        <v>1122</v>
      </c>
      <c r="C83" t="s">
        <v>2122</v>
      </c>
      <c r="D83" t="s">
        <v>2123</v>
      </c>
      <c r="E83" t="s">
        <v>2124</v>
      </c>
      <c r="F83" s="116" t="str">
        <f t="shared" si="18"/>
        <v>Included</v>
      </c>
      <c r="G83" t="str">
        <f>IF(B83="","",INDEX(SF_Output!$K$1:$K$400,MATCH(B83,SF_Output!$M$1:$M$400,0)))</f>
        <v>Enterprise Payment Solutions (EPS)</v>
      </c>
      <c r="H83" cm="1">
        <f t="array" ref="H83">_xlfn.IFS(B83="","",(SUMIFS(SF_Output!$F$1:$F$400,SF_Output!$AC$1:$AC$400,_xlfn.TEXTJOIN(",",TRUE,B83:E83))+SUMIFS(SF_Output!$G$1:$G$400,SF_Output!$AC$1:$AC$400,_xlfn.TEXTJOIN(",",TRUE,B83:E83)))&lt;&gt;0,SF_Output!$Y$2,INDEX(SF_Output!$F$1:$F$400,MATCH(_xlfn.TEXTJOIN(",",TRUE,B83:E83),SF_Output!$AC$1:$AC$400,0))=0,INDEX(SF_Output!$R$1:$R$400,MATCH(_xlfn.TEXTJOIN(",",TRUE,B83:E83),SF_Output!$AC$1:$AC$400,0)))</f>
        <v>1</v>
      </c>
      <c r="I83" s="125" t="str">
        <f>IFERROR(IF(AND(H83&gt;1,H83&lt;&gt;""),ROUND(SUMIFS(SF_Output!$S$1:$S$400,SF_Output!$AC$1:$AC$400,_xlfn.TEXTJOIN(",",TRUE,B83:E83),SF_Output!$Q$1:$Q$400,"monthly")*(1-W83)/H83,4),""),"")</f>
        <v/>
      </c>
      <c r="J83" s="6">
        <f>IF(B83="","",SUMIFS(SF_Output!$S$1:$S$400,SF_Output!$AC$1:$AC$400,_xlfn.TEXTJOIN(",",TRUE,B83:E83),SF_Output!$Q$1:$Q$400,"One Time",SF_Output!$L$1:$L$400,"license fee")+SUMIFS(SF_Output!$S$1:$S$400,SF_Output!$AC$1:$AC$400,_xlfn.TEXTJOIN(",",TRUE,B83:E83),SF_Output!$Q$1:$Q$400,"One Time",SF_Output!$L$1:$L$400,"software license")+SUMIFS(SF_Output!$S$1:$S$400,SF_Output!$AC$1:$AC$400,_xlfn.TEXTJOIN(",",TRUE,B83:E83),SF_Output!$Q$1:$Q$400,"One Time",SF_Output!$L$1:$L$400,"hardware"))</f>
        <v>0</v>
      </c>
      <c r="K83" s="112" t="str">
        <f>IF(OR(B83=0,B83="",G83="hardware",J83=0),"",IF(AF83&lt;&gt;"exclusion",MAX(K$9,-((SUMIFS(SF_Output!$T$1:$T$400,SF_Output!$AC$1:$AC$400,_xlfn.TEXTJOIN(",",TRUE,$B83:$E83),SF_Output!$Q$1:$Q$400,"One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license"))/J83)))</f>
        <v/>
      </c>
      <c r="L83" s="6">
        <f t="shared" si="19"/>
        <v>0</v>
      </c>
      <c r="N83" s="6">
        <f>IF(B83="","",SUMIFS(SF_Output!$S$1:$S$400,SF_Output!$AC$1:$AC$400,_xlfn.TEXTJOIN(",",TRUE,B83:E83),SF_Output!$Q$1:$Q$400,"One Time",SF_Output!$L$1:$L$400,"professional service"))</f>
        <v>2500</v>
      </c>
      <c r="O83" s="112">
        <f>IF(OR(B83=0,B83="",N83=0),"",IF(AF83&lt;&gt;"exclusion",MAX(O$9,-(SUMIFS(SF_Output!$T$1:$T$400,SF_Output!$AC$1:$AC$400,_xlfn.TEXTJOIN(",",TRUE,$B83:$E83),SF_Output!$Q$1:$Q$400,"One Time",SF_Output!$L$1:$L$400,"professional service"))/N83),-((SUMIFS(SF_Output!$T$1:$T$400,SF_Output!$AC$1:$AC$400,_xlfn.TEXTJOIN(",",TRUE,$B83:$E83),SF_Output!$Q$1:$Q$400,"One Time",SF_Output!$L$1:$L$400,"professional service")/N83))))</f>
        <v>1</v>
      </c>
      <c r="P83" s="6">
        <f t="shared" si="20"/>
        <v>0</v>
      </c>
      <c r="R83" s="6">
        <f>IF(B83="","",SUMIFS(SF_Output!$S$1:$S$400,SF_Output!$AC$1:$AC$400,_xlfn.TEXTJOIN(",",TRUE,B83:E83),SF_Output!$Q$1:$Q$400,"yearly")+SUMIFS(SF_Output!$S$1:$S$400,SF_Output!$AC$1:$AC$400,_xlfn.TEXTJOIN(",",TRUE,B83:E83),SF_Output!$Q$1:$Q$400,"quarterly")*4)</f>
        <v>0</v>
      </c>
      <c r="S83" s="112" t="str">
        <f>IF(OR(B83=0,B83="",G83="hardware",R83=0),"",IF(AF83&lt;&gt;"exclusion",MAX(S$9,-(SUMIFS(SF_Output!$T$1:$T$400,SF_Output!$AC$1:$AC$400,_xlfn.TEXTJOIN(",",TRUE,$B83:$E83),SF_Output!$Q$1:$Q$400,"yearly"))/R83),-((SUMIFS(SF_Output!$T$1:$T$400,SF_Output!$AC$1:$AC$400,_xlfn.TEXTJOIN(",",TRUE,$B83:$E83),SF_Output!$Q$1:$Q$400,"yearly")/R83))))</f>
        <v/>
      </c>
      <c r="T83" s="6">
        <f t="shared" si="21"/>
        <v>0</v>
      </c>
      <c r="V83" s="6" cm="1">
        <f t="array" ref="V83">_xlfn.IFS(B83="","",AND(B83&lt;&gt;"",H83=SF_Output!$Y$2,SUMIFS(SF_Output!$T$1:$T$400,SF_Output!$AC$1:$AC$400,_xlfn.TEXTJOIN(",",TRUE,B83:E83),SF_Output!$Q$1:$Q$400,"monthly")=0),(SUMIFS(SF_Output!$F$1:$F$400,SF_Output!$AC$1:$AC$400,_xlfn.TEXTJOIN(",",TRUE,B83:E83),SF_Output!$Q$1:$Q$400,"monthly")+SUMIFS(SF_Output!$G$1:$G$400,SF_Output!$AC$1:$AC$400,_xlfn.TEXTJOIN(",",TRUE,B83:E83),SF_Output!$Q$1:$Q$400,"monthly"))*H83,AND(B83&lt;&gt;"",H83=SF_Output!$Y$2,SUMIFS(SF_Output!$T$1:$T$400,SF_Output!$AC$1:$AC$400,_xlfn.TEXTJOIN(",",TRUE,B83:E83),SF_Output!$Q$1:$Q$400,"monthly")&lt;&gt;0),SUMIFS(SF_Output!$S$1:$S$400,SF_Output!$AC$1:$AC$400,_xlfn.TEXTJOIN(",",TRUE,B83:E83),SF_Output!$Q$1:$Q$400,"monthly"),AND(B83&lt;&gt;"",H83&lt;&gt;SF_Output!$Y$2),SUMIFS(SF_Output!$S$1:$S$400,SF_Output!$AC$1:$AC$400,_xlfn.TEXTJOIN(",",TRUE,B83:E83),SF_Output!$Q$1:$Q$400,"monthly"))</f>
        <v>0</v>
      </c>
      <c r="W83" s="112" t="str" cm="1">
        <f t="array" ref="W83">_xlfn.IFS(OR(B83=0,B83="",V83=0),"",AF83&lt;&gt;"exclusion",MAX($W$9,$W$7,(-(SUMIFS(SF_Output!$T$1:$T$400,SF_Output!$AC$1:$AC$400,_xlfn.TEXTJOIN(",",TRUE,$B83:$E83),SF_Output!$Q$1:$Q$400,"monthly"))/V83)),AF83="exclusion",-(SUMIFS(SF_Output!$T$1:$T$400,SF_Output!$AC$1:$AC$400,_xlfn.TEXTJOIN(",",TRUE,$B83:$E83),SF_Output!$Q$1:$Q$400,"monthly"))/V83)</f>
        <v/>
      </c>
      <c r="X83" s="6" cm="1">
        <f t="array" ref="X83">IFERROR(_xlfn.IFS(V83=0,0,V83="","",W83=0,V83,OR(V83&lt;&gt;0,V83&lt;&gt;""),H83*I83),V83*(1-W83))</f>
        <v>0</v>
      </c>
      <c r="Z83" s="6">
        <f>IFERROR(IF(B83="","",SUMIFS(Billing_Fallout!H:H,Billing_Fallout!N:N,B83)),0)</f>
        <v>0</v>
      </c>
      <c r="AA83" s="6">
        <f t="shared" si="22"/>
        <v>0</v>
      </c>
      <c r="AB83" s="6">
        <f>IFERROR(IF(B83="","",SUMIFS(Billing_Fallout!J:J,Billing_Fallout!N:N,B83)),0)</f>
        <v>0</v>
      </c>
      <c r="AD83" s="6">
        <f t="shared" si="23"/>
        <v>0</v>
      </c>
      <c r="AF83" t="str">
        <f>IFERROR(INDEX(H_Tables!$B$1:$B$1500,MATCH(INDEX(SF_Output!$J$1:$J$400,MATCH(B83,SF_Output!$M$1:$M$400,0)),H_Tables!$A$1:$A$1500,0)),"")</f>
        <v>Exclusion</v>
      </c>
      <c r="AI83" s="119" t="str">
        <f t="shared" si="24"/>
        <v/>
      </c>
      <c r="AJ83" s="121">
        <f>IFERROR(INDEX(SF_Output!AD:AD,MATCH(_xlfn.TEXTJOIN(",",TRUE,B83:E83),SF_Output!AC1:AC400,0)),0.05)</f>
        <v>144</v>
      </c>
      <c r="AK83" t="str">
        <f>IF(SUMIFS(SF_Output!$F$1:$F$400,SF_Output!$AC$1:$AC$400,_xlfn.TEXTJOIN(",",TRUE,B83:E83))+SUMIFS(SF_Output!$G$1:$G$400,SF_Output!$AC$1:$AC$400,_xlfn.TEXTJOIN(",",TRUE,B83:E83))=0,"","PAP")</f>
        <v/>
      </c>
      <c r="AL83" s="35" t="str">
        <f t="shared" si="25"/>
        <v>EPS Platform Set Up Fee,New,Hosted by JHA,0</v>
      </c>
      <c r="AQ83" s="35"/>
      <c r="AR83" s="35" t="str" cm="1">
        <f t="array" ref="AR83">IFERROR(_xlfn.IFS(AND(E83*1=1,F83="Included"),"Change to Included",AND(E83*1=0,F83="Optional"),"Change to Optional",OR(B83="",F83="replaced"),""),"")</f>
        <v/>
      </c>
      <c r="AS83" s="35" t="str">
        <f t="shared" si="26"/>
        <v/>
      </c>
      <c r="AT83" s="35" t="str">
        <f t="shared" si="27"/>
        <v/>
      </c>
      <c r="AU83" s="35" t="str">
        <f t="shared" si="28"/>
        <v/>
      </c>
      <c r="AV83" s="35" t="str">
        <f t="shared" si="29"/>
        <v/>
      </c>
      <c r="AW83" s="35" t="str">
        <f t="shared" si="30"/>
        <v/>
      </c>
      <c r="AX83" s="35" t="str">
        <f t="shared" si="31"/>
        <v/>
      </c>
      <c r="AY83" s="35" t="str">
        <f t="shared" si="32"/>
        <v/>
      </c>
      <c r="AZ83" s="35" t="str">
        <f t="shared" si="33"/>
        <v/>
      </c>
      <c r="BA83" s="35" t="str">
        <f t="shared" si="34"/>
        <v/>
      </c>
      <c r="BB83" s="35" t="str">
        <f t="shared" si="35"/>
        <v/>
      </c>
      <c r="BC83" s="35"/>
      <c r="BE83" s="35">
        <f ca="1">INDEX(SF_Output!$AA$2:$AA$400,MATCH($B83,SF_Output!$M$2:$M$400,0))</f>
        <v>6</v>
      </c>
      <c r="BF83" s="35">
        <f ca="1">INDEX(SF_Output!$AB$2:$AB$400,MATCH($B83,SF_Output!$M$2:$M$400,0))</f>
        <v>4</v>
      </c>
    </row>
    <row r="84" spans="2:58" x14ac:dyDescent="0.25">
      <c r="B84" t="s">
        <v>1479</v>
      </c>
      <c r="C84" t="s">
        <v>2122</v>
      </c>
      <c r="D84" t="s">
        <v>2123</v>
      </c>
      <c r="E84" t="s">
        <v>2124</v>
      </c>
      <c r="F84" s="116" t="str">
        <f t="shared" si="18"/>
        <v>Included</v>
      </c>
      <c r="G84" t="str">
        <f>IF(B84="","",INDEX(SF_Output!$K$1:$K$400,MATCH(B84,SF_Output!$M$1:$M$400,0)))</f>
        <v>Enterprise Payment Solutions (EPS)</v>
      </c>
      <c r="H84" cm="1">
        <f t="array" ref="H84">_xlfn.IFS(B84="","",(SUMIFS(SF_Output!$F$1:$F$400,SF_Output!$AC$1:$AC$400,_xlfn.TEXTJOIN(",",TRUE,B84:E84))+SUMIFS(SF_Output!$G$1:$G$400,SF_Output!$AC$1:$AC$400,_xlfn.TEXTJOIN(",",TRUE,B84:E84)))&lt;&gt;0,SF_Output!$Y$2,INDEX(SF_Output!$F$1:$F$400,MATCH(_xlfn.TEXTJOIN(",",TRUE,B84:E84),SF_Output!$AC$1:$AC$400,0))=0,INDEX(SF_Output!$R$1:$R$400,MATCH(_xlfn.TEXTJOIN(",",TRUE,B84:E84),SF_Output!$AC$1:$AC$400,0)))</f>
        <v>1</v>
      </c>
      <c r="I84" s="125" t="str">
        <f>IFERROR(IF(AND(H84&gt;1,H84&lt;&gt;""),ROUND(SUMIFS(SF_Output!$S$1:$S$400,SF_Output!$AC$1:$AC$400,_xlfn.TEXTJOIN(",",TRUE,B84:E84),SF_Output!$Q$1:$Q$400,"monthly")*(1-W84)/H84,4),""),"")</f>
        <v/>
      </c>
      <c r="J84" s="6">
        <f>IF(B84="","",SUMIFS(SF_Output!$S$1:$S$400,SF_Output!$AC$1:$AC$400,_xlfn.TEXTJOIN(",",TRUE,B84:E84),SF_Output!$Q$1:$Q$400,"One Time",SF_Output!$L$1:$L$400,"license fee")+SUMIFS(SF_Output!$S$1:$S$400,SF_Output!$AC$1:$AC$400,_xlfn.TEXTJOIN(",",TRUE,B84:E84),SF_Output!$Q$1:$Q$400,"One Time",SF_Output!$L$1:$L$400,"software license")+SUMIFS(SF_Output!$S$1:$S$400,SF_Output!$AC$1:$AC$400,_xlfn.TEXTJOIN(",",TRUE,B84:E84),SF_Output!$Q$1:$Q$400,"One Time",SF_Output!$L$1:$L$400,"hardware"))</f>
        <v>0</v>
      </c>
      <c r="K84" s="112" t="str">
        <f>IF(OR(B84=0,B84="",G84="hardware",J84=0),"",IF(AF84&lt;&gt;"exclusion",MAX(K$9,-((SUMIFS(SF_Output!$T$1:$T$400,SF_Output!$AC$1:$AC$400,_xlfn.TEXTJOIN(",",TRUE,$B84:$E84),SF_Output!$Q$1:$Q$400,"One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license"))/J84)))</f>
        <v/>
      </c>
      <c r="L84" s="6">
        <f t="shared" si="19"/>
        <v>0</v>
      </c>
      <c r="N84" s="6">
        <f>IF(B84="","",SUMIFS(SF_Output!$S$1:$S$400,SF_Output!$AC$1:$AC$400,_xlfn.TEXTJOIN(",",TRUE,B84:E84),SF_Output!$Q$1:$Q$400,"One Time",SF_Output!$L$1:$L$400,"professional service"))</f>
        <v>1000</v>
      </c>
      <c r="O84" s="112">
        <f>IF(OR(B84=0,B84="",N84=0),"",IF(AF84&lt;&gt;"exclusion",MAX(O$9,-(SUMIFS(SF_Output!$T$1:$T$400,SF_Output!$AC$1:$AC$400,_xlfn.TEXTJOIN(",",TRUE,$B84:$E84),SF_Output!$Q$1:$Q$400,"One Time",SF_Output!$L$1:$L$400,"professional service"))/N84),-((SUMIFS(SF_Output!$T$1:$T$400,SF_Output!$AC$1:$AC$400,_xlfn.TEXTJOIN(",",TRUE,$B84:$E84),SF_Output!$Q$1:$Q$400,"One Time",SF_Output!$L$1:$L$400,"professional service")/N84))))</f>
        <v>1</v>
      </c>
      <c r="P84" s="6">
        <f t="shared" si="20"/>
        <v>0</v>
      </c>
      <c r="R84" s="6">
        <f>IF(B84="","",SUMIFS(SF_Output!$S$1:$S$400,SF_Output!$AC$1:$AC$400,_xlfn.TEXTJOIN(",",TRUE,B84:E84),SF_Output!$Q$1:$Q$400,"yearly")+SUMIFS(SF_Output!$S$1:$S$400,SF_Output!$AC$1:$AC$400,_xlfn.TEXTJOIN(",",TRUE,B84:E84),SF_Output!$Q$1:$Q$400,"quarterly")*4)</f>
        <v>0</v>
      </c>
      <c r="S84" s="112" t="str">
        <f>IF(OR(B84=0,B84="",G84="hardware",R84=0),"",IF(AF84&lt;&gt;"exclusion",MAX(S$9,-(SUMIFS(SF_Output!$T$1:$T$400,SF_Output!$AC$1:$AC$400,_xlfn.TEXTJOIN(",",TRUE,$B84:$E84),SF_Output!$Q$1:$Q$400,"yearly"))/R84),-((SUMIFS(SF_Output!$T$1:$T$400,SF_Output!$AC$1:$AC$400,_xlfn.TEXTJOIN(",",TRUE,$B84:$E84),SF_Output!$Q$1:$Q$400,"yearly")/R84))))</f>
        <v/>
      </c>
      <c r="T84" s="6">
        <f t="shared" si="21"/>
        <v>0</v>
      </c>
      <c r="V84" s="6" cm="1">
        <f t="array" ref="V84">_xlfn.IFS(B84="","",AND(B84&lt;&gt;"",H84=SF_Output!$Y$2,SUMIFS(SF_Output!$T$1:$T$400,SF_Output!$AC$1:$AC$400,_xlfn.TEXTJOIN(",",TRUE,B84:E84),SF_Output!$Q$1:$Q$400,"monthly")=0),(SUMIFS(SF_Output!$F$1:$F$400,SF_Output!$AC$1:$AC$400,_xlfn.TEXTJOIN(",",TRUE,B84:E84),SF_Output!$Q$1:$Q$400,"monthly")+SUMIFS(SF_Output!$G$1:$G$400,SF_Output!$AC$1:$AC$400,_xlfn.TEXTJOIN(",",TRUE,B84:E84),SF_Output!$Q$1:$Q$400,"monthly"))*H84,AND(B84&lt;&gt;"",H84=SF_Output!$Y$2,SUMIFS(SF_Output!$T$1:$T$400,SF_Output!$AC$1:$AC$400,_xlfn.TEXTJOIN(",",TRUE,B84:E84),SF_Output!$Q$1:$Q$400,"monthly")&lt;&gt;0),SUMIFS(SF_Output!$S$1:$S$400,SF_Output!$AC$1:$AC$400,_xlfn.TEXTJOIN(",",TRUE,B84:E84),SF_Output!$Q$1:$Q$400,"monthly"),AND(B84&lt;&gt;"",H84&lt;&gt;SF_Output!$Y$2),SUMIFS(SF_Output!$S$1:$S$400,SF_Output!$AC$1:$AC$400,_xlfn.TEXTJOIN(",",TRUE,B84:E84),SF_Output!$Q$1:$Q$400,"monthly"))</f>
        <v>350</v>
      </c>
      <c r="W84" s="112" cm="1">
        <f t="array" ref="W84">_xlfn.IFS(OR(B84=0,B84="",V84=0),"",AF84&lt;&gt;"exclusion",MAX($W$9,$W$7,(-(SUMIFS(SF_Output!$T$1:$T$400,SF_Output!$AC$1:$AC$400,_xlfn.TEXTJOIN(",",TRUE,$B84:$E84),SF_Output!$Q$1:$Q$400,"monthly"))/V84)),AF84="exclusion",-(SUMIFS(SF_Output!$T$1:$T$400,SF_Output!$AC$1:$AC$400,_xlfn.TEXTJOIN(",",TRUE,$B84:$E84),SF_Output!$Q$1:$Q$400,"monthly"))/V84)</f>
        <v>0</v>
      </c>
      <c r="X84" s="6" cm="1">
        <f t="array" ref="X84">IFERROR(_xlfn.IFS(V84=0,0,V84="","",W84=0,V84,OR(V84&lt;&gt;0,V84&lt;&gt;""),H84*I84),V84*(1-W84))</f>
        <v>350</v>
      </c>
      <c r="Z84" s="6">
        <f>IFERROR(IF(B84="","",SUMIFS(Billing_Fallout!H:H,Billing_Fallout!N:N,B84)),0)</f>
        <v>0</v>
      </c>
      <c r="AA84" s="6">
        <f t="shared" si="22"/>
        <v>0</v>
      </c>
      <c r="AB84" s="6">
        <f>IFERROR(IF(B84="","",SUMIFS(Billing_Fallout!J:J,Billing_Fallout!N:N,B84)),0)</f>
        <v>0</v>
      </c>
      <c r="AD84" s="6">
        <f t="shared" si="23"/>
        <v>350</v>
      </c>
      <c r="AF84" t="str">
        <f>IFERROR(INDEX(H_Tables!$B$1:$B$1500,MATCH(INDEX(SF_Output!$J$1:$J$400,MATCH(B84,SF_Output!$M$1:$M$400,0)),H_Tables!$A$1:$A$1500,0)),"")</f>
        <v>Exclusion</v>
      </c>
      <c r="AI84" s="119" t="str">
        <f t="shared" si="24"/>
        <v/>
      </c>
      <c r="AJ84" s="121">
        <f>IFERROR(INDEX(SF_Output!AD:AD,MATCH(_xlfn.TEXTJOIN(",",TRUE,B84:E84),SF_Output!AC1:AC400,0)),0.05)</f>
        <v>145</v>
      </c>
      <c r="AK84" t="str">
        <f>IF(SUMIFS(SF_Output!$F$1:$F$400,SF_Output!$AC$1:$AC$400,_xlfn.TEXTJOIN(",",TRUE,B84:E84))+SUMIFS(SF_Output!$G$1:$G$400,SF_Output!$AC$1:$AC$400,_xlfn.TEXTJOIN(",",TRUE,B84:E84))=0,"","PAP")</f>
        <v/>
      </c>
      <c r="AL84" s="35" t="str">
        <f t="shared" si="25"/>
        <v>JHA SmartPay Remote Deposit Now (RDN),New,Hosted by JHA,0</v>
      </c>
      <c r="AQ84" s="35"/>
      <c r="AR84" s="35" t="str" cm="1">
        <f t="array" ref="AR84">IFERROR(_xlfn.IFS(AND(E84*1=1,F84="Included"),"Change to Included",AND(E84*1=0,F84="Optional"),"Change to Optional",OR(B84="",F84="replaced"),""),"")</f>
        <v/>
      </c>
      <c r="AS84" s="35" t="str">
        <f t="shared" si="26"/>
        <v/>
      </c>
      <c r="AT84" s="35" t="str">
        <f t="shared" si="27"/>
        <v/>
      </c>
      <c r="AU84" s="35" t="str">
        <f t="shared" si="28"/>
        <v/>
      </c>
      <c r="AV84" s="35" t="str">
        <f t="shared" si="29"/>
        <v/>
      </c>
      <c r="AW84" s="35" t="str">
        <f t="shared" si="30"/>
        <v/>
      </c>
      <c r="AX84" s="35" t="str">
        <f t="shared" si="31"/>
        <v/>
      </c>
      <c r="AY84" s="35" t="str">
        <f t="shared" si="32"/>
        <v/>
      </c>
      <c r="AZ84" s="35" t="str">
        <f t="shared" si="33"/>
        <v/>
      </c>
      <c r="BA84" s="35" t="str">
        <f t="shared" si="34"/>
        <v/>
      </c>
      <c r="BB84" s="35" t="str">
        <f t="shared" si="35"/>
        <v/>
      </c>
      <c r="BC84" s="35"/>
      <c r="BE84" s="35">
        <f ca="1">INDEX(SF_Output!$AA$2:$AA$400,MATCH($B84,SF_Output!$M$2:$M$400,0))</f>
        <v>6</v>
      </c>
      <c r="BF84" s="35">
        <f ca="1">INDEX(SF_Output!$AB$2:$AB$400,MATCH($B84,SF_Output!$M$2:$M$400,0))</f>
        <v>4</v>
      </c>
    </row>
    <row r="85" spans="2:58" x14ac:dyDescent="0.25">
      <c r="B85" t="s">
        <v>1476</v>
      </c>
      <c r="C85" t="s">
        <v>2122</v>
      </c>
      <c r="D85" t="s">
        <v>2123</v>
      </c>
      <c r="E85" t="s">
        <v>2124</v>
      </c>
      <c r="F85" s="116" t="str">
        <f t="shared" si="18"/>
        <v>Included</v>
      </c>
      <c r="G85" t="str">
        <f>IF(B85="","",INDEX(SF_Output!$K$1:$K$400,MATCH(B85,SF_Output!$M$1:$M$400,0)))</f>
        <v>Enterprise Payment Solutions (EPS)</v>
      </c>
      <c r="H85" cm="1">
        <f t="array" ref="H85">_xlfn.IFS(B85="","",(SUMIFS(SF_Output!$F$1:$F$400,SF_Output!$AC$1:$AC$400,_xlfn.TEXTJOIN(",",TRUE,B85:E85))+SUMIFS(SF_Output!$G$1:$G$400,SF_Output!$AC$1:$AC$400,_xlfn.TEXTJOIN(",",TRUE,B85:E85)))&lt;&gt;0,SF_Output!$Y$2,INDEX(SF_Output!$F$1:$F$400,MATCH(_xlfn.TEXTJOIN(",",TRUE,B85:E85),SF_Output!$AC$1:$AC$400,0))=0,INDEX(SF_Output!$R$1:$R$400,MATCH(_xlfn.TEXTJOIN(",",TRUE,B85:E85),SF_Output!$AC$1:$AC$400,0)))</f>
        <v>1</v>
      </c>
      <c r="I85" s="125" t="str">
        <f>IFERROR(IF(AND(H85&gt;1,H85&lt;&gt;""),ROUND(SUMIFS(SF_Output!$S$1:$S$400,SF_Output!$AC$1:$AC$400,_xlfn.TEXTJOIN(",",TRUE,B85:E85),SF_Output!$Q$1:$Q$400,"monthly")*(1-W85)/H85,4),""),"")</f>
        <v/>
      </c>
      <c r="J85" s="6">
        <f>IF(B85="","",SUMIFS(SF_Output!$S$1:$S$400,SF_Output!$AC$1:$AC$400,_xlfn.TEXTJOIN(",",TRUE,B85:E85),SF_Output!$Q$1:$Q$400,"One Time",SF_Output!$L$1:$L$400,"license fee")+SUMIFS(SF_Output!$S$1:$S$400,SF_Output!$AC$1:$AC$400,_xlfn.TEXTJOIN(",",TRUE,B85:E85),SF_Output!$Q$1:$Q$400,"One Time",SF_Output!$L$1:$L$400,"software license")+SUMIFS(SF_Output!$S$1:$S$400,SF_Output!$AC$1:$AC$400,_xlfn.TEXTJOIN(",",TRUE,B85:E85),SF_Output!$Q$1:$Q$400,"One Time",SF_Output!$L$1:$L$400,"hardware"))</f>
        <v>0</v>
      </c>
      <c r="K85" s="112" t="str">
        <f>IF(OR(B85=0,B85="",G85="hardware",J85=0),"",IF(AF85&lt;&gt;"exclusion",MAX(K$9,-((SUMIFS(SF_Output!$T$1:$T$400,SF_Output!$AC$1:$AC$400,_xlfn.TEXTJOIN(",",TRUE,$B85:$E85),SF_Output!$Q$1:$Q$400,"One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license"))/J85)))</f>
        <v/>
      </c>
      <c r="L85" s="6">
        <f t="shared" si="19"/>
        <v>0</v>
      </c>
      <c r="N85" s="6">
        <f>IF(B85="","",SUMIFS(SF_Output!$S$1:$S$400,SF_Output!$AC$1:$AC$400,_xlfn.TEXTJOIN(",",TRUE,B85:E85),SF_Output!$Q$1:$Q$400,"One Time",SF_Output!$L$1:$L$400,"professional service"))</f>
        <v>2500</v>
      </c>
      <c r="O85" s="112">
        <f>IF(OR(B85=0,B85="",N85=0),"",IF(AF85&lt;&gt;"exclusion",MAX(O$9,-(SUMIFS(SF_Output!$T$1:$T$400,SF_Output!$AC$1:$AC$400,_xlfn.TEXTJOIN(",",TRUE,$B85:$E85),SF_Output!$Q$1:$Q$400,"One Time",SF_Output!$L$1:$L$400,"professional service"))/N85),-((SUMIFS(SF_Output!$T$1:$T$400,SF_Output!$AC$1:$AC$400,_xlfn.TEXTJOIN(",",TRUE,$B85:$E85),SF_Output!$Q$1:$Q$400,"One Time",SF_Output!$L$1:$L$400,"professional service")/N85))))</f>
        <v>1</v>
      </c>
      <c r="P85" s="6">
        <f t="shared" si="20"/>
        <v>0</v>
      </c>
      <c r="R85" s="6">
        <f>IF(B85="","",SUMIFS(SF_Output!$S$1:$S$400,SF_Output!$AC$1:$AC$400,_xlfn.TEXTJOIN(",",TRUE,B85:E85),SF_Output!$Q$1:$Q$400,"yearly")+SUMIFS(SF_Output!$S$1:$S$400,SF_Output!$AC$1:$AC$400,_xlfn.TEXTJOIN(",",TRUE,B85:E85),SF_Output!$Q$1:$Q$400,"quarterly")*4)</f>
        <v>0</v>
      </c>
      <c r="S85" s="112" t="str">
        <f>IF(OR(B85=0,B85="",G85="hardware",R85=0),"",IF(AF85&lt;&gt;"exclusion",MAX(S$9,-(SUMIFS(SF_Output!$T$1:$T$400,SF_Output!$AC$1:$AC$400,_xlfn.TEXTJOIN(",",TRUE,$B85:$E85),SF_Output!$Q$1:$Q$400,"yearly"))/R85),-((SUMIFS(SF_Output!$T$1:$T$400,SF_Output!$AC$1:$AC$400,_xlfn.TEXTJOIN(",",TRUE,$B85:$E85),SF_Output!$Q$1:$Q$400,"yearly")/R85))))</f>
        <v/>
      </c>
      <c r="T85" s="6">
        <f t="shared" si="21"/>
        <v>0</v>
      </c>
      <c r="V85" s="6" cm="1">
        <f t="array" ref="V85">_xlfn.IFS(B85="","",AND(B85&lt;&gt;"",H85=SF_Output!$Y$2,SUMIFS(SF_Output!$T$1:$T$400,SF_Output!$AC$1:$AC$400,_xlfn.TEXTJOIN(",",TRUE,B85:E85),SF_Output!$Q$1:$Q$400,"monthly")=0),(SUMIFS(SF_Output!$F$1:$F$400,SF_Output!$AC$1:$AC$400,_xlfn.TEXTJOIN(",",TRUE,B85:E85),SF_Output!$Q$1:$Q$400,"monthly")+SUMIFS(SF_Output!$G$1:$G$400,SF_Output!$AC$1:$AC$400,_xlfn.TEXTJOIN(",",TRUE,B85:E85),SF_Output!$Q$1:$Q$400,"monthly"))*H85,AND(B85&lt;&gt;"",H85=SF_Output!$Y$2,SUMIFS(SF_Output!$T$1:$T$400,SF_Output!$AC$1:$AC$400,_xlfn.TEXTJOIN(",",TRUE,B85:E85),SF_Output!$Q$1:$Q$400,"monthly")&lt;&gt;0),SUMIFS(SF_Output!$S$1:$S$400,SF_Output!$AC$1:$AC$400,_xlfn.TEXTJOIN(",",TRUE,B85:E85),SF_Output!$Q$1:$Q$400,"monthly"),AND(B85&lt;&gt;"",H85&lt;&gt;SF_Output!$Y$2),SUMIFS(SF_Output!$S$1:$S$400,SF_Output!$AC$1:$AC$400,_xlfn.TEXTJOIN(",",TRUE,B85:E85),SF_Output!$Q$1:$Q$400,"monthly"))</f>
        <v>500</v>
      </c>
      <c r="W85" s="112" cm="1">
        <f t="array" ref="W85">_xlfn.IFS(OR(B85=0,B85="",V85=0),"",AF85&lt;&gt;"exclusion",MAX($W$9,$W$7,(-(SUMIFS(SF_Output!$T$1:$T$400,SF_Output!$AC$1:$AC$400,_xlfn.TEXTJOIN(",",TRUE,$B85:$E85),SF_Output!$Q$1:$Q$400,"monthly"))/V85)),AF85="exclusion",-(SUMIFS(SF_Output!$T$1:$T$400,SF_Output!$AC$1:$AC$400,_xlfn.TEXTJOIN(",",TRUE,$B85:$E85),SF_Output!$Q$1:$Q$400,"monthly"))/V85)</f>
        <v>0</v>
      </c>
      <c r="X85" s="6" cm="1">
        <f t="array" ref="X85">IFERROR(_xlfn.IFS(V85=0,0,V85="","",W85=0,V85,OR(V85&lt;&gt;0,V85&lt;&gt;""),H85*I85),V85*(1-W85))</f>
        <v>500</v>
      </c>
      <c r="Z85" s="6">
        <f>IFERROR(IF(B85="","",SUMIFS(Billing_Fallout!H:H,Billing_Fallout!N:N,B85)),0)</f>
        <v>0</v>
      </c>
      <c r="AA85" s="6">
        <f t="shared" si="22"/>
        <v>0</v>
      </c>
      <c r="AB85" s="6">
        <f>IFERROR(IF(B85="","",SUMIFS(Billing_Fallout!J:J,Billing_Fallout!N:N,B85)),0)</f>
        <v>0</v>
      </c>
      <c r="AD85" s="6">
        <f t="shared" si="23"/>
        <v>500</v>
      </c>
      <c r="AF85" t="str">
        <f>IFERROR(INDEX(H_Tables!$B$1:$B$1500,MATCH(INDEX(SF_Output!$J$1:$J$400,MATCH(B85,SF_Output!$M$1:$M$400,0)),H_Tables!$A$1:$A$1500,0)),"")</f>
        <v>Exclusion</v>
      </c>
      <c r="AI85" s="119" t="str">
        <f t="shared" si="24"/>
        <v/>
      </c>
      <c r="AJ85" s="121">
        <f>IFERROR(INDEX(SF_Output!AD:AD,MATCH(_xlfn.TEXTJOIN(",",TRUE,B85:E85),SF_Output!AC1:AC400,0)),0.05)</f>
        <v>147</v>
      </c>
      <c r="AK85" t="str">
        <f>IF(SUMIFS(SF_Output!$F$1:$F$400,SF_Output!$AC$1:$AC$400,_xlfn.TEXTJOIN(",",TRUE,B85:E85))+SUMIFS(SF_Output!$G$1:$G$400,SF_Output!$AC$1:$AC$400,_xlfn.TEXTJOIN(",",TRUE,B85:E85))=0,"","PAP")</f>
        <v/>
      </c>
      <c r="AL85" s="35" t="str">
        <f t="shared" si="25"/>
        <v>JHA SmartPay Remote Deposit Anywhere (RDA),New,Hosted by JHA,0</v>
      </c>
      <c r="AQ85" s="35"/>
      <c r="AR85" s="35" t="str" cm="1">
        <f t="array" ref="AR85">IFERROR(_xlfn.IFS(AND(E85*1=1,F85="Included"),"Change to Included",AND(E85*1=0,F85="Optional"),"Change to Optional",OR(B85="",F85="replaced"),""),"")</f>
        <v/>
      </c>
      <c r="AS85" s="35" t="str">
        <f t="shared" si="26"/>
        <v/>
      </c>
      <c r="AT85" s="35" t="str">
        <f t="shared" si="27"/>
        <v/>
      </c>
      <c r="AU85" s="35" t="str">
        <f t="shared" si="28"/>
        <v/>
      </c>
      <c r="AV85" s="35" t="str">
        <f t="shared" si="29"/>
        <v/>
      </c>
      <c r="AW85" s="35" t="str">
        <f t="shared" si="30"/>
        <v/>
      </c>
      <c r="AX85" s="35" t="str">
        <f t="shared" si="31"/>
        <v/>
      </c>
      <c r="AY85" s="35" t="str">
        <f t="shared" si="32"/>
        <v/>
      </c>
      <c r="AZ85" s="35" t="str">
        <f t="shared" si="33"/>
        <v/>
      </c>
      <c r="BA85" s="35" t="str">
        <f t="shared" si="34"/>
        <v/>
      </c>
      <c r="BB85" s="35" t="str">
        <f t="shared" si="35"/>
        <v/>
      </c>
      <c r="BC85" s="35"/>
      <c r="BE85" s="35">
        <f ca="1">INDEX(SF_Output!$AA$2:$AA$400,MATCH($B85,SF_Output!$M$2:$M$400,0))</f>
        <v>6</v>
      </c>
      <c r="BF85" s="35">
        <f ca="1">INDEX(SF_Output!$AB$2:$AB$400,MATCH($B85,SF_Output!$M$2:$M$400,0))</f>
        <v>4</v>
      </c>
    </row>
    <row r="86" spans="2:58" x14ac:dyDescent="0.25">
      <c r="B86" t="s">
        <v>1306</v>
      </c>
      <c r="C86" t="s">
        <v>2122</v>
      </c>
      <c r="D86" t="s">
        <v>2123</v>
      </c>
      <c r="E86" t="s">
        <v>2124</v>
      </c>
      <c r="F86" s="116" t="str">
        <f t="shared" si="18"/>
        <v>Included</v>
      </c>
      <c r="G86" t="str">
        <f>IF(B86="","",INDEX(SF_Output!$K$1:$K$400,MATCH(B86,SF_Output!$M$1:$M$400,0)))</f>
        <v>Enterprise Payment Solutions (EPS)</v>
      </c>
      <c r="H86" cm="1">
        <f t="array" ref="H86">_xlfn.IFS(B86="","",(SUMIFS(SF_Output!$F$1:$F$400,SF_Output!$AC$1:$AC$400,_xlfn.TEXTJOIN(",",TRUE,B86:E86))+SUMIFS(SF_Output!$G$1:$G$400,SF_Output!$AC$1:$AC$400,_xlfn.TEXTJOIN(",",TRUE,B86:E86)))&lt;&gt;0,SF_Output!$Y$2,INDEX(SF_Output!$F$1:$F$400,MATCH(_xlfn.TEXTJOIN(",",TRUE,B86:E86),SF_Output!$AC$1:$AC$400,0))=0,INDEX(SF_Output!$R$1:$R$400,MATCH(_xlfn.TEXTJOIN(",",TRUE,B86:E86),SF_Output!$AC$1:$AC$400,0)))</f>
        <v>1</v>
      </c>
      <c r="I86" s="125" t="str">
        <f>IFERROR(IF(AND(H86&gt;1,H86&lt;&gt;""),ROUND(SUMIFS(SF_Output!$S$1:$S$400,SF_Output!$AC$1:$AC$400,_xlfn.TEXTJOIN(",",TRUE,B86:E86),SF_Output!$Q$1:$Q$400,"monthly")*(1-W86)/H86,4),""),"")</f>
        <v/>
      </c>
      <c r="J86" s="6">
        <f>IF(B86="","",SUMIFS(SF_Output!$S$1:$S$400,SF_Output!$AC$1:$AC$400,_xlfn.TEXTJOIN(",",TRUE,B86:E86),SF_Output!$Q$1:$Q$400,"One Time",SF_Output!$L$1:$L$400,"license fee")+SUMIFS(SF_Output!$S$1:$S$400,SF_Output!$AC$1:$AC$400,_xlfn.TEXTJOIN(",",TRUE,B86:E86),SF_Output!$Q$1:$Q$400,"One Time",SF_Output!$L$1:$L$400,"software license")+SUMIFS(SF_Output!$S$1:$S$400,SF_Output!$AC$1:$AC$400,_xlfn.TEXTJOIN(",",TRUE,B86:E86),SF_Output!$Q$1:$Q$400,"One Time",SF_Output!$L$1:$L$400,"hardware"))</f>
        <v>0</v>
      </c>
      <c r="K86" s="112" t="str">
        <f>IF(OR(B86=0,B86="",G86="hardware",J86=0),"",IF(AF86&lt;&gt;"exclusion",MAX(K$9,-((SUMIFS(SF_Output!$T$1:$T$400,SF_Output!$AC$1:$AC$400,_xlfn.TEXTJOIN(",",TRUE,$B86:$E86),SF_Output!$Q$1:$Q$400,"One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license"))/J86)))</f>
        <v/>
      </c>
      <c r="L86" s="6">
        <f t="shared" si="19"/>
        <v>0</v>
      </c>
      <c r="N86" s="6">
        <f>IF(B86="","",SUMIFS(SF_Output!$S$1:$S$400,SF_Output!$AC$1:$AC$400,_xlfn.TEXTJOIN(",",TRUE,B86:E86),SF_Output!$Q$1:$Q$400,"One Time",SF_Output!$L$1:$L$400,"professional service"))</f>
        <v>1000</v>
      </c>
      <c r="O86" s="112">
        <f>IF(OR(B86=0,B86="",N86=0),"",IF(AF86&lt;&gt;"exclusion",MAX(O$9,-(SUMIFS(SF_Output!$T$1:$T$400,SF_Output!$AC$1:$AC$400,_xlfn.TEXTJOIN(",",TRUE,$B86:$E86),SF_Output!$Q$1:$Q$400,"One Time",SF_Output!$L$1:$L$400,"professional service"))/N86),-((SUMIFS(SF_Output!$T$1:$T$400,SF_Output!$AC$1:$AC$400,_xlfn.TEXTJOIN(",",TRUE,$B86:$E86),SF_Output!$Q$1:$Q$400,"One Time",SF_Output!$L$1:$L$400,"professional service")/N86))))</f>
        <v>1</v>
      </c>
      <c r="P86" s="6">
        <f t="shared" si="20"/>
        <v>0</v>
      </c>
      <c r="R86" s="6">
        <f>IF(B86="","",SUMIFS(SF_Output!$S$1:$S$400,SF_Output!$AC$1:$AC$400,_xlfn.TEXTJOIN(",",TRUE,B86:E86),SF_Output!$Q$1:$Q$400,"yearly")+SUMIFS(SF_Output!$S$1:$S$400,SF_Output!$AC$1:$AC$400,_xlfn.TEXTJOIN(",",TRUE,B86:E86),SF_Output!$Q$1:$Q$400,"quarterly")*4)</f>
        <v>0</v>
      </c>
      <c r="S86" s="112" t="str">
        <f>IF(OR(B86=0,B86="",G86="hardware",R86=0),"",IF(AF86&lt;&gt;"exclusion",MAX(S$9,-(SUMIFS(SF_Output!$T$1:$T$400,SF_Output!$AC$1:$AC$400,_xlfn.TEXTJOIN(",",TRUE,$B86:$E86),SF_Output!$Q$1:$Q$400,"yearly"))/R86),-((SUMIFS(SF_Output!$T$1:$T$400,SF_Output!$AC$1:$AC$400,_xlfn.TEXTJOIN(",",TRUE,$B86:$E86),SF_Output!$Q$1:$Q$400,"yearly")/R86))))</f>
        <v/>
      </c>
      <c r="T86" s="6">
        <f t="shared" si="21"/>
        <v>0</v>
      </c>
      <c r="V86" s="6" cm="1">
        <f t="array" ref="V86">_xlfn.IFS(B86="","",AND(B86&lt;&gt;"",H86=SF_Output!$Y$2,SUMIFS(SF_Output!$T$1:$T$400,SF_Output!$AC$1:$AC$400,_xlfn.TEXTJOIN(",",TRUE,B86:E86),SF_Output!$Q$1:$Q$400,"monthly")=0),(SUMIFS(SF_Output!$F$1:$F$400,SF_Output!$AC$1:$AC$400,_xlfn.TEXTJOIN(",",TRUE,B86:E86),SF_Output!$Q$1:$Q$400,"monthly")+SUMIFS(SF_Output!$G$1:$G$400,SF_Output!$AC$1:$AC$400,_xlfn.TEXTJOIN(",",TRUE,B86:E86),SF_Output!$Q$1:$Q$400,"monthly"))*H86,AND(B86&lt;&gt;"",H86=SF_Output!$Y$2,SUMIFS(SF_Output!$T$1:$T$400,SF_Output!$AC$1:$AC$400,_xlfn.TEXTJOIN(",",TRUE,B86:E86),SF_Output!$Q$1:$Q$400,"monthly")&lt;&gt;0),SUMIFS(SF_Output!$S$1:$S$400,SF_Output!$AC$1:$AC$400,_xlfn.TEXTJOIN(",",TRUE,B86:E86),SF_Output!$Q$1:$Q$400,"monthly"),AND(B86&lt;&gt;"",H86&lt;&gt;SF_Output!$Y$2),SUMIFS(SF_Output!$S$1:$S$400,SF_Output!$AC$1:$AC$400,_xlfn.TEXTJOIN(",",TRUE,B86:E86),SF_Output!$Q$1:$Q$400,"monthly"))</f>
        <v>350</v>
      </c>
      <c r="W86" s="112" cm="1">
        <f t="array" ref="W86">_xlfn.IFS(OR(B86=0,B86="",V86=0),"",AF86&lt;&gt;"exclusion",MAX($W$9,$W$7,(-(SUMIFS(SF_Output!$T$1:$T$400,SF_Output!$AC$1:$AC$400,_xlfn.TEXTJOIN(",",TRUE,$B86:$E86),SF_Output!$Q$1:$Q$400,"monthly"))/V86)),AF86="exclusion",-(SUMIFS(SF_Output!$T$1:$T$400,SF_Output!$AC$1:$AC$400,_xlfn.TEXTJOIN(",",TRUE,$B86:$E86),SF_Output!$Q$1:$Q$400,"monthly"))/V86)</f>
        <v>0.5</v>
      </c>
      <c r="X86" s="6" cm="1">
        <f t="array" ref="X86">IFERROR(_xlfn.IFS(V86=0,0,V86="","",W86=0,V86,OR(V86&lt;&gt;0,V86&lt;&gt;""),H86*I86),V86*(1-W86))</f>
        <v>175</v>
      </c>
      <c r="Z86" s="6">
        <f>IFERROR(IF(B86="","",SUMIFS(Billing_Fallout!H:H,Billing_Fallout!N:N,B86)),0)</f>
        <v>0</v>
      </c>
      <c r="AA86" s="6">
        <f t="shared" si="22"/>
        <v>0</v>
      </c>
      <c r="AB86" s="6">
        <f>IFERROR(IF(B86="","",SUMIFS(Billing_Fallout!J:J,Billing_Fallout!N:N,B86)),0)</f>
        <v>0</v>
      </c>
      <c r="AD86" s="6">
        <f t="shared" si="23"/>
        <v>175</v>
      </c>
      <c r="AF86" t="str">
        <f>IFERROR(INDEX(H_Tables!$B$1:$B$1500,MATCH(INDEX(SF_Output!$J$1:$J$400,MATCH(B86,SF_Output!$M$1:$M$400,0)),H_Tables!$A$1:$A$1500,0)),"")</f>
        <v>Exclusion</v>
      </c>
      <c r="AI86" s="119" t="str">
        <f t="shared" si="24"/>
        <v/>
      </c>
      <c r="AJ86" s="121">
        <f>IFERROR(INDEX(SF_Output!AD:AD,MATCH(_xlfn.TEXTJOIN(",",TRUE,B86:E86),SF_Output!AC1:AC400,0)),0.05)</f>
        <v>149</v>
      </c>
      <c r="AK86" t="str">
        <f>IF(SUMIFS(SF_Output!$F$1:$F$400,SF_Output!$AC$1:$AC$400,_xlfn.TEXTJOIN(",",TRUE,B86:E86))+SUMIFS(SF_Output!$G$1:$G$400,SF_Output!$AC$1:$AC$400,_xlfn.TEXTJOIN(",",TRUE,B86:E86))=0,"","PAP")</f>
        <v/>
      </c>
      <c r="AL86" s="35" t="str">
        <f t="shared" si="25"/>
        <v>JHA SmartPay mRDC,New,Hosted by JHA,0</v>
      </c>
      <c r="AQ86" s="35"/>
      <c r="AR86" s="35" t="str" cm="1">
        <f t="array" ref="AR86">IFERROR(_xlfn.IFS(AND(E86*1=1,F86="Included"),"Change to Included",AND(E86*1=0,F86="Optional"),"Change to Optional",OR(B86="",F86="replaced"),""),"")</f>
        <v/>
      </c>
      <c r="AS86" s="35" t="str">
        <f t="shared" si="26"/>
        <v/>
      </c>
      <c r="AT86" s="35" t="str">
        <f t="shared" si="27"/>
        <v/>
      </c>
      <c r="AU86" s="35" t="str">
        <f t="shared" si="28"/>
        <v/>
      </c>
      <c r="AV86" s="35" t="str">
        <f t="shared" si="29"/>
        <v/>
      </c>
      <c r="AW86" s="35" t="str">
        <f t="shared" si="30"/>
        <v/>
      </c>
      <c r="AX86" s="35" t="str">
        <f t="shared" si="31"/>
        <v/>
      </c>
      <c r="AY86" s="35" t="str">
        <f t="shared" si="32"/>
        <v/>
      </c>
      <c r="AZ86" s="35" t="str">
        <f t="shared" si="33"/>
        <v/>
      </c>
      <c r="BA86" s="35" t="str">
        <f t="shared" si="34"/>
        <v/>
      </c>
      <c r="BB86" s="35" t="str">
        <f t="shared" si="35"/>
        <v/>
      </c>
      <c r="BC86" s="35"/>
      <c r="BE86" s="35">
        <f ca="1">INDEX(SF_Output!$AA$2:$AA$400,MATCH($B86,SF_Output!$M$2:$M$400,0))</f>
        <v>6</v>
      </c>
      <c r="BF86" s="35">
        <f ca="1">INDEX(SF_Output!$AB$2:$AB$400,MATCH($B86,SF_Output!$M$2:$M$400,0))</f>
        <v>4</v>
      </c>
    </row>
    <row r="87" spans="2:58" x14ac:dyDescent="0.25">
      <c r="B87" t="s">
        <v>1109</v>
      </c>
      <c r="C87" t="s">
        <v>2122</v>
      </c>
      <c r="D87" t="s">
        <v>2123</v>
      </c>
      <c r="E87" t="s">
        <v>2124</v>
      </c>
      <c r="F87" s="116" t="str">
        <f t="shared" si="18"/>
        <v>Included</v>
      </c>
      <c r="G87" t="str">
        <f>IF(B87="","",INDEX(SF_Output!$K$1:$K$400,MATCH(B87,SF_Output!$M$1:$M$400,0)))</f>
        <v>Enterprise Payment Solutions (EPS)</v>
      </c>
      <c r="H87" cm="1">
        <f t="array" ref="H87">_xlfn.IFS(B87="","",(SUMIFS(SF_Output!$F$1:$F$400,SF_Output!$AC$1:$AC$400,_xlfn.TEXTJOIN(",",TRUE,B87:E87))+SUMIFS(SF_Output!$G$1:$G$400,SF_Output!$AC$1:$AC$400,_xlfn.TEXTJOIN(",",TRUE,B87:E87)))&lt;&gt;0,SF_Output!$Y$2,INDEX(SF_Output!$F$1:$F$400,MATCH(_xlfn.TEXTJOIN(",",TRUE,B87:E87),SF_Output!$AC$1:$AC$400,0))=0,INDEX(SF_Output!$R$1:$R$400,MATCH(_xlfn.TEXTJOIN(",",TRUE,B87:E87),SF_Output!$AC$1:$AC$400,0)))</f>
        <v>1</v>
      </c>
      <c r="I87" s="125" t="str">
        <f>IFERROR(IF(AND(H87&gt;1,H87&lt;&gt;""),ROUND(SUMIFS(SF_Output!$S$1:$S$400,SF_Output!$AC$1:$AC$400,_xlfn.TEXTJOIN(",",TRUE,B87:E87),SF_Output!$Q$1:$Q$400,"monthly")*(1-W87)/H87,4),""),"")</f>
        <v/>
      </c>
      <c r="J87" s="6">
        <f>IF(B87="","",SUMIFS(SF_Output!$S$1:$S$400,SF_Output!$AC$1:$AC$400,_xlfn.TEXTJOIN(",",TRUE,B87:E87),SF_Output!$Q$1:$Q$400,"One Time",SF_Output!$L$1:$L$400,"license fee")+SUMIFS(SF_Output!$S$1:$S$400,SF_Output!$AC$1:$AC$400,_xlfn.TEXTJOIN(",",TRUE,B87:E87),SF_Output!$Q$1:$Q$400,"One Time",SF_Output!$L$1:$L$400,"software license")+SUMIFS(SF_Output!$S$1:$S$400,SF_Output!$AC$1:$AC$400,_xlfn.TEXTJOIN(",",TRUE,B87:E87),SF_Output!$Q$1:$Q$400,"One Time",SF_Output!$L$1:$L$400,"hardware"))</f>
        <v>0</v>
      </c>
      <c r="K87" s="112" t="str">
        <f>IF(OR(B87=0,B87="",G87="hardware",J87=0),"",IF(AF87&lt;&gt;"exclusion",MAX(K$9,-((SUMIFS(SF_Output!$T$1:$T$400,SF_Output!$AC$1:$AC$400,_xlfn.TEXTJOIN(",",TRUE,$B87:$E87),SF_Output!$Q$1:$Q$400,"One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license"))/J87)))</f>
        <v/>
      </c>
      <c r="L87" s="6">
        <f t="shared" si="19"/>
        <v>0</v>
      </c>
      <c r="N87" s="6">
        <f>IF(B87="","",SUMIFS(SF_Output!$S$1:$S$400,SF_Output!$AC$1:$AC$400,_xlfn.TEXTJOIN(",",TRUE,B87:E87),SF_Output!$Q$1:$Q$400,"One Time",SF_Output!$L$1:$L$400,"professional service"))</f>
        <v>1500</v>
      </c>
      <c r="O87" s="112">
        <f>IF(OR(B87=0,B87="",N87=0),"",IF(AF87&lt;&gt;"exclusion",MAX(O$9,-(SUMIFS(SF_Output!$T$1:$T$400,SF_Output!$AC$1:$AC$400,_xlfn.TEXTJOIN(",",TRUE,$B87:$E87),SF_Output!$Q$1:$Q$400,"One Time",SF_Output!$L$1:$L$400,"professional service"))/N87),-((SUMIFS(SF_Output!$T$1:$T$400,SF_Output!$AC$1:$AC$400,_xlfn.TEXTJOIN(",",TRUE,$B87:$E87),SF_Output!$Q$1:$Q$400,"One Time",SF_Output!$L$1:$L$400,"professional service")/N87))))</f>
        <v>1</v>
      </c>
      <c r="P87" s="6">
        <f t="shared" si="20"/>
        <v>0</v>
      </c>
      <c r="R87" s="6">
        <f>IF(B87="","",SUMIFS(SF_Output!$S$1:$S$400,SF_Output!$AC$1:$AC$400,_xlfn.TEXTJOIN(",",TRUE,B87:E87),SF_Output!$Q$1:$Q$400,"yearly")+SUMIFS(SF_Output!$S$1:$S$400,SF_Output!$AC$1:$AC$400,_xlfn.TEXTJOIN(",",TRUE,B87:E87),SF_Output!$Q$1:$Q$400,"quarterly")*4)</f>
        <v>0</v>
      </c>
      <c r="S87" s="112" t="str">
        <f>IF(OR(B87=0,B87="",G87="hardware",R87=0),"",IF(AF87&lt;&gt;"exclusion",MAX(S$9,-(SUMIFS(SF_Output!$T$1:$T$400,SF_Output!$AC$1:$AC$400,_xlfn.TEXTJOIN(",",TRUE,$B87:$E87),SF_Output!$Q$1:$Q$400,"yearly"))/R87),-((SUMIFS(SF_Output!$T$1:$T$400,SF_Output!$AC$1:$AC$400,_xlfn.TEXTJOIN(",",TRUE,$B87:$E87),SF_Output!$Q$1:$Q$400,"yearly")/R87))))</f>
        <v/>
      </c>
      <c r="T87" s="6">
        <f t="shared" si="21"/>
        <v>0</v>
      </c>
      <c r="V87" s="6" cm="1">
        <f t="array" ref="V87">_xlfn.IFS(B87="","",AND(B87&lt;&gt;"",H87=SF_Output!$Y$2,SUMIFS(SF_Output!$T$1:$T$400,SF_Output!$AC$1:$AC$400,_xlfn.TEXTJOIN(",",TRUE,B87:E87),SF_Output!$Q$1:$Q$400,"monthly")=0),(SUMIFS(SF_Output!$F$1:$F$400,SF_Output!$AC$1:$AC$400,_xlfn.TEXTJOIN(",",TRUE,B87:E87),SF_Output!$Q$1:$Q$400,"monthly")+SUMIFS(SF_Output!$G$1:$G$400,SF_Output!$AC$1:$AC$400,_xlfn.TEXTJOIN(",",TRUE,B87:E87),SF_Output!$Q$1:$Q$400,"monthly"))*H87,AND(B87&lt;&gt;"",H87=SF_Output!$Y$2,SUMIFS(SF_Output!$T$1:$T$400,SF_Output!$AC$1:$AC$400,_xlfn.TEXTJOIN(",",TRUE,B87:E87),SF_Output!$Q$1:$Q$400,"monthly")&lt;&gt;0),SUMIFS(SF_Output!$S$1:$S$400,SF_Output!$AC$1:$AC$400,_xlfn.TEXTJOIN(",",TRUE,B87:E87),SF_Output!$Q$1:$Q$400,"monthly"),AND(B87&lt;&gt;"",H87&lt;&gt;SF_Output!$Y$2),SUMIFS(SF_Output!$S$1:$S$400,SF_Output!$AC$1:$AC$400,_xlfn.TEXTJOIN(",",TRUE,B87:E87),SF_Output!$Q$1:$Q$400,"monthly"))</f>
        <v>300</v>
      </c>
      <c r="W87" s="112" cm="1">
        <f t="array" ref="W87">_xlfn.IFS(OR(B87=0,B87="",V87=0),"",AF87&lt;&gt;"exclusion",MAX($W$9,$W$7,(-(SUMIFS(SF_Output!$T$1:$T$400,SF_Output!$AC$1:$AC$400,_xlfn.TEXTJOIN(",",TRUE,$B87:$E87),SF_Output!$Q$1:$Q$400,"monthly"))/V87)),AF87="exclusion",-(SUMIFS(SF_Output!$T$1:$T$400,SF_Output!$AC$1:$AC$400,_xlfn.TEXTJOIN(",",TRUE,$B87:$E87),SF_Output!$Q$1:$Q$400,"monthly"))/V87)</f>
        <v>0</v>
      </c>
      <c r="X87" s="6" cm="1">
        <f t="array" ref="X87">IFERROR(_xlfn.IFS(V87=0,0,V87="","",W87=0,V87,OR(V87&lt;&gt;0,V87&lt;&gt;""),H87*I87),V87*(1-W87))</f>
        <v>300</v>
      </c>
      <c r="Z87" s="6">
        <f>IFERROR(IF(B87="","",SUMIFS(Billing_Fallout!H:H,Billing_Fallout!N:N,B87)),0)</f>
        <v>0</v>
      </c>
      <c r="AA87" s="6">
        <f t="shared" si="22"/>
        <v>0</v>
      </c>
      <c r="AB87" s="6">
        <f>IFERROR(IF(B87="","",SUMIFS(Billing_Fallout!J:J,Billing_Fallout!N:N,B87)),0)</f>
        <v>0</v>
      </c>
      <c r="AD87" s="6">
        <f t="shared" si="23"/>
        <v>300</v>
      </c>
      <c r="AF87" t="str">
        <f>IFERROR(INDEX(H_Tables!$B$1:$B$1500,MATCH(INDEX(SF_Output!$J$1:$J$400,MATCH(B87,SF_Output!$M$1:$M$400,0)),H_Tables!$A$1:$A$1500,0)),"")</f>
        <v>Exclusion</v>
      </c>
      <c r="AI87" s="119" t="str">
        <f t="shared" si="24"/>
        <v/>
      </c>
      <c r="AJ87" s="121">
        <f>IFERROR(INDEX(SF_Output!AD:AD,MATCH(_xlfn.TEXTJOIN(",",TRUE,B87:E87),SF_Output!AC1:AC400,0)),0.05)</f>
        <v>151</v>
      </c>
      <c r="AK87" t="str">
        <f>IF(SUMIFS(SF_Output!$F$1:$F$400,SF_Output!$AC$1:$AC$400,_xlfn.TEXTJOIN(",",TRUE,B87:E87))+SUMIFS(SF_Output!$G$1:$G$400,SF_Output!$AC$1:$AC$400,_xlfn.TEXTJOIN(",",TRUE,B87:E87))=0,"","PAP")</f>
        <v/>
      </c>
      <c r="AL87" s="35" t="str">
        <f t="shared" si="25"/>
        <v>EPS SmartSight Setup Fee and Monthly Subscription Fee,New,Hosted by JHA,0</v>
      </c>
      <c r="AQ87" s="35"/>
      <c r="AR87" s="35" t="str" cm="1">
        <f t="array" ref="AR87">IFERROR(_xlfn.IFS(AND(E87*1=1,F87="Included"),"Change to Included",AND(E87*1=0,F87="Optional"),"Change to Optional",OR(B87="",F87="replaced"),""),"")</f>
        <v/>
      </c>
      <c r="AS87" s="35" t="str">
        <f t="shared" si="26"/>
        <v/>
      </c>
      <c r="AT87" s="35" t="str">
        <f t="shared" si="27"/>
        <v/>
      </c>
      <c r="AU87" s="35" t="str">
        <f t="shared" si="28"/>
        <v/>
      </c>
      <c r="AV87" s="35" t="str">
        <f t="shared" si="29"/>
        <v/>
      </c>
      <c r="AW87" s="35" t="str">
        <f t="shared" si="30"/>
        <v/>
      </c>
      <c r="AX87" s="35" t="str">
        <f t="shared" si="31"/>
        <v/>
      </c>
      <c r="AY87" s="35" t="str">
        <f t="shared" si="32"/>
        <v/>
      </c>
      <c r="AZ87" s="35" t="str">
        <f t="shared" si="33"/>
        <v/>
      </c>
      <c r="BA87" s="35" t="str">
        <f t="shared" si="34"/>
        <v/>
      </c>
      <c r="BB87" s="35" t="str">
        <f t="shared" si="35"/>
        <v/>
      </c>
      <c r="BC87" s="35"/>
      <c r="BE87" s="35">
        <f ca="1">INDEX(SF_Output!$AA$2:$AA$400,MATCH($B87,SF_Output!$M$2:$M$400,0))</f>
        <v>6</v>
      </c>
      <c r="BF87" s="35">
        <f ca="1">INDEX(SF_Output!$AB$2:$AB$400,MATCH($B87,SF_Output!$M$2:$M$400,0))</f>
        <v>4</v>
      </c>
    </row>
    <row r="88" spans="2:58" x14ac:dyDescent="0.25">
      <c r="B88" t="s">
        <v>1451</v>
      </c>
      <c r="C88" t="s">
        <v>2122</v>
      </c>
      <c r="D88" t="s">
        <v>2123</v>
      </c>
      <c r="E88" t="s">
        <v>2124</v>
      </c>
      <c r="F88" s="116" t="str">
        <f t="shared" si="18"/>
        <v>Included</v>
      </c>
      <c r="G88" t="str">
        <f>IF(B88="","",INDEX(SF_Output!$K$1:$K$400,MATCH(B88,SF_Output!$M$1:$M$400,0)))</f>
        <v>Enterprise Payment Solutions (EPS)</v>
      </c>
      <c r="H88" cm="1">
        <f t="array" ref="H88">_xlfn.IFS(B88="","",(SUMIFS(SF_Output!$F$1:$F$400,SF_Output!$AC$1:$AC$400,_xlfn.TEXTJOIN(",",TRUE,B88:E88))+SUMIFS(SF_Output!$G$1:$G$400,SF_Output!$AC$1:$AC$400,_xlfn.TEXTJOIN(",",TRUE,B88:E88)))&lt;&gt;0,SF_Output!$Y$2,INDEX(SF_Output!$F$1:$F$400,MATCH(_xlfn.TEXTJOIN(",",TRUE,B88:E88),SF_Output!$AC$1:$AC$400,0))=0,INDEX(SF_Output!$R$1:$R$400,MATCH(_xlfn.TEXTJOIN(",",TRUE,B88:E88),SF_Output!$AC$1:$AC$400,0)))</f>
        <v>1</v>
      </c>
      <c r="I88" s="125" t="str">
        <f>IFERROR(IF(AND(H88&gt;1,H88&lt;&gt;""),ROUND(SUMIFS(SF_Output!$S$1:$S$400,SF_Output!$AC$1:$AC$400,_xlfn.TEXTJOIN(",",TRUE,B88:E88),SF_Output!$Q$1:$Q$400,"monthly")*(1-W88)/H88,4),""),"")</f>
        <v/>
      </c>
      <c r="J88" s="6">
        <f>IF(B88="","",SUMIFS(SF_Output!$S$1:$S$400,SF_Output!$AC$1:$AC$400,_xlfn.TEXTJOIN(",",TRUE,B88:E88),SF_Output!$Q$1:$Q$400,"One Time",SF_Output!$L$1:$L$400,"license fee")+SUMIFS(SF_Output!$S$1:$S$400,SF_Output!$AC$1:$AC$400,_xlfn.TEXTJOIN(",",TRUE,B88:E88),SF_Output!$Q$1:$Q$400,"One Time",SF_Output!$L$1:$L$400,"software license")+SUMIFS(SF_Output!$S$1:$S$400,SF_Output!$AC$1:$AC$400,_xlfn.TEXTJOIN(",",TRUE,B88:E88),SF_Output!$Q$1:$Q$400,"One Time",SF_Output!$L$1:$L$400,"hardware"))</f>
        <v>0</v>
      </c>
      <c r="K88" s="112" t="str">
        <f>IF(OR(B88=0,B88="",G88="hardware",J88=0),"",IF(AF88&lt;&gt;"exclusion",MAX(K$9,-((SUMIFS(SF_Output!$T$1:$T$400,SF_Output!$AC$1:$AC$400,_xlfn.TEXTJOIN(",",TRUE,$B88:$E88),SF_Output!$Q$1:$Q$400,"One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license"))/J88)))</f>
        <v/>
      </c>
      <c r="L88" s="6">
        <f t="shared" si="19"/>
        <v>0</v>
      </c>
      <c r="N88" s="6">
        <f>IF(B88="","",SUMIFS(SF_Output!$S$1:$S$400,SF_Output!$AC$1:$AC$400,_xlfn.TEXTJOIN(",",TRUE,B88:E88),SF_Output!$Q$1:$Q$400,"One Time",SF_Output!$L$1:$L$400,"professional service"))</f>
        <v>0</v>
      </c>
      <c r="O88" s="112" t="str">
        <f>IF(OR(B88=0,B88="",N88=0),"",IF(AF88&lt;&gt;"exclusion",MAX(O$9,-(SUMIFS(SF_Output!$T$1:$T$400,SF_Output!$AC$1:$AC$400,_xlfn.TEXTJOIN(",",TRUE,$B88:$E88),SF_Output!$Q$1:$Q$400,"One Time",SF_Output!$L$1:$L$400,"professional service"))/N88),-((SUMIFS(SF_Output!$T$1:$T$400,SF_Output!$AC$1:$AC$400,_xlfn.TEXTJOIN(",",TRUE,$B88:$E88),SF_Output!$Q$1:$Q$400,"One Time",SF_Output!$L$1:$L$400,"professional service")/N88))))</f>
        <v/>
      </c>
      <c r="P88" s="6">
        <f t="shared" si="20"/>
        <v>0</v>
      </c>
      <c r="R88" s="6">
        <f>IF(B88="","",SUMIFS(SF_Output!$S$1:$S$400,SF_Output!$AC$1:$AC$400,_xlfn.TEXTJOIN(",",TRUE,B88:E88),SF_Output!$Q$1:$Q$400,"yearly")+SUMIFS(SF_Output!$S$1:$S$400,SF_Output!$AC$1:$AC$400,_xlfn.TEXTJOIN(",",TRUE,B88:E88),SF_Output!$Q$1:$Q$400,"quarterly")*4)</f>
        <v>0</v>
      </c>
      <c r="S88" s="112" t="str">
        <f>IF(OR(B88=0,B88="",G88="hardware",R88=0),"",IF(AF88&lt;&gt;"exclusion",MAX(S$9,-(SUMIFS(SF_Output!$T$1:$T$400,SF_Output!$AC$1:$AC$400,_xlfn.TEXTJOIN(",",TRUE,$B88:$E88),SF_Output!$Q$1:$Q$400,"yearly"))/R88),-((SUMIFS(SF_Output!$T$1:$T$400,SF_Output!$AC$1:$AC$400,_xlfn.TEXTJOIN(",",TRUE,$B88:$E88),SF_Output!$Q$1:$Q$400,"yearly")/R88))))</f>
        <v/>
      </c>
      <c r="T88" s="6">
        <f t="shared" si="21"/>
        <v>0</v>
      </c>
      <c r="V88" s="6" cm="1">
        <f t="array" ref="V88">_xlfn.IFS(B88="","",AND(B88&lt;&gt;"",H88=SF_Output!$Y$2,SUMIFS(SF_Output!$T$1:$T$400,SF_Output!$AC$1:$AC$400,_xlfn.TEXTJOIN(",",TRUE,B88:E88),SF_Output!$Q$1:$Q$400,"monthly")=0),(SUMIFS(SF_Output!$F$1:$F$400,SF_Output!$AC$1:$AC$400,_xlfn.TEXTJOIN(",",TRUE,B88:E88),SF_Output!$Q$1:$Q$400,"monthly")+SUMIFS(SF_Output!$G$1:$G$400,SF_Output!$AC$1:$AC$400,_xlfn.TEXTJOIN(",",TRUE,B88:E88),SF_Output!$Q$1:$Q$400,"monthly"))*H88,AND(B88&lt;&gt;"",H88=SF_Output!$Y$2,SUMIFS(SF_Output!$T$1:$T$400,SF_Output!$AC$1:$AC$400,_xlfn.TEXTJOIN(",",TRUE,B88:E88),SF_Output!$Q$1:$Q$400,"monthly")&lt;&gt;0),SUMIFS(SF_Output!$S$1:$S$400,SF_Output!$AC$1:$AC$400,_xlfn.TEXTJOIN(",",TRUE,B88:E88),SF_Output!$Q$1:$Q$400,"monthly"),AND(B88&lt;&gt;"",H88&lt;&gt;SF_Output!$Y$2),SUMIFS(SF_Output!$S$1:$S$400,SF_Output!$AC$1:$AC$400,_xlfn.TEXTJOIN(",",TRUE,B88:E88),SF_Output!$Q$1:$Q$400,"monthly"))</f>
        <v>100</v>
      </c>
      <c r="W88" s="112" cm="1">
        <f t="array" ref="W88">_xlfn.IFS(OR(B88=0,B88="",V88=0),"",AF88&lt;&gt;"exclusion",MAX($W$9,$W$7,(-(SUMIFS(SF_Output!$T$1:$T$400,SF_Output!$AC$1:$AC$400,_xlfn.TEXTJOIN(",",TRUE,$B88:$E88),SF_Output!$Q$1:$Q$400,"monthly"))/V88)),AF88="exclusion",-(SUMIFS(SF_Output!$T$1:$T$400,SF_Output!$AC$1:$AC$400,_xlfn.TEXTJOIN(",",TRUE,$B88:$E88),SF_Output!$Q$1:$Q$400,"monthly"))/V88)</f>
        <v>0</v>
      </c>
      <c r="X88" s="6" cm="1">
        <f t="array" ref="X88">IFERROR(_xlfn.IFS(V88=0,0,V88="","",W88=0,V88,OR(V88&lt;&gt;0,V88&lt;&gt;""),H88*I88),V88*(1-W88))</f>
        <v>100</v>
      </c>
      <c r="Z88" s="6">
        <f>IFERROR(IF(B88="","",SUMIFS(Billing_Fallout!H:H,Billing_Fallout!N:N,B88)),0)</f>
        <v>0</v>
      </c>
      <c r="AA88" s="6">
        <f t="shared" si="22"/>
        <v>0</v>
      </c>
      <c r="AB88" s="6">
        <f>IFERROR(IF(B88="","",SUMIFS(Billing_Fallout!J:J,Billing_Fallout!N:N,B88)),0)</f>
        <v>0</v>
      </c>
      <c r="AD88" s="6">
        <f t="shared" si="23"/>
        <v>100</v>
      </c>
      <c r="AF88" t="str">
        <f>IFERROR(INDEX(H_Tables!$B$1:$B$1500,MATCH(INDEX(SF_Output!$J$1:$J$400,MATCH(B88,SF_Output!$M$1:$M$400,0)),H_Tables!$A$1:$A$1500,0)),"")</f>
        <v>Exclusion</v>
      </c>
      <c r="AI88" s="119" t="str">
        <f t="shared" si="24"/>
        <v/>
      </c>
      <c r="AJ88" s="121">
        <f>IFERROR(INDEX(SF_Output!AD:AD,MATCH(_xlfn.TEXTJOIN(",",TRUE,B88:E88),SF_Output!AC1:AC400,0)),0.05)</f>
        <v>153</v>
      </c>
      <c r="AK88" t="str">
        <f>IF(SUMIFS(SF_Output!$F$1:$F$400,SF_Output!$AC$1:$AC$400,_xlfn.TEXTJOIN(",",TRUE,B88:E88))+SUMIFS(SF_Output!$G$1:$G$400,SF_Output!$AC$1:$AC$400,_xlfn.TEXTJOIN(",",TRUE,B88:E88))=0,"","PAP")</f>
        <v/>
      </c>
      <c r="AL88" s="35" t="str">
        <f t="shared" si="25"/>
        <v>Parascript CAR/LAR,New,Hosted by JHA,0</v>
      </c>
      <c r="AQ88" s="35"/>
      <c r="AR88" s="35" t="str" cm="1">
        <f t="array" ref="AR88">IFERROR(_xlfn.IFS(AND(E88*1=1,F88="Included"),"Change to Included",AND(E88*1=0,F88="Optional"),"Change to Optional",OR(B88="",F88="replaced"),""),"")</f>
        <v/>
      </c>
      <c r="AS88" s="35" t="str">
        <f t="shared" si="26"/>
        <v/>
      </c>
      <c r="AT88" s="35" t="str">
        <f t="shared" si="27"/>
        <v/>
      </c>
      <c r="AU88" s="35" t="str">
        <f t="shared" si="28"/>
        <v/>
      </c>
      <c r="AV88" s="35" t="str">
        <f t="shared" si="29"/>
        <v/>
      </c>
      <c r="AW88" s="35" t="str">
        <f t="shared" si="30"/>
        <v/>
      </c>
      <c r="AX88" s="35" t="str">
        <f t="shared" si="31"/>
        <v/>
      </c>
      <c r="AY88" s="35" t="str">
        <f t="shared" si="32"/>
        <v/>
      </c>
      <c r="AZ88" s="35" t="str">
        <f t="shared" si="33"/>
        <v/>
      </c>
      <c r="BA88" s="35" t="str">
        <f t="shared" si="34"/>
        <v/>
      </c>
      <c r="BB88" s="35" t="str">
        <f t="shared" si="35"/>
        <v/>
      </c>
      <c r="BC88" s="35"/>
      <c r="BE88" s="35">
        <f ca="1">INDEX(SF_Output!$AA$2:$AA$400,MATCH($B88,SF_Output!$M$2:$M$400,0))</f>
        <v>6</v>
      </c>
      <c r="BF88" s="35">
        <f ca="1">INDEX(SF_Output!$AB$2:$AB$400,MATCH($B88,SF_Output!$M$2:$M$400,0))</f>
        <v>4</v>
      </c>
    </row>
    <row r="89" spans="2:58" x14ac:dyDescent="0.25">
      <c r="B89" t="s">
        <v>673</v>
      </c>
      <c r="C89" t="s">
        <v>2122</v>
      </c>
      <c r="D89" t="s">
        <v>2207</v>
      </c>
      <c r="E89" t="s">
        <v>2124</v>
      </c>
      <c r="F89" s="116" t="str">
        <f t="shared" si="18"/>
        <v>Included</v>
      </c>
      <c r="G89" t="str">
        <f>IF(B89="","",INDEX(SF_Output!$K$1:$K$400,MATCH(B89,SF_Output!$M$1:$M$400,0)))</f>
        <v>Card Processing Solutions (CPS)</v>
      </c>
      <c r="H89" cm="1">
        <f t="array" ref="H89">_xlfn.IFS(B89="","",(SUMIFS(SF_Output!$F$1:$F$400,SF_Output!$AC$1:$AC$400,_xlfn.TEXTJOIN(",",TRUE,B89:E89))+SUMIFS(SF_Output!$G$1:$G$400,SF_Output!$AC$1:$AC$400,_xlfn.TEXTJOIN(",",TRUE,B89:E89)))&lt;&gt;0,SF_Output!$Y$2,INDEX(SF_Output!$F$1:$F$400,MATCH(_xlfn.TEXTJOIN(",",TRUE,B89:E89),SF_Output!$AC$1:$AC$400,0))=0,INDEX(SF_Output!$R$1:$R$400,MATCH(_xlfn.TEXTJOIN(",",TRUE,B89:E89),SF_Output!$AC$1:$AC$400,0)))</f>
        <v>1</v>
      </c>
      <c r="I89" s="125" t="str">
        <f>IFERROR(IF(AND(H89&gt;1,H89&lt;&gt;""),ROUND(SUMIFS(SF_Output!$S$1:$S$400,SF_Output!$AC$1:$AC$400,_xlfn.TEXTJOIN(",",TRUE,B89:E89),SF_Output!$Q$1:$Q$400,"monthly")*(1-W89)/H89,4),""),"")</f>
        <v/>
      </c>
      <c r="J89" s="6">
        <f>IF(B89="","",SUMIFS(SF_Output!$S$1:$S$400,SF_Output!$AC$1:$AC$400,_xlfn.TEXTJOIN(",",TRUE,B89:E89),SF_Output!$Q$1:$Q$400,"One Time",SF_Output!$L$1:$L$400,"license fee")+SUMIFS(SF_Output!$S$1:$S$400,SF_Output!$AC$1:$AC$400,_xlfn.TEXTJOIN(",",TRUE,B89:E89),SF_Output!$Q$1:$Q$400,"One Time",SF_Output!$L$1:$L$400,"software license")+SUMIFS(SF_Output!$S$1:$S$400,SF_Output!$AC$1:$AC$400,_xlfn.TEXTJOIN(",",TRUE,B89:E89),SF_Output!$Q$1:$Q$400,"One Time",SF_Output!$L$1:$L$400,"hardware"))</f>
        <v>0</v>
      </c>
      <c r="K89" s="112" t="str">
        <f>IF(OR(B89=0,B89="",G89="hardware",J89=0),"",IF(AF89&lt;&gt;"exclusion",MAX(K$9,-((SUMIFS(SF_Output!$T$1:$T$400,SF_Output!$AC$1:$AC$400,_xlfn.TEXTJOIN(",",TRUE,$B89:$E89),SF_Output!$Q$1:$Q$400,"One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license"))/J89)))</f>
        <v/>
      </c>
      <c r="L89" s="6">
        <f t="shared" si="19"/>
        <v>0</v>
      </c>
      <c r="N89" s="6">
        <f>IF(B89="","",SUMIFS(SF_Output!$S$1:$S$400,SF_Output!$AC$1:$AC$400,_xlfn.TEXTJOIN(",",TRUE,B89:E89),SF_Output!$Q$1:$Q$400,"One Time",SF_Output!$L$1:$L$400,"professional service"))</f>
        <v>12500</v>
      </c>
      <c r="O89" s="112">
        <f>IF(OR(B89=0,B89="",N89=0),"",IF(AF89&lt;&gt;"exclusion",MAX(O$9,-(SUMIFS(SF_Output!$T$1:$T$400,SF_Output!$AC$1:$AC$400,_xlfn.TEXTJOIN(",",TRUE,$B89:$E89),SF_Output!$Q$1:$Q$400,"One Time",SF_Output!$L$1:$L$400,"professional service"))/N89),-((SUMIFS(SF_Output!$T$1:$T$400,SF_Output!$AC$1:$AC$400,_xlfn.TEXTJOIN(",",TRUE,$B89:$E89),SF_Output!$Q$1:$Q$400,"One Time",SF_Output!$L$1:$L$400,"professional service")/N89))))</f>
        <v>1</v>
      </c>
      <c r="P89" s="6">
        <f t="shared" si="20"/>
        <v>0</v>
      </c>
      <c r="R89" s="6">
        <f>IF(B89="","",SUMIFS(SF_Output!$S$1:$S$400,SF_Output!$AC$1:$AC$400,_xlfn.TEXTJOIN(",",TRUE,B89:E89),SF_Output!$Q$1:$Q$400,"yearly")+SUMIFS(SF_Output!$S$1:$S$400,SF_Output!$AC$1:$AC$400,_xlfn.TEXTJOIN(",",TRUE,B89:E89),SF_Output!$Q$1:$Q$400,"quarterly")*4)</f>
        <v>0</v>
      </c>
      <c r="S89" s="112" t="str">
        <f>IF(OR(B89=0,B89="",G89="hardware",R89=0),"",IF(AF89&lt;&gt;"exclusion",MAX(S$9,-(SUMIFS(SF_Output!$T$1:$T$400,SF_Output!$AC$1:$AC$400,_xlfn.TEXTJOIN(",",TRUE,$B89:$E89),SF_Output!$Q$1:$Q$400,"yearly"))/R89),-((SUMIFS(SF_Output!$T$1:$T$400,SF_Output!$AC$1:$AC$400,_xlfn.TEXTJOIN(",",TRUE,$B89:$E89),SF_Output!$Q$1:$Q$400,"yearly")/R89))))</f>
        <v/>
      </c>
      <c r="T89" s="6">
        <f t="shared" si="21"/>
        <v>0</v>
      </c>
      <c r="V89" s="6" cm="1">
        <f t="array" ref="V89">_xlfn.IFS(B89="","",AND(B89&lt;&gt;"",H89=SF_Output!$Y$2,SUMIFS(SF_Output!$T$1:$T$400,SF_Output!$AC$1:$AC$400,_xlfn.TEXTJOIN(",",TRUE,B89:E89),SF_Output!$Q$1:$Q$400,"monthly")=0),(SUMIFS(SF_Output!$F$1:$F$400,SF_Output!$AC$1:$AC$400,_xlfn.TEXTJOIN(",",TRUE,B89:E89),SF_Output!$Q$1:$Q$400,"monthly")+SUMIFS(SF_Output!$G$1:$G$400,SF_Output!$AC$1:$AC$400,_xlfn.TEXTJOIN(",",TRUE,B89:E89),SF_Output!$Q$1:$Q$400,"monthly"))*H89,AND(B89&lt;&gt;"",H89=SF_Output!$Y$2,SUMIFS(SF_Output!$T$1:$T$400,SF_Output!$AC$1:$AC$400,_xlfn.TEXTJOIN(",",TRUE,B89:E89),SF_Output!$Q$1:$Q$400,"monthly")&lt;&gt;0),SUMIFS(SF_Output!$S$1:$S$400,SF_Output!$AC$1:$AC$400,_xlfn.TEXTJOIN(",",TRUE,B89:E89),SF_Output!$Q$1:$Q$400,"monthly"),AND(B89&lt;&gt;"",H89&lt;&gt;SF_Output!$Y$2),SUMIFS(SF_Output!$S$1:$S$400,SF_Output!$AC$1:$AC$400,_xlfn.TEXTJOIN(",",TRUE,B89:E89),SF_Output!$Q$1:$Q$400,"monthly"))</f>
        <v>650</v>
      </c>
      <c r="W89" s="112" cm="1">
        <f t="array" ref="W89">_xlfn.IFS(OR(B89=0,B89="",V89=0),"",AF89&lt;&gt;"exclusion",MAX($W$9,$W$7,(-(SUMIFS(SF_Output!$T$1:$T$400,SF_Output!$AC$1:$AC$400,_xlfn.TEXTJOIN(",",TRUE,$B89:$E89),SF_Output!$Q$1:$Q$400,"monthly"))/V89)),AF89="exclusion",-(SUMIFS(SF_Output!$T$1:$T$400,SF_Output!$AC$1:$AC$400,_xlfn.TEXTJOIN(",",TRUE,$B89:$E89),SF_Output!$Q$1:$Q$400,"monthly"))/V89)</f>
        <v>0</v>
      </c>
      <c r="X89" s="6" cm="1">
        <f t="array" ref="X89">IFERROR(_xlfn.IFS(V89=0,0,V89="","",W89=0,V89,OR(V89&lt;&gt;0,V89&lt;&gt;""),H89*I89),V89*(1-W89))</f>
        <v>650</v>
      </c>
      <c r="Z89" s="6">
        <f>IFERROR(IF(B89="","",SUMIFS(Billing_Fallout!H:H,Billing_Fallout!N:N,B89)),0)</f>
        <v>0</v>
      </c>
      <c r="AA89" s="6">
        <f t="shared" si="22"/>
        <v>0</v>
      </c>
      <c r="AB89" s="6">
        <f>IFERROR(IF(B89="","",SUMIFS(Billing_Fallout!J:J,Billing_Fallout!N:N,B89)),0)</f>
        <v>0</v>
      </c>
      <c r="AD89" s="6">
        <f t="shared" si="23"/>
        <v>650</v>
      </c>
      <c r="AF89" t="str">
        <f>IFERROR(INDEX(H_Tables!$B$1:$B$1500,MATCH(INDEX(SF_Output!$J$1:$J$400,MATCH(B89,SF_Output!$M$1:$M$400,0)),H_Tables!$A$1:$A$1500,0)),"")</f>
        <v>Exclusion</v>
      </c>
      <c r="AI89" s="119" t="str">
        <f t="shared" si="24"/>
        <v/>
      </c>
      <c r="AJ89" s="121">
        <f>IFERROR(INDEX(SF_Output!AD:AD,MATCH(_xlfn.TEXTJOIN(",",TRUE,B89:E89),SF_Output!AC1:AC400,0)),0.05)</f>
        <v>159</v>
      </c>
      <c r="AK89" t="str">
        <f>IF(SUMIFS(SF_Output!$F$1:$F$400,SF_Output!$AC$1:$AC$400,_xlfn.TEXTJOIN(",",TRUE,B89:E89))+SUMIFS(SF_Output!$G$1:$G$400,SF_Output!$AC$1:$AC$400,_xlfn.TEXTJOIN(",",TRUE,B89:E89))=0,"","PAP")</f>
        <v/>
      </c>
      <c r="AL89" s="35" t="str">
        <f t="shared" si="25"/>
        <v>JHA Debit Processing,New,Hosted by 3rd Party,0</v>
      </c>
      <c r="AQ89" s="35"/>
      <c r="AR89" s="35" t="str" cm="1">
        <f t="array" ref="AR89">IFERROR(_xlfn.IFS(AND(E89*1=1,F89="Included"),"Change to Included",AND(E89*1=0,F89="Optional"),"Change to Optional",OR(B89="",F89="replaced"),""),"")</f>
        <v/>
      </c>
      <c r="AS89" s="35" t="str">
        <f t="shared" si="26"/>
        <v/>
      </c>
      <c r="AT89" s="35" t="str">
        <f t="shared" si="27"/>
        <v/>
      </c>
      <c r="AU89" s="35" t="str">
        <f t="shared" si="28"/>
        <v/>
      </c>
      <c r="AV89" s="35" t="str">
        <f t="shared" si="29"/>
        <v/>
      </c>
      <c r="AW89" s="35" t="str">
        <f t="shared" si="30"/>
        <v/>
      </c>
      <c r="AX89" s="35" t="str">
        <f t="shared" si="31"/>
        <v/>
      </c>
      <c r="AY89" s="35" t="str">
        <f t="shared" si="32"/>
        <v/>
      </c>
      <c r="AZ89" s="35" t="str">
        <f t="shared" si="33"/>
        <v/>
      </c>
      <c r="BA89" s="35" t="str">
        <f t="shared" si="34"/>
        <v/>
      </c>
      <c r="BB89" s="35" t="str">
        <f t="shared" si="35"/>
        <v/>
      </c>
      <c r="BC89" s="35"/>
      <c r="BE89" s="35">
        <f ca="1">INDEX(SF_Output!$AA$2:$AA$400,MATCH($B89,SF_Output!$M$2:$M$400,0))</f>
        <v>6</v>
      </c>
      <c r="BF89" s="35">
        <f ca="1">INDEX(SF_Output!$AB$2:$AB$400,MATCH($B89,SF_Output!$M$2:$M$400,0))</f>
        <v>1</v>
      </c>
    </row>
    <row r="90" spans="2:58" x14ac:dyDescent="0.25">
      <c r="B90" t="s">
        <v>2343</v>
      </c>
      <c r="C90" t="s">
        <v>2122</v>
      </c>
      <c r="D90" t="s">
        <v>2207</v>
      </c>
      <c r="E90" t="s">
        <v>2124</v>
      </c>
      <c r="F90" s="116" t="str">
        <f t="shared" si="18"/>
        <v>Included</v>
      </c>
      <c r="G90" t="str">
        <f>IF(B90="","",INDEX(SF_Output!$K$1:$K$400,MATCH(B90,SF_Output!$M$1:$M$400,0)))</f>
        <v>Card Processing Solutions (CPS)</v>
      </c>
      <c r="H90" cm="1">
        <f t="array" ref="H90">_xlfn.IFS(B90="","",(SUMIFS(SF_Output!$F$1:$F$400,SF_Output!$AC$1:$AC$400,_xlfn.TEXTJOIN(",",TRUE,B90:E90))+SUMIFS(SF_Output!$G$1:$G$400,SF_Output!$AC$1:$AC$400,_xlfn.TEXTJOIN(",",TRUE,B90:E90)))&lt;&gt;0,SF_Output!$Y$2,INDEX(SF_Output!$F$1:$F$400,MATCH(_xlfn.TEXTJOIN(",",TRUE,B90:E90),SF_Output!$AC$1:$AC$400,0))=0,INDEX(SF_Output!$R$1:$R$400,MATCH(_xlfn.TEXTJOIN(",",TRUE,B90:E90),SF_Output!$AC$1:$AC$400,0)))</f>
        <v>1</v>
      </c>
      <c r="I90" s="125" t="str">
        <f>IFERROR(IF(AND(H90&gt;1,H90&lt;&gt;""),ROUND(SUMIFS(SF_Output!$S$1:$S$400,SF_Output!$AC$1:$AC$400,_xlfn.TEXTJOIN(",",TRUE,B90:E90),SF_Output!$Q$1:$Q$400,"monthly")*(1-W90)/H90,4),""),"")</f>
        <v/>
      </c>
      <c r="J90" s="6">
        <f>IF(B90="","",SUMIFS(SF_Output!$S$1:$S$400,SF_Output!$AC$1:$AC$400,_xlfn.TEXTJOIN(",",TRUE,B90:E90),SF_Output!$Q$1:$Q$400,"One Time",SF_Output!$L$1:$L$400,"license fee")+SUMIFS(SF_Output!$S$1:$S$400,SF_Output!$AC$1:$AC$400,_xlfn.TEXTJOIN(",",TRUE,B90:E90),SF_Output!$Q$1:$Q$400,"One Time",SF_Output!$L$1:$L$400,"software license")+SUMIFS(SF_Output!$S$1:$S$400,SF_Output!$AC$1:$AC$400,_xlfn.TEXTJOIN(",",TRUE,B90:E90),SF_Output!$Q$1:$Q$400,"One Time",SF_Output!$L$1:$L$400,"hardware"))</f>
        <v>0</v>
      </c>
      <c r="K90" s="112" t="str">
        <f>IF(OR(B90=0,B90="",G90="hardware",J90=0),"",IF(AF90&lt;&gt;"exclusion",MAX(K$9,-((SUMIFS(SF_Output!$T$1:$T$400,SF_Output!$AC$1:$AC$400,_xlfn.TEXTJOIN(",",TRUE,$B90:$E90),SF_Output!$Q$1:$Q$400,"One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license"))/J90)))</f>
        <v/>
      </c>
      <c r="L90" s="6">
        <f t="shared" si="19"/>
        <v>0</v>
      </c>
      <c r="N90" s="6">
        <f>IF(B90="","",SUMIFS(SF_Output!$S$1:$S$400,SF_Output!$AC$1:$AC$400,_xlfn.TEXTJOIN(",",TRUE,B90:E90),SF_Output!$Q$1:$Q$400,"One Time",SF_Output!$L$1:$L$400,"professional service"))</f>
        <v>0</v>
      </c>
      <c r="O90" s="112" t="str">
        <f>IF(OR(B90=0,B90="",N90=0),"",IF(AF90&lt;&gt;"exclusion",MAX(O$9,-(SUMIFS(SF_Output!$T$1:$T$400,SF_Output!$AC$1:$AC$400,_xlfn.TEXTJOIN(",",TRUE,$B90:$E90),SF_Output!$Q$1:$Q$400,"One Time",SF_Output!$L$1:$L$400,"professional service"))/N90),-((SUMIFS(SF_Output!$T$1:$T$400,SF_Output!$AC$1:$AC$400,_xlfn.TEXTJOIN(",",TRUE,$B90:$E90),SF_Output!$Q$1:$Q$400,"One Time",SF_Output!$L$1:$L$400,"professional service")/N90))))</f>
        <v/>
      </c>
      <c r="P90" s="6">
        <f t="shared" si="20"/>
        <v>0</v>
      </c>
      <c r="R90" s="6">
        <f>IF(B90="","",SUMIFS(SF_Output!$S$1:$S$400,SF_Output!$AC$1:$AC$400,_xlfn.TEXTJOIN(",",TRUE,B90:E90),SF_Output!$Q$1:$Q$400,"yearly")+SUMIFS(SF_Output!$S$1:$S$400,SF_Output!$AC$1:$AC$400,_xlfn.TEXTJOIN(",",TRUE,B90:E90),SF_Output!$Q$1:$Q$400,"quarterly")*4)</f>
        <v>0</v>
      </c>
      <c r="S90" s="112" t="str">
        <f>IF(OR(B90=0,B90="",G90="hardware",R90=0),"",IF(AF90&lt;&gt;"exclusion",MAX(S$9,-(SUMIFS(SF_Output!$T$1:$T$400,SF_Output!$AC$1:$AC$400,_xlfn.TEXTJOIN(",",TRUE,$B90:$E90),SF_Output!$Q$1:$Q$400,"yearly"))/R90),-((SUMIFS(SF_Output!$T$1:$T$400,SF_Output!$AC$1:$AC$400,_xlfn.TEXTJOIN(",",TRUE,$B90:$E90),SF_Output!$Q$1:$Q$400,"yearly")/R90))))</f>
        <v/>
      </c>
      <c r="T90" s="6">
        <f t="shared" si="21"/>
        <v>0</v>
      </c>
      <c r="V90" s="6" cm="1">
        <f t="array" ref="V90">_xlfn.IFS(B90="","",AND(B90&lt;&gt;"",H90=SF_Output!$Y$2,SUMIFS(SF_Output!$T$1:$T$400,SF_Output!$AC$1:$AC$400,_xlfn.TEXTJOIN(",",TRUE,B90:E90),SF_Output!$Q$1:$Q$400,"monthly")=0),(SUMIFS(SF_Output!$F$1:$F$400,SF_Output!$AC$1:$AC$400,_xlfn.TEXTJOIN(",",TRUE,B90:E90),SF_Output!$Q$1:$Q$400,"monthly")+SUMIFS(SF_Output!$G$1:$G$400,SF_Output!$AC$1:$AC$400,_xlfn.TEXTJOIN(",",TRUE,B90:E90),SF_Output!$Q$1:$Q$400,"monthly"))*H90,AND(B90&lt;&gt;"",H90=SF_Output!$Y$2,SUMIFS(SF_Output!$T$1:$T$400,SF_Output!$AC$1:$AC$400,_xlfn.TEXTJOIN(",",TRUE,B90:E90),SF_Output!$Q$1:$Q$400,"monthly")&lt;&gt;0),SUMIFS(SF_Output!$S$1:$S$400,SF_Output!$AC$1:$AC$400,_xlfn.TEXTJOIN(",",TRUE,B90:E90),SF_Output!$Q$1:$Q$400,"monthly"),AND(B90&lt;&gt;"",H90&lt;&gt;SF_Output!$Y$2),SUMIFS(SF_Output!$S$1:$S$400,SF_Output!$AC$1:$AC$400,_xlfn.TEXTJOIN(",",TRUE,B90:E90),SF_Output!$Q$1:$Q$400,"monthly"))</f>
        <v>250</v>
      </c>
      <c r="W90" s="112" cm="1">
        <f t="array" ref="W90">_xlfn.IFS(OR(B90=0,B90="",V90=0),"",AF90&lt;&gt;"exclusion",MAX($W$9,$W$7,(-(SUMIFS(SF_Output!$T$1:$T$400,SF_Output!$AC$1:$AC$400,_xlfn.TEXTJOIN(",",TRUE,$B90:$E90),SF_Output!$Q$1:$Q$400,"monthly"))/V90)),AF90="exclusion",-(SUMIFS(SF_Output!$T$1:$T$400,SF_Output!$AC$1:$AC$400,_xlfn.TEXTJOIN(",",TRUE,$B90:$E90),SF_Output!$Q$1:$Q$400,"monthly"))/V90)</f>
        <v>0</v>
      </c>
      <c r="X90" s="6" cm="1">
        <f t="array" ref="X90">IFERROR(_xlfn.IFS(V90=0,0,V90="","",W90=0,V90,OR(V90&lt;&gt;0,V90&lt;&gt;""),H90*I90),V90*(1-W90))</f>
        <v>250</v>
      </c>
      <c r="Z90" s="6">
        <f>IFERROR(IF(B90="","",SUMIFS(Billing_Fallout!H:H,Billing_Fallout!N:N,B90)),0)</f>
        <v>0</v>
      </c>
      <c r="AA90" s="6">
        <f t="shared" si="22"/>
        <v>0</v>
      </c>
      <c r="AB90" s="6">
        <f>IFERROR(IF(B90="","",SUMIFS(Billing_Fallout!J:J,Billing_Fallout!N:N,B90)),0)</f>
        <v>0</v>
      </c>
      <c r="AD90" s="6">
        <f t="shared" si="23"/>
        <v>250</v>
      </c>
      <c r="AF90" t="str">
        <f>IFERROR(INDEX(H_Tables!$B$1:$B$1500,MATCH(INDEX(SF_Output!$J$1:$J$400,MATCH(B90,SF_Output!$M$1:$M$400,0)),H_Tables!$A$1:$A$1500,0)),"")</f>
        <v>Exclusion</v>
      </c>
      <c r="AI90" s="119" t="str">
        <f t="shared" si="24"/>
        <v/>
      </c>
      <c r="AJ90" s="121">
        <f>IFERROR(INDEX(SF_Output!AD:AD,MATCH(_xlfn.TEXTJOIN(",",TRUE,B90:E90),SF_Output!AC1:AC400,0)),0.05)</f>
        <v>161</v>
      </c>
      <c r="AK90" t="str">
        <f>IF(SUMIFS(SF_Output!$F$1:$F$400,SF_Output!$AC$1:$AC$400,_xlfn.TEXTJOIN(",",TRUE,B90:E90))+SUMIFS(SF_Output!$G$1:$G$400,SF_Output!$AC$1:$AC$400,_xlfn.TEXTJOIN(",",TRUE,B90:E90))=0,"","PAP")</f>
        <v/>
      </c>
      <c r="AL90" s="35" t="str">
        <f t="shared" si="25"/>
        <v>Debit Card Authorization subject to {$}250 minimum monthly,New,Hosted by 3rd Par</v>
      </c>
      <c r="AQ90" s="35"/>
      <c r="AR90" s="35" t="str" cm="1">
        <f t="array" ref="AR90">IFERROR(_xlfn.IFS(AND(E90*1=1,F90="Included"),"Change to Included",AND(E90*1=0,F90="Optional"),"Change to Optional",OR(B90="",F90="replaced"),""),"")</f>
        <v/>
      </c>
      <c r="AS90" s="35" t="str">
        <f t="shared" si="26"/>
        <v/>
      </c>
      <c r="AT90" s="35" t="str">
        <f t="shared" si="27"/>
        <v/>
      </c>
      <c r="AU90" s="35" t="str">
        <f t="shared" si="28"/>
        <v/>
      </c>
      <c r="AV90" s="35" t="str">
        <f t="shared" si="29"/>
        <v/>
      </c>
      <c r="AW90" s="35" t="str">
        <f t="shared" si="30"/>
        <v/>
      </c>
      <c r="AX90" s="35" t="str">
        <f t="shared" si="31"/>
        <v/>
      </c>
      <c r="AY90" s="35" t="str">
        <f t="shared" si="32"/>
        <v/>
      </c>
      <c r="AZ90" s="35" t="str">
        <f t="shared" si="33"/>
        <v/>
      </c>
      <c r="BA90" s="35" t="str">
        <f t="shared" si="34"/>
        <v/>
      </c>
      <c r="BB90" s="35" t="str">
        <f t="shared" si="35"/>
        <v/>
      </c>
      <c r="BC90" s="35"/>
      <c r="BE90" s="35">
        <f ca="1">INDEX(SF_Output!$AA$2:$AA$400,MATCH($B90,SF_Output!$M$2:$M$400,0))</f>
        <v>6</v>
      </c>
      <c r="BF90" s="35">
        <f ca="1">INDEX(SF_Output!$AB$2:$AB$400,MATCH($B90,SF_Output!$M$2:$M$400,0))</f>
        <v>1</v>
      </c>
    </row>
    <row r="91" spans="2:58" x14ac:dyDescent="0.25">
      <c r="B91" t="s">
        <v>679</v>
      </c>
      <c r="C91" t="s">
        <v>2122</v>
      </c>
      <c r="D91" t="s">
        <v>2207</v>
      </c>
      <c r="E91" t="s">
        <v>2124</v>
      </c>
      <c r="F91" s="116" t="str">
        <f t="shared" si="18"/>
        <v>Included</v>
      </c>
      <c r="G91" t="str">
        <f>IF(B91="","",INDEX(SF_Output!$K$1:$K$400,MATCH(B91,SF_Output!$M$1:$M$400,0)))</f>
        <v>Card Processing Solutions (CPS)</v>
      </c>
      <c r="H91" cm="1">
        <f t="array" ref="H91">_xlfn.IFS(B91="","",(SUMIFS(SF_Output!$F$1:$F$400,SF_Output!$AC$1:$AC$400,_xlfn.TEXTJOIN(",",TRUE,B91:E91))+SUMIFS(SF_Output!$G$1:$G$400,SF_Output!$AC$1:$AC$400,_xlfn.TEXTJOIN(",",TRUE,B91:E91)))&lt;&gt;0,SF_Output!$Y$2,INDEX(SF_Output!$F$1:$F$400,MATCH(_xlfn.TEXTJOIN(",",TRUE,B91:E91),SF_Output!$AC$1:$AC$400,0))=0,INDEX(SF_Output!$R$1:$R$400,MATCH(_xlfn.TEXTJOIN(",",TRUE,B91:E91),SF_Output!$AC$1:$AC$400,0)))</f>
        <v>0</v>
      </c>
      <c r="I91" s="125" t="str">
        <f>IFERROR(IF(AND(H91&gt;1,H91&lt;&gt;""),ROUND(SUMIFS(SF_Output!$S$1:$S$400,SF_Output!$AC$1:$AC$400,_xlfn.TEXTJOIN(",",TRUE,B91:E91),SF_Output!$Q$1:$Q$400,"monthly")*(1-W91)/H91,4),""),"")</f>
        <v/>
      </c>
      <c r="J91" s="6">
        <f>IF(B91="","",SUMIFS(SF_Output!$S$1:$S$400,SF_Output!$AC$1:$AC$400,_xlfn.TEXTJOIN(",",TRUE,B91:E91),SF_Output!$Q$1:$Q$400,"One Time",SF_Output!$L$1:$L$400,"license fee")+SUMIFS(SF_Output!$S$1:$S$400,SF_Output!$AC$1:$AC$400,_xlfn.TEXTJOIN(",",TRUE,B91:E91),SF_Output!$Q$1:$Q$400,"One Time",SF_Output!$L$1:$L$400,"software license")+SUMIFS(SF_Output!$S$1:$S$400,SF_Output!$AC$1:$AC$400,_xlfn.TEXTJOIN(",",TRUE,B91:E91),SF_Output!$Q$1:$Q$400,"One Time",SF_Output!$L$1:$L$400,"hardware"))</f>
        <v>0</v>
      </c>
      <c r="K91" s="112" t="str">
        <f>IF(OR(B91=0,B91="",G91="hardware",J91=0),"",IF(AF91&lt;&gt;"exclusion",MAX(K$9,-((SUMIFS(SF_Output!$T$1:$T$400,SF_Output!$AC$1:$AC$400,_xlfn.TEXTJOIN(",",TRUE,$B91:$E91),SF_Output!$Q$1:$Q$400,"One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license"))/J91)))</f>
        <v/>
      </c>
      <c r="L91" s="6">
        <f t="shared" si="19"/>
        <v>0</v>
      </c>
      <c r="N91" s="6">
        <f>IF(B91="","",SUMIFS(SF_Output!$S$1:$S$400,SF_Output!$AC$1:$AC$400,_xlfn.TEXTJOIN(",",TRUE,B91:E91),SF_Output!$Q$1:$Q$400,"One Time",SF_Output!$L$1:$L$400,"professional service"))</f>
        <v>0</v>
      </c>
      <c r="O91" s="112" t="str">
        <f>IF(OR(B91=0,B91="",N91=0),"",IF(AF91&lt;&gt;"exclusion",MAX(O$9,-(SUMIFS(SF_Output!$T$1:$T$400,SF_Output!$AC$1:$AC$400,_xlfn.TEXTJOIN(",",TRUE,$B91:$E91),SF_Output!$Q$1:$Q$400,"One Time",SF_Output!$L$1:$L$400,"professional service"))/N91),-((SUMIFS(SF_Output!$T$1:$T$400,SF_Output!$AC$1:$AC$400,_xlfn.TEXTJOIN(",",TRUE,$B91:$E91),SF_Output!$Q$1:$Q$400,"One Time",SF_Output!$L$1:$L$400,"professional service")/N91))))</f>
        <v/>
      </c>
      <c r="P91" s="6">
        <f t="shared" si="20"/>
        <v>0</v>
      </c>
      <c r="R91" s="6">
        <f>IF(B91="","",SUMIFS(SF_Output!$S$1:$S$400,SF_Output!$AC$1:$AC$400,_xlfn.TEXTJOIN(",",TRUE,B91:E91),SF_Output!$Q$1:$Q$400,"yearly")+SUMIFS(SF_Output!$S$1:$S$400,SF_Output!$AC$1:$AC$400,_xlfn.TEXTJOIN(",",TRUE,B91:E91),SF_Output!$Q$1:$Q$400,"quarterly")*4)</f>
        <v>0</v>
      </c>
      <c r="S91" s="112" t="str">
        <f>IF(OR(B91=0,B91="",G91="hardware",R91=0),"",IF(AF91&lt;&gt;"exclusion",MAX(S$9,-(SUMIFS(SF_Output!$T$1:$T$400,SF_Output!$AC$1:$AC$400,_xlfn.TEXTJOIN(",",TRUE,$B91:$E91),SF_Output!$Q$1:$Q$400,"yearly"))/R91),-((SUMIFS(SF_Output!$T$1:$T$400,SF_Output!$AC$1:$AC$400,_xlfn.TEXTJOIN(",",TRUE,$B91:$E91),SF_Output!$Q$1:$Q$400,"yearly")/R91))))</f>
        <v/>
      </c>
      <c r="T91" s="6">
        <f t="shared" si="21"/>
        <v>0</v>
      </c>
      <c r="V91" s="6" cm="1">
        <f t="array" ref="V91">_xlfn.IFS(B91="","",AND(B91&lt;&gt;"",H91=SF_Output!$Y$2,SUMIFS(SF_Output!$T$1:$T$400,SF_Output!$AC$1:$AC$400,_xlfn.TEXTJOIN(",",TRUE,B91:E91),SF_Output!$Q$1:$Q$400,"monthly")=0),(SUMIFS(SF_Output!$F$1:$F$400,SF_Output!$AC$1:$AC$400,_xlfn.TEXTJOIN(",",TRUE,B91:E91),SF_Output!$Q$1:$Q$400,"monthly")+SUMIFS(SF_Output!$G$1:$G$400,SF_Output!$AC$1:$AC$400,_xlfn.TEXTJOIN(",",TRUE,B91:E91),SF_Output!$Q$1:$Q$400,"monthly"))*H91,AND(B91&lt;&gt;"",H91=SF_Output!$Y$2,SUMIFS(SF_Output!$T$1:$T$400,SF_Output!$AC$1:$AC$400,_xlfn.TEXTJOIN(",",TRUE,B91:E91),SF_Output!$Q$1:$Q$400,"monthly")&lt;&gt;0),SUMIFS(SF_Output!$S$1:$S$400,SF_Output!$AC$1:$AC$400,_xlfn.TEXTJOIN(",",TRUE,B91:E91),SF_Output!$Q$1:$Q$400,"monthly"),AND(B91&lt;&gt;"",H91&lt;&gt;SF_Output!$Y$2),SUMIFS(SF_Output!$S$1:$S$400,SF_Output!$AC$1:$AC$400,_xlfn.TEXTJOIN(",",TRUE,B91:E91),SF_Output!$Q$1:$Q$400,"monthly"))</f>
        <v>0</v>
      </c>
      <c r="W91" s="112" t="str" cm="1">
        <f t="array" ref="W91">_xlfn.IFS(OR(B91=0,B91="",V91=0),"",AF91&lt;&gt;"exclusion",MAX($W$9,$W$7,(-(SUMIFS(SF_Output!$T$1:$T$400,SF_Output!$AC$1:$AC$400,_xlfn.TEXTJOIN(",",TRUE,$B91:$E91),SF_Output!$Q$1:$Q$400,"monthly"))/V91)),AF91="exclusion",-(SUMIFS(SF_Output!$T$1:$T$400,SF_Output!$AC$1:$AC$400,_xlfn.TEXTJOIN(",",TRUE,$B91:$E91),SF_Output!$Q$1:$Q$400,"monthly"))/V91)</f>
        <v/>
      </c>
      <c r="X91" s="6" cm="1">
        <f t="array" ref="X91">IFERROR(_xlfn.IFS(V91=0,0,V91="","",W91=0,V91,OR(V91&lt;&gt;0,V91&lt;&gt;""),H91*I91),V91*(1-W91))</f>
        <v>0</v>
      </c>
      <c r="Z91" s="6">
        <f>IFERROR(IF(B91="","",SUMIFS(Billing_Fallout!H:H,Billing_Fallout!N:N,B91)),0)</f>
        <v>0</v>
      </c>
      <c r="AA91" s="6">
        <f t="shared" si="22"/>
        <v>0</v>
      </c>
      <c r="AB91" s="6">
        <f>IFERROR(IF(B91="","",SUMIFS(Billing_Fallout!J:J,Billing_Fallout!N:N,B91)),0)</f>
        <v>0</v>
      </c>
      <c r="AD91" s="6">
        <f t="shared" si="23"/>
        <v>0</v>
      </c>
      <c r="AF91" t="str">
        <f>IFERROR(INDEX(H_Tables!$B$1:$B$1500,MATCH(INDEX(SF_Output!$J$1:$J$400,MATCH(B91,SF_Output!$M$1:$M$400,0)),H_Tables!$A$1:$A$1500,0)),"")</f>
        <v>Exclusion</v>
      </c>
      <c r="AI91" s="119" t="str">
        <f t="shared" si="24"/>
        <v/>
      </c>
      <c r="AJ91" s="121">
        <f>IFERROR(INDEX(SF_Output!AD:AD,MATCH(_xlfn.TEXTJOIN(",",TRUE,B91:E91),SF_Output!AC1:AC400,0)),0.05)</f>
        <v>162</v>
      </c>
      <c r="AK91" t="str">
        <f>IF(SUMIFS(SF_Output!$F$1:$F$400,SF_Output!$AC$1:$AC$400,_xlfn.TEXTJOIN(",",TRUE,B91:E91))+SUMIFS(SF_Output!$G$1:$G$400,SF_Output!$AC$1:$AC$400,_xlfn.TEXTJOIN(",",TRUE,B91:E91))=0,"","PAP")</f>
        <v/>
      </c>
      <c r="AL91" s="35" t="str">
        <f t="shared" si="25"/>
        <v>Debit Card Settlement,New,Hosted by 3rd Party,0</v>
      </c>
      <c r="AQ91" s="35"/>
      <c r="AR91" s="35" t="str" cm="1">
        <f t="array" ref="AR91">IFERROR(_xlfn.IFS(AND(E91*1=1,F91="Included"),"Change to Included",AND(E91*1=0,F91="Optional"),"Change to Optional",OR(B91="",F91="replaced"),""),"")</f>
        <v/>
      </c>
      <c r="AS91" s="35" t="str">
        <f t="shared" si="26"/>
        <v/>
      </c>
      <c r="AT91" s="35" t="str">
        <f t="shared" si="27"/>
        <v/>
      </c>
      <c r="AU91" s="35" t="str">
        <f t="shared" si="28"/>
        <v/>
      </c>
      <c r="AV91" s="35" t="str">
        <f t="shared" si="29"/>
        <v/>
      </c>
      <c r="AW91" s="35" t="str">
        <f t="shared" si="30"/>
        <v/>
      </c>
      <c r="AX91" s="35" t="str">
        <f t="shared" si="31"/>
        <v/>
      </c>
      <c r="AY91" s="35" t="str">
        <f t="shared" si="32"/>
        <v/>
      </c>
      <c r="AZ91" s="35" t="str">
        <f t="shared" si="33"/>
        <v/>
      </c>
      <c r="BA91" s="35" t="str">
        <f t="shared" si="34"/>
        <v/>
      </c>
      <c r="BB91" s="35" t="str">
        <f t="shared" si="35"/>
        <v/>
      </c>
      <c r="BC91" s="35"/>
      <c r="BE91" s="35">
        <f ca="1">INDEX(SF_Output!$AA$2:$AA$400,MATCH($B91,SF_Output!$M$2:$M$400,0))</f>
        <v>6</v>
      </c>
      <c r="BF91" s="35">
        <f ca="1">INDEX(SF_Output!$AB$2:$AB$400,MATCH($B91,SF_Output!$M$2:$M$400,0))</f>
        <v>1</v>
      </c>
    </row>
    <row r="92" spans="2:58" x14ac:dyDescent="0.25">
      <c r="B92" t="s">
        <v>681</v>
      </c>
      <c r="C92" t="s">
        <v>2122</v>
      </c>
      <c r="D92" t="s">
        <v>2207</v>
      </c>
      <c r="E92" t="s">
        <v>2124</v>
      </c>
      <c r="F92" s="116" t="str">
        <f t="shared" si="18"/>
        <v>Included</v>
      </c>
      <c r="G92" t="str">
        <f>IF(B92="","",INDEX(SF_Output!$K$1:$K$400,MATCH(B92,SF_Output!$M$1:$M$400,0)))</f>
        <v>Card Processing Solutions (CPS)</v>
      </c>
      <c r="H92" cm="1">
        <f t="array" ref="H92">_xlfn.IFS(B92="","",(SUMIFS(SF_Output!$F$1:$F$400,SF_Output!$AC$1:$AC$400,_xlfn.TEXTJOIN(",",TRUE,B92:E92))+SUMIFS(SF_Output!$G$1:$G$400,SF_Output!$AC$1:$AC$400,_xlfn.TEXTJOIN(",",TRUE,B92:E92)))&lt;&gt;0,SF_Output!$Y$2,INDEX(SF_Output!$F$1:$F$400,MATCH(_xlfn.TEXTJOIN(",",TRUE,B92:E92),SF_Output!$AC$1:$AC$400,0))=0,INDEX(SF_Output!$R$1:$R$400,MATCH(_xlfn.TEXTJOIN(",",TRUE,B92:E92),SF_Output!$AC$1:$AC$400,0)))</f>
        <v>0</v>
      </c>
      <c r="I92" s="125" t="str">
        <f>IFERROR(IF(AND(H92&gt;1,H92&lt;&gt;""),ROUND(SUMIFS(SF_Output!$S$1:$S$400,SF_Output!$AC$1:$AC$400,_xlfn.TEXTJOIN(",",TRUE,B92:E92),SF_Output!$Q$1:$Q$400,"monthly")*(1-W92)/H92,4),""),"")</f>
        <v/>
      </c>
      <c r="J92" s="6">
        <f>IF(B92="","",SUMIFS(SF_Output!$S$1:$S$400,SF_Output!$AC$1:$AC$400,_xlfn.TEXTJOIN(",",TRUE,B92:E92),SF_Output!$Q$1:$Q$400,"One Time",SF_Output!$L$1:$L$400,"license fee")+SUMIFS(SF_Output!$S$1:$S$400,SF_Output!$AC$1:$AC$400,_xlfn.TEXTJOIN(",",TRUE,B92:E92),SF_Output!$Q$1:$Q$400,"One Time",SF_Output!$L$1:$L$400,"software license")+SUMIFS(SF_Output!$S$1:$S$400,SF_Output!$AC$1:$AC$400,_xlfn.TEXTJOIN(",",TRUE,B92:E92),SF_Output!$Q$1:$Q$400,"One Time",SF_Output!$L$1:$L$400,"hardware"))</f>
        <v>0</v>
      </c>
      <c r="K92" s="112" t="str">
        <f>IF(OR(B92=0,B92="",G92="hardware",J92=0),"",IF(AF92&lt;&gt;"exclusion",MAX(K$9,-((SUMIFS(SF_Output!$T$1:$T$400,SF_Output!$AC$1:$AC$400,_xlfn.TEXTJOIN(",",TRUE,$B92:$E92),SF_Output!$Q$1:$Q$400,"One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license"))/J92)))</f>
        <v/>
      </c>
      <c r="L92" s="6">
        <f t="shared" si="19"/>
        <v>0</v>
      </c>
      <c r="N92" s="6">
        <f>IF(B92="","",SUMIFS(SF_Output!$S$1:$S$400,SF_Output!$AC$1:$AC$400,_xlfn.TEXTJOIN(",",TRUE,B92:E92),SF_Output!$Q$1:$Q$400,"One Time",SF_Output!$L$1:$L$400,"professional service"))</f>
        <v>0</v>
      </c>
      <c r="O92" s="112" t="str">
        <f>IF(OR(B92=0,B92="",N92=0),"",IF(AF92&lt;&gt;"exclusion",MAX(O$9,-(SUMIFS(SF_Output!$T$1:$T$400,SF_Output!$AC$1:$AC$400,_xlfn.TEXTJOIN(",",TRUE,$B92:$E92),SF_Output!$Q$1:$Q$400,"One Time",SF_Output!$L$1:$L$400,"professional service"))/N92),-((SUMIFS(SF_Output!$T$1:$T$400,SF_Output!$AC$1:$AC$400,_xlfn.TEXTJOIN(",",TRUE,$B92:$E92),SF_Output!$Q$1:$Q$400,"One Time",SF_Output!$L$1:$L$400,"professional service")/N92))))</f>
        <v/>
      </c>
      <c r="P92" s="6">
        <f t="shared" si="20"/>
        <v>0</v>
      </c>
      <c r="R92" s="6">
        <f>IF(B92="","",SUMIFS(SF_Output!$S$1:$S$400,SF_Output!$AC$1:$AC$400,_xlfn.TEXTJOIN(",",TRUE,B92:E92),SF_Output!$Q$1:$Q$400,"yearly")+SUMIFS(SF_Output!$S$1:$S$400,SF_Output!$AC$1:$AC$400,_xlfn.TEXTJOIN(",",TRUE,B92:E92),SF_Output!$Q$1:$Q$400,"quarterly")*4)</f>
        <v>0</v>
      </c>
      <c r="S92" s="112" t="str">
        <f>IF(OR(B92=0,B92="",G92="hardware",R92=0),"",IF(AF92&lt;&gt;"exclusion",MAX(S$9,-(SUMIFS(SF_Output!$T$1:$T$400,SF_Output!$AC$1:$AC$400,_xlfn.TEXTJOIN(",",TRUE,$B92:$E92),SF_Output!$Q$1:$Q$400,"yearly"))/R92),-((SUMIFS(SF_Output!$T$1:$T$400,SF_Output!$AC$1:$AC$400,_xlfn.TEXTJOIN(",",TRUE,$B92:$E92),SF_Output!$Q$1:$Q$400,"yearly")/R92))))</f>
        <v/>
      </c>
      <c r="T92" s="6">
        <f t="shared" si="21"/>
        <v>0</v>
      </c>
      <c r="V92" s="6" cm="1">
        <f t="array" ref="V92">_xlfn.IFS(B92="","",AND(B92&lt;&gt;"",H92=SF_Output!$Y$2,SUMIFS(SF_Output!$T$1:$T$400,SF_Output!$AC$1:$AC$400,_xlfn.TEXTJOIN(",",TRUE,B92:E92),SF_Output!$Q$1:$Q$400,"monthly")=0),(SUMIFS(SF_Output!$F$1:$F$400,SF_Output!$AC$1:$AC$400,_xlfn.TEXTJOIN(",",TRUE,B92:E92),SF_Output!$Q$1:$Q$400,"monthly")+SUMIFS(SF_Output!$G$1:$G$400,SF_Output!$AC$1:$AC$400,_xlfn.TEXTJOIN(",",TRUE,B92:E92),SF_Output!$Q$1:$Q$400,"monthly"))*H92,AND(B92&lt;&gt;"",H92=SF_Output!$Y$2,SUMIFS(SF_Output!$T$1:$T$400,SF_Output!$AC$1:$AC$400,_xlfn.TEXTJOIN(",",TRUE,B92:E92),SF_Output!$Q$1:$Q$400,"monthly")&lt;&gt;0),SUMIFS(SF_Output!$S$1:$S$400,SF_Output!$AC$1:$AC$400,_xlfn.TEXTJOIN(",",TRUE,B92:E92),SF_Output!$Q$1:$Q$400,"monthly"),AND(B92&lt;&gt;"",H92&lt;&gt;SF_Output!$Y$2),SUMIFS(SF_Output!$S$1:$S$400,SF_Output!$AC$1:$AC$400,_xlfn.TEXTJOIN(",",TRUE,B92:E92),SF_Output!$Q$1:$Q$400,"monthly"))</f>
        <v>0</v>
      </c>
      <c r="W92" s="112" t="str" cm="1">
        <f t="array" ref="W92">_xlfn.IFS(OR(B92=0,B92="",V92=0),"",AF92&lt;&gt;"exclusion",MAX($W$9,$W$7,(-(SUMIFS(SF_Output!$T$1:$T$400,SF_Output!$AC$1:$AC$400,_xlfn.TEXTJOIN(",",TRUE,$B92:$E92),SF_Output!$Q$1:$Q$400,"monthly"))/V92)),AF92="exclusion",-(SUMIFS(SF_Output!$T$1:$T$400,SF_Output!$AC$1:$AC$400,_xlfn.TEXTJOIN(",",TRUE,$B92:$E92),SF_Output!$Q$1:$Q$400,"monthly"))/V92)</f>
        <v/>
      </c>
      <c r="X92" s="6" cm="1">
        <f t="array" ref="X92">IFERROR(_xlfn.IFS(V92=0,0,V92="","",W92=0,V92,OR(V92&lt;&gt;0,V92&lt;&gt;""),H92*I92),V92*(1-W92))</f>
        <v>0</v>
      </c>
      <c r="Z92" s="6">
        <f>IFERROR(IF(B92="","",SUMIFS(Billing_Fallout!H:H,Billing_Fallout!N:N,B92)),0)</f>
        <v>0</v>
      </c>
      <c r="AA92" s="6">
        <f t="shared" si="22"/>
        <v>0</v>
      </c>
      <c r="AB92" s="6">
        <f>IFERROR(IF(B92="","",SUMIFS(Billing_Fallout!J:J,Billing_Fallout!N:N,B92)),0)</f>
        <v>0</v>
      </c>
      <c r="AD92" s="6">
        <f t="shared" si="23"/>
        <v>0</v>
      </c>
      <c r="AF92" t="str">
        <f>IFERROR(INDEX(H_Tables!$B$1:$B$1500,MATCH(INDEX(SF_Output!$J$1:$J$400,MATCH(B92,SF_Output!$M$1:$M$400,0)),H_Tables!$A$1:$A$1500,0)),"")</f>
        <v>Exclusion</v>
      </c>
      <c r="AI92" s="119" t="str">
        <f t="shared" si="24"/>
        <v/>
      </c>
      <c r="AJ92" s="121">
        <f>IFERROR(INDEX(SF_Output!AD:AD,MATCH(_xlfn.TEXTJOIN(",",TRUE,B92:E92),SF_Output!AC1:AC400,0)),0.05)</f>
        <v>163</v>
      </c>
      <c r="AK92" t="str">
        <f>IF(SUMIFS(SF_Output!$F$1:$F$400,SF_Output!$AC$1:$AC$400,_xlfn.TEXTJOIN(",",TRUE,B92:E92))+SUMIFS(SF_Output!$G$1:$G$400,SF_Output!$AC$1:$AC$400,_xlfn.TEXTJOIN(",",TRUE,B92:E92))=0,"","PAP")</f>
        <v/>
      </c>
      <c r="AL92" s="35" t="str">
        <f t="shared" si="25"/>
        <v>ATM/Debit Cards,New,Hosted by 3rd Party,0</v>
      </c>
      <c r="AQ92" s="35"/>
      <c r="AR92" s="35" t="str" cm="1">
        <f t="array" ref="AR92">IFERROR(_xlfn.IFS(AND(E92*1=1,F92="Included"),"Change to Included",AND(E92*1=0,F92="Optional"),"Change to Optional",OR(B92="",F92="replaced"),""),"")</f>
        <v/>
      </c>
      <c r="AS92" s="35" t="str">
        <f t="shared" si="26"/>
        <v/>
      </c>
      <c r="AT92" s="35" t="str">
        <f t="shared" si="27"/>
        <v/>
      </c>
      <c r="AU92" s="35" t="str">
        <f t="shared" si="28"/>
        <v/>
      </c>
      <c r="AV92" s="35" t="str">
        <f t="shared" si="29"/>
        <v/>
      </c>
      <c r="AW92" s="35" t="str">
        <f t="shared" si="30"/>
        <v/>
      </c>
      <c r="AX92" s="35" t="str">
        <f t="shared" si="31"/>
        <v/>
      </c>
      <c r="AY92" s="35" t="str">
        <f t="shared" si="32"/>
        <v/>
      </c>
      <c r="AZ92" s="35" t="str">
        <f t="shared" si="33"/>
        <v/>
      </c>
      <c r="BA92" s="35" t="str">
        <f t="shared" si="34"/>
        <v/>
      </c>
      <c r="BB92" s="35" t="str">
        <f t="shared" si="35"/>
        <v/>
      </c>
      <c r="BC92" s="35"/>
      <c r="BE92" s="35">
        <f ca="1">INDEX(SF_Output!$AA$2:$AA$400,MATCH($B92,SF_Output!$M$2:$M$400,0))</f>
        <v>6</v>
      </c>
      <c r="BF92" s="35">
        <f ca="1">INDEX(SF_Output!$AB$2:$AB$400,MATCH($B92,SF_Output!$M$2:$M$400,0))</f>
        <v>1</v>
      </c>
    </row>
    <row r="93" spans="2:58" x14ac:dyDescent="0.25">
      <c r="B93" t="s">
        <v>2347</v>
      </c>
      <c r="C93" t="s">
        <v>2122</v>
      </c>
      <c r="D93" t="s">
        <v>2207</v>
      </c>
      <c r="E93" t="s">
        <v>2124</v>
      </c>
      <c r="F93" s="116" t="str">
        <f t="shared" si="18"/>
        <v>Included</v>
      </c>
      <c r="G93" t="str">
        <f>IF(B93="","",INDEX(SF_Output!$K$1:$K$400,MATCH(B93,SF_Output!$M$1:$M$400,0)))</f>
        <v>Card Processing Solutions (CPS)</v>
      </c>
      <c r="H93" cm="1">
        <f t="array" ref="H93">_xlfn.IFS(B93="","",(SUMIFS(SF_Output!$F$1:$F$400,SF_Output!$AC$1:$AC$400,_xlfn.TEXTJOIN(",",TRUE,B93:E93))+SUMIFS(SF_Output!$G$1:$G$400,SF_Output!$AC$1:$AC$400,_xlfn.TEXTJOIN(",",TRUE,B93:E93)))&lt;&gt;0,SF_Output!$Y$2,INDEX(SF_Output!$F$1:$F$400,MATCH(_xlfn.TEXTJOIN(",",TRUE,B93:E93),SF_Output!$AC$1:$AC$400,0))=0,INDEX(SF_Output!$R$1:$R$400,MATCH(_xlfn.TEXTJOIN(",",TRUE,B93:E93),SF_Output!$AC$1:$AC$400,0)))</f>
        <v>0</v>
      </c>
      <c r="I93" s="125" t="str">
        <f>IFERROR(IF(AND(H93&gt;1,H93&lt;&gt;""),ROUND(SUMIFS(SF_Output!$S$1:$S$400,SF_Output!$AC$1:$AC$400,_xlfn.TEXTJOIN(",",TRUE,B93:E93),SF_Output!$Q$1:$Q$400,"monthly")*(1-W93)/H93,4),""),"")</f>
        <v/>
      </c>
      <c r="J93" s="6">
        <f>IF(B93="","",SUMIFS(SF_Output!$S$1:$S$400,SF_Output!$AC$1:$AC$400,_xlfn.TEXTJOIN(",",TRUE,B93:E93),SF_Output!$Q$1:$Q$400,"One Time",SF_Output!$L$1:$L$400,"license fee")+SUMIFS(SF_Output!$S$1:$S$400,SF_Output!$AC$1:$AC$400,_xlfn.TEXTJOIN(",",TRUE,B93:E93),SF_Output!$Q$1:$Q$400,"One Time",SF_Output!$L$1:$L$400,"software license")+SUMIFS(SF_Output!$S$1:$S$400,SF_Output!$AC$1:$AC$400,_xlfn.TEXTJOIN(",",TRUE,B93:E93),SF_Output!$Q$1:$Q$400,"One Time",SF_Output!$L$1:$L$400,"hardware"))</f>
        <v>0</v>
      </c>
      <c r="K93" s="112" t="str">
        <f>IF(OR(B93=0,B93="",G93="hardware",J93=0),"",IF(AF93&lt;&gt;"exclusion",MAX(K$9,-((SUMIFS(SF_Output!$T$1:$T$400,SF_Output!$AC$1:$AC$400,_xlfn.TEXTJOIN(",",TRUE,$B93:$E93),SF_Output!$Q$1:$Q$400,"One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license"))/J93)))</f>
        <v/>
      </c>
      <c r="L93" s="6">
        <f t="shared" si="19"/>
        <v>0</v>
      </c>
      <c r="N93" s="6">
        <f>IF(B93="","",SUMIFS(SF_Output!$S$1:$S$400,SF_Output!$AC$1:$AC$400,_xlfn.TEXTJOIN(",",TRUE,B93:E93),SF_Output!$Q$1:$Q$400,"One Time",SF_Output!$L$1:$L$400,"professional service"))</f>
        <v>0</v>
      </c>
      <c r="O93" s="112" t="str">
        <f>IF(OR(B93=0,B93="",N93=0),"",IF(AF93&lt;&gt;"exclusion",MAX(O$9,-(SUMIFS(SF_Output!$T$1:$T$400,SF_Output!$AC$1:$AC$400,_xlfn.TEXTJOIN(",",TRUE,$B93:$E93),SF_Output!$Q$1:$Q$400,"One Time",SF_Output!$L$1:$L$400,"professional service"))/N93),-((SUMIFS(SF_Output!$T$1:$T$400,SF_Output!$AC$1:$AC$400,_xlfn.TEXTJOIN(",",TRUE,$B93:$E93),SF_Output!$Q$1:$Q$400,"One Time",SF_Output!$L$1:$L$400,"professional service")/N93))))</f>
        <v/>
      </c>
      <c r="P93" s="6">
        <f t="shared" si="20"/>
        <v>0</v>
      </c>
      <c r="R93" s="6">
        <f>IF(B93="","",SUMIFS(SF_Output!$S$1:$S$400,SF_Output!$AC$1:$AC$400,_xlfn.TEXTJOIN(",",TRUE,B93:E93),SF_Output!$Q$1:$Q$400,"yearly")+SUMIFS(SF_Output!$S$1:$S$400,SF_Output!$AC$1:$AC$400,_xlfn.TEXTJOIN(",",TRUE,B93:E93),SF_Output!$Q$1:$Q$400,"quarterly")*4)</f>
        <v>0</v>
      </c>
      <c r="S93" s="112" t="str">
        <f>IF(OR(B93=0,B93="",G93="hardware",R93=0),"",IF(AF93&lt;&gt;"exclusion",MAX(S$9,-(SUMIFS(SF_Output!$T$1:$T$400,SF_Output!$AC$1:$AC$400,_xlfn.TEXTJOIN(",",TRUE,$B93:$E93),SF_Output!$Q$1:$Q$400,"yearly"))/R93),-((SUMIFS(SF_Output!$T$1:$T$400,SF_Output!$AC$1:$AC$400,_xlfn.TEXTJOIN(",",TRUE,$B93:$E93),SF_Output!$Q$1:$Q$400,"yearly")/R93))))</f>
        <v/>
      </c>
      <c r="T93" s="6">
        <f t="shared" si="21"/>
        <v>0</v>
      </c>
      <c r="V93" s="6" cm="1">
        <f t="array" ref="V93">_xlfn.IFS(B93="","",AND(B93&lt;&gt;"",H93=SF_Output!$Y$2,SUMIFS(SF_Output!$T$1:$T$400,SF_Output!$AC$1:$AC$400,_xlfn.TEXTJOIN(",",TRUE,B93:E93),SF_Output!$Q$1:$Q$400,"monthly")=0),(SUMIFS(SF_Output!$F$1:$F$400,SF_Output!$AC$1:$AC$400,_xlfn.TEXTJOIN(",",TRUE,B93:E93),SF_Output!$Q$1:$Q$400,"monthly")+SUMIFS(SF_Output!$G$1:$G$400,SF_Output!$AC$1:$AC$400,_xlfn.TEXTJOIN(",",TRUE,B93:E93),SF_Output!$Q$1:$Q$400,"monthly"))*H93,AND(B93&lt;&gt;"",H93=SF_Output!$Y$2,SUMIFS(SF_Output!$T$1:$T$400,SF_Output!$AC$1:$AC$400,_xlfn.TEXTJOIN(",",TRUE,B93:E93),SF_Output!$Q$1:$Q$400,"monthly")&lt;&gt;0),SUMIFS(SF_Output!$S$1:$S$400,SF_Output!$AC$1:$AC$400,_xlfn.TEXTJOIN(",",TRUE,B93:E93),SF_Output!$Q$1:$Q$400,"monthly"),AND(B93&lt;&gt;"",H93&lt;&gt;SF_Output!$Y$2),SUMIFS(SF_Output!$S$1:$S$400,SF_Output!$AC$1:$AC$400,_xlfn.TEXTJOIN(",",TRUE,B93:E93),SF_Output!$Q$1:$Q$400,"monthly"))</f>
        <v>0</v>
      </c>
      <c r="W93" s="112" t="str" cm="1">
        <f t="array" ref="W93">_xlfn.IFS(OR(B93=0,B93="",V93=0),"",AF93&lt;&gt;"exclusion",MAX($W$9,$W$7,(-(SUMIFS(SF_Output!$T$1:$T$400,SF_Output!$AC$1:$AC$400,_xlfn.TEXTJOIN(",",TRUE,$B93:$E93),SF_Output!$Q$1:$Q$400,"monthly"))/V93)),AF93="exclusion",-(SUMIFS(SF_Output!$T$1:$T$400,SF_Output!$AC$1:$AC$400,_xlfn.TEXTJOIN(",",TRUE,$B93:$E93),SF_Output!$Q$1:$Q$400,"monthly"))/V93)</f>
        <v/>
      </c>
      <c r="X93" s="6" cm="1">
        <f t="array" ref="X93">IFERROR(_xlfn.IFS(V93=0,0,V93="","",W93=0,V93,OR(V93&lt;&gt;0,V93&lt;&gt;""),H93*I93),V93*(1-W93))</f>
        <v>0</v>
      </c>
      <c r="Z93" s="6">
        <f>IFERROR(IF(B93="","",SUMIFS(Billing_Fallout!H:H,Billing_Fallout!N:N,B93)),0)</f>
        <v>0</v>
      </c>
      <c r="AA93" s="6">
        <f t="shared" si="22"/>
        <v>0</v>
      </c>
      <c r="AB93" s="6">
        <f>IFERROR(IF(B93="","",SUMIFS(Billing_Fallout!J:J,Billing_Fallout!N:N,B93)),0)</f>
        <v>0</v>
      </c>
      <c r="AD93" s="6">
        <f t="shared" si="23"/>
        <v>0</v>
      </c>
      <c r="AF93" t="str">
        <f>IFERROR(INDEX(H_Tables!$B$1:$B$1500,MATCH(INDEX(SF_Output!$J$1:$J$400,MATCH(B93,SF_Output!$M$1:$M$400,0)),H_Tables!$A$1:$A$1500,0)),"")</f>
        <v>Exclusion</v>
      </c>
      <c r="AI93" s="119" t="str">
        <f t="shared" si="24"/>
        <v/>
      </c>
      <c r="AJ93" s="121">
        <f>IFERROR(INDEX(SF_Output!AD:AD,MATCH(_xlfn.TEXTJOIN(",",TRUE,B93:E93),SF_Output!AC1:AC400,0)),0.05)</f>
        <v>164</v>
      </c>
      <c r="AK93" t="str">
        <f>IF(SUMIFS(SF_Output!$F$1:$F$400,SF_Output!$AC$1:$AC$400,_xlfn.TEXTJOIN(",",TRUE,B93:E93))+SUMIFS(SF_Output!$G$1:$G$400,SF_Output!$AC$1:$AC$400,_xlfn.TEXTJOIN(",",TRUE,B93:E93))=0,"","PAP")</f>
        <v/>
      </c>
      <c r="AL93" s="35" t="str">
        <f t="shared" si="25"/>
        <v>Administrative Fee,New,Hosted by 3rd Party,0</v>
      </c>
      <c r="AQ93" s="35"/>
      <c r="AR93" s="35" t="str" cm="1">
        <f t="array" ref="AR93">IFERROR(_xlfn.IFS(AND(E93*1=1,F93="Included"),"Change to Included",AND(E93*1=0,F93="Optional"),"Change to Optional",OR(B93="",F93="replaced"),""),"")</f>
        <v/>
      </c>
      <c r="AS93" s="35" t="str">
        <f t="shared" si="26"/>
        <v/>
      </c>
      <c r="AT93" s="35" t="str">
        <f t="shared" si="27"/>
        <v/>
      </c>
      <c r="AU93" s="35" t="str">
        <f t="shared" si="28"/>
        <v/>
      </c>
      <c r="AV93" s="35" t="str">
        <f t="shared" si="29"/>
        <v/>
      </c>
      <c r="AW93" s="35" t="str">
        <f t="shared" si="30"/>
        <v/>
      </c>
      <c r="AX93" s="35" t="str">
        <f t="shared" si="31"/>
        <v/>
      </c>
      <c r="AY93" s="35" t="str">
        <f t="shared" si="32"/>
        <v/>
      </c>
      <c r="AZ93" s="35" t="str">
        <f t="shared" si="33"/>
        <v/>
      </c>
      <c r="BA93" s="35" t="str">
        <f t="shared" si="34"/>
        <v/>
      </c>
      <c r="BB93" s="35" t="str">
        <f t="shared" si="35"/>
        <v/>
      </c>
      <c r="BC93" s="35"/>
      <c r="BE93" s="35">
        <f ca="1">INDEX(SF_Output!$AA$2:$AA$400,MATCH($B93,SF_Output!$M$2:$M$400,0))</f>
        <v>6</v>
      </c>
      <c r="BF93" s="35">
        <f ca="1">INDEX(SF_Output!$AB$2:$AB$400,MATCH($B93,SF_Output!$M$2:$M$400,0))</f>
        <v>1</v>
      </c>
    </row>
    <row r="94" spans="2:58" x14ac:dyDescent="0.25">
      <c r="B94" t="s">
        <v>686</v>
      </c>
      <c r="C94" t="s">
        <v>2122</v>
      </c>
      <c r="D94" t="s">
        <v>2207</v>
      </c>
      <c r="E94" t="s">
        <v>2124</v>
      </c>
      <c r="F94" s="116" t="str">
        <f t="shared" si="18"/>
        <v>Included</v>
      </c>
      <c r="G94" t="str">
        <f>IF(B94="","",INDEX(SF_Output!$K$1:$K$400,MATCH(B94,SF_Output!$M$1:$M$400,0)))</f>
        <v>Card Processing Solutions (CPS)</v>
      </c>
      <c r="H94" cm="1">
        <f t="array" ref="H94">_xlfn.IFS(B94="","",(SUMIFS(SF_Output!$F$1:$F$400,SF_Output!$AC$1:$AC$400,_xlfn.TEXTJOIN(",",TRUE,B94:E94))+SUMIFS(SF_Output!$G$1:$G$400,SF_Output!$AC$1:$AC$400,_xlfn.TEXTJOIN(",",TRUE,B94:E94)))&lt;&gt;0,SF_Output!$Y$2,INDEX(SF_Output!$F$1:$F$400,MATCH(_xlfn.TEXTJOIN(",",TRUE,B94:E94),SF_Output!$AC$1:$AC$400,0))=0,INDEX(SF_Output!$R$1:$R$400,MATCH(_xlfn.TEXTJOIN(",",TRUE,B94:E94),SF_Output!$AC$1:$AC$400,0)))</f>
        <v>0</v>
      </c>
      <c r="I94" s="125" t="str">
        <f>IFERROR(IF(AND(H94&gt;1,H94&lt;&gt;""),ROUND(SUMIFS(SF_Output!$S$1:$S$400,SF_Output!$AC$1:$AC$400,_xlfn.TEXTJOIN(",",TRUE,B94:E94),SF_Output!$Q$1:$Q$400,"monthly")*(1-W94)/H94,4),""),"")</f>
        <v/>
      </c>
      <c r="J94" s="6">
        <f>IF(B94="","",SUMIFS(SF_Output!$S$1:$S$400,SF_Output!$AC$1:$AC$400,_xlfn.TEXTJOIN(",",TRUE,B94:E94),SF_Output!$Q$1:$Q$400,"One Time",SF_Output!$L$1:$L$400,"license fee")+SUMIFS(SF_Output!$S$1:$S$400,SF_Output!$AC$1:$AC$400,_xlfn.TEXTJOIN(",",TRUE,B94:E94),SF_Output!$Q$1:$Q$400,"One Time",SF_Output!$L$1:$L$400,"software license")+SUMIFS(SF_Output!$S$1:$S$400,SF_Output!$AC$1:$AC$400,_xlfn.TEXTJOIN(",",TRUE,B94:E94),SF_Output!$Q$1:$Q$400,"One Time",SF_Output!$L$1:$L$400,"hardware"))</f>
        <v>0</v>
      </c>
      <c r="K94" s="112" t="str">
        <f>IF(OR(B94=0,B94="",G94="hardware",J94=0),"",IF(AF94&lt;&gt;"exclusion",MAX(K$9,-((SUMIFS(SF_Output!$T$1:$T$400,SF_Output!$AC$1:$AC$400,_xlfn.TEXTJOIN(",",TRUE,$B94:$E94),SF_Output!$Q$1:$Q$400,"One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license"))/J94)))</f>
        <v/>
      </c>
      <c r="L94" s="6">
        <f t="shared" si="19"/>
        <v>0</v>
      </c>
      <c r="N94" s="6">
        <f>IF(B94="","",SUMIFS(SF_Output!$S$1:$S$400,SF_Output!$AC$1:$AC$400,_xlfn.TEXTJOIN(",",TRUE,B94:E94),SF_Output!$Q$1:$Q$400,"One Time",SF_Output!$L$1:$L$400,"professional service"))</f>
        <v>0</v>
      </c>
      <c r="O94" s="112" t="str">
        <f>IF(OR(B94=0,B94="",N94=0),"",IF(AF94&lt;&gt;"exclusion",MAX(O$9,-(SUMIFS(SF_Output!$T$1:$T$400,SF_Output!$AC$1:$AC$400,_xlfn.TEXTJOIN(",",TRUE,$B94:$E94),SF_Output!$Q$1:$Q$400,"One Time",SF_Output!$L$1:$L$400,"professional service"))/N94),-((SUMIFS(SF_Output!$T$1:$T$400,SF_Output!$AC$1:$AC$400,_xlfn.TEXTJOIN(",",TRUE,$B94:$E94),SF_Output!$Q$1:$Q$400,"One Time",SF_Output!$L$1:$L$400,"professional service")/N94))))</f>
        <v/>
      </c>
      <c r="P94" s="6">
        <f t="shared" si="20"/>
        <v>0</v>
      </c>
      <c r="R94" s="6">
        <f>IF(B94="","",SUMIFS(SF_Output!$S$1:$S$400,SF_Output!$AC$1:$AC$400,_xlfn.TEXTJOIN(",",TRUE,B94:E94),SF_Output!$Q$1:$Q$400,"yearly")+SUMIFS(SF_Output!$S$1:$S$400,SF_Output!$AC$1:$AC$400,_xlfn.TEXTJOIN(",",TRUE,B94:E94),SF_Output!$Q$1:$Q$400,"quarterly")*4)</f>
        <v>0</v>
      </c>
      <c r="S94" s="112" t="str">
        <f>IF(OR(B94=0,B94="",G94="hardware",R94=0),"",IF(AF94&lt;&gt;"exclusion",MAX(S$9,-(SUMIFS(SF_Output!$T$1:$T$400,SF_Output!$AC$1:$AC$400,_xlfn.TEXTJOIN(",",TRUE,$B94:$E94),SF_Output!$Q$1:$Q$400,"yearly"))/R94),-((SUMIFS(SF_Output!$T$1:$T$400,SF_Output!$AC$1:$AC$400,_xlfn.TEXTJOIN(",",TRUE,$B94:$E94),SF_Output!$Q$1:$Q$400,"yearly")/R94))))</f>
        <v/>
      </c>
      <c r="T94" s="6">
        <f t="shared" si="21"/>
        <v>0</v>
      </c>
      <c r="V94" s="6" cm="1">
        <f t="array" ref="V94">_xlfn.IFS(B94="","",AND(B94&lt;&gt;"",H94=SF_Output!$Y$2,SUMIFS(SF_Output!$T$1:$T$400,SF_Output!$AC$1:$AC$400,_xlfn.TEXTJOIN(",",TRUE,B94:E94),SF_Output!$Q$1:$Q$400,"monthly")=0),(SUMIFS(SF_Output!$F$1:$F$400,SF_Output!$AC$1:$AC$400,_xlfn.TEXTJOIN(",",TRUE,B94:E94),SF_Output!$Q$1:$Q$400,"monthly")+SUMIFS(SF_Output!$G$1:$G$400,SF_Output!$AC$1:$AC$400,_xlfn.TEXTJOIN(",",TRUE,B94:E94),SF_Output!$Q$1:$Q$400,"monthly"))*H94,AND(B94&lt;&gt;"",H94=SF_Output!$Y$2,SUMIFS(SF_Output!$T$1:$T$400,SF_Output!$AC$1:$AC$400,_xlfn.TEXTJOIN(",",TRUE,B94:E94),SF_Output!$Q$1:$Q$400,"monthly")&lt;&gt;0),SUMIFS(SF_Output!$S$1:$S$400,SF_Output!$AC$1:$AC$400,_xlfn.TEXTJOIN(",",TRUE,B94:E94),SF_Output!$Q$1:$Q$400,"monthly"),AND(B94&lt;&gt;"",H94&lt;&gt;SF_Output!$Y$2),SUMIFS(SF_Output!$S$1:$S$400,SF_Output!$AC$1:$AC$400,_xlfn.TEXTJOIN(",",TRUE,B94:E94),SF_Output!$Q$1:$Q$400,"monthly"))</f>
        <v>0</v>
      </c>
      <c r="W94" s="112" t="str" cm="1">
        <f t="array" ref="W94">_xlfn.IFS(OR(B94=0,B94="",V94=0),"",AF94&lt;&gt;"exclusion",MAX($W$9,$W$7,(-(SUMIFS(SF_Output!$T$1:$T$400,SF_Output!$AC$1:$AC$400,_xlfn.TEXTJOIN(",",TRUE,$B94:$E94),SF_Output!$Q$1:$Q$400,"monthly"))/V94)),AF94="exclusion",-(SUMIFS(SF_Output!$T$1:$T$400,SF_Output!$AC$1:$AC$400,_xlfn.TEXTJOIN(",",TRUE,$B94:$E94),SF_Output!$Q$1:$Q$400,"monthly"))/V94)</f>
        <v/>
      </c>
      <c r="X94" s="6" cm="1">
        <f t="array" ref="X94">IFERROR(_xlfn.IFS(V94=0,0,V94="","",W94=0,V94,OR(V94&lt;&gt;0,V94&lt;&gt;""),H94*I94),V94*(1-W94))</f>
        <v>0</v>
      </c>
      <c r="Z94" s="6">
        <f>IFERROR(IF(B94="","",SUMIFS(Billing_Fallout!H:H,Billing_Fallout!N:N,B94)),0)</f>
        <v>0</v>
      </c>
      <c r="AA94" s="6">
        <f t="shared" si="22"/>
        <v>0</v>
      </c>
      <c r="AB94" s="6">
        <f>IFERROR(IF(B94="","",SUMIFS(Billing_Fallout!J:J,Billing_Fallout!N:N,B94)),0)</f>
        <v>0</v>
      </c>
      <c r="AD94" s="6">
        <f t="shared" si="23"/>
        <v>0</v>
      </c>
      <c r="AF94" t="str">
        <f>IFERROR(INDEX(H_Tables!$B$1:$B$1500,MATCH(INDEX(SF_Output!$J$1:$J$400,MATCH(B94,SF_Output!$M$1:$M$400,0)),H_Tables!$A$1:$A$1500,0)),"")</f>
        <v>Exclusion</v>
      </c>
      <c r="AI94" s="119" t="str">
        <f t="shared" si="24"/>
        <v/>
      </c>
      <c r="AJ94" s="121">
        <f>IFERROR(INDEX(SF_Output!AD:AD,MATCH(_xlfn.TEXTJOIN(",",TRUE,B94:E94),SF_Output!AC1:AC400,0)),0.05)</f>
        <v>165</v>
      </c>
      <c r="AK94" t="str">
        <f>IF(SUMIFS(SF_Output!$F$1:$F$400,SF_Output!$AC$1:$AC$400,_xlfn.TEXTJOIN(",",TRUE,B94:E94))+SUMIFS(SF_Output!$G$1:$G$400,SF_Output!$AC$1:$AC$400,_xlfn.TEXTJOIN(",",TRUE,B94:E94))=0,"","PAP")</f>
        <v/>
      </c>
      <c r="AL94" s="35" t="str">
        <f t="shared" si="25"/>
        <v>EMV Chip Card Authorization,New,Hosted by 3rd Party,0</v>
      </c>
      <c r="AQ94" s="35"/>
      <c r="AR94" s="35" t="str" cm="1">
        <f t="array" ref="AR94">IFERROR(_xlfn.IFS(AND(E94*1=1,F94="Included"),"Change to Included",AND(E94*1=0,F94="Optional"),"Change to Optional",OR(B94="",F94="replaced"),""),"")</f>
        <v/>
      </c>
      <c r="AS94" s="35" t="str">
        <f t="shared" si="26"/>
        <v/>
      </c>
      <c r="AT94" s="35" t="str">
        <f t="shared" si="27"/>
        <v/>
      </c>
      <c r="AU94" s="35" t="str">
        <f t="shared" si="28"/>
        <v/>
      </c>
      <c r="AV94" s="35" t="str">
        <f t="shared" si="29"/>
        <v/>
      </c>
      <c r="AW94" s="35" t="str">
        <f t="shared" si="30"/>
        <v/>
      </c>
      <c r="AX94" s="35" t="str">
        <f t="shared" si="31"/>
        <v/>
      </c>
      <c r="AY94" s="35" t="str">
        <f t="shared" si="32"/>
        <v/>
      </c>
      <c r="AZ94" s="35" t="str">
        <f t="shared" si="33"/>
        <v/>
      </c>
      <c r="BA94" s="35" t="str">
        <f t="shared" si="34"/>
        <v/>
      </c>
      <c r="BB94" s="35" t="str">
        <f t="shared" si="35"/>
        <v/>
      </c>
      <c r="BC94" s="35"/>
      <c r="BE94" s="35">
        <f ca="1">INDEX(SF_Output!$AA$2:$AA$400,MATCH($B94,SF_Output!$M$2:$M$400,0))</f>
        <v>6</v>
      </c>
      <c r="BF94" s="35">
        <f ca="1">INDEX(SF_Output!$AB$2:$AB$400,MATCH($B94,SF_Output!$M$2:$M$400,0))</f>
        <v>1</v>
      </c>
    </row>
    <row r="95" spans="2:58" x14ac:dyDescent="0.25">
      <c r="B95" t="s">
        <v>1729</v>
      </c>
      <c r="C95" t="s">
        <v>2122</v>
      </c>
      <c r="D95" t="s">
        <v>2207</v>
      </c>
      <c r="E95" t="s">
        <v>2124</v>
      </c>
      <c r="F95" s="116" t="str">
        <f t="shared" si="18"/>
        <v>Included</v>
      </c>
      <c r="G95" t="str">
        <f>IF(B95="","",INDEX(SF_Output!$K$1:$K$400,MATCH(B95,SF_Output!$M$1:$M$400,0)))</f>
        <v>Card Processing Solutions (CPS)</v>
      </c>
      <c r="H95" cm="1">
        <f t="array" ref="H95">_xlfn.IFS(B95="","",(SUMIFS(SF_Output!$F$1:$F$400,SF_Output!$AC$1:$AC$400,_xlfn.TEXTJOIN(",",TRUE,B95:E95))+SUMIFS(SF_Output!$G$1:$G$400,SF_Output!$AC$1:$AC$400,_xlfn.TEXTJOIN(",",TRUE,B95:E95)))&lt;&gt;0,SF_Output!$Y$2,INDEX(SF_Output!$F$1:$F$400,MATCH(_xlfn.TEXTJOIN(",",TRUE,B95:E95),SF_Output!$AC$1:$AC$400,0))=0,INDEX(SF_Output!$R$1:$R$400,MATCH(_xlfn.TEXTJOIN(",",TRUE,B95:E95),SF_Output!$AC$1:$AC$400,0)))</f>
        <v>0</v>
      </c>
      <c r="I95" s="125" t="str">
        <f>IFERROR(IF(AND(H95&gt;1,H95&lt;&gt;""),ROUND(SUMIFS(SF_Output!$S$1:$S$400,SF_Output!$AC$1:$AC$400,_xlfn.TEXTJOIN(",",TRUE,B95:E95),SF_Output!$Q$1:$Q$400,"monthly")*(1-W95)/H95,4),""),"")</f>
        <v/>
      </c>
      <c r="J95" s="6">
        <f>IF(B95="","",SUMIFS(SF_Output!$S$1:$S$400,SF_Output!$AC$1:$AC$400,_xlfn.TEXTJOIN(",",TRUE,B95:E95),SF_Output!$Q$1:$Q$400,"One Time",SF_Output!$L$1:$L$400,"license fee")+SUMIFS(SF_Output!$S$1:$S$400,SF_Output!$AC$1:$AC$400,_xlfn.TEXTJOIN(",",TRUE,B95:E95),SF_Output!$Q$1:$Q$400,"One Time",SF_Output!$L$1:$L$400,"software license")+SUMIFS(SF_Output!$S$1:$S$400,SF_Output!$AC$1:$AC$400,_xlfn.TEXTJOIN(",",TRUE,B95:E95),SF_Output!$Q$1:$Q$400,"One Time",SF_Output!$L$1:$L$400,"hardware"))</f>
        <v>0</v>
      </c>
      <c r="K95" s="112" t="str">
        <f>IF(OR(B95=0,B95="",G95="hardware",J95=0),"",IF(AF95&lt;&gt;"exclusion",MAX(K$9,-((SUMIFS(SF_Output!$T$1:$T$400,SF_Output!$AC$1:$AC$400,_xlfn.TEXTJOIN(",",TRUE,$B95:$E95),SF_Output!$Q$1:$Q$400,"One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license"))/J95)))</f>
        <v/>
      </c>
      <c r="L95" s="6">
        <f t="shared" si="19"/>
        <v>0</v>
      </c>
      <c r="N95" s="6">
        <f>IF(B95="","",SUMIFS(SF_Output!$S$1:$S$400,SF_Output!$AC$1:$AC$400,_xlfn.TEXTJOIN(",",TRUE,B95:E95),SF_Output!$Q$1:$Q$400,"One Time",SF_Output!$L$1:$L$400,"professional service"))</f>
        <v>0</v>
      </c>
      <c r="O95" s="112" t="str">
        <f>IF(OR(B95=0,B95="",N95=0),"",IF(AF95&lt;&gt;"exclusion",MAX(O$9,-(SUMIFS(SF_Output!$T$1:$T$400,SF_Output!$AC$1:$AC$400,_xlfn.TEXTJOIN(",",TRUE,$B95:$E95),SF_Output!$Q$1:$Q$400,"One Time",SF_Output!$L$1:$L$400,"professional service"))/N95),-((SUMIFS(SF_Output!$T$1:$T$400,SF_Output!$AC$1:$AC$400,_xlfn.TEXTJOIN(",",TRUE,$B95:$E95),SF_Output!$Q$1:$Q$400,"One Time",SF_Output!$L$1:$L$400,"professional service")/N95))))</f>
        <v/>
      </c>
      <c r="P95" s="6">
        <f t="shared" si="20"/>
        <v>0</v>
      </c>
      <c r="R95" s="6">
        <f>IF(B95="","",SUMIFS(SF_Output!$S$1:$S$400,SF_Output!$AC$1:$AC$400,_xlfn.TEXTJOIN(",",TRUE,B95:E95),SF_Output!$Q$1:$Q$400,"yearly")+SUMIFS(SF_Output!$S$1:$S$400,SF_Output!$AC$1:$AC$400,_xlfn.TEXTJOIN(",",TRUE,B95:E95),SF_Output!$Q$1:$Q$400,"quarterly")*4)</f>
        <v>0</v>
      </c>
      <c r="S95" s="112" t="str">
        <f>IF(OR(B95=0,B95="",G95="hardware",R95=0),"",IF(AF95&lt;&gt;"exclusion",MAX(S$9,-(SUMIFS(SF_Output!$T$1:$T$400,SF_Output!$AC$1:$AC$400,_xlfn.TEXTJOIN(",",TRUE,$B95:$E95),SF_Output!$Q$1:$Q$400,"yearly"))/R95),-((SUMIFS(SF_Output!$T$1:$T$400,SF_Output!$AC$1:$AC$400,_xlfn.TEXTJOIN(",",TRUE,$B95:$E95),SF_Output!$Q$1:$Q$400,"yearly")/R95))))</f>
        <v/>
      </c>
      <c r="T95" s="6">
        <f t="shared" si="21"/>
        <v>0</v>
      </c>
      <c r="V95" s="6" cm="1">
        <f t="array" ref="V95">_xlfn.IFS(B95="","",AND(B95&lt;&gt;"",H95=SF_Output!$Y$2,SUMIFS(SF_Output!$T$1:$T$400,SF_Output!$AC$1:$AC$400,_xlfn.TEXTJOIN(",",TRUE,B95:E95),SF_Output!$Q$1:$Q$400,"monthly")=0),(SUMIFS(SF_Output!$F$1:$F$400,SF_Output!$AC$1:$AC$400,_xlfn.TEXTJOIN(",",TRUE,B95:E95),SF_Output!$Q$1:$Q$400,"monthly")+SUMIFS(SF_Output!$G$1:$G$400,SF_Output!$AC$1:$AC$400,_xlfn.TEXTJOIN(",",TRUE,B95:E95),SF_Output!$Q$1:$Q$400,"monthly"))*H95,AND(B95&lt;&gt;"",H95=SF_Output!$Y$2,SUMIFS(SF_Output!$T$1:$T$400,SF_Output!$AC$1:$AC$400,_xlfn.TEXTJOIN(",",TRUE,B95:E95),SF_Output!$Q$1:$Q$400,"monthly")&lt;&gt;0),SUMIFS(SF_Output!$S$1:$S$400,SF_Output!$AC$1:$AC$400,_xlfn.TEXTJOIN(",",TRUE,B95:E95),SF_Output!$Q$1:$Q$400,"monthly"),AND(B95&lt;&gt;"",H95&lt;&gt;SF_Output!$Y$2),SUMIFS(SF_Output!$S$1:$S$400,SF_Output!$AC$1:$AC$400,_xlfn.TEXTJOIN(",",TRUE,B95:E95),SF_Output!$Q$1:$Q$400,"monthly"))</f>
        <v>0</v>
      </c>
      <c r="W95" s="112" t="str" cm="1">
        <f t="array" ref="W95">_xlfn.IFS(OR(B95=0,B95="",V95=0),"",AF95&lt;&gt;"exclusion",MAX($W$9,$W$7,(-(SUMIFS(SF_Output!$T$1:$T$400,SF_Output!$AC$1:$AC$400,_xlfn.TEXTJOIN(",",TRUE,$B95:$E95),SF_Output!$Q$1:$Q$400,"monthly"))/V95)),AF95="exclusion",-(SUMIFS(SF_Output!$T$1:$T$400,SF_Output!$AC$1:$AC$400,_xlfn.TEXTJOIN(",",TRUE,$B95:$E95),SF_Output!$Q$1:$Q$400,"monthly"))/V95)</f>
        <v/>
      </c>
      <c r="X95" s="6" cm="1">
        <f t="array" ref="X95">IFERROR(_xlfn.IFS(V95=0,0,V95="","",W95=0,V95,OR(V95&lt;&gt;0,V95&lt;&gt;""),H95*I95),V95*(1-W95))</f>
        <v>0</v>
      </c>
      <c r="Z95" s="6">
        <f>IFERROR(IF(B95="","",SUMIFS(Billing_Fallout!H:H,Billing_Fallout!N:N,B95)),0)</f>
        <v>0</v>
      </c>
      <c r="AA95" s="6">
        <f t="shared" si="22"/>
        <v>0</v>
      </c>
      <c r="AB95" s="6">
        <f>IFERROR(IF(B95="","",SUMIFS(Billing_Fallout!J:J,Billing_Fallout!N:N,B95)),0)</f>
        <v>0</v>
      </c>
      <c r="AD95" s="6">
        <f t="shared" si="23"/>
        <v>0</v>
      </c>
      <c r="AF95" t="str">
        <f>IFERROR(INDEX(H_Tables!$B$1:$B$1500,MATCH(INDEX(SF_Output!$J$1:$J$400,MATCH(B95,SF_Output!$M$1:$M$400,0)),H_Tables!$A$1:$A$1500,0)),"")</f>
        <v>Exclusion</v>
      </c>
      <c r="AI95" s="119" t="str">
        <f t="shared" si="24"/>
        <v/>
      </c>
      <c r="AJ95" s="121">
        <f>IFERROR(INDEX(SF_Output!AD:AD,MATCH(_xlfn.TEXTJOIN(",",TRUE,B95:E95),SF_Output!AC1:AC400,0)),0.05)</f>
        <v>166</v>
      </c>
      <c r="AK95" t="str">
        <f>IF(SUMIFS(SF_Output!$F$1:$F$400,SF_Output!$AC$1:$AC$400,_xlfn.TEXTJOIN(",",TRUE,B95:E95))+SUMIFS(SF_Output!$G$1:$G$400,SF_Output!$AC$1:$AC$400,_xlfn.TEXTJOIN(",",TRUE,B95:E95))=0,"","PAP")</f>
        <v/>
      </c>
      <c r="AL95" s="35" t="str">
        <f t="shared" si="25"/>
        <v>Authorization Track One Name Edit,New,Hosted by 3rd Party,0</v>
      </c>
      <c r="AQ95" s="35"/>
      <c r="AR95" s="35" t="str" cm="1">
        <f t="array" ref="AR95">IFERROR(_xlfn.IFS(AND(E95*1=1,F95="Included"),"Change to Included",AND(E95*1=0,F95="Optional"),"Change to Optional",OR(B95="",F95="replaced"),""),"")</f>
        <v/>
      </c>
      <c r="AS95" s="35" t="str">
        <f t="shared" si="26"/>
        <v/>
      </c>
      <c r="AT95" s="35" t="str">
        <f t="shared" si="27"/>
        <v/>
      </c>
      <c r="AU95" s="35" t="str">
        <f t="shared" si="28"/>
        <v/>
      </c>
      <c r="AV95" s="35" t="str">
        <f t="shared" si="29"/>
        <v/>
      </c>
      <c r="AW95" s="35" t="str">
        <f t="shared" si="30"/>
        <v/>
      </c>
      <c r="AX95" s="35" t="str">
        <f t="shared" si="31"/>
        <v/>
      </c>
      <c r="AY95" s="35" t="str">
        <f t="shared" si="32"/>
        <v/>
      </c>
      <c r="AZ95" s="35" t="str">
        <f t="shared" si="33"/>
        <v/>
      </c>
      <c r="BA95" s="35" t="str">
        <f t="shared" si="34"/>
        <v/>
      </c>
      <c r="BB95" s="35" t="str">
        <f t="shared" si="35"/>
        <v/>
      </c>
      <c r="BC95" s="35"/>
      <c r="BE95" s="35">
        <f ca="1">INDEX(SF_Output!$AA$2:$AA$400,MATCH($B95,SF_Output!$M$2:$M$400,0))</f>
        <v>6</v>
      </c>
      <c r="BF95" s="35">
        <f ca="1">INDEX(SF_Output!$AB$2:$AB$400,MATCH($B95,SF_Output!$M$2:$M$400,0))</f>
        <v>1</v>
      </c>
    </row>
    <row r="96" spans="2:58" x14ac:dyDescent="0.25">
      <c r="B96" t="s">
        <v>708</v>
      </c>
      <c r="C96" t="s">
        <v>2122</v>
      </c>
      <c r="D96" t="s">
        <v>2207</v>
      </c>
      <c r="E96" t="s">
        <v>2124</v>
      </c>
      <c r="F96" s="116" t="str">
        <f t="shared" si="18"/>
        <v>Included</v>
      </c>
      <c r="G96" t="str">
        <f>IF(B96="","",INDEX(SF_Output!$K$1:$K$400,MATCH(B96,SF_Output!$M$1:$M$400,0)))</f>
        <v>Card Processing Solutions (CPS)</v>
      </c>
      <c r="H96" cm="1">
        <f t="array" ref="H96">_xlfn.IFS(B96="","",(SUMIFS(SF_Output!$F$1:$F$400,SF_Output!$AC$1:$AC$400,_xlfn.TEXTJOIN(",",TRUE,B96:E96))+SUMIFS(SF_Output!$G$1:$G$400,SF_Output!$AC$1:$AC$400,_xlfn.TEXTJOIN(",",TRUE,B96:E96)))&lt;&gt;0,SF_Output!$Y$2,INDEX(SF_Output!$F$1:$F$400,MATCH(_xlfn.TEXTJOIN(",",TRUE,B96:E96),SF_Output!$AC$1:$AC$400,0))=0,INDEX(SF_Output!$R$1:$R$400,MATCH(_xlfn.TEXTJOIN(",",TRUE,B96:E96),SF_Output!$AC$1:$AC$400,0)))</f>
        <v>1</v>
      </c>
      <c r="I96" s="125" t="str">
        <f>IFERROR(IF(AND(H96&gt;1,H96&lt;&gt;""),ROUND(SUMIFS(SF_Output!$S$1:$S$400,SF_Output!$AC$1:$AC$400,_xlfn.TEXTJOIN(",",TRUE,B96:E96),SF_Output!$Q$1:$Q$400,"monthly")*(1-W96)/H96,4),""),"")</f>
        <v/>
      </c>
      <c r="J96" s="6">
        <f>IF(B96="","",SUMIFS(SF_Output!$S$1:$S$400,SF_Output!$AC$1:$AC$400,_xlfn.TEXTJOIN(",",TRUE,B96:E96),SF_Output!$Q$1:$Q$400,"One Time",SF_Output!$L$1:$L$400,"license fee")+SUMIFS(SF_Output!$S$1:$S$400,SF_Output!$AC$1:$AC$400,_xlfn.TEXTJOIN(",",TRUE,B96:E96),SF_Output!$Q$1:$Q$400,"One Time",SF_Output!$L$1:$L$400,"software license")+SUMIFS(SF_Output!$S$1:$S$400,SF_Output!$AC$1:$AC$400,_xlfn.TEXTJOIN(",",TRUE,B96:E96),SF_Output!$Q$1:$Q$400,"One Time",SF_Output!$L$1:$L$400,"hardware"))</f>
        <v>0</v>
      </c>
      <c r="K96" s="112" t="str">
        <f>IF(OR(B96=0,B96="",G96="hardware",J96=0),"",IF(AF96&lt;&gt;"exclusion",MAX(K$9,-((SUMIFS(SF_Output!$T$1:$T$400,SF_Output!$AC$1:$AC$400,_xlfn.TEXTJOIN(",",TRUE,$B96:$E96),SF_Output!$Q$1:$Q$400,"One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license"))/J96)))</f>
        <v/>
      </c>
      <c r="L96" s="6">
        <f t="shared" si="19"/>
        <v>0</v>
      </c>
      <c r="N96" s="6">
        <f>IF(B96="","",SUMIFS(SF_Output!$S$1:$S$400,SF_Output!$AC$1:$AC$400,_xlfn.TEXTJOIN(",",TRUE,B96:E96),SF_Output!$Q$1:$Q$400,"One Time",SF_Output!$L$1:$L$400,"professional service"))</f>
        <v>3000</v>
      </c>
      <c r="O96" s="112">
        <f>IF(OR(B96=0,B96="",N96=0),"",IF(AF96&lt;&gt;"exclusion",MAX(O$9,-(SUMIFS(SF_Output!$T$1:$T$400,SF_Output!$AC$1:$AC$400,_xlfn.TEXTJOIN(",",TRUE,$B96:$E96),SF_Output!$Q$1:$Q$400,"One Time",SF_Output!$L$1:$L$400,"professional service"))/N96),-((SUMIFS(SF_Output!$T$1:$T$400,SF_Output!$AC$1:$AC$400,_xlfn.TEXTJOIN(",",TRUE,$B96:$E96),SF_Output!$Q$1:$Q$400,"One Time",SF_Output!$L$1:$L$400,"professional service")/N96))))</f>
        <v>1</v>
      </c>
      <c r="P96" s="6">
        <f t="shared" si="20"/>
        <v>0</v>
      </c>
      <c r="R96" s="6">
        <f>IF(B96="","",SUMIFS(SF_Output!$S$1:$S$400,SF_Output!$AC$1:$AC$400,_xlfn.TEXTJOIN(",",TRUE,B96:E96),SF_Output!$Q$1:$Q$400,"yearly")+SUMIFS(SF_Output!$S$1:$S$400,SF_Output!$AC$1:$AC$400,_xlfn.TEXTJOIN(",",TRUE,B96:E96),SF_Output!$Q$1:$Q$400,"quarterly")*4)</f>
        <v>0</v>
      </c>
      <c r="S96" s="112" t="str">
        <f>IF(OR(B96=0,B96="",G96="hardware",R96=0),"",IF(AF96&lt;&gt;"exclusion",MAX(S$9,-(SUMIFS(SF_Output!$T$1:$T$400,SF_Output!$AC$1:$AC$400,_xlfn.TEXTJOIN(",",TRUE,$B96:$E96),SF_Output!$Q$1:$Q$400,"yearly"))/R96),-((SUMIFS(SF_Output!$T$1:$T$400,SF_Output!$AC$1:$AC$400,_xlfn.TEXTJOIN(",",TRUE,$B96:$E96),SF_Output!$Q$1:$Q$400,"yearly")/R96))))</f>
        <v/>
      </c>
      <c r="T96" s="6">
        <f t="shared" si="21"/>
        <v>0</v>
      </c>
      <c r="V96" s="6" cm="1">
        <f t="array" ref="V96">_xlfn.IFS(B96="","",AND(B96&lt;&gt;"",H96=SF_Output!$Y$2,SUMIFS(SF_Output!$T$1:$T$400,SF_Output!$AC$1:$AC$400,_xlfn.TEXTJOIN(",",TRUE,B96:E96),SF_Output!$Q$1:$Q$400,"monthly")=0),(SUMIFS(SF_Output!$F$1:$F$400,SF_Output!$AC$1:$AC$400,_xlfn.TEXTJOIN(",",TRUE,B96:E96),SF_Output!$Q$1:$Q$400,"monthly")+SUMIFS(SF_Output!$G$1:$G$400,SF_Output!$AC$1:$AC$400,_xlfn.TEXTJOIN(",",TRUE,B96:E96),SF_Output!$Q$1:$Q$400,"monthly"))*H96,AND(B96&lt;&gt;"",H96=SF_Output!$Y$2,SUMIFS(SF_Output!$T$1:$T$400,SF_Output!$AC$1:$AC$400,_xlfn.TEXTJOIN(",",TRUE,B96:E96),SF_Output!$Q$1:$Q$400,"monthly")&lt;&gt;0),SUMIFS(SF_Output!$S$1:$S$400,SF_Output!$AC$1:$AC$400,_xlfn.TEXTJOIN(",",TRUE,B96:E96),SF_Output!$Q$1:$Q$400,"monthly"),AND(B96&lt;&gt;"",H96&lt;&gt;SF_Output!$Y$2),SUMIFS(SF_Output!$S$1:$S$400,SF_Output!$AC$1:$AC$400,_xlfn.TEXTJOIN(",",TRUE,B96:E96),SF_Output!$Q$1:$Q$400,"monthly"))</f>
        <v>500</v>
      </c>
      <c r="W96" s="112" cm="1">
        <f t="array" ref="W96">_xlfn.IFS(OR(B96=0,B96="",V96=0),"",AF96&lt;&gt;"exclusion",MAX($W$9,$W$7,(-(SUMIFS(SF_Output!$T$1:$T$400,SF_Output!$AC$1:$AC$400,_xlfn.TEXTJOIN(",",TRUE,$B96:$E96),SF_Output!$Q$1:$Q$400,"monthly"))/V96)),AF96="exclusion",-(SUMIFS(SF_Output!$T$1:$T$400,SF_Output!$AC$1:$AC$400,_xlfn.TEXTJOIN(",",TRUE,$B96:$E96),SF_Output!$Q$1:$Q$400,"monthly"))/V96)</f>
        <v>0</v>
      </c>
      <c r="X96" s="6" cm="1">
        <f t="array" ref="X96">IFERROR(_xlfn.IFS(V96=0,0,V96="","",W96=0,V96,OR(V96&lt;&gt;0,V96&lt;&gt;""),H96*I96),V96*(1-W96))</f>
        <v>500</v>
      </c>
      <c r="Z96" s="6">
        <f>IFERROR(IF(B96="","",SUMIFS(Billing_Fallout!H:H,Billing_Fallout!N:N,B96)),0)</f>
        <v>0</v>
      </c>
      <c r="AA96" s="6">
        <f t="shared" si="22"/>
        <v>0</v>
      </c>
      <c r="AB96" s="6">
        <f>IFERROR(IF(B96="","",SUMIFS(Billing_Fallout!J:J,Billing_Fallout!N:N,B96)),0)</f>
        <v>0</v>
      </c>
      <c r="AD96" s="6">
        <f t="shared" si="23"/>
        <v>500</v>
      </c>
      <c r="AF96" t="str">
        <f>IFERROR(INDEX(H_Tables!$B$1:$B$1500,MATCH(INDEX(SF_Output!$J$1:$J$400,MATCH(B96,SF_Output!$M$1:$M$400,0)),H_Tables!$A$1:$A$1500,0)),"")</f>
        <v>Exclusion</v>
      </c>
      <c r="AI96" s="119" t="str">
        <f t="shared" si="24"/>
        <v/>
      </c>
      <c r="AJ96" s="121">
        <f>IFERROR(INDEX(SF_Output!AD:AD,MATCH(_xlfn.TEXTJOIN(",",TRUE,B96:E96),SF_Output!AC1:AC400,0)),0.05)</f>
        <v>167</v>
      </c>
      <c r="AK96" t="str">
        <f>IF(SUMIFS(SF_Output!$F$1:$F$400,SF_Output!$AC$1:$AC$400,_xlfn.TEXTJOIN(",",TRUE,B96:E96))+SUMIFS(SF_Output!$G$1:$G$400,SF_Output!$AC$1:$AC$400,_xlfn.TEXTJOIN(",",TRUE,B96:E96))=0,"","PAP")</f>
        <v/>
      </c>
      <c r="AL96" s="35" t="str">
        <f t="shared" si="25"/>
        <v>JHA ATM/POS Processing,New,Hosted by 3rd Party,0</v>
      </c>
      <c r="AQ96" s="35"/>
      <c r="AR96" s="35" t="str" cm="1">
        <f t="array" ref="AR96">IFERROR(_xlfn.IFS(AND(E96*1=1,F96="Included"),"Change to Included",AND(E96*1=0,F96="Optional"),"Change to Optional",OR(B96="",F96="replaced"),""),"")</f>
        <v/>
      </c>
      <c r="AS96" s="35" t="str">
        <f t="shared" si="26"/>
        <v/>
      </c>
      <c r="AT96" s="35" t="str">
        <f t="shared" si="27"/>
        <v/>
      </c>
      <c r="AU96" s="35" t="str">
        <f t="shared" si="28"/>
        <v/>
      </c>
      <c r="AV96" s="35" t="str">
        <f t="shared" si="29"/>
        <v/>
      </c>
      <c r="AW96" s="35" t="str">
        <f t="shared" si="30"/>
        <v/>
      </c>
      <c r="AX96" s="35" t="str">
        <f t="shared" si="31"/>
        <v/>
      </c>
      <c r="AY96" s="35" t="str">
        <f t="shared" si="32"/>
        <v/>
      </c>
      <c r="AZ96" s="35" t="str">
        <f t="shared" si="33"/>
        <v/>
      </c>
      <c r="BA96" s="35" t="str">
        <f t="shared" si="34"/>
        <v/>
      </c>
      <c r="BB96" s="35" t="str">
        <f t="shared" si="35"/>
        <v/>
      </c>
      <c r="BC96" s="35"/>
      <c r="BE96" s="35">
        <f ca="1">INDEX(SF_Output!$AA$2:$AA$400,MATCH($B96,SF_Output!$M$2:$M$400,0))</f>
        <v>6</v>
      </c>
      <c r="BF96" s="35">
        <f ca="1">INDEX(SF_Output!$AB$2:$AB$400,MATCH($B96,SF_Output!$M$2:$M$400,0))</f>
        <v>1</v>
      </c>
    </row>
    <row r="97" spans="2:58" x14ac:dyDescent="0.25">
      <c r="B97" t="s">
        <v>2353</v>
      </c>
      <c r="C97" t="s">
        <v>2122</v>
      </c>
      <c r="D97" t="s">
        <v>2207</v>
      </c>
      <c r="E97" t="s">
        <v>2124</v>
      </c>
      <c r="F97" s="116" t="str">
        <f t="shared" si="18"/>
        <v>Included</v>
      </c>
      <c r="G97" t="str">
        <f>IF(B97="","",INDEX(SF_Output!$K$1:$K$400,MATCH(B97,SF_Output!$M$1:$M$400,0)))</f>
        <v>Card Processing Solutions (CPS)</v>
      </c>
      <c r="H97" cm="1">
        <f t="array" ref="H97">_xlfn.IFS(B97="","",(SUMIFS(SF_Output!$F$1:$F$400,SF_Output!$AC$1:$AC$400,_xlfn.TEXTJOIN(",",TRUE,B97:E97))+SUMIFS(SF_Output!$G$1:$G$400,SF_Output!$AC$1:$AC$400,_xlfn.TEXTJOIN(",",TRUE,B97:E97)))&lt;&gt;0,SF_Output!$Y$2,INDEX(SF_Output!$F$1:$F$400,MATCH(_xlfn.TEXTJOIN(",",TRUE,B97:E97),SF_Output!$AC$1:$AC$400,0))=0,INDEX(SF_Output!$R$1:$R$400,MATCH(_xlfn.TEXTJOIN(",",TRUE,B97:E97),SF_Output!$AC$1:$AC$400,0)))</f>
        <v>1</v>
      </c>
      <c r="I97" s="125" t="str">
        <f>IFERROR(IF(AND(H97&gt;1,H97&lt;&gt;""),ROUND(SUMIFS(SF_Output!$S$1:$S$400,SF_Output!$AC$1:$AC$400,_xlfn.TEXTJOIN(",",TRUE,B97:E97),SF_Output!$Q$1:$Q$400,"monthly")*(1-W97)/H97,4),""),"")</f>
        <v/>
      </c>
      <c r="J97" s="6">
        <f>IF(B97="","",SUMIFS(SF_Output!$S$1:$S$400,SF_Output!$AC$1:$AC$400,_xlfn.TEXTJOIN(",",TRUE,B97:E97),SF_Output!$Q$1:$Q$400,"One Time",SF_Output!$L$1:$L$400,"license fee")+SUMIFS(SF_Output!$S$1:$S$400,SF_Output!$AC$1:$AC$400,_xlfn.TEXTJOIN(",",TRUE,B97:E97),SF_Output!$Q$1:$Q$400,"One Time",SF_Output!$L$1:$L$400,"software license")+SUMIFS(SF_Output!$S$1:$S$400,SF_Output!$AC$1:$AC$400,_xlfn.TEXTJOIN(",",TRUE,B97:E97),SF_Output!$Q$1:$Q$400,"One Time",SF_Output!$L$1:$L$400,"hardware"))</f>
        <v>0</v>
      </c>
      <c r="K97" s="112" t="str">
        <f>IF(OR(B97=0,B97="",G97="hardware",J97=0),"",IF(AF97&lt;&gt;"exclusion",MAX(K$9,-((SUMIFS(SF_Output!$T$1:$T$400,SF_Output!$AC$1:$AC$400,_xlfn.TEXTJOIN(",",TRUE,$B97:$E97),SF_Output!$Q$1:$Q$400,"One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license"))/J97)))</f>
        <v/>
      </c>
      <c r="L97" s="6">
        <f t="shared" si="19"/>
        <v>0</v>
      </c>
      <c r="N97" s="6">
        <f>IF(B97="","",SUMIFS(SF_Output!$S$1:$S$400,SF_Output!$AC$1:$AC$400,_xlfn.TEXTJOIN(",",TRUE,B97:E97),SF_Output!$Q$1:$Q$400,"One Time",SF_Output!$L$1:$L$400,"professional service"))</f>
        <v>0</v>
      </c>
      <c r="O97" s="112" t="str">
        <f>IF(OR(B97=0,B97="",N97=0),"",IF(AF97&lt;&gt;"exclusion",MAX(O$9,-(SUMIFS(SF_Output!$T$1:$T$400,SF_Output!$AC$1:$AC$400,_xlfn.TEXTJOIN(",",TRUE,$B97:$E97),SF_Output!$Q$1:$Q$400,"One Time",SF_Output!$L$1:$L$400,"professional service"))/N97),-((SUMIFS(SF_Output!$T$1:$T$400,SF_Output!$AC$1:$AC$400,_xlfn.TEXTJOIN(",",TRUE,$B97:$E97),SF_Output!$Q$1:$Q$400,"One Time",SF_Output!$L$1:$L$400,"professional service")/N97))))</f>
        <v/>
      </c>
      <c r="P97" s="6">
        <f t="shared" si="20"/>
        <v>0</v>
      </c>
      <c r="R97" s="6">
        <f>IF(B97="","",SUMIFS(SF_Output!$S$1:$S$400,SF_Output!$AC$1:$AC$400,_xlfn.TEXTJOIN(",",TRUE,B97:E97),SF_Output!$Q$1:$Q$400,"yearly")+SUMIFS(SF_Output!$S$1:$S$400,SF_Output!$AC$1:$AC$400,_xlfn.TEXTJOIN(",",TRUE,B97:E97),SF_Output!$Q$1:$Q$400,"quarterly")*4)</f>
        <v>0</v>
      </c>
      <c r="S97" s="112" t="str">
        <f>IF(OR(B97=0,B97="",G97="hardware",R97=0),"",IF(AF97&lt;&gt;"exclusion",MAX(S$9,-(SUMIFS(SF_Output!$T$1:$T$400,SF_Output!$AC$1:$AC$400,_xlfn.TEXTJOIN(",",TRUE,$B97:$E97),SF_Output!$Q$1:$Q$400,"yearly"))/R97),-((SUMIFS(SF_Output!$T$1:$T$400,SF_Output!$AC$1:$AC$400,_xlfn.TEXTJOIN(",",TRUE,$B97:$E97),SF_Output!$Q$1:$Q$400,"yearly")/R97))))</f>
        <v/>
      </c>
      <c r="T97" s="6">
        <f t="shared" si="21"/>
        <v>0</v>
      </c>
      <c r="V97" s="6" cm="1">
        <f t="array" ref="V97">_xlfn.IFS(B97="","",AND(B97&lt;&gt;"",H97=SF_Output!$Y$2,SUMIFS(SF_Output!$T$1:$T$400,SF_Output!$AC$1:$AC$400,_xlfn.TEXTJOIN(",",TRUE,B97:E97),SF_Output!$Q$1:$Q$400,"monthly")=0),(SUMIFS(SF_Output!$F$1:$F$400,SF_Output!$AC$1:$AC$400,_xlfn.TEXTJOIN(",",TRUE,B97:E97),SF_Output!$Q$1:$Q$400,"monthly")+SUMIFS(SF_Output!$G$1:$G$400,SF_Output!$AC$1:$AC$400,_xlfn.TEXTJOIN(",",TRUE,B97:E97),SF_Output!$Q$1:$Q$400,"monthly"))*H97,AND(B97&lt;&gt;"",H97=SF_Output!$Y$2,SUMIFS(SF_Output!$T$1:$T$400,SF_Output!$AC$1:$AC$400,_xlfn.TEXTJOIN(",",TRUE,B97:E97),SF_Output!$Q$1:$Q$400,"monthly")&lt;&gt;0),SUMIFS(SF_Output!$S$1:$S$400,SF_Output!$AC$1:$AC$400,_xlfn.TEXTJOIN(",",TRUE,B97:E97),SF_Output!$Q$1:$Q$400,"monthly"),AND(B97&lt;&gt;"",H97&lt;&gt;SF_Output!$Y$2),SUMIFS(SF_Output!$S$1:$S$400,SF_Output!$AC$1:$AC$400,_xlfn.TEXTJOIN(",",TRUE,B97:E97),SF_Output!$Q$1:$Q$400,"monthly"))</f>
        <v>250</v>
      </c>
      <c r="W97" s="112" cm="1">
        <f t="array" ref="W97">_xlfn.IFS(OR(B97=0,B97="",V97=0),"",AF97&lt;&gt;"exclusion",MAX($W$9,$W$7,(-(SUMIFS(SF_Output!$T$1:$T$400,SF_Output!$AC$1:$AC$400,_xlfn.TEXTJOIN(",",TRUE,$B97:$E97),SF_Output!$Q$1:$Q$400,"monthly"))/V97)),AF97="exclusion",-(SUMIFS(SF_Output!$T$1:$T$400,SF_Output!$AC$1:$AC$400,_xlfn.TEXTJOIN(",",TRUE,$B97:$E97),SF_Output!$Q$1:$Q$400,"monthly"))/V97)</f>
        <v>0</v>
      </c>
      <c r="X97" s="6" cm="1">
        <f t="array" ref="X97">IFERROR(_xlfn.IFS(V97=0,0,V97="","",W97=0,V97,OR(V97&lt;&gt;0,V97&lt;&gt;""),H97*I97),V97*(1-W97))</f>
        <v>250</v>
      </c>
      <c r="Z97" s="6">
        <f>IFERROR(IF(B97="","",SUMIFS(Billing_Fallout!H:H,Billing_Fallout!N:N,B97)),0)</f>
        <v>0</v>
      </c>
      <c r="AA97" s="6">
        <f t="shared" si="22"/>
        <v>0</v>
      </c>
      <c r="AB97" s="6">
        <f>IFERROR(IF(B97="","",SUMIFS(Billing_Fallout!J:J,Billing_Fallout!N:N,B97)),0)</f>
        <v>0</v>
      </c>
      <c r="AD97" s="6">
        <f t="shared" si="23"/>
        <v>250</v>
      </c>
      <c r="AF97" t="str">
        <f>IFERROR(INDEX(H_Tables!$B$1:$B$1500,MATCH(INDEX(SF_Output!$J$1:$J$400,MATCH(B97,SF_Output!$M$1:$M$400,0)),H_Tables!$A$1:$A$1500,0)),"")</f>
        <v>Exclusion</v>
      </c>
      <c r="AI97" s="119" t="str">
        <f t="shared" si="24"/>
        <v/>
      </c>
      <c r="AJ97" s="121">
        <f>IFERROR(INDEX(SF_Output!AD:AD,MATCH(_xlfn.TEXTJOIN(",",TRUE,B97:E97),SF_Output!AC1:AC400,0)),0.05)</f>
        <v>169</v>
      </c>
      <c r="AK97" t="str">
        <f>IF(SUMIFS(SF_Output!$F$1:$F$400,SF_Output!$AC$1:$AC$400,_xlfn.TEXTJOIN(",",TRUE,B97:E97))+SUMIFS(SF_Output!$G$1:$G$400,SF_Output!$AC$1:$AC$400,_xlfn.TEXTJOIN(",",TRUE,B97:E97))=0,"","PAP")</f>
        <v/>
      </c>
      <c r="AL97" s="35" t="str">
        <f t="shared" si="25"/>
        <v>ATM/POS Transactions subject to {$}250 minimum monthly,New,Hosted by 3rd Party,0</v>
      </c>
      <c r="AQ97" s="35"/>
      <c r="AR97" s="35" t="str" cm="1">
        <f t="array" ref="AR97">IFERROR(_xlfn.IFS(AND(E97*1=1,F97="Included"),"Change to Included",AND(E97*1=0,F97="Optional"),"Change to Optional",OR(B97="",F97="replaced"),""),"")</f>
        <v/>
      </c>
      <c r="AS97" s="35" t="str">
        <f t="shared" si="26"/>
        <v/>
      </c>
      <c r="AT97" s="35" t="str">
        <f t="shared" si="27"/>
        <v/>
      </c>
      <c r="AU97" s="35" t="str">
        <f t="shared" si="28"/>
        <v/>
      </c>
      <c r="AV97" s="35" t="str">
        <f t="shared" si="29"/>
        <v/>
      </c>
      <c r="AW97" s="35" t="str">
        <f t="shared" si="30"/>
        <v/>
      </c>
      <c r="AX97" s="35" t="str">
        <f t="shared" si="31"/>
        <v/>
      </c>
      <c r="AY97" s="35" t="str">
        <f t="shared" si="32"/>
        <v/>
      </c>
      <c r="AZ97" s="35" t="str">
        <f t="shared" si="33"/>
        <v/>
      </c>
      <c r="BA97" s="35" t="str">
        <f t="shared" si="34"/>
        <v/>
      </c>
      <c r="BB97" s="35" t="str">
        <f t="shared" si="35"/>
        <v/>
      </c>
      <c r="BC97" s="35"/>
      <c r="BE97" s="35">
        <f ca="1">INDEX(SF_Output!$AA$2:$AA$400,MATCH($B97,SF_Output!$M$2:$M$400,0))</f>
        <v>6</v>
      </c>
      <c r="BF97" s="35">
        <f ca="1">INDEX(SF_Output!$AB$2:$AB$400,MATCH($B97,SF_Output!$M$2:$M$400,0))</f>
        <v>1</v>
      </c>
    </row>
    <row r="98" spans="2:58" x14ac:dyDescent="0.25">
      <c r="B98" t="s">
        <v>687</v>
      </c>
      <c r="C98" t="s">
        <v>2122</v>
      </c>
      <c r="D98" t="s">
        <v>2207</v>
      </c>
      <c r="E98" t="s">
        <v>2124</v>
      </c>
      <c r="F98" s="116" t="str">
        <f t="shared" si="18"/>
        <v>Included</v>
      </c>
      <c r="G98" t="str">
        <f>IF(B98="","",INDEX(SF_Output!$K$1:$K$400,MATCH(B98,SF_Output!$M$1:$M$400,0)))</f>
        <v>Card Processing Solutions (CPS)</v>
      </c>
      <c r="H98" cm="1">
        <f t="array" ref="H98">_xlfn.IFS(B98="","",(SUMIFS(SF_Output!$F$1:$F$400,SF_Output!$AC$1:$AC$400,_xlfn.TEXTJOIN(",",TRUE,B98:E98))+SUMIFS(SF_Output!$G$1:$G$400,SF_Output!$AC$1:$AC$400,_xlfn.TEXTJOIN(",",TRUE,B98:E98)))&lt;&gt;0,SF_Output!$Y$2,INDEX(SF_Output!$F$1:$F$400,MATCH(_xlfn.TEXTJOIN(",",TRUE,B98:E98),SF_Output!$AC$1:$AC$400,0))=0,INDEX(SF_Output!$R$1:$R$400,MATCH(_xlfn.TEXTJOIN(",",TRUE,B98:E98),SF_Output!$AC$1:$AC$400,0)))</f>
        <v>0</v>
      </c>
      <c r="I98" s="125" t="str">
        <f>IFERROR(IF(AND(H98&gt;1,H98&lt;&gt;""),ROUND(SUMIFS(SF_Output!$S$1:$S$400,SF_Output!$AC$1:$AC$400,_xlfn.TEXTJOIN(",",TRUE,B98:E98),SF_Output!$Q$1:$Q$400,"monthly")*(1-W98)/H98,4),""),"")</f>
        <v/>
      </c>
      <c r="J98" s="6">
        <f>IF(B98="","",SUMIFS(SF_Output!$S$1:$S$400,SF_Output!$AC$1:$AC$400,_xlfn.TEXTJOIN(",",TRUE,B98:E98),SF_Output!$Q$1:$Q$400,"One Time",SF_Output!$L$1:$L$400,"license fee")+SUMIFS(SF_Output!$S$1:$S$400,SF_Output!$AC$1:$AC$400,_xlfn.TEXTJOIN(",",TRUE,B98:E98),SF_Output!$Q$1:$Q$400,"One Time",SF_Output!$L$1:$L$400,"software license")+SUMIFS(SF_Output!$S$1:$S$400,SF_Output!$AC$1:$AC$400,_xlfn.TEXTJOIN(",",TRUE,B98:E98),SF_Output!$Q$1:$Q$400,"One Time",SF_Output!$L$1:$L$400,"hardware"))</f>
        <v>0</v>
      </c>
      <c r="K98" s="112" t="str">
        <f>IF(OR(B98=0,B98="",G98="hardware",J98=0),"",IF(AF98&lt;&gt;"exclusion",MAX(K$9,-((SUMIFS(SF_Output!$T$1:$T$400,SF_Output!$AC$1:$AC$400,_xlfn.TEXTJOIN(",",TRUE,$B98:$E98),SF_Output!$Q$1:$Q$400,"One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license"))/J98)))</f>
        <v/>
      </c>
      <c r="L98" s="6">
        <f t="shared" si="19"/>
        <v>0</v>
      </c>
      <c r="N98" s="6">
        <f>IF(B98="","",SUMIFS(SF_Output!$S$1:$S$400,SF_Output!$AC$1:$AC$400,_xlfn.TEXTJOIN(",",TRUE,B98:E98),SF_Output!$Q$1:$Q$400,"One Time",SF_Output!$L$1:$L$400,"professional service"))</f>
        <v>0</v>
      </c>
      <c r="O98" s="112" t="str">
        <f>IF(OR(B98=0,B98="",N98=0),"",IF(AF98&lt;&gt;"exclusion",MAX(O$9,-(SUMIFS(SF_Output!$T$1:$T$400,SF_Output!$AC$1:$AC$400,_xlfn.TEXTJOIN(",",TRUE,$B98:$E98),SF_Output!$Q$1:$Q$400,"One Time",SF_Output!$L$1:$L$400,"professional service"))/N98),-((SUMIFS(SF_Output!$T$1:$T$400,SF_Output!$AC$1:$AC$400,_xlfn.TEXTJOIN(",",TRUE,$B98:$E98),SF_Output!$Q$1:$Q$400,"One Time",SF_Output!$L$1:$L$400,"professional service")/N98))))</f>
        <v/>
      </c>
      <c r="P98" s="6">
        <f t="shared" si="20"/>
        <v>0</v>
      </c>
      <c r="R98" s="6">
        <f>IF(B98="","",SUMIFS(SF_Output!$S$1:$S$400,SF_Output!$AC$1:$AC$400,_xlfn.TEXTJOIN(",",TRUE,B98:E98),SF_Output!$Q$1:$Q$400,"yearly")+SUMIFS(SF_Output!$S$1:$S$400,SF_Output!$AC$1:$AC$400,_xlfn.TEXTJOIN(",",TRUE,B98:E98),SF_Output!$Q$1:$Q$400,"quarterly")*4)</f>
        <v>0</v>
      </c>
      <c r="S98" s="112" t="str">
        <f>IF(OR(B98=0,B98="",G98="hardware",R98=0),"",IF(AF98&lt;&gt;"exclusion",MAX(S$9,-(SUMIFS(SF_Output!$T$1:$T$400,SF_Output!$AC$1:$AC$400,_xlfn.TEXTJOIN(",",TRUE,$B98:$E98),SF_Output!$Q$1:$Q$400,"yearly"))/R98),-((SUMIFS(SF_Output!$T$1:$T$400,SF_Output!$AC$1:$AC$400,_xlfn.TEXTJOIN(",",TRUE,$B98:$E98),SF_Output!$Q$1:$Q$400,"yearly")/R98))))</f>
        <v/>
      </c>
      <c r="T98" s="6">
        <f t="shared" si="21"/>
        <v>0</v>
      </c>
      <c r="V98" s="6" cm="1">
        <f t="array" ref="V98">_xlfn.IFS(B98="","",AND(B98&lt;&gt;"",H98=SF_Output!$Y$2,SUMIFS(SF_Output!$T$1:$T$400,SF_Output!$AC$1:$AC$400,_xlfn.TEXTJOIN(",",TRUE,B98:E98),SF_Output!$Q$1:$Q$400,"monthly")=0),(SUMIFS(SF_Output!$F$1:$F$400,SF_Output!$AC$1:$AC$400,_xlfn.TEXTJOIN(",",TRUE,B98:E98),SF_Output!$Q$1:$Q$400,"monthly")+SUMIFS(SF_Output!$G$1:$G$400,SF_Output!$AC$1:$AC$400,_xlfn.TEXTJOIN(",",TRUE,B98:E98),SF_Output!$Q$1:$Q$400,"monthly"))*H98,AND(B98&lt;&gt;"",H98=SF_Output!$Y$2,SUMIFS(SF_Output!$T$1:$T$400,SF_Output!$AC$1:$AC$400,_xlfn.TEXTJOIN(",",TRUE,B98:E98),SF_Output!$Q$1:$Q$400,"monthly")&lt;&gt;0),SUMIFS(SF_Output!$S$1:$S$400,SF_Output!$AC$1:$AC$400,_xlfn.TEXTJOIN(",",TRUE,B98:E98),SF_Output!$Q$1:$Q$400,"monthly"),AND(B98&lt;&gt;"",H98&lt;&gt;SF_Output!$Y$2),SUMIFS(SF_Output!$S$1:$S$400,SF_Output!$AC$1:$AC$400,_xlfn.TEXTJOIN(",",TRUE,B98:E98),SF_Output!$Q$1:$Q$400,"monthly"))</f>
        <v>0</v>
      </c>
      <c r="W98" s="112" t="str" cm="1">
        <f t="array" ref="W98">_xlfn.IFS(OR(B98=0,B98="",V98=0),"",AF98&lt;&gt;"exclusion",MAX($W$9,$W$7,(-(SUMIFS(SF_Output!$T$1:$T$400,SF_Output!$AC$1:$AC$400,_xlfn.TEXTJOIN(",",TRUE,$B98:$E98),SF_Output!$Q$1:$Q$400,"monthly"))/V98)),AF98="exclusion",-(SUMIFS(SF_Output!$T$1:$T$400,SF_Output!$AC$1:$AC$400,_xlfn.TEXTJOIN(",",TRUE,$B98:$E98),SF_Output!$Q$1:$Q$400,"monthly"))/V98)</f>
        <v/>
      </c>
      <c r="X98" s="6" cm="1">
        <f t="array" ref="X98">IFERROR(_xlfn.IFS(V98=0,0,V98="","",W98=0,V98,OR(V98&lt;&gt;0,V98&lt;&gt;""),H98*I98),V98*(1-W98))</f>
        <v>0</v>
      </c>
      <c r="Z98" s="6">
        <f>IFERROR(IF(B98="","",SUMIFS(Billing_Fallout!H:H,Billing_Fallout!N:N,B98)),0)</f>
        <v>0</v>
      </c>
      <c r="AA98" s="6">
        <f t="shared" si="22"/>
        <v>0</v>
      </c>
      <c r="AB98" s="6">
        <f>IFERROR(IF(B98="","",SUMIFS(Billing_Fallout!J:J,Billing_Fallout!N:N,B98)),0)</f>
        <v>0</v>
      </c>
      <c r="AD98" s="6">
        <f t="shared" si="23"/>
        <v>0</v>
      </c>
      <c r="AF98" t="str">
        <f>IFERROR(INDEX(H_Tables!$B$1:$B$1500,MATCH(INDEX(SF_Output!$J$1:$J$400,MATCH(B98,SF_Output!$M$1:$M$400,0)),H_Tables!$A$1:$A$1500,0)),"")</f>
        <v>Exclusion</v>
      </c>
      <c r="AI98" s="119" t="str">
        <f t="shared" si="24"/>
        <v/>
      </c>
      <c r="AJ98" s="121">
        <f>IFERROR(INDEX(SF_Output!AD:AD,MATCH(_xlfn.TEXTJOIN(",",TRUE,B98:E98),SF_Output!AC1:AC400,0)),0.05)</f>
        <v>170</v>
      </c>
      <c r="AK98" t="str">
        <f>IF(SUMIFS(SF_Output!$F$1:$F$400,SF_Output!$AC$1:$AC$400,_xlfn.TEXTJOIN(",",TRUE,B98:E98))+SUMIFS(SF_Output!$G$1:$G$400,SF_Output!$AC$1:$AC$400,_xlfn.TEXTJOIN(",",TRUE,B98:E98))=0,"","PAP")</f>
        <v/>
      </c>
      <c r="AL98" s="35" t="str">
        <f t="shared" si="25"/>
        <v>ATM Transactions (on-us at-us),New,Hosted by 3rd Party,0</v>
      </c>
      <c r="AQ98" s="35"/>
      <c r="AR98" s="35" t="str" cm="1">
        <f t="array" ref="AR98">IFERROR(_xlfn.IFS(AND(E98*1=1,F98="Included"),"Change to Included",AND(E98*1=0,F98="Optional"),"Change to Optional",OR(B98="",F98="replaced"),""),"")</f>
        <v/>
      </c>
      <c r="AS98" s="35" t="str">
        <f t="shared" si="26"/>
        <v/>
      </c>
      <c r="AT98" s="35" t="str">
        <f t="shared" si="27"/>
        <v/>
      </c>
      <c r="AU98" s="35" t="str">
        <f t="shared" si="28"/>
        <v/>
      </c>
      <c r="AV98" s="35" t="str">
        <f t="shared" si="29"/>
        <v/>
      </c>
      <c r="AW98" s="35" t="str">
        <f t="shared" si="30"/>
        <v/>
      </c>
      <c r="AX98" s="35" t="str">
        <f t="shared" si="31"/>
        <v/>
      </c>
      <c r="AY98" s="35" t="str">
        <f t="shared" si="32"/>
        <v/>
      </c>
      <c r="AZ98" s="35" t="str">
        <f t="shared" si="33"/>
        <v/>
      </c>
      <c r="BA98" s="35" t="str">
        <f t="shared" si="34"/>
        <v/>
      </c>
      <c r="BB98" s="35" t="str">
        <f t="shared" si="35"/>
        <v/>
      </c>
      <c r="BC98" s="35"/>
      <c r="BE98" s="35">
        <f ca="1">INDEX(SF_Output!$AA$2:$AA$400,MATCH($B98,SF_Output!$M$2:$M$400,0))</f>
        <v>6</v>
      </c>
      <c r="BF98" s="35">
        <f ca="1">INDEX(SF_Output!$AB$2:$AB$400,MATCH($B98,SF_Output!$M$2:$M$400,0))</f>
        <v>1</v>
      </c>
    </row>
    <row r="99" spans="2:58" x14ac:dyDescent="0.25">
      <c r="B99" t="s">
        <v>694</v>
      </c>
      <c r="C99" t="s">
        <v>2122</v>
      </c>
      <c r="D99" t="s">
        <v>2207</v>
      </c>
      <c r="E99" t="s">
        <v>2124</v>
      </c>
      <c r="F99" s="116" t="str">
        <f t="shared" si="18"/>
        <v>Included</v>
      </c>
      <c r="G99" t="str">
        <f>IF(B99="","",INDEX(SF_Output!$K$1:$K$400,MATCH(B99,SF_Output!$M$1:$M$400,0)))</f>
        <v>Card Processing Solutions (CPS)</v>
      </c>
      <c r="H99" cm="1">
        <f t="array" ref="H99">_xlfn.IFS(B99="","",(SUMIFS(SF_Output!$F$1:$F$400,SF_Output!$AC$1:$AC$400,_xlfn.TEXTJOIN(",",TRUE,B99:E99))+SUMIFS(SF_Output!$G$1:$G$400,SF_Output!$AC$1:$AC$400,_xlfn.TEXTJOIN(",",TRUE,B99:E99)))&lt;&gt;0,SF_Output!$Y$2,INDEX(SF_Output!$F$1:$F$400,MATCH(_xlfn.TEXTJOIN(",",TRUE,B99:E99),SF_Output!$AC$1:$AC$400,0))=0,INDEX(SF_Output!$R$1:$R$400,MATCH(_xlfn.TEXTJOIN(",",TRUE,B99:E99),SF_Output!$AC$1:$AC$400,0)))</f>
        <v>1</v>
      </c>
      <c r="I99" s="125" t="str">
        <f>IFERROR(IF(AND(H99&gt;1,H99&lt;&gt;""),ROUND(SUMIFS(SF_Output!$S$1:$S$400,SF_Output!$AC$1:$AC$400,_xlfn.TEXTJOIN(",",TRUE,B99:E99),SF_Output!$Q$1:$Q$400,"monthly")*(1-W99)/H99,4),""),"")</f>
        <v/>
      </c>
      <c r="J99" s="6">
        <f>IF(B99="","",SUMIFS(SF_Output!$S$1:$S$400,SF_Output!$AC$1:$AC$400,_xlfn.TEXTJOIN(",",TRUE,B99:E99),SF_Output!$Q$1:$Q$400,"One Time",SF_Output!$L$1:$L$400,"license fee")+SUMIFS(SF_Output!$S$1:$S$400,SF_Output!$AC$1:$AC$400,_xlfn.TEXTJOIN(",",TRUE,B99:E99),SF_Output!$Q$1:$Q$400,"One Time",SF_Output!$L$1:$L$400,"software license")+SUMIFS(SF_Output!$S$1:$S$400,SF_Output!$AC$1:$AC$400,_xlfn.TEXTJOIN(",",TRUE,B99:E99),SF_Output!$Q$1:$Q$400,"One Time",SF_Output!$L$1:$L$400,"hardware"))</f>
        <v>0</v>
      </c>
      <c r="K99" s="112" t="str">
        <f>IF(OR(B99=0,B99="",G99="hardware",J99=0),"",IF(AF99&lt;&gt;"exclusion",MAX(K$9,-((SUMIFS(SF_Output!$T$1:$T$400,SF_Output!$AC$1:$AC$400,_xlfn.TEXTJOIN(",",TRUE,$B99:$E99),SF_Output!$Q$1:$Q$400,"One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license"))/J99)))</f>
        <v/>
      </c>
      <c r="L99" s="6">
        <f t="shared" si="19"/>
        <v>0</v>
      </c>
      <c r="N99" s="6">
        <f>IF(B99="","",SUMIFS(SF_Output!$S$1:$S$400,SF_Output!$AC$1:$AC$400,_xlfn.TEXTJOIN(",",TRUE,B99:E99),SF_Output!$Q$1:$Q$400,"One Time",SF_Output!$L$1:$L$400,"professional service"))</f>
        <v>145</v>
      </c>
      <c r="O99" s="112">
        <f>IF(OR(B99=0,B99="",N99=0),"",IF(AF99&lt;&gt;"exclusion",MAX(O$9,-(SUMIFS(SF_Output!$T$1:$T$400,SF_Output!$AC$1:$AC$400,_xlfn.TEXTJOIN(",",TRUE,$B99:$E99),SF_Output!$Q$1:$Q$400,"One Time",SF_Output!$L$1:$L$400,"professional service"))/N99),-((SUMIFS(SF_Output!$T$1:$T$400,SF_Output!$AC$1:$AC$400,_xlfn.TEXTJOIN(",",TRUE,$B99:$E99),SF_Output!$Q$1:$Q$400,"One Time",SF_Output!$L$1:$L$400,"professional service")/N99))))</f>
        <v>1</v>
      </c>
      <c r="P99" s="6">
        <f t="shared" si="20"/>
        <v>0</v>
      </c>
      <c r="R99" s="6">
        <f>IF(B99="","",SUMIFS(SF_Output!$S$1:$S$400,SF_Output!$AC$1:$AC$400,_xlfn.TEXTJOIN(",",TRUE,B99:E99),SF_Output!$Q$1:$Q$400,"yearly")+SUMIFS(SF_Output!$S$1:$S$400,SF_Output!$AC$1:$AC$400,_xlfn.TEXTJOIN(",",TRUE,B99:E99),SF_Output!$Q$1:$Q$400,"quarterly")*4)</f>
        <v>0</v>
      </c>
      <c r="S99" s="112" t="str">
        <f>IF(OR(B99=0,B99="",G99="hardware",R99=0),"",IF(AF99&lt;&gt;"exclusion",MAX(S$9,-(SUMIFS(SF_Output!$T$1:$T$400,SF_Output!$AC$1:$AC$400,_xlfn.TEXTJOIN(",",TRUE,$B99:$E99),SF_Output!$Q$1:$Q$400,"yearly"))/R99),-((SUMIFS(SF_Output!$T$1:$T$400,SF_Output!$AC$1:$AC$400,_xlfn.TEXTJOIN(",",TRUE,$B99:$E99),SF_Output!$Q$1:$Q$400,"yearly")/R99))))</f>
        <v/>
      </c>
      <c r="T99" s="6">
        <f t="shared" si="21"/>
        <v>0</v>
      </c>
      <c r="V99" s="6" cm="1">
        <f t="array" ref="V99">_xlfn.IFS(B99="","",AND(B99&lt;&gt;"",H99=SF_Output!$Y$2,SUMIFS(SF_Output!$T$1:$T$400,SF_Output!$AC$1:$AC$400,_xlfn.TEXTJOIN(",",TRUE,B99:E99),SF_Output!$Q$1:$Q$400,"monthly")=0),(SUMIFS(SF_Output!$F$1:$F$400,SF_Output!$AC$1:$AC$400,_xlfn.TEXTJOIN(",",TRUE,B99:E99),SF_Output!$Q$1:$Q$400,"monthly")+SUMIFS(SF_Output!$G$1:$G$400,SF_Output!$AC$1:$AC$400,_xlfn.TEXTJOIN(",",TRUE,B99:E99),SF_Output!$Q$1:$Q$400,"monthly"))*H99,AND(B99&lt;&gt;"",H99=SF_Output!$Y$2,SUMIFS(SF_Output!$T$1:$T$400,SF_Output!$AC$1:$AC$400,_xlfn.TEXTJOIN(",",TRUE,B99:E99),SF_Output!$Q$1:$Q$400,"monthly")&lt;&gt;0),SUMIFS(SF_Output!$S$1:$S$400,SF_Output!$AC$1:$AC$400,_xlfn.TEXTJOIN(",",TRUE,B99:E99),SF_Output!$Q$1:$Q$400,"monthly"),AND(B99&lt;&gt;"",H99&lt;&gt;SF_Output!$Y$2),SUMIFS(SF_Output!$S$1:$S$400,SF_Output!$AC$1:$AC$400,_xlfn.TEXTJOIN(",",TRUE,B99:E99),SF_Output!$Q$1:$Q$400,"monthly"))</f>
        <v>0</v>
      </c>
      <c r="W99" s="112" t="str" cm="1">
        <f t="array" ref="W99">_xlfn.IFS(OR(B99=0,B99="",V99=0),"",AF99&lt;&gt;"exclusion",MAX($W$9,$W$7,(-(SUMIFS(SF_Output!$T$1:$T$400,SF_Output!$AC$1:$AC$400,_xlfn.TEXTJOIN(",",TRUE,$B99:$E99),SF_Output!$Q$1:$Q$400,"monthly"))/V99)),AF99="exclusion",-(SUMIFS(SF_Output!$T$1:$T$400,SF_Output!$AC$1:$AC$400,_xlfn.TEXTJOIN(",",TRUE,$B99:$E99),SF_Output!$Q$1:$Q$400,"monthly"))/V99)</f>
        <v/>
      </c>
      <c r="X99" s="6" cm="1">
        <f t="array" ref="X99">IFERROR(_xlfn.IFS(V99=0,0,V99="","",W99=0,V99,OR(V99&lt;&gt;0,V99&lt;&gt;""),H99*I99),V99*(1-W99))</f>
        <v>0</v>
      </c>
      <c r="Z99" s="6">
        <f>IFERROR(IF(B99="","",SUMIFS(Billing_Fallout!H:H,Billing_Fallout!N:N,B99)),0)</f>
        <v>0</v>
      </c>
      <c r="AA99" s="6">
        <f t="shared" si="22"/>
        <v>0</v>
      </c>
      <c r="AB99" s="6">
        <f>IFERROR(IF(B99="","",SUMIFS(Billing_Fallout!J:J,Billing_Fallout!N:N,B99)),0)</f>
        <v>0</v>
      </c>
      <c r="AD99" s="6">
        <f t="shared" si="23"/>
        <v>0</v>
      </c>
      <c r="AF99" t="str">
        <f>IFERROR(INDEX(H_Tables!$B$1:$B$1500,MATCH(INDEX(SF_Output!$J$1:$J$400,MATCH(B99,SF_Output!$M$1:$M$400,0)),H_Tables!$A$1:$A$1500,0)),"")</f>
        <v>Exclusion</v>
      </c>
      <c r="AI99" s="119" t="str">
        <f t="shared" si="24"/>
        <v/>
      </c>
      <c r="AJ99" s="121">
        <f>IFERROR(INDEX(SF_Output!AD:AD,MATCH(_xlfn.TEXTJOIN(",",TRUE,B99:E99),SF_Output!AC1:AC400,0)),0.05)</f>
        <v>171</v>
      </c>
      <c r="AK99" t="str">
        <f>IF(SUMIFS(SF_Output!$F$1:$F$400,SF_Output!$AC$1:$AC$400,_xlfn.TEXTJOIN(",",TRUE,B99:E99))+SUMIFS(SF_Output!$G$1:$G$400,SF_Output!$AC$1:$AC$400,_xlfn.TEXTJOIN(",",TRUE,B99:E99))=0,"","PAP")</f>
        <v/>
      </c>
      <c r="AL99" s="35" t="str">
        <f t="shared" si="25"/>
        <v>ATM Setup,New,Hosted by 3rd Party,0</v>
      </c>
      <c r="AQ99" s="35"/>
      <c r="AR99" s="35" t="str" cm="1">
        <f t="array" ref="AR99">IFERROR(_xlfn.IFS(AND(E99*1=1,F99="Included"),"Change to Included",AND(E99*1=0,F99="Optional"),"Change to Optional",OR(B99="",F99="replaced"),""),"")</f>
        <v/>
      </c>
      <c r="AS99" s="35" t="str">
        <f t="shared" si="26"/>
        <v/>
      </c>
      <c r="AT99" s="35" t="str">
        <f t="shared" si="27"/>
        <v/>
      </c>
      <c r="AU99" s="35" t="str">
        <f t="shared" si="28"/>
        <v/>
      </c>
      <c r="AV99" s="35" t="str">
        <f t="shared" si="29"/>
        <v/>
      </c>
      <c r="AW99" s="35" t="str">
        <f t="shared" si="30"/>
        <v/>
      </c>
      <c r="AX99" s="35" t="str">
        <f t="shared" si="31"/>
        <v/>
      </c>
      <c r="AY99" s="35" t="str">
        <f t="shared" si="32"/>
        <v/>
      </c>
      <c r="AZ99" s="35" t="str">
        <f t="shared" si="33"/>
        <v/>
      </c>
      <c r="BA99" s="35" t="str">
        <f t="shared" si="34"/>
        <v/>
      </c>
      <c r="BB99" s="35" t="str">
        <f t="shared" si="35"/>
        <v/>
      </c>
      <c r="BC99" s="35"/>
      <c r="BE99" s="35">
        <f ca="1">INDEX(SF_Output!$AA$2:$AA$400,MATCH($B99,SF_Output!$M$2:$M$400,0))</f>
        <v>6</v>
      </c>
      <c r="BF99" s="35">
        <f ca="1">INDEX(SF_Output!$AB$2:$AB$400,MATCH($B99,SF_Output!$M$2:$M$400,0))</f>
        <v>1</v>
      </c>
    </row>
    <row r="100" spans="2:58" x14ac:dyDescent="0.25">
      <c r="B100" t="s">
        <v>2357</v>
      </c>
      <c r="C100" t="s">
        <v>2122</v>
      </c>
      <c r="D100" t="s">
        <v>2207</v>
      </c>
      <c r="E100" t="s">
        <v>2124</v>
      </c>
      <c r="F100" s="116" t="str">
        <f t="shared" si="18"/>
        <v>Included</v>
      </c>
      <c r="G100" t="str">
        <f>IF(B100="","",INDEX(SF_Output!$K$1:$K$400,MATCH(B100,SF_Output!$M$1:$M$400,0)))</f>
        <v>Card Processing Solutions (CPS)</v>
      </c>
      <c r="H100" cm="1">
        <f t="array" ref="H100">_xlfn.IFS(B100="","",(SUMIFS(SF_Output!$F$1:$F$400,SF_Output!$AC$1:$AC$400,_xlfn.TEXTJOIN(",",TRUE,B100:E100))+SUMIFS(SF_Output!$G$1:$G$400,SF_Output!$AC$1:$AC$400,_xlfn.TEXTJOIN(",",TRUE,B100:E100)))&lt;&gt;0,SF_Output!$Y$2,INDEX(SF_Output!$F$1:$F$400,MATCH(_xlfn.TEXTJOIN(",",TRUE,B100:E100),SF_Output!$AC$1:$AC$400,0))=0,INDEX(SF_Output!$R$1:$R$400,MATCH(_xlfn.TEXTJOIN(",",TRUE,B100:E100),SF_Output!$AC$1:$AC$400,0)))</f>
        <v>1</v>
      </c>
      <c r="I100" s="125" t="str">
        <f>IFERROR(IF(AND(H100&gt;1,H100&lt;&gt;""),ROUND(SUMIFS(SF_Output!$S$1:$S$400,SF_Output!$AC$1:$AC$400,_xlfn.TEXTJOIN(",",TRUE,B100:E100),SF_Output!$Q$1:$Q$400,"monthly")*(1-W100)/H100,4),""),"")</f>
        <v/>
      </c>
      <c r="J100" s="6">
        <f>IF(B100="","",SUMIFS(SF_Output!$S$1:$S$400,SF_Output!$AC$1:$AC$400,_xlfn.TEXTJOIN(",",TRUE,B100:E100),SF_Output!$Q$1:$Q$400,"One Time",SF_Output!$L$1:$L$400,"license fee")+SUMIFS(SF_Output!$S$1:$S$400,SF_Output!$AC$1:$AC$400,_xlfn.TEXTJOIN(",",TRUE,B100:E100),SF_Output!$Q$1:$Q$400,"One Time",SF_Output!$L$1:$L$400,"software license")+SUMIFS(SF_Output!$S$1:$S$400,SF_Output!$AC$1:$AC$400,_xlfn.TEXTJOIN(",",TRUE,B100:E100),SF_Output!$Q$1:$Q$400,"One Time",SF_Output!$L$1:$L$400,"hardware"))</f>
        <v>0</v>
      </c>
      <c r="K100" s="112" t="str">
        <f>IF(OR(B100=0,B100="",G100="hardware",J100=0),"",IF(AF100&lt;&gt;"exclusion",MAX(K$9,-((SUMIFS(SF_Output!$T$1:$T$400,SF_Output!$AC$1:$AC$400,_xlfn.TEXTJOIN(",",TRUE,$B100:$E100),SF_Output!$Q$1:$Q$400,"One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license"))/J100)))</f>
        <v/>
      </c>
      <c r="L100" s="6">
        <f t="shared" si="19"/>
        <v>0</v>
      </c>
      <c r="N100" s="6">
        <f>IF(B100="","",SUMIFS(SF_Output!$S$1:$S$400,SF_Output!$AC$1:$AC$400,_xlfn.TEXTJOIN(",",TRUE,B100:E100),SF_Output!$Q$1:$Q$400,"One Time",SF_Output!$L$1:$L$400,"professional service"))</f>
        <v>0</v>
      </c>
      <c r="O100" s="112" t="str">
        <f>IF(OR(B100=0,B100="",N100=0),"",IF(AF100&lt;&gt;"exclusion",MAX(O$9,-(SUMIFS(SF_Output!$T$1:$T$400,SF_Output!$AC$1:$AC$400,_xlfn.TEXTJOIN(",",TRUE,$B100:$E100),SF_Output!$Q$1:$Q$400,"One Time",SF_Output!$L$1:$L$400,"professional service"))/N100),-((SUMIFS(SF_Output!$T$1:$T$400,SF_Output!$AC$1:$AC$400,_xlfn.TEXTJOIN(",",TRUE,$B100:$E100),SF_Output!$Q$1:$Q$400,"One Time",SF_Output!$L$1:$L$400,"professional service")/N100))))</f>
        <v/>
      </c>
      <c r="P100" s="6">
        <f t="shared" si="20"/>
        <v>0</v>
      </c>
      <c r="R100" s="6">
        <f>IF(B100="","",SUMIFS(SF_Output!$S$1:$S$400,SF_Output!$AC$1:$AC$400,_xlfn.TEXTJOIN(",",TRUE,B100:E100),SF_Output!$Q$1:$Q$400,"yearly")+SUMIFS(SF_Output!$S$1:$S$400,SF_Output!$AC$1:$AC$400,_xlfn.TEXTJOIN(",",TRUE,B100:E100),SF_Output!$Q$1:$Q$400,"quarterly")*4)</f>
        <v>0</v>
      </c>
      <c r="S100" s="112" t="str">
        <f>IF(OR(B100=0,B100="",G100="hardware",R100=0),"",IF(AF100&lt;&gt;"exclusion",MAX(S$9,-(SUMIFS(SF_Output!$T$1:$T$400,SF_Output!$AC$1:$AC$400,_xlfn.TEXTJOIN(",",TRUE,$B100:$E100),SF_Output!$Q$1:$Q$400,"yearly"))/R100),-((SUMIFS(SF_Output!$T$1:$T$400,SF_Output!$AC$1:$AC$400,_xlfn.TEXTJOIN(",",TRUE,$B100:$E100),SF_Output!$Q$1:$Q$400,"yearly")/R100))))</f>
        <v/>
      </c>
      <c r="T100" s="6">
        <f t="shared" si="21"/>
        <v>0</v>
      </c>
      <c r="V100" s="6" cm="1">
        <f t="array" ref="V100">_xlfn.IFS(B100="","",AND(B100&lt;&gt;"",H100=SF_Output!$Y$2,SUMIFS(SF_Output!$T$1:$T$400,SF_Output!$AC$1:$AC$400,_xlfn.TEXTJOIN(",",TRUE,B100:E100),SF_Output!$Q$1:$Q$400,"monthly")=0),(SUMIFS(SF_Output!$F$1:$F$400,SF_Output!$AC$1:$AC$400,_xlfn.TEXTJOIN(",",TRUE,B100:E100),SF_Output!$Q$1:$Q$400,"monthly")+SUMIFS(SF_Output!$G$1:$G$400,SF_Output!$AC$1:$AC$400,_xlfn.TEXTJOIN(",",TRUE,B100:E100),SF_Output!$Q$1:$Q$400,"monthly"))*H100,AND(B100&lt;&gt;"",H100=SF_Output!$Y$2,SUMIFS(SF_Output!$T$1:$T$400,SF_Output!$AC$1:$AC$400,_xlfn.TEXTJOIN(",",TRUE,B100:E100),SF_Output!$Q$1:$Q$400,"monthly")&lt;&gt;0),SUMIFS(SF_Output!$S$1:$S$400,SF_Output!$AC$1:$AC$400,_xlfn.TEXTJOIN(",",TRUE,B100:E100),SF_Output!$Q$1:$Q$400,"monthly"),AND(B100&lt;&gt;"",H100&lt;&gt;SF_Output!$Y$2),SUMIFS(SF_Output!$S$1:$S$400,SF_Output!$AC$1:$AC$400,_xlfn.TEXTJOIN(",",TRUE,B100:E100),SF_Output!$Q$1:$Q$400,"monthly"))</f>
        <v>100</v>
      </c>
      <c r="W100" s="112" cm="1">
        <f t="array" ref="W100">_xlfn.IFS(OR(B100=0,B100="",V100=0),"",AF100&lt;&gt;"exclusion",MAX($W$9,$W$7,(-(SUMIFS(SF_Output!$T$1:$T$400,SF_Output!$AC$1:$AC$400,_xlfn.TEXTJOIN(",",TRUE,$B100:$E100),SF_Output!$Q$1:$Q$400,"monthly"))/V100)),AF100="exclusion",-(SUMIFS(SF_Output!$T$1:$T$400,SF_Output!$AC$1:$AC$400,_xlfn.TEXTJOIN(",",TRUE,$B100:$E100),SF_Output!$Q$1:$Q$400,"monthly"))/V100)</f>
        <v>0</v>
      </c>
      <c r="X100" s="6" cm="1">
        <f t="array" ref="X100">IFERROR(_xlfn.IFS(V100=0,0,V100="","",W100=0,V100,OR(V100&lt;&gt;0,V100&lt;&gt;""),H100*I100),V100*(1-W100))</f>
        <v>100</v>
      </c>
      <c r="Z100" s="6">
        <f>IFERROR(IF(B100="","",SUMIFS(Billing_Fallout!H:H,Billing_Fallout!N:N,B100)),0)</f>
        <v>0</v>
      </c>
      <c r="AA100" s="6">
        <f t="shared" si="22"/>
        <v>0</v>
      </c>
      <c r="AB100" s="6">
        <f>IFERROR(IF(B100="","",SUMIFS(Billing_Fallout!J:J,Billing_Fallout!N:N,B100)),0)</f>
        <v>0</v>
      </c>
      <c r="AD100" s="6">
        <f t="shared" si="23"/>
        <v>100</v>
      </c>
      <c r="AF100" t="str">
        <f>IFERROR(INDEX(H_Tables!$B$1:$B$1500,MATCH(INDEX(SF_Output!$J$1:$J$400,MATCH(B100,SF_Output!$M$1:$M$400,0)),H_Tables!$A$1:$A$1500,0)),"")</f>
        <v>Exclusion</v>
      </c>
      <c r="AI100" s="119" t="str">
        <f t="shared" si="24"/>
        <v/>
      </c>
      <c r="AJ100" s="121">
        <f>IFERROR(INDEX(SF_Output!AD:AD,MATCH(_xlfn.TEXTJOIN(",",TRUE,B100:E100),SF_Output!AC1:AC400,0)),0.05)</f>
        <v>172</v>
      </c>
      <c r="AK100" t="str">
        <f>IF(SUMIFS(SF_Output!$F$1:$F$400,SF_Output!$AC$1:$AC$400,_xlfn.TEXTJOIN(",",TRUE,B100:E100))+SUMIFS(SF_Output!$G$1:$G$400,SF_Output!$AC$1:$AC$400,_xlfn.TEXTJOIN(",",TRUE,B100:E100))=0,"","PAP")</f>
        <v/>
      </c>
      <c r="AL100" s="35" t="str">
        <f t="shared" si="25"/>
        <v>ATM Driving VPN,New,Hosted by 3rd Party,0</v>
      </c>
      <c r="AQ100" s="35"/>
      <c r="AR100" s="35" t="str" cm="1">
        <f t="array" ref="AR100">IFERROR(_xlfn.IFS(AND(E100*1=1,F100="Included"),"Change to Included",AND(E100*1=0,F100="Optional"),"Change to Optional",OR(B100="",F100="replaced"),""),"")</f>
        <v/>
      </c>
      <c r="AS100" s="35" t="str">
        <f t="shared" si="26"/>
        <v/>
      </c>
      <c r="AT100" s="35" t="str">
        <f t="shared" si="27"/>
        <v/>
      </c>
      <c r="AU100" s="35" t="str">
        <f t="shared" si="28"/>
        <v/>
      </c>
      <c r="AV100" s="35" t="str">
        <f t="shared" si="29"/>
        <v/>
      </c>
      <c r="AW100" s="35" t="str">
        <f t="shared" si="30"/>
        <v/>
      </c>
      <c r="AX100" s="35" t="str">
        <f t="shared" si="31"/>
        <v/>
      </c>
      <c r="AY100" s="35" t="str">
        <f t="shared" si="32"/>
        <v/>
      </c>
      <c r="AZ100" s="35" t="str">
        <f t="shared" si="33"/>
        <v/>
      </c>
      <c r="BA100" s="35" t="str">
        <f t="shared" si="34"/>
        <v/>
      </c>
      <c r="BB100" s="35" t="str">
        <f t="shared" si="35"/>
        <v/>
      </c>
      <c r="BC100" s="35"/>
      <c r="BE100" s="35">
        <f ca="1">INDEX(SF_Output!$AA$2:$AA$400,MATCH($B100,SF_Output!$M$2:$M$400,0))</f>
        <v>6</v>
      </c>
      <c r="BF100" s="35">
        <f ca="1">INDEX(SF_Output!$AB$2:$AB$400,MATCH($B100,SF_Output!$M$2:$M$400,0))</f>
        <v>1</v>
      </c>
    </row>
    <row r="101" spans="2:58" x14ac:dyDescent="0.25">
      <c r="B101" t="s">
        <v>715</v>
      </c>
      <c r="C101" t="s">
        <v>2122</v>
      </c>
      <c r="D101" t="s">
        <v>2207</v>
      </c>
      <c r="E101" t="s">
        <v>2124</v>
      </c>
      <c r="F101" s="116" t="str">
        <f t="shared" si="18"/>
        <v>Included</v>
      </c>
      <c r="G101" t="str">
        <f>IF(B101="","",INDEX(SF_Output!$K$1:$K$400,MATCH(B101,SF_Output!$M$1:$M$400,0)))</f>
        <v>Card Processing Solutions (CPS)</v>
      </c>
      <c r="H101" cm="1">
        <f t="array" ref="H101">_xlfn.IFS(B101="","",(SUMIFS(SF_Output!$F$1:$F$400,SF_Output!$AC$1:$AC$400,_xlfn.TEXTJOIN(",",TRUE,B101:E101))+SUMIFS(SF_Output!$G$1:$G$400,SF_Output!$AC$1:$AC$400,_xlfn.TEXTJOIN(",",TRUE,B101:E101)))&lt;&gt;0,SF_Output!$Y$2,INDEX(SF_Output!$F$1:$F$400,MATCH(_xlfn.TEXTJOIN(",",TRUE,B101:E101),SF_Output!$AC$1:$AC$400,0))=0,INDEX(SF_Output!$R$1:$R$400,MATCH(_xlfn.TEXTJOIN(",",TRUE,B101:E101),SF_Output!$AC$1:$AC$400,0)))</f>
        <v>1</v>
      </c>
      <c r="I101" s="125" t="str">
        <f>IFERROR(IF(AND(H101&gt;1,H101&lt;&gt;""),ROUND(SUMIFS(SF_Output!$S$1:$S$400,SF_Output!$AC$1:$AC$400,_xlfn.TEXTJOIN(",",TRUE,B101:E101),SF_Output!$Q$1:$Q$400,"monthly")*(1-W101)/H101,4),""),"")</f>
        <v/>
      </c>
      <c r="J101" s="6">
        <f>IF(B101="","",SUMIFS(SF_Output!$S$1:$S$400,SF_Output!$AC$1:$AC$400,_xlfn.TEXTJOIN(",",TRUE,B101:E101),SF_Output!$Q$1:$Q$400,"One Time",SF_Output!$L$1:$L$400,"license fee")+SUMIFS(SF_Output!$S$1:$S$400,SF_Output!$AC$1:$AC$400,_xlfn.TEXTJOIN(",",TRUE,B101:E101),SF_Output!$Q$1:$Q$400,"One Time",SF_Output!$L$1:$L$400,"software license")+SUMIFS(SF_Output!$S$1:$S$400,SF_Output!$AC$1:$AC$400,_xlfn.TEXTJOIN(",",TRUE,B101:E101),SF_Output!$Q$1:$Q$400,"One Time",SF_Output!$L$1:$L$400,"hardware"))</f>
        <v>0</v>
      </c>
      <c r="K101" s="112" t="str">
        <f>IF(OR(B101=0,B101="",G101="hardware",J101=0),"",IF(AF101&lt;&gt;"exclusion",MAX(K$9,-((SUMIFS(SF_Output!$T$1:$T$400,SF_Output!$AC$1:$AC$400,_xlfn.TEXTJOIN(",",TRUE,$B101:$E101),SF_Output!$Q$1:$Q$400,"One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license"))/J101)))</f>
        <v/>
      </c>
      <c r="L101" s="6">
        <f t="shared" si="19"/>
        <v>0</v>
      </c>
      <c r="N101" s="6">
        <f>IF(B101="","",SUMIFS(SF_Output!$S$1:$S$400,SF_Output!$AC$1:$AC$400,_xlfn.TEXTJOIN(",",TRUE,B101:E101),SF_Output!$Q$1:$Q$400,"One Time",SF_Output!$L$1:$L$400,"professional service"))</f>
        <v>500</v>
      </c>
      <c r="O101" s="112">
        <f>IF(OR(B101=0,B101="",N101=0),"",IF(AF101&lt;&gt;"exclusion",MAX(O$9,-(SUMIFS(SF_Output!$T$1:$T$400,SF_Output!$AC$1:$AC$400,_xlfn.TEXTJOIN(",",TRUE,$B101:$E101),SF_Output!$Q$1:$Q$400,"One Time",SF_Output!$L$1:$L$400,"professional service"))/N101),-((SUMIFS(SF_Output!$T$1:$T$400,SF_Output!$AC$1:$AC$400,_xlfn.TEXTJOIN(",",TRUE,$B101:$E101),SF_Output!$Q$1:$Q$400,"One Time",SF_Output!$L$1:$L$400,"professional service")/N101))))</f>
        <v>1</v>
      </c>
      <c r="P101" s="6">
        <f t="shared" si="20"/>
        <v>0</v>
      </c>
      <c r="R101" s="6">
        <f>IF(B101="","",SUMIFS(SF_Output!$S$1:$S$400,SF_Output!$AC$1:$AC$400,_xlfn.TEXTJOIN(",",TRUE,B101:E101),SF_Output!$Q$1:$Q$400,"yearly")+SUMIFS(SF_Output!$S$1:$S$400,SF_Output!$AC$1:$AC$400,_xlfn.TEXTJOIN(",",TRUE,B101:E101),SF_Output!$Q$1:$Q$400,"quarterly")*4)</f>
        <v>0</v>
      </c>
      <c r="S101" s="112" t="str">
        <f>IF(OR(B101=0,B101="",G101="hardware",R101=0),"",IF(AF101&lt;&gt;"exclusion",MAX(S$9,-(SUMIFS(SF_Output!$T$1:$T$400,SF_Output!$AC$1:$AC$400,_xlfn.TEXTJOIN(",",TRUE,$B101:$E101),SF_Output!$Q$1:$Q$400,"yearly"))/R101),-((SUMIFS(SF_Output!$T$1:$T$400,SF_Output!$AC$1:$AC$400,_xlfn.TEXTJOIN(",",TRUE,$B101:$E101),SF_Output!$Q$1:$Q$400,"yearly")/R101))))</f>
        <v/>
      </c>
      <c r="T101" s="6">
        <f t="shared" si="21"/>
        <v>0</v>
      </c>
      <c r="V101" s="6" cm="1">
        <f t="array" ref="V101">_xlfn.IFS(B101="","",AND(B101&lt;&gt;"",H101=SF_Output!$Y$2,SUMIFS(SF_Output!$T$1:$T$400,SF_Output!$AC$1:$AC$400,_xlfn.TEXTJOIN(",",TRUE,B101:E101),SF_Output!$Q$1:$Q$400,"monthly")=0),(SUMIFS(SF_Output!$F$1:$F$400,SF_Output!$AC$1:$AC$400,_xlfn.TEXTJOIN(",",TRUE,B101:E101),SF_Output!$Q$1:$Q$400,"monthly")+SUMIFS(SF_Output!$G$1:$G$400,SF_Output!$AC$1:$AC$400,_xlfn.TEXTJOIN(",",TRUE,B101:E101),SF_Output!$Q$1:$Q$400,"monthly"))*H101,AND(B101&lt;&gt;"",H101=SF_Output!$Y$2,SUMIFS(SF_Output!$T$1:$T$400,SF_Output!$AC$1:$AC$400,_xlfn.TEXTJOIN(",",TRUE,B101:E101),SF_Output!$Q$1:$Q$400,"monthly")&lt;&gt;0),SUMIFS(SF_Output!$S$1:$S$400,SF_Output!$AC$1:$AC$400,_xlfn.TEXTJOIN(",",TRUE,B101:E101),SF_Output!$Q$1:$Q$400,"monthly"),AND(B101&lt;&gt;"",H101&lt;&gt;SF_Output!$Y$2),SUMIFS(SF_Output!$S$1:$S$400,SF_Output!$AC$1:$AC$400,_xlfn.TEXTJOIN(",",TRUE,B101:E101),SF_Output!$Q$1:$Q$400,"monthly"))</f>
        <v>75</v>
      </c>
      <c r="W101" s="112" cm="1">
        <f t="array" ref="W101">_xlfn.IFS(OR(B101=0,B101="",V101=0),"",AF101&lt;&gt;"exclusion",MAX($W$9,$W$7,(-(SUMIFS(SF_Output!$T$1:$T$400,SF_Output!$AC$1:$AC$400,_xlfn.TEXTJOIN(",",TRUE,$B101:$E101),SF_Output!$Q$1:$Q$400,"monthly"))/V101)),AF101="exclusion",-(SUMIFS(SF_Output!$T$1:$T$400,SF_Output!$AC$1:$AC$400,_xlfn.TEXTJOIN(",",TRUE,$B101:$E101),SF_Output!$Q$1:$Q$400,"monthly"))/V101)</f>
        <v>0</v>
      </c>
      <c r="X101" s="6" cm="1">
        <f t="array" ref="X101">IFERROR(_xlfn.IFS(V101=0,0,V101="","",W101=0,V101,OR(V101&lt;&gt;0,V101&lt;&gt;""),H101*I101),V101*(1-W101))</f>
        <v>75</v>
      </c>
      <c r="Z101" s="6">
        <f>IFERROR(IF(B101="","",SUMIFS(Billing_Fallout!H:H,Billing_Fallout!N:N,B101)),0)</f>
        <v>0</v>
      </c>
      <c r="AA101" s="6">
        <f t="shared" si="22"/>
        <v>0</v>
      </c>
      <c r="AB101" s="6">
        <f>IFERROR(IF(B101="","",SUMIFS(Billing_Fallout!J:J,Billing_Fallout!N:N,B101)),0)</f>
        <v>0</v>
      </c>
      <c r="AD101" s="6">
        <f t="shared" si="23"/>
        <v>75</v>
      </c>
      <c r="AF101" t="str">
        <f>IFERROR(INDEX(H_Tables!$B$1:$B$1500,MATCH(INDEX(SF_Output!$J$1:$J$400,MATCH(B101,SF_Output!$M$1:$M$400,0)),H_Tables!$A$1:$A$1500,0)),"")</f>
        <v>Exclusion</v>
      </c>
      <c r="AI101" s="119" t="str">
        <f t="shared" si="24"/>
        <v/>
      </c>
      <c r="AJ101" s="121">
        <f>IFERROR(INDEX(SF_Output!AD:AD,MATCH(_xlfn.TEXTJOIN(",",TRUE,B101:E101),SF_Output!AC1:AC400,0)),0.05)</f>
        <v>173</v>
      </c>
      <c r="AK101" t="str">
        <f>IF(SUMIFS(SF_Output!$F$1:$F$400,SF_Output!$AC$1:$AC$400,_xlfn.TEXTJOIN(",",TRUE,B101:E101))+SUMIFS(SF_Output!$G$1:$G$400,SF_Output!$AC$1:$AC$400,_xlfn.TEXTJOIN(",",TRUE,B101:E101))=0,"","PAP")</f>
        <v/>
      </c>
      <c r="AL101" s="35" t="str">
        <f t="shared" si="25"/>
        <v>Regional ATM/Debit Network,New,Hosted by 3rd Party,0</v>
      </c>
      <c r="AQ101" s="35"/>
      <c r="AR101" s="35" t="str" cm="1">
        <f t="array" ref="AR101">IFERROR(_xlfn.IFS(AND(E101*1=1,F101="Included"),"Change to Included",AND(E101*1=0,F101="Optional"),"Change to Optional",OR(B101="",F101="replaced"),""),"")</f>
        <v/>
      </c>
      <c r="AS101" s="35" t="str">
        <f t="shared" si="26"/>
        <v/>
      </c>
      <c r="AT101" s="35" t="str">
        <f t="shared" si="27"/>
        <v/>
      </c>
      <c r="AU101" s="35" t="str">
        <f t="shared" si="28"/>
        <v/>
      </c>
      <c r="AV101" s="35" t="str">
        <f t="shared" si="29"/>
        <v/>
      </c>
      <c r="AW101" s="35" t="str">
        <f t="shared" si="30"/>
        <v/>
      </c>
      <c r="AX101" s="35" t="str">
        <f t="shared" si="31"/>
        <v/>
      </c>
      <c r="AY101" s="35" t="str">
        <f t="shared" si="32"/>
        <v/>
      </c>
      <c r="AZ101" s="35" t="str">
        <f t="shared" si="33"/>
        <v/>
      </c>
      <c r="BA101" s="35" t="str">
        <f t="shared" si="34"/>
        <v/>
      </c>
      <c r="BB101" s="35" t="str">
        <f t="shared" si="35"/>
        <v/>
      </c>
      <c r="BC101" s="35"/>
      <c r="BE101" s="35">
        <f ca="1">INDEX(SF_Output!$AA$2:$AA$400,MATCH($B101,SF_Output!$M$2:$M$400,0))</f>
        <v>6</v>
      </c>
      <c r="BF101" s="35">
        <f ca="1">INDEX(SF_Output!$AB$2:$AB$400,MATCH($B101,SF_Output!$M$2:$M$400,0))</f>
        <v>1</v>
      </c>
    </row>
    <row r="102" spans="2:58" x14ac:dyDescent="0.25">
      <c r="B102" t="s">
        <v>716</v>
      </c>
      <c r="C102" t="s">
        <v>2122</v>
      </c>
      <c r="D102" t="s">
        <v>2207</v>
      </c>
      <c r="E102" t="s">
        <v>2124</v>
      </c>
      <c r="F102" s="116" t="str">
        <f t="shared" si="18"/>
        <v>Included</v>
      </c>
      <c r="G102" t="str">
        <f>IF(B102="","",INDEX(SF_Output!$K$1:$K$400,MATCH(B102,SF_Output!$M$1:$M$400,0)))</f>
        <v>Card Processing Solutions (CPS)</v>
      </c>
      <c r="H102" cm="1">
        <f t="array" ref="H102">_xlfn.IFS(B102="","",(SUMIFS(SF_Output!$F$1:$F$400,SF_Output!$AC$1:$AC$400,_xlfn.TEXTJOIN(",",TRUE,B102:E102))+SUMIFS(SF_Output!$G$1:$G$400,SF_Output!$AC$1:$AC$400,_xlfn.TEXTJOIN(",",TRUE,B102:E102)))&lt;&gt;0,SF_Output!$Y$2,INDEX(SF_Output!$F$1:$F$400,MATCH(_xlfn.TEXTJOIN(",",TRUE,B102:E102),SF_Output!$AC$1:$AC$400,0))=0,INDEX(SF_Output!$R$1:$R$400,MATCH(_xlfn.TEXTJOIN(",",TRUE,B102:E102),SF_Output!$AC$1:$AC$400,0)))</f>
        <v>3</v>
      </c>
      <c r="I102" s="125">
        <f>IFERROR(IF(AND(H102&gt;1,H102&lt;&gt;""),ROUND(SUMIFS(SF_Output!$S$1:$S$400,SF_Output!$AC$1:$AC$400,_xlfn.TEXTJOIN(",",TRUE,B102:E102),SF_Output!$Q$1:$Q$400,"monthly")*(1-W102)/H102,4),""),"")</f>
        <v>75</v>
      </c>
      <c r="J102" s="6">
        <f>IF(B102="","",SUMIFS(SF_Output!$S$1:$S$400,SF_Output!$AC$1:$AC$400,_xlfn.TEXTJOIN(",",TRUE,B102:E102),SF_Output!$Q$1:$Q$400,"One Time",SF_Output!$L$1:$L$400,"license fee")+SUMIFS(SF_Output!$S$1:$S$400,SF_Output!$AC$1:$AC$400,_xlfn.TEXTJOIN(",",TRUE,B102:E102),SF_Output!$Q$1:$Q$400,"One Time",SF_Output!$L$1:$L$400,"software license")+SUMIFS(SF_Output!$S$1:$S$400,SF_Output!$AC$1:$AC$400,_xlfn.TEXTJOIN(",",TRUE,B102:E102),SF_Output!$Q$1:$Q$400,"One Time",SF_Output!$L$1:$L$400,"hardware"))</f>
        <v>0</v>
      </c>
      <c r="K102" s="112" t="str">
        <f>IF(OR(B102=0,B102="",G102="hardware",J102=0),"",IF(AF102&lt;&gt;"exclusion",MAX(K$9,-((SUMIFS(SF_Output!$T$1:$T$400,SF_Output!$AC$1:$AC$400,_xlfn.TEXTJOIN(",",TRUE,$B102:$E102),SF_Output!$Q$1:$Q$400,"One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license"))/J102)))</f>
        <v/>
      </c>
      <c r="L102" s="6">
        <f t="shared" si="19"/>
        <v>0</v>
      </c>
      <c r="N102" s="6">
        <f>IF(B102="","",SUMIFS(SF_Output!$S$1:$S$400,SF_Output!$AC$1:$AC$400,_xlfn.TEXTJOIN(",",TRUE,B102:E102),SF_Output!$Q$1:$Q$400,"One Time",SF_Output!$L$1:$L$400,"professional service"))</f>
        <v>1500</v>
      </c>
      <c r="O102" s="112">
        <f>IF(OR(B102=0,B102="",N102=0),"",IF(AF102&lt;&gt;"exclusion",MAX(O$9,-(SUMIFS(SF_Output!$T$1:$T$400,SF_Output!$AC$1:$AC$400,_xlfn.TEXTJOIN(",",TRUE,$B102:$E102),SF_Output!$Q$1:$Q$400,"One Time",SF_Output!$L$1:$L$400,"professional service"))/N102),-((SUMIFS(SF_Output!$T$1:$T$400,SF_Output!$AC$1:$AC$400,_xlfn.TEXTJOIN(",",TRUE,$B102:$E102),SF_Output!$Q$1:$Q$400,"One Time",SF_Output!$L$1:$L$400,"professional service")/N102))))</f>
        <v>1</v>
      </c>
      <c r="P102" s="6">
        <f t="shared" si="20"/>
        <v>0</v>
      </c>
      <c r="R102" s="6">
        <f>IF(B102="","",SUMIFS(SF_Output!$S$1:$S$400,SF_Output!$AC$1:$AC$400,_xlfn.TEXTJOIN(",",TRUE,B102:E102),SF_Output!$Q$1:$Q$400,"yearly")+SUMIFS(SF_Output!$S$1:$S$400,SF_Output!$AC$1:$AC$400,_xlfn.TEXTJOIN(",",TRUE,B102:E102),SF_Output!$Q$1:$Q$400,"quarterly")*4)</f>
        <v>0</v>
      </c>
      <c r="S102" s="112" t="str">
        <f>IF(OR(B102=0,B102="",G102="hardware",R102=0),"",IF(AF102&lt;&gt;"exclusion",MAX(S$9,-(SUMIFS(SF_Output!$T$1:$T$400,SF_Output!$AC$1:$AC$400,_xlfn.TEXTJOIN(",",TRUE,$B102:$E102),SF_Output!$Q$1:$Q$400,"yearly"))/R102),-((SUMIFS(SF_Output!$T$1:$T$400,SF_Output!$AC$1:$AC$400,_xlfn.TEXTJOIN(",",TRUE,$B102:$E102),SF_Output!$Q$1:$Q$400,"yearly")/R102))))</f>
        <v/>
      </c>
      <c r="T102" s="6">
        <f t="shared" si="21"/>
        <v>0</v>
      </c>
      <c r="V102" s="6" cm="1">
        <f t="array" ref="V102">_xlfn.IFS(B102="","",AND(B102&lt;&gt;"",H102=SF_Output!$Y$2,SUMIFS(SF_Output!$T$1:$T$400,SF_Output!$AC$1:$AC$400,_xlfn.TEXTJOIN(",",TRUE,B102:E102),SF_Output!$Q$1:$Q$400,"monthly")=0),(SUMIFS(SF_Output!$F$1:$F$400,SF_Output!$AC$1:$AC$400,_xlfn.TEXTJOIN(",",TRUE,B102:E102),SF_Output!$Q$1:$Q$400,"monthly")+SUMIFS(SF_Output!$G$1:$G$400,SF_Output!$AC$1:$AC$400,_xlfn.TEXTJOIN(",",TRUE,B102:E102),SF_Output!$Q$1:$Q$400,"monthly"))*H102,AND(B102&lt;&gt;"",H102=SF_Output!$Y$2,SUMIFS(SF_Output!$T$1:$T$400,SF_Output!$AC$1:$AC$400,_xlfn.TEXTJOIN(",",TRUE,B102:E102),SF_Output!$Q$1:$Q$400,"monthly")&lt;&gt;0),SUMIFS(SF_Output!$S$1:$S$400,SF_Output!$AC$1:$AC$400,_xlfn.TEXTJOIN(",",TRUE,B102:E102),SF_Output!$Q$1:$Q$400,"monthly"),AND(B102&lt;&gt;"",H102&lt;&gt;SF_Output!$Y$2),SUMIFS(SF_Output!$S$1:$S$400,SF_Output!$AC$1:$AC$400,_xlfn.TEXTJOIN(",",TRUE,B102:E102),SF_Output!$Q$1:$Q$400,"monthly"))</f>
        <v>225</v>
      </c>
      <c r="W102" s="112" cm="1">
        <f t="array" ref="W102">_xlfn.IFS(OR(B102=0,B102="",V102=0),"",AF102&lt;&gt;"exclusion",MAX($W$9,$W$7,(-(SUMIFS(SF_Output!$T$1:$T$400,SF_Output!$AC$1:$AC$400,_xlfn.TEXTJOIN(",",TRUE,$B102:$E102),SF_Output!$Q$1:$Q$400,"monthly"))/V102)),AF102="exclusion",-(SUMIFS(SF_Output!$T$1:$T$400,SF_Output!$AC$1:$AC$400,_xlfn.TEXTJOIN(",",TRUE,$B102:$E102),SF_Output!$Q$1:$Q$400,"monthly"))/V102)</f>
        <v>0</v>
      </c>
      <c r="X102" s="6" cm="1">
        <f t="array" ref="X102">IFERROR(_xlfn.IFS(V102=0,0,V102="","",W102=0,V102,OR(V102&lt;&gt;0,V102&lt;&gt;""),H102*I102),V102*(1-W102))</f>
        <v>225</v>
      </c>
      <c r="Z102" s="6">
        <f>IFERROR(IF(B102="","",SUMIFS(Billing_Fallout!H:H,Billing_Fallout!N:N,B102)),0)</f>
        <v>0</v>
      </c>
      <c r="AA102" s="6">
        <f t="shared" si="22"/>
        <v>0</v>
      </c>
      <c r="AB102" s="6">
        <f>IFERROR(IF(B102="","",SUMIFS(Billing_Fallout!J:J,Billing_Fallout!N:N,B102)),0)</f>
        <v>0</v>
      </c>
      <c r="AD102" s="6">
        <f t="shared" si="23"/>
        <v>225</v>
      </c>
      <c r="AF102" t="str">
        <f>IFERROR(INDEX(H_Tables!$B$1:$B$1500,MATCH(INDEX(SF_Output!$J$1:$J$400,MATCH(B102,SF_Output!$M$1:$M$400,0)),H_Tables!$A$1:$A$1500,0)),"")</f>
        <v>Exclusion</v>
      </c>
      <c r="AI102" s="119" t="str">
        <f t="shared" si="24"/>
        <v/>
      </c>
      <c r="AJ102" s="121">
        <f>IFERROR(INDEX(SF_Output!AD:AD,MATCH(_xlfn.TEXTJOIN(",",TRUE,B102:E102),SF_Output!AC1:AC400,0)),0.05)</f>
        <v>175</v>
      </c>
      <c r="AK102" t="str">
        <f>IF(SUMIFS(SF_Output!$F$1:$F$400,SF_Output!$AC$1:$AC$400,_xlfn.TEXTJOIN(",",TRUE,B102:E102))+SUMIFS(SF_Output!$G$1:$G$400,SF_Output!$AC$1:$AC$400,_xlfn.TEXTJOIN(",",TRUE,B102:E102))=0,"","PAP")</f>
        <v/>
      </c>
      <c r="AL102" s="35" t="str">
        <f t="shared" si="25"/>
        <v>National ATM/Debit Network,New,Hosted by 3rd Party,0</v>
      </c>
      <c r="AQ102" s="35"/>
      <c r="AR102" s="35" t="str" cm="1">
        <f t="array" ref="AR102">IFERROR(_xlfn.IFS(AND(E102*1=1,F102="Included"),"Change to Included",AND(E102*1=0,F102="Optional"),"Change to Optional",OR(B102="",F102="replaced"),""),"")</f>
        <v/>
      </c>
      <c r="AS102" s="35" t="str">
        <f t="shared" si="26"/>
        <v/>
      </c>
      <c r="AT102" s="35" t="str">
        <f t="shared" si="27"/>
        <v/>
      </c>
      <c r="AU102" s="35" t="str">
        <f t="shared" si="28"/>
        <v/>
      </c>
      <c r="AV102" s="35" t="str">
        <f t="shared" si="29"/>
        <v/>
      </c>
      <c r="AW102" s="35" t="str">
        <f t="shared" si="30"/>
        <v/>
      </c>
      <c r="AX102" s="35" t="str">
        <f t="shared" si="31"/>
        <v/>
      </c>
      <c r="AY102" s="35" t="str">
        <f t="shared" si="32"/>
        <v/>
      </c>
      <c r="AZ102" s="35" t="str">
        <f t="shared" si="33"/>
        <v/>
      </c>
      <c r="BA102" s="35" t="str">
        <f t="shared" si="34"/>
        <v/>
      </c>
      <c r="BB102" s="35" t="str">
        <f t="shared" si="35"/>
        <v/>
      </c>
      <c r="BC102" s="35"/>
      <c r="BE102" s="35">
        <f ca="1">INDEX(SF_Output!$AA$2:$AA$400,MATCH($B102,SF_Output!$M$2:$M$400,0))</f>
        <v>6</v>
      </c>
      <c r="BF102" s="35">
        <f ca="1">INDEX(SF_Output!$AB$2:$AB$400,MATCH($B102,SF_Output!$M$2:$M$400,0))</f>
        <v>1</v>
      </c>
    </row>
    <row r="103" spans="2:58" x14ac:dyDescent="0.25">
      <c r="B103" t="s">
        <v>2363</v>
      </c>
      <c r="C103" t="s">
        <v>2122</v>
      </c>
      <c r="D103" t="s">
        <v>2207</v>
      </c>
      <c r="E103" t="s">
        <v>2124</v>
      </c>
      <c r="F103" s="116" t="str">
        <f t="shared" si="18"/>
        <v>Included</v>
      </c>
      <c r="G103" t="str">
        <f>IF(B103="","",INDEX(SF_Output!$K$1:$K$400,MATCH(B103,SF_Output!$M$1:$M$400,0)))</f>
        <v>Card Processing Solutions (CPS)</v>
      </c>
      <c r="H103" cm="1">
        <f t="array" ref="H103">_xlfn.IFS(B103="","",(SUMIFS(SF_Output!$F$1:$F$400,SF_Output!$AC$1:$AC$400,_xlfn.TEXTJOIN(",",TRUE,B103:E103))+SUMIFS(SF_Output!$G$1:$G$400,SF_Output!$AC$1:$AC$400,_xlfn.TEXTJOIN(",",TRUE,B103:E103)))&lt;&gt;0,SF_Output!$Y$2,INDEX(SF_Output!$F$1:$F$400,MATCH(_xlfn.TEXTJOIN(",",TRUE,B103:E103),SF_Output!$AC$1:$AC$400,0))=0,INDEX(SF_Output!$R$1:$R$400,MATCH(_xlfn.TEXTJOIN(",",TRUE,B103:E103),SF_Output!$AC$1:$AC$400,0)))</f>
        <v>0</v>
      </c>
      <c r="I103" s="125" t="str">
        <f>IFERROR(IF(AND(H103&gt;1,H103&lt;&gt;""),ROUND(SUMIFS(SF_Output!$S$1:$S$400,SF_Output!$AC$1:$AC$400,_xlfn.TEXTJOIN(",",TRUE,B103:E103),SF_Output!$Q$1:$Q$400,"monthly")*(1-W103)/H103,4),""),"")</f>
        <v/>
      </c>
      <c r="J103" s="6">
        <f>IF(B103="","",SUMIFS(SF_Output!$S$1:$S$400,SF_Output!$AC$1:$AC$400,_xlfn.TEXTJOIN(",",TRUE,B103:E103),SF_Output!$Q$1:$Q$400,"One Time",SF_Output!$L$1:$L$400,"license fee")+SUMIFS(SF_Output!$S$1:$S$400,SF_Output!$AC$1:$AC$400,_xlfn.TEXTJOIN(",",TRUE,B103:E103),SF_Output!$Q$1:$Q$400,"One Time",SF_Output!$L$1:$L$400,"software license")+SUMIFS(SF_Output!$S$1:$S$400,SF_Output!$AC$1:$AC$400,_xlfn.TEXTJOIN(",",TRUE,B103:E103),SF_Output!$Q$1:$Q$400,"One Time",SF_Output!$L$1:$L$400,"hardware"))</f>
        <v>0</v>
      </c>
      <c r="K103" s="112" t="str">
        <f>IF(OR(B103=0,B103="",G103="hardware",J103=0),"",IF(AF103&lt;&gt;"exclusion",MAX(K$9,-((SUMIFS(SF_Output!$T$1:$T$400,SF_Output!$AC$1:$AC$400,_xlfn.TEXTJOIN(",",TRUE,$B103:$E103),SF_Output!$Q$1:$Q$400,"One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license"))/J103)))</f>
        <v/>
      </c>
      <c r="L103" s="6">
        <f t="shared" si="19"/>
        <v>0</v>
      </c>
      <c r="N103" s="6">
        <f>IF(B103="","",SUMIFS(SF_Output!$S$1:$S$400,SF_Output!$AC$1:$AC$400,_xlfn.TEXTJOIN(",",TRUE,B103:E103),SF_Output!$Q$1:$Q$400,"One Time",SF_Output!$L$1:$L$400,"professional service"))</f>
        <v>200</v>
      </c>
      <c r="O103" s="112">
        <f>IF(OR(B103=0,B103="",N103=0),"",IF(AF103&lt;&gt;"exclusion",MAX(O$9,-(SUMIFS(SF_Output!$T$1:$T$400,SF_Output!$AC$1:$AC$400,_xlfn.TEXTJOIN(",",TRUE,$B103:$E103),SF_Output!$Q$1:$Q$400,"One Time",SF_Output!$L$1:$L$400,"professional service"))/N103),-((SUMIFS(SF_Output!$T$1:$T$400,SF_Output!$AC$1:$AC$400,_xlfn.TEXTJOIN(",",TRUE,$B103:$E103),SF_Output!$Q$1:$Q$400,"One Time",SF_Output!$L$1:$L$400,"professional service")/N103))))</f>
        <v>1</v>
      </c>
      <c r="P103" s="6">
        <f t="shared" si="20"/>
        <v>0</v>
      </c>
      <c r="R103" s="6">
        <f>IF(B103="","",SUMIFS(SF_Output!$S$1:$S$400,SF_Output!$AC$1:$AC$400,_xlfn.TEXTJOIN(",",TRUE,B103:E103),SF_Output!$Q$1:$Q$400,"yearly")+SUMIFS(SF_Output!$S$1:$S$400,SF_Output!$AC$1:$AC$400,_xlfn.TEXTJOIN(",",TRUE,B103:E103),SF_Output!$Q$1:$Q$400,"quarterly")*4)</f>
        <v>0</v>
      </c>
      <c r="S103" s="112" t="str">
        <f>IF(OR(B103=0,B103="",G103="hardware",R103=0),"",IF(AF103&lt;&gt;"exclusion",MAX(S$9,-(SUMIFS(SF_Output!$T$1:$T$400,SF_Output!$AC$1:$AC$400,_xlfn.TEXTJOIN(",",TRUE,$B103:$E103),SF_Output!$Q$1:$Q$400,"yearly"))/R103),-((SUMIFS(SF_Output!$T$1:$T$400,SF_Output!$AC$1:$AC$400,_xlfn.TEXTJOIN(",",TRUE,$B103:$E103),SF_Output!$Q$1:$Q$400,"yearly")/R103))))</f>
        <v/>
      </c>
      <c r="T103" s="6">
        <f t="shared" si="21"/>
        <v>0</v>
      </c>
      <c r="V103" s="6" cm="1">
        <f t="array" ref="V103">_xlfn.IFS(B103="","",AND(B103&lt;&gt;"",H103=SF_Output!$Y$2,SUMIFS(SF_Output!$T$1:$T$400,SF_Output!$AC$1:$AC$400,_xlfn.TEXTJOIN(",",TRUE,B103:E103),SF_Output!$Q$1:$Q$400,"monthly")=0),(SUMIFS(SF_Output!$F$1:$F$400,SF_Output!$AC$1:$AC$400,_xlfn.TEXTJOIN(",",TRUE,B103:E103),SF_Output!$Q$1:$Q$400,"monthly")+SUMIFS(SF_Output!$G$1:$G$400,SF_Output!$AC$1:$AC$400,_xlfn.TEXTJOIN(",",TRUE,B103:E103),SF_Output!$Q$1:$Q$400,"monthly"))*H103,AND(B103&lt;&gt;"",H103=SF_Output!$Y$2,SUMIFS(SF_Output!$T$1:$T$400,SF_Output!$AC$1:$AC$400,_xlfn.TEXTJOIN(",",TRUE,B103:E103),SF_Output!$Q$1:$Q$400,"monthly")&lt;&gt;0),SUMIFS(SF_Output!$S$1:$S$400,SF_Output!$AC$1:$AC$400,_xlfn.TEXTJOIN(",",TRUE,B103:E103),SF_Output!$Q$1:$Q$400,"monthly"),AND(B103&lt;&gt;"",H103&lt;&gt;SF_Output!$Y$2),SUMIFS(SF_Output!$S$1:$S$400,SF_Output!$AC$1:$AC$400,_xlfn.TEXTJOIN(",",TRUE,B103:E103),SF_Output!$Q$1:$Q$400,"monthly"))</f>
        <v>0</v>
      </c>
      <c r="W103" s="112" t="str" cm="1">
        <f t="array" ref="W103">_xlfn.IFS(OR(B103=0,B103="",V103=0),"",AF103&lt;&gt;"exclusion",MAX($W$9,$W$7,(-(SUMIFS(SF_Output!$T$1:$T$400,SF_Output!$AC$1:$AC$400,_xlfn.TEXTJOIN(",",TRUE,$B103:$E103),SF_Output!$Q$1:$Q$400,"monthly"))/V103)),AF103="exclusion",-(SUMIFS(SF_Output!$T$1:$T$400,SF_Output!$AC$1:$AC$400,_xlfn.TEXTJOIN(",",TRUE,$B103:$E103),SF_Output!$Q$1:$Q$400,"monthly"))/V103)</f>
        <v/>
      </c>
      <c r="X103" s="6" cm="1">
        <f t="array" ref="X103">IFERROR(_xlfn.IFS(V103=0,0,V103="","",W103=0,V103,OR(V103&lt;&gt;0,V103&lt;&gt;""),H103*I103),V103*(1-W103))</f>
        <v>0</v>
      </c>
      <c r="Z103" s="6">
        <f>IFERROR(IF(B103="","",SUMIFS(Billing_Fallout!H:H,Billing_Fallout!N:N,B103)),0)</f>
        <v>0</v>
      </c>
      <c r="AA103" s="6">
        <f t="shared" si="22"/>
        <v>0</v>
      </c>
      <c r="AB103" s="6">
        <f>IFERROR(IF(B103="","",SUMIFS(Billing_Fallout!J:J,Billing_Fallout!N:N,B103)),0)</f>
        <v>0</v>
      </c>
      <c r="AD103" s="6">
        <f t="shared" si="23"/>
        <v>0</v>
      </c>
      <c r="AF103" t="str">
        <f>IFERROR(INDEX(H_Tables!$B$1:$B$1500,MATCH(INDEX(SF_Output!$J$1:$J$400,MATCH(B103,SF_Output!$M$1:$M$400,0)),H_Tables!$A$1:$A$1500,0)),"")</f>
        <v>Exclusion</v>
      </c>
      <c r="AI103" s="119" t="str">
        <f t="shared" si="24"/>
        <v/>
      </c>
      <c r="AJ103" s="121">
        <f>IFERROR(INDEX(SF_Output!AD:AD,MATCH(_xlfn.TEXTJOIN(",",TRUE,B103:E103),SF_Output!AC1:AC400,0)),0.05)</f>
        <v>177</v>
      </c>
      <c r="AK103" t="str">
        <f>IF(SUMIFS(SF_Output!$F$1:$F$400,SF_Output!$AC$1:$AC$400,_xlfn.TEXTJOIN(",",TRUE,B103:E103))+SUMIFS(SF_Output!$G$1:$G$400,SF_Output!$AC$1:$AC$400,_xlfn.TEXTJOIN(",",TRUE,B103:E103))=0,"","PAP")</f>
        <v/>
      </c>
      <c r="AL103" s="35" t="str">
        <f t="shared" si="25"/>
        <v>VISA/MasterCard Account Update (Items Needing Review),New,Hosted by 3rd Party,0</v>
      </c>
      <c r="AQ103" s="35"/>
      <c r="AR103" s="35" t="str" cm="1">
        <f t="array" ref="AR103">IFERROR(_xlfn.IFS(AND(E103*1=1,F103="Included"),"Change to Included",AND(E103*1=0,F103="Optional"),"Change to Optional",OR(B103="",F103="replaced"),""),"")</f>
        <v/>
      </c>
      <c r="AS103" s="35" t="str">
        <f t="shared" si="26"/>
        <v/>
      </c>
      <c r="AT103" s="35" t="str">
        <f t="shared" si="27"/>
        <v/>
      </c>
      <c r="AU103" s="35" t="str">
        <f t="shared" si="28"/>
        <v/>
      </c>
      <c r="AV103" s="35" t="str">
        <f t="shared" si="29"/>
        <v/>
      </c>
      <c r="AW103" s="35" t="str">
        <f t="shared" si="30"/>
        <v/>
      </c>
      <c r="AX103" s="35" t="str">
        <f t="shared" si="31"/>
        <v/>
      </c>
      <c r="AY103" s="35" t="str">
        <f t="shared" si="32"/>
        <v/>
      </c>
      <c r="AZ103" s="35" t="str">
        <f t="shared" si="33"/>
        <v/>
      </c>
      <c r="BA103" s="35" t="str">
        <f t="shared" si="34"/>
        <v/>
      </c>
      <c r="BB103" s="35" t="str">
        <f t="shared" si="35"/>
        <v/>
      </c>
      <c r="BC103" s="35"/>
      <c r="BE103" s="35">
        <f ca="1">INDEX(SF_Output!$AA$2:$AA$400,MATCH($B103,SF_Output!$M$2:$M$400,0))</f>
        <v>6</v>
      </c>
      <c r="BF103" s="35">
        <f ca="1">INDEX(SF_Output!$AB$2:$AB$400,MATCH($B103,SF_Output!$M$2:$M$400,0))</f>
        <v>1</v>
      </c>
    </row>
    <row r="104" spans="2:58" x14ac:dyDescent="0.25">
      <c r="B104" t="s">
        <v>1730</v>
      </c>
      <c r="C104" t="s">
        <v>2122</v>
      </c>
      <c r="D104" t="s">
        <v>2207</v>
      </c>
      <c r="E104" t="s">
        <v>2124</v>
      </c>
      <c r="F104" s="116" t="str">
        <f t="shared" si="18"/>
        <v>Included</v>
      </c>
      <c r="G104" t="str">
        <f>IF(B104="","",INDEX(SF_Output!$K$1:$K$400,MATCH(B104,SF_Output!$M$1:$M$400,0)))</f>
        <v>Card Processing Solutions (CPS)</v>
      </c>
      <c r="H104" cm="1">
        <f t="array" ref="H104">_xlfn.IFS(B104="","",(SUMIFS(SF_Output!$F$1:$F$400,SF_Output!$AC$1:$AC$400,_xlfn.TEXTJOIN(",",TRUE,B104:E104))+SUMIFS(SF_Output!$G$1:$G$400,SF_Output!$AC$1:$AC$400,_xlfn.TEXTJOIN(",",TRUE,B104:E104)))&lt;&gt;0,SF_Output!$Y$2,INDEX(SF_Output!$F$1:$F$400,MATCH(_xlfn.TEXTJOIN(",",TRUE,B104:E104),SF_Output!$AC$1:$AC$400,0))=0,INDEX(SF_Output!$R$1:$R$400,MATCH(_xlfn.TEXTJOIN(",",TRUE,B104:E104),SF_Output!$AC$1:$AC$400,0)))</f>
        <v>0</v>
      </c>
      <c r="I104" s="125" t="str">
        <f>IFERROR(IF(AND(H104&gt;1,H104&lt;&gt;""),ROUND(SUMIFS(SF_Output!$S$1:$S$400,SF_Output!$AC$1:$AC$400,_xlfn.TEXTJOIN(",",TRUE,B104:E104),SF_Output!$Q$1:$Q$400,"monthly")*(1-W104)/H104,4),""),"")</f>
        <v/>
      </c>
      <c r="J104" s="6">
        <f>IF(B104="","",SUMIFS(SF_Output!$S$1:$S$400,SF_Output!$AC$1:$AC$400,_xlfn.TEXTJOIN(",",TRUE,B104:E104),SF_Output!$Q$1:$Q$400,"One Time",SF_Output!$L$1:$L$400,"license fee")+SUMIFS(SF_Output!$S$1:$S$400,SF_Output!$AC$1:$AC$400,_xlfn.TEXTJOIN(",",TRUE,B104:E104),SF_Output!$Q$1:$Q$400,"One Time",SF_Output!$L$1:$L$400,"software license")+SUMIFS(SF_Output!$S$1:$S$400,SF_Output!$AC$1:$AC$400,_xlfn.TEXTJOIN(",",TRUE,B104:E104),SF_Output!$Q$1:$Q$400,"One Time",SF_Output!$L$1:$L$400,"hardware"))</f>
        <v>0</v>
      </c>
      <c r="K104" s="112" t="str">
        <f>IF(OR(B104=0,B104="",G104="hardware",J104=0),"",IF(AF104&lt;&gt;"exclusion",MAX(K$9,-((SUMIFS(SF_Output!$T$1:$T$400,SF_Output!$AC$1:$AC$400,_xlfn.TEXTJOIN(",",TRUE,$B104:$E104),SF_Output!$Q$1:$Q$400,"One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license"))/J104)))</f>
        <v/>
      </c>
      <c r="L104" s="6">
        <f t="shared" si="19"/>
        <v>0</v>
      </c>
      <c r="N104" s="6">
        <f>IF(B104="","",SUMIFS(SF_Output!$S$1:$S$400,SF_Output!$AC$1:$AC$400,_xlfn.TEXTJOIN(",",TRUE,B104:E104),SF_Output!$Q$1:$Q$400,"One Time",SF_Output!$L$1:$L$400,"professional service"))</f>
        <v>0</v>
      </c>
      <c r="O104" s="112" t="str">
        <f>IF(OR(B104=0,B104="",N104=0),"",IF(AF104&lt;&gt;"exclusion",MAX(O$9,-(SUMIFS(SF_Output!$T$1:$T$400,SF_Output!$AC$1:$AC$400,_xlfn.TEXTJOIN(",",TRUE,$B104:$E104),SF_Output!$Q$1:$Q$400,"One Time",SF_Output!$L$1:$L$400,"professional service"))/N104),-((SUMIFS(SF_Output!$T$1:$T$400,SF_Output!$AC$1:$AC$400,_xlfn.TEXTJOIN(",",TRUE,$B104:$E104),SF_Output!$Q$1:$Q$400,"One Time",SF_Output!$L$1:$L$400,"professional service")/N104))))</f>
        <v/>
      </c>
      <c r="P104" s="6">
        <f t="shared" si="20"/>
        <v>0</v>
      </c>
      <c r="R104" s="6">
        <f>IF(B104="","",SUMIFS(SF_Output!$S$1:$S$400,SF_Output!$AC$1:$AC$400,_xlfn.TEXTJOIN(",",TRUE,B104:E104),SF_Output!$Q$1:$Q$400,"yearly")+SUMIFS(SF_Output!$S$1:$S$400,SF_Output!$AC$1:$AC$400,_xlfn.TEXTJOIN(",",TRUE,B104:E104),SF_Output!$Q$1:$Q$400,"quarterly")*4)</f>
        <v>0</v>
      </c>
      <c r="S104" s="112" t="str">
        <f>IF(OR(B104=0,B104="",G104="hardware",R104=0),"",IF(AF104&lt;&gt;"exclusion",MAX(S$9,-(SUMIFS(SF_Output!$T$1:$T$400,SF_Output!$AC$1:$AC$400,_xlfn.TEXTJOIN(",",TRUE,$B104:$E104),SF_Output!$Q$1:$Q$400,"yearly"))/R104),-((SUMIFS(SF_Output!$T$1:$T$400,SF_Output!$AC$1:$AC$400,_xlfn.TEXTJOIN(",",TRUE,$B104:$E104),SF_Output!$Q$1:$Q$400,"yearly")/R104))))</f>
        <v/>
      </c>
      <c r="T104" s="6">
        <f t="shared" si="21"/>
        <v>0</v>
      </c>
      <c r="V104" s="6" cm="1">
        <f t="array" ref="V104">_xlfn.IFS(B104="","",AND(B104&lt;&gt;"",H104=SF_Output!$Y$2,SUMIFS(SF_Output!$T$1:$T$400,SF_Output!$AC$1:$AC$400,_xlfn.TEXTJOIN(",",TRUE,B104:E104),SF_Output!$Q$1:$Q$400,"monthly")=0),(SUMIFS(SF_Output!$F$1:$F$400,SF_Output!$AC$1:$AC$400,_xlfn.TEXTJOIN(",",TRUE,B104:E104),SF_Output!$Q$1:$Q$400,"monthly")+SUMIFS(SF_Output!$G$1:$G$400,SF_Output!$AC$1:$AC$400,_xlfn.TEXTJOIN(",",TRUE,B104:E104),SF_Output!$Q$1:$Q$400,"monthly"))*H104,AND(B104&lt;&gt;"",H104=SF_Output!$Y$2,SUMIFS(SF_Output!$T$1:$T$400,SF_Output!$AC$1:$AC$400,_xlfn.TEXTJOIN(",",TRUE,B104:E104),SF_Output!$Q$1:$Q$400,"monthly")&lt;&gt;0),SUMIFS(SF_Output!$S$1:$S$400,SF_Output!$AC$1:$AC$400,_xlfn.TEXTJOIN(",",TRUE,B104:E104),SF_Output!$Q$1:$Q$400,"monthly"),AND(B104&lt;&gt;"",H104&lt;&gt;SF_Output!$Y$2),SUMIFS(SF_Output!$S$1:$S$400,SF_Output!$AC$1:$AC$400,_xlfn.TEXTJOIN(",",TRUE,B104:E104),SF_Output!$Q$1:$Q$400,"monthly"))</f>
        <v>0</v>
      </c>
      <c r="W104" s="112" t="str" cm="1">
        <f t="array" ref="W104">_xlfn.IFS(OR(B104=0,B104="",V104=0),"",AF104&lt;&gt;"exclusion",MAX($W$9,$W$7,(-(SUMIFS(SF_Output!$T$1:$T$400,SF_Output!$AC$1:$AC$400,_xlfn.TEXTJOIN(",",TRUE,$B104:$E104),SF_Output!$Q$1:$Q$400,"monthly"))/V104)),AF104="exclusion",-(SUMIFS(SF_Output!$T$1:$T$400,SF_Output!$AC$1:$AC$400,_xlfn.TEXTJOIN(",",TRUE,$B104:$E104),SF_Output!$Q$1:$Q$400,"monthly"))/V104)</f>
        <v/>
      </c>
      <c r="X104" s="6" cm="1">
        <f t="array" ref="X104">IFERROR(_xlfn.IFS(V104=0,0,V104="","",W104=0,V104,OR(V104&lt;&gt;0,V104&lt;&gt;""),H104*I104),V104*(1-W104))</f>
        <v>0</v>
      </c>
      <c r="Z104" s="6">
        <f>IFERROR(IF(B104="","",SUMIFS(Billing_Fallout!H:H,Billing_Fallout!N:N,B104)),0)</f>
        <v>0</v>
      </c>
      <c r="AA104" s="6">
        <f t="shared" si="22"/>
        <v>0</v>
      </c>
      <c r="AB104" s="6">
        <f>IFERROR(IF(B104="","",SUMIFS(Billing_Fallout!J:J,Billing_Fallout!N:N,B104)),0)</f>
        <v>0</v>
      </c>
      <c r="AD104" s="6">
        <f t="shared" si="23"/>
        <v>0</v>
      </c>
      <c r="AF104" t="str">
        <f>IFERROR(INDEX(H_Tables!$B$1:$B$1500,MATCH(INDEX(SF_Output!$J$1:$J$400,MATCH(B104,SF_Output!$M$1:$M$400,0)),H_Tables!$A$1:$A$1500,0)),"")</f>
        <v>Exclusion</v>
      </c>
      <c r="AI104" s="119" t="str">
        <f t="shared" si="24"/>
        <v/>
      </c>
      <c r="AJ104" s="121">
        <f>IFERROR(INDEX(SF_Output!AD:AD,MATCH(_xlfn.TEXTJOIN(",",TRUE,B104:E104),SF_Output!AC1:AC400,0)),0.05)</f>
        <v>179</v>
      </c>
      <c r="AK104" t="str">
        <f>IF(SUMIFS(SF_Output!$F$1:$F$400,SF_Output!$AC$1:$AC$400,_xlfn.TEXTJOIN(",",TRUE,B104:E104))+SUMIFS(SF_Output!$G$1:$G$400,SF_Output!$AC$1:$AC$400,_xlfn.TEXTJOIN(",",TRUE,B104:E104))=0,"","PAP")</f>
        <v/>
      </c>
      <c r="AL104" s="35" t="str">
        <f t="shared" si="25"/>
        <v>VISA/MasterCard Add/Change/Delete,New,Hosted by 3rd Party,0</v>
      </c>
      <c r="AQ104" s="35"/>
      <c r="AR104" s="35" t="str" cm="1">
        <f t="array" ref="AR104">IFERROR(_xlfn.IFS(AND(E104*1=1,F104="Included"),"Change to Included",AND(E104*1=0,F104="Optional"),"Change to Optional",OR(B104="",F104="replaced"),""),"")</f>
        <v/>
      </c>
      <c r="AS104" s="35" t="str">
        <f t="shared" si="26"/>
        <v/>
      </c>
      <c r="AT104" s="35" t="str">
        <f t="shared" si="27"/>
        <v/>
      </c>
      <c r="AU104" s="35" t="str">
        <f t="shared" si="28"/>
        <v/>
      </c>
      <c r="AV104" s="35" t="str">
        <f t="shared" si="29"/>
        <v/>
      </c>
      <c r="AW104" s="35" t="str">
        <f t="shared" si="30"/>
        <v/>
      </c>
      <c r="AX104" s="35" t="str">
        <f t="shared" si="31"/>
        <v/>
      </c>
      <c r="AY104" s="35" t="str">
        <f t="shared" si="32"/>
        <v/>
      </c>
      <c r="AZ104" s="35" t="str">
        <f t="shared" si="33"/>
        <v/>
      </c>
      <c r="BA104" s="35" t="str">
        <f t="shared" si="34"/>
        <v/>
      </c>
      <c r="BB104" s="35" t="str">
        <f t="shared" si="35"/>
        <v/>
      </c>
      <c r="BC104" s="35"/>
      <c r="BE104" s="35">
        <f ca="1">INDEX(SF_Output!$AA$2:$AA$400,MATCH($B104,SF_Output!$M$2:$M$400,0))</f>
        <v>6</v>
      </c>
      <c r="BF104" s="35">
        <f ca="1">INDEX(SF_Output!$AB$2:$AB$400,MATCH($B104,SF_Output!$M$2:$M$400,0))</f>
        <v>1</v>
      </c>
    </row>
    <row r="105" spans="2:58" x14ac:dyDescent="0.25">
      <c r="B105" t="s">
        <v>2367</v>
      </c>
      <c r="C105" t="s">
        <v>2122</v>
      </c>
      <c r="D105" t="s">
        <v>2207</v>
      </c>
      <c r="E105" t="s">
        <v>2124</v>
      </c>
      <c r="F105" s="116" t="str">
        <f t="shared" si="18"/>
        <v>Included</v>
      </c>
      <c r="G105" t="str">
        <f>IF(B105="","",INDEX(SF_Output!$K$1:$K$400,MATCH(B105,SF_Output!$M$1:$M$400,0)))</f>
        <v>Card Processing Solutions (CPS)</v>
      </c>
      <c r="H105" cm="1">
        <f t="array" ref="H105">_xlfn.IFS(B105="","",(SUMIFS(SF_Output!$F$1:$F$400,SF_Output!$AC$1:$AC$400,_xlfn.TEXTJOIN(",",TRUE,B105:E105))+SUMIFS(SF_Output!$G$1:$G$400,SF_Output!$AC$1:$AC$400,_xlfn.TEXTJOIN(",",TRUE,B105:E105)))&lt;&gt;0,SF_Output!$Y$2,INDEX(SF_Output!$F$1:$F$400,MATCH(_xlfn.TEXTJOIN(",",TRUE,B105:E105),SF_Output!$AC$1:$AC$400,0))=0,INDEX(SF_Output!$R$1:$R$400,MATCH(_xlfn.TEXTJOIN(",",TRUE,B105:E105),SF_Output!$AC$1:$AC$400,0)))</f>
        <v>1</v>
      </c>
      <c r="I105" s="125" t="str">
        <f>IFERROR(IF(AND(H105&gt;1,H105&lt;&gt;""),ROUND(SUMIFS(SF_Output!$S$1:$S$400,SF_Output!$AC$1:$AC$400,_xlfn.TEXTJOIN(",",TRUE,B105:E105),SF_Output!$Q$1:$Q$400,"monthly")*(1-W105)/H105,4),""),"")</f>
        <v/>
      </c>
      <c r="J105" s="6">
        <f>IF(B105="","",SUMIFS(SF_Output!$S$1:$S$400,SF_Output!$AC$1:$AC$400,_xlfn.TEXTJOIN(",",TRUE,B105:E105),SF_Output!$Q$1:$Q$400,"One Time",SF_Output!$L$1:$L$400,"license fee")+SUMIFS(SF_Output!$S$1:$S$400,SF_Output!$AC$1:$AC$400,_xlfn.TEXTJOIN(",",TRUE,B105:E105),SF_Output!$Q$1:$Q$400,"One Time",SF_Output!$L$1:$L$400,"software license")+SUMIFS(SF_Output!$S$1:$S$400,SF_Output!$AC$1:$AC$400,_xlfn.TEXTJOIN(",",TRUE,B105:E105),SF_Output!$Q$1:$Q$400,"One Time",SF_Output!$L$1:$L$400,"hardware"))</f>
        <v>0</v>
      </c>
      <c r="K105" s="112" t="str">
        <f>IF(OR(B105=0,B105="",G105="hardware",J105=0),"",IF(AF105&lt;&gt;"exclusion",MAX(K$9,-((SUMIFS(SF_Output!$T$1:$T$400,SF_Output!$AC$1:$AC$400,_xlfn.TEXTJOIN(",",TRUE,$B105:$E105),SF_Output!$Q$1:$Q$400,"One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license"))/J105)))</f>
        <v/>
      </c>
      <c r="L105" s="6">
        <f t="shared" si="19"/>
        <v>0</v>
      </c>
      <c r="N105" s="6">
        <f>IF(B105="","",SUMIFS(SF_Output!$S$1:$S$400,SF_Output!$AC$1:$AC$400,_xlfn.TEXTJOIN(",",TRUE,B105:E105),SF_Output!$Q$1:$Q$400,"One Time",SF_Output!$L$1:$L$400,"professional service"))</f>
        <v>4000</v>
      </c>
      <c r="O105" s="112">
        <f>IF(OR(B105=0,B105="",N105=0),"",IF(AF105&lt;&gt;"exclusion",MAX(O$9,-(SUMIFS(SF_Output!$T$1:$T$400,SF_Output!$AC$1:$AC$400,_xlfn.TEXTJOIN(",",TRUE,$B105:$E105),SF_Output!$Q$1:$Q$400,"One Time",SF_Output!$L$1:$L$400,"professional service"))/N105),-((SUMIFS(SF_Output!$T$1:$T$400,SF_Output!$AC$1:$AC$400,_xlfn.TEXTJOIN(",",TRUE,$B105:$E105),SF_Output!$Q$1:$Q$400,"One Time",SF_Output!$L$1:$L$400,"professional service")/N105))))</f>
        <v>1</v>
      </c>
      <c r="P105" s="6">
        <f t="shared" si="20"/>
        <v>0</v>
      </c>
      <c r="R105" s="6">
        <f>IF(B105="","",SUMIFS(SF_Output!$S$1:$S$400,SF_Output!$AC$1:$AC$400,_xlfn.TEXTJOIN(",",TRUE,B105:E105),SF_Output!$Q$1:$Q$400,"yearly")+SUMIFS(SF_Output!$S$1:$S$400,SF_Output!$AC$1:$AC$400,_xlfn.TEXTJOIN(",",TRUE,B105:E105),SF_Output!$Q$1:$Q$400,"quarterly")*4)</f>
        <v>0</v>
      </c>
      <c r="S105" s="112" t="str">
        <f>IF(OR(B105=0,B105="",G105="hardware",R105=0),"",IF(AF105&lt;&gt;"exclusion",MAX(S$9,-(SUMIFS(SF_Output!$T$1:$T$400,SF_Output!$AC$1:$AC$400,_xlfn.TEXTJOIN(",",TRUE,$B105:$E105),SF_Output!$Q$1:$Q$400,"yearly"))/R105),-((SUMIFS(SF_Output!$T$1:$T$400,SF_Output!$AC$1:$AC$400,_xlfn.TEXTJOIN(",",TRUE,$B105:$E105),SF_Output!$Q$1:$Q$400,"yearly")/R105))))</f>
        <v/>
      </c>
      <c r="T105" s="6">
        <f t="shared" si="21"/>
        <v>0</v>
      </c>
      <c r="V105" s="6" cm="1">
        <f t="array" ref="V105">_xlfn.IFS(B105="","",AND(B105&lt;&gt;"",H105=SF_Output!$Y$2,SUMIFS(SF_Output!$T$1:$T$400,SF_Output!$AC$1:$AC$400,_xlfn.TEXTJOIN(",",TRUE,B105:E105),SF_Output!$Q$1:$Q$400,"monthly")=0),(SUMIFS(SF_Output!$F$1:$F$400,SF_Output!$AC$1:$AC$400,_xlfn.TEXTJOIN(",",TRUE,B105:E105),SF_Output!$Q$1:$Q$400,"monthly")+SUMIFS(SF_Output!$G$1:$G$400,SF_Output!$AC$1:$AC$400,_xlfn.TEXTJOIN(",",TRUE,B105:E105),SF_Output!$Q$1:$Q$400,"monthly"))*H105,AND(B105&lt;&gt;"",H105=SF_Output!$Y$2,SUMIFS(SF_Output!$T$1:$T$400,SF_Output!$AC$1:$AC$400,_xlfn.TEXTJOIN(",",TRUE,B105:E105),SF_Output!$Q$1:$Q$400,"monthly")&lt;&gt;0),SUMIFS(SF_Output!$S$1:$S$400,SF_Output!$AC$1:$AC$400,_xlfn.TEXTJOIN(",",TRUE,B105:E105),SF_Output!$Q$1:$Q$400,"monthly"),AND(B105&lt;&gt;"",H105&lt;&gt;SF_Output!$Y$2),SUMIFS(SF_Output!$S$1:$S$400,SF_Output!$AC$1:$AC$400,_xlfn.TEXTJOIN(",",TRUE,B105:E105),SF_Output!$Q$1:$Q$400,"monthly"))</f>
        <v>0</v>
      </c>
      <c r="W105" s="112" t="str" cm="1">
        <f t="array" ref="W105">_xlfn.IFS(OR(B105=0,B105="",V105=0),"",AF105&lt;&gt;"exclusion",MAX($W$9,$W$7,(-(SUMIFS(SF_Output!$T$1:$T$400,SF_Output!$AC$1:$AC$400,_xlfn.TEXTJOIN(",",TRUE,$B105:$E105),SF_Output!$Q$1:$Q$400,"monthly"))/V105)),AF105="exclusion",-(SUMIFS(SF_Output!$T$1:$T$400,SF_Output!$AC$1:$AC$400,_xlfn.TEXTJOIN(",",TRUE,$B105:$E105),SF_Output!$Q$1:$Q$400,"monthly"))/V105)</f>
        <v/>
      </c>
      <c r="X105" s="6" cm="1">
        <f t="array" ref="X105">IFERROR(_xlfn.IFS(V105=0,0,V105="","",W105=0,V105,OR(V105&lt;&gt;0,V105&lt;&gt;""),H105*I105),V105*(1-W105))</f>
        <v>0</v>
      </c>
      <c r="Z105" s="6">
        <f>IFERROR(IF(B105="","",SUMIFS(Billing_Fallout!H:H,Billing_Fallout!N:N,B105)),0)</f>
        <v>0</v>
      </c>
      <c r="AA105" s="6">
        <f t="shared" si="22"/>
        <v>0</v>
      </c>
      <c r="AB105" s="6">
        <f>IFERROR(IF(B105="","",SUMIFS(Billing_Fallout!J:J,Billing_Fallout!N:N,B105)),0)</f>
        <v>0</v>
      </c>
      <c r="AD105" s="6">
        <f t="shared" si="23"/>
        <v>0</v>
      </c>
      <c r="AF105" t="str">
        <f>IFERROR(INDEX(H_Tables!$B$1:$B$1500,MATCH(INDEX(SF_Output!$J$1:$J$400,MATCH(B105,SF_Output!$M$1:$M$400,0)),H_Tables!$A$1:$A$1500,0)),"")</f>
        <v>Exclusion</v>
      </c>
      <c r="AI105" s="119" t="str">
        <f t="shared" si="24"/>
        <v/>
      </c>
      <c r="AJ105" s="121">
        <f>IFERROR(INDEX(SF_Output!AD:AD,MATCH(_xlfn.TEXTJOIN(",",TRUE,B105:E105),SF_Output!AC1:AC400,0)),0.05)</f>
        <v>180</v>
      </c>
      <c r="AK105" t="str">
        <f>IF(SUMIFS(SF_Output!$F$1:$F$400,SF_Output!$AC$1:$AC$400,_xlfn.TEXTJOIN(",",TRUE,B105:E105))+SUMIFS(SF_Output!$G$1:$G$400,SF_Output!$AC$1:$AC$400,_xlfn.TEXTJOIN(",",TRUE,B105:E105))=0,"","PAP")</f>
        <v/>
      </c>
      <c r="AL105" s="35" t="str">
        <f t="shared" si="25"/>
        <v>JHA Tokenization (Digital Wallet) JHA Debit Processing,New,Hosted by 3rd Party,0</v>
      </c>
      <c r="AQ105" s="35"/>
      <c r="AR105" s="35" t="str" cm="1">
        <f t="array" ref="AR105">IFERROR(_xlfn.IFS(AND(E105*1=1,F105="Included"),"Change to Included",AND(E105*1=0,F105="Optional"),"Change to Optional",OR(B105="",F105="replaced"),""),"")</f>
        <v/>
      </c>
      <c r="AS105" s="35" t="str">
        <f t="shared" si="26"/>
        <v/>
      </c>
      <c r="AT105" s="35" t="str">
        <f t="shared" si="27"/>
        <v/>
      </c>
      <c r="AU105" s="35" t="str">
        <f t="shared" si="28"/>
        <v/>
      </c>
      <c r="AV105" s="35" t="str">
        <f t="shared" si="29"/>
        <v/>
      </c>
      <c r="AW105" s="35" t="str">
        <f t="shared" si="30"/>
        <v/>
      </c>
      <c r="AX105" s="35" t="str">
        <f t="shared" si="31"/>
        <v/>
      </c>
      <c r="AY105" s="35" t="str">
        <f t="shared" si="32"/>
        <v/>
      </c>
      <c r="AZ105" s="35" t="str">
        <f t="shared" si="33"/>
        <v/>
      </c>
      <c r="BA105" s="35" t="str">
        <f t="shared" si="34"/>
        <v/>
      </c>
      <c r="BB105" s="35" t="str">
        <f t="shared" si="35"/>
        <v/>
      </c>
      <c r="BC105" s="35"/>
      <c r="BE105" s="35">
        <f ca="1">INDEX(SF_Output!$AA$2:$AA$400,MATCH($B105,SF_Output!$M$2:$M$400,0))</f>
        <v>6</v>
      </c>
      <c r="BF105" s="35">
        <f ca="1">INDEX(SF_Output!$AB$2:$AB$400,MATCH($B105,SF_Output!$M$2:$M$400,0))</f>
        <v>1</v>
      </c>
    </row>
    <row r="106" spans="2:58" x14ac:dyDescent="0.25">
      <c r="B106" t="s">
        <v>2369</v>
      </c>
      <c r="C106" t="s">
        <v>2122</v>
      </c>
      <c r="D106" t="s">
        <v>2207</v>
      </c>
      <c r="E106" t="s">
        <v>2124</v>
      </c>
      <c r="F106" s="116" t="str">
        <f t="shared" si="18"/>
        <v>Included</v>
      </c>
      <c r="G106" t="str">
        <f>IF(B106="","",INDEX(SF_Output!$K$1:$K$400,MATCH(B106,SF_Output!$M$1:$M$400,0)))</f>
        <v>Card Processing Solutions (CPS)</v>
      </c>
      <c r="H106" cm="1">
        <f t="array" ref="H106">_xlfn.IFS(B106="","",(SUMIFS(SF_Output!$F$1:$F$400,SF_Output!$AC$1:$AC$400,_xlfn.TEXTJOIN(",",TRUE,B106:E106))+SUMIFS(SF_Output!$G$1:$G$400,SF_Output!$AC$1:$AC$400,_xlfn.TEXTJOIN(",",TRUE,B106:E106)))&lt;&gt;0,SF_Output!$Y$2,INDEX(SF_Output!$F$1:$F$400,MATCH(_xlfn.TEXTJOIN(",",TRUE,B106:E106),SF_Output!$AC$1:$AC$400,0))=0,INDEX(SF_Output!$R$1:$R$400,MATCH(_xlfn.TEXTJOIN(",",TRUE,B106:E106),SF_Output!$AC$1:$AC$400,0)))</f>
        <v>1</v>
      </c>
      <c r="I106" s="125" t="str">
        <f>IFERROR(IF(AND(H106&gt;1,H106&lt;&gt;""),ROUND(SUMIFS(SF_Output!$S$1:$S$400,SF_Output!$AC$1:$AC$400,_xlfn.TEXTJOIN(",",TRUE,B106:E106),SF_Output!$Q$1:$Q$400,"monthly")*(1-W106)/H106,4),""),"")</f>
        <v/>
      </c>
      <c r="J106" s="6">
        <f>IF(B106="","",SUMIFS(SF_Output!$S$1:$S$400,SF_Output!$AC$1:$AC$400,_xlfn.TEXTJOIN(",",TRUE,B106:E106),SF_Output!$Q$1:$Q$400,"One Time",SF_Output!$L$1:$L$400,"license fee")+SUMIFS(SF_Output!$S$1:$S$400,SF_Output!$AC$1:$AC$400,_xlfn.TEXTJOIN(",",TRUE,B106:E106),SF_Output!$Q$1:$Q$400,"One Time",SF_Output!$L$1:$L$400,"software license")+SUMIFS(SF_Output!$S$1:$S$400,SF_Output!$AC$1:$AC$400,_xlfn.TEXTJOIN(",",TRUE,B106:E106),SF_Output!$Q$1:$Q$400,"One Time",SF_Output!$L$1:$L$400,"hardware"))</f>
        <v>0</v>
      </c>
      <c r="K106" s="112" t="str">
        <f>IF(OR(B106=0,B106="",G106="hardware",J106=0),"",IF(AF106&lt;&gt;"exclusion",MAX(K$9,-((SUMIFS(SF_Output!$T$1:$T$400,SF_Output!$AC$1:$AC$400,_xlfn.TEXTJOIN(",",TRUE,$B106:$E106),SF_Output!$Q$1:$Q$400,"One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license"))/J106)))</f>
        <v/>
      </c>
      <c r="L106" s="6">
        <f t="shared" si="19"/>
        <v>0</v>
      </c>
      <c r="N106" s="6">
        <f>IF(B106="","",SUMIFS(SF_Output!$S$1:$S$400,SF_Output!$AC$1:$AC$400,_xlfn.TEXTJOIN(",",TRUE,B106:E106),SF_Output!$Q$1:$Q$400,"One Time",SF_Output!$L$1:$L$400,"professional service"))</f>
        <v>2000</v>
      </c>
      <c r="O106" s="112">
        <f>IF(OR(B106=0,B106="",N106=0),"",IF(AF106&lt;&gt;"exclusion",MAX(O$9,-(SUMIFS(SF_Output!$T$1:$T$400,SF_Output!$AC$1:$AC$400,_xlfn.TEXTJOIN(",",TRUE,$B106:$E106),SF_Output!$Q$1:$Q$400,"One Time",SF_Output!$L$1:$L$400,"professional service"))/N106),-((SUMIFS(SF_Output!$T$1:$T$400,SF_Output!$AC$1:$AC$400,_xlfn.TEXTJOIN(",",TRUE,$B106:$E106),SF_Output!$Q$1:$Q$400,"One Time",SF_Output!$L$1:$L$400,"professional service")/N106))))</f>
        <v>1</v>
      </c>
      <c r="P106" s="6">
        <f t="shared" si="20"/>
        <v>0</v>
      </c>
      <c r="R106" s="6">
        <f>IF(B106="","",SUMIFS(SF_Output!$S$1:$S$400,SF_Output!$AC$1:$AC$400,_xlfn.TEXTJOIN(",",TRUE,B106:E106),SF_Output!$Q$1:$Q$400,"yearly")+SUMIFS(SF_Output!$S$1:$S$400,SF_Output!$AC$1:$AC$400,_xlfn.TEXTJOIN(",",TRUE,B106:E106),SF_Output!$Q$1:$Q$400,"quarterly")*4)</f>
        <v>0</v>
      </c>
      <c r="S106" s="112" t="str">
        <f>IF(OR(B106=0,B106="",G106="hardware",R106=0),"",IF(AF106&lt;&gt;"exclusion",MAX(S$9,-(SUMIFS(SF_Output!$T$1:$T$400,SF_Output!$AC$1:$AC$400,_xlfn.TEXTJOIN(",",TRUE,$B106:$E106),SF_Output!$Q$1:$Q$400,"yearly"))/R106),-((SUMIFS(SF_Output!$T$1:$T$400,SF_Output!$AC$1:$AC$400,_xlfn.TEXTJOIN(",",TRUE,$B106:$E106),SF_Output!$Q$1:$Q$400,"yearly")/R106))))</f>
        <v/>
      </c>
      <c r="T106" s="6">
        <f t="shared" si="21"/>
        <v>0</v>
      </c>
      <c r="V106" s="6" cm="1">
        <f t="array" ref="V106">_xlfn.IFS(B106="","",AND(B106&lt;&gt;"",H106=SF_Output!$Y$2,SUMIFS(SF_Output!$T$1:$T$400,SF_Output!$AC$1:$AC$400,_xlfn.TEXTJOIN(",",TRUE,B106:E106),SF_Output!$Q$1:$Q$400,"monthly")=0),(SUMIFS(SF_Output!$F$1:$F$400,SF_Output!$AC$1:$AC$400,_xlfn.TEXTJOIN(",",TRUE,B106:E106),SF_Output!$Q$1:$Q$400,"monthly")+SUMIFS(SF_Output!$G$1:$G$400,SF_Output!$AC$1:$AC$400,_xlfn.TEXTJOIN(",",TRUE,B106:E106),SF_Output!$Q$1:$Q$400,"monthly"))*H106,AND(B106&lt;&gt;"",H106=SF_Output!$Y$2,SUMIFS(SF_Output!$T$1:$T$400,SF_Output!$AC$1:$AC$400,_xlfn.TEXTJOIN(",",TRUE,B106:E106),SF_Output!$Q$1:$Q$400,"monthly")&lt;&gt;0),SUMIFS(SF_Output!$S$1:$S$400,SF_Output!$AC$1:$AC$400,_xlfn.TEXTJOIN(",",TRUE,B106:E106),SF_Output!$Q$1:$Q$400,"monthly"),AND(B106&lt;&gt;"",H106&lt;&gt;SF_Output!$Y$2),SUMIFS(SF_Output!$S$1:$S$400,SF_Output!$AC$1:$AC$400,_xlfn.TEXTJOIN(",",TRUE,B106:E106),SF_Output!$Q$1:$Q$400,"monthly"))</f>
        <v>0</v>
      </c>
      <c r="W106" s="112" t="str" cm="1">
        <f t="array" ref="W106">_xlfn.IFS(OR(B106=0,B106="",V106=0),"",AF106&lt;&gt;"exclusion",MAX($W$9,$W$7,(-(SUMIFS(SF_Output!$T$1:$T$400,SF_Output!$AC$1:$AC$400,_xlfn.TEXTJOIN(",",TRUE,$B106:$E106),SF_Output!$Q$1:$Q$400,"monthly"))/V106)),AF106="exclusion",-(SUMIFS(SF_Output!$T$1:$T$400,SF_Output!$AC$1:$AC$400,_xlfn.TEXTJOIN(",",TRUE,$B106:$E106),SF_Output!$Q$1:$Q$400,"monthly"))/V106)</f>
        <v/>
      </c>
      <c r="X106" s="6" cm="1">
        <f t="array" ref="X106">IFERROR(_xlfn.IFS(V106=0,0,V106="","",W106=0,V106,OR(V106&lt;&gt;0,V106&lt;&gt;""),H106*I106),V106*(1-W106))</f>
        <v>0</v>
      </c>
      <c r="Z106" s="6">
        <f>IFERROR(IF(B106="","",SUMIFS(Billing_Fallout!H:H,Billing_Fallout!N:N,B106)),0)</f>
        <v>0</v>
      </c>
      <c r="AA106" s="6">
        <f t="shared" si="22"/>
        <v>0</v>
      </c>
      <c r="AB106" s="6">
        <f>IFERROR(IF(B106="","",SUMIFS(Billing_Fallout!J:J,Billing_Fallout!N:N,B106)),0)</f>
        <v>0</v>
      </c>
      <c r="AD106" s="6">
        <f t="shared" si="23"/>
        <v>0</v>
      </c>
      <c r="AF106" t="str">
        <f>IFERROR(INDEX(H_Tables!$B$1:$B$1500,MATCH(INDEX(SF_Output!$J$1:$J$400,MATCH(B106,SF_Output!$M$1:$M$400,0)),H_Tables!$A$1:$A$1500,0)),"")</f>
        <v>Exclusion</v>
      </c>
      <c r="AI106" s="119" t="str">
        <f t="shared" si="24"/>
        <v/>
      </c>
      <c r="AJ106" s="121">
        <f>IFERROR(INDEX(SF_Output!AD:AD,MATCH(_xlfn.TEXTJOIN(",",TRUE,B106:E106),SF_Output!AC1:AC400,0)),0.05)</f>
        <v>181</v>
      </c>
      <c r="AK106" t="str">
        <f>IF(SUMIFS(SF_Output!$F$1:$F$400,SF_Output!$AC$1:$AC$400,_xlfn.TEXTJOIN(",",TRUE,B106:E106))+SUMIFS(SF_Output!$G$1:$G$400,SF_Output!$AC$1:$AC$400,_xlfn.TEXTJOIN(",",TRUE,B106:E106))=0,"","PAP")</f>
        <v/>
      </c>
      <c r="AL106" s="35" t="str">
        <f t="shared" si="25"/>
        <v>JHA Tokenization (Digital Wallet) Additional Instance JHA Debit Processing,New,H</v>
      </c>
      <c r="AQ106" s="35"/>
      <c r="AR106" s="35" t="str" cm="1">
        <f t="array" ref="AR106">IFERROR(_xlfn.IFS(AND(E106*1=1,F106="Included"),"Change to Included",AND(E106*1=0,F106="Optional"),"Change to Optional",OR(B106="",F106="replaced"),""),"")</f>
        <v/>
      </c>
      <c r="AS106" s="35" t="str">
        <f t="shared" si="26"/>
        <v/>
      </c>
      <c r="AT106" s="35" t="str">
        <f t="shared" si="27"/>
        <v/>
      </c>
      <c r="AU106" s="35" t="str">
        <f t="shared" si="28"/>
        <v/>
      </c>
      <c r="AV106" s="35" t="str">
        <f t="shared" si="29"/>
        <v/>
      </c>
      <c r="AW106" s="35" t="str">
        <f t="shared" si="30"/>
        <v/>
      </c>
      <c r="AX106" s="35" t="str">
        <f t="shared" si="31"/>
        <v/>
      </c>
      <c r="AY106" s="35" t="str">
        <f t="shared" si="32"/>
        <v/>
      </c>
      <c r="AZ106" s="35" t="str">
        <f t="shared" si="33"/>
        <v/>
      </c>
      <c r="BA106" s="35" t="str">
        <f t="shared" si="34"/>
        <v/>
      </c>
      <c r="BB106" s="35" t="str">
        <f t="shared" si="35"/>
        <v/>
      </c>
      <c r="BC106" s="35"/>
      <c r="BE106" s="35">
        <f ca="1">INDEX(SF_Output!$AA$2:$AA$400,MATCH($B106,SF_Output!$M$2:$M$400,0))</f>
        <v>6</v>
      </c>
      <c r="BF106" s="35">
        <f ca="1">INDEX(SF_Output!$AB$2:$AB$400,MATCH($B106,SF_Output!$M$2:$M$400,0))</f>
        <v>1</v>
      </c>
    </row>
    <row r="107" spans="2:58" x14ac:dyDescent="0.25">
      <c r="B107" t="s">
        <v>2472</v>
      </c>
      <c r="C107" t="s">
        <v>2122</v>
      </c>
      <c r="D107" t="s">
        <v>2207</v>
      </c>
      <c r="E107" t="s">
        <v>2124</v>
      </c>
      <c r="F107" s="116" t="str">
        <f t="shared" si="18"/>
        <v>Included</v>
      </c>
      <c r="G107" t="str">
        <f>IF(B107="","",INDEX(SF_Output!$K$1:$K$400,MATCH(B107,SF_Output!$M$1:$M$400,0)))</f>
        <v>Card Processing Solutions (CPS)</v>
      </c>
      <c r="H107" cm="1">
        <f t="array" ref="H107">_xlfn.IFS(B107="","",(SUMIFS(SF_Output!$F$1:$F$400,SF_Output!$AC$1:$AC$400,_xlfn.TEXTJOIN(",",TRUE,B107:E107))+SUMIFS(SF_Output!$G$1:$G$400,SF_Output!$AC$1:$AC$400,_xlfn.TEXTJOIN(",",TRUE,B107:E107)))&lt;&gt;0,SF_Output!$Y$2,INDEX(SF_Output!$F$1:$F$400,MATCH(_xlfn.TEXTJOIN(",",TRUE,B107:E107),SF_Output!$AC$1:$AC$400,0))=0,INDEX(SF_Output!$R$1:$R$400,MATCH(_xlfn.TEXTJOIN(",",TRUE,B107:E107),SF_Output!$AC$1:$AC$400,0)))</f>
        <v>1</v>
      </c>
      <c r="I107" s="125" t="str">
        <f>IFERROR(IF(AND(H107&gt;1,H107&lt;&gt;""),ROUND(SUMIFS(SF_Output!$S$1:$S$400,SF_Output!$AC$1:$AC$400,_xlfn.TEXTJOIN(",",TRUE,B107:E107),SF_Output!$Q$1:$Q$400,"monthly")*(1-W107)/H107,4),""),"")</f>
        <v/>
      </c>
      <c r="J107" s="6">
        <f>IF(B107="","",SUMIFS(SF_Output!$S$1:$S$400,SF_Output!$AC$1:$AC$400,_xlfn.TEXTJOIN(",",TRUE,B107:E107),SF_Output!$Q$1:$Q$400,"One Time",SF_Output!$L$1:$L$400,"license fee")+SUMIFS(SF_Output!$S$1:$S$400,SF_Output!$AC$1:$AC$400,_xlfn.TEXTJOIN(",",TRUE,B107:E107),SF_Output!$Q$1:$Q$400,"One Time",SF_Output!$L$1:$L$400,"software license")+SUMIFS(SF_Output!$S$1:$S$400,SF_Output!$AC$1:$AC$400,_xlfn.TEXTJOIN(",",TRUE,B107:E107),SF_Output!$Q$1:$Q$400,"One Time",SF_Output!$L$1:$L$400,"hardware"))</f>
        <v>0</v>
      </c>
      <c r="K107" s="112" t="str">
        <f>IF(OR(B107=0,B107="",G107="hardware",J107=0),"",IF(AF107&lt;&gt;"exclusion",MAX(K$9,-((SUMIFS(SF_Output!$T$1:$T$400,SF_Output!$AC$1:$AC$400,_xlfn.TEXTJOIN(",",TRUE,$B107:$E107),SF_Output!$Q$1:$Q$400,"One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license"))/J107)))</f>
        <v/>
      </c>
      <c r="L107" s="6">
        <f t="shared" si="19"/>
        <v>0</v>
      </c>
      <c r="N107" s="6">
        <f>IF(B107="","",SUMIFS(SF_Output!$S$1:$S$400,SF_Output!$AC$1:$AC$400,_xlfn.TEXTJOIN(",",TRUE,B107:E107),SF_Output!$Q$1:$Q$400,"One Time",SF_Output!$L$1:$L$400,"professional service"))</f>
        <v>250</v>
      </c>
      <c r="O107" s="112">
        <f>IF(OR(B107=0,B107="",N107=0),"",IF(AF107&lt;&gt;"exclusion",MAX(O$9,-(SUMIFS(SF_Output!$T$1:$T$400,SF_Output!$AC$1:$AC$400,_xlfn.TEXTJOIN(",",TRUE,$B107:$E107),SF_Output!$Q$1:$Q$400,"One Time",SF_Output!$L$1:$L$400,"professional service"))/N107),-((SUMIFS(SF_Output!$T$1:$T$400,SF_Output!$AC$1:$AC$400,_xlfn.TEXTJOIN(",",TRUE,$B107:$E107),SF_Output!$Q$1:$Q$400,"One Time",SF_Output!$L$1:$L$400,"professional service")/N107))))</f>
        <v>1</v>
      </c>
      <c r="P107" s="6">
        <f t="shared" si="20"/>
        <v>0</v>
      </c>
      <c r="R107" s="6">
        <f>IF(B107="","",SUMIFS(SF_Output!$S$1:$S$400,SF_Output!$AC$1:$AC$400,_xlfn.TEXTJOIN(",",TRUE,B107:E107),SF_Output!$Q$1:$Q$400,"yearly")+SUMIFS(SF_Output!$S$1:$S$400,SF_Output!$AC$1:$AC$400,_xlfn.TEXTJOIN(",",TRUE,B107:E107),SF_Output!$Q$1:$Q$400,"quarterly")*4)</f>
        <v>0</v>
      </c>
      <c r="S107" s="112" t="str">
        <f>IF(OR(B107=0,B107="",G107="hardware",R107=0),"",IF(AF107&lt;&gt;"exclusion",MAX(S$9,-(SUMIFS(SF_Output!$T$1:$T$400,SF_Output!$AC$1:$AC$400,_xlfn.TEXTJOIN(",",TRUE,$B107:$E107),SF_Output!$Q$1:$Q$400,"yearly"))/R107),-((SUMIFS(SF_Output!$T$1:$T$400,SF_Output!$AC$1:$AC$400,_xlfn.TEXTJOIN(",",TRUE,$B107:$E107),SF_Output!$Q$1:$Q$400,"yearly")/R107))))</f>
        <v/>
      </c>
      <c r="T107" s="6">
        <f t="shared" si="21"/>
        <v>0</v>
      </c>
      <c r="V107" s="6" cm="1">
        <f t="array" ref="V107">_xlfn.IFS(B107="","",AND(B107&lt;&gt;"",H107=SF_Output!$Y$2,SUMIFS(SF_Output!$T$1:$T$400,SF_Output!$AC$1:$AC$400,_xlfn.TEXTJOIN(",",TRUE,B107:E107),SF_Output!$Q$1:$Q$400,"monthly")=0),(SUMIFS(SF_Output!$F$1:$F$400,SF_Output!$AC$1:$AC$400,_xlfn.TEXTJOIN(",",TRUE,B107:E107),SF_Output!$Q$1:$Q$400,"monthly")+SUMIFS(SF_Output!$G$1:$G$400,SF_Output!$AC$1:$AC$400,_xlfn.TEXTJOIN(",",TRUE,B107:E107),SF_Output!$Q$1:$Q$400,"monthly"))*H107,AND(B107&lt;&gt;"",H107=SF_Output!$Y$2,SUMIFS(SF_Output!$T$1:$T$400,SF_Output!$AC$1:$AC$400,_xlfn.TEXTJOIN(",",TRUE,B107:E107),SF_Output!$Q$1:$Q$400,"monthly")&lt;&gt;0),SUMIFS(SF_Output!$S$1:$S$400,SF_Output!$AC$1:$AC$400,_xlfn.TEXTJOIN(",",TRUE,B107:E107),SF_Output!$Q$1:$Q$400,"monthly"),AND(B107&lt;&gt;"",H107&lt;&gt;SF_Output!$Y$2),SUMIFS(SF_Output!$S$1:$S$400,SF_Output!$AC$1:$AC$400,_xlfn.TEXTJOIN(",",TRUE,B107:E107),SF_Output!$Q$1:$Q$400,"monthly"))</f>
        <v>0</v>
      </c>
      <c r="W107" s="112" t="str" cm="1">
        <f t="array" ref="W107">_xlfn.IFS(OR(B107=0,B107="",V107=0),"",AF107&lt;&gt;"exclusion",MAX($W$9,$W$7,(-(SUMIFS(SF_Output!$T$1:$T$400,SF_Output!$AC$1:$AC$400,_xlfn.TEXTJOIN(",",TRUE,$B107:$E107),SF_Output!$Q$1:$Q$400,"monthly"))/V107)),AF107="exclusion",-(SUMIFS(SF_Output!$T$1:$T$400,SF_Output!$AC$1:$AC$400,_xlfn.TEXTJOIN(",",TRUE,$B107:$E107),SF_Output!$Q$1:$Q$400,"monthly"))/V107)</f>
        <v/>
      </c>
      <c r="X107" s="6" cm="1">
        <f t="array" ref="X107">IFERROR(_xlfn.IFS(V107=0,0,V107="","",W107=0,V107,OR(V107&lt;&gt;0,V107&lt;&gt;""),H107*I107),V107*(1-W107))</f>
        <v>0</v>
      </c>
      <c r="Z107" s="6">
        <f>IFERROR(IF(B107="","",SUMIFS(Billing_Fallout!H:H,Billing_Fallout!N:N,B107)),0)</f>
        <v>0</v>
      </c>
      <c r="AA107" s="6">
        <f t="shared" si="22"/>
        <v>0</v>
      </c>
      <c r="AB107" s="6">
        <f>IFERROR(IF(B107="","",SUMIFS(Billing_Fallout!J:J,Billing_Fallout!N:N,B107)),0)</f>
        <v>0</v>
      </c>
      <c r="AD107" s="6">
        <f t="shared" si="23"/>
        <v>0</v>
      </c>
      <c r="AF107" t="str">
        <f>IFERROR(INDEX(H_Tables!$B$1:$B$1500,MATCH(INDEX(SF_Output!$J$1:$J$400,MATCH(B107,SF_Output!$M$1:$M$400,0)),H_Tables!$A$1:$A$1500,0)),"")</f>
        <v>Exclusion</v>
      </c>
      <c r="AI107" s="119" t="str">
        <f t="shared" si="24"/>
        <v/>
      </c>
      <c r="AJ107" s="121">
        <f>IFERROR(INDEX(SF_Output!AD:AD,MATCH(_xlfn.TEXTJOIN(",",TRUE,B107:E107),SF_Output!AC1:AC400,0)),0.05)</f>
        <v>182</v>
      </c>
      <c r="AK107" t="str">
        <f>IF(SUMIFS(SF_Output!$F$1:$F$400,SF_Output!$AC$1:$AC$400,_xlfn.TEXTJOIN(",",TRUE,B107:E107))+SUMIFS(SF_Output!$G$1:$G$400,SF_Output!$AC$1:$AC$400,_xlfn.TEXTJOIN(",",TRUE,B107:E107))=0,"","PAP")</f>
        <v/>
      </c>
      <c r="AL107" s="35" t="str">
        <f t="shared" si="25"/>
        <v>JHA Tokenization (Digital Wallet) Automated Provisioning Notifications Enrollmen</v>
      </c>
      <c r="AQ107" s="35"/>
      <c r="AR107" s="35" t="str" cm="1">
        <f t="array" ref="AR107">IFERROR(_xlfn.IFS(AND(E107*1=1,F107="Included"),"Change to Included",AND(E107*1=0,F107="Optional"),"Change to Optional",OR(B107="",F107="replaced"),""),"")</f>
        <v/>
      </c>
      <c r="AS107" s="35" t="str">
        <f t="shared" si="26"/>
        <v/>
      </c>
      <c r="AT107" s="35" t="str">
        <f t="shared" si="27"/>
        <v/>
      </c>
      <c r="AU107" s="35" t="str">
        <f t="shared" si="28"/>
        <v/>
      </c>
      <c r="AV107" s="35" t="str">
        <f t="shared" si="29"/>
        <v/>
      </c>
      <c r="AW107" s="35" t="str">
        <f t="shared" si="30"/>
        <v/>
      </c>
      <c r="AX107" s="35" t="str">
        <f t="shared" si="31"/>
        <v/>
      </c>
      <c r="AY107" s="35" t="str">
        <f t="shared" si="32"/>
        <v/>
      </c>
      <c r="AZ107" s="35" t="str">
        <f t="shared" si="33"/>
        <v/>
      </c>
      <c r="BA107" s="35" t="str">
        <f t="shared" si="34"/>
        <v/>
      </c>
      <c r="BB107" s="35" t="str">
        <f t="shared" si="35"/>
        <v/>
      </c>
      <c r="BC107" s="35"/>
      <c r="BE107" s="35">
        <f ca="1">INDEX(SF_Output!$AA$2:$AA$400,MATCH($B107,SF_Output!$M$2:$M$400,0))</f>
        <v>6</v>
      </c>
      <c r="BF107" s="35">
        <f ca="1">INDEX(SF_Output!$AB$2:$AB$400,MATCH($B107,SF_Output!$M$2:$M$400,0))</f>
        <v>1</v>
      </c>
    </row>
    <row r="108" spans="2:58" x14ac:dyDescent="0.25">
      <c r="B108" t="s">
        <v>1823</v>
      </c>
      <c r="C108" t="s">
        <v>2122</v>
      </c>
      <c r="D108" t="s">
        <v>2207</v>
      </c>
      <c r="E108" t="s">
        <v>2124</v>
      </c>
      <c r="F108" s="116" t="str">
        <f t="shared" si="18"/>
        <v>Included</v>
      </c>
      <c r="G108" t="str">
        <f>IF(B108="","",INDEX(SF_Output!$K$1:$K$400,MATCH(B108,SF_Output!$M$1:$M$400,0)))</f>
        <v>Card Processing Solutions (CPS)</v>
      </c>
      <c r="H108" cm="1">
        <f t="array" ref="H108">_xlfn.IFS(B108="","",(SUMIFS(SF_Output!$F$1:$F$400,SF_Output!$AC$1:$AC$400,_xlfn.TEXTJOIN(",",TRUE,B108:E108))+SUMIFS(SF_Output!$G$1:$G$400,SF_Output!$AC$1:$AC$400,_xlfn.TEXTJOIN(",",TRUE,B108:E108)))&lt;&gt;0,SF_Output!$Y$2,INDEX(SF_Output!$F$1:$F$400,MATCH(_xlfn.TEXTJOIN(",",TRUE,B108:E108),SF_Output!$AC$1:$AC$400,0))=0,INDEX(SF_Output!$R$1:$R$400,MATCH(_xlfn.TEXTJOIN(",",TRUE,B108:E108),SF_Output!$AC$1:$AC$400,0)))</f>
        <v>0</v>
      </c>
      <c r="I108" s="125" t="str">
        <f>IFERROR(IF(AND(H108&gt;1,H108&lt;&gt;""),ROUND(SUMIFS(SF_Output!$S$1:$S$400,SF_Output!$AC$1:$AC$400,_xlfn.TEXTJOIN(",",TRUE,B108:E108),SF_Output!$Q$1:$Q$400,"monthly")*(1-W108)/H108,4),""),"")</f>
        <v/>
      </c>
      <c r="J108" s="6">
        <f>IF(B108="","",SUMIFS(SF_Output!$S$1:$S$400,SF_Output!$AC$1:$AC$400,_xlfn.TEXTJOIN(",",TRUE,B108:E108),SF_Output!$Q$1:$Q$400,"One Time",SF_Output!$L$1:$L$400,"license fee")+SUMIFS(SF_Output!$S$1:$S$400,SF_Output!$AC$1:$AC$400,_xlfn.TEXTJOIN(",",TRUE,B108:E108),SF_Output!$Q$1:$Q$400,"One Time",SF_Output!$L$1:$L$400,"software license")+SUMIFS(SF_Output!$S$1:$S$400,SF_Output!$AC$1:$AC$400,_xlfn.TEXTJOIN(",",TRUE,B108:E108),SF_Output!$Q$1:$Q$400,"One Time",SF_Output!$L$1:$L$400,"hardware"))</f>
        <v>0</v>
      </c>
      <c r="K108" s="112" t="str">
        <f>IF(OR(B108=0,B108="",G108="hardware",J108=0),"",IF(AF108&lt;&gt;"exclusion",MAX(K$9,-((SUMIFS(SF_Output!$T$1:$T$400,SF_Output!$AC$1:$AC$400,_xlfn.TEXTJOIN(",",TRUE,$B108:$E108),SF_Output!$Q$1:$Q$400,"One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license"))/J108)))</f>
        <v/>
      </c>
      <c r="L108" s="6">
        <f t="shared" si="19"/>
        <v>0</v>
      </c>
      <c r="N108" s="6">
        <f>IF(B108="","",SUMIFS(SF_Output!$S$1:$S$400,SF_Output!$AC$1:$AC$400,_xlfn.TEXTJOIN(",",TRUE,B108:E108),SF_Output!$Q$1:$Q$400,"One Time",SF_Output!$L$1:$L$400,"professional service"))</f>
        <v>0</v>
      </c>
      <c r="O108" s="112" t="str">
        <f>IF(OR(B108=0,B108="",N108=0),"",IF(AF108&lt;&gt;"exclusion",MAX(O$9,-(SUMIFS(SF_Output!$T$1:$T$400,SF_Output!$AC$1:$AC$400,_xlfn.TEXTJOIN(",",TRUE,$B108:$E108),SF_Output!$Q$1:$Q$400,"One Time",SF_Output!$L$1:$L$400,"professional service"))/N108),-((SUMIFS(SF_Output!$T$1:$T$400,SF_Output!$AC$1:$AC$400,_xlfn.TEXTJOIN(",",TRUE,$B108:$E108),SF_Output!$Q$1:$Q$400,"One Time",SF_Output!$L$1:$L$400,"professional service")/N108))))</f>
        <v/>
      </c>
      <c r="P108" s="6">
        <f t="shared" si="20"/>
        <v>0</v>
      </c>
      <c r="R108" s="6">
        <f>IF(B108="","",SUMIFS(SF_Output!$S$1:$S$400,SF_Output!$AC$1:$AC$400,_xlfn.TEXTJOIN(",",TRUE,B108:E108),SF_Output!$Q$1:$Q$400,"yearly")+SUMIFS(SF_Output!$S$1:$S$400,SF_Output!$AC$1:$AC$400,_xlfn.TEXTJOIN(",",TRUE,B108:E108),SF_Output!$Q$1:$Q$400,"quarterly")*4)</f>
        <v>0</v>
      </c>
      <c r="S108" s="112" t="str">
        <f>IF(OR(B108=0,B108="",G108="hardware",R108=0),"",IF(AF108&lt;&gt;"exclusion",MAX(S$9,-(SUMIFS(SF_Output!$T$1:$T$400,SF_Output!$AC$1:$AC$400,_xlfn.TEXTJOIN(",",TRUE,$B108:$E108),SF_Output!$Q$1:$Q$400,"yearly"))/R108),-((SUMIFS(SF_Output!$T$1:$T$400,SF_Output!$AC$1:$AC$400,_xlfn.TEXTJOIN(",",TRUE,$B108:$E108),SF_Output!$Q$1:$Q$400,"yearly")/R108))))</f>
        <v/>
      </c>
      <c r="T108" s="6">
        <f t="shared" si="21"/>
        <v>0</v>
      </c>
      <c r="V108" s="6" cm="1">
        <f t="array" ref="V108">_xlfn.IFS(B108="","",AND(B108&lt;&gt;"",H108=SF_Output!$Y$2,SUMIFS(SF_Output!$T$1:$T$400,SF_Output!$AC$1:$AC$400,_xlfn.TEXTJOIN(",",TRUE,B108:E108),SF_Output!$Q$1:$Q$400,"monthly")=0),(SUMIFS(SF_Output!$F$1:$F$400,SF_Output!$AC$1:$AC$400,_xlfn.TEXTJOIN(",",TRUE,B108:E108),SF_Output!$Q$1:$Q$400,"monthly")+SUMIFS(SF_Output!$G$1:$G$400,SF_Output!$AC$1:$AC$400,_xlfn.TEXTJOIN(",",TRUE,B108:E108),SF_Output!$Q$1:$Q$400,"monthly"))*H108,AND(B108&lt;&gt;"",H108=SF_Output!$Y$2,SUMIFS(SF_Output!$T$1:$T$400,SF_Output!$AC$1:$AC$400,_xlfn.TEXTJOIN(",",TRUE,B108:E108),SF_Output!$Q$1:$Q$400,"monthly")&lt;&gt;0),SUMIFS(SF_Output!$S$1:$S$400,SF_Output!$AC$1:$AC$400,_xlfn.TEXTJOIN(",",TRUE,B108:E108),SF_Output!$Q$1:$Q$400,"monthly"),AND(B108&lt;&gt;"",H108&lt;&gt;SF_Output!$Y$2),SUMIFS(SF_Output!$S$1:$S$400,SF_Output!$AC$1:$AC$400,_xlfn.TEXTJOIN(",",TRUE,B108:E108),SF_Output!$Q$1:$Q$400,"monthly"))</f>
        <v>0</v>
      </c>
      <c r="W108" s="112" t="str" cm="1">
        <f t="array" ref="W108">_xlfn.IFS(OR(B108=0,B108="",V108=0),"",AF108&lt;&gt;"exclusion",MAX($W$9,$W$7,(-(SUMIFS(SF_Output!$T$1:$T$400,SF_Output!$AC$1:$AC$400,_xlfn.TEXTJOIN(",",TRUE,$B108:$E108),SF_Output!$Q$1:$Q$400,"monthly"))/V108)),AF108="exclusion",-(SUMIFS(SF_Output!$T$1:$T$400,SF_Output!$AC$1:$AC$400,_xlfn.TEXTJOIN(",",TRUE,$B108:$E108),SF_Output!$Q$1:$Q$400,"monthly"))/V108)</f>
        <v/>
      </c>
      <c r="X108" s="6" cm="1">
        <f t="array" ref="X108">IFERROR(_xlfn.IFS(V108=0,0,V108="","",W108=0,V108,OR(V108&lt;&gt;0,V108&lt;&gt;""),H108*I108),V108*(1-W108))</f>
        <v>0</v>
      </c>
      <c r="Z108" s="6">
        <f>IFERROR(IF(B108="","",SUMIFS(Billing_Fallout!H:H,Billing_Fallout!N:N,B108)),0)</f>
        <v>0</v>
      </c>
      <c r="AA108" s="6">
        <f t="shared" si="22"/>
        <v>0</v>
      </c>
      <c r="AB108" s="6">
        <f>IFERROR(IF(B108="","",SUMIFS(Billing_Fallout!J:J,Billing_Fallout!N:N,B108)),0)</f>
        <v>0</v>
      </c>
      <c r="AD108" s="6">
        <f t="shared" si="23"/>
        <v>0</v>
      </c>
      <c r="AF108" t="str">
        <f>IFERROR(INDEX(H_Tables!$B$1:$B$1500,MATCH(INDEX(SF_Output!$J$1:$J$400,MATCH(B108,SF_Output!$M$1:$M$400,0)),H_Tables!$A$1:$A$1500,0)),"")</f>
        <v>Exclusion</v>
      </c>
      <c r="AI108" s="119" t="str">
        <f t="shared" si="24"/>
        <v/>
      </c>
      <c r="AJ108" s="121">
        <f>IFERROR(INDEX(SF_Output!AD:AD,MATCH(_xlfn.TEXTJOIN(",",TRUE,B108:E108),SF_Output!AC1:AC400,0)),0.05)</f>
        <v>183</v>
      </c>
      <c r="AK108" t="str">
        <f>IF(SUMIFS(SF_Output!$F$1:$F$400,SF_Output!$AC$1:$AC$400,_xlfn.TEXTJOIN(",",TRUE,B108:E108))+SUMIFS(SF_Output!$G$1:$G$400,SF_Output!$AC$1:$AC$400,_xlfn.TEXTJOIN(",",TRUE,B108:E108))=0,"","PAP")</f>
        <v/>
      </c>
      <c r="AL108" s="35" t="str">
        <f t="shared" si="25"/>
        <v>JHA Tokenization (Digital Wallet) Automated Provisioning Notifications JHA Debit</v>
      </c>
      <c r="AQ108" s="35"/>
      <c r="AR108" s="35" t="str" cm="1">
        <f t="array" ref="AR108">IFERROR(_xlfn.IFS(AND(E108*1=1,F108="Included"),"Change to Included",AND(E108*1=0,F108="Optional"),"Change to Optional",OR(B108="",F108="replaced"),""),"")</f>
        <v/>
      </c>
      <c r="AS108" s="35" t="str">
        <f t="shared" si="26"/>
        <v/>
      </c>
      <c r="AT108" s="35" t="str">
        <f t="shared" si="27"/>
        <v/>
      </c>
      <c r="AU108" s="35" t="str">
        <f t="shared" si="28"/>
        <v/>
      </c>
      <c r="AV108" s="35" t="str">
        <f t="shared" si="29"/>
        <v/>
      </c>
      <c r="AW108" s="35" t="str">
        <f t="shared" si="30"/>
        <v/>
      </c>
      <c r="AX108" s="35" t="str">
        <f t="shared" si="31"/>
        <v/>
      </c>
      <c r="AY108" s="35" t="str">
        <f t="shared" si="32"/>
        <v/>
      </c>
      <c r="AZ108" s="35" t="str">
        <f t="shared" si="33"/>
        <v/>
      </c>
      <c r="BA108" s="35" t="str">
        <f t="shared" si="34"/>
        <v/>
      </c>
      <c r="BB108" s="35" t="str">
        <f t="shared" si="35"/>
        <v/>
      </c>
      <c r="BC108" s="35"/>
      <c r="BE108" s="35">
        <f ca="1">INDEX(SF_Output!$AA$2:$AA$400,MATCH($B108,SF_Output!$M$2:$M$400,0))</f>
        <v>6</v>
      </c>
      <c r="BF108" s="35">
        <f ca="1">INDEX(SF_Output!$AB$2:$AB$400,MATCH($B108,SF_Output!$M$2:$M$400,0))</f>
        <v>1</v>
      </c>
    </row>
    <row r="109" spans="2:58" x14ac:dyDescent="0.25">
      <c r="B109" t="s">
        <v>2373</v>
      </c>
      <c r="C109" t="s">
        <v>2122</v>
      </c>
      <c r="D109" t="s">
        <v>2207</v>
      </c>
      <c r="E109" t="s">
        <v>2124</v>
      </c>
      <c r="F109" s="116" t="str">
        <f t="shared" si="18"/>
        <v>Included</v>
      </c>
      <c r="G109" t="str">
        <f>IF(B109="","",INDEX(SF_Output!$K$1:$K$400,MATCH(B109,SF_Output!$M$1:$M$400,0)))</f>
        <v>Card Processing Solutions (CPS)</v>
      </c>
      <c r="H109" cm="1">
        <f t="array" ref="H109">_xlfn.IFS(B109="","",(SUMIFS(SF_Output!$F$1:$F$400,SF_Output!$AC$1:$AC$400,_xlfn.TEXTJOIN(",",TRUE,B109:E109))+SUMIFS(SF_Output!$G$1:$G$400,SF_Output!$AC$1:$AC$400,_xlfn.TEXTJOIN(",",TRUE,B109:E109)))&lt;&gt;0,SF_Output!$Y$2,INDEX(SF_Output!$F$1:$F$400,MATCH(_xlfn.TEXTJOIN(",",TRUE,B109:E109),SF_Output!$AC$1:$AC$400,0))=0,INDEX(SF_Output!$R$1:$R$400,MATCH(_xlfn.TEXTJOIN(",",TRUE,B109:E109),SF_Output!$AC$1:$AC$400,0)))</f>
        <v>0</v>
      </c>
      <c r="I109" s="125" t="str">
        <f>IFERROR(IF(AND(H109&gt;1,H109&lt;&gt;""),ROUND(SUMIFS(SF_Output!$S$1:$S$400,SF_Output!$AC$1:$AC$400,_xlfn.TEXTJOIN(",",TRUE,B109:E109),SF_Output!$Q$1:$Q$400,"monthly")*(1-W109)/H109,4),""),"")</f>
        <v/>
      </c>
      <c r="J109" s="6">
        <f>IF(B109="","",SUMIFS(SF_Output!$S$1:$S$400,SF_Output!$AC$1:$AC$400,_xlfn.TEXTJOIN(",",TRUE,B109:E109),SF_Output!$Q$1:$Q$400,"One Time",SF_Output!$L$1:$L$400,"license fee")+SUMIFS(SF_Output!$S$1:$S$400,SF_Output!$AC$1:$AC$400,_xlfn.TEXTJOIN(",",TRUE,B109:E109),SF_Output!$Q$1:$Q$400,"One Time",SF_Output!$L$1:$L$400,"software license")+SUMIFS(SF_Output!$S$1:$S$400,SF_Output!$AC$1:$AC$400,_xlfn.TEXTJOIN(",",TRUE,B109:E109),SF_Output!$Q$1:$Q$400,"One Time",SF_Output!$L$1:$L$400,"hardware"))</f>
        <v>0</v>
      </c>
      <c r="K109" s="112" t="str">
        <f>IF(OR(B109=0,B109="",G109="hardware",J109=0),"",IF(AF109&lt;&gt;"exclusion",MAX(K$9,-((SUMIFS(SF_Output!$T$1:$T$400,SF_Output!$AC$1:$AC$400,_xlfn.TEXTJOIN(",",TRUE,$B109:$E109),SF_Output!$Q$1:$Q$400,"One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license"))/J109)))</f>
        <v/>
      </c>
      <c r="L109" s="6">
        <f t="shared" si="19"/>
        <v>0</v>
      </c>
      <c r="N109" s="6">
        <f>IF(B109="","",SUMIFS(SF_Output!$S$1:$S$400,SF_Output!$AC$1:$AC$400,_xlfn.TEXTJOIN(",",TRUE,B109:E109),SF_Output!$Q$1:$Q$400,"One Time",SF_Output!$L$1:$L$400,"professional service"))</f>
        <v>0</v>
      </c>
      <c r="O109" s="112" t="str">
        <f>IF(OR(B109=0,B109="",N109=0),"",IF(AF109&lt;&gt;"exclusion",MAX(O$9,-(SUMIFS(SF_Output!$T$1:$T$400,SF_Output!$AC$1:$AC$400,_xlfn.TEXTJOIN(",",TRUE,$B109:$E109),SF_Output!$Q$1:$Q$400,"One Time",SF_Output!$L$1:$L$400,"professional service"))/N109),-((SUMIFS(SF_Output!$T$1:$T$400,SF_Output!$AC$1:$AC$400,_xlfn.TEXTJOIN(",",TRUE,$B109:$E109),SF_Output!$Q$1:$Q$400,"One Time",SF_Output!$L$1:$L$400,"professional service")/N109))))</f>
        <v/>
      </c>
      <c r="P109" s="6">
        <f t="shared" si="20"/>
        <v>0</v>
      </c>
      <c r="R109" s="6">
        <f>IF(B109="","",SUMIFS(SF_Output!$S$1:$S$400,SF_Output!$AC$1:$AC$400,_xlfn.TEXTJOIN(",",TRUE,B109:E109),SF_Output!$Q$1:$Q$400,"yearly")+SUMIFS(SF_Output!$S$1:$S$400,SF_Output!$AC$1:$AC$400,_xlfn.TEXTJOIN(",",TRUE,B109:E109),SF_Output!$Q$1:$Q$400,"quarterly")*4)</f>
        <v>0</v>
      </c>
      <c r="S109" s="112" t="str">
        <f>IF(OR(B109=0,B109="",G109="hardware",R109=0),"",IF(AF109&lt;&gt;"exclusion",MAX(S$9,-(SUMIFS(SF_Output!$T$1:$T$400,SF_Output!$AC$1:$AC$400,_xlfn.TEXTJOIN(",",TRUE,$B109:$E109),SF_Output!$Q$1:$Q$400,"yearly"))/R109),-((SUMIFS(SF_Output!$T$1:$T$400,SF_Output!$AC$1:$AC$400,_xlfn.TEXTJOIN(",",TRUE,$B109:$E109),SF_Output!$Q$1:$Q$400,"yearly")/R109))))</f>
        <v/>
      </c>
      <c r="T109" s="6">
        <f t="shared" si="21"/>
        <v>0</v>
      </c>
      <c r="V109" s="6" cm="1">
        <f t="array" ref="V109">_xlfn.IFS(B109="","",AND(B109&lt;&gt;"",H109=SF_Output!$Y$2,SUMIFS(SF_Output!$T$1:$T$400,SF_Output!$AC$1:$AC$400,_xlfn.TEXTJOIN(",",TRUE,B109:E109),SF_Output!$Q$1:$Q$400,"monthly")=0),(SUMIFS(SF_Output!$F$1:$F$400,SF_Output!$AC$1:$AC$400,_xlfn.TEXTJOIN(",",TRUE,B109:E109),SF_Output!$Q$1:$Q$400,"monthly")+SUMIFS(SF_Output!$G$1:$G$400,SF_Output!$AC$1:$AC$400,_xlfn.TEXTJOIN(",",TRUE,B109:E109),SF_Output!$Q$1:$Q$400,"monthly"))*H109,AND(B109&lt;&gt;"",H109=SF_Output!$Y$2,SUMIFS(SF_Output!$T$1:$T$400,SF_Output!$AC$1:$AC$400,_xlfn.TEXTJOIN(",",TRUE,B109:E109),SF_Output!$Q$1:$Q$400,"monthly")&lt;&gt;0),SUMIFS(SF_Output!$S$1:$S$400,SF_Output!$AC$1:$AC$400,_xlfn.TEXTJOIN(",",TRUE,B109:E109),SF_Output!$Q$1:$Q$400,"monthly"),AND(B109&lt;&gt;"",H109&lt;&gt;SF_Output!$Y$2),SUMIFS(SF_Output!$S$1:$S$400,SF_Output!$AC$1:$AC$400,_xlfn.TEXTJOIN(",",TRUE,B109:E109),SF_Output!$Q$1:$Q$400,"monthly"))</f>
        <v>0</v>
      </c>
      <c r="W109" s="112" t="str" cm="1">
        <f t="array" ref="W109">_xlfn.IFS(OR(B109=0,B109="",V109=0),"",AF109&lt;&gt;"exclusion",MAX($W$9,$W$7,(-(SUMIFS(SF_Output!$T$1:$T$400,SF_Output!$AC$1:$AC$400,_xlfn.TEXTJOIN(",",TRUE,$B109:$E109),SF_Output!$Q$1:$Q$400,"monthly"))/V109)),AF109="exclusion",-(SUMIFS(SF_Output!$T$1:$T$400,SF_Output!$AC$1:$AC$400,_xlfn.TEXTJOIN(",",TRUE,$B109:$E109),SF_Output!$Q$1:$Q$400,"monthly"))/V109)</f>
        <v/>
      </c>
      <c r="X109" s="6" cm="1">
        <f t="array" ref="X109">IFERROR(_xlfn.IFS(V109=0,0,V109="","",W109=0,V109,OR(V109&lt;&gt;0,V109&lt;&gt;""),H109*I109),V109*(1-W109))</f>
        <v>0</v>
      </c>
      <c r="Z109" s="6">
        <f>IFERROR(IF(B109="","",SUMIFS(Billing_Fallout!H:H,Billing_Fallout!N:N,B109)),0)</f>
        <v>0</v>
      </c>
      <c r="AA109" s="6">
        <f t="shared" si="22"/>
        <v>0</v>
      </c>
      <c r="AB109" s="6">
        <f>IFERROR(IF(B109="","",SUMIFS(Billing_Fallout!J:J,Billing_Fallout!N:N,B109)),0)</f>
        <v>0</v>
      </c>
      <c r="AD109" s="6">
        <f t="shared" si="23"/>
        <v>0</v>
      </c>
      <c r="AF109" t="str">
        <f>IFERROR(INDEX(H_Tables!$B$1:$B$1500,MATCH(INDEX(SF_Output!$J$1:$J$400,MATCH(B109,SF_Output!$M$1:$M$400,0)),H_Tables!$A$1:$A$1500,0)),"")</f>
        <v>Exclusion</v>
      </c>
      <c r="AI109" s="119" t="str">
        <f t="shared" si="24"/>
        <v/>
      </c>
      <c r="AJ109" s="121">
        <f>IFERROR(INDEX(SF_Output!AD:AD,MATCH(_xlfn.TEXTJOIN(",",TRUE,B109:E109),SF_Output!AC1:AC400,0)),0.05)</f>
        <v>184</v>
      </c>
      <c r="AK109" t="str">
        <f>IF(SUMIFS(SF_Output!$F$1:$F$400,SF_Output!$AC$1:$AC$400,_xlfn.TEXTJOIN(",",TRUE,B109:E109))+SUMIFS(SF_Output!$G$1:$G$400,SF_Output!$AC$1:$AC$400,_xlfn.TEXTJOIN(",",TRUE,B109:E109))=0,"","PAP")</f>
        <v/>
      </c>
      <c r="AL109" s="35" t="str">
        <f t="shared" si="25"/>
        <v>JHA Tokenization (Digital Wallet) Transactions JHA Debit Processing,New,Hosted b</v>
      </c>
      <c r="AQ109" s="35"/>
      <c r="AR109" s="35" t="str" cm="1">
        <f t="array" ref="AR109">IFERROR(_xlfn.IFS(AND(E109*1=1,F109="Included"),"Change to Included",AND(E109*1=0,F109="Optional"),"Change to Optional",OR(B109="",F109="replaced"),""),"")</f>
        <v/>
      </c>
      <c r="AS109" s="35" t="str">
        <f t="shared" si="26"/>
        <v/>
      </c>
      <c r="AT109" s="35" t="str">
        <f t="shared" si="27"/>
        <v/>
      </c>
      <c r="AU109" s="35" t="str">
        <f t="shared" si="28"/>
        <v/>
      </c>
      <c r="AV109" s="35" t="str">
        <f t="shared" si="29"/>
        <v/>
      </c>
      <c r="AW109" s="35" t="str">
        <f t="shared" si="30"/>
        <v/>
      </c>
      <c r="AX109" s="35" t="str">
        <f t="shared" si="31"/>
        <v/>
      </c>
      <c r="AY109" s="35" t="str">
        <f t="shared" si="32"/>
        <v/>
      </c>
      <c r="AZ109" s="35" t="str">
        <f t="shared" si="33"/>
        <v/>
      </c>
      <c r="BA109" s="35" t="str">
        <f t="shared" si="34"/>
        <v/>
      </c>
      <c r="BB109" s="35" t="str">
        <f t="shared" si="35"/>
        <v/>
      </c>
      <c r="BC109" s="35"/>
      <c r="BE109" s="35">
        <f ca="1">INDEX(SF_Output!$AA$2:$AA$400,MATCH($B109,SF_Output!$M$2:$M$400,0))</f>
        <v>6</v>
      </c>
      <c r="BF109" s="35">
        <f ca="1">INDEX(SF_Output!$AB$2:$AB$400,MATCH($B109,SF_Output!$M$2:$M$400,0))</f>
        <v>1</v>
      </c>
    </row>
    <row r="110" spans="2:58" x14ac:dyDescent="0.25">
      <c r="B110" t="s">
        <v>2375</v>
      </c>
      <c r="C110" t="s">
        <v>2122</v>
      </c>
      <c r="D110" t="s">
        <v>2207</v>
      </c>
      <c r="E110" t="s">
        <v>2124</v>
      </c>
      <c r="F110" s="116" t="str">
        <f t="shared" si="18"/>
        <v>Included</v>
      </c>
      <c r="G110" t="str">
        <f>IF(B110="","",INDEX(SF_Output!$K$1:$K$400,MATCH(B110,SF_Output!$M$1:$M$400,0)))</f>
        <v>Card Processing Solutions (CPS)</v>
      </c>
      <c r="H110" cm="1">
        <f t="array" ref="H110">_xlfn.IFS(B110="","",(SUMIFS(SF_Output!$F$1:$F$400,SF_Output!$AC$1:$AC$400,_xlfn.TEXTJOIN(",",TRUE,B110:E110))+SUMIFS(SF_Output!$G$1:$G$400,SF_Output!$AC$1:$AC$400,_xlfn.TEXTJOIN(",",TRUE,B110:E110)))&lt;&gt;0,SF_Output!$Y$2,INDEX(SF_Output!$F$1:$F$400,MATCH(_xlfn.TEXTJOIN(",",TRUE,B110:E110),SF_Output!$AC$1:$AC$400,0))=0,INDEX(SF_Output!$R$1:$R$400,MATCH(_xlfn.TEXTJOIN(",",TRUE,B110:E110),SF_Output!$AC$1:$AC$400,0)))</f>
        <v>1</v>
      </c>
      <c r="I110" s="125" t="str">
        <f>IFERROR(IF(AND(H110&gt;1,H110&lt;&gt;""),ROUND(SUMIFS(SF_Output!$S$1:$S$400,SF_Output!$AC$1:$AC$400,_xlfn.TEXTJOIN(",",TRUE,B110:E110),SF_Output!$Q$1:$Q$400,"monthly")*(1-W110)/H110,4),""),"")</f>
        <v/>
      </c>
      <c r="J110" s="6">
        <f>IF(B110="","",SUMIFS(SF_Output!$S$1:$S$400,SF_Output!$AC$1:$AC$400,_xlfn.TEXTJOIN(",",TRUE,B110:E110),SF_Output!$Q$1:$Q$400,"One Time",SF_Output!$L$1:$L$400,"license fee")+SUMIFS(SF_Output!$S$1:$S$400,SF_Output!$AC$1:$AC$400,_xlfn.TEXTJOIN(",",TRUE,B110:E110),SF_Output!$Q$1:$Q$400,"One Time",SF_Output!$L$1:$L$400,"software license")+SUMIFS(SF_Output!$S$1:$S$400,SF_Output!$AC$1:$AC$400,_xlfn.TEXTJOIN(",",TRUE,B110:E110),SF_Output!$Q$1:$Q$400,"One Time",SF_Output!$L$1:$L$400,"hardware"))</f>
        <v>0</v>
      </c>
      <c r="K110" s="112" t="str">
        <f>IF(OR(B110=0,B110="",G110="hardware",J110=0),"",IF(AF110&lt;&gt;"exclusion",MAX(K$9,-((SUMIFS(SF_Output!$T$1:$T$400,SF_Output!$AC$1:$AC$400,_xlfn.TEXTJOIN(",",TRUE,$B110:$E110),SF_Output!$Q$1:$Q$400,"One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license"))/J110)))</f>
        <v/>
      </c>
      <c r="L110" s="6">
        <f t="shared" si="19"/>
        <v>0</v>
      </c>
      <c r="N110" s="6">
        <f>IF(B110="","",SUMIFS(SF_Output!$S$1:$S$400,SF_Output!$AC$1:$AC$400,_xlfn.TEXTJOIN(",",TRUE,B110:E110),SF_Output!$Q$1:$Q$400,"One Time",SF_Output!$L$1:$L$400,"professional service"))</f>
        <v>1900</v>
      </c>
      <c r="O110" s="112">
        <f>IF(OR(B110=0,B110="",N110=0),"",IF(AF110&lt;&gt;"exclusion",MAX(O$9,-(SUMIFS(SF_Output!$T$1:$T$400,SF_Output!$AC$1:$AC$400,_xlfn.TEXTJOIN(",",TRUE,$B110:$E110),SF_Output!$Q$1:$Q$400,"One Time",SF_Output!$L$1:$L$400,"professional service"))/N110),-((SUMIFS(SF_Output!$T$1:$T$400,SF_Output!$AC$1:$AC$400,_xlfn.TEXTJOIN(",",TRUE,$B110:$E110),SF_Output!$Q$1:$Q$400,"One Time",SF_Output!$L$1:$L$400,"professional service")/N110))))</f>
        <v>1</v>
      </c>
      <c r="P110" s="6">
        <f t="shared" si="20"/>
        <v>0</v>
      </c>
      <c r="R110" s="6">
        <f>IF(B110="","",SUMIFS(SF_Output!$S$1:$S$400,SF_Output!$AC$1:$AC$400,_xlfn.TEXTJOIN(",",TRUE,B110:E110),SF_Output!$Q$1:$Q$400,"yearly")+SUMIFS(SF_Output!$S$1:$S$400,SF_Output!$AC$1:$AC$400,_xlfn.TEXTJOIN(",",TRUE,B110:E110),SF_Output!$Q$1:$Q$400,"quarterly")*4)</f>
        <v>0</v>
      </c>
      <c r="S110" s="112" t="str">
        <f>IF(OR(B110=0,B110="",G110="hardware",R110=0),"",IF(AF110&lt;&gt;"exclusion",MAX(S$9,-(SUMIFS(SF_Output!$T$1:$T$400,SF_Output!$AC$1:$AC$400,_xlfn.TEXTJOIN(",",TRUE,$B110:$E110),SF_Output!$Q$1:$Q$400,"yearly"))/R110),-((SUMIFS(SF_Output!$T$1:$T$400,SF_Output!$AC$1:$AC$400,_xlfn.TEXTJOIN(",",TRUE,$B110:$E110),SF_Output!$Q$1:$Q$400,"yearly")/R110))))</f>
        <v/>
      </c>
      <c r="T110" s="6">
        <f t="shared" si="21"/>
        <v>0</v>
      </c>
      <c r="V110" s="6" cm="1">
        <f t="array" ref="V110">_xlfn.IFS(B110="","",AND(B110&lt;&gt;"",H110=SF_Output!$Y$2,SUMIFS(SF_Output!$T$1:$T$400,SF_Output!$AC$1:$AC$400,_xlfn.TEXTJOIN(",",TRUE,B110:E110),SF_Output!$Q$1:$Q$400,"monthly")=0),(SUMIFS(SF_Output!$F$1:$F$400,SF_Output!$AC$1:$AC$400,_xlfn.TEXTJOIN(",",TRUE,B110:E110),SF_Output!$Q$1:$Q$400,"monthly")+SUMIFS(SF_Output!$G$1:$G$400,SF_Output!$AC$1:$AC$400,_xlfn.TEXTJOIN(",",TRUE,B110:E110),SF_Output!$Q$1:$Q$400,"monthly"))*H110,AND(B110&lt;&gt;"",H110=SF_Output!$Y$2,SUMIFS(SF_Output!$T$1:$T$400,SF_Output!$AC$1:$AC$400,_xlfn.TEXTJOIN(",",TRUE,B110:E110),SF_Output!$Q$1:$Q$400,"monthly")&lt;&gt;0),SUMIFS(SF_Output!$S$1:$S$400,SF_Output!$AC$1:$AC$400,_xlfn.TEXTJOIN(",",TRUE,B110:E110),SF_Output!$Q$1:$Q$400,"monthly"),AND(B110&lt;&gt;"",H110&lt;&gt;SF_Output!$Y$2),SUMIFS(SF_Output!$S$1:$S$400,SF_Output!$AC$1:$AC$400,_xlfn.TEXTJOIN(",",TRUE,B110:E110),SF_Output!$Q$1:$Q$400,"monthly"))</f>
        <v>0</v>
      </c>
      <c r="W110" s="112" t="str" cm="1">
        <f t="array" ref="W110">_xlfn.IFS(OR(B110=0,B110="",V110=0),"",AF110&lt;&gt;"exclusion",MAX($W$9,$W$7,(-(SUMIFS(SF_Output!$T$1:$T$400,SF_Output!$AC$1:$AC$400,_xlfn.TEXTJOIN(",",TRUE,$B110:$E110),SF_Output!$Q$1:$Q$400,"monthly"))/V110)),AF110="exclusion",-(SUMIFS(SF_Output!$T$1:$T$400,SF_Output!$AC$1:$AC$400,_xlfn.TEXTJOIN(",",TRUE,$B110:$E110),SF_Output!$Q$1:$Q$400,"monthly"))/V110)</f>
        <v/>
      </c>
      <c r="X110" s="6" cm="1">
        <f t="array" ref="X110">IFERROR(_xlfn.IFS(V110=0,0,V110="","",W110=0,V110,OR(V110&lt;&gt;0,V110&lt;&gt;""),H110*I110),V110*(1-W110))</f>
        <v>0</v>
      </c>
      <c r="Z110" s="6">
        <f>IFERROR(IF(B110="","",SUMIFS(Billing_Fallout!H:H,Billing_Fallout!N:N,B110)),0)</f>
        <v>0</v>
      </c>
      <c r="AA110" s="6">
        <f t="shared" si="22"/>
        <v>0</v>
      </c>
      <c r="AB110" s="6">
        <f>IFERROR(IF(B110="","",SUMIFS(Billing_Fallout!J:J,Billing_Fallout!N:N,B110)),0)</f>
        <v>0</v>
      </c>
      <c r="AD110" s="6">
        <f t="shared" si="23"/>
        <v>0</v>
      </c>
      <c r="AF110" t="str">
        <f>IFERROR(INDEX(H_Tables!$B$1:$B$1500,MATCH(INDEX(SF_Output!$J$1:$J$400,MATCH(B110,SF_Output!$M$1:$M$400,0)),H_Tables!$A$1:$A$1500,0)),"")</f>
        <v>Exclusion</v>
      </c>
      <c r="AI110" s="119" t="str">
        <f t="shared" si="24"/>
        <v/>
      </c>
      <c r="AJ110" s="121">
        <f>IFERROR(INDEX(SF_Output!AD:AD,MATCH(_xlfn.TEXTJOIN(",",TRUE,B110:E110),SF_Output!AC1:AC400,0)),0.05)</f>
        <v>185</v>
      </c>
      <c r="AK110" t="str">
        <f>IF(SUMIFS(SF_Output!$F$1:$F$400,SF_Output!$AC$1:$AC$400,_xlfn.TEXTJOIN(",",TRUE,B110:E110))+SUMIFS(SF_Output!$G$1:$G$400,SF_Output!$AC$1:$AC$400,_xlfn.TEXTJOIN(",",TRUE,B110:E110))=0,"","PAP")</f>
        <v/>
      </c>
      <c r="AL110" s="35" t="str">
        <f t="shared" si="25"/>
        <v>Jack Henry Digital Provisioning Enablement (JHA Tokenization Required) JHA Debit</v>
      </c>
      <c r="AQ110" s="35"/>
      <c r="AR110" s="35" t="str" cm="1">
        <f t="array" ref="AR110">IFERROR(_xlfn.IFS(AND(E110*1=1,F110="Included"),"Change to Included",AND(E110*1=0,F110="Optional"),"Change to Optional",OR(B110="",F110="replaced"),""),"")</f>
        <v/>
      </c>
      <c r="AS110" s="35" t="str">
        <f t="shared" si="26"/>
        <v/>
      </c>
      <c r="AT110" s="35" t="str">
        <f t="shared" si="27"/>
        <v/>
      </c>
      <c r="AU110" s="35" t="str">
        <f t="shared" si="28"/>
        <v/>
      </c>
      <c r="AV110" s="35" t="str">
        <f t="shared" si="29"/>
        <v/>
      </c>
      <c r="AW110" s="35" t="str">
        <f t="shared" si="30"/>
        <v/>
      </c>
      <c r="AX110" s="35" t="str">
        <f t="shared" si="31"/>
        <v/>
      </c>
      <c r="AY110" s="35" t="str">
        <f t="shared" si="32"/>
        <v/>
      </c>
      <c r="AZ110" s="35" t="str">
        <f t="shared" si="33"/>
        <v/>
      </c>
      <c r="BA110" s="35" t="str">
        <f t="shared" si="34"/>
        <v/>
      </c>
      <c r="BB110" s="35" t="str">
        <f t="shared" si="35"/>
        <v/>
      </c>
      <c r="BC110" s="35"/>
      <c r="BE110" s="35">
        <f ca="1">INDEX(SF_Output!$AA$2:$AA$400,MATCH($B110,SF_Output!$M$2:$M$400,0))</f>
        <v>6</v>
      </c>
      <c r="BF110" s="35">
        <f ca="1">INDEX(SF_Output!$AB$2:$AB$400,MATCH($B110,SF_Output!$M$2:$M$400,0))</f>
        <v>1</v>
      </c>
    </row>
    <row r="111" spans="2:58" x14ac:dyDescent="0.25">
      <c r="B111" t="s">
        <v>2377</v>
      </c>
      <c r="C111" t="s">
        <v>2122</v>
      </c>
      <c r="D111" t="s">
        <v>2207</v>
      </c>
      <c r="E111" t="s">
        <v>2124</v>
      </c>
      <c r="F111" s="116" t="str">
        <f t="shared" si="18"/>
        <v>Included</v>
      </c>
      <c r="G111" t="str">
        <f>IF(B111="","",INDEX(SF_Output!$K$1:$K$400,MATCH(B111,SF_Output!$M$1:$M$400,0)))</f>
        <v>Card Processing Solutions (CPS)</v>
      </c>
      <c r="H111" cm="1">
        <f t="array" ref="H111">_xlfn.IFS(B111="","",(SUMIFS(SF_Output!$F$1:$F$400,SF_Output!$AC$1:$AC$400,_xlfn.TEXTJOIN(",",TRUE,B111:E111))+SUMIFS(SF_Output!$G$1:$G$400,SF_Output!$AC$1:$AC$400,_xlfn.TEXTJOIN(",",TRUE,B111:E111)))&lt;&gt;0,SF_Output!$Y$2,INDEX(SF_Output!$F$1:$F$400,MATCH(_xlfn.TEXTJOIN(",",TRUE,B111:E111),SF_Output!$AC$1:$AC$400,0))=0,INDEX(SF_Output!$R$1:$R$400,MATCH(_xlfn.TEXTJOIN(",",TRUE,B111:E111),SF_Output!$AC$1:$AC$400,0)))</f>
        <v>1</v>
      </c>
      <c r="I111" s="125" t="str">
        <f>IFERROR(IF(AND(H111&gt;1,H111&lt;&gt;""),ROUND(SUMIFS(SF_Output!$S$1:$S$400,SF_Output!$AC$1:$AC$400,_xlfn.TEXTJOIN(",",TRUE,B111:E111),SF_Output!$Q$1:$Q$400,"monthly")*(1-W111)/H111,4),""),"")</f>
        <v/>
      </c>
      <c r="J111" s="6">
        <f>IF(B111="","",SUMIFS(SF_Output!$S$1:$S$400,SF_Output!$AC$1:$AC$400,_xlfn.TEXTJOIN(",",TRUE,B111:E111),SF_Output!$Q$1:$Q$400,"One Time",SF_Output!$L$1:$L$400,"license fee")+SUMIFS(SF_Output!$S$1:$S$400,SF_Output!$AC$1:$AC$400,_xlfn.TEXTJOIN(",",TRUE,B111:E111),SF_Output!$Q$1:$Q$400,"One Time",SF_Output!$L$1:$L$400,"software license")+SUMIFS(SF_Output!$S$1:$S$400,SF_Output!$AC$1:$AC$400,_xlfn.TEXTJOIN(",",TRUE,B111:E111),SF_Output!$Q$1:$Q$400,"One Time",SF_Output!$L$1:$L$400,"hardware"))</f>
        <v>0</v>
      </c>
      <c r="K111" s="112" t="str">
        <f>IF(OR(B111=0,B111="",G111="hardware",J111=0),"",IF(AF111&lt;&gt;"exclusion",MAX(K$9,-((SUMIFS(SF_Output!$T$1:$T$400,SF_Output!$AC$1:$AC$400,_xlfn.TEXTJOIN(",",TRUE,$B111:$E111),SF_Output!$Q$1:$Q$400,"One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license"))/J111)))</f>
        <v/>
      </c>
      <c r="L111" s="6">
        <f t="shared" si="19"/>
        <v>0</v>
      </c>
      <c r="N111" s="6">
        <f>IF(B111="","",SUMIFS(SF_Output!$S$1:$S$400,SF_Output!$AC$1:$AC$400,_xlfn.TEXTJOIN(",",TRUE,B111:E111),SF_Output!$Q$1:$Q$400,"One Time",SF_Output!$L$1:$L$400,"professional service"))</f>
        <v>0</v>
      </c>
      <c r="O111" s="112" t="str">
        <f>IF(OR(B111=0,B111="",N111=0),"",IF(AF111&lt;&gt;"exclusion",MAX(O$9,-(SUMIFS(SF_Output!$T$1:$T$400,SF_Output!$AC$1:$AC$400,_xlfn.TEXTJOIN(",",TRUE,$B111:$E111),SF_Output!$Q$1:$Q$400,"One Time",SF_Output!$L$1:$L$400,"professional service"))/N111),-((SUMIFS(SF_Output!$T$1:$T$400,SF_Output!$AC$1:$AC$400,_xlfn.TEXTJOIN(",",TRUE,$B111:$E111),SF_Output!$Q$1:$Q$400,"One Time",SF_Output!$L$1:$L$400,"professional service")/N111))))</f>
        <v/>
      </c>
      <c r="P111" s="6">
        <f t="shared" si="20"/>
        <v>0</v>
      </c>
      <c r="R111" s="6">
        <f>IF(B111="","",SUMIFS(SF_Output!$S$1:$S$400,SF_Output!$AC$1:$AC$400,_xlfn.TEXTJOIN(",",TRUE,B111:E111),SF_Output!$Q$1:$Q$400,"yearly")+SUMIFS(SF_Output!$S$1:$S$400,SF_Output!$AC$1:$AC$400,_xlfn.TEXTJOIN(",",TRUE,B111:E111),SF_Output!$Q$1:$Q$400,"quarterly")*4)</f>
        <v>0</v>
      </c>
      <c r="S111" s="112" t="str">
        <f>IF(OR(B111=0,B111="",G111="hardware",R111=0),"",IF(AF111&lt;&gt;"exclusion",MAX(S$9,-(SUMIFS(SF_Output!$T$1:$T$400,SF_Output!$AC$1:$AC$400,_xlfn.TEXTJOIN(",",TRUE,$B111:$E111),SF_Output!$Q$1:$Q$400,"yearly"))/R111),-((SUMIFS(SF_Output!$T$1:$T$400,SF_Output!$AC$1:$AC$400,_xlfn.TEXTJOIN(",",TRUE,$B111:$E111),SF_Output!$Q$1:$Q$400,"yearly")/R111))))</f>
        <v/>
      </c>
      <c r="T111" s="6">
        <f t="shared" si="21"/>
        <v>0</v>
      </c>
      <c r="V111" s="6" cm="1">
        <f t="array" ref="V111">_xlfn.IFS(B111="","",AND(B111&lt;&gt;"",H111=SF_Output!$Y$2,SUMIFS(SF_Output!$T$1:$T$400,SF_Output!$AC$1:$AC$400,_xlfn.TEXTJOIN(",",TRUE,B111:E111),SF_Output!$Q$1:$Q$400,"monthly")=0),(SUMIFS(SF_Output!$F$1:$F$400,SF_Output!$AC$1:$AC$400,_xlfn.TEXTJOIN(",",TRUE,B111:E111),SF_Output!$Q$1:$Q$400,"monthly")+SUMIFS(SF_Output!$G$1:$G$400,SF_Output!$AC$1:$AC$400,_xlfn.TEXTJOIN(",",TRUE,B111:E111),SF_Output!$Q$1:$Q$400,"monthly"))*H111,AND(B111&lt;&gt;"",H111=SF_Output!$Y$2,SUMIFS(SF_Output!$T$1:$T$400,SF_Output!$AC$1:$AC$400,_xlfn.TEXTJOIN(",",TRUE,B111:E111),SF_Output!$Q$1:$Q$400,"monthly")&lt;&gt;0),SUMIFS(SF_Output!$S$1:$S$400,SF_Output!$AC$1:$AC$400,_xlfn.TEXTJOIN(",",TRUE,B111:E111),SF_Output!$Q$1:$Q$400,"monthly"),AND(B111&lt;&gt;"",H111&lt;&gt;SF_Output!$Y$2),SUMIFS(SF_Output!$S$1:$S$400,SF_Output!$AC$1:$AC$400,_xlfn.TEXTJOIN(",",TRUE,B111:E111),SF_Output!$Q$1:$Q$400,"monthly"))</f>
        <v>350</v>
      </c>
      <c r="W111" s="112" cm="1">
        <f t="array" ref="W111">_xlfn.IFS(OR(B111=0,B111="",V111=0),"",AF111&lt;&gt;"exclusion",MAX($W$9,$W$7,(-(SUMIFS(SF_Output!$T$1:$T$400,SF_Output!$AC$1:$AC$400,_xlfn.TEXTJOIN(",",TRUE,$B111:$E111),SF_Output!$Q$1:$Q$400,"monthly"))/V111)),AF111="exclusion",-(SUMIFS(SF_Output!$T$1:$T$400,SF_Output!$AC$1:$AC$400,_xlfn.TEXTJOIN(",",TRUE,$B111:$E111),SF_Output!$Q$1:$Q$400,"monthly"))/V111)</f>
        <v>0</v>
      </c>
      <c r="X111" s="6" cm="1">
        <f t="array" ref="X111">IFERROR(_xlfn.IFS(V111=0,0,V111="","",W111=0,V111,OR(V111&lt;&gt;0,V111&lt;&gt;""),H111*I111),V111*(1-W111))</f>
        <v>350</v>
      </c>
      <c r="Z111" s="6">
        <f>IFERROR(IF(B111="","",SUMIFS(Billing_Fallout!H:H,Billing_Fallout!N:N,B111)),0)</f>
        <v>0</v>
      </c>
      <c r="AA111" s="6">
        <f t="shared" si="22"/>
        <v>0</v>
      </c>
      <c r="AB111" s="6">
        <f>IFERROR(IF(B111="","",SUMIFS(Billing_Fallout!J:J,Billing_Fallout!N:N,B111)),0)</f>
        <v>0</v>
      </c>
      <c r="AD111" s="6">
        <f t="shared" si="23"/>
        <v>350</v>
      </c>
      <c r="AF111" t="str">
        <f>IFERROR(INDEX(H_Tables!$B$1:$B$1500,MATCH(INDEX(SF_Output!$J$1:$J$400,MATCH(B111,SF_Output!$M$1:$M$400,0)),H_Tables!$A$1:$A$1500,0)),"")</f>
        <v>Exclusion</v>
      </c>
      <c r="AI111" s="119" t="str">
        <f t="shared" si="24"/>
        <v/>
      </c>
      <c r="AJ111" s="121">
        <f>IFERROR(INDEX(SF_Output!AD:AD,MATCH(_xlfn.TEXTJOIN(",",TRUE,B111:E111),SF_Output!AC1:AC400,0)),0.05)</f>
        <v>186</v>
      </c>
      <c r="AK111" t="str">
        <f>IF(SUMIFS(SF_Output!$F$1:$F$400,SF_Output!$AC$1:$AC$400,_xlfn.TEXTJOIN(",",TRUE,B111:E111))+SUMIFS(SF_Output!$G$1:$G$400,SF_Output!$AC$1:$AC$400,_xlfn.TEXTJOIN(",",TRUE,B111:E111))=0,"","PAP")</f>
        <v/>
      </c>
      <c r="AL111" s="35" t="str">
        <f t="shared" si="25"/>
        <v>JHA Card Analytics JHA Debit Processing,New,Hosted by 3rd Party,0</v>
      </c>
      <c r="AQ111" s="35"/>
      <c r="AR111" s="35" t="str" cm="1">
        <f t="array" ref="AR111">IFERROR(_xlfn.IFS(AND(E111*1=1,F111="Included"),"Change to Included",AND(E111*1=0,F111="Optional"),"Change to Optional",OR(B111="",F111="replaced"),""),"")</f>
        <v/>
      </c>
      <c r="AS111" s="35" t="str">
        <f t="shared" si="26"/>
        <v/>
      </c>
      <c r="AT111" s="35" t="str">
        <f t="shared" si="27"/>
        <v/>
      </c>
      <c r="AU111" s="35" t="str">
        <f t="shared" si="28"/>
        <v/>
      </c>
      <c r="AV111" s="35" t="str">
        <f t="shared" si="29"/>
        <v/>
      </c>
      <c r="AW111" s="35" t="str">
        <f t="shared" si="30"/>
        <v/>
      </c>
      <c r="AX111" s="35" t="str">
        <f t="shared" si="31"/>
        <v/>
      </c>
      <c r="AY111" s="35" t="str">
        <f t="shared" si="32"/>
        <v/>
      </c>
      <c r="AZ111" s="35" t="str">
        <f t="shared" si="33"/>
        <v/>
      </c>
      <c r="BA111" s="35" t="str">
        <f t="shared" si="34"/>
        <v/>
      </c>
      <c r="BB111" s="35" t="str">
        <f t="shared" si="35"/>
        <v/>
      </c>
      <c r="BC111" s="35"/>
      <c r="BE111" s="35">
        <f ca="1">INDEX(SF_Output!$AA$2:$AA$400,MATCH($B111,SF_Output!$M$2:$M$400,0))</f>
        <v>6</v>
      </c>
      <c r="BF111" s="35">
        <f ca="1">INDEX(SF_Output!$AB$2:$AB$400,MATCH($B111,SF_Output!$M$2:$M$400,0))</f>
        <v>1</v>
      </c>
    </row>
    <row r="112" spans="2:58" x14ac:dyDescent="0.25">
      <c r="B112" t="s">
        <v>2379</v>
      </c>
      <c r="C112" t="s">
        <v>2122</v>
      </c>
      <c r="D112" t="s">
        <v>2207</v>
      </c>
      <c r="E112" t="s">
        <v>2124</v>
      </c>
      <c r="F112" s="116" t="str">
        <f t="shared" si="18"/>
        <v>Included</v>
      </c>
      <c r="G112" t="str">
        <f>IF(B112="","",INDEX(SF_Output!$K$1:$K$400,MATCH(B112,SF_Output!$M$1:$M$400,0)))</f>
        <v>Card Processing Solutions (CPS)</v>
      </c>
      <c r="H112" cm="1">
        <f t="array" ref="H112">_xlfn.IFS(B112="","",(SUMIFS(SF_Output!$F$1:$F$400,SF_Output!$AC$1:$AC$400,_xlfn.TEXTJOIN(",",TRUE,B112:E112))+SUMIFS(SF_Output!$G$1:$G$400,SF_Output!$AC$1:$AC$400,_xlfn.TEXTJOIN(",",TRUE,B112:E112)))&lt;&gt;0,SF_Output!$Y$2,INDEX(SF_Output!$F$1:$F$400,MATCH(_xlfn.TEXTJOIN(",",TRUE,B112:E112),SF_Output!$AC$1:$AC$400,0))=0,INDEX(SF_Output!$R$1:$R$400,MATCH(_xlfn.TEXTJOIN(",",TRUE,B112:E112),SF_Output!$AC$1:$AC$400,0)))</f>
        <v>1</v>
      </c>
      <c r="I112" s="125" t="str">
        <f>IFERROR(IF(AND(H112&gt;1,H112&lt;&gt;""),ROUND(SUMIFS(SF_Output!$S$1:$S$400,SF_Output!$AC$1:$AC$400,_xlfn.TEXTJOIN(",",TRUE,B112:E112),SF_Output!$Q$1:$Q$400,"monthly")*(1-W112)/H112,4),""),"")</f>
        <v/>
      </c>
      <c r="J112" s="6">
        <f>IF(B112="","",SUMIFS(SF_Output!$S$1:$S$400,SF_Output!$AC$1:$AC$400,_xlfn.TEXTJOIN(",",TRUE,B112:E112),SF_Output!$Q$1:$Q$400,"One Time",SF_Output!$L$1:$L$400,"license fee")+SUMIFS(SF_Output!$S$1:$S$400,SF_Output!$AC$1:$AC$400,_xlfn.TEXTJOIN(",",TRUE,B112:E112),SF_Output!$Q$1:$Q$400,"One Time",SF_Output!$L$1:$L$400,"software license")+SUMIFS(SF_Output!$S$1:$S$400,SF_Output!$AC$1:$AC$400,_xlfn.TEXTJOIN(",",TRUE,B112:E112),SF_Output!$Q$1:$Q$400,"One Time",SF_Output!$L$1:$L$400,"hardware"))</f>
        <v>0</v>
      </c>
      <c r="K112" s="112" t="str">
        <f>IF(OR(B112=0,B112="",G112="hardware",J112=0),"",IF(AF112&lt;&gt;"exclusion",MAX(K$9,-((SUMIFS(SF_Output!$T$1:$T$400,SF_Output!$AC$1:$AC$400,_xlfn.TEXTJOIN(",",TRUE,$B112:$E112),SF_Output!$Q$1:$Q$400,"One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license"))/J112)))</f>
        <v/>
      </c>
      <c r="L112" s="6">
        <f t="shared" si="19"/>
        <v>0</v>
      </c>
      <c r="N112" s="6">
        <f>IF(B112="","",SUMIFS(SF_Output!$S$1:$S$400,SF_Output!$AC$1:$AC$400,_xlfn.TEXTJOIN(",",TRUE,B112:E112),SF_Output!$Q$1:$Q$400,"One Time",SF_Output!$L$1:$L$400,"professional service"))</f>
        <v>1500</v>
      </c>
      <c r="O112" s="112">
        <f>IF(OR(B112=0,B112="",N112=0),"",IF(AF112&lt;&gt;"exclusion",MAX(O$9,-(SUMIFS(SF_Output!$T$1:$T$400,SF_Output!$AC$1:$AC$400,_xlfn.TEXTJOIN(",",TRUE,$B112:$E112),SF_Output!$Q$1:$Q$400,"One Time",SF_Output!$L$1:$L$400,"professional service"))/N112),-((SUMIFS(SF_Output!$T$1:$T$400,SF_Output!$AC$1:$AC$400,_xlfn.TEXTJOIN(",",TRUE,$B112:$E112),SF_Output!$Q$1:$Q$400,"One Time",SF_Output!$L$1:$L$400,"professional service")/N112))))</f>
        <v>1</v>
      </c>
      <c r="P112" s="6">
        <f t="shared" si="20"/>
        <v>0</v>
      </c>
      <c r="R112" s="6">
        <f>IF(B112="","",SUMIFS(SF_Output!$S$1:$S$400,SF_Output!$AC$1:$AC$400,_xlfn.TEXTJOIN(",",TRUE,B112:E112),SF_Output!$Q$1:$Q$400,"yearly")+SUMIFS(SF_Output!$S$1:$S$400,SF_Output!$AC$1:$AC$400,_xlfn.TEXTJOIN(",",TRUE,B112:E112),SF_Output!$Q$1:$Q$400,"quarterly")*4)</f>
        <v>0</v>
      </c>
      <c r="S112" s="112" t="str">
        <f>IF(OR(B112=0,B112="",G112="hardware",R112=0),"",IF(AF112&lt;&gt;"exclusion",MAX(S$9,-(SUMIFS(SF_Output!$T$1:$T$400,SF_Output!$AC$1:$AC$400,_xlfn.TEXTJOIN(",",TRUE,$B112:$E112),SF_Output!$Q$1:$Q$400,"yearly"))/R112),-((SUMIFS(SF_Output!$T$1:$T$400,SF_Output!$AC$1:$AC$400,_xlfn.TEXTJOIN(",",TRUE,$B112:$E112),SF_Output!$Q$1:$Q$400,"yearly")/R112))))</f>
        <v/>
      </c>
      <c r="T112" s="6">
        <f t="shared" si="21"/>
        <v>0</v>
      </c>
      <c r="V112" s="6" cm="1">
        <f t="array" ref="V112">_xlfn.IFS(B112="","",AND(B112&lt;&gt;"",H112=SF_Output!$Y$2,SUMIFS(SF_Output!$T$1:$T$400,SF_Output!$AC$1:$AC$400,_xlfn.TEXTJOIN(",",TRUE,B112:E112),SF_Output!$Q$1:$Q$400,"monthly")=0),(SUMIFS(SF_Output!$F$1:$F$400,SF_Output!$AC$1:$AC$400,_xlfn.TEXTJOIN(",",TRUE,B112:E112),SF_Output!$Q$1:$Q$400,"monthly")+SUMIFS(SF_Output!$G$1:$G$400,SF_Output!$AC$1:$AC$400,_xlfn.TEXTJOIN(",",TRUE,B112:E112),SF_Output!$Q$1:$Q$400,"monthly"))*H112,AND(B112&lt;&gt;"",H112=SF_Output!$Y$2,SUMIFS(SF_Output!$T$1:$T$400,SF_Output!$AC$1:$AC$400,_xlfn.TEXTJOIN(",",TRUE,B112:E112),SF_Output!$Q$1:$Q$400,"monthly")&lt;&gt;0),SUMIFS(SF_Output!$S$1:$S$400,SF_Output!$AC$1:$AC$400,_xlfn.TEXTJOIN(",",TRUE,B112:E112),SF_Output!$Q$1:$Q$400,"monthly"),AND(B112&lt;&gt;"",H112&lt;&gt;SF_Output!$Y$2),SUMIFS(SF_Output!$S$1:$S$400,SF_Output!$AC$1:$AC$400,_xlfn.TEXTJOIN(",",TRUE,B112:E112),SF_Output!$Q$1:$Q$400,"monthly"))</f>
        <v>350</v>
      </c>
      <c r="W112" s="112" cm="1">
        <f t="array" ref="W112">_xlfn.IFS(OR(B112=0,B112="",V112=0),"",AF112&lt;&gt;"exclusion",MAX($W$9,$W$7,(-(SUMIFS(SF_Output!$T$1:$T$400,SF_Output!$AC$1:$AC$400,_xlfn.TEXTJOIN(",",TRUE,$B112:$E112),SF_Output!$Q$1:$Q$400,"monthly"))/V112)),AF112="exclusion",-(SUMIFS(SF_Output!$T$1:$T$400,SF_Output!$AC$1:$AC$400,_xlfn.TEXTJOIN(",",TRUE,$B112:$E112),SF_Output!$Q$1:$Q$400,"monthly"))/V112)</f>
        <v>0</v>
      </c>
      <c r="X112" s="6" cm="1">
        <f t="array" ref="X112">IFERROR(_xlfn.IFS(V112=0,0,V112="","",W112=0,V112,OR(V112&lt;&gt;0,V112&lt;&gt;""),H112*I112),V112*(1-W112))</f>
        <v>350</v>
      </c>
      <c r="Z112" s="6">
        <f>IFERROR(IF(B112="","",SUMIFS(Billing_Fallout!H:H,Billing_Fallout!N:N,B112)),0)</f>
        <v>0</v>
      </c>
      <c r="AA112" s="6">
        <f t="shared" si="22"/>
        <v>0</v>
      </c>
      <c r="AB112" s="6">
        <f>IFERROR(IF(B112="","",SUMIFS(Billing_Fallout!J:J,Billing_Fallout!N:N,B112)),0)</f>
        <v>0</v>
      </c>
      <c r="AD112" s="6">
        <f t="shared" si="23"/>
        <v>350</v>
      </c>
      <c r="AF112" t="str">
        <f>IFERROR(INDEX(H_Tables!$B$1:$B$1500,MATCH(INDEX(SF_Output!$J$1:$J$400,MATCH(B112,SF_Output!$M$1:$M$400,0)),H_Tables!$A$1:$A$1500,0)),"")</f>
        <v>Exclusion</v>
      </c>
      <c r="AI112" s="119" t="str">
        <f t="shared" si="24"/>
        <v/>
      </c>
      <c r="AJ112" s="121">
        <f>IFERROR(INDEX(SF_Output!AD:AD,MATCH(_xlfn.TEXTJOIN(",",TRUE,B112:E112),SF_Output!AC1:AC400,0)),0.05)</f>
        <v>187</v>
      </c>
      <c r="AK112" t="str">
        <f>IF(SUMIFS(SF_Output!$F$1:$F$400,SF_Output!$AC$1:$AC$400,_xlfn.TEXTJOIN(",",TRUE,B112:E112))+SUMIFS(SF_Output!$G$1:$G$400,SF_Output!$AC$1:$AC$400,_xlfn.TEXTJOIN(",",TRUE,B112:E112))=0,"","PAP")</f>
        <v/>
      </c>
      <c r="AL112" s="35" t="str">
        <f t="shared" si="25"/>
        <v>JHA Card Connect JHA Debit Processing,New,Hosted by 3rd Party,0</v>
      </c>
      <c r="AQ112" s="35"/>
      <c r="AR112" s="35" t="str" cm="1">
        <f t="array" ref="AR112">IFERROR(_xlfn.IFS(AND(E112*1=1,F112="Included"),"Change to Included",AND(E112*1=0,F112="Optional"),"Change to Optional",OR(B112="",F112="replaced"),""),"")</f>
        <v/>
      </c>
      <c r="AS112" s="35" t="str">
        <f t="shared" si="26"/>
        <v/>
      </c>
      <c r="AT112" s="35" t="str">
        <f t="shared" si="27"/>
        <v/>
      </c>
      <c r="AU112" s="35" t="str">
        <f t="shared" si="28"/>
        <v/>
      </c>
      <c r="AV112" s="35" t="str">
        <f t="shared" si="29"/>
        <v/>
      </c>
      <c r="AW112" s="35" t="str">
        <f t="shared" si="30"/>
        <v/>
      </c>
      <c r="AX112" s="35" t="str">
        <f t="shared" si="31"/>
        <v/>
      </c>
      <c r="AY112" s="35" t="str">
        <f t="shared" si="32"/>
        <v/>
      </c>
      <c r="AZ112" s="35" t="str">
        <f t="shared" si="33"/>
        <v/>
      </c>
      <c r="BA112" s="35" t="str">
        <f t="shared" si="34"/>
        <v/>
      </c>
      <c r="BB112" s="35" t="str">
        <f t="shared" si="35"/>
        <v/>
      </c>
      <c r="BC112" s="35"/>
      <c r="BE112" s="35">
        <f ca="1">INDEX(SF_Output!$AA$2:$AA$400,MATCH($B112,SF_Output!$M$2:$M$400,0))</f>
        <v>6</v>
      </c>
      <c r="BF112" s="35">
        <f ca="1">INDEX(SF_Output!$AB$2:$AB$400,MATCH($B112,SF_Output!$M$2:$M$400,0))</f>
        <v>1</v>
      </c>
    </row>
    <row r="113" spans="2:58" x14ac:dyDescent="0.25">
      <c r="B113" t="s">
        <v>2382</v>
      </c>
      <c r="C113" t="s">
        <v>2122</v>
      </c>
      <c r="D113" t="s">
        <v>2207</v>
      </c>
      <c r="E113" t="s">
        <v>2124</v>
      </c>
      <c r="F113" s="116" t="str">
        <f t="shared" si="18"/>
        <v>Included</v>
      </c>
      <c r="G113" t="str">
        <f>IF(B113="","",INDEX(SF_Output!$K$1:$K$400,MATCH(B113,SF_Output!$M$1:$M$400,0)))</f>
        <v>Card Processing Solutions (CPS)</v>
      </c>
      <c r="H113" cm="1">
        <f t="array" ref="H113">_xlfn.IFS(B113="","",(SUMIFS(SF_Output!$F$1:$F$400,SF_Output!$AC$1:$AC$400,_xlfn.TEXTJOIN(",",TRUE,B113:E113))+SUMIFS(SF_Output!$G$1:$G$400,SF_Output!$AC$1:$AC$400,_xlfn.TEXTJOIN(",",TRUE,B113:E113)))&lt;&gt;0,SF_Output!$Y$2,INDEX(SF_Output!$F$1:$F$400,MATCH(_xlfn.TEXTJOIN(",",TRUE,B113:E113),SF_Output!$AC$1:$AC$400,0))=0,INDEX(SF_Output!$R$1:$R$400,MATCH(_xlfn.TEXTJOIN(",",TRUE,B113:E113),SF_Output!$AC$1:$AC$400,0)))</f>
        <v>1</v>
      </c>
      <c r="I113" s="125" t="str">
        <f>IFERROR(IF(AND(H113&gt;1,H113&lt;&gt;""),ROUND(SUMIFS(SF_Output!$S$1:$S$400,SF_Output!$AC$1:$AC$400,_xlfn.TEXTJOIN(",",TRUE,B113:E113),SF_Output!$Q$1:$Q$400,"monthly")*(1-W113)/H113,4),""),"")</f>
        <v/>
      </c>
      <c r="J113" s="6">
        <f>IF(B113="","",SUMIFS(SF_Output!$S$1:$S$400,SF_Output!$AC$1:$AC$400,_xlfn.TEXTJOIN(",",TRUE,B113:E113),SF_Output!$Q$1:$Q$400,"One Time",SF_Output!$L$1:$L$400,"license fee")+SUMIFS(SF_Output!$S$1:$S$400,SF_Output!$AC$1:$AC$400,_xlfn.TEXTJOIN(",",TRUE,B113:E113),SF_Output!$Q$1:$Q$400,"One Time",SF_Output!$L$1:$L$400,"software license")+SUMIFS(SF_Output!$S$1:$S$400,SF_Output!$AC$1:$AC$400,_xlfn.TEXTJOIN(",",TRUE,B113:E113),SF_Output!$Q$1:$Q$400,"One Time",SF_Output!$L$1:$L$400,"hardware"))</f>
        <v>0</v>
      </c>
      <c r="K113" s="112" t="str">
        <f>IF(OR(B113=0,B113="",G113="hardware",J113=0),"",IF(AF113&lt;&gt;"exclusion",MAX(K$9,-((SUMIFS(SF_Output!$T$1:$T$400,SF_Output!$AC$1:$AC$400,_xlfn.TEXTJOIN(",",TRUE,$B113:$E113),SF_Output!$Q$1:$Q$400,"One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license"))/J113)))</f>
        <v/>
      </c>
      <c r="L113" s="6">
        <f t="shared" si="19"/>
        <v>0</v>
      </c>
      <c r="N113" s="6">
        <f>IF(B113="","",SUMIFS(SF_Output!$S$1:$S$400,SF_Output!$AC$1:$AC$400,_xlfn.TEXTJOIN(",",TRUE,B113:E113),SF_Output!$Q$1:$Q$400,"One Time",SF_Output!$L$1:$L$400,"professional service"))</f>
        <v>0</v>
      </c>
      <c r="O113" s="112" t="str">
        <f>IF(OR(B113=0,B113="",N113=0),"",IF(AF113&lt;&gt;"exclusion",MAX(O$9,-(SUMIFS(SF_Output!$T$1:$T$400,SF_Output!$AC$1:$AC$400,_xlfn.TEXTJOIN(",",TRUE,$B113:$E113),SF_Output!$Q$1:$Q$400,"One Time",SF_Output!$L$1:$L$400,"professional service"))/N113),-((SUMIFS(SF_Output!$T$1:$T$400,SF_Output!$AC$1:$AC$400,_xlfn.TEXTJOIN(",",TRUE,$B113:$E113),SF_Output!$Q$1:$Q$400,"One Time",SF_Output!$L$1:$L$400,"professional service")/N113))))</f>
        <v/>
      </c>
      <c r="P113" s="6">
        <f t="shared" si="20"/>
        <v>0</v>
      </c>
      <c r="R113" s="6">
        <f>IF(B113="","",SUMIFS(SF_Output!$S$1:$S$400,SF_Output!$AC$1:$AC$400,_xlfn.TEXTJOIN(",",TRUE,B113:E113),SF_Output!$Q$1:$Q$400,"yearly")+SUMIFS(SF_Output!$S$1:$S$400,SF_Output!$AC$1:$AC$400,_xlfn.TEXTJOIN(",",TRUE,B113:E113),SF_Output!$Q$1:$Q$400,"quarterly")*4)</f>
        <v>0</v>
      </c>
      <c r="S113" s="112" t="str">
        <f>IF(OR(B113=0,B113="",G113="hardware",R113=0),"",IF(AF113&lt;&gt;"exclusion",MAX(S$9,-(SUMIFS(SF_Output!$T$1:$T$400,SF_Output!$AC$1:$AC$400,_xlfn.TEXTJOIN(",",TRUE,$B113:$E113),SF_Output!$Q$1:$Q$400,"yearly"))/R113),-((SUMIFS(SF_Output!$T$1:$T$400,SF_Output!$AC$1:$AC$400,_xlfn.TEXTJOIN(",",TRUE,$B113:$E113),SF_Output!$Q$1:$Q$400,"yearly")/R113))))</f>
        <v/>
      </c>
      <c r="T113" s="6">
        <f t="shared" si="21"/>
        <v>0</v>
      </c>
      <c r="V113" s="6" cm="1">
        <f t="array" ref="V113">_xlfn.IFS(B113="","",AND(B113&lt;&gt;"",H113=SF_Output!$Y$2,SUMIFS(SF_Output!$T$1:$T$400,SF_Output!$AC$1:$AC$400,_xlfn.TEXTJOIN(",",TRUE,B113:E113),SF_Output!$Q$1:$Q$400,"monthly")=0),(SUMIFS(SF_Output!$F$1:$F$400,SF_Output!$AC$1:$AC$400,_xlfn.TEXTJOIN(",",TRUE,B113:E113),SF_Output!$Q$1:$Q$400,"monthly")+SUMIFS(SF_Output!$G$1:$G$400,SF_Output!$AC$1:$AC$400,_xlfn.TEXTJOIN(",",TRUE,B113:E113),SF_Output!$Q$1:$Q$400,"monthly"))*H113,AND(B113&lt;&gt;"",H113=SF_Output!$Y$2,SUMIFS(SF_Output!$T$1:$T$400,SF_Output!$AC$1:$AC$400,_xlfn.TEXTJOIN(",",TRUE,B113:E113),SF_Output!$Q$1:$Q$400,"monthly")&lt;&gt;0),SUMIFS(SF_Output!$S$1:$S$400,SF_Output!$AC$1:$AC$400,_xlfn.TEXTJOIN(",",TRUE,B113:E113),SF_Output!$Q$1:$Q$400,"monthly"),AND(B113&lt;&gt;"",H113&lt;&gt;SF_Output!$Y$2),SUMIFS(SF_Output!$S$1:$S$400,SF_Output!$AC$1:$AC$400,_xlfn.TEXTJOIN(",",TRUE,B113:E113),SF_Output!$Q$1:$Q$400,"monthly"))</f>
        <v>150</v>
      </c>
      <c r="W113" s="112" cm="1">
        <f t="array" ref="W113">_xlfn.IFS(OR(B113=0,B113="",V113=0),"",AF113&lt;&gt;"exclusion",MAX($W$9,$W$7,(-(SUMIFS(SF_Output!$T$1:$T$400,SF_Output!$AC$1:$AC$400,_xlfn.TEXTJOIN(",",TRUE,$B113:$E113),SF_Output!$Q$1:$Q$400,"monthly"))/V113)),AF113="exclusion",-(SUMIFS(SF_Output!$T$1:$T$400,SF_Output!$AC$1:$AC$400,_xlfn.TEXTJOIN(",",TRUE,$B113:$E113),SF_Output!$Q$1:$Q$400,"monthly"))/V113)</f>
        <v>0</v>
      </c>
      <c r="X113" s="6" cm="1">
        <f t="array" ref="X113">IFERROR(_xlfn.IFS(V113=0,0,V113="","",W113=0,V113,OR(V113&lt;&gt;0,V113&lt;&gt;""),H113*I113),V113*(1-W113))</f>
        <v>150</v>
      </c>
      <c r="Z113" s="6">
        <f>IFERROR(IF(B113="","",SUMIFS(Billing_Fallout!H:H,Billing_Fallout!N:N,B113)),0)</f>
        <v>0</v>
      </c>
      <c r="AA113" s="6">
        <f t="shared" si="22"/>
        <v>0</v>
      </c>
      <c r="AB113" s="6">
        <f>IFERROR(IF(B113="","",SUMIFS(Billing_Fallout!J:J,Billing_Fallout!N:N,B113)),0)</f>
        <v>0</v>
      </c>
      <c r="AD113" s="6">
        <f t="shared" si="23"/>
        <v>150</v>
      </c>
      <c r="AF113" t="str">
        <f>IFERROR(INDEX(H_Tables!$B$1:$B$1500,MATCH(INDEX(SF_Output!$J$1:$J$400,MATCH(B113,SF_Output!$M$1:$M$400,0)),H_Tables!$A$1:$A$1500,0)),"")</f>
        <v>Exclusion</v>
      </c>
      <c r="AI113" s="119" t="str">
        <f t="shared" si="24"/>
        <v/>
      </c>
      <c r="AJ113" s="121">
        <f>IFERROR(INDEX(SF_Output!AD:AD,MATCH(_xlfn.TEXTJOIN(",",TRUE,B113:E113),SF_Output!AC1:AC400,0)),0.05)</f>
        <v>189</v>
      </c>
      <c r="AK113" t="str">
        <f>IF(SUMIFS(SF_Output!$F$1:$F$400,SF_Output!$AC$1:$AC$400,_xlfn.TEXTJOIN(",",TRUE,B113:E113))+SUMIFS(SF_Output!$G$1:$G$400,SF_Output!$AC$1:$AC$400,_xlfn.TEXTJOIN(",",TRUE,B113:E113))=0,"","PAP")</f>
        <v/>
      </c>
      <c r="AL113" s="35" t="str">
        <f t="shared" si="25"/>
        <v>Footprints Data Storage JHA Debit Processing,New,Hosted by 3rd Party,0</v>
      </c>
      <c r="AQ113" s="35"/>
      <c r="AR113" s="35" t="str" cm="1">
        <f t="array" ref="AR113">IFERROR(_xlfn.IFS(AND(E113*1=1,F113="Included"),"Change to Included",AND(E113*1=0,F113="Optional"),"Change to Optional",OR(B113="",F113="replaced"),""),"")</f>
        <v/>
      </c>
      <c r="AS113" s="35" t="str">
        <f t="shared" si="26"/>
        <v/>
      </c>
      <c r="AT113" s="35" t="str">
        <f t="shared" si="27"/>
        <v/>
      </c>
      <c r="AU113" s="35" t="str">
        <f t="shared" si="28"/>
        <v/>
      </c>
      <c r="AV113" s="35" t="str">
        <f t="shared" si="29"/>
        <v/>
      </c>
      <c r="AW113" s="35" t="str">
        <f t="shared" si="30"/>
        <v/>
      </c>
      <c r="AX113" s="35" t="str">
        <f t="shared" si="31"/>
        <v/>
      </c>
      <c r="AY113" s="35" t="str">
        <f t="shared" si="32"/>
        <v/>
      </c>
      <c r="AZ113" s="35" t="str">
        <f t="shared" si="33"/>
        <v/>
      </c>
      <c r="BA113" s="35" t="str">
        <f t="shared" si="34"/>
        <v/>
      </c>
      <c r="BB113" s="35" t="str">
        <f t="shared" si="35"/>
        <v/>
      </c>
      <c r="BC113" s="35"/>
      <c r="BE113" s="35">
        <f ca="1">INDEX(SF_Output!$AA$2:$AA$400,MATCH($B113,SF_Output!$M$2:$M$400,0))</f>
        <v>6</v>
      </c>
      <c r="BF113" s="35">
        <f ca="1">INDEX(SF_Output!$AB$2:$AB$400,MATCH($B113,SF_Output!$M$2:$M$400,0))</f>
        <v>1</v>
      </c>
    </row>
    <row r="114" spans="2:58" x14ac:dyDescent="0.25">
      <c r="B114" t="s">
        <v>2384</v>
      </c>
      <c r="C114" t="s">
        <v>2122</v>
      </c>
      <c r="D114" t="s">
        <v>2207</v>
      </c>
      <c r="E114" t="s">
        <v>2124</v>
      </c>
      <c r="F114" s="116" t="str">
        <f t="shared" si="18"/>
        <v>Included</v>
      </c>
      <c r="G114" t="str">
        <f>IF(B114="","",INDEX(SF_Output!$K$1:$K$400,MATCH(B114,SF_Output!$M$1:$M$400,0)))</f>
        <v>Card Processing Solutions (CPS)</v>
      </c>
      <c r="H114" cm="1">
        <f t="array" ref="H114">_xlfn.IFS(B114="","",(SUMIFS(SF_Output!$F$1:$F$400,SF_Output!$AC$1:$AC$400,_xlfn.TEXTJOIN(",",TRUE,B114:E114))+SUMIFS(SF_Output!$G$1:$G$400,SF_Output!$AC$1:$AC$400,_xlfn.TEXTJOIN(",",TRUE,B114:E114)))&lt;&gt;0,SF_Output!$Y$2,INDEX(SF_Output!$F$1:$F$400,MATCH(_xlfn.TEXTJOIN(",",TRUE,B114:E114),SF_Output!$AC$1:$AC$400,0))=0,INDEX(SF_Output!$R$1:$R$400,MATCH(_xlfn.TEXTJOIN(",",TRUE,B114:E114),SF_Output!$AC$1:$AC$400,0)))</f>
        <v>0</v>
      </c>
      <c r="I114" s="125" t="str">
        <f>IFERROR(IF(AND(H114&gt;1,H114&lt;&gt;""),ROUND(SUMIFS(SF_Output!$S$1:$S$400,SF_Output!$AC$1:$AC$400,_xlfn.TEXTJOIN(",",TRUE,B114:E114),SF_Output!$Q$1:$Q$400,"monthly")*(1-W114)/H114,4),""),"")</f>
        <v/>
      </c>
      <c r="J114" s="6">
        <f>IF(B114="","",SUMIFS(SF_Output!$S$1:$S$400,SF_Output!$AC$1:$AC$400,_xlfn.TEXTJOIN(",",TRUE,B114:E114),SF_Output!$Q$1:$Q$400,"One Time",SF_Output!$L$1:$L$400,"license fee")+SUMIFS(SF_Output!$S$1:$S$400,SF_Output!$AC$1:$AC$400,_xlfn.TEXTJOIN(",",TRUE,B114:E114),SF_Output!$Q$1:$Q$400,"One Time",SF_Output!$L$1:$L$400,"software license")+SUMIFS(SF_Output!$S$1:$S$400,SF_Output!$AC$1:$AC$400,_xlfn.TEXTJOIN(",",TRUE,B114:E114),SF_Output!$Q$1:$Q$400,"One Time",SF_Output!$L$1:$L$400,"hardware"))</f>
        <v>0</v>
      </c>
      <c r="K114" s="112" t="str">
        <f>IF(OR(B114=0,B114="",G114="hardware",J114=0),"",IF(AF114&lt;&gt;"exclusion",MAX(K$9,-((SUMIFS(SF_Output!$T$1:$T$400,SF_Output!$AC$1:$AC$400,_xlfn.TEXTJOIN(",",TRUE,$B114:$E114),SF_Output!$Q$1:$Q$400,"One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license"))/J114)))</f>
        <v/>
      </c>
      <c r="L114" s="6">
        <f t="shared" si="19"/>
        <v>0</v>
      </c>
      <c r="N114" s="6">
        <f>IF(B114="","",SUMIFS(SF_Output!$S$1:$S$400,SF_Output!$AC$1:$AC$400,_xlfn.TEXTJOIN(",",TRUE,B114:E114),SF_Output!$Q$1:$Q$400,"One Time",SF_Output!$L$1:$L$400,"professional service"))</f>
        <v>0</v>
      </c>
      <c r="O114" s="112" t="str">
        <f>IF(OR(B114=0,B114="",N114=0),"",IF(AF114&lt;&gt;"exclusion",MAX(O$9,-(SUMIFS(SF_Output!$T$1:$T$400,SF_Output!$AC$1:$AC$400,_xlfn.TEXTJOIN(",",TRUE,$B114:$E114),SF_Output!$Q$1:$Q$400,"One Time",SF_Output!$L$1:$L$400,"professional service"))/N114),-((SUMIFS(SF_Output!$T$1:$T$400,SF_Output!$AC$1:$AC$400,_xlfn.TEXTJOIN(",",TRUE,$B114:$E114),SF_Output!$Q$1:$Q$400,"One Time",SF_Output!$L$1:$L$400,"professional service")/N114))))</f>
        <v/>
      </c>
      <c r="P114" s="6">
        <f t="shared" si="20"/>
        <v>0</v>
      </c>
      <c r="R114" s="6">
        <f>IF(B114="","",SUMIFS(SF_Output!$S$1:$S$400,SF_Output!$AC$1:$AC$400,_xlfn.TEXTJOIN(",",TRUE,B114:E114),SF_Output!$Q$1:$Q$400,"yearly")+SUMIFS(SF_Output!$S$1:$S$400,SF_Output!$AC$1:$AC$400,_xlfn.TEXTJOIN(",",TRUE,B114:E114),SF_Output!$Q$1:$Q$400,"quarterly")*4)</f>
        <v>0</v>
      </c>
      <c r="S114" s="112" t="str">
        <f>IF(OR(B114=0,B114="",G114="hardware",R114=0),"",IF(AF114&lt;&gt;"exclusion",MAX(S$9,-(SUMIFS(SF_Output!$T$1:$T$400,SF_Output!$AC$1:$AC$400,_xlfn.TEXTJOIN(",",TRUE,$B114:$E114),SF_Output!$Q$1:$Q$400,"yearly"))/R114),-((SUMIFS(SF_Output!$T$1:$T$400,SF_Output!$AC$1:$AC$400,_xlfn.TEXTJOIN(",",TRUE,$B114:$E114),SF_Output!$Q$1:$Q$400,"yearly")/R114))))</f>
        <v/>
      </c>
      <c r="T114" s="6">
        <f t="shared" si="21"/>
        <v>0</v>
      </c>
      <c r="V114" s="6" cm="1">
        <f t="array" ref="V114">_xlfn.IFS(B114="","",AND(B114&lt;&gt;"",H114=SF_Output!$Y$2,SUMIFS(SF_Output!$T$1:$T$400,SF_Output!$AC$1:$AC$400,_xlfn.TEXTJOIN(",",TRUE,B114:E114),SF_Output!$Q$1:$Q$400,"monthly")=0),(SUMIFS(SF_Output!$F$1:$F$400,SF_Output!$AC$1:$AC$400,_xlfn.TEXTJOIN(",",TRUE,B114:E114),SF_Output!$Q$1:$Q$400,"monthly")+SUMIFS(SF_Output!$G$1:$G$400,SF_Output!$AC$1:$AC$400,_xlfn.TEXTJOIN(",",TRUE,B114:E114),SF_Output!$Q$1:$Q$400,"monthly"))*H114,AND(B114&lt;&gt;"",H114=SF_Output!$Y$2,SUMIFS(SF_Output!$T$1:$T$400,SF_Output!$AC$1:$AC$400,_xlfn.TEXTJOIN(",",TRUE,B114:E114),SF_Output!$Q$1:$Q$400,"monthly")&lt;&gt;0),SUMIFS(SF_Output!$S$1:$S$400,SF_Output!$AC$1:$AC$400,_xlfn.TEXTJOIN(",",TRUE,B114:E114),SF_Output!$Q$1:$Q$400,"monthly"),AND(B114&lt;&gt;"",H114&lt;&gt;SF_Output!$Y$2),SUMIFS(SF_Output!$S$1:$S$400,SF_Output!$AC$1:$AC$400,_xlfn.TEXTJOIN(",",TRUE,B114:E114),SF_Output!$Q$1:$Q$400,"monthly"))</f>
        <v>0</v>
      </c>
      <c r="W114" s="112" t="str" cm="1">
        <f t="array" ref="W114">_xlfn.IFS(OR(B114=0,B114="",V114=0),"",AF114&lt;&gt;"exclusion",MAX($W$9,$W$7,(-(SUMIFS(SF_Output!$T$1:$T$400,SF_Output!$AC$1:$AC$400,_xlfn.TEXTJOIN(",",TRUE,$B114:$E114),SF_Output!$Q$1:$Q$400,"monthly"))/V114)),AF114="exclusion",-(SUMIFS(SF_Output!$T$1:$T$400,SF_Output!$AC$1:$AC$400,_xlfn.TEXTJOIN(",",TRUE,$B114:$E114),SF_Output!$Q$1:$Q$400,"monthly"))/V114)</f>
        <v/>
      </c>
      <c r="X114" s="6" cm="1">
        <f t="array" ref="X114">IFERROR(_xlfn.IFS(V114=0,0,V114="","",W114=0,V114,OR(V114&lt;&gt;0,V114&lt;&gt;""),H114*I114),V114*(1-W114))</f>
        <v>0</v>
      </c>
      <c r="Z114" s="6">
        <f>IFERROR(IF(B114="","",SUMIFS(Billing_Fallout!H:H,Billing_Fallout!N:N,B114)),0)</f>
        <v>0</v>
      </c>
      <c r="AA114" s="6">
        <f t="shared" si="22"/>
        <v>0</v>
      </c>
      <c r="AB114" s="6">
        <f>IFERROR(IF(B114="","",SUMIFS(Billing_Fallout!J:J,Billing_Fallout!N:N,B114)),0)</f>
        <v>0</v>
      </c>
      <c r="AD114" s="6">
        <f t="shared" si="23"/>
        <v>0</v>
      </c>
      <c r="AF114" t="str">
        <f>IFERROR(INDEX(H_Tables!$B$1:$B$1500,MATCH(INDEX(SF_Output!$J$1:$J$400,MATCH(B114,SF_Output!$M$1:$M$400,0)),H_Tables!$A$1:$A$1500,0)),"")</f>
        <v>Exclusion</v>
      </c>
      <c r="AI114" s="119" t="str">
        <f t="shared" si="24"/>
        <v/>
      </c>
      <c r="AJ114" s="121">
        <f>IFERROR(INDEX(SF_Output!AD:AD,MATCH(_xlfn.TEXTJOIN(",",TRUE,B114:E114),SF_Output!AC1:AC400,0)),0.05)</f>
        <v>190</v>
      </c>
      <c r="AK114" t="str">
        <f>IF(SUMIFS(SF_Output!$F$1:$F$400,SF_Output!$AC$1:$AC$400,_xlfn.TEXTJOIN(",",TRUE,B114:E114))+SUMIFS(SF_Output!$G$1:$G$400,SF_Output!$AC$1:$AC$400,_xlfn.TEXTJOIN(",",TRUE,B114:E114))=0,"","PAP")</f>
        <v/>
      </c>
      <c r="AL114" s="35" t="str">
        <f t="shared" si="25"/>
        <v xml:space="preserve">Remote Entered Non-Monetary Transactions JHA Debit Processing,New,Hosted by 3rd </v>
      </c>
      <c r="AQ114" s="35"/>
      <c r="AR114" s="35" t="str" cm="1">
        <f t="array" ref="AR114">IFERROR(_xlfn.IFS(AND(E114*1=1,F114="Included"),"Change to Included",AND(E114*1=0,F114="Optional"),"Change to Optional",OR(B114="",F114="replaced"),""),"")</f>
        <v/>
      </c>
      <c r="AS114" s="35" t="str">
        <f t="shared" si="26"/>
        <v/>
      </c>
      <c r="AT114" s="35" t="str">
        <f t="shared" si="27"/>
        <v/>
      </c>
      <c r="AU114" s="35" t="str">
        <f t="shared" si="28"/>
        <v/>
      </c>
      <c r="AV114" s="35" t="str">
        <f t="shared" si="29"/>
        <v/>
      </c>
      <c r="AW114" s="35" t="str">
        <f t="shared" si="30"/>
        <v/>
      </c>
      <c r="AX114" s="35" t="str">
        <f t="shared" si="31"/>
        <v/>
      </c>
      <c r="AY114" s="35" t="str">
        <f t="shared" si="32"/>
        <v/>
      </c>
      <c r="AZ114" s="35" t="str">
        <f t="shared" si="33"/>
        <v/>
      </c>
      <c r="BA114" s="35" t="str">
        <f t="shared" si="34"/>
        <v/>
      </c>
      <c r="BB114" s="35" t="str">
        <f t="shared" si="35"/>
        <v/>
      </c>
      <c r="BC114" s="35"/>
      <c r="BE114" s="35">
        <f ca="1">INDEX(SF_Output!$AA$2:$AA$400,MATCH($B114,SF_Output!$M$2:$M$400,0))</f>
        <v>6</v>
      </c>
      <c r="BF114" s="35">
        <f ca="1">INDEX(SF_Output!$AB$2:$AB$400,MATCH($B114,SF_Output!$M$2:$M$400,0))</f>
        <v>1</v>
      </c>
    </row>
    <row r="115" spans="2:58" x14ac:dyDescent="0.25">
      <c r="B115" t="s">
        <v>2386</v>
      </c>
      <c r="C115" t="s">
        <v>2122</v>
      </c>
      <c r="D115" t="s">
        <v>2207</v>
      </c>
      <c r="E115" t="s">
        <v>2124</v>
      </c>
      <c r="F115" s="116" t="str">
        <f t="shared" si="18"/>
        <v>Included</v>
      </c>
      <c r="G115" t="str">
        <f>IF(B115="","",INDEX(SF_Output!$K$1:$K$400,MATCH(B115,SF_Output!$M$1:$M$400,0)))</f>
        <v>Card Processing Solutions (CPS)</v>
      </c>
      <c r="H115" cm="1">
        <f t="array" ref="H115">_xlfn.IFS(B115="","",(SUMIFS(SF_Output!$F$1:$F$400,SF_Output!$AC$1:$AC$400,_xlfn.TEXTJOIN(",",TRUE,B115:E115))+SUMIFS(SF_Output!$G$1:$G$400,SF_Output!$AC$1:$AC$400,_xlfn.TEXTJOIN(",",TRUE,B115:E115)))&lt;&gt;0,SF_Output!$Y$2,INDEX(SF_Output!$F$1:$F$400,MATCH(_xlfn.TEXTJOIN(",",TRUE,B115:E115),SF_Output!$AC$1:$AC$400,0))=0,INDEX(SF_Output!$R$1:$R$400,MATCH(_xlfn.TEXTJOIN(",",TRUE,B115:E115),SF_Output!$AC$1:$AC$400,0)))</f>
        <v>1</v>
      </c>
      <c r="I115" s="125" t="str">
        <f>IFERROR(IF(AND(H115&gt;1,H115&lt;&gt;""),ROUND(SUMIFS(SF_Output!$S$1:$S$400,SF_Output!$AC$1:$AC$400,_xlfn.TEXTJOIN(",",TRUE,B115:E115),SF_Output!$Q$1:$Q$400,"monthly")*(1-W115)/H115,4),""),"")</f>
        <v/>
      </c>
      <c r="J115" s="6">
        <f>IF(B115="","",SUMIFS(SF_Output!$S$1:$S$400,SF_Output!$AC$1:$AC$400,_xlfn.TEXTJOIN(",",TRUE,B115:E115),SF_Output!$Q$1:$Q$400,"One Time",SF_Output!$L$1:$L$400,"license fee")+SUMIFS(SF_Output!$S$1:$S$400,SF_Output!$AC$1:$AC$400,_xlfn.TEXTJOIN(",",TRUE,B115:E115),SF_Output!$Q$1:$Q$400,"One Time",SF_Output!$L$1:$L$400,"software license")+SUMIFS(SF_Output!$S$1:$S$400,SF_Output!$AC$1:$AC$400,_xlfn.TEXTJOIN(",",TRUE,B115:E115),SF_Output!$Q$1:$Q$400,"One Time",SF_Output!$L$1:$L$400,"hardware"))</f>
        <v>0</v>
      </c>
      <c r="K115" s="112" t="str">
        <f>IF(OR(B115=0,B115="",G115="hardware",J115=0),"",IF(AF115&lt;&gt;"exclusion",MAX(K$9,-((SUMIFS(SF_Output!$T$1:$T$400,SF_Output!$AC$1:$AC$400,_xlfn.TEXTJOIN(",",TRUE,$B115:$E115),SF_Output!$Q$1:$Q$400,"One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license"))/J115)))</f>
        <v/>
      </c>
      <c r="L115" s="6">
        <f t="shared" si="19"/>
        <v>0</v>
      </c>
      <c r="N115" s="6">
        <f>IF(B115="","",SUMIFS(SF_Output!$S$1:$S$400,SF_Output!$AC$1:$AC$400,_xlfn.TEXTJOIN(",",TRUE,B115:E115),SF_Output!$Q$1:$Q$400,"One Time",SF_Output!$L$1:$L$400,"professional service"))</f>
        <v>3000</v>
      </c>
      <c r="O115" s="112">
        <f>IF(OR(B115=0,B115="",N115=0),"",IF(AF115&lt;&gt;"exclusion",MAX(O$9,-(SUMIFS(SF_Output!$T$1:$T$400,SF_Output!$AC$1:$AC$400,_xlfn.TEXTJOIN(",",TRUE,$B115:$E115),SF_Output!$Q$1:$Q$400,"One Time",SF_Output!$L$1:$L$400,"professional service"))/N115),-((SUMIFS(SF_Output!$T$1:$T$400,SF_Output!$AC$1:$AC$400,_xlfn.TEXTJOIN(",",TRUE,$B115:$E115),SF_Output!$Q$1:$Q$400,"One Time",SF_Output!$L$1:$L$400,"professional service")/N115))))</f>
        <v>1</v>
      </c>
      <c r="P115" s="6">
        <f t="shared" si="20"/>
        <v>0</v>
      </c>
      <c r="R115" s="6">
        <f>IF(B115="","",SUMIFS(SF_Output!$S$1:$S$400,SF_Output!$AC$1:$AC$400,_xlfn.TEXTJOIN(",",TRUE,B115:E115),SF_Output!$Q$1:$Q$400,"yearly")+SUMIFS(SF_Output!$S$1:$S$400,SF_Output!$AC$1:$AC$400,_xlfn.TEXTJOIN(",",TRUE,B115:E115),SF_Output!$Q$1:$Q$400,"quarterly")*4)</f>
        <v>0</v>
      </c>
      <c r="S115" s="112" t="str">
        <f>IF(OR(B115=0,B115="",G115="hardware",R115=0),"",IF(AF115&lt;&gt;"exclusion",MAX(S$9,-(SUMIFS(SF_Output!$T$1:$T$400,SF_Output!$AC$1:$AC$400,_xlfn.TEXTJOIN(",",TRUE,$B115:$E115),SF_Output!$Q$1:$Q$400,"yearly"))/R115),-((SUMIFS(SF_Output!$T$1:$T$400,SF_Output!$AC$1:$AC$400,_xlfn.TEXTJOIN(",",TRUE,$B115:$E115),SF_Output!$Q$1:$Q$400,"yearly")/R115))))</f>
        <v/>
      </c>
      <c r="T115" s="6">
        <f t="shared" si="21"/>
        <v>0</v>
      </c>
      <c r="V115" s="6" cm="1">
        <f t="array" ref="V115">_xlfn.IFS(B115="","",AND(B115&lt;&gt;"",H115=SF_Output!$Y$2,SUMIFS(SF_Output!$T$1:$T$400,SF_Output!$AC$1:$AC$400,_xlfn.TEXTJOIN(",",TRUE,B115:E115),SF_Output!$Q$1:$Q$400,"monthly")=0),(SUMIFS(SF_Output!$F$1:$F$400,SF_Output!$AC$1:$AC$400,_xlfn.TEXTJOIN(",",TRUE,B115:E115),SF_Output!$Q$1:$Q$400,"monthly")+SUMIFS(SF_Output!$G$1:$G$400,SF_Output!$AC$1:$AC$400,_xlfn.TEXTJOIN(",",TRUE,B115:E115),SF_Output!$Q$1:$Q$400,"monthly"))*H115,AND(B115&lt;&gt;"",H115=SF_Output!$Y$2,SUMIFS(SF_Output!$T$1:$T$400,SF_Output!$AC$1:$AC$400,_xlfn.TEXTJOIN(",",TRUE,B115:E115),SF_Output!$Q$1:$Q$400,"monthly")&lt;&gt;0),SUMIFS(SF_Output!$S$1:$S$400,SF_Output!$AC$1:$AC$400,_xlfn.TEXTJOIN(",",TRUE,B115:E115),SF_Output!$Q$1:$Q$400,"monthly"),AND(B115&lt;&gt;"",H115&lt;&gt;SF_Output!$Y$2),SUMIFS(SF_Output!$S$1:$S$400,SF_Output!$AC$1:$AC$400,_xlfn.TEXTJOIN(",",TRUE,B115:E115),SF_Output!$Q$1:$Q$400,"monthly"))</f>
        <v>250</v>
      </c>
      <c r="W115" s="112" cm="1">
        <f t="array" ref="W115">_xlfn.IFS(OR(B115=0,B115="",V115=0),"",AF115&lt;&gt;"exclusion",MAX($W$9,$W$7,(-(SUMIFS(SF_Output!$T$1:$T$400,SF_Output!$AC$1:$AC$400,_xlfn.TEXTJOIN(",",TRUE,$B115:$E115),SF_Output!$Q$1:$Q$400,"monthly"))/V115)),AF115="exclusion",-(SUMIFS(SF_Output!$T$1:$T$400,SF_Output!$AC$1:$AC$400,_xlfn.TEXTJOIN(",",TRUE,$B115:$E115),SF_Output!$Q$1:$Q$400,"monthly"))/V115)</f>
        <v>0</v>
      </c>
      <c r="X115" s="6" cm="1">
        <f t="array" ref="X115">IFERROR(_xlfn.IFS(V115=0,0,V115="","",W115=0,V115,OR(V115&lt;&gt;0,V115&lt;&gt;""),H115*I115),V115*(1-W115))</f>
        <v>250</v>
      </c>
      <c r="Z115" s="6">
        <f>IFERROR(IF(B115="","",SUMIFS(Billing_Fallout!H:H,Billing_Fallout!N:N,B115)),0)</f>
        <v>0</v>
      </c>
      <c r="AA115" s="6">
        <f t="shared" si="22"/>
        <v>0</v>
      </c>
      <c r="AB115" s="6">
        <f>IFERROR(IF(B115="","",SUMIFS(Billing_Fallout!J:J,Billing_Fallout!N:N,B115)),0)</f>
        <v>0</v>
      </c>
      <c r="AD115" s="6">
        <f t="shared" si="23"/>
        <v>250</v>
      </c>
      <c r="AF115" t="str">
        <f>IFERROR(INDEX(H_Tables!$B$1:$B$1500,MATCH(INDEX(SF_Output!$J$1:$J$400,MATCH(B115,SF_Output!$M$1:$M$400,0)),H_Tables!$A$1:$A$1500,0)),"")</f>
        <v>Exclusion</v>
      </c>
      <c r="AI115" s="119" t="str">
        <f t="shared" si="24"/>
        <v/>
      </c>
      <c r="AJ115" s="121">
        <f>IFERROR(INDEX(SF_Output!AD:AD,MATCH(_xlfn.TEXTJOIN(",",TRUE,B115:E115),SF_Output!AC1:AC400,0)),0.05)</f>
        <v>191</v>
      </c>
      <c r="AK115" t="str">
        <f>IF(SUMIFS(SF_Output!$F$1:$F$400,SF_Output!$AC$1:$AC$400,_xlfn.TEXTJOIN(",",TRUE,B115:E115))+SUMIFS(SF_Output!$G$1:$G$400,SF_Output!$AC$1:$AC$400,_xlfn.TEXTJOIN(",",TRUE,B115:E115))=0,"","PAP")</f>
        <v/>
      </c>
      <c r="AL115" s="35" t="str">
        <f t="shared" si="25"/>
        <v>Host Based PIN Authorization JHA Debit Processing,New,Hosted by 3rd Party,0</v>
      </c>
      <c r="AQ115" s="35"/>
      <c r="AR115" s="35" t="str" cm="1">
        <f t="array" ref="AR115">IFERROR(_xlfn.IFS(AND(E115*1=1,F115="Included"),"Change to Included",AND(E115*1=0,F115="Optional"),"Change to Optional",OR(B115="",F115="replaced"),""),"")</f>
        <v/>
      </c>
      <c r="AS115" s="35" t="str">
        <f t="shared" si="26"/>
        <v/>
      </c>
      <c r="AT115" s="35" t="str">
        <f t="shared" si="27"/>
        <v/>
      </c>
      <c r="AU115" s="35" t="str">
        <f t="shared" si="28"/>
        <v/>
      </c>
      <c r="AV115" s="35" t="str">
        <f t="shared" si="29"/>
        <v/>
      </c>
      <c r="AW115" s="35" t="str">
        <f t="shared" si="30"/>
        <v/>
      </c>
      <c r="AX115" s="35" t="str">
        <f t="shared" si="31"/>
        <v/>
      </c>
      <c r="AY115" s="35" t="str">
        <f t="shared" si="32"/>
        <v/>
      </c>
      <c r="AZ115" s="35" t="str">
        <f t="shared" si="33"/>
        <v/>
      </c>
      <c r="BA115" s="35" t="str">
        <f t="shared" si="34"/>
        <v/>
      </c>
      <c r="BB115" s="35" t="str">
        <f t="shared" si="35"/>
        <v/>
      </c>
      <c r="BC115" s="35"/>
      <c r="BE115" s="35">
        <f ca="1">INDEX(SF_Output!$AA$2:$AA$400,MATCH($B115,SF_Output!$M$2:$M$400,0))</f>
        <v>6</v>
      </c>
      <c r="BF115" s="35">
        <f ca="1">INDEX(SF_Output!$AB$2:$AB$400,MATCH($B115,SF_Output!$M$2:$M$400,0))</f>
        <v>1</v>
      </c>
    </row>
    <row r="116" spans="2:58" x14ac:dyDescent="0.25">
      <c r="B116" t="s">
        <v>2389</v>
      </c>
      <c r="C116" t="s">
        <v>2122</v>
      </c>
      <c r="D116" t="s">
        <v>2207</v>
      </c>
      <c r="E116" t="s">
        <v>2124</v>
      </c>
      <c r="F116" s="116" t="str">
        <f t="shared" si="18"/>
        <v>Included</v>
      </c>
      <c r="G116" t="str">
        <f>IF(B116="","",INDEX(SF_Output!$K$1:$K$400,MATCH(B116,SF_Output!$M$1:$M$400,0)))</f>
        <v>Card Processing Solutions (CPS)</v>
      </c>
      <c r="H116" cm="1">
        <f t="array" ref="H116">_xlfn.IFS(B116="","",(SUMIFS(SF_Output!$F$1:$F$400,SF_Output!$AC$1:$AC$400,_xlfn.TEXTJOIN(",",TRUE,B116:E116))+SUMIFS(SF_Output!$G$1:$G$400,SF_Output!$AC$1:$AC$400,_xlfn.TEXTJOIN(",",TRUE,B116:E116)))&lt;&gt;0,SF_Output!$Y$2,INDEX(SF_Output!$F$1:$F$400,MATCH(_xlfn.TEXTJOIN(",",TRUE,B116:E116),SF_Output!$AC$1:$AC$400,0))=0,INDEX(SF_Output!$R$1:$R$400,MATCH(_xlfn.TEXTJOIN(",",TRUE,B116:E116),SF_Output!$AC$1:$AC$400,0)))</f>
        <v>0</v>
      </c>
      <c r="I116" s="125" t="str">
        <f>IFERROR(IF(AND(H116&gt;1,H116&lt;&gt;""),ROUND(SUMIFS(SF_Output!$S$1:$S$400,SF_Output!$AC$1:$AC$400,_xlfn.TEXTJOIN(",",TRUE,B116:E116),SF_Output!$Q$1:$Q$400,"monthly")*(1-W116)/H116,4),""),"")</f>
        <v/>
      </c>
      <c r="J116" s="6">
        <f>IF(B116="","",SUMIFS(SF_Output!$S$1:$S$400,SF_Output!$AC$1:$AC$400,_xlfn.TEXTJOIN(",",TRUE,B116:E116),SF_Output!$Q$1:$Q$400,"One Time",SF_Output!$L$1:$L$400,"license fee")+SUMIFS(SF_Output!$S$1:$S$400,SF_Output!$AC$1:$AC$400,_xlfn.TEXTJOIN(",",TRUE,B116:E116),SF_Output!$Q$1:$Q$400,"One Time",SF_Output!$L$1:$L$400,"software license")+SUMIFS(SF_Output!$S$1:$S$400,SF_Output!$AC$1:$AC$400,_xlfn.TEXTJOIN(",",TRUE,B116:E116),SF_Output!$Q$1:$Q$400,"One Time",SF_Output!$L$1:$L$400,"hardware"))</f>
        <v>0</v>
      </c>
      <c r="K116" s="112" t="str">
        <f>IF(OR(B116=0,B116="",G116="hardware",J116=0),"",IF(AF116&lt;&gt;"exclusion",MAX(K$9,-((SUMIFS(SF_Output!$T$1:$T$400,SF_Output!$AC$1:$AC$400,_xlfn.TEXTJOIN(",",TRUE,$B116:$E116),SF_Output!$Q$1:$Q$400,"One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license"))/J116)))</f>
        <v/>
      </c>
      <c r="L116" s="6">
        <f t="shared" si="19"/>
        <v>0</v>
      </c>
      <c r="N116" s="6">
        <f>IF(B116="","",SUMIFS(SF_Output!$S$1:$S$400,SF_Output!$AC$1:$AC$400,_xlfn.TEXTJOIN(",",TRUE,B116:E116),SF_Output!$Q$1:$Q$400,"One Time",SF_Output!$L$1:$L$400,"professional service"))</f>
        <v>0</v>
      </c>
      <c r="O116" s="112" t="str">
        <f>IF(OR(B116=0,B116="",N116=0),"",IF(AF116&lt;&gt;"exclusion",MAX(O$9,-(SUMIFS(SF_Output!$T$1:$T$400,SF_Output!$AC$1:$AC$400,_xlfn.TEXTJOIN(",",TRUE,$B116:$E116),SF_Output!$Q$1:$Q$400,"One Time",SF_Output!$L$1:$L$400,"professional service"))/N116),-((SUMIFS(SF_Output!$T$1:$T$400,SF_Output!$AC$1:$AC$400,_xlfn.TEXTJOIN(",",TRUE,$B116:$E116),SF_Output!$Q$1:$Q$400,"One Time",SF_Output!$L$1:$L$400,"professional service")/N116))))</f>
        <v/>
      </c>
      <c r="P116" s="6">
        <f t="shared" si="20"/>
        <v>0</v>
      </c>
      <c r="R116" s="6">
        <f>IF(B116="","",SUMIFS(SF_Output!$S$1:$S$400,SF_Output!$AC$1:$AC$400,_xlfn.TEXTJOIN(",",TRUE,B116:E116),SF_Output!$Q$1:$Q$400,"yearly")+SUMIFS(SF_Output!$S$1:$S$400,SF_Output!$AC$1:$AC$400,_xlfn.TEXTJOIN(",",TRUE,B116:E116),SF_Output!$Q$1:$Q$400,"quarterly")*4)</f>
        <v>0</v>
      </c>
      <c r="S116" s="112" t="str">
        <f>IF(OR(B116=0,B116="",G116="hardware",R116=0),"",IF(AF116&lt;&gt;"exclusion",MAX(S$9,-(SUMIFS(SF_Output!$T$1:$T$400,SF_Output!$AC$1:$AC$400,_xlfn.TEXTJOIN(",",TRUE,$B116:$E116),SF_Output!$Q$1:$Q$400,"yearly"))/R116),-((SUMIFS(SF_Output!$T$1:$T$400,SF_Output!$AC$1:$AC$400,_xlfn.TEXTJOIN(",",TRUE,$B116:$E116),SF_Output!$Q$1:$Q$400,"yearly")/R116))))</f>
        <v/>
      </c>
      <c r="T116" s="6">
        <f t="shared" si="21"/>
        <v>0</v>
      </c>
      <c r="V116" s="6" cm="1">
        <f t="array" ref="V116">_xlfn.IFS(B116="","",AND(B116&lt;&gt;"",H116=SF_Output!$Y$2,SUMIFS(SF_Output!$T$1:$T$400,SF_Output!$AC$1:$AC$400,_xlfn.TEXTJOIN(",",TRUE,B116:E116),SF_Output!$Q$1:$Q$400,"monthly")=0),(SUMIFS(SF_Output!$F$1:$F$400,SF_Output!$AC$1:$AC$400,_xlfn.TEXTJOIN(",",TRUE,B116:E116),SF_Output!$Q$1:$Q$400,"monthly")+SUMIFS(SF_Output!$G$1:$G$400,SF_Output!$AC$1:$AC$400,_xlfn.TEXTJOIN(",",TRUE,B116:E116),SF_Output!$Q$1:$Q$400,"monthly"))*H116,AND(B116&lt;&gt;"",H116=SF_Output!$Y$2,SUMIFS(SF_Output!$T$1:$T$400,SF_Output!$AC$1:$AC$400,_xlfn.TEXTJOIN(",",TRUE,B116:E116),SF_Output!$Q$1:$Q$400,"monthly")&lt;&gt;0),SUMIFS(SF_Output!$S$1:$S$400,SF_Output!$AC$1:$AC$400,_xlfn.TEXTJOIN(",",TRUE,B116:E116),SF_Output!$Q$1:$Q$400,"monthly"),AND(B116&lt;&gt;"",H116&lt;&gt;SF_Output!$Y$2),SUMIFS(SF_Output!$S$1:$S$400,SF_Output!$AC$1:$AC$400,_xlfn.TEXTJOIN(",",TRUE,B116:E116),SF_Output!$Q$1:$Q$400,"monthly"))</f>
        <v>0</v>
      </c>
      <c r="W116" s="112" t="str" cm="1">
        <f t="array" ref="W116">_xlfn.IFS(OR(B116=0,B116="",V116=0),"",AF116&lt;&gt;"exclusion",MAX($W$9,$W$7,(-(SUMIFS(SF_Output!$T$1:$T$400,SF_Output!$AC$1:$AC$400,_xlfn.TEXTJOIN(",",TRUE,$B116:$E116),SF_Output!$Q$1:$Q$400,"monthly"))/V116)),AF116="exclusion",-(SUMIFS(SF_Output!$T$1:$T$400,SF_Output!$AC$1:$AC$400,_xlfn.TEXTJOIN(",",TRUE,$B116:$E116),SF_Output!$Q$1:$Q$400,"monthly"))/V116)</f>
        <v/>
      </c>
      <c r="X116" s="6" cm="1">
        <f t="array" ref="X116">IFERROR(_xlfn.IFS(V116=0,0,V116="","",W116=0,V116,OR(V116&lt;&gt;0,V116&lt;&gt;""),H116*I116),V116*(1-W116))</f>
        <v>0</v>
      </c>
      <c r="Z116" s="6">
        <f>IFERROR(IF(B116="","",SUMIFS(Billing_Fallout!H:H,Billing_Fallout!N:N,B116)),0)</f>
        <v>0</v>
      </c>
      <c r="AA116" s="6">
        <f t="shared" si="22"/>
        <v>0</v>
      </c>
      <c r="AB116" s="6">
        <f>IFERROR(IF(B116="","",SUMIFS(Billing_Fallout!J:J,Billing_Fallout!N:N,B116)),0)</f>
        <v>0</v>
      </c>
      <c r="AD116" s="6">
        <f t="shared" si="23"/>
        <v>0</v>
      </c>
      <c r="AF116" t="str">
        <f>IFERROR(INDEX(H_Tables!$B$1:$B$1500,MATCH(INDEX(SF_Output!$J$1:$J$400,MATCH(B116,SF_Output!$M$1:$M$400,0)),H_Tables!$A$1:$A$1500,0)),"")</f>
        <v>Exclusion</v>
      </c>
      <c r="AI116" s="119" t="str">
        <f t="shared" si="24"/>
        <v/>
      </c>
      <c r="AJ116" s="121">
        <f>IFERROR(INDEX(SF_Output!AD:AD,MATCH(_xlfn.TEXTJOIN(",",TRUE,B116:E116),SF_Output!AC1:AC400,0)),0.05)</f>
        <v>193</v>
      </c>
      <c r="AK116" t="str">
        <f>IF(SUMIFS(SF_Output!$F$1:$F$400,SF_Output!$AC$1:$AC$400,_xlfn.TEXTJOIN(",",TRUE,B116:E116))+SUMIFS(SF_Output!$G$1:$G$400,SF_Output!$AC$1:$AC$400,_xlfn.TEXTJOIN(",",TRUE,B116:E116))=0,"","PAP")</f>
        <v/>
      </c>
      <c r="AL116" s="35" t="str">
        <f t="shared" si="25"/>
        <v>Tape Entered Non-Monetary Transactions JHA Debit Processing,New,Hosted by 3rd Pa</v>
      </c>
      <c r="AQ116" s="35"/>
      <c r="AR116" s="35" t="str" cm="1">
        <f t="array" ref="AR116">IFERROR(_xlfn.IFS(AND(E116*1=1,F116="Included"),"Change to Included",AND(E116*1=0,F116="Optional"),"Change to Optional",OR(B116="",F116="replaced"),""),"")</f>
        <v/>
      </c>
      <c r="AS116" s="35" t="str">
        <f t="shared" si="26"/>
        <v/>
      </c>
      <c r="AT116" s="35" t="str">
        <f t="shared" si="27"/>
        <v/>
      </c>
      <c r="AU116" s="35" t="str">
        <f t="shared" si="28"/>
        <v/>
      </c>
      <c r="AV116" s="35" t="str">
        <f t="shared" si="29"/>
        <v/>
      </c>
      <c r="AW116" s="35" t="str">
        <f t="shared" si="30"/>
        <v/>
      </c>
      <c r="AX116" s="35" t="str">
        <f t="shared" si="31"/>
        <v/>
      </c>
      <c r="AY116" s="35" t="str">
        <f t="shared" si="32"/>
        <v/>
      </c>
      <c r="AZ116" s="35" t="str">
        <f t="shared" si="33"/>
        <v/>
      </c>
      <c r="BA116" s="35" t="str">
        <f t="shared" si="34"/>
        <v/>
      </c>
      <c r="BB116" s="35" t="str">
        <f t="shared" si="35"/>
        <v/>
      </c>
      <c r="BC116" s="35"/>
      <c r="BE116" s="35">
        <f ca="1">INDEX(SF_Output!$AA$2:$AA$400,MATCH($B116,SF_Output!$M$2:$M$400,0))</f>
        <v>6</v>
      </c>
      <c r="BF116" s="35">
        <f ca="1">INDEX(SF_Output!$AB$2:$AB$400,MATCH($B116,SF_Output!$M$2:$M$400,0))</f>
        <v>1</v>
      </c>
    </row>
    <row r="117" spans="2:58" x14ac:dyDescent="0.25">
      <c r="B117" t="s">
        <v>2391</v>
      </c>
      <c r="C117" t="s">
        <v>2122</v>
      </c>
      <c r="D117" t="s">
        <v>2207</v>
      </c>
      <c r="E117" t="s">
        <v>2124</v>
      </c>
      <c r="F117" s="116" t="str">
        <f t="shared" si="18"/>
        <v>Included</v>
      </c>
      <c r="G117" t="str">
        <f>IF(B117="","",INDEX(SF_Output!$K$1:$K$400,MATCH(B117,SF_Output!$M$1:$M$400,0)))</f>
        <v>Card Processing Solutions (CPS)</v>
      </c>
      <c r="H117" cm="1">
        <f t="array" ref="H117">_xlfn.IFS(B117="","",(SUMIFS(SF_Output!$F$1:$F$400,SF_Output!$AC$1:$AC$400,_xlfn.TEXTJOIN(",",TRUE,B117:E117))+SUMIFS(SF_Output!$G$1:$G$400,SF_Output!$AC$1:$AC$400,_xlfn.TEXTJOIN(",",TRUE,B117:E117)))&lt;&gt;0,SF_Output!$Y$2,INDEX(SF_Output!$F$1:$F$400,MATCH(_xlfn.TEXTJOIN(",",TRUE,B117:E117),SF_Output!$AC$1:$AC$400,0))=0,INDEX(SF_Output!$R$1:$R$400,MATCH(_xlfn.TEXTJOIN(",",TRUE,B117:E117),SF_Output!$AC$1:$AC$400,0)))</f>
        <v>1</v>
      </c>
      <c r="I117" s="125" t="str">
        <f>IFERROR(IF(AND(H117&gt;1,H117&lt;&gt;""),ROUND(SUMIFS(SF_Output!$S$1:$S$400,SF_Output!$AC$1:$AC$400,_xlfn.TEXTJOIN(",",TRUE,B117:E117),SF_Output!$Q$1:$Q$400,"monthly")*(1-W117)/H117,4),""),"")</f>
        <v/>
      </c>
      <c r="J117" s="6">
        <f>IF(B117="","",SUMIFS(SF_Output!$S$1:$S$400,SF_Output!$AC$1:$AC$400,_xlfn.TEXTJOIN(",",TRUE,B117:E117),SF_Output!$Q$1:$Q$400,"One Time",SF_Output!$L$1:$L$400,"license fee")+SUMIFS(SF_Output!$S$1:$S$400,SF_Output!$AC$1:$AC$400,_xlfn.TEXTJOIN(",",TRUE,B117:E117),SF_Output!$Q$1:$Q$400,"One Time",SF_Output!$L$1:$L$400,"software license")+SUMIFS(SF_Output!$S$1:$S$400,SF_Output!$AC$1:$AC$400,_xlfn.TEXTJOIN(",",TRUE,B117:E117),SF_Output!$Q$1:$Q$400,"One Time",SF_Output!$L$1:$L$400,"hardware"))</f>
        <v>0</v>
      </c>
      <c r="K117" s="112" t="str">
        <f>IF(OR(B117=0,B117="",G117="hardware",J117=0),"",IF(AF117&lt;&gt;"exclusion",MAX(K$9,-((SUMIFS(SF_Output!$T$1:$T$400,SF_Output!$AC$1:$AC$400,_xlfn.TEXTJOIN(",",TRUE,$B117:$E117),SF_Output!$Q$1:$Q$400,"One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license"))/J117)))</f>
        <v/>
      </c>
      <c r="L117" s="6">
        <f t="shared" si="19"/>
        <v>0</v>
      </c>
      <c r="N117" s="6">
        <f>IF(B117="","",SUMIFS(SF_Output!$S$1:$S$400,SF_Output!$AC$1:$AC$400,_xlfn.TEXTJOIN(",",TRUE,B117:E117),SF_Output!$Q$1:$Q$400,"One Time",SF_Output!$L$1:$L$400,"professional service"))</f>
        <v>4500</v>
      </c>
      <c r="O117" s="112">
        <f>IF(OR(B117=0,B117="",N117=0),"",IF(AF117&lt;&gt;"exclusion",MAX(O$9,-(SUMIFS(SF_Output!$T$1:$T$400,SF_Output!$AC$1:$AC$400,_xlfn.TEXTJOIN(",",TRUE,$B117:$E117),SF_Output!$Q$1:$Q$400,"One Time",SF_Output!$L$1:$L$400,"professional service"))/N117),-((SUMIFS(SF_Output!$T$1:$T$400,SF_Output!$AC$1:$AC$400,_xlfn.TEXTJOIN(",",TRUE,$B117:$E117),SF_Output!$Q$1:$Q$400,"One Time",SF_Output!$L$1:$L$400,"professional service")/N117))))</f>
        <v>1</v>
      </c>
      <c r="P117" s="6">
        <f t="shared" si="20"/>
        <v>0</v>
      </c>
      <c r="R117" s="6">
        <f>IF(B117="","",SUMIFS(SF_Output!$S$1:$S$400,SF_Output!$AC$1:$AC$400,_xlfn.TEXTJOIN(",",TRUE,B117:E117),SF_Output!$Q$1:$Q$400,"yearly")+SUMIFS(SF_Output!$S$1:$S$400,SF_Output!$AC$1:$AC$400,_xlfn.TEXTJOIN(",",TRUE,B117:E117),SF_Output!$Q$1:$Q$400,"quarterly")*4)</f>
        <v>0</v>
      </c>
      <c r="S117" s="112" t="str">
        <f>IF(OR(B117=0,B117="",G117="hardware",R117=0),"",IF(AF117&lt;&gt;"exclusion",MAX(S$9,-(SUMIFS(SF_Output!$T$1:$T$400,SF_Output!$AC$1:$AC$400,_xlfn.TEXTJOIN(",",TRUE,$B117:$E117),SF_Output!$Q$1:$Q$400,"yearly"))/R117),-((SUMIFS(SF_Output!$T$1:$T$400,SF_Output!$AC$1:$AC$400,_xlfn.TEXTJOIN(",",TRUE,$B117:$E117),SF_Output!$Q$1:$Q$400,"yearly")/R117))))</f>
        <v/>
      </c>
      <c r="T117" s="6">
        <f t="shared" si="21"/>
        <v>0</v>
      </c>
      <c r="V117" s="6" cm="1">
        <f t="array" ref="V117">_xlfn.IFS(B117="","",AND(B117&lt;&gt;"",H117=SF_Output!$Y$2,SUMIFS(SF_Output!$T$1:$T$400,SF_Output!$AC$1:$AC$400,_xlfn.TEXTJOIN(",",TRUE,B117:E117),SF_Output!$Q$1:$Q$400,"monthly")=0),(SUMIFS(SF_Output!$F$1:$F$400,SF_Output!$AC$1:$AC$400,_xlfn.TEXTJOIN(",",TRUE,B117:E117),SF_Output!$Q$1:$Q$400,"monthly")+SUMIFS(SF_Output!$G$1:$G$400,SF_Output!$AC$1:$AC$400,_xlfn.TEXTJOIN(",",TRUE,B117:E117),SF_Output!$Q$1:$Q$400,"monthly"))*H117,AND(B117&lt;&gt;"",H117=SF_Output!$Y$2,SUMIFS(SF_Output!$T$1:$T$400,SF_Output!$AC$1:$AC$400,_xlfn.TEXTJOIN(",",TRUE,B117:E117),SF_Output!$Q$1:$Q$400,"monthly")&lt;&gt;0),SUMIFS(SF_Output!$S$1:$S$400,SF_Output!$AC$1:$AC$400,_xlfn.TEXTJOIN(",",TRUE,B117:E117),SF_Output!$Q$1:$Q$400,"monthly"),AND(B117&lt;&gt;"",H117&lt;&gt;SF_Output!$Y$2),SUMIFS(SF_Output!$S$1:$S$400,SF_Output!$AC$1:$AC$400,_xlfn.TEXTJOIN(",",TRUE,B117:E117),SF_Output!$Q$1:$Q$400,"monthly"))</f>
        <v>75</v>
      </c>
      <c r="W117" s="112" cm="1">
        <f t="array" ref="W117">_xlfn.IFS(OR(B117=0,B117="",V117=0),"",AF117&lt;&gt;"exclusion",MAX($W$9,$W$7,(-(SUMIFS(SF_Output!$T$1:$T$400,SF_Output!$AC$1:$AC$400,_xlfn.TEXTJOIN(",",TRUE,$B117:$E117),SF_Output!$Q$1:$Q$400,"monthly"))/V117)),AF117="exclusion",-(SUMIFS(SF_Output!$T$1:$T$400,SF_Output!$AC$1:$AC$400,_xlfn.TEXTJOIN(",",TRUE,$B117:$E117),SF_Output!$Q$1:$Q$400,"monthly"))/V117)</f>
        <v>0</v>
      </c>
      <c r="X117" s="6" cm="1">
        <f t="array" ref="X117">IFERROR(_xlfn.IFS(V117=0,0,V117="","",W117=0,V117,OR(V117&lt;&gt;0,V117&lt;&gt;""),H117*I117),V117*(1-W117))</f>
        <v>75</v>
      </c>
      <c r="Z117" s="6">
        <f>IFERROR(IF(B117="","",SUMIFS(Billing_Fallout!H:H,Billing_Fallout!N:N,B117)),0)</f>
        <v>0</v>
      </c>
      <c r="AA117" s="6">
        <f t="shared" si="22"/>
        <v>0</v>
      </c>
      <c r="AB117" s="6">
        <f>IFERROR(IF(B117="","",SUMIFS(Billing_Fallout!J:J,Billing_Fallout!N:N,B117)),0)</f>
        <v>0</v>
      </c>
      <c r="AD117" s="6">
        <f t="shared" si="23"/>
        <v>75</v>
      </c>
      <c r="AF117" t="str">
        <f>IFERROR(INDEX(H_Tables!$B$1:$B$1500,MATCH(INDEX(SF_Output!$J$1:$J$400,MATCH(B117,SF_Output!$M$1:$M$400,0)),H_Tables!$A$1:$A$1500,0)),"")</f>
        <v>Exclusion</v>
      </c>
      <c r="AI117" s="119" t="str">
        <f t="shared" si="24"/>
        <v/>
      </c>
      <c r="AJ117" s="121">
        <f>IFERROR(INDEX(SF_Output!AD:AD,MATCH(_xlfn.TEXTJOIN(",",TRUE,B117:E117),SF_Output!AC1:AC400,0)),0.05)</f>
        <v>194</v>
      </c>
      <c r="AK117" t="str">
        <f>IF(SUMIFS(SF_Output!$F$1:$F$400,SF_Output!$AC$1:$AC$400,_xlfn.TEXTJOIN(",",TRUE,B117:E117))+SUMIFS(SF_Output!$G$1:$G$400,SF_Output!$AC$1:$AC$400,_xlfn.TEXTJOIN(",",TRUE,B117:E117))=0,"","PAP")</f>
        <v/>
      </c>
      <c r="AL117" s="35" t="str">
        <f t="shared" si="25"/>
        <v>Instant Issue JHA Debit Processing,New,Hosted by 3rd Party,0</v>
      </c>
      <c r="AQ117" s="35"/>
      <c r="AR117" s="35" t="str" cm="1">
        <f t="array" ref="AR117">IFERROR(_xlfn.IFS(AND(E117*1=1,F117="Included"),"Change to Included",AND(E117*1=0,F117="Optional"),"Change to Optional",OR(B117="",F117="replaced"),""),"")</f>
        <v/>
      </c>
      <c r="AS117" s="35" t="str">
        <f t="shared" si="26"/>
        <v/>
      </c>
      <c r="AT117" s="35" t="str">
        <f t="shared" si="27"/>
        <v/>
      </c>
      <c r="AU117" s="35" t="str">
        <f t="shared" si="28"/>
        <v/>
      </c>
      <c r="AV117" s="35" t="str">
        <f t="shared" si="29"/>
        <v/>
      </c>
      <c r="AW117" s="35" t="str">
        <f t="shared" si="30"/>
        <v/>
      </c>
      <c r="AX117" s="35" t="str">
        <f t="shared" si="31"/>
        <v/>
      </c>
      <c r="AY117" s="35" t="str">
        <f t="shared" si="32"/>
        <v/>
      </c>
      <c r="AZ117" s="35" t="str">
        <f t="shared" si="33"/>
        <v/>
      </c>
      <c r="BA117" s="35" t="str">
        <f t="shared" si="34"/>
        <v/>
      </c>
      <c r="BB117" s="35" t="str">
        <f t="shared" si="35"/>
        <v/>
      </c>
      <c r="BC117" s="35"/>
      <c r="BE117" s="35">
        <f ca="1">INDEX(SF_Output!$AA$2:$AA$400,MATCH($B117,SF_Output!$M$2:$M$400,0))</f>
        <v>6</v>
      </c>
      <c r="BF117" s="35">
        <f ca="1">INDEX(SF_Output!$AB$2:$AB$400,MATCH($B117,SF_Output!$M$2:$M$400,0))</f>
        <v>1</v>
      </c>
    </row>
    <row r="118" spans="2:58" x14ac:dyDescent="0.25">
      <c r="B118" t="s">
        <v>2394</v>
      </c>
      <c r="C118" t="s">
        <v>2122</v>
      </c>
      <c r="D118" t="s">
        <v>2207</v>
      </c>
      <c r="E118" t="s">
        <v>2124</v>
      </c>
      <c r="F118" s="116" t="str">
        <f t="shared" si="18"/>
        <v>Included</v>
      </c>
      <c r="G118" t="str">
        <f>IF(B118="","",INDEX(SF_Output!$K$1:$K$400,MATCH(B118,SF_Output!$M$1:$M$400,0)))</f>
        <v>Card Processing Solutions (CPS)</v>
      </c>
      <c r="H118" cm="1">
        <f t="array" ref="H118">_xlfn.IFS(B118="","",(SUMIFS(SF_Output!$F$1:$F$400,SF_Output!$AC$1:$AC$400,_xlfn.TEXTJOIN(",",TRUE,B118:E118))+SUMIFS(SF_Output!$G$1:$G$400,SF_Output!$AC$1:$AC$400,_xlfn.TEXTJOIN(",",TRUE,B118:E118)))&lt;&gt;0,SF_Output!$Y$2,INDEX(SF_Output!$F$1:$F$400,MATCH(_xlfn.TEXTJOIN(",",TRUE,B118:E118),SF_Output!$AC$1:$AC$400,0))=0,INDEX(SF_Output!$R$1:$R$400,MATCH(_xlfn.TEXTJOIN(",",TRUE,B118:E118),SF_Output!$AC$1:$AC$400,0)))</f>
        <v>0</v>
      </c>
      <c r="I118" s="125" t="str">
        <f>IFERROR(IF(AND(H118&gt;1,H118&lt;&gt;""),ROUND(SUMIFS(SF_Output!$S$1:$S$400,SF_Output!$AC$1:$AC$400,_xlfn.TEXTJOIN(",",TRUE,B118:E118),SF_Output!$Q$1:$Q$400,"monthly")*(1-W118)/H118,4),""),"")</f>
        <v/>
      </c>
      <c r="J118" s="6">
        <f>IF(B118="","",SUMIFS(SF_Output!$S$1:$S$400,SF_Output!$AC$1:$AC$400,_xlfn.TEXTJOIN(",",TRUE,B118:E118),SF_Output!$Q$1:$Q$400,"One Time",SF_Output!$L$1:$L$400,"license fee")+SUMIFS(SF_Output!$S$1:$S$400,SF_Output!$AC$1:$AC$400,_xlfn.TEXTJOIN(",",TRUE,B118:E118),SF_Output!$Q$1:$Q$400,"One Time",SF_Output!$L$1:$L$400,"software license")+SUMIFS(SF_Output!$S$1:$S$400,SF_Output!$AC$1:$AC$400,_xlfn.TEXTJOIN(",",TRUE,B118:E118),SF_Output!$Q$1:$Q$400,"One Time",SF_Output!$L$1:$L$400,"hardware"))</f>
        <v>0</v>
      </c>
      <c r="K118" s="112" t="str">
        <f>IF(OR(B118=0,B118="",G118="hardware",J118=0),"",IF(AF118&lt;&gt;"exclusion",MAX(K$9,-((SUMIFS(SF_Output!$T$1:$T$400,SF_Output!$AC$1:$AC$400,_xlfn.TEXTJOIN(",",TRUE,$B118:$E118),SF_Output!$Q$1:$Q$400,"One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license"))/J118)))</f>
        <v/>
      </c>
      <c r="L118" s="6">
        <f t="shared" si="19"/>
        <v>0</v>
      </c>
      <c r="N118" s="6">
        <f>IF(B118="","",SUMIFS(SF_Output!$S$1:$S$400,SF_Output!$AC$1:$AC$400,_xlfn.TEXTJOIN(",",TRUE,B118:E118),SF_Output!$Q$1:$Q$400,"One Time",SF_Output!$L$1:$L$400,"professional service"))</f>
        <v>0</v>
      </c>
      <c r="O118" s="112" t="str">
        <f>IF(OR(B118=0,B118="",N118=0),"",IF(AF118&lt;&gt;"exclusion",MAX(O$9,-(SUMIFS(SF_Output!$T$1:$T$400,SF_Output!$AC$1:$AC$400,_xlfn.TEXTJOIN(",",TRUE,$B118:$E118),SF_Output!$Q$1:$Q$400,"One Time",SF_Output!$L$1:$L$400,"professional service"))/N118),-((SUMIFS(SF_Output!$T$1:$T$400,SF_Output!$AC$1:$AC$400,_xlfn.TEXTJOIN(",",TRUE,$B118:$E118),SF_Output!$Q$1:$Q$400,"One Time",SF_Output!$L$1:$L$400,"professional service")/N118))))</f>
        <v/>
      </c>
      <c r="P118" s="6">
        <f t="shared" si="20"/>
        <v>0</v>
      </c>
      <c r="R118" s="6">
        <f>IF(B118="","",SUMIFS(SF_Output!$S$1:$S$400,SF_Output!$AC$1:$AC$400,_xlfn.TEXTJOIN(",",TRUE,B118:E118),SF_Output!$Q$1:$Q$400,"yearly")+SUMIFS(SF_Output!$S$1:$S$400,SF_Output!$AC$1:$AC$400,_xlfn.TEXTJOIN(",",TRUE,B118:E118),SF_Output!$Q$1:$Q$400,"quarterly")*4)</f>
        <v>0</v>
      </c>
      <c r="S118" s="112" t="str">
        <f>IF(OR(B118=0,B118="",G118="hardware",R118=0),"",IF(AF118&lt;&gt;"exclusion",MAX(S$9,-(SUMIFS(SF_Output!$T$1:$T$400,SF_Output!$AC$1:$AC$400,_xlfn.TEXTJOIN(",",TRUE,$B118:$E118),SF_Output!$Q$1:$Q$400,"yearly"))/R118),-((SUMIFS(SF_Output!$T$1:$T$400,SF_Output!$AC$1:$AC$400,_xlfn.TEXTJOIN(",",TRUE,$B118:$E118),SF_Output!$Q$1:$Q$400,"yearly")/R118))))</f>
        <v/>
      </c>
      <c r="T118" s="6">
        <f t="shared" si="21"/>
        <v>0</v>
      </c>
      <c r="V118" s="6" cm="1">
        <f t="array" ref="V118">_xlfn.IFS(B118="","",AND(B118&lt;&gt;"",H118=SF_Output!$Y$2,SUMIFS(SF_Output!$T$1:$T$400,SF_Output!$AC$1:$AC$400,_xlfn.TEXTJOIN(",",TRUE,B118:E118),SF_Output!$Q$1:$Q$400,"monthly")=0),(SUMIFS(SF_Output!$F$1:$F$400,SF_Output!$AC$1:$AC$400,_xlfn.TEXTJOIN(",",TRUE,B118:E118),SF_Output!$Q$1:$Q$400,"monthly")+SUMIFS(SF_Output!$G$1:$G$400,SF_Output!$AC$1:$AC$400,_xlfn.TEXTJOIN(",",TRUE,B118:E118),SF_Output!$Q$1:$Q$400,"monthly"))*H118,AND(B118&lt;&gt;"",H118=SF_Output!$Y$2,SUMIFS(SF_Output!$T$1:$T$400,SF_Output!$AC$1:$AC$400,_xlfn.TEXTJOIN(",",TRUE,B118:E118),SF_Output!$Q$1:$Q$400,"monthly")&lt;&gt;0),SUMIFS(SF_Output!$S$1:$S$400,SF_Output!$AC$1:$AC$400,_xlfn.TEXTJOIN(",",TRUE,B118:E118),SF_Output!$Q$1:$Q$400,"monthly"),AND(B118&lt;&gt;"",H118&lt;&gt;SF_Output!$Y$2),SUMIFS(SF_Output!$S$1:$S$400,SF_Output!$AC$1:$AC$400,_xlfn.TEXTJOIN(",",TRUE,B118:E118),SF_Output!$Q$1:$Q$400,"monthly"))</f>
        <v>0</v>
      </c>
      <c r="W118" s="112" t="str" cm="1">
        <f t="array" ref="W118">_xlfn.IFS(OR(B118=0,B118="",V118=0),"",AF118&lt;&gt;"exclusion",MAX($W$9,$W$7,(-(SUMIFS(SF_Output!$T$1:$T$400,SF_Output!$AC$1:$AC$400,_xlfn.TEXTJOIN(",",TRUE,$B118:$E118),SF_Output!$Q$1:$Q$400,"monthly"))/V118)),AF118="exclusion",-(SUMIFS(SF_Output!$T$1:$T$400,SF_Output!$AC$1:$AC$400,_xlfn.TEXTJOIN(",",TRUE,$B118:$E118),SF_Output!$Q$1:$Q$400,"monthly"))/V118)</f>
        <v/>
      </c>
      <c r="X118" s="6" cm="1">
        <f t="array" ref="X118">IFERROR(_xlfn.IFS(V118=0,0,V118="","",W118=0,V118,OR(V118&lt;&gt;0,V118&lt;&gt;""),H118*I118),V118*(1-W118))</f>
        <v>0</v>
      </c>
      <c r="Z118" s="6">
        <f>IFERROR(IF(B118="","",SUMIFS(Billing_Fallout!H:H,Billing_Fallout!N:N,B118)),0)</f>
        <v>0</v>
      </c>
      <c r="AA118" s="6">
        <f t="shared" si="22"/>
        <v>0</v>
      </c>
      <c r="AB118" s="6">
        <f>IFERROR(IF(B118="","",SUMIFS(Billing_Fallout!J:J,Billing_Fallout!N:N,B118)),0)</f>
        <v>0</v>
      </c>
      <c r="AD118" s="6">
        <f t="shared" si="23"/>
        <v>0</v>
      </c>
      <c r="AF118" t="str">
        <f>IFERROR(INDEX(H_Tables!$B$1:$B$1500,MATCH(INDEX(SF_Output!$J$1:$J$400,MATCH(B118,SF_Output!$M$1:$M$400,0)),H_Tables!$A$1:$A$1500,0)),"")</f>
        <v>Exclusion</v>
      </c>
      <c r="AI118" s="119" t="str">
        <f t="shared" si="24"/>
        <v/>
      </c>
      <c r="AJ118" s="121">
        <f>IFERROR(INDEX(SF_Output!AD:AD,MATCH(_xlfn.TEXTJOIN(",",TRUE,B118:E118),SF_Output!AC1:AC400,0)),0.05)</f>
        <v>196</v>
      </c>
      <c r="AK118" t="str">
        <f>IF(SUMIFS(SF_Output!$F$1:$F$400,SF_Output!$AC$1:$AC$400,_xlfn.TEXTJOIN(",",TRUE,B118:E118))+SUMIFS(SF_Output!$G$1:$G$400,SF_Output!$AC$1:$AC$400,_xlfn.TEXTJOIN(",",TRUE,B118:E118))=0,"","PAP")</f>
        <v/>
      </c>
      <c r="AL118" s="35" t="str">
        <f t="shared" si="25"/>
        <v>CPU Transmissions, per file JHA Debit Processing,New,Hosted by 3rd Party,0</v>
      </c>
      <c r="AQ118" s="35"/>
      <c r="AR118" s="35" t="str" cm="1">
        <f t="array" ref="AR118">IFERROR(_xlfn.IFS(AND(E118*1=1,F118="Included"),"Change to Included",AND(E118*1=0,F118="Optional"),"Change to Optional",OR(B118="",F118="replaced"),""),"")</f>
        <v/>
      </c>
      <c r="AS118" s="35" t="str">
        <f t="shared" si="26"/>
        <v/>
      </c>
      <c r="AT118" s="35" t="str">
        <f t="shared" si="27"/>
        <v/>
      </c>
      <c r="AU118" s="35" t="str">
        <f t="shared" si="28"/>
        <v/>
      </c>
      <c r="AV118" s="35" t="str">
        <f t="shared" si="29"/>
        <v/>
      </c>
      <c r="AW118" s="35" t="str">
        <f t="shared" si="30"/>
        <v/>
      </c>
      <c r="AX118" s="35" t="str">
        <f t="shared" si="31"/>
        <v/>
      </c>
      <c r="AY118" s="35" t="str">
        <f t="shared" si="32"/>
        <v/>
      </c>
      <c r="AZ118" s="35" t="str">
        <f t="shared" si="33"/>
        <v/>
      </c>
      <c r="BA118" s="35" t="str">
        <f t="shared" si="34"/>
        <v/>
      </c>
      <c r="BB118" s="35" t="str">
        <f t="shared" si="35"/>
        <v/>
      </c>
      <c r="BC118" s="35"/>
      <c r="BE118" s="35">
        <f ca="1">INDEX(SF_Output!$AA$2:$AA$400,MATCH($B118,SF_Output!$M$2:$M$400,0))</f>
        <v>6</v>
      </c>
      <c r="BF118" s="35">
        <f ca="1">INDEX(SF_Output!$AB$2:$AB$400,MATCH($B118,SF_Output!$M$2:$M$400,0))</f>
        <v>1</v>
      </c>
    </row>
    <row r="119" spans="2:58" x14ac:dyDescent="0.25">
      <c r="B119" t="s">
        <v>2396</v>
      </c>
      <c r="C119" t="s">
        <v>2122</v>
      </c>
      <c r="D119" t="s">
        <v>2207</v>
      </c>
      <c r="E119" t="s">
        <v>2124</v>
      </c>
      <c r="F119" s="116" t="str">
        <f t="shared" si="18"/>
        <v>Included</v>
      </c>
      <c r="G119" t="str">
        <f>IF(B119="","",INDEX(SF_Output!$K$1:$K$400,MATCH(B119,SF_Output!$M$1:$M$400,0)))</f>
        <v>Card Processing Solutions (CPS)</v>
      </c>
      <c r="H119" cm="1">
        <f t="array" ref="H119">_xlfn.IFS(B119="","",(SUMIFS(SF_Output!$F$1:$F$400,SF_Output!$AC$1:$AC$400,_xlfn.TEXTJOIN(",",TRUE,B119:E119))+SUMIFS(SF_Output!$G$1:$G$400,SF_Output!$AC$1:$AC$400,_xlfn.TEXTJOIN(",",TRUE,B119:E119)))&lt;&gt;0,SF_Output!$Y$2,INDEX(SF_Output!$F$1:$F$400,MATCH(_xlfn.TEXTJOIN(",",TRUE,B119:E119),SF_Output!$AC$1:$AC$400,0))=0,INDEX(SF_Output!$R$1:$R$400,MATCH(_xlfn.TEXTJOIN(",",TRUE,B119:E119),SF_Output!$AC$1:$AC$400,0)))</f>
        <v>0</v>
      </c>
      <c r="I119" s="125" t="str">
        <f>IFERROR(IF(AND(H119&gt;1,H119&lt;&gt;""),ROUND(SUMIFS(SF_Output!$S$1:$S$400,SF_Output!$AC$1:$AC$400,_xlfn.TEXTJOIN(",",TRUE,B119:E119),SF_Output!$Q$1:$Q$400,"monthly")*(1-W119)/H119,4),""),"")</f>
        <v/>
      </c>
      <c r="J119" s="6">
        <f>IF(B119="","",SUMIFS(SF_Output!$S$1:$S$400,SF_Output!$AC$1:$AC$400,_xlfn.TEXTJOIN(",",TRUE,B119:E119),SF_Output!$Q$1:$Q$400,"One Time",SF_Output!$L$1:$L$400,"license fee")+SUMIFS(SF_Output!$S$1:$S$400,SF_Output!$AC$1:$AC$400,_xlfn.TEXTJOIN(",",TRUE,B119:E119),SF_Output!$Q$1:$Q$400,"One Time",SF_Output!$L$1:$L$400,"software license")+SUMIFS(SF_Output!$S$1:$S$400,SF_Output!$AC$1:$AC$400,_xlfn.TEXTJOIN(",",TRUE,B119:E119),SF_Output!$Q$1:$Q$400,"One Time",SF_Output!$L$1:$L$400,"hardware"))</f>
        <v>0</v>
      </c>
      <c r="K119" s="112" t="str">
        <f>IF(OR(B119=0,B119="",G119="hardware",J119=0),"",IF(AF119&lt;&gt;"exclusion",MAX(K$9,-((SUMIFS(SF_Output!$T$1:$T$400,SF_Output!$AC$1:$AC$400,_xlfn.TEXTJOIN(",",TRUE,$B119:$E119),SF_Output!$Q$1:$Q$400,"One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license"))/J119)))</f>
        <v/>
      </c>
      <c r="L119" s="6">
        <f t="shared" si="19"/>
        <v>0</v>
      </c>
      <c r="N119" s="6">
        <f>IF(B119="","",SUMIFS(SF_Output!$S$1:$S$400,SF_Output!$AC$1:$AC$400,_xlfn.TEXTJOIN(",",TRUE,B119:E119),SF_Output!$Q$1:$Q$400,"One Time",SF_Output!$L$1:$L$400,"professional service"))</f>
        <v>0</v>
      </c>
      <c r="O119" s="112" t="str">
        <f>IF(OR(B119=0,B119="",N119=0),"",IF(AF119&lt;&gt;"exclusion",MAX(O$9,-(SUMIFS(SF_Output!$T$1:$T$400,SF_Output!$AC$1:$AC$400,_xlfn.TEXTJOIN(",",TRUE,$B119:$E119),SF_Output!$Q$1:$Q$400,"One Time",SF_Output!$L$1:$L$400,"professional service"))/N119),-((SUMIFS(SF_Output!$T$1:$T$400,SF_Output!$AC$1:$AC$400,_xlfn.TEXTJOIN(",",TRUE,$B119:$E119),SF_Output!$Q$1:$Q$400,"One Time",SF_Output!$L$1:$L$400,"professional service")/N119))))</f>
        <v/>
      </c>
      <c r="P119" s="6">
        <f t="shared" si="20"/>
        <v>0</v>
      </c>
      <c r="R119" s="6">
        <f>IF(B119="","",SUMIFS(SF_Output!$S$1:$S$400,SF_Output!$AC$1:$AC$400,_xlfn.TEXTJOIN(",",TRUE,B119:E119),SF_Output!$Q$1:$Q$400,"yearly")+SUMIFS(SF_Output!$S$1:$S$400,SF_Output!$AC$1:$AC$400,_xlfn.TEXTJOIN(",",TRUE,B119:E119),SF_Output!$Q$1:$Q$400,"quarterly")*4)</f>
        <v>0</v>
      </c>
      <c r="S119" s="112" t="str">
        <f>IF(OR(B119=0,B119="",G119="hardware",R119=0),"",IF(AF119&lt;&gt;"exclusion",MAX(S$9,-(SUMIFS(SF_Output!$T$1:$T$400,SF_Output!$AC$1:$AC$400,_xlfn.TEXTJOIN(",",TRUE,$B119:$E119),SF_Output!$Q$1:$Q$400,"yearly"))/R119),-((SUMIFS(SF_Output!$T$1:$T$400,SF_Output!$AC$1:$AC$400,_xlfn.TEXTJOIN(",",TRUE,$B119:$E119),SF_Output!$Q$1:$Q$400,"yearly")/R119))))</f>
        <v/>
      </c>
      <c r="T119" s="6">
        <f t="shared" si="21"/>
        <v>0</v>
      </c>
      <c r="V119" s="6" cm="1">
        <f t="array" ref="V119">_xlfn.IFS(B119="","",AND(B119&lt;&gt;"",H119=SF_Output!$Y$2,SUMIFS(SF_Output!$T$1:$T$400,SF_Output!$AC$1:$AC$400,_xlfn.TEXTJOIN(",",TRUE,B119:E119),SF_Output!$Q$1:$Q$400,"monthly")=0),(SUMIFS(SF_Output!$F$1:$F$400,SF_Output!$AC$1:$AC$400,_xlfn.TEXTJOIN(",",TRUE,B119:E119),SF_Output!$Q$1:$Q$400,"monthly")+SUMIFS(SF_Output!$G$1:$G$400,SF_Output!$AC$1:$AC$400,_xlfn.TEXTJOIN(",",TRUE,B119:E119),SF_Output!$Q$1:$Q$400,"monthly"))*H119,AND(B119&lt;&gt;"",H119=SF_Output!$Y$2,SUMIFS(SF_Output!$T$1:$T$400,SF_Output!$AC$1:$AC$400,_xlfn.TEXTJOIN(",",TRUE,B119:E119),SF_Output!$Q$1:$Q$400,"monthly")&lt;&gt;0),SUMIFS(SF_Output!$S$1:$S$400,SF_Output!$AC$1:$AC$400,_xlfn.TEXTJOIN(",",TRUE,B119:E119),SF_Output!$Q$1:$Q$400,"monthly"),AND(B119&lt;&gt;"",H119&lt;&gt;SF_Output!$Y$2),SUMIFS(SF_Output!$S$1:$S$400,SF_Output!$AC$1:$AC$400,_xlfn.TEXTJOIN(",",TRUE,B119:E119),SF_Output!$Q$1:$Q$400,"monthly"))</f>
        <v>0</v>
      </c>
      <c r="W119" s="112" t="str" cm="1">
        <f t="array" ref="W119">_xlfn.IFS(OR(B119=0,B119="",V119=0),"",AF119&lt;&gt;"exclusion",MAX($W$9,$W$7,(-(SUMIFS(SF_Output!$T$1:$T$400,SF_Output!$AC$1:$AC$400,_xlfn.TEXTJOIN(",",TRUE,$B119:$E119),SF_Output!$Q$1:$Q$400,"monthly"))/V119)),AF119="exclusion",-(SUMIFS(SF_Output!$T$1:$T$400,SF_Output!$AC$1:$AC$400,_xlfn.TEXTJOIN(",",TRUE,$B119:$E119),SF_Output!$Q$1:$Q$400,"monthly"))/V119)</f>
        <v/>
      </c>
      <c r="X119" s="6" cm="1">
        <f t="array" ref="X119">IFERROR(_xlfn.IFS(V119=0,0,V119="","",W119=0,V119,OR(V119&lt;&gt;0,V119&lt;&gt;""),H119*I119),V119*(1-W119))</f>
        <v>0</v>
      </c>
      <c r="Z119" s="6">
        <f>IFERROR(IF(B119="","",SUMIFS(Billing_Fallout!H:H,Billing_Fallout!N:N,B119)),0)</f>
        <v>0</v>
      </c>
      <c r="AA119" s="6">
        <f t="shared" si="22"/>
        <v>0</v>
      </c>
      <c r="AB119" s="6">
        <f>IFERROR(IF(B119="","",SUMIFS(Billing_Fallout!J:J,Billing_Fallout!N:N,B119)),0)</f>
        <v>0</v>
      </c>
      <c r="AD119" s="6">
        <f t="shared" si="23"/>
        <v>0</v>
      </c>
      <c r="AF119" t="str">
        <f>IFERROR(INDEX(H_Tables!$B$1:$B$1500,MATCH(INDEX(SF_Output!$J$1:$J$400,MATCH(B119,SF_Output!$M$1:$M$400,0)),H_Tables!$A$1:$A$1500,0)),"")</f>
        <v>Exclusion</v>
      </c>
      <c r="AI119" s="119" t="str">
        <f t="shared" si="24"/>
        <v/>
      </c>
      <c r="AJ119" s="121">
        <f>IFERROR(INDEX(SF_Output!AD:AD,MATCH(_xlfn.TEXTJOIN(",",TRUE,B119:E119),SF_Output!AC1:AC400,0)),0.05)</f>
        <v>197</v>
      </c>
      <c r="AK119" t="str">
        <f>IF(SUMIFS(SF_Output!$F$1:$F$400,SF_Output!$AC$1:$AC$400,_xlfn.TEXTJOIN(",",TRUE,B119:E119))+SUMIFS(SF_Output!$G$1:$G$400,SF_Output!$AC$1:$AC$400,_xlfn.TEXTJOIN(",",TRUE,B119:E119))=0,"","PAP")</f>
        <v/>
      </c>
      <c r="AL119" s="35" t="str">
        <f t="shared" si="25"/>
        <v>Report Archival Pages JHA Debit Processing,New,Hosted by 3rd Party,0</v>
      </c>
      <c r="AQ119" s="35"/>
      <c r="AR119" s="35" t="str" cm="1">
        <f t="array" ref="AR119">IFERROR(_xlfn.IFS(AND(E119*1=1,F119="Included"),"Change to Included",AND(E119*1=0,F119="Optional"),"Change to Optional",OR(B119="",F119="replaced"),""),"")</f>
        <v/>
      </c>
      <c r="AS119" s="35" t="str">
        <f t="shared" si="26"/>
        <v/>
      </c>
      <c r="AT119" s="35" t="str">
        <f t="shared" si="27"/>
        <v/>
      </c>
      <c r="AU119" s="35" t="str">
        <f t="shared" si="28"/>
        <v/>
      </c>
      <c r="AV119" s="35" t="str">
        <f t="shared" si="29"/>
        <v/>
      </c>
      <c r="AW119" s="35" t="str">
        <f t="shared" si="30"/>
        <v/>
      </c>
      <c r="AX119" s="35" t="str">
        <f t="shared" si="31"/>
        <v/>
      </c>
      <c r="AY119" s="35" t="str">
        <f t="shared" si="32"/>
        <v/>
      </c>
      <c r="AZ119" s="35" t="str">
        <f t="shared" si="33"/>
        <v/>
      </c>
      <c r="BA119" s="35" t="str">
        <f t="shared" si="34"/>
        <v/>
      </c>
      <c r="BB119" s="35" t="str">
        <f t="shared" si="35"/>
        <v/>
      </c>
      <c r="BC119" s="35"/>
      <c r="BE119" s="35">
        <f ca="1">INDEX(SF_Output!$AA$2:$AA$400,MATCH($B119,SF_Output!$M$2:$M$400,0))</f>
        <v>6</v>
      </c>
      <c r="BF119" s="35">
        <f ca="1">INDEX(SF_Output!$AB$2:$AB$400,MATCH($B119,SF_Output!$M$2:$M$400,0))</f>
        <v>1</v>
      </c>
    </row>
    <row r="120" spans="2:58" x14ac:dyDescent="0.25">
      <c r="B120" t="s">
        <v>2398</v>
      </c>
      <c r="C120" t="s">
        <v>2122</v>
      </c>
      <c r="D120" t="s">
        <v>2207</v>
      </c>
      <c r="E120" t="s">
        <v>2124</v>
      </c>
      <c r="F120" s="116" t="str">
        <f t="shared" si="18"/>
        <v>Included</v>
      </c>
      <c r="G120" t="str">
        <f>IF(B120="","",INDEX(SF_Output!$K$1:$K$400,MATCH(B120,SF_Output!$M$1:$M$400,0)))</f>
        <v>Card Processing Solutions (CPS)</v>
      </c>
      <c r="H120" cm="1">
        <f t="array" ref="H120">_xlfn.IFS(B120="","",(SUMIFS(SF_Output!$F$1:$F$400,SF_Output!$AC$1:$AC$400,_xlfn.TEXTJOIN(",",TRUE,B120:E120))+SUMIFS(SF_Output!$G$1:$G$400,SF_Output!$AC$1:$AC$400,_xlfn.TEXTJOIN(",",TRUE,B120:E120)))&lt;&gt;0,SF_Output!$Y$2,INDEX(SF_Output!$F$1:$F$400,MATCH(_xlfn.TEXTJOIN(",",TRUE,B120:E120),SF_Output!$AC$1:$AC$400,0))=0,INDEX(SF_Output!$R$1:$R$400,MATCH(_xlfn.TEXTJOIN(",",TRUE,B120:E120),SF_Output!$AC$1:$AC$400,0)))</f>
        <v>0</v>
      </c>
      <c r="I120" s="125" t="str">
        <f>IFERROR(IF(AND(H120&gt;1,H120&lt;&gt;""),ROUND(SUMIFS(SF_Output!$S$1:$S$400,SF_Output!$AC$1:$AC$400,_xlfn.TEXTJOIN(",",TRUE,B120:E120),SF_Output!$Q$1:$Q$400,"monthly")*(1-W120)/H120,4),""),"")</f>
        <v/>
      </c>
      <c r="J120" s="6">
        <f>IF(B120="","",SUMIFS(SF_Output!$S$1:$S$400,SF_Output!$AC$1:$AC$400,_xlfn.TEXTJOIN(",",TRUE,B120:E120),SF_Output!$Q$1:$Q$400,"One Time",SF_Output!$L$1:$L$400,"license fee")+SUMIFS(SF_Output!$S$1:$S$400,SF_Output!$AC$1:$AC$400,_xlfn.TEXTJOIN(",",TRUE,B120:E120),SF_Output!$Q$1:$Q$400,"One Time",SF_Output!$L$1:$L$400,"software license")+SUMIFS(SF_Output!$S$1:$S$400,SF_Output!$AC$1:$AC$400,_xlfn.TEXTJOIN(",",TRUE,B120:E120),SF_Output!$Q$1:$Q$400,"One Time",SF_Output!$L$1:$L$400,"hardware"))</f>
        <v>0</v>
      </c>
      <c r="K120" s="112" t="str">
        <f>IF(OR(B120=0,B120="",G120="hardware",J120=0),"",IF(AF120&lt;&gt;"exclusion",MAX(K$9,-((SUMIFS(SF_Output!$T$1:$T$400,SF_Output!$AC$1:$AC$400,_xlfn.TEXTJOIN(",",TRUE,$B120:$E120),SF_Output!$Q$1:$Q$400,"One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license"))/J120)))</f>
        <v/>
      </c>
      <c r="L120" s="6">
        <f t="shared" si="19"/>
        <v>0</v>
      </c>
      <c r="N120" s="6">
        <f>IF(B120="","",SUMIFS(SF_Output!$S$1:$S$400,SF_Output!$AC$1:$AC$400,_xlfn.TEXTJOIN(",",TRUE,B120:E120),SF_Output!$Q$1:$Q$400,"One Time",SF_Output!$L$1:$L$400,"professional service"))</f>
        <v>0</v>
      </c>
      <c r="O120" s="112" t="str">
        <f>IF(OR(B120=0,B120="",N120=0),"",IF(AF120&lt;&gt;"exclusion",MAX(O$9,-(SUMIFS(SF_Output!$T$1:$T$400,SF_Output!$AC$1:$AC$400,_xlfn.TEXTJOIN(",",TRUE,$B120:$E120),SF_Output!$Q$1:$Q$400,"One Time",SF_Output!$L$1:$L$400,"professional service"))/N120),-((SUMIFS(SF_Output!$T$1:$T$400,SF_Output!$AC$1:$AC$400,_xlfn.TEXTJOIN(",",TRUE,$B120:$E120),SF_Output!$Q$1:$Q$400,"One Time",SF_Output!$L$1:$L$400,"professional service")/N120))))</f>
        <v/>
      </c>
      <c r="P120" s="6">
        <f t="shared" si="20"/>
        <v>0</v>
      </c>
      <c r="R120" s="6">
        <f>IF(B120="","",SUMIFS(SF_Output!$S$1:$S$400,SF_Output!$AC$1:$AC$400,_xlfn.TEXTJOIN(",",TRUE,B120:E120),SF_Output!$Q$1:$Q$400,"yearly")+SUMIFS(SF_Output!$S$1:$S$400,SF_Output!$AC$1:$AC$400,_xlfn.TEXTJOIN(",",TRUE,B120:E120),SF_Output!$Q$1:$Q$400,"quarterly")*4)</f>
        <v>0</v>
      </c>
      <c r="S120" s="112" t="str">
        <f>IF(OR(B120=0,B120="",G120="hardware",R120=0),"",IF(AF120&lt;&gt;"exclusion",MAX(S$9,-(SUMIFS(SF_Output!$T$1:$T$400,SF_Output!$AC$1:$AC$400,_xlfn.TEXTJOIN(",",TRUE,$B120:$E120),SF_Output!$Q$1:$Q$400,"yearly"))/R120),-((SUMIFS(SF_Output!$T$1:$T$400,SF_Output!$AC$1:$AC$400,_xlfn.TEXTJOIN(",",TRUE,$B120:$E120),SF_Output!$Q$1:$Q$400,"yearly")/R120))))</f>
        <v/>
      </c>
      <c r="T120" s="6">
        <f t="shared" si="21"/>
        <v>0</v>
      </c>
      <c r="V120" s="6" cm="1">
        <f t="array" ref="V120">_xlfn.IFS(B120="","",AND(B120&lt;&gt;"",H120=SF_Output!$Y$2,SUMIFS(SF_Output!$T$1:$T$400,SF_Output!$AC$1:$AC$400,_xlfn.TEXTJOIN(",",TRUE,B120:E120),SF_Output!$Q$1:$Q$400,"monthly")=0),(SUMIFS(SF_Output!$F$1:$F$400,SF_Output!$AC$1:$AC$400,_xlfn.TEXTJOIN(",",TRUE,B120:E120),SF_Output!$Q$1:$Q$400,"monthly")+SUMIFS(SF_Output!$G$1:$G$400,SF_Output!$AC$1:$AC$400,_xlfn.TEXTJOIN(",",TRUE,B120:E120),SF_Output!$Q$1:$Q$400,"monthly"))*H120,AND(B120&lt;&gt;"",H120=SF_Output!$Y$2,SUMIFS(SF_Output!$T$1:$T$400,SF_Output!$AC$1:$AC$400,_xlfn.TEXTJOIN(",",TRUE,B120:E120),SF_Output!$Q$1:$Q$400,"monthly")&lt;&gt;0),SUMIFS(SF_Output!$S$1:$S$400,SF_Output!$AC$1:$AC$400,_xlfn.TEXTJOIN(",",TRUE,B120:E120),SF_Output!$Q$1:$Q$400,"monthly"),AND(B120&lt;&gt;"",H120&lt;&gt;SF_Output!$Y$2),SUMIFS(SF_Output!$S$1:$S$400,SF_Output!$AC$1:$AC$400,_xlfn.TEXTJOIN(",",TRUE,B120:E120),SF_Output!$Q$1:$Q$400,"monthly"))</f>
        <v>0</v>
      </c>
      <c r="W120" s="112" t="str" cm="1">
        <f t="array" ref="W120">_xlfn.IFS(OR(B120=0,B120="",V120=0),"",AF120&lt;&gt;"exclusion",MAX($W$9,$W$7,(-(SUMIFS(SF_Output!$T$1:$T$400,SF_Output!$AC$1:$AC$400,_xlfn.TEXTJOIN(",",TRUE,$B120:$E120),SF_Output!$Q$1:$Q$400,"monthly"))/V120)),AF120="exclusion",-(SUMIFS(SF_Output!$T$1:$T$400,SF_Output!$AC$1:$AC$400,_xlfn.TEXTJOIN(",",TRUE,$B120:$E120),SF_Output!$Q$1:$Q$400,"monthly"))/V120)</f>
        <v/>
      </c>
      <c r="X120" s="6" cm="1">
        <f t="array" ref="X120">IFERROR(_xlfn.IFS(V120=0,0,V120="","",W120=0,V120,OR(V120&lt;&gt;0,V120&lt;&gt;""),H120*I120),V120*(1-W120))</f>
        <v>0</v>
      </c>
      <c r="Z120" s="6">
        <f>IFERROR(IF(B120="","",SUMIFS(Billing_Fallout!H:H,Billing_Fallout!N:N,B120)),0)</f>
        <v>0</v>
      </c>
      <c r="AA120" s="6">
        <f t="shared" si="22"/>
        <v>0</v>
      </c>
      <c r="AB120" s="6">
        <f>IFERROR(IF(B120="","",SUMIFS(Billing_Fallout!J:J,Billing_Fallout!N:N,B120)),0)</f>
        <v>0</v>
      </c>
      <c r="AD120" s="6">
        <f t="shared" si="23"/>
        <v>0</v>
      </c>
      <c r="AF120" t="str">
        <f>IFERROR(INDEX(H_Tables!$B$1:$B$1500,MATCH(INDEX(SF_Output!$J$1:$J$400,MATCH(B120,SF_Output!$M$1:$M$400,0)),H_Tables!$A$1:$A$1500,0)),"")</f>
        <v>Exclusion</v>
      </c>
      <c r="AI120" s="119" t="str">
        <f t="shared" si="24"/>
        <v/>
      </c>
      <c r="AJ120" s="121">
        <f>IFERROR(INDEX(SF_Output!AD:AD,MATCH(_xlfn.TEXTJOIN(",",TRUE,B120:E120),SF_Output!AC1:AC400,0)),0.05)</f>
        <v>198</v>
      </c>
      <c r="AK120" t="str">
        <f>IF(SUMIFS(SF_Output!$F$1:$F$400,SF_Output!$AC$1:$AC$400,_xlfn.TEXTJOIN(",",TRUE,B120:E120))+SUMIFS(SF_Output!$G$1:$G$400,SF_Output!$AC$1:$AC$400,_xlfn.TEXTJOIN(",",TRUE,B120:E120))=0,"","PAP")</f>
        <v/>
      </c>
      <c r="AL120" s="35" t="str">
        <f t="shared" si="25"/>
        <v>Non-Standard Job Request, per job JHA Debit Processing,New,Hosted by 3rd Party,0</v>
      </c>
      <c r="AQ120" s="35"/>
      <c r="AR120" s="35" t="str" cm="1">
        <f t="array" ref="AR120">IFERROR(_xlfn.IFS(AND(E120*1=1,F120="Included"),"Change to Included",AND(E120*1=0,F120="Optional"),"Change to Optional",OR(B120="",F120="replaced"),""),"")</f>
        <v/>
      </c>
      <c r="AS120" s="35" t="str">
        <f t="shared" si="26"/>
        <v/>
      </c>
      <c r="AT120" s="35" t="str">
        <f t="shared" si="27"/>
        <v/>
      </c>
      <c r="AU120" s="35" t="str">
        <f t="shared" si="28"/>
        <v/>
      </c>
      <c r="AV120" s="35" t="str">
        <f t="shared" si="29"/>
        <v/>
      </c>
      <c r="AW120" s="35" t="str">
        <f t="shared" si="30"/>
        <v/>
      </c>
      <c r="AX120" s="35" t="str">
        <f t="shared" si="31"/>
        <v/>
      </c>
      <c r="AY120" s="35" t="str">
        <f t="shared" si="32"/>
        <v/>
      </c>
      <c r="AZ120" s="35" t="str">
        <f t="shared" si="33"/>
        <v/>
      </c>
      <c r="BA120" s="35" t="str">
        <f t="shared" si="34"/>
        <v/>
      </c>
      <c r="BB120" s="35" t="str">
        <f t="shared" si="35"/>
        <v/>
      </c>
      <c r="BC120" s="35"/>
      <c r="BE120" s="35">
        <f ca="1">INDEX(SF_Output!$AA$2:$AA$400,MATCH($B120,SF_Output!$M$2:$M$400,0))</f>
        <v>6</v>
      </c>
      <c r="BF120" s="35">
        <f ca="1">INDEX(SF_Output!$AB$2:$AB$400,MATCH($B120,SF_Output!$M$2:$M$400,0))</f>
        <v>1</v>
      </c>
    </row>
    <row r="121" spans="2:58" x14ac:dyDescent="0.25">
      <c r="B121" t="s">
        <v>2400</v>
      </c>
      <c r="C121" t="s">
        <v>2122</v>
      </c>
      <c r="D121" t="s">
        <v>2207</v>
      </c>
      <c r="E121" t="s">
        <v>2124</v>
      </c>
      <c r="F121" s="116" t="str">
        <f t="shared" si="18"/>
        <v>Included</v>
      </c>
      <c r="G121" t="str">
        <f>IF(B121="","",INDEX(SF_Output!$K$1:$K$400,MATCH(B121,SF_Output!$M$1:$M$400,0)))</f>
        <v>Card Processing Solutions (CPS)</v>
      </c>
      <c r="H121" cm="1">
        <f t="array" ref="H121">_xlfn.IFS(B121="","",(SUMIFS(SF_Output!$F$1:$F$400,SF_Output!$AC$1:$AC$400,_xlfn.TEXTJOIN(",",TRUE,B121:E121))+SUMIFS(SF_Output!$G$1:$G$400,SF_Output!$AC$1:$AC$400,_xlfn.TEXTJOIN(",",TRUE,B121:E121)))&lt;&gt;0,SF_Output!$Y$2,INDEX(SF_Output!$F$1:$F$400,MATCH(_xlfn.TEXTJOIN(",",TRUE,B121:E121),SF_Output!$AC$1:$AC$400,0))=0,INDEX(SF_Output!$R$1:$R$400,MATCH(_xlfn.TEXTJOIN(",",TRUE,B121:E121),SF_Output!$AC$1:$AC$400,0)))</f>
        <v>1</v>
      </c>
      <c r="I121" s="125" t="str">
        <f>IFERROR(IF(AND(H121&gt;1,H121&lt;&gt;""),ROUND(SUMIFS(SF_Output!$S$1:$S$400,SF_Output!$AC$1:$AC$400,_xlfn.TEXTJOIN(",",TRUE,B121:E121),SF_Output!$Q$1:$Q$400,"monthly")*(1-W121)/H121,4),""),"")</f>
        <v/>
      </c>
      <c r="J121" s="6">
        <f>IF(B121="","",SUMIFS(SF_Output!$S$1:$S$400,SF_Output!$AC$1:$AC$400,_xlfn.TEXTJOIN(",",TRUE,B121:E121),SF_Output!$Q$1:$Q$400,"One Time",SF_Output!$L$1:$L$400,"license fee")+SUMIFS(SF_Output!$S$1:$S$400,SF_Output!$AC$1:$AC$400,_xlfn.TEXTJOIN(",",TRUE,B121:E121),SF_Output!$Q$1:$Q$400,"One Time",SF_Output!$L$1:$L$400,"software license")+SUMIFS(SF_Output!$S$1:$S$400,SF_Output!$AC$1:$AC$400,_xlfn.TEXTJOIN(",",TRUE,B121:E121),SF_Output!$Q$1:$Q$400,"One Time",SF_Output!$L$1:$L$400,"hardware"))</f>
        <v>0</v>
      </c>
      <c r="K121" s="112" t="str">
        <f>IF(OR(B121=0,B121="",G121="hardware",J121=0),"",IF(AF121&lt;&gt;"exclusion",MAX(K$9,-((SUMIFS(SF_Output!$T$1:$T$400,SF_Output!$AC$1:$AC$400,_xlfn.TEXTJOIN(",",TRUE,$B121:$E121),SF_Output!$Q$1:$Q$400,"One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license"))/J121)))</f>
        <v/>
      </c>
      <c r="L121" s="6">
        <f t="shared" si="19"/>
        <v>0</v>
      </c>
      <c r="N121" s="6">
        <f>IF(B121="","",SUMIFS(SF_Output!$S$1:$S$400,SF_Output!$AC$1:$AC$400,_xlfn.TEXTJOIN(",",TRUE,B121:E121),SF_Output!$Q$1:$Q$400,"One Time",SF_Output!$L$1:$L$400,"professional service"))</f>
        <v>16000</v>
      </c>
      <c r="O121" s="112">
        <f>IF(OR(B121=0,B121="",N121=0),"",IF(AF121&lt;&gt;"exclusion",MAX(O$9,-(SUMIFS(SF_Output!$T$1:$T$400,SF_Output!$AC$1:$AC$400,_xlfn.TEXTJOIN(",",TRUE,$B121:$E121),SF_Output!$Q$1:$Q$400,"One Time",SF_Output!$L$1:$L$400,"professional service"))/N121),-((SUMIFS(SF_Output!$T$1:$T$400,SF_Output!$AC$1:$AC$400,_xlfn.TEXTJOIN(",",TRUE,$B121:$E121),SF_Output!$Q$1:$Q$400,"One Time",SF_Output!$L$1:$L$400,"professional service")/N121))))</f>
        <v>1</v>
      </c>
      <c r="P121" s="6">
        <f t="shared" si="20"/>
        <v>0</v>
      </c>
      <c r="R121" s="6">
        <f>IF(B121="","",SUMIFS(SF_Output!$S$1:$S$400,SF_Output!$AC$1:$AC$400,_xlfn.TEXTJOIN(",",TRUE,B121:E121),SF_Output!$Q$1:$Q$400,"yearly")+SUMIFS(SF_Output!$S$1:$S$400,SF_Output!$AC$1:$AC$400,_xlfn.TEXTJOIN(",",TRUE,B121:E121),SF_Output!$Q$1:$Q$400,"quarterly")*4)</f>
        <v>0</v>
      </c>
      <c r="S121" s="112" t="str">
        <f>IF(OR(B121=0,B121="",G121="hardware",R121=0),"",IF(AF121&lt;&gt;"exclusion",MAX(S$9,-(SUMIFS(SF_Output!$T$1:$T$400,SF_Output!$AC$1:$AC$400,_xlfn.TEXTJOIN(",",TRUE,$B121:$E121),SF_Output!$Q$1:$Q$400,"yearly"))/R121),-((SUMIFS(SF_Output!$T$1:$T$400,SF_Output!$AC$1:$AC$400,_xlfn.TEXTJOIN(",",TRUE,$B121:$E121),SF_Output!$Q$1:$Q$400,"yearly")/R121))))</f>
        <v/>
      </c>
      <c r="T121" s="6">
        <f t="shared" si="21"/>
        <v>0</v>
      </c>
      <c r="V121" s="6" cm="1">
        <f t="array" ref="V121">_xlfn.IFS(B121="","",AND(B121&lt;&gt;"",H121=SF_Output!$Y$2,SUMIFS(SF_Output!$T$1:$T$400,SF_Output!$AC$1:$AC$400,_xlfn.TEXTJOIN(",",TRUE,B121:E121),SF_Output!$Q$1:$Q$400,"monthly")=0),(SUMIFS(SF_Output!$F$1:$F$400,SF_Output!$AC$1:$AC$400,_xlfn.TEXTJOIN(",",TRUE,B121:E121),SF_Output!$Q$1:$Q$400,"monthly")+SUMIFS(SF_Output!$G$1:$G$400,SF_Output!$AC$1:$AC$400,_xlfn.TEXTJOIN(",",TRUE,B121:E121),SF_Output!$Q$1:$Q$400,"monthly"))*H121,AND(B121&lt;&gt;"",H121=SF_Output!$Y$2,SUMIFS(SF_Output!$T$1:$T$400,SF_Output!$AC$1:$AC$400,_xlfn.TEXTJOIN(",",TRUE,B121:E121),SF_Output!$Q$1:$Q$400,"monthly")&lt;&gt;0),SUMIFS(SF_Output!$S$1:$S$400,SF_Output!$AC$1:$AC$400,_xlfn.TEXTJOIN(",",TRUE,B121:E121),SF_Output!$Q$1:$Q$400,"monthly"),AND(B121&lt;&gt;"",H121&lt;&gt;SF_Output!$Y$2),SUMIFS(SF_Output!$S$1:$S$400,SF_Output!$AC$1:$AC$400,_xlfn.TEXTJOIN(",",TRUE,B121:E121),SF_Output!$Q$1:$Q$400,"monthly"))</f>
        <v>0</v>
      </c>
      <c r="W121" s="112" t="str" cm="1">
        <f t="array" ref="W121">_xlfn.IFS(OR(B121=0,B121="",V121=0),"",AF121&lt;&gt;"exclusion",MAX($W$9,$W$7,(-(SUMIFS(SF_Output!$T$1:$T$400,SF_Output!$AC$1:$AC$400,_xlfn.TEXTJOIN(",",TRUE,$B121:$E121),SF_Output!$Q$1:$Q$400,"monthly"))/V121)),AF121="exclusion",-(SUMIFS(SF_Output!$T$1:$T$400,SF_Output!$AC$1:$AC$400,_xlfn.TEXTJOIN(",",TRUE,$B121:$E121),SF_Output!$Q$1:$Q$400,"monthly"))/V121)</f>
        <v/>
      </c>
      <c r="X121" s="6" cm="1">
        <f t="array" ref="X121">IFERROR(_xlfn.IFS(V121=0,0,V121="","",W121=0,V121,OR(V121&lt;&gt;0,V121&lt;&gt;""),H121*I121),V121*(1-W121))</f>
        <v>0</v>
      </c>
      <c r="Z121" s="6">
        <f>IFERROR(IF(B121="","",SUMIFS(Billing_Fallout!H:H,Billing_Fallout!N:N,B121)),0)</f>
        <v>0</v>
      </c>
      <c r="AA121" s="6">
        <f t="shared" si="22"/>
        <v>0</v>
      </c>
      <c r="AB121" s="6">
        <f>IFERROR(IF(B121="","",SUMIFS(Billing_Fallout!J:J,Billing_Fallout!N:N,B121)),0)</f>
        <v>0</v>
      </c>
      <c r="AD121" s="6">
        <f t="shared" si="23"/>
        <v>0</v>
      </c>
      <c r="AF121" t="str">
        <f>IFERROR(INDEX(H_Tables!$B$1:$B$1500,MATCH(INDEX(SF_Output!$J$1:$J$400,MATCH(B121,SF_Output!$M$1:$M$400,0)),H_Tables!$A$1:$A$1500,0)),"")</f>
        <v>Exclusion</v>
      </c>
      <c r="AI121" s="119" t="str">
        <f t="shared" si="24"/>
        <v/>
      </c>
      <c r="AJ121" s="121">
        <f>IFERROR(INDEX(SF_Output!AD:AD,MATCH(_xlfn.TEXTJOIN(",",TRUE,B121:E121),SF_Output!AC1:AC400,0)),0.05)</f>
        <v>199</v>
      </c>
      <c r="AK121" t="str">
        <f>IF(SUMIFS(SF_Output!$F$1:$F$400,SF_Output!$AC$1:$AC$400,_xlfn.TEXTJOIN(",",TRUE,B121:E121))+SUMIFS(SF_Output!$G$1:$G$400,SF_Output!$AC$1:$AC$400,_xlfn.TEXTJOIN(",",TRUE,B121:E121))=0,"","PAP")</f>
        <v/>
      </c>
      <c r="AL121" s="35" t="str">
        <f t="shared" si="25"/>
        <v>CPS Dual Interface Cards Fee Schedule JHA Debit Processing,New,Hosted by 3rd Par</v>
      </c>
      <c r="AQ121" s="35"/>
      <c r="AR121" s="35" t="str" cm="1">
        <f t="array" ref="AR121">IFERROR(_xlfn.IFS(AND(E121*1=1,F121="Included"),"Change to Included",AND(E121*1=0,F121="Optional"),"Change to Optional",OR(B121="",F121="replaced"),""),"")</f>
        <v/>
      </c>
      <c r="AS121" s="35" t="str">
        <f t="shared" si="26"/>
        <v/>
      </c>
      <c r="AT121" s="35" t="str">
        <f t="shared" si="27"/>
        <v/>
      </c>
      <c r="AU121" s="35" t="str">
        <f t="shared" si="28"/>
        <v/>
      </c>
      <c r="AV121" s="35" t="str">
        <f t="shared" si="29"/>
        <v/>
      </c>
      <c r="AW121" s="35" t="str">
        <f t="shared" si="30"/>
        <v/>
      </c>
      <c r="AX121" s="35" t="str">
        <f t="shared" si="31"/>
        <v/>
      </c>
      <c r="AY121" s="35" t="str">
        <f t="shared" si="32"/>
        <v/>
      </c>
      <c r="AZ121" s="35" t="str">
        <f t="shared" si="33"/>
        <v/>
      </c>
      <c r="BA121" s="35" t="str">
        <f t="shared" si="34"/>
        <v/>
      </c>
      <c r="BB121" s="35" t="str">
        <f t="shared" si="35"/>
        <v/>
      </c>
      <c r="BC121" s="35"/>
      <c r="BE121" s="35">
        <f ca="1">INDEX(SF_Output!$AA$2:$AA$400,MATCH($B121,SF_Output!$M$2:$M$400,0))</f>
        <v>6</v>
      </c>
      <c r="BF121" s="35">
        <f ca="1">INDEX(SF_Output!$AB$2:$AB$400,MATCH($B121,SF_Output!$M$2:$M$400,0))</f>
        <v>1</v>
      </c>
    </row>
    <row r="122" spans="2:58" x14ac:dyDescent="0.25">
      <c r="B122" t="s">
        <v>2402</v>
      </c>
      <c r="C122" t="s">
        <v>2122</v>
      </c>
      <c r="D122" t="s">
        <v>2207</v>
      </c>
      <c r="E122" t="s">
        <v>2124</v>
      </c>
      <c r="F122" s="116" t="str">
        <f t="shared" si="18"/>
        <v>Included</v>
      </c>
      <c r="G122" t="str">
        <f>IF(B122="","",INDEX(SF_Output!$K$1:$K$400,MATCH(B122,SF_Output!$M$1:$M$400,0)))</f>
        <v>Card Processing Solutions (CPS)</v>
      </c>
      <c r="H122" cm="1">
        <f t="array" ref="H122">_xlfn.IFS(B122="","",(SUMIFS(SF_Output!$F$1:$F$400,SF_Output!$AC$1:$AC$400,_xlfn.TEXTJOIN(",",TRUE,B122:E122))+SUMIFS(SF_Output!$G$1:$G$400,SF_Output!$AC$1:$AC$400,_xlfn.TEXTJOIN(",",TRUE,B122:E122)))&lt;&gt;0,SF_Output!$Y$2,INDEX(SF_Output!$F$1:$F$400,MATCH(_xlfn.TEXTJOIN(",",TRUE,B122:E122),SF_Output!$AC$1:$AC$400,0))=0,INDEX(SF_Output!$R$1:$R$400,MATCH(_xlfn.TEXTJOIN(",",TRUE,B122:E122),SF_Output!$AC$1:$AC$400,0)))</f>
        <v>2</v>
      </c>
      <c r="I122" s="125" t="str">
        <f>IFERROR(IF(AND(H122&gt;1,H122&lt;&gt;""),ROUND(SUMIFS(SF_Output!$S$1:$S$400,SF_Output!$AC$1:$AC$400,_xlfn.TEXTJOIN(",",TRUE,B122:E122),SF_Output!$Q$1:$Q$400,"monthly")*(1-W122)/H122,4),""),"")</f>
        <v/>
      </c>
      <c r="J122" s="6">
        <f>IF(B122="","",SUMIFS(SF_Output!$S$1:$S$400,SF_Output!$AC$1:$AC$400,_xlfn.TEXTJOIN(",",TRUE,B122:E122),SF_Output!$Q$1:$Q$400,"One Time",SF_Output!$L$1:$L$400,"license fee")+SUMIFS(SF_Output!$S$1:$S$400,SF_Output!$AC$1:$AC$400,_xlfn.TEXTJOIN(",",TRUE,B122:E122),SF_Output!$Q$1:$Q$400,"One Time",SF_Output!$L$1:$L$400,"software license")+SUMIFS(SF_Output!$S$1:$S$400,SF_Output!$AC$1:$AC$400,_xlfn.TEXTJOIN(",",TRUE,B122:E122),SF_Output!$Q$1:$Q$400,"One Time",SF_Output!$L$1:$L$400,"hardware"))</f>
        <v>0</v>
      </c>
      <c r="K122" s="112" t="str">
        <f>IF(OR(B122=0,B122="",G122="hardware",J122=0),"",IF(AF122&lt;&gt;"exclusion",MAX(K$9,-((SUMIFS(SF_Output!$T$1:$T$400,SF_Output!$AC$1:$AC$400,_xlfn.TEXTJOIN(",",TRUE,$B122:$E122),SF_Output!$Q$1:$Q$400,"One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license"))/J122)))</f>
        <v/>
      </c>
      <c r="L122" s="6">
        <f t="shared" si="19"/>
        <v>0</v>
      </c>
      <c r="N122" s="6">
        <f>IF(B122="","",SUMIFS(SF_Output!$S$1:$S$400,SF_Output!$AC$1:$AC$400,_xlfn.TEXTJOIN(",",TRUE,B122:E122),SF_Output!$Q$1:$Q$400,"One Time",SF_Output!$L$1:$L$400,"professional service"))</f>
        <v>3000</v>
      </c>
      <c r="O122" s="112">
        <f>IF(OR(B122=0,B122="",N122=0),"",IF(AF122&lt;&gt;"exclusion",MAX(O$9,-(SUMIFS(SF_Output!$T$1:$T$400,SF_Output!$AC$1:$AC$400,_xlfn.TEXTJOIN(",",TRUE,$B122:$E122),SF_Output!$Q$1:$Q$400,"One Time",SF_Output!$L$1:$L$400,"professional service"))/N122),-((SUMIFS(SF_Output!$T$1:$T$400,SF_Output!$AC$1:$AC$400,_xlfn.TEXTJOIN(",",TRUE,$B122:$E122),SF_Output!$Q$1:$Q$400,"One Time",SF_Output!$L$1:$L$400,"professional service")/N122))))</f>
        <v>1</v>
      </c>
      <c r="P122" s="6">
        <f t="shared" si="20"/>
        <v>0</v>
      </c>
      <c r="R122" s="6">
        <f>IF(B122="","",SUMIFS(SF_Output!$S$1:$S$400,SF_Output!$AC$1:$AC$400,_xlfn.TEXTJOIN(",",TRUE,B122:E122),SF_Output!$Q$1:$Q$400,"yearly")+SUMIFS(SF_Output!$S$1:$S$400,SF_Output!$AC$1:$AC$400,_xlfn.TEXTJOIN(",",TRUE,B122:E122),SF_Output!$Q$1:$Q$400,"quarterly")*4)</f>
        <v>0</v>
      </c>
      <c r="S122" s="112" t="str">
        <f>IF(OR(B122=0,B122="",G122="hardware",R122=0),"",IF(AF122&lt;&gt;"exclusion",MAX(S$9,-(SUMIFS(SF_Output!$T$1:$T$400,SF_Output!$AC$1:$AC$400,_xlfn.TEXTJOIN(",",TRUE,$B122:$E122),SF_Output!$Q$1:$Q$400,"yearly"))/R122),-((SUMIFS(SF_Output!$T$1:$T$400,SF_Output!$AC$1:$AC$400,_xlfn.TEXTJOIN(",",TRUE,$B122:$E122),SF_Output!$Q$1:$Q$400,"yearly")/R122))))</f>
        <v/>
      </c>
      <c r="T122" s="6">
        <f t="shared" si="21"/>
        <v>0</v>
      </c>
      <c r="V122" s="6" cm="1">
        <f t="array" ref="V122">_xlfn.IFS(B122="","",AND(B122&lt;&gt;"",H122=SF_Output!$Y$2,SUMIFS(SF_Output!$T$1:$T$400,SF_Output!$AC$1:$AC$400,_xlfn.TEXTJOIN(",",TRUE,B122:E122),SF_Output!$Q$1:$Q$400,"monthly")=0),(SUMIFS(SF_Output!$F$1:$F$400,SF_Output!$AC$1:$AC$400,_xlfn.TEXTJOIN(",",TRUE,B122:E122),SF_Output!$Q$1:$Q$400,"monthly")+SUMIFS(SF_Output!$G$1:$G$400,SF_Output!$AC$1:$AC$400,_xlfn.TEXTJOIN(",",TRUE,B122:E122),SF_Output!$Q$1:$Q$400,"monthly"))*H122,AND(B122&lt;&gt;"",H122=SF_Output!$Y$2,SUMIFS(SF_Output!$T$1:$T$400,SF_Output!$AC$1:$AC$400,_xlfn.TEXTJOIN(",",TRUE,B122:E122),SF_Output!$Q$1:$Q$400,"monthly")&lt;&gt;0),SUMIFS(SF_Output!$S$1:$S$400,SF_Output!$AC$1:$AC$400,_xlfn.TEXTJOIN(",",TRUE,B122:E122),SF_Output!$Q$1:$Q$400,"monthly"),AND(B122&lt;&gt;"",H122&lt;&gt;SF_Output!$Y$2),SUMIFS(SF_Output!$S$1:$S$400,SF_Output!$AC$1:$AC$400,_xlfn.TEXTJOIN(",",TRUE,B122:E122),SF_Output!$Q$1:$Q$400,"monthly"))</f>
        <v>0</v>
      </c>
      <c r="W122" s="112" t="str" cm="1">
        <f t="array" ref="W122">_xlfn.IFS(OR(B122=0,B122="",V122=0),"",AF122&lt;&gt;"exclusion",MAX($W$9,$W$7,(-(SUMIFS(SF_Output!$T$1:$T$400,SF_Output!$AC$1:$AC$400,_xlfn.TEXTJOIN(",",TRUE,$B122:$E122),SF_Output!$Q$1:$Q$400,"monthly"))/V122)),AF122="exclusion",-(SUMIFS(SF_Output!$T$1:$T$400,SF_Output!$AC$1:$AC$400,_xlfn.TEXTJOIN(",",TRUE,$B122:$E122),SF_Output!$Q$1:$Q$400,"monthly"))/V122)</f>
        <v/>
      </c>
      <c r="X122" s="6" cm="1">
        <f t="array" ref="X122">IFERROR(_xlfn.IFS(V122=0,0,V122="","",W122=0,V122,OR(V122&lt;&gt;0,V122&lt;&gt;""),H122*I122),V122*(1-W122))</f>
        <v>0</v>
      </c>
      <c r="Z122" s="6">
        <f>IFERROR(IF(B122="","",SUMIFS(Billing_Fallout!H:H,Billing_Fallout!N:N,B122)),0)</f>
        <v>0</v>
      </c>
      <c r="AA122" s="6">
        <f t="shared" si="22"/>
        <v>0</v>
      </c>
      <c r="AB122" s="6">
        <f>IFERROR(IF(B122="","",SUMIFS(Billing_Fallout!J:J,Billing_Fallout!N:N,B122)),0)</f>
        <v>0</v>
      </c>
      <c r="AD122" s="6">
        <f t="shared" si="23"/>
        <v>0</v>
      </c>
      <c r="AF122" t="str">
        <f>IFERROR(INDEX(H_Tables!$B$1:$B$1500,MATCH(INDEX(SF_Output!$J$1:$J$400,MATCH(B122,SF_Output!$M$1:$M$400,0)),H_Tables!$A$1:$A$1500,0)),"")</f>
        <v>Exclusion</v>
      </c>
      <c r="AI122" s="119" t="str">
        <f t="shared" si="24"/>
        <v/>
      </c>
      <c r="AJ122" s="121">
        <f>IFERROR(INDEX(SF_Output!AD:AD,MATCH(_xlfn.TEXTJOIN(",",TRUE,B122:E122),SF_Output!AC1:AC400,0)),0.05)</f>
        <v>200</v>
      </c>
      <c r="AK122" t="str">
        <f>IF(SUMIFS(SF_Output!$F$1:$F$400,SF_Output!$AC$1:$AC$400,_xlfn.TEXTJOIN(",",TRUE,B122:E122))+SUMIFS(SF_Output!$G$1:$G$400,SF_Output!$AC$1:$AC$400,_xlfn.TEXTJOIN(",",TRUE,B122:E122))=0,"","PAP")</f>
        <v/>
      </c>
      <c r="AL122" s="35" t="str">
        <f t="shared" si="25"/>
        <v>CPS Dual Interface Cards Additional Personalization Vendor BIN(s) JHA Debit Proc</v>
      </c>
      <c r="AQ122" s="35"/>
      <c r="AR122" s="35" t="str" cm="1">
        <f t="array" ref="AR122">IFERROR(_xlfn.IFS(AND(E122*1=1,F122="Included"),"Change to Included",AND(E122*1=0,F122="Optional"),"Change to Optional",OR(B122="",F122="replaced"),""),"")</f>
        <v/>
      </c>
      <c r="AS122" s="35" t="str">
        <f t="shared" si="26"/>
        <v/>
      </c>
      <c r="AT122" s="35" t="str">
        <f t="shared" si="27"/>
        <v/>
      </c>
      <c r="AU122" s="35" t="str">
        <f t="shared" si="28"/>
        <v/>
      </c>
      <c r="AV122" s="35" t="str">
        <f t="shared" si="29"/>
        <v/>
      </c>
      <c r="AW122" s="35" t="str">
        <f t="shared" si="30"/>
        <v/>
      </c>
      <c r="AX122" s="35" t="str">
        <f t="shared" si="31"/>
        <v/>
      </c>
      <c r="AY122" s="35" t="str">
        <f t="shared" si="32"/>
        <v/>
      </c>
      <c r="AZ122" s="35" t="str">
        <f t="shared" si="33"/>
        <v/>
      </c>
      <c r="BA122" s="35" t="str">
        <f t="shared" si="34"/>
        <v/>
      </c>
      <c r="BB122" s="35" t="str">
        <f t="shared" si="35"/>
        <v/>
      </c>
      <c r="BC122" s="35"/>
      <c r="BE122" s="35">
        <f ca="1">INDEX(SF_Output!$AA$2:$AA$400,MATCH($B122,SF_Output!$M$2:$M$400,0))</f>
        <v>6</v>
      </c>
      <c r="BF122" s="35">
        <f ca="1">INDEX(SF_Output!$AB$2:$AB$400,MATCH($B122,SF_Output!$M$2:$M$400,0))</f>
        <v>1</v>
      </c>
    </row>
    <row r="123" spans="2:58" x14ac:dyDescent="0.25">
      <c r="B123" t="s">
        <v>2473</v>
      </c>
      <c r="C123" t="s">
        <v>2122</v>
      </c>
      <c r="D123" t="s">
        <v>2207</v>
      </c>
      <c r="E123" t="s">
        <v>2124</v>
      </c>
      <c r="F123" s="116" t="str">
        <f t="shared" si="18"/>
        <v>Included</v>
      </c>
      <c r="G123" t="str">
        <f>IF(B123="","",INDEX(SF_Output!$K$1:$K$400,MATCH(B123,SF_Output!$M$1:$M$400,0)))</f>
        <v>Card Processing Solutions (CPS)</v>
      </c>
      <c r="H123" cm="1">
        <f t="array" ref="H123">_xlfn.IFS(B123="","",(SUMIFS(SF_Output!$F$1:$F$400,SF_Output!$AC$1:$AC$400,_xlfn.TEXTJOIN(",",TRUE,B123:E123))+SUMIFS(SF_Output!$G$1:$G$400,SF_Output!$AC$1:$AC$400,_xlfn.TEXTJOIN(",",TRUE,B123:E123)))&lt;&gt;0,SF_Output!$Y$2,INDEX(SF_Output!$F$1:$F$400,MATCH(_xlfn.TEXTJOIN(",",TRUE,B123:E123),SF_Output!$AC$1:$AC$400,0))=0,INDEX(SF_Output!$R$1:$R$400,MATCH(_xlfn.TEXTJOIN(",",TRUE,B123:E123),SF_Output!$AC$1:$AC$400,0)))</f>
        <v>1</v>
      </c>
      <c r="I123" s="125" t="str">
        <f>IFERROR(IF(AND(H123&gt;1,H123&lt;&gt;""),ROUND(SUMIFS(SF_Output!$S$1:$S$400,SF_Output!$AC$1:$AC$400,_xlfn.TEXTJOIN(",",TRUE,B123:E123),SF_Output!$Q$1:$Q$400,"monthly")*(1-W123)/H123,4),""),"")</f>
        <v/>
      </c>
      <c r="J123" s="6">
        <f>IF(B123="","",SUMIFS(SF_Output!$S$1:$S$400,SF_Output!$AC$1:$AC$400,_xlfn.TEXTJOIN(",",TRUE,B123:E123),SF_Output!$Q$1:$Q$400,"One Time",SF_Output!$L$1:$L$400,"license fee")+SUMIFS(SF_Output!$S$1:$S$400,SF_Output!$AC$1:$AC$400,_xlfn.TEXTJOIN(",",TRUE,B123:E123),SF_Output!$Q$1:$Q$400,"One Time",SF_Output!$L$1:$L$400,"software license")+SUMIFS(SF_Output!$S$1:$S$400,SF_Output!$AC$1:$AC$400,_xlfn.TEXTJOIN(",",TRUE,B123:E123),SF_Output!$Q$1:$Q$400,"One Time",SF_Output!$L$1:$L$400,"hardware"))</f>
        <v>0</v>
      </c>
      <c r="K123" s="112" t="str">
        <f>IF(OR(B123=0,B123="",G123="hardware",J123=0),"",IF(AF123&lt;&gt;"exclusion",MAX(K$9,-((SUMIFS(SF_Output!$T$1:$T$400,SF_Output!$AC$1:$AC$400,_xlfn.TEXTJOIN(",",TRUE,$B123:$E123),SF_Output!$Q$1:$Q$400,"One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license"))/J123)))</f>
        <v/>
      </c>
      <c r="L123" s="6">
        <f t="shared" si="19"/>
        <v>0</v>
      </c>
      <c r="N123" s="6">
        <f>IF(B123="","",SUMIFS(SF_Output!$S$1:$S$400,SF_Output!$AC$1:$AC$400,_xlfn.TEXTJOIN(",",TRUE,B123:E123),SF_Output!$Q$1:$Q$400,"One Time",SF_Output!$L$1:$L$400,"professional service"))</f>
        <v>5500</v>
      </c>
      <c r="O123" s="112">
        <f>IF(OR(B123=0,B123="",N123=0),"",IF(AF123&lt;&gt;"exclusion",MAX(O$9,-(SUMIFS(SF_Output!$T$1:$T$400,SF_Output!$AC$1:$AC$400,_xlfn.TEXTJOIN(",",TRUE,$B123:$E123),SF_Output!$Q$1:$Q$400,"One Time",SF_Output!$L$1:$L$400,"professional service"))/N123),-((SUMIFS(SF_Output!$T$1:$T$400,SF_Output!$AC$1:$AC$400,_xlfn.TEXTJOIN(",",TRUE,$B123:$E123),SF_Output!$Q$1:$Q$400,"One Time",SF_Output!$L$1:$L$400,"professional service")/N123))))</f>
        <v>1</v>
      </c>
      <c r="P123" s="6">
        <f t="shared" si="20"/>
        <v>0</v>
      </c>
      <c r="R123" s="6">
        <f>IF(B123="","",SUMIFS(SF_Output!$S$1:$S$400,SF_Output!$AC$1:$AC$400,_xlfn.TEXTJOIN(",",TRUE,B123:E123),SF_Output!$Q$1:$Q$400,"yearly")+SUMIFS(SF_Output!$S$1:$S$400,SF_Output!$AC$1:$AC$400,_xlfn.TEXTJOIN(",",TRUE,B123:E123),SF_Output!$Q$1:$Q$400,"quarterly")*4)</f>
        <v>0</v>
      </c>
      <c r="S123" s="112" t="str">
        <f>IF(OR(B123=0,B123="",G123="hardware",R123=0),"",IF(AF123&lt;&gt;"exclusion",MAX(S$9,-(SUMIFS(SF_Output!$T$1:$T$400,SF_Output!$AC$1:$AC$400,_xlfn.TEXTJOIN(",",TRUE,$B123:$E123),SF_Output!$Q$1:$Q$400,"yearly"))/R123),-((SUMIFS(SF_Output!$T$1:$T$400,SF_Output!$AC$1:$AC$400,_xlfn.TEXTJOIN(",",TRUE,$B123:$E123),SF_Output!$Q$1:$Q$400,"yearly")/R123))))</f>
        <v/>
      </c>
      <c r="T123" s="6">
        <f t="shared" si="21"/>
        <v>0</v>
      </c>
      <c r="V123" s="6" cm="1">
        <f t="array" ref="V123">_xlfn.IFS(B123="","",AND(B123&lt;&gt;"",H123=SF_Output!$Y$2,SUMIFS(SF_Output!$T$1:$T$400,SF_Output!$AC$1:$AC$400,_xlfn.TEXTJOIN(",",TRUE,B123:E123),SF_Output!$Q$1:$Q$400,"monthly")=0),(SUMIFS(SF_Output!$F$1:$F$400,SF_Output!$AC$1:$AC$400,_xlfn.TEXTJOIN(",",TRUE,B123:E123),SF_Output!$Q$1:$Q$400,"monthly")+SUMIFS(SF_Output!$G$1:$G$400,SF_Output!$AC$1:$AC$400,_xlfn.TEXTJOIN(",",TRUE,B123:E123),SF_Output!$Q$1:$Q$400,"monthly"))*H123,AND(B123&lt;&gt;"",H123=SF_Output!$Y$2,SUMIFS(SF_Output!$T$1:$T$400,SF_Output!$AC$1:$AC$400,_xlfn.TEXTJOIN(",",TRUE,B123:E123),SF_Output!$Q$1:$Q$400,"monthly")&lt;&gt;0),SUMIFS(SF_Output!$S$1:$S$400,SF_Output!$AC$1:$AC$400,_xlfn.TEXTJOIN(",",TRUE,B123:E123),SF_Output!$Q$1:$Q$400,"monthly"),AND(B123&lt;&gt;"",H123&lt;&gt;SF_Output!$Y$2),SUMIFS(SF_Output!$S$1:$S$400,SF_Output!$AC$1:$AC$400,_xlfn.TEXTJOIN(",",TRUE,B123:E123),SF_Output!$Q$1:$Q$400,"monthly"))</f>
        <v>405</v>
      </c>
      <c r="W123" s="112" cm="1">
        <f t="array" ref="W123">_xlfn.IFS(OR(B123=0,B123="",V123=0),"",AF123&lt;&gt;"exclusion",MAX($W$9,$W$7,(-(SUMIFS(SF_Output!$T$1:$T$400,SF_Output!$AC$1:$AC$400,_xlfn.TEXTJOIN(",",TRUE,$B123:$E123),SF_Output!$Q$1:$Q$400,"monthly"))/V123)),AF123="exclusion",-(SUMIFS(SF_Output!$T$1:$T$400,SF_Output!$AC$1:$AC$400,_xlfn.TEXTJOIN(",",TRUE,$B123:$E123),SF_Output!$Q$1:$Q$400,"monthly"))/V123)</f>
        <v>0</v>
      </c>
      <c r="X123" s="6" cm="1">
        <f t="array" ref="X123">IFERROR(_xlfn.IFS(V123=0,0,V123="","",W123=0,V123,OR(V123&lt;&gt;0,V123&lt;&gt;""),H123*I123),V123*(1-W123))</f>
        <v>405</v>
      </c>
      <c r="Z123" s="6">
        <f>IFERROR(IF(B123="","",SUMIFS(Billing_Fallout!H:H,Billing_Fallout!N:N,B123)),0)</f>
        <v>0</v>
      </c>
      <c r="AA123" s="6">
        <f t="shared" si="22"/>
        <v>0</v>
      </c>
      <c r="AB123" s="6">
        <f>IFERROR(IF(B123="","",SUMIFS(Billing_Fallout!J:J,Billing_Fallout!N:N,B123)),0)</f>
        <v>0</v>
      </c>
      <c r="AD123" s="6">
        <f t="shared" si="23"/>
        <v>405</v>
      </c>
      <c r="AF123" t="str">
        <f>IFERROR(INDEX(H_Tables!$B$1:$B$1500,MATCH(INDEX(SF_Output!$J$1:$J$400,MATCH(B123,SF_Output!$M$1:$M$400,0)),H_Tables!$A$1:$A$1500,0)),"")</f>
        <v>Exclusion</v>
      </c>
      <c r="AI123" s="119" t="str">
        <f t="shared" si="24"/>
        <v/>
      </c>
      <c r="AJ123" s="121">
        <f>IFERROR(INDEX(SF_Output!AD:AD,MATCH(_xlfn.TEXTJOIN(",",TRUE,B123:E123),SF_Output!AC1:AC400,0)),0.05)</f>
        <v>201</v>
      </c>
      <c r="AK123" t="str">
        <f>IF(SUMIFS(SF_Output!$F$1:$F$400,SF_Output!$AC$1:$AC$400,_xlfn.TEXTJOIN(",",TRUE,B123:E123))+SUMIFS(SF_Output!$G$1:$G$400,SF_Output!$AC$1:$AC$400,_xlfn.TEXTJOIN(",",TRUE,B123:E123))=0,"","PAP")</f>
        <v/>
      </c>
      <c r="AL123" s="35" t="str">
        <f t="shared" si="25"/>
        <v>Online ATM &amp; Debit Authorization to CPS Switch Includes 7,000 ATM Transactions p</v>
      </c>
      <c r="AQ123" s="35"/>
      <c r="AR123" s="35" t="str" cm="1">
        <f t="array" ref="AR123">IFERROR(_xlfn.IFS(AND(E123*1=1,F123="Included"),"Change to Included",AND(E123*1=0,F123="Optional"),"Change to Optional",OR(B123="",F123="replaced"),""),"")</f>
        <v/>
      </c>
      <c r="AS123" s="35" t="str">
        <f t="shared" si="26"/>
        <v/>
      </c>
      <c r="AT123" s="35" t="str">
        <f t="shared" si="27"/>
        <v/>
      </c>
      <c r="AU123" s="35" t="str">
        <f t="shared" si="28"/>
        <v/>
      </c>
      <c r="AV123" s="35" t="str">
        <f t="shared" si="29"/>
        <v/>
      </c>
      <c r="AW123" s="35" t="str">
        <f t="shared" si="30"/>
        <v/>
      </c>
      <c r="AX123" s="35" t="str">
        <f t="shared" si="31"/>
        <v/>
      </c>
      <c r="AY123" s="35" t="str">
        <f t="shared" si="32"/>
        <v/>
      </c>
      <c r="AZ123" s="35" t="str">
        <f t="shared" si="33"/>
        <v/>
      </c>
      <c r="BA123" s="35" t="str">
        <f t="shared" si="34"/>
        <v/>
      </c>
      <c r="BB123" s="35" t="str">
        <f t="shared" si="35"/>
        <v/>
      </c>
      <c r="BC123" s="35"/>
      <c r="BE123" s="35">
        <f ca="1">INDEX(SF_Output!$AA$2:$AA$400,MATCH($B123,SF_Output!$M$2:$M$400,0))</f>
        <v>6</v>
      </c>
      <c r="BF123" s="35">
        <f ca="1">INDEX(SF_Output!$AB$2:$AB$400,MATCH($B123,SF_Output!$M$2:$M$400,0))</f>
        <v>1</v>
      </c>
    </row>
    <row r="124" spans="2:58" x14ac:dyDescent="0.25">
      <c r="B124" t="s">
        <v>2406</v>
      </c>
      <c r="C124" t="s">
        <v>2122</v>
      </c>
      <c r="D124" t="s">
        <v>2207</v>
      </c>
      <c r="E124" t="s">
        <v>2124</v>
      </c>
      <c r="F124" s="116" t="str">
        <f t="shared" si="18"/>
        <v>Included</v>
      </c>
      <c r="G124" t="str">
        <f>IF(B124="","",INDEX(SF_Output!$K$1:$K$400,MATCH(B124,SF_Output!$M$1:$M$400,0)))</f>
        <v>Card Processing Solutions (CPS)</v>
      </c>
      <c r="H124" cm="1">
        <f t="array" ref="H124">_xlfn.IFS(B124="","",(SUMIFS(SF_Output!$F$1:$F$400,SF_Output!$AC$1:$AC$400,_xlfn.TEXTJOIN(",",TRUE,B124:E124))+SUMIFS(SF_Output!$G$1:$G$400,SF_Output!$AC$1:$AC$400,_xlfn.TEXTJOIN(",",TRUE,B124:E124)))&lt;&gt;0,SF_Output!$Y$2,INDEX(SF_Output!$F$1:$F$400,MATCH(_xlfn.TEXTJOIN(",",TRUE,B124:E124),SF_Output!$AC$1:$AC$400,0))=0,INDEX(SF_Output!$R$1:$R$400,MATCH(_xlfn.TEXTJOIN(",",TRUE,B124:E124),SF_Output!$AC$1:$AC$400,0)))</f>
        <v>0</v>
      </c>
      <c r="I124" s="125" t="str">
        <f>IFERROR(IF(AND(H124&gt;1,H124&lt;&gt;""),ROUND(SUMIFS(SF_Output!$S$1:$S$400,SF_Output!$AC$1:$AC$400,_xlfn.TEXTJOIN(",",TRUE,B124:E124),SF_Output!$Q$1:$Q$400,"monthly")*(1-W124)/H124,4),""),"")</f>
        <v/>
      </c>
      <c r="J124" s="6">
        <f>IF(B124="","",SUMIFS(SF_Output!$S$1:$S$400,SF_Output!$AC$1:$AC$400,_xlfn.TEXTJOIN(",",TRUE,B124:E124),SF_Output!$Q$1:$Q$400,"One Time",SF_Output!$L$1:$L$400,"license fee")+SUMIFS(SF_Output!$S$1:$S$400,SF_Output!$AC$1:$AC$400,_xlfn.TEXTJOIN(",",TRUE,B124:E124),SF_Output!$Q$1:$Q$400,"One Time",SF_Output!$L$1:$L$400,"software license")+SUMIFS(SF_Output!$S$1:$S$400,SF_Output!$AC$1:$AC$400,_xlfn.TEXTJOIN(",",TRUE,B124:E124),SF_Output!$Q$1:$Q$400,"One Time",SF_Output!$L$1:$L$400,"hardware"))</f>
        <v>0</v>
      </c>
      <c r="K124" s="112" t="str">
        <f>IF(OR(B124=0,B124="",G124="hardware",J124=0),"",IF(AF124&lt;&gt;"exclusion",MAX(K$9,-((SUMIFS(SF_Output!$T$1:$T$400,SF_Output!$AC$1:$AC$400,_xlfn.TEXTJOIN(",",TRUE,$B124:$E124),SF_Output!$Q$1:$Q$400,"One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license"))/J124)))</f>
        <v/>
      </c>
      <c r="L124" s="6">
        <f t="shared" si="19"/>
        <v>0</v>
      </c>
      <c r="N124" s="6">
        <f>IF(B124="","",SUMIFS(SF_Output!$S$1:$S$400,SF_Output!$AC$1:$AC$400,_xlfn.TEXTJOIN(",",TRUE,B124:E124),SF_Output!$Q$1:$Q$400,"One Time",SF_Output!$L$1:$L$400,"professional service"))</f>
        <v>0</v>
      </c>
      <c r="O124" s="112" t="str">
        <f>IF(OR(B124=0,B124="",N124=0),"",IF(AF124&lt;&gt;"exclusion",MAX(O$9,-(SUMIFS(SF_Output!$T$1:$T$400,SF_Output!$AC$1:$AC$400,_xlfn.TEXTJOIN(",",TRUE,$B124:$E124),SF_Output!$Q$1:$Q$400,"One Time",SF_Output!$L$1:$L$400,"professional service"))/N124),-((SUMIFS(SF_Output!$T$1:$T$400,SF_Output!$AC$1:$AC$400,_xlfn.TEXTJOIN(",",TRUE,$B124:$E124),SF_Output!$Q$1:$Q$400,"One Time",SF_Output!$L$1:$L$400,"professional service")/N124))))</f>
        <v/>
      </c>
      <c r="P124" s="6">
        <f t="shared" si="20"/>
        <v>0</v>
      </c>
      <c r="R124" s="6">
        <f>IF(B124="","",SUMIFS(SF_Output!$S$1:$S$400,SF_Output!$AC$1:$AC$400,_xlfn.TEXTJOIN(",",TRUE,B124:E124),SF_Output!$Q$1:$Q$400,"yearly")+SUMIFS(SF_Output!$S$1:$S$400,SF_Output!$AC$1:$AC$400,_xlfn.TEXTJOIN(",",TRUE,B124:E124),SF_Output!$Q$1:$Q$400,"quarterly")*4)</f>
        <v>0</v>
      </c>
      <c r="S124" s="112" t="str">
        <f>IF(OR(B124=0,B124="",G124="hardware",R124=0),"",IF(AF124&lt;&gt;"exclusion",MAX(S$9,-(SUMIFS(SF_Output!$T$1:$T$400,SF_Output!$AC$1:$AC$400,_xlfn.TEXTJOIN(",",TRUE,$B124:$E124),SF_Output!$Q$1:$Q$400,"yearly"))/R124),-((SUMIFS(SF_Output!$T$1:$T$400,SF_Output!$AC$1:$AC$400,_xlfn.TEXTJOIN(",",TRUE,$B124:$E124),SF_Output!$Q$1:$Q$400,"yearly")/R124))))</f>
        <v/>
      </c>
      <c r="T124" s="6">
        <f t="shared" si="21"/>
        <v>0</v>
      </c>
      <c r="V124" s="6" cm="1">
        <f t="array" ref="V124">_xlfn.IFS(B124="","",AND(B124&lt;&gt;"",H124=SF_Output!$Y$2,SUMIFS(SF_Output!$T$1:$T$400,SF_Output!$AC$1:$AC$400,_xlfn.TEXTJOIN(",",TRUE,B124:E124),SF_Output!$Q$1:$Q$400,"monthly")=0),(SUMIFS(SF_Output!$F$1:$F$400,SF_Output!$AC$1:$AC$400,_xlfn.TEXTJOIN(",",TRUE,B124:E124),SF_Output!$Q$1:$Q$400,"monthly")+SUMIFS(SF_Output!$G$1:$G$400,SF_Output!$AC$1:$AC$400,_xlfn.TEXTJOIN(",",TRUE,B124:E124),SF_Output!$Q$1:$Q$400,"monthly"))*H124,AND(B124&lt;&gt;"",H124=SF_Output!$Y$2,SUMIFS(SF_Output!$T$1:$T$400,SF_Output!$AC$1:$AC$400,_xlfn.TEXTJOIN(",",TRUE,B124:E124),SF_Output!$Q$1:$Q$400,"monthly")&lt;&gt;0),SUMIFS(SF_Output!$S$1:$S$400,SF_Output!$AC$1:$AC$400,_xlfn.TEXTJOIN(",",TRUE,B124:E124),SF_Output!$Q$1:$Q$400,"monthly"),AND(B124&lt;&gt;"",H124&lt;&gt;SF_Output!$Y$2),SUMIFS(SF_Output!$S$1:$S$400,SF_Output!$AC$1:$AC$400,_xlfn.TEXTJOIN(",",TRUE,B124:E124),SF_Output!$Q$1:$Q$400,"monthly"))</f>
        <v>0</v>
      </c>
      <c r="W124" s="112" t="str" cm="1">
        <f t="array" ref="W124">_xlfn.IFS(OR(B124=0,B124="",V124=0),"",AF124&lt;&gt;"exclusion",MAX($W$9,$W$7,(-(SUMIFS(SF_Output!$T$1:$T$400,SF_Output!$AC$1:$AC$400,_xlfn.TEXTJOIN(",",TRUE,$B124:$E124),SF_Output!$Q$1:$Q$400,"monthly"))/V124)),AF124="exclusion",-(SUMIFS(SF_Output!$T$1:$T$400,SF_Output!$AC$1:$AC$400,_xlfn.TEXTJOIN(",",TRUE,$B124:$E124),SF_Output!$Q$1:$Q$400,"monthly"))/V124)</f>
        <v/>
      </c>
      <c r="X124" s="6" cm="1">
        <f t="array" ref="X124">IFERROR(_xlfn.IFS(V124=0,0,V124="","",W124=0,V124,OR(V124&lt;&gt;0,V124&lt;&gt;""),H124*I124),V124*(1-W124))</f>
        <v>0</v>
      </c>
      <c r="Z124" s="6">
        <f>IFERROR(IF(B124="","",SUMIFS(Billing_Fallout!H:H,Billing_Fallout!N:N,B124)),0)</f>
        <v>0</v>
      </c>
      <c r="AA124" s="6">
        <f t="shared" si="22"/>
        <v>0</v>
      </c>
      <c r="AB124" s="6">
        <f>IFERROR(IF(B124="","",SUMIFS(Billing_Fallout!J:J,Billing_Fallout!N:N,B124)),0)</f>
        <v>0</v>
      </c>
      <c r="AD124" s="6">
        <f t="shared" si="23"/>
        <v>0</v>
      </c>
      <c r="AF124" t="str">
        <f>IFERROR(INDEX(H_Tables!$B$1:$B$1500,MATCH(INDEX(SF_Output!$J$1:$J$400,MATCH(B124,SF_Output!$M$1:$M$400,0)),H_Tables!$A$1:$A$1500,0)),"")</f>
        <v>Exclusion</v>
      </c>
      <c r="AI124" s="119" t="str">
        <f t="shared" si="24"/>
        <v/>
      </c>
      <c r="AJ124" s="121">
        <f>IFERROR(INDEX(SF_Output!AD:AD,MATCH(_xlfn.TEXTJOIN(",",TRUE,B124:E124),SF_Output!AC1:AC400,0)),0.05)</f>
        <v>203</v>
      </c>
      <c r="AK124" t="str">
        <f>IF(SUMIFS(SF_Output!$F$1:$F$400,SF_Output!$AC$1:$AC$400,_xlfn.TEXTJOIN(",",TRUE,B124:E124))+SUMIFS(SF_Output!$G$1:$G$400,SF_Output!$AC$1:$AC$400,_xlfn.TEXTJOIN(",",TRUE,B124:E124))=0,"","PAP")</f>
        <v/>
      </c>
      <c r="AL124" s="35" t="str">
        <f t="shared" si="25"/>
        <v>Online ATM Authorizations (to CPS) JHA Debit Processing,New,Hosted by 3rd Party,</v>
      </c>
      <c r="AQ124" s="35"/>
      <c r="AR124" s="35" t="str" cm="1">
        <f t="array" ref="AR124">IFERROR(_xlfn.IFS(AND(E124*1=1,F124="Included"),"Change to Included",AND(E124*1=0,F124="Optional"),"Change to Optional",OR(B124="",F124="replaced"),""),"")</f>
        <v/>
      </c>
      <c r="AS124" s="35" t="str">
        <f t="shared" si="26"/>
        <v/>
      </c>
      <c r="AT124" s="35" t="str">
        <f t="shared" si="27"/>
        <v/>
      </c>
      <c r="AU124" s="35" t="str">
        <f t="shared" si="28"/>
        <v/>
      </c>
      <c r="AV124" s="35" t="str">
        <f t="shared" si="29"/>
        <v/>
      </c>
      <c r="AW124" s="35" t="str">
        <f t="shared" si="30"/>
        <v/>
      </c>
      <c r="AX124" s="35" t="str">
        <f t="shared" si="31"/>
        <v/>
      </c>
      <c r="AY124" s="35" t="str">
        <f t="shared" si="32"/>
        <v/>
      </c>
      <c r="AZ124" s="35" t="str">
        <f t="shared" si="33"/>
        <v/>
      </c>
      <c r="BA124" s="35" t="str">
        <f t="shared" si="34"/>
        <v/>
      </c>
      <c r="BB124" s="35" t="str">
        <f t="shared" si="35"/>
        <v/>
      </c>
      <c r="BC124" s="35"/>
      <c r="BE124" s="35">
        <f ca="1">INDEX(SF_Output!$AA$2:$AA$400,MATCH($B124,SF_Output!$M$2:$M$400,0))</f>
        <v>6</v>
      </c>
      <c r="BF124" s="35">
        <f ca="1">INDEX(SF_Output!$AB$2:$AB$400,MATCH($B124,SF_Output!$M$2:$M$400,0))</f>
        <v>1</v>
      </c>
    </row>
    <row r="125" spans="2:58" x14ac:dyDescent="0.25">
      <c r="B125" t="s">
        <v>2408</v>
      </c>
      <c r="C125" t="s">
        <v>2122</v>
      </c>
      <c r="D125" t="s">
        <v>2207</v>
      </c>
      <c r="E125" t="s">
        <v>2124</v>
      </c>
      <c r="F125" s="116" t="str">
        <f t="shared" si="18"/>
        <v>Included</v>
      </c>
      <c r="G125" t="str">
        <f>IF(B125="","",INDEX(SF_Output!$K$1:$K$400,MATCH(B125,SF_Output!$M$1:$M$400,0)))</f>
        <v>Card Processing Solutions (CPS)</v>
      </c>
      <c r="H125" cm="1">
        <f t="array" ref="H125">_xlfn.IFS(B125="","",(SUMIFS(SF_Output!$F$1:$F$400,SF_Output!$AC$1:$AC$400,_xlfn.TEXTJOIN(",",TRUE,B125:E125))+SUMIFS(SF_Output!$G$1:$G$400,SF_Output!$AC$1:$AC$400,_xlfn.TEXTJOIN(",",TRUE,B125:E125)))&lt;&gt;0,SF_Output!$Y$2,INDEX(SF_Output!$F$1:$F$400,MATCH(_xlfn.TEXTJOIN(",",TRUE,B125:E125),SF_Output!$AC$1:$AC$400,0))=0,INDEX(SF_Output!$R$1:$R$400,MATCH(_xlfn.TEXTJOIN(",",TRUE,B125:E125),SF_Output!$AC$1:$AC$400,0)))</f>
        <v>0</v>
      </c>
      <c r="I125" s="125" t="str">
        <f>IFERROR(IF(AND(H125&gt;1,H125&lt;&gt;""),ROUND(SUMIFS(SF_Output!$S$1:$S$400,SF_Output!$AC$1:$AC$400,_xlfn.TEXTJOIN(",",TRUE,B125:E125),SF_Output!$Q$1:$Q$400,"monthly")*(1-W125)/H125,4),""),"")</f>
        <v/>
      </c>
      <c r="J125" s="6">
        <f>IF(B125="","",SUMIFS(SF_Output!$S$1:$S$400,SF_Output!$AC$1:$AC$400,_xlfn.TEXTJOIN(",",TRUE,B125:E125),SF_Output!$Q$1:$Q$400,"One Time",SF_Output!$L$1:$L$400,"license fee")+SUMIFS(SF_Output!$S$1:$S$400,SF_Output!$AC$1:$AC$400,_xlfn.TEXTJOIN(",",TRUE,B125:E125),SF_Output!$Q$1:$Q$400,"One Time",SF_Output!$L$1:$L$400,"software license")+SUMIFS(SF_Output!$S$1:$S$400,SF_Output!$AC$1:$AC$400,_xlfn.TEXTJOIN(",",TRUE,B125:E125),SF_Output!$Q$1:$Q$400,"One Time",SF_Output!$L$1:$L$400,"hardware"))</f>
        <v>0</v>
      </c>
      <c r="K125" s="112" t="str">
        <f>IF(OR(B125=0,B125="",G125="hardware",J125=0),"",IF(AF125&lt;&gt;"exclusion",MAX(K$9,-((SUMIFS(SF_Output!$T$1:$T$400,SF_Output!$AC$1:$AC$400,_xlfn.TEXTJOIN(",",TRUE,$B125:$E125),SF_Output!$Q$1:$Q$400,"One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license"))/J125)))</f>
        <v/>
      </c>
      <c r="L125" s="6">
        <f t="shared" si="19"/>
        <v>0</v>
      </c>
      <c r="N125" s="6">
        <f>IF(B125="","",SUMIFS(SF_Output!$S$1:$S$400,SF_Output!$AC$1:$AC$400,_xlfn.TEXTJOIN(",",TRUE,B125:E125),SF_Output!$Q$1:$Q$400,"One Time",SF_Output!$L$1:$L$400,"professional service"))</f>
        <v>0</v>
      </c>
      <c r="O125" s="112" t="str">
        <f>IF(OR(B125=0,B125="",N125=0),"",IF(AF125&lt;&gt;"exclusion",MAX(O$9,-(SUMIFS(SF_Output!$T$1:$T$400,SF_Output!$AC$1:$AC$400,_xlfn.TEXTJOIN(",",TRUE,$B125:$E125),SF_Output!$Q$1:$Q$400,"One Time",SF_Output!$L$1:$L$400,"professional service"))/N125),-((SUMIFS(SF_Output!$T$1:$T$400,SF_Output!$AC$1:$AC$400,_xlfn.TEXTJOIN(",",TRUE,$B125:$E125),SF_Output!$Q$1:$Q$400,"One Time",SF_Output!$L$1:$L$400,"professional service")/N125))))</f>
        <v/>
      </c>
      <c r="P125" s="6">
        <f t="shared" si="20"/>
        <v>0</v>
      </c>
      <c r="R125" s="6">
        <f>IF(B125="","",SUMIFS(SF_Output!$S$1:$S$400,SF_Output!$AC$1:$AC$400,_xlfn.TEXTJOIN(",",TRUE,B125:E125),SF_Output!$Q$1:$Q$400,"yearly")+SUMIFS(SF_Output!$S$1:$S$400,SF_Output!$AC$1:$AC$400,_xlfn.TEXTJOIN(",",TRUE,B125:E125),SF_Output!$Q$1:$Q$400,"quarterly")*4)</f>
        <v>0</v>
      </c>
      <c r="S125" s="112" t="str">
        <f>IF(OR(B125=0,B125="",G125="hardware",R125=0),"",IF(AF125&lt;&gt;"exclusion",MAX(S$9,-(SUMIFS(SF_Output!$T$1:$T$400,SF_Output!$AC$1:$AC$400,_xlfn.TEXTJOIN(",",TRUE,$B125:$E125),SF_Output!$Q$1:$Q$400,"yearly"))/R125),-((SUMIFS(SF_Output!$T$1:$T$400,SF_Output!$AC$1:$AC$400,_xlfn.TEXTJOIN(",",TRUE,$B125:$E125),SF_Output!$Q$1:$Q$400,"yearly")/R125))))</f>
        <v/>
      </c>
      <c r="T125" s="6">
        <f t="shared" si="21"/>
        <v>0</v>
      </c>
      <c r="V125" s="6" cm="1">
        <f t="array" ref="V125">_xlfn.IFS(B125="","",AND(B125&lt;&gt;"",H125=SF_Output!$Y$2,SUMIFS(SF_Output!$T$1:$T$400,SF_Output!$AC$1:$AC$400,_xlfn.TEXTJOIN(",",TRUE,B125:E125),SF_Output!$Q$1:$Q$400,"monthly")=0),(SUMIFS(SF_Output!$F$1:$F$400,SF_Output!$AC$1:$AC$400,_xlfn.TEXTJOIN(",",TRUE,B125:E125),SF_Output!$Q$1:$Q$400,"monthly")+SUMIFS(SF_Output!$G$1:$G$400,SF_Output!$AC$1:$AC$400,_xlfn.TEXTJOIN(",",TRUE,B125:E125),SF_Output!$Q$1:$Q$400,"monthly"))*H125,AND(B125&lt;&gt;"",H125=SF_Output!$Y$2,SUMIFS(SF_Output!$T$1:$T$400,SF_Output!$AC$1:$AC$400,_xlfn.TEXTJOIN(",",TRUE,B125:E125),SF_Output!$Q$1:$Q$400,"monthly")&lt;&gt;0),SUMIFS(SF_Output!$S$1:$S$400,SF_Output!$AC$1:$AC$400,_xlfn.TEXTJOIN(",",TRUE,B125:E125),SF_Output!$Q$1:$Q$400,"monthly"),AND(B125&lt;&gt;"",H125&lt;&gt;SF_Output!$Y$2),SUMIFS(SF_Output!$S$1:$S$400,SF_Output!$AC$1:$AC$400,_xlfn.TEXTJOIN(",",TRUE,B125:E125),SF_Output!$Q$1:$Q$400,"monthly"))</f>
        <v>0</v>
      </c>
      <c r="W125" s="112" t="str" cm="1">
        <f t="array" ref="W125">_xlfn.IFS(OR(B125=0,B125="",V125=0),"",AF125&lt;&gt;"exclusion",MAX($W$9,$W$7,(-(SUMIFS(SF_Output!$T$1:$T$400,SF_Output!$AC$1:$AC$400,_xlfn.TEXTJOIN(",",TRUE,$B125:$E125),SF_Output!$Q$1:$Q$400,"monthly"))/V125)),AF125="exclusion",-(SUMIFS(SF_Output!$T$1:$T$400,SF_Output!$AC$1:$AC$400,_xlfn.TEXTJOIN(",",TRUE,$B125:$E125),SF_Output!$Q$1:$Q$400,"monthly"))/V125)</f>
        <v/>
      </c>
      <c r="X125" s="6" cm="1">
        <f t="array" ref="X125">IFERROR(_xlfn.IFS(V125=0,0,V125="","",W125=0,V125,OR(V125&lt;&gt;0,V125&lt;&gt;""),H125*I125),V125*(1-W125))</f>
        <v>0</v>
      </c>
      <c r="Z125" s="6">
        <f>IFERROR(IF(B125="","",SUMIFS(Billing_Fallout!H:H,Billing_Fallout!N:N,B125)),0)</f>
        <v>0</v>
      </c>
      <c r="AA125" s="6">
        <f t="shared" si="22"/>
        <v>0</v>
      </c>
      <c r="AB125" s="6">
        <f>IFERROR(IF(B125="","",SUMIFS(Billing_Fallout!J:J,Billing_Fallout!N:N,B125)),0)</f>
        <v>0</v>
      </c>
      <c r="AD125" s="6">
        <f t="shared" si="23"/>
        <v>0</v>
      </c>
      <c r="AF125" t="str">
        <f>IFERROR(INDEX(H_Tables!$B$1:$B$1500,MATCH(INDEX(SF_Output!$J$1:$J$400,MATCH(B125,SF_Output!$M$1:$M$400,0)),H_Tables!$A$1:$A$1500,0)),"")</f>
        <v>Exclusion</v>
      </c>
      <c r="AI125" s="119" t="str">
        <f t="shared" si="24"/>
        <v/>
      </c>
      <c r="AJ125" s="121">
        <f>IFERROR(INDEX(SF_Output!AD:AD,MATCH(_xlfn.TEXTJOIN(",",TRUE,B125:E125),SF_Output!AC1:AC400,0)),0.05)</f>
        <v>204</v>
      </c>
      <c r="AK125" t="str">
        <f>IF(SUMIFS(SF_Output!$F$1:$F$400,SF_Output!$AC$1:$AC$400,_xlfn.TEXTJOIN(",",TRUE,B125:E125))+SUMIFS(SF_Output!$G$1:$G$400,SF_Output!$AC$1:$AC$400,_xlfn.TEXTJOIN(",",TRUE,B125:E125))=0,"","PAP")</f>
        <v/>
      </c>
      <c r="AL125" s="35" t="str">
        <f t="shared" si="25"/>
        <v>Online Debit Authorizations (to CPS) JHA Debit Processing,New,Hosted by 3rd Part</v>
      </c>
      <c r="AQ125" s="35"/>
      <c r="AR125" s="35" t="str" cm="1">
        <f t="array" ref="AR125">IFERROR(_xlfn.IFS(AND(E125*1=1,F125="Included"),"Change to Included",AND(E125*1=0,F125="Optional"),"Change to Optional",OR(B125="",F125="replaced"),""),"")</f>
        <v/>
      </c>
      <c r="AS125" s="35" t="str">
        <f t="shared" si="26"/>
        <v/>
      </c>
      <c r="AT125" s="35" t="str">
        <f t="shared" si="27"/>
        <v/>
      </c>
      <c r="AU125" s="35" t="str">
        <f t="shared" si="28"/>
        <v/>
      </c>
      <c r="AV125" s="35" t="str">
        <f t="shared" si="29"/>
        <v/>
      </c>
      <c r="AW125" s="35" t="str">
        <f t="shared" si="30"/>
        <v/>
      </c>
      <c r="AX125" s="35" t="str">
        <f t="shared" si="31"/>
        <v/>
      </c>
      <c r="AY125" s="35" t="str">
        <f t="shared" si="32"/>
        <v/>
      </c>
      <c r="AZ125" s="35" t="str">
        <f t="shared" si="33"/>
        <v/>
      </c>
      <c r="BA125" s="35" t="str">
        <f t="shared" si="34"/>
        <v/>
      </c>
      <c r="BB125" s="35" t="str">
        <f t="shared" si="35"/>
        <v/>
      </c>
      <c r="BC125" s="35"/>
      <c r="BE125" s="35">
        <f ca="1">INDEX(SF_Output!$AA$2:$AA$400,MATCH($B125,SF_Output!$M$2:$M$400,0))</f>
        <v>6</v>
      </c>
      <c r="BF125" s="35">
        <f ca="1">INDEX(SF_Output!$AB$2:$AB$400,MATCH($B125,SF_Output!$M$2:$M$400,0))</f>
        <v>1</v>
      </c>
    </row>
    <row r="126" spans="2:58" x14ac:dyDescent="0.25">
      <c r="B126" t="s">
        <v>2410</v>
      </c>
      <c r="C126" t="s">
        <v>2122</v>
      </c>
      <c r="D126" t="s">
        <v>2207</v>
      </c>
      <c r="E126" t="s">
        <v>2124</v>
      </c>
      <c r="F126" s="116" t="str">
        <f t="shared" si="18"/>
        <v>Included</v>
      </c>
      <c r="G126" t="str">
        <f>IF(B126="","",INDEX(SF_Output!$K$1:$K$400,MATCH(B126,SF_Output!$M$1:$M$400,0)))</f>
        <v>Card Processing Solutions (CPS)</v>
      </c>
      <c r="H126" cm="1">
        <f t="array" ref="H126">_xlfn.IFS(B126="","",(SUMIFS(SF_Output!$F$1:$F$400,SF_Output!$AC$1:$AC$400,_xlfn.TEXTJOIN(",",TRUE,B126:E126))+SUMIFS(SF_Output!$G$1:$G$400,SF_Output!$AC$1:$AC$400,_xlfn.TEXTJOIN(",",TRUE,B126:E126)))&lt;&gt;0,SF_Output!$Y$2,INDEX(SF_Output!$F$1:$F$400,MATCH(_xlfn.TEXTJOIN(",",TRUE,B126:E126),SF_Output!$AC$1:$AC$400,0))=0,INDEX(SF_Output!$R$1:$R$400,MATCH(_xlfn.TEXTJOIN(",",TRUE,B126:E126),SF_Output!$AC$1:$AC$400,0)))</f>
        <v>1</v>
      </c>
      <c r="I126" s="125" t="str">
        <f>IFERROR(IF(AND(H126&gt;1,H126&lt;&gt;""),ROUND(SUMIFS(SF_Output!$S$1:$S$400,SF_Output!$AC$1:$AC$400,_xlfn.TEXTJOIN(",",TRUE,B126:E126),SF_Output!$Q$1:$Q$400,"monthly")*(1-W126)/H126,4),""),"")</f>
        <v/>
      </c>
      <c r="J126" s="6">
        <f>IF(B126="","",SUMIFS(SF_Output!$S$1:$S$400,SF_Output!$AC$1:$AC$400,_xlfn.TEXTJOIN(",",TRUE,B126:E126),SF_Output!$Q$1:$Q$400,"One Time",SF_Output!$L$1:$L$400,"license fee")+SUMIFS(SF_Output!$S$1:$S$400,SF_Output!$AC$1:$AC$400,_xlfn.TEXTJOIN(",",TRUE,B126:E126),SF_Output!$Q$1:$Q$400,"One Time",SF_Output!$L$1:$L$400,"software license")+SUMIFS(SF_Output!$S$1:$S$400,SF_Output!$AC$1:$AC$400,_xlfn.TEXTJOIN(",",TRUE,B126:E126),SF_Output!$Q$1:$Q$400,"One Time",SF_Output!$L$1:$L$400,"hardware"))</f>
        <v>0</v>
      </c>
      <c r="K126" s="112" t="str">
        <f>IF(OR(B126=0,B126="",G126="hardware",J126=0),"",IF(AF126&lt;&gt;"exclusion",MAX(K$9,-((SUMIFS(SF_Output!$T$1:$T$400,SF_Output!$AC$1:$AC$400,_xlfn.TEXTJOIN(",",TRUE,$B126:$E126),SF_Output!$Q$1:$Q$400,"One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license"))/J126)))</f>
        <v/>
      </c>
      <c r="L126" s="6">
        <f t="shared" si="19"/>
        <v>0</v>
      </c>
      <c r="N126" s="6">
        <f>IF(B126="","",SUMIFS(SF_Output!$S$1:$S$400,SF_Output!$AC$1:$AC$400,_xlfn.TEXTJOIN(",",TRUE,B126:E126),SF_Output!$Q$1:$Q$400,"One Time",SF_Output!$L$1:$L$400,"professional service"))</f>
        <v>1500</v>
      </c>
      <c r="O126" s="112">
        <f>IF(OR(B126=0,B126="",N126=0),"",IF(AF126&lt;&gt;"exclusion",MAX(O$9,-(SUMIFS(SF_Output!$T$1:$T$400,SF_Output!$AC$1:$AC$400,_xlfn.TEXTJOIN(",",TRUE,$B126:$E126),SF_Output!$Q$1:$Q$400,"One Time",SF_Output!$L$1:$L$400,"professional service"))/N126),-((SUMIFS(SF_Output!$T$1:$T$400,SF_Output!$AC$1:$AC$400,_xlfn.TEXTJOIN(",",TRUE,$B126:$E126),SF_Output!$Q$1:$Q$400,"One Time",SF_Output!$L$1:$L$400,"professional service")/N126))))</f>
        <v>1</v>
      </c>
      <c r="P126" s="6">
        <f t="shared" si="20"/>
        <v>0</v>
      </c>
      <c r="R126" s="6">
        <f>IF(B126="","",SUMIFS(SF_Output!$S$1:$S$400,SF_Output!$AC$1:$AC$400,_xlfn.TEXTJOIN(",",TRUE,B126:E126),SF_Output!$Q$1:$Q$400,"yearly")+SUMIFS(SF_Output!$S$1:$S$400,SF_Output!$AC$1:$AC$400,_xlfn.TEXTJOIN(",",TRUE,B126:E126),SF_Output!$Q$1:$Q$400,"quarterly")*4)</f>
        <v>0</v>
      </c>
      <c r="S126" s="112" t="str">
        <f>IF(OR(B126=0,B126="",G126="hardware",R126=0),"",IF(AF126&lt;&gt;"exclusion",MAX(S$9,-(SUMIFS(SF_Output!$T$1:$T$400,SF_Output!$AC$1:$AC$400,_xlfn.TEXTJOIN(",",TRUE,$B126:$E126),SF_Output!$Q$1:$Q$400,"yearly"))/R126),-((SUMIFS(SF_Output!$T$1:$T$400,SF_Output!$AC$1:$AC$400,_xlfn.TEXTJOIN(",",TRUE,$B126:$E126),SF_Output!$Q$1:$Q$400,"yearly")/R126))))</f>
        <v/>
      </c>
      <c r="T126" s="6">
        <f t="shared" si="21"/>
        <v>0</v>
      </c>
      <c r="V126" s="6" cm="1">
        <f t="array" ref="V126">_xlfn.IFS(B126="","",AND(B126&lt;&gt;"",H126=SF_Output!$Y$2,SUMIFS(SF_Output!$T$1:$T$400,SF_Output!$AC$1:$AC$400,_xlfn.TEXTJOIN(",",TRUE,B126:E126),SF_Output!$Q$1:$Q$400,"monthly")=0),(SUMIFS(SF_Output!$F$1:$F$400,SF_Output!$AC$1:$AC$400,_xlfn.TEXTJOIN(",",TRUE,B126:E126),SF_Output!$Q$1:$Q$400,"monthly")+SUMIFS(SF_Output!$G$1:$G$400,SF_Output!$AC$1:$AC$400,_xlfn.TEXTJOIN(",",TRUE,B126:E126),SF_Output!$Q$1:$Q$400,"monthly"))*H126,AND(B126&lt;&gt;"",H126=SF_Output!$Y$2,SUMIFS(SF_Output!$T$1:$T$400,SF_Output!$AC$1:$AC$400,_xlfn.TEXTJOIN(",",TRUE,B126:E126),SF_Output!$Q$1:$Q$400,"monthly")&lt;&gt;0),SUMIFS(SF_Output!$S$1:$S$400,SF_Output!$AC$1:$AC$400,_xlfn.TEXTJOIN(",",TRUE,B126:E126),SF_Output!$Q$1:$Q$400,"monthly"),AND(B126&lt;&gt;"",H126&lt;&gt;SF_Output!$Y$2),SUMIFS(SF_Output!$S$1:$S$400,SF_Output!$AC$1:$AC$400,_xlfn.TEXTJOIN(",",TRUE,B126:E126),SF_Output!$Q$1:$Q$400,"monthly"))</f>
        <v>150</v>
      </c>
      <c r="W126" s="112" cm="1">
        <f t="array" ref="W126">_xlfn.IFS(OR(B126=0,B126="",V126=0),"",AF126&lt;&gt;"exclusion",MAX($W$9,$W$7,(-(SUMIFS(SF_Output!$T$1:$T$400,SF_Output!$AC$1:$AC$400,_xlfn.TEXTJOIN(",",TRUE,$B126:$E126),SF_Output!$Q$1:$Q$400,"monthly"))/V126)),AF126="exclusion",-(SUMIFS(SF_Output!$T$1:$T$400,SF_Output!$AC$1:$AC$400,_xlfn.TEXTJOIN(",",TRUE,$B126:$E126),SF_Output!$Q$1:$Q$400,"monthly"))/V126)</f>
        <v>1</v>
      </c>
      <c r="X126" s="6" cm="1">
        <f t="array" ref="X126">IFERROR(_xlfn.IFS(V126=0,0,V126="","",W126=0,V126,OR(V126&lt;&gt;0,V126&lt;&gt;""),H126*I126),V126*(1-W126))</f>
        <v>0</v>
      </c>
      <c r="Z126" s="6">
        <f>IFERROR(IF(B126="","",SUMIFS(Billing_Fallout!H:H,Billing_Fallout!N:N,B126)),0)</f>
        <v>0</v>
      </c>
      <c r="AA126" s="6">
        <f t="shared" si="22"/>
        <v>0</v>
      </c>
      <c r="AB126" s="6">
        <f>IFERROR(IF(B126="","",SUMIFS(Billing_Fallout!J:J,Billing_Fallout!N:N,B126)),0)</f>
        <v>0</v>
      </c>
      <c r="AD126" s="6">
        <f t="shared" si="23"/>
        <v>0</v>
      </c>
      <c r="AF126" t="str">
        <f>IFERROR(INDEX(H_Tables!$B$1:$B$1500,MATCH(INDEX(SF_Output!$J$1:$J$400,MATCH(B126,SF_Output!$M$1:$M$400,0)),H_Tables!$A$1:$A$1500,0)),"")</f>
        <v>Exclusion</v>
      </c>
      <c r="AI126" s="119" t="str">
        <f t="shared" si="24"/>
        <v/>
      </c>
      <c r="AJ126" s="121">
        <f>IFERROR(INDEX(SF_Output!AD:AD,MATCH(_xlfn.TEXTJOIN(",",TRUE,B126:E126),SF_Output!AC1:AC400,0)),0.05)</f>
        <v>205</v>
      </c>
      <c r="AK126" t="str">
        <f>IF(SUMIFS(SF_Output!$F$1:$F$400,SF_Output!$AC$1:$AC$400,_xlfn.TEXTJOIN(",",TRUE,B126:E126))+SUMIFS(SF_Output!$G$1:$G$400,SF_Output!$AC$1:$AC$400,_xlfn.TEXTJOIN(",",TRUE,B126:E126))=0,"","PAP")</f>
        <v/>
      </c>
      <c r="AL126" s="35" t="str">
        <f t="shared" si="25"/>
        <v>JHA Card Activation JHA Debit Processing,New,Hosted by 3rd Party,0</v>
      </c>
      <c r="AQ126" s="35"/>
      <c r="AR126" s="35" t="str" cm="1">
        <f t="array" ref="AR126">IFERROR(_xlfn.IFS(AND(E126*1=1,F126="Included"),"Change to Included",AND(E126*1=0,F126="Optional"),"Change to Optional",OR(B126="",F126="replaced"),""),"")</f>
        <v/>
      </c>
      <c r="AS126" s="35" t="str">
        <f t="shared" si="26"/>
        <v/>
      </c>
      <c r="AT126" s="35" t="str">
        <f t="shared" si="27"/>
        <v/>
      </c>
      <c r="AU126" s="35" t="str">
        <f t="shared" si="28"/>
        <v/>
      </c>
      <c r="AV126" s="35" t="str">
        <f t="shared" si="29"/>
        <v/>
      </c>
      <c r="AW126" s="35" t="str">
        <f t="shared" si="30"/>
        <v/>
      </c>
      <c r="AX126" s="35" t="str">
        <f t="shared" si="31"/>
        <v/>
      </c>
      <c r="AY126" s="35" t="str">
        <f t="shared" si="32"/>
        <v/>
      </c>
      <c r="AZ126" s="35" t="str">
        <f t="shared" si="33"/>
        <v/>
      </c>
      <c r="BA126" s="35" t="str">
        <f t="shared" si="34"/>
        <v/>
      </c>
      <c r="BB126" s="35" t="str">
        <f t="shared" si="35"/>
        <v/>
      </c>
      <c r="BC126" s="35"/>
      <c r="BE126" s="35">
        <f ca="1">INDEX(SF_Output!$AA$2:$AA$400,MATCH($B126,SF_Output!$M$2:$M$400,0))</f>
        <v>6</v>
      </c>
      <c r="BF126" s="35">
        <f ca="1">INDEX(SF_Output!$AB$2:$AB$400,MATCH($B126,SF_Output!$M$2:$M$400,0))</f>
        <v>1</v>
      </c>
    </row>
    <row r="127" spans="2:58" x14ac:dyDescent="0.25">
      <c r="B127" t="s">
        <v>2413</v>
      </c>
      <c r="C127" t="s">
        <v>2122</v>
      </c>
      <c r="D127" t="s">
        <v>2207</v>
      </c>
      <c r="E127" t="s">
        <v>2124</v>
      </c>
      <c r="F127" s="116" t="str">
        <f t="shared" si="18"/>
        <v>Included</v>
      </c>
      <c r="G127" t="str">
        <f>IF(B127="","",INDEX(SF_Output!$K$1:$K$400,MATCH(B127,SF_Output!$M$1:$M$400,0)))</f>
        <v>Card Processing Solutions (CPS)</v>
      </c>
      <c r="H127" cm="1">
        <f t="array" ref="H127">_xlfn.IFS(B127="","",(SUMIFS(SF_Output!$F$1:$F$400,SF_Output!$AC$1:$AC$400,_xlfn.TEXTJOIN(",",TRUE,B127:E127))+SUMIFS(SF_Output!$G$1:$G$400,SF_Output!$AC$1:$AC$400,_xlfn.TEXTJOIN(",",TRUE,B127:E127)))&lt;&gt;0,SF_Output!$Y$2,INDEX(SF_Output!$F$1:$F$400,MATCH(_xlfn.TEXTJOIN(",",TRUE,B127:E127),SF_Output!$AC$1:$AC$400,0))=0,INDEX(SF_Output!$R$1:$R$400,MATCH(_xlfn.TEXTJOIN(",",TRUE,B127:E127),SF_Output!$AC$1:$AC$400,0)))</f>
        <v>0</v>
      </c>
      <c r="I127" s="125" t="str">
        <f>IFERROR(IF(AND(H127&gt;1,H127&lt;&gt;""),ROUND(SUMIFS(SF_Output!$S$1:$S$400,SF_Output!$AC$1:$AC$400,_xlfn.TEXTJOIN(",",TRUE,B127:E127),SF_Output!$Q$1:$Q$400,"monthly")*(1-W127)/H127,4),""),"")</f>
        <v/>
      </c>
      <c r="J127" s="6">
        <f>IF(B127="","",SUMIFS(SF_Output!$S$1:$S$400,SF_Output!$AC$1:$AC$400,_xlfn.TEXTJOIN(",",TRUE,B127:E127),SF_Output!$Q$1:$Q$400,"One Time",SF_Output!$L$1:$L$400,"license fee")+SUMIFS(SF_Output!$S$1:$S$400,SF_Output!$AC$1:$AC$400,_xlfn.TEXTJOIN(",",TRUE,B127:E127),SF_Output!$Q$1:$Q$400,"One Time",SF_Output!$L$1:$L$400,"software license")+SUMIFS(SF_Output!$S$1:$S$400,SF_Output!$AC$1:$AC$400,_xlfn.TEXTJOIN(",",TRUE,B127:E127),SF_Output!$Q$1:$Q$400,"One Time",SF_Output!$L$1:$L$400,"hardware"))</f>
        <v>0</v>
      </c>
      <c r="K127" s="112" t="str">
        <f>IF(OR(B127=0,B127="",G127="hardware",J127=0),"",IF(AF127&lt;&gt;"exclusion",MAX(K$9,-((SUMIFS(SF_Output!$T$1:$T$400,SF_Output!$AC$1:$AC$400,_xlfn.TEXTJOIN(",",TRUE,$B127:$E127),SF_Output!$Q$1:$Q$400,"One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license"))/J127)))</f>
        <v/>
      </c>
      <c r="L127" s="6">
        <f t="shared" si="19"/>
        <v>0</v>
      </c>
      <c r="N127" s="6">
        <f>IF(B127="","",SUMIFS(SF_Output!$S$1:$S$400,SF_Output!$AC$1:$AC$400,_xlfn.TEXTJOIN(",",TRUE,B127:E127),SF_Output!$Q$1:$Q$400,"One Time",SF_Output!$L$1:$L$400,"professional service"))</f>
        <v>0</v>
      </c>
      <c r="O127" s="112" t="str">
        <f>IF(OR(B127=0,B127="",N127=0),"",IF(AF127&lt;&gt;"exclusion",MAX(O$9,-(SUMIFS(SF_Output!$T$1:$T$400,SF_Output!$AC$1:$AC$400,_xlfn.TEXTJOIN(",",TRUE,$B127:$E127),SF_Output!$Q$1:$Q$400,"One Time",SF_Output!$L$1:$L$400,"professional service"))/N127),-((SUMIFS(SF_Output!$T$1:$T$400,SF_Output!$AC$1:$AC$400,_xlfn.TEXTJOIN(",",TRUE,$B127:$E127),SF_Output!$Q$1:$Q$400,"One Time",SF_Output!$L$1:$L$400,"professional service")/N127))))</f>
        <v/>
      </c>
      <c r="P127" s="6">
        <f t="shared" si="20"/>
        <v>0</v>
      </c>
      <c r="R127" s="6">
        <f>IF(B127="","",SUMIFS(SF_Output!$S$1:$S$400,SF_Output!$AC$1:$AC$400,_xlfn.TEXTJOIN(",",TRUE,B127:E127),SF_Output!$Q$1:$Q$400,"yearly")+SUMIFS(SF_Output!$S$1:$S$400,SF_Output!$AC$1:$AC$400,_xlfn.TEXTJOIN(",",TRUE,B127:E127),SF_Output!$Q$1:$Q$400,"quarterly")*4)</f>
        <v>0</v>
      </c>
      <c r="S127" s="112" t="str">
        <f>IF(OR(B127=0,B127="",G127="hardware",R127=0),"",IF(AF127&lt;&gt;"exclusion",MAX(S$9,-(SUMIFS(SF_Output!$T$1:$T$400,SF_Output!$AC$1:$AC$400,_xlfn.TEXTJOIN(",",TRUE,$B127:$E127),SF_Output!$Q$1:$Q$400,"yearly"))/R127),-((SUMIFS(SF_Output!$T$1:$T$400,SF_Output!$AC$1:$AC$400,_xlfn.TEXTJOIN(",",TRUE,$B127:$E127),SF_Output!$Q$1:$Q$400,"yearly")/R127))))</f>
        <v/>
      </c>
      <c r="T127" s="6">
        <f t="shared" si="21"/>
        <v>0</v>
      </c>
      <c r="V127" s="6" cm="1">
        <f t="array" ref="V127">_xlfn.IFS(B127="","",AND(B127&lt;&gt;"",H127=SF_Output!$Y$2,SUMIFS(SF_Output!$T$1:$T$400,SF_Output!$AC$1:$AC$400,_xlfn.TEXTJOIN(",",TRUE,B127:E127),SF_Output!$Q$1:$Q$400,"monthly")=0),(SUMIFS(SF_Output!$F$1:$F$400,SF_Output!$AC$1:$AC$400,_xlfn.TEXTJOIN(",",TRUE,B127:E127),SF_Output!$Q$1:$Q$400,"monthly")+SUMIFS(SF_Output!$G$1:$G$400,SF_Output!$AC$1:$AC$400,_xlfn.TEXTJOIN(",",TRUE,B127:E127),SF_Output!$Q$1:$Q$400,"monthly"))*H127,AND(B127&lt;&gt;"",H127=SF_Output!$Y$2,SUMIFS(SF_Output!$T$1:$T$400,SF_Output!$AC$1:$AC$400,_xlfn.TEXTJOIN(",",TRUE,B127:E127),SF_Output!$Q$1:$Q$400,"monthly")&lt;&gt;0),SUMIFS(SF_Output!$S$1:$S$400,SF_Output!$AC$1:$AC$400,_xlfn.TEXTJOIN(",",TRUE,B127:E127),SF_Output!$Q$1:$Q$400,"monthly"),AND(B127&lt;&gt;"",H127&lt;&gt;SF_Output!$Y$2),SUMIFS(SF_Output!$S$1:$S$400,SF_Output!$AC$1:$AC$400,_xlfn.TEXTJOIN(",",TRUE,B127:E127),SF_Output!$Q$1:$Q$400,"monthly"))</f>
        <v>0</v>
      </c>
      <c r="W127" s="112" t="str" cm="1">
        <f t="array" ref="W127">_xlfn.IFS(OR(B127=0,B127="",V127=0),"",AF127&lt;&gt;"exclusion",MAX($W$9,$W$7,(-(SUMIFS(SF_Output!$T$1:$T$400,SF_Output!$AC$1:$AC$400,_xlfn.TEXTJOIN(",",TRUE,$B127:$E127),SF_Output!$Q$1:$Q$400,"monthly"))/V127)),AF127="exclusion",-(SUMIFS(SF_Output!$T$1:$T$400,SF_Output!$AC$1:$AC$400,_xlfn.TEXTJOIN(",",TRUE,$B127:$E127),SF_Output!$Q$1:$Q$400,"monthly"))/V127)</f>
        <v/>
      </c>
      <c r="X127" s="6" cm="1">
        <f t="array" ref="X127">IFERROR(_xlfn.IFS(V127=0,0,V127="","",W127=0,V127,OR(V127&lt;&gt;0,V127&lt;&gt;""),H127*I127),V127*(1-W127))</f>
        <v>0</v>
      </c>
      <c r="Z127" s="6">
        <f>IFERROR(IF(B127="","",SUMIFS(Billing_Fallout!H:H,Billing_Fallout!N:N,B127)),0)</f>
        <v>0</v>
      </c>
      <c r="AA127" s="6">
        <f t="shared" si="22"/>
        <v>0</v>
      </c>
      <c r="AB127" s="6">
        <f>IFERROR(IF(B127="","",SUMIFS(Billing_Fallout!J:J,Billing_Fallout!N:N,B127)),0)</f>
        <v>0</v>
      </c>
      <c r="AD127" s="6">
        <f t="shared" si="23"/>
        <v>0</v>
      </c>
      <c r="AF127" t="str">
        <f>IFERROR(INDEX(H_Tables!$B$1:$B$1500,MATCH(INDEX(SF_Output!$J$1:$J$400,MATCH(B127,SF_Output!$M$1:$M$400,0)),H_Tables!$A$1:$A$1500,0)),"")</f>
        <v>Exclusion</v>
      </c>
      <c r="AI127" s="119" t="str">
        <f t="shared" si="24"/>
        <v/>
      </c>
      <c r="AJ127" s="121">
        <f>IFERROR(INDEX(SF_Output!AD:AD,MATCH(_xlfn.TEXTJOIN(",",TRUE,B127:E127),SF_Output!AC1:AC400,0)),0.05)</f>
        <v>207</v>
      </c>
      <c r="AK127" t="str">
        <f>IF(SUMIFS(SF_Output!$F$1:$F$400,SF_Output!$AC$1:$AC$400,_xlfn.TEXTJOIN(",",TRUE,B127:E127))+SUMIFS(SF_Output!$G$1:$G$400,SF_Output!$AC$1:$AC$400,_xlfn.TEXTJOIN(",",TRUE,B127:E127))=0,"","PAP")</f>
        <v/>
      </c>
      <c r="AL127" s="35" t="str">
        <f t="shared" si="25"/>
        <v>Card Activations JHA Debit Processing,New,Hosted by 3rd Party,0</v>
      </c>
      <c r="AQ127" s="35"/>
      <c r="AR127" s="35" t="str" cm="1">
        <f t="array" ref="AR127">IFERROR(_xlfn.IFS(AND(E127*1=1,F127="Included"),"Change to Included",AND(E127*1=0,F127="Optional"),"Change to Optional",OR(B127="",F127="replaced"),""),"")</f>
        <v/>
      </c>
      <c r="AS127" s="35" t="str">
        <f t="shared" si="26"/>
        <v/>
      </c>
      <c r="AT127" s="35" t="str">
        <f t="shared" si="27"/>
        <v/>
      </c>
      <c r="AU127" s="35" t="str">
        <f t="shared" si="28"/>
        <v/>
      </c>
      <c r="AV127" s="35" t="str">
        <f t="shared" si="29"/>
        <v/>
      </c>
      <c r="AW127" s="35" t="str">
        <f t="shared" si="30"/>
        <v/>
      </c>
      <c r="AX127" s="35" t="str">
        <f t="shared" si="31"/>
        <v/>
      </c>
      <c r="AY127" s="35" t="str">
        <f t="shared" si="32"/>
        <v/>
      </c>
      <c r="AZ127" s="35" t="str">
        <f t="shared" si="33"/>
        <v/>
      </c>
      <c r="BA127" s="35" t="str">
        <f t="shared" si="34"/>
        <v/>
      </c>
      <c r="BB127" s="35" t="str">
        <f t="shared" si="35"/>
        <v/>
      </c>
      <c r="BC127" s="35"/>
      <c r="BE127" s="35">
        <f ca="1">INDEX(SF_Output!$AA$2:$AA$400,MATCH($B127,SF_Output!$M$2:$M$400,0))</f>
        <v>6</v>
      </c>
      <c r="BF127" s="35">
        <f ca="1">INDEX(SF_Output!$AB$2:$AB$400,MATCH($B127,SF_Output!$M$2:$M$400,0))</f>
        <v>1</v>
      </c>
    </row>
    <row r="128" spans="2:58" x14ac:dyDescent="0.25">
      <c r="B128" t="s">
        <v>2415</v>
      </c>
      <c r="C128" t="s">
        <v>2122</v>
      </c>
      <c r="D128" t="s">
        <v>2207</v>
      </c>
      <c r="E128" t="s">
        <v>2124</v>
      </c>
      <c r="F128" s="116" t="str">
        <f t="shared" si="18"/>
        <v>Included</v>
      </c>
      <c r="G128" t="str">
        <f>IF(B128="","",INDEX(SF_Output!$K$1:$K$400,MATCH(B128,SF_Output!$M$1:$M$400,0)))</f>
        <v>Card Processing Solutions (CPS)</v>
      </c>
      <c r="H128" cm="1">
        <f t="array" ref="H128">_xlfn.IFS(B128="","",(SUMIFS(SF_Output!$F$1:$F$400,SF_Output!$AC$1:$AC$400,_xlfn.TEXTJOIN(",",TRUE,B128:E128))+SUMIFS(SF_Output!$G$1:$G$400,SF_Output!$AC$1:$AC$400,_xlfn.TEXTJOIN(",",TRUE,B128:E128)))&lt;&gt;0,SF_Output!$Y$2,INDEX(SF_Output!$F$1:$F$400,MATCH(_xlfn.TEXTJOIN(",",TRUE,B128:E128),SF_Output!$AC$1:$AC$400,0))=0,INDEX(SF_Output!$R$1:$R$400,MATCH(_xlfn.TEXTJOIN(",",TRUE,B128:E128),SF_Output!$AC$1:$AC$400,0)))</f>
        <v>1</v>
      </c>
      <c r="I128" s="125" t="str">
        <f>IFERROR(IF(AND(H128&gt;1,H128&lt;&gt;""),ROUND(SUMIFS(SF_Output!$S$1:$S$400,SF_Output!$AC$1:$AC$400,_xlfn.TEXTJOIN(",",TRUE,B128:E128),SF_Output!$Q$1:$Q$400,"monthly")*(1-W128)/H128,4),""),"")</f>
        <v/>
      </c>
      <c r="J128" s="6">
        <f>IF(B128="","",SUMIFS(SF_Output!$S$1:$S$400,SF_Output!$AC$1:$AC$400,_xlfn.TEXTJOIN(",",TRUE,B128:E128),SF_Output!$Q$1:$Q$400,"One Time",SF_Output!$L$1:$L$400,"license fee")+SUMIFS(SF_Output!$S$1:$S$400,SF_Output!$AC$1:$AC$400,_xlfn.TEXTJOIN(",",TRUE,B128:E128),SF_Output!$Q$1:$Q$400,"One Time",SF_Output!$L$1:$L$400,"software license")+SUMIFS(SF_Output!$S$1:$S$400,SF_Output!$AC$1:$AC$400,_xlfn.TEXTJOIN(",",TRUE,B128:E128),SF_Output!$Q$1:$Q$400,"One Time",SF_Output!$L$1:$L$400,"hardware"))</f>
        <v>0</v>
      </c>
      <c r="K128" s="112" t="str">
        <f>IF(OR(B128=0,B128="",G128="hardware",J128=0),"",IF(AF128&lt;&gt;"exclusion",MAX(K$9,-((SUMIFS(SF_Output!$T$1:$T$400,SF_Output!$AC$1:$AC$400,_xlfn.TEXTJOIN(",",TRUE,$B128:$E128),SF_Output!$Q$1:$Q$400,"One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license"))/J128)))</f>
        <v/>
      </c>
      <c r="L128" s="6">
        <f t="shared" si="19"/>
        <v>0</v>
      </c>
      <c r="N128" s="6">
        <f>IF(B128="","",SUMIFS(SF_Output!$S$1:$S$400,SF_Output!$AC$1:$AC$400,_xlfn.TEXTJOIN(",",TRUE,B128:E128),SF_Output!$Q$1:$Q$400,"One Time",SF_Output!$L$1:$L$400,"professional service"))</f>
        <v>1500</v>
      </c>
      <c r="O128" s="112">
        <f>IF(OR(B128=0,B128="",N128=0),"",IF(AF128&lt;&gt;"exclusion",MAX(O$9,-(SUMIFS(SF_Output!$T$1:$T$400,SF_Output!$AC$1:$AC$400,_xlfn.TEXTJOIN(",",TRUE,$B128:$E128),SF_Output!$Q$1:$Q$400,"One Time",SF_Output!$L$1:$L$400,"professional service"))/N128),-((SUMIFS(SF_Output!$T$1:$T$400,SF_Output!$AC$1:$AC$400,_xlfn.TEXTJOIN(",",TRUE,$B128:$E128),SF_Output!$Q$1:$Q$400,"One Time",SF_Output!$L$1:$L$400,"professional service")/N128))))</f>
        <v>1</v>
      </c>
      <c r="P128" s="6">
        <f t="shared" si="20"/>
        <v>0</v>
      </c>
      <c r="R128" s="6">
        <f>IF(B128="","",SUMIFS(SF_Output!$S$1:$S$400,SF_Output!$AC$1:$AC$400,_xlfn.TEXTJOIN(",",TRUE,B128:E128),SF_Output!$Q$1:$Q$400,"yearly")+SUMIFS(SF_Output!$S$1:$S$400,SF_Output!$AC$1:$AC$400,_xlfn.TEXTJOIN(",",TRUE,B128:E128),SF_Output!$Q$1:$Q$400,"quarterly")*4)</f>
        <v>0</v>
      </c>
      <c r="S128" s="112" t="str">
        <f>IF(OR(B128=0,B128="",G128="hardware",R128=0),"",IF(AF128&lt;&gt;"exclusion",MAX(S$9,-(SUMIFS(SF_Output!$T$1:$T$400,SF_Output!$AC$1:$AC$400,_xlfn.TEXTJOIN(",",TRUE,$B128:$E128),SF_Output!$Q$1:$Q$400,"yearly"))/R128),-((SUMIFS(SF_Output!$T$1:$T$400,SF_Output!$AC$1:$AC$400,_xlfn.TEXTJOIN(",",TRUE,$B128:$E128),SF_Output!$Q$1:$Q$400,"yearly")/R128))))</f>
        <v/>
      </c>
      <c r="T128" s="6">
        <f t="shared" si="21"/>
        <v>0</v>
      </c>
      <c r="V128" s="6" cm="1">
        <f t="array" ref="V128">_xlfn.IFS(B128="","",AND(B128&lt;&gt;"",H128=SF_Output!$Y$2,SUMIFS(SF_Output!$T$1:$T$400,SF_Output!$AC$1:$AC$400,_xlfn.TEXTJOIN(",",TRUE,B128:E128),SF_Output!$Q$1:$Q$400,"monthly")=0),(SUMIFS(SF_Output!$F$1:$F$400,SF_Output!$AC$1:$AC$400,_xlfn.TEXTJOIN(",",TRUE,B128:E128),SF_Output!$Q$1:$Q$400,"monthly")+SUMIFS(SF_Output!$G$1:$G$400,SF_Output!$AC$1:$AC$400,_xlfn.TEXTJOIN(",",TRUE,B128:E128),SF_Output!$Q$1:$Q$400,"monthly"))*H128,AND(B128&lt;&gt;"",H128=SF_Output!$Y$2,SUMIFS(SF_Output!$T$1:$T$400,SF_Output!$AC$1:$AC$400,_xlfn.TEXTJOIN(",",TRUE,B128:E128),SF_Output!$Q$1:$Q$400,"monthly")&lt;&gt;0),SUMIFS(SF_Output!$S$1:$S$400,SF_Output!$AC$1:$AC$400,_xlfn.TEXTJOIN(",",TRUE,B128:E128),SF_Output!$Q$1:$Q$400,"monthly"),AND(B128&lt;&gt;"",H128&lt;&gt;SF_Output!$Y$2),SUMIFS(SF_Output!$S$1:$S$400,SF_Output!$AC$1:$AC$400,_xlfn.TEXTJOIN(",",TRUE,B128:E128),SF_Output!$Q$1:$Q$400,"monthly"))</f>
        <v>150</v>
      </c>
      <c r="W128" s="112" cm="1">
        <f t="array" ref="W128">_xlfn.IFS(OR(B128=0,B128="",V128=0),"",AF128&lt;&gt;"exclusion",MAX($W$9,$W$7,(-(SUMIFS(SF_Output!$T$1:$T$400,SF_Output!$AC$1:$AC$400,_xlfn.TEXTJOIN(",",TRUE,$B128:$E128),SF_Output!$Q$1:$Q$400,"monthly"))/V128)),AF128="exclusion",-(SUMIFS(SF_Output!$T$1:$T$400,SF_Output!$AC$1:$AC$400,_xlfn.TEXTJOIN(",",TRUE,$B128:$E128),SF_Output!$Q$1:$Q$400,"monthly"))/V128)</f>
        <v>0</v>
      </c>
      <c r="X128" s="6" cm="1">
        <f t="array" ref="X128">IFERROR(_xlfn.IFS(V128=0,0,V128="","",W128=0,V128,OR(V128&lt;&gt;0,V128&lt;&gt;""),H128*I128),V128*(1-W128))</f>
        <v>150</v>
      </c>
      <c r="Z128" s="6">
        <f>IFERROR(IF(B128="","",SUMIFS(Billing_Fallout!H:H,Billing_Fallout!N:N,B128)),0)</f>
        <v>0</v>
      </c>
      <c r="AA128" s="6">
        <f t="shared" si="22"/>
        <v>0</v>
      </c>
      <c r="AB128" s="6">
        <f>IFERROR(IF(B128="","",SUMIFS(Billing_Fallout!J:J,Billing_Fallout!N:N,B128)),0)</f>
        <v>0</v>
      </c>
      <c r="AD128" s="6">
        <f t="shared" si="23"/>
        <v>150</v>
      </c>
      <c r="AF128" t="str">
        <f>IFERROR(INDEX(H_Tables!$B$1:$B$1500,MATCH(INDEX(SF_Output!$J$1:$J$400,MATCH(B128,SF_Output!$M$1:$M$400,0)),H_Tables!$A$1:$A$1500,0)),"")</f>
        <v>Exclusion</v>
      </c>
      <c r="AI128" s="119" t="str">
        <f t="shared" si="24"/>
        <v/>
      </c>
      <c r="AJ128" s="121">
        <f>IFERROR(INDEX(SF_Output!AD:AD,MATCH(_xlfn.TEXTJOIN(",",TRUE,B128:E128),SF_Output!AC1:AC400,0)),0.05)</f>
        <v>208</v>
      </c>
      <c r="AK128" t="str">
        <f>IF(SUMIFS(SF_Output!$F$1:$F$400,SF_Output!$AC$1:$AC$400,_xlfn.TEXTJOIN(",",TRUE,B128:E128))+SUMIFS(SF_Output!$G$1:$G$400,SF_Output!$AC$1:$AC$400,_xlfn.TEXTJOIN(",",TRUE,B128:E128))=0,"","PAP")</f>
        <v/>
      </c>
      <c r="AL128" s="35" t="str">
        <f t="shared" si="25"/>
        <v>JHA PIN Management JHA Debit Processing,New,Hosted by 3rd Party,0</v>
      </c>
      <c r="AQ128" s="35"/>
      <c r="AR128" s="35" t="str" cm="1">
        <f t="array" ref="AR128">IFERROR(_xlfn.IFS(AND(E128*1=1,F128="Included"),"Change to Included",AND(E128*1=0,F128="Optional"),"Change to Optional",OR(B128="",F128="replaced"),""),"")</f>
        <v/>
      </c>
      <c r="AS128" s="35" t="str">
        <f t="shared" si="26"/>
        <v/>
      </c>
      <c r="AT128" s="35" t="str">
        <f t="shared" si="27"/>
        <v/>
      </c>
      <c r="AU128" s="35" t="str">
        <f t="shared" si="28"/>
        <v/>
      </c>
      <c r="AV128" s="35" t="str">
        <f t="shared" si="29"/>
        <v/>
      </c>
      <c r="AW128" s="35" t="str">
        <f t="shared" si="30"/>
        <v/>
      </c>
      <c r="AX128" s="35" t="str">
        <f t="shared" si="31"/>
        <v/>
      </c>
      <c r="AY128" s="35" t="str">
        <f t="shared" si="32"/>
        <v/>
      </c>
      <c r="AZ128" s="35" t="str">
        <f t="shared" si="33"/>
        <v/>
      </c>
      <c r="BA128" s="35" t="str">
        <f t="shared" si="34"/>
        <v/>
      </c>
      <c r="BB128" s="35" t="str">
        <f t="shared" si="35"/>
        <v/>
      </c>
      <c r="BC128" s="35"/>
      <c r="BE128" s="35">
        <f ca="1">INDEX(SF_Output!$AA$2:$AA$400,MATCH($B128,SF_Output!$M$2:$M$400,0))</f>
        <v>6</v>
      </c>
      <c r="BF128" s="35">
        <f ca="1">INDEX(SF_Output!$AB$2:$AB$400,MATCH($B128,SF_Output!$M$2:$M$400,0))</f>
        <v>1</v>
      </c>
    </row>
    <row r="129" spans="2:58" x14ac:dyDescent="0.25">
      <c r="B129" t="s">
        <v>2418</v>
      </c>
      <c r="C129" t="s">
        <v>2122</v>
      </c>
      <c r="D129" t="s">
        <v>2207</v>
      </c>
      <c r="E129" t="s">
        <v>2124</v>
      </c>
      <c r="F129" s="116" t="str">
        <f t="shared" si="18"/>
        <v>Included</v>
      </c>
      <c r="G129" t="str">
        <f>IF(B129="","",INDEX(SF_Output!$K$1:$K$400,MATCH(B129,SF_Output!$M$1:$M$400,0)))</f>
        <v>Card Processing Solutions (CPS)</v>
      </c>
      <c r="H129" cm="1">
        <f t="array" ref="H129">_xlfn.IFS(B129="","",(SUMIFS(SF_Output!$F$1:$F$400,SF_Output!$AC$1:$AC$400,_xlfn.TEXTJOIN(",",TRUE,B129:E129))+SUMIFS(SF_Output!$G$1:$G$400,SF_Output!$AC$1:$AC$400,_xlfn.TEXTJOIN(",",TRUE,B129:E129)))&lt;&gt;0,SF_Output!$Y$2,INDEX(SF_Output!$F$1:$F$400,MATCH(_xlfn.TEXTJOIN(",",TRUE,B129:E129),SF_Output!$AC$1:$AC$400,0))=0,INDEX(SF_Output!$R$1:$R$400,MATCH(_xlfn.TEXTJOIN(",",TRUE,B129:E129),SF_Output!$AC$1:$AC$400,0)))</f>
        <v>0</v>
      </c>
      <c r="I129" s="125" t="str">
        <f>IFERROR(IF(AND(H129&gt;1,H129&lt;&gt;""),ROUND(SUMIFS(SF_Output!$S$1:$S$400,SF_Output!$AC$1:$AC$400,_xlfn.TEXTJOIN(",",TRUE,B129:E129),SF_Output!$Q$1:$Q$400,"monthly")*(1-W129)/H129,4),""),"")</f>
        <v/>
      </c>
      <c r="J129" s="6">
        <f>IF(B129="","",SUMIFS(SF_Output!$S$1:$S$400,SF_Output!$AC$1:$AC$400,_xlfn.TEXTJOIN(",",TRUE,B129:E129),SF_Output!$Q$1:$Q$400,"One Time",SF_Output!$L$1:$L$400,"license fee")+SUMIFS(SF_Output!$S$1:$S$400,SF_Output!$AC$1:$AC$400,_xlfn.TEXTJOIN(",",TRUE,B129:E129),SF_Output!$Q$1:$Q$400,"One Time",SF_Output!$L$1:$L$400,"software license")+SUMIFS(SF_Output!$S$1:$S$400,SF_Output!$AC$1:$AC$400,_xlfn.TEXTJOIN(",",TRUE,B129:E129),SF_Output!$Q$1:$Q$400,"One Time",SF_Output!$L$1:$L$400,"hardware"))</f>
        <v>0</v>
      </c>
      <c r="K129" s="112" t="str">
        <f>IF(OR(B129=0,B129="",G129="hardware",J129=0),"",IF(AF129&lt;&gt;"exclusion",MAX(K$9,-((SUMIFS(SF_Output!$T$1:$T$400,SF_Output!$AC$1:$AC$400,_xlfn.TEXTJOIN(",",TRUE,$B129:$E129),SF_Output!$Q$1:$Q$400,"One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license"))/J129)))</f>
        <v/>
      </c>
      <c r="L129" s="6">
        <f t="shared" si="19"/>
        <v>0</v>
      </c>
      <c r="N129" s="6">
        <f>IF(B129="","",SUMIFS(SF_Output!$S$1:$S$400,SF_Output!$AC$1:$AC$400,_xlfn.TEXTJOIN(",",TRUE,B129:E129),SF_Output!$Q$1:$Q$400,"One Time",SF_Output!$L$1:$L$400,"professional service"))</f>
        <v>0</v>
      </c>
      <c r="O129" s="112" t="str">
        <f>IF(OR(B129=0,B129="",N129=0),"",IF(AF129&lt;&gt;"exclusion",MAX(O$9,-(SUMIFS(SF_Output!$T$1:$T$400,SF_Output!$AC$1:$AC$400,_xlfn.TEXTJOIN(",",TRUE,$B129:$E129),SF_Output!$Q$1:$Q$400,"One Time",SF_Output!$L$1:$L$400,"professional service"))/N129),-((SUMIFS(SF_Output!$T$1:$T$400,SF_Output!$AC$1:$AC$400,_xlfn.TEXTJOIN(",",TRUE,$B129:$E129),SF_Output!$Q$1:$Q$400,"One Time",SF_Output!$L$1:$L$400,"professional service")/N129))))</f>
        <v/>
      </c>
      <c r="P129" s="6">
        <f t="shared" si="20"/>
        <v>0</v>
      </c>
      <c r="R129" s="6">
        <f>IF(B129="","",SUMIFS(SF_Output!$S$1:$S$400,SF_Output!$AC$1:$AC$400,_xlfn.TEXTJOIN(",",TRUE,B129:E129),SF_Output!$Q$1:$Q$400,"yearly")+SUMIFS(SF_Output!$S$1:$S$400,SF_Output!$AC$1:$AC$400,_xlfn.TEXTJOIN(",",TRUE,B129:E129),SF_Output!$Q$1:$Q$400,"quarterly")*4)</f>
        <v>0</v>
      </c>
      <c r="S129" s="112" t="str">
        <f>IF(OR(B129=0,B129="",G129="hardware",R129=0),"",IF(AF129&lt;&gt;"exclusion",MAX(S$9,-(SUMIFS(SF_Output!$T$1:$T$400,SF_Output!$AC$1:$AC$400,_xlfn.TEXTJOIN(",",TRUE,$B129:$E129),SF_Output!$Q$1:$Q$400,"yearly"))/R129),-((SUMIFS(SF_Output!$T$1:$T$400,SF_Output!$AC$1:$AC$400,_xlfn.TEXTJOIN(",",TRUE,$B129:$E129),SF_Output!$Q$1:$Q$400,"yearly")/R129))))</f>
        <v/>
      </c>
      <c r="T129" s="6">
        <f t="shared" si="21"/>
        <v>0</v>
      </c>
      <c r="V129" s="6" cm="1">
        <f t="array" ref="V129">_xlfn.IFS(B129="","",AND(B129&lt;&gt;"",H129=SF_Output!$Y$2,SUMIFS(SF_Output!$T$1:$T$400,SF_Output!$AC$1:$AC$400,_xlfn.TEXTJOIN(",",TRUE,B129:E129),SF_Output!$Q$1:$Q$400,"monthly")=0),(SUMIFS(SF_Output!$F$1:$F$400,SF_Output!$AC$1:$AC$400,_xlfn.TEXTJOIN(",",TRUE,B129:E129),SF_Output!$Q$1:$Q$400,"monthly")+SUMIFS(SF_Output!$G$1:$G$400,SF_Output!$AC$1:$AC$400,_xlfn.TEXTJOIN(",",TRUE,B129:E129),SF_Output!$Q$1:$Q$400,"monthly"))*H129,AND(B129&lt;&gt;"",H129=SF_Output!$Y$2,SUMIFS(SF_Output!$T$1:$T$400,SF_Output!$AC$1:$AC$400,_xlfn.TEXTJOIN(",",TRUE,B129:E129),SF_Output!$Q$1:$Q$400,"monthly")&lt;&gt;0),SUMIFS(SF_Output!$S$1:$S$400,SF_Output!$AC$1:$AC$400,_xlfn.TEXTJOIN(",",TRUE,B129:E129),SF_Output!$Q$1:$Q$400,"monthly"),AND(B129&lt;&gt;"",H129&lt;&gt;SF_Output!$Y$2),SUMIFS(SF_Output!$S$1:$S$400,SF_Output!$AC$1:$AC$400,_xlfn.TEXTJOIN(",",TRUE,B129:E129),SF_Output!$Q$1:$Q$400,"monthly"))</f>
        <v>0</v>
      </c>
      <c r="W129" s="112" t="str" cm="1">
        <f t="array" ref="W129">_xlfn.IFS(OR(B129=0,B129="",V129=0),"",AF129&lt;&gt;"exclusion",MAX($W$9,$W$7,(-(SUMIFS(SF_Output!$T$1:$T$400,SF_Output!$AC$1:$AC$400,_xlfn.TEXTJOIN(",",TRUE,$B129:$E129),SF_Output!$Q$1:$Q$400,"monthly"))/V129)),AF129="exclusion",-(SUMIFS(SF_Output!$T$1:$T$400,SF_Output!$AC$1:$AC$400,_xlfn.TEXTJOIN(",",TRUE,$B129:$E129),SF_Output!$Q$1:$Q$400,"monthly"))/V129)</f>
        <v/>
      </c>
      <c r="X129" s="6" cm="1">
        <f t="array" ref="X129">IFERROR(_xlfn.IFS(V129=0,0,V129="","",W129=0,V129,OR(V129&lt;&gt;0,V129&lt;&gt;""),H129*I129),V129*(1-W129))</f>
        <v>0</v>
      </c>
      <c r="Z129" s="6">
        <f>IFERROR(IF(B129="","",SUMIFS(Billing_Fallout!H:H,Billing_Fallout!N:N,B129)),0)</f>
        <v>0</v>
      </c>
      <c r="AA129" s="6">
        <f t="shared" si="22"/>
        <v>0</v>
      </c>
      <c r="AB129" s="6">
        <f>IFERROR(IF(B129="","",SUMIFS(Billing_Fallout!J:J,Billing_Fallout!N:N,B129)),0)</f>
        <v>0</v>
      </c>
      <c r="AD129" s="6">
        <f t="shared" si="23"/>
        <v>0</v>
      </c>
      <c r="AF129" t="str">
        <f>IFERROR(INDEX(H_Tables!$B$1:$B$1500,MATCH(INDEX(SF_Output!$J$1:$J$400,MATCH(B129,SF_Output!$M$1:$M$400,0)),H_Tables!$A$1:$A$1500,0)),"")</f>
        <v>Exclusion</v>
      </c>
      <c r="AI129" s="119" t="str">
        <f t="shared" si="24"/>
        <v/>
      </c>
      <c r="AJ129" s="121">
        <f>IFERROR(INDEX(SF_Output!AD:AD,MATCH(_xlfn.TEXTJOIN(",",TRUE,B129:E129),SF_Output!AC1:AC400,0)),0.05)</f>
        <v>210</v>
      </c>
      <c r="AK129" t="str">
        <f>IF(SUMIFS(SF_Output!$F$1:$F$400,SF_Output!$AC$1:$AC$400,_xlfn.TEXTJOIN(",",TRUE,B129:E129))+SUMIFS(SF_Output!$G$1:$G$400,SF_Output!$AC$1:$AC$400,_xlfn.TEXTJOIN(",",TRUE,B129:E129))=0,"","PAP")</f>
        <v/>
      </c>
      <c r="AL129" s="35" t="str">
        <f t="shared" si="25"/>
        <v>PIN Sets or PIN Changes JHA Debit Processing,New,Hosted by 3rd Party,0</v>
      </c>
      <c r="AQ129" s="35"/>
      <c r="AR129" s="35" t="str" cm="1">
        <f t="array" ref="AR129">IFERROR(_xlfn.IFS(AND(E129*1=1,F129="Included"),"Change to Included",AND(E129*1=0,F129="Optional"),"Change to Optional",OR(B129="",F129="replaced"),""),"")</f>
        <v/>
      </c>
      <c r="AS129" s="35" t="str">
        <f t="shared" si="26"/>
        <v/>
      </c>
      <c r="AT129" s="35" t="str">
        <f t="shared" si="27"/>
        <v/>
      </c>
      <c r="AU129" s="35" t="str">
        <f t="shared" si="28"/>
        <v/>
      </c>
      <c r="AV129" s="35" t="str">
        <f t="shared" si="29"/>
        <v/>
      </c>
      <c r="AW129" s="35" t="str">
        <f t="shared" si="30"/>
        <v/>
      </c>
      <c r="AX129" s="35" t="str">
        <f t="shared" si="31"/>
        <v/>
      </c>
      <c r="AY129" s="35" t="str">
        <f t="shared" si="32"/>
        <v/>
      </c>
      <c r="AZ129" s="35" t="str">
        <f t="shared" si="33"/>
        <v/>
      </c>
      <c r="BA129" s="35" t="str">
        <f t="shared" si="34"/>
        <v/>
      </c>
      <c r="BB129" s="35" t="str">
        <f t="shared" si="35"/>
        <v/>
      </c>
      <c r="BC129" s="35"/>
      <c r="BE129" s="35">
        <f ca="1">INDEX(SF_Output!$AA$2:$AA$400,MATCH($B129,SF_Output!$M$2:$M$400,0))</f>
        <v>6</v>
      </c>
      <c r="BF129" s="35">
        <f ca="1">INDEX(SF_Output!$AB$2:$AB$400,MATCH($B129,SF_Output!$M$2:$M$400,0))</f>
        <v>1</v>
      </c>
    </row>
    <row r="130" spans="2:58" x14ac:dyDescent="0.25">
      <c r="B130" t="s">
        <v>2420</v>
      </c>
      <c r="C130" t="s">
        <v>2122</v>
      </c>
      <c r="D130" t="s">
        <v>2207</v>
      </c>
      <c r="E130" t="s">
        <v>2124</v>
      </c>
      <c r="F130" s="116" t="str">
        <f t="shared" si="18"/>
        <v>Included</v>
      </c>
      <c r="G130" t="str">
        <f>IF(B130="","",INDEX(SF_Output!$K$1:$K$400,MATCH(B130,SF_Output!$M$1:$M$400,0)))</f>
        <v>Card Processing Solutions (CPS)</v>
      </c>
      <c r="H130" cm="1">
        <f t="array" ref="H130">_xlfn.IFS(B130="","",(SUMIFS(SF_Output!$F$1:$F$400,SF_Output!$AC$1:$AC$400,_xlfn.TEXTJOIN(",",TRUE,B130:E130))+SUMIFS(SF_Output!$G$1:$G$400,SF_Output!$AC$1:$AC$400,_xlfn.TEXTJOIN(",",TRUE,B130:E130)))&lt;&gt;0,SF_Output!$Y$2,INDEX(SF_Output!$F$1:$F$400,MATCH(_xlfn.TEXTJOIN(",",TRUE,B130:E130),SF_Output!$AC$1:$AC$400,0))=0,INDEX(SF_Output!$R$1:$R$400,MATCH(_xlfn.TEXTJOIN(",",TRUE,B130:E130),SF_Output!$AC$1:$AC$400,0)))</f>
        <v>0</v>
      </c>
      <c r="I130" s="125" t="str">
        <f>IFERROR(IF(AND(H130&gt;1,H130&lt;&gt;""),ROUND(SUMIFS(SF_Output!$S$1:$S$400,SF_Output!$AC$1:$AC$400,_xlfn.TEXTJOIN(",",TRUE,B130:E130),SF_Output!$Q$1:$Q$400,"monthly")*(1-W130)/H130,4),""),"")</f>
        <v/>
      </c>
      <c r="J130" s="6">
        <f>IF(B130="","",SUMIFS(SF_Output!$S$1:$S$400,SF_Output!$AC$1:$AC$400,_xlfn.TEXTJOIN(",",TRUE,B130:E130),SF_Output!$Q$1:$Q$400,"One Time",SF_Output!$L$1:$L$400,"license fee")+SUMIFS(SF_Output!$S$1:$S$400,SF_Output!$AC$1:$AC$400,_xlfn.TEXTJOIN(",",TRUE,B130:E130),SF_Output!$Q$1:$Q$400,"One Time",SF_Output!$L$1:$L$400,"software license")+SUMIFS(SF_Output!$S$1:$S$400,SF_Output!$AC$1:$AC$400,_xlfn.TEXTJOIN(",",TRUE,B130:E130),SF_Output!$Q$1:$Q$400,"One Time",SF_Output!$L$1:$L$400,"hardware"))</f>
        <v>0</v>
      </c>
      <c r="K130" s="112" t="str">
        <f>IF(OR(B130=0,B130="",G130="hardware",J130=0),"",IF(AF130&lt;&gt;"exclusion",MAX(K$9,-((SUMIFS(SF_Output!$T$1:$T$400,SF_Output!$AC$1:$AC$400,_xlfn.TEXTJOIN(",",TRUE,$B130:$E130),SF_Output!$Q$1:$Q$400,"One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license"))/J130)))</f>
        <v/>
      </c>
      <c r="L130" s="6">
        <f t="shared" si="19"/>
        <v>0</v>
      </c>
      <c r="N130" s="6">
        <f>IF(B130="","",SUMIFS(SF_Output!$S$1:$S$400,SF_Output!$AC$1:$AC$400,_xlfn.TEXTJOIN(",",TRUE,B130:E130),SF_Output!$Q$1:$Q$400,"One Time",SF_Output!$L$1:$L$400,"professional service"))</f>
        <v>1000</v>
      </c>
      <c r="O130" s="112">
        <f>IF(OR(B130=0,B130="",N130=0),"",IF(AF130&lt;&gt;"exclusion",MAX(O$9,-(SUMIFS(SF_Output!$T$1:$T$400,SF_Output!$AC$1:$AC$400,_xlfn.TEXTJOIN(",",TRUE,$B130:$E130),SF_Output!$Q$1:$Q$400,"One Time",SF_Output!$L$1:$L$400,"professional service"))/N130),-((SUMIFS(SF_Output!$T$1:$T$400,SF_Output!$AC$1:$AC$400,_xlfn.TEXTJOIN(",",TRUE,$B130:$E130),SF_Output!$Q$1:$Q$400,"One Time",SF_Output!$L$1:$L$400,"professional service")/N130))))</f>
        <v>1</v>
      </c>
      <c r="P130" s="6">
        <f t="shared" si="20"/>
        <v>0</v>
      </c>
      <c r="R130" s="6">
        <f>IF(B130="","",SUMIFS(SF_Output!$S$1:$S$400,SF_Output!$AC$1:$AC$400,_xlfn.TEXTJOIN(",",TRUE,B130:E130),SF_Output!$Q$1:$Q$400,"yearly")+SUMIFS(SF_Output!$S$1:$S$400,SF_Output!$AC$1:$AC$400,_xlfn.TEXTJOIN(",",TRUE,B130:E130),SF_Output!$Q$1:$Q$400,"quarterly")*4)</f>
        <v>0</v>
      </c>
      <c r="S130" s="112" t="str">
        <f>IF(OR(B130=0,B130="",G130="hardware",R130=0),"",IF(AF130&lt;&gt;"exclusion",MAX(S$9,-(SUMIFS(SF_Output!$T$1:$T$400,SF_Output!$AC$1:$AC$400,_xlfn.TEXTJOIN(",",TRUE,$B130:$E130),SF_Output!$Q$1:$Q$400,"yearly"))/R130),-((SUMIFS(SF_Output!$T$1:$T$400,SF_Output!$AC$1:$AC$400,_xlfn.TEXTJOIN(",",TRUE,$B130:$E130),SF_Output!$Q$1:$Q$400,"yearly")/R130))))</f>
        <v/>
      </c>
      <c r="T130" s="6">
        <f t="shared" si="21"/>
        <v>0</v>
      </c>
      <c r="V130" s="6" cm="1">
        <f t="array" ref="V130">_xlfn.IFS(B130="","",AND(B130&lt;&gt;"",H130=SF_Output!$Y$2,SUMIFS(SF_Output!$T$1:$T$400,SF_Output!$AC$1:$AC$400,_xlfn.TEXTJOIN(",",TRUE,B130:E130),SF_Output!$Q$1:$Q$400,"monthly")=0),(SUMIFS(SF_Output!$F$1:$F$400,SF_Output!$AC$1:$AC$400,_xlfn.TEXTJOIN(",",TRUE,B130:E130),SF_Output!$Q$1:$Q$400,"monthly")+SUMIFS(SF_Output!$G$1:$G$400,SF_Output!$AC$1:$AC$400,_xlfn.TEXTJOIN(",",TRUE,B130:E130),SF_Output!$Q$1:$Q$400,"monthly"))*H130,AND(B130&lt;&gt;"",H130=SF_Output!$Y$2,SUMIFS(SF_Output!$T$1:$T$400,SF_Output!$AC$1:$AC$400,_xlfn.TEXTJOIN(",",TRUE,B130:E130),SF_Output!$Q$1:$Q$400,"monthly")&lt;&gt;0),SUMIFS(SF_Output!$S$1:$S$400,SF_Output!$AC$1:$AC$400,_xlfn.TEXTJOIN(",",TRUE,B130:E130),SF_Output!$Q$1:$Q$400,"monthly"),AND(B130&lt;&gt;"",H130&lt;&gt;SF_Output!$Y$2),SUMIFS(SF_Output!$S$1:$S$400,SF_Output!$AC$1:$AC$400,_xlfn.TEXTJOIN(",",TRUE,B130:E130),SF_Output!$Q$1:$Q$400,"monthly"))</f>
        <v>0</v>
      </c>
      <c r="W130" s="112" t="str" cm="1">
        <f t="array" ref="W130">_xlfn.IFS(OR(B130=0,B130="",V130=0),"",AF130&lt;&gt;"exclusion",MAX($W$9,$W$7,(-(SUMIFS(SF_Output!$T$1:$T$400,SF_Output!$AC$1:$AC$400,_xlfn.TEXTJOIN(",",TRUE,$B130:$E130),SF_Output!$Q$1:$Q$400,"monthly"))/V130)),AF130="exclusion",-(SUMIFS(SF_Output!$T$1:$T$400,SF_Output!$AC$1:$AC$400,_xlfn.TEXTJOIN(",",TRUE,$B130:$E130),SF_Output!$Q$1:$Q$400,"monthly"))/V130)</f>
        <v/>
      </c>
      <c r="X130" s="6" cm="1">
        <f t="array" ref="X130">IFERROR(_xlfn.IFS(V130=0,0,V130="","",W130=0,V130,OR(V130&lt;&gt;0,V130&lt;&gt;""),H130*I130),V130*(1-W130))</f>
        <v>0</v>
      </c>
      <c r="Z130" s="6">
        <f>IFERROR(IF(B130="","",SUMIFS(Billing_Fallout!H:H,Billing_Fallout!N:N,B130)),0)</f>
        <v>0</v>
      </c>
      <c r="AA130" s="6">
        <f t="shared" si="22"/>
        <v>0</v>
      </c>
      <c r="AB130" s="6">
        <f>IFERROR(IF(B130="","",SUMIFS(Billing_Fallout!J:J,Billing_Fallout!N:N,B130)),0)</f>
        <v>0</v>
      </c>
      <c r="AD130" s="6">
        <f t="shared" si="23"/>
        <v>0</v>
      </c>
      <c r="AF130" t="str">
        <f>IFERROR(INDEX(H_Tables!$B$1:$B$1500,MATCH(INDEX(SF_Output!$J$1:$J$400,MATCH(B130,SF_Output!$M$1:$M$400,0)),H_Tables!$A$1:$A$1500,0)),"")</f>
        <v>Exclusion</v>
      </c>
      <c r="AI130" s="119" t="str">
        <f t="shared" si="24"/>
        <v/>
      </c>
      <c r="AJ130" s="121">
        <f>IFERROR(INDEX(SF_Output!AD:AD,MATCH(_xlfn.TEXTJOIN(",",TRUE,B130:E130),SF_Output!AC1:AC400,0)),0.05)</f>
        <v>211</v>
      </c>
      <c r="AK130" t="str">
        <f>IF(SUMIFS(SF_Output!$F$1:$F$400,SF_Output!$AC$1:$AC$400,_xlfn.TEXTJOIN(",",TRUE,B130:E130))+SUMIFS(SF_Output!$G$1:$G$400,SF_Output!$AC$1:$AC$400,_xlfn.TEXTJOIN(",",TRUE,B130:E130))=0,"","PAP")</f>
        <v/>
      </c>
      <c r="AL130" s="35" t="str">
        <f t="shared" si="25"/>
        <v>JHA Card Fraud Center (scored transactions) JHA Debit Processing,New,Hosted by 3</v>
      </c>
      <c r="AQ130" s="35"/>
      <c r="AR130" s="35" t="str" cm="1">
        <f t="array" ref="AR130">IFERROR(_xlfn.IFS(AND(E130*1=1,F130="Included"),"Change to Included",AND(E130*1=0,F130="Optional"),"Change to Optional",OR(B130="",F130="replaced"),""),"")</f>
        <v/>
      </c>
      <c r="AS130" s="35" t="str">
        <f t="shared" si="26"/>
        <v/>
      </c>
      <c r="AT130" s="35" t="str">
        <f t="shared" si="27"/>
        <v/>
      </c>
      <c r="AU130" s="35" t="str">
        <f t="shared" si="28"/>
        <v/>
      </c>
      <c r="AV130" s="35" t="str">
        <f t="shared" si="29"/>
        <v/>
      </c>
      <c r="AW130" s="35" t="str">
        <f t="shared" si="30"/>
        <v/>
      </c>
      <c r="AX130" s="35" t="str">
        <f t="shared" si="31"/>
        <v/>
      </c>
      <c r="AY130" s="35" t="str">
        <f t="shared" si="32"/>
        <v/>
      </c>
      <c r="AZ130" s="35" t="str">
        <f t="shared" si="33"/>
        <v/>
      </c>
      <c r="BA130" s="35" t="str">
        <f t="shared" si="34"/>
        <v/>
      </c>
      <c r="BB130" s="35" t="str">
        <f t="shared" si="35"/>
        <v/>
      </c>
      <c r="BC130" s="35"/>
      <c r="BE130" s="35">
        <f ca="1">INDEX(SF_Output!$AA$2:$AA$400,MATCH($B130,SF_Output!$M$2:$M$400,0))</f>
        <v>6</v>
      </c>
      <c r="BF130" s="35">
        <f ca="1">INDEX(SF_Output!$AB$2:$AB$400,MATCH($B130,SF_Output!$M$2:$M$400,0))</f>
        <v>1</v>
      </c>
    </row>
    <row r="131" spans="2:58" x14ac:dyDescent="0.25">
      <c r="B131" t="s">
        <v>2423</v>
      </c>
      <c r="C131" t="s">
        <v>2122</v>
      </c>
      <c r="D131" t="s">
        <v>2207</v>
      </c>
      <c r="E131" t="s">
        <v>2124</v>
      </c>
      <c r="F131" s="116" t="str">
        <f t="shared" si="18"/>
        <v>Included</v>
      </c>
      <c r="G131" t="str">
        <f>IF(B131="","",INDEX(SF_Output!$K$1:$K$400,MATCH(B131,SF_Output!$M$1:$M$400,0)))</f>
        <v>Card Processing Solutions (CPS)</v>
      </c>
      <c r="H131" cm="1">
        <f t="array" ref="H131">_xlfn.IFS(B131="","",(SUMIFS(SF_Output!$F$1:$F$400,SF_Output!$AC$1:$AC$400,_xlfn.TEXTJOIN(",",TRUE,B131:E131))+SUMIFS(SF_Output!$G$1:$G$400,SF_Output!$AC$1:$AC$400,_xlfn.TEXTJOIN(",",TRUE,B131:E131)))&lt;&gt;0,SF_Output!$Y$2,INDEX(SF_Output!$F$1:$F$400,MATCH(_xlfn.TEXTJOIN(",",TRUE,B131:E131),SF_Output!$AC$1:$AC$400,0))=0,INDEX(SF_Output!$R$1:$R$400,MATCH(_xlfn.TEXTJOIN(",",TRUE,B131:E131),SF_Output!$AC$1:$AC$400,0)))</f>
        <v>0</v>
      </c>
      <c r="I131" s="125" t="str">
        <f>IFERROR(IF(AND(H131&gt;1,H131&lt;&gt;""),ROUND(SUMIFS(SF_Output!$S$1:$S$400,SF_Output!$AC$1:$AC$400,_xlfn.TEXTJOIN(",",TRUE,B131:E131),SF_Output!$Q$1:$Q$400,"monthly")*(1-W131)/H131,4),""),"")</f>
        <v/>
      </c>
      <c r="J131" s="6">
        <f>IF(B131="","",SUMIFS(SF_Output!$S$1:$S$400,SF_Output!$AC$1:$AC$400,_xlfn.TEXTJOIN(",",TRUE,B131:E131),SF_Output!$Q$1:$Q$400,"One Time",SF_Output!$L$1:$L$400,"license fee")+SUMIFS(SF_Output!$S$1:$S$400,SF_Output!$AC$1:$AC$400,_xlfn.TEXTJOIN(",",TRUE,B131:E131),SF_Output!$Q$1:$Q$400,"One Time",SF_Output!$L$1:$L$400,"software license")+SUMIFS(SF_Output!$S$1:$S$400,SF_Output!$AC$1:$AC$400,_xlfn.TEXTJOIN(",",TRUE,B131:E131),SF_Output!$Q$1:$Q$400,"One Time",SF_Output!$L$1:$L$400,"hardware"))</f>
        <v>0</v>
      </c>
      <c r="K131" s="112" t="str">
        <f>IF(OR(B131=0,B131="",G131="hardware",J131=0),"",IF(AF131&lt;&gt;"exclusion",MAX(K$9,-((SUMIFS(SF_Output!$T$1:$T$400,SF_Output!$AC$1:$AC$400,_xlfn.TEXTJOIN(",",TRUE,$B131:$E131),SF_Output!$Q$1:$Q$400,"One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license"))/J131)))</f>
        <v/>
      </c>
      <c r="L131" s="6">
        <f t="shared" si="19"/>
        <v>0</v>
      </c>
      <c r="N131" s="6">
        <f>IF(B131="","",SUMIFS(SF_Output!$S$1:$S$400,SF_Output!$AC$1:$AC$400,_xlfn.TEXTJOIN(",",TRUE,B131:E131),SF_Output!$Q$1:$Q$400,"One Time",SF_Output!$L$1:$L$400,"professional service"))</f>
        <v>0</v>
      </c>
      <c r="O131" s="112" t="str">
        <f>IF(OR(B131=0,B131="",N131=0),"",IF(AF131&lt;&gt;"exclusion",MAX(O$9,-(SUMIFS(SF_Output!$T$1:$T$400,SF_Output!$AC$1:$AC$400,_xlfn.TEXTJOIN(",",TRUE,$B131:$E131),SF_Output!$Q$1:$Q$400,"One Time",SF_Output!$L$1:$L$400,"professional service"))/N131),-((SUMIFS(SF_Output!$T$1:$T$400,SF_Output!$AC$1:$AC$400,_xlfn.TEXTJOIN(",",TRUE,$B131:$E131),SF_Output!$Q$1:$Q$400,"One Time",SF_Output!$L$1:$L$400,"professional service")/N131))))</f>
        <v/>
      </c>
      <c r="P131" s="6">
        <f t="shared" si="20"/>
        <v>0</v>
      </c>
      <c r="R131" s="6">
        <f>IF(B131="","",SUMIFS(SF_Output!$S$1:$S$400,SF_Output!$AC$1:$AC$400,_xlfn.TEXTJOIN(",",TRUE,B131:E131),SF_Output!$Q$1:$Q$400,"yearly")+SUMIFS(SF_Output!$S$1:$S$400,SF_Output!$AC$1:$AC$400,_xlfn.TEXTJOIN(",",TRUE,B131:E131),SF_Output!$Q$1:$Q$400,"quarterly")*4)</f>
        <v>0</v>
      </c>
      <c r="S131" s="112" t="str">
        <f>IF(OR(B131=0,B131="",G131="hardware",R131=0),"",IF(AF131&lt;&gt;"exclusion",MAX(S$9,-(SUMIFS(SF_Output!$T$1:$T$400,SF_Output!$AC$1:$AC$400,_xlfn.TEXTJOIN(",",TRUE,$B131:$E131),SF_Output!$Q$1:$Q$400,"yearly"))/R131),-((SUMIFS(SF_Output!$T$1:$T$400,SF_Output!$AC$1:$AC$400,_xlfn.TEXTJOIN(",",TRUE,$B131:$E131),SF_Output!$Q$1:$Q$400,"yearly")/R131))))</f>
        <v/>
      </c>
      <c r="T131" s="6">
        <f t="shared" si="21"/>
        <v>0</v>
      </c>
      <c r="V131" s="6" cm="1">
        <f t="array" ref="V131">_xlfn.IFS(B131="","",AND(B131&lt;&gt;"",H131=SF_Output!$Y$2,SUMIFS(SF_Output!$T$1:$T$400,SF_Output!$AC$1:$AC$400,_xlfn.TEXTJOIN(",",TRUE,B131:E131),SF_Output!$Q$1:$Q$400,"monthly")=0),(SUMIFS(SF_Output!$F$1:$F$400,SF_Output!$AC$1:$AC$400,_xlfn.TEXTJOIN(",",TRUE,B131:E131),SF_Output!$Q$1:$Q$400,"monthly")+SUMIFS(SF_Output!$G$1:$G$400,SF_Output!$AC$1:$AC$400,_xlfn.TEXTJOIN(",",TRUE,B131:E131),SF_Output!$Q$1:$Q$400,"monthly"))*H131,AND(B131&lt;&gt;"",H131=SF_Output!$Y$2,SUMIFS(SF_Output!$T$1:$T$400,SF_Output!$AC$1:$AC$400,_xlfn.TEXTJOIN(",",TRUE,B131:E131),SF_Output!$Q$1:$Q$400,"monthly")&lt;&gt;0),SUMIFS(SF_Output!$S$1:$S$400,SF_Output!$AC$1:$AC$400,_xlfn.TEXTJOIN(",",TRUE,B131:E131),SF_Output!$Q$1:$Q$400,"monthly"),AND(B131&lt;&gt;"",H131&lt;&gt;SF_Output!$Y$2),SUMIFS(SF_Output!$S$1:$S$400,SF_Output!$AC$1:$AC$400,_xlfn.TEXTJOIN(",",TRUE,B131:E131),SF_Output!$Q$1:$Q$400,"monthly"))</f>
        <v>0</v>
      </c>
      <c r="W131" s="112" t="str" cm="1">
        <f t="array" ref="W131">_xlfn.IFS(OR(B131=0,B131="",V131=0),"",AF131&lt;&gt;"exclusion",MAX($W$9,$W$7,(-(SUMIFS(SF_Output!$T$1:$T$400,SF_Output!$AC$1:$AC$400,_xlfn.TEXTJOIN(",",TRUE,$B131:$E131),SF_Output!$Q$1:$Q$400,"monthly"))/V131)),AF131="exclusion",-(SUMIFS(SF_Output!$T$1:$T$400,SF_Output!$AC$1:$AC$400,_xlfn.TEXTJOIN(",",TRUE,$B131:$E131),SF_Output!$Q$1:$Q$400,"monthly"))/V131)</f>
        <v/>
      </c>
      <c r="X131" s="6" cm="1">
        <f t="array" ref="X131">IFERROR(_xlfn.IFS(V131=0,0,V131="","",W131=0,V131,OR(V131&lt;&gt;0,V131&lt;&gt;""),H131*I131),V131*(1-W131))</f>
        <v>0</v>
      </c>
      <c r="Z131" s="6">
        <f>IFERROR(IF(B131="","",SUMIFS(Billing_Fallout!H:H,Billing_Fallout!N:N,B131)),0)</f>
        <v>0</v>
      </c>
      <c r="AA131" s="6">
        <f t="shared" si="22"/>
        <v>0</v>
      </c>
      <c r="AB131" s="6">
        <f>IFERROR(IF(B131="","",SUMIFS(Billing_Fallout!J:J,Billing_Fallout!N:N,B131)),0)</f>
        <v>0</v>
      </c>
      <c r="AD131" s="6">
        <f t="shared" si="23"/>
        <v>0</v>
      </c>
      <c r="AF131" t="str">
        <f>IFERROR(INDEX(H_Tables!$B$1:$B$1500,MATCH(INDEX(SF_Output!$J$1:$J$400,MATCH(B131,SF_Output!$M$1:$M$400,0)),H_Tables!$A$1:$A$1500,0)),"")</f>
        <v>Exclusion</v>
      </c>
      <c r="AI131" s="119" t="str">
        <f t="shared" si="24"/>
        <v/>
      </c>
      <c r="AJ131" s="121">
        <f>IFERROR(INDEX(SF_Output!AD:AD,MATCH(_xlfn.TEXTJOIN(",",TRUE,B131:E131),SF_Output!AC1:AC400,0)),0.05)</f>
        <v>213</v>
      </c>
      <c r="AK131" t="str">
        <f>IF(SUMIFS(SF_Output!$F$1:$F$400,SF_Output!$AC$1:$AC$400,_xlfn.TEXTJOIN(",",TRUE,B131:E131))+SUMIFS(SF_Output!$G$1:$G$400,SF_Output!$AC$1:$AC$400,_xlfn.TEXTJOIN(",",TRUE,B131:E131))=0,"","PAP")</f>
        <v/>
      </c>
      <c r="AL131" s="35" t="str">
        <f t="shared" si="25"/>
        <v>Fraud Cardholder Record Storage JHA Debit Processing,New,Hosted by 3rd Party,0</v>
      </c>
      <c r="AQ131" s="35"/>
      <c r="AR131" s="35" t="str" cm="1">
        <f t="array" ref="AR131">IFERROR(_xlfn.IFS(AND(E131*1=1,F131="Included"),"Change to Included",AND(E131*1=0,F131="Optional"),"Change to Optional",OR(B131="",F131="replaced"),""),"")</f>
        <v/>
      </c>
      <c r="AS131" s="35" t="str">
        <f t="shared" si="26"/>
        <v/>
      </c>
      <c r="AT131" s="35" t="str">
        <f t="shared" si="27"/>
        <v/>
      </c>
      <c r="AU131" s="35" t="str">
        <f t="shared" si="28"/>
        <v/>
      </c>
      <c r="AV131" s="35" t="str">
        <f t="shared" si="29"/>
        <v/>
      </c>
      <c r="AW131" s="35" t="str">
        <f t="shared" si="30"/>
        <v/>
      </c>
      <c r="AX131" s="35" t="str">
        <f t="shared" si="31"/>
        <v/>
      </c>
      <c r="AY131" s="35" t="str">
        <f t="shared" si="32"/>
        <v/>
      </c>
      <c r="AZ131" s="35" t="str">
        <f t="shared" si="33"/>
        <v/>
      </c>
      <c r="BA131" s="35" t="str">
        <f t="shared" si="34"/>
        <v/>
      </c>
      <c r="BB131" s="35" t="str">
        <f t="shared" si="35"/>
        <v/>
      </c>
      <c r="BC131" s="35"/>
      <c r="BE131" s="35">
        <f ca="1">INDEX(SF_Output!$AA$2:$AA$400,MATCH($B131,SF_Output!$M$2:$M$400,0))</f>
        <v>6</v>
      </c>
      <c r="BF131" s="35">
        <f ca="1">INDEX(SF_Output!$AB$2:$AB$400,MATCH($B131,SF_Output!$M$2:$M$400,0))</f>
        <v>1</v>
      </c>
    </row>
    <row r="132" spans="2:58" x14ac:dyDescent="0.25">
      <c r="B132" t="s">
        <v>2425</v>
      </c>
      <c r="C132" t="s">
        <v>2122</v>
      </c>
      <c r="D132" t="s">
        <v>2207</v>
      </c>
      <c r="E132" t="s">
        <v>2124</v>
      </c>
      <c r="F132" s="116" t="str">
        <f t="shared" si="18"/>
        <v>Included</v>
      </c>
      <c r="G132" t="str">
        <f>IF(B132="","",INDEX(SF_Output!$K$1:$K$400,MATCH(B132,SF_Output!$M$1:$M$400,0)))</f>
        <v>Card Processing Solutions (CPS)</v>
      </c>
      <c r="H132" cm="1">
        <f t="array" ref="H132">_xlfn.IFS(B132="","",(SUMIFS(SF_Output!$F$1:$F$400,SF_Output!$AC$1:$AC$400,_xlfn.TEXTJOIN(",",TRUE,B132:E132))+SUMIFS(SF_Output!$G$1:$G$400,SF_Output!$AC$1:$AC$400,_xlfn.TEXTJOIN(",",TRUE,B132:E132)))&lt;&gt;0,SF_Output!$Y$2,INDEX(SF_Output!$F$1:$F$400,MATCH(_xlfn.TEXTJOIN(",",TRUE,B132:E132),SF_Output!$AC$1:$AC$400,0))=0,INDEX(SF_Output!$R$1:$R$400,MATCH(_xlfn.TEXTJOIN(",",TRUE,B132:E132),SF_Output!$AC$1:$AC$400,0)))</f>
        <v>0</v>
      </c>
      <c r="I132" s="125" t="str">
        <f>IFERROR(IF(AND(H132&gt;1,H132&lt;&gt;""),ROUND(SUMIFS(SF_Output!$S$1:$S$400,SF_Output!$AC$1:$AC$400,_xlfn.TEXTJOIN(",",TRUE,B132:E132),SF_Output!$Q$1:$Q$400,"monthly")*(1-W132)/H132,4),""),"")</f>
        <v/>
      </c>
      <c r="J132" s="6">
        <f>IF(B132="","",SUMIFS(SF_Output!$S$1:$S$400,SF_Output!$AC$1:$AC$400,_xlfn.TEXTJOIN(",",TRUE,B132:E132),SF_Output!$Q$1:$Q$400,"One Time",SF_Output!$L$1:$L$400,"license fee")+SUMIFS(SF_Output!$S$1:$S$400,SF_Output!$AC$1:$AC$400,_xlfn.TEXTJOIN(",",TRUE,B132:E132),SF_Output!$Q$1:$Q$400,"One Time",SF_Output!$L$1:$L$400,"software license")+SUMIFS(SF_Output!$S$1:$S$400,SF_Output!$AC$1:$AC$400,_xlfn.TEXTJOIN(",",TRUE,B132:E132),SF_Output!$Q$1:$Q$400,"One Time",SF_Output!$L$1:$L$400,"hardware"))</f>
        <v>0</v>
      </c>
      <c r="K132" s="112" t="str">
        <f>IF(OR(B132=0,B132="",G132="hardware",J132=0),"",IF(AF132&lt;&gt;"exclusion",MAX(K$9,-((SUMIFS(SF_Output!$T$1:$T$400,SF_Output!$AC$1:$AC$400,_xlfn.TEXTJOIN(",",TRUE,$B132:$E132),SF_Output!$Q$1:$Q$400,"One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license"))/J132)))</f>
        <v/>
      </c>
      <c r="L132" s="6">
        <f t="shared" si="19"/>
        <v>0</v>
      </c>
      <c r="N132" s="6">
        <f>IF(B132="","",SUMIFS(SF_Output!$S$1:$S$400,SF_Output!$AC$1:$AC$400,_xlfn.TEXTJOIN(",",TRUE,B132:E132),SF_Output!$Q$1:$Q$400,"One Time",SF_Output!$L$1:$L$400,"professional service"))</f>
        <v>0</v>
      </c>
      <c r="O132" s="112" t="str">
        <f>IF(OR(B132=0,B132="",N132=0),"",IF(AF132&lt;&gt;"exclusion",MAX(O$9,-(SUMIFS(SF_Output!$T$1:$T$400,SF_Output!$AC$1:$AC$400,_xlfn.TEXTJOIN(",",TRUE,$B132:$E132),SF_Output!$Q$1:$Q$400,"One Time",SF_Output!$L$1:$L$400,"professional service"))/N132),-((SUMIFS(SF_Output!$T$1:$T$400,SF_Output!$AC$1:$AC$400,_xlfn.TEXTJOIN(",",TRUE,$B132:$E132),SF_Output!$Q$1:$Q$400,"One Time",SF_Output!$L$1:$L$400,"professional service")/N132))))</f>
        <v/>
      </c>
      <c r="P132" s="6">
        <f t="shared" si="20"/>
        <v>0</v>
      </c>
      <c r="R132" s="6">
        <f>IF(B132="","",SUMIFS(SF_Output!$S$1:$S$400,SF_Output!$AC$1:$AC$400,_xlfn.TEXTJOIN(",",TRUE,B132:E132),SF_Output!$Q$1:$Q$400,"yearly")+SUMIFS(SF_Output!$S$1:$S$400,SF_Output!$AC$1:$AC$400,_xlfn.TEXTJOIN(",",TRUE,B132:E132),SF_Output!$Q$1:$Q$400,"quarterly")*4)</f>
        <v>0</v>
      </c>
      <c r="S132" s="112" t="str">
        <f>IF(OR(B132=0,B132="",G132="hardware",R132=0),"",IF(AF132&lt;&gt;"exclusion",MAX(S$9,-(SUMIFS(SF_Output!$T$1:$T$400,SF_Output!$AC$1:$AC$400,_xlfn.TEXTJOIN(",",TRUE,$B132:$E132),SF_Output!$Q$1:$Q$400,"yearly"))/R132),-((SUMIFS(SF_Output!$T$1:$T$400,SF_Output!$AC$1:$AC$400,_xlfn.TEXTJOIN(",",TRUE,$B132:$E132),SF_Output!$Q$1:$Q$400,"yearly")/R132))))</f>
        <v/>
      </c>
      <c r="T132" s="6">
        <f t="shared" si="21"/>
        <v>0</v>
      </c>
      <c r="V132" s="6" cm="1">
        <f t="array" ref="V132">_xlfn.IFS(B132="","",AND(B132&lt;&gt;"",H132=SF_Output!$Y$2,SUMIFS(SF_Output!$T$1:$T$400,SF_Output!$AC$1:$AC$400,_xlfn.TEXTJOIN(",",TRUE,B132:E132),SF_Output!$Q$1:$Q$400,"monthly")=0),(SUMIFS(SF_Output!$F$1:$F$400,SF_Output!$AC$1:$AC$400,_xlfn.TEXTJOIN(",",TRUE,B132:E132),SF_Output!$Q$1:$Q$400,"monthly")+SUMIFS(SF_Output!$G$1:$G$400,SF_Output!$AC$1:$AC$400,_xlfn.TEXTJOIN(",",TRUE,B132:E132),SF_Output!$Q$1:$Q$400,"monthly"))*H132,AND(B132&lt;&gt;"",H132=SF_Output!$Y$2,SUMIFS(SF_Output!$T$1:$T$400,SF_Output!$AC$1:$AC$400,_xlfn.TEXTJOIN(",",TRUE,B132:E132),SF_Output!$Q$1:$Q$400,"monthly")&lt;&gt;0),SUMIFS(SF_Output!$S$1:$S$400,SF_Output!$AC$1:$AC$400,_xlfn.TEXTJOIN(",",TRUE,B132:E132),SF_Output!$Q$1:$Q$400,"monthly"),AND(B132&lt;&gt;"",H132&lt;&gt;SF_Output!$Y$2),SUMIFS(SF_Output!$S$1:$S$400,SF_Output!$AC$1:$AC$400,_xlfn.TEXTJOIN(",",TRUE,B132:E132),SF_Output!$Q$1:$Q$400,"monthly"))</f>
        <v>0</v>
      </c>
      <c r="W132" s="112" t="str" cm="1">
        <f t="array" ref="W132">_xlfn.IFS(OR(B132=0,B132="",V132=0),"",AF132&lt;&gt;"exclusion",MAX($W$9,$W$7,(-(SUMIFS(SF_Output!$T$1:$T$400,SF_Output!$AC$1:$AC$400,_xlfn.TEXTJOIN(",",TRUE,$B132:$E132),SF_Output!$Q$1:$Q$400,"monthly"))/V132)),AF132="exclusion",-(SUMIFS(SF_Output!$T$1:$T$400,SF_Output!$AC$1:$AC$400,_xlfn.TEXTJOIN(",",TRUE,$B132:$E132),SF_Output!$Q$1:$Q$400,"monthly"))/V132)</f>
        <v/>
      </c>
      <c r="X132" s="6" cm="1">
        <f t="array" ref="X132">IFERROR(_xlfn.IFS(V132=0,0,V132="","",W132=0,V132,OR(V132&lt;&gt;0,V132&lt;&gt;""),H132*I132),V132*(1-W132))</f>
        <v>0</v>
      </c>
      <c r="Z132" s="6">
        <f>IFERROR(IF(B132="","",SUMIFS(Billing_Fallout!H:H,Billing_Fallout!N:N,B132)),0)</f>
        <v>0</v>
      </c>
      <c r="AA132" s="6">
        <f t="shared" si="22"/>
        <v>0</v>
      </c>
      <c r="AB132" s="6">
        <f>IFERROR(IF(B132="","",SUMIFS(Billing_Fallout!J:J,Billing_Fallout!N:N,B132)),0)</f>
        <v>0</v>
      </c>
      <c r="AD132" s="6">
        <f t="shared" si="23"/>
        <v>0</v>
      </c>
      <c r="AF132" t="str">
        <f>IFERROR(INDEX(H_Tables!$B$1:$B$1500,MATCH(INDEX(SF_Output!$J$1:$J$400,MATCH(B132,SF_Output!$M$1:$M$400,0)),H_Tables!$A$1:$A$1500,0)),"")</f>
        <v>Exclusion</v>
      </c>
      <c r="AI132" s="119" t="str">
        <f t="shared" si="24"/>
        <v/>
      </c>
      <c r="AJ132" s="121">
        <f>IFERROR(INDEX(SF_Output!AD:AD,MATCH(_xlfn.TEXTJOIN(",",TRUE,B132:E132),SF_Output!AC1:AC400,0)),0.05)</f>
        <v>214</v>
      </c>
      <c r="AK132" t="str">
        <f>IF(SUMIFS(SF_Output!$F$1:$F$400,SF_Output!$AC$1:$AC$400,_xlfn.TEXTJOIN(",",TRUE,B132:E132))+SUMIFS(SF_Output!$G$1:$G$400,SF_Output!$AC$1:$AC$400,_xlfn.TEXTJOIN(",",TRUE,B132:E132))=0,"","PAP")</f>
        <v/>
      </c>
      <c r="AL132" s="35" t="str">
        <f t="shared" si="25"/>
        <v>Fraud Alert Case Management JHA Debit Processing,New,Hosted by 3rd Party,0</v>
      </c>
      <c r="AQ132" s="35"/>
      <c r="AR132" s="35" t="str" cm="1">
        <f t="array" ref="AR132">IFERROR(_xlfn.IFS(AND(E132*1=1,F132="Included"),"Change to Included",AND(E132*1=0,F132="Optional"),"Change to Optional",OR(B132="",F132="replaced"),""),"")</f>
        <v/>
      </c>
      <c r="AS132" s="35" t="str">
        <f t="shared" si="26"/>
        <v/>
      </c>
      <c r="AT132" s="35" t="str">
        <f t="shared" si="27"/>
        <v/>
      </c>
      <c r="AU132" s="35" t="str">
        <f t="shared" si="28"/>
        <v/>
      </c>
      <c r="AV132" s="35" t="str">
        <f t="shared" si="29"/>
        <v/>
      </c>
      <c r="AW132" s="35" t="str">
        <f t="shared" si="30"/>
        <v/>
      </c>
      <c r="AX132" s="35" t="str">
        <f t="shared" si="31"/>
        <v/>
      </c>
      <c r="AY132" s="35" t="str">
        <f t="shared" si="32"/>
        <v/>
      </c>
      <c r="AZ132" s="35" t="str">
        <f t="shared" si="33"/>
        <v/>
      </c>
      <c r="BA132" s="35" t="str">
        <f t="shared" si="34"/>
        <v/>
      </c>
      <c r="BB132" s="35" t="str">
        <f t="shared" si="35"/>
        <v/>
      </c>
      <c r="BC132" s="35"/>
      <c r="BE132" s="35">
        <f ca="1">INDEX(SF_Output!$AA$2:$AA$400,MATCH($B132,SF_Output!$M$2:$M$400,0))</f>
        <v>6</v>
      </c>
      <c r="BF132" s="35">
        <f ca="1">INDEX(SF_Output!$AB$2:$AB$400,MATCH($B132,SF_Output!$M$2:$M$400,0))</f>
        <v>1</v>
      </c>
    </row>
    <row r="133" spans="2:58" x14ac:dyDescent="0.25">
      <c r="B133" t="s">
        <v>2427</v>
      </c>
      <c r="C133" t="s">
        <v>2122</v>
      </c>
      <c r="D133" t="s">
        <v>2207</v>
      </c>
      <c r="E133" t="s">
        <v>2124</v>
      </c>
      <c r="F133" s="116" t="str">
        <f t="shared" si="18"/>
        <v>Included</v>
      </c>
      <c r="G133" t="str">
        <f>IF(B133="","",INDEX(SF_Output!$K$1:$K$400,MATCH(B133,SF_Output!$M$1:$M$400,0)))</f>
        <v>Card Processing Solutions (CPS)</v>
      </c>
      <c r="H133" cm="1">
        <f t="array" ref="H133">_xlfn.IFS(B133="","",(SUMIFS(SF_Output!$F$1:$F$400,SF_Output!$AC$1:$AC$400,_xlfn.TEXTJOIN(",",TRUE,B133:E133))+SUMIFS(SF_Output!$G$1:$G$400,SF_Output!$AC$1:$AC$400,_xlfn.TEXTJOIN(",",TRUE,B133:E133)))&lt;&gt;0,SF_Output!$Y$2,INDEX(SF_Output!$F$1:$F$400,MATCH(_xlfn.TEXTJOIN(",",TRUE,B133:E133),SF_Output!$AC$1:$AC$400,0))=0,INDEX(SF_Output!$R$1:$R$400,MATCH(_xlfn.TEXTJOIN(",",TRUE,B133:E133),SF_Output!$AC$1:$AC$400,0)))</f>
        <v>1</v>
      </c>
      <c r="I133" s="125" t="str">
        <f>IFERROR(IF(AND(H133&gt;1,H133&lt;&gt;""),ROUND(SUMIFS(SF_Output!$S$1:$S$400,SF_Output!$AC$1:$AC$400,_xlfn.TEXTJOIN(",",TRUE,B133:E133),SF_Output!$Q$1:$Q$400,"monthly")*(1-W133)/H133,4),""),"")</f>
        <v/>
      </c>
      <c r="J133" s="6">
        <f>IF(B133="","",SUMIFS(SF_Output!$S$1:$S$400,SF_Output!$AC$1:$AC$400,_xlfn.TEXTJOIN(",",TRUE,B133:E133),SF_Output!$Q$1:$Q$400,"One Time",SF_Output!$L$1:$L$400,"license fee")+SUMIFS(SF_Output!$S$1:$S$400,SF_Output!$AC$1:$AC$400,_xlfn.TEXTJOIN(",",TRUE,B133:E133),SF_Output!$Q$1:$Q$400,"One Time",SF_Output!$L$1:$L$400,"software license")+SUMIFS(SF_Output!$S$1:$S$400,SF_Output!$AC$1:$AC$400,_xlfn.TEXTJOIN(",",TRUE,B133:E133),SF_Output!$Q$1:$Q$400,"One Time",SF_Output!$L$1:$L$400,"hardware"))</f>
        <v>0</v>
      </c>
      <c r="K133" s="112" t="str">
        <f>IF(OR(B133=0,B133="",G133="hardware",J133=0),"",IF(AF133&lt;&gt;"exclusion",MAX(K$9,-((SUMIFS(SF_Output!$T$1:$T$400,SF_Output!$AC$1:$AC$400,_xlfn.TEXTJOIN(",",TRUE,$B133:$E133),SF_Output!$Q$1:$Q$400,"One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license"))/J133)))</f>
        <v/>
      </c>
      <c r="L133" s="6">
        <f t="shared" si="19"/>
        <v>0</v>
      </c>
      <c r="N133" s="6">
        <f>IF(B133="","",SUMIFS(SF_Output!$S$1:$S$400,SF_Output!$AC$1:$AC$400,_xlfn.TEXTJOIN(",",TRUE,B133:E133),SF_Output!$Q$1:$Q$400,"One Time",SF_Output!$L$1:$L$400,"professional service"))</f>
        <v>600</v>
      </c>
      <c r="O133" s="112">
        <f>IF(OR(B133=0,B133="",N133=0),"",IF(AF133&lt;&gt;"exclusion",MAX(O$9,-(SUMIFS(SF_Output!$T$1:$T$400,SF_Output!$AC$1:$AC$400,_xlfn.TEXTJOIN(",",TRUE,$B133:$E133),SF_Output!$Q$1:$Q$400,"One Time",SF_Output!$L$1:$L$400,"professional service"))/N133),-((SUMIFS(SF_Output!$T$1:$T$400,SF_Output!$AC$1:$AC$400,_xlfn.TEXTJOIN(",",TRUE,$B133:$E133),SF_Output!$Q$1:$Q$400,"One Time",SF_Output!$L$1:$L$400,"professional service")/N133))))</f>
        <v>1</v>
      </c>
      <c r="P133" s="6">
        <f t="shared" si="20"/>
        <v>0</v>
      </c>
      <c r="R133" s="6">
        <f>IF(B133="","",SUMIFS(SF_Output!$S$1:$S$400,SF_Output!$AC$1:$AC$400,_xlfn.TEXTJOIN(",",TRUE,B133:E133),SF_Output!$Q$1:$Q$400,"yearly")+SUMIFS(SF_Output!$S$1:$S$400,SF_Output!$AC$1:$AC$400,_xlfn.TEXTJOIN(",",TRUE,B133:E133),SF_Output!$Q$1:$Q$400,"quarterly")*4)</f>
        <v>0</v>
      </c>
      <c r="S133" s="112" t="str">
        <f>IF(OR(B133=0,B133="",G133="hardware",R133=0),"",IF(AF133&lt;&gt;"exclusion",MAX(S$9,-(SUMIFS(SF_Output!$T$1:$T$400,SF_Output!$AC$1:$AC$400,_xlfn.TEXTJOIN(",",TRUE,$B133:$E133),SF_Output!$Q$1:$Q$400,"yearly"))/R133),-((SUMIFS(SF_Output!$T$1:$T$400,SF_Output!$AC$1:$AC$400,_xlfn.TEXTJOIN(",",TRUE,$B133:$E133),SF_Output!$Q$1:$Q$400,"yearly")/R133))))</f>
        <v/>
      </c>
      <c r="T133" s="6">
        <f t="shared" si="21"/>
        <v>0</v>
      </c>
      <c r="V133" s="6" cm="1">
        <f t="array" ref="V133">_xlfn.IFS(B133="","",AND(B133&lt;&gt;"",H133=SF_Output!$Y$2,SUMIFS(SF_Output!$T$1:$T$400,SF_Output!$AC$1:$AC$400,_xlfn.TEXTJOIN(",",TRUE,B133:E133),SF_Output!$Q$1:$Q$400,"monthly")=0),(SUMIFS(SF_Output!$F$1:$F$400,SF_Output!$AC$1:$AC$400,_xlfn.TEXTJOIN(",",TRUE,B133:E133),SF_Output!$Q$1:$Q$400,"monthly")+SUMIFS(SF_Output!$G$1:$G$400,SF_Output!$AC$1:$AC$400,_xlfn.TEXTJOIN(",",TRUE,B133:E133),SF_Output!$Q$1:$Q$400,"monthly"))*H133,AND(B133&lt;&gt;"",H133=SF_Output!$Y$2,SUMIFS(SF_Output!$T$1:$T$400,SF_Output!$AC$1:$AC$400,_xlfn.TEXTJOIN(",",TRUE,B133:E133),SF_Output!$Q$1:$Q$400,"monthly")&lt;&gt;0),SUMIFS(SF_Output!$S$1:$S$400,SF_Output!$AC$1:$AC$400,_xlfn.TEXTJOIN(",",TRUE,B133:E133),SF_Output!$Q$1:$Q$400,"monthly"),AND(B133&lt;&gt;"",H133&lt;&gt;SF_Output!$Y$2),SUMIFS(SF_Output!$S$1:$S$400,SF_Output!$AC$1:$AC$400,_xlfn.TEXTJOIN(",",TRUE,B133:E133),SF_Output!$Q$1:$Q$400,"monthly"))</f>
        <v>50</v>
      </c>
      <c r="W133" s="112" cm="1">
        <f t="array" ref="W133">_xlfn.IFS(OR(B133=0,B133="",V133=0),"",AF133&lt;&gt;"exclusion",MAX($W$9,$W$7,(-(SUMIFS(SF_Output!$T$1:$T$400,SF_Output!$AC$1:$AC$400,_xlfn.TEXTJOIN(",",TRUE,$B133:$E133),SF_Output!$Q$1:$Q$400,"monthly"))/V133)),AF133="exclusion",-(SUMIFS(SF_Output!$T$1:$T$400,SF_Output!$AC$1:$AC$400,_xlfn.TEXTJOIN(",",TRUE,$B133:$E133),SF_Output!$Q$1:$Q$400,"monthly"))/V133)</f>
        <v>0</v>
      </c>
      <c r="X133" s="6" cm="1">
        <f t="array" ref="X133">IFERROR(_xlfn.IFS(V133=0,0,V133="","",W133=0,V133,OR(V133&lt;&gt;0,V133&lt;&gt;""),H133*I133),V133*(1-W133))</f>
        <v>50</v>
      </c>
      <c r="Z133" s="6">
        <f>IFERROR(IF(B133="","",SUMIFS(Billing_Fallout!H:H,Billing_Fallout!N:N,B133)),0)</f>
        <v>0</v>
      </c>
      <c r="AA133" s="6">
        <f t="shared" si="22"/>
        <v>0</v>
      </c>
      <c r="AB133" s="6">
        <f>IFERROR(IF(B133="","",SUMIFS(Billing_Fallout!J:J,Billing_Fallout!N:N,B133)),0)</f>
        <v>0</v>
      </c>
      <c r="AD133" s="6">
        <f t="shared" si="23"/>
        <v>50</v>
      </c>
      <c r="AF133" t="str">
        <f>IFERROR(INDEX(H_Tables!$B$1:$B$1500,MATCH(INDEX(SF_Output!$J$1:$J$400,MATCH(B133,SF_Output!$M$1:$M$400,0)),H_Tables!$A$1:$A$1500,0)),"")</f>
        <v>Exclusion</v>
      </c>
      <c r="AI133" s="119" t="str">
        <f t="shared" si="24"/>
        <v/>
      </c>
      <c r="AJ133" s="121">
        <f>IFERROR(INDEX(SF_Output!AD:AD,MATCH(_xlfn.TEXTJOIN(",",TRUE,B133:E133),SF_Output!AC1:AC400,0)),0.05)</f>
        <v>215</v>
      </c>
      <c r="AK133" t="str">
        <f>IF(SUMIFS(SF_Output!$F$1:$F$400,SF_Output!$AC$1:$AC$400,_xlfn.TEXTJOIN(",",TRUE,B133:E133))+SUMIFS(SF_Output!$G$1:$G$400,SF_Output!$AC$1:$AC$400,_xlfn.TEXTJOIN(",",TRUE,B133:E133))=0,"","PAP")</f>
        <v/>
      </c>
      <c r="AL133" s="35" t="str">
        <f t="shared" si="25"/>
        <v>Two-Way Connect Cardholder Alerts JHA Debit Processing,New,Hosted by 3rd Party,0</v>
      </c>
      <c r="AQ133" s="35"/>
      <c r="AR133" s="35" t="str" cm="1">
        <f t="array" ref="AR133">IFERROR(_xlfn.IFS(AND(E133*1=1,F133="Included"),"Change to Included",AND(E133*1=0,F133="Optional"),"Change to Optional",OR(B133="",F133="replaced"),""),"")</f>
        <v/>
      </c>
      <c r="AS133" s="35" t="str">
        <f t="shared" si="26"/>
        <v/>
      </c>
      <c r="AT133" s="35" t="str">
        <f t="shared" si="27"/>
        <v/>
      </c>
      <c r="AU133" s="35" t="str">
        <f t="shared" si="28"/>
        <v/>
      </c>
      <c r="AV133" s="35" t="str">
        <f t="shared" si="29"/>
        <v/>
      </c>
      <c r="AW133" s="35" t="str">
        <f t="shared" si="30"/>
        <v/>
      </c>
      <c r="AX133" s="35" t="str">
        <f t="shared" si="31"/>
        <v/>
      </c>
      <c r="AY133" s="35" t="str">
        <f t="shared" si="32"/>
        <v/>
      </c>
      <c r="AZ133" s="35" t="str">
        <f t="shared" si="33"/>
        <v/>
      </c>
      <c r="BA133" s="35" t="str">
        <f t="shared" si="34"/>
        <v/>
      </c>
      <c r="BB133" s="35" t="str">
        <f t="shared" si="35"/>
        <v/>
      </c>
      <c r="BC133" s="35"/>
      <c r="BE133" s="35">
        <f ca="1">INDEX(SF_Output!$AA$2:$AA$400,MATCH($B133,SF_Output!$M$2:$M$400,0))</f>
        <v>6</v>
      </c>
      <c r="BF133" s="35">
        <f ca="1">INDEX(SF_Output!$AB$2:$AB$400,MATCH($B133,SF_Output!$M$2:$M$400,0))</f>
        <v>1</v>
      </c>
    </row>
    <row r="134" spans="2:58" x14ac:dyDescent="0.25">
      <c r="B134" t="s">
        <v>1825</v>
      </c>
      <c r="C134" t="s">
        <v>2122</v>
      </c>
      <c r="D134" t="s">
        <v>2207</v>
      </c>
      <c r="E134" t="s">
        <v>2124</v>
      </c>
      <c r="F134" s="116" t="str">
        <f t="shared" si="18"/>
        <v>Included</v>
      </c>
      <c r="G134" t="str">
        <f>IF(B134="","",INDEX(SF_Output!$K$1:$K$400,MATCH(B134,SF_Output!$M$1:$M$400,0)))</f>
        <v>Card Processing Solutions (CPS)</v>
      </c>
      <c r="H134" cm="1">
        <f t="array" ref="H134">_xlfn.IFS(B134="","",(SUMIFS(SF_Output!$F$1:$F$400,SF_Output!$AC$1:$AC$400,_xlfn.TEXTJOIN(",",TRUE,B134:E134))+SUMIFS(SF_Output!$G$1:$G$400,SF_Output!$AC$1:$AC$400,_xlfn.TEXTJOIN(",",TRUE,B134:E134)))&lt;&gt;0,SF_Output!$Y$2,INDEX(SF_Output!$F$1:$F$400,MATCH(_xlfn.TEXTJOIN(",",TRUE,B134:E134),SF_Output!$AC$1:$AC$400,0))=0,INDEX(SF_Output!$R$1:$R$400,MATCH(_xlfn.TEXTJOIN(",",TRUE,B134:E134),SF_Output!$AC$1:$AC$400,0)))</f>
        <v>1</v>
      </c>
      <c r="I134" s="125" t="str">
        <f>IFERROR(IF(AND(H134&gt;1,H134&lt;&gt;""),ROUND(SUMIFS(SF_Output!$S$1:$S$400,SF_Output!$AC$1:$AC$400,_xlfn.TEXTJOIN(",",TRUE,B134:E134),SF_Output!$Q$1:$Q$400,"monthly")*(1-W134)/H134,4),""),"")</f>
        <v/>
      </c>
      <c r="J134" s="6">
        <f>IF(B134="","",SUMIFS(SF_Output!$S$1:$S$400,SF_Output!$AC$1:$AC$400,_xlfn.TEXTJOIN(",",TRUE,B134:E134),SF_Output!$Q$1:$Q$400,"One Time",SF_Output!$L$1:$L$400,"license fee")+SUMIFS(SF_Output!$S$1:$S$400,SF_Output!$AC$1:$AC$400,_xlfn.TEXTJOIN(",",TRUE,B134:E134),SF_Output!$Q$1:$Q$400,"One Time",SF_Output!$L$1:$L$400,"software license")+SUMIFS(SF_Output!$S$1:$S$400,SF_Output!$AC$1:$AC$400,_xlfn.TEXTJOIN(",",TRUE,B134:E134),SF_Output!$Q$1:$Q$400,"One Time",SF_Output!$L$1:$L$400,"hardware"))</f>
        <v>0</v>
      </c>
      <c r="K134" s="112" t="str">
        <f>IF(OR(B134=0,B134="",G134="hardware",J134=0),"",IF(AF134&lt;&gt;"exclusion",MAX(K$9,-((SUMIFS(SF_Output!$T$1:$T$400,SF_Output!$AC$1:$AC$400,_xlfn.TEXTJOIN(",",TRUE,$B134:$E134),SF_Output!$Q$1:$Q$400,"One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license"))/J134)))</f>
        <v/>
      </c>
      <c r="L134" s="6">
        <f t="shared" si="19"/>
        <v>0</v>
      </c>
      <c r="N134" s="6">
        <f>IF(B134="","",SUMIFS(SF_Output!$S$1:$S$400,SF_Output!$AC$1:$AC$400,_xlfn.TEXTJOIN(",",TRUE,B134:E134),SF_Output!$Q$1:$Q$400,"One Time",SF_Output!$L$1:$L$400,"professional service"))</f>
        <v>1500</v>
      </c>
      <c r="O134" s="112">
        <f>IF(OR(B134=0,B134="",N134=0),"",IF(AF134&lt;&gt;"exclusion",MAX(O$9,-(SUMIFS(SF_Output!$T$1:$T$400,SF_Output!$AC$1:$AC$400,_xlfn.TEXTJOIN(",",TRUE,$B134:$E134),SF_Output!$Q$1:$Q$400,"One Time",SF_Output!$L$1:$L$400,"professional service"))/N134),-((SUMIFS(SF_Output!$T$1:$T$400,SF_Output!$AC$1:$AC$400,_xlfn.TEXTJOIN(",",TRUE,$B134:$E134),SF_Output!$Q$1:$Q$400,"One Time",SF_Output!$L$1:$L$400,"professional service")/N134))))</f>
        <v>1</v>
      </c>
      <c r="P134" s="6">
        <f t="shared" si="20"/>
        <v>0</v>
      </c>
      <c r="R134" s="6">
        <f>IF(B134="","",SUMIFS(SF_Output!$S$1:$S$400,SF_Output!$AC$1:$AC$400,_xlfn.TEXTJOIN(",",TRUE,B134:E134),SF_Output!$Q$1:$Q$400,"yearly")+SUMIFS(SF_Output!$S$1:$S$400,SF_Output!$AC$1:$AC$400,_xlfn.TEXTJOIN(",",TRUE,B134:E134),SF_Output!$Q$1:$Q$400,"quarterly")*4)</f>
        <v>0</v>
      </c>
      <c r="S134" s="112" t="str">
        <f>IF(OR(B134=0,B134="",G134="hardware",R134=0),"",IF(AF134&lt;&gt;"exclusion",MAX(S$9,-(SUMIFS(SF_Output!$T$1:$T$400,SF_Output!$AC$1:$AC$400,_xlfn.TEXTJOIN(",",TRUE,$B134:$E134),SF_Output!$Q$1:$Q$400,"yearly"))/R134),-((SUMIFS(SF_Output!$T$1:$T$400,SF_Output!$AC$1:$AC$400,_xlfn.TEXTJOIN(",",TRUE,$B134:$E134),SF_Output!$Q$1:$Q$400,"yearly")/R134))))</f>
        <v/>
      </c>
      <c r="T134" s="6">
        <f t="shared" si="21"/>
        <v>0</v>
      </c>
      <c r="V134" s="6" cm="1">
        <f t="array" ref="V134">_xlfn.IFS(B134="","",AND(B134&lt;&gt;"",H134=SF_Output!$Y$2,SUMIFS(SF_Output!$T$1:$T$400,SF_Output!$AC$1:$AC$400,_xlfn.TEXTJOIN(",",TRUE,B134:E134),SF_Output!$Q$1:$Q$400,"monthly")=0),(SUMIFS(SF_Output!$F$1:$F$400,SF_Output!$AC$1:$AC$400,_xlfn.TEXTJOIN(",",TRUE,B134:E134),SF_Output!$Q$1:$Q$400,"monthly")+SUMIFS(SF_Output!$G$1:$G$400,SF_Output!$AC$1:$AC$400,_xlfn.TEXTJOIN(",",TRUE,B134:E134),SF_Output!$Q$1:$Q$400,"monthly"))*H134,AND(B134&lt;&gt;"",H134=SF_Output!$Y$2,SUMIFS(SF_Output!$T$1:$T$400,SF_Output!$AC$1:$AC$400,_xlfn.TEXTJOIN(",",TRUE,B134:E134),SF_Output!$Q$1:$Q$400,"monthly")&lt;&gt;0),SUMIFS(SF_Output!$S$1:$S$400,SF_Output!$AC$1:$AC$400,_xlfn.TEXTJOIN(",",TRUE,B134:E134),SF_Output!$Q$1:$Q$400,"monthly"),AND(B134&lt;&gt;"",H134&lt;&gt;SF_Output!$Y$2),SUMIFS(SF_Output!$S$1:$S$400,SF_Output!$AC$1:$AC$400,_xlfn.TEXTJOIN(",",TRUE,B134:E134),SF_Output!$Q$1:$Q$400,"monthly"))</f>
        <v>150</v>
      </c>
      <c r="W134" s="112" cm="1">
        <f t="array" ref="W134">_xlfn.IFS(OR(B134=0,B134="",V134=0),"",AF134&lt;&gt;"exclusion",MAX($W$9,$W$7,(-(SUMIFS(SF_Output!$T$1:$T$400,SF_Output!$AC$1:$AC$400,_xlfn.TEXTJOIN(",",TRUE,$B134:$E134),SF_Output!$Q$1:$Q$400,"monthly"))/V134)),AF134="exclusion",-(SUMIFS(SF_Output!$T$1:$T$400,SF_Output!$AC$1:$AC$400,_xlfn.TEXTJOIN(",",TRUE,$B134:$E134),SF_Output!$Q$1:$Q$400,"monthly"))/V134)</f>
        <v>0</v>
      </c>
      <c r="X134" s="6" cm="1">
        <f t="array" ref="X134">IFERROR(_xlfn.IFS(V134=0,0,V134="","",W134=0,V134,OR(V134&lt;&gt;0,V134&lt;&gt;""),H134*I134),V134*(1-W134))</f>
        <v>150</v>
      </c>
      <c r="Z134" s="6">
        <f>IFERROR(IF(B134="","",SUMIFS(Billing_Fallout!H:H,Billing_Fallout!N:N,B134)),0)</f>
        <v>0</v>
      </c>
      <c r="AA134" s="6">
        <f t="shared" si="22"/>
        <v>0</v>
      </c>
      <c r="AB134" s="6">
        <f>IFERROR(IF(B134="","",SUMIFS(Billing_Fallout!J:J,Billing_Fallout!N:N,B134)),0)</f>
        <v>0</v>
      </c>
      <c r="AD134" s="6">
        <f t="shared" si="23"/>
        <v>150</v>
      </c>
      <c r="AF134" t="str">
        <f>IFERROR(INDEX(H_Tables!$B$1:$B$1500,MATCH(INDEX(SF_Output!$J$1:$J$400,MATCH(B134,SF_Output!$M$1:$M$400,0)),H_Tables!$A$1:$A$1500,0)),"")</f>
        <v>Exclusion</v>
      </c>
      <c r="AI134" s="119" t="str">
        <f t="shared" si="24"/>
        <v/>
      </c>
      <c r="AJ134" s="121">
        <f>IFERROR(INDEX(SF_Output!AD:AD,MATCH(_xlfn.TEXTJOIN(",",TRUE,B134:E134),SF_Output!AC1:AC400,0)),0.05)</f>
        <v>217</v>
      </c>
      <c r="AK134" t="str">
        <f>IF(SUMIFS(SF_Output!$F$1:$F$400,SF_Output!$AC$1:$AC$400,_xlfn.TEXTJOIN(",",TRUE,B134:E134))+SUMIFS(SF_Output!$G$1:$G$400,SF_Output!$AC$1:$AC$400,_xlfn.TEXTJOIN(",",TRUE,B134:E134))=0,"","PAP")</f>
        <v/>
      </c>
      <c r="AL134" s="35" t="str">
        <f t="shared" si="25"/>
        <v>Full-Service Chargeback Dispute Processing JHA Debit Processing,New,Hosted by 3r</v>
      </c>
      <c r="AQ134" s="35"/>
      <c r="AR134" s="35" t="str" cm="1">
        <f t="array" ref="AR134">IFERROR(_xlfn.IFS(AND(E134*1=1,F134="Included"),"Change to Included",AND(E134*1=0,F134="Optional"),"Change to Optional",OR(B134="",F134="replaced"),""),"")</f>
        <v/>
      </c>
      <c r="AS134" s="35" t="str">
        <f t="shared" si="26"/>
        <v/>
      </c>
      <c r="AT134" s="35" t="str">
        <f t="shared" si="27"/>
        <v/>
      </c>
      <c r="AU134" s="35" t="str">
        <f t="shared" si="28"/>
        <v/>
      </c>
      <c r="AV134" s="35" t="str">
        <f t="shared" si="29"/>
        <v/>
      </c>
      <c r="AW134" s="35" t="str">
        <f t="shared" si="30"/>
        <v/>
      </c>
      <c r="AX134" s="35" t="str">
        <f t="shared" si="31"/>
        <v/>
      </c>
      <c r="AY134" s="35" t="str">
        <f t="shared" si="32"/>
        <v/>
      </c>
      <c r="AZ134" s="35" t="str">
        <f t="shared" si="33"/>
        <v/>
      </c>
      <c r="BA134" s="35" t="str">
        <f t="shared" si="34"/>
        <v/>
      </c>
      <c r="BB134" s="35" t="str">
        <f t="shared" si="35"/>
        <v/>
      </c>
      <c r="BC134" s="35"/>
      <c r="BE134" s="35">
        <f ca="1">INDEX(SF_Output!$AA$2:$AA$400,MATCH($B134,SF_Output!$M$2:$M$400,0))</f>
        <v>6</v>
      </c>
      <c r="BF134" s="35">
        <f ca="1">INDEX(SF_Output!$AB$2:$AB$400,MATCH($B134,SF_Output!$M$2:$M$400,0))</f>
        <v>1</v>
      </c>
    </row>
    <row r="135" spans="2:58" x14ac:dyDescent="0.25">
      <c r="B135" t="s">
        <v>2432</v>
      </c>
      <c r="C135" t="s">
        <v>2122</v>
      </c>
      <c r="D135" t="s">
        <v>2207</v>
      </c>
      <c r="E135" t="s">
        <v>2124</v>
      </c>
      <c r="F135" s="116" t="str">
        <f t="shared" si="18"/>
        <v>Included</v>
      </c>
      <c r="G135" t="str">
        <f>IF(B135="","",INDEX(SF_Output!$K$1:$K$400,MATCH(B135,SF_Output!$M$1:$M$400,0)))</f>
        <v>Card Processing Solutions (CPS)</v>
      </c>
      <c r="H135" cm="1">
        <f t="array" ref="H135">_xlfn.IFS(B135="","",(SUMIFS(SF_Output!$F$1:$F$400,SF_Output!$AC$1:$AC$400,_xlfn.TEXTJOIN(",",TRUE,B135:E135))+SUMIFS(SF_Output!$G$1:$G$400,SF_Output!$AC$1:$AC$400,_xlfn.TEXTJOIN(",",TRUE,B135:E135)))&lt;&gt;0,SF_Output!$Y$2,INDEX(SF_Output!$F$1:$F$400,MATCH(_xlfn.TEXTJOIN(",",TRUE,B135:E135),SF_Output!$AC$1:$AC$400,0))=0,INDEX(SF_Output!$R$1:$R$400,MATCH(_xlfn.TEXTJOIN(",",TRUE,B135:E135),SF_Output!$AC$1:$AC$400,0)))</f>
        <v>0</v>
      </c>
      <c r="I135" s="125" t="str">
        <f>IFERROR(IF(AND(H135&gt;1,H135&lt;&gt;""),ROUND(SUMIFS(SF_Output!$S$1:$S$400,SF_Output!$AC$1:$AC$400,_xlfn.TEXTJOIN(",",TRUE,B135:E135),SF_Output!$Q$1:$Q$400,"monthly")*(1-W135)/H135,4),""),"")</f>
        <v/>
      </c>
      <c r="J135" s="6">
        <f>IF(B135="","",SUMIFS(SF_Output!$S$1:$S$400,SF_Output!$AC$1:$AC$400,_xlfn.TEXTJOIN(",",TRUE,B135:E135),SF_Output!$Q$1:$Q$400,"One Time",SF_Output!$L$1:$L$400,"license fee")+SUMIFS(SF_Output!$S$1:$S$400,SF_Output!$AC$1:$AC$400,_xlfn.TEXTJOIN(",",TRUE,B135:E135),SF_Output!$Q$1:$Q$400,"One Time",SF_Output!$L$1:$L$400,"software license")+SUMIFS(SF_Output!$S$1:$S$400,SF_Output!$AC$1:$AC$400,_xlfn.TEXTJOIN(",",TRUE,B135:E135),SF_Output!$Q$1:$Q$400,"One Time",SF_Output!$L$1:$L$400,"hardware"))</f>
        <v>0</v>
      </c>
      <c r="K135" s="112" t="str">
        <f>IF(OR(B135=0,B135="",G135="hardware",J135=0),"",IF(AF135&lt;&gt;"exclusion",MAX(K$9,-((SUMIFS(SF_Output!$T$1:$T$400,SF_Output!$AC$1:$AC$400,_xlfn.TEXTJOIN(",",TRUE,$B135:$E135),SF_Output!$Q$1:$Q$400,"One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license"))/J135)))</f>
        <v/>
      </c>
      <c r="L135" s="6">
        <f t="shared" si="19"/>
        <v>0</v>
      </c>
      <c r="N135" s="6">
        <f>IF(B135="","",SUMIFS(SF_Output!$S$1:$S$400,SF_Output!$AC$1:$AC$400,_xlfn.TEXTJOIN(",",TRUE,B135:E135),SF_Output!$Q$1:$Q$400,"One Time",SF_Output!$L$1:$L$400,"professional service"))</f>
        <v>0</v>
      </c>
      <c r="O135" s="112" t="str">
        <f>IF(OR(B135=0,B135="",N135=0),"",IF(AF135&lt;&gt;"exclusion",MAX(O$9,-(SUMIFS(SF_Output!$T$1:$T$400,SF_Output!$AC$1:$AC$400,_xlfn.TEXTJOIN(",",TRUE,$B135:$E135),SF_Output!$Q$1:$Q$400,"One Time",SF_Output!$L$1:$L$400,"professional service"))/N135),-((SUMIFS(SF_Output!$T$1:$T$400,SF_Output!$AC$1:$AC$400,_xlfn.TEXTJOIN(",",TRUE,$B135:$E135),SF_Output!$Q$1:$Q$400,"One Time",SF_Output!$L$1:$L$400,"professional service")/N135))))</f>
        <v/>
      </c>
      <c r="P135" s="6">
        <f t="shared" si="20"/>
        <v>0</v>
      </c>
      <c r="R135" s="6">
        <f>IF(B135="","",SUMIFS(SF_Output!$S$1:$S$400,SF_Output!$AC$1:$AC$400,_xlfn.TEXTJOIN(",",TRUE,B135:E135),SF_Output!$Q$1:$Q$400,"yearly")+SUMIFS(SF_Output!$S$1:$S$400,SF_Output!$AC$1:$AC$400,_xlfn.TEXTJOIN(",",TRUE,B135:E135),SF_Output!$Q$1:$Q$400,"quarterly")*4)</f>
        <v>0</v>
      </c>
      <c r="S135" s="112" t="str">
        <f>IF(OR(B135=0,B135="",G135="hardware",R135=0),"",IF(AF135&lt;&gt;"exclusion",MAX(S$9,-(SUMIFS(SF_Output!$T$1:$T$400,SF_Output!$AC$1:$AC$400,_xlfn.TEXTJOIN(",",TRUE,$B135:$E135),SF_Output!$Q$1:$Q$400,"yearly"))/R135),-((SUMIFS(SF_Output!$T$1:$T$400,SF_Output!$AC$1:$AC$400,_xlfn.TEXTJOIN(",",TRUE,$B135:$E135),SF_Output!$Q$1:$Q$400,"yearly")/R135))))</f>
        <v/>
      </c>
      <c r="T135" s="6">
        <f t="shared" si="21"/>
        <v>0</v>
      </c>
      <c r="V135" s="6" cm="1">
        <f t="array" ref="V135">_xlfn.IFS(B135="","",AND(B135&lt;&gt;"",H135=SF_Output!$Y$2,SUMIFS(SF_Output!$T$1:$T$400,SF_Output!$AC$1:$AC$400,_xlfn.TEXTJOIN(",",TRUE,B135:E135),SF_Output!$Q$1:$Q$400,"monthly")=0),(SUMIFS(SF_Output!$F$1:$F$400,SF_Output!$AC$1:$AC$400,_xlfn.TEXTJOIN(",",TRUE,B135:E135),SF_Output!$Q$1:$Q$400,"monthly")+SUMIFS(SF_Output!$G$1:$G$400,SF_Output!$AC$1:$AC$400,_xlfn.TEXTJOIN(",",TRUE,B135:E135),SF_Output!$Q$1:$Q$400,"monthly"))*H135,AND(B135&lt;&gt;"",H135=SF_Output!$Y$2,SUMIFS(SF_Output!$T$1:$T$400,SF_Output!$AC$1:$AC$400,_xlfn.TEXTJOIN(",",TRUE,B135:E135),SF_Output!$Q$1:$Q$400,"monthly")&lt;&gt;0),SUMIFS(SF_Output!$S$1:$S$400,SF_Output!$AC$1:$AC$400,_xlfn.TEXTJOIN(",",TRUE,B135:E135),SF_Output!$Q$1:$Q$400,"monthly"),AND(B135&lt;&gt;"",H135&lt;&gt;SF_Output!$Y$2),SUMIFS(SF_Output!$S$1:$S$400,SF_Output!$AC$1:$AC$400,_xlfn.TEXTJOIN(",",TRUE,B135:E135),SF_Output!$Q$1:$Q$400,"monthly"))</f>
        <v>0</v>
      </c>
      <c r="W135" s="112" t="str" cm="1">
        <f t="array" ref="W135">_xlfn.IFS(OR(B135=0,B135="",V135=0),"",AF135&lt;&gt;"exclusion",MAX($W$9,$W$7,(-(SUMIFS(SF_Output!$T$1:$T$400,SF_Output!$AC$1:$AC$400,_xlfn.TEXTJOIN(",",TRUE,$B135:$E135),SF_Output!$Q$1:$Q$400,"monthly"))/V135)),AF135="exclusion",-(SUMIFS(SF_Output!$T$1:$T$400,SF_Output!$AC$1:$AC$400,_xlfn.TEXTJOIN(",",TRUE,$B135:$E135),SF_Output!$Q$1:$Q$400,"monthly"))/V135)</f>
        <v/>
      </c>
      <c r="X135" s="6" cm="1">
        <f t="array" ref="X135">IFERROR(_xlfn.IFS(V135=0,0,V135="","",W135=0,V135,OR(V135&lt;&gt;0,V135&lt;&gt;""),H135*I135),V135*(1-W135))</f>
        <v>0</v>
      </c>
      <c r="Z135" s="6">
        <f>IFERROR(IF(B135="","",SUMIFS(Billing_Fallout!H:H,Billing_Fallout!N:N,B135)),0)</f>
        <v>0</v>
      </c>
      <c r="AA135" s="6">
        <f t="shared" si="22"/>
        <v>0</v>
      </c>
      <c r="AB135" s="6">
        <f>IFERROR(IF(B135="","",SUMIFS(Billing_Fallout!J:J,Billing_Fallout!N:N,B135)),0)</f>
        <v>0</v>
      </c>
      <c r="AD135" s="6">
        <f t="shared" si="23"/>
        <v>0</v>
      </c>
      <c r="AF135" t="str">
        <f>IFERROR(INDEX(H_Tables!$B$1:$B$1500,MATCH(INDEX(SF_Output!$J$1:$J$400,MATCH(B135,SF_Output!$M$1:$M$400,0)),H_Tables!$A$1:$A$1500,0)),"")</f>
        <v>Exclusion</v>
      </c>
      <c r="AI135" s="119" t="str">
        <f t="shared" si="24"/>
        <v/>
      </c>
      <c r="AJ135" s="121">
        <f>IFERROR(INDEX(SF_Output!AD:AD,MATCH(_xlfn.TEXTJOIN(",",TRUE,B135:E135),SF_Output!AC1:AC400,0)),0.05)</f>
        <v>219</v>
      </c>
      <c r="AK135" t="str">
        <f>IF(SUMIFS(SF_Output!$F$1:$F$400,SF_Output!$AC$1:$AC$400,_xlfn.TEXTJOIN(",",TRUE,B135:E135))+SUMIFS(SF_Output!$G$1:$G$400,SF_Output!$AC$1:$AC$400,_xlfn.TEXTJOIN(",",TRUE,B135:E135))=0,"","PAP")</f>
        <v/>
      </c>
      <c r="AL135" s="35" t="str">
        <f t="shared" si="25"/>
        <v>Chargeback Dispute Processing Cases Jack Henry intake JHA Debit Processing,New,H</v>
      </c>
      <c r="AQ135" s="35"/>
      <c r="AR135" s="35" t="str" cm="1">
        <f t="array" ref="AR135">IFERROR(_xlfn.IFS(AND(E135*1=1,F135="Included"),"Change to Included",AND(E135*1=0,F135="Optional"),"Change to Optional",OR(B135="",F135="replaced"),""),"")</f>
        <v/>
      </c>
      <c r="AS135" s="35" t="str">
        <f t="shared" si="26"/>
        <v/>
      </c>
      <c r="AT135" s="35" t="str">
        <f t="shared" si="27"/>
        <v/>
      </c>
      <c r="AU135" s="35" t="str">
        <f t="shared" si="28"/>
        <v/>
      </c>
      <c r="AV135" s="35" t="str">
        <f t="shared" si="29"/>
        <v/>
      </c>
      <c r="AW135" s="35" t="str">
        <f t="shared" si="30"/>
        <v/>
      </c>
      <c r="AX135" s="35" t="str">
        <f t="shared" si="31"/>
        <v/>
      </c>
      <c r="AY135" s="35" t="str">
        <f t="shared" si="32"/>
        <v/>
      </c>
      <c r="AZ135" s="35" t="str">
        <f t="shared" si="33"/>
        <v/>
      </c>
      <c r="BA135" s="35" t="str">
        <f t="shared" si="34"/>
        <v/>
      </c>
      <c r="BB135" s="35" t="str">
        <f t="shared" si="35"/>
        <v/>
      </c>
      <c r="BC135" s="35"/>
      <c r="BE135" s="35">
        <f ca="1">INDEX(SF_Output!$AA$2:$AA$400,MATCH($B135,SF_Output!$M$2:$M$400,0))</f>
        <v>6</v>
      </c>
      <c r="BF135" s="35">
        <f ca="1">INDEX(SF_Output!$AB$2:$AB$400,MATCH($B135,SF_Output!$M$2:$M$400,0))</f>
        <v>1</v>
      </c>
    </row>
    <row r="136" spans="2:58" x14ac:dyDescent="0.25">
      <c r="B136" t="s">
        <v>2434</v>
      </c>
      <c r="C136" t="s">
        <v>2122</v>
      </c>
      <c r="D136" t="s">
        <v>2207</v>
      </c>
      <c r="E136" t="s">
        <v>2124</v>
      </c>
      <c r="F136" s="116" t="str">
        <f t="shared" si="18"/>
        <v>Included</v>
      </c>
      <c r="G136" t="str">
        <f>IF(B136="","",INDEX(SF_Output!$K$1:$K$400,MATCH(B136,SF_Output!$M$1:$M$400,0)))</f>
        <v>Card Processing Solutions (CPS)</v>
      </c>
      <c r="H136" cm="1">
        <f t="array" ref="H136">_xlfn.IFS(B136="","",(SUMIFS(SF_Output!$F$1:$F$400,SF_Output!$AC$1:$AC$400,_xlfn.TEXTJOIN(",",TRUE,B136:E136))+SUMIFS(SF_Output!$G$1:$G$400,SF_Output!$AC$1:$AC$400,_xlfn.TEXTJOIN(",",TRUE,B136:E136)))&lt;&gt;0,SF_Output!$Y$2,INDEX(SF_Output!$F$1:$F$400,MATCH(_xlfn.TEXTJOIN(",",TRUE,B136:E136),SF_Output!$AC$1:$AC$400,0))=0,INDEX(SF_Output!$R$1:$R$400,MATCH(_xlfn.TEXTJOIN(",",TRUE,B136:E136),SF_Output!$AC$1:$AC$400,0)))</f>
        <v>0</v>
      </c>
      <c r="I136" s="125" t="str">
        <f>IFERROR(IF(AND(H136&gt;1,H136&lt;&gt;""),ROUND(SUMIFS(SF_Output!$S$1:$S$400,SF_Output!$AC$1:$AC$400,_xlfn.TEXTJOIN(",",TRUE,B136:E136),SF_Output!$Q$1:$Q$400,"monthly")*(1-W136)/H136,4),""),"")</f>
        <v/>
      </c>
      <c r="J136" s="6">
        <f>IF(B136="","",SUMIFS(SF_Output!$S$1:$S$400,SF_Output!$AC$1:$AC$400,_xlfn.TEXTJOIN(",",TRUE,B136:E136),SF_Output!$Q$1:$Q$400,"One Time",SF_Output!$L$1:$L$400,"license fee")+SUMIFS(SF_Output!$S$1:$S$400,SF_Output!$AC$1:$AC$400,_xlfn.TEXTJOIN(",",TRUE,B136:E136),SF_Output!$Q$1:$Q$400,"One Time",SF_Output!$L$1:$L$400,"software license")+SUMIFS(SF_Output!$S$1:$S$400,SF_Output!$AC$1:$AC$400,_xlfn.TEXTJOIN(",",TRUE,B136:E136),SF_Output!$Q$1:$Q$400,"One Time",SF_Output!$L$1:$L$400,"hardware"))</f>
        <v>0</v>
      </c>
      <c r="K136" s="112" t="str">
        <f>IF(OR(B136=0,B136="",G136="hardware",J136=0),"",IF(AF136&lt;&gt;"exclusion",MAX(K$9,-((SUMIFS(SF_Output!$T$1:$T$400,SF_Output!$AC$1:$AC$400,_xlfn.TEXTJOIN(",",TRUE,$B136:$E136),SF_Output!$Q$1:$Q$400,"One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license"))/J136)))</f>
        <v/>
      </c>
      <c r="L136" s="6">
        <f t="shared" si="19"/>
        <v>0</v>
      </c>
      <c r="N136" s="6">
        <f>IF(B136="","",SUMIFS(SF_Output!$S$1:$S$400,SF_Output!$AC$1:$AC$400,_xlfn.TEXTJOIN(",",TRUE,B136:E136),SF_Output!$Q$1:$Q$400,"One Time",SF_Output!$L$1:$L$400,"professional service"))</f>
        <v>0</v>
      </c>
      <c r="O136" s="112" t="str">
        <f>IF(OR(B136=0,B136="",N136=0),"",IF(AF136&lt;&gt;"exclusion",MAX(O$9,-(SUMIFS(SF_Output!$T$1:$T$400,SF_Output!$AC$1:$AC$400,_xlfn.TEXTJOIN(",",TRUE,$B136:$E136),SF_Output!$Q$1:$Q$400,"One Time",SF_Output!$L$1:$L$400,"professional service"))/N136),-((SUMIFS(SF_Output!$T$1:$T$400,SF_Output!$AC$1:$AC$400,_xlfn.TEXTJOIN(",",TRUE,$B136:$E136),SF_Output!$Q$1:$Q$400,"One Time",SF_Output!$L$1:$L$400,"professional service")/N136))))</f>
        <v/>
      </c>
      <c r="P136" s="6">
        <f t="shared" si="20"/>
        <v>0</v>
      </c>
      <c r="R136" s="6">
        <f>IF(B136="","",SUMIFS(SF_Output!$S$1:$S$400,SF_Output!$AC$1:$AC$400,_xlfn.TEXTJOIN(",",TRUE,B136:E136),SF_Output!$Q$1:$Q$400,"yearly")+SUMIFS(SF_Output!$S$1:$S$400,SF_Output!$AC$1:$AC$400,_xlfn.TEXTJOIN(",",TRUE,B136:E136),SF_Output!$Q$1:$Q$400,"quarterly")*4)</f>
        <v>0</v>
      </c>
      <c r="S136" s="112" t="str">
        <f>IF(OR(B136=0,B136="",G136="hardware",R136=0),"",IF(AF136&lt;&gt;"exclusion",MAX(S$9,-(SUMIFS(SF_Output!$T$1:$T$400,SF_Output!$AC$1:$AC$400,_xlfn.TEXTJOIN(",",TRUE,$B136:$E136),SF_Output!$Q$1:$Q$400,"yearly"))/R136),-((SUMIFS(SF_Output!$T$1:$T$400,SF_Output!$AC$1:$AC$400,_xlfn.TEXTJOIN(",",TRUE,$B136:$E136),SF_Output!$Q$1:$Q$400,"yearly")/R136))))</f>
        <v/>
      </c>
      <c r="T136" s="6">
        <f t="shared" si="21"/>
        <v>0</v>
      </c>
      <c r="V136" s="6" cm="1">
        <f t="array" ref="V136">_xlfn.IFS(B136="","",AND(B136&lt;&gt;"",H136=SF_Output!$Y$2,SUMIFS(SF_Output!$T$1:$T$400,SF_Output!$AC$1:$AC$400,_xlfn.TEXTJOIN(",",TRUE,B136:E136),SF_Output!$Q$1:$Q$400,"monthly")=0),(SUMIFS(SF_Output!$F$1:$F$400,SF_Output!$AC$1:$AC$400,_xlfn.TEXTJOIN(",",TRUE,B136:E136),SF_Output!$Q$1:$Q$400,"monthly")+SUMIFS(SF_Output!$G$1:$G$400,SF_Output!$AC$1:$AC$400,_xlfn.TEXTJOIN(",",TRUE,B136:E136),SF_Output!$Q$1:$Q$400,"monthly"))*H136,AND(B136&lt;&gt;"",H136=SF_Output!$Y$2,SUMIFS(SF_Output!$T$1:$T$400,SF_Output!$AC$1:$AC$400,_xlfn.TEXTJOIN(",",TRUE,B136:E136),SF_Output!$Q$1:$Q$400,"monthly")&lt;&gt;0),SUMIFS(SF_Output!$S$1:$S$400,SF_Output!$AC$1:$AC$400,_xlfn.TEXTJOIN(",",TRUE,B136:E136),SF_Output!$Q$1:$Q$400,"monthly"),AND(B136&lt;&gt;"",H136&lt;&gt;SF_Output!$Y$2),SUMIFS(SF_Output!$S$1:$S$400,SF_Output!$AC$1:$AC$400,_xlfn.TEXTJOIN(",",TRUE,B136:E136),SF_Output!$Q$1:$Q$400,"monthly"))</f>
        <v>0</v>
      </c>
      <c r="W136" s="112" t="str" cm="1">
        <f t="array" ref="W136">_xlfn.IFS(OR(B136=0,B136="",V136=0),"",AF136&lt;&gt;"exclusion",MAX($W$9,$W$7,(-(SUMIFS(SF_Output!$T$1:$T$400,SF_Output!$AC$1:$AC$400,_xlfn.TEXTJOIN(",",TRUE,$B136:$E136),SF_Output!$Q$1:$Q$400,"monthly"))/V136)),AF136="exclusion",-(SUMIFS(SF_Output!$T$1:$T$400,SF_Output!$AC$1:$AC$400,_xlfn.TEXTJOIN(",",TRUE,$B136:$E136),SF_Output!$Q$1:$Q$400,"monthly"))/V136)</f>
        <v/>
      </c>
      <c r="X136" s="6" cm="1">
        <f t="array" ref="X136">IFERROR(_xlfn.IFS(V136=0,0,V136="","",W136=0,V136,OR(V136&lt;&gt;0,V136&lt;&gt;""),H136*I136),V136*(1-W136))</f>
        <v>0</v>
      </c>
      <c r="Z136" s="6">
        <f>IFERROR(IF(B136="","",SUMIFS(Billing_Fallout!H:H,Billing_Fallout!N:N,B136)),0)</f>
        <v>0</v>
      </c>
      <c r="AA136" s="6">
        <f t="shared" si="22"/>
        <v>0</v>
      </c>
      <c r="AB136" s="6">
        <f>IFERROR(IF(B136="","",SUMIFS(Billing_Fallout!J:J,Billing_Fallout!N:N,B136)),0)</f>
        <v>0</v>
      </c>
      <c r="AD136" s="6">
        <f t="shared" si="23"/>
        <v>0</v>
      </c>
      <c r="AF136" t="str">
        <f>IFERROR(INDEX(H_Tables!$B$1:$B$1500,MATCH(INDEX(SF_Output!$J$1:$J$400,MATCH(B136,SF_Output!$M$1:$M$400,0)),H_Tables!$A$1:$A$1500,0)),"")</f>
        <v>Exclusion</v>
      </c>
      <c r="AI136" s="119" t="str">
        <f t="shared" si="24"/>
        <v/>
      </c>
      <c r="AJ136" s="121">
        <f>IFERROR(INDEX(SF_Output!AD:AD,MATCH(_xlfn.TEXTJOIN(",",TRUE,B136:E136),SF_Output!AC1:AC400,0)),0.05)</f>
        <v>220</v>
      </c>
      <c r="AK136" t="str">
        <f>IF(SUMIFS(SF_Output!$F$1:$F$400,SF_Output!$AC$1:$AC$400,_xlfn.TEXTJOIN(",",TRUE,B136:E136))+SUMIFS(SF_Output!$G$1:$G$400,SF_Output!$AC$1:$AC$400,_xlfn.TEXTJOIN(",",TRUE,B136:E136))=0,"","PAP")</f>
        <v/>
      </c>
      <c r="AL136" s="35" t="str">
        <f t="shared" si="25"/>
        <v>Low-Dollar Write-off, per case JHA Debit Processing,New,Hosted by 3rd Party,0</v>
      </c>
      <c r="AQ136" s="35"/>
      <c r="AR136" s="35" t="str" cm="1">
        <f t="array" ref="AR136">IFERROR(_xlfn.IFS(AND(E136*1=1,F136="Included"),"Change to Included",AND(E136*1=0,F136="Optional"),"Change to Optional",OR(B136="",F136="replaced"),""),"")</f>
        <v/>
      </c>
      <c r="AS136" s="35" t="str">
        <f t="shared" si="26"/>
        <v/>
      </c>
      <c r="AT136" s="35" t="str">
        <f t="shared" si="27"/>
        <v/>
      </c>
      <c r="AU136" s="35" t="str">
        <f t="shared" si="28"/>
        <v/>
      </c>
      <c r="AV136" s="35" t="str">
        <f t="shared" si="29"/>
        <v/>
      </c>
      <c r="AW136" s="35" t="str">
        <f t="shared" si="30"/>
        <v/>
      </c>
      <c r="AX136" s="35" t="str">
        <f t="shared" si="31"/>
        <v/>
      </c>
      <c r="AY136" s="35" t="str">
        <f t="shared" si="32"/>
        <v/>
      </c>
      <c r="AZ136" s="35" t="str">
        <f t="shared" si="33"/>
        <v/>
      </c>
      <c r="BA136" s="35" t="str">
        <f t="shared" si="34"/>
        <v/>
      </c>
      <c r="BB136" s="35" t="str">
        <f t="shared" si="35"/>
        <v/>
      </c>
      <c r="BC136" s="35"/>
      <c r="BE136" s="35">
        <f ca="1">INDEX(SF_Output!$AA$2:$AA$400,MATCH($B136,SF_Output!$M$2:$M$400,0))</f>
        <v>6</v>
      </c>
      <c r="BF136" s="35">
        <f ca="1">INDEX(SF_Output!$AB$2:$AB$400,MATCH($B136,SF_Output!$M$2:$M$400,0))</f>
        <v>1</v>
      </c>
    </row>
    <row r="137" spans="2:58" x14ac:dyDescent="0.25">
      <c r="B137" t="s">
        <v>2436</v>
      </c>
      <c r="C137" t="s">
        <v>2122</v>
      </c>
      <c r="D137" t="s">
        <v>2207</v>
      </c>
      <c r="E137" t="s">
        <v>2124</v>
      </c>
      <c r="F137" s="116" t="str">
        <f t="shared" si="18"/>
        <v>Included</v>
      </c>
      <c r="G137" t="str">
        <f>IF(B137="","",INDEX(SF_Output!$K$1:$K$400,MATCH(B137,SF_Output!$M$1:$M$400,0)))</f>
        <v>Card Processing Solutions (CPS)</v>
      </c>
      <c r="H137" cm="1">
        <f t="array" ref="H137">_xlfn.IFS(B137="","",(SUMIFS(SF_Output!$F$1:$F$400,SF_Output!$AC$1:$AC$400,_xlfn.TEXTJOIN(",",TRUE,B137:E137))+SUMIFS(SF_Output!$G$1:$G$400,SF_Output!$AC$1:$AC$400,_xlfn.TEXTJOIN(",",TRUE,B137:E137)))&lt;&gt;0,SF_Output!$Y$2,INDEX(SF_Output!$F$1:$F$400,MATCH(_xlfn.TEXTJOIN(",",TRUE,B137:E137),SF_Output!$AC$1:$AC$400,0))=0,INDEX(SF_Output!$R$1:$R$400,MATCH(_xlfn.TEXTJOIN(",",TRUE,B137:E137),SF_Output!$AC$1:$AC$400,0)))</f>
        <v>0</v>
      </c>
      <c r="I137" s="125" t="str">
        <f>IFERROR(IF(AND(H137&gt;1,H137&lt;&gt;""),ROUND(SUMIFS(SF_Output!$S$1:$S$400,SF_Output!$AC$1:$AC$400,_xlfn.TEXTJOIN(",",TRUE,B137:E137),SF_Output!$Q$1:$Q$400,"monthly")*(1-W137)/H137,4),""),"")</f>
        <v/>
      </c>
      <c r="J137" s="6">
        <f>IF(B137="","",SUMIFS(SF_Output!$S$1:$S$400,SF_Output!$AC$1:$AC$400,_xlfn.TEXTJOIN(",",TRUE,B137:E137),SF_Output!$Q$1:$Q$400,"One Time",SF_Output!$L$1:$L$400,"license fee")+SUMIFS(SF_Output!$S$1:$S$400,SF_Output!$AC$1:$AC$400,_xlfn.TEXTJOIN(",",TRUE,B137:E137),SF_Output!$Q$1:$Q$400,"One Time",SF_Output!$L$1:$L$400,"software license")+SUMIFS(SF_Output!$S$1:$S$400,SF_Output!$AC$1:$AC$400,_xlfn.TEXTJOIN(",",TRUE,B137:E137),SF_Output!$Q$1:$Q$400,"One Time",SF_Output!$L$1:$L$400,"hardware"))</f>
        <v>0</v>
      </c>
      <c r="K137" s="112" t="str">
        <f>IF(OR(B137=0,B137="",G137="hardware",J137=0),"",IF(AF137&lt;&gt;"exclusion",MAX(K$9,-((SUMIFS(SF_Output!$T$1:$T$400,SF_Output!$AC$1:$AC$400,_xlfn.TEXTJOIN(",",TRUE,$B137:$E137),SF_Output!$Q$1:$Q$400,"One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license"))/J137)))</f>
        <v/>
      </c>
      <c r="L137" s="6">
        <f t="shared" si="19"/>
        <v>0</v>
      </c>
      <c r="N137" s="6">
        <f>IF(B137="","",SUMIFS(SF_Output!$S$1:$S$400,SF_Output!$AC$1:$AC$400,_xlfn.TEXTJOIN(",",TRUE,B137:E137),SF_Output!$Q$1:$Q$400,"One Time",SF_Output!$L$1:$L$400,"professional service"))</f>
        <v>0</v>
      </c>
      <c r="O137" s="112" t="str">
        <f>IF(OR(B137=0,B137="",N137=0),"",IF(AF137&lt;&gt;"exclusion",MAX(O$9,-(SUMIFS(SF_Output!$T$1:$T$400,SF_Output!$AC$1:$AC$400,_xlfn.TEXTJOIN(",",TRUE,$B137:$E137),SF_Output!$Q$1:$Q$400,"One Time",SF_Output!$L$1:$L$400,"professional service"))/N137),-((SUMIFS(SF_Output!$T$1:$T$400,SF_Output!$AC$1:$AC$400,_xlfn.TEXTJOIN(",",TRUE,$B137:$E137),SF_Output!$Q$1:$Q$400,"One Time",SF_Output!$L$1:$L$400,"professional service")/N137))))</f>
        <v/>
      </c>
      <c r="P137" s="6">
        <f t="shared" si="20"/>
        <v>0</v>
      </c>
      <c r="R137" s="6">
        <f>IF(B137="","",SUMIFS(SF_Output!$S$1:$S$400,SF_Output!$AC$1:$AC$400,_xlfn.TEXTJOIN(",",TRUE,B137:E137),SF_Output!$Q$1:$Q$400,"yearly")+SUMIFS(SF_Output!$S$1:$S$400,SF_Output!$AC$1:$AC$400,_xlfn.TEXTJOIN(",",TRUE,B137:E137),SF_Output!$Q$1:$Q$400,"quarterly")*4)</f>
        <v>0</v>
      </c>
      <c r="S137" s="112" t="str">
        <f>IF(OR(B137=0,B137="",G137="hardware",R137=0),"",IF(AF137&lt;&gt;"exclusion",MAX(S$9,-(SUMIFS(SF_Output!$T$1:$T$400,SF_Output!$AC$1:$AC$400,_xlfn.TEXTJOIN(",",TRUE,$B137:$E137),SF_Output!$Q$1:$Q$400,"yearly"))/R137),-((SUMIFS(SF_Output!$T$1:$T$400,SF_Output!$AC$1:$AC$400,_xlfn.TEXTJOIN(",",TRUE,$B137:$E137),SF_Output!$Q$1:$Q$400,"yearly")/R137))))</f>
        <v/>
      </c>
      <c r="T137" s="6">
        <f t="shared" si="21"/>
        <v>0</v>
      </c>
      <c r="V137" s="6" cm="1">
        <f t="array" ref="V137">_xlfn.IFS(B137="","",AND(B137&lt;&gt;"",H137=SF_Output!$Y$2,SUMIFS(SF_Output!$T$1:$T$400,SF_Output!$AC$1:$AC$400,_xlfn.TEXTJOIN(",",TRUE,B137:E137),SF_Output!$Q$1:$Q$400,"monthly")=0),(SUMIFS(SF_Output!$F$1:$F$400,SF_Output!$AC$1:$AC$400,_xlfn.TEXTJOIN(",",TRUE,B137:E137),SF_Output!$Q$1:$Q$400,"monthly")+SUMIFS(SF_Output!$G$1:$G$400,SF_Output!$AC$1:$AC$400,_xlfn.TEXTJOIN(",",TRUE,B137:E137),SF_Output!$Q$1:$Q$400,"monthly"))*H137,AND(B137&lt;&gt;"",H137=SF_Output!$Y$2,SUMIFS(SF_Output!$T$1:$T$400,SF_Output!$AC$1:$AC$400,_xlfn.TEXTJOIN(",",TRUE,B137:E137),SF_Output!$Q$1:$Q$400,"monthly")&lt;&gt;0),SUMIFS(SF_Output!$S$1:$S$400,SF_Output!$AC$1:$AC$400,_xlfn.TEXTJOIN(",",TRUE,B137:E137),SF_Output!$Q$1:$Q$400,"monthly"),AND(B137&lt;&gt;"",H137&lt;&gt;SF_Output!$Y$2),SUMIFS(SF_Output!$S$1:$S$400,SF_Output!$AC$1:$AC$400,_xlfn.TEXTJOIN(",",TRUE,B137:E137),SF_Output!$Q$1:$Q$400,"monthly"))</f>
        <v>0</v>
      </c>
      <c r="W137" s="112" t="str" cm="1">
        <f t="array" ref="W137">_xlfn.IFS(OR(B137=0,B137="",V137=0),"",AF137&lt;&gt;"exclusion",MAX($W$9,$W$7,(-(SUMIFS(SF_Output!$T$1:$T$400,SF_Output!$AC$1:$AC$400,_xlfn.TEXTJOIN(",",TRUE,$B137:$E137),SF_Output!$Q$1:$Q$400,"monthly"))/V137)),AF137="exclusion",-(SUMIFS(SF_Output!$T$1:$T$400,SF_Output!$AC$1:$AC$400,_xlfn.TEXTJOIN(",",TRUE,$B137:$E137),SF_Output!$Q$1:$Q$400,"monthly"))/V137)</f>
        <v/>
      </c>
      <c r="X137" s="6" cm="1">
        <f t="array" ref="X137">IFERROR(_xlfn.IFS(V137=0,0,V137="","",W137=0,V137,OR(V137&lt;&gt;0,V137&lt;&gt;""),H137*I137),V137*(1-W137))</f>
        <v>0</v>
      </c>
      <c r="Z137" s="6">
        <f>IFERROR(IF(B137="","",SUMIFS(Billing_Fallout!H:H,Billing_Fallout!N:N,B137)),0)</f>
        <v>0</v>
      </c>
      <c r="AA137" s="6">
        <f t="shared" si="22"/>
        <v>0</v>
      </c>
      <c r="AB137" s="6">
        <f>IFERROR(IF(B137="","",SUMIFS(Billing_Fallout!J:J,Billing_Fallout!N:N,B137)),0)</f>
        <v>0</v>
      </c>
      <c r="AD137" s="6">
        <f t="shared" si="23"/>
        <v>0</v>
      </c>
      <c r="AF137" t="str">
        <f>IFERROR(INDEX(H_Tables!$B$1:$B$1500,MATCH(INDEX(SF_Output!$J$1:$J$400,MATCH(B137,SF_Output!$M$1:$M$400,0)),H_Tables!$A$1:$A$1500,0)),"")</f>
        <v>Exclusion</v>
      </c>
      <c r="AI137" s="119" t="str">
        <f t="shared" si="24"/>
        <v/>
      </c>
      <c r="AJ137" s="121">
        <f>IFERROR(INDEX(SF_Output!AD:AD,MATCH(_xlfn.TEXTJOIN(",",TRUE,B137:E137),SF_Output!AC1:AC400,0)),0.05)</f>
        <v>221</v>
      </c>
      <c r="AK137" t="str">
        <f>IF(SUMIFS(SF_Output!$F$1:$F$400,SF_Output!$AC$1:$AC$400,_xlfn.TEXTJOIN(",",TRUE,B137:E137))+SUMIFS(SF_Output!$G$1:$G$400,SF_Output!$AC$1:$AC$400,_xlfn.TEXTJOIN(",",TRUE,B137:E137))=0,"","PAP")</f>
        <v/>
      </c>
      <c r="AL137" s="35" t="str">
        <f t="shared" si="25"/>
        <v>Full Service Disputes Letters JHA Debit Processing,New,Hosted by 3rd Party,0</v>
      </c>
      <c r="AQ137" s="35"/>
      <c r="AR137" s="35" t="str" cm="1">
        <f t="array" ref="AR137">IFERROR(_xlfn.IFS(AND(E137*1=1,F137="Included"),"Change to Included",AND(E137*1=0,F137="Optional"),"Change to Optional",OR(B137="",F137="replaced"),""),"")</f>
        <v/>
      </c>
      <c r="AS137" s="35" t="str">
        <f t="shared" si="26"/>
        <v/>
      </c>
      <c r="AT137" s="35" t="str">
        <f t="shared" si="27"/>
        <v/>
      </c>
      <c r="AU137" s="35" t="str">
        <f t="shared" si="28"/>
        <v/>
      </c>
      <c r="AV137" s="35" t="str">
        <f t="shared" si="29"/>
        <v/>
      </c>
      <c r="AW137" s="35" t="str">
        <f t="shared" si="30"/>
        <v/>
      </c>
      <c r="AX137" s="35" t="str">
        <f t="shared" si="31"/>
        <v/>
      </c>
      <c r="AY137" s="35" t="str">
        <f t="shared" si="32"/>
        <v/>
      </c>
      <c r="AZ137" s="35" t="str">
        <f t="shared" si="33"/>
        <v/>
      </c>
      <c r="BA137" s="35" t="str">
        <f t="shared" si="34"/>
        <v/>
      </c>
      <c r="BB137" s="35" t="str">
        <f t="shared" si="35"/>
        <v/>
      </c>
      <c r="BC137" s="35"/>
      <c r="BE137" s="35">
        <f ca="1">INDEX(SF_Output!$AA$2:$AA$400,MATCH($B137,SF_Output!$M$2:$M$400,0))</f>
        <v>6</v>
      </c>
      <c r="BF137" s="35">
        <f ca="1">INDEX(SF_Output!$AB$2:$AB$400,MATCH($B137,SF_Output!$M$2:$M$400,0))</f>
        <v>1</v>
      </c>
    </row>
    <row r="138" spans="2:58" x14ac:dyDescent="0.25">
      <c r="B138" t="s">
        <v>2438</v>
      </c>
      <c r="C138" t="s">
        <v>2122</v>
      </c>
      <c r="D138" t="s">
        <v>2207</v>
      </c>
      <c r="E138" t="s">
        <v>2124</v>
      </c>
      <c r="F138" s="116" t="str">
        <f t="shared" si="18"/>
        <v>Included</v>
      </c>
      <c r="G138" t="str">
        <f>IF(B138="","",INDEX(SF_Output!$K$1:$K$400,MATCH(B138,SF_Output!$M$1:$M$400,0)))</f>
        <v>Card Processing Solutions (CPS)</v>
      </c>
      <c r="H138" cm="1">
        <f t="array" ref="H138">_xlfn.IFS(B138="","",(SUMIFS(SF_Output!$F$1:$F$400,SF_Output!$AC$1:$AC$400,_xlfn.TEXTJOIN(",",TRUE,B138:E138))+SUMIFS(SF_Output!$G$1:$G$400,SF_Output!$AC$1:$AC$400,_xlfn.TEXTJOIN(",",TRUE,B138:E138)))&lt;&gt;0,SF_Output!$Y$2,INDEX(SF_Output!$F$1:$F$400,MATCH(_xlfn.TEXTJOIN(",",TRUE,B138:E138),SF_Output!$AC$1:$AC$400,0))=0,INDEX(SF_Output!$R$1:$R$400,MATCH(_xlfn.TEXTJOIN(",",TRUE,B138:E138),SF_Output!$AC$1:$AC$400,0)))</f>
        <v>0</v>
      </c>
      <c r="I138" s="125" t="str">
        <f>IFERROR(IF(AND(H138&gt;1,H138&lt;&gt;""),ROUND(SUMIFS(SF_Output!$S$1:$S$400,SF_Output!$AC$1:$AC$400,_xlfn.TEXTJOIN(",",TRUE,B138:E138),SF_Output!$Q$1:$Q$400,"monthly")*(1-W138)/H138,4),""),"")</f>
        <v/>
      </c>
      <c r="J138" s="6">
        <f>IF(B138="","",SUMIFS(SF_Output!$S$1:$S$400,SF_Output!$AC$1:$AC$400,_xlfn.TEXTJOIN(",",TRUE,B138:E138),SF_Output!$Q$1:$Q$400,"One Time",SF_Output!$L$1:$L$400,"license fee")+SUMIFS(SF_Output!$S$1:$S$400,SF_Output!$AC$1:$AC$400,_xlfn.TEXTJOIN(",",TRUE,B138:E138),SF_Output!$Q$1:$Q$400,"One Time",SF_Output!$L$1:$L$400,"software license")+SUMIFS(SF_Output!$S$1:$S$400,SF_Output!$AC$1:$AC$400,_xlfn.TEXTJOIN(",",TRUE,B138:E138),SF_Output!$Q$1:$Q$400,"One Time",SF_Output!$L$1:$L$400,"hardware"))</f>
        <v>0</v>
      </c>
      <c r="K138" s="112" t="str">
        <f>IF(OR(B138=0,B138="",G138="hardware",J138=0),"",IF(AF138&lt;&gt;"exclusion",MAX(K$9,-((SUMIFS(SF_Output!$T$1:$T$400,SF_Output!$AC$1:$AC$400,_xlfn.TEXTJOIN(",",TRUE,$B138:$E138),SF_Output!$Q$1:$Q$400,"One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license"))/J138)))</f>
        <v/>
      </c>
      <c r="L138" s="6">
        <f t="shared" si="19"/>
        <v>0</v>
      </c>
      <c r="N138" s="6">
        <f>IF(B138="","",SUMIFS(SF_Output!$S$1:$S$400,SF_Output!$AC$1:$AC$400,_xlfn.TEXTJOIN(",",TRUE,B138:E138),SF_Output!$Q$1:$Q$400,"One Time",SF_Output!$L$1:$L$400,"professional service"))</f>
        <v>2500</v>
      </c>
      <c r="O138" s="112">
        <f>IF(OR(B138=0,B138="",N138=0),"",IF(AF138&lt;&gt;"exclusion",MAX(O$9,-(SUMIFS(SF_Output!$T$1:$T$400,SF_Output!$AC$1:$AC$400,_xlfn.TEXTJOIN(",",TRUE,$B138:$E138),SF_Output!$Q$1:$Q$400,"One Time",SF_Output!$L$1:$L$400,"professional service"))/N138),-((SUMIFS(SF_Output!$T$1:$T$400,SF_Output!$AC$1:$AC$400,_xlfn.TEXTJOIN(",",TRUE,$B138:$E138),SF_Output!$Q$1:$Q$400,"One Time",SF_Output!$L$1:$L$400,"professional service")/N138))))</f>
        <v>1</v>
      </c>
      <c r="P138" s="6">
        <f t="shared" si="20"/>
        <v>0</v>
      </c>
      <c r="R138" s="6">
        <f>IF(B138="","",SUMIFS(SF_Output!$S$1:$S$400,SF_Output!$AC$1:$AC$400,_xlfn.TEXTJOIN(",",TRUE,B138:E138),SF_Output!$Q$1:$Q$400,"yearly")+SUMIFS(SF_Output!$S$1:$S$400,SF_Output!$AC$1:$AC$400,_xlfn.TEXTJOIN(",",TRUE,B138:E138),SF_Output!$Q$1:$Q$400,"quarterly")*4)</f>
        <v>0</v>
      </c>
      <c r="S138" s="112" t="str">
        <f>IF(OR(B138=0,B138="",G138="hardware",R138=0),"",IF(AF138&lt;&gt;"exclusion",MAX(S$9,-(SUMIFS(SF_Output!$T$1:$T$400,SF_Output!$AC$1:$AC$400,_xlfn.TEXTJOIN(",",TRUE,$B138:$E138),SF_Output!$Q$1:$Q$400,"yearly"))/R138),-((SUMIFS(SF_Output!$T$1:$T$400,SF_Output!$AC$1:$AC$400,_xlfn.TEXTJOIN(",",TRUE,$B138:$E138),SF_Output!$Q$1:$Q$400,"yearly")/R138))))</f>
        <v/>
      </c>
      <c r="T138" s="6">
        <f t="shared" si="21"/>
        <v>0</v>
      </c>
      <c r="V138" s="6" cm="1">
        <f t="array" ref="V138">_xlfn.IFS(B138="","",AND(B138&lt;&gt;"",H138=SF_Output!$Y$2,SUMIFS(SF_Output!$T$1:$T$400,SF_Output!$AC$1:$AC$400,_xlfn.TEXTJOIN(",",TRUE,B138:E138),SF_Output!$Q$1:$Q$400,"monthly")=0),(SUMIFS(SF_Output!$F$1:$F$400,SF_Output!$AC$1:$AC$400,_xlfn.TEXTJOIN(",",TRUE,B138:E138),SF_Output!$Q$1:$Q$400,"monthly")+SUMIFS(SF_Output!$G$1:$G$400,SF_Output!$AC$1:$AC$400,_xlfn.TEXTJOIN(",",TRUE,B138:E138),SF_Output!$Q$1:$Q$400,"monthly"))*H138,AND(B138&lt;&gt;"",H138=SF_Output!$Y$2,SUMIFS(SF_Output!$T$1:$T$400,SF_Output!$AC$1:$AC$400,_xlfn.TEXTJOIN(",",TRUE,B138:E138),SF_Output!$Q$1:$Q$400,"monthly")&lt;&gt;0),SUMIFS(SF_Output!$S$1:$S$400,SF_Output!$AC$1:$AC$400,_xlfn.TEXTJOIN(",",TRUE,B138:E138),SF_Output!$Q$1:$Q$400,"monthly"),AND(B138&lt;&gt;"",H138&lt;&gt;SF_Output!$Y$2),SUMIFS(SF_Output!$S$1:$S$400,SF_Output!$AC$1:$AC$400,_xlfn.TEXTJOIN(",",TRUE,B138:E138),SF_Output!$Q$1:$Q$400,"monthly"))</f>
        <v>100</v>
      </c>
      <c r="W138" s="112" cm="1">
        <f t="array" ref="W138">_xlfn.IFS(OR(B138=0,B138="",V138=0),"",AF138&lt;&gt;"exclusion",MAX($W$9,$W$7,(-(SUMIFS(SF_Output!$T$1:$T$400,SF_Output!$AC$1:$AC$400,_xlfn.TEXTJOIN(",",TRUE,$B138:$E138),SF_Output!$Q$1:$Q$400,"monthly"))/V138)),AF138="exclusion",-(SUMIFS(SF_Output!$T$1:$T$400,SF_Output!$AC$1:$AC$400,_xlfn.TEXTJOIN(",",TRUE,$B138:$E138),SF_Output!$Q$1:$Q$400,"monthly"))/V138)</f>
        <v>0</v>
      </c>
      <c r="X138" s="6" cm="1">
        <f t="array" ref="X138">IFERROR(_xlfn.IFS(V138=0,0,V138="","",W138=0,V138,OR(V138&lt;&gt;0,V138&lt;&gt;""),H138*I138),V138*(1-W138))</f>
        <v>100</v>
      </c>
      <c r="Z138" s="6">
        <f>IFERROR(IF(B138="","",SUMIFS(Billing_Fallout!H:H,Billing_Fallout!N:N,B138)),0)</f>
        <v>0</v>
      </c>
      <c r="AA138" s="6">
        <f t="shared" si="22"/>
        <v>0</v>
      </c>
      <c r="AB138" s="6">
        <f>IFERROR(IF(B138="","",SUMIFS(Billing_Fallout!J:J,Billing_Fallout!N:N,B138)),0)</f>
        <v>0</v>
      </c>
      <c r="AD138" s="6">
        <f t="shared" si="23"/>
        <v>100</v>
      </c>
      <c r="AF138" t="str">
        <f>IFERROR(INDEX(H_Tables!$B$1:$B$1500,MATCH(INDEX(SF_Output!$J$1:$J$400,MATCH(B138,SF_Output!$M$1:$M$400,0)),H_Tables!$A$1:$A$1500,0)),"")</f>
        <v>Exclusion</v>
      </c>
      <c r="AI138" s="119" t="str">
        <f t="shared" si="24"/>
        <v/>
      </c>
      <c r="AJ138" s="121">
        <f>IFERROR(INDEX(SF_Output!AD:AD,MATCH(_xlfn.TEXTJOIN(",",TRUE,B138:E138),SF_Output!AC1:AC400,0)),0.05)</f>
        <v>222</v>
      </c>
      <c r="AK138" t="str">
        <f>IF(SUMIFS(SF_Output!$F$1:$F$400,SF_Output!$AC$1:$AC$400,_xlfn.TEXTJOIN(",",TRUE,B138:E138))+SUMIFS(SF_Output!$G$1:$G$400,SF_Output!$AC$1:$AC$400,_xlfn.TEXTJOIN(",",TRUE,B138:E138))=0,"","PAP")</f>
        <v/>
      </c>
      <c r="AL138" s="35" t="str">
        <f t="shared" si="25"/>
        <v>Full-Service Disputes Digital SSO Support JHA Debit Processing,New,Hosted by 3rd</v>
      </c>
      <c r="AQ138" s="35"/>
      <c r="AR138" s="35" t="str" cm="1">
        <f t="array" ref="AR138">IFERROR(_xlfn.IFS(AND(E138*1=1,F138="Included"),"Change to Included",AND(E138*1=0,F138="Optional"),"Change to Optional",OR(B138="",F138="replaced"),""),"")</f>
        <v/>
      </c>
      <c r="AS138" s="35" t="str">
        <f t="shared" si="26"/>
        <v/>
      </c>
      <c r="AT138" s="35" t="str">
        <f t="shared" si="27"/>
        <v/>
      </c>
      <c r="AU138" s="35" t="str">
        <f t="shared" si="28"/>
        <v/>
      </c>
      <c r="AV138" s="35" t="str">
        <f t="shared" si="29"/>
        <v/>
      </c>
      <c r="AW138" s="35" t="str">
        <f t="shared" si="30"/>
        <v/>
      </c>
      <c r="AX138" s="35" t="str">
        <f t="shared" si="31"/>
        <v/>
      </c>
      <c r="AY138" s="35" t="str">
        <f t="shared" si="32"/>
        <v/>
      </c>
      <c r="AZ138" s="35" t="str">
        <f t="shared" si="33"/>
        <v/>
      </c>
      <c r="BA138" s="35" t="str">
        <f t="shared" si="34"/>
        <v/>
      </c>
      <c r="BB138" s="35" t="str">
        <f t="shared" si="35"/>
        <v/>
      </c>
      <c r="BC138" s="35"/>
      <c r="BE138" s="35">
        <f ca="1">INDEX(SF_Output!$AA$2:$AA$400,MATCH($B138,SF_Output!$M$2:$M$400,0))</f>
        <v>6</v>
      </c>
      <c r="BF138" s="35">
        <f ca="1">INDEX(SF_Output!$AB$2:$AB$400,MATCH($B138,SF_Output!$M$2:$M$400,0))</f>
        <v>1</v>
      </c>
    </row>
    <row r="139" spans="2:58" x14ac:dyDescent="0.25">
      <c r="B139" t="s">
        <v>2441</v>
      </c>
      <c r="C139" t="s">
        <v>2122</v>
      </c>
      <c r="D139" t="s">
        <v>2207</v>
      </c>
      <c r="E139" t="s">
        <v>2124</v>
      </c>
      <c r="F139" s="116" t="str">
        <f t="shared" si="18"/>
        <v>Included</v>
      </c>
      <c r="G139" t="str">
        <f>IF(B139="","",INDEX(SF_Output!$K$1:$K$400,MATCH(B139,SF_Output!$M$1:$M$400,0)))</f>
        <v>Card Processing Solutions (CPS)</v>
      </c>
      <c r="H139" cm="1">
        <f t="array" ref="H139">_xlfn.IFS(B139="","",(SUMIFS(SF_Output!$F$1:$F$400,SF_Output!$AC$1:$AC$400,_xlfn.TEXTJOIN(",",TRUE,B139:E139))+SUMIFS(SF_Output!$G$1:$G$400,SF_Output!$AC$1:$AC$400,_xlfn.TEXTJOIN(",",TRUE,B139:E139)))&lt;&gt;0,SF_Output!$Y$2,INDEX(SF_Output!$F$1:$F$400,MATCH(_xlfn.TEXTJOIN(",",TRUE,B139:E139),SF_Output!$AC$1:$AC$400,0))=0,INDEX(SF_Output!$R$1:$R$400,MATCH(_xlfn.TEXTJOIN(",",TRUE,B139:E139),SF_Output!$AC$1:$AC$400,0)))</f>
        <v>1</v>
      </c>
      <c r="I139" s="125" t="str">
        <f>IFERROR(IF(AND(H139&gt;1,H139&lt;&gt;""),ROUND(SUMIFS(SF_Output!$S$1:$S$400,SF_Output!$AC$1:$AC$400,_xlfn.TEXTJOIN(",",TRUE,B139:E139),SF_Output!$Q$1:$Q$400,"monthly")*(1-W139)/H139,4),""),"")</f>
        <v/>
      </c>
      <c r="J139" s="6">
        <f>IF(B139="","",SUMIFS(SF_Output!$S$1:$S$400,SF_Output!$AC$1:$AC$400,_xlfn.TEXTJOIN(",",TRUE,B139:E139),SF_Output!$Q$1:$Q$400,"One Time",SF_Output!$L$1:$L$400,"license fee")+SUMIFS(SF_Output!$S$1:$S$400,SF_Output!$AC$1:$AC$400,_xlfn.TEXTJOIN(",",TRUE,B139:E139),SF_Output!$Q$1:$Q$400,"One Time",SF_Output!$L$1:$L$400,"software license")+SUMIFS(SF_Output!$S$1:$S$400,SF_Output!$AC$1:$AC$400,_xlfn.TEXTJOIN(",",TRUE,B139:E139),SF_Output!$Q$1:$Q$400,"One Time",SF_Output!$L$1:$L$400,"hardware"))</f>
        <v>0</v>
      </c>
      <c r="K139" s="112" t="str">
        <f>IF(OR(B139=0,B139="",G139="hardware",J139=0),"",IF(AF139&lt;&gt;"exclusion",MAX(K$9,-((SUMIFS(SF_Output!$T$1:$T$400,SF_Output!$AC$1:$AC$400,_xlfn.TEXTJOIN(",",TRUE,$B139:$E139),SF_Output!$Q$1:$Q$400,"One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license"))/J139)))</f>
        <v/>
      </c>
      <c r="L139" s="6">
        <f t="shared" si="19"/>
        <v>0</v>
      </c>
      <c r="N139" s="6">
        <f>IF(B139="","",SUMIFS(SF_Output!$S$1:$S$400,SF_Output!$AC$1:$AC$400,_xlfn.TEXTJOIN(",",TRUE,B139:E139),SF_Output!$Q$1:$Q$400,"One Time",SF_Output!$L$1:$L$400,"professional service"))</f>
        <v>500</v>
      </c>
      <c r="O139" s="112">
        <f>IF(OR(B139=0,B139="",N139=0),"",IF(AF139&lt;&gt;"exclusion",MAX(O$9,-(SUMIFS(SF_Output!$T$1:$T$400,SF_Output!$AC$1:$AC$400,_xlfn.TEXTJOIN(",",TRUE,$B139:$E139),SF_Output!$Q$1:$Q$400,"One Time",SF_Output!$L$1:$L$400,"professional service"))/N139),-((SUMIFS(SF_Output!$T$1:$T$400,SF_Output!$AC$1:$AC$400,_xlfn.TEXTJOIN(",",TRUE,$B139:$E139),SF_Output!$Q$1:$Q$400,"One Time",SF_Output!$L$1:$L$400,"professional service")/N139))))</f>
        <v>1</v>
      </c>
      <c r="P139" s="6">
        <f t="shared" si="20"/>
        <v>0</v>
      </c>
      <c r="R139" s="6">
        <f>IF(B139="","",SUMIFS(SF_Output!$S$1:$S$400,SF_Output!$AC$1:$AC$400,_xlfn.TEXTJOIN(",",TRUE,B139:E139),SF_Output!$Q$1:$Q$400,"yearly")+SUMIFS(SF_Output!$S$1:$S$400,SF_Output!$AC$1:$AC$400,_xlfn.TEXTJOIN(",",TRUE,B139:E139),SF_Output!$Q$1:$Q$400,"quarterly")*4)</f>
        <v>0</v>
      </c>
      <c r="S139" s="112" t="str">
        <f>IF(OR(B139=0,B139="",G139="hardware",R139=0),"",IF(AF139&lt;&gt;"exclusion",MAX(S$9,-(SUMIFS(SF_Output!$T$1:$T$400,SF_Output!$AC$1:$AC$400,_xlfn.TEXTJOIN(",",TRUE,$B139:$E139),SF_Output!$Q$1:$Q$400,"yearly"))/R139),-((SUMIFS(SF_Output!$T$1:$T$400,SF_Output!$AC$1:$AC$400,_xlfn.TEXTJOIN(",",TRUE,$B139:$E139),SF_Output!$Q$1:$Q$400,"yearly")/R139))))</f>
        <v/>
      </c>
      <c r="T139" s="6">
        <f t="shared" si="21"/>
        <v>0</v>
      </c>
      <c r="V139" s="6" cm="1">
        <f t="array" ref="V139">_xlfn.IFS(B139="","",AND(B139&lt;&gt;"",H139=SF_Output!$Y$2,SUMIFS(SF_Output!$T$1:$T$400,SF_Output!$AC$1:$AC$400,_xlfn.TEXTJOIN(",",TRUE,B139:E139),SF_Output!$Q$1:$Q$400,"monthly")=0),(SUMIFS(SF_Output!$F$1:$F$400,SF_Output!$AC$1:$AC$400,_xlfn.TEXTJOIN(",",TRUE,B139:E139),SF_Output!$Q$1:$Q$400,"monthly")+SUMIFS(SF_Output!$G$1:$G$400,SF_Output!$AC$1:$AC$400,_xlfn.TEXTJOIN(",",TRUE,B139:E139),SF_Output!$Q$1:$Q$400,"monthly"))*H139,AND(B139&lt;&gt;"",H139=SF_Output!$Y$2,SUMIFS(SF_Output!$T$1:$T$400,SF_Output!$AC$1:$AC$400,_xlfn.TEXTJOIN(",",TRUE,B139:E139),SF_Output!$Q$1:$Q$400,"monthly")&lt;&gt;0),SUMIFS(SF_Output!$S$1:$S$400,SF_Output!$AC$1:$AC$400,_xlfn.TEXTJOIN(",",TRUE,B139:E139),SF_Output!$Q$1:$Q$400,"monthly"),AND(B139&lt;&gt;"",H139&lt;&gt;SF_Output!$Y$2),SUMIFS(SF_Output!$S$1:$S$400,SF_Output!$AC$1:$AC$400,_xlfn.TEXTJOIN(",",TRUE,B139:E139),SF_Output!$Q$1:$Q$400,"monthly"))</f>
        <v>100</v>
      </c>
      <c r="W139" s="112" cm="1">
        <f t="array" ref="W139">_xlfn.IFS(OR(B139=0,B139="",V139=0),"",AF139&lt;&gt;"exclusion",MAX($W$9,$W$7,(-(SUMIFS(SF_Output!$T$1:$T$400,SF_Output!$AC$1:$AC$400,_xlfn.TEXTJOIN(",",TRUE,$B139:$E139),SF_Output!$Q$1:$Q$400,"monthly"))/V139)),AF139="exclusion",-(SUMIFS(SF_Output!$T$1:$T$400,SF_Output!$AC$1:$AC$400,_xlfn.TEXTJOIN(",",TRUE,$B139:$E139),SF_Output!$Q$1:$Q$400,"monthly"))/V139)</f>
        <v>0</v>
      </c>
      <c r="X139" s="6" cm="1">
        <f t="array" ref="X139">IFERROR(_xlfn.IFS(V139=0,0,V139="","",W139=0,V139,OR(V139&lt;&gt;0,V139&lt;&gt;""),H139*I139),V139*(1-W139))</f>
        <v>100</v>
      </c>
      <c r="Z139" s="6">
        <f>IFERROR(IF(B139="","",SUMIFS(Billing_Fallout!H:H,Billing_Fallout!N:N,B139)),0)</f>
        <v>0</v>
      </c>
      <c r="AA139" s="6">
        <f t="shared" si="22"/>
        <v>0</v>
      </c>
      <c r="AB139" s="6">
        <f>IFERROR(IF(B139="","",SUMIFS(Billing_Fallout!J:J,Billing_Fallout!N:N,B139)),0)</f>
        <v>0</v>
      </c>
      <c r="AD139" s="6">
        <f t="shared" si="23"/>
        <v>100</v>
      </c>
      <c r="AF139" t="str">
        <f>IFERROR(INDEX(H_Tables!$B$1:$B$1500,MATCH(INDEX(SF_Output!$J$1:$J$400,MATCH(B139,SF_Output!$M$1:$M$400,0)),H_Tables!$A$1:$A$1500,0)),"")</f>
        <v>Exclusion</v>
      </c>
      <c r="AI139" s="119" t="str">
        <f t="shared" si="24"/>
        <v/>
      </c>
      <c r="AJ139" s="121">
        <f>IFERROR(INDEX(SF_Output!AD:AD,MATCH(_xlfn.TEXTJOIN(",",TRUE,B139:E139),SF_Output!AC1:AC400,0)),0.05)</f>
        <v>224</v>
      </c>
      <c r="AK139" t="str">
        <f>IF(SUMIFS(SF_Output!$F$1:$F$400,SF_Output!$AC$1:$AC$400,_xlfn.TEXTJOIN(",",TRUE,B139:E139))+SUMIFS(SF_Output!$G$1:$G$400,SF_Output!$AC$1:$AC$400,_xlfn.TEXTJOIN(",",TRUE,B139:E139))=0,"","PAP")</f>
        <v/>
      </c>
      <c r="AL139" s="35" t="str">
        <f t="shared" si="25"/>
        <v>JHA Hot Card Center JHA Debit Processing,New,Hosted by 3rd Party,0</v>
      </c>
      <c r="AQ139" s="35"/>
      <c r="AR139" s="35" t="str" cm="1">
        <f t="array" ref="AR139">IFERROR(_xlfn.IFS(AND(E139*1=1,F139="Included"),"Change to Included",AND(E139*1=0,F139="Optional"),"Change to Optional",OR(B139="",F139="replaced"),""),"")</f>
        <v/>
      </c>
      <c r="AS139" s="35" t="str">
        <f t="shared" si="26"/>
        <v/>
      </c>
      <c r="AT139" s="35" t="str">
        <f t="shared" si="27"/>
        <v/>
      </c>
      <c r="AU139" s="35" t="str">
        <f t="shared" si="28"/>
        <v/>
      </c>
      <c r="AV139" s="35" t="str">
        <f t="shared" si="29"/>
        <v/>
      </c>
      <c r="AW139" s="35" t="str">
        <f t="shared" si="30"/>
        <v/>
      </c>
      <c r="AX139" s="35" t="str">
        <f t="shared" si="31"/>
        <v/>
      </c>
      <c r="AY139" s="35" t="str">
        <f t="shared" si="32"/>
        <v/>
      </c>
      <c r="AZ139" s="35" t="str">
        <f t="shared" si="33"/>
        <v/>
      </c>
      <c r="BA139" s="35" t="str">
        <f t="shared" si="34"/>
        <v/>
      </c>
      <c r="BB139" s="35" t="str">
        <f t="shared" si="35"/>
        <v/>
      </c>
      <c r="BC139" s="35"/>
      <c r="BE139" s="35">
        <f ca="1">INDEX(SF_Output!$AA$2:$AA$400,MATCH($B139,SF_Output!$M$2:$M$400,0))</f>
        <v>6</v>
      </c>
      <c r="BF139" s="35">
        <f ca="1">INDEX(SF_Output!$AB$2:$AB$400,MATCH($B139,SF_Output!$M$2:$M$400,0))</f>
        <v>1</v>
      </c>
    </row>
    <row r="140" spans="2:58" x14ac:dyDescent="0.25">
      <c r="B140" t="s">
        <v>2444</v>
      </c>
      <c r="C140" t="s">
        <v>2122</v>
      </c>
      <c r="D140" t="s">
        <v>2207</v>
      </c>
      <c r="E140" t="s">
        <v>2124</v>
      </c>
      <c r="F140" s="116" t="str">
        <f t="shared" si="18"/>
        <v>Included</v>
      </c>
      <c r="G140" t="str">
        <f>IF(B140="","",INDEX(SF_Output!$K$1:$K$400,MATCH(B140,SF_Output!$M$1:$M$400,0)))</f>
        <v>Card Processing Solutions (CPS)</v>
      </c>
      <c r="H140" cm="1">
        <f t="array" ref="H140">_xlfn.IFS(B140="","",(SUMIFS(SF_Output!$F$1:$F$400,SF_Output!$AC$1:$AC$400,_xlfn.TEXTJOIN(",",TRUE,B140:E140))+SUMIFS(SF_Output!$G$1:$G$400,SF_Output!$AC$1:$AC$400,_xlfn.TEXTJOIN(",",TRUE,B140:E140)))&lt;&gt;0,SF_Output!$Y$2,INDEX(SF_Output!$F$1:$F$400,MATCH(_xlfn.TEXTJOIN(",",TRUE,B140:E140),SF_Output!$AC$1:$AC$400,0))=0,INDEX(SF_Output!$R$1:$R$400,MATCH(_xlfn.TEXTJOIN(",",TRUE,B140:E140),SF_Output!$AC$1:$AC$400,0)))</f>
        <v>0</v>
      </c>
      <c r="I140" s="125" t="str">
        <f>IFERROR(IF(AND(H140&gt;1,H140&lt;&gt;""),ROUND(SUMIFS(SF_Output!$S$1:$S$400,SF_Output!$AC$1:$AC$400,_xlfn.TEXTJOIN(",",TRUE,B140:E140),SF_Output!$Q$1:$Q$400,"monthly")*(1-W140)/H140,4),""),"")</f>
        <v/>
      </c>
      <c r="J140" s="6">
        <f>IF(B140="","",SUMIFS(SF_Output!$S$1:$S$400,SF_Output!$AC$1:$AC$400,_xlfn.TEXTJOIN(",",TRUE,B140:E140),SF_Output!$Q$1:$Q$400,"One Time",SF_Output!$L$1:$L$400,"license fee")+SUMIFS(SF_Output!$S$1:$S$400,SF_Output!$AC$1:$AC$400,_xlfn.TEXTJOIN(",",TRUE,B140:E140),SF_Output!$Q$1:$Q$400,"One Time",SF_Output!$L$1:$L$400,"software license")+SUMIFS(SF_Output!$S$1:$S$400,SF_Output!$AC$1:$AC$400,_xlfn.TEXTJOIN(",",TRUE,B140:E140),SF_Output!$Q$1:$Q$400,"One Time",SF_Output!$L$1:$L$400,"hardware"))</f>
        <v>0</v>
      </c>
      <c r="K140" s="112" t="str">
        <f>IF(OR(B140=0,B140="",G140="hardware",J140=0),"",IF(AF140&lt;&gt;"exclusion",MAX(K$9,-((SUMIFS(SF_Output!$T$1:$T$400,SF_Output!$AC$1:$AC$400,_xlfn.TEXTJOIN(",",TRUE,$B140:$E140),SF_Output!$Q$1:$Q$400,"One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license"))/J140)))</f>
        <v/>
      </c>
      <c r="L140" s="6">
        <f t="shared" si="19"/>
        <v>0</v>
      </c>
      <c r="N140" s="6">
        <f>IF(B140="","",SUMIFS(SF_Output!$S$1:$S$400,SF_Output!$AC$1:$AC$400,_xlfn.TEXTJOIN(",",TRUE,B140:E140),SF_Output!$Q$1:$Q$400,"One Time",SF_Output!$L$1:$L$400,"professional service"))</f>
        <v>0</v>
      </c>
      <c r="O140" s="112" t="str">
        <f>IF(OR(B140=0,B140="",N140=0),"",IF(AF140&lt;&gt;"exclusion",MAX(O$9,-(SUMIFS(SF_Output!$T$1:$T$400,SF_Output!$AC$1:$AC$400,_xlfn.TEXTJOIN(",",TRUE,$B140:$E140),SF_Output!$Q$1:$Q$400,"One Time",SF_Output!$L$1:$L$400,"professional service"))/N140),-((SUMIFS(SF_Output!$T$1:$T$400,SF_Output!$AC$1:$AC$400,_xlfn.TEXTJOIN(",",TRUE,$B140:$E140),SF_Output!$Q$1:$Q$400,"One Time",SF_Output!$L$1:$L$400,"professional service")/N140))))</f>
        <v/>
      </c>
      <c r="P140" s="6">
        <f t="shared" si="20"/>
        <v>0</v>
      </c>
      <c r="R140" s="6">
        <f>IF(B140="","",SUMIFS(SF_Output!$S$1:$S$400,SF_Output!$AC$1:$AC$400,_xlfn.TEXTJOIN(",",TRUE,B140:E140),SF_Output!$Q$1:$Q$400,"yearly")+SUMIFS(SF_Output!$S$1:$S$400,SF_Output!$AC$1:$AC$400,_xlfn.TEXTJOIN(",",TRUE,B140:E140),SF_Output!$Q$1:$Q$400,"quarterly")*4)</f>
        <v>0</v>
      </c>
      <c r="S140" s="112" t="str">
        <f>IF(OR(B140=0,B140="",G140="hardware",R140=0),"",IF(AF140&lt;&gt;"exclusion",MAX(S$9,-(SUMIFS(SF_Output!$T$1:$T$400,SF_Output!$AC$1:$AC$400,_xlfn.TEXTJOIN(",",TRUE,$B140:$E140),SF_Output!$Q$1:$Q$400,"yearly"))/R140),-((SUMIFS(SF_Output!$T$1:$T$400,SF_Output!$AC$1:$AC$400,_xlfn.TEXTJOIN(",",TRUE,$B140:$E140),SF_Output!$Q$1:$Q$400,"yearly")/R140))))</f>
        <v/>
      </c>
      <c r="T140" s="6">
        <f t="shared" si="21"/>
        <v>0</v>
      </c>
      <c r="V140" s="6" cm="1">
        <f t="array" ref="V140">_xlfn.IFS(B140="","",AND(B140&lt;&gt;"",H140=SF_Output!$Y$2,SUMIFS(SF_Output!$T$1:$T$400,SF_Output!$AC$1:$AC$400,_xlfn.TEXTJOIN(",",TRUE,B140:E140),SF_Output!$Q$1:$Q$400,"monthly")=0),(SUMIFS(SF_Output!$F$1:$F$400,SF_Output!$AC$1:$AC$400,_xlfn.TEXTJOIN(",",TRUE,B140:E140),SF_Output!$Q$1:$Q$400,"monthly")+SUMIFS(SF_Output!$G$1:$G$400,SF_Output!$AC$1:$AC$400,_xlfn.TEXTJOIN(",",TRUE,B140:E140),SF_Output!$Q$1:$Q$400,"monthly"))*H140,AND(B140&lt;&gt;"",H140=SF_Output!$Y$2,SUMIFS(SF_Output!$T$1:$T$400,SF_Output!$AC$1:$AC$400,_xlfn.TEXTJOIN(",",TRUE,B140:E140),SF_Output!$Q$1:$Q$400,"monthly")&lt;&gt;0),SUMIFS(SF_Output!$S$1:$S$400,SF_Output!$AC$1:$AC$400,_xlfn.TEXTJOIN(",",TRUE,B140:E140),SF_Output!$Q$1:$Q$400,"monthly"),AND(B140&lt;&gt;"",H140&lt;&gt;SF_Output!$Y$2),SUMIFS(SF_Output!$S$1:$S$400,SF_Output!$AC$1:$AC$400,_xlfn.TEXTJOIN(",",TRUE,B140:E140),SF_Output!$Q$1:$Q$400,"monthly"))</f>
        <v>0</v>
      </c>
      <c r="W140" s="112" t="str" cm="1">
        <f t="array" ref="W140">_xlfn.IFS(OR(B140=0,B140="",V140=0),"",AF140&lt;&gt;"exclusion",MAX($W$9,$W$7,(-(SUMIFS(SF_Output!$T$1:$T$400,SF_Output!$AC$1:$AC$400,_xlfn.TEXTJOIN(",",TRUE,$B140:$E140),SF_Output!$Q$1:$Q$400,"monthly"))/V140)),AF140="exclusion",-(SUMIFS(SF_Output!$T$1:$T$400,SF_Output!$AC$1:$AC$400,_xlfn.TEXTJOIN(",",TRUE,$B140:$E140),SF_Output!$Q$1:$Q$400,"monthly"))/V140)</f>
        <v/>
      </c>
      <c r="X140" s="6" cm="1">
        <f t="array" ref="X140">IFERROR(_xlfn.IFS(V140=0,0,V140="","",W140=0,V140,OR(V140&lt;&gt;0,V140&lt;&gt;""),H140*I140),V140*(1-W140))</f>
        <v>0</v>
      </c>
      <c r="Z140" s="6">
        <f>IFERROR(IF(B140="","",SUMIFS(Billing_Fallout!H:H,Billing_Fallout!N:N,B140)),0)</f>
        <v>0</v>
      </c>
      <c r="AA140" s="6">
        <f t="shared" si="22"/>
        <v>0</v>
      </c>
      <c r="AB140" s="6">
        <f>IFERROR(IF(B140="","",SUMIFS(Billing_Fallout!J:J,Billing_Fallout!N:N,B140)),0)</f>
        <v>0</v>
      </c>
      <c r="AD140" s="6">
        <f t="shared" si="23"/>
        <v>0</v>
      </c>
      <c r="AF140" t="str">
        <f>IFERROR(INDEX(H_Tables!$B$1:$B$1500,MATCH(INDEX(SF_Output!$J$1:$J$400,MATCH(B140,SF_Output!$M$1:$M$400,0)),H_Tables!$A$1:$A$1500,0)),"")</f>
        <v>Exclusion</v>
      </c>
      <c r="AI140" s="119" t="str">
        <f t="shared" si="24"/>
        <v/>
      </c>
      <c r="AJ140" s="121">
        <f>IFERROR(INDEX(SF_Output!AD:AD,MATCH(_xlfn.TEXTJOIN(",",TRUE,B140:E140),SF_Output!AC1:AC400,0)),0.05)</f>
        <v>226</v>
      </c>
      <c r="AK140" t="str">
        <f>IF(SUMIFS(SF_Output!$F$1:$F$400,SF_Output!$AC$1:$AC$400,_xlfn.TEXTJOIN(",",TRUE,B140:E140))+SUMIFS(SF_Output!$G$1:$G$400,SF_Output!$AC$1:$AC$400,_xlfn.TEXTJOIN(",",TRUE,B140:E140))=0,"","PAP")</f>
        <v/>
      </c>
      <c r="AL140" s="35" t="str">
        <f t="shared" si="25"/>
        <v>JHA Hot Card Center Calls JHA Debit Processing,New,Hosted by 3rd Party,0</v>
      </c>
      <c r="AQ140" s="35"/>
      <c r="AR140" s="35" t="str" cm="1">
        <f t="array" ref="AR140">IFERROR(_xlfn.IFS(AND(E140*1=1,F140="Included"),"Change to Included",AND(E140*1=0,F140="Optional"),"Change to Optional",OR(B140="",F140="replaced"),""),"")</f>
        <v/>
      </c>
      <c r="AS140" s="35" t="str">
        <f t="shared" si="26"/>
        <v/>
      </c>
      <c r="AT140" s="35" t="str">
        <f t="shared" si="27"/>
        <v/>
      </c>
      <c r="AU140" s="35" t="str">
        <f t="shared" si="28"/>
        <v/>
      </c>
      <c r="AV140" s="35" t="str">
        <f t="shared" si="29"/>
        <v/>
      </c>
      <c r="AW140" s="35" t="str">
        <f t="shared" si="30"/>
        <v/>
      </c>
      <c r="AX140" s="35" t="str">
        <f t="shared" si="31"/>
        <v/>
      </c>
      <c r="AY140" s="35" t="str">
        <f t="shared" si="32"/>
        <v/>
      </c>
      <c r="AZ140" s="35" t="str">
        <f t="shared" si="33"/>
        <v/>
      </c>
      <c r="BA140" s="35" t="str">
        <f t="shared" si="34"/>
        <v/>
      </c>
      <c r="BB140" s="35" t="str">
        <f t="shared" si="35"/>
        <v/>
      </c>
      <c r="BC140" s="35"/>
      <c r="BE140" s="35">
        <f ca="1">INDEX(SF_Output!$AA$2:$AA$400,MATCH($B140,SF_Output!$M$2:$M$400,0))</f>
        <v>6</v>
      </c>
      <c r="BF140" s="35">
        <f ca="1">INDEX(SF_Output!$AB$2:$AB$400,MATCH($B140,SF_Output!$M$2:$M$400,0))</f>
        <v>1</v>
      </c>
    </row>
    <row r="141" spans="2:58" x14ac:dyDescent="0.25">
      <c r="B141" t="s">
        <v>2446</v>
      </c>
      <c r="C141" t="s">
        <v>2122</v>
      </c>
      <c r="D141" t="s">
        <v>2207</v>
      </c>
      <c r="E141" t="s">
        <v>2124</v>
      </c>
      <c r="F141" s="116" t="str">
        <f t="shared" si="18"/>
        <v>Included</v>
      </c>
      <c r="G141" t="str">
        <f>IF(B141="","",INDEX(SF_Output!$K$1:$K$400,MATCH(B141,SF_Output!$M$1:$M$400,0)))</f>
        <v>Card Processing Solutions (CPS)</v>
      </c>
      <c r="H141" cm="1">
        <f t="array" ref="H141">_xlfn.IFS(B141="","",(SUMIFS(SF_Output!$F$1:$F$400,SF_Output!$AC$1:$AC$400,_xlfn.TEXTJOIN(",",TRUE,B141:E141))+SUMIFS(SF_Output!$G$1:$G$400,SF_Output!$AC$1:$AC$400,_xlfn.TEXTJOIN(",",TRUE,B141:E141)))&lt;&gt;0,SF_Output!$Y$2,INDEX(SF_Output!$F$1:$F$400,MATCH(_xlfn.TEXTJOIN(",",TRUE,B141:E141),SF_Output!$AC$1:$AC$400,0))=0,INDEX(SF_Output!$R$1:$R$400,MATCH(_xlfn.TEXTJOIN(",",TRUE,B141:E141),SF_Output!$AC$1:$AC$400,0)))</f>
        <v>0</v>
      </c>
      <c r="I141" s="125" t="str">
        <f>IFERROR(IF(AND(H141&gt;1,H141&lt;&gt;""),ROUND(SUMIFS(SF_Output!$S$1:$S$400,SF_Output!$AC$1:$AC$400,_xlfn.TEXTJOIN(",",TRUE,B141:E141),SF_Output!$Q$1:$Q$400,"monthly")*(1-W141)/H141,4),""),"")</f>
        <v/>
      </c>
      <c r="J141" s="6">
        <f>IF(B141="","",SUMIFS(SF_Output!$S$1:$S$400,SF_Output!$AC$1:$AC$400,_xlfn.TEXTJOIN(",",TRUE,B141:E141),SF_Output!$Q$1:$Q$400,"One Time",SF_Output!$L$1:$L$400,"license fee")+SUMIFS(SF_Output!$S$1:$S$400,SF_Output!$AC$1:$AC$400,_xlfn.TEXTJOIN(",",TRUE,B141:E141),SF_Output!$Q$1:$Q$400,"One Time",SF_Output!$L$1:$L$400,"software license")+SUMIFS(SF_Output!$S$1:$S$400,SF_Output!$AC$1:$AC$400,_xlfn.TEXTJOIN(",",TRUE,B141:E141),SF_Output!$Q$1:$Q$400,"One Time",SF_Output!$L$1:$L$400,"hardware"))</f>
        <v>0</v>
      </c>
      <c r="K141" s="112" t="str">
        <f>IF(OR(B141=0,B141="",G141="hardware",J141=0),"",IF(AF141&lt;&gt;"exclusion",MAX(K$9,-((SUMIFS(SF_Output!$T$1:$T$400,SF_Output!$AC$1:$AC$400,_xlfn.TEXTJOIN(",",TRUE,$B141:$E141),SF_Output!$Q$1:$Q$400,"One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license"))/J141)))</f>
        <v/>
      </c>
      <c r="L141" s="6">
        <f t="shared" si="19"/>
        <v>0</v>
      </c>
      <c r="N141" s="6">
        <f>IF(B141="","",SUMIFS(SF_Output!$S$1:$S$400,SF_Output!$AC$1:$AC$400,_xlfn.TEXTJOIN(",",TRUE,B141:E141),SF_Output!$Q$1:$Q$400,"One Time",SF_Output!$L$1:$L$400,"professional service"))</f>
        <v>4000</v>
      </c>
      <c r="O141" s="112">
        <f>IF(OR(B141=0,B141="",N141=0),"",IF(AF141&lt;&gt;"exclusion",MAX(O$9,-(SUMIFS(SF_Output!$T$1:$T$400,SF_Output!$AC$1:$AC$400,_xlfn.TEXTJOIN(",",TRUE,$B141:$E141),SF_Output!$Q$1:$Q$400,"One Time",SF_Output!$L$1:$L$400,"professional service"))/N141),-((SUMIFS(SF_Output!$T$1:$T$400,SF_Output!$AC$1:$AC$400,_xlfn.TEXTJOIN(",",TRUE,$B141:$E141),SF_Output!$Q$1:$Q$400,"One Time",SF_Output!$L$1:$L$400,"professional service")/N141))))</f>
        <v>1</v>
      </c>
      <c r="P141" s="6">
        <f t="shared" si="20"/>
        <v>0</v>
      </c>
      <c r="R141" s="6">
        <f>IF(B141="","",SUMIFS(SF_Output!$S$1:$S$400,SF_Output!$AC$1:$AC$400,_xlfn.TEXTJOIN(",",TRUE,B141:E141),SF_Output!$Q$1:$Q$400,"yearly")+SUMIFS(SF_Output!$S$1:$S$400,SF_Output!$AC$1:$AC$400,_xlfn.TEXTJOIN(",",TRUE,B141:E141),SF_Output!$Q$1:$Q$400,"quarterly")*4)</f>
        <v>0</v>
      </c>
      <c r="S141" s="112" t="str">
        <f>IF(OR(B141=0,B141="",G141="hardware",R141=0),"",IF(AF141&lt;&gt;"exclusion",MAX(S$9,-(SUMIFS(SF_Output!$T$1:$T$400,SF_Output!$AC$1:$AC$400,_xlfn.TEXTJOIN(",",TRUE,$B141:$E141),SF_Output!$Q$1:$Q$400,"yearly"))/R141),-((SUMIFS(SF_Output!$T$1:$T$400,SF_Output!$AC$1:$AC$400,_xlfn.TEXTJOIN(",",TRUE,$B141:$E141),SF_Output!$Q$1:$Q$400,"yearly")/R141))))</f>
        <v/>
      </c>
      <c r="T141" s="6">
        <f t="shared" si="21"/>
        <v>0</v>
      </c>
      <c r="V141" s="6" cm="1">
        <f t="array" ref="V141">_xlfn.IFS(B141="","",AND(B141&lt;&gt;"",H141=SF_Output!$Y$2,SUMIFS(SF_Output!$T$1:$T$400,SF_Output!$AC$1:$AC$400,_xlfn.TEXTJOIN(",",TRUE,B141:E141),SF_Output!$Q$1:$Q$400,"monthly")=0),(SUMIFS(SF_Output!$F$1:$F$400,SF_Output!$AC$1:$AC$400,_xlfn.TEXTJOIN(",",TRUE,B141:E141),SF_Output!$Q$1:$Q$400,"monthly")+SUMIFS(SF_Output!$G$1:$G$400,SF_Output!$AC$1:$AC$400,_xlfn.TEXTJOIN(",",TRUE,B141:E141),SF_Output!$Q$1:$Q$400,"monthly"))*H141,AND(B141&lt;&gt;"",H141=SF_Output!$Y$2,SUMIFS(SF_Output!$T$1:$T$400,SF_Output!$AC$1:$AC$400,_xlfn.TEXTJOIN(",",TRUE,B141:E141),SF_Output!$Q$1:$Q$400,"monthly")&lt;&gt;0),SUMIFS(SF_Output!$S$1:$S$400,SF_Output!$AC$1:$AC$400,_xlfn.TEXTJOIN(",",TRUE,B141:E141),SF_Output!$Q$1:$Q$400,"monthly"),AND(B141&lt;&gt;"",H141&lt;&gt;SF_Output!$Y$2),SUMIFS(SF_Output!$S$1:$S$400,SF_Output!$AC$1:$AC$400,_xlfn.TEXTJOIN(",",TRUE,B141:E141),SF_Output!$Q$1:$Q$400,"monthly"))</f>
        <v>0</v>
      </c>
      <c r="W141" s="112" t="str" cm="1">
        <f t="array" ref="W141">_xlfn.IFS(OR(B141=0,B141="",V141=0),"",AF141&lt;&gt;"exclusion",MAX($W$9,$W$7,(-(SUMIFS(SF_Output!$T$1:$T$400,SF_Output!$AC$1:$AC$400,_xlfn.TEXTJOIN(",",TRUE,$B141:$E141),SF_Output!$Q$1:$Q$400,"monthly"))/V141)),AF141="exclusion",-(SUMIFS(SF_Output!$T$1:$T$400,SF_Output!$AC$1:$AC$400,_xlfn.TEXTJOIN(",",TRUE,$B141:$E141),SF_Output!$Q$1:$Q$400,"monthly"))/V141)</f>
        <v/>
      </c>
      <c r="X141" s="6" cm="1">
        <f t="array" ref="X141">IFERROR(_xlfn.IFS(V141=0,0,V141="","",W141=0,V141,OR(V141&lt;&gt;0,V141&lt;&gt;""),H141*I141),V141*(1-W141))</f>
        <v>0</v>
      </c>
      <c r="Z141" s="6">
        <f>IFERROR(IF(B141="","",SUMIFS(Billing_Fallout!H:H,Billing_Fallout!N:N,B141)),0)</f>
        <v>0</v>
      </c>
      <c r="AA141" s="6">
        <f t="shared" si="22"/>
        <v>0</v>
      </c>
      <c r="AB141" s="6">
        <f>IFERROR(IF(B141="","",SUMIFS(Billing_Fallout!J:J,Billing_Fallout!N:N,B141)),0)</f>
        <v>0</v>
      </c>
      <c r="AD141" s="6">
        <f t="shared" si="23"/>
        <v>0</v>
      </c>
      <c r="AF141" t="str">
        <f>IFERROR(INDEX(H_Tables!$B$1:$B$1500,MATCH(INDEX(SF_Output!$J$1:$J$400,MATCH(B141,SF_Output!$M$1:$M$400,0)),H_Tables!$A$1:$A$1500,0)),"")</f>
        <v>Exclusion</v>
      </c>
      <c r="AI141" s="119" t="str">
        <f t="shared" si="24"/>
        <v/>
      </c>
      <c r="AJ141" s="121">
        <f>IFERROR(INDEX(SF_Output!AD:AD,MATCH(_xlfn.TEXTJOIN(",",TRUE,B141:E141),SF_Output!AC1:AC400,0)),0.05)</f>
        <v>227</v>
      </c>
      <c r="AK141" t="str">
        <f>IF(SUMIFS(SF_Output!$F$1:$F$400,SF_Output!$AC$1:$AC$400,_xlfn.TEXTJOIN(",",TRUE,B141:E141))+SUMIFS(SF_Output!$G$1:$G$400,SF_Output!$AC$1:$AC$400,_xlfn.TEXTJOIN(",",TRUE,B141:E141))=0,"","PAP")</f>
        <v/>
      </c>
      <c r="AL141" s="35" t="str">
        <f t="shared" si="25"/>
        <v>Ethoca (based on dollars recovered) JHA Debit Processing,New,Hosted by 3rd Party</v>
      </c>
      <c r="AQ141" s="35"/>
      <c r="AR141" s="35" t="str" cm="1">
        <f t="array" ref="AR141">IFERROR(_xlfn.IFS(AND(E141*1=1,F141="Included"),"Change to Included",AND(E141*1=0,F141="Optional"),"Change to Optional",OR(B141="",F141="replaced"),""),"")</f>
        <v/>
      </c>
      <c r="AS141" s="35" t="str">
        <f t="shared" si="26"/>
        <v/>
      </c>
      <c r="AT141" s="35" t="str">
        <f t="shared" si="27"/>
        <v/>
      </c>
      <c r="AU141" s="35" t="str">
        <f t="shared" si="28"/>
        <v/>
      </c>
      <c r="AV141" s="35" t="str">
        <f t="shared" si="29"/>
        <v/>
      </c>
      <c r="AW141" s="35" t="str">
        <f t="shared" si="30"/>
        <v/>
      </c>
      <c r="AX141" s="35" t="str">
        <f t="shared" si="31"/>
        <v/>
      </c>
      <c r="AY141" s="35" t="str">
        <f t="shared" si="32"/>
        <v/>
      </c>
      <c r="AZ141" s="35" t="str">
        <f t="shared" si="33"/>
        <v/>
      </c>
      <c r="BA141" s="35" t="str">
        <f t="shared" si="34"/>
        <v/>
      </c>
      <c r="BB141" s="35" t="str">
        <f t="shared" si="35"/>
        <v/>
      </c>
      <c r="BC141" s="35"/>
      <c r="BE141" s="35">
        <f ca="1">INDEX(SF_Output!$AA$2:$AA$400,MATCH($B141,SF_Output!$M$2:$M$400,0))</f>
        <v>6</v>
      </c>
      <c r="BF141" s="35">
        <f ca="1">INDEX(SF_Output!$AB$2:$AB$400,MATCH($B141,SF_Output!$M$2:$M$400,0))</f>
        <v>1</v>
      </c>
    </row>
    <row r="142" spans="2:58" x14ac:dyDescent="0.25">
      <c r="B142" t="s">
        <v>2449</v>
      </c>
      <c r="C142" t="s">
        <v>2122</v>
      </c>
      <c r="D142" t="s">
        <v>2207</v>
      </c>
      <c r="E142" t="s">
        <v>2124</v>
      </c>
      <c r="F142" s="116" t="str">
        <f t="shared" ref="F142:F205" si="36">IF(B142="","",IF(E142*1=0,"Included","Optional"))</f>
        <v>Included</v>
      </c>
      <c r="G142" t="str">
        <f>IF(B142="","",INDEX(SF_Output!$K$1:$K$400,MATCH(B142,SF_Output!$M$1:$M$400,0)))</f>
        <v>Card Processing Solutions (CPS)</v>
      </c>
      <c r="H142" cm="1">
        <f t="array" ref="H142">_xlfn.IFS(B142="","",(SUMIFS(SF_Output!$F$1:$F$400,SF_Output!$AC$1:$AC$400,_xlfn.TEXTJOIN(",",TRUE,B142:E142))+SUMIFS(SF_Output!$G$1:$G$400,SF_Output!$AC$1:$AC$400,_xlfn.TEXTJOIN(",",TRUE,B142:E142)))&lt;&gt;0,SF_Output!$Y$2,INDEX(SF_Output!$F$1:$F$400,MATCH(_xlfn.TEXTJOIN(",",TRUE,B142:E142),SF_Output!$AC$1:$AC$400,0))=0,INDEX(SF_Output!$R$1:$R$400,MATCH(_xlfn.TEXTJOIN(",",TRUE,B142:E142),SF_Output!$AC$1:$AC$400,0)))</f>
        <v>0</v>
      </c>
      <c r="I142" s="125" t="str">
        <f>IFERROR(IF(AND(H142&gt;1,H142&lt;&gt;""),ROUND(SUMIFS(SF_Output!$S$1:$S$400,SF_Output!$AC$1:$AC$400,_xlfn.TEXTJOIN(",",TRUE,B142:E142),SF_Output!$Q$1:$Q$400,"monthly")*(1-W142)/H142,4),""),"")</f>
        <v/>
      </c>
      <c r="J142" s="6">
        <f>IF(B142="","",SUMIFS(SF_Output!$S$1:$S$400,SF_Output!$AC$1:$AC$400,_xlfn.TEXTJOIN(",",TRUE,B142:E142),SF_Output!$Q$1:$Q$400,"One Time",SF_Output!$L$1:$L$400,"license fee")+SUMIFS(SF_Output!$S$1:$S$400,SF_Output!$AC$1:$AC$400,_xlfn.TEXTJOIN(",",TRUE,B142:E142),SF_Output!$Q$1:$Q$400,"One Time",SF_Output!$L$1:$L$400,"software license")+SUMIFS(SF_Output!$S$1:$S$400,SF_Output!$AC$1:$AC$400,_xlfn.TEXTJOIN(",",TRUE,B142:E142),SF_Output!$Q$1:$Q$400,"One Time",SF_Output!$L$1:$L$400,"hardware"))</f>
        <v>0</v>
      </c>
      <c r="K142" s="112" t="str">
        <f>IF(OR(B142=0,B142="",G142="hardware",J142=0),"",IF(AF142&lt;&gt;"exclusion",MAX(K$9,-((SUMIFS(SF_Output!$T$1:$T$400,SF_Output!$AC$1:$AC$400,_xlfn.TEXTJOIN(",",TRUE,$B142:$E142),SF_Output!$Q$1:$Q$400,"One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license"))/J142)))</f>
        <v/>
      </c>
      <c r="L142" s="6">
        <f t="shared" ref="L142:L205" si="37">IF(K142="",J142,J142*(1-K142))</f>
        <v>0</v>
      </c>
      <c r="N142" s="6">
        <f>IF(B142="","",SUMIFS(SF_Output!$S$1:$S$400,SF_Output!$AC$1:$AC$400,_xlfn.TEXTJOIN(",",TRUE,B142:E142),SF_Output!$Q$1:$Q$400,"One Time",SF_Output!$L$1:$L$400,"professional service"))</f>
        <v>0</v>
      </c>
      <c r="O142" s="112" t="str">
        <f>IF(OR(B142=0,B142="",N142=0),"",IF(AF142&lt;&gt;"exclusion",MAX(O$9,-(SUMIFS(SF_Output!$T$1:$T$400,SF_Output!$AC$1:$AC$400,_xlfn.TEXTJOIN(",",TRUE,$B142:$E142),SF_Output!$Q$1:$Q$400,"One Time",SF_Output!$L$1:$L$400,"professional service"))/N142),-((SUMIFS(SF_Output!$T$1:$T$400,SF_Output!$AC$1:$AC$400,_xlfn.TEXTJOIN(",",TRUE,$B142:$E142),SF_Output!$Q$1:$Q$400,"One Time",SF_Output!$L$1:$L$400,"professional service")/N142))))</f>
        <v/>
      </c>
      <c r="P142" s="6">
        <f t="shared" ref="P142:P205" si="38">IF(O142="",N142,N142*(1-O142))</f>
        <v>0</v>
      </c>
      <c r="R142" s="6">
        <f>IF(B142="","",SUMIFS(SF_Output!$S$1:$S$400,SF_Output!$AC$1:$AC$400,_xlfn.TEXTJOIN(",",TRUE,B142:E142),SF_Output!$Q$1:$Q$400,"yearly")+SUMIFS(SF_Output!$S$1:$S$400,SF_Output!$AC$1:$AC$400,_xlfn.TEXTJOIN(",",TRUE,B142:E142),SF_Output!$Q$1:$Q$400,"quarterly")*4)</f>
        <v>0</v>
      </c>
      <c r="S142" s="112" t="str">
        <f>IF(OR(B142=0,B142="",G142="hardware",R142=0),"",IF(AF142&lt;&gt;"exclusion",MAX(S$9,-(SUMIFS(SF_Output!$T$1:$T$400,SF_Output!$AC$1:$AC$400,_xlfn.TEXTJOIN(",",TRUE,$B142:$E142),SF_Output!$Q$1:$Q$400,"yearly"))/R142),-((SUMIFS(SF_Output!$T$1:$T$400,SF_Output!$AC$1:$AC$400,_xlfn.TEXTJOIN(",",TRUE,$B142:$E142),SF_Output!$Q$1:$Q$400,"yearly")/R142))))</f>
        <v/>
      </c>
      <c r="T142" s="6">
        <f t="shared" ref="T142:T205" si="39">IF(S142="",R142,R142*(1-S142))</f>
        <v>0</v>
      </c>
      <c r="V142" s="6" cm="1">
        <f t="array" ref="V142">_xlfn.IFS(B142="","",AND(B142&lt;&gt;"",H142=SF_Output!$Y$2,SUMIFS(SF_Output!$T$1:$T$400,SF_Output!$AC$1:$AC$400,_xlfn.TEXTJOIN(",",TRUE,B142:E142),SF_Output!$Q$1:$Q$400,"monthly")=0),(SUMIFS(SF_Output!$F$1:$F$400,SF_Output!$AC$1:$AC$400,_xlfn.TEXTJOIN(",",TRUE,B142:E142),SF_Output!$Q$1:$Q$400,"monthly")+SUMIFS(SF_Output!$G$1:$G$400,SF_Output!$AC$1:$AC$400,_xlfn.TEXTJOIN(",",TRUE,B142:E142),SF_Output!$Q$1:$Q$400,"monthly"))*H142,AND(B142&lt;&gt;"",H142=SF_Output!$Y$2,SUMIFS(SF_Output!$T$1:$T$400,SF_Output!$AC$1:$AC$400,_xlfn.TEXTJOIN(",",TRUE,B142:E142),SF_Output!$Q$1:$Q$400,"monthly")&lt;&gt;0),SUMIFS(SF_Output!$S$1:$S$400,SF_Output!$AC$1:$AC$400,_xlfn.TEXTJOIN(",",TRUE,B142:E142),SF_Output!$Q$1:$Q$400,"monthly"),AND(B142&lt;&gt;"",H142&lt;&gt;SF_Output!$Y$2),SUMIFS(SF_Output!$S$1:$S$400,SF_Output!$AC$1:$AC$400,_xlfn.TEXTJOIN(",",TRUE,B142:E142),SF_Output!$Q$1:$Q$400,"monthly"))</f>
        <v>0</v>
      </c>
      <c r="W142" s="112" t="str" cm="1">
        <f t="array" ref="W142">_xlfn.IFS(OR(B142=0,B142="",V142=0),"",AF142&lt;&gt;"exclusion",MAX($W$9,$W$7,(-(SUMIFS(SF_Output!$T$1:$T$400,SF_Output!$AC$1:$AC$400,_xlfn.TEXTJOIN(",",TRUE,$B142:$E142),SF_Output!$Q$1:$Q$400,"monthly"))/V142)),AF142="exclusion",-(SUMIFS(SF_Output!$T$1:$T$400,SF_Output!$AC$1:$AC$400,_xlfn.TEXTJOIN(",",TRUE,$B142:$E142),SF_Output!$Q$1:$Q$400,"monthly"))/V142)</f>
        <v/>
      </c>
      <c r="X142" s="6" cm="1">
        <f t="array" ref="X142">IFERROR(_xlfn.IFS(V142=0,0,V142="","",W142=0,V142,OR(V142&lt;&gt;0,V142&lt;&gt;""),H142*I142),V142*(1-W142))</f>
        <v>0</v>
      </c>
      <c r="Z142" s="6">
        <f>IFERROR(IF(B142="","",SUMIFS(Billing_Fallout!H:H,Billing_Fallout!N:N,B142)),0)</f>
        <v>0</v>
      </c>
      <c r="AA142" s="6">
        <f t="shared" ref="AA142:AA205" si="40">IF(Z142="","",AB142-Z142)</f>
        <v>0</v>
      </c>
      <c r="AB142" s="6">
        <f>IFERROR(IF(B142="","",SUMIFS(Billing_Fallout!J:J,Billing_Fallout!N:N,B142)),0)</f>
        <v>0</v>
      </c>
      <c r="AD142" s="6">
        <f t="shared" ref="AD142:AD205" si="41">IFERROR(X142-AB142,"")</f>
        <v>0</v>
      </c>
      <c r="AF142" t="str">
        <f>IFERROR(INDEX(H_Tables!$B$1:$B$1500,MATCH(INDEX(SF_Output!$J$1:$J$400,MATCH(B142,SF_Output!$M$1:$M$400,0)),H_Tables!$A$1:$A$1500,0)),"")</f>
        <v>Exclusion</v>
      </c>
      <c r="AI142" s="119" t="str">
        <f t="shared" ref="AI142:AI205" si="42">IF(B142="","",IF(F142="remove","Remove Product",IF(F142="add","Add Product",_xlfn.TEXTJOIN(", ",TRUE,AQ142,AR142,AS142,AT142,AU142,AV142,AW142,AX142,AY142,AZ142,BA142,BB142,BC142))))</f>
        <v/>
      </c>
      <c r="AJ142" s="121">
        <f>IFERROR(INDEX(SF_Output!AD:AD,MATCH(_xlfn.TEXTJOIN(",",TRUE,B142:E142),SF_Output!AC1:AC400,0)),0.05)</f>
        <v>229</v>
      </c>
      <c r="AK142" t="str">
        <f>IF(SUMIFS(SF_Output!$F$1:$F$400,SF_Output!$AC$1:$AC$400,_xlfn.TEXTJOIN(",",TRUE,B142:E142))+SUMIFS(SF_Output!$G$1:$G$400,SF_Output!$AC$1:$AC$400,_xlfn.TEXTJOIN(",",TRUE,B142:E142))=0,"","PAP")</f>
        <v/>
      </c>
      <c r="AL142" s="35" t="str">
        <f t="shared" ref="AL142:AL205" si="43">LEFT(_xlfn.TEXTJOIN(",",TRUE,B142:E142),80)</f>
        <v>Debit Adjustment Dispute JHA Debit Processing,New,Hosted by 3rd Party,0</v>
      </c>
      <c r="AQ142" s="35"/>
      <c r="AR142" s="35" t="str" cm="1">
        <f t="array" ref="AR142">IFERROR(_xlfn.IFS(AND(E142*1=1,F142="Included"),"Change to Included",AND(E142*1=0,F142="Optional"),"Change to Optional",OR(B142="",F142="replaced"),""),"")</f>
        <v/>
      </c>
      <c r="AS142" s="35" t="str">
        <f t="shared" ref="AS142:AS205" si="44">IF((OR(NOT(_xlfn.ISFORMULA(J142)),NOT(_xlfn.ISFORMULA(L142)))),"Check License Price Override","")</f>
        <v/>
      </c>
      <c r="AT142" s="35" t="str">
        <f t="shared" ref="AT142:AT205" si="45">IF(OR(AND(K142=$K$9,K142&lt;&gt;0),NOT(_xlfn.ISFORMULA(K142))),"License Discount "&amp;K142*100&amp;"%","")</f>
        <v/>
      </c>
      <c r="AU142" s="35" t="str">
        <f t="shared" ref="AU142:AU205" si="46">IF((OR(NOT(_xlfn.ISFORMULA(N142)),NOT(_xlfn.ISFORMULA(P142)))),"Check Install Price Override","")</f>
        <v/>
      </c>
      <c r="AV142" s="35" t="str">
        <f t="shared" ref="AV142:AV205" si="47">IF(OR(AND(O142=$O$9,O142&lt;&gt;0),NOT(_xlfn.ISFORMULA(O142))),"Install Discount "&amp;O142*100&amp;"%","")</f>
        <v/>
      </c>
      <c r="AW142" s="35" t="str">
        <f t="shared" ref="AW142:AW205" si="48">IF((OR(NOT(_xlfn.ISFORMULA(R142)),NOT(_xlfn.ISFORMULA(T142)))),"Check Maintenance Price Override","")</f>
        <v/>
      </c>
      <c r="AX142" s="35" t="str">
        <f t="shared" ref="AX142:AX205" si="49">IF(OR(AND(S142=$S$9,S142&lt;&gt;0),NOT(_xlfn.ISFORMULA(S142))),"Maintenance Discount "&amp;S142*100&amp;"%","")</f>
        <v/>
      </c>
      <c r="AY142" s="35" t="str">
        <f t="shared" ref="AY142:AY205" si="50">IF((OR(NOT(_xlfn.ISFORMULA(V142)),NOT(_xlfn.ISFORMULA(X142)))),"Check Monthly Price Override","")</f>
        <v/>
      </c>
      <c r="AZ142" s="35" t="str">
        <f t="shared" ref="AZ142:AZ205" si="51">IF(OR((AND(W142=$W$9,W142&lt;&gt;0)),(AND(W142=$W$7,W142&lt;&gt;0)),(NOT(_xlfn.ISFORMULA(W142))),AND($W$7+0.2=W142,$W$7&lt;&gt;0)),"Monthly Discount "&amp;W142*100&amp;"%","")</f>
        <v/>
      </c>
      <c r="BA142" s="35" t="str">
        <f t="shared" ref="BA142:BA205" si="52">IF(NOT(_xlfn.ISFORMULA(H142)),"Check Quantity","")</f>
        <v/>
      </c>
      <c r="BB142" s="35" t="str">
        <f t="shared" ref="BB142:BB205" si="53">IF(NOT(_xlfn.ISFORMULA(I142)),"Check Unit Price Override","")</f>
        <v/>
      </c>
      <c r="BC142" s="35"/>
      <c r="BE142" s="35">
        <f ca="1">INDEX(SF_Output!$AA$2:$AA$400,MATCH($B142,SF_Output!$M$2:$M$400,0))</f>
        <v>6</v>
      </c>
      <c r="BF142" s="35">
        <f ca="1">INDEX(SF_Output!$AB$2:$AB$400,MATCH($B142,SF_Output!$M$2:$M$400,0))</f>
        <v>1</v>
      </c>
    </row>
    <row r="143" spans="2:58" x14ac:dyDescent="0.25">
      <c r="B143" t="s">
        <v>2451</v>
      </c>
      <c r="C143" t="s">
        <v>2122</v>
      </c>
      <c r="D143" t="s">
        <v>2207</v>
      </c>
      <c r="E143" t="s">
        <v>2124</v>
      </c>
      <c r="F143" s="116" t="str">
        <f t="shared" si="36"/>
        <v>Included</v>
      </c>
      <c r="G143" t="str">
        <f>IF(B143="","",INDEX(SF_Output!$K$1:$K$400,MATCH(B143,SF_Output!$M$1:$M$400,0)))</f>
        <v>Card Processing Solutions (CPS)</v>
      </c>
      <c r="H143" cm="1">
        <f t="array" ref="H143">_xlfn.IFS(B143="","",(SUMIFS(SF_Output!$F$1:$F$400,SF_Output!$AC$1:$AC$400,_xlfn.TEXTJOIN(",",TRUE,B143:E143))+SUMIFS(SF_Output!$G$1:$G$400,SF_Output!$AC$1:$AC$400,_xlfn.TEXTJOIN(",",TRUE,B143:E143)))&lt;&gt;0,SF_Output!$Y$2,INDEX(SF_Output!$F$1:$F$400,MATCH(_xlfn.TEXTJOIN(",",TRUE,B143:E143),SF_Output!$AC$1:$AC$400,0))=0,INDEX(SF_Output!$R$1:$R$400,MATCH(_xlfn.TEXTJOIN(",",TRUE,B143:E143),SF_Output!$AC$1:$AC$400,0)))</f>
        <v>0</v>
      </c>
      <c r="I143" s="125" t="str">
        <f>IFERROR(IF(AND(H143&gt;1,H143&lt;&gt;""),ROUND(SUMIFS(SF_Output!$S$1:$S$400,SF_Output!$AC$1:$AC$400,_xlfn.TEXTJOIN(",",TRUE,B143:E143),SF_Output!$Q$1:$Q$400,"monthly")*(1-W143)/H143,4),""),"")</f>
        <v/>
      </c>
      <c r="J143" s="6">
        <f>IF(B143="","",SUMIFS(SF_Output!$S$1:$S$400,SF_Output!$AC$1:$AC$400,_xlfn.TEXTJOIN(",",TRUE,B143:E143),SF_Output!$Q$1:$Q$400,"One Time",SF_Output!$L$1:$L$400,"license fee")+SUMIFS(SF_Output!$S$1:$S$400,SF_Output!$AC$1:$AC$400,_xlfn.TEXTJOIN(",",TRUE,B143:E143),SF_Output!$Q$1:$Q$400,"One Time",SF_Output!$L$1:$L$400,"software license")+SUMIFS(SF_Output!$S$1:$S$400,SF_Output!$AC$1:$AC$400,_xlfn.TEXTJOIN(",",TRUE,B143:E143),SF_Output!$Q$1:$Q$400,"One Time",SF_Output!$L$1:$L$400,"hardware"))</f>
        <v>0</v>
      </c>
      <c r="K143" s="112" t="str">
        <f>IF(OR(B143=0,B143="",G143="hardware",J143=0),"",IF(AF143&lt;&gt;"exclusion",MAX(K$9,-((SUMIFS(SF_Output!$T$1:$T$400,SF_Output!$AC$1:$AC$400,_xlfn.TEXTJOIN(",",TRUE,$B143:$E143),SF_Output!$Q$1:$Q$400,"One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license"))/J143)))</f>
        <v/>
      </c>
      <c r="L143" s="6">
        <f t="shared" si="37"/>
        <v>0</v>
      </c>
      <c r="N143" s="6">
        <f>IF(B143="","",SUMIFS(SF_Output!$S$1:$S$400,SF_Output!$AC$1:$AC$400,_xlfn.TEXTJOIN(",",TRUE,B143:E143),SF_Output!$Q$1:$Q$400,"One Time",SF_Output!$L$1:$L$400,"professional service"))</f>
        <v>0</v>
      </c>
      <c r="O143" s="112" t="str">
        <f>IF(OR(B143=0,B143="",N143=0),"",IF(AF143&lt;&gt;"exclusion",MAX(O$9,-(SUMIFS(SF_Output!$T$1:$T$400,SF_Output!$AC$1:$AC$400,_xlfn.TEXTJOIN(",",TRUE,$B143:$E143),SF_Output!$Q$1:$Q$400,"One Time",SF_Output!$L$1:$L$400,"professional service"))/N143),-((SUMIFS(SF_Output!$T$1:$T$400,SF_Output!$AC$1:$AC$400,_xlfn.TEXTJOIN(",",TRUE,$B143:$E143),SF_Output!$Q$1:$Q$400,"One Time",SF_Output!$L$1:$L$400,"professional service")/N143))))</f>
        <v/>
      </c>
      <c r="P143" s="6">
        <f t="shared" si="38"/>
        <v>0</v>
      </c>
      <c r="R143" s="6">
        <f>IF(B143="","",SUMIFS(SF_Output!$S$1:$S$400,SF_Output!$AC$1:$AC$400,_xlfn.TEXTJOIN(",",TRUE,B143:E143),SF_Output!$Q$1:$Q$400,"yearly")+SUMIFS(SF_Output!$S$1:$S$400,SF_Output!$AC$1:$AC$400,_xlfn.TEXTJOIN(",",TRUE,B143:E143),SF_Output!$Q$1:$Q$400,"quarterly")*4)</f>
        <v>0</v>
      </c>
      <c r="S143" s="112" t="str">
        <f>IF(OR(B143=0,B143="",G143="hardware",R143=0),"",IF(AF143&lt;&gt;"exclusion",MAX(S$9,-(SUMIFS(SF_Output!$T$1:$T$400,SF_Output!$AC$1:$AC$400,_xlfn.TEXTJOIN(",",TRUE,$B143:$E143),SF_Output!$Q$1:$Q$400,"yearly"))/R143),-((SUMIFS(SF_Output!$T$1:$T$400,SF_Output!$AC$1:$AC$400,_xlfn.TEXTJOIN(",",TRUE,$B143:$E143),SF_Output!$Q$1:$Q$400,"yearly")/R143))))</f>
        <v/>
      </c>
      <c r="T143" s="6">
        <f t="shared" si="39"/>
        <v>0</v>
      </c>
      <c r="V143" s="6" cm="1">
        <f t="array" ref="V143">_xlfn.IFS(B143="","",AND(B143&lt;&gt;"",H143=SF_Output!$Y$2,SUMIFS(SF_Output!$T$1:$T$400,SF_Output!$AC$1:$AC$400,_xlfn.TEXTJOIN(",",TRUE,B143:E143),SF_Output!$Q$1:$Q$400,"monthly")=0),(SUMIFS(SF_Output!$F$1:$F$400,SF_Output!$AC$1:$AC$400,_xlfn.TEXTJOIN(",",TRUE,B143:E143),SF_Output!$Q$1:$Q$400,"monthly")+SUMIFS(SF_Output!$G$1:$G$400,SF_Output!$AC$1:$AC$400,_xlfn.TEXTJOIN(",",TRUE,B143:E143),SF_Output!$Q$1:$Q$400,"monthly"))*H143,AND(B143&lt;&gt;"",H143=SF_Output!$Y$2,SUMIFS(SF_Output!$T$1:$T$400,SF_Output!$AC$1:$AC$400,_xlfn.TEXTJOIN(",",TRUE,B143:E143),SF_Output!$Q$1:$Q$400,"monthly")&lt;&gt;0),SUMIFS(SF_Output!$S$1:$S$400,SF_Output!$AC$1:$AC$400,_xlfn.TEXTJOIN(",",TRUE,B143:E143),SF_Output!$Q$1:$Q$400,"monthly"),AND(B143&lt;&gt;"",H143&lt;&gt;SF_Output!$Y$2),SUMIFS(SF_Output!$S$1:$S$400,SF_Output!$AC$1:$AC$400,_xlfn.TEXTJOIN(",",TRUE,B143:E143),SF_Output!$Q$1:$Q$400,"monthly"))</f>
        <v>0</v>
      </c>
      <c r="W143" s="112" t="str" cm="1">
        <f t="array" ref="W143">_xlfn.IFS(OR(B143=0,B143="",V143=0),"",AF143&lt;&gt;"exclusion",MAX($W$9,$W$7,(-(SUMIFS(SF_Output!$T$1:$T$400,SF_Output!$AC$1:$AC$400,_xlfn.TEXTJOIN(",",TRUE,$B143:$E143),SF_Output!$Q$1:$Q$400,"monthly"))/V143)),AF143="exclusion",-(SUMIFS(SF_Output!$T$1:$T$400,SF_Output!$AC$1:$AC$400,_xlfn.TEXTJOIN(",",TRUE,$B143:$E143),SF_Output!$Q$1:$Q$400,"monthly"))/V143)</f>
        <v/>
      </c>
      <c r="X143" s="6" cm="1">
        <f t="array" ref="X143">IFERROR(_xlfn.IFS(V143=0,0,V143="","",W143=0,V143,OR(V143&lt;&gt;0,V143&lt;&gt;""),H143*I143),V143*(1-W143))</f>
        <v>0</v>
      </c>
      <c r="Z143" s="6">
        <f>IFERROR(IF(B143="","",SUMIFS(Billing_Fallout!H:H,Billing_Fallout!N:N,B143)),0)</f>
        <v>0</v>
      </c>
      <c r="AA143" s="6">
        <f t="shared" si="40"/>
        <v>0</v>
      </c>
      <c r="AB143" s="6">
        <f>IFERROR(IF(B143="","",SUMIFS(Billing_Fallout!J:J,Billing_Fallout!N:N,B143)),0)</f>
        <v>0</v>
      </c>
      <c r="AD143" s="6">
        <f t="shared" si="41"/>
        <v>0</v>
      </c>
      <c r="AF143" t="str">
        <f>IFERROR(INDEX(H_Tables!$B$1:$B$1500,MATCH(INDEX(SF_Output!$J$1:$J$400,MATCH(B143,SF_Output!$M$1:$M$400,0)),H_Tables!$A$1:$A$1500,0)),"")</f>
        <v>Exclusion</v>
      </c>
      <c r="AI143" s="119" t="str">
        <f t="shared" si="42"/>
        <v/>
      </c>
      <c r="AJ143" s="121">
        <f>IFERROR(INDEX(SF_Output!AD:AD,MATCH(_xlfn.TEXTJOIN(",",TRUE,B143:E143),SF_Output!AC1:AC400,0)),0.05)</f>
        <v>230</v>
      </c>
      <c r="AK143" t="str">
        <f>IF(SUMIFS(SF_Output!$F$1:$F$400,SF_Output!$AC$1:$AC$400,_xlfn.TEXTJOIN(",",TRUE,B143:E143))+SUMIFS(SF_Output!$G$1:$G$400,SF_Output!$AC$1:$AC$400,_xlfn.TEXTJOIN(",",TRUE,B143:E143))=0,"","PAP")</f>
        <v/>
      </c>
      <c r="AL143" s="35" t="str">
        <f t="shared" si="43"/>
        <v>Network Fraud Reporting JHA Debit Processing,New,Hosted by 3rd Party,0</v>
      </c>
      <c r="AQ143" s="35"/>
      <c r="AR143" s="35" t="str" cm="1">
        <f t="array" ref="AR143">IFERROR(_xlfn.IFS(AND(E143*1=1,F143="Included"),"Change to Included",AND(E143*1=0,F143="Optional"),"Change to Optional",OR(B143="",F143="replaced"),""),"")</f>
        <v/>
      </c>
      <c r="AS143" s="35" t="str">
        <f t="shared" si="44"/>
        <v/>
      </c>
      <c r="AT143" s="35" t="str">
        <f t="shared" si="45"/>
        <v/>
      </c>
      <c r="AU143" s="35" t="str">
        <f t="shared" si="46"/>
        <v/>
      </c>
      <c r="AV143" s="35" t="str">
        <f t="shared" si="47"/>
        <v/>
      </c>
      <c r="AW143" s="35" t="str">
        <f t="shared" si="48"/>
        <v/>
      </c>
      <c r="AX143" s="35" t="str">
        <f t="shared" si="49"/>
        <v/>
      </c>
      <c r="AY143" s="35" t="str">
        <f t="shared" si="50"/>
        <v/>
      </c>
      <c r="AZ143" s="35" t="str">
        <f t="shared" si="51"/>
        <v/>
      </c>
      <c r="BA143" s="35" t="str">
        <f t="shared" si="52"/>
        <v/>
      </c>
      <c r="BB143" s="35" t="str">
        <f t="shared" si="53"/>
        <v/>
      </c>
      <c r="BC143" s="35"/>
      <c r="BE143" s="35">
        <f ca="1">INDEX(SF_Output!$AA$2:$AA$400,MATCH($B143,SF_Output!$M$2:$M$400,0))</f>
        <v>6</v>
      </c>
      <c r="BF143" s="35">
        <f ca="1">INDEX(SF_Output!$AB$2:$AB$400,MATCH($B143,SF_Output!$M$2:$M$400,0))</f>
        <v>1</v>
      </c>
    </row>
    <row r="144" spans="2:58" x14ac:dyDescent="0.25">
      <c r="B144" t="s">
        <v>2453</v>
      </c>
      <c r="C144" t="s">
        <v>2122</v>
      </c>
      <c r="D144" t="s">
        <v>2207</v>
      </c>
      <c r="E144" t="s">
        <v>2124</v>
      </c>
      <c r="F144" s="116" t="str">
        <f t="shared" si="36"/>
        <v>Included</v>
      </c>
      <c r="G144" t="str">
        <f>IF(B144="","",INDEX(SF_Output!$K$1:$K$400,MATCH(B144,SF_Output!$M$1:$M$400,0)))</f>
        <v>Card Processing Solutions (CPS)</v>
      </c>
      <c r="H144" cm="1">
        <f t="array" ref="H144">_xlfn.IFS(B144="","",(SUMIFS(SF_Output!$F$1:$F$400,SF_Output!$AC$1:$AC$400,_xlfn.TEXTJOIN(",",TRUE,B144:E144))+SUMIFS(SF_Output!$G$1:$G$400,SF_Output!$AC$1:$AC$400,_xlfn.TEXTJOIN(",",TRUE,B144:E144)))&lt;&gt;0,SF_Output!$Y$2,INDEX(SF_Output!$F$1:$F$400,MATCH(_xlfn.TEXTJOIN(",",TRUE,B144:E144),SF_Output!$AC$1:$AC$400,0))=0,INDEX(SF_Output!$R$1:$R$400,MATCH(_xlfn.TEXTJOIN(",",TRUE,B144:E144),SF_Output!$AC$1:$AC$400,0)))</f>
        <v>0</v>
      </c>
      <c r="I144" s="125" t="str">
        <f>IFERROR(IF(AND(H144&gt;1,H144&lt;&gt;""),ROUND(SUMIFS(SF_Output!$S$1:$S$400,SF_Output!$AC$1:$AC$400,_xlfn.TEXTJOIN(",",TRUE,B144:E144),SF_Output!$Q$1:$Q$400,"monthly")*(1-W144)/H144,4),""),"")</f>
        <v/>
      </c>
      <c r="J144" s="6">
        <f>IF(B144="","",SUMIFS(SF_Output!$S$1:$S$400,SF_Output!$AC$1:$AC$400,_xlfn.TEXTJOIN(",",TRUE,B144:E144),SF_Output!$Q$1:$Q$400,"One Time",SF_Output!$L$1:$L$400,"license fee")+SUMIFS(SF_Output!$S$1:$S$400,SF_Output!$AC$1:$AC$400,_xlfn.TEXTJOIN(",",TRUE,B144:E144),SF_Output!$Q$1:$Q$400,"One Time",SF_Output!$L$1:$L$400,"software license")+SUMIFS(SF_Output!$S$1:$S$400,SF_Output!$AC$1:$AC$400,_xlfn.TEXTJOIN(",",TRUE,B144:E144),SF_Output!$Q$1:$Q$400,"One Time",SF_Output!$L$1:$L$400,"hardware"))</f>
        <v>0</v>
      </c>
      <c r="K144" s="112" t="str">
        <f>IF(OR(B144=0,B144="",G144="hardware",J144=0),"",IF(AF144&lt;&gt;"exclusion",MAX(K$9,-((SUMIFS(SF_Output!$T$1:$T$400,SF_Output!$AC$1:$AC$400,_xlfn.TEXTJOIN(",",TRUE,$B144:$E144),SF_Output!$Q$1:$Q$400,"One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license"))/J144)))</f>
        <v/>
      </c>
      <c r="L144" s="6">
        <f t="shared" si="37"/>
        <v>0</v>
      </c>
      <c r="N144" s="6">
        <f>IF(B144="","",SUMIFS(SF_Output!$S$1:$S$400,SF_Output!$AC$1:$AC$400,_xlfn.TEXTJOIN(",",TRUE,B144:E144),SF_Output!$Q$1:$Q$400,"One Time",SF_Output!$L$1:$L$400,"professional service"))</f>
        <v>1500</v>
      </c>
      <c r="O144" s="112">
        <f>IF(OR(B144=0,B144="",N144=0),"",IF(AF144&lt;&gt;"exclusion",MAX(O$9,-(SUMIFS(SF_Output!$T$1:$T$400,SF_Output!$AC$1:$AC$400,_xlfn.TEXTJOIN(",",TRUE,$B144:$E144),SF_Output!$Q$1:$Q$400,"One Time",SF_Output!$L$1:$L$400,"professional service"))/N144),-((SUMIFS(SF_Output!$T$1:$T$400,SF_Output!$AC$1:$AC$400,_xlfn.TEXTJOIN(",",TRUE,$B144:$E144),SF_Output!$Q$1:$Q$400,"One Time",SF_Output!$L$1:$L$400,"professional service")/N144))))</f>
        <v>1</v>
      </c>
      <c r="P144" s="6">
        <f t="shared" si="38"/>
        <v>0</v>
      </c>
      <c r="R144" s="6">
        <f>IF(B144="","",SUMIFS(SF_Output!$S$1:$S$400,SF_Output!$AC$1:$AC$400,_xlfn.TEXTJOIN(",",TRUE,B144:E144),SF_Output!$Q$1:$Q$400,"yearly")+SUMIFS(SF_Output!$S$1:$S$400,SF_Output!$AC$1:$AC$400,_xlfn.TEXTJOIN(",",TRUE,B144:E144),SF_Output!$Q$1:$Q$400,"quarterly")*4)</f>
        <v>0</v>
      </c>
      <c r="S144" s="112" t="str">
        <f>IF(OR(B144=0,B144="",G144="hardware",R144=0),"",IF(AF144&lt;&gt;"exclusion",MAX(S$9,-(SUMIFS(SF_Output!$T$1:$T$400,SF_Output!$AC$1:$AC$400,_xlfn.TEXTJOIN(",",TRUE,$B144:$E144),SF_Output!$Q$1:$Q$400,"yearly"))/R144),-((SUMIFS(SF_Output!$T$1:$T$400,SF_Output!$AC$1:$AC$400,_xlfn.TEXTJOIN(",",TRUE,$B144:$E144),SF_Output!$Q$1:$Q$400,"yearly")/R144))))</f>
        <v/>
      </c>
      <c r="T144" s="6">
        <f t="shared" si="39"/>
        <v>0</v>
      </c>
      <c r="V144" s="6" cm="1">
        <f t="array" ref="V144">_xlfn.IFS(B144="","",AND(B144&lt;&gt;"",H144=SF_Output!$Y$2,SUMIFS(SF_Output!$T$1:$T$400,SF_Output!$AC$1:$AC$400,_xlfn.TEXTJOIN(",",TRUE,B144:E144),SF_Output!$Q$1:$Q$400,"monthly")=0),(SUMIFS(SF_Output!$F$1:$F$400,SF_Output!$AC$1:$AC$400,_xlfn.TEXTJOIN(",",TRUE,B144:E144),SF_Output!$Q$1:$Q$400,"monthly")+SUMIFS(SF_Output!$G$1:$G$400,SF_Output!$AC$1:$AC$400,_xlfn.TEXTJOIN(",",TRUE,B144:E144),SF_Output!$Q$1:$Q$400,"monthly"))*H144,AND(B144&lt;&gt;"",H144=SF_Output!$Y$2,SUMIFS(SF_Output!$T$1:$T$400,SF_Output!$AC$1:$AC$400,_xlfn.TEXTJOIN(",",TRUE,B144:E144),SF_Output!$Q$1:$Q$400,"monthly")&lt;&gt;0),SUMIFS(SF_Output!$S$1:$S$400,SF_Output!$AC$1:$AC$400,_xlfn.TEXTJOIN(",",TRUE,B144:E144),SF_Output!$Q$1:$Q$400,"monthly"),AND(B144&lt;&gt;"",H144&lt;&gt;SF_Output!$Y$2),SUMIFS(SF_Output!$S$1:$S$400,SF_Output!$AC$1:$AC$400,_xlfn.TEXTJOIN(",",TRUE,B144:E144),SF_Output!$Q$1:$Q$400,"monthly"))</f>
        <v>250</v>
      </c>
      <c r="W144" s="112" cm="1">
        <f t="array" ref="W144">_xlfn.IFS(OR(B144=0,B144="",V144=0),"",AF144&lt;&gt;"exclusion",MAX($W$9,$W$7,(-(SUMIFS(SF_Output!$T$1:$T$400,SF_Output!$AC$1:$AC$400,_xlfn.TEXTJOIN(",",TRUE,$B144:$E144),SF_Output!$Q$1:$Q$400,"monthly"))/V144)),AF144="exclusion",-(SUMIFS(SF_Output!$T$1:$T$400,SF_Output!$AC$1:$AC$400,_xlfn.TEXTJOIN(",",TRUE,$B144:$E144),SF_Output!$Q$1:$Q$400,"monthly"))/V144)</f>
        <v>0</v>
      </c>
      <c r="X144" s="6" cm="1">
        <f t="array" ref="X144">IFERROR(_xlfn.IFS(V144=0,0,V144="","",W144=0,V144,OR(V144&lt;&gt;0,V144&lt;&gt;""),H144*I144),V144*(1-W144))</f>
        <v>250</v>
      </c>
      <c r="Z144" s="6">
        <f>IFERROR(IF(B144="","",SUMIFS(Billing_Fallout!H:H,Billing_Fallout!N:N,B144)),0)</f>
        <v>0</v>
      </c>
      <c r="AA144" s="6">
        <f t="shared" si="40"/>
        <v>0</v>
      </c>
      <c r="AB144" s="6">
        <f>IFERROR(IF(B144="","",SUMIFS(Billing_Fallout!J:J,Billing_Fallout!N:N,B144)),0)</f>
        <v>0</v>
      </c>
      <c r="AD144" s="6">
        <f t="shared" si="41"/>
        <v>250</v>
      </c>
      <c r="AF144" t="str">
        <f>IFERROR(INDEX(H_Tables!$B$1:$B$1500,MATCH(INDEX(SF_Output!$J$1:$J$400,MATCH(B144,SF_Output!$M$1:$M$400,0)),H_Tables!$A$1:$A$1500,0)),"")</f>
        <v>Exclusion</v>
      </c>
      <c r="AI144" s="119" t="str">
        <f t="shared" si="42"/>
        <v/>
      </c>
      <c r="AJ144" s="121">
        <f>IFERROR(INDEX(SF_Output!AD:AD,MATCH(_xlfn.TEXTJOIN(",",TRUE,B144:E144),SF_Output!AC1:AC400,0)),0.05)</f>
        <v>231</v>
      </c>
      <c r="AK144" t="str">
        <f>IF(SUMIFS(SF_Output!$F$1:$F$400,SF_Output!$AC$1:$AC$400,_xlfn.TEXTJOIN(",",TRUE,B144:E144))+SUMIFS(SF_Output!$G$1:$G$400,SF_Output!$AC$1:$AC$400,_xlfn.TEXTJOIN(",",TRUE,B144:E144))=0,"","PAP")</f>
        <v/>
      </c>
      <c r="AL144" s="35" t="str">
        <f t="shared" si="43"/>
        <v>MyCardRules JHA Debit Processing,New,Hosted by 3rd Party,0</v>
      </c>
      <c r="AQ144" s="35"/>
      <c r="AR144" s="35" t="str" cm="1">
        <f t="array" ref="AR144">IFERROR(_xlfn.IFS(AND(E144*1=1,F144="Included"),"Change to Included",AND(E144*1=0,F144="Optional"),"Change to Optional",OR(B144="",F144="replaced"),""),"")</f>
        <v/>
      </c>
      <c r="AS144" s="35" t="str">
        <f t="shared" si="44"/>
        <v/>
      </c>
      <c r="AT144" s="35" t="str">
        <f t="shared" si="45"/>
        <v/>
      </c>
      <c r="AU144" s="35" t="str">
        <f t="shared" si="46"/>
        <v/>
      </c>
      <c r="AV144" s="35" t="str">
        <f t="shared" si="47"/>
        <v/>
      </c>
      <c r="AW144" s="35" t="str">
        <f t="shared" si="48"/>
        <v/>
      </c>
      <c r="AX144" s="35" t="str">
        <f t="shared" si="49"/>
        <v/>
      </c>
      <c r="AY144" s="35" t="str">
        <f t="shared" si="50"/>
        <v/>
      </c>
      <c r="AZ144" s="35" t="str">
        <f t="shared" si="51"/>
        <v/>
      </c>
      <c r="BA144" s="35" t="str">
        <f t="shared" si="52"/>
        <v/>
      </c>
      <c r="BB144" s="35" t="str">
        <f t="shared" si="53"/>
        <v/>
      </c>
      <c r="BC144" s="35"/>
      <c r="BE144" s="35">
        <f ca="1">INDEX(SF_Output!$AA$2:$AA$400,MATCH($B144,SF_Output!$M$2:$M$400,0))</f>
        <v>6</v>
      </c>
      <c r="BF144" s="35">
        <f ca="1">INDEX(SF_Output!$AB$2:$AB$400,MATCH($B144,SF_Output!$M$2:$M$400,0))</f>
        <v>1</v>
      </c>
    </row>
    <row r="145" spans="2:58" x14ac:dyDescent="0.25">
      <c r="B145" t="s">
        <v>2457</v>
      </c>
      <c r="C145" t="s">
        <v>2122</v>
      </c>
      <c r="D145" t="s">
        <v>2123</v>
      </c>
      <c r="E145" t="s">
        <v>2124</v>
      </c>
      <c r="F145" s="116" t="str">
        <f t="shared" si="36"/>
        <v>Included</v>
      </c>
      <c r="G145" t="str">
        <f>IF(B145="","",INDEX(SF_Output!$K$1:$K$400,MATCH(B145,SF_Output!$M$1:$M$400,0)))</f>
        <v>Payrailz</v>
      </c>
      <c r="H145" cm="1">
        <f t="array" ref="H145">_xlfn.IFS(B145="","",(SUMIFS(SF_Output!$F$1:$F$400,SF_Output!$AC$1:$AC$400,_xlfn.TEXTJOIN(",",TRUE,B145:E145))+SUMIFS(SF_Output!$G$1:$G$400,SF_Output!$AC$1:$AC$400,_xlfn.TEXTJOIN(",",TRUE,B145:E145)))&lt;&gt;0,SF_Output!$Y$2,INDEX(SF_Output!$F$1:$F$400,MATCH(_xlfn.TEXTJOIN(",",TRUE,B145:E145),SF_Output!$AC$1:$AC$400,0))=0,INDEX(SF_Output!$R$1:$R$400,MATCH(_xlfn.TEXTJOIN(",",TRUE,B145:E145),SF_Output!$AC$1:$AC$400,0)))</f>
        <v>1</v>
      </c>
      <c r="I145" s="125" t="str">
        <f>IFERROR(IF(AND(H145&gt;1,H145&lt;&gt;""),ROUND(SUMIFS(SF_Output!$S$1:$S$400,SF_Output!$AC$1:$AC$400,_xlfn.TEXTJOIN(",",TRUE,B145:E145),SF_Output!$Q$1:$Q$400,"monthly")*(1-W145)/H145,4),""),"")</f>
        <v/>
      </c>
      <c r="J145" s="6">
        <f>IF(B145="","",SUMIFS(SF_Output!$S$1:$S$400,SF_Output!$AC$1:$AC$400,_xlfn.TEXTJOIN(",",TRUE,B145:E145),SF_Output!$Q$1:$Q$400,"One Time",SF_Output!$L$1:$L$400,"license fee")+SUMIFS(SF_Output!$S$1:$S$400,SF_Output!$AC$1:$AC$400,_xlfn.TEXTJOIN(",",TRUE,B145:E145),SF_Output!$Q$1:$Q$400,"One Time",SF_Output!$L$1:$L$400,"software license")+SUMIFS(SF_Output!$S$1:$S$400,SF_Output!$AC$1:$AC$400,_xlfn.TEXTJOIN(",",TRUE,B145:E145),SF_Output!$Q$1:$Q$400,"One Time",SF_Output!$L$1:$L$400,"hardware"))</f>
        <v>0</v>
      </c>
      <c r="K145" s="112" t="str">
        <f>IF(OR(B145=0,B145="",G145="hardware",J145=0),"",IF(AF145&lt;&gt;"exclusion",MAX(K$9,-((SUMIFS(SF_Output!$T$1:$T$400,SF_Output!$AC$1:$AC$400,_xlfn.TEXTJOIN(",",TRUE,$B145:$E145),SF_Output!$Q$1:$Q$400,"One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license"))/J145)))</f>
        <v/>
      </c>
      <c r="L145" s="6">
        <f t="shared" si="37"/>
        <v>0</v>
      </c>
      <c r="N145" s="6">
        <f>IF(B145="","",SUMIFS(SF_Output!$S$1:$S$400,SF_Output!$AC$1:$AC$400,_xlfn.TEXTJOIN(",",TRUE,B145:E145),SF_Output!$Q$1:$Q$400,"One Time",SF_Output!$L$1:$L$400,"professional service"))</f>
        <v>5000</v>
      </c>
      <c r="O145" s="112">
        <f>IF(OR(B145=0,B145="",N145=0),"",IF(AF145&lt;&gt;"exclusion",MAX(O$9,-(SUMIFS(SF_Output!$T$1:$T$400,SF_Output!$AC$1:$AC$400,_xlfn.TEXTJOIN(",",TRUE,$B145:$E145),SF_Output!$Q$1:$Q$400,"One Time",SF_Output!$L$1:$L$400,"professional service"))/N145),-((SUMIFS(SF_Output!$T$1:$T$400,SF_Output!$AC$1:$AC$400,_xlfn.TEXTJOIN(",",TRUE,$B145:$E145),SF_Output!$Q$1:$Q$400,"One Time",SF_Output!$L$1:$L$400,"professional service")/N145))))</f>
        <v>1</v>
      </c>
      <c r="P145" s="6">
        <f t="shared" si="38"/>
        <v>0</v>
      </c>
      <c r="R145" s="6">
        <f>IF(B145="","",SUMIFS(SF_Output!$S$1:$S$400,SF_Output!$AC$1:$AC$400,_xlfn.TEXTJOIN(",",TRUE,B145:E145),SF_Output!$Q$1:$Q$400,"yearly")+SUMIFS(SF_Output!$S$1:$S$400,SF_Output!$AC$1:$AC$400,_xlfn.TEXTJOIN(",",TRUE,B145:E145),SF_Output!$Q$1:$Q$400,"quarterly")*4)</f>
        <v>0</v>
      </c>
      <c r="S145" s="112" t="str">
        <f>IF(OR(B145=0,B145="",G145="hardware",R145=0),"",IF(AF145&lt;&gt;"exclusion",MAX(S$9,-(SUMIFS(SF_Output!$T$1:$T$400,SF_Output!$AC$1:$AC$400,_xlfn.TEXTJOIN(",",TRUE,$B145:$E145),SF_Output!$Q$1:$Q$400,"yearly"))/R145),-((SUMIFS(SF_Output!$T$1:$T$400,SF_Output!$AC$1:$AC$400,_xlfn.TEXTJOIN(",",TRUE,$B145:$E145),SF_Output!$Q$1:$Q$400,"yearly")/R145))))</f>
        <v/>
      </c>
      <c r="T145" s="6">
        <f t="shared" si="39"/>
        <v>0</v>
      </c>
      <c r="V145" s="6" cm="1">
        <f t="array" ref="V145">_xlfn.IFS(B145="","",AND(B145&lt;&gt;"",H145=SF_Output!$Y$2,SUMIFS(SF_Output!$T$1:$T$400,SF_Output!$AC$1:$AC$400,_xlfn.TEXTJOIN(",",TRUE,B145:E145),SF_Output!$Q$1:$Q$400,"monthly")=0),(SUMIFS(SF_Output!$F$1:$F$400,SF_Output!$AC$1:$AC$400,_xlfn.TEXTJOIN(",",TRUE,B145:E145),SF_Output!$Q$1:$Q$400,"monthly")+SUMIFS(SF_Output!$G$1:$G$400,SF_Output!$AC$1:$AC$400,_xlfn.TEXTJOIN(",",TRUE,B145:E145),SF_Output!$Q$1:$Q$400,"monthly"))*H145,AND(B145&lt;&gt;"",H145=SF_Output!$Y$2,SUMIFS(SF_Output!$T$1:$T$400,SF_Output!$AC$1:$AC$400,_xlfn.TEXTJOIN(",",TRUE,B145:E145),SF_Output!$Q$1:$Q$400,"monthly")&lt;&gt;0),SUMIFS(SF_Output!$S$1:$S$400,SF_Output!$AC$1:$AC$400,_xlfn.TEXTJOIN(",",TRUE,B145:E145),SF_Output!$Q$1:$Q$400,"monthly"),AND(B145&lt;&gt;"",H145&lt;&gt;SF_Output!$Y$2),SUMIFS(SF_Output!$S$1:$S$400,SF_Output!$AC$1:$AC$400,_xlfn.TEXTJOIN(",",TRUE,B145:E145),SF_Output!$Q$1:$Q$400,"monthly"))</f>
        <v>350</v>
      </c>
      <c r="W145" s="112" cm="1">
        <f t="array" ref="W145">_xlfn.IFS(OR(B145=0,B145="",V145=0),"",AF145&lt;&gt;"exclusion",MAX($W$9,$W$7,(-(SUMIFS(SF_Output!$T$1:$T$400,SF_Output!$AC$1:$AC$400,_xlfn.TEXTJOIN(",",TRUE,$B145:$E145),SF_Output!$Q$1:$Q$400,"monthly"))/V145)),AF145="exclusion",-(SUMIFS(SF_Output!$T$1:$T$400,SF_Output!$AC$1:$AC$400,_xlfn.TEXTJOIN(",",TRUE,$B145:$E145),SF_Output!$Q$1:$Q$400,"monthly"))/V145)</f>
        <v>0</v>
      </c>
      <c r="X145" s="6" cm="1">
        <f t="array" ref="X145">IFERROR(_xlfn.IFS(V145=0,0,V145="","",W145=0,V145,OR(V145&lt;&gt;0,V145&lt;&gt;""),H145*I145),V145*(1-W145))</f>
        <v>350</v>
      </c>
      <c r="Z145" s="6">
        <f>IFERROR(IF(B145="","",SUMIFS(Billing_Fallout!H:H,Billing_Fallout!N:N,B145)),0)</f>
        <v>0</v>
      </c>
      <c r="AA145" s="6">
        <f t="shared" si="40"/>
        <v>0</v>
      </c>
      <c r="AB145" s="6">
        <f>IFERROR(IF(B145="","",SUMIFS(Billing_Fallout!J:J,Billing_Fallout!N:N,B145)),0)</f>
        <v>0</v>
      </c>
      <c r="AD145" s="6">
        <f t="shared" si="41"/>
        <v>350</v>
      </c>
      <c r="AF145" t="str">
        <f>IFERROR(INDEX(H_Tables!$B$1:$B$1500,MATCH(INDEX(SF_Output!$J$1:$J$400,MATCH(B145,SF_Output!$M$1:$M$400,0)),H_Tables!$A$1:$A$1500,0)),"")</f>
        <v/>
      </c>
      <c r="AI145" s="119" t="str">
        <f t="shared" si="42"/>
        <v/>
      </c>
      <c r="AJ145" s="121">
        <f>IFERROR(INDEX(SF_Output!AD:AD,MATCH(_xlfn.TEXTJOIN(",",TRUE,B145:E145),SF_Output!AC1:AC400,0)),0.05)</f>
        <v>233</v>
      </c>
      <c r="AK145" t="str">
        <f>IF(SUMIFS(SF_Output!$F$1:$F$400,SF_Output!$AC$1:$AC$400,_xlfn.TEXTJOIN(",",TRUE,B145:E145))+SUMIFS(SF_Output!$G$1:$G$400,SF_Output!$AC$1:$AC$400,_xlfn.TEXTJOIN(",",TRUE,B145:E145))=0,"","PAP")</f>
        <v/>
      </c>
      <c r="AL145" s="35" t="str">
        <f t="shared" si="43"/>
        <v>Payrailz Bundle,New,Hosted by JHA,0</v>
      </c>
      <c r="AQ145" s="35"/>
      <c r="AR145" s="35" t="str" cm="1">
        <f t="array" ref="AR145">IFERROR(_xlfn.IFS(AND(E145*1=1,F145="Included"),"Change to Included",AND(E145*1=0,F145="Optional"),"Change to Optional",OR(B145="",F145="replaced"),""),"")</f>
        <v/>
      </c>
      <c r="AS145" s="35" t="str">
        <f t="shared" si="44"/>
        <v/>
      </c>
      <c r="AT145" s="35" t="str">
        <f t="shared" si="45"/>
        <v/>
      </c>
      <c r="AU145" s="35" t="str">
        <f t="shared" si="46"/>
        <v/>
      </c>
      <c r="AV145" s="35" t="str">
        <f t="shared" si="47"/>
        <v/>
      </c>
      <c r="AW145" s="35" t="str">
        <f t="shared" si="48"/>
        <v/>
      </c>
      <c r="AX145" s="35" t="str">
        <f t="shared" si="49"/>
        <v/>
      </c>
      <c r="AY145" s="35" t="str">
        <f t="shared" si="50"/>
        <v/>
      </c>
      <c r="AZ145" s="35" t="str">
        <f t="shared" si="51"/>
        <v/>
      </c>
      <c r="BA145" s="35" t="str">
        <f t="shared" si="52"/>
        <v/>
      </c>
      <c r="BB145" s="35" t="str">
        <f t="shared" si="53"/>
        <v/>
      </c>
      <c r="BC145" s="35"/>
      <c r="BE145" s="35">
        <f ca="1">INDEX(SF_Output!$AA$2:$AA$400,MATCH($B145,SF_Output!$M$2:$M$400,0))</f>
        <v>6</v>
      </c>
      <c r="BF145" s="35" t="str">
        <f ca="1">INDEX(SF_Output!$AB$2:$AB$400,MATCH($B145,SF_Output!$M$2:$M$400,0))</f>
        <v/>
      </c>
    </row>
    <row r="146" spans="2:58" x14ac:dyDescent="0.25">
      <c r="B146" t="s">
        <v>2461</v>
      </c>
      <c r="C146" t="s">
        <v>2122</v>
      </c>
      <c r="D146" t="s">
        <v>2123</v>
      </c>
      <c r="E146" t="s">
        <v>2124</v>
      </c>
      <c r="F146" s="116" t="str">
        <f t="shared" si="36"/>
        <v>Included</v>
      </c>
      <c r="G146" t="str">
        <f>IF(B146="","",INDEX(SF_Output!$K$1:$K$400,MATCH(B146,SF_Output!$M$1:$M$400,0)))</f>
        <v>Payrailz</v>
      </c>
      <c r="H146" cm="1">
        <f t="array" ref="H146">_xlfn.IFS(B146="","",(SUMIFS(SF_Output!$F$1:$F$400,SF_Output!$AC$1:$AC$400,_xlfn.TEXTJOIN(",",TRUE,B146:E146))+SUMIFS(SF_Output!$G$1:$G$400,SF_Output!$AC$1:$AC$400,_xlfn.TEXTJOIN(",",TRUE,B146:E146)))&lt;&gt;0,SF_Output!$Y$2,INDEX(SF_Output!$F$1:$F$400,MATCH(_xlfn.TEXTJOIN(",",TRUE,B146:E146),SF_Output!$AC$1:$AC$400,0))=0,INDEX(SF_Output!$R$1:$R$400,MATCH(_xlfn.TEXTJOIN(",",TRUE,B146:E146),SF_Output!$AC$1:$AC$400,0)))</f>
        <v>500</v>
      </c>
      <c r="I146" s="125">
        <f>IFERROR(IF(AND(H146&gt;1,H146&lt;&gt;""),ROUND(SUMIFS(SF_Output!$S$1:$S$400,SF_Output!$AC$1:$AC$400,_xlfn.TEXTJOIN(",",TRUE,B146:E146),SF_Output!$Q$1:$Q$400,"monthly")*(1-W146)/H146,4),""),"")</f>
        <v>0.62</v>
      </c>
      <c r="J146" s="6">
        <f>IF(B146="","",SUMIFS(SF_Output!$S$1:$S$400,SF_Output!$AC$1:$AC$400,_xlfn.TEXTJOIN(",",TRUE,B146:E146),SF_Output!$Q$1:$Q$400,"One Time",SF_Output!$L$1:$L$400,"license fee")+SUMIFS(SF_Output!$S$1:$S$400,SF_Output!$AC$1:$AC$400,_xlfn.TEXTJOIN(",",TRUE,B146:E146),SF_Output!$Q$1:$Q$400,"One Time",SF_Output!$L$1:$L$400,"software license")+SUMIFS(SF_Output!$S$1:$S$400,SF_Output!$AC$1:$AC$400,_xlfn.TEXTJOIN(",",TRUE,B146:E146),SF_Output!$Q$1:$Q$400,"One Time",SF_Output!$L$1:$L$400,"hardware"))</f>
        <v>0</v>
      </c>
      <c r="K146" s="112" t="str">
        <f>IF(OR(B146=0,B146="",G146="hardware",J146=0),"",IF(AF146&lt;&gt;"exclusion",MAX(K$9,-((SUMIFS(SF_Output!$T$1:$T$400,SF_Output!$AC$1:$AC$400,_xlfn.TEXTJOIN(",",TRUE,$B146:$E146),SF_Output!$Q$1:$Q$400,"One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license"))/J146)))</f>
        <v/>
      </c>
      <c r="L146" s="6">
        <f t="shared" si="37"/>
        <v>0</v>
      </c>
      <c r="N146" s="6">
        <f>IF(B146="","",SUMIFS(SF_Output!$S$1:$S$400,SF_Output!$AC$1:$AC$400,_xlfn.TEXTJOIN(",",TRUE,B146:E146),SF_Output!$Q$1:$Q$400,"One Time",SF_Output!$L$1:$L$400,"professional service"))</f>
        <v>0</v>
      </c>
      <c r="O146" s="112" t="str">
        <f>IF(OR(B146=0,B146="",N146=0),"",IF(AF146&lt;&gt;"exclusion",MAX(O$9,-(SUMIFS(SF_Output!$T$1:$T$400,SF_Output!$AC$1:$AC$400,_xlfn.TEXTJOIN(",",TRUE,$B146:$E146),SF_Output!$Q$1:$Q$400,"One Time",SF_Output!$L$1:$L$400,"professional service"))/N146),-((SUMIFS(SF_Output!$T$1:$T$400,SF_Output!$AC$1:$AC$400,_xlfn.TEXTJOIN(",",TRUE,$B146:$E146),SF_Output!$Q$1:$Q$400,"One Time",SF_Output!$L$1:$L$400,"professional service")/N146))))</f>
        <v/>
      </c>
      <c r="P146" s="6">
        <f t="shared" si="38"/>
        <v>0</v>
      </c>
      <c r="R146" s="6">
        <f>IF(B146="","",SUMIFS(SF_Output!$S$1:$S$400,SF_Output!$AC$1:$AC$400,_xlfn.TEXTJOIN(",",TRUE,B146:E146),SF_Output!$Q$1:$Q$400,"yearly")+SUMIFS(SF_Output!$S$1:$S$400,SF_Output!$AC$1:$AC$400,_xlfn.TEXTJOIN(",",TRUE,B146:E146),SF_Output!$Q$1:$Q$400,"quarterly")*4)</f>
        <v>0</v>
      </c>
      <c r="S146" s="112" t="str">
        <f>IF(OR(B146=0,B146="",G146="hardware",R146=0),"",IF(AF146&lt;&gt;"exclusion",MAX(S$9,-(SUMIFS(SF_Output!$T$1:$T$400,SF_Output!$AC$1:$AC$400,_xlfn.TEXTJOIN(",",TRUE,$B146:$E146),SF_Output!$Q$1:$Q$400,"yearly"))/R146),-((SUMIFS(SF_Output!$T$1:$T$400,SF_Output!$AC$1:$AC$400,_xlfn.TEXTJOIN(",",TRUE,$B146:$E146),SF_Output!$Q$1:$Q$400,"yearly")/R146))))</f>
        <v/>
      </c>
      <c r="T146" s="6">
        <f t="shared" si="39"/>
        <v>0</v>
      </c>
      <c r="V146" s="6" cm="1">
        <f t="array" ref="V146">_xlfn.IFS(B146="","",AND(B146&lt;&gt;"",H146=SF_Output!$Y$2,SUMIFS(SF_Output!$T$1:$T$400,SF_Output!$AC$1:$AC$400,_xlfn.TEXTJOIN(",",TRUE,B146:E146),SF_Output!$Q$1:$Q$400,"monthly")=0),(SUMIFS(SF_Output!$F$1:$F$400,SF_Output!$AC$1:$AC$400,_xlfn.TEXTJOIN(",",TRUE,B146:E146),SF_Output!$Q$1:$Q$400,"monthly")+SUMIFS(SF_Output!$G$1:$G$400,SF_Output!$AC$1:$AC$400,_xlfn.TEXTJOIN(",",TRUE,B146:E146),SF_Output!$Q$1:$Q$400,"monthly"))*H146,AND(B146&lt;&gt;"",H146=SF_Output!$Y$2,SUMIFS(SF_Output!$T$1:$T$400,SF_Output!$AC$1:$AC$400,_xlfn.TEXTJOIN(",",TRUE,B146:E146),SF_Output!$Q$1:$Q$400,"monthly")&lt;&gt;0),SUMIFS(SF_Output!$S$1:$S$400,SF_Output!$AC$1:$AC$400,_xlfn.TEXTJOIN(",",TRUE,B146:E146),SF_Output!$Q$1:$Q$400,"monthly"),AND(B146&lt;&gt;"",H146&lt;&gt;SF_Output!$Y$2),SUMIFS(SF_Output!$S$1:$S$400,SF_Output!$AC$1:$AC$400,_xlfn.TEXTJOIN(",",TRUE,B146:E146),SF_Output!$Q$1:$Q$400,"monthly"))</f>
        <v>310</v>
      </c>
      <c r="W146" s="112" cm="1">
        <f t="array" ref="W146">_xlfn.IFS(OR(B146=0,B146="",V146=0),"",AF146&lt;&gt;"exclusion",MAX($W$9,$W$7,(-(SUMIFS(SF_Output!$T$1:$T$400,SF_Output!$AC$1:$AC$400,_xlfn.TEXTJOIN(",",TRUE,$B146:$E146),SF_Output!$Q$1:$Q$400,"monthly"))/V146)),AF146="exclusion",-(SUMIFS(SF_Output!$T$1:$T$400,SF_Output!$AC$1:$AC$400,_xlfn.TEXTJOIN(",",TRUE,$B146:$E146),SF_Output!$Q$1:$Q$400,"monthly"))/V146)</f>
        <v>0</v>
      </c>
      <c r="X146" s="6" cm="1">
        <f t="array" ref="X146">IFERROR(_xlfn.IFS(V146=0,0,V146="","",W146=0,V146,OR(V146&lt;&gt;0,V146&lt;&gt;""),H146*I146),V146*(1-W146))</f>
        <v>310</v>
      </c>
      <c r="Z146" s="6">
        <f>IFERROR(IF(B146="","",SUMIFS(Billing_Fallout!H:H,Billing_Fallout!N:N,B146)),0)</f>
        <v>0</v>
      </c>
      <c r="AA146" s="6">
        <f t="shared" si="40"/>
        <v>0</v>
      </c>
      <c r="AB146" s="6">
        <f>IFERROR(IF(B146="","",SUMIFS(Billing_Fallout!J:J,Billing_Fallout!N:N,B146)),0)</f>
        <v>0</v>
      </c>
      <c r="AD146" s="6">
        <f t="shared" si="41"/>
        <v>310</v>
      </c>
      <c r="AF146" t="str">
        <f>IFERROR(INDEX(H_Tables!$B$1:$B$1500,MATCH(INDEX(SF_Output!$J$1:$J$400,MATCH(B146,SF_Output!$M$1:$M$400,0)),H_Tables!$A$1:$A$1500,0)),"")</f>
        <v/>
      </c>
      <c r="AI146" s="119" t="str">
        <f t="shared" si="42"/>
        <v/>
      </c>
      <c r="AJ146" s="121">
        <f>IFERROR(INDEX(SF_Output!AD:AD,MATCH(_xlfn.TEXTJOIN(",",TRUE,B146:E146),SF_Output!AC1:AC400,0)),0.05)</f>
        <v>235</v>
      </c>
      <c r="AK146" t="str">
        <f>IF(SUMIFS(SF_Output!$F$1:$F$400,SF_Output!$AC$1:$AC$400,_xlfn.TEXTJOIN(",",TRUE,B146:E146))+SUMIFS(SF_Output!$G$1:$G$400,SF_Output!$AC$1:$AC$400,_xlfn.TEXTJOIN(",",TRUE,B146:E146))=0,"","PAP")</f>
        <v/>
      </c>
      <c r="AL146" s="35" t="str">
        <f t="shared" si="43"/>
        <v>Payrailz Bundle Transactions,New,Hosted by JHA,0</v>
      </c>
      <c r="AQ146" s="35"/>
      <c r="AR146" s="35" t="str" cm="1">
        <f t="array" ref="AR146">IFERROR(_xlfn.IFS(AND(E146*1=1,F146="Included"),"Change to Included",AND(E146*1=0,F146="Optional"),"Change to Optional",OR(B146="",F146="replaced"),""),"")</f>
        <v/>
      </c>
      <c r="AS146" s="35" t="str">
        <f t="shared" si="44"/>
        <v/>
      </c>
      <c r="AT146" s="35" t="str">
        <f t="shared" si="45"/>
        <v/>
      </c>
      <c r="AU146" s="35" t="str">
        <f t="shared" si="46"/>
        <v/>
      </c>
      <c r="AV146" s="35" t="str">
        <f t="shared" si="47"/>
        <v/>
      </c>
      <c r="AW146" s="35" t="str">
        <f t="shared" si="48"/>
        <v/>
      </c>
      <c r="AX146" s="35" t="str">
        <f t="shared" si="49"/>
        <v/>
      </c>
      <c r="AY146" s="35" t="str">
        <f t="shared" si="50"/>
        <v/>
      </c>
      <c r="AZ146" s="35" t="str">
        <f t="shared" si="51"/>
        <v/>
      </c>
      <c r="BA146" s="35" t="str">
        <f t="shared" si="52"/>
        <v/>
      </c>
      <c r="BB146" s="35" t="str">
        <f t="shared" si="53"/>
        <v/>
      </c>
      <c r="BC146" s="35"/>
      <c r="BE146" s="35">
        <f ca="1">INDEX(SF_Output!$AA$2:$AA$400,MATCH($B146,SF_Output!$M$2:$M$400,0))</f>
        <v>6</v>
      </c>
      <c r="BF146" s="35" t="str">
        <f ca="1">INDEX(SF_Output!$AB$2:$AB$400,MATCH($B146,SF_Output!$M$2:$M$400,0))</f>
        <v/>
      </c>
    </row>
    <row r="147" spans="2:58" x14ac:dyDescent="0.25">
      <c r="B147" t="s">
        <v>2465</v>
      </c>
      <c r="C147" t="s">
        <v>2122</v>
      </c>
      <c r="D147" t="s">
        <v>2123</v>
      </c>
      <c r="E147" t="s">
        <v>2124</v>
      </c>
      <c r="F147" s="116" t="str">
        <f t="shared" si="36"/>
        <v>Included</v>
      </c>
      <c r="G147" t="str">
        <f>IF(B147="","",INDEX(SF_Output!$K$1:$K$400,MATCH(B147,SF_Output!$M$1:$M$400,0)))</f>
        <v>Payrailz</v>
      </c>
      <c r="H147" cm="1">
        <f t="array" ref="H147">_xlfn.IFS(B147="","",(SUMIFS(SF_Output!$F$1:$F$400,SF_Output!$AC$1:$AC$400,_xlfn.TEXTJOIN(",",TRUE,B147:E147))+SUMIFS(SF_Output!$G$1:$G$400,SF_Output!$AC$1:$AC$400,_xlfn.TEXTJOIN(",",TRUE,B147:E147)))&lt;&gt;0,SF_Output!$Y$2,INDEX(SF_Output!$F$1:$F$400,MATCH(_xlfn.TEXTJOIN(",",TRUE,B147:E147),SF_Output!$AC$1:$AC$400,0))=0,INDEX(SF_Output!$R$1:$R$400,MATCH(_xlfn.TEXTJOIN(",",TRUE,B147:E147),SF_Output!$AC$1:$AC$400,0)))</f>
        <v>1</v>
      </c>
      <c r="I147" s="125" t="str">
        <f>IFERROR(IF(AND(H147&gt;1,H147&lt;&gt;""),ROUND(SUMIFS(SF_Output!$S$1:$S$400,SF_Output!$AC$1:$AC$400,_xlfn.TEXTJOIN(",",TRUE,B147:E147),SF_Output!$Q$1:$Q$400,"monthly")*(1-W147)/H147,4),""),"")</f>
        <v/>
      </c>
      <c r="J147" s="6">
        <f>IF(B147="","",SUMIFS(SF_Output!$S$1:$S$400,SF_Output!$AC$1:$AC$400,_xlfn.TEXTJOIN(",",TRUE,B147:E147),SF_Output!$Q$1:$Q$400,"One Time",SF_Output!$L$1:$L$400,"license fee")+SUMIFS(SF_Output!$S$1:$S$400,SF_Output!$AC$1:$AC$400,_xlfn.TEXTJOIN(",",TRUE,B147:E147),SF_Output!$Q$1:$Q$400,"One Time",SF_Output!$L$1:$L$400,"software license")+SUMIFS(SF_Output!$S$1:$S$400,SF_Output!$AC$1:$AC$400,_xlfn.TEXTJOIN(",",TRUE,B147:E147),SF_Output!$Q$1:$Q$400,"One Time",SF_Output!$L$1:$L$400,"hardware"))</f>
        <v>0</v>
      </c>
      <c r="K147" s="112" t="str">
        <f>IF(OR(B147=0,B147="",G147="hardware",J147=0),"",IF(AF147&lt;&gt;"exclusion",MAX(K$9,-((SUMIFS(SF_Output!$T$1:$T$400,SF_Output!$AC$1:$AC$400,_xlfn.TEXTJOIN(",",TRUE,$B147:$E147),SF_Output!$Q$1:$Q$400,"One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license"))/J147)))</f>
        <v/>
      </c>
      <c r="L147" s="6">
        <f t="shared" si="37"/>
        <v>0</v>
      </c>
      <c r="N147" s="6">
        <f>IF(B147="","",SUMIFS(SF_Output!$S$1:$S$400,SF_Output!$AC$1:$AC$400,_xlfn.TEXTJOIN(",",TRUE,B147:E147),SF_Output!$Q$1:$Q$400,"One Time",SF_Output!$L$1:$L$400,"professional service"))</f>
        <v>3000</v>
      </c>
      <c r="O147" s="112">
        <f>IF(OR(B147=0,B147="",N147=0),"",IF(AF147&lt;&gt;"exclusion",MAX(O$9,-(SUMIFS(SF_Output!$T$1:$T$400,SF_Output!$AC$1:$AC$400,_xlfn.TEXTJOIN(",",TRUE,$B147:$E147),SF_Output!$Q$1:$Q$400,"One Time",SF_Output!$L$1:$L$400,"professional service"))/N147),-((SUMIFS(SF_Output!$T$1:$T$400,SF_Output!$AC$1:$AC$400,_xlfn.TEXTJOIN(",",TRUE,$B147:$E147),SF_Output!$Q$1:$Q$400,"One Time",SF_Output!$L$1:$L$400,"professional service")/N147))))</f>
        <v>1</v>
      </c>
      <c r="P147" s="6">
        <f t="shared" si="38"/>
        <v>0</v>
      </c>
      <c r="R147" s="6">
        <f>IF(B147="","",SUMIFS(SF_Output!$S$1:$S$400,SF_Output!$AC$1:$AC$400,_xlfn.TEXTJOIN(",",TRUE,B147:E147),SF_Output!$Q$1:$Q$400,"yearly")+SUMIFS(SF_Output!$S$1:$S$400,SF_Output!$AC$1:$AC$400,_xlfn.TEXTJOIN(",",TRUE,B147:E147),SF_Output!$Q$1:$Q$400,"quarterly")*4)</f>
        <v>0</v>
      </c>
      <c r="S147" s="112" t="str">
        <f>IF(OR(B147=0,B147="",G147="hardware",R147=0),"",IF(AF147&lt;&gt;"exclusion",MAX(S$9,-(SUMIFS(SF_Output!$T$1:$T$400,SF_Output!$AC$1:$AC$400,_xlfn.TEXTJOIN(",",TRUE,$B147:$E147),SF_Output!$Q$1:$Q$400,"yearly"))/R147),-((SUMIFS(SF_Output!$T$1:$T$400,SF_Output!$AC$1:$AC$400,_xlfn.TEXTJOIN(",",TRUE,$B147:$E147),SF_Output!$Q$1:$Q$400,"yearly")/R147))))</f>
        <v/>
      </c>
      <c r="T147" s="6">
        <f t="shared" si="39"/>
        <v>0</v>
      </c>
      <c r="V147" s="6" cm="1">
        <f t="array" ref="V147">_xlfn.IFS(B147="","",AND(B147&lt;&gt;"",H147=SF_Output!$Y$2,SUMIFS(SF_Output!$T$1:$T$400,SF_Output!$AC$1:$AC$400,_xlfn.TEXTJOIN(",",TRUE,B147:E147),SF_Output!$Q$1:$Q$400,"monthly")=0),(SUMIFS(SF_Output!$F$1:$F$400,SF_Output!$AC$1:$AC$400,_xlfn.TEXTJOIN(",",TRUE,B147:E147),SF_Output!$Q$1:$Q$400,"monthly")+SUMIFS(SF_Output!$G$1:$G$400,SF_Output!$AC$1:$AC$400,_xlfn.TEXTJOIN(",",TRUE,B147:E147),SF_Output!$Q$1:$Q$400,"monthly"))*H147,AND(B147&lt;&gt;"",H147=SF_Output!$Y$2,SUMIFS(SF_Output!$T$1:$T$400,SF_Output!$AC$1:$AC$400,_xlfn.TEXTJOIN(",",TRUE,B147:E147),SF_Output!$Q$1:$Q$400,"monthly")&lt;&gt;0),SUMIFS(SF_Output!$S$1:$S$400,SF_Output!$AC$1:$AC$400,_xlfn.TEXTJOIN(",",TRUE,B147:E147),SF_Output!$Q$1:$Q$400,"monthly"),AND(B147&lt;&gt;"",H147&lt;&gt;SF_Output!$Y$2),SUMIFS(SF_Output!$S$1:$S$400,SF_Output!$AC$1:$AC$400,_xlfn.TEXTJOIN(",",TRUE,B147:E147),SF_Output!$Q$1:$Q$400,"monthly"))</f>
        <v>750</v>
      </c>
      <c r="W147" s="112" cm="1">
        <f t="array" ref="W147">_xlfn.IFS(OR(B147=0,B147="",V147=0),"",AF147&lt;&gt;"exclusion",MAX($W$9,$W$7,(-(SUMIFS(SF_Output!$T$1:$T$400,SF_Output!$AC$1:$AC$400,_xlfn.TEXTJOIN(",",TRUE,$B147:$E147),SF_Output!$Q$1:$Q$400,"monthly"))/V147)),AF147="exclusion",-(SUMIFS(SF_Output!$T$1:$T$400,SF_Output!$AC$1:$AC$400,_xlfn.TEXTJOIN(",",TRUE,$B147:$E147),SF_Output!$Q$1:$Q$400,"monthly"))/V147)</f>
        <v>1</v>
      </c>
      <c r="X147" s="6" cm="1">
        <f t="array" ref="X147">IFERROR(_xlfn.IFS(V147=0,0,V147="","",W147=0,V147,OR(V147&lt;&gt;0,V147&lt;&gt;""),H147*I147),V147*(1-W147))</f>
        <v>0</v>
      </c>
      <c r="Z147" s="6">
        <f>IFERROR(IF(B147="","",SUMIFS(Billing_Fallout!H:H,Billing_Fallout!N:N,B147)),0)</f>
        <v>0</v>
      </c>
      <c r="AA147" s="6">
        <f t="shared" si="40"/>
        <v>0</v>
      </c>
      <c r="AB147" s="6">
        <f>IFERROR(IF(B147="","",SUMIFS(Billing_Fallout!J:J,Billing_Fallout!N:N,B147)),0)</f>
        <v>0</v>
      </c>
      <c r="AD147" s="6">
        <f t="shared" si="41"/>
        <v>0</v>
      </c>
      <c r="AF147" t="str">
        <f>IFERROR(INDEX(H_Tables!$B$1:$B$1500,MATCH(INDEX(SF_Output!$J$1:$J$400,MATCH(B147,SF_Output!$M$1:$M$400,0)),H_Tables!$A$1:$A$1500,0)),"")</f>
        <v/>
      </c>
      <c r="AI147" s="119" t="str">
        <f t="shared" si="42"/>
        <v/>
      </c>
      <c r="AJ147" s="121">
        <f>IFERROR(INDEX(SF_Output!AD:AD,MATCH(_xlfn.TEXTJOIN(",",TRUE,B147:E147),SF_Output!AC1:AC400,0)),0.05)</f>
        <v>237</v>
      </c>
      <c r="AK147" t="str">
        <f>IF(SUMIFS(SF_Output!$F$1:$F$400,SF_Output!$AC$1:$AC$400,_xlfn.TEXTJOIN(",",TRUE,B147:E147))+SUMIFS(SF_Output!$G$1:$G$400,SF_Output!$AC$1:$AC$400,_xlfn.TEXTJOIN(",",TRUE,B147:E147))=0,"","PAP")</f>
        <v/>
      </c>
      <c r="AL147" s="35" t="str">
        <f t="shared" si="43"/>
        <v>Payrailz Fraud Monitor,New,Hosted by JHA,0</v>
      </c>
      <c r="AQ147" s="35"/>
      <c r="AR147" s="35" t="str" cm="1">
        <f t="array" ref="AR147">IFERROR(_xlfn.IFS(AND(E147*1=1,F147="Included"),"Change to Included",AND(E147*1=0,F147="Optional"),"Change to Optional",OR(B147="",F147="replaced"),""),"")</f>
        <v/>
      </c>
      <c r="AS147" s="35" t="str">
        <f t="shared" si="44"/>
        <v/>
      </c>
      <c r="AT147" s="35" t="str">
        <f t="shared" si="45"/>
        <v/>
      </c>
      <c r="AU147" s="35" t="str">
        <f t="shared" si="46"/>
        <v/>
      </c>
      <c r="AV147" s="35" t="str">
        <f t="shared" si="47"/>
        <v/>
      </c>
      <c r="AW147" s="35" t="str">
        <f t="shared" si="48"/>
        <v/>
      </c>
      <c r="AX147" s="35" t="str">
        <f t="shared" si="49"/>
        <v/>
      </c>
      <c r="AY147" s="35" t="str">
        <f t="shared" si="50"/>
        <v/>
      </c>
      <c r="AZ147" s="35" t="str">
        <f t="shared" si="51"/>
        <v/>
      </c>
      <c r="BA147" s="35" t="str">
        <f t="shared" si="52"/>
        <v/>
      </c>
      <c r="BB147" s="35" t="str">
        <f t="shared" si="53"/>
        <v/>
      </c>
      <c r="BC147" s="35"/>
      <c r="BE147" s="35">
        <f ca="1">INDEX(SF_Output!$AA$2:$AA$400,MATCH($B147,SF_Output!$M$2:$M$400,0))</f>
        <v>6</v>
      </c>
      <c r="BF147" s="35" t="str">
        <f ca="1">INDEX(SF_Output!$AB$2:$AB$400,MATCH($B147,SF_Output!$M$2:$M$400,0))</f>
        <v/>
      </c>
    </row>
    <row r="148" spans="2:58" x14ac:dyDescent="0.25">
      <c r="B148" t="s">
        <v>2469</v>
      </c>
      <c r="C148" t="s">
        <v>2122</v>
      </c>
      <c r="D148" t="s">
        <v>2123</v>
      </c>
      <c r="E148" t="s">
        <v>2150</v>
      </c>
      <c r="F148" s="116" t="str">
        <f t="shared" si="36"/>
        <v>Optional</v>
      </c>
      <c r="G148" t="str">
        <f>IF(B148="","",INDEX(SF_Output!$K$1:$K$400,MATCH(B148,SF_Output!$M$1:$M$400,0)))</f>
        <v>ProfitStars RemitPlus</v>
      </c>
      <c r="H148" cm="1">
        <f t="array" ref="H148">_xlfn.IFS(B148="","",(SUMIFS(SF_Output!$F$1:$F$400,SF_Output!$AC$1:$AC$400,_xlfn.TEXTJOIN(",",TRUE,B148:E148))+SUMIFS(SF_Output!$G$1:$G$400,SF_Output!$AC$1:$AC$400,_xlfn.TEXTJOIN(",",TRUE,B148:E148)))&lt;&gt;0,SF_Output!$Y$2,INDEX(SF_Output!$F$1:$F$400,MATCH(_xlfn.TEXTJOIN(",",TRUE,B148:E148),SF_Output!$AC$1:$AC$400,0))=0,INDEX(SF_Output!$R$1:$R$400,MATCH(_xlfn.TEXTJOIN(",",TRUE,B148:E148),SF_Output!$AC$1:$AC$400,0)))</f>
        <v>1</v>
      </c>
      <c r="I148" s="125" t="str">
        <f>IFERROR(IF(AND(H148&gt;1,H148&lt;&gt;""),ROUND(SUMIFS(SF_Output!$S$1:$S$400,SF_Output!$AC$1:$AC$400,_xlfn.TEXTJOIN(",",TRUE,B148:E148),SF_Output!$Q$1:$Q$400,"monthly")*(1-W148)/H148,4),""),"")</f>
        <v/>
      </c>
      <c r="J148" s="6">
        <f>IF(B148="","",SUMIFS(SF_Output!$S$1:$S$400,SF_Output!$AC$1:$AC$400,_xlfn.TEXTJOIN(",",TRUE,B148:E148),SF_Output!$Q$1:$Q$400,"One Time",SF_Output!$L$1:$L$400,"license fee")+SUMIFS(SF_Output!$S$1:$S$400,SF_Output!$AC$1:$AC$400,_xlfn.TEXTJOIN(",",TRUE,B148:E148),SF_Output!$Q$1:$Q$400,"One Time",SF_Output!$L$1:$L$400,"software license")+SUMIFS(SF_Output!$S$1:$S$400,SF_Output!$AC$1:$AC$400,_xlfn.TEXTJOIN(",",TRUE,B148:E148),SF_Output!$Q$1:$Q$400,"One Time",SF_Output!$L$1:$L$400,"hardware"))</f>
        <v>0</v>
      </c>
      <c r="K148" s="112" t="str">
        <f>IF(OR(B148=0,B148="",G148="hardware",J148=0),"",IF(AF148&lt;&gt;"exclusion",MAX(K$9,-((SUMIFS(SF_Output!$T$1:$T$400,SF_Output!$AC$1:$AC$400,_xlfn.TEXTJOIN(",",TRUE,$B148:$E148),SF_Output!$Q$1:$Q$400,"One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license"))/J148)))</f>
        <v/>
      </c>
      <c r="L148" s="6">
        <f t="shared" si="37"/>
        <v>0</v>
      </c>
      <c r="N148" s="6">
        <f>IF(B148="","",SUMIFS(SF_Output!$S$1:$S$400,SF_Output!$AC$1:$AC$400,_xlfn.TEXTJOIN(",",TRUE,B148:E148),SF_Output!$Q$1:$Q$400,"One Time",SF_Output!$L$1:$L$400,"professional service"))</f>
        <v>3000</v>
      </c>
      <c r="O148" s="112">
        <f>IF(OR(B148=0,B148="",N148=0),"",IF(AF148&lt;&gt;"exclusion",MAX(O$9,-(SUMIFS(SF_Output!$T$1:$T$400,SF_Output!$AC$1:$AC$400,_xlfn.TEXTJOIN(",",TRUE,$B148:$E148),SF_Output!$Q$1:$Q$400,"One Time",SF_Output!$L$1:$L$400,"professional service"))/N148),-((SUMIFS(SF_Output!$T$1:$T$400,SF_Output!$AC$1:$AC$400,_xlfn.TEXTJOIN(",",TRUE,$B148:$E148),SF_Output!$Q$1:$Q$400,"One Time",SF_Output!$L$1:$L$400,"professional service")/N148))))</f>
        <v>0</v>
      </c>
      <c r="P148" s="6">
        <f t="shared" si="38"/>
        <v>3000</v>
      </c>
      <c r="R148" s="6">
        <f>IF(B148="","",SUMIFS(SF_Output!$S$1:$S$400,SF_Output!$AC$1:$AC$400,_xlfn.TEXTJOIN(",",TRUE,B148:E148),SF_Output!$Q$1:$Q$400,"yearly")+SUMIFS(SF_Output!$S$1:$S$400,SF_Output!$AC$1:$AC$400,_xlfn.TEXTJOIN(",",TRUE,B148:E148),SF_Output!$Q$1:$Q$400,"quarterly")*4)</f>
        <v>0</v>
      </c>
      <c r="S148" s="112" t="str">
        <f>IF(OR(B148=0,B148="",G148="hardware",R148=0),"",IF(AF148&lt;&gt;"exclusion",MAX(S$9,-(SUMIFS(SF_Output!$T$1:$T$400,SF_Output!$AC$1:$AC$400,_xlfn.TEXTJOIN(",",TRUE,$B148:$E148),SF_Output!$Q$1:$Q$400,"yearly"))/R148),-((SUMIFS(SF_Output!$T$1:$T$400,SF_Output!$AC$1:$AC$400,_xlfn.TEXTJOIN(",",TRUE,$B148:$E148),SF_Output!$Q$1:$Q$400,"yearly")/R148))))</f>
        <v/>
      </c>
      <c r="T148" s="6">
        <f t="shared" si="39"/>
        <v>0</v>
      </c>
      <c r="V148" s="6" cm="1">
        <f t="array" ref="V148">_xlfn.IFS(B148="","",AND(B148&lt;&gt;"",H148=SF_Output!$Y$2,SUMIFS(SF_Output!$T$1:$T$400,SF_Output!$AC$1:$AC$400,_xlfn.TEXTJOIN(",",TRUE,B148:E148),SF_Output!$Q$1:$Q$400,"monthly")=0),(SUMIFS(SF_Output!$F$1:$F$400,SF_Output!$AC$1:$AC$400,_xlfn.TEXTJOIN(",",TRUE,B148:E148),SF_Output!$Q$1:$Q$400,"monthly")+SUMIFS(SF_Output!$G$1:$G$400,SF_Output!$AC$1:$AC$400,_xlfn.TEXTJOIN(",",TRUE,B148:E148),SF_Output!$Q$1:$Q$400,"monthly"))*H148,AND(B148&lt;&gt;"",H148=SF_Output!$Y$2,SUMIFS(SF_Output!$T$1:$T$400,SF_Output!$AC$1:$AC$400,_xlfn.TEXTJOIN(",",TRUE,B148:E148),SF_Output!$Q$1:$Q$400,"monthly")&lt;&gt;0),SUMIFS(SF_Output!$S$1:$S$400,SF_Output!$AC$1:$AC$400,_xlfn.TEXTJOIN(",",TRUE,B148:E148),SF_Output!$Q$1:$Q$400,"monthly"),AND(B148&lt;&gt;"",H148&lt;&gt;SF_Output!$Y$2),SUMIFS(SF_Output!$S$1:$S$400,SF_Output!$AC$1:$AC$400,_xlfn.TEXTJOIN(",",TRUE,B148:E148),SF_Output!$Q$1:$Q$400,"monthly"))</f>
        <v>100</v>
      </c>
      <c r="W148" s="112" cm="1">
        <f t="array" ref="W148">_xlfn.IFS(OR(B148=0,B148="",V148=0),"",AF148&lt;&gt;"exclusion",MAX($W$9,$W$7,(-(SUMIFS(SF_Output!$T$1:$T$400,SF_Output!$AC$1:$AC$400,_xlfn.TEXTJOIN(",",TRUE,$B148:$E148),SF_Output!$Q$1:$Q$400,"monthly"))/V148)),AF148="exclusion",-(SUMIFS(SF_Output!$T$1:$T$400,SF_Output!$AC$1:$AC$400,_xlfn.TEXTJOIN(",",TRUE,$B148:$E148),SF_Output!$Q$1:$Q$400,"monthly"))/V148)</f>
        <v>0</v>
      </c>
      <c r="X148" s="6" cm="1">
        <f t="array" ref="X148">IFERROR(_xlfn.IFS(V148=0,0,V148="","",W148=0,V148,OR(V148&lt;&gt;0,V148&lt;&gt;""),H148*I148),V148*(1-W148))</f>
        <v>100</v>
      </c>
      <c r="Z148" s="6">
        <f>IFERROR(IF(B148="","",SUMIFS(Billing_Fallout!H:H,Billing_Fallout!N:N,B148)),0)</f>
        <v>0</v>
      </c>
      <c r="AA148" s="6">
        <f t="shared" si="40"/>
        <v>0</v>
      </c>
      <c r="AB148" s="6">
        <f>IFERROR(IF(B148="","",SUMIFS(Billing_Fallout!J:J,Billing_Fallout!N:N,B148)),0)</f>
        <v>0</v>
      </c>
      <c r="AD148" s="6">
        <f t="shared" si="41"/>
        <v>100</v>
      </c>
      <c r="AF148" t="str">
        <f>IFERROR(INDEX(H_Tables!$B$1:$B$1500,MATCH(INDEX(SF_Output!$J$1:$J$400,MATCH(B148,SF_Output!$M$1:$M$400,0)),H_Tables!$A$1:$A$1500,0)),"")</f>
        <v/>
      </c>
      <c r="AI148" s="119" t="str">
        <f t="shared" si="42"/>
        <v/>
      </c>
      <c r="AJ148" s="121">
        <f>IFERROR(INDEX(SF_Output!AD:AD,MATCH(_xlfn.TEXTJOIN(",",TRUE,B148:E148),SF_Output!AC1:AC400,0)),0.05)</f>
        <v>239</v>
      </c>
      <c r="AK148" t="str">
        <f>IF(SUMIFS(SF_Output!$F$1:$F$400,SF_Output!$AC$1:$AC$400,_xlfn.TEXTJOIN(",",TRUE,B148:E148))+SUMIFS(SF_Output!$G$1:$G$400,SF_Output!$AC$1:$AC$400,_xlfn.TEXTJOIN(",",TRUE,B148:E148))=0,"","PAP")</f>
        <v/>
      </c>
      <c r="AL148" s="35" t="str">
        <f t="shared" si="43"/>
        <v>RemitPlus Express - Financial Institution,New,Hosted by JHA,1</v>
      </c>
      <c r="AQ148" s="35"/>
      <c r="AR148" s="35" t="str" cm="1">
        <f t="array" ref="AR148">IFERROR(_xlfn.IFS(AND(E148*1=1,F148="Included"),"Change to Included",AND(E148*1=0,F148="Optional"),"Change to Optional",OR(B148="",F148="replaced"),""),"")</f>
        <v/>
      </c>
      <c r="AS148" s="35" t="str">
        <f t="shared" si="44"/>
        <v/>
      </c>
      <c r="AT148" s="35" t="str">
        <f t="shared" si="45"/>
        <v/>
      </c>
      <c r="AU148" s="35" t="str">
        <f t="shared" si="46"/>
        <v/>
      </c>
      <c r="AV148" s="35" t="str">
        <f t="shared" si="47"/>
        <v/>
      </c>
      <c r="AW148" s="35" t="str">
        <f t="shared" si="48"/>
        <v/>
      </c>
      <c r="AX148" s="35" t="str">
        <f t="shared" si="49"/>
        <v/>
      </c>
      <c r="AY148" s="35" t="str">
        <f t="shared" si="50"/>
        <v/>
      </c>
      <c r="AZ148" s="35" t="str">
        <f t="shared" si="51"/>
        <v/>
      </c>
      <c r="BA148" s="35" t="str">
        <f t="shared" si="52"/>
        <v/>
      </c>
      <c r="BB148" s="35" t="str">
        <f t="shared" si="53"/>
        <v/>
      </c>
      <c r="BC148" s="35"/>
      <c r="BE148" s="35">
        <f ca="1">INDEX(SF_Output!$AA$2:$AA$400,MATCH($B148,SF_Output!$M$2:$M$400,0))</f>
        <v>6</v>
      </c>
      <c r="BF148" s="35">
        <f ca="1">INDEX(SF_Output!$AB$2:$AB$400,MATCH($B148,SF_Output!$M$2:$M$400,0))</f>
        <v>4</v>
      </c>
    </row>
    <row r="149" spans="2:58" x14ac:dyDescent="0.25">
      <c r="B149" t="s">
        <v>870</v>
      </c>
      <c r="C149" t="s">
        <v>2122</v>
      </c>
      <c r="D149" t="s">
        <v>2123</v>
      </c>
      <c r="E149" t="s">
        <v>2124</v>
      </c>
      <c r="F149" s="116" t="str">
        <f t="shared" si="36"/>
        <v>Included</v>
      </c>
      <c r="G149" t="str">
        <f>IF(B149="","",INDEX(SF_Output!$K$1:$K$400,MATCH(B149,SF_Output!$M$1:$M$400,0)))</f>
        <v>Centurion</v>
      </c>
      <c r="H149" cm="1">
        <f t="array" ref="H149">_xlfn.IFS(B149="","",(SUMIFS(SF_Output!$F$1:$F$400,SF_Output!$AC$1:$AC$400,_xlfn.TEXTJOIN(",",TRUE,B149:E149))+SUMIFS(SF_Output!$G$1:$G$400,SF_Output!$AC$1:$AC$400,_xlfn.TEXTJOIN(",",TRUE,B149:E149)))&lt;&gt;0,SF_Output!$Y$2,INDEX(SF_Output!$F$1:$F$400,MATCH(_xlfn.TEXTJOIN(",",TRUE,B149:E149),SF_Output!$AC$1:$AC$400,0))=0,INDEX(SF_Output!$R$1:$R$400,MATCH(_xlfn.TEXTJOIN(",",TRUE,B149:E149),SF_Output!$AC$1:$AC$400,0)))</f>
        <v>1</v>
      </c>
      <c r="I149" s="125" t="str">
        <f>IFERROR(IF(AND(H149&gt;1,H149&lt;&gt;""),ROUND(SUMIFS(SF_Output!$S$1:$S$400,SF_Output!$AC$1:$AC$400,_xlfn.TEXTJOIN(",",TRUE,B149:E149),SF_Output!$Q$1:$Q$400,"monthly")*(1-W149)/H149,4),""),"")</f>
        <v/>
      </c>
      <c r="J149" s="6">
        <f>IF(B149="","",SUMIFS(SF_Output!$S$1:$S$400,SF_Output!$AC$1:$AC$400,_xlfn.TEXTJOIN(",",TRUE,B149:E149),SF_Output!$Q$1:$Q$400,"One Time",SF_Output!$L$1:$L$400,"license fee")+SUMIFS(SF_Output!$S$1:$S$400,SF_Output!$AC$1:$AC$400,_xlfn.TEXTJOIN(",",TRUE,B149:E149),SF_Output!$Q$1:$Q$400,"One Time",SF_Output!$L$1:$L$400,"software license")+SUMIFS(SF_Output!$S$1:$S$400,SF_Output!$AC$1:$AC$400,_xlfn.TEXTJOIN(",",TRUE,B149:E149),SF_Output!$Q$1:$Q$400,"One Time",SF_Output!$L$1:$L$400,"hardware"))</f>
        <v>0</v>
      </c>
      <c r="K149" s="112" t="str">
        <f>IF(OR(B149=0,B149="",G149="hardware",J149=0),"",IF(AF149&lt;&gt;"exclusion",MAX(K$9,-((SUMIFS(SF_Output!$T$1:$T$400,SF_Output!$AC$1:$AC$400,_xlfn.TEXTJOIN(",",TRUE,$B149:$E149),SF_Output!$Q$1:$Q$400,"One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license"))/J149)))</f>
        <v/>
      </c>
      <c r="L149" s="6">
        <f t="shared" si="37"/>
        <v>0</v>
      </c>
      <c r="N149" s="6">
        <f>IF(B149="","",SUMIFS(SF_Output!$S$1:$S$400,SF_Output!$AC$1:$AC$400,_xlfn.TEXTJOIN(",",TRUE,B149:E149),SF_Output!$Q$1:$Q$400,"One Time",SF_Output!$L$1:$L$400,"professional service"))</f>
        <v>0</v>
      </c>
      <c r="O149" s="112" t="str">
        <f>IF(OR(B149=0,B149="",N149=0),"",IF(AF149&lt;&gt;"exclusion",MAX(O$9,-(SUMIFS(SF_Output!$T$1:$T$400,SF_Output!$AC$1:$AC$400,_xlfn.TEXTJOIN(",",TRUE,$B149:$E149),SF_Output!$Q$1:$Q$400,"One Time",SF_Output!$L$1:$L$400,"professional service"))/N149),-((SUMIFS(SF_Output!$T$1:$T$400,SF_Output!$AC$1:$AC$400,_xlfn.TEXTJOIN(",",TRUE,$B149:$E149),SF_Output!$Q$1:$Q$400,"One Time",SF_Output!$L$1:$L$400,"professional service")/N149))))</f>
        <v/>
      </c>
      <c r="P149" s="6">
        <f t="shared" si="38"/>
        <v>0</v>
      </c>
      <c r="R149" s="6">
        <f>IF(B149="","",SUMIFS(SF_Output!$S$1:$S$400,SF_Output!$AC$1:$AC$400,_xlfn.TEXTJOIN(",",TRUE,B149:E149),SF_Output!$Q$1:$Q$400,"yearly")+SUMIFS(SF_Output!$S$1:$S$400,SF_Output!$AC$1:$AC$400,_xlfn.TEXTJOIN(",",TRUE,B149:E149),SF_Output!$Q$1:$Q$400,"quarterly")*4)</f>
        <v>1880</v>
      </c>
      <c r="S149" s="112">
        <f>IF(OR(B149=0,B149="",G149="hardware",R149=0),"",IF(AF149&lt;&gt;"exclusion",MAX(S$9,-(SUMIFS(SF_Output!$T$1:$T$400,SF_Output!$AC$1:$AC$400,_xlfn.TEXTJOIN(",",TRUE,$B149:$E149),SF_Output!$Q$1:$Q$400,"yearly"))/R149),-((SUMIFS(SF_Output!$T$1:$T$400,SF_Output!$AC$1:$AC$400,_xlfn.TEXTJOIN(",",TRUE,$B149:$E149),SF_Output!$Q$1:$Q$400,"yearly")/R149))))</f>
        <v>0</v>
      </c>
      <c r="T149" s="6">
        <f t="shared" si="39"/>
        <v>1880</v>
      </c>
      <c r="V149" s="6" cm="1">
        <f t="array" ref="V149">_xlfn.IFS(B149="","",AND(B149&lt;&gt;"",H149=SF_Output!$Y$2,SUMIFS(SF_Output!$T$1:$T$400,SF_Output!$AC$1:$AC$400,_xlfn.TEXTJOIN(",",TRUE,B149:E149),SF_Output!$Q$1:$Q$400,"monthly")=0),(SUMIFS(SF_Output!$F$1:$F$400,SF_Output!$AC$1:$AC$400,_xlfn.TEXTJOIN(",",TRUE,B149:E149),SF_Output!$Q$1:$Q$400,"monthly")+SUMIFS(SF_Output!$G$1:$G$400,SF_Output!$AC$1:$AC$400,_xlfn.TEXTJOIN(",",TRUE,B149:E149),SF_Output!$Q$1:$Q$400,"monthly"))*H149,AND(B149&lt;&gt;"",H149=SF_Output!$Y$2,SUMIFS(SF_Output!$T$1:$T$400,SF_Output!$AC$1:$AC$400,_xlfn.TEXTJOIN(",",TRUE,B149:E149),SF_Output!$Q$1:$Q$400,"monthly")&lt;&gt;0),SUMIFS(SF_Output!$S$1:$S$400,SF_Output!$AC$1:$AC$400,_xlfn.TEXTJOIN(",",TRUE,B149:E149),SF_Output!$Q$1:$Q$400,"monthly"),AND(B149&lt;&gt;"",H149&lt;&gt;SF_Output!$Y$2),SUMIFS(SF_Output!$S$1:$S$400,SF_Output!$AC$1:$AC$400,_xlfn.TEXTJOIN(",",TRUE,B149:E149),SF_Output!$Q$1:$Q$400,"monthly"))</f>
        <v>0</v>
      </c>
      <c r="W149" s="112" t="str" cm="1">
        <f t="array" ref="W149">_xlfn.IFS(OR(B149=0,B149="",V149=0),"",AF149&lt;&gt;"exclusion",MAX($W$9,$W$7,(-(SUMIFS(SF_Output!$T$1:$T$400,SF_Output!$AC$1:$AC$400,_xlfn.TEXTJOIN(",",TRUE,$B149:$E149),SF_Output!$Q$1:$Q$400,"monthly"))/V149)),AF149="exclusion",-(SUMIFS(SF_Output!$T$1:$T$400,SF_Output!$AC$1:$AC$400,_xlfn.TEXTJOIN(",",TRUE,$B149:$E149),SF_Output!$Q$1:$Q$400,"monthly"))/V149)</f>
        <v/>
      </c>
      <c r="X149" s="6" cm="1">
        <f t="array" ref="X149">IFERROR(_xlfn.IFS(V149=0,0,V149="","",W149=0,V149,OR(V149&lt;&gt;0,V149&lt;&gt;""),H149*I149),V149*(1-W149))</f>
        <v>0</v>
      </c>
      <c r="Z149" s="6">
        <f>IFERROR(IF(B149="","",SUMIFS(Billing_Fallout!H:H,Billing_Fallout!N:N,B149)),0)</f>
        <v>0</v>
      </c>
      <c r="AA149" s="6">
        <f t="shared" si="40"/>
        <v>0</v>
      </c>
      <c r="AB149" s="6">
        <f>IFERROR(IF(B149="","",SUMIFS(Billing_Fallout!J:J,Billing_Fallout!N:N,B149)),0)</f>
        <v>0</v>
      </c>
      <c r="AD149" s="6">
        <f t="shared" si="41"/>
        <v>0</v>
      </c>
      <c r="AF149" t="str">
        <f>IFERROR(INDEX(H_Tables!$B$1:$B$1500,MATCH(INDEX(SF_Output!$J$1:$J$400,MATCH(B149,SF_Output!$M$1:$M$400,0)),H_Tables!$A$1:$A$1500,0)),"")</f>
        <v>Exclusion</v>
      </c>
      <c r="AI149" s="119" t="str">
        <f t="shared" si="42"/>
        <v/>
      </c>
      <c r="AJ149" s="121">
        <f>IFERROR(INDEX(SF_Output!AD:AD,MATCH(_xlfn.TEXTJOIN(",",TRUE,B149:E149),SF_Output!AC1:AC400,0)),0.05)</f>
        <v>1</v>
      </c>
      <c r="AK149" t="str">
        <f>IF(SUMIFS(SF_Output!$F$1:$F$400,SF_Output!$AC$1:$AC$400,_xlfn.TEXTJOIN(",",TRUE,B149:E149))+SUMIFS(SF_Output!$G$1:$G$400,SF_Output!$AC$1:$AC$400,_xlfn.TEXTJOIN(",",TRUE,B149:E149))=0,"","PAP")</f>
        <v/>
      </c>
      <c r="AL149" s="35" t="str">
        <f t="shared" si="43"/>
        <v>Centurion Remote Data Entry,New,Hosted by JHA,0</v>
      </c>
      <c r="AQ149" s="35"/>
      <c r="AR149" s="35" t="str" cm="1">
        <f t="array" ref="AR149">IFERROR(_xlfn.IFS(AND(E149*1=1,F149="Included"),"Change to Included",AND(E149*1=0,F149="Optional"),"Change to Optional",OR(B149="",F149="replaced"),""),"")</f>
        <v/>
      </c>
      <c r="AS149" s="35" t="str">
        <f t="shared" si="44"/>
        <v/>
      </c>
      <c r="AT149" s="35" t="str">
        <f t="shared" si="45"/>
        <v/>
      </c>
      <c r="AU149" s="35" t="str">
        <f t="shared" si="46"/>
        <v/>
      </c>
      <c r="AV149" s="35" t="str">
        <f t="shared" si="47"/>
        <v/>
      </c>
      <c r="AW149" s="35" t="str">
        <f t="shared" si="48"/>
        <v/>
      </c>
      <c r="AX149" s="35" t="str">
        <f t="shared" si="49"/>
        <v/>
      </c>
      <c r="AY149" s="35" t="str">
        <f t="shared" si="50"/>
        <v/>
      </c>
      <c r="AZ149" s="35" t="str">
        <f t="shared" si="51"/>
        <v/>
      </c>
      <c r="BA149" s="35" t="str">
        <f t="shared" si="52"/>
        <v/>
      </c>
      <c r="BB149" s="35" t="str">
        <f t="shared" si="53"/>
        <v/>
      </c>
      <c r="BC149" s="35"/>
      <c r="BE149" s="35">
        <f ca="1">INDEX(SF_Output!$AA$2:$AA$400,MATCH($B149,SF_Output!$M$2:$M$400,0))</f>
        <v>7</v>
      </c>
      <c r="BF149" s="35">
        <f ca="1">INDEX(SF_Output!$AB$2:$AB$400,MATCH($B149,SF_Output!$M$2:$M$400,0))</f>
        <v>1</v>
      </c>
    </row>
    <row r="150" spans="2:58" x14ac:dyDescent="0.25">
      <c r="B150" t="s">
        <v>1833</v>
      </c>
      <c r="C150" t="s">
        <v>2122</v>
      </c>
      <c r="D150" t="s">
        <v>2123</v>
      </c>
      <c r="E150" t="s">
        <v>2124</v>
      </c>
      <c r="F150" s="116" t="str">
        <f t="shared" si="36"/>
        <v>Included</v>
      </c>
      <c r="G150" t="str">
        <f>IF(B150="","",INDEX(SF_Output!$K$1:$K$400,MATCH(B150,SF_Output!$M$1:$M$400,0)))</f>
        <v>Centurion</v>
      </c>
      <c r="H150" cm="1">
        <f t="array" ref="H150">_xlfn.IFS(B150="","",(SUMIFS(SF_Output!$F$1:$F$400,SF_Output!$AC$1:$AC$400,_xlfn.TEXTJOIN(",",TRUE,B150:E150))+SUMIFS(SF_Output!$G$1:$G$400,SF_Output!$AC$1:$AC$400,_xlfn.TEXTJOIN(",",TRUE,B150:E150)))&lt;&gt;0,SF_Output!$Y$2,INDEX(SF_Output!$F$1:$F$400,MATCH(_xlfn.TEXTJOIN(",",TRUE,B150:E150),SF_Output!$AC$1:$AC$400,0))=0,INDEX(SF_Output!$R$1:$R$400,MATCH(_xlfn.TEXTJOIN(",",TRUE,B150:E150),SF_Output!$AC$1:$AC$400,0)))</f>
        <v>1</v>
      </c>
      <c r="I150" s="125" t="str">
        <f>IFERROR(IF(AND(H150&gt;1,H150&lt;&gt;""),ROUND(SUMIFS(SF_Output!$S$1:$S$400,SF_Output!$AC$1:$AC$400,_xlfn.TEXTJOIN(",",TRUE,B150:E150),SF_Output!$Q$1:$Q$400,"monthly")*(1-W150)/H150,4),""),"")</f>
        <v/>
      </c>
      <c r="J150" s="6">
        <f>IF(B150="","",SUMIFS(SF_Output!$S$1:$S$400,SF_Output!$AC$1:$AC$400,_xlfn.TEXTJOIN(",",TRUE,B150:E150),SF_Output!$Q$1:$Q$400,"One Time",SF_Output!$L$1:$L$400,"license fee")+SUMIFS(SF_Output!$S$1:$S$400,SF_Output!$AC$1:$AC$400,_xlfn.TEXTJOIN(",",TRUE,B150:E150),SF_Output!$Q$1:$Q$400,"One Time",SF_Output!$L$1:$L$400,"software license")+SUMIFS(SF_Output!$S$1:$S$400,SF_Output!$AC$1:$AC$400,_xlfn.TEXTJOIN(",",TRUE,B150:E150),SF_Output!$Q$1:$Q$400,"One Time",SF_Output!$L$1:$L$400,"hardware"))</f>
        <v>0</v>
      </c>
      <c r="K150" s="112" t="str">
        <f>IF(OR(B150=0,B150="",G150="hardware",J150=0),"",IF(AF150&lt;&gt;"exclusion",MAX(K$9,-((SUMIFS(SF_Output!$T$1:$T$400,SF_Output!$AC$1:$AC$400,_xlfn.TEXTJOIN(",",TRUE,$B150:$E150),SF_Output!$Q$1:$Q$400,"One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license"))/J150)))</f>
        <v/>
      </c>
      <c r="L150" s="6">
        <f t="shared" si="37"/>
        <v>0</v>
      </c>
      <c r="N150" s="6">
        <f>IF(B150="","",SUMIFS(SF_Output!$S$1:$S$400,SF_Output!$AC$1:$AC$400,_xlfn.TEXTJOIN(",",TRUE,B150:E150),SF_Output!$Q$1:$Q$400,"One Time",SF_Output!$L$1:$L$400,"professional service"))</f>
        <v>0</v>
      </c>
      <c r="O150" s="112" t="str">
        <f>IF(OR(B150=0,B150="",N150=0),"",IF(AF150&lt;&gt;"exclusion",MAX(O$9,-(SUMIFS(SF_Output!$T$1:$T$400,SF_Output!$AC$1:$AC$400,_xlfn.TEXTJOIN(",",TRUE,$B150:$E150),SF_Output!$Q$1:$Q$400,"One Time",SF_Output!$L$1:$L$400,"professional service"))/N150),-((SUMIFS(SF_Output!$T$1:$T$400,SF_Output!$AC$1:$AC$400,_xlfn.TEXTJOIN(",",TRUE,$B150:$E150),SF_Output!$Q$1:$Q$400,"One Time",SF_Output!$L$1:$L$400,"professional service")/N150))))</f>
        <v/>
      </c>
      <c r="P150" s="6">
        <f t="shared" si="38"/>
        <v>0</v>
      </c>
      <c r="R150" s="6">
        <f>IF(B150="","",SUMIFS(SF_Output!$S$1:$S$400,SF_Output!$AC$1:$AC$400,_xlfn.TEXTJOIN(",",TRUE,B150:E150),SF_Output!$Q$1:$Q$400,"yearly")+SUMIFS(SF_Output!$S$1:$S$400,SF_Output!$AC$1:$AC$400,_xlfn.TEXTJOIN(",",TRUE,B150:E150),SF_Output!$Q$1:$Q$400,"quarterly")*4)</f>
        <v>0</v>
      </c>
      <c r="S150" s="112" t="str">
        <f>IF(OR(B150=0,B150="",G150="hardware",R150=0),"",IF(AF150&lt;&gt;"exclusion",MAX(S$9,-(SUMIFS(SF_Output!$T$1:$T$400,SF_Output!$AC$1:$AC$400,_xlfn.TEXTJOIN(",",TRUE,$B150:$E150),SF_Output!$Q$1:$Q$400,"yearly"))/R150),-((SUMIFS(SF_Output!$T$1:$T$400,SF_Output!$AC$1:$AC$400,_xlfn.TEXTJOIN(",",TRUE,$B150:$E150),SF_Output!$Q$1:$Q$400,"yearly")/R150))))</f>
        <v/>
      </c>
      <c r="T150" s="6">
        <f t="shared" si="39"/>
        <v>0</v>
      </c>
      <c r="V150" s="6" cm="1">
        <f t="array" ref="V150">_xlfn.IFS(B150="","",AND(B150&lt;&gt;"",H150=SF_Output!$Y$2,SUMIFS(SF_Output!$T$1:$T$400,SF_Output!$AC$1:$AC$400,_xlfn.TEXTJOIN(",",TRUE,B150:E150),SF_Output!$Q$1:$Q$400,"monthly")=0),(SUMIFS(SF_Output!$F$1:$F$400,SF_Output!$AC$1:$AC$400,_xlfn.TEXTJOIN(",",TRUE,B150:E150),SF_Output!$Q$1:$Q$400,"monthly")+SUMIFS(SF_Output!$G$1:$G$400,SF_Output!$AC$1:$AC$400,_xlfn.TEXTJOIN(",",TRUE,B150:E150),SF_Output!$Q$1:$Q$400,"monthly"))*H150,AND(B150&lt;&gt;"",H150=SF_Output!$Y$2,SUMIFS(SF_Output!$T$1:$T$400,SF_Output!$AC$1:$AC$400,_xlfn.TEXTJOIN(",",TRUE,B150:E150),SF_Output!$Q$1:$Q$400,"monthly")&lt;&gt;0),SUMIFS(SF_Output!$S$1:$S$400,SF_Output!$AC$1:$AC$400,_xlfn.TEXTJOIN(",",TRUE,B150:E150),SF_Output!$Q$1:$Q$400,"monthly"),AND(B150&lt;&gt;"",H150&lt;&gt;SF_Output!$Y$2),SUMIFS(SF_Output!$S$1:$S$400,SF_Output!$AC$1:$AC$400,_xlfn.TEXTJOIN(",",TRUE,B150:E150),SF_Output!$Q$1:$Q$400,"monthly"))</f>
        <v>200</v>
      </c>
      <c r="W150" s="112" cm="1">
        <f t="array" ref="W150">_xlfn.IFS(OR(B150=0,B150="",V150=0),"",AF150&lt;&gt;"exclusion",MAX($W$9,$W$7,(-(SUMIFS(SF_Output!$T$1:$T$400,SF_Output!$AC$1:$AC$400,_xlfn.TEXTJOIN(",",TRUE,$B150:$E150),SF_Output!$Q$1:$Q$400,"monthly"))/V150)),AF150="exclusion",-(SUMIFS(SF_Output!$T$1:$T$400,SF_Output!$AC$1:$AC$400,_xlfn.TEXTJOIN(",",TRUE,$B150:$E150),SF_Output!$Q$1:$Q$400,"monthly"))/V150)</f>
        <v>0</v>
      </c>
      <c r="X150" s="6" cm="1">
        <f t="array" ref="X150">IFERROR(_xlfn.IFS(V150=0,0,V150="","",W150=0,V150,OR(V150&lt;&gt;0,V150&lt;&gt;""),H150*I150),V150*(1-W150))</f>
        <v>200</v>
      </c>
      <c r="Z150" s="6">
        <f>IFERROR(IF(B150="","",SUMIFS(Billing_Fallout!H:H,Billing_Fallout!N:N,B150)),0)</f>
        <v>0</v>
      </c>
      <c r="AA150" s="6">
        <f t="shared" si="40"/>
        <v>0</v>
      </c>
      <c r="AB150" s="6">
        <f>IFERROR(IF(B150="","",SUMIFS(Billing_Fallout!J:J,Billing_Fallout!N:N,B150)),0)</f>
        <v>0</v>
      </c>
      <c r="AD150" s="6">
        <f t="shared" si="41"/>
        <v>200</v>
      </c>
      <c r="AF150" t="str">
        <f>IFERROR(INDEX(H_Tables!$B$1:$B$1500,MATCH(INDEX(SF_Output!$J$1:$J$400,MATCH(B150,SF_Output!$M$1:$M$400,0)),H_Tables!$A$1:$A$1500,0)),"")</f>
        <v>Exclusion</v>
      </c>
      <c r="AI150" s="119" t="str">
        <f t="shared" si="42"/>
        <v/>
      </c>
      <c r="AJ150" s="121">
        <f>IFERROR(INDEX(SF_Output!AD:AD,MATCH(_xlfn.TEXTJOIN(",",TRUE,B150:E150),SF_Output!AC1:AC400,0)),0.05)</f>
        <v>2</v>
      </c>
      <c r="AK150" t="str">
        <f>IF(SUMIFS(SF_Output!$F$1:$F$400,SF_Output!$AC$1:$AC$400,_xlfn.TEXTJOIN(",",TRUE,B150:E150))+SUMIFS(SF_Output!$G$1:$G$400,SF_Output!$AC$1:$AC$400,_xlfn.TEXTJOIN(",",TRUE,B150:E150))=0,"","PAP")</f>
        <v/>
      </c>
      <c r="AL150" s="35" t="str">
        <f t="shared" si="43"/>
        <v>Centurion Connectivity for Jack Henry Hosted Services,New,Hosted by JHA,0</v>
      </c>
      <c r="AQ150" s="35"/>
      <c r="AR150" s="35" t="str" cm="1">
        <f t="array" ref="AR150">IFERROR(_xlfn.IFS(AND(E150*1=1,F150="Included"),"Change to Included",AND(E150*1=0,F150="Optional"),"Change to Optional",OR(B150="",F150="replaced"),""),"")</f>
        <v/>
      </c>
      <c r="AS150" s="35" t="str">
        <f t="shared" si="44"/>
        <v/>
      </c>
      <c r="AT150" s="35" t="str">
        <f t="shared" si="45"/>
        <v/>
      </c>
      <c r="AU150" s="35" t="str">
        <f t="shared" si="46"/>
        <v/>
      </c>
      <c r="AV150" s="35" t="str">
        <f t="shared" si="47"/>
        <v/>
      </c>
      <c r="AW150" s="35" t="str">
        <f t="shared" si="48"/>
        <v/>
      </c>
      <c r="AX150" s="35" t="str">
        <f t="shared" si="49"/>
        <v/>
      </c>
      <c r="AY150" s="35" t="str">
        <f t="shared" si="50"/>
        <v/>
      </c>
      <c r="AZ150" s="35" t="str">
        <f t="shared" si="51"/>
        <v/>
      </c>
      <c r="BA150" s="35" t="str">
        <f t="shared" si="52"/>
        <v/>
      </c>
      <c r="BB150" s="35" t="str">
        <f t="shared" si="53"/>
        <v/>
      </c>
      <c r="BC150" s="35"/>
      <c r="BE150" s="35">
        <f ca="1">INDEX(SF_Output!$AA$2:$AA$400,MATCH($B150,SF_Output!$M$2:$M$400,0))</f>
        <v>7</v>
      </c>
      <c r="BF150" s="35">
        <f ca="1">INDEX(SF_Output!$AB$2:$AB$400,MATCH($B150,SF_Output!$M$2:$M$400,0))</f>
        <v>1</v>
      </c>
    </row>
    <row r="151" spans="2:58" x14ac:dyDescent="0.25">
      <c r="B151" t="s">
        <v>2289</v>
      </c>
      <c r="C151" t="s">
        <v>2122</v>
      </c>
      <c r="D151" t="s">
        <v>2123</v>
      </c>
      <c r="E151" t="s">
        <v>2124</v>
      </c>
      <c r="F151" s="116" t="str">
        <f t="shared" si="36"/>
        <v>Included</v>
      </c>
      <c r="G151" t="str">
        <f>IF(B151="","",INDEX(SF_Output!$K$1:$K$400,MATCH(B151,SF_Output!$M$1:$M$400,0)))</f>
        <v>Fraud</v>
      </c>
      <c r="H151" cm="1">
        <f t="array" ref="H151">_xlfn.IFS(B151="","",(SUMIFS(SF_Output!$F$1:$F$400,SF_Output!$AC$1:$AC$400,_xlfn.TEXTJOIN(",",TRUE,B151:E151))+SUMIFS(SF_Output!$G$1:$G$400,SF_Output!$AC$1:$AC$400,_xlfn.TEXTJOIN(",",TRUE,B151:E151)))&lt;&gt;0,SF_Output!$Y$2,INDEX(SF_Output!$F$1:$F$400,MATCH(_xlfn.TEXTJOIN(",",TRUE,B151:E151),SF_Output!$AC$1:$AC$400,0))=0,INDEX(SF_Output!$R$1:$R$400,MATCH(_xlfn.TEXTJOIN(",",TRUE,B151:E151),SF_Output!$AC$1:$AC$400,0)))</f>
        <v>5000</v>
      </c>
      <c r="I151" s="125">
        <f>IFERROR(IF(AND(H151&gt;1,H151&lt;&gt;""),ROUND(SUMIFS(SF_Output!$S$1:$S$400,SF_Output!$AC$1:$AC$400,_xlfn.TEXTJOIN(",",TRUE,B151:E151),SF_Output!$Q$1:$Q$400,"monthly")*(1-W151)/H151,4),""),"")</f>
        <v>0.71640000000000004</v>
      </c>
      <c r="J151" s="6">
        <f>IF(B151="","",SUMIFS(SF_Output!$S$1:$S$400,SF_Output!$AC$1:$AC$400,_xlfn.TEXTJOIN(",",TRUE,B151:E151),SF_Output!$Q$1:$Q$400,"One Time",SF_Output!$L$1:$L$400,"license fee")+SUMIFS(SF_Output!$S$1:$S$400,SF_Output!$AC$1:$AC$400,_xlfn.TEXTJOIN(",",TRUE,B151:E151),SF_Output!$Q$1:$Q$400,"One Time",SF_Output!$L$1:$L$400,"software license")+SUMIFS(SF_Output!$S$1:$S$400,SF_Output!$AC$1:$AC$400,_xlfn.TEXTJOIN(",",TRUE,B151:E151),SF_Output!$Q$1:$Q$400,"One Time",SF_Output!$L$1:$L$400,"hardware"))</f>
        <v>0</v>
      </c>
      <c r="K151" s="112" t="str">
        <f>IF(OR(B151=0,B151="",G151="hardware",J151=0),"",IF(AF151&lt;&gt;"exclusion",MAX(K$9,-((SUMIFS(SF_Output!$T$1:$T$400,SF_Output!$AC$1:$AC$400,_xlfn.TEXTJOIN(",",TRUE,$B151:$E151),SF_Output!$Q$1:$Q$400,"One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license"))/J151)))</f>
        <v/>
      </c>
      <c r="L151" s="6">
        <f t="shared" si="37"/>
        <v>0</v>
      </c>
      <c r="N151" s="6">
        <f>IF(B151="","",SUMIFS(SF_Output!$S$1:$S$400,SF_Output!$AC$1:$AC$400,_xlfn.TEXTJOIN(",",TRUE,B151:E151),SF_Output!$Q$1:$Q$400,"One Time",SF_Output!$L$1:$L$400,"professional service"))</f>
        <v>18890</v>
      </c>
      <c r="O151" s="112">
        <f>IF(OR(B151=0,B151="",N151=0),"",IF(AF151&lt;&gt;"exclusion",MAX(O$9,-(SUMIFS(SF_Output!$T$1:$T$400,SF_Output!$AC$1:$AC$400,_xlfn.TEXTJOIN(",",TRUE,$B151:$E151),SF_Output!$Q$1:$Q$400,"One Time",SF_Output!$L$1:$L$400,"professional service"))/N151),-((SUMIFS(SF_Output!$T$1:$T$400,SF_Output!$AC$1:$AC$400,_xlfn.TEXTJOIN(",",TRUE,$B151:$E151),SF_Output!$Q$1:$Q$400,"One Time",SF_Output!$L$1:$L$400,"professional service")/N151))))</f>
        <v>0.25</v>
      </c>
      <c r="P151" s="6">
        <f t="shared" si="38"/>
        <v>14167.5</v>
      </c>
      <c r="R151" s="6">
        <f>IF(B151="","",SUMIFS(SF_Output!$S$1:$S$400,SF_Output!$AC$1:$AC$400,_xlfn.TEXTJOIN(",",TRUE,B151:E151),SF_Output!$Q$1:$Q$400,"yearly")+SUMIFS(SF_Output!$S$1:$S$400,SF_Output!$AC$1:$AC$400,_xlfn.TEXTJOIN(",",TRUE,B151:E151),SF_Output!$Q$1:$Q$400,"quarterly")*4)</f>
        <v>0</v>
      </c>
      <c r="S151" s="112" t="str">
        <f>IF(OR(B151=0,B151="",G151="hardware",R151=0),"",IF(AF151&lt;&gt;"exclusion",MAX(S$9,-(SUMIFS(SF_Output!$T$1:$T$400,SF_Output!$AC$1:$AC$400,_xlfn.TEXTJOIN(",",TRUE,$B151:$E151),SF_Output!$Q$1:$Q$400,"yearly"))/R151),-((SUMIFS(SF_Output!$T$1:$T$400,SF_Output!$AC$1:$AC$400,_xlfn.TEXTJOIN(",",TRUE,$B151:$E151),SF_Output!$Q$1:$Q$400,"yearly")/R151))))</f>
        <v/>
      </c>
      <c r="T151" s="6">
        <f t="shared" si="39"/>
        <v>0</v>
      </c>
      <c r="V151" s="6" cm="1">
        <f t="array" ref="V151">_xlfn.IFS(B151="","",AND(B151&lt;&gt;"",H151=SF_Output!$Y$2,SUMIFS(SF_Output!$T$1:$T$400,SF_Output!$AC$1:$AC$400,_xlfn.TEXTJOIN(",",TRUE,B151:E151),SF_Output!$Q$1:$Q$400,"monthly")=0),(SUMIFS(SF_Output!$F$1:$F$400,SF_Output!$AC$1:$AC$400,_xlfn.TEXTJOIN(",",TRUE,B151:E151),SF_Output!$Q$1:$Q$400,"monthly")+SUMIFS(SF_Output!$G$1:$G$400,SF_Output!$AC$1:$AC$400,_xlfn.TEXTJOIN(",",TRUE,B151:E151),SF_Output!$Q$1:$Q$400,"monthly"))*H151,AND(B151&lt;&gt;"",H151=SF_Output!$Y$2,SUMIFS(SF_Output!$T$1:$T$400,SF_Output!$AC$1:$AC$400,_xlfn.TEXTJOIN(",",TRUE,B151:E151),SF_Output!$Q$1:$Q$400,"monthly")&lt;&gt;0),SUMIFS(SF_Output!$S$1:$S$400,SF_Output!$AC$1:$AC$400,_xlfn.TEXTJOIN(",",TRUE,B151:E151),SF_Output!$Q$1:$Q$400,"monthly"),AND(B151&lt;&gt;"",H151&lt;&gt;SF_Output!$Y$2),SUMIFS(SF_Output!$S$1:$S$400,SF_Output!$AC$1:$AC$400,_xlfn.TEXTJOIN(",",TRUE,B151:E151),SF_Output!$Q$1:$Q$400,"monthly"))</f>
        <v>3980</v>
      </c>
      <c r="W151" s="112" cm="1">
        <f t="array" ref="W151">_xlfn.IFS(OR(B151=0,B151="",V151=0),"",AF151&lt;&gt;"exclusion",MAX($W$9,$W$7,(-(SUMIFS(SF_Output!$T$1:$T$400,SF_Output!$AC$1:$AC$400,_xlfn.TEXTJOIN(",",TRUE,$B151:$E151),SF_Output!$Q$1:$Q$400,"monthly"))/V151)),AF151="exclusion",-(SUMIFS(SF_Output!$T$1:$T$400,SF_Output!$AC$1:$AC$400,_xlfn.TEXTJOIN(",",TRUE,$B151:$E151),SF_Output!$Q$1:$Q$400,"monthly"))/V151)</f>
        <v>0.1</v>
      </c>
      <c r="X151" s="6" cm="1">
        <f t="array" ref="X151">IFERROR(_xlfn.IFS(V151=0,0,V151="","",W151=0,V151,OR(V151&lt;&gt;0,V151&lt;&gt;""),H151*I151),V151*(1-W151))</f>
        <v>3582</v>
      </c>
      <c r="Z151" s="6">
        <f>IFERROR(IF(B151="","",SUMIFS(Billing_Fallout!H:H,Billing_Fallout!N:N,B151)),0)</f>
        <v>0</v>
      </c>
      <c r="AA151" s="6">
        <f t="shared" si="40"/>
        <v>0</v>
      </c>
      <c r="AB151" s="6">
        <f>IFERROR(IF(B151="","",SUMIFS(Billing_Fallout!J:J,Billing_Fallout!N:N,B151)),0)</f>
        <v>0</v>
      </c>
      <c r="AD151" s="6">
        <f t="shared" si="41"/>
        <v>3582</v>
      </c>
      <c r="AF151" t="str">
        <f>IFERROR(INDEX(H_Tables!$B$1:$B$1500,MATCH(INDEX(SF_Output!$J$1:$J$400,MATCH(B151,SF_Output!$M$1:$M$400,0)),H_Tables!$A$1:$A$1500,0)),"")</f>
        <v>Exclusion</v>
      </c>
      <c r="AI151" s="119" t="str">
        <f t="shared" si="42"/>
        <v/>
      </c>
      <c r="AJ151" s="121">
        <f>IFERROR(INDEX(SF_Output!AD:AD,MATCH(_xlfn.TEXTJOIN(",",TRUE,B151:E151),SF_Output!AC1:AC400,0)),0.05)</f>
        <v>116</v>
      </c>
      <c r="AK151" t="str">
        <f>IF(SUMIFS(SF_Output!$F$1:$F$400,SF_Output!$AC$1:$AC$400,_xlfn.TEXTJOIN(",",TRUE,B151:E151))+SUMIFS(SF_Output!$G$1:$G$400,SF_Output!$AC$1:$AC$400,_xlfn.TEXTJOIN(",",TRUE,B151:E151))=0,"","PAP")</f>
        <v>PAP</v>
      </c>
      <c r="AL151" s="35" t="str">
        <f t="shared" si="43"/>
        <v>Jack Henry Financial Crimes Defender Enterprise,New,Hosted by JHA,0</v>
      </c>
      <c r="AQ151" s="35"/>
      <c r="AR151" s="35" t="str" cm="1">
        <f t="array" ref="AR151">IFERROR(_xlfn.IFS(AND(E151*1=1,F151="Included"),"Change to Included",AND(E151*1=0,F151="Optional"),"Change to Optional",OR(B151="",F151="replaced"),""),"")</f>
        <v/>
      </c>
      <c r="AS151" s="35" t="str">
        <f t="shared" si="44"/>
        <v/>
      </c>
      <c r="AT151" s="35" t="str">
        <f t="shared" si="45"/>
        <v/>
      </c>
      <c r="AU151" s="35" t="str">
        <f t="shared" si="46"/>
        <v/>
      </c>
      <c r="AV151" s="35" t="str">
        <f t="shared" si="47"/>
        <v/>
      </c>
      <c r="AW151" s="35" t="str">
        <f t="shared" si="48"/>
        <v/>
      </c>
      <c r="AX151" s="35" t="str">
        <f t="shared" si="49"/>
        <v/>
      </c>
      <c r="AY151" s="35" t="str">
        <f t="shared" si="50"/>
        <v/>
      </c>
      <c r="AZ151" s="35" t="str">
        <f t="shared" si="51"/>
        <v/>
      </c>
      <c r="BA151" s="35" t="str">
        <f t="shared" si="52"/>
        <v/>
      </c>
      <c r="BB151" s="35" t="str">
        <f t="shared" si="53"/>
        <v/>
      </c>
      <c r="BC151" s="35"/>
      <c r="BE151" s="35">
        <f ca="1">INDEX(SF_Output!$AA$2:$AA$400,MATCH($B151,SF_Output!$M$2:$M$400,0))</f>
        <v>7</v>
      </c>
      <c r="BF151" s="35" t="str">
        <f ca="1">INDEX(SF_Output!$AB$2:$AB$400,MATCH($B151,SF_Output!$M$2:$M$400,0))</f>
        <v/>
      </c>
    </row>
    <row r="152" spans="2:58" x14ac:dyDescent="0.25">
      <c r="B152" t="s">
        <v>2292</v>
      </c>
      <c r="C152" t="s">
        <v>2122</v>
      </c>
      <c r="D152" t="s">
        <v>2123</v>
      </c>
      <c r="E152" t="s">
        <v>2124</v>
      </c>
      <c r="F152" s="116" t="str">
        <f t="shared" si="36"/>
        <v>Included</v>
      </c>
      <c r="G152" t="str">
        <f>IF(B152="","",INDEX(SF_Output!$K$1:$K$400,MATCH(B152,SF_Output!$M$1:$M$400,0)))</f>
        <v>Fraud</v>
      </c>
      <c r="H152" cm="1">
        <f t="array" ref="H152">_xlfn.IFS(B152="","",(SUMIFS(SF_Output!$F$1:$F$400,SF_Output!$AC$1:$AC$400,_xlfn.TEXTJOIN(",",TRUE,B152:E152))+SUMIFS(SF_Output!$G$1:$G$400,SF_Output!$AC$1:$AC$400,_xlfn.TEXTJOIN(",",TRUE,B152:E152)))&lt;&gt;0,SF_Output!$Y$2,INDEX(SF_Output!$F$1:$F$400,MATCH(_xlfn.TEXTJOIN(",",TRUE,B152:E152),SF_Output!$AC$1:$AC$400,0))=0,INDEX(SF_Output!$R$1:$R$400,MATCH(_xlfn.TEXTJOIN(",",TRUE,B152:E152),SF_Output!$AC$1:$AC$400,0)))</f>
        <v>1</v>
      </c>
      <c r="I152" s="125" t="str">
        <f>IFERROR(IF(AND(H152&gt;1,H152&lt;&gt;""),ROUND(SUMIFS(SF_Output!$S$1:$S$400,SF_Output!$AC$1:$AC$400,_xlfn.TEXTJOIN(",",TRUE,B152:E152),SF_Output!$Q$1:$Q$400,"monthly")*(1-W152)/H152,4),""),"")</f>
        <v/>
      </c>
      <c r="J152" s="6">
        <f>IF(B152="","",SUMIFS(SF_Output!$S$1:$S$400,SF_Output!$AC$1:$AC$400,_xlfn.TEXTJOIN(",",TRUE,B152:E152),SF_Output!$Q$1:$Q$400,"One Time",SF_Output!$L$1:$L$400,"license fee")+SUMIFS(SF_Output!$S$1:$S$400,SF_Output!$AC$1:$AC$400,_xlfn.TEXTJOIN(",",TRUE,B152:E152),SF_Output!$Q$1:$Q$400,"One Time",SF_Output!$L$1:$L$400,"software license")+SUMIFS(SF_Output!$S$1:$S$400,SF_Output!$AC$1:$AC$400,_xlfn.TEXTJOIN(",",TRUE,B152:E152),SF_Output!$Q$1:$Q$400,"One Time",SF_Output!$L$1:$L$400,"hardware"))</f>
        <v>0</v>
      </c>
      <c r="K152" s="112" t="str">
        <f>IF(OR(B152=0,B152="",G152="hardware",J152=0),"",IF(AF152&lt;&gt;"exclusion",MAX(K$9,-((SUMIFS(SF_Output!$T$1:$T$400,SF_Output!$AC$1:$AC$400,_xlfn.TEXTJOIN(",",TRUE,$B152:$E152),SF_Output!$Q$1:$Q$400,"One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license"))/J152)))</f>
        <v/>
      </c>
      <c r="L152" s="6">
        <f t="shared" si="37"/>
        <v>0</v>
      </c>
      <c r="N152" s="6">
        <f>IF(B152="","",SUMIFS(SF_Output!$S$1:$S$400,SF_Output!$AC$1:$AC$400,_xlfn.TEXTJOIN(",",TRUE,B152:E152),SF_Output!$Q$1:$Q$400,"One Time",SF_Output!$L$1:$L$400,"professional service"))</f>
        <v>6000</v>
      </c>
      <c r="O152" s="112">
        <f>IF(OR(B152=0,B152="",N152=0),"",IF(AF152&lt;&gt;"exclusion",MAX(O$9,-(SUMIFS(SF_Output!$T$1:$T$400,SF_Output!$AC$1:$AC$400,_xlfn.TEXTJOIN(",",TRUE,$B152:$E152),SF_Output!$Q$1:$Q$400,"One Time",SF_Output!$L$1:$L$400,"professional service"))/N152),-((SUMIFS(SF_Output!$T$1:$T$400,SF_Output!$AC$1:$AC$400,_xlfn.TEXTJOIN(",",TRUE,$B152:$E152),SF_Output!$Q$1:$Q$400,"One Time",SF_Output!$L$1:$L$400,"professional service")/N152))))</f>
        <v>0</v>
      </c>
      <c r="P152" s="6">
        <f t="shared" si="38"/>
        <v>6000</v>
      </c>
      <c r="R152" s="6">
        <f>IF(B152="","",SUMIFS(SF_Output!$S$1:$S$400,SF_Output!$AC$1:$AC$400,_xlfn.TEXTJOIN(",",TRUE,B152:E152),SF_Output!$Q$1:$Q$400,"yearly")+SUMIFS(SF_Output!$S$1:$S$400,SF_Output!$AC$1:$AC$400,_xlfn.TEXTJOIN(",",TRUE,B152:E152),SF_Output!$Q$1:$Q$400,"quarterly")*4)</f>
        <v>0</v>
      </c>
      <c r="S152" s="112" t="str">
        <f>IF(OR(B152=0,B152="",G152="hardware",R152=0),"",IF(AF152&lt;&gt;"exclusion",MAX(S$9,-(SUMIFS(SF_Output!$T$1:$T$400,SF_Output!$AC$1:$AC$400,_xlfn.TEXTJOIN(",",TRUE,$B152:$E152),SF_Output!$Q$1:$Q$400,"yearly"))/R152),-((SUMIFS(SF_Output!$T$1:$T$400,SF_Output!$AC$1:$AC$400,_xlfn.TEXTJOIN(",",TRUE,$B152:$E152),SF_Output!$Q$1:$Q$400,"yearly")/R152))))</f>
        <v/>
      </c>
      <c r="T152" s="6">
        <f t="shared" si="39"/>
        <v>0</v>
      </c>
      <c r="V152" s="6" cm="1">
        <f t="array" ref="V152">_xlfn.IFS(B152="","",AND(B152&lt;&gt;"",H152=SF_Output!$Y$2,SUMIFS(SF_Output!$T$1:$T$400,SF_Output!$AC$1:$AC$400,_xlfn.TEXTJOIN(",",TRUE,B152:E152),SF_Output!$Q$1:$Q$400,"monthly")=0),(SUMIFS(SF_Output!$F$1:$F$400,SF_Output!$AC$1:$AC$400,_xlfn.TEXTJOIN(",",TRUE,B152:E152),SF_Output!$Q$1:$Q$400,"monthly")+SUMIFS(SF_Output!$G$1:$G$400,SF_Output!$AC$1:$AC$400,_xlfn.TEXTJOIN(",",TRUE,B152:E152),SF_Output!$Q$1:$Q$400,"monthly"))*H152,AND(B152&lt;&gt;"",H152=SF_Output!$Y$2,SUMIFS(SF_Output!$T$1:$T$400,SF_Output!$AC$1:$AC$400,_xlfn.TEXTJOIN(",",TRUE,B152:E152),SF_Output!$Q$1:$Q$400,"monthly")&lt;&gt;0),SUMIFS(SF_Output!$S$1:$S$400,SF_Output!$AC$1:$AC$400,_xlfn.TEXTJOIN(",",TRUE,B152:E152),SF_Output!$Q$1:$Q$400,"monthly"),AND(B152&lt;&gt;"",H152&lt;&gt;SF_Output!$Y$2),SUMIFS(SF_Output!$S$1:$S$400,SF_Output!$AC$1:$AC$400,_xlfn.TEXTJOIN(",",TRUE,B152:E152),SF_Output!$Q$1:$Q$400,"monthly"))</f>
        <v>2000</v>
      </c>
      <c r="W152" s="112" cm="1">
        <f t="array" ref="W152">_xlfn.IFS(OR(B152=0,B152="",V152=0),"",AF152&lt;&gt;"exclusion",MAX($W$9,$W$7,(-(SUMIFS(SF_Output!$T$1:$T$400,SF_Output!$AC$1:$AC$400,_xlfn.TEXTJOIN(",",TRUE,$B152:$E152),SF_Output!$Q$1:$Q$400,"monthly"))/V152)),AF152="exclusion",-(SUMIFS(SF_Output!$T$1:$T$400,SF_Output!$AC$1:$AC$400,_xlfn.TEXTJOIN(",",TRUE,$B152:$E152),SF_Output!$Q$1:$Q$400,"monthly"))/V152)</f>
        <v>0</v>
      </c>
      <c r="X152" s="6" cm="1">
        <f t="array" ref="X152">IFERROR(_xlfn.IFS(V152=0,0,V152="","",W152=0,V152,OR(V152&lt;&gt;0,V152&lt;&gt;""),H152*I152),V152*(1-W152))</f>
        <v>2000</v>
      </c>
      <c r="Z152" s="6">
        <f>IFERROR(IF(B152="","",SUMIFS(Billing_Fallout!H:H,Billing_Fallout!N:N,B152)),0)</f>
        <v>0</v>
      </c>
      <c r="AA152" s="6">
        <f t="shared" si="40"/>
        <v>0</v>
      </c>
      <c r="AB152" s="6">
        <f>IFERROR(IF(B152="","",SUMIFS(Billing_Fallout!J:J,Billing_Fallout!N:N,B152)),0)</f>
        <v>0</v>
      </c>
      <c r="AD152" s="6">
        <f t="shared" si="41"/>
        <v>2000</v>
      </c>
      <c r="AF152" t="str">
        <f>IFERROR(INDEX(H_Tables!$B$1:$B$1500,MATCH(INDEX(SF_Output!$J$1:$J$400,MATCH(B152,SF_Output!$M$1:$M$400,0)),H_Tables!$A$1:$A$1500,0)),"")</f>
        <v>Exclusion</v>
      </c>
      <c r="AI152" s="119" t="str">
        <f t="shared" si="42"/>
        <v/>
      </c>
      <c r="AJ152" s="121">
        <f>IFERROR(INDEX(SF_Output!AD:AD,MATCH(_xlfn.TEXTJOIN(",",TRUE,B152:E152),SF_Output!AC1:AC400,0)),0.05)</f>
        <v>118</v>
      </c>
      <c r="AK152" t="str">
        <f>IF(SUMIFS(SF_Output!$F$1:$F$400,SF_Output!$AC$1:$AC$400,_xlfn.TEXTJOIN(",",TRUE,B152:E152))+SUMIFS(SF_Output!$G$1:$G$400,SF_Output!$AC$1:$AC$400,_xlfn.TEXTJOIN(",",TRUE,B152:E152))=0,"","PAP")</f>
        <v/>
      </c>
      <c r="AL152" s="35" t="str">
        <f t="shared" si="43"/>
        <v>Jack Henry Financial Crimes Defender Real-time Payments Zelle Initial,New,Hosted</v>
      </c>
      <c r="AQ152" s="35"/>
      <c r="AR152" s="35" t="str" cm="1">
        <f t="array" ref="AR152">IFERROR(_xlfn.IFS(AND(E152*1=1,F152="Included"),"Change to Included",AND(E152*1=0,F152="Optional"),"Change to Optional",OR(B152="",F152="replaced"),""),"")</f>
        <v/>
      </c>
      <c r="AS152" s="35" t="str">
        <f t="shared" si="44"/>
        <v/>
      </c>
      <c r="AT152" s="35" t="str">
        <f t="shared" si="45"/>
        <v/>
      </c>
      <c r="AU152" s="35" t="str">
        <f t="shared" si="46"/>
        <v/>
      </c>
      <c r="AV152" s="35" t="str">
        <f t="shared" si="47"/>
        <v/>
      </c>
      <c r="AW152" s="35" t="str">
        <f t="shared" si="48"/>
        <v/>
      </c>
      <c r="AX152" s="35" t="str">
        <f t="shared" si="49"/>
        <v/>
      </c>
      <c r="AY152" s="35" t="str">
        <f t="shared" si="50"/>
        <v/>
      </c>
      <c r="AZ152" s="35" t="str">
        <f t="shared" si="51"/>
        <v/>
      </c>
      <c r="BA152" s="35" t="str">
        <f t="shared" si="52"/>
        <v/>
      </c>
      <c r="BB152" s="35" t="str">
        <f t="shared" si="53"/>
        <v/>
      </c>
      <c r="BC152" s="35"/>
      <c r="BE152" s="35">
        <f ca="1">INDEX(SF_Output!$AA$2:$AA$400,MATCH($B152,SF_Output!$M$2:$M$400,0))</f>
        <v>7</v>
      </c>
      <c r="BF152" s="35" t="str">
        <f ca="1">INDEX(SF_Output!$AB$2:$AB$400,MATCH($B152,SF_Output!$M$2:$M$400,0))</f>
        <v/>
      </c>
    </row>
    <row r="153" spans="2:58" x14ac:dyDescent="0.25">
      <c r="B153" t="s">
        <v>1762</v>
      </c>
      <c r="C153" t="s">
        <v>2122</v>
      </c>
      <c r="D153" t="s">
        <v>2123</v>
      </c>
      <c r="E153" t="s">
        <v>2124</v>
      </c>
      <c r="F153" s="116" t="str">
        <f t="shared" si="36"/>
        <v>Included</v>
      </c>
      <c r="G153" t="str">
        <f>IF(B153="","",INDEX(SF_Output!$K$1:$K$400,MATCH(B153,SF_Output!$M$1:$M$400,0)))</f>
        <v>Fraud</v>
      </c>
      <c r="H153" cm="1">
        <f t="array" ref="H153">_xlfn.IFS(B153="","",(SUMIFS(SF_Output!$F$1:$F$400,SF_Output!$AC$1:$AC$400,_xlfn.TEXTJOIN(",",TRUE,B153:E153))+SUMIFS(SF_Output!$G$1:$G$400,SF_Output!$AC$1:$AC$400,_xlfn.TEXTJOIN(",",TRUE,B153:E153)))&lt;&gt;0,SF_Output!$Y$2,INDEX(SF_Output!$F$1:$F$400,MATCH(_xlfn.TEXTJOIN(",",TRUE,B153:E153),SF_Output!$AC$1:$AC$400,0))=0,INDEX(SF_Output!$R$1:$R$400,MATCH(_xlfn.TEXTJOIN(",",TRUE,B153:E153),SF_Output!$AC$1:$AC$400,0)))</f>
        <v>1</v>
      </c>
      <c r="I153" s="125" t="str">
        <f>IFERROR(IF(AND(H153&gt;1,H153&lt;&gt;""),ROUND(SUMIFS(SF_Output!$S$1:$S$400,SF_Output!$AC$1:$AC$400,_xlfn.TEXTJOIN(",",TRUE,B153:E153),SF_Output!$Q$1:$Q$400,"monthly")*(1-W153)/H153,4),""),"")</f>
        <v/>
      </c>
      <c r="J153" s="6">
        <f>IF(B153="","",SUMIFS(SF_Output!$S$1:$S$400,SF_Output!$AC$1:$AC$400,_xlfn.TEXTJOIN(",",TRUE,B153:E153),SF_Output!$Q$1:$Q$400,"One Time",SF_Output!$L$1:$L$400,"license fee")+SUMIFS(SF_Output!$S$1:$S$400,SF_Output!$AC$1:$AC$400,_xlfn.TEXTJOIN(",",TRUE,B153:E153),SF_Output!$Q$1:$Q$400,"One Time",SF_Output!$L$1:$L$400,"software license")+SUMIFS(SF_Output!$S$1:$S$400,SF_Output!$AC$1:$AC$400,_xlfn.TEXTJOIN(",",TRUE,B153:E153),SF_Output!$Q$1:$Q$400,"One Time",SF_Output!$L$1:$L$400,"hardware"))</f>
        <v>0</v>
      </c>
      <c r="K153" s="112" t="str">
        <f>IF(OR(B153=0,B153="",G153="hardware",J153=0),"",IF(AF153&lt;&gt;"exclusion",MAX(K$9,-((SUMIFS(SF_Output!$T$1:$T$400,SF_Output!$AC$1:$AC$400,_xlfn.TEXTJOIN(",",TRUE,$B153:$E153),SF_Output!$Q$1:$Q$400,"One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license"))/J153)))</f>
        <v/>
      </c>
      <c r="L153" s="6">
        <f t="shared" si="37"/>
        <v>0</v>
      </c>
      <c r="N153" s="6">
        <f>IF(B153="","",SUMIFS(SF_Output!$S$1:$S$400,SF_Output!$AC$1:$AC$400,_xlfn.TEXTJOIN(",",TRUE,B153:E153),SF_Output!$Q$1:$Q$400,"One Time",SF_Output!$L$1:$L$400,"professional service"))</f>
        <v>28500</v>
      </c>
      <c r="O153" s="112">
        <f>IF(OR(B153=0,B153="",N153=0),"",IF(AF153&lt;&gt;"exclusion",MAX(O$9,-(SUMIFS(SF_Output!$T$1:$T$400,SF_Output!$AC$1:$AC$400,_xlfn.TEXTJOIN(",",TRUE,$B153:$E153),SF_Output!$Q$1:$Q$400,"One Time",SF_Output!$L$1:$L$400,"professional service"))/N153),-((SUMIFS(SF_Output!$T$1:$T$400,SF_Output!$AC$1:$AC$400,_xlfn.TEXTJOIN(",",TRUE,$B153:$E153),SF_Output!$Q$1:$Q$400,"One Time",SF_Output!$L$1:$L$400,"professional service")/N153))))</f>
        <v>0</v>
      </c>
      <c r="P153" s="6">
        <f t="shared" si="38"/>
        <v>28500</v>
      </c>
      <c r="R153" s="6">
        <f>IF(B153="","",SUMIFS(SF_Output!$S$1:$S$400,SF_Output!$AC$1:$AC$400,_xlfn.TEXTJOIN(",",TRUE,B153:E153),SF_Output!$Q$1:$Q$400,"yearly")+SUMIFS(SF_Output!$S$1:$S$400,SF_Output!$AC$1:$AC$400,_xlfn.TEXTJOIN(",",TRUE,B153:E153),SF_Output!$Q$1:$Q$400,"quarterly")*4)</f>
        <v>0</v>
      </c>
      <c r="S153" s="112" t="str">
        <f>IF(OR(B153=0,B153="",G153="hardware",R153=0),"",IF(AF153&lt;&gt;"exclusion",MAX(S$9,-(SUMIFS(SF_Output!$T$1:$T$400,SF_Output!$AC$1:$AC$400,_xlfn.TEXTJOIN(",",TRUE,$B153:$E153),SF_Output!$Q$1:$Q$400,"yearly"))/R153),-((SUMIFS(SF_Output!$T$1:$T$400,SF_Output!$AC$1:$AC$400,_xlfn.TEXTJOIN(",",TRUE,$B153:$E153),SF_Output!$Q$1:$Q$400,"yearly")/R153))))</f>
        <v/>
      </c>
      <c r="T153" s="6">
        <f t="shared" si="39"/>
        <v>0</v>
      </c>
      <c r="V153" s="6" cm="1">
        <f t="array" ref="V153">_xlfn.IFS(B153="","",AND(B153&lt;&gt;"",H153=SF_Output!$Y$2,SUMIFS(SF_Output!$T$1:$T$400,SF_Output!$AC$1:$AC$400,_xlfn.TEXTJOIN(",",TRUE,B153:E153),SF_Output!$Q$1:$Q$400,"monthly")=0),(SUMIFS(SF_Output!$F$1:$F$400,SF_Output!$AC$1:$AC$400,_xlfn.TEXTJOIN(",",TRUE,B153:E153),SF_Output!$Q$1:$Q$400,"monthly")+SUMIFS(SF_Output!$G$1:$G$400,SF_Output!$AC$1:$AC$400,_xlfn.TEXTJOIN(",",TRUE,B153:E153),SF_Output!$Q$1:$Q$400,"monthly"))*H153,AND(B153&lt;&gt;"",H153=SF_Output!$Y$2,SUMIFS(SF_Output!$T$1:$T$400,SF_Output!$AC$1:$AC$400,_xlfn.TEXTJOIN(",",TRUE,B153:E153),SF_Output!$Q$1:$Q$400,"monthly")&lt;&gt;0),SUMIFS(SF_Output!$S$1:$S$400,SF_Output!$AC$1:$AC$400,_xlfn.TEXTJOIN(",",TRUE,B153:E153),SF_Output!$Q$1:$Q$400,"monthly"),AND(B153&lt;&gt;"",H153&lt;&gt;SF_Output!$Y$2),SUMIFS(SF_Output!$S$1:$S$400,SF_Output!$AC$1:$AC$400,_xlfn.TEXTJOIN(",",TRUE,B153:E153),SF_Output!$Q$1:$Q$400,"monthly"))</f>
        <v>0</v>
      </c>
      <c r="W153" s="112" t="str" cm="1">
        <f t="array" ref="W153">_xlfn.IFS(OR(B153=0,B153="",V153=0),"",AF153&lt;&gt;"exclusion",MAX($W$9,$W$7,(-(SUMIFS(SF_Output!$T$1:$T$400,SF_Output!$AC$1:$AC$400,_xlfn.TEXTJOIN(",",TRUE,$B153:$E153),SF_Output!$Q$1:$Q$400,"monthly"))/V153)),AF153="exclusion",-(SUMIFS(SF_Output!$T$1:$T$400,SF_Output!$AC$1:$AC$400,_xlfn.TEXTJOIN(",",TRUE,$B153:$E153),SF_Output!$Q$1:$Q$400,"monthly"))/V153)</f>
        <v/>
      </c>
      <c r="X153" s="6" cm="1">
        <f t="array" ref="X153">IFERROR(_xlfn.IFS(V153=0,0,V153="","",W153=0,V153,OR(V153&lt;&gt;0,V153&lt;&gt;""),H153*I153),V153*(1-W153))</f>
        <v>0</v>
      </c>
      <c r="Z153" s="6">
        <f>IFERROR(IF(B153="","",SUMIFS(Billing_Fallout!H:H,Billing_Fallout!N:N,B153)),0)</f>
        <v>0</v>
      </c>
      <c r="AA153" s="6">
        <f t="shared" si="40"/>
        <v>0</v>
      </c>
      <c r="AB153" s="6">
        <f>IFERROR(IF(B153="","",SUMIFS(Billing_Fallout!J:J,Billing_Fallout!N:N,B153)),0)</f>
        <v>0</v>
      </c>
      <c r="AD153" s="6">
        <f t="shared" si="41"/>
        <v>0</v>
      </c>
      <c r="AF153" t="str">
        <f>IFERROR(INDEX(H_Tables!$B$1:$B$1500,MATCH(INDEX(SF_Output!$J$1:$J$400,MATCH(B153,SF_Output!$M$1:$M$400,0)),H_Tables!$A$1:$A$1500,0)),"")</f>
        <v>Exclusion</v>
      </c>
      <c r="AI153" s="119" t="str">
        <f t="shared" si="42"/>
        <v/>
      </c>
      <c r="AJ153" s="121">
        <f>IFERROR(INDEX(SF_Output!AD:AD,MATCH(_xlfn.TEXTJOIN(",",TRUE,B153:E153),SF_Output!AC1:AC400,0)),0.05)</f>
        <v>120</v>
      </c>
      <c r="AK153" t="str">
        <f>IF(SUMIFS(SF_Output!$F$1:$F$400,SF_Output!$AC$1:$AC$400,_xlfn.TEXTJOIN(",",TRUE,B153:E153))+SUMIFS(SF_Output!$G$1:$G$400,SF_Output!$AC$1:$AC$400,_xlfn.TEXTJOIN(",",TRUE,B153:E153))=0,"","PAP")</f>
        <v/>
      </c>
      <c r="AL153" s="35" t="str">
        <f t="shared" si="43"/>
        <v>Jack Henry Financial Crimes Defender Consulting,New,Hosted by JHA,0</v>
      </c>
      <c r="AQ153" s="35"/>
      <c r="AR153" s="35" t="str" cm="1">
        <f t="array" ref="AR153">IFERROR(_xlfn.IFS(AND(E153*1=1,F153="Included"),"Change to Included",AND(E153*1=0,F153="Optional"),"Change to Optional",OR(B153="",F153="replaced"),""),"")</f>
        <v/>
      </c>
      <c r="AS153" s="35" t="str">
        <f t="shared" si="44"/>
        <v/>
      </c>
      <c r="AT153" s="35" t="str">
        <f t="shared" si="45"/>
        <v/>
      </c>
      <c r="AU153" s="35" t="str">
        <f t="shared" si="46"/>
        <v/>
      </c>
      <c r="AV153" s="35" t="str">
        <f t="shared" si="47"/>
        <v/>
      </c>
      <c r="AW153" s="35" t="str">
        <f t="shared" si="48"/>
        <v/>
      </c>
      <c r="AX153" s="35" t="str">
        <f t="shared" si="49"/>
        <v/>
      </c>
      <c r="AY153" s="35" t="str">
        <f t="shared" si="50"/>
        <v/>
      </c>
      <c r="AZ153" s="35" t="str">
        <f t="shared" si="51"/>
        <v/>
      </c>
      <c r="BA153" s="35" t="str">
        <f t="shared" si="52"/>
        <v/>
      </c>
      <c r="BB153" s="35" t="str">
        <f t="shared" si="53"/>
        <v/>
      </c>
      <c r="BC153" s="35"/>
      <c r="BE153" s="35">
        <f ca="1">INDEX(SF_Output!$AA$2:$AA$400,MATCH($B153,SF_Output!$M$2:$M$400,0))</f>
        <v>7</v>
      </c>
      <c r="BF153" s="35" t="str">
        <f ca="1">INDEX(SF_Output!$AB$2:$AB$400,MATCH($B153,SF_Output!$M$2:$M$400,0))</f>
        <v/>
      </c>
    </row>
    <row r="154" spans="2:58" x14ac:dyDescent="0.25">
      <c r="B154" t="s">
        <v>640</v>
      </c>
      <c r="C154" t="s">
        <v>2122</v>
      </c>
      <c r="D154" t="s">
        <v>2306</v>
      </c>
      <c r="E154" t="s">
        <v>2124</v>
      </c>
      <c r="F154" s="116" t="str">
        <f t="shared" si="36"/>
        <v>Included</v>
      </c>
      <c r="G154" t="str">
        <f>IF(B154="","",INDEX(SF_Output!$K$1:$K$400,MATCH(B154,SF_Output!$M$1:$M$400,0)))</f>
        <v>jhaEnterprise Workflow</v>
      </c>
      <c r="H154" cm="1">
        <f t="array" ref="H154">_xlfn.IFS(B154="","",(SUMIFS(SF_Output!$F$1:$F$400,SF_Output!$AC$1:$AC$400,_xlfn.TEXTJOIN(",",TRUE,B154:E154))+SUMIFS(SF_Output!$G$1:$G$400,SF_Output!$AC$1:$AC$400,_xlfn.TEXTJOIN(",",TRUE,B154:E154)))&lt;&gt;0,SF_Output!$Y$2,INDEX(SF_Output!$F$1:$F$400,MATCH(_xlfn.TEXTJOIN(",",TRUE,B154:E154),SF_Output!$AC$1:$AC$400,0))=0,INDEX(SF_Output!$R$1:$R$400,MATCH(_xlfn.TEXTJOIN(",",TRUE,B154:E154),SF_Output!$AC$1:$AC$400,0)))</f>
        <v>5000</v>
      </c>
      <c r="I154" s="125">
        <f>IFERROR(IF(AND(H154&gt;1,H154&lt;&gt;""),ROUND(SUMIFS(SF_Output!$S$1:$S$400,SF_Output!$AC$1:$AC$400,_xlfn.TEXTJOIN(",",TRUE,B154:E154),SF_Output!$Q$1:$Q$400,"monthly")*(1-W154)/H154,4),""),"")</f>
        <v>0.1605</v>
      </c>
      <c r="J154" s="6">
        <f>IF(B154="","",SUMIFS(SF_Output!$S$1:$S$400,SF_Output!$AC$1:$AC$400,_xlfn.TEXTJOIN(",",TRUE,B154:E154),SF_Output!$Q$1:$Q$400,"One Time",SF_Output!$L$1:$L$400,"license fee")+SUMIFS(SF_Output!$S$1:$S$400,SF_Output!$AC$1:$AC$400,_xlfn.TEXTJOIN(",",TRUE,B154:E154),SF_Output!$Q$1:$Q$400,"One Time",SF_Output!$L$1:$L$400,"software license")+SUMIFS(SF_Output!$S$1:$S$400,SF_Output!$AC$1:$AC$400,_xlfn.TEXTJOIN(",",TRUE,B154:E154),SF_Output!$Q$1:$Q$400,"One Time",SF_Output!$L$1:$L$400,"hardware"))</f>
        <v>0</v>
      </c>
      <c r="K154" s="112" t="str">
        <f>IF(OR(B154=0,B154="",G154="hardware",J154=0),"",IF(AF154&lt;&gt;"exclusion",MAX(K$9,-((SUMIFS(SF_Output!$T$1:$T$400,SF_Output!$AC$1:$AC$400,_xlfn.TEXTJOIN(",",TRUE,$B154:$E154),SF_Output!$Q$1:$Q$400,"One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license"))/J154)))</f>
        <v/>
      </c>
      <c r="L154" s="6">
        <f t="shared" si="37"/>
        <v>0</v>
      </c>
      <c r="N154" s="6">
        <f>IF(B154="","",SUMIFS(SF_Output!$S$1:$S$400,SF_Output!$AC$1:$AC$400,_xlfn.TEXTJOIN(",",TRUE,B154:E154),SF_Output!$Q$1:$Q$400,"One Time",SF_Output!$L$1:$L$400,"professional service"))</f>
        <v>10000</v>
      </c>
      <c r="O154" s="112">
        <f>IF(OR(B154=0,B154="",N154=0),"",IF(AF154&lt;&gt;"exclusion",MAX(O$9,-(SUMIFS(SF_Output!$T$1:$T$400,SF_Output!$AC$1:$AC$400,_xlfn.TEXTJOIN(",",TRUE,$B154:$E154),SF_Output!$Q$1:$Q$400,"One Time",SF_Output!$L$1:$L$400,"professional service"))/N154),-((SUMIFS(SF_Output!$T$1:$T$400,SF_Output!$AC$1:$AC$400,_xlfn.TEXTJOIN(",",TRUE,$B154:$E154),SF_Output!$Q$1:$Q$400,"One Time",SF_Output!$L$1:$L$400,"professional service")/N154))))</f>
        <v>1</v>
      </c>
      <c r="P154" s="6">
        <f t="shared" si="38"/>
        <v>0</v>
      </c>
      <c r="R154" s="6">
        <f>IF(B154="","",SUMIFS(SF_Output!$S$1:$S$400,SF_Output!$AC$1:$AC$400,_xlfn.TEXTJOIN(",",TRUE,B154:E154),SF_Output!$Q$1:$Q$400,"yearly")+SUMIFS(SF_Output!$S$1:$S$400,SF_Output!$AC$1:$AC$400,_xlfn.TEXTJOIN(",",TRUE,B154:E154),SF_Output!$Q$1:$Q$400,"quarterly")*4)</f>
        <v>0</v>
      </c>
      <c r="S154" s="112" t="str">
        <f>IF(OR(B154=0,B154="",G154="hardware",R154=0),"",IF(AF154&lt;&gt;"exclusion",MAX(S$9,-(SUMIFS(SF_Output!$T$1:$T$400,SF_Output!$AC$1:$AC$400,_xlfn.TEXTJOIN(",",TRUE,$B154:$E154),SF_Output!$Q$1:$Q$400,"yearly"))/R154),-((SUMIFS(SF_Output!$T$1:$T$400,SF_Output!$AC$1:$AC$400,_xlfn.TEXTJOIN(",",TRUE,$B154:$E154),SF_Output!$Q$1:$Q$400,"yearly")/R154))))</f>
        <v/>
      </c>
      <c r="T154" s="6">
        <f t="shared" si="39"/>
        <v>0</v>
      </c>
      <c r="V154" s="6" cm="1">
        <f t="array" ref="V154">_xlfn.IFS(B154="","",AND(B154&lt;&gt;"",H154=SF_Output!$Y$2,SUMIFS(SF_Output!$T$1:$T$400,SF_Output!$AC$1:$AC$400,_xlfn.TEXTJOIN(",",TRUE,B154:E154),SF_Output!$Q$1:$Q$400,"monthly")=0),(SUMIFS(SF_Output!$F$1:$F$400,SF_Output!$AC$1:$AC$400,_xlfn.TEXTJOIN(",",TRUE,B154:E154),SF_Output!$Q$1:$Q$400,"monthly")+SUMIFS(SF_Output!$G$1:$G$400,SF_Output!$AC$1:$AC$400,_xlfn.TEXTJOIN(",",TRUE,B154:E154),SF_Output!$Q$1:$Q$400,"monthly"))*H154,AND(B154&lt;&gt;"",H154=SF_Output!$Y$2,SUMIFS(SF_Output!$T$1:$T$400,SF_Output!$AC$1:$AC$400,_xlfn.TEXTJOIN(",",TRUE,B154:E154),SF_Output!$Q$1:$Q$400,"monthly")&lt;&gt;0),SUMIFS(SF_Output!$S$1:$S$400,SF_Output!$AC$1:$AC$400,_xlfn.TEXTJOIN(",",TRUE,B154:E154),SF_Output!$Q$1:$Q$400,"monthly"),AND(B154&lt;&gt;"",H154&lt;&gt;SF_Output!$Y$2),SUMIFS(SF_Output!$S$1:$S$400,SF_Output!$AC$1:$AC$400,_xlfn.TEXTJOIN(",",TRUE,B154:E154),SF_Output!$Q$1:$Q$400,"monthly"))</f>
        <v>1070</v>
      </c>
      <c r="W154" s="112" cm="1">
        <f t="array" ref="W154">_xlfn.IFS(OR(B154=0,B154="",V154=0),"",AF154&lt;&gt;"exclusion",MAX($W$9,$W$7,(-(SUMIFS(SF_Output!$T$1:$T$400,SF_Output!$AC$1:$AC$400,_xlfn.TEXTJOIN(",",TRUE,$B154:$E154),SF_Output!$Q$1:$Q$400,"monthly"))/V154)),AF154="exclusion",-(SUMIFS(SF_Output!$T$1:$T$400,SF_Output!$AC$1:$AC$400,_xlfn.TEXTJOIN(",",TRUE,$B154:$E154),SF_Output!$Q$1:$Q$400,"monthly"))/V154)</f>
        <v>0.25</v>
      </c>
      <c r="X154" s="6" cm="1">
        <f t="array" ref="X154">IFERROR(_xlfn.IFS(V154=0,0,V154="","",W154=0,V154,OR(V154&lt;&gt;0,V154&lt;&gt;""),H154*I154),V154*(1-W154))</f>
        <v>802.5</v>
      </c>
      <c r="Z154" s="6">
        <f>IFERROR(IF(B154="","",SUMIFS(Billing_Fallout!H:H,Billing_Fallout!N:N,B154)),0)</f>
        <v>0</v>
      </c>
      <c r="AA154" s="6">
        <f t="shared" si="40"/>
        <v>0</v>
      </c>
      <c r="AB154" s="6">
        <f>IFERROR(IF(B154="","",SUMIFS(Billing_Fallout!J:J,Billing_Fallout!N:N,B154)),0)</f>
        <v>0</v>
      </c>
      <c r="AD154" s="6">
        <f t="shared" si="41"/>
        <v>802.5</v>
      </c>
      <c r="AF154" t="str">
        <f>IFERROR(INDEX(H_Tables!$B$1:$B$1500,MATCH(INDEX(SF_Output!$J$1:$J$400,MATCH(B154,SF_Output!$M$1:$M$400,0)),H_Tables!$A$1:$A$1500,0)),"")</f>
        <v/>
      </c>
      <c r="AI154" s="119" t="str">
        <f t="shared" si="42"/>
        <v/>
      </c>
      <c r="AJ154" s="121">
        <f>IFERROR(INDEX(SF_Output!AD:AD,MATCH(_xlfn.TEXTJOIN(",",TRUE,B154:E154),SF_Output!AC1:AC400,0)),0.05)</f>
        <v>133</v>
      </c>
      <c r="AK154" t="str">
        <f>IF(SUMIFS(SF_Output!$F$1:$F$400,SF_Output!$AC$1:$AC$400,_xlfn.TEXTJOIN(",",TRUE,B154:E154))+SUMIFS(SF_Output!$G$1:$G$400,SF_Output!$AC$1:$AC$400,_xlfn.TEXTJOIN(",",TRUE,B154:E154))=0,"","PAP")</f>
        <v>PAP</v>
      </c>
      <c r="AL154" s="35" t="str">
        <f t="shared" si="43"/>
        <v>jhaEnterprise Workflow,New,On Premise Software Usage,0</v>
      </c>
      <c r="AQ154" s="35"/>
      <c r="AR154" s="35" t="str" cm="1">
        <f t="array" ref="AR154">IFERROR(_xlfn.IFS(AND(E154*1=1,F154="Included"),"Change to Included",AND(E154*1=0,F154="Optional"),"Change to Optional",OR(B154="",F154="replaced"),""),"")</f>
        <v/>
      </c>
      <c r="AS154" s="35" t="str">
        <f t="shared" si="44"/>
        <v/>
      </c>
      <c r="AT154" s="35" t="str">
        <f t="shared" si="45"/>
        <v/>
      </c>
      <c r="AU154" s="35" t="str">
        <f t="shared" si="46"/>
        <v/>
      </c>
      <c r="AV154" s="35" t="str">
        <f t="shared" si="47"/>
        <v/>
      </c>
      <c r="AW154" s="35" t="str">
        <f t="shared" si="48"/>
        <v/>
      </c>
      <c r="AX154" s="35" t="str">
        <f t="shared" si="49"/>
        <v/>
      </c>
      <c r="AY154" s="35" t="str">
        <f t="shared" si="50"/>
        <v/>
      </c>
      <c r="AZ154" s="35" t="str">
        <f t="shared" si="51"/>
        <v/>
      </c>
      <c r="BA154" s="35" t="str">
        <f t="shared" si="52"/>
        <v/>
      </c>
      <c r="BB154" s="35" t="str">
        <f t="shared" si="53"/>
        <v/>
      </c>
      <c r="BC154" s="35"/>
      <c r="BE154" s="35">
        <f ca="1">INDEX(SF_Output!$AA$2:$AA$400,MATCH($B154,SF_Output!$M$2:$M$400,0))</f>
        <v>7</v>
      </c>
      <c r="BF154" s="35">
        <f ca="1">INDEX(SF_Output!$AB$2:$AB$400,MATCH($B154,SF_Output!$M$2:$M$400,0))</f>
        <v>2</v>
      </c>
    </row>
    <row r="155" spans="2:58" x14ac:dyDescent="0.25">
      <c r="B155" t="s">
        <v>2310</v>
      </c>
      <c r="C155" t="s">
        <v>2122</v>
      </c>
      <c r="D155" t="s">
        <v>2306</v>
      </c>
      <c r="E155" t="s">
        <v>2124</v>
      </c>
      <c r="F155" s="116" t="str">
        <f t="shared" si="36"/>
        <v>Included</v>
      </c>
      <c r="G155" t="str">
        <f>IF(B155="","",INDEX(SF_Output!$K$1:$K$400,MATCH(B155,SF_Output!$M$1:$M$400,0)))</f>
        <v>jhaEnterprise Workflow</v>
      </c>
      <c r="H155" cm="1">
        <f t="array" ref="H155">_xlfn.IFS(B155="","",(SUMIFS(SF_Output!$F$1:$F$400,SF_Output!$AC$1:$AC$400,_xlfn.TEXTJOIN(",",TRUE,B155:E155))+SUMIFS(SF_Output!$G$1:$G$400,SF_Output!$AC$1:$AC$400,_xlfn.TEXTJOIN(",",TRUE,B155:E155)))&lt;&gt;0,SF_Output!$Y$2,INDEX(SF_Output!$F$1:$F$400,MATCH(_xlfn.TEXTJOIN(",",TRUE,B155:E155),SF_Output!$AC$1:$AC$400,0))=0,INDEX(SF_Output!$R$1:$R$400,MATCH(_xlfn.TEXTJOIN(",",TRUE,B155:E155),SF_Output!$AC$1:$AC$400,0)))</f>
        <v>5000</v>
      </c>
      <c r="I155" s="125">
        <f>IFERROR(IF(AND(H155&gt;1,H155&lt;&gt;""),ROUND(SUMIFS(SF_Output!$S$1:$S$400,SF_Output!$AC$1:$AC$400,_xlfn.TEXTJOIN(",",TRUE,B155:E155),SF_Output!$Q$1:$Q$400,"monthly")*(1-W155)/H155,4),""),"")</f>
        <v>0.1605</v>
      </c>
      <c r="J155" s="6">
        <f>IF(B155="","",SUMIFS(SF_Output!$S$1:$S$400,SF_Output!$AC$1:$AC$400,_xlfn.TEXTJOIN(",",TRUE,B155:E155),SF_Output!$Q$1:$Q$400,"One Time",SF_Output!$L$1:$L$400,"license fee")+SUMIFS(SF_Output!$S$1:$S$400,SF_Output!$AC$1:$AC$400,_xlfn.TEXTJOIN(",",TRUE,B155:E155),SF_Output!$Q$1:$Q$400,"One Time",SF_Output!$L$1:$L$400,"software license")+SUMIFS(SF_Output!$S$1:$S$400,SF_Output!$AC$1:$AC$400,_xlfn.TEXTJOIN(",",TRUE,B155:E155),SF_Output!$Q$1:$Q$400,"One Time",SF_Output!$L$1:$L$400,"hardware"))</f>
        <v>0</v>
      </c>
      <c r="K155" s="112" t="str">
        <f>IF(OR(B155=0,B155="",G155="hardware",J155=0),"",IF(AF155&lt;&gt;"exclusion",MAX(K$9,-((SUMIFS(SF_Output!$T$1:$T$400,SF_Output!$AC$1:$AC$400,_xlfn.TEXTJOIN(",",TRUE,$B155:$E155),SF_Output!$Q$1:$Q$400,"One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license"))/J155)))</f>
        <v/>
      </c>
      <c r="L155" s="6">
        <f t="shared" si="37"/>
        <v>0</v>
      </c>
      <c r="N155" s="6">
        <f>IF(B155="","",SUMIFS(SF_Output!$S$1:$S$400,SF_Output!$AC$1:$AC$400,_xlfn.TEXTJOIN(",",TRUE,B155:E155),SF_Output!$Q$1:$Q$400,"One Time",SF_Output!$L$1:$L$400,"professional service"))</f>
        <v>10000</v>
      </c>
      <c r="O155" s="112">
        <f>IF(OR(B155=0,B155="",N155=0),"",IF(AF155&lt;&gt;"exclusion",MAX(O$9,-(SUMIFS(SF_Output!$T$1:$T$400,SF_Output!$AC$1:$AC$400,_xlfn.TEXTJOIN(",",TRUE,$B155:$E155),SF_Output!$Q$1:$Q$400,"One Time",SF_Output!$L$1:$L$400,"professional service"))/N155),-((SUMIFS(SF_Output!$T$1:$T$400,SF_Output!$AC$1:$AC$400,_xlfn.TEXTJOIN(",",TRUE,$B155:$E155),SF_Output!$Q$1:$Q$400,"One Time",SF_Output!$L$1:$L$400,"professional service")/N155))))</f>
        <v>1</v>
      </c>
      <c r="P155" s="6">
        <f t="shared" si="38"/>
        <v>0</v>
      </c>
      <c r="R155" s="6">
        <f>IF(B155="","",SUMIFS(SF_Output!$S$1:$S$400,SF_Output!$AC$1:$AC$400,_xlfn.TEXTJOIN(",",TRUE,B155:E155),SF_Output!$Q$1:$Q$400,"yearly")+SUMIFS(SF_Output!$S$1:$S$400,SF_Output!$AC$1:$AC$400,_xlfn.TEXTJOIN(",",TRUE,B155:E155),SF_Output!$Q$1:$Q$400,"quarterly")*4)</f>
        <v>0</v>
      </c>
      <c r="S155" s="112" t="str">
        <f>IF(OR(B155=0,B155="",G155="hardware",R155=0),"",IF(AF155&lt;&gt;"exclusion",MAX(S$9,-(SUMIFS(SF_Output!$T$1:$T$400,SF_Output!$AC$1:$AC$400,_xlfn.TEXTJOIN(",",TRUE,$B155:$E155),SF_Output!$Q$1:$Q$400,"yearly"))/R155),-((SUMIFS(SF_Output!$T$1:$T$400,SF_Output!$AC$1:$AC$400,_xlfn.TEXTJOIN(",",TRUE,$B155:$E155),SF_Output!$Q$1:$Q$400,"yearly")/R155))))</f>
        <v/>
      </c>
      <c r="T155" s="6">
        <f t="shared" si="39"/>
        <v>0</v>
      </c>
      <c r="V155" s="6" cm="1">
        <f t="array" ref="V155">_xlfn.IFS(B155="","",AND(B155&lt;&gt;"",H155=SF_Output!$Y$2,SUMIFS(SF_Output!$T$1:$T$400,SF_Output!$AC$1:$AC$400,_xlfn.TEXTJOIN(",",TRUE,B155:E155),SF_Output!$Q$1:$Q$400,"monthly")=0),(SUMIFS(SF_Output!$F$1:$F$400,SF_Output!$AC$1:$AC$400,_xlfn.TEXTJOIN(",",TRUE,B155:E155),SF_Output!$Q$1:$Q$400,"monthly")+SUMIFS(SF_Output!$G$1:$G$400,SF_Output!$AC$1:$AC$400,_xlfn.TEXTJOIN(",",TRUE,B155:E155),SF_Output!$Q$1:$Q$400,"monthly"))*H155,AND(B155&lt;&gt;"",H155=SF_Output!$Y$2,SUMIFS(SF_Output!$T$1:$T$400,SF_Output!$AC$1:$AC$400,_xlfn.TEXTJOIN(",",TRUE,B155:E155),SF_Output!$Q$1:$Q$400,"monthly")&lt;&gt;0),SUMIFS(SF_Output!$S$1:$S$400,SF_Output!$AC$1:$AC$400,_xlfn.TEXTJOIN(",",TRUE,B155:E155),SF_Output!$Q$1:$Q$400,"monthly"),AND(B155&lt;&gt;"",H155&lt;&gt;SF_Output!$Y$2),SUMIFS(SF_Output!$S$1:$S$400,SF_Output!$AC$1:$AC$400,_xlfn.TEXTJOIN(",",TRUE,B155:E155),SF_Output!$Q$1:$Q$400,"monthly"))</f>
        <v>1070</v>
      </c>
      <c r="W155" s="112" cm="1">
        <f t="array" ref="W155">_xlfn.IFS(OR(B155=0,B155="",V155=0),"",AF155&lt;&gt;"exclusion",MAX($W$9,$W$7,(-(SUMIFS(SF_Output!$T$1:$T$400,SF_Output!$AC$1:$AC$400,_xlfn.TEXTJOIN(",",TRUE,$B155:$E155),SF_Output!$Q$1:$Q$400,"monthly"))/V155)),AF155="exclusion",-(SUMIFS(SF_Output!$T$1:$T$400,SF_Output!$AC$1:$AC$400,_xlfn.TEXTJOIN(",",TRUE,$B155:$E155),SF_Output!$Q$1:$Q$400,"monthly"))/V155)</f>
        <v>0.25</v>
      </c>
      <c r="X155" s="6" cm="1">
        <f t="array" ref="X155">IFERROR(_xlfn.IFS(V155=0,0,V155="","",W155=0,V155,OR(V155&lt;&gt;0,V155&lt;&gt;""),H155*I155),V155*(1-W155))</f>
        <v>802.5</v>
      </c>
      <c r="Z155" s="6">
        <f>IFERROR(IF(B155="","",SUMIFS(Billing_Fallout!H:H,Billing_Fallout!N:N,B155)),0)</f>
        <v>0</v>
      </c>
      <c r="AA155" s="6">
        <f t="shared" si="40"/>
        <v>0</v>
      </c>
      <c r="AB155" s="6">
        <f>IFERROR(IF(B155="","",SUMIFS(Billing_Fallout!J:J,Billing_Fallout!N:N,B155)),0)</f>
        <v>0</v>
      </c>
      <c r="AD155" s="6">
        <f t="shared" si="41"/>
        <v>802.5</v>
      </c>
      <c r="AF155" t="str">
        <f>IFERROR(INDEX(H_Tables!$B$1:$B$1500,MATCH(INDEX(SF_Output!$J$1:$J$400,MATCH(B155,SF_Output!$M$1:$M$400,0)),H_Tables!$A$1:$A$1500,0)),"")</f>
        <v/>
      </c>
      <c r="AI155" s="119" t="str">
        <f t="shared" si="42"/>
        <v/>
      </c>
      <c r="AJ155" s="121">
        <f>IFERROR(INDEX(SF_Output!AD:AD,MATCH(_xlfn.TEXTJOIN(",",TRUE,B155:E155),SF_Output!AC1:AC400,0)),0.05)</f>
        <v>135</v>
      </c>
      <c r="AK155" t="str">
        <f>IF(SUMIFS(SF_Output!$F$1:$F$400,SF_Output!$AC$1:$AC$400,_xlfn.TEXTJOIN(",",TRUE,B155:E155))+SUMIFS(SF_Output!$G$1:$G$400,SF_Output!$AC$1:$AC$400,_xlfn.TEXTJOIN(",",TRUE,B155:E155))=0,"","PAP")</f>
        <v>PAP</v>
      </c>
      <c r="AL155" s="35" t="str">
        <f t="shared" si="43"/>
        <v>jhaEnterprise Workflow Synergy,New,On Premise Software Usage,0</v>
      </c>
      <c r="AQ155" s="35"/>
      <c r="AR155" s="35" t="str" cm="1">
        <f t="array" ref="AR155">IFERROR(_xlfn.IFS(AND(E155*1=1,F155="Included"),"Change to Included",AND(E155*1=0,F155="Optional"),"Change to Optional",OR(B155="",F155="replaced"),""),"")</f>
        <v/>
      </c>
      <c r="AS155" s="35" t="str">
        <f t="shared" si="44"/>
        <v/>
      </c>
      <c r="AT155" s="35" t="str">
        <f t="shared" si="45"/>
        <v/>
      </c>
      <c r="AU155" s="35" t="str">
        <f t="shared" si="46"/>
        <v/>
      </c>
      <c r="AV155" s="35" t="str">
        <f t="shared" si="47"/>
        <v/>
      </c>
      <c r="AW155" s="35" t="str">
        <f t="shared" si="48"/>
        <v/>
      </c>
      <c r="AX155" s="35" t="str">
        <f t="shared" si="49"/>
        <v/>
      </c>
      <c r="AY155" s="35" t="str">
        <f t="shared" si="50"/>
        <v/>
      </c>
      <c r="AZ155" s="35" t="str">
        <f t="shared" si="51"/>
        <v/>
      </c>
      <c r="BA155" s="35" t="str">
        <f t="shared" si="52"/>
        <v/>
      </c>
      <c r="BB155" s="35" t="str">
        <f t="shared" si="53"/>
        <v/>
      </c>
      <c r="BC155" s="35"/>
      <c r="BE155" s="35">
        <f ca="1">INDEX(SF_Output!$AA$2:$AA$400,MATCH($B155,SF_Output!$M$2:$M$400,0))</f>
        <v>7</v>
      </c>
      <c r="BF155" s="35">
        <f ca="1">INDEX(SF_Output!$AB$2:$AB$400,MATCH($B155,SF_Output!$M$2:$M$400,0))</f>
        <v>2</v>
      </c>
    </row>
    <row r="156" spans="2:58" x14ac:dyDescent="0.25">
      <c r="B156" t="s">
        <v>1073</v>
      </c>
      <c r="C156" t="s">
        <v>2122</v>
      </c>
      <c r="D156" t="s">
        <v>2306</v>
      </c>
      <c r="E156" t="s">
        <v>2124</v>
      </c>
      <c r="F156" s="116" t="str">
        <f t="shared" si="36"/>
        <v>Included</v>
      </c>
      <c r="G156" t="str">
        <f>IF(B156="","",INDEX(SF_Output!$K$1:$K$400,MATCH(B156,SF_Output!$M$1:$M$400,0)))</f>
        <v>jhaEnterprise Workflow</v>
      </c>
      <c r="H156" cm="1">
        <f t="array" ref="H156">_xlfn.IFS(B156="","",(SUMIFS(SF_Output!$F$1:$F$400,SF_Output!$AC$1:$AC$400,_xlfn.TEXTJOIN(",",TRUE,B156:E156))+SUMIFS(SF_Output!$G$1:$G$400,SF_Output!$AC$1:$AC$400,_xlfn.TEXTJOIN(",",TRUE,B156:E156)))&lt;&gt;0,SF_Output!$Y$2,INDEX(SF_Output!$F$1:$F$400,MATCH(_xlfn.TEXTJOIN(",",TRUE,B156:E156),SF_Output!$AC$1:$AC$400,0))=0,INDEX(SF_Output!$R$1:$R$400,MATCH(_xlfn.TEXTJOIN(",",TRUE,B156:E156),SF_Output!$AC$1:$AC$400,0)))</f>
        <v>1</v>
      </c>
      <c r="I156" s="125" t="str">
        <f>IFERROR(IF(AND(H156&gt;1,H156&lt;&gt;""),ROUND(SUMIFS(SF_Output!$S$1:$S$400,SF_Output!$AC$1:$AC$400,_xlfn.TEXTJOIN(",",TRUE,B156:E156),SF_Output!$Q$1:$Q$400,"monthly")*(1-W156)/H156,4),""),"")</f>
        <v/>
      </c>
      <c r="J156" s="6">
        <f>IF(B156="","",SUMIFS(SF_Output!$S$1:$S$400,SF_Output!$AC$1:$AC$400,_xlfn.TEXTJOIN(",",TRUE,B156:E156),SF_Output!$Q$1:$Q$400,"One Time",SF_Output!$L$1:$L$400,"license fee")+SUMIFS(SF_Output!$S$1:$S$400,SF_Output!$AC$1:$AC$400,_xlfn.TEXTJOIN(",",TRUE,B156:E156),SF_Output!$Q$1:$Q$400,"One Time",SF_Output!$L$1:$L$400,"software license")+SUMIFS(SF_Output!$S$1:$S$400,SF_Output!$AC$1:$AC$400,_xlfn.TEXTJOIN(",",TRUE,B156:E156),SF_Output!$Q$1:$Q$400,"One Time",SF_Output!$L$1:$L$400,"hardware"))</f>
        <v>0</v>
      </c>
      <c r="K156" s="112" t="str">
        <f>IF(OR(B156=0,B156="",G156="hardware",J156=0),"",IF(AF156&lt;&gt;"exclusion",MAX(K$9,-((SUMIFS(SF_Output!$T$1:$T$400,SF_Output!$AC$1:$AC$400,_xlfn.TEXTJOIN(",",TRUE,$B156:$E156),SF_Output!$Q$1:$Q$400,"One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license"))/J156)))</f>
        <v/>
      </c>
      <c r="L156" s="6">
        <f t="shared" si="37"/>
        <v>0</v>
      </c>
      <c r="N156" s="6">
        <f>IF(B156="","",SUMIFS(SF_Output!$S$1:$S$400,SF_Output!$AC$1:$AC$400,_xlfn.TEXTJOIN(",",TRUE,B156:E156),SF_Output!$Q$1:$Q$400,"One Time",SF_Output!$L$1:$L$400,"professional service"))</f>
        <v>12500</v>
      </c>
      <c r="O156" s="112">
        <f>IF(OR(B156=0,B156="",N156=0),"",IF(AF156&lt;&gt;"exclusion",MAX(O$9,-(SUMIFS(SF_Output!$T$1:$T$400,SF_Output!$AC$1:$AC$400,_xlfn.TEXTJOIN(",",TRUE,$B156:$E156),SF_Output!$Q$1:$Q$400,"One Time",SF_Output!$L$1:$L$400,"professional service"))/N156),-((SUMIFS(SF_Output!$T$1:$T$400,SF_Output!$AC$1:$AC$400,_xlfn.TEXTJOIN(",",TRUE,$B156:$E156),SF_Output!$Q$1:$Q$400,"One Time",SF_Output!$L$1:$L$400,"professional service")/N156))))</f>
        <v>0</v>
      </c>
      <c r="P156" s="6">
        <f t="shared" si="38"/>
        <v>12500</v>
      </c>
      <c r="R156" s="6">
        <f>IF(B156="","",SUMIFS(SF_Output!$S$1:$S$400,SF_Output!$AC$1:$AC$400,_xlfn.TEXTJOIN(",",TRUE,B156:E156),SF_Output!$Q$1:$Q$400,"yearly")+SUMIFS(SF_Output!$S$1:$S$400,SF_Output!$AC$1:$AC$400,_xlfn.TEXTJOIN(",",TRUE,B156:E156),SF_Output!$Q$1:$Q$400,"quarterly")*4)</f>
        <v>0</v>
      </c>
      <c r="S156" s="112" t="str">
        <f>IF(OR(B156=0,B156="",G156="hardware",R156=0),"",IF(AF156&lt;&gt;"exclusion",MAX(S$9,-(SUMIFS(SF_Output!$T$1:$T$400,SF_Output!$AC$1:$AC$400,_xlfn.TEXTJOIN(",",TRUE,$B156:$E156),SF_Output!$Q$1:$Q$400,"yearly"))/R156),-((SUMIFS(SF_Output!$T$1:$T$400,SF_Output!$AC$1:$AC$400,_xlfn.TEXTJOIN(",",TRUE,$B156:$E156),SF_Output!$Q$1:$Q$400,"yearly")/R156))))</f>
        <v/>
      </c>
      <c r="T156" s="6">
        <f t="shared" si="39"/>
        <v>0</v>
      </c>
      <c r="V156" s="6" cm="1">
        <f t="array" ref="V156">_xlfn.IFS(B156="","",AND(B156&lt;&gt;"",H156=SF_Output!$Y$2,SUMIFS(SF_Output!$T$1:$T$400,SF_Output!$AC$1:$AC$400,_xlfn.TEXTJOIN(",",TRUE,B156:E156),SF_Output!$Q$1:$Q$400,"monthly")=0),(SUMIFS(SF_Output!$F$1:$F$400,SF_Output!$AC$1:$AC$400,_xlfn.TEXTJOIN(",",TRUE,B156:E156),SF_Output!$Q$1:$Q$400,"monthly")+SUMIFS(SF_Output!$G$1:$G$400,SF_Output!$AC$1:$AC$400,_xlfn.TEXTJOIN(",",TRUE,B156:E156),SF_Output!$Q$1:$Q$400,"monthly"))*H156,AND(B156&lt;&gt;"",H156=SF_Output!$Y$2,SUMIFS(SF_Output!$T$1:$T$400,SF_Output!$AC$1:$AC$400,_xlfn.TEXTJOIN(",",TRUE,B156:E156),SF_Output!$Q$1:$Q$400,"monthly")&lt;&gt;0),SUMIFS(SF_Output!$S$1:$S$400,SF_Output!$AC$1:$AC$400,_xlfn.TEXTJOIN(",",TRUE,B156:E156),SF_Output!$Q$1:$Q$400,"monthly"),AND(B156&lt;&gt;"",H156&lt;&gt;SF_Output!$Y$2),SUMIFS(SF_Output!$S$1:$S$400,SF_Output!$AC$1:$AC$400,_xlfn.TEXTJOIN(",",TRUE,B156:E156),SF_Output!$Q$1:$Q$400,"monthly"))</f>
        <v>0</v>
      </c>
      <c r="W156" s="112" t="str" cm="1">
        <f t="array" ref="W156">_xlfn.IFS(OR(B156=0,B156="",V156=0),"",AF156&lt;&gt;"exclusion",MAX($W$9,$W$7,(-(SUMIFS(SF_Output!$T$1:$T$400,SF_Output!$AC$1:$AC$400,_xlfn.TEXTJOIN(",",TRUE,$B156:$E156),SF_Output!$Q$1:$Q$400,"monthly"))/V156)),AF156="exclusion",-(SUMIFS(SF_Output!$T$1:$T$400,SF_Output!$AC$1:$AC$400,_xlfn.TEXTJOIN(",",TRUE,$B156:$E156),SF_Output!$Q$1:$Q$400,"monthly"))/V156)</f>
        <v/>
      </c>
      <c r="X156" s="6" cm="1">
        <f t="array" ref="X156">IFERROR(_xlfn.IFS(V156=0,0,V156="","",W156=0,V156,OR(V156&lt;&gt;0,V156&lt;&gt;""),H156*I156),V156*(1-W156))</f>
        <v>0</v>
      </c>
      <c r="Z156" s="6">
        <f>IFERROR(IF(B156="","",SUMIFS(Billing_Fallout!H:H,Billing_Fallout!N:N,B156)),0)</f>
        <v>0</v>
      </c>
      <c r="AA156" s="6">
        <f t="shared" si="40"/>
        <v>0</v>
      </c>
      <c r="AB156" s="6">
        <f>IFERROR(IF(B156="","",SUMIFS(Billing_Fallout!J:J,Billing_Fallout!N:N,B156)),0)</f>
        <v>0</v>
      </c>
      <c r="AD156" s="6">
        <f t="shared" si="41"/>
        <v>0</v>
      </c>
      <c r="AF156" t="str">
        <f>IFERROR(INDEX(H_Tables!$B$1:$B$1500,MATCH(INDEX(SF_Output!$J$1:$J$400,MATCH(B156,SF_Output!$M$1:$M$400,0)),H_Tables!$A$1:$A$1500,0)),"")</f>
        <v>Exclusion</v>
      </c>
      <c r="AI156" s="119" t="str">
        <f t="shared" si="42"/>
        <v/>
      </c>
      <c r="AJ156" s="121">
        <f>IFERROR(INDEX(SF_Output!AD:AD,MATCH(_xlfn.TEXTJOIN(",",TRUE,B156:E156),SF_Output!AC1:AC400,0)),0.05)</f>
        <v>137</v>
      </c>
      <c r="AK156" t="str">
        <f>IF(SUMIFS(SF_Output!$F$1:$F$400,SF_Output!$AC$1:$AC$400,_xlfn.TEXTJOIN(",",TRUE,B156:E156))+SUMIFS(SF_Output!$G$1:$G$400,SF_Output!$AC$1:$AC$400,_xlfn.TEXTJOIN(",",TRUE,B156:E156))=0,"","PAP")</f>
        <v/>
      </c>
      <c r="AL156" s="35" t="str">
        <f t="shared" si="43"/>
        <v>jhaEnterprise Workflow Consulting,New,On Premise Software Usage,0</v>
      </c>
      <c r="AQ156" s="35"/>
      <c r="AR156" s="35" t="str" cm="1">
        <f t="array" ref="AR156">IFERROR(_xlfn.IFS(AND(E156*1=1,F156="Included"),"Change to Included",AND(E156*1=0,F156="Optional"),"Change to Optional",OR(B156="",F156="replaced"),""),"")</f>
        <v/>
      </c>
      <c r="AS156" s="35" t="str">
        <f t="shared" si="44"/>
        <v/>
      </c>
      <c r="AT156" s="35" t="str">
        <f t="shared" si="45"/>
        <v/>
      </c>
      <c r="AU156" s="35" t="str">
        <f t="shared" si="46"/>
        <v/>
      </c>
      <c r="AV156" s="35" t="str">
        <f t="shared" si="47"/>
        <v/>
      </c>
      <c r="AW156" s="35" t="str">
        <f t="shared" si="48"/>
        <v/>
      </c>
      <c r="AX156" s="35" t="str">
        <f t="shared" si="49"/>
        <v/>
      </c>
      <c r="AY156" s="35" t="str">
        <f t="shared" si="50"/>
        <v/>
      </c>
      <c r="AZ156" s="35" t="str">
        <f t="shared" si="51"/>
        <v/>
      </c>
      <c r="BA156" s="35" t="str">
        <f t="shared" si="52"/>
        <v/>
      </c>
      <c r="BB156" s="35" t="str">
        <f t="shared" si="53"/>
        <v/>
      </c>
      <c r="BC156" s="35"/>
      <c r="BE156" s="35">
        <f ca="1">INDEX(SF_Output!$AA$2:$AA$400,MATCH($B156,SF_Output!$M$2:$M$400,0))</f>
        <v>7</v>
      </c>
      <c r="BF156" s="35">
        <f ca="1">INDEX(SF_Output!$AB$2:$AB$400,MATCH($B156,SF_Output!$M$2:$M$400,0))</f>
        <v>2</v>
      </c>
    </row>
    <row r="157" spans="2:58" x14ac:dyDescent="0.25">
      <c r="B157" t="s">
        <v>2312</v>
      </c>
      <c r="C157" t="s">
        <v>2122</v>
      </c>
      <c r="D157" t="s">
        <v>2306</v>
      </c>
      <c r="E157" t="s">
        <v>2124</v>
      </c>
      <c r="F157" s="116" t="str">
        <f t="shared" si="36"/>
        <v>Included</v>
      </c>
      <c r="G157" t="str">
        <f>IF(B157="","",INDEX(SF_Output!$K$1:$K$400,MATCH(B157,SF_Output!$M$1:$M$400,0)))</f>
        <v>jhaEnterprise Workflow</v>
      </c>
      <c r="H157" cm="1">
        <f t="array" ref="H157">_xlfn.IFS(B157="","",(SUMIFS(SF_Output!$F$1:$F$400,SF_Output!$AC$1:$AC$400,_xlfn.TEXTJOIN(",",TRUE,B157:E157))+SUMIFS(SF_Output!$G$1:$G$400,SF_Output!$AC$1:$AC$400,_xlfn.TEXTJOIN(",",TRUE,B157:E157)))&lt;&gt;0,SF_Output!$Y$2,INDEX(SF_Output!$F$1:$F$400,MATCH(_xlfn.TEXTJOIN(",",TRUE,B157:E157),SF_Output!$AC$1:$AC$400,0))=0,INDEX(SF_Output!$R$1:$R$400,MATCH(_xlfn.TEXTJOIN(",",TRUE,B157:E157),SF_Output!$AC$1:$AC$400,0)))</f>
        <v>2</v>
      </c>
      <c r="I157" s="125" t="str">
        <f>IFERROR(IF(AND(H157&gt;1,H157&lt;&gt;""),ROUND(SUMIFS(SF_Output!$S$1:$S$400,SF_Output!$AC$1:$AC$400,_xlfn.TEXTJOIN(",",TRUE,B157:E157),SF_Output!$Q$1:$Q$400,"monthly")*(1-W157)/H157,4),""),"")</f>
        <v/>
      </c>
      <c r="J157" s="6">
        <f>IF(B157="","",SUMIFS(SF_Output!$S$1:$S$400,SF_Output!$AC$1:$AC$400,_xlfn.TEXTJOIN(",",TRUE,B157:E157),SF_Output!$Q$1:$Q$400,"One Time",SF_Output!$L$1:$L$400,"license fee")+SUMIFS(SF_Output!$S$1:$S$400,SF_Output!$AC$1:$AC$400,_xlfn.TEXTJOIN(",",TRUE,B157:E157),SF_Output!$Q$1:$Q$400,"One Time",SF_Output!$L$1:$L$400,"software license")+SUMIFS(SF_Output!$S$1:$S$400,SF_Output!$AC$1:$AC$400,_xlfn.TEXTJOIN(",",TRUE,B157:E157),SF_Output!$Q$1:$Q$400,"One Time",SF_Output!$L$1:$L$400,"hardware"))</f>
        <v>0</v>
      </c>
      <c r="K157" s="112" t="str">
        <f>IF(OR(B157=0,B157="",G157="hardware",J157=0),"",IF(AF157&lt;&gt;"exclusion",MAX(K$9,-((SUMIFS(SF_Output!$T$1:$T$400,SF_Output!$AC$1:$AC$400,_xlfn.TEXTJOIN(",",TRUE,$B157:$E157),SF_Output!$Q$1:$Q$400,"One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license"))/J157)))</f>
        <v/>
      </c>
      <c r="L157" s="6">
        <f t="shared" si="37"/>
        <v>0</v>
      </c>
      <c r="N157" s="6">
        <f>IF(B157="","",SUMIFS(SF_Output!$S$1:$S$400,SF_Output!$AC$1:$AC$400,_xlfn.TEXTJOIN(",",TRUE,B157:E157),SF_Output!$Q$1:$Q$400,"One Time",SF_Output!$L$1:$L$400,"professional service"))</f>
        <v>3600</v>
      </c>
      <c r="O157" s="112">
        <f>IF(OR(B157=0,B157="",N157=0),"",IF(AF157&lt;&gt;"exclusion",MAX(O$9,-(SUMIFS(SF_Output!$T$1:$T$400,SF_Output!$AC$1:$AC$400,_xlfn.TEXTJOIN(",",TRUE,$B157:$E157),SF_Output!$Q$1:$Q$400,"One Time",SF_Output!$L$1:$L$400,"professional service"))/N157),-((SUMIFS(SF_Output!$T$1:$T$400,SF_Output!$AC$1:$AC$400,_xlfn.TEXTJOIN(",",TRUE,$B157:$E157),SF_Output!$Q$1:$Q$400,"One Time",SF_Output!$L$1:$L$400,"professional service")/N157))))</f>
        <v>0</v>
      </c>
      <c r="P157" s="6">
        <f t="shared" si="38"/>
        <v>3600</v>
      </c>
      <c r="R157" s="6">
        <f>IF(B157="","",SUMIFS(SF_Output!$S$1:$S$400,SF_Output!$AC$1:$AC$400,_xlfn.TEXTJOIN(",",TRUE,B157:E157),SF_Output!$Q$1:$Q$400,"yearly")+SUMIFS(SF_Output!$S$1:$S$400,SF_Output!$AC$1:$AC$400,_xlfn.TEXTJOIN(",",TRUE,B157:E157),SF_Output!$Q$1:$Q$400,"quarterly")*4)</f>
        <v>0</v>
      </c>
      <c r="S157" s="112" t="str">
        <f>IF(OR(B157=0,B157="",G157="hardware",R157=0),"",IF(AF157&lt;&gt;"exclusion",MAX(S$9,-(SUMIFS(SF_Output!$T$1:$T$400,SF_Output!$AC$1:$AC$400,_xlfn.TEXTJOIN(",",TRUE,$B157:$E157),SF_Output!$Q$1:$Q$400,"yearly"))/R157),-((SUMIFS(SF_Output!$T$1:$T$400,SF_Output!$AC$1:$AC$400,_xlfn.TEXTJOIN(",",TRUE,$B157:$E157),SF_Output!$Q$1:$Q$400,"yearly")/R157))))</f>
        <v/>
      </c>
      <c r="T157" s="6">
        <f t="shared" si="39"/>
        <v>0</v>
      </c>
      <c r="V157" s="6" cm="1">
        <f t="array" ref="V157">_xlfn.IFS(B157="","",AND(B157&lt;&gt;"",H157=SF_Output!$Y$2,SUMIFS(SF_Output!$T$1:$T$400,SF_Output!$AC$1:$AC$400,_xlfn.TEXTJOIN(",",TRUE,B157:E157),SF_Output!$Q$1:$Q$400,"monthly")=0),(SUMIFS(SF_Output!$F$1:$F$400,SF_Output!$AC$1:$AC$400,_xlfn.TEXTJOIN(",",TRUE,B157:E157),SF_Output!$Q$1:$Q$400,"monthly")+SUMIFS(SF_Output!$G$1:$G$400,SF_Output!$AC$1:$AC$400,_xlfn.TEXTJOIN(",",TRUE,B157:E157),SF_Output!$Q$1:$Q$400,"monthly"))*H157,AND(B157&lt;&gt;"",H157=SF_Output!$Y$2,SUMIFS(SF_Output!$T$1:$T$400,SF_Output!$AC$1:$AC$400,_xlfn.TEXTJOIN(",",TRUE,B157:E157),SF_Output!$Q$1:$Q$400,"monthly")&lt;&gt;0),SUMIFS(SF_Output!$S$1:$S$400,SF_Output!$AC$1:$AC$400,_xlfn.TEXTJOIN(",",TRUE,B157:E157),SF_Output!$Q$1:$Q$400,"monthly"),AND(B157&lt;&gt;"",H157&lt;&gt;SF_Output!$Y$2),SUMIFS(SF_Output!$S$1:$S$400,SF_Output!$AC$1:$AC$400,_xlfn.TEXTJOIN(",",TRUE,B157:E157),SF_Output!$Q$1:$Q$400,"monthly"))</f>
        <v>0</v>
      </c>
      <c r="W157" s="112" t="str" cm="1">
        <f t="array" ref="W157">_xlfn.IFS(OR(B157=0,B157="",V157=0),"",AF157&lt;&gt;"exclusion",MAX($W$9,$W$7,(-(SUMIFS(SF_Output!$T$1:$T$400,SF_Output!$AC$1:$AC$400,_xlfn.TEXTJOIN(",",TRUE,$B157:$E157),SF_Output!$Q$1:$Q$400,"monthly"))/V157)),AF157="exclusion",-(SUMIFS(SF_Output!$T$1:$T$400,SF_Output!$AC$1:$AC$400,_xlfn.TEXTJOIN(",",TRUE,$B157:$E157),SF_Output!$Q$1:$Q$400,"monthly"))/V157)</f>
        <v/>
      </c>
      <c r="X157" s="6" cm="1">
        <f t="array" ref="X157">IFERROR(_xlfn.IFS(V157=0,0,V157="","",W157=0,V157,OR(V157&lt;&gt;0,V157&lt;&gt;""),H157*I157),V157*(1-W157))</f>
        <v>0</v>
      </c>
      <c r="Z157" s="6">
        <f>IFERROR(IF(B157="","",SUMIFS(Billing_Fallout!H:H,Billing_Fallout!N:N,B157)),0)</f>
        <v>0</v>
      </c>
      <c r="AA157" s="6">
        <f t="shared" si="40"/>
        <v>0</v>
      </c>
      <c r="AB157" s="6">
        <f>IFERROR(IF(B157="","",SUMIFS(Billing_Fallout!J:J,Billing_Fallout!N:N,B157)),0)</f>
        <v>0</v>
      </c>
      <c r="AD157" s="6">
        <f t="shared" si="41"/>
        <v>0</v>
      </c>
      <c r="AF157" t="str">
        <f>IFERROR(INDEX(H_Tables!$B$1:$B$1500,MATCH(INDEX(SF_Output!$J$1:$J$400,MATCH(B157,SF_Output!$M$1:$M$400,0)),H_Tables!$A$1:$A$1500,0)),"")</f>
        <v>Exclusion</v>
      </c>
      <c r="AI157" s="119" t="str">
        <f t="shared" si="42"/>
        <v/>
      </c>
      <c r="AJ157" s="121">
        <f>IFERROR(INDEX(SF_Output!AD:AD,MATCH(_xlfn.TEXTJOIN(",",TRUE,B157:E157),SF_Output!AC1:AC400,0)),0.05)</f>
        <v>138</v>
      </c>
      <c r="AK157" t="str">
        <f>IF(SUMIFS(SF_Output!$F$1:$F$400,SF_Output!$AC$1:$AC$400,_xlfn.TEXTJOIN(",",TRUE,B157:E157))+SUMIFS(SF_Output!$G$1:$G$400,SF_Output!$AC$1:$AC$400,_xlfn.TEXTJOIN(",",TRUE,B157:E157))=0,"","PAP")</f>
        <v/>
      </c>
      <c r="AL157" s="35" t="str">
        <f t="shared" si="43"/>
        <v>jhaEnterprise Workflow Training Shared,New,On Premise Software Usage,0</v>
      </c>
      <c r="AQ157" s="35"/>
      <c r="AR157" s="35" t="str" cm="1">
        <f t="array" ref="AR157">IFERROR(_xlfn.IFS(AND(E157*1=1,F157="Included"),"Change to Included",AND(E157*1=0,F157="Optional"),"Change to Optional",OR(B157="",F157="replaced"),""),"")</f>
        <v/>
      </c>
      <c r="AS157" s="35" t="str">
        <f t="shared" si="44"/>
        <v/>
      </c>
      <c r="AT157" s="35" t="str">
        <f t="shared" si="45"/>
        <v/>
      </c>
      <c r="AU157" s="35" t="str">
        <f t="shared" si="46"/>
        <v/>
      </c>
      <c r="AV157" s="35" t="str">
        <f t="shared" si="47"/>
        <v/>
      </c>
      <c r="AW157" s="35" t="str">
        <f t="shared" si="48"/>
        <v/>
      </c>
      <c r="AX157" s="35" t="str">
        <f t="shared" si="49"/>
        <v/>
      </c>
      <c r="AY157" s="35" t="str">
        <f t="shared" si="50"/>
        <v/>
      </c>
      <c r="AZ157" s="35" t="str">
        <f t="shared" si="51"/>
        <v/>
      </c>
      <c r="BA157" s="35" t="str">
        <f t="shared" si="52"/>
        <v/>
      </c>
      <c r="BB157" s="35" t="str">
        <f t="shared" si="53"/>
        <v/>
      </c>
      <c r="BC157" s="35"/>
      <c r="BE157" s="35">
        <f ca="1">INDEX(SF_Output!$AA$2:$AA$400,MATCH($B157,SF_Output!$M$2:$M$400,0))</f>
        <v>7</v>
      </c>
      <c r="BF157" s="35">
        <f ca="1">INDEX(SF_Output!$AB$2:$AB$400,MATCH($B157,SF_Output!$M$2:$M$400,0))</f>
        <v>2</v>
      </c>
    </row>
    <row r="158" spans="2:58" x14ac:dyDescent="0.25">
      <c r="B158" t="s">
        <v>626</v>
      </c>
      <c r="C158" t="s">
        <v>2122</v>
      </c>
      <c r="D158" t="s">
        <v>2123</v>
      </c>
      <c r="E158" t="s">
        <v>2124</v>
      </c>
      <c r="F158" s="116" t="str">
        <f t="shared" si="36"/>
        <v>Included</v>
      </c>
      <c r="G158" t="str">
        <f>IF(B158="","",INDEX(SF_Output!$K$1:$K$400,MATCH(B158,SF_Output!$M$1:$M$400,0)))</f>
        <v>jConnect</v>
      </c>
      <c r="H158" cm="1">
        <f t="array" ref="H158">_xlfn.IFS(B158="","",(SUMIFS(SF_Output!$F$1:$F$400,SF_Output!$AC$1:$AC$400,_xlfn.TEXTJOIN(",",TRUE,B158:E158))+SUMIFS(SF_Output!$G$1:$G$400,SF_Output!$AC$1:$AC$400,_xlfn.TEXTJOIN(",",TRUE,B158:E158)))&lt;&gt;0,SF_Output!$Y$2,INDEX(SF_Output!$F$1:$F$400,MATCH(_xlfn.TEXTJOIN(",",TRUE,B158:E158),SF_Output!$AC$1:$AC$400,0))=0,INDEX(SF_Output!$R$1:$R$400,MATCH(_xlfn.TEXTJOIN(",",TRUE,B158:E158),SF_Output!$AC$1:$AC$400,0)))</f>
        <v>1</v>
      </c>
      <c r="I158" s="125" t="str">
        <f>IFERROR(IF(AND(H158&gt;1,H158&lt;&gt;""),ROUND(SUMIFS(SF_Output!$S$1:$S$400,SF_Output!$AC$1:$AC$400,_xlfn.TEXTJOIN(",",TRUE,B158:E158),SF_Output!$Q$1:$Q$400,"monthly")*(1-W158)/H158,4),""),"")</f>
        <v/>
      </c>
      <c r="J158" s="6">
        <f>IF(B158="","",SUMIFS(SF_Output!$S$1:$S$400,SF_Output!$AC$1:$AC$400,_xlfn.TEXTJOIN(",",TRUE,B158:E158),SF_Output!$Q$1:$Q$400,"One Time",SF_Output!$L$1:$L$400,"license fee")+SUMIFS(SF_Output!$S$1:$S$400,SF_Output!$AC$1:$AC$400,_xlfn.TEXTJOIN(",",TRUE,B158:E158),SF_Output!$Q$1:$Q$400,"One Time",SF_Output!$L$1:$L$400,"software license")+SUMIFS(SF_Output!$S$1:$S$400,SF_Output!$AC$1:$AC$400,_xlfn.TEXTJOIN(",",TRUE,B158:E158),SF_Output!$Q$1:$Q$400,"One Time",SF_Output!$L$1:$L$400,"hardware"))</f>
        <v>0</v>
      </c>
      <c r="K158" s="112" t="str">
        <f>IF(OR(B158=0,B158="",G158="hardware",J158=0),"",IF(AF158&lt;&gt;"exclusion",MAX(K$9,-((SUMIFS(SF_Output!$T$1:$T$400,SF_Output!$AC$1:$AC$400,_xlfn.TEXTJOIN(",",TRUE,$B158:$E158),SF_Output!$Q$1:$Q$400,"One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license"))/J158)))</f>
        <v/>
      </c>
      <c r="L158" s="6">
        <f t="shared" si="37"/>
        <v>0</v>
      </c>
      <c r="N158" s="6">
        <f>IF(B158="","",SUMIFS(SF_Output!$S$1:$S$400,SF_Output!$AC$1:$AC$400,_xlfn.TEXTJOIN(",",TRUE,B158:E158),SF_Output!$Q$1:$Q$400,"One Time",SF_Output!$L$1:$L$400,"professional service"))</f>
        <v>0</v>
      </c>
      <c r="O158" s="112" t="str">
        <f>IF(OR(B158=0,B158="",N158=0),"",IF(AF158&lt;&gt;"exclusion",MAX(O$9,-(SUMIFS(SF_Output!$T$1:$T$400,SF_Output!$AC$1:$AC$400,_xlfn.TEXTJOIN(",",TRUE,$B158:$E158),SF_Output!$Q$1:$Q$400,"One Time",SF_Output!$L$1:$L$400,"professional service"))/N158),-((SUMIFS(SF_Output!$T$1:$T$400,SF_Output!$AC$1:$AC$400,_xlfn.TEXTJOIN(",",TRUE,$B158:$E158),SF_Output!$Q$1:$Q$400,"One Time",SF_Output!$L$1:$L$400,"professional service")/N158))))</f>
        <v/>
      </c>
      <c r="P158" s="6">
        <f t="shared" si="38"/>
        <v>0</v>
      </c>
      <c r="R158" s="6">
        <f>IF(B158="","",SUMIFS(SF_Output!$S$1:$S$400,SF_Output!$AC$1:$AC$400,_xlfn.TEXTJOIN(",",TRUE,B158:E158),SF_Output!$Q$1:$Q$400,"yearly")+SUMIFS(SF_Output!$S$1:$S$400,SF_Output!$AC$1:$AC$400,_xlfn.TEXTJOIN(",",TRUE,B158:E158),SF_Output!$Q$1:$Q$400,"quarterly")*4)</f>
        <v>0</v>
      </c>
      <c r="S158" s="112" t="str">
        <f>IF(OR(B158=0,B158="",G158="hardware",R158=0),"",IF(AF158&lt;&gt;"exclusion",MAX(S$9,-(SUMIFS(SF_Output!$T$1:$T$400,SF_Output!$AC$1:$AC$400,_xlfn.TEXTJOIN(",",TRUE,$B158:$E158),SF_Output!$Q$1:$Q$400,"yearly"))/R158),-((SUMIFS(SF_Output!$T$1:$T$400,SF_Output!$AC$1:$AC$400,_xlfn.TEXTJOIN(",",TRUE,$B158:$E158),SF_Output!$Q$1:$Q$400,"yearly")/R158))))</f>
        <v/>
      </c>
      <c r="T158" s="6">
        <f t="shared" si="39"/>
        <v>0</v>
      </c>
      <c r="V158" s="6" cm="1">
        <f t="array" ref="V158">_xlfn.IFS(B158="","",AND(B158&lt;&gt;"",H158=SF_Output!$Y$2,SUMIFS(SF_Output!$T$1:$T$400,SF_Output!$AC$1:$AC$400,_xlfn.TEXTJOIN(",",TRUE,B158:E158),SF_Output!$Q$1:$Q$400,"monthly")=0),(SUMIFS(SF_Output!$F$1:$F$400,SF_Output!$AC$1:$AC$400,_xlfn.TEXTJOIN(",",TRUE,B158:E158),SF_Output!$Q$1:$Q$400,"monthly")+SUMIFS(SF_Output!$G$1:$G$400,SF_Output!$AC$1:$AC$400,_xlfn.TEXTJOIN(",",TRUE,B158:E158),SF_Output!$Q$1:$Q$400,"monthly"))*H158,AND(B158&lt;&gt;"",H158=SF_Output!$Y$2,SUMIFS(SF_Output!$T$1:$T$400,SF_Output!$AC$1:$AC$400,_xlfn.TEXTJOIN(",",TRUE,B158:E158),SF_Output!$Q$1:$Q$400,"monthly")&lt;&gt;0),SUMIFS(SF_Output!$S$1:$S$400,SF_Output!$AC$1:$AC$400,_xlfn.TEXTJOIN(",",TRUE,B158:E158),SF_Output!$Q$1:$Q$400,"monthly"),AND(B158&lt;&gt;"",H158&lt;&gt;SF_Output!$Y$2),SUMIFS(SF_Output!$S$1:$S$400,SF_Output!$AC$1:$AC$400,_xlfn.TEXTJOIN(",",TRUE,B158:E158),SF_Output!$Q$1:$Q$400,"monthly"))</f>
        <v>1000</v>
      </c>
      <c r="W158" s="112" cm="1">
        <f t="array" ref="W158">_xlfn.IFS(OR(B158=0,B158="",V158=0),"",AF158&lt;&gt;"exclusion",MAX($W$9,$W$7,(-(SUMIFS(SF_Output!$T$1:$T$400,SF_Output!$AC$1:$AC$400,_xlfn.TEXTJOIN(",",TRUE,$B158:$E158),SF_Output!$Q$1:$Q$400,"monthly"))/V158)),AF158="exclusion",-(SUMIFS(SF_Output!$T$1:$T$400,SF_Output!$AC$1:$AC$400,_xlfn.TEXTJOIN(",",TRUE,$B158:$E158),SF_Output!$Q$1:$Q$400,"monthly"))/V158)</f>
        <v>0</v>
      </c>
      <c r="X158" s="6" cm="1">
        <f t="array" ref="X158">IFERROR(_xlfn.IFS(V158=0,0,V158="","",W158=0,V158,OR(V158&lt;&gt;0,V158&lt;&gt;""),H158*I158),V158*(1-W158))</f>
        <v>1000</v>
      </c>
      <c r="Z158" s="6">
        <f>IFERROR(IF(B158="","",SUMIFS(Billing_Fallout!H:H,Billing_Fallout!N:N,B158)),0)</f>
        <v>0</v>
      </c>
      <c r="AA158" s="6">
        <f t="shared" si="40"/>
        <v>0</v>
      </c>
      <c r="AB158" s="6">
        <f>IFERROR(IF(B158="","",SUMIFS(Billing_Fallout!J:J,Billing_Fallout!N:N,B158)),0)</f>
        <v>0</v>
      </c>
      <c r="AD158" s="6">
        <f t="shared" si="41"/>
        <v>1000</v>
      </c>
      <c r="AF158" t="str">
        <f>IFERROR(INDEX(H_Tables!$B$1:$B$1500,MATCH(INDEX(SF_Output!$J$1:$J$400,MATCH(B158,SF_Output!$M$1:$M$400,0)),H_Tables!$A$1:$A$1500,0)),"")</f>
        <v>Exclusion</v>
      </c>
      <c r="AI158" s="119" t="str">
        <f t="shared" si="42"/>
        <v/>
      </c>
      <c r="AJ158" s="121">
        <f>IFERROR(INDEX(SF_Output!AD:AD,MATCH(_xlfn.TEXTJOIN(",",TRUE,B158:E158),SF_Output!AC1:AC400,0)),0.05)</f>
        <v>142</v>
      </c>
      <c r="AK158" t="str">
        <f>IF(SUMIFS(SF_Output!$F$1:$F$400,SF_Output!$AC$1:$AC$400,_xlfn.TEXTJOIN(",",TRUE,B158:E158))+SUMIFS(SF_Output!$G$1:$G$400,SF_Output!$AC$1:$AC$400,_xlfn.TEXTJOIN(",",TRUE,B158:E158))=0,"","PAP")</f>
        <v/>
      </c>
      <c r="AL158" s="35" t="str">
        <f t="shared" si="43"/>
        <v>jConnect,New,Hosted by JHA,0</v>
      </c>
      <c r="AQ158" s="35"/>
      <c r="AR158" s="35" t="str" cm="1">
        <f t="array" ref="AR158">IFERROR(_xlfn.IFS(AND(E158*1=1,F158="Included"),"Change to Included",AND(E158*1=0,F158="Optional"),"Change to Optional",OR(B158="",F158="replaced"),""),"")</f>
        <v/>
      </c>
      <c r="AS158" s="35" t="str">
        <f t="shared" si="44"/>
        <v/>
      </c>
      <c r="AT158" s="35" t="str">
        <f t="shared" si="45"/>
        <v/>
      </c>
      <c r="AU158" s="35" t="str">
        <f t="shared" si="46"/>
        <v/>
      </c>
      <c r="AV158" s="35" t="str">
        <f t="shared" si="47"/>
        <v/>
      </c>
      <c r="AW158" s="35" t="str">
        <f t="shared" si="48"/>
        <v/>
      </c>
      <c r="AX158" s="35" t="str">
        <f t="shared" si="49"/>
        <v/>
      </c>
      <c r="AY158" s="35" t="str">
        <f t="shared" si="50"/>
        <v/>
      </c>
      <c r="AZ158" s="35" t="str">
        <f t="shared" si="51"/>
        <v/>
      </c>
      <c r="BA158" s="35" t="str">
        <f t="shared" si="52"/>
        <v/>
      </c>
      <c r="BB158" s="35" t="str">
        <f t="shared" si="53"/>
        <v/>
      </c>
      <c r="BC158" s="35"/>
      <c r="BE158" s="35">
        <f ca="1">INDEX(SF_Output!$AA$2:$AA$400,MATCH($B158,SF_Output!$M$2:$M$400,0))</f>
        <v>7</v>
      </c>
      <c r="BF158" s="35">
        <f ca="1">INDEX(SF_Output!$AB$2:$AB$400,MATCH($B158,SF_Output!$M$2:$M$400,0))</f>
        <v>1</v>
      </c>
    </row>
    <row r="159" spans="2:58" x14ac:dyDescent="0.25">
      <c r="B159" t="s">
        <v>1855</v>
      </c>
      <c r="C159" t="s">
        <v>2122</v>
      </c>
      <c r="D159" t="s">
        <v>2207</v>
      </c>
      <c r="E159" t="s">
        <v>2124</v>
      </c>
      <c r="F159" s="116" t="str">
        <f t="shared" si="36"/>
        <v>Included</v>
      </c>
      <c r="G159" t="str">
        <f>IF(B159="","",INDEX(SF_Output!$K$1:$K$400,MATCH(B159,SF_Output!$M$1:$M$400,0)))</f>
        <v>Core</v>
      </c>
      <c r="H159" cm="1">
        <f t="array" ref="H159">_xlfn.IFS(B159="","",(SUMIFS(SF_Output!$F$1:$F$400,SF_Output!$AC$1:$AC$400,_xlfn.TEXTJOIN(",",TRUE,B159:E159))+SUMIFS(SF_Output!$G$1:$G$400,SF_Output!$AC$1:$AC$400,_xlfn.TEXTJOIN(",",TRUE,B159:E159)))&lt;&gt;0,SF_Output!$Y$2,INDEX(SF_Output!$F$1:$F$400,MATCH(_xlfn.TEXTJOIN(",",TRUE,B159:E159),SF_Output!$AC$1:$AC$400,0))=0,INDEX(SF_Output!$R$1:$R$400,MATCH(_xlfn.TEXTJOIN(",",TRUE,B159:E159),SF_Output!$AC$1:$AC$400,0)))</f>
        <v>1</v>
      </c>
      <c r="I159" s="125" t="str">
        <f>IFERROR(IF(AND(H159&gt;1,H159&lt;&gt;""),ROUND(SUMIFS(SF_Output!$S$1:$S$400,SF_Output!$AC$1:$AC$400,_xlfn.TEXTJOIN(",",TRUE,B159:E159),SF_Output!$Q$1:$Q$400,"monthly")*(1-W159)/H159,4),""),"")</f>
        <v/>
      </c>
      <c r="J159" s="6">
        <f>IF(B159="","",SUMIFS(SF_Output!$S$1:$S$400,SF_Output!$AC$1:$AC$400,_xlfn.TEXTJOIN(",",TRUE,B159:E159),SF_Output!$Q$1:$Q$400,"One Time",SF_Output!$L$1:$L$400,"license fee")+SUMIFS(SF_Output!$S$1:$S$400,SF_Output!$AC$1:$AC$400,_xlfn.TEXTJOIN(",",TRUE,B159:E159),SF_Output!$Q$1:$Q$400,"One Time",SF_Output!$L$1:$L$400,"software license")+SUMIFS(SF_Output!$S$1:$S$400,SF_Output!$AC$1:$AC$400,_xlfn.TEXTJOIN(",",TRUE,B159:E159),SF_Output!$Q$1:$Q$400,"One Time",SF_Output!$L$1:$L$400,"hardware"))</f>
        <v>0</v>
      </c>
      <c r="K159" s="112" t="str">
        <f>IF(OR(B159=0,B159="",G159="hardware",J159=0),"",IF(AF159&lt;&gt;"exclusion",MAX(K$9,-((SUMIFS(SF_Output!$T$1:$T$400,SF_Output!$AC$1:$AC$400,_xlfn.TEXTJOIN(",",TRUE,$B159:$E159),SF_Output!$Q$1:$Q$400,"One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license"))/J159)))</f>
        <v/>
      </c>
      <c r="L159" s="6">
        <f t="shared" si="37"/>
        <v>0</v>
      </c>
      <c r="N159" s="6">
        <f>IF(B159="","",SUMIFS(SF_Output!$S$1:$S$400,SF_Output!$AC$1:$AC$400,_xlfn.TEXTJOIN(",",TRUE,B159:E159),SF_Output!$Q$1:$Q$400,"One Time",SF_Output!$L$1:$L$400,"professional service"))</f>
        <v>16625</v>
      </c>
      <c r="O159" s="112">
        <f>IF(OR(B159=0,B159="",N159=0),"",IF(AF159&lt;&gt;"exclusion",MAX(O$9,-(SUMIFS(SF_Output!$T$1:$T$400,SF_Output!$AC$1:$AC$400,_xlfn.TEXTJOIN(",",TRUE,$B159:$E159),SF_Output!$Q$1:$Q$400,"One Time",SF_Output!$L$1:$L$400,"professional service"))/N159),-((SUMIFS(SF_Output!$T$1:$T$400,SF_Output!$AC$1:$AC$400,_xlfn.TEXTJOIN(",",TRUE,$B159:$E159),SF_Output!$Q$1:$Q$400,"One Time",SF_Output!$L$1:$L$400,"professional service")/N159))))</f>
        <v>1</v>
      </c>
      <c r="P159" s="6">
        <f t="shared" si="38"/>
        <v>0</v>
      </c>
      <c r="R159" s="6">
        <f>IF(B159="","",SUMIFS(SF_Output!$S$1:$S$400,SF_Output!$AC$1:$AC$400,_xlfn.TEXTJOIN(",",TRUE,B159:E159),SF_Output!$Q$1:$Q$400,"yearly")+SUMIFS(SF_Output!$S$1:$S$400,SF_Output!$AC$1:$AC$400,_xlfn.TEXTJOIN(",",TRUE,B159:E159),SF_Output!$Q$1:$Q$400,"quarterly")*4)</f>
        <v>0</v>
      </c>
      <c r="S159" s="112" t="str">
        <f>IF(OR(B159=0,B159="",G159="hardware",R159=0),"",IF(AF159&lt;&gt;"exclusion",MAX(S$9,-(SUMIFS(SF_Output!$T$1:$T$400,SF_Output!$AC$1:$AC$400,_xlfn.TEXTJOIN(",",TRUE,$B159:$E159),SF_Output!$Q$1:$Q$400,"yearly"))/R159),-((SUMIFS(SF_Output!$T$1:$T$400,SF_Output!$AC$1:$AC$400,_xlfn.TEXTJOIN(",",TRUE,$B159:$E159),SF_Output!$Q$1:$Q$400,"yearly")/R159))))</f>
        <v/>
      </c>
      <c r="T159" s="6">
        <f t="shared" si="39"/>
        <v>0</v>
      </c>
      <c r="V159" s="6" cm="1">
        <f t="array" ref="V159">_xlfn.IFS(B159="","",AND(B159&lt;&gt;"",H159=SF_Output!$Y$2,SUMIFS(SF_Output!$T$1:$T$400,SF_Output!$AC$1:$AC$400,_xlfn.TEXTJOIN(",",TRUE,B159:E159),SF_Output!$Q$1:$Q$400,"monthly")=0),(SUMIFS(SF_Output!$F$1:$F$400,SF_Output!$AC$1:$AC$400,_xlfn.TEXTJOIN(",",TRUE,B159:E159),SF_Output!$Q$1:$Q$400,"monthly")+SUMIFS(SF_Output!$G$1:$G$400,SF_Output!$AC$1:$AC$400,_xlfn.TEXTJOIN(",",TRUE,B159:E159),SF_Output!$Q$1:$Q$400,"monthly"))*H159,AND(B159&lt;&gt;"",H159=SF_Output!$Y$2,SUMIFS(SF_Output!$T$1:$T$400,SF_Output!$AC$1:$AC$400,_xlfn.TEXTJOIN(",",TRUE,B159:E159),SF_Output!$Q$1:$Q$400,"monthly")&lt;&gt;0),SUMIFS(SF_Output!$S$1:$S$400,SF_Output!$AC$1:$AC$400,_xlfn.TEXTJOIN(",",TRUE,B159:E159),SF_Output!$Q$1:$Q$400,"monthly"),AND(B159&lt;&gt;"",H159&lt;&gt;SF_Output!$Y$2),SUMIFS(SF_Output!$S$1:$S$400,SF_Output!$AC$1:$AC$400,_xlfn.TEXTJOIN(",",TRUE,B159:E159),SF_Output!$Q$1:$Q$400,"monthly"))</f>
        <v>500</v>
      </c>
      <c r="W159" s="112" cm="1">
        <f t="array" ref="W159">_xlfn.IFS(OR(B159=0,B159="",V159=0),"",AF159&lt;&gt;"exclusion",MAX($W$9,$W$7,(-(SUMIFS(SF_Output!$T$1:$T$400,SF_Output!$AC$1:$AC$400,_xlfn.TEXTJOIN(",",TRUE,$B159:$E159),SF_Output!$Q$1:$Q$400,"monthly"))/V159)),AF159="exclusion",-(SUMIFS(SF_Output!$T$1:$T$400,SF_Output!$AC$1:$AC$400,_xlfn.TEXTJOIN(",",TRUE,$B159:$E159),SF_Output!$Q$1:$Q$400,"monthly"))/V159)</f>
        <v>0</v>
      </c>
      <c r="X159" s="6" cm="1">
        <f t="array" ref="X159">IFERROR(_xlfn.IFS(V159=0,0,V159="","",W159=0,V159,OR(V159&lt;&gt;0,V159&lt;&gt;""),H159*I159),V159*(1-W159))</f>
        <v>500</v>
      </c>
      <c r="Z159" s="6">
        <f>IFERROR(IF(B159="","",SUMIFS(Billing_Fallout!H:H,Billing_Fallout!N:N,B159)),0)</f>
        <v>0</v>
      </c>
      <c r="AA159" s="6">
        <f t="shared" si="40"/>
        <v>0</v>
      </c>
      <c r="AB159" s="6">
        <f>IFERROR(IF(B159="","",SUMIFS(Billing_Fallout!J:J,Billing_Fallout!N:N,B159)),0)</f>
        <v>0</v>
      </c>
      <c r="AD159" s="6">
        <f t="shared" si="41"/>
        <v>500</v>
      </c>
      <c r="AF159" t="str">
        <f>IFERROR(INDEX(H_Tables!$B$1:$B$1500,MATCH(INDEX(SF_Output!$J$1:$J$400,MATCH(B159,SF_Output!$M$1:$M$400,0)),H_Tables!$A$1:$A$1500,0)),"")</f>
        <v>Exclusion</v>
      </c>
      <c r="AI159" s="119" t="str">
        <f t="shared" si="42"/>
        <v/>
      </c>
      <c r="AJ159" s="121">
        <f>IFERROR(INDEX(SF_Output!AD:AD,MATCH(_xlfn.TEXTJOIN(",",TRUE,B159:E159),SF_Output!AC1:AC400,0)),0.05)</f>
        <v>55</v>
      </c>
      <c r="AK159" t="str">
        <f>IF(SUMIFS(SF_Output!$F$1:$F$400,SF_Output!$AC$1:$AC$400,_xlfn.TEXTJOIN(",",TRUE,B159:E159))+SUMIFS(SF_Output!$G$1:$G$400,SF_Output!$AC$1:$AC$400,_xlfn.TEXTJOIN(",",TRUE,B159:E159))=0,"","PAP")</f>
        <v/>
      </c>
      <c r="AL159" s="35" t="str">
        <f t="shared" si="43"/>
        <v>Jack Henry Loyalty and Rewards Support - Enterprise,New,Hosted by 3rd Party,0</v>
      </c>
      <c r="AQ159" s="35"/>
      <c r="AR159" s="35" t="str" cm="1">
        <f t="array" ref="AR159">IFERROR(_xlfn.IFS(AND(E159*1=1,F159="Included"),"Change to Included",AND(E159*1=0,F159="Optional"),"Change to Optional",OR(B159="",F159="replaced"),""),"")</f>
        <v/>
      </c>
      <c r="AS159" s="35" t="str">
        <f t="shared" si="44"/>
        <v/>
      </c>
      <c r="AT159" s="35" t="str">
        <f t="shared" si="45"/>
        <v/>
      </c>
      <c r="AU159" s="35" t="str">
        <f t="shared" si="46"/>
        <v/>
      </c>
      <c r="AV159" s="35" t="str">
        <f t="shared" si="47"/>
        <v/>
      </c>
      <c r="AW159" s="35" t="str">
        <f t="shared" si="48"/>
        <v/>
      </c>
      <c r="AX159" s="35" t="str">
        <f t="shared" si="49"/>
        <v/>
      </c>
      <c r="AY159" s="35" t="str">
        <f t="shared" si="50"/>
        <v/>
      </c>
      <c r="AZ159" s="35" t="str">
        <f t="shared" si="51"/>
        <v/>
      </c>
      <c r="BA159" s="35" t="str">
        <f t="shared" si="52"/>
        <v/>
      </c>
      <c r="BB159" s="35" t="str">
        <f t="shared" si="53"/>
        <v/>
      </c>
      <c r="BC159" s="35"/>
      <c r="BE159" s="35">
        <f ca="1">INDEX(SF_Output!$AA$2:$AA$400,MATCH($B159,SF_Output!$M$2:$M$400,0))</f>
        <v>8</v>
      </c>
      <c r="BF159" s="35">
        <f ca="1">INDEX(SF_Output!$AB$2:$AB$400,MATCH($B159,SF_Output!$M$2:$M$400,0))</f>
        <v>2</v>
      </c>
    </row>
    <row r="160" spans="2:58" x14ac:dyDescent="0.25">
      <c r="B160" t="s">
        <v>1857</v>
      </c>
      <c r="C160" t="s">
        <v>2122</v>
      </c>
      <c r="D160" t="s">
        <v>2207</v>
      </c>
      <c r="E160" t="s">
        <v>2124</v>
      </c>
      <c r="F160" s="116" t="str">
        <f t="shared" si="36"/>
        <v>Included</v>
      </c>
      <c r="G160" t="str">
        <f>IF(B160="","",INDEX(SF_Output!$K$1:$K$400,MATCH(B160,SF_Output!$M$1:$M$400,0)))</f>
        <v>Core</v>
      </c>
      <c r="H160" cm="1">
        <f t="array" ref="H160">_xlfn.IFS(B160="","",(SUMIFS(SF_Output!$F$1:$F$400,SF_Output!$AC$1:$AC$400,_xlfn.TEXTJOIN(",",TRUE,B160:E160))+SUMIFS(SF_Output!$G$1:$G$400,SF_Output!$AC$1:$AC$400,_xlfn.TEXTJOIN(",",TRUE,B160:E160)))&lt;&gt;0,SF_Output!$Y$2,INDEX(SF_Output!$F$1:$F$400,MATCH(_xlfn.TEXTJOIN(",",TRUE,B160:E160),SF_Output!$AC$1:$AC$400,0))=0,INDEX(SF_Output!$R$1:$R$400,MATCH(_xlfn.TEXTJOIN(",",TRUE,B160:E160),SF_Output!$AC$1:$AC$400,0)))</f>
        <v>1</v>
      </c>
      <c r="I160" s="125" t="str">
        <f>IFERROR(IF(AND(H160&gt;1,H160&lt;&gt;""),ROUND(SUMIFS(SF_Output!$S$1:$S$400,SF_Output!$AC$1:$AC$400,_xlfn.TEXTJOIN(",",TRUE,B160:E160),SF_Output!$Q$1:$Q$400,"monthly")*(1-W160)/H160,4),""),"")</f>
        <v/>
      </c>
      <c r="J160" s="6">
        <f>IF(B160="","",SUMIFS(SF_Output!$S$1:$S$400,SF_Output!$AC$1:$AC$400,_xlfn.TEXTJOIN(",",TRUE,B160:E160),SF_Output!$Q$1:$Q$400,"One Time",SF_Output!$L$1:$L$400,"license fee")+SUMIFS(SF_Output!$S$1:$S$400,SF_Output!$AC$1:$AC$400,_xlfn.TEXTJOIN(",",TRUE,B160:E160),SF_Output!$Q$1:$Q$400,"One Time",SF_Output!$L$1:$L$400,"software license")+SUMIFS(SF_Output!$S$1:$S$400,SF_Output!$AC$1:$AC$400,_xlfn.TEXTJOIN(",",TRUE,B160:E160),SF_Output!$Q$1:$Q$400,"One Time",SF_Output!$L$1:$L$400,"hardware"))</f>
        <v>0</v>
      </c>
      <c r="K160" s="112" t="str">
        <f>IF(OR(B160=0,B160="",G160="hardware",J160=0),"",IF(AF160&lt;&gt;"exclusion",MAX(K$9,-((SUMIFS(SF_Output!$T$1:$T$400,SF_Output!$AC$1:$AC$400,_xlfn.TEXTJOIN(",",TRUE,$B160:$E160),SF_Output!$Q$1:$Q$400,"One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license"))/J160)))</f>
        <v/>
      </c>
      <c r="L160" s="6">
        <f t="shared" si="37"/>
        <v>0</v>
      </c>
      <c r="N160" s="6">
        <f>IF(B160="","",SUMIFS(SF_Output!$S$1:$S$400,SF_Output!$AC$1:$AC$400,_xlfn.TEXTJOIN(",",TRUE,B160:E160),SF_Output!$Q$1:$Q$400,"One Time",SF_Output!$L$1:$L$400,"professional service"))</f>
        <v>0</v>
      </c>
      <c r="O160" s="112" t="str">
        <f>IF(OR(B160=0,B160="",N160=0),"",IF(AF160&lt;&gt;"exclusion",MAX(O$9,-(SUMIFS(SF_Output!$T$1:$T$400,SF_Output!$AC$1:$AC$400,_xlfn.TEXTJOIN(",",TRUE,$B160:$E160),SF_Output!$Q$1:$Q$400,"One Time",SF_Output!$L$1:$L$400,"professional service"))/N160),-((SUMIFS(SF_Output!$T$1:$T$400,SF_Output!$AC$1:$AC$400,_xlfn.TEXTJOIN(",",TRUE,$B160:$E160),SF_Output!$Q$1:$Q$400,"One Time",SF_Output!$L$1:$L$400,"professional service")/N160))))</f>
        <v/>
      </c>
      <c r="P160" s="6">
        <f t="shared" si="38"/>
        <v>0</v>
      </c>
      <c r="R160" s="6">
        <f>IF(B160="","",SUMIFS(SF_Output!$S$1:$S$400,SF_Output!$AC$1:$AC$400,_xlfn.TEXTJOIN(",",TRUE,B160:E160),SF_Output!$Q$1:$Q$400,"yearly")+SUMIFS(SF_Output!$S$1:$S$400,SF_Output!$AC$1:$AC$400,_xlfn.TEXTJOIN(",",TRUE,B160:E160),SF_Output!$Q$1:$Q$400,"quarterly")*4)</f>
        <v>0</v>
      </c>
      <c r="S160" s="112" t="str">
        <f>IF(OR(B160=0,B160="",G160="hardware",R160=0),"",IF(AF160&lt;&gt;"exclusion",MAX(S$9,-(SUMIFS(SF_Output!$T$1:$T$400,SF_Output!$AC$1:$AC$400,_xlfn.TEXTJOIN(",",TRUE,$B160:$E160),SF_Output!$Q$1:$Q$400,"yearly"))/R160),-((SUMIFS(SF_Output!$T$1:$T$400,SF_Output!$AC$1:$AC$400,_xlfn.TEXTJOIN(",",TRUE,$B160:$E160),SF_Output!$Q$1:$Q$400,"yearly")/R160))))</f>
        <v/>
      </c>
      <c r="T160" s="6">
        <f t="shared" si="39"/>
        <v>0</v>
      </c>
      <c r="V160" s="6" cm="1">
        <f t="array" ref="V160">_xlfn.IFS(B160="","",AND(B160&lt;&gt;"",H160=SF_Output!$Y$2,SUMIFS(SF_Output!$T$1:$T$400,SF_Output!$AC$1:$AC$400,_xlfn.TEXTJOIN(",",TRUE,B160:E160),SF_Output!$Q$1:$Q$400,"monthly")=0),(SUMIFS(SF_Output!$F$1:$F$400,SF_Output!$AC$1:$AC$400,_xlfn.TEXTJOIN(",",TRUE,B160:E160),SF_Output!$Q$1:$Q$400,"monthly")+SUMIFS(SF_Output!$G$1:$G$400,SF_Output!$AC$1:$AC$400,_xlfn.TEXTJOIN(",",TRUE,B160:E160),SF_Output!$Q$1:$Q$400,"monthly"))*H160,AND(B160&lt;&gt;"",H160=SF_Output!$Y$2,SUMIFS(SF_Output!$T$1:$T$400,SF_Output!$AC$1:$AC$400,_xlfn.TEXTJOIN(",",TRUE,B160:E160),SF_Output!$Q$1:$Q$400,"monthly")&lt;&gt;0),SUMIFS(SF_Output!$S$1:$S$400,SF_Output!$AC$1:$AC$400,_xlfn.TEXTJOIN(",",TRUE,B160:E160),SF_Output!$Q$1:$Q$400,"monthly"),AND(B160&lt;&gt;"",H160&lt;&gt;SF_Output!$Y$2),SUMIFS(SF_Output!$S$1:$S$400,SF_Output!$AC$1:$AC$400,_xlfn.TEXTJOIN(",",TRUE,B160:E160),SF_Output!$Q$1:$Q$400,"monthly"))</f>
        <v>1000</v>
      </c>
      <c r="W160" s="112" cm="1">
        <f t="array" ref="W160">_xlfn.IFS(OR(B160=0,B160="",V160=0),"",AF160&lt;&gt;"exclusion",MAX($W$9,$W$7,(-(SUMIFS(SF_Output!$T$1:$T$400,SF_Output!$AC$1:$AC$400,_xlfn.TEXTJOIN(",",TRUE,$B160:$E160),SF_Output!$Q$1:$Q$400,"monthly"))/V160)),AF160="exclusion",-(SUMIFS(SF_Output!$T$1:$T$400,SF_Output!$AC$1:$AC$400,_xlfn.TEXTJOIN(",",TRUE,$B160:$E160),SF_Output!$Q$1:$Q$400,"monthly"))/V160)</f>
        <v>0</v>
      </c>
      <c r="X160" s="6" cm="1">
        <f t="array" ref="X160">IFERROR(_xlfn.IFS(V160=0,0,V160="","",W160=0,V160,OR(V160&lt;&gt;0,V160&lt;&gt;""),H160*I160),V160*(1-W160))</f>
        <v>1000</v>
      </c>
      <c r="Z160" s="6">
        <f>IFERROR(IF(B160="","",SUMIFS(Billing_Fallout!H:H,Billing_Fallout!N:N,B160)),0)</f>
        <v>0</v>
      </c>
      <c r="AA160" s="6">
        <f t="shared" si="40"/>
        <v>0</v>
      </c>
      <c r="AB160" s="6">
        <f>IFERROR(IF(B160="","",SUMIFS(Billing_Fallout!J:J,Billing_Fallout!N:N,B160)),0)</f>
        <v>0</v>
      </c>
      <c r="AD160" s="6">
        <f t="shared" si="41"/>
        <v>1000</v>
      </c>
      <c r="AF160" t="str">
        <f>IFERROR(INDEX(H_Tables!$B$1:$B$1500,MATCH(INDEX(SF_Output!$J$1:$J$400,MATCH(B160,SF_Output!$M$1:$M$400,0)),H_Tables!$A$1:$A$1500,0)),"")</f>
        <v>Exclusion</v>
      </c>
      <c r="AI160" s="119" t="str">
        <f t="shared" si="42"/>
        <v/>
      </c>
      <c r="AJ160" s="121">
        <f>IFERROR(INDEX(SF_Output!AD:AD,MATCH(_xlfn.TEXTJOIN(",",TRUE,B160:E160),SF_Output!AC1:AC400,0)),0.05)</f>
        <v>57</v>
      </c>
      <c r="AK160" t="str">
        <f>IF(SUMIFS(SF_Output!$F$1:$F$400,SF_Output!$AC$1:$AC$400,_xlfn.TEXTJOIN(",",TRUE,B160:E160))+SUMIFS(SF_Output!$G$1:$G$400,SF_Output!$AC$1:$AC$400,_xlfn.TEXTJOIN(",",TRUE,B160:E160))=0,"","PAP")</f>
        <v/>
      </c>
      <c r="AL160" s="35" t="str">
        <f t="shared" si="43"/>
        <v>Jack Henry Loyalty and Rewards - Enterprise,New,Hosted by 3rd Party,0</v>
      </c>
      <c r="AQ160" s="35"/>
      <c r="AR160" s="35" t="str" cm="1">
        <f t="array" ref="AR160">IFERROR(_xlfn.IFS(AND(E160*1=1,F160="Included"),"Change to Included",AND(E160*1=0,F160="Optional"),"Change to Optional",OR(B160="",F160="replaced"),""),"")</f>
        <v/>
      </c>
      <c r="AS160" s="35" t="str">
        <f t="shared" si="44"/>
        <v/>
      </c>
      <c r="AT160" s="35" t="str">
        <f t="shared" si="45"/>
        <v/>
      </c>
      <c r="AU160" s="35" t="str">
        <f t="shared" si="46"/>
        <v/>
      </c>
      <c r="AV160" s="35" t="str">
        <f t="shared" si="47"/>
        <v/>
      </c>
      <c r="AW160" s="35" t="str">
        <f t="shared" si="48"/>
        <v/>
      </c>
      <c r="AX160" s="35" t="str">
        <f t="shared" si="49"/>
        <v/>
      </c>
      <c r="AY160" s="35" t="str">
        <f t="shared" si="50"/>
        <v/>
      </c>
      <c r="AZ160" s="35" t="str">
        <f t="shared" si="51"/>
        <v/>
      </c>
      <c r="BA160" s="35" t="str">
        <f t="shared" si="52"/>
        <v/>
      </c>
      <c r="BB160" s="35" t="str">
        <f t="shared" si="53"/>
        <v/>
      </c>
      <c r="BC160" s="35"/>
      <c r="BE160" s="35">
        <f ca="1">INDEX(SF_Output!$AA$2:$AA$400,MATCH($B160,SF_Output!$M$2:$M$400,0))</f>
        <v>8</v>
      </c>
      <c r="BF160" s="35">
        <f ca="1">INDEX(SF_Output!$AB$2:$AB$400,MATCH($B160,SF_Output!$M$2:$M$400,0))</f>
        <v>2</v>
      </c>
    </row>
    <row r="161" spans="2:58" x14ac:dyDescent="0.25">
      <c r="B161" t="s">
        <v>1260</v>
      </c>
      <c r="C161" t="s">
        <v>2122</v>
      </c>
      <c r="D161" t="s">
        <v>2123</v>
      </c>
      <c r="E161" t="s">
        <v>2150</v>
      </c>
      <c r="F161" s="116" t="str">
        <f t="shared" si="36"/>
        <v>Optional</v>
      </c>
      <c r="G161" t="str">
        <f>IF(B161="","",INDEX(SF_Output!$K$1:$K$400,MATCH(B161,SF_Output!$M$1:$M$400,0)))</f>
        <v>jhaKnow</v>
      </c>
      <c r="H161" cm="1">
        <f t="array" ref="H161">_xlfn.IFS(B161="","",(SUMIFS(SF_Output!$F$1:$F$400,SF_Output!$AC$1:$AC$400,_xlfn.TEXTJOIN(",",TRUE,B161:E161))+SUMIFS(SF_Output!$G$1:$G$400,SF_Output!$AC$1:$AC$400,_xlfn.TEXTJOIN(",",TRUE,B161:E161)))&lt;&gt;0,SF_Output!$Y$2,INDEX(SF_Output!$F$1:$F$400,MATCH(_xlfn.TEXTJOIN(",",TRUE,B161:E161),SF_Output!$AC$1:$AC$400,0))=0,INDEX(SF_Output!$R$1:$R$400,MATCH(_xlfn.TEXTJOIN(",",TRUE,B161:E161),SF_Output!$AC$1:$AC$400,0)))</f>
        <v>5000</v>
      </c>
      <c r="I161" s="125">
        <f>IFERROR(IF(AND(H161&gt;1,H161&lt;&gt;""),ROUND(SUMIFS(SF_Output!$S$1:$S$400,SF_Output!$AC$1:$AC$400,_xlfn.TEXTJOIN(",",TRUE,B161:E161),SF_Output!$Q$1:$Q$400,"monthly")*(1-W161)/H161,4),""),"")</f>
        <v>0.24979999999999999</v>
      </c>
      <c r="J161" s="6">
        <f>IF(B161="","",SUMIFS(SF_Output!$S$1:$S$400,SF_Output!$AC$1:$AC$400,_xlfn.TEXTJOIN(",",TRUE,B161:E161),SF_Output!$Q$1:$Q$400,"One Time",SF_Output!$L$1:$L$400,"license fee")+SUMIFS(SF_Output!$S$1:$S$400,SF_Output!$AC$1:$AC$400,_xlfn.TEXTJOIN(",",TRUE,B161:E161),SF_Output!$Q$1:$Q$400,"One Time",SF_Output!$L$1:$L$400,"software license")+SUMIFS(SF_Output!$S$1:$S$400,SF_Output!$AC$1:$AC$400,_xlfn.TEXTJOIN(",",TRUE,B161:E161),SF_Output!$Q$1:$Q$400,"One Time",SF_Output!$L$1:$L$400,"hardware"))</f>
        <v>0</v>
      </c>
      <c r="K161" s="112" t="str">
        <f>IF(OR(B161=0,B161="",G161="hardware",J161=0),"",IF(AF161&lt;&gt;"exclusion",MAX(K$9,-((SUMIFS(SF_Output!$T$1:$T$400,SF_Output!$AC$1:$AC$400,_xlfn.TEXTJOIN(",",TRUE,$B161:$E161),SF_Output!$Q$1:$Q$400,"One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license"))/J161)))</f>
        <v/>
      </c>
      <c r="L161" s="6">
        <f t="shared" si="37"/>
        <v>0</v>
      </c>
      <c r="N161" s="6">
        <f>IF(B161="","",SUMIFS(SF_Output!$S$1:$S$400,SF_Output!$AC$1:$AC$400,_xlfn.TEXTJOIN(",",TRUE,B161:E161),SF_Output!$Q$1:$Q$400,"One Time",SF_Output!$L$1:$L$400,"professional service"))</f>
        <v>7500</v>
      </c>
      <c r="O161" s="112">
        <f>IF(OR(B161=0,B161="",N161=0),"",IF(AF161&lt;&gt;"exclusion",MAX(O$9,-(SUMIFS(SF_Output!$T$1:$T$400,SF_Output!$AC$1:$AC$400,_xlfn.TEXTJOIN(",",TRUE,$B161:$E161),SF_Output!$Q$1:$Q$400,"One Time",SF_Output!$L$1:$L$400,"professional service"))/N161),-((SUMIFS(SF_Output!$T$1:$T$400,SF_Output!$AC$1:$AC$400,_xlfn.TEXTJOIN(",",TRUE,$B161:$E161),SF_Output!$Q$1:$Q$400,"One Time",SF_Output!$L$1:$L$400,"professional service")/N161))))</f>
        <v>1</v>
      </c>
      <c r="P161" s="6">
        <f t="shared" si="38"/>
        <v>0</v>
      </c>
      <c r="R161" s="6">
        <f>IF(B161="","",SUMIFS(SF_Output!$S$1:$S$400,SF_Output!$AC$1:$AC$400,_xlfn.TEXTJOIN(",",TRUE,B161:E161),SF_Output!$Q$1:$Q$400,"yearly")+SUMIFS(SF_Output!$S$1:$S$400,SF_Output!$AC$1:$AC$400,_xlfn.TEXTJOIN(",",TRUE,B161:E161),SF_Output!$Q$1:$Q$400,"quarterly")*4)</f>
        <v>0</v>
      </c>
      <c r="S161" s="112" t="str">
        <f>IF(OR(B161=0,B161="",G161="hardware",R161=0),"",IF(AF161&lt;&gt;"exclusion",MAX(S$9,-(SUMIFS(SF_Output!$T$1:$T$400,SF_Output!$AC$1:$AC$400,_xlfn.TEXTJOIN(",",TRUE,$B161:$E161),SF_Output!$Q$1:$Q$400,"yearly"))/R161),-((SUMIFS(SF_Output!$T$1:$T$400,SF_Output!$AC$1:$AC$400,_xlfn.TEXTJOIN(",",TRUE,$B161:$E161),SF_Output!$Q$1:$Q$400,"yearly")/R161))))</f>
        <v/>
      </c>
      <c r="T161" s="6">
        <f t="shared" si="39"/>
        <v>0</v>
      </c>
      <c r="V161" s="6" cm="1">
        <f t="array" ref="V161">_xlfn.IFS(B161="","",AND(B161&lt;&gt;"",H161=SF_Output!$Y$2,SUMIFS(SF_Output!$T$1:$T$400,SF_Output!$AC$1:$AC$400,_xlfn.TEXTJOIN(",",TRUE,B161:E161),SF_Output!$Q$1:$Q$400,"monthly")=0),(SUMIFS(SF_Output!$F$1:$F$400,SF_Output!$AC$1:$AC$400,_xlfn.TEXTJOIN(",",TRUE,B161:E161),SF_Output!$Q$1:$Q$400,"monthly")+SUMIFS(SF_Output!$G$1:$G$400,SF_Output!$AC$1:$AC$400,_xlfn.TEXTJOIN(",",TRUE,B161:E161),SF_Output!$Q$1:$Q$400,"monthly"))*H161,AND(B161&lt;&gt;"",H161=SF_Output!$Y$2,SUMIFS(SF_Output!$T$1:$T$400,SF_Output!$AC$1:$AC$400,_xlfn.TEXTJOIN(",",TRUE,B161:E161),SF_Output!$Q$1:$Q$400,"monthly")&lt;&gt;0),SUMIFS(SF_Output!$S$1:$S$400,SF_Output!$AC$1:$AC$400,_xlfn.TEXTJOIN(",",TRUE,B161:E161),SF_Output!$Q$1:$Q$400,"monthly"),AND(B161&lt;&gt;"",H161&lt;&gt;SF_Output!$Y$2),SUMIFS(SF_Output!$S$1:$S$400,SF_Output!$AC$1:$AC$400,_xlfn.TEXTJOIN(",",TRUE,B161:E161),SF_Output!$Q$1:$Q$400,"monthly"))</f>
        <v>1665</v>
      </c>
      <c r="W161" s="112" cm="1">
        <f t="array" ref="W161">_xlfn.IFS(OR(B161=0,B161="",V161=0),"",AF161&lt;&gt;"exclusion",MAX($W$9,$W$7,(-(SUMIFS(SF_Output!$T$1:$T$400,SF_Output!$AC$1:$AC$400,_xlfn.TEXTJOIN(",",TRUE,$B161:$E161),SF_Output!$Q$1:$Q$400,"monthly"))/V161)),AF161="exclusion",-(SUMIFS(SF_Output!$T$1:$T$400,SF_Output!$AC$1:$AC$400,_xlfn.TEXTJOIN(",",TRUE,$B161:$E161),SF_Output!$Q$1:$Q$400,"monthly"))/V161)</f>
        <v>0.25</v>
      </c>
      <c r="X161" s="6" cm="1">
        <f t="array" ref="X161">IFERROR(_xlfn.IFS(V161=0,0,V161="","",W161=0,V161,OR(V161&lt;&gt;0,V161&lt;&gt;""),H161*I161),V161*(1-W161))</f>
        <v>1249</v>
      </c>
      <c r="Z161" s="6">
        <f>IFERROR(IF(B161="","",SUMIFS(Billing_Fallout!H:H,Billing_Fallout!N:N,B161)),0)</f>
        <v>0</v>
      </c>
      <c r="AA161" s="6">
        <f t="shared" si="40"/>
        <v>0</v>
      </c>
      <c r="AB161" s="6">
        <f>IFERROR(IF(B161="","",SUMIFS(Billing_Fallout!J:J,Billing_Fallout!N:N,B161)),0)</f>
        <v>0</v>
      </c>
      <c r="AD161" s="6">
        <f t="shared" si="41"/>
        <v>1249</v>
      </c>
      <c r="AF161" t="str">
        <f>IFERROR(INDEX(H_Tables!$B$1:$B$1500,MATCH(INDEX(SF_Output!$J$1:$J$400,MATCH(B161,SF_Output!$M$1:$M$400,0)),H_Tables!$A$1:$A$1500,0)),"")</f>
        <v>Exclusion</v>
      </c>
      <c r="AI161" s="119" t="str">
        <f t="shared" si="42"/>
        <v/>
      </c>
      <c r="AJ161" s="121">
        <f>IFERROR(INDEX(SF_Output!AD:AD,MATCH(_xlfn.TEXTJOIN(",",TRUE,B161:E161),SF_Output!AC1:AC400,0)),0.05)</f>
        <v>121</v>
      </c>
      <c r="AK161" t="str">
        <f>IF(SUMIFS(SF_Output!$F$1:$F$400,SF_Output!$AC$1:$AC$400,_xlfn.TEXTJOIN(",",TRUE,B161:E161))+SUMIFS(SF_Output!$G$1:$G$400,SF_Output!$AC$1:$AC$400,_xlfn.TEXTJOIN(",",TRUE,B161:E161))=0,"","PAP")</f>
        <v>PAP</v>
      </c>
      <c r="AL161" s="35" t="str">
        <f t="shared" si="43"/>
        <v>jhaAnalytics,New,Hosted by JHA,1</v>
      </c>
      <c r="AQ161" s="35"/>
      <c r="AR161" s="35" t="str" cm="1">
        <f t="array" ref="AR161">IFERROR(_xlfn.IFS(AND(E161*1=1,F161="Included"),"Change to Included",AND(E161*1=0,F161="Optional"),"Change to Optional",OR(B161="",F161="replaced"),""),"")</f>
        <v/>
      </c>
      <c r="AS161" s="35" t="str">
        <f t="shared" si="44"/>
        <v/>
      </c>
      <c r="AT161" s="35" t="str">
        <f t="shared" si="45"/>
        <v/>
      </c>
      <c r="AU161" s="35" t="str">
        <f t="shared" si="46"/>
        <v/>
      </c>
      <c r="AV161" s="35" t="str">
        <f t="shared" si="47"/>
        <v/>
      </c>
      <c r="AW161" s="35" t="str">
        <f t="shared" si="48"/>
        <v/>
      </c>
      <c r="AX161" s="35" t="str">
        <f t="shared" si="49"/>
        <v/>
      </c>
      <c r="AY161" s="35" t="str">
        <f t="shared" si="50"/>
        <v/>
      </c>
      <c r="AZ161" s="35" t="str">
        <f t="shared" si="51"/>
        <v/>
      </c>
      <c r="BA161" s="35" t="str">
        <f t="shared" si="52"/>
        <v/>
      </c>
      <c r="BB161" s="35" t="str">
        <f t="shared" si="53"/>
        <v/>
      </c>
      <c r="BC161" s="35"/>
      <c r="BE161" s="35">
        <f ca="1">INDEX(SF_Output!$AA$2:$AA$400,MATCH($B161,SF_Output!$M$2:$M$400,0))</f>
        <v>8</v>
      </c>
      <c r="BF161" s="35">
        <f ca="1">INDEX(SF_Output!$AB$2:$AB$400,MATCH($B161,SF_Output!$M$2:$M$400,0))</f>
        <v>2</v>
      </c>
    </row>
    <row r="162" spans="2:58" x14ac:dyDescent="0.25">
      <c r="B162" t="s">
        <v>646</v>
      </c>
      <c r="C162" t="s">
        <v>2122</v>
      </c>
      <c r="D162" t="s">
        <v>2123</v>
      </c>
      <c r="E162" t="s">
        <v>2124</v>
      </c>
      <c r="F162" s="116" t="str">
        <f t="shared" si="36"/>
        <v>Included</v>
      </c>
      <c r="G162" t="str">
        <f>IF(B162="","",INDEX(SF_Output!$K$1:$K$400,MATCH(B162,SF_Output!$M$1:$M$400,0)))</f>
        <v>Cognos</v>
      </c>
      <c r="H162" cm="1">
        <f t="array" ref="H162">_xlfn.IFS(B162="","",(SUMIFS(SF_Output!$F$1:$F$400,SF_Output!$AC$1:$AC$400,_xlfn.TEXTJOIN(",",TRUE,B162:E162))+SUMIFS(SF_Output!$G$1:$G$400,SF_Output!$AC$1:$AC$400,_xlfn.TEXTJOIN(",",TRUE,B162:E162)))&lt;&gt;0,SF_Output!$Y$2,INDEX(SF_Output!$F$1:$F$400,MATCH(_xlfn.TEXTJOIN(",",TRUE,B162:E162),SF_Output!$AC$1:$AC$400,0))=0,INDEX(SF_Output!$R$1:$R$400,MATCH(_xlfn.TEXTJOIN(",",TRUE,B162:E162),SF_Output!$AC$1:$AC$400,0)))</f>
        <v>1</v>
      </c>
      <c r="I162" s="125" t="str">
        <f>IFERROR(IF(AND(H162&gt;1,H162&lt;&gt;""),ROUND(SUMIFS(SF_Output!$S$1:$S$400,SF_Output!$AC$1:$AC$400,_xlfn.TEXTJOIN(",",TRUE,B162:E162),SF_Output!$Q$1:$Q$400,"monthly")*(1-W162)/H162,4),""),"")</f>
        <v/>
      </c>
      <c r="J162" s="6">
        <f>IF(B162="","",SUMIFS(SF_Output!$S$1:$S$400,SF_Output!$AC$1:$AC$400,_xlfn.TEXTJOIN(",",TRUE,B162:E162),SF_Output!$Q$1:$Q$400,"One Time",SF_Output!$L$1:$L$400,"license fee")+SUMIFS(SF_Output!$S$1:$S$400,SF_Output!$AC$1:$AC$400,_xlfn.TEXTJOIN(",",TRUE,B162:E162),SF_Output!$Q$1:$Q$400,"One Time",SF_Output!$L$1:$L$400,"software license")+SUMIFS(SF_Output!$S$1:$S$400,SF_Output!$AC$1:$AC$400,_xlfn.TEXTJOIN(",",TRUE,B162:E162),SF_Output!$Q$1:$Q$400,"One Time",SF_Output!$L$1:$L$400,"hardware"))</f>
        <v>0</v>
      </c>
      <c r="K162" s="112" t="str">
        <f>IF(OR(B162=0,B162="",G162="hardware",J162=0),"",IF(AF162&lt;&gt;"exclusion",MAX(K$9,-((SUMIFS(SF_Output!$T$1:$T$400,SF_Output!$AC$1:$AC$400,_xlfn.TEXTJOIN(",",TRUE,$B162:$E162),SF_Output!$Q$1:$Q$400,"One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license"))/J162)))</f>
        <v/>
      </c>
      <c r="L162" s="6">
        <f t="shared" si="37"/>
        <v>0</v>
      </c>
      <c r="N162" s="6">
        <f>IF(B162="","",SUMIFS(SF_Output!$S$1:$S$400,SF_Output!$AC$1:$AC$400,_xlfn.TEXTJOIN(",",TRUE,B162:E162),SF_Output!$Q$1:$Q$400,"One Time",SF_Output!$L$1:$L$400,"professional service"))</f>
        <v>5500</v>
      </c>
      <c r="O162" s="112">
        <f>IF(OR(B162=0,B162="",N162=0),"",IF(AF162&lt;&gt;"exclusion",MAX(O$9,-(SUMIFS(SF_Output!$T$1:$T$400,SF_Output!$AC$1:$AC$400,_xlfn.TEXTJOIN(",",TRUE,$B162:$E162),SF_Output!$Q$1:$Q$400,"One Time",SF_Output!$L$1:$L$400,"professional service"))/N162),-((SUMIFS(SF_Output!$T$1:$T$400,SF_Output!$AC$1:$AC$400,_xlfn.TEXTJOIN(",",TRUE,$B162:$E162),SF_Output!$Q$1:$Q$400,"One Time",SF_Output!$L$1:$L$400,"professional service")/N162))))</f>
        <v>0</v>
      </c>
      <c r="P162" s="6">
        <f t="shared" si="38"/>
        <v>5500</v>
      </c>
      <c r="R162" s="6">
        <f>IF(B162="","",SUMIFS(SF_Output!$S$1:$S$400,SF_Output!$AC$1:$AC$400,_xlfn.TEXTJOIN(",",TRUE,B162:E162),SF_Output!$Q$1:$Q$400,"yearly")+SUMIFS(SF_Output!$S$1:$S$400,SF_Output!$AC$1:$AC$400,_xlfn.TEXTJOIN(",",TRUE,B162:E162),SF_Output!$Q$1:$Q$400,"quarterly")*4)</f>
        <v>0</v>
      </c>
      <c r="S162" s="112" t="str">
        <f>IF(OR(B162=0,B162="",G162="hardware",R162=0),"",IF(AF162&lt;&gt;"exclusion",MAX(S$9,-(SUMIFS(SF_Output!$T$1:$T$400,SF_Output!$AC$1:$AC$400,_xlfn.TEXTJOIN(",",TRUE,$B162:$E162),SF_Output!$Q$1:$Q$400,"yearly"))/R162),-((SUMIFS(SF_Output!$T$1:$T$400,SF_Output!$AC$1:$AC$400,_xlfn.TEXTJOIN(",",TRUE,$B162:$E162),SF_Output!$Q$1:$Q$400,"yearly")/R162))))</f>
        <v/>
      </c>
      <c r="T162" s="6">
        <f t="shared" si="39"/>
        <v>0</v>
      </c>
      <c r="V162" s="6" cm="1">
        <f t="array" ref="V162">_xlfn.IFS(B162="","",AND(B162&lt;&gt;"",H162=SF_Output!$Y$2,SUMIFS(SF_Output!$T$1:$T$400,SF_Output!$AC$1:$AC$400,_xlfn.TEXTJOIN(",",TRUE,B162:E162),SF_Output!$Q$1:$Q$400,"monthly")=0),(SUMIFS(SF_Output!$F$1:$F$400,SF_Output!$AC$1:$AC$400,_xlfn.TEXTJOIN(",",TRUE,B162:E162),SF_Output!$Q$1:$Q$400,"monthly")+SUMIFS(SF_Output!$G$1:$G$400,SF_Output!$AC$1:$AC$400,_xlfn.TEXTJOIN(",",TRUE,B162:E162),SF_Output!$Q$1:$Q$400,"monthly"))*H162,AND(B162&lt;&gt;"",H162=SF_Output!$Y$2,SUMIFS(SF_Output!$T$1:$T$400,SF_Output!$AC$1:$AC$400,_xlfn.TEXTJOIN(",",TRUE,B162:E162),SF_Output!$Q$1:$Q$400,"monthly")&lt;&gt;0),SUMIFS(SF_Output!$S$1:$S$400,SF_Output!$AC$1:$AC$400,_xlfn.TEXTJOIN(",",TRUE,B162:E162),SF_Output!$Q$1:$Q$400,"monthly"),AND(B162&lt;&gt;"",H162&lt;&gt;SF_Output!$Y$2),SUMIFS(SF_Output!$S$1:$S$400,SF_Output!$AC$1:$AC$400,_xlfn.TEXTJOIN(",",TRUE,B162:E162),SF_Output!$Q$1:$Q$400,"monthly"))</f>
        <v>665</v>
      </c>
      <c r="W162" s="112" cm="1">
        <f t="array" ref="W162">_xlfn.IFS(OR(B162=0,B162="",V162=0),"",AF162&lt;&gt;"exclusion",MAX($W$9,$W$7,(-(SUMIFS(SF_Output!$T$1:$T$400,SF_Output!$AC$1:$AC$400,_xlfn.TEXTJOIN(",",TRUE,$B162:$E162),SF_Output!$Q$1:$Q$400,"monthly"))/V162)),AF162="exclusion",-(SUMIFS(SF_Output!$T$1:$T$400,SF_Output!$AC$1:$AC$400,_xlfn.TEXTJOIN(",",TRUE,$B162:$E162),SF_Output!$Q$1:$Q$400,"monthly"))/V162)</f>
        <v>0</v>
      </c>
      <c r="X162" s="6" cm="1">
        <f t="array" ref="X162">IFERROR(_xlfn.IFS(V162=0,0,V162="","",W162=0,V162,OR(V162&lt;&gt;0,V162&lt;&gt;""),H162*I162),V162*(1-W162))</f>
        <v>665</v>
      </c>
      <c r="Z162" s="6">
        <f>IFERROR(IF(B162="","",SUMIFS(Billing_Fallout!H:H,Billing_Fallout!N:N,B162)),0)</f>
        <v>0</v>
      </c>
      <c r="AA162" s="6">
        <f t="shared" si="40"/>
        <v>0</v>
      </c>
      <c r="AB162" s="6">
        <f>IFERROR(IF(B162="","",SUMIFS(Billing_Fallout!J:J,Billing_Fallout!N:N,B162)),0)</f>
        <v>0</v>
      </c>
      <c r="AD162" s="6">
        <f t="shared" si="41"/>
        <v>665</v>
      </c>
      <c r="AF162" t="str">
        <f>IFERROR(INDEX(H_Tables!$B$1:$B$1500,MATCH(INDEX(SF_Output!$J$1:$J$400,MATCH(B162,SF_Output!$M$1:$M$400,0)),H_Tables!$A$1:$A$1500,0)),"")</f>
        <v>Exclusion</v>
      </c>
      <c r="AI162" s="119" t="str">
        <f t="shared" si="42"/>
        <v/>
      </c>
      <c r="AJ162" s="121">
        <f>IFERROR(INDEX(SF_Output!AD:AD,MATCH(_xlfn.TEXTJOIN(",",TRUE,B162:E162),SF_Output!AC1:AC400,0)),0.05)</f>
        <v>123</v>
      </c>
      <c r="AK162" t="str">
        <f>IF(SUMIFS(SF_Output!$F$1:$F$400,SF_Output!$AC$1:$AC$400,_xlfn.TEXTJOIN(",",TRUE,B162:E162))+SUMIFS(SF_Output!$G$1:$G$400,SF_Output!$AC$1:$AC$400,_xlfn.TEXTJOIN(",",TRUE,B162:E162))=0,"","PAP")</f>
        <v/>
      </c>
      <c r="AL162" s="35" t="str">
        <f t="shared" si="43"/>
        <v>Cognos BI Bundles,New,Hosted by JHA,0</v>
      </c>
      <c r="AQ162" s="35"/>
      <c r="AR162" s="35" t="str" cm="1">
        <f t="array" ref="AR162">IFERROR(_xlfn.IFS(AND(E162*1=1,F162="Included"),"Change to Included",AND(E162*1=0,F162="Optional"),"Change to Optional",OR(B162="",F162="replaced"),""),"")</f>
        <v/>
      </c>
      <c r="AS162" s="35" t="str">
        <f t="shared" si="44"/>
        <v/>
      </c>
      <c r="AT162" s="35" t="str">
        <f t="shared" si="45"/>
        <v/>
      </c>
      <c r="AU162" s="35" t="str">
        <f t="shared" si="46"/>
        <v/>
      </c>
      <c r="AV162" s="35" t="str">
        <f t="shared" si="47"/>
        <v/>
      </c>
      <c r="AW162" s="35" t="str">
        <f t="shared" si="48"/>
        <v/>
      </c>
      <c r="AX162" s="35" t="str">
        <f t="shared" si="49"/>
        <v/>
      </c>
      <c r="AY162" s="35" t="str">
        <f t="shared" si="50"/>
        <v/>
      </c>
      <c r="AZ162" s="35" t="str">
        <f t="shared" si="51"/>
        <v/>
      </c>
      <c r="BA162" s="35" t="str">
        <f t="shared" si="52"/>
        <v/>
      </c>
      <c r="BB162" s="35" t="str">
        <f t="shared" si="53"/>
        <v/>
      </c>
      <c r="BC162" s="35"/>
      <c r="BE162" s="35">
        <f ca="1">INDEX(SF_Output!$AA$2:$AA$400,MATCH($B162,SF_Output!$M$2:$M$400,0))</f>
        <v>8</v>
      </c>
      <c r="BF162" s="35">
        <f ca="1">INDEX(SF_Output!$AB$2:$AB$400,MATCH($B162,SF_Output!$M$2:$M$400,0))</f>
        <v>1</v>
      </c>
    </row>
    <row r="163" spans="2:58" x14ac:dyDescent="0.25">
      <c r="B163" t="s">
        <v>2300</v>
      </c>
      <c r="C163" t="s">
        <v>2122</v>
      </c>
      <c r="D163" t="s">
        <v>2123</v>
      </c>
      <c r="E163" t="s">
        <v>2124</v>
      </c>
      <c r="F163" s="116" t="str">
        <f t="shared" si="36"/>
        <v>Included</v>
      </c>
      <c r="G163" t="str">
        <f>IF(B163="","",INDEX(SF_Output!$K$1:$K$400,MATCH(B163,SF_Output!$M$1:$M$400,0)))</f>
        <v>Cognos</v>
      </c>
      <c r="H163" cm="1">
        <f t="array" ref="H163">_xlfn.IFS(B163="","",(SUMIFS(SF_Output!$F$1:$F$400,SF_Output!$AC$1:$AC$400,_xlfn.TEXTJOIN(",",TRUE,B163:E163))+SUMIFS(SF_Output!$G$1:$G$400,SF_Output!$AC$1:$AC$400,_xlfn.TEXTJOIN(",",TRUE,B163:E163)))&lt;&gt;0,SF_Output!$Y$2,INDEX(SF_Output!$F$1:$F$400,MATCH(_xlfn.TEXTJOIN(",",TRUE,B163:E163),SF_Output!$AC$1:$AC$400,0))=0,INDEX(SF_Output!$R$1:$R$400,MATCH(_xlfn.TEXTJOIN(",",TRUE,B163:E163),SF_Output!$AC$1:$AC$400,0)))</f>
        <v>5000</v>
      </c>
      <c r="I163" s="125">
        <f>IFERROR(IF(AND(H163&gt;1,H163&lt;&gt;""),ROUND(SUMIFS(SF_Output!$S$1:$S$400,SF_Output!$AC$1:$AC$400,_xlfn.TEXTJOIN(",",TRUE,B163:E163),SF_Output!$Q$1:$Q$400,"monthly")*(1-W163)/H163,4),""),"")</f>
        <v>1.5800000000000002E-2</v>
      </c>
      <c r="J163" s="6">
        <f>IF(B163="","",SUMIFS(SF_Output!$S$1:$S$400,SF_Output!$AC$1:$AC$400,_xlfn.TEXTJOIN(",",TRUE,B163:E163),SF_Output!$Q$1:$Q$400,"One Time",SF_Output!$L$1:$L$400,"license fee")+SUMIFS(SF_Output!$S$1:$S$400,SF_Output!$AC$1:$AC$400,_xlfn.TEXTJOIN(",",TRUE,B163:E163),SF_Output!$Q$1:$Q$400,"One Time",SF_Output!$L$1:$L$400,"software license")+SUMIFS(SF_Output!$S$1:$S$400,SF_Output!$AC$1:$AC$400,_xlfn.TEXTJOIN(",",TRUE,B163:E163),SF_Output!$Q$1:$Q$400,"One Time",SF_Output!$L$1:$L$400,"hardware"))</f>
        <v>0</v>
      </c>
      <c r="K163" s="112" t="str">
        <f>IF(OR(B163=0,B163="",G163="hardware",J163=0),"",IF(AF163&lt;&gt;"exclusion",MAX(K$9,-((SUMIFS(SF_Output!$T$1:$T$400,SF_Output!$AC$1:$AC$400,_xlfn.TEXTJOIN(",",TRUE,$B163:$E163),SF_Output!$Q$1:$Q$400,"One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license"))/J163)))</f>
        <v/>
      </c>
      <c r="L163" s="6">
        <f t="shared" si="37"/>
        <v>0</v>
      </c>
      <c r="N163" s="6">
        <f>IF(B163="","",SUMIFS(SF_Output!$S$1:$S$400,SF_Output!$AC$1:$AC$400,_xlfn.TEXTJOIN(",",TRUE,B163:E163),SF_Output!$Q$1:$Q$400,"One Time",SF_Output!$L$1:$L$400,"professional service"))</f>
        <v>750</v>
      </c>
      <c r="O163" s="112">
        <f>IF(OR(B163=0,B163="",N163=0),"",IF(AF163&lt;&gt;"exclusion",MAX(O$9,-(SUMIFS(SF_Output!$T$1:$T$400,SF_Output!$AC$1:$AC$400,_xlfn.TEXTJOIN(",",TRUE,$B163:$E163),SF_Output!$Q$1:$Q$400,"One Time",SF_Output!$L$1:$L$400,"professional service"))/N163),-((SUMIFS(SF_Output!$T$1:$T$400,SF_Output!$AC$1:$AC$400,_xlfn.TEXTJOIN(",",TRUE,$B163:$E163),SF_Output!$Q$1:$Q$400,"One Time",SF_Output!$L$1:$L$400,"professional service")/N163))))</f>
        <v>1</v>
      </c>
      <c r="P163" s="6">
        <f t="shared" si="38"/>
        <v>0</v>
      </c>
      <c r="R163" s="6">
        <f>IF(B163="","",SUMIFS(SF_Output!$S$1:$S$400,SF_Output!$AC$1:$AC$400,_xlfn.TEXTJOIN(",",TRUE,B163:E163),SF_Output!$Q$1:$Q$400,"yearly")+SUMIFS(SF_Output!$S$1:$S$400,SF_Output!$AC$1:$AC$400,_xlfn.TEXTJOIN(",",TRUE,B163:E163),SF_Output!$Q$1:$Q$400,"quarterly")*4)</f>
        <v>0</v>
      </c>
      <c r="S163" s="112" t="str">
        <f>IF(OR(B163=0,B163="",G163="hardware",R163=0),"",IF(AF163&lt;&gt;"exclusion",MAX(S$9,-(SUMIFS(SF_Output!$T$1:$T$400,SF_Output!$AC$1:$AC$400,_xlfn.TEXTJOIN(",",TRUE,$B163:$E163),SF_Output!$Q$1:$Q$400,"yearly"))/R163),-((SUMIFS(SF_Output!$T$1:$T$400,SF_Output!$AC$1:$AC$400,_xlfn.TEXTJOIN(",",TRUE,$B163:$E163),SF_Output!$Q$1:$Q$400,"yearly")/R163))))</f>
        <v/>
      </c>
      <c r="T163" s="6">
        <f t="shared" si="39"/>
        <v>0</v>
      </c>
      <c r="V163" s="6" cm="1">
        <f t="array" ref="V163">_xlfn.IFS(B163="","",AND(B163&lt;&gt;"",H163=SF_Output!$Y$2,SUMIFS(SF_Output!$T$1:$T$400,SF_Output!$AC$1:$AC$400,_xlfn.TEXTJOIN(",",TRUE,B163:E163),SF_Output!$Q$1:$Q$400,"monthly")=0),(SUMIFS(SF_Output!$F$1:$F$400,SF_Output!$AC$1:$AC$400,_xlfn.TEXTJOIN(",",TRUE,B163:E163),SF_Output!$Q$1:$Q$400,"monthly")+SUMIFS(SF_Output!$G$1:$G$400,SF_Output!$AC$1:$AC$400,_xlfn.TEXTJOIN(",",TRUE,B163:E163),SF_Output!$Q$1:$Q$400,"monthly"))*H163,AND(B163&lt;&gt;"",H163=SF_Output!$Y$2,SUMIFS(SF_Output!$T$1:$T$400,SF_Output!$AC$1:$AC$400,_xlfn.TEXTJOIN(",",TRUE,B163:E163),SF_Output!$Q$1:$Q$400,"monthly")&lt;&gt;0),SUMIFS(SF_Output!$S$1:$S$400,SF_Output!$AC$1:$AC$400,_xlfn.TEXTJOIN(",",TRUE,B163:E163),SF_Output!$Q$1:$Q$400,"monthly"),AND(B163&lt;&gt;"",H163&lt;&gt;SF_Output!$Y$2),SUMIFS(SF_Output!$S$1:$S$400,SF_Output!$AC$1:$AC$400,_xlfn.TEXTJOIN(",",TRUE,B163:E163),SF_Output!$Q$1:$Q$400,"monthly"))</f>
        <v>105</v>
      </c>
      <c r="W163" s="112" cm="1">
        <f t="array" ref="W163">_xlfn.IFS(OR(B163=0,B163="",V163=0),"",AF163&lt;&gt;"exclusion",MAX($W$9,$W$7,(-(SUMIFS(SF_Output!$T$1:$T$400,SF_Output!$AC$1:$AC$400,_xlfn.TEXTJOIN(",",TRUE,$B163:$E163),SF_Output!$Q$1:$Q$400,"monthly"))/V163)),AF163="exclusion",-(SUMIFS(SF_Output!$T$1:$T$400,SF_Output!$AC$1:$AC$400,_xlfn.TEXTJOIN(",",TRUE,$B163:$E163),SF_Output!$Q$1:$Q$400,"monthly"))/V163)</f>
        <v>0.25</v>
      </c>
      <c r="X163" s="6" cm="1">
        <f t="array" ref="X163">IFERROR(_xlfn.IFS(V163=0,0,V163="","",W163=0,V163,OR(V163&lt;&gt;0,V163&lt;&gt;""),H163*I163),V163*(1-W163))</f>
        <v>79.000000000000014</v>
      </c>
      <c r="Z163" s="6">
        <f>IFERROR(IF(B163="","",SUMIFS(Billing_Fallout!H:H,Billing_Fallout!N:N,B163)),0)</f>
        <v>0</v>
      </c>
      <c r="AA163" s="6">
        <f t="shared" si="40"/>
        <v>0</v>
      </c>
      <c r="AB163" s="6">
        <f>IFERROR(IF(B163="","",SUMIFS(Billing_Fallout!J:J,Billing_Fallout!N:N,B163)),0)</f>
        <v>0</v>
      </c>
      <c r="AD163" s="6">
        <f t="shared" si="41"/>
        <v>79.000000000000014</v>
      </c>
      <c r="AF163" t="str">
        <f>IFERROR(INDEX(H_Tables!$B$1:$B$1500,MATCH(INDEX(SF_Output!$J$1:$J$400,MATCH(B163,SF_Output!$M$1:$M$400,0)),H_Tables!$A$1:$A$1500,0)),"")</f>
        <v>Exclusion</v>
      </c>
      <c r="AI163" s="119" t="str">
        <f t="shared" si="42"/>
        <v/>
      </c>
      <c r="AJ163" s="121">
        <f>IFERROR(INDEX(SF_Output!AD:AD,MATCH(_xlfn.TEXTJOIN(",",TRUE,B163:E163),SF_Output!AC1:AC400,0)),0.05)</f>
        <v>125</v>
      </c>
      <c r="AK163" t="str">
        <f>IF(SUMIFS(SF_Output!$F$1:$F$400,SF_Output!$AC$1:$AC$400,_xlfn.TEXTJOIN(",",TRUE,B163:E163))+SUMIFS(SF_Output!$G$1:$G$400,SF_Output!$AC$1:$AC$400,_xlfn.TEXTJOIN(",",TRUE,B163:E163))=0,"","PAP")</f>
        <v>PAP</v>
      </c>
      <c r="AL163" s="35" t="str">
        <f t="shared" si="43"/>
        <v>Cognos BI Data Dictionary jhaEnterprise Workflow,New,Hosted by JHA,0</v>
      </c>
      <c r="AQ163" s="35"/>
      <c r="AR163" s="35" t="str" cm="1">
        <f t="array" ref="AR163">IFERROR(_xlfn.IFS(AND(E163*1=1,F163="Included"),"Change to Included",AND(E163*1=0,F163="Optional"),"Change to Optional",OR(B163="",F163="replaced"),""),"")</f>
        <v/>
      </c>
      <c r="AS163" s="35" t="str">
        <f t="shared" si="44"/>
        <v/>
      </c>
      <c r="AT163" s="35" t="str">
        <f t="shared" si="45"/>
        <v/>
      </c>
      <c r="AU163" s="35" t="str">
        <f t="shared" si="46"/>
        <v/>
      </c>
      <c r="AV163" s="35" t="str">
        <f t="shared" si="47"/>
        <v/>
      </c>
      <c r="AW163" s="35" t="str">
        <f t="shared" si="48"/>
        <v/>
      </c>
      <c r="AX163" s="35" t="str">
        <f t="shared" si="49"/>
        <v/>
      </c>
      <c r="AY163" s="35" t="str">
        <f t="shared" si="50"/>
        <v/>
      </c>
      <c r="AZ163" s="35" t="str">
        <f t="shared" si="51"/>
        <v/>
      </c>
      <c r="BA163" s="35" t="str">
        <f t="shared" si="52"/>
        <v/>
      </c>
      <c r="BB163" s="35" t="str">
        <f t="shared" si="53"/>
        <v/>
      </c>
      <c r="BC163" s="35"/>
      <c r="BE163" s="35">
        <f ca="1">INDEX(SF_Output!$AA$2:$AA$400,MATCH($B163,SF_Output!$M$2:$M$400,0))</f>
        <v>8</v>
      </c>
      <c r="BF163" s="35">
        <f ca="1">INDEX(SF_Output!$AB$2:$AB$400,MATCH($B163,SF_Output!$M$2:$M$400,0))</f>
        <v>1</v>
      </c>
    </row>
    <row r="164" spans="2:58" x14ac:dyDescent="0.25">
      <c r="B164" t="s">
        <v>2303</v>
      </c>
      <c r="C164" t="s">
        <v>2122</v>
      </c>
      <c r="D164" t="s">
        <v>2123</v>
      </c>
      <c r="E164" t="s">
        <v>2124</v>
      </c>
      <c r="F164" s="116" t="str">
        <f t="shared" si="36"/>
        <v>Included</v>
      </c>
      <c r="G164" t="str">
        <f>IF(B164="","",INDEX(SF_Output!$K$1:$K$400,MATCH(B164,SF_Output!$M$1:$M$400,0)))</f>
        <v>Cognos</v>
      </c>
      <c r="H164" cm="1">
        <f t="array" ref="H164">_xlfn.IFS(B164="","",(SUMIFS(SF_Output!$F$1:$F$400,SF_Output!$AC$1:$AC$400,_xlfn.TEXTJOIN(",",TRUE,B164:E164))+SUMIFS(SF_Output!$G$1:$G$400,SF_Output!$AC$1:$AC$400,_xlfn.TEXTJOIN(",",TRUE,B164:E164)))&lt;&gt;0,SF_Output!$Y$2,INDEX(SF_Output!$F$1:$F$400,MATCH(_xlfn.TEXTJOIN(",",TRUE,B164:E164),SF_Output!$AC$1:$AC$400,0))=0,INDEX(SF_Output!$R$1:$R$400,MATCH(_xlfn.TEXTJOIN(",",TRUE,B164:E164),SF_Output!$AC$1:$AC$400,0)))</f>
        <v>5000</v>
      </c>
      <c r="I164" s="125">
        <f>IFERROR(IF(AND(H164&gt;1,H164&lt;&gt;""),ROUND(SUMIFS(SF_Output!$S$1:$S$400,SF_Output!$AC$1:$AC$400,_xlfn.TEXTJOIN(",",TRUE,B164:E164),SF_Output!$Q$1:$Q$400,"monthly")*(1-W164)/H164,4),""),"")</f>
        <v>1.5800000000000002E-2</v>
      </c>
      <c r="J164" s="6">
        <f>IF(B164="","",SUMIFS(SF_Output!$S$1:$S$400,SF_Output!$AC$1:$AC$400,_xlfn.TEXTJOIN(",",TRUE,B164:E164),SF_Output!$Q$1:$Q$400,"One Time",SF_Output!$L$1:$L$400,"license fee")+SUMIFS(SF_Output!$S$1:$S$400,SF_Output!$AC$1:$AC$400,_xlfn.TEXTJOIN(",",TRUE,B164:E164),SF_Output!$Q$1:$Q$400,"One Time",SF_Output!$L$1:$L$400,"software license")+SUMIFS(SF_Output!$S$1:$S$400,SF_Output!$AC$1:$AC$400,_xlfn.TEXTJOIN(",",TRUE,B164:E164),SF_Output!$Q$1:$Q$400,"One Time",SF_Output!$L$1:$L$400,"hardware"))</f>
        <v>0</v>
      </c>
      <c r="K164" s="112" t="str">
        <f>IF(OR(B164=0,B164="",G164="hardware",J164=0),"",IF(AF164&lt;&gt;"exclusion",MAX(K$9,-((SUMIFS(SF_Output!$T$1:$T$400,SF_Output!$AC$1:$AC$400,_xlfn.TEXTJOIN(",",TRUE,$B164:$E164),SF_Output!$Q$1:$Q$400,"One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license"))/J164)))</f>
        <v/>
      </c>
      <c r="L164" s="6">
        <f t="shared" si="37"/>
        <v>0</v>
      </c>
      <c r="N164" s="6">
        <f>IF(B164="","",SUMIFS(SF_Output!$S$1:$S$400,SF_Output!$AC$1:$AC$400,_xlfn.TEXTJOIN(",",TRUE,B164:E164),SF_Output!$Q$1:$Q$400,"One Time",SF_Output!$L$1:$L$400,"professional service"))</f>
        <v>0</v>
      </c>
      <c r="O164" s="112" t="str">
        <f>IF(OR(B164=0,B164="",N164=0),"",IF(AF164&lt;&gt;"exclusion",MAX(O$9,-(SUMIFS(SF_Output!$T$1:$T$400,SF_Output!$AC$1:$AC$400,_xlfn.TEXTJOIN(",",TRUE,$B164:$E164),SF_Output!$Q$1:$Q$400,"One Time",SF_Output!$L$1:$L$400,"professional service"))/N164),-((SUMIFS(SF_Output!$T$1:$T$400,SF_Output!$AC$1:$AC$400,_xlfn.TEXTJOIN(",",TRUE,$B164:$E164),SF_Output!$Q$1:$Q$400,"One Time",SF_Output!$L$1:$L$400,"professional service")/N164))))</f>
        <v/>
      </c>
      <c r="P164" s="6">
        <f t="shared" si="38"/>
        <v>0</v>
      </c>
      <c r="R164" s="6">
        <f>IF(B164="","",SUMIFS(SF_Output!$S$1:$S$400,SF_Output!$AC$1:$AC$400,_xlfn.TEXTJOIN(",",TRUE,B164:E164),SF_Output!$Q$1:$Q$400,"yearly")+SUMIFS(SF_Output!$S$1:$S$400,SF_Output!$AC$1:$AC$400,_xlfn.TEXTJOIN(",",TRUE,B164:E164),SF_Output!$Q$1:$Q$400,"quarterly")*4)</f>
        <v>0</v>
      </c>
      <c r="S164" s="112" t="str">
        <f>IF(OR(B164=0,B164="",G164="hardware",R164=0),"",IF(AF164&lt;&gt;"exclusion",MAX(S$9,-(SUMIFS(SF_Output!$T$1:$T$400,SF_Output!$AC$1:$AC$400,_xlfn.TEXTJOIN(",",TRUE,$B164:$E164),SF_Output!$Q$1:$Q$400,"yearly"))/R164),-((SUMIFS(SF_Output!$T$1:$T$400,SF_Output!$AC$1:$AC$400,_xlfn.TEXTJOIN(",",TRUE,$B164:$E164),SF_Output!$Q$1:$Q$400,"yearly")/R164))))</f>
        <v/>
      </c>
      <c r="T164" s="6">
        <f t="shared" si="39"/>
        <v>0</v>
      </c>
      <c r="V164" s="6" cm="1">
        <f t="array" ref="V164">_xlfn.IFS(B164="","",AND(B164&lt;&gt;"",H164=SF_Output!$Y$2,SUMIFS(SF_Output!$T$1:$T$400,SF_Output!$AC$1:$AC$400,_xlfn.TEXTJOIN(",",TRUE,B164:E164),SF_Output!$Q$1:$Q$400,"monthly")=0),(SUMIFS(SF_Output!$F$1:$F$400,SF_Output!$AC$1:$AC$400,_xlfn.TEXTJOIN(",",TRUE,B164:E164),SF_Output!$Q$1:$Q$400,"monthly")+SUMIFS(SF_Output!$G$1:$G$400,SF_Output!$AC$1:$AC$400,_xlfn.TEXTJOIN(",",TRUE,B164:E164),SF_Output!$Q$1:$Q$400,"monthly"))*H164,AND(B164&lt;&gt;"",H164=SF_Output!$Y$2,SUMIFS(SF_Output!$T$1:$T$400,SF_Output!$AC$1:$AC$400,_xlfn.TEXTJOIN(",",TRUE,B164:E164),SF_Output!$Q$1:$Q$400,"monthly")&lt;&gt;0),SUMIFS(SF_Output!$S$1:$S$400,SF_Output!$AC$1:$AC$400,_xlfn.TEXTJOIN(",",TRUE,B164:E164),SF_Output!$Q$1:$Q$400,"monthly"),AND(B164&lt;&gt;"",H164&lt;&gt;SF_Output!$Y$2),SUMIFS(SF_Output!$S$1:$S$400,SF_Output!$AC$1:$AC$400,_xlfn.TEXTJOIN(",",TRUE,B164:E164),SF_Output!$Q$1:$Q$400,"monthly"))</f>
        <v>105</v>
      </c>
      <c r="W164" s="112" cm="1">
        <f t="array" ref="W164">_xlfn.IFS(OR(B164=0,B164="",V164=0),"",AF164&lt;&gt;"exclusion",MAX($W$9,$W$7,(-(SUMIFS(SF_Output!$T$1:$T$400,SF_Output!$AC$1:$AC$400,_xlfn.TEXTJOIN(",",TRUE,$B164:$E164),SF_Output!$Q$1:$Q$400,"monthly"))/V164)),AF164="exclusion",-(SUMIFS(SF_Output!$T$1:$T$400,SF_Output!$AC$1:$AC$400,_xlfn.TEXTJOIN(",",TRUE,$B164:$E164),SF_Output!$Q$1:$Q$400,"monthly"))/V164)</f>
        <v>0.25</v>
      </c>
      <c r="X164" s="6" cm="1">
        <f t="array" ref="X164">IFERROR(_xlfn.IFS(V164=0,0,V164="","",W164=0,V164,OR(V164&lt;&gt;0,V164&lt;&gt;""),H164*I164),V164*(1-W164))</f>
        <v>79.000000000000014</v>
      </c>
      <c r="Z164" s="6">
        <f>IFERROR(IF(B164="","",SUMIFS(Billing_Fallout!H:H,Billing_Fallout!N:N,B164)),0)</f>
        <v>0</v>
      </c>
      <c r="AA164" s="6">
        <f t="shared" si="40"/>
        <v>0</v>
      </c>
      <c r="AB164" s="6">
        <f>IFERROR(IF(B164="","",SUMIFS(Billing_Fallout!J:J,Billing_Fallout!N:N,B164)),0)</f>
        <v>0</v>
      </c>
      <c r="AD164" s="6">
        <f t="shared" si="41"/>
        <v>79.000000000000014</v>
      </c>
      <c r="AF164" t="str">
        <f>IFERROR(INDEX(H_Tables!$B$1:$B$1500,MATCH(INDEX(SF_Output!$J$1:$J$400,MATCH(B164,SF_Output!$M$1:$M$400,0)),H_Tables!$A$1:$A$1500,0)),"")</f>
        <v>Exclusion</v>
      </c>
      <c r="AI164" s="119" t="str">
        <f t="shared" si="42"/>
        <v/>
      </c>
      <c r="AJ164" s="121">
        <f>IFERROR(INDEX(SF_Output!AD:AD,MATCH(_xlfn.TEXTJOIN(",",TRUE,B164:E164),SF_Output!AC1:AC400,0)),0.05)</f>
        <v>127</v>
      </c>
      <c r="AK164" t="str">
        <f>IF(SUMIFS(SF_Output!$F$1:$F$400,SF_Output!$AC$1:$AC$400,_xlfn.TEXTJOIN(",",TRUE,B164:E164))+SUMIFS(SF_Output!$G$1:$G$400,SF_Output!$AC$1:$AC$400,_xlfn.TEXTJOIN(",",TRUE,B164:E164))=0,"","PAP")</f>
        <v>PAP</v>
      </c>
      <c r="AL164" s="35" t="str">
        <f t="shared" si="43"/>
        <v>Cognos BI Data Dictionary Synapsys,New,Hosted by JHA,0</v>
      </c>
      <c r="AQ164" s="35"/>
      <c r="AR164" s="35" t="str" cm="1">
        <f t="array" ref="AR164">IFERROR(_xlfn.IFS(AND(E164*1=1,F164="Included"),"Change to Included",AND(E164*1=0,F164="Optional"),"Change to Optional",OR(B164="",F164="replaced"),""),"")</f>
        <v/>
      </c>
      <c r="AS164" s="35" t="str">
        <f t="shared" si="44"/>
        <v/>
      </c>
      <c r="AT164" s="35" t="str">
        <f t="shared" si="45"/>
        <v/>
      </c>
      <c r="AU164" s="35" t="str">
        <f t="shared" si="46"/>
        <v/>
      </c>
      <c r="AV164" s="35" t="str">
        <f t="shared" si="47"/>
        <v/>
      </c>
      <c r="AW164" s="35" t="str">
        <f t="shared" si="48"/>
        <v/>
      </c>
      <c r="AX164" s="35" t="str">
        <f t="shared" si="49"/>
        <v/>
      </c>
      <c r="AY164" s="35" t="str">
        <f t="shared" si="50"/>
        <v/>
      </c>
      <c r="AZ164" s="35" t="str">
        <f t="shared" si="51"/>
        <v/>
      </c>
      <c r="BA164" s="35" t="str">
        <f t="shared" si="52"/>
        <v/>
      </c>
      <c r="BB164" s="35" t="str">
        <f t="shared" si="53"/>
        <v/>
      </c>
      <c r="BC164" s="35"/>
      <c r="BE164" s="35">
        <f ca="1">INDEX(SF_Output!$AA$2:$AA$400,MATCH($B164,SF_Output!$M$2:$M$400,0))</f>
        <v>8</v>
      </c>
      <c r="BF164" s="35">
        <f ca="1">INDEX(SF_Output!$AB$2:$AB$400,MATCH($B164,SF_Output!$M$2:$M$400,0))</f>
        <v>1</v>
      </c>
    </row>
    <row r="165" spans="2:58" x14ac:dyDescent="0.25">
      <c r="B165" t="s">
        <v>2304</v>
      </c>
      <c r="C165" t="s">
        <v>2122</v>
      </c>
      <c r="D165" t="s">
        <v>2123</v>
      </c>
      <c r="E165" t="s">
        <v>2124</v>
      </c>
      <c r="F165" s="116" t="str">
        <f t="shared" si="36"/>
        <v>Included</v>
      </c>
      <c r="G165" t="str">
        <f>IF(B165="","",INDEX(SF_Output!$K$1:$K$400,MATCH(B165,SF_Output!$M$1:$M$400,0)))</f>
        <v>Cognos</v>
      </c>
      <c r="H165" cm="1">
        <f t="array" ref="H165">_xlfn.IFS(B165="","",(SUMIFS(SF_Output!$F$1:$F$400,SF_Output!$AC$1:$AC$400,_xlfn.TEXTJOIN(",",TRUE,B165:E165))+SUMIFS(SF_Output!$G$1:$G$400,SF_Output!$AC$1:$AC$400,_xlfn.TEXTJOIN(",",TRUE,B165:E165)))&lt;&gt;0,SF_Output!$Y$2,INDEX(SF_Output!$F$1:$F$400,MATCH(_xlfn.TEXTJOIN(",",TRUE,B165:E165),SF_Output!$AC$1:$AC$400,0))=0,INDEX(SF_Output!$R$1:$R$400,MATCH(_xlfn.TEXTJOIN(",",TRUE,B165:E165),SF_Output!$AC$1:$AC$400,0)))</f>
        <v>5000</v>
      </c>
      <c r="I165" s="125">
        <f>IFERROR(IF(AND(H165&gt;1,H165&lt;&gt;""),ROUND(SUMIFS(SF_Output!$S$1:$S$400,SF_Output!$AC$1:$AC$400,_xlfn.TEXTJOIN(",",TRUE,B165:E165),SF_Output!$Q$1:$Q$400,"monthly")*(1-W165)/H165,4),""),"")</f>
        <v>1.5800000000000002E-2</v>
      </c>
      <c r="J165" s="6">
        <f>IF(B165="","",SUMIFS(SF_Output!$S$1:$S$400,SF_Output!$AC$1:$AC$400,_xlfn.TEXTJOIN(",",TRUE,B165:E165),SF_Output!$Q$1:$Q$400,"One Time",SF_Output!$L$1:$L$400,"license fee")+SUMIFS(SF_Output!$S$1:$S$400,SF_Output!$AC$1:$AC$400,_xlfn.TEXTJOIN(",",TRUE,B165:E165),SF_Output!$Q$1:$Q$400,"One Time",SF_Output!$L$1:$L$400,"software license")+SUMIFS(SF_Output!$S$1:$S$400,SF_Output!$AC$1:$AC$400,_xlfn.TEXTJOIN(",",TRUE,B165:E165),SF_Output!$Q$1:$Q$400,"One Time",SF_Output!$L$1:$L$400,"hardware"))</f>
        <v>0</v>
      </c>
      <c r="K165" s="112" t="str">
        <f>IF(OR(B165=0,B165="",G165="hardware",J165=0),"",IF(AF165&lt;&gt;"exclusion",MAX(K$9,-((SUMIFS(SF_Output!$T$1:$T$400,SF_Output!$AC$1:$AC$400,_xlfn.TEXTJOIN(",",TRUE,$B165:$E165),SF_Output!$Q$1:$Q$400,"One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license"))/J165)))</f>
        <v/>
      </c>
      <c r="L165" s="6">
        <f t="shared" si="37"/>
        <v>0</v>
      </c>
      <c r="N165" s="6">
        <f>IF(B165="","",SUMIFS(SF_Output!$S$1:$S$400,SF_Output!$AC$1:$AC$400,_xlfn.TEXTJOIN(",",TRUE,B165:E165),SF_Output!$Q$1:$Q$400,"One Time",SF_Output!$L$1:$L$400,"professional service"))</f>
        <v>1500</v>
      </c>
      <c r="O165" s="112">
        <f>IF(OR(B165=0,B165="",N165=0),"",IF(AF165&lt;&gt;"exclusion",MAX(O$9,-(SUMIFS(SF_Output!$T$1:$T$400,SF_Output!$AC$1:$AC$400,_xlfn.TEXTJOIN(",",TRUE,$B165:$E165),SF_Output!$Q$1:$Q$400,"One Time",SF_Output!$L$1:$L$400,"professional service"))/N165),-((SUMIFS(SF_Output!$T$1:$T$400,SF_Output!$AC$1:$AC$400,_xlfn.TEXTJOIN(",",TRUE,$B165:$E165),SF_Output!$Q$1:$Q$400,"One Time",SF_Output!$L$1:$L$400,"professional service")/N165))))</f>
        <v>1</v>
      </c>
      <c r="P165" s="6">
        <f t="shared" si="38"/>
        <v>0</v>
      </c>
      <c r="R165" s="6">
        <f>IF(B165="","",SUMIFS(SF_Output!$S$1:$S$400,SF_Output!$AC$1:$AC$400,_xlfn.TEXTJOIN(",",TRUE,B165:E165),SF_Output!$Q$1:$Q$400,"yearly")+SUMIFS(SF_Output!$S$1:$S$400,SF_Output!$AC$1:$AC$400,_xlfn.TEXTJOIN(",",TRUE,B165:E165),SF_Output!$Q$1:$Q$400,"quarterly")*4)</f>
        <v>0</v>
      </c>
      <c r="S165" s="112" t="str">
        <f>IF(OR(B165=0,B165="",G165="hardware",R165=0),"",IF(AF165&lt;&gt;"exclusion",MAX(S$9,-(SUMIFS(SF_Output!$T$1:$T$400,SF_Output!$AC$1:$AC$400,_xlfn.TEXTJOIN(",",TRUE,$B165:$E165),SF_Output!$Q$1:$Q$400,"yearly"))/R165),-((SUMIFS(SF_Output!$T$1:$T$400,SF_Output!$AC$1:$AC$400,_xlfn.TEXTJOIN(",",TRUE,$B165:$E165),SF_Output!$Q$1:$Q$400,"yearly")/R165))))</f>
        <v/>
      </c>
      <c r="T165" s="6">
        <f t="shared" si="39"/>
        <v>0</v>
      </c>
      <c r="V165" s="6" cm="1">
        <f t="array" ref="V165">_xlfn.IFS(B165="","",AND(B165&lt;&gt;"",H165=SF_Output!$Y$2,SUMIFS(SF_Output!$T$1:$T$400,SF_Output!$AC$1:$AC$400,_xlfn.TEXTJOIN(",",TRUE,B165:E165),SF_Output!$Q$1:$Q$400,"monthly")=0),(SUMIFS(SF_Output!$F$1:$F$400,SF_Output!$AC$1:$AC$400,_xlfn.TEXTJOIN(",",TRUE,B165:E165),SF_Output!$Q$1:$Q$400,"monthly")+SUMIFS(SF_Output!$G$1:$G$400,SF_Output!$AC$1:$AC$400,_xlfn.TEXTJOIN(",",TRUE,B165:E165),SF_Output!$Q$1:$Q$400,"monthly"))*H165,AND(B165&lt;&gt;"",H165=SF_Output!$Y$2,SUMIFS(SF_Output!$T$1:$T$400,SF_Output!$AC$1:$AC$400,_xlfn.TEXTJOIN(",",TRUE,B165:E165),SF_Output!$Q$1:$Q$400,"monthly")&lt;&gt;0),SUMIFS(SF_Output!$S$1:$S$400,SF_Output!$AC$1:$AC$400,_xlfn.TEXTJOIN(",",TRUE,B165:E165),SF_Output!$Q$1:$Q$400,"monthly"),AND(B165&lt;&gt;"",H165&lt;&gt;SF_Output!$Y$2),SUMIFS(SF_Output!$S$1:$S$400,SF_Output!$AC$1:$AC$400,_xlfn.TEXTJOIN(",",TRUE,B165:E165),SF_Output!$Q$1:$Q$400,"monthly"))</f>
        <v>105</v>
      </c>
      <c r="W165" s="112" cm="1">
        <f t="array" ref="W165">_xlfn.IFS(OR(B165=0,B165="",V165=0),"",AF165&lt;&gt;"exclusion",MAX($W$9,$W$7,(-(SUMIFS(SF_Output!$T$1:$T$400,SF_Output!$AC$1:$AC$400,_xlfn.TEXTJOIN(",",TRUE,$B165:$E165),SF_Output!$Q$1:$Q$400,"monthly"))/V165)),AF165="exclusion",-(SUMIFS(SF_Output!$T$1:$T$400,SF_Output!$AC$1:$AC$400,_xlfn.TEXTJOIN(",",TRUE,$B165:$E165),SF_Output!$Q$1:$Q$400,"monthly"))/V165)</f>
        <v>0.25</v>
      </c>
      <c r="X165" s="6" cm="1">
        <f t="array" ref="X165">IFERROR(_xlfn.IFS(V165=0,0,V165="","",W165=0,V165,OR(V165&lt;&gt;0,V165&lt;&gt;""),H165*I165),V165*(1-W165))</f>
        <v>79.000000000000014</v>
      </c>
      <c r="Z165" s="6">
        <f>IFERROR(IF(B165="","",SUMIFS(Billing_Fallout!H:H,Billing_Fallout!N:N,B165)),0)</f>
        <v>0</v>
      </c>
      <c r="AA165" s="6">
        <f t="shared" si="40"/>
        <v>0</v>
      </c>
      <c r="AB165" s="6">
        <f>IFERROR(IF(B165="","",SUMIFS(Billing_Fallout!J:J,Billing_Fallout!N:N,B165)),0)</f>
        <v>0</v>
      </c>
      <c r="AD165" s="6">
        <f t="shared" si="41"/>
        <v>79.000000000000014</v>
      </c>
      <c r="AF165" t="str">
        <f>IFERROR(INDEX(H_Tables!$B$1:$B$1500,MATCH(INDEX(SF_Output!$J$1:$J$400,MATCH(B165,SF_Output!$M$1:$M$400,0)),H_Tables!$A$1:$A$1500,0)),"")</f>
        <v>Exclusion</v>
      </c>
      <c r="AI165" s="119" t="str">
        <f t="shared" si="42"/>
        <v/>
      </c>
      <c r="AJ165" s="121">
        <f>IFERROR(INDEX(SF_Output!AD:AD,MATCH(_xlfn.TEXTJOIN(",",TRUE,B165:E165),SF_Output!AC1:AC400,0)),0.05)</f>
        <v>129</v>
      </c>
      <c r="AK165" t="str">
        <f>IF(SUMIFS(SF_Output!$F$1:$F$400,SF_Output!$AC$1:$AC$400,_xlfn.TEXTJOIN(",",TRUE,B165:E165))+SUMIFS(SF_Output!$G$1:$G$400,SF_Output!$AC$1:$AC$400,_xlfn.TEXTJOIN(",",TRUE,B165:E165))=0,"","PAP")</f>
        <v>PAP</v>
      </c>
      <c r="AL165" s="35" t="str">
        <f t="shared" si="43"/>
        <v>Cognos BI Data Dictionary Synergy,New,Hosted by JHA,0</v>
      </c>
      <c r="AQ165" s="35"/>
      <c r="AR165" s="35" t="str" cm="1">
        <f t="array" ref="AR165">IFERROR(_xlfn.IFS(AND(E165*1=1,F165="Included"),"Change to Included",AND(E165*1=0,F165="Optional"),"Change to Optional",OR(B165="",F165="replaced"),""),"")</f>
        <v/>
      </c>
      <c r="AS165" s="35" t="str">
        <f t="shared" si="44"/>
        <v/>
      </c>
      <c r="AT165" s="35" t="str">
        <f t="shared" si="45"/>
        <v/>
      </c>
      <c r="AU165" s="35" t="str">
        <f t="shared" si="46"/>
        <v/>
      </c>
      <c r="AV165" s="35" t="str">
        <f t="shared" si="47"/>
        <v/>
      </c>
      <c r="AW165" s="35" t="str">
        <f t="shared" si="48"/>
        <v/>
      </c>
      <c r="AX165" s="35" t="str">
        <f t="shared" si="49"/>
        <v/>
      </c>
      <c r="AY165" s="35" t="str">
        <f t="shared" si="50"/>
        <v/>
      </c>
      <c r="AZ165" s="35" t="str">
        <f t="shared" si="51"/>
        <v/>
      </c>
      <c r="BA165" s="35" t="str">
        <f t="shared" si="52"/>
        <v/>
      </c>
      <c r="BB165" s="35" t="str">
        <f t="shared" si="53"/>
        <v/>
      </c>
      <c r="BC165" s="35"/>
      <c r="BE165" s="35">
        <f ca="1">INDEX(SF_Output!$AA$2:$AA$400,MATCH($B165,SF_Output!$M$2:$M$400,0))</f>
        <v>8</v>
      </c>
      <c r="BF165" s="35">
        <f ca="1">INDEX(SF_Output!$AB$2:$AB$400,MATCH($B165,SF_Output!$M$2:$M$400,0))</f>
        <v>1</v>
      </c>
    </row>
    <row r="166" spans="2:58" x14ac:dyDescent="0.25">
      <c r="B166" t="s">
        <v>2305</v>
      </c>
      <c r="C166" t="s">
        <v>2122</v>
      </c>
      <c r="D166" t="s">
        <v>2123</v>
      </c>
      <c r="E166" t="s">
        <v>2124</v>
      </c>
      <c r="F166" s="116" t="str">
        <f t="shared" si="36"/>
        <v>Included</v>
      </c>
      <c r="G166" t="str">
        <f>IF(B166="","",INDEX(SF_Output!$K$1:$K$400,MATCH(B166,SF_Output!$M$1:$M$400,0)))</f>
        <v>Cognos</v>
      </c>
      <c r="H166" cm="1">
        <f t="array" ref="H166">_xlfn.IFS(B166="","",(SUMIFS(SF_Output!$F$1:$F$400,SF_Output!$AC$1:$AC$400,_xlfn.TEXTJOIN(",",TRUE,B166:E166))+SUMIFS(SF_Output!$G$1:$G$400,SF_Output!$AC$1:$AC$400,_xlfn.TEXTJOIN(",",TRUE,B166:E166)))&lt;&gt;0,SF_Output!$Y$2,INDEX(SF_Output!$F$1:$F$400,MATCH(_xlfn.TEXTJOIN(",",TRUE,B166:E166),SF_Output!$AC$1:$AC$400,0))=0,INDEX(SF_Output!$R$1:$R$400,MATCH(_xlfn.TEXTJOIN(",",TRUE,B166:E166),SF_Output!$AC$1:$AC$400,0)))</f>
        <v>5000</v>
      </c>
      <c r="I166" s="125">
        <f>IFERROR(IF(AND(H166&gt;1,H166&lt;&gt;""),ROUND(SUMIFS(SF_Output!$S$1:$S$400,SF_Output!$AC$1:$AC$400,_xlfn.TEXTJOIN(",",TRUE,B166:E166),SF_Output!$Q$1:$Q$400,"monthly")*(1-W166)/H166,4),""),"")</f>
        <v>1.5800000000000002E-2</v>
      </c>
      <c r="J166" s="6">
        <f>IF(B166="","",SUMIFS(SF_Output!$S$1:$S$400,SF_Output!$AC$1:$AC$400,_xlfn.TEXTJOIN(",",TRUE,B166:E166),SF_Output!$Q$1:$Q$400,"One Time",SF_Output!$L$1:$L$400,"license fee")+SUMIFS(SF_Output!$S$1:$S$400,SF_Output!$AC$1:$AC$400,_xlfn.TEXTJOIN(",",TRUE,B166:E166),SF_Output!$Q$1:$Q$400,"One Time",SF_Output!$L$1:$L$400,"software license")+SUMIFS(SF_Output!$S$1:$S$400,SF_Output!$AC$1:$AC$400,_xlfn.TEXTJOIN(",",TRUE,B166:E166),SF_Output!$Q$1:$Q$400,"One Time",SF_Output!$L$1:$L$400,"hardware"))</f>
        <v>0</v>
      </c>
      <c r="K166" s="112" t="str">
        <f>IF(OR(B166=0,B166="",G166="hardware",J166=0),"",IF(AF166&lt;&gt;"exclusion",MAX(K$9,-((SUMIFS(SF_Output!$T$1:$T$400,SF_Output!$AC$1:$AC$400,_xlfn.TEXTJOIN(",",TRUE,$B166:$E166),SF_Output!$Q$1:$Q$400,"One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license"))/J166)))</f>
        <v/>
      </c>
      <c r="L166" s="6">
        <f t="shared" si="37"/>
        <v>0</v>
      </c>
      <c r="N166" s="6">
        <f>IF(B166="","",SUMIFS(SF_Output!$S$1:$S$400,SF_Output!$AC$1:$AC$400,_xlfn.TEXTJOIN(",",TRUE,B166:E166),SF_Output!$Q$1:$Q$400,"One Time",SF_Output!$L$1:$L$400,"professional service"))</f>
        <v>0</v>
      </c>
      <c r="O166" s="112" t="str">
        <f>IF(OR(B166=0,B166="",N166=0),"",IF(AF166&lt;&gt;"exclusion",MAX(O$9,-(SUMIFS(SF_Output!$T$1:$T$400,SF_Output!$AC$1:$AC$400,_xlfn.TEXTJOIN(",",TRUE,$B166:$E166),SF_Output!$Q$1:$Q$400,"One Time",SF_Output!$L$1:$L$400,"professional service"))/N166),-((SUMIFS(SF_Output!$T$1:$T$400,SF_Output!$AC$1:$AC$400,_xlfn.TEXTJOIN(",",TRUE,$B166:$E166),SF_Output!$Q$1:$Q$400,"One Time",SF_Output!$L$1:$L$400,"professional service")/N166))))</f>
        <v/>
      </c>
      <c r="P166" s="6">
        <f t="shared" si="38"/>
        <v>0</v>
      </c>
      <c r="R166" s="6">
        <f>IF(B166="","",SUMIFS(SF_Output!$S$1:$S$400,SF_Output!$AC$1:$AC$400,_xlfn.TEXTJOIN(",",TRUE,B166:E166),SF_Output!$Q$1:$Q$400,"yearly")+SUMIFS(SF_Output!$S$1:$S$400,SF_Output!$AC$1:$AC$400,_xlfn.TEXTJOIN(",",TRUE,B166:E166),SF_Output!$Q$1:$Q$400,"quarterly")*4)</f>
        <v>0</v>
      </c>
      <c r="S166" s="112" t="str">
        <f>IF(OR(B166=0,B166="",G166="hardware",R166=0),"",IF(AF166&lt;&gt;"exclusion",MAX(S$9,-(SUMIFS(SF_Output!$T$1:$T$400,SF_Output!$AC$1:$AC$400,_xlfn.TEXTJOIN(",",TRUE,$B166:$E166),SF_Output!$Q$1:$Q$400,"yearly"))/R166),-((SUMIFS(SF_Output!$T$1:$T$400,SF_Output!$AC$1:$AC$400,_xlfn.TEXTJOIN(",",TRUE,$B166:$E166),SF_Output!$Q$1:$Q$400,"yearly")/R166))))</f>
        <v/>
      </c>
      <c r="T166" s="6">
        <f t="shared" si="39"/>
        <v>0</v>
      </c>
      <c r="V166" s="6" cm="1">
        <f t="array" ref="V166">_xlfn.IFS(B166="","",AND(B166&lt;&gt;"",H166=SF_Output!$Y$2,SUMIFS(SF_Output!$T$1:$T$400,SF_Output!$AC$1:$AC$400,_xlfn.TEXTJOIN(",",TRUE,B166:E166),SF_Output!$Q$1:$Q$400,"monthly")=0),(SUMIFS(SF_Output!$F$1:$F$400,SF_Output!$AC$1:$AC$400,_xlfn.TEXTJOIN(",",TRUE,B166:E166),SF_Output!$Q$1:$Q$400,"monthly")+SUMIFS(SF_Output!$G$1:$G$400,SF_Output!$AC$1:$AC$400,_xlfn.TEXTJOIN(",",TRUE,B166:E166),SF_Output!$Q$1:$Q$400,"monthly"))*H166,AND(B166&lt;&gt;"",H166=SF_Output!$Y$2,SUMIFS(SF_Output!$T$1:$T$400,SF_Output!$AC$1:$AC$400,_xlfn.TEXTJOIN(",",TRUE,B166:E166),SF_Output!$Q$1:$Q$400,"monthly")&lt;&gt;0),SUMIFS(SF_Output!$S$1:$S$400,SF_Output!$AC$1:$AC$400,_xlfn.TEXTJOIN(",",TRUE,B166:E166),SF_Output!$Q$1:$Q$400,"monthly"),AND(B166&lt;&gt;"",H166&lt;&gt;SF_Output!$Y$2),SUMIFS(SF_Output!$S$1:$S$400,SF_Output!$AC$1:$AC$400,_xlfn.TEXTJOIN(",",TRUE,B166:E166),SF_Output!$Q$1:$Q$400,"monthly"))</f>
        <v>105</v>
      </c>
      <c r="W166" s="112" cm="1">
        <f t="array" ref="W166">_xlfn.IFS(OR(B166=0,B166="",V166=0),"",AF166&lt;&gt;"exclusion",MAX($W$9,$W$7,(-(SUMIFS(SF_Output!$T$1:$T$400,SF_Output!$AC$1:$AC$400,_xlfn.TEXTJOIN(",",TRUE,$B166:$E166),SF_Output!$Q$1:$Q$400,"monthly"))/V166)),AF166="exclusion",-(SUMIFS(SF_Output!$T$1:$T$400,SF_Output!$AC$1:$AC$400,_xlfn.TEXTJOIN(",",TRUE,$B166:$E166),SF_Output!$Q$1:$Q$400,"monthly"))/V166)</f>
        <v>0.25</v>
      </c>
      <c r="X166" s="6" cm="1">
        <f t="array" ref="X166">IFERROR(_xlfn.IFS(V166=0,0,V166="","",W166=0,V166,OR(V166&lt;&gt;0,V166&lt;&gt;""),H166*I166),V166*(1-W166))</f>
        <v>79.000000000000014</v>
      </c>
      <c r="Z166" s="6">
        <f>IFERROR(IF(B166="","",SUMIFS(Billing_Fallout!H:H,Billing_Fallout!N:N,B166)),0)</f>
        <v>0</v>
      </c>
      <c r="AA166" s="6">
        <f t="shared" si="40"/>
        <v>0</v>
      </c>
      <c r="AB166" s="6">
        <f>IFERROR(IF(B166="","",SUMIFS(Billing_Fallout!J:J,Billing_Fallout!N:N,B166)),0)</f>
        <v>0</v>
      </c>
      <c r="AD166" s="6">
        <f t="shared" si="41"/>
        <v>79.000000000000014</v>
      </c>
      <c r="AF166" t="str">
        <f>IFERROR(INDEX(H_Tables!$B$1:$B$1500,MATCH(INDEX(SF_Output!$J$1:$J$400,MATCH(B166,SF_Output!$M$1:$M$400,0)),H_Tables!$A$1:$A$1500,0)),"")</f>
        <v>Exclusion</v>
      </c>
      <c r="AI166" s="119" t="str">
        <f t="shared" si="42"/>
        <v/>
      </c>
      <c r="AJ166" s="121">
        <f>IFERROR(INDEX(SF_Output!AD:AD,MATCH(_xlfn.TEXTJOIN(",",TRUE,B166:E166),SF_Output!AC1:AC400,0)),0.05)</f>
        <v>131</v>
      </c>
      <c r="AK166" t="str">
        <f>IF(SUMIFS(SF_Output!$F$1:$F$400,SF_Output!$AC$1:$AC$400,_xlfn.TEXTJOIN(",",TRUE,B166:E166))+SUMIFS(SF_Output!$G$1:$G$400,SF_Output!$AC$1:$AC$400,_xlfn.TEXTJOIN(",",TRUE,B166:E166))=0,"","PAP")</f>
        <v>PAP</v>
      </c>
      <c r="AL166" s="35" t="str">
        <f t="shared" si="43"/>
        <v>Cognos BI Data Dictionary Month-End(Silverlake),New,Hosted by JHA,0</v>
      </c>
      <c r="AQ166" s="35"/>
      <c r="AR166" s="35" t="str" cm="1">
        <f t="array" ref="AR166">IFERROR(_xlfn.IFS(AND(E166*1=1,F166="Included"),"Change to Included",AND(E166*1=0,F166="Optional"),"Change to Optional",OR(B166="",F166="replaced"),""),"")</f>
        <v/>
      </c>
      <c r="AS166" s="35" t="str">
        <f t="shared" si="44"/>
        <v/>
      </c>
      <c r="AT166" s="35" t="str">
        <f t="shared" si="45"/>
        <v/>
      </c>
      <c r="AU166" s="35" t="str">
        <f t="shared" si="46"/>
        <v/>
      </c>
      <c r="AV166" s="35" t="str">
        <f t="shared" si="47"/>
        <v/>
      </c>
      <c r="AW166" s="35" t="str">
        <f t="shared" si="48"/>
        <v/>
      </c>
      <c r="AX166" s="35" t="str">
        <f t="shared" si="49"/>
        <v/>
      </c>
      <c r="AY166" s="35" t="str">
        <f t="shared" si="50"/>
        <v/>
      </c>
      <c r="AZ166" s="35" t="str">
        <f t="shared" si="51"/>
        <v/>
      </c>
      <c r="BA166" s="35" t="str">
        <f t="shared" si="52"/>
        <v/>
      </c>
      <c r="BB166" s="35" t="str">
        <f t="shared" si="53"/>
        <v/>
      </c>
      <c r="BC166" s="35"/>
      <c r="BE166" s="35">
        <f ca="1">INDEX(SF_Output!$AA$2:$AA$400,MATCH($B166,SF_Output!$M$2:$M$400,0))</f>
        <v>8</v>
      </c>
      <c r="BF166" s="35">
        <f ca="1">INDEX(SF_Output!$AB$2:$AB$400,MATCH($B166,SF_Output!$M$2:$M$400,0))</f>
        <v>1</v>
      </c>
    </row>
    <row r="167" spans="2:58" x14ac:dyDescent="0.25">
      <c r="B167" t="s">
        <v>1457</v>
      </c>
      <c r="C167" t="s">
        <v>2122</v>
      </c>
      <c r="D167" t="s">
        <v>2207</v>
      </c>
      <c r="E167" t="s">
        <v>2124</v>
      </c>
      <c r="F167" s="116" t="str">
        <f t="shared" si="36"/>
        <v>Included</v>
      </c>
      <c r="G167" t="str">
        <f>IF(B167="","",INDEX(SF_Output!$K$1:$K$400,MATCH(B167,SF_Output!$M$1:$M$400,0)))</f>
        <v>ProfitStars Financial Performance</v>
      </c>
      <c r="H167" cm="1">
        <f t="array" ref="H167">_xlfn.IFS(B167="","",(SUMIFS(SF_Output!$F$1:$F$400,SF_Output!$AC$1:$AC$400,_xlfn.TEXTJOIN(",",TRUE,B167:E167))+SUMIFS(SF_Output!$G$1:$G$400,SF_Output!$AC$1:$AC$400,_xlfn.TEXTJOIN(",",TRUE,B167:E167)))&lt;&gt;0,SF_Output!$Y$2,INDEX(SF_Output!$F$1:$F$400,MATCH(_xlfn.TEXTJOIN(",",TRUE,B167:E167),SF_Output!$AC$1:$AC$400,0))=0,INDEX(SF_Output!$R$1:$R$400,MATCH(_xlfn.TEXTJOIN(",",TRUE,B167:E167),SF_Output!$AC$1:$AC$400,0)))</f>
        <v>5000</v>
      </c>
      <c r="I167" s="125">
        <f>IFERROR(IF(AND(H167&gt;1,H167&lt;&gt;""),ROUND(SUMIFS(SF_Output!$S$1:$S$400,SF_Output!$AC$1:$AC$400,_xlfn.TEXTJOIN(",",TRUE,B167:E167),SF_Output!$Q$1:$Q$400,"monthly")*(1-W167)/H167,4),""),"")</f>
        <v>2.7799999999999998E-2</v>
      </c>
      <c r="J167" s="6">
        <f>IF(B167="","",SUMIFS(SF_Output!$S$1:$S$400,SF_Output!$AC$1:$AC$400,_xlfn.TEXTJOIN(",",TRUE,B167:E167),SF_Output!$Q$1:$Q$400,"One Time",SF_Output!$L$1:$L$400,"license fee")+SUMIFS(SF_Output!$S$1:$S$400,SF_Output!$AC$1:$AC$400,_xlfn.TEXTJOIN(",",TRUE,B167:E167),SF_Output!$Q$1:$Q$400,"One Time",SF_Output!$L$1:$L$400,"software license")+SUMIFS(SF_Output!$S$1:$S$400,SF_Output!$AC$1:$AC$400,_xlfn.TEXTJOIN(",",TRUE,B167:E167),SF_Output!$Q$1:$Q$400,"One Time",SF_Output!$L$1:$L$400,"hardware"))</f>
        <v>0</v>
      </c>
      <c r="K167" s="112" t="str">
        <f>IF(OR(B167=0,B167="",G167="hardware",J167=0),"",IF(AF167&lt;&gt;"exclusion",MAX(K$9,-((SUMIFS(SF_Output!$T$1:$T$400,SF_Output!$AC$1:$AC$400,_xlfn.TEXTJOIN(",",TRUE,$B167:$E167),SF_Output!$Q$1:$Q$400,"One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license"))/J167)))</f>
        <v/>
      </c>
      <c r="L167" s="6">
        <f t="shared" si="37"/>
        <v>0</v>
      </c>
      <c r="N167" s="6">
        <f>IF(B167="","",SUMIFS(SF_Output!$S$1:$S$400,SF_Output!$AC$1:$AC$400,_xlfn.TEXTJOIN(",",TRUE,B167:E167),SF_Output!$Q$1:$Q$400,"One Time",SF_Output!$L$1:$L$400,"professional service"))</f>
        <v>0</v>
      </c>
      <c r="O167" s="112" t="str">
        <f>IF(OR(B167=0,B167="",N167=0),"",IF(AF167&lt;&gt;"exclusion",MAX(O$9,-(SUMIFS(SF_Output!$T$1:$T$400,SF_Output!$AC$1:$AC$400,_xlfn.TEXTJOIN(",",TRUE,$B167:$E167),SF_Output!$Q$1:$Q$400,"One Time",SF_Output!$L$1:$L$400,"professional service"))/N167),-((SUMIFS(SF_Output!$T$1:$T$400,SF_Output!$AC$1:$AC$400,_xlfn.TEXTJOIN(",",TRUE,$B167:$E167),SF_Output!$Q$1:$Q$400,"One Time",SF_Output!$L$1:$L$400,"professional service")/N167))))</f>
        <v/>
      </c>
      <c r="P167" s="6">
        <f t="shared" si="38"/>
        <v>0</v>
      </c>
      <c r="R167" s="6">
        <f>IF(B167="","",SUMIFS(SF_Output!$S$1:$S$400,SF_Output!$AC$1:$AC$400,_xlfn.TEXTJOIN(",",TRUE,B167:E167),SF_Output!$Q$1:$Q$400,"yearly")+SUMIFS(SF_Output!$S$1:$S$400,SF_Output!$AC$1:$AC$400,_xlfn.TEXTJOIN(",",TRUE,B167:E167),SF_Output!$Q$1:$Q$400,"quarterly")*4)</f>
        <v>0</v>
      </c>
      <c r="S167" s="112" t="str">
        <f>IF(OR(B167=0,B167="",G167="hardware",R167=0),"",IF(AF167&lt;&gt;"exclusion",MAX(S$9,-(SUMIFS(SF_Output!$T$1:$T$400,SF_Output!$AC$1:$AC$400,_xlfn.TEXTJOIN(",",TRUE,$B167:$E167),SF_Output!$Q$1:$Q$400,"yearly"))/R167),-((SUMIFS(SF_Output!$T$1:$T$400,SF_Output!$AC$1:$AC$400,_xlfn.TEXTJOIN(",",TRUE,$B167:$E167),SF_Output!$Q$1:$Q$400,"yearly")/R167))))</f>
        <v/>
      </c>
      <c r="T167" s="6">
        <f t="shared" si="39"/>
        <v>0</v>
      </c>
      <c r="V167" s="6" cm="1">
        <f t="array" ref="V167">_xlfn.IFS(B167="","",AND(B167&lt;&gt;"",H167=SF_Output!$Y$2,SUMIFS(SF_Output!$T$1:$T$400,SF_Output!$AC$1:$AC$400,_xlfn.TEXTJOIN(",",TRUE,B167:E167),SF_Output!$Q$1:$Q$400,"monthly")=0),(SUMIFS(SF_Output!$F$1:$F$400,SF_Output!$AC$1:$AC$400,_xlfn.TEXTJOIN(",",TRUE,B167:E167),SF_Output!$Q$1:$Q$400,"monthly")+SUMIFS(SF_Output!$G$1:$G$400,SF_Output!$AC$1:$AC$400,_xlfn.TEXTJOIN(",",TRUE,B167:E167),SF_Output!$Q$1:$Q$400,"monthly"))*H167,AND(B167&lt;&gt;"",H167=SF_Output!$Y$2,SUMIFS(SF_Output!$T$1:$T$400,SF_Output!$AC$1:$AC$400,_xlfn.TEXTJOIN(",",TRUE,B167:E167),SF_Output!$Q$1:$Q$400,"monthly")&lt;&gt;0),SUMIFS(SF_Output!$S$1:$S$400,SF_Output!$AC$1:$AC$400,_xlfn.TEXTJOIN(",",TRUE,B167:E167),SF_Output!$Q$1:$Q$400,"monthly"),AND(B167&lt;&gt;"",H167&lt;&gt;SF_Output!$Y$2),SUMIFS(SF_Output!$S$1:$S$400,SF_Output!$AC$1:$AC$400,_xlfn.TEXTJOIN(",",TRUE,B167:E167),SF_Output!$Q$1:$Q$400,"monthly"))</f>
        <v>185</v>
      </c>
      <c r="W167" s="112" cm="1">
        <f t="array" ref="W167">_xlfn.IFS(OR(B167=0,B167="",V167=0),"",AF167&lt;&gt;"exclusion",MAX($W$9,$W$7,(-(SUMIFS(SF_Output!$T$1:$T$400,SF_Output!$AC$1:$AC$400,_xlfn.TEXTJOIN(",",TRUE,$B167:$E167),SF_Output!$Q$1:$Q$400,"monthly"))/V167)),AF167="exclusion",-(SUMIFS(SF_Output!$T$1:$T$400,SF_Output!$AC$1:$AC$400,_xlfn.TEXTJOIN(",",TRUE,$B167:$E167),SF_Output!$Q$1:$Q$400,"monthly"))/V167)</f>
        <v>0.25</v>
      </c>
      <c r="X167" s="6" cm="1">
        <f t="array" ref="X167">IFERROR(_xlfn.IFS(V167=0,0,V167="","",W167=0,V167,OR(V167&lt;&gt;0,V167&lt;&gt;""),H167*I167),V167*(1-W167))</f>
        <v>139</v>
      </c>
      <c r="Z167" s="6">
        <f>IFERROR(IF(B167="","",SUMIFS(Billing_Fallout!H:H,Billing_Fallout!N:N,B167)),0)</f>
        <v>0</v>
      </c>
      <c r="AA167" s="6">
        <f t="shared" si="40"/>
        <v>0</v>
      </c>
      <c r="AB167" s="6">
        <f>IFERROR(IF(B167="","",SUMIFS(Billing_Fallout!J:J,Billing_Fallout!N:N,B167)),0)</f>
        <v>0</v>
      </c>
      <c r="AD167" s="6">
        <f t="shared" si="41"/>
        <v>139</v>
      </c>
      <c r="AF167" t="str">
        <f>IFERROR(INDEX(H_Tables!$B$1:$B$1500,MATCH(INDEX(SF_Output!$J$1:$J$400,MATCH(B167,SF_Output!$M$1:$M$400,0)),H_Tables!$A$1:$A$1500,0)),"")</f>
        <v>Exclusion</v>
      </c>
      <c r="AI167" s="119" t="str">
        <f t="shared" si="42"/>
        <v/>
      </c>
      <c r="AJ167" s="121">
        <f>IFERROR(INDEX(SF_Output!AD:AD,MATCH(_xlfn.TEXTJOIN(",",TRUE,B167:E167),SF_Output!AC1:AC400,0)),0.05)</f>
        <v>154</v>
      </c>
      <c r="AK167" t="str">
        <f>IF(SUMIFS(SF_Output!$F$1:$F$400,SF_Output!$AC$1:$AC$400,_xlfn.TEXTJOIN(",",TRUE,B167:E167))+SUMIFS(SF_Output!$G$1:$G$400,SF_Output!$AC$1:$AC$400,_xlfn.TEXTJOIN(",",TRUE,B167:E167))=0,"","PAP")</f>
        <v>PAP</v>
      </c>
      <c r="AL167" s="35" t="str">
        <f t="shared" si="43"/>
        <v>FPS Enterprise,New,Hosted by 3rd Party,0</v>
      </c>
      <c r="AQ167" s="35"/>
      <c r="AR167" s="35" t="str" cm="1">
        <f t="array" ref="AR167">IFERROR(_xlfn.IFS(AND(E167*1=1,F167="Included"),"Change to Included",AND(E167*1=0,F167="Optional"),"Change to Optional",OR(B167="",F167="replaced"),""),"")</f>
        <v/>
      </c>
      <c r="AS167" s="35" t="str">
        <f t="shared" si="44"/>
        <v/>
      </c>
      <c r="AT167" s="35" t="str">
        <f t="shared" si="45"/>
        <v/>
      </c>
      <c r="AU167" s="35" t="str">
        <f t="shared" si="46"/>
        <v/>
      </c>
      <c r="AV167" s="35" t="str">
        <f t="shared" si="47"/>
        <v/>
      </c>
      <c r="AW167" s="35" t="str">
        <f t="shared" si="48"/>
        <v/>
      </c>
      <c r="AX167" s="35" t="str">
        <f t="shared" si="49"/>
        <v/>
      </c>
      <c r="AY167" s="35" t="str">
        <f t="shared" si="50"/>
        <v/>
      </c>
      <c r="AZ167" s="35" t="str">
        <f t="shared" si="51"/>
        <v/>
      </c>
      <c r="BA167" s="35" t="str">
        <f t="shared" si="52"/>
        <v/>
      </c>
      <c r="BB167" s="35" t="str">
        <f t="shared" si="53"/>
        <v/>
      </c>
      <c r="BC167" s="35"/>
      <c r="BE167" s="35">
        <f ca="1">INDEX(SF_Output!$AA$2:$AA$400,MATCH($B167,SF_Output!$M$2:$M$400,0))</f>
        <v>8</v>
      </c>
      <c r="BF167" s="35">
        <f ca="1">INDEX(SF_Output!$AB$2:$AB$400,MATCH($B167,SF_Output!$M$2:$M$400,0))</f>
        <v>1</v>
      </c>
    </row>
    <row r="168" spans="2:58" x14ac:dyDescent="0.25">
      <c r="B168" t="s">
        <v>1458</v>
      </c>
      <c r="C168" t="s">
        <v>2122</v>
      </c>
      <c r="D168" t="s">
        <v>2207</v>
      </c>
      <c r="E168" t="s">
        <v>2124</v>
      </c>
      <c r="F168" s="116" t="str">
        <f t="shared" si="36"/>
        <v>Included</v>
      </c>
      <c r="G168" t="str">
        <f>IF(B168="","",INDEX(SF_Output!$K$1:$K$400,MATCH(B168,SF_Output!$M$1:$M$400,0)))</f>
        <v>ProfitStars Financial Performance</v>
      </c>
      <c r="H168" cm="1">
        <f t="array" ref="H168">_xlfn.IFS(B168="","",(SUMIFS(SF_Output!$F$1:$F$400,SF_Output!$AC$1:$AC$400,_xlfn.TEXTJOIN(",",TRUE,B168:E168))+SUMIFS(SF_Output!$G$1:$G$400,SF_Output!$AC$1:$AC$400,_xlfn.TEXTJOIN(",",TRUE,B168:E168)))&lt;&gt;0,SF_Output!$Y$2,INDEX(SF_Output!$F$1:$F$400,MATCH(_xlfn.TEXTJOIN(",",TRUE,B168:E168),SF_Output!$AC$1:$AC$400,0))=0,INDEX(SF_Output!$R$1:$R$400,MATCH(_xlfn.TEXTJOIN(",",TRUE,B168:E168),SF_Output!$AC$1:$AC$400,0)))</f>
        <v>5000</v>
      </c>
      <c r="I168" s="125">
        <f>IFERROR(IF(AND(H168&gt;1,H168&lt;&gt;""),ROUND(SUMIFS(SF_Output!$S$1:$S$400,SF_Output!$AC$1:$AC$400,_xlfn.TEXTJOIN(",",TRUE,B168:E168),SF_Output!$Q$1:$Q$400,"monthly")*(1-W168)/H168,4),""),"")</f>
        <v>3.0800000000000001E-2</v>
      </c>
      <c r="J168" s="6">
        <f>IF(B168="","",SUMIFS(SF_Output!$S$1:$S$400,SF_Output!$AC$1:$AC$400,_xlfn.TEXTJOIN(",",TRUE,B168:E168),SF_Output!$Q$1:$Q$400,"One Time",SF_Output!$L$1:$L$400,"license fee")+SUMIFS(SF_Output!$S$1:$S$400,SF_Output!$AC$1:$AC$400,_xlfn.TEXTJOIN(",",TRUE,B168:E168),SF_Output!$Q$1:$Q$400,"One Time",SF_Output!$L$1:$L$400,"software license")+SUMIFS(SF_Output!$S$1:$S$400,SF_Output!$AC$1:$AC$400,_xlfn.TEXTJOIN(",",TRUE,B168:E168),SF_Output!$Q$1:$Q$400,"One Time",SF_Output!$L$1:$L$400,"hardware"))</f>
        <v>0</v>
      </c>
      <c r="K168" s="112" t="str">
        <f>IF(OR(B168=0,B168="",G168="hardware",J168=0),"",IF(AF168&lt;&gt;"exclusion",MAX(K$9,-((SUMIFS(SF_Output!$T$1:$T$400,SF_Output!$AC$1:$AC$400,_xlfn.TEXTJOIN(",",TRUE,$B168:$E168),SF_Output!$Q$1:$Q$400,"One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license"))/J168)))</f>
        <v/>
      </c>
      <c r="L168" s="6">
        <f t="shared" si="37"/>
        <v>0</v>
      </c>
      <c r="N168" s="6">
        <f>IF(B168="","",SUMIFS(SF_Output!$S$1:$S$400,SF_Output!$AC$1:$AC$400,_xlfn.TEXTJOIN(",",TRUE,B168:E168),SF_Output!$Q$1:$Q$400,"One Time",SF_Output!$L$1:$L$400,"professional service"))</f>
        <v>4000</v>
      </c>
      <c r="O168" s="112">
        <f>IF(OR(B168=0,B168="",N168=0),"",IF(AF168&lt;&gt;"exclusion",MAX(O$9,-(SUMIFS(SF_Output!$T$1:$T$400,SF_Output!$AC$1:$AC$400,_xlfn.TEXTJOIN(",",TRUE,$B168:$E168),SF_Output!$Q$1:$Q$400,"One Time",SF_Output!$L$1:$L$400,"professional service"))/N168),-((SUMIFS(SF_Output!$T$1:$T$400,SF_Output!$AC$1:$AC$400,_xlfn.TEXTJOIN(",",TRUE,$B168:$E168),SF_Output!$Q$1:$Q$400,"One Time",SF_Output!$L$1:$L$400,"professional service")/N168))))</f>
        <v>1</v>
      </c>
      <c r="P168" s="6">
        <f t="shared" si="38"/>
        <v>0</v>
      </c>
      <c r="R168" s="6">
        <f>IF(B168="","",SUMIFS(SF_Output!$S$1:$S$400,SF_Output!$AC$1:$AC$400,_xlfn.TEXTJOIN(",",TRUE,B168:E168),SF_Output!$Q$1:$Q$400,"yearly")+SUMIFS(SF_Output!$S$1:$S$400,SF_Output!$AC$1:$AC$400,_xlfn.TEXTJOIN(",",TRUE,B168:E168),SF_Output!$Q$1:$Q$400,"quarterly")*4)</f>
        <v>0</v>
      </c>
      <c r="S168" s="112" t="str">
        <f>IF(OR(B168=0,B168="",G168="hardware",R168=0),"",IF(AF168&lt;&gt;"exclusion",MAX(S$9,-(SUMIFS(SF_Output!$T$1:$T$400,SF_Output!$AC$1:$AC$400,_xlfn.TEXTJOIN(",",TRUE,$B168:$E168),SF_Output!$Q$1:$Q$400,"yearly"))/R168),-((SUMIFS(SF_Output!$T$1:$T$400,SF_Output!$AC$1:$AC$400,_xlfn.TEXTJOIN(",",TRUE,$B168:$E168),SF_Output!$Q$1:$Q$400,"yearly")/R168))))</f>
        <v/>
      </c>
      <c r="T168" s="6">
        <f t="shared" si="39"/>
        <v>0</v>
      </c>
      <c r="V168" s="6" cm="1">
        <f t="array" ref="V168">_xlfn.IFS(B168="","",AND(B168&lt;&gt;"",H168=SF_Output!$Y$2,SUMIFS(SF_Output!$T$1:$T$400,SF_Output!$AC$1:$AC$400,_xlfn.TEXTJOIN(",",TRUE,B168:E168),SF_Output!$Q$1:$Q$400,"monthly")=0),(SUMIFS(SF_Output!$F$1:$F$400,SF_Output!$AC$1:$AC$400,_xlfn.TEXTJOIN(",",TRUE,B168:E168),SF_Output!$Q$1:$Q$400,"monthly")+SUMIFS(SF_Output!$G$1:$G$400,SF_Output!$AC$1:$AC$400,_xlfn.TEXTJOIN(",",TRUE,B168:E168),SF_Output!$Q$1:$Q$400,"monthly"))*H168,AND(B168&lt;&gt;"",H168=SF_Output!$Y$2,SUMIFS(SF_Output!$T$1:$T$400,SF_Output!$AC$1:$AC$400,_xlfn.TEXTJOIN(",",TRUE,B168:E168),SF_Output!$Q$1:$Q$400,"monthly")&lt;&gt;0),SUMIFS(SF_Output!$S$1:$S$400,SF_Output!$AC$1:$AC$400,_xlfn.TEXTJOIN(",",TRUE,B168:E168),SF_Output!$Q$1:$Q$400,"monthly"),AND(B168&lt;&gt;"",H168&lt;&gt;SF_Output!$Y$2),SUMIFS(SF_Output!$S$1:$S$400,SF_Output!$AC$1:$AC$400,_xlfn.TEXTJOIN(",",TRUE,B168:E168),SF_Output!$Q$1:$Q$400,"monthly"))</f>
        <v>205</v>
      </c>
      <c r="W168" s="112" cm="1">
        <f t="array" ref="W168">_xlfn.IFS(OR(B168=0,B168="",V168=0),"",AF168&lt;&gt;"exclusion",MAX($W$9,$W$7,(-(SUMIFS(SF_Output!$T$1:$T$400,SF_Output!$AC$1:$AC$400,_xlfn.TEXTJOIN(",",TRUE,$B168:$E168),SF_Output!$Q$1:$Q$400,"monthly"))/V168)),AF168="exclusion",-(SUMIFS(SF_Output!$T$1:$T$400,SF_Output!$AC$1:$AC$400,_xlfn.TEXTJOIN(",",TRUE,$B168:$E168),SF_Output!$Q$1:$Q$400,"monthly"))/V168)</f>
        <v>0.25</v>
      </c>
      <c r="X168" s="6" cm="1">
        <f t="array" ref="X168">IFERROR(_xlfn.IFS(V168=0,0,V168="","",W168=0,V168,OR(V168&lt;&gt;0,V168&lt;&gt;""),H168*I168),V168*(1-W168))</f>
        <v>154</v>
      </c>
      <c r="Z168" s="6">
        <f>IFERROR(IF(B168="","",SUMIFS(Billing_Fallout!H:H,Billing_Fallout!N:N,B168)),0)</f>
        <v>0</v>
      </c>
      <c r="AA168" s="6">
        <f t="shared" si="40"/>
        <v>0</v>
      </c>
      <c r="AB168" s="6">
        <f>IFERROR(IF(B168="","",SUMIFS(Billing_Fallout!J:J,Billing_Fallout!N:N,B168)),0)</f>
        <v>0</v>
      </c>
      <c r="AD168" s="6">
        <f t="shared" si="41"/>
        <v>154</v>
      </c>
      <c r="AF168" t="str">
        <f>IFERROR(INDEX(H_Tables!$B$1:$B$1500,MATCH(INDEX(SF_Output!$J$1:$J$400,MATCH(B168,SF_Output!$M$1:$M$400,0)),H_Tables!$A$1:$A$1500,0)),"")</f>
        <v>Exclusion</v>
      </c>
      <c r="AI168" s="119" t="str">
        <f t="shared" si="42"/>
        <v/>
      </c>
      <c r="AJ168" s="121">
        <f>IFERROR(INDEX(SF_Output!AD:AD,MATCH(_xlfn.TEXTJOIN(",",TRUE,B168:E168),SF_Output!AC1:AC400,0)),0.05)</f>
        <v>155</v>
      </c>
      <c r="AK168" t="str">
        <f>IF(SUMIFS(SF_Output!$F$1:$F$400,SF_Output!$AC$1:$AC$400,_xlfn.TEXTJOIN(",",TRUE,B168:E168))+SUMIFS(SF_Output!$G$1:$G$400,SF_Output!$AC$1:$AC$400,_xlfn.TEXTJOIN(",",TRUE,B168:E168))=0,"","PAP")</f>
        <v>PAP</v>
      </c>
      <c r="AL168" s="35" t="str">
        <f t="shared" si="43"/>
        <v>FPS Forecasting and Financial Reporting,New,Hosted by 3rd Party,0</v>
      </c>
      <c r="AQ168" s="35"/>
      <c r="AR168" s="35" t="str" cm="1">
        <f t="array" ref="AR168">IFERROR(_xlfn.IFS(AND(E168*1=1,F168="Included"),"Change to Included",AND(E168*1=0,F168="Optional"),"Change to Optional",OR(B168="",F168="replaced"),""),"")</f>
        <v/>
      </c>
      <c r="AS168" s="35" t="str">
        <f t="shared" si="44"/>
        <v/>
      </c>
      <c r="AT168" s="35" t="str">
        <f t="shared" si="45"/>
        <v/>
      </c>
      <c r="AU168" s="35" t="str">
        <f t="shared" si="46"/>
        <v/>
      </c>
      <c r="AV168" s="35" t="str">
        <f t="shared" si="47"/>
        <v/>
      </c>
      <c r="AW168" s="35" t="str">
        <f t="shared" si="48"/>
        <v/>
      </c>
      <c r="AX168" s="35" t="str">
        <f t="shared" si="49"/>
        <v/>
      </c>
      <c r="AY168" s="35" t="str">
        <f t="shared" si="50"/>
        <v/>
      </c>
      <c r="AZ168" s="35" t="str">
        <f t="shared" si="51"/>
        <v/>
      </c>
      <c r="BA168" s="35" t="str">
        <f t="shared" si="52"/>
        <v/>
      </c>
      <c r="BB168" s="35" t="str">
        <f t="shared" si="53"/>
        <v/>
      </c>
      <c r="BC168" s="35"/>
      <c r="BE168" s="35">
        <f ca="1">INDEX(SF_Output!$AA$2:$AA$400,MATCH($B168,SF_Output!$M$2:$M$400,0))</f>
        <v>8</v>
      </c>
      <c r="BF168" s="35">
        <f ca="1">INDEX(SF_Output!$AB$2:$AB$400,MATCH($B168,SF_Output!$M$2:$M$400,0))</f>
        <v>1</v>
      </c>
    </row>
    <row r="169" spans="2:58" x14ac:dyDescent="0.25">
      <c r="B169" t="s">
        <v>2337</v>
      </c>
      <c r="C169" t="s">
        <v>2122</v>
      </c>
      <c r="D169" t="s">
        <v>2123</v>
      </c>
      <c r="E169" t="s">
        <v>2124</v>
      </c>
      <c r="F169" s="116" t="str">
        <f t="shared" si="36"/>
        <v>Included</v>
      </c>
      <c r="G169" t="str">
        <f>IF(B169="","",INDEX(SF_Output!$K$1:$K$400,MATCH(B169,SF_Output!$M$1:$M$400,0)))</f>
        <v>ProfitStars Financial Performance</v>
      </c>
      <c r="H169" cm="1">
        <f t="array" ref="H169">_xlfn.IFS(B169="","",(SUMIFS(SF_Output!$F$1:$F$400,SF_Output!$AC$1:$AC$400,_xlfn.TEXTJOIN(",",TRUE,B169:E169))+SUMIFS(SF_Output!$G$1:$G$400,SF_Output!$AC$1:$AC$400,_xlfn.TEXTJOIN(",",TRUE,B169:E169)))&lt;&gt;0,SF_Output!$Y$2,INDEX(SF_Output!$F$1:$F$400,MATCH(_xlfn.TEXTJOIN(",",TRUE,B169:E169),SF_Output!$AC$1:$AC$400,0))=0,INDEX(SF_Output!$R$1:$R$400,MATCH(_xlfn.TEXTJOIN(",",TRUE,B169:E169),SF_Output!$AC$1:$AC$400,0)))</f>
        <v>1</v>
      </c>
      <c r="I169" s="125" t="str">
        <f>IFERROR(IF(AND(H169&gt;1,H169&lt;&gt;""),ROUND(SUMIFS(SF_Output!$S$1:$S$400,SF_Output!$AC$1:$AC$400,_xlfn.TEXTJOIN(",",TRUE,B169:E169),SF_Output!$Q$1:$Q$400,"monthly")*(1-W169)/H169,4),""),"")</f>
        <v/>
      </c>
      <c r="J169" s="6">
        <f>IF(B169="","",SUMIFS(SF_Output!$S$1:$S$400,SF_Output!$AC$1:$AC$400,_xlfn.TEXTJOIN(",",TRUE,B169:E169),SF_Output!$Q$1:$Q$400,"One Time",SF_Output!$L$1:$L$400,"license fee")+SUMIFS(SF_Output!$S$1:$S$400,SF_Output!$AC$1:$AC$400,_xlfn.TEXTJOIN(",",TRUE,B169:E169),SF_Output!$Q$1:$Q$400,"One Time",SF_Output!$L$1:$L$400,"software license")+SUMIFS(SF_Output!$S$1:$S$400,SF_Output!$AC$1:$AC$400,_xlfn.TEXTJOIN(",",TRUE,B169:E169),SF_Output!$Q$1:$Q$400,"One Time",SF_Output!$L$1:$L$400,"hardware"))</f>
        <v>0</v>
      </c>
      <c r="K169" s="112" t="str">
        <f>IF(OR(B169=0,B169="",G169="hardware",J169=0),"",IF(AF169&lt;&gt;"exclusion",MAX(K$9,-((SUMIFS(SF_Output!$T$1:$T$400,SF_Output!$AC$1:$AC$400,_xlfn.TEXTJOIN(",",TRUE,$B169:$E169),SF_Output!$Q$1:$Q$400,"One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license"))/J169)))</f>
        <v/>
      </c>
      <c r="L169" s="6">
        <f t="shared" si="37"/>
        <v>0</v>
      </c>
      <c r="N169" s="6">
        <f>IF(B169="","",SUMIFS(SF_Output!$S$1:$S$400,SF_Output!$AC$1:$AC$400,_xlfn.TEXTJOIN(",",TRUE,B169:E169),SF_Output!$Q$1:$Q$400,"One Time",SF_Output!$L$1:$L$400,"professional service"))</f>
        <v>3200</v>
      </c>
      <c r="O169" s="112">
        <f>IF(OR(B169=0,B169="",N169=0),"",IF(AF169&lt;&gt;"exclusion",MAX(O$9,-(SUMIFS(SF_Output!$T$1:$T$400,SF_Output!$AC$1:$AC$400,_xlfn.TEXTJOIN(",",TRUE,$B169:$E169),SF_Output!$Q$1:$Q$400,"One Time",SF_Output!$L$1:$L$400,"professional service"))/N169),-((SUMIFS(SF_Output!$T$1:$T$400,SF_Output!$AC$1:$AC$400,_xlfn.TEXTJOIN(",",TRUE,$B169:$E169),SF_Output!$Q$1:$Q$400,"One Time",SF_Output!$L$1:$L$400,"professional service")/N169))))</f>
        <v>1</v>
      </c>
      <c r="P169" s="6">
        <f t="shared" si="38"/>
        <v>0</v>
      </c>
      <c r="R169" s="6">
        <f>IF(B169="","",SUMIFS(SF_Output!$S$1:$S$400,SF_Output!$AC$1:$AC$400,_xlfn.TEXTJOIN(",",TRUE,B169:E169),SF_Output!$Q$1:$Q$400,"yearly")+SUMIFS(SF_Output!$S$1:$S$400,SF_Output!$AC$1:$AC$400,_xlfn.TEXTJOIN(",",TRUE,B169:E169),SF_Output!$Q$1:$Q$400,"quarterly")*4)</f>
        <v>4940</v>
      </c>
      <c r="S169" s="112">
        <f>IF(OR(B169=0,B169="",G169="hardware",R169=0),"",IF(AF169&lt;&gt;"exclusion",MAX(S$9,-(SUMIFS(SF_Output!$T$1:$T$400,SF_Output!$AC$1:$AC$400,_xlfn.TEXTJOIN(",",TRUE,$B169:$E169),SF_Output!$Q$1:$Q$400,"yearly"))/R169),-((SUMIFS(SF_Output!$T$1:$T$400,SF_Output!$AC$1:$AC$400,_xlfn.TEXTJOIN(",",TRUE,$B169:$E169),SF_Output!$Q$1:$Q$400,"yearly")/R169))))</f>
        <v>0</v>
      </c>
      <c r="T169" s="6">
        <f t="shared" si="39"/>
        <v>4940</v>
      </c>
      <c r="V169" s="6" cm="1">
        <f t="array" ref="V169">_xlfn.IFS(B169="","",AND(B169&lt;&gt;"",H169=SF_Output!$Y$2,SUMIFS(SF_Output!$T$1:$T$400,SF_Output!$AC$1:$AC$400,_xlfn.TEXTJOIN(",",TRUE,B169:E169),SF_Output!$Q$1:$Q$400,"monthly")=0),(SUMIFS(SF_Output!$F$1:$F$400,SF_Output!$AC$1:$AC$400,_xlfn.TEXTJOIN(",",TRUE,B169:E169),SF_Output!$Q$1:$Q$400,"monthly")+SUMIFS(SF_Output!$G$1:$G$400,SF_Output!$AC$1:$AC$400,_xlfn.TEXTJOIN(",",TRUE,B169:E169),SF_Output!$Q$1:$Q$400,"monthly"))*H169,AND(B169&lt;&gt;"",H169=SF_Output!$Y$2,SUMIFS(SF_Output!$T$1:$T$400,SF_Output!$AC$1:$AC$400,_xlfn.TEXTJOIN(",",TRUE,B169:E169),SF_Output!$Q$1:$Q$400,"monthly")&lt;&gt;0),SUMIFS(SF_Output!$S$1:$S$400,SF_Output!$AC$1:$AC$400,_xlfn.TEXTJOIN(",",TRUE,B169:E169),SF_Output!$Q$1:$Q$400,"monthly"),AND(B169&lt;&gt;"",H169&lt;&gt;SF_Output!$Y$2),SUMIFS(SF_Output!$S$1:$S$400,SF_Output!$AC$1:$AC$400,_xlfn.TEXTJOIN(",",TRUE,B169:E169),SF_Output!$Q$1:$Q$400,"monthly"))</f>
        <v>0</v>
      </c>
      <c r="W169" s="112" t="str" cm="1">
        <f t="array" ref="W169">_xlfn.IFS(OR(B169=0,B169="",V169=0),"",AF169&lt;&gt;"exclusion",MAX($W$9,$W$7,(-(SUMIFS(SF_Output!$T$1:$T$400,SF_Output!$AC$1:$AC$400,_xlfn.TEXTJOIN(",",TRUE,$B169:$E169),SF_Output!$Q$1:$Q$400,"monthly"))/V169)),AF169="exclusion",-(SUMIFS(SF_Output!$T$1:$T$400,SF_Output!$AC$1:$AC$400,_xlfn.TEXTJOIN(",",TRUE,$B169:$E169),SF_Output!$Q$1:$Q$400,"monthly"))/V169)</f>
        <v/>
      </c>
      <c r="X169" s="6" cm="1">
        <f t="array" ref="X169">IFERROR(_xlfn.IFS(V169=0,0,V169="","",W169=0,V169,OR(V169&lt;&gt;0,V169&lt;&gt;""),H169*I169),V169*(1-W169))</f>
        <v>0</v>
      </c>
      <c r="Z169" s="6">
        <f>IFERROR(IF(B169="","",SUMIFS(Billing_Fallout!H:H,Billing_Fallout!N:N,B169)),0)</f>
        <v>0</v>
      </c>
      <c r="AA169" s="6">
        <f t="shared" si="40"/>
        <v>0</v>
      </c>
      <c r="AB169" s="6">
        <f>IFERROR(IF(B169="","",SUMIFS(Billing_Fallout!J:J,Billing_Fallout!N:N,B169)),0)</f>
        <v>0</v>
      </c>
      <c r="AD169" s="6">
        <f t="shared" si="41"/>
        <v>0</v>
      </c>
      <c r="AF169" t="str">
        <f>IFERROR(INDEX(H_Tables!$B$1:$B$1500,MATCH(INDEX(SF_Output!$J$1:$J$400,MATCH(B169,SF_Output!$M$1:$M$400,0)),H_Tables!$A$1:$A$1500,0)),"")</f>
        <v>Exclusion</v>
      </c>
      <c r="AI169" s="119" t="str">
        <f t="shared" si="42"/>
        <v/>
      </c>
      <c r="AJ169" s="121">
        <f>IFERROR(INDEX(SF_Output!AD:AD,MATCH(_xlfn.TEXTJOIN(",",TRUE,B169:E169),SF_Output!AC1:AC400,0)),0.05)</f>
        <v>157</v>
      </c>
      <c r="AK169" t="str">
        <f>IF(SUMIFS(SF_Output!$F$1:$F$400,SF_Output!$AC$1:$AC$400,_xlfn.TEXTJOIN(",",TRUE,B169:E169))+SUMIFS(SF_Output!$G$1:$G$400,SF_Output!$AC$1:$AC$400,_xlfn.TEXTJOIN(",",TRUE,B169:E169))=0,"","PAP")</f>
        <v/>
      </c>
      <c r="AL169" s="35" t="str">
        <f t="shared" si="43"/>
        <v>ProfitStars ALM Basic Reporting Service,New,Hosted by JHA,0</v>
      </c>
      <c r="AQ169" s="35"/>
      <c r="AR169" s="35" t="str" cm="1">
        <f t="array" ref="AR169">IFERROR(_xlfn.IFS(AND(E169*1=1,F169="Included"),"Change to Included",AND(E169*1=0,F169="Optional"),"Change to Optional",OR(B169="",F169="replaced"),""),"")</f>
        <v/>
      </c>
      <c r="AS169" s="35" t="str">
        <f t="shared" si="44"/>
        <v/>
      </c>
      <c r="AT169" s="35" t="str">
        <f t="shared" si="45"/>
        <v/>
      </c>
      <c r="AU169" s="35" t="str">
        <f t="shared" si="46"/>
        <v/>
      </c>
      <c r="AV169" s="35" t="str">
        <f t="shared" si="47"/>
        <v/>
      </c>
      <c r="AW169" s="35" t="str">
        <f t="shared" si="48"/>
        <v/>
      </c>
      <c r="AX169" s="35" t="str">
        <f t="shared" si="49"/>
        <v/>
      </c>
      <c r="AY169" s="35" t="str">
        <f t="shared" si="50"/>
        <v/>
      </c>
      <c r="AZ169" s="35" t="str">
        <f t="shared" si="51"/>
        <v/>
      </c>
      <c r="BA169" s="35" t="str">
        <f t="shared" si="52"/>
        <v/>
      </c>
      <c r="BB169" s="35" t="str">
        <f t="shared" si="53"/>
        <v/>
      </c>
      <c r="BC169" s="35"/>
      <c r="BE169" s="35">
        <f ca="1">INDEX(SF_Output!$AA$2:$AA$400,MATCH($B169,SF_Output!$M$2:$M$400,0))</f>
        <v>8</v>
      </c>
      <c r="BF169" s="35">
        <f ca="1">INDEX(SF_Output!$AB$2:$AB$400,MATCH($B169,SF_Output!$M$2:$M$400,0))</f>
        <v>1</v>
      </c>
    </row>
    <row r="170" spans="2:58" x14ac:dyDescent="0.25">
      <c r="B170" t="s">
        <v>1434</v>
      </c>
      <c r="C170" t="s">
        <v>2122</v>
      </c>
      <c r="D170" t="s">
        <v>2123</v>
      </c>
      <c r="E170" t="s">
        <v>2124</v>
      </c>
      <c r="F170" s="116" t="str">
        <f t="shared" si="36"/>
        <v>Included</v>
      </c>
      <c r="G170" t="str">
        <f>IF(B170="","",INDEX(SF_Output!$K$1:$K$400,MATCH(B170,SF_Output!$M$1:$M$400,0)))</f>
        <v>SilverLake</v>
      </c>
      <c r="H170" cm="1">
        <f t="array" ref="H170">_xlfn.IFS(B170="","",(SUMIFS(SF_Output!$F$1:$F$400,SF_Output!$AC$1:$AC$400,_xlfn.TEXTJOIN(",",TRUE,B170:E170))+SUMIFS(SF_Output!$G$1:$G$400,SF_Output!$AC$1:$AC$400,_xlfn.TEXTJOIN(",",TRUE,B170:E170)))&lt;&gt;0,SF_Output!$Y$2,INDEX(SF_Output!$F$1:$F$400,MATCH(_xlfn.TEXTJOIN(",",TRUE,B170:E170),SF_Output!$AC$1:$AC$400,0))=0,INDEX(SF_Output!$R$1:$R$400,MATCH(_xlfn.TEXTJOIN(",",TRUE,B170:E170),SF_Output!$AC$1:$AC$400,0)))</f>
        <v>1</v>
      </c>
      <c r="I170" s="125" t="str">
        <f>IFERROR(IF(AND(H170&gt;1,H170&lt;&gt;""),ROUND(SUMIFS(SF_Output!$S$1:$S$400,SF_Output!$AC$1:$AC$400,_xlfn.TEXTJOIN(",",TRUE,B170:E170),SF_Output!$Q$1:$Q$400,"monthly")*(1-W170)/H170,4),""),"")</f>
        <v/>
      </c>
      <c r="J170" s="6">
        <f>IF(B170="","",SUMIFS(SF_Output!$S$1:$S$400,SF_Output!$AC$1:$AC$400,_xlfn.TEXTJOIN(",",TRUE,B170:E170),SF_Output!$Q$1:$Q$400,"One Time",SF_Output!$L$1:$L$400,"license fee")+SUMIFS(SF_Output!$S$1:$S$400,SF_Output!$AC$1:$AC$400,_xlfn.TEXTJOIN(",",TRUE,B170:E170),SF_Output!$Q$1:$Q$400,"One Time",SF_Output!$L$1:$L$400,"software license")+SUMIFS(SF_Output!$S$1:$S$400,SF_Output!$AC$1:$AC$400,_xlfn.TEXTJOIN(",",TRUE,B170:E170),SF_Output!$Q$1:$Q$400,"One Time",SF_Output!$L$1:$L$400,"hardware"))</f>
        <v>0</v>
      </c>
      <c r="K170" s="112" t="str">
        <f>IF(OR(B170=0,B170="",G170="hardware",J170=0),"",IF(AF170&lt;&gt;"exclusion",MAX(K$9,-((SUMIFS(SF_Output!$T$1:$T$400,SF_Output!$AC$1:$AC$400,_xlfn.TEXTJOIN(",",TRUE,$B170:$E170),SF_Output!$Q$1:$Q$400,"One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license"))/J170)))</f>
        <v/>
      </c>
      <c r="L170" s="6">
        <f t="shared" si="37"/>
        <v>0</v>
      </c>
      <c r="N170" s="6">
        <f>IF(B170="","",SUMIFS(SF_Output!$S$1:$S$400,SF_Output!$AC$1:$AC$400,_xlfn.TEXTJOIN(",",TRUE,B170:E170),SF_Output!$Q$1:$Q$400,"One Time",SF_Output!$L$1:$L$400,"professional service"))</f>
        <v>30000</v>
      </c>
      <c r="O170" s="112">
        <f>IF(OR(B170=0,B170="",N170=0),"",IF(AF170&lt;&gt;"exclusion",MAX(O$9,-(SUMIFS(SF_Output!$T$1:$T$400,SF_Output!$AC$1:$AC$400,_xlfn.TEXTJOIN(",",TRUE,$B170:$E170),SF_Output!$Q$1:$Q$400,"One Time",SF_Output!$L$1:$L$400,"professional service"))/N170),-((SUMIFS(SF_Output!$T$1:$T$400,SF_Output!$AC$1:$AC$400,_xlfn.TEXTJOIN(",",TRUE,$B170:$E170),SF_Output!$Q$1:$Q$400,"One Time",SF_Output!$L$1:$L$400,"professional service")/N170))))</f>
        <v>0</v>
      </c>
      <c r="P170" s="6">
        <f t="shared" si="38"/>
        <v>30000</v>
      </c>
      <c r="R170" s="6">
        <f>IF(B170="","",SUMIFS(SF_Output!$S$1:$S$400,SF_Output!$AC$1:$AC$400,_xlfn.TEXTJOIN(",",TRUE,B170:E170),SF_Output!$Q$1:$Q$400,"yearly")+SUMIFS(SF_Output!$S$1:$S$400,SF_Output!$AC$1:$AC$400,_xlfn.TEXTJOIN(",",TRUE,B170:E170),SF_Output!$Q$1:$Q$400,"quarterly")*4)</f>
        <v>0</v>
      </c>
      <c r="S170" s="112" t="str">
        <f>IF(OR(B170=0,B170="",G170="hardware",R170=0),"",IF(AF170&lt;&gt;"exclusion",MAX(S$9,-(SUMIFS(SF_Output!$T$1:$T$400,SF_Output!$AC$1:$AC$400,_xlfn.TEXTJOIN(",",TRUE,$B170:$E170),SF_Output!$Q$1:$Q$400,"yearly"))/R170),-((SUMIFS(SF_Output!$T$1:$T$400,SF_Output!$AC$1:$AC$400,_xlfn.TEXTJOIN(",",TRUE,$B170:$E170),SF_Output!$Q$1:$Q$400,"yearly")/R170))))</f>
        <v/>
      </c>
      <c r="T170" s="6">
        <f t="shared" si="39"/>
        <v>0</v>
      </c>
      <c r="V170" s="6" cm="1">
        <f t="array" ref="V170">_xlfn.IFS(B170="","",AND(B170&lt;&gt;"",H170=SF_Output!$Y$2,SUMIFS(SF_Output!$T$1:$T$400,SF_Output!$AC$1:$AC$400,_xlfn.TEXTJOIN(",",TRUE,B170:E170),SF_Output!$Q$1:$Q$400,"monthly")=0),(SUMIFS(SF_Output!$F$1:$F$400,SF_Output!$AC$1:$AC$400,_xlfn.TEXTJOIN(",",TRUE,B170:E170),SF_Output!$Q$1:$Q$400,"monthly")+SUMIFS(SF_Output!$G$1:$G$400,SF_Output!$AC$1:$AC$400,_xlfn.TEXTJOIN(",",TRUE,B170:E170),SF_Output!$Q$1:$Q$400,"monthly"))*H170,AND(B170&lt;&gt;"",H170=SF_Output!$Y$2,SUMIFS(SF_Output!$T$1:$T$400,SF_Output!$AC$1:$AC$400,_xlfn.TEXTJOIN(",",TRUE,B170:E170),SF_Output!$Q$1:$Q$400,"monthly")&lt;&gt;0),SUMIFS(SF_Output!$S$1:$S$400,SF_Output!$AC$1:$AC$400,_xlfn.TEXTJOIN(",",TRUE,B170:E170),SF_Output!$Q$1:$Q$400,"monthly"),AND(B170&lt;&gt;"",H170&lt;&gt;SF_Output!$Y$2),SUMIFS(SF_Output!$S$1:$S$400,SF_Output!$AC$1:$AC$400,_xlfn.TEXTJOIN(",",TRUE,B170:E170),SF_Output!$Q$1:$Q$400,"monthly"))</f>
        <v>0</v>
      </c>
      <c r="W170" s="112" t="str" cm="1">
        <f t="array" ref="W170">_xlfn.IFS(OR(B170=0,B170="",V170=0),"",AF170&lt;&gt;"exclusion",MAX($W$9,$W$7,(-(SUMIFS(SF_Output!$T$1:$T$400,SF_Output!$AC$1:$AC$400,_xlfn.TEXTJOIN(",",TRUE,$B170:$E170),SF_Output!$Q$1:$Q$400,"monthly"))/V170)),AF170="exclusion",-(SUMIFS(SF_Output!$T$1:$T$400,SF_Output!$AC$1:$AC$400,_xlfn.TEXTJOIN(",",TRUE,$B170:$E170),SF_Output!$Q$1:$Q$400,"monthly"))/V170)</f>
        <v/>
      </c>
      <c r="X170" s="6" cm="1">
        <f t="array" ref="X170">IFERROR(_xlfn.IFS(V170=0,0,V170="","",W170=0,V170,OR(V170&lt;&gt;0,V170&lt;&gt;""),H170*I170),V170*(1-W170))</f>
        <v>0</v>
      </c>
      <c r="Z170" s="6">
        <f>IFERROR(IF(B170="","",SUMIFS(Billing_Fallout!H:H,Billing_Fallout!N:N,B170)),0)</f>
        <v>0</v>
      </c>
      <c r="AA170" s="6">
        <f t="shared" si="40"/>
        <v>0</v>
      </c>
      <c r="AB170" s="6">
        <f>IFERROR(IF(B170="","",SUMIFS(Billing_Fallout!J:J,Billing_Fallout!N:N,B170)),0)</f>
        <v>0</v>
      </c>
      <c r="AD170" s="6">
        <f t="shared" si="41"/>
        <v>0</v>
      </c>
      <c r="AF170" t="str">
        <f>IFERROR(INDEX(H_Tables!$B$1:$B$1500,MATCH(INDEX(SF_Output!$J$1:$J$400,MATCH(B170,SF_Output!$M$1:$M$400,0)),H_Tables!$A$1:$A$1500,0)),"")</f>
        <v>Exclusion</v>
      </c>
      <c r="AI170" s="119" t="str">
        <f t="shared" si="42"/>
        <v/>
      </c>
      <c r="AJ170" s="121">
        <f>IFERROR(INDEX(SF_Output!AD:AD,MATCH(_xlfn.TEXTJOIN(",",TRUE,B170:E170),SF_Output!AC1:AC400,0)),0.05)</f>
        <v>11</v>
      </c>
      <c r="AK170" t="str">
        <f>IF(SUMIFS(SF_Output!$F$1:$F$400,SF_Output!$AC$1:$AC$400,_xlfn.TEXTJOIN(",",TRUE,B170:E170))+SUMIFS(SF_Output!$G$1:$G$400,SF_Output!$AC$1:$AC$400,_xlfn.TEXTJOIN(",",TRUE,B170:E170))=0,"","PAP")</f>
        <v/>
      </c>
      <c r="AL170" s="35" t="str">
        <f t="shared" si="43"/>
        <v>Core Implementation Training,New,Hosted by JHA,0</v>
      </c>
      <c r="AQ170" s="35"/>
      <c r="AR170" s="35" t="str" cm="1">
        <f t="array" ref="AR170">IFERROR(_xlfn.IFS(AND(E170*1=1,F170="Included"),"Change to Included",AND(E170*1=0,F170="Optional"),"Change to Optional",OR(B170="",F170="replaced"),""),"")</f>
        <v/>
      </c>
      <c r="AS170" s="35" t="str">
        <f t="shared" si="44"/>
        <v/>
      </c>
      <c r="AT170" s="35" t="str">
        <f t="shared" si="45"/>
        <v/>
      </c>
      <c r="AU170" s="35" t="str">
        <f t="shared" si="46"/>
        <v/>
      </c>
      <c r="AV170" s="35" t="str">
        <f t="shared" si="47"/>
        <v/>
      </c>
      <c r="AW170" s="35" t="str">
        <f t="shared" si="48"/>
        <v/>
      </c>
      <c r="AX170" s="35" t="str">
        <f t="shared" si="49"/>
        <v/>
      </c>
      <c r="AY170" s="35" t="str">
        <f t="shared" si="50"/>
        <v/>
      </c>
      <c r="AZ170" s="35" t="str">
        <f t="shared" si="51"/>
        <v/>
      </c>
      <c r="BA170" s="35" t="str">
        <f t="shared" si="52"/>
        <v/>
      </c>
      <c r="BB170" s="35" t="str">
        <f t="shared" si="53"/>
        <v/>
      </c>
      <c r="BC170" s="35"/>
      <c r="BE170" s="35">
        <f ca="1">INDEX(SF_Output!$AA$2:$AA$400,MATCH($B170,SF_Output!$M$2:$M$400,0))</f>
        <v>9</v>
      </c>
      <c r="BF170" s="35">
        <f ca="1">INDEX(SF_Output!$AB$2:$AB$400,MATCH($B170,SF_Output!$M$2:$M$400,0))</f>
        <v>1</v>
      </c>
    </row>
    <row r="171" spans="2:58" x14ac:dyDescent="0.25">
      <c r="B171" t="s">
        <v>2147</v>
      </c>
      <c r="C171" t="s">
        <v>2122</v>
      </c>
      <c r="D171" t="s">
        <v>2123</v>
      </c>
      <c r="E171" t="s">
        <v>2124</v>
      </c>
      <c r="F171" s="116" t="str">
        <f t="shared" si="36"/>
        <v>Included</v>
      </c>
      <c r="G171" t="str">
        <f>IF(B171="","",INDEX(SF_Output!$K$1:$K$400,MATCH(B171,SF_Output!$M$1:$M$400,0)))</f>
        <v>SilverLake</v>
      </c>
      <c r="H171" cm="1">
        <f t="array" ref="H171">_xlfn.IFS(B171="","",(SUMIFS(SF_Output!$F$1:$F$400,SF_Output!$AC$1:$AC$400,_xlfn.TEXTJOIN(",",TRUE,B171:E171))+SUMIFS(SF_Output!$G$1:$G$400,SF_Output!$AC$1:$AC$400,_xlfn.TEXTJOIN(",",TRUE,B171:E171)))&lt;&gt;0,SF_Output!$Y$2,INDEX(SF_Output!$F$1:$F$400,MATCH(_xlfn.TEXTJOIN(",",TRUE,B171:E171),SF_Output!$AC$1:$AC$400,0))=0,INDEX(SF_Output!$R$1:$R$400,MATCH(_xlfn.TEXTJOIN(",",TRUE,B171:E171),SF_Output!$AC$1:$AC$400,0)))</f>
        <v>1</v>
      </c>
      <c r="I171" s="125" t="str">
        <f>IFERROR(IF(AND(H171&gt;1,H171&lt;&gt;""),ROUND(SUMIFS(SF_Output!$S$1:$S$400,SF_Output!$AC$1:$AC$400,_xlfn.TEXTJOIN(",",TRUE,B171:E171),SF_Output!$Q$1:$Q$400,"monthly")*(1-W171)/H171,4),""),"")</f>
        <v/>
      </c>
      <c r="J171" s="6">
        <f>IF(B171="","",SUMIFS(SF_Output!$S$1:$S$400,SF_Output!$AC$1:$AC$400,_xlfn.TEXTJOIN(",",TRUE,B171:E171),SF_Output!$Q$1:$Q$400,"One Time",SF_Output!$L$1:$L$400,"license fee")+SUMIFS(SF_Output!$S$1:$S$400,SF_Output!$AC$1:$AC$400,_xlfn.TEXTJOIN(",",TRUE,B171:E171),SF_Output!$Q$1:$Q$400,"One Time",SF_Output!$L$1:$L$400,"software license")+SUMIFS(SF_Output!$S$1:$S$400,SF_Output!$AC$1:$AC$400,_xlfn.TEXTJOIN(",",TRUE,B171:E171),SF_Output!$Q$1:$Q$400,"One Time",SF_Output!$L$1:$L$400,"hardware"))</f>
        <v>0</v>
      </c>
      <c r="K171" s="112" t="str">
        <f>IF(OR(B171=0,B171="",G171="hardware",J171=0),"",IF(AF171&lt;&gt;"exclusion",MAX(K$9,-((SUMIFS(SF_Output!$T$1:$T$400,SF_Output!$AC$1:$AC$400,_xlfn.TEXTJOIN(",",TRUE,$B171:$E171),SF_Output!$Q$1:$Q$400,"One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license"))/J171)))</f>
        <v/>
      </c>
      <c r="L171" s="6">
        <f t="shared" si="37"/>
        <v>0</v>
      </c>
      <c r="N171" s="6">
        <f>IF(B171="","",SUMIFS(SF_Output!$S$1:$S$400,SF_Output!$AC$1:$AC$400,_xlfn.TEXTJOIN(",",TRUE,B171:E171),SF_Output!$Q$1:$Q$400,"One Time",SF_Output!$L$1:$L$400,"professional service"))</f>
        <v>5000</v>
      </c>
      <c r="O171" s="112">
        <f>IF(OR(B171=0,B171="",N171=0),"",IF(AF171&lt;&gt;"exclusion",MAX(O$9,-(SUMIFS(SF_Output!$T$1:$T$400,SF_Output!$AC$1:$AC$400,_xlfn.TEXTJOIN(",",TRUE,$B171:$E171),SF_Output!$Q$1:$Q$400,"One Time",SF_Output!$L$1:$L$400,"professional service"))/N171),-((SUMIFS(SF_Output!$T$1:$T$400,SF_Output!$AC$1:$AC$400,_xlfn.TEXTJOIN(",",TRUE,$B171:$E171),SF_Output!$Q$1:$Q$400,"One Time",SF_Output!$L$1:$L$400,"professional service")/N171))))</f>
        <v>0</v>
      </c>
      <c r="P171" s="6">
        <f t="shared" si="38"/>
        <v>5000</v>
      </c>
      <c r="R171" s="6">
        <f>IF(B171="","",SUMIFS(SF_Output!$S$1:$S$400,SF_Output!$AC$1:$AC$400,_xlfn.TEXTJOIN(",",TRUE,B171:E171),SF_Output!$Q$1:$Q$400,"yearly")+SUMIFS(SF_Output!$S$1:$S$400,SF_Output!$AC$1:$AC$400,_xlfn.TEXTJOIN(",",TRUE,B171:E171),SF_Output!$Q$1:$Q$400,"quarterly")*4)</f>
        <v>0</v>
      </c>
      <c r="S171" s="112" t="str">
        <f>IF(OR(B171=0,B171="",G171="hardware",R171=0),"",IF(AF171&lt;&gt;"exclusion",MAX(S$9,-(SUMIFS(SF_Output!$T$1:$T$400,SF_Output!$AC$1:$AC$400,_xlfn.TEXTJOIN(",",TRUE,$B171:$E171),SF_Output!$Q$1:$Q$400,"yearly"))/R171),-((SUMIFS(SF_Output!$T$1:$T$400,SF_Output!$AC$1:$AC$400,_xlfn.TEXTJOIN(",",TRUE,$B171:$E171),SF_Output!$Q$1:$Q$400,"yearly")/R171))))</f>
        <v/>
      </c>
      <c r="T171" s="6">
        <f t="shared" si="39"/>
        <v>0</v>
      </c>
      <c r="V171" s="6" cm="1">
        <f t="array" ref="V171">_xlfn.IFS(B171="","",AND(B171&lt;&gt;"",H171=SF_Output!$Y$2,SUMIFS(SF_Output!$T$1:$T$400,SF_Output!$AC$1:$AC$400,_xlfn.TEXTJOIN(",",TRUE,B171:E171),SF_Output!$Q$1:$Q$400,"monthly")=0),(SUMIFS(SF_Output!$F$1:$F$400,SF_Output!$AC$1:$AC$400,_xlfn.TEXTJOIN(",",TRUE,B171:E171),SF_Output!$Q$1:$Q$400,"monthly")+SUMIFS(SF_Output!$G$1:$G$400,SF_Output!$AC$1:$AC$400,_xlfn.TEXTJOIN(",",TRUE,B171:E171),SF_Output!$Q$1:$Q$400,"monthly"))*H171,AND(B171&lt;&gt;"",H171=SF_Output!$Y$2,SUMIFS(SF_Output!$T$1:$T$400,SF_Output!$AC$1:$AC$400,_xlfn.TEXTJOIN(",",TRUE,B171:E171),SF_Output!$Q$1:$Q$400,"monthly")&lt;&gt;0),SUMIFS(SF_Output!$S$1:$S$400,SF_Output!$AC$1:$AC$400,_xlfn.TEXTJOIN(",",TRUE,B171:E171),SF_Output!$Q$1:$Q$400,"monthly"),AND(B171&lt;&gt;"",H171&lt;&gt;SF_Output!$Y$2),SUMIFS(SF_Output!$S$1:$S$400,SF_Output!$AC$1:$AC$400,_xlfn.TEXTJOIN(",",TRUE,B171:E171),SF_Output!$Q$1:$Q$400,"monthly"))</f>
        <v>0</v>
      </c>
      <c r="W171" s="112" t="str" cm="1">
        <f t="array" ref="W171">_xlfn.IFS(OR(B171=0,B171="",V171=0),"",AF171&lt;&gt;"exclusion",MAX($W$9,$W$7,(-(SUMIFS(SF_Output!$T$1:$T$400,SF_Output!$AC$1:$AC$400,_xlfn.TEXTJOIN(",",TRUE,$B171:$E171),SF_Output!$Q$1:$Q$400,"monthly"))/V171)),AF171="exclusion",-(SUMIFS(SF_Output!$T$1:$T$400,SF_Output!$AC$1:$AC$400,_xlfn.TEXTJOIN(",",TRUE,$B171:$E171),SF_Output!$Q$1:$Q$400,"monthly"))/V171)</f>
        <v/>
      </c>
      <c r="X171" s="6" cm="1">
        <f t="array" ref="X171">IFERROR(_xlfn.IFS(V171=0,0,V171="","",W171=0,V171,OR(V171&lt;&gt;0,V171&lt;&gt;""),H171*I171),V171*(1-W171))</f>
        <v>0</v>
      </c>
      <c r="Z171" s="6">
        <f>IFERROR(IF(B171="","",SUMIFS(Billing_Fallout!H:H,Billing_Fallout!N:N,B171)),0)</f>
        <v>0</v>
      </c>
      <c r="AA171" s="6">
        <f t="shared" si="40"/>
        <v>0</v>
      </c>
      <c r="AB171" s="6">
        <f>IFERROR(IF(B171="","",SUMIFS(Billing_Fallout!J:J,Billing_Fallout!N:N,B171)),0)</f>
        <v>0</v>
      </c>
      <c r="AD171" s="6">
        <f t="shared" si="41"/>
        <v>0</v>
      </c>
      <c r="AF171" t="str">
        <f>IFERROR(INDEX(H_Tables!$B$1:$B$1500,MATCH(INDEX(SF_Output!$J$1:$J$400,MATCH(B171,SF_Output!$M$1:$M$400,0)),H_Tables!$A$1:$A$1500,0)),"")</f>
        <v>Exclusion</v>
      </c>
      <c r="AI171" s="119" t="str">
        <f t="shared" si="42"/>
        <v/>
      </c>
      <c r="AJ171" s="121">
        <f>IFERROR(INDEX(SF_Output!AD:AD,MATCH(_xlfn.TEXTJOIN(",",TRUE,B171:E171),SF_Output!AC1:AC400,0)),0.05)</f>
        <v>13</v>
      </c>
      <c r="AK171" t="str">
        <f>IF(SUMIFS(SF_Output!$F$1:$F$400,SF_Output!$AC$1:$AC$400,_xlfn.TEXTJOIN(",",TRUE,B171:E171))+SUMIFS(SF_Output!$G$1:$G$400,SF_Output!$AC$1:$AC$400,_xlfn.TEXTJOIN(",",TRUE,B171:E171))=0,"","PAP")</f>
        <v/>
      </c>
      <c r="AL171" s="35" t="str">
        <f t="shared" si="43"/>
        <v>User and Device Administration Training,New,Hosted by JHA,0</v>
      </c>
      <c r="AQ171" s="35"/>
      <c r="AR171" s="35" t="str" cm="1">
        <f t="array" ref="AR171">IFERROR(_xlfn.IFS(AND(E171*1=1,F171="Included"),"Change to Included",AND(E171*1=0,F171="Optional"),"Change to Optional",OR(B171="",F171="replaced"),""),"")</f>
        <v/>
      </c>
      <c r="AS171" s="35" t="str">
        <f t="shared" si="44"/>
        <v/>
      </c>
      <c r="AT171" s="35" t="str">
        <f t="shared" si="45"/>
        <v/>
      </c>
      <c r="AU171" s="35" t="str">
        <f t="shared" si="46"/>
        <v/>
      </c>
      <c r="AV171" s="35" t="str">
        <f t="shared" si="47"/>
        <v/>
      </c>
      <c r="AW171" s="35" t="str">
        <f t="shared" si="48"/>
        <v/>
      </c>
      <c r="AX171" s="35" t="str">
        <f t="shared" si="49"/>
        <v/>
      </c>
      <c r="AY171" s="35" t="str">
        <f t="shared" si="50"/>
        <v/>
      </c>
      <c r="AZ171" s="35" t="str">
        <f t="shared" si="51"/>
        <v/>
      </c>
      <c r="BA171" s="35" t="str">
        <f t="shared" si="52"/>
        <v/>
      </c>
      <c r="BB171" s="35" t="str">
        <f t="shared" si="53"/>
        <v/>
      </c>
      <c r="BC171" s="35"/>
      <c r="BE171" s="35">
        <f ca="1">INDEX(SF_Output!$AA$2:$AA$400,MATCH($B171,SF_Output!$M$2:$M$400,0))</f>
        <v>9</v>
      </c>
      <c r="BF171" s="35">
        <f ca="1">INDEX(SF_Output!$AB$2:$AB$400,MATCH($B171,SF_Output!$M$2:$M$400,0))</f>
        <v>1</v>
      </c>
    </row>
    <row r="172" spans="2:58" x14ac:dyDescent="0.25">
      <c r="B172" t="s">
        <v>1758</v>
      </c>
      <c r="C172" t="s">
        <v>2122</v>
      </c>
      <c r="D172" t="s">
        <v>2123</v>
      </c>
      <c r="E172" t="s">
        <v>2124</v>
      </c>
      <c r="F172" s="116" t="str">
        <f t="shared" si="36"/>
        <v>Included</v>
      </c>
      <c r="G172" t="str">
        <f>IF(B172="","",INDEX(SF_Output!$K$1:$K$400,MATCH(B172,SF_Output!$M$1:$M$400,0)))</f>
        <v>SilverLake</v>
      </c>
      <c r="H172" cm="1">
        <f t="array" ref="H172">_xlfn.IFS(B172="","",(SUMIFS(SF_Output!$F$1:$F$400,SF_Output!$AC$1:$AC$400,_xlfn.TEXTJOIN(",",TRUE,B172:E172))+SUMIFS(SF_Output!$G$1:$G$400,SF_Output!$AC$1:$AC$400,_xlfn.TEXTJOIN(",",TRUE,B172:E172)))&lt;&gt;0,SF_Output!$Y$2,INDEX(SF_Output!$F$1:$F$400,MATCH(_xlfn.TEXTJOIN(",",TRUE,B172:E172),SF_Output!$AC$1:$AC$400,0))=0,INDEX(SF_Output!$R$1:$R$400,MATCH(_xlfn.TEXTJOIN(",",TRUE,B172:E172),SF_Output!$AC$1:$AC$400,0)))</f>
        <v>1</v>
      </c>
      <c r="I172" s="125" t="str">
        <f>IFERROR(IF(AND(H172&gt;1,H172&lt;&gt;""),ROUND(SUMIFS(SF_Output!$S$1:$S$400,SF_Output!$AC$1:$AC$400,_xlfn.TEXTJOIN(",",TRUE,B172:E172),SF_Output!$Q$1:$Q$400,"monthly")*(1-W172)/H172,4),""),"")</f>
        <v/>
      </c>
      <c r="J172" s="6">
        <f>IF(B172="","",SUMIFS(SF_Output!$S$1:$S$400,SF_Output!$AC$1:$AC$400,_xlfn.TEXTJOIN(",",TRUE,B172:E172),SF_Output!$Q$1:$Q$400,"One Time",SF_Output!$L$1:$L$400,"license fee")+SUMIFS(SF_Output!$S$1:$S$400,SF_Output!$AC$1:$AC$400,_xlfn.TEXTJOIN(",",TRUE,B172:E172),SF_Output!$Q$1:$Q$400,"One Time",SF_Output!$L$1:$L$400,"software license")+SUMIFS(SF_Output!$S$1:$S$400,SF_Output!$AC$1:$AC$400,_xlfn.TEXTJOIN(",",TRUE,B172:E172),SF_Output!$Q$1:$Q$400,"One Time",SF_Output!$L$1:$L$400,"hardware"))</f>
        <v>0</v>
      </c>
      <c r="K172" s="112" t="str">
        <f>IF(OR(B172=0,B172="",G172="hardware",J172=0),"",IF(AF172&lt;&gt;"exclusion",MAX(K$9,-((SUMIFS(SF_Output!$T$1:$T$400,SF_Output!$AC$1:$AC$400,_xlfn.TEXTJOIN(",",TRUE,$B172:$E172),SF_Output!$Q$1:$Q$400,"One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license"))/J172)))</f>
        <v/>
      </c>
      <c r="L172" s="6">
        <f t="shared" si="37"/>
        <v>0</v>
      </c>
      <c r="N172" s="6">
        <f>IF(B172="","",SUMIFS(SF_Output!$S$1:$S$400,SF_Output!$AC$1:$AC$400,_xlfn.TEXTJOIN(",",TRUE,B172:E172),SF_Output!$Q$1:$Q$400,"One Time",SF_Output!$L$1:$L$400,"professional service"))</f>
        <v>10000</v>
      </c>
      <c r="O172" s="112">
        <f>IF(OR(B172=0,B172="",N172=0),"",IF(AF172&lt;&gt;"exclusion",MAX(O$9,-(SUMIFS(SF_Output!$T$1:$T$400,SF_Output!$AC$1:$AC$400,_xlfn.TEXTJOIN(",",TRUE,$B172:$E172),SF_Output!$Q$1:$Q$400,"One Time",SF_Output!$L$1:$L$400,"professional service"))/N172),-((SUMIFS(SF_Output!$T$1:$T$400,SF_Output!$AC$1:$AC$400,_xlfn.TEXTJOIN(",",TRUE,$B172:$E172),SF_Output!$Q$1:$Q$400,"One Time",SF_Output!$L$1:$L$400,"professional service")/N172))))</f>
        <v>0</v>
      </c>
      <c r="P172" s="6">
        <f t="shared" si="38"/>
        <v>10000</v>
      </c>
      <c r="R172" s="6">
        <f>IF(B172="","",SUMIFS(SF_Output!$S$1:$S$400,SF_Output!$AC$1:$AC$400,_xlfn.TEXTJOIN(",",TRUE,B172:E172),SF_Output!$Q$1:$Q$400,"yearly")+SUMIFS(SF_Output!$S$1:$S$400,SF_Output!$AC$1:$AC$400,_xlfn.TEXTJOIN(",",TRUE,B172:E172),SF_Output!$Q$1:$Q$400,"quarterly")*4)</f>
        <v>0</v>
      </c>
      <c r="S172" s="112" t="str">
        <f>IF(OR(B172=0,B172="",G172="hardware",R172=0),"",IF(AF172&lt;&gt;"exclusion",MAX(S$9,-(SUMIFS(SF_Output!$T$1:$T$400,SF_Output!$AC$1:$AC$400,_xlfn.TEXTJOIN(",",TRUE,$B172:$E172),SF_Output!$Q$1:$Q$400,"yearly"))/R172),-((SUMIFS(SF_Output!$T$1:$T$400,SF_Output!$AC$1:$AC$400,_xlfn.TEXTJOIN(",",TRUE,$B172:$E172),SF_Output!$Q$1:$Q$400,"yearly")/R172))))</f>
        <v/>
      </c>
      <c r="T172" s="6">
        <f t="shared" si="39"/>
        <v>0</v>
      </c>
      <c r="V172" s="6" cm="1">
        <f t="array" ref="V172">_xlfn.IFS(B172="","",AND(B172&lt;&gt;"",H172=SF_Output!$Y$2,SUMIFS(SF_Output!$T$1:$T$400,SF_Output!$AC$1:$AC$400,_xlfn.TEXTJOIN(",",TRUE,B172:E172),SF_Output!$Q$1:$Q$400,"monthly")=0),(SUMIFS(SF_Output!$F$1:$F$400,SF_Output!$AC$1:$AC$400,_xlfn.TEXTJOIN(",",TRUE,B172:E172),SF_Output!$Q$1:$Q$400,"monthly")+SUMIFS(SF_Output!$G$1:$G$400,SF_Output!$AC$1:$AC$400,_xlfn.TEXTJOIN(",",TRUE,B172:E172),SF_Output!$Q$1:$Q$400,"monthly"))*H172,AND(B172&lt;&gt;"",H172=SF_Output!$Y$2,SUMIFS(SF_Output!$T$1:$T$400,SF_Output!$AC$1:$AC$400,_xlfn.TEXTJOIN(",",TRUE,B172:E172),SF_Output!$Q$1:$Q$400,"monthly")&lt;&gt;0),SUMIFS(SF_Output!$S$1:$S$400,SF_Output!$AC$1:$AC$400,_xlfn.TEXTJOIN(",",TRUE,B172:E172),SF_Output!$Q$1:$Q$400,"monthly"),AND(B172&lt;&gt;"",H172&lt;&gt;SF_Output!$Y$2),SUMIFS(SF_Output!$S$1:$S$400,SF_Output!$AC$1:$AC$400,_xlfn.TEXTJOIN(",",TRUE,B172:E172),SF_Output!$Q$1:$Q$400,"monthly"))</f>
        <v>0</v>
      </c>
      <c r="W172" s="112" t="str" cm="1">
        <f t="array" ref="W172">_xlfn.IFS(OR(B172=0,B172="",V172=0),"",AF172&lt;&gt;"exclusion",MAX($W$9,$W$7,(-(SUMIFS(SF_Output!$T$1:$T$400,SF_Output!$AC$1:$AC$400,_xlfn.TEXTJOIN(",",TRUE,$B172:$E172),SF_Output!$Q$1:$Q$400,"monthly"))/V172)),AF172="exclusion",-(SUMIFS(SF_Output!$T$1:$T$400,SF_Output!$AC$1:$AC$400,_xlfn.TEXTJOIN(",",TRUE,$B172:$E172),SF_Output!$Q$1:$Q$400,"monthly"))/V172)</f>
        <v/>
      </c>
      <c r="X172" s="6" cm="1">
        <f t="array" ref="X172">IFERROR(_xlfn.IFS(V172=0,0,V172="","",W172=0,V172,OR(V172&lt;&gt;0,V172&lt;&gt;""),H172*I172),V172*(1-W172))</f>
        <v>0</v>
      </c>
      <c r="Z172" s="6">
        <f>IFERROR(IF(B172="","",SUMIFS(Billing_Fallout!H:H,Billing_Fallout!N:N,B172)),0)</f>
        <v>0</v>
      </c>
      <c r="AA172" s="6">
        <f t="shared" si="40"/>
        <v>0</v>
      </c>
      <c r="AB172" s="6">
        <f>IFERROR(IF(B172="","",SUMIFS(Billing_Fallout!J:J,Billing_Fallout!N:N,B172)),0)</f>
        <v>0</v>
      </c>
      <c r="AD172" s="6">
        <f t="shared" si="41"/>
        <v>0</v>
      </c>
      <c r="AF172" t="str">
        <f>IFERROR(INDEX(H_Tables!$B$1:$B$1500,MATCH(INDEX(SF_Output!$J$1:$J$400,MATCH(B172,SF_Output!$M$1:$M$400,0)),H_Tables!$A$1:$A$1500,0)),"")</f>
        <v>Exclusion</v>
      </c>
      <c r="AI172" s="119" t="str">
        <f t="shared" si="42"/>
        <v/>
      </c>
      <c r="AJ172" s="121">
        <f>IFERROR(INDEX(SF_Output!AD:AD,MATCH(_xlfn.TEXTJOIN(",",TRUE,B172:E172),SF_Output!AC1:AC400,0)),0.05)</f>
        <v>22</v>
      </c>
      <c r="AK172" t="str">
        <f>IF(SUMIFS(SF_Output!$F$1:$F$400,SF_Output!$AC$1:$AC$400,_xlfn.TEXTJOIN(",",TRUE,B172:E172))+SUMIFS(SF_Output!$G$1:$G$400,SF_Output!$AC$1:$AC$400,_xlfn.TEXTJOIN(",",TRUE,B172:E172))=0,"","PAP")</f>
        <v/>
      </c>
      <c r="AL172" s="35" t="str">
        <f t="shared" si="43"/>
        <v>Day 2 Project Management - 45 Days engagement,New,Hosted by JHA,0</v>
      </c>
      <c r="AQ172" s="35"/>
      <c r="AR172" s="35" t="str" cm="1">
        <f t="array" ref="AR172">IFERROR(_xlfn.IFS(AND(E172*1=1,F172="Included"),"Change to Included",AND(E172*1=0,F172="Optional"),"Change to Optional",OR(B172="",F172="replaced"),""),"")</f>
        <v/>
      </c>
      <c r="AS172" s="35" t="str">
        <f t="shared" si="44"/>
        <v/>
      </c>
      <c r="AT172" s="35" t="str">
        <f t="shared" si="45"/>
        <v/>
      </c>
      <c r="AU172" s="35" t="str">
        <f t="shared" si="46"/>
        <v/>
      </c>
      <c r="AV172" s="35" t="str">
        <f t="shared" si="47"/>
        <v/>
      </c>
      <c r="AW172" s="35" t="str">
        <f t="shared" si="48"/>
        <v/>
      </c>
      <c r="AX172" s="35" t="str">
        <f t="shared" si="49"/>
        <v/>
      </c>
      <c r="AY172" s="35" t="str">
        <f t="shared" si="50"/>
        <v/>
      </c>
      <c r="AZ172" s="35" t="str">
        <f t="shared" si="51"/>
        <v/>
      </c>
      <c r="BA172" s="35" t="str">
        <f t="shared" si="52"/>
        <v/>
      </c>
      <c r="BB172" s="35" t="str">
        <f t="shared" si="53"/>
        <v/>
      </c>
      <c r="BC172" s="35"/>
      <c r="BE172" s="35">
        <f ca="1">INDEX(SF_Output!$AA$2:$AA$400,MATCH($B172,SF_Output!$M$2:$M$400,0))</f>
        <v>9</v>
      </c>
      <c r="BF172" s="35">
        <f ca="1">INDEX(SF_Output!$AB$2:$AB$400,MATCH($B172,SF_Output!$M$2:$M$400,0))</f>
        <v>1</v>
      </c>
    </row>
    <row r="173" spans="2:58" x14ac:dyDescent="0.25">
      <c r="B173" t="s">
        <v>2212</v>
      </c>
      <c r="C173" t="s">
        <v>2122</v>
      </c>
      <c r="D173" t="s">
        <v>2207</v>
      </c>
      <c r="E173" t="s">
        <v>2150</v>
      </c>
      <c r="F173" s="116" t="str">
        <f t="shared" si="36"/>
        <v>Optional</v>
      </c>
      <c r="G173" t="str">
        <f>IF(B173="","",INDEX(SF_Output!$K$1:$K$400,MATCH(B173,SF_Output!$M$1:$M$400,0)))</f>
        <v>Core</v>
      </c>
      <c r="H173" cm="1">
        <f t="array" ref="H173">_xlfn.IFS(B173="","",(SUMIFS(SF_Output!$F$1:$F$400,SF_Output!$AC$1:$AC$400,_xlfn.TEXTJOIN(",",TRUE,B173:E173))+SUMIFS(SF_Output!$G$1:$G$400,SF_Output!$AC$1:$AC$400,_xlfn.TEXTJOIN(",",TRUE,B173:E173)))&lt;&gt;0,SF_Output!$Y$2,INDEX(SF_Output!$F$1:$F$400,MATCH(_xlfn.TEXTJOIN(",",TRUE,B173:E173),SF_Output!$AC$1:$AC$400,0))=0,INDEX(SF_Output!$R$1:$R$400,MATCH(_xlfn.TEXTJOIN(",",TRUE,B173:E173),SF_Output!$AC$1:$AC$400,0)))</f>
        <v>1</v>
      </c>
      <c r="I173" s="125" t="str">
        <f>IFERROR(IF(AND(H173&gt;1,H173&lt;&gt;""),ROUND(SUMIFS(SF_Output!$S$1:$S$400,SF_Output!$AC$1:$AC$400,_xlfn.TEXTJOIN(",",TRUE,B173:E173),SF_Output!$Q$1:$Q$400,"monthly")*(1-W173)/H173,4),""),"")</f>
        <v/>
      </c>
      <c r="J173" s="6">
        <f>IF(B173="","",SUMIFS(SF_Output!$S$1:$S$400,SF_Output!$AC$1:$AC$400,_xlfn.TEXTJOIN(",",TRUE,B173:E173),SF_Output!$Q$1:$Q$400,"One Time",SF_Output!$L$1:$L$400,"license fee")+SUMIFS(SF_Output!$S$1:$S$400,SF_Output!$AC$1:$AC$400,_xlfn.TEXTJOIN(",",TRUE,B173:E173),SF_Output!$Q$1:$Q$400,"One Time",SF_Output!$L$1:$L$400,"software license")+SUMIFS(SF_Output!$S$1:$S$400,SF_Output!$AC$1:$AC$400,_xlfn.TEXTJOIN(",",TRUE,B173:E173),SF_Output!$Q$1:$Q$400,"One Time",SF_Output!$L$1:$L$400,"hardware"))</f>
        <v>0</v>
      </c>
      <c r="K173" s="112" t="str">
        <f>IF(OR(B173=0,B173="",G173="hardware",J173=0),"",IF(AF173&lt;&gt;"exclusion",MAX(K$9,-((SUMIFS(SF_Output!$T$1:$T$400,SF_Output!$AC$1:$AC$400,_xlfn.TEXTJOIN(",",TRUE,$B173:$E173),SF_Output!$Q$1:$Q$400,"One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license"))/J173)))</f>
        <v/>
      </c>
      <c r="L173" s="6">
        <f t="shared" si="37"/>
        <v>0</v>
      </c>
      <c r="N173" s="6">
        <f>IF(B173="","",SUMIFS(SF_Output!$S$1:$S$400,SF_Output!$AC$1:$AC$400,_xlfn.TEXTJOIN(",",TRUE,B173:E173),SF_Output!$Q$1:$Q$400,"One Time",SF_Output!$L$1:$L$400,"professional service"))</f>
        <v>18000</v>
      </c>
      <c r="O173" s="112">
        <f>IF(OR(B173=0,B173="",N173=0),"",IF(AF173&lt;&gt;"exclusion",MAX(O$9,-(SUMIFS(SF_Output!$T$1:$T$400,SF_Output!$AC$1:$AC$400,_xlfn.TEXTJOIN(",",TRUE,$B173:$E173),SF_Output!$Q$1:$Q$400,"One Time",SF_Output!$L$1:$L$400,"professional service"))/N173),-((SUMIFS(SF_Output!$T$1:$T$400,SF_Output!$AC$1:$AC$400,_xlfn.TEXTJOIN(",",TRUE,$B173:$E173),SF_Output!$Q$1:$Q$400,"One Time",SF_Output!$L$1:$L$400,"professional service")/N173))))</f>
        <v>0</v>
      </c>
      <c r="P173" s="6">
        <f t="shared" si="38"/>
        <v>18000</v>
      </c>
      <c r="R173" s="6">
        <f>IF(B173="","",SUMIFS(SF_Output!$S$1:$S$400,SF_Output!$AC$1:$AC$400,_xlfn.TEXTJOIN(",",TRUE,B173:E173),SF_Output!$Q$1:$Q$400,"yearly")+SUMIFS(SF_Output!$S$1:$S$400,SF_Output!$AC$1:$AC$400,_xlfn.TEXTJOIN(",",TRUE,B173:E173),SF_Output!$Q$1:$Q$400,"quarterly")*4)</f>
        <v>0</v>
      </c>
      <c r="S173" s="112" t="str">
        <f>IF(OR(B173=0,B173="",G173="hardware",R173=0),"",IF(AF173&lt;&gt;"exclusion",MAX(S$9,-(SUMIFS(SF_Output!$T$1:$T$400,SF_Output!$AC$1:$AC$400,_xlfn.TEXTJOIN(",",TRUE,$B173:$E173),SF_Output!$Q$1:$Q$400,"yearly"))/R173),-((SUMIFS(SF_Output!$T$1:$T$400,SF_Output!$AC$1:$AC$400,_xlfn.TEXTJOIN(",",TRUE,$B173:$E173),SF_Output!$Q$1:$Q$400,"yearly")/R173))))</f>
        <v/>
      </c>
      <c r="T173" s="6">
        <f t="shared" si="39"/>
        <v>0</v>
      </c>
      <c r="V173" s="6" cm="1">
        <f t="array" ref="V173">_xlfn.IFS(B173="","",AND(B173&lt;&gt;"",H173=SF_Output!$Y$2,SUMIFS(SF_Output!$T$1:$T$400,SF_Output!$AC$1:$AC$400,_xlfn.TEXTJOIN(",",TRUE,B173:E173),SF_Output!$Q$1:$Q$400,"monthly")=0),(SUMIFS(SF_Output!$F$1:$F$400,SF_Output!$AC$1:$AC$400,_xlfn.TEXTJOIN(",",TRUE,B173:E173),SF_Output!$Q$1:$Q$400,"monthly")+SUMIFS(SF_Output!$G$1:$G$400,SF_Output!$AC$1:$AC$400,_xlfn.TEXTJOIN(",",TRUE,B173:E173),SF_Output!$Q$1:$Q$400,"monthly"))*H173,AND(B173&lt;&gt;"",H173=SF_Output!$Y$2,SUMIFS(SF_Output!$T$1:$T$400,SF_Output!$AC$1:$AC$400,_xlfn.TEXTJOIN(",",TRUE,B173:E173),SF_Output!$Q$1:$Q$400,"monthly")&lt;&gt;0),SUMIFS(SF_Output!$S$1:$S$400,SF_Output!$AC$1:$AC$400,_xlfn.TEXTJOIN(",",TRUE,B173:E173),SF_Output!$Q$1:$Q$400,"monthly"),AND(B173&lt;&gt;"",H173&lt;&gt;SF_Output!$Y$2),SUMIFS(SF_Output!$S$1:$S$400,SF_Output!$AC$1:$AC$400,_xlfn.TEXTJOIN(",",TRUE,B173:E173),SF_Output!$Q$1:$Q$400,"monthly"))</f>
        <v>0</v>
      </c>
      <c r="W173" s="112" t="str" cm="1">
        <f t="array" ref="W173">_xlfn.IFS(OR(B173=0,B173="",V173=0),"",AF173&lt;&gt;"exclusion",MAX($W$9,$W$7,(-(SUMIFS(SF_Output!$T$1:$T$400,SF_Output!$AC$1:$AC$400,_xlfn.TEXTJOIN(",",TRUE,$B173:$E173),SF_Output!$Q$1:$Q$400,"monthly"))/V173)),AF173="exclusion",-(SUMIFS(SF_Output!$T$1:$T$400,SF_Output!$AC$1:$AC$400,_xlfn.TEXTJOIN(",",TRUE,$B173:$E173),SF_Output!$Q$1:$Q$400,"monthly"))/V173)</f>
        <v/>
      </c>
      <c r="X173" s="6" cm="1">
        <f t="array" ref="X173">IFERROR(_xlfn.IFS(V173=0,0,V173="","",W173=0,V173,OR(V173&lt;&gt;0,V173&lt;&gt;""),H173*I173),V173*(1-W173))</f>
        <v>0</v>
      </c>
      <c r="Z173" s="6">
        <f>IFERROR(IF(B173="","",SUMIFS(Billing_Fallout!H:H,Billing_Fallout!N:N,B173)),0)</f>
        <v>0</v>
      </c>
      <c r="AA173" s="6">
        <f t="shared" si="40"/>
        <v>0</v>
      </c>
      <c r="AB173" s="6">
        <f>IFERROR(IF(B173="","",SUMIFS(Billing_Fallout!J:J,Billing_Fallout!N:N,B173)),0)</f>
        <v>0</v>
      </c>
      <c r="AD173" s="6">
        <f t="shared" si="41"/>
        <v>0</v>
      </c>
      <c r="AF173" t="str">
        <f>IFERROR(INDEX(H_Tables!$B$1:$B$1500,MATCH(INDEX(SF_Output!$J$1:$J$400,MATCH(B173,SF_Output!$M$1:$M$400,0)),H_Tables!$A$1:$A$1500,0)),"")</f>
        <v/>
      </c>
      <c r="AI173" s="119" t="str">
        <f t="shared" si="42"/>
        <v/>
      </c>
      <c r="AJ173" s="121">
        <f>IFERROR(INDEX(SF_Output!AD:AD,MATCH(_xlfn.TEXTJOIN(",",TRUE,B173:E173),SF_Output!AC1:AC400,0)),0.05)</f>
        <v>57</v>
      </c>
      <c r="AK173" t="str">
        <f>IF(SUMIFS(SF_Output!$F$1:$F$400,SF_Output!$AC$1:$AC$400,_xlfn.TEXTJOIN(",",TRUE,B173:E173))+SUMIFS(SF_Output!$G$1:$G$400,SF_Output!$AC$1:$AC$400,_xlfn.TEXTJOIN(",",TRUE,B173:E173))=0,"","PAP")</f>
        <v/>
      </c>
      <c r="AL173" s="35" t="str">
        <f t="shared" si="43"/>
        <v>Jack Henry Loyalty and Rewards Strategy Engagement,New,Hosted by 3rd Party,1</v>
      </c>
      <c r="AQ173" s="35"/>
      <c r="AR173" s="35" t="str" cm="1">
        <f t="array" ref="AR173">IFERROR(_xlfn.IFS(AND(E173*1=1,F173="Included"),"Change to Included",AND(E173*1=0,F173="Optional"),"Change to Optional",OR(B173="",F173="replaced"),""),"")</f>
        <v/>
      </c>
      <c r="AS173" s="35" t="str">
        <f t="shared" si="44"/>
        <v/>
      </c>
      <c r="AT173" s="35" t="str">
        <f t="shared" si="45"/>
        <v/>
      </c>
      <c r="AU173" s="35" t="str">
        <f t="shared" si="46"/>
        <v/>
      </c>
      <c r="AV173" s="35" t="str">
        <f t="shared" si="47"/>
        <v/>
      </c>
      <c r="AW173" s="35" t="str">
        <f t="shared" si="48"/>
        <v/>
      </c>
      <c r="AX173" s="35" t="str">
        <f t="shared" si="49"/>
        <v/>
      </c>
      <c r="AY173" s="35" t="str">
        <f t="shared" si="50"/>
        <v/>
      </c>
      <c r="AZ173" s="35" t="str">
        <f t="shared" si="51"/>
        <v/>
      </c>
      <c r="BA173" s="35" t="str">
        <f t="shared" si="52"/>
        <v/>
      </c>
      <c r="BB173" s="35" t="str">
        <f t="shared" si="53"/>
        <v/>
      </c>
      <c r="BC173" s="35"/>
      <c r="BE173" s="35">
        <f ca="1">INDEX(SF_Output!$AA$2:$AA$400,MATCH($B173,SF_Output!$M$2:$M$400,0))</f>
        <v>9</v>
      </c>
      <c r="BF173" s="35">
        <f ca="1">INDEX(SF_Output!$AB$2:$AB$400,MATCH($B173,SF_Output!$M$2:$M$400,0))</f>
        <v>2</v>
      </c>
    </row>
    <row r="174" spans="2:58" x14ac:dyDescent="0.25">
      <c r="B174" t="s">
        <v>2215</v>
      </c>
      <c r="C174" t="s">
        <v>2122</v>
      </c>
      <c r="D174" t="s">
        <v>2207</v>
      </c>
      <c r="E174" t="s">
        <v>2150</v>
      </c>
      <c r="F174" s="116" t="str">
        <f t="shared" si="36"/>
        <v>Optional</v>
      </c>
      <c r="G174" t="str">
        <f>IF(B174="","",INDEX(SF_Output!$K$1:$K$400,MATCH(B174,SF_Output!$M$1:$M$400,0)))</f>
        <v>Core</v>
      </c>
      <c r="H174" cm="1">
        <f t="array" ref="H174">_xlfn.IFS(B174="","",(SUMIFS(SF_Output!$F$1:$F$400,SF_Output!$AC$1:$AC$400,_xlfn.TEXTJOIN(",",TRUE,B174:E174))+SUMIFS(SF_Output!$G$1:$G$400,SF_Output!$AC$1:$AC$400,_xlfn.TEXTJOIN(",",TRUE,B174:E174)))&lt;&gt;0,SF_Output!$Y$2,INDEX(SF_Output!$F$1:$F$400,MATCH(_xlfn.TEXTJOIN(",",TRUE,B174:E174),SF_Output!$AC$1:$AC$400,0))=0,INDEX(SF_Output!$R$1:$R$400,MATCH(_xlfn.TEXTJOIN(",",TRUE,B174:E174),SF_Output!$AC$1:$AC$400,0)))</f>
        <v>1</v>
      </c>
      <c r="I174" s="125" t="str">
        <f>IFERROR(IF(AND(H174&gt;1,H174&lt;&gt;""),ROUND(SUMIFS(SF_Output!$S$1:$S$400,SF_Output!$AC$1:$AC$400,_xlfn.TEXTJOIN(",",TRUE,B174:E174),SF_Output!$Q$1:$Q$400,"monthly")*(1-W174)/H174,4),""),"")</f>
        <v/>
      </c>
      <c r="J174" s="6">
        <f>IF(B174="","",SUMIFS(SF_Output!$S$1:$S$400,SF_Output!$AC$1:$AC$400,_xlfn.TEXTJOIN(",",TRUE,B174:E174),SF_Output!$Q$1:$Q$400,"One Time",SF_Output!$L$1:$L$400,"license fee")+SUMIFS(SF_Output!$S$1:$S$400,SF_Output!$AC$1:$AC$400,_xlfn.TEXTJOIN(",",TRUE,B174:E174),SF_Output!$Q$1:$Q$400,"One Time",SF_Output!$L$1:$L$400,"software license")+SUMIFS(SF_Output!$S$1:$S$400,SF_Output!$AC$1:$AC$400,_xlfn.TEXTJOIN(",",TRUE,B174:E174),SF_Output!$Q$1:$Q$400,"One Time",SF_Output!$L$1:$L$400,"hardware"))</f>
        <v>0</v>
      </c>
      <c r="K174" s="112" t="str">
        <f>IF(OR(B174=0,B174="",G174="hardware",J174=0),"",IF(AF174&lt;&gt;"exclusion",MAX(K$9,-((SUMIFS(SF_Output!$T$1:$T$400,SF_Output!$AC$1:$AC$400,_xlfn.TEXTJOIN(",",TRUE,$B174:$E174),SF_Output!$Q$1:$Q$400,"One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license"))/J174)))</f>
        <v/>
      </c>
      <c r="L174" s="6">
        <f t="shared" si="37"/>
        <v>0</v>
      </c>
      <c r="N174" s="6">
        <f>IF(B174="","",SUMIFS(SF_Output!$S$1:$S$400,SF_Output!$AC$1:$AC$400,_xlfn.TEXTJOIN(",",TRUE,B174:E174),SF_Output!$Q$1:$Q$400,"One Time",SF_Output!$L$1:$L$400,"professional service"))</f>
        <v>0</v>
      </c>
      <c r="O174" s="112" t="str">
        <f>IF(OR(B174=0,B174="",N174=0),"",IF(AF174&lt;&gt;"exclusion",MAX(O$9,-(SUMIFS(SF_Output!$T$1:$T$400,SF_Output!$AC$1:$AC$400,_xlfn.TEXTJOIN(",",TRUE,$B174:$E174),SF_Output!$Q$1:$Q$400,"One Time",SF_Output!$L$1:$L$400,"professional service"))/N174),-((SUMIFS(SF_Output!$T$1:$T$400,SF_Output!$AC$1:$AC$400,_xlfn.TEXTJOIN(",",TRUE,$B174:$E174),SF_Output!$Q$1:$Q$400,"One Time",SF_Output!$L$1:$L$400,"professional service")/N174))))</f>
        <v/>
      </c>
      <c r="P174" s="6">
        <f t="shared" si="38"/>
        <v>0</v>
      </c>
      <c r="R174" s="6">
        <f>IF(B174="","",SUMIFS(SF_Output!$S$1:$S$400,SF_Output!$AC$1:$AC$400,_xlfn.TEXTJOIN(",",TRUE,B174:E174),SF_Output!$Q$1:$Q$400,"yearly")+SUMIFS(SF_Output!$S$1:$S$400,SF_Output!$AC$1:$AC$400,_xlfn.TEXTJOIN(",",TRUE,B174:E174),SF_Output!$Q$1:$Q$400,"quarterly")*4)</f>
        <v>3500</v>
      </c>
      <c r="S174" s="112">
        <f>IF(OR(B174=0,B174="",G174="hardware",R174=0),"",IF(AF174&lt;&gt;"exclusion",MAX(S$9,-(SUMIFS(SF_Output!$T$1:$T$400,SF_Output!$AC$1:$AC$400,_xlfn.TEXTJOIN(",",TRUE,$B174:$E174),SF_Output!$Q$1:$Q$400,"yearly"))/R174),-((SUMIFS(SF_Output!$T$1:$T$400,SF_Output!$AC$1:$AC$400,_xlfn.TEXTJOIN(",",TRUE,$B174:$E174),SF_Output!$Q$1:$Q$400,"yearly")/R174))))</f>
        <v>0</v>
      </c>
      <c r="T174" s="6">
        <f t="shared" si="39"/>
        <v>3500</v>
      </c>
      <c r="V174" s="6" cm="1">
        <f t="array" ref="V174">_xlfn.IFS(B174="","",AND(B174&lt;&gt;"",H174=SF_Output!$Y$2,SUMIFS(SF_Output!$T$1:$T$400,SF_Output!$AC$1:$AC$400,_xlfn.TEXTJOIN(",",TRUE,B174:E174),SF_Output!$Q$1:$Q$400,"monthly")=0),(SUMIFS(SF_Output!$F$1:$F$400,SF_Output!$AC$1:$AC$400,_xlfn.TEXTJOIN(",",TRUE,B174:E174),SF_Output!$Q$1:$Q$400,"monthly")+SUMIFS(SF_Output!$G$1:$G$400,SF_Output!$AC$1:$AC$400,_xlfn.TEXTJOIN(",",TRUE,B174:E174),SF_Output!$Q$1:$Q$400,"monthly"))*H174,AND(B174&lt;&gt;"",H174=SF_Output!$Y$2,SUMIFS(SF_Output!$T$1:$T$400,SF_Output!$AC$1:$AC$400,_xlfn.TEXTJOIN(",",TRUE,B174:E174),SF_Output!$Q$1:$Q$400,"monthly")&lt;&gt;0),SUMIFS(SF_Output!$S$1:$S$400,SF_Output!$AC$1:$AC$400,_xlfn.TEXTJOIN(",",TRUE,B174:E174),SF_Output!$Q$1:$Q$400,"monthly"),AND(B174&lt;&gt;"",H174&lt;&gt;SF_Output!$Y$2),SUMIFS(SF_Output!$S$1:$S$400,SF_Output!$AC$1:$AC$400,_xlfn.TEXTJOIN(",",TRUE,B174:E174),SF_Output!$Q$1:$Q$400,"monthly"))</f>
        <v>0</v>
      </c>
      <c r="W174" s="112" t="str" cm="1">
        <f t="array" ref="W174">_xlfn.IFS(OR(B174=0,B174="",V174=0),"",AF174&lt;&gt;"exclusion",MAX($W$9,$W$7,(-(SUMIFS(SF_Output!$T$1:$T$400,SF_Output!$AC$1:$AC$400,_xlfn.TEXTJOIN(",",TRUE,$B174:$E174),SF_Output!$Q$1:$Q$400,"monthly"))/V174)),AF174="exclusion",-(SUMIFS(SF_Output!$T$1:$T$400,SF_Output!$AC$1:$AC$400,_xlfn.TEXTJOIN(",",TRUE,$B174:$E174),SF_Output!$Q$1:$Q$400,"monthly"))/V174)</f>
        <v/>
      </c>
      <c r="X174" s="6" cm="1">
        <f t="array" ref="X174">IFERROR(_xlfn.IFS(V174=0,0,V174="","",W174=0,V174,OR(V174&lt;&gt;0,V174&lt;&gt;""),H174*I174),V174*(1-W174))</f>
        <v>0</v>
      </c>
      <c r="Z174" s="6">
        <f>IFERROR(IF(B174="","",SUMIFS(Billing_Fallout!H:H,Billing_Fallout!N:N,B174)),0)</f>
        <v>0</v>
      </c>
      <c r="AA174" s="6">
        <f t="shared" si="40"/>
        <v>0</v>
      </c>
      <c r="AB174" s="6">
        <f>IFERROR(IF(B174="","",SUMIFS(Billing_Fallout!J:J,Billing_Fallout!N:N,B174)),0)</f>
        <v>0</v>
      </c>
      <c r="AD174" s="6">
        <f t="shared" si="41"/>
        <v>0</v>
      </c>
      <c r="AF174" t="str">
        <f>IFERROR(INDEX(H_Tables!$B$1:$B$1500,MATCH(INDEX(SF_Output!$J$1:$J$400,MATCH(B174,SF_Output!$M$1:$M$400,0)),H_Tables!$A$1:$A$1500,0)),"")</f>
        <v/>
      </c>
      <c r="AI174" s="119" t="str">
        <f t="shared" si="42"/>
        <v/>
      </c>
      <c r="AJ174" s="121">
        <f>IFERROR(INDEX(SF_Output!AD:AD,MATCH(_xlfn.TEXTJOIN(",",TRUE,B174:E174),SF_Output!AC1:AC400,0)),0.05)</f>
        <v>57</v>
      </c>
      <c r="AK174" t="str">
        <f>IF(SUMIFS(SF_Output!$F$1:$F$400,SF_Output!$AC$1:$AC$400,_xlfn.TEXTJOIN(",",TRUE,B174:E174))+SUMIFS(SF_Output!$G$1:$G$400,SF_Output!$AC$1:$AC$400,_xlfn.TEXTJOIN(",",TRUE,B174:E174))=0,"","PAP")</f>
        <v/>
      </c>
      <c r="AL174" s="35" t="str">
        <f t="shared" si="43"/>
        <v>Jack Henry Loyalty and Rewards Optimization Assistance,New,Hosted by 3rd Party,1</v>
      </c>
      <c r="AQ174" s="35"/>
      <c r="AR174" s="35" t="str" cm="1">
        <f t="array" ref="AR174">IFERROR(_xlfn.IFS(AND(E174*1=1,F174="Included"),"Change to Included",AND(E174*1=0,F174="Optional"),"Change to Optional",OR(B174="",F174="replaced"),""),"")</f>
        <v/>
      </c>
      <c r="AS174" s="35" t="str">
        <f t="shared" si="44"/>
        <v/>
      </c>
      <c r="AT174" s="35" t="str">
        <f t="shared" si="45"/>
        <v/>
      </c>
      <c r="AU174" s="35" t="str">
        <f t="shared" si="46"/>
        <v/>
      </c>
      <c r="AV174" s="35" t="str">
        <f t="shared" si="47"/>
        <v/>
      </c>
      <c r="AW174" s="35" t="str">
        <f t="shared" si="48"/>
        <v/>
      </c>
      <c r="AX174" s="35" t="str">
        <f t="shared" si="49"/>
        <v/>
      </c>
      <c r="AY174" s="35" t="str">
        <f t="shared" si="50"/>
        <v/>
      </c>
      <c r="AZ174" s="35" t="str">
        <f t="shared" si="51"/>
        <v/>
      </c>
      <c r="BA174" s="35" t="str">
        <f t="shared" si="52"/>
        <v/>
      </c>
      <c r="BB174" s="35" t="str">
        <f t="shared" si="53"/>
        <v/>
      </c>
      <c r="BC174" s="35"/>
      <c r="BE174" s="35">
        <f ca="1">INDEX(SF_Output!$AA$2:$AA$400,MATCH($B174,SF_Output!$M$2:$M$400,0))</f>
        <v>9</v>
      </c>
      <c r="BF174" s="35">
        <f ca="1">INDEX(SF_Output!$AB$2:$AB$400,MATCH($B174,SF_Output!$M$2:$M$400,0))</f>
        <v>2</v>
      </c>
    </row>
    <row r="175" spans="2:58" x14ac:dyDescent="0.25">
      <c r="B175" t="s">
        <v>2315</v>
      </c>
      <c r="C175" t="s">
        <v>2122</v>
      </c>
      <c r="D175" t="s">
        <v>2306</v>
      </c>
      <c r="E175" t="s">
        <v>2150</v>
      </c>
      <c r="F175" s="116" t="str">
        <f t="shared" si="36"/>
        <v>Optional</v>
      </c>
      <c r="G175" t="str">
        <f>IF(B175="","",INDEX(SF_Output!$K$1:$K$400,MATCH(B175,SF_Output!$M$1:$M$400,0)))</f>
        <v>jhaEnterprise Workflow</v>
      </c>
      <c r="H175" cm="1">
        <f t="array" ref="H175">_xlfn.IFS(B175="","",(SUMIFS(SF_Output!$F$1:$F$400,SF_Output!$AC$1:$AC$400,_xlfn.TEXTJOIN(",",TRUE,B175:E175))+SUMIFS(SF_Output!$G$1:$G$400,SF_Output!$AC$1:$AC$400,_xlfn.TEXTJOIN(",",TRUE,B175:E175)))&lt;&gt;0,SF_Output!$Y$2,INDEX(SF_Output!$F$1:$F$400,MATCH(_xlfn.TEXTJOIN(",",TRUE,B175:E175),SF_Output!$AC$1:$AC$400,0))=0,INDEX(SF_Output!$R$1:$R$400,MATCH(_xlfn.TEXTJOIN(",",TRUE,B175:E175),SF_Output!$AC$1:$AC$400,0)))</f>
        <v>1</v>
      </c>
      <c r="I175" s="125" t="str">
        <f>IFERROR(IF(AND(H175&gt;1,H175&lt;&gt;""),ROUND(SUMIFS(SF_Output!$S$1:$S$400,SF_Output!$AC$1:$AC$400,_xlfn.TEXTJOIN(",",TRUE,B175:E175),SF_Output!$Q$1:$Q$400,"monthly")*(1-W175)/H175,4),""),"")</f>
        <v/>
      </c>
      <c r="J175" s="6">
        <f>IF(B175="","",SUMIFS(SF_Output!$S$1:$S$400,SF_Output!$AC$1:$AC$400,_xlfn.TEXTJOIN(",",TRUE,B175:E175),SF_Output!$Q$1:$Q$400,"One Time",SF_Output!$L$1:$L$400,"license fee")+SUMIFS(SF_Output!$S$1:$S$400,SF_Output!$AC$1:$AC$400,_xlfn.TEXTJOIN(",",TRUE,B175:E175),SF_Output!$Q$1:$Q$400,"One Time",SF_Output!$L$1:$L$400,"software license")+SUMIFS(SF_Output!$S$1:$S$400,SF_Output!$AC$1:$AC$400,_xlfn.TEXTJOIN(",",TRUE,B175:E175),SF_Output!$Q$1:$Q$400,"One Time",SF_Output!$L$1:$L$400,"hardware"))</f>
        <v>0</v>
      </c>
      <c r="K175" s="112" t="str">
        <f>IF(OR(B175=0,B175="",G175="hardware",J175=0),"",IF(AF175&lt;&gt;"exclusion",MAX(K$9,-((SUMIFS(SF_Output!$T$1:$T$400,SF_Output!$AC$1:$AC$400,_xlfn.TEXTJOIN(",",TRUE,$B175:$E175),SF_Output!$Q$1:$Q$400,"One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license"))/J175)))</f>
        <v/>
      </c>
      <c r="L175" s="6">
        <f t="shared" si="37"/>
        <v>0</v>
      </c>
      <c r="N175" s="6">
        <f>IF(B175="","",SUMIFS(SF_Output!$S$1:$S$400,SF_Output!$AC$1:$AC$400,_xlfn.TEXTJOIN(",",TRUE,B175:E175),SF_Output!$Q$1:$Q$400,"One Time",SF_Output!$L$1:$L$400,"professional service"))</f>
        <v>15000</v>
      </c>
      <c r="O175" s="112">
        <f>IF(OR(B175=0,B175="",N175=0),"",IF(AF175&lt;&gt;"exclusion",MAX(O$9,-(SUMIFS(SF_Output!$T$1:$T$400,SF_Output!$AC$1:$AC$400,_xlfn.TEXTJOIN(",",TRUE,$B175:$E175),SF_Output!$Q$1:$Q$400,"One Time",SF_Output!$L$1:$L$400,"professional service"))/N175),-((SUMIFS(SF_Output!$T$1:$T$400,SF_Output!$AC$1:$AC$400,_xlfn.TEXTJOIN(",",TRUE,$B175:$E175),SF_Output!$Q$1:$Q$400,"One Time",SF_Output!$L$1:$L$400,"professional service")/N175))))</f>
        <v>0</v>
      </c>
      <c r="P175" s="6">
        <f t="shared" si="38"/>
        <v>15000</v>
      </c>
      <c r="R175" s="6">
        <f>IF(B175="","",SUMIFS(SF_Output!$S$1:$S$400,SF_Output!$AC$1:$AC$400,_xlfn.TEXTJOIN(",",TRUE,B175:E175),SF_Output!$Q$1:$Q$400,"yearly")+SUMIFS(SF_Output!$S$1:$S$400,SF_Output!$AC$1:$AC$400,_xlfn.TEXTJOIN(",",TRUE,B175:E175),SF_Output!$Q$1:$Q$400,"quarterly")*4)</f>
        <v>0</v>
      </c>
      <c r="S175" s="112" t="str">
        <f>IF(OR(B175=0,B175="",G175="hardware",R175=0),"",IF(AF175&lt;&gt;"exclusion",MAX(S$9,-(SUMIFS(SF_Output!$T$1:$T$400,SF_Output!$AC$1:$AC$400,_xlfn.TEXTJOIN(",",TRUE,$B175:$E175),SF_Output!$Q$1:$Q$400,"yearly"))/R175),-((SUMIFS(SF_Output!$T$1:$T$400,SF_Output!$AC$1:$AC$400,_xlfn.TEXTJOIN(",",TRUE,$B175:$E175),SF_Output!$Q$1:$Q$400,"yearly")/R175))))</f>
        <v/>
      </c>
      <c r="T175" s="6">
        <f t="shared" si="39"/>
        <v>0</v>
      </c>
      <c r="V175" s="6" cm="1">
        <f t="array" ref="V175">_xlfn.IFS(B175="","",AND(B175&lt;&gt;"",H175=SF_Output!$Y$2,SUMIFS(SF_Output!$T$1:$T$400,SF_Output!$AC$1:$AC$400,_xlfn.TEXTJOIN(",",TRUE,B175:E175),SF_Output!$Q$1:$Q$400,"monthly")=0),(SUMIFS(SF_Output!$F$1:$F$400,SF_Output!$AC$1:$AC$400,_xlfn.TEXTJOIN(",",TRUE,B175:E175),SF_Output!$Q$1:$Q$400,"monthly")+SUMIFS(SF_Output!$G$1:$G$400,SF_Output!$AC$1:$AC$400,_xlfn.TEXTJOIN(",",TRUE,B175:E175),SF_Output!$Q$1:$Q$400,"monthly"))*H175,AND(B175&lt;&gt;"",H175=SF_Output!$Y$2,SUMIFS(SF_Output!$T$1:$T$400,SF_Output!$AC$1:$AC$400,_xlfn.TEXTJOIN(",",TRUE,B175:E175),SF_Output!$Q$1:$Q$400,"monthly")&lt;&gt;0),SUMIFS(SF_Output!$S$1:$S$400,SF_Output!$AC$1:$AC$400,_xlfn.TEXTJOIN(",",TRUE,B175:E175),SF_Output!$Q$1:$Q$400,"monthly"),AND(B175&lt;&gt;"",H175&lt;&gt;SF_Output!$Y$2),SUMIFS(SF_Output!$S$1:$S$400,SF_Output!$AC$1:$AC$400,_xlfn.TEXTJOIN(",",TRUE,B175:E175),SF_Output!$Q$1:$Q$400,"monthly"))</f>
        <v>0</v>
      </c>
      <c r="W175" s="112" t="str" cm="1">
        <f t="array" ref="W175">_xlfn.IFS(OR(B175=0,B175="",V175=0),"",AF175&lt;&gt;"exclusion",MAX($W$9,$W$7,(-(SUMIFS(SF_Output!$T$1:$T$400,SF_Output!$AC$1:$AC$400,_xlfn.TEXTJOIN(",",TRUE,$B175:$E175),SF_Output!$Q$1:$Q$400,"monthly"))/V175)),AF175="exclusion",-(SUMIFS(SF_Output!$T$1:$T$400,SF_Output!$AC$1:$AC$400,_xlfn.TEXTJOIN(",",TRUE,$B175:$E175),SF_Output!$Q$1:$Q$400,"monthly"))/V175)</f>
        <v/>
      </c>
      <c r="X175" s="6" cm="1">
        <f t="array" ref="X175">IFERROR(_xlfn.IFS(V175=0,0,V175="","",W175=0,V175,OR(V175&lt;&gt;0,V175&lt;&gt;""),H175*I175),V175*(1-W175))</f>
        <v>0</v>
      </c>
      <c r="Z175" s="6">
        <f>IFERROR(IF(B175="","",SUMIFS(Billing_Fallout!H:H,Billing_Fallout!N:N,B175)),0)</f>
        <v>0</v>
      </c>
      <c r="AA175" s="6">
        <f t="shared" si="40"/>
        <v>0</v>
      </c>
      <c r="AB175" s="6">
        <f>IFERROR(IF(B175="","",SUMIFS(Billing_Fallout!J:J,Billing_Fallout!N:N,B175)),0)</f>
        <v>0</v>
      </c>
      <c r="AD175" s="6">
        <f t="shared" si="41"/>
        <v>0</v>
      </c>
      <c r="AF175" t="str">
        <f>IFERROR(INDEX(H_Tables!$B$1:$B$1500,MATCH(INDEX(SF_Output!$J$1:$J$400,MATCH(B175,SF_Output!$M$1:$M$400,0)),H_Tables!$A$1:$A$1500,0)),"")</f>
        <v/>
      </c>
      <c r="AI175" s="119" t="str">
        <f t="shared" si="42"/>
        <v/>
      </c>
      <c r="AJ175" s="121">
        <f>IFERROR(INDEX(SF_Output!AD:AD,MATCH(_xlfn.TEXTJOIN(",",TRUE,B175:E175),SF_Output!AC1:AC400,0)),0.05)</f>
        <v>139</v>
      </c>
      <c r="AK175" t="str">
        <f>IF(SUMIFS(SF_Output!$F$1:$F$400,SF_Output!$AC$1:$AC$400,_xlfn.TEXTJOIN(",",TRUE,B175:E175))+SUMIFS(SF_Output!$G$1:$G$400,SF_Output!$AC$1:$AC$400,_xlfn.TEXTJOIN(",",TRUE,B175:E175))=0,"","PAP")</f>
        <v/>
      </c>
      <c r="AL175" s="35" t="str">
        <f t="shared" si="43"/>
        <v>JHA Client Services Consulting Workflow Process Automation Strategy,New,On Premi</v>
      </c>
      <c r="AQ175" s="35"/>
      <c r="AR175" s="35" t="str" cm="1">
        <f t="array" ref="AR175">IFERROR(_xlfn.IFS(AND(E175*1=1,F175="Included"),"Change to Included",AND(E175*1=0,F175="Optional"),"Change to Optional",OR(B175="",F175="replaced"),""),"")</f>
        <v/>
      </c>
      <c r="AS175" s="35" t="str">
        <f t="shared" si="44"/>
        <v/>
      </c>
      <c r="AT175" s="35" t="str">
        <f t="shared" si="45"/>
        <v/>
      </c>
      <c r="AU175" s="35" t="str">
        <f t="shared" si="46"/>
        <v/>
      </c>
      <c r="AV175" s="35" t="str">
        <f t="shared" si="47"/>
        <v/>
      </c>
      <c r="AW175" s="35" t="str">
        <f t="shared" si="48"/>
        <v/>
      </c>
      <c r="AX175" s="35" t="str">
        <f t="shared" si="49"/>
        <v/>
      </c>
      <c r="AY175" s="35" t="str">
        <f t="shared" si="50"/>
        <v/>
      </c>
      <c r="AZ175" s="35" t="str">
        <f t="shared" si="51"/>
        <v/>
      </c>
      <c r="BA175" s="35" t="str">
        <f t="shared" si="52"/>
        <v/>
      </c>
      <c r="BB175" s="35" t="str">
        <f t="shared" si="53"/>
        <v/>
      </c>
      <c r="BC175" s="35"/>
      <c r="BE175" s="35">
        <f ca="1">INDEX(SF_Output!$AA$2:$AA$400,MATCH($B175,SF_Output!$M$2:$M$400,0))</f>
        <v>9</v>
      </c>
      <c r="BF175" s="35">
        <f ca="1">INDEX(SF_Output!$AB$2:$AB$400,MATCH($B175,SF_Output!$M$2:$M$400,0))</f>
        <v>2</v>
      </c>
    </row>
    <row r="176" spans="2:58" x14ac:dyDescent="0.25">
      <c r="B176" t="s">
        <v>2318</v>
      </c>
      <c r="C176" t="s">
        <v>2122</v>
      </c>
      <c r="D176" t="s">
        <v>2306</v>
      </c>
      <c r="E176" t="s">
        <v>2150</v>
      </c>
      <c r="F176" s="116" t="str">
        <f t="shared" si="36"/>
        <v>Optional</v>
      </c>
      <c r="G176" t="str">
        <f>IF(B176="","",INDEX(SF_Output!$K$1:$K$400,MATCH(B176,SF_Output!$M$1:$M$400,0)))</f>
        <v>jhaEnterprise Workflow</v>
      </c>
      <c r="H176" cm="1">
        <f t="array" ref="H176">_xlfn.IFS(B176="","",(SUMIFS(SF_Output!$F$1:$F$400,SF_Output!$AC$1:$AC$400,_xlfn.TEXTJOIN(",",TRUE,B176:E176))+SUMIFS(SF_Output!$G$1:$G$400,SF_Output!$AC$1:$AC$400,_xlfn.TEXTJOIN(",",TRUE,B176:E176)))&lt;&gt;0,SF_Output!$Y$2,INDEX(SF_Output!$F$1:$F$400,MATCH(_xlfn.TEXTJOIN(",",TRUE,B176:E176),SF_Output!$AC$1:$AC$400,0))=0,INDEX(SF_Output!$R$1:$R$400,MATCH(_xlfn.TEXTJOIN(",",TRUE,B176:E176),SF_Output!$AC$1:$AC$400,0)))</f>
        <v>1</v>
      </c>
      <c r="I176" s="125" t="str">
        <f>IFERROR(IF(AND(H176&gt;1,H176&lt;&gt;""),ROUND(SUMIFS(SF_Output!$S$1:$S$400,SF_Output!$AC$1:$AC$400,_xlfn.TEXTJOIN(",",TRUE,B176:E176),SF_Output!$Q$1:$Q$400,"monthly")*(1-W176)/H176,4),""),"")</f>
        <v/>
      </c>
      <c r="J176" s="6">
        <f>IF(B176="","",SUMIFS(SF_Output!$S$1:$S$400,SF_Output!$AC$1:$AC$400,_xlfn.TEXTJOIN(",",TRUE,B176:E176),SF_Output!$Q$1:$Q$400,"One Time",SF_Output!$L$1:$L$400,"license fee")+SUMIFS(SF_Output!$S$1:$S$400,SF_Output!$AC$1:$AC$400,_xlfn.TEXTJOIN(",",TRUE,B176:E176),SF_Output!$Q$1:$Q$400,"One Time",SF_Output!$L$1:$L$400,"software license")+SUMIFS(SF_Output!$S$1:$S$400,SF_Output!$AC$1:$AC$400,_xlfn.TEXTJOIN(",",TRUE,B176:E176),SF_Output!$Q$1:$Q$400,"One Time",SF_Output!$L$1:$L$400,"hardware"))</f>
        <v>0</v>
      </c>
      <c r="K176" s="112" t="str">
        <f>IF(OR(B176=0,B176="",G176="hardware",J176=0),"",IF(AF176&lt;&gt;"exclusion",MAX(K$9,-((SUMIFS(SF_Output!$T$1:$T$400,SF_Output!$AC$1:$AC$400,_xlfn.TEXTJOIN(",",TRUE,$B176:$E176),SF_Output!$Q$1:$Q$400,"One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license"))/J176)))</f>
        <v/>
      </c>
      <c r="L176" s="6">
        <f t="shared" si="37"/>
        <v>0</v>
      </c>
      <c r="N176" s="6">
        <f>IF(B176="","",SUMIFS(SF_Output!$S$1:$S$400,SF_Output!$AC$1:$AC$400,_xlfn.TEXTJOIN(",",TRUE,B176:E176),SF_Output!$Q$1:$Q$400,"One Time",SF_Output!$L$1:$L$400,"professional service"))</f>
        <v>25000</v>
      </c>
      <c r="O176" s="112">
        <f>IF(OR(B176=0,B176="",N176=0),"",IF(AF176&lt;&gt;"exclusion",MAX(O$9,-(SUMIFS(SF_Output!$T$1:$T$400,SF_Output!$AC$1:$AC$400,_xlfn.TEXTJOIN(",",TRUE,$B176:$E176),SF_Output!$Q$1:$Q$400,"One Time",SF_Output!$L$1:$L$400,"professional service"))/N176),-((SUMIFS(SF_Output!$T$1:$T$400,SF_Output!$AC$1:$AC$400,_xlfn.TEXTJOIN(",",TRUE,$B176:$E176),SF_Output!$Q$1:$Q$400,"One Time",SF_Output!$L$1:$L$400,"professional service")/N176))))</f>
        <v>0</v>
      </c>
      <c r="P176" s="6">
        <f t="shared" si="38"/>
        <v>25000</v>
      </c>
      <c r="R176" s="6">
        <f>IF(B176="","",SUMIFS(SF_Output!$S$1:$S$400,SF_Output!$AC$1:$AC$400,_xlfn.TEXTJOIN(",",TRUE,B176:E176),SF_Output!$Q$1:$Q$400,"yearly")+SUMIFS(SF_Output!$S$1:$S$400,SF_Output!$AC$1:$AC$400,_xlfn.TEXTJOIN(",",TRUE,B176:E176),SF_Output!$Q$1:$Q$400,"quarterly")*4)</f>
        <v>0</v>
      </c>
      <c r="S176" s="112" t="str">
        <f>IF(OR(B176=0,B176="",G176="hardware",R176=0),"",IF(AF176&lt;&gt;"exclusion",MAX(S$9,-(SUMIFS(SF_Output!$T$1:$T$400,SF_Output!$AC$1:$AC$400,_xlfn.TEXTJOIN(",",TRUE,$B176:$E176),SF_Output!$Q$1:$Q$400,"yearly"))/R176),-((SUMIFS(SF_Output!$T$1:$T$400,SF_Output!$AC$1:$AC$400,_xlfn.TEXTJOIN(",",TRUE,$B176:$E176),SF_Output!$Q$1:$Q$400,"yearly")/R176))))</f>
        <v/>
      </c>
      <c r="T176" s="6">
        <f t="shared" si="39"/>
        <v>0</v>
      </c>
      <c r="V176" s="6" cm="1">
        <f t="array" ref="V176">_xlfn.IFS(B176="","",AND(B176&lt;&gt;"",H176=SF_Output!$Y$2,SUMIFS(SF_Output!$T$1:$T$400,SF_Output!$AC$1:$AC$400,_xlfn.TEXTJOIN(",",TRUE,B176:E176),SF_Output!$Q$1:$Q$400,"monthly")=0),(SUMIFS(SF_Output!$F$1:$F$400,SF_Output!$AC$1:$AC$400,_xlfn.TEXTJOIN(",",TRUE,B176:E176),SF_Output!$Q$1:$Q$400,"monthly")+SUMIFS(SF_Output!$G$1:$G$400,SF_Output!$AC$1:$AC$400,_xlfn.TEXTJOIN(",",TRUE,B176:E176),SF_Output!$Q$1:$Q$400,"monthly"))*H176,AND(B176&lt;&gt;"",H176=SF_Output!$Y$2,SUMIFS(SF_Output!$T$1:$T$400,SF_Output!$AC$1:$AC$400,_xlfn.TEXTJOIN(",",TRUE,B176:E176),SF_Output!$Q$1:$Q$400,"monthly")&lt;&gt;0),SUMIFS(SF_Output!$S$1:$S$400,SF_Output!$AC$1:$AC$400,_xlfn.TEXTJOIN(",",TRUE,B176:E176),SF_Output!$Q$1:$Q$400,"monthly"),AND(B176&lt;&gt;"",H176&lt;&gt;SF_Output!$Y$2),SUMIFS(SF_Output!$S$1:$S$400,SF_Output!$AC$1:$AC$400,_xlfn.TEXTJOIN(",",TRUE,B176:E176),SF_Output!$Q$1:$Q$400,"monthly"))</f>
        <v>0</v>
      </c>
      <c r="W176" s="112" t="str" cm="1">
        <f t="array" ref="W176">_xlfn.IFS(OR(B176=0,B176="",V176=0),"",AF176&lt;&gt;"exclusion",MAX($W$9,$W$7,(-(SUMIFS(SF_Output!$T$1:$T$400,SF_Output!$AC$1:$AC$400,_xlfn.TEXTJOIN(",",TRUE,$B176:$E176),SF_Output!$Q$1:$Q$400,"monthly"))/V176)),AF176="exclusion",-(SUMIFS(SF_Output!$T$1:$T$400,SF_Output!$AC$1:$AC$400,_xlfn.TEXTJOIN(",",TRUE,$B176:$E176),SF_Output!$Q$1:$Q$400,"monthly"))/V176)</f>
        <v/>
      </c>
      <c r="X176" s="6" cm="1">
        <f t="array" ref="X176">IFERROR(_xlfn.IFS(V176=0,0,V176="","",W176=0,V176,OR(V176&lt;&gt;0,V176&lt;&gt;""),H176*I176),V176*(1-W176))</f>
        <v>0</v>
      </c>
      <c r="Z176" s="6">
        <f>IFERROR(IF(B176="","",SUMIFS(Billing_Fallout!H:H,Billing_Fallout!N:N,B176)),0)</f>
        <v>0</v>
      </c>
      <c r="AA176" s="6">
        <f t="shared" si="40"/>
        <v>0</v>
      </c>
      <c r="AB176" s="6">
        <f>IFERROR(IF(B176="","",SUMIFS(Billing_Fallout!J:J,Billing_Fallout!N:N,B176)),0)</f>
        <v>0</v>
      </c>
      <c r="AD176" s="6">
        <f t="shared" si="41"/>
        <v>0</v>
      </c>
      <c r="AF176" t="str">
        <f>IFERROR(INDEX(H_Tables!$B$1:$B$1500,MATCH(INDEX(SF_Output!$J$1:$J$400,MATCH(B176,SF_Output!$M$1:$M$400,0)),H_Tables!$A$1:$A$1500,0)),"")</f>
        <v/>
      </c>
      <c r="AI176" s="119" t="str">
        <f t="shared" si="42"/>
        <v/>
      </c>
      <c r="AJ176" s="121">
        <f>IFERROR(INDEX(SF_Output!AD:AD,MATCH(_xlfn.TEXTJOIN(",",TRUE,B176:E176),SF_Output!AC1:AC400,0)),0.05)</f>
        <v>140</v>
      </c>
      <c r="AK176" t="str">
        <f>IF(SUMIFS(SF_Output!$F$1:$F$400,SF_Output!$AC$1:$AC$400,_xlfn.TEXTJOIN(",",TRUE,B176:E176))+SUMIFS(SF_Output!$G$1:$G$400,SF_Output!$AC$1:$AC$400,_xlfn.TEXTJOIN(",",TRUE,B176:E176))=0,"","PAP")</f>
        <v/>
      </c>
      <c r="AL176" s="35" t="str">
        <f t="shared" si="43"/>
        <v>JHA Client Services Consulting Workflow Process Automation Design,New,On Premise</v>
      </c>
      <c r="AQ176" s="35"/>
      <c r="AR176" s="35" t="str" cm="1">
        <f t="array" ref="AR176">IFERROR(_xlfn.IFS(AND(E176*1=1,F176="Included"),"Change to Included",AND(E176*1=0,F176="Optional"),"Change to Optional",OR(B176="",F176="replaced"),""),"")</f>
        <v/>
      </c>
      <c r="AS176" s="35" t="str">
        <f t="shared" si="44"/>
        <v/>
      </c>
      <c r="AT176" s="35" t="str">
        <f t="shared" si="45"/>
        <v/>
      </c>
      <c r="AU176" s="35" t="str">
        <f t="shared" si="46"/>
        <v/>
      </c>
      <c r="AV176" s="35" t="str">
        <f t="shared" si="47"/>
        <v/>
      </c>
      <c r="AW176" s="35" t="str">
        <f t="shared" si="48"/>
        <v/>
      </c>
      <c r="AX176" s="35" t="str">
        <f t="shared" si="49"/>
        <v/>
      </c>
      <c r="AY176" s="35" t="str">
        <f t="shared" si="50"/>
        <v/>
      </c>
      <c r="AZ176" s="35" t="str">
        <f t="shared" si="51"/>
        <v/>
      </c>
      <c r="BA176" s="35" t="str">
        <f t="shared" si="52"/>
        <v/>
      </c>
      <c r="BB176" s="35" t="str">
        <f t="shared" si="53"/>
        <v/>
      </c>
      <c r="BC176" s="35"/>
      <c r="BE176" s="35">
        <f ca="1">INDEX(SF_Output!$AA$2:$AA$400,MATCH($B176,SF_Output!$M$2:$M$400,0))</f>
        <v>9</v>
      </c>
      <c r="BF176" s="35">
        <f ca="1">INDEX(SF_Output!$AB$2:$AB$400,MATCH($B176,SF_Output!$M$2:$M$400,0))</f>
        <v>2</v>
      </c>
    </row>
    <row r="177" spans="2:58" x14ac:dyDescent="0.25">
      <c r="B177" t="s">
        <v>1300</v>
      </c>
      <c r="C177" t="s">
        <v>2122</v>
      </c>
      <c r="D177" t="s">
        <v>2123</v>
      </c>
      <c r="E177" t="s">
        <v>2124</v>
      </c>
      <c r="F177" s="116" t="str">
        <f t="shared" si="36"/>
        <v>Included</v>
      </c>
      <c r="G177" t="str">
        <f>IF(B177="","",INDEX(SF_Output!$K$1:$K$400,MATCH(B177,SF_Output!$M$1:$M$400,0)))</f>
        <v>Know-It-All</v>
      </c>
      <c r="H177" cm="1">
        <f t="array" ref="H177">_xlfn.IFS(B177="","",(SUMIFS(SF_Output!$F$1:$F$400,SF_Output!$AC$1:$AC$400,_xlfn.TEXTJOIN(",",TRUE,B177:E177))+SUMIFS(SF_Output!$G$1:$G$400,SF_Output!$AC$1:$AC$400,_xlfn.TEXTJOIN(",",TRUE,B177:E177)))&lt;&gt;0,SF_Output!$Y$2,INDEX(SF_Output!$F$1:$F$400,MATCH(_xlfn.TEXTJOIN(",",TRUE,B177:E177),SF_Output!$AC$1:$AC$400,0))=0,INDEX(SF_Output!$R$1:$R$400,MATCH(_xlfn.TEXTJOIN(",",TRUE,B177:E177),SF_Output!$AC$1:$AC$400,0)))</f>
        <v>1</v>
      </c>
      <c r="I177" s="125" t="str">
        <f>IFERROR(IF(AND(H177&gt;1,H177&lt;&gt;""),ROUND(SUMIFS(SF_Output!$S$1:$S$400,SF_Output!$AC$1:$AC$400,_xlfn.TEXTJOIN(",",TRUE,B177:E177),SF_Output!$Q$1:$Q$400,"monthly")*(1-W177)/H177,4),""),"")</f>
        <v/>
      </c>
      <c r="J177" s="6">
        <f>IF(B177="","",SUMIFS(SF_Output!$S$1:$S$400,SF_Output!$AC$1:$AC$400,_xlfn.TEXTJOIN(",",TRUE,B177:E177),SF_Output!$Q$1:$Q$400,"One Time",SF_Output!$L$1:$L$400,"license fee")+SUMIFS(SF_Output!$S$1:$S$400,SF_Output!$AC$1:$AC$400,_xlfn.TEXTJOIN(",",TRUE,B177:E177),SF_Output!$Q$1:$Q$400,"One Time",SF_Output!$L$1:$L$400,"software license")+SUMIFS(SF_Output!$S$1:$S$400,SF_Output!$AC$1:$AC$400,_xlfn.TEXTJOIN(",",TRUE,B177:E177),SF_Output!$Q$1:$Q$400,"One Time",SF_Output!$L$1:$L$400,"hardware"))</f>
        <v>0</v>
      </c>
      <c r="K177" s="112" t="str">
        <f>IF(OR(B177=0,B177="",G177="hardware",J177=0),"",IF(AF177&lt;&gt;"exclusion",MAX(K$9,-((SUMIFS(SF_Output!$T$1:$T$400,SF_Output!$AC$1:$AC$400,_xlfn.TEXTJOIN(",",TRUE,$B177:$E177),SF_Output!$Q$1:$Q$400,"One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license"))/J177)))</f>
        <v/>
      </c>
      <c r="L177" s="6">
        <f t="shared" si="37"/>
        <v>0</v>
      </c>
      <c r="N177" s="6">
        <f>IF(B177="","",SUMIFS(SF_Output!$S$1:$S$400,SF_Output!$AC$1:$AC$400,_xlfn.TEXTJOIN(",",TRUE,B177:E177),SF_Output!$Q$1:$Q$400,"One Time",SF_Output!$L$1:$L$400,"professional service"))</f>
        <v>0</v>
      </c>
      <c r="O177" s="112" t="str">
        <f>IF(OR(B177=0,B177="",N177=0),"",IF(AF177&lt;&gt;"exclusion",MAX(O$9,-(SUMIFS(SF_Output!$T$1:$T$400,SF_Output!$AC$1:$AC$400,_xlfn.TEXTJOIN(",",TRUE,$B177:$E177),SF_Output!$Q$1:$Q$400,"One Time",SF_Output!$L$1:$L$400,"professional service"))/N177),-((SUMIFS(SF_Output!$T$1:$T$400,SF_Output!$AC$1:$AC$400,_xlfn.TEXTJOIN(",",TRUE,$B177:$E177),SF_Output!$Q$1:$Q$400,"One Time",SF_Output!$L$1:$L$400,"professional service")/N177))))</f>
        <v/>
      </c>
      <c r="P177" s="6">
        <f t="shared" si="38"/>
        <v>0</v>
      </c>
      <c r="R177" s="6">
        <f>IF(B177="","",SUMIFS(SF_Output!$S$1:$S$400,SF_Output!$AC$1:$AC$400,_xlfn.TEXTJOIN(",",TRUE,B177:E177),SF_Output!$Q$1:$Q$400,"yearly")+SUMIFS(SF_Output!$S$1:$S$400,SF_Output!$AC$1:$AC$400,_xlfn.TEXTJOIN(",",TRUE,B177:E177),SF_Output!$Q$1:$Q$400,"quarterly")*4)</f>
        <v>3500</v>
      </c>
      <c r="S177" s="112">
        <f>IF(OR(B177=0,B177="",G177="hardware",R177=0),"",IF(AF177&lt;&gt;"exclusion",MAX(S$9,-(SUMIFS(SF_Output!$T$1:$T$400,SF_Output!$AC$1:$AC$400,_xlfn.TEXTJOIN(",",TRUE,$B177:$E177),SF_Output!$Q$1:$Q$400,"yearly"))/R177),-((SUMIFS(SF_Output!$T$1:$T$400,SF_Output!$AC$1:$AC$400,_xlfn.TEXTJOIN(",",TRUE,$B177:$E177),SF_Output!$Q$1:$Q$400,"yearly")/R177))))</f>
        <v>0</v>
      </c>
      <c r="T177" s="6">
        <f t="shared" si="39"/>
        <v>3500</v>
      </c>
      <c r="V177" s="6" cm="1">
        <f t="array" ref="V177">_xlfn.IFS(B177="","",AND(B177&lt;&gt;"",H177=SF_Output!$Y$2,SUMIFS(SF_Output!$T$1:$T$400,SF_Output!$AC$1:$AC$400,_xlfn.TEXTJOIN(",",TRUE,B177:E177),SF_Output!$Q$1:$Q$400,"monthly")=0),(SUMIFS(SF_Output!$F$1:$F$400,SF_Output!$AC$1:$AC$400,_xlfn.TEXTJOIN(",",TRUE,B177:E177),SF_Output!$Q$1:$Q$400,"monthly")+SUMIFS(SF_Output!$G$1:$G$400,SF_Output!$AC$1:$AC$400,_xlfn.TEXTJOIN(",",TRUE,B177:E177),SF_Output!$Q$1:$Q$400,"monthly"))*H177,AND(B177&lt;&gt;"",H177=SF_Output!$Y$2,SUMIFS(SF_Output!$T$1:$T$400,SF_Output!$AC$1:$AC$400,_xlfn.TEXTJOIN(",",TRUE,B177:E177),SF_Output!$Q$1:$Q$400,"monthly")&lt;&gt;0),SUMIFS(SF_Output!$S$1:$S$400,SF_Output!$AC$1:$AC$400,_xlfn.TEXTJOIN(",",TRUE,B177:E177),SF_Output!$Q$1:$Q$400,"monthly"),AND(B177&lt;&gt;"",H177&lt;&gt;SF_Output!$Y$2),SUMIFS(SF_Output!$S$1:$S$400,SF_Output!$AC$1:$AC$400,_xlfn.TEXTJOIN(",",TRUE,B177:E177),SF_Output!$Q$1:$Q$400,"monthly"))</f>
        <v>0</v>
      </c>
      <c r="W177" s="112" t="str" cm="1">
        <f t="array" ref="W177">_xlfn.IFS(OR(B177=0,B177="",V177=0),"",AF177&lt;&gt;"exclusion",MAX($W$9,$W$7,(-(SUMIFS(SF_Output!$T$1:$T$400,SF_Output!$AC$1:$AC$400,_xlfn.TEXTJOIN(",",TRUE,$B177:$E177),SF_Output!$Q$1:$Q$400,"monthly"))/V177)),AF177="exclusion",-(SUMIFS(SF_Output!$T$1:$T$400,SF_Output!$AC$1:$AC$400,_xlfn.TEXTJOIN(",",TRUE,$B177:$E177),SF_Output!$Q$1:$Q$400,"monthly"))/V177)</f>
        <v/>
      </c>
      <c r="X177" s="6" cm="1">
        <f t="array" ref="X177">IFERROR(_xlfn.IFS(V177=0,0,V177="","",W177=0,V177,OR(V177&lt;&gt;0,V177&lt;&gt;""),H177*I177),V177*(1-W177))</f>
        <v>0</v>
      </c>
      <c r="Z177" s="6">
        <f>IFERROR(IF(B177="","",SUMIFS(Billing_Fallout!H:H,Billing_Fallout!N:N,B177)),0)</f>
        <v>0</v>
      </c>
      <c r="AA177" s="6">
        <f t="shared" si="40"/>
        <v>0</v>
      </c>
      <c r="AB177" s="6">
        <f>IFERROR(IF(B177="","",SUMIFS(Billing_Fallout!J:J,Billing_Fallout!N:N,B177)),0)</f>
        <v>0</v>
      </c>
      <c r="AD177" s="6">
        <f t="shared" si="41"/>
        <v>0</v>
      </c>
      <c r="AF177" t="str">
        <f>IFERROR(INDEX(H_Tables!$B$1:$B$1500,MATCH(INDEX(SF_Output!$J$1:$J$400,MATCH(B177,SF_Output!$M$1:$M$400,0)),H_Tables!$A$1:$A$1500,0)),"")</f>
        <v>Exclusion</v>
      </c>
      <c r="AI177" s="119" t="str">
        <f t="shared" si="42"/>
        <v/>
      </c>
      <c r="AJ177" s="121">
        <f>IFERROR(INDEX(SF_Output!AD:AD,MATCH(_xlfn.TEXTJOIN(",",TRUE,B177:E177),SF_Output!AC1:AC400,0)),0.05)</f>
        <v>141</v>
      </c>
      <c r="AK177" t="str">
        <f>IF(SUMIFS(SF_Output!$F$1:$F$400,SF_Output!$AC$1:$AC$400,_xlfn.TEXTJOIN(",",TRUE,B177:E177))+SUMIFS(SF_Output!$G$1:$G$400,SF_Output!$AC$1:$AC$400,_xlfn.TEXTJOIN(",",TRUE,B177:E177))=0,"","PAP")</f>
        <v/>
      </c>
      <c r="AL177" s="35" t="str">
        <f t="shared" si="43"/>
        <v>Know-It-All Now eLearning,New,Hosted by JHA,0</v>
      </c>
      <c r="AQ177" s="35"/>
      <c r="AR177" s="35" t="str" cm="1">
        <f t="array" ref="AR177">IFERROR(_xlfn.IFS(AND(E177*1=1,F177="Included"),"Change to Included",AND(E177*1=0,F177="Optional"),"Change to Optional",OR(B177="",F177="replaced"),""),"")</f>
        <v/>
      </c>
      <c r="AS177" s="35" t="str">
        <f t="shared" si="44"/>
        <v/>
      </c>
      <c r="AT177" s="35" t="str">
        <f t="shared" si="45"/>
        <v/>
      </c>
      <c r="AU177" s="35" t="str">
        <f t="shared" si="46"/>
        <v/>
      </c>
      <c r="AV177" s="35" t="str">
        <f t="shared" si="47"/>
        <v/>
      </c>
      <c r="AW177" s="35" t="str">
        <f t="shared" si="48"/>
        <v/>
      </c>
      <c r="AX177" s="35" t="str">
        <f t="shared" si="49"/>
        <v/>
      </c>
      <c r="AY177" s="35" t="str">
        <f t="shared" si="50"/>
        <v/>
      </c>
      <c r="AZ177" s="35" t="str">
        <f t="shared" si="51"/>
        <v/>
      </c>
      <c r="BA177" s="35" t="str">
        <f t="shared" si="52"/>
        <v/>
      </c>
      <c r="BB177" s="35" t="str">
        <f t="shared" si="53"/>
        <v/>
      </c>
      <c r="BC177" s="35"/>
      <c r="BE177" s="35">
        <f ca="1">INDEX(SF_Output!$AA$2:$AA$400,MATCH($B177,SF_Output!$M$2:$M$400,0))</f>
        <v>9</v>
      </c>
      <c r="BF177" s="35">
        <f ca="1">INDEX(SF_Output!$AB$2:$AB$400,MATCH($B177,SF_Output!$M$2:$M$400,0))</f>
        <v>1</v>
      </c>
    </row>
    <row r="178" spans="2:58" x14ac:dyDescent="0.25">
      <c r="B178" t="s">
        <v>2474</v>
      </c>
      <c r="C178" t="s">
        <v>2474</v>
      </c>
      <c r="D178" t="s">
        <v>2474</v>
      </c>
      <c r="E178" t="s">
        <v>2474</v>
      </c>
      <c r="F178" s="116" t="str">
        <f t="shared" si="36"/>
        <v/>
      </c>
      <c r="G178" t="str">
        <f>IF(B178="","",INDEX(SF_Output!$K$1:$K$400,MATCH(B178,SF_Output!$M$1:$M$400,0)))</f>
        <v/>
      </c>
      <c r="H178" t="str" cm="1">
        <f t="array" ref="H178">_xlfn.IFS(B178="","",(SUMIFS(SF_Output!$F$1:$F$400,SF_Output!$AC$1:$AC$400,_xlfn.TEXTJOIN(",",TRUE,B178:E178))+SUMIFS(SF_Output!$G$1:$G$400,SF_Output!$AC$1:$AC$400,_xlfn.TEXTJOIN(",",TRUE,B178:E178)))&lt;&gt;0,SF_Output!$Y$2,INDEX(SF_Output!$F$1:$F$400,MATCH(_xlfn.TEXTJOIN(",",TRUE,B178:E178),SF_Output!$AC$1:$AC$400,0))=0,INDEX(SF_Output!$R$1:$R$400,MATCH(_xlfn.TEXTJOIN(",",TRUE,B178:E178),SF_Output!$AC$1:$AC$400,0)))</f>
        <v/>
      </c>
      <c r="I178" s="125" t="str">
        <f>IFERROR(IF(AND(H178&gt;1,H178&lt;&gt;""),ROUND(SUMIFS(SF_Output!$S$1:$S$400,SF_Output!$AC$1:$AC$400,_xlfn.TEXTJOIN(",",TRUE,B178:E178),SF_Output!$Q$1:$Q$400,"monthly")*(1-W178)/H178,4),""),"")</f>
        <v/>
      </c>
      <c r="J178" s="6" t="str">
        <f>IF(B178="","",SUMIFS(SF_Output!$S$1:$S$400,SF_Output!$AC$1:$AC$400,_xlfn.TEXTJOIN(",",TRUE,B178:E178),SF_Output!$Q$1:$Q$400,"One Time",SF_Output!$L$1:$L$400,"license fee")+SUMIFS(SF_Output!$S$1:$S$400,SF_Output!$AC$1:$AC$400,_xlfn.TEXTJOIN(",",TRUE,B178:E178),SF_Output!$Q$1:$Q$400,"One Time",SF_Output!$L$1:$L$400,"software license")+SUMIFS(SF_Output!$S$1:$S$400,SF_Output!$AC$1:$AC$400,_xlfn.TEXTJOIN(",",TRUE,B178:E178),SF_Output!$Q$1:$Q$400,"One Time",SF_Output!$L$1:$L$400,"hardware"))</f>
        <v/>
      </c>
      <c r="K178" s="112" t="str">
        <f>IF(OR(B178=0,B178="",G178="hardware",J178=0),"",IF(AF178&lt;&gt;"exclusion",MAX(K$9,-((SUMIFS(SF_Output!$T$1:$T$400,SF_Output!$AC$1:$AC$400,_xlfn.TEXTJOIN(",",TRUE,$B178:$E178),SF_Output!$Q$1:$Q$400,"One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license"))/J178)))</f>
        <v/>
      </c>
      <c r="L178" s="6" t="str">
        <f t="shared" si="37"/>
        <v/>
      </c>
      <c r="N178" s="6" t="str">
        <f>IF(B178="","",SUMIFS(SF_Output!$S$1:$S$400,SF_Output!$AC$1:$AC$400,_xlfn.TEXTJOIN(",",TRUE,B178:E178),SF_Output!$Q$1:$Q$400,"One Time",SF_Output!$L$1:$L$400,"professional service"))</f>
        <v/>
      </c>
      <c r="O178" s="112" t="str">
        <f>IF(OR(B178=0,B178="",N178=0),"",IF(AF178&lt;&gt;"exclusion",MAX(O$9,-(SUMIFS(SF_Output!$T$1:$T$400,SF_Output!$AC$1:$AC$400,_xlfn.TEXTJOIN(",",TRUE,$B178:$E178),SF_Output!$Q$1:$Q$400,"One Time",SF_Output!$L$1:$L$400,"professional service"))/N178),-((SUMIFS(SF_Output!$T$1:$T$400,SF_Output!$AC$1:$AC$400,_xlfn.TEXTJOIN(",",TRUE,$B178:$E178),SF_Output!$Q$1:$Q$400,"One Time",SF_Output!$L$1:$L$400,"professional service")/N178))))</f>
        <v/>
      </c>
      <c r="P178" s="6" t="str">
        <f t="shared" si="38"/>
        <v/>
      </c>
      <c r="R178" s="6" t="str">
        <f>IF(B178="","",SUMIFS(SF_Output!$S$1:$S$400,SF_Output!$AC$1:$AC$400,_xlfn.TEXTJOIN(",",TRUE,B178:E178),SF_Output!$Q$1:$Q$400,"yearly")+SUMIFS(SF_Output!$S$1:$S$400,SF_Output!$AC$1:$AC$400,_xlfn.TEXTJOIN(",",TRUE,B178:E178),SF_Output!$Q$1:$Q$400,"quarterly")*4)</f>
        <v/>
      </c>
      <c r="S178" s="112" t="str">
        <f>IF(OR(B178=0,B178="",G178="hardware",R178=0),"",IF(AF178&lt;&gt;"exclusion",MAX(S$9,-(SUMIFS(SF_Output!$T$1:$T$400,SF_Output!$AC$1:$AC$400,_xlfn.TEXTJOIN(",",TRUE,$B178:$E178),SF_Output!$Q$1:$Q$400,"yearly"))/R178),-((SUMIFS(SF_Output!$T$1:$T$400,SF_Output!$AC$1:$AC$400,_xlfn.TEXTJOIN(",",TRUE,$B178:$E178),SF_Output!$Q$1:$Q$400,"yearly")/R178))))</f>
        <v/>
      </c>
      <c r="T178" s="6" t="str">
        <f t="shared" si="39"/>
        <v/>
      </c>
      <c r="V178" s="6" t="str" cm="1">
        <f t="array" ref="V178">_xlfn.IFS(B178="","",AND(B178&lt;&gt;"",H178=SF_Output!$Y$2,SUMIFS(SF_Output!$T$1:$T$400,SF_Output!$AC$1:$AC$400,_xlfn.TEXTJOIN(",",TRUE,B178:E178),SF_Output!$Q$1:$Q$400,"monthly")=0),(SUMIFS(SF_Output!$F$1:$F$400,SF_Output!$AC$1:$AC$400,_xlfn.TEXTJOIN(",",TRUE,B178:E178),SF_Output!$Q$1:$Q$400,"monthly")+SUMIFS(SF_Output!$G$1:$G$400,SF_Output!$AC$1:$AC$400,_xlfn.TEXTJOIN(",",TRUE,B178:E178),SF_Output!$Q$1:$Q$400,"monthly"))*H178,AND(B178&lt;&gt;"",H178=SF_Output!$Y$2,SUMIFS(SF_Output!$T$1:$T$400,SF_Output!$AC$1:$AC$400,_xlfn.TEXTJOIN(",",TRUE,B178:E178),SF_Output!$Q$1:$Q$400,"monthly")&lt;&gt;0),SUMIFS(SF_Output!$S$1:$S$400,SF_Output!$AC$1:$AC$400,_xlfn.TEXTJOIN(",",TRUE,B178:E178),SF_Output!$Q$1:$Q$400,"monthly"),AND(B178&lt;&gt;"",H178&lt;&gt;SF_Output!$Y$2),SUMIFS(SF_Output!$S$1:$S$400,SF_Output!$AC$1:$AC$400,_xlfn.TEXTJOIN(",",TRUE,B178:E178),SF_Output!$Q$1:$Q$400,"monthly"))</f>
        <v/>
      </c>
      <c r="W178" s="112" t="str" cm="1">
        <f t="array" ref="W178">_xlfn.IFS(OR(B178=0,B178="",V178=0),"",AF178&lt;&gt;"exclusion",MAX($W$9,$W$7,(-(SUMIFS(SF_Output!$T$1:$T$400,SF_Output!$AC$1:$AC$400,_xlfn.TEXTJOIN(",",TRUE,$B178:$E178),SF_Output!$Q$1:$Q$400,"monthly"))/V178)),AF178="exclusion",-(SUMIFS(SF_Output!$T$1:$T$400,SF_Output!$AC$1:$AC$400,_xlfn.TEXTJOIN(",",TRUE,$B178:$E178),SF_Output!$Q$1:$Q$400,"monthly"))/V178)</f>
        <v/>
      </c>
      <c r="X178" s="6" t="str" cm="1">
        <f t="array" ref="X178">IFERROR(_xlfn.IFS(V178=0,0,V178="","",W178=0,V178,OR(V178&lt;&gt;0,V178&lt;&gt;""),H178*I178),V178*(1-W178))</f>
        <v/>
      </c>
      <c r="Z178" s="6" t="str">
        <f>IFERROR(IF(B178="","",SUMIFS(Billing_Fallout!H:H,Billing_Fallout!N:N,B178)),0)</f>
        <v/>
      </c>
      <c r="AA178" s="6" t="str">
        <f t="shared" si="40"/>
        <v/>
      </c>
      <c r="AB178" s="6" t="str">
        <f>IFERROR(IF(B178="","",SUMIFS(Billing_Fallout!J:J,Billing_Fallout!N:N,B178)),0)</f>
        <v/>
      </c>
      <c r="AD178" s="6" t="str">
        <f t="shared" si="41"/>
        <v/>
      </c>
      <c r="AF178" t="str">
        <f>IFERROR(INDEX(H_Tables!$B$1:$B$1500,MATCH(INDEX(SF_Output!$J$1:$J$400,MATCH(B178,SF_Output!$M$1:$M$400,0)),H_Tables!$A$1:$A$1500,0)),"")</f>
        <v/>
      </c>
      <c r="AI178" s="119" t="str">
        <f t="shared" si="42"/>
        <v/>
      </c>
      <c r="AJ178" s="121">
        <f>IFERROR(INDEX(SF_Output!AD:AD,MATCH(_xlfn.TEXTJOIN(",",TRUE,B178:E178),SF_Output!AC1:AC400,0)),0.05)</f>
        <v>241</v>
      </c>
      <c r="AK178" t="str">
        <f>IF(SUMIFS(SF_Output!$F$1:$F$400,SF_Output!$AC$1:$AC$400,_xlfn.TEXTJOIN(",",TRUE,B178:E178))+SUMIFS(SF_Output!$G$1:$G$400,SF_Output!$AC$1:$AC$400,_xlfn.TEXTJOIN(",",TRUE,B178:E178))=0,"","PAP")</f>
        <v/>
      </c>
      <c r="AL178" s="35" t="str">
        <f t="shared" si="43"/>
        <v/>
      </c>
      <c r="AQ178" s="35"/>
      <c r="AR178" s="35" t="str" cm="1">
        <f t="array" ref="AR178">IFERROR(_xlfn.IFS(AND(E178*1=1,F178="Included"),"Change to Included",AND(E178*1=0,F178="Optional"),"Change to Optional",OR(B178="",F178="replaced"),""),"")</f>
        <v/>
      </c>
      <c r="AS178" s="35" t="str">
        <f t="shared" si="44"/>
        <v/>
      </c>
      <c r="AT178" s="35" t="str">
        <f t="shared" si="45"/>
        <v/>
      </c>
      <c r="AU178" s="35" t="str">
        <f t="shared" si="46"/>
        <v/>
      </c>
      <c r="AV178" s="35" t="str">
        <f t="shared" si="47"/>
        <v/>
      </c>
      <c r="AW178" s="35" t="str">
        <f t="shared" si="48"/>
        <v/>
      </c>
      <c r="AX178" s="35" t="str">
        <f t="shared" si="49"/>
        <v/>
      </c>
      <c r="AY178" s="35" t="str">
        <f t="shared" si="50"/>
        <v/>
      </c>
      <c r="AZ178" s="35" t="str">
        <f t="shared" si="51"/>
        <v/>
      </c>
      <c r="BA178" s="35" t="str">
        <f t="shared" si="52"/>
        <v/>
      </c>
      <c r="BB178" s="35" t="str">
        <f t="shared" si="53"/>
        <v/>
      </c>
      <c r="BC178" s="35"/>
      <c r="BE178" s="35" t="str">
        <f ca="1">INDEX(SF_Output!$AA$2:$AA$400,MATCH($B178,SF_Output!$M$2:$M$400,0))</f>
        <v/>
      </c>
      <c r="BF178" s="35" t="str">
        <f ca="1">INDEX(SF_Output!$AB$2:$AB$400,MATCH($B178,SF_Output!$M$2:$M$400,0))</f>
        <v/>
      </c>
    </row>
    <row r="179" spans="2:58" x14ac:dyDescent="0.25">
      <c r="B179" t="s">
        <v>688</v>
      </c>
      <c r="C179" t="s">
        <v>2122</v>
      </c>
      <c r="F179" s="116" t="s">
        <v>2640</v>
      </c>
      <c r="G179" t="s">
        <v>186</v>
      </c>
      <c r="H179">
        <v>1</v>
      </c>
      <c r="I179" s="125" t="str">
        <f>IFERROR(IF(AND(H179&gt;1,H179&lt;&gt;""),ROUND(SUMIFS(SF_Output!$S$1:$S$400,SF_Output!$AC$1:$AC$400,_xlfn.TEXTJOIN(",",TRUE,B179:E179),SF_Output!$Q$1:$Q$400,"monthly")*(1-W179)/H179,4),""),"")</f>
        <v/>
      </c>
      <c r="J179" s="6">
        <f>IF(B179="","",SUMIFS(SF_Output!$S$1:$S$400,SF_Output!$AC$1:$AC$400,_xlfn.TEXTJOIN(",",TRUE,B179:E179),SF_Output!$Q$1:$Q$400,"One Time",SF_Output!$L$1:$L$400,"license fee")+SUMIFS(SF_Output!$S$1:$S$400,SF_Output!$AC$1:$AC$400,_xlfn.TEXTJOIN(",",TRUE,B179:E179),SF_Output!$Q$1:$Q$400,"One Time",SF_Output!$L$1:$L$400,"software license")+SUMIFS(SF_Output!$S$1:$S$400,SF_Output!$AC$1:$AC$400,_xlfn.TEXTJOIN(",",TRUE,B179:E179),SF_Output!$Q$1:$Q$400,"One Time",SF_Output!$L$1:$L$400,"hardware"))</f>
        <v>0</v>
      </c>
      <c r="K179" s="112" t="str">
        <f>IF(OR(B179=0,B179="",G179="hardware",J179=0),"",IF(AF179&lt;&gt;"exclusion",MAX(K$9,-((SUMIFS(SF_Output!$T$1:$T$400,SF_Output!$AC$1:$AC$400,_xlfn.TEXTJOIN(",",TRUE,$B179:$E179),SF_Output!$Q$1:$Q$400,"One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license"))/J179)))</f>
        <v/>
      </c>
      <c r="L179" s="6">
        <f t="shared" si="37"/>
        <v>0</v>
      </c>
      <c r="N179" s="6">
        <v>92125</v>
      </c>
      <c r="O179" s="112">
        <v>1</v>
      </c>
      <c r="P179" s="6">
        <f t="shared" si="38"/>
        <v>0</v>
      </c>
      <c r="R179" s="6">
        <f>IF(B179="","",SUMIFS(SF_Output!$S$1:$S$400,SF_Output!$AC$1:$AC$400,_xlfn.TEXTJOIN(",",TRUE,B179:E179),SF_Output!$Q$1:$Q$400,"yearly")+SUMIFS(SF_Output!$S$1:$S$400,SF_Output!$AC$1:$AC$400,_xlfn.TEXTJOIN(",",TRUE,B179:E179),SF_Output!$Q$1:$Q$400,"quarterly")*4)</f>
        <v>0</v>
      </c>
      <c r="S179" s="112" t="str">
        <f>IF(OR(B179=0,B179="",G179="hardware",R179=0),"",IF(AF179&lt;&gt;"exclusion",MAX(S$9,-(SUMIFS(SF_Output!$T$1:$T$400,SF_Output!$AC$1:$AC$400,_xlfn.TEXTJOIN(",",TRUE,$B179:$E179),SF_Output!$Q$1:$Q$400,"yearly"))/R179),-((SUMIFS(SF_Output!$T$1:$T$400,SF_Output!$AC$1:$AC$400,_xlfn.TEXTJOIN(",",TRUE,$B179:$E179),SF_Output!$Q$1:$Q$400,"yearly")/R179))))</f>
        <v/>
      </c>
      <c r="T179" s="6">
        <f t="shared" si="39"/>
        <v>0</v>
      </c>
      <c r="V179" s="6">
        <v>1750</v>
      </c>
      <c r="W179" s="112" cm="1">
        <f t="array" ref="W179">_xlfn.IFS(OR(B179=0,B179="",V179=0),"",AF179&lt;&gt;"exclusion",MAX($W$9,$W$7,(-(SUMIFS(SF_Output!$T$1:$T$400,SF_Output!$AC$1:$AC$400,_xlfn.TEXTJOIN(",",TRUE,$B179:$E179),SF_Output!$Q$1:$Q$400,"monthly"))/V179)),AF179="exclusion",-(SUMIFS(SF_Output!$T$1:$T$400,SF_Output!$AC$1:$AC$400,_xlfn.TEXTJOIN(",",TRUE,$B179:$E179),SF_Output!$Q$1:$Q$400,"monthly"))/V179)</f>
        <v>0</v>
      </c>
      <c r="X179" s="6" cm="1">
        <f t="array" ref="X179">IFERROR(_xlfn.IFS(V179=0,0,V179="","",W179=0,V179,OR(V179&lt;&gt;0,V179&lt;&gt;""),H179*I179),V179*(1-W179))</f>
        <v>1750</v>
      </c>
      <c r="Z179" s="6">
        <f>IFERROR(IF(B179="","",SUMIFS(Billing_Fallout!H:H,Billing_Fallout!N:N,B179)),0)</f>
        <v>0</v>
      </c>
      <c r="AA179" s="6">
        <f t="shared" si="40"/>
        <v>0</v>
      </c>
      <c r="AB179" s="6">
        <f>IFERROR(IF(B179="","",SUMIFS(Billing_Fallout!J:J,Billing_Fallout!N:N,B179)),0)</f>
        <v>0</v>
      </c>
      <c r="AD179" s="6">
        <f t="shared" si="41"/>
        <v>1750</v>
      </c>
      <c r="AF179" t="str">
        <f>IFERROR(INDEX(H_Tables!$B$1:$B$1500,MATCH(INDEX(SF_Output!$J$1:$J$400,MATCH(B179,SF_Output!$M$1:$M$400,0)),H_Tables!$A$1:$A$1500,0)),"")</f>
        <v/>
      </c>
      <c r="AI179" s="119" t="str">
        <f t="shared" si="42"/>
        <v>Change to Optional, Check Install Price Override, Install Discount 100%, Check Monthly Price Override, Check Quantity</v>
      </c>
      <c r="AJ179" s="121">
        <f>IFERROR(INDEX(SF_Output!AD:AD,MATCH(_xlfn.TEXTJOIN(",",TRUE,B179:E179),SF_Output!AC1:AC400,0)),0.05)</f>
        <v>0.05</v>
      </c>
      <c r="AK179" t="str">
        <f>IF(SUMIFS(SF_Output!$F$1:$F$400,SF_Output!$AC$1:$AC$400,_xlfn.TEXTJOIN(",",TRUE,B179:E179))+SUMIFS(SF_Output!$G$1:$G$400,SF_Output!$AC$1:$AC$400,_xlfn.TEXTJOIN(",",TRUE,B179:E179))=0,"","PAP")</f>
        <v/>
      </c>
      <c r="AL179" s="35" t="str">
        <f t="shared" si="43"/>
        <v>LoanVantage,New</v>
      </c>
      <c r="AQ179" s="35"/>
      <c r="AR179" s="35" t="str" cm="1">
        <f t="array" ref="AR179">IFERROR(_xlfn.IFS(AND(E179*1=1,F179="Included"),"Change to Included",AND(E179*1=0,F179="Optional"),"Change to Optional",OR(B179="",F179="replaced"),""),"")</f>
        <v>Change to Optional</v>
      </c>
      <c r="AS179" s="35" t="str">
        <f t="shared" si="44"/>
        <v/>
      </c>
      <c r="AT179" s="35" t="str">
        <f t="shared" si="45"/>
        <v/>
      </c>
      <c r="AU179" s="35" t="str">
        <f t="shared" si="46"/>
        <v>Check Install Price Override</v>
      </c>
      <c r="AV179" s="35" t="str">
        <f t="shared" si="47"/>
        <v>Install Discount 100%</v>
      </c>
      <c r="AW179" s="35" t="str">
        <f t="shared" si="48"/>
        <v/>
      </c>
      <c r="AX179" s="35" t="str">
        <f t="shared" si="49"/>
        <v/>
      </c>
      <c r="AY179" s="35" t="str">
        <f t="shared" si="50"/>
        <v>Check Monthly Price Override</v>
      </c>
      <c r="AZ179" s="35" t="str">
        <f t="shared" si="51"/>
        <v/>
      </c>
      <c r="BA179" s="35" t="str">
        <f t="shared" si="52"/>
        <v>Check Quantity</v>
      </c>
      <c r="BB179" s="35" t="str">
        <f t="shared" si="53"/>
        <v/>
      </c>
      <c r="BC179" s="35"/>
      <c r="BE179" s="35" t="e">
        <f>INDEX(SF_Output!$AA$2:$AA$400,MATCH($B179,SF_Output!$M$2:$M$400,0))</f>
        <v>#N/A</v>
      </c>
      <c r="BF179" s="35" t="e">
        <f>INDEX(SF_Output!$AB$2:$AB$400,MATCH($B179,SF_Output!$M$2:$M$400,0))</f>
        <v>#N/A</v>
      </c>
    </row>
    <row r="180" spans="2:58" x14ac:dyDescent="0.25">
      <c r="B180" t="s">
        <v>2641</v>
      </c>
      <c r="C180" t="s">
        <v>2122</v>
      </c>
      <c r="F180" s="116" t="str">
        <f t="shared" si="36"/>
        <v>Included</v>
      </c>
      <c r="G180" t="s">
        <v>2642</v>
      </c>
      <c r="H180">
        <v>1</v>
      </c>
      <c r="I180" s="125" t="str">
        <f>IFERROR(IF(AND(H180&gt;1,H180&lt;&gt;""),ROUND(SUMIFS(SF_Output!$S$1:$S$400,SF_Output!$AC$1:$AC$400,_xlfn.TEXTJOIN(",",TRUE,B180:E180),SF_Output!$Q$1:$Q$400,"monthly")*(1-W180)/H180,4),""),"")</f>
        <v/>
      </c>
      <c r="J180" s="6">
        <f>IF(B180="","",SUMIFS(SF_Output!$S$1:$S$400,SF_Output!$AC$1:$AC$400,_xlfn.TEXTJOIN(",",TRUE,B180:E180),SF_Output!$Q$1:$Q$400,"One Time",SF_Output!$L$1:$L$400,"license fee")+SUMIFS(SF_Output!$S$1:$S$400,SF_Output!$AC$1:$AC$400,_xlfn.TEXTJOIN(",",TRUE,B180:E180),SF_Output!$Q$1:$Q$400,"One Time",SF_Output!$L$1:$L$400,"software license")+SUMIFS(SF_Output!$S$1:$S$400,SF_Output!$AC$1:$AC$400,_xlfn.TEXTJOIN(",",TRUE,B180:E180),SF_Output!$Q$1:$Q$400,"One Time",SF_Output!$L$1:$L$400,"hardware"))</f>
        <v>0</v>
      </c>
      <c r="K180" s="112" t="str">
        <f>IF(OR(B180=0,B180="",G180="hardware",J180=0),"",IF(AF180&lt;&gt;"exclusion",MAX(K$9,-((SUMIFS(SF_Output!$T$1:$T$400,SF_Output!$AC$1:$AC$400,_xlfn.TEXTJOIN(",",TRUE,$B180:$E180),SF_Output!$Q$1:$Q$400,"One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license"))/J180)))</f>
        <v/>
      </c>
      <c r="L180" s="6">
        <f t="shared" si="37"/>
        <v>0</v>
      </c>
      <c r="N180" s="6">
        <v>54000</v>
      </c>
      <c r="O180" s="112">
        <f>IF(OR(B180=0,B180="",N180=0),"",IF(AF180&lt;&gt;"exclusion",MAX(O$9,-(SUMIFS(SF_Output!$T$1:$T$400,SF_Output!$AC$1:$AC$400,_xlfn.TEXTJOIN(",",TRUE,$B180:$E180),SF_Output!$Q$1:$Q$400,"One Time",SF_Output!$L$1:$L$400,"professional service"))/N180),-((SUMIFS(SF_Output!$T$1:$T$400,SF_Output!$AC$1:$AC$400,_xlfn.TEXTJOIN(",",TRUE,$B180:$E180),SF_Output!$Q$1:$Q$400,"One Time",SF_Output!$L$1:$L$400,"professional service")/N180))))</f>
        <v>0</v>
      </c>
      <c r="P180" s="6">
        <f t="shared" si="38"/>
        <v>54000</v>
      </c>
      <c r="R180" s="6">
        <f>IF(B180="","",SUMIFS(SF_Output!$S$1:$S$400,SF_Output!$AC$1:$AC$400,_xlfn.TEXTJOIN(",",TRUE,B180:E180),SF_Output!$Q$1:$Q$400,"yearly")+SUMIFS(SF_Output!$S$1:$S$400,SF_Output!$AC$1:$AC$400,_xlfn.TEXTJOIN(",",TRUE,B180:E180),SF_Output!$Q$1:$Q$400,"quarterly")*4)</f>
        <v>0</v>
      </c>
      <c r="S180" s="112" t="str">
        <f>IF(OR(B180=0,B180="",G180="hardware",R180=0),"",IF(AF180&lt;&gt;"exclusion",MAX(S$9,-(SUMIFS(SF_Output!$T$1:$T$400,SF_Output!$AC$1:$AC$400,_xlfn.TEXTJOIN(",",TRUE,$B180:$E180),SF_Output!$Q$1:$Q$400,"yearly"))/R180),-((SUMIFS(SF_Output!$T$1:$T$400,SF_Output!$AC$1:$AC$400,_xlfn.TEXTJOIN(",",TRUE,$B180:$E180),SF_Output!$Q$1:$Q$400,"yearly")/R180))))</f>
        <v/>
      </c>
      <c r="T180" s="6">
        <f t="shared" si="39"/>
        <v>0</v>
      </c>
      <c r="V180" s="6">
        <v>2200</v>
      </c>
      <c r="W180" s="112" cm="1">
        <f t="array" ref="W180">_xlfn.IFS(OR(B180=0,B180="",V180=0),"",AF180&lt;&gt;"exclusion",MAX($W$9,$W$7,(-(SUMIFS(SF_Output!$T$1:$T$400,SF_Output!$AC$1:$AC$400,_xlfn.TEXTJOIN(",",TRUE,$B180:$E180),SF_Output!$Q$1:$Q$400,"monthly"))/V180)),AF180="exclusion",-(SUMIFS(SF_Output!$T$1:$T$400,SF_Output!$AC$1:$AC$400,_xlfn.TEXTJOIN(",",TRUE,$B180:$E180),SF_Output!$Q$1:$Q$400,"monthly"))/V180)</f>
        <v>0</v>
      </c>
      <c r="X180" s="6" cm="1">
        <f t="array" ref="X180">IFERROR(_xlfn.IFS(V180=0,0,V180="","",W180=0,V180,OR(V180&lt;&gt;0,V180&lt;&gt;""),H180*I180),V180*(1-W180))</f>
        <v>2200</v>
      </c>
      <c r="Z180" s="6">
        <f>IFERROR(IF(B180="","",SUMIFS(Billing_Fallout!H:H,Billing_Fallout!N:N,B180)),0)</f>
        <v>0</v>
      </c>
      <c r="AA180" s="6">
        <f t="shared" si="40"/>
        <v>0</v>
      </c>
      <c r="AB180" s="6">
        <f>IFERROR(IF(B180="","",SUMIFS(Billing_Fallout!J:J,Billing_Fallout!N:N,B180)),0)</f>
        <v>0</v>
      </c>
      <c r="AD180" s="6">
        <f t="shared" si="41"/>
        <v>2200</v>
      </c>
      <c r="AF180" t="str">
        <f>IFERROR(INDEX(H_Tables!$B$1:$B$1500,MATCH(INDEX(SF_Output!$J$1:$J$400,MATCH(B180,SF_Output!$M$1:$M$400,0)),H_Tables!$A$1:$A$1500,0)),"")</f>
        <v/>
      </c>
      <c r="AI180" s="119" t="str">
        <f t="shared" si="42"/>
        <v>Check Install Price Override, Check Monthly Price Override, Check Quantity</v>
      </c>
      <c r="AJ180" s="121">
        <f>IFERROR(INDEX(SF_Output!AD:AD,MATCH(_xlfn.TEXTJOIN(",",TRUE,B180:E180),SF_Output!AC1:AC400,0)),0.05)</f>
        <v>0.05</v>
      </c>
      <c r="AK180" t="str">
        <f>IF(SUMIFS(SF_Output!$F$1:$F$400,SF_Output!$AC$1:$AC$400,_xlfn.TEXTJOIN(",",TRUE,B180:E180))+SUMIFS(SF_Output!$G$1:$G$400,SF_Output!$AC$1:$AC$400,_xlfn.TEXTJOIN(",",TRUE,B180:E180))=0,"","PAP")</f>
        <v/>
      </c>
      <c r="AL180" s="35" t="str">
        <f t="shared" si="43"/>
        <v>Web Hosting Showcase Plus,New</v>
      </c>
      <c r="AQ180" s="35"/>
      <c r="AR180" s="35" t="str" cm="1">
        <f t="array" ref="AR180">IFERROR(_xlfn.IFS(AND(E180*1=1,F180="Included"),"Change to Included",AND(E180*1=0,F180="Optional"),"Change to Optional",OR(B180="",F180="replaced"),""),"")</f>
        <v/>
      </c>
      <c r="AS180" s="35" t="str">
        <f t="shared" si="44"/>
        <v/>
      </c>
      <c r="AT180" s="35" t="str">
        <f t="shared" si="45"/>
        <v/>
      </c>
      <c r="AU180" s="35" t="str">
        <f t="shared" si="46"/>
        <v>Check Install Price Override</v>
      </c>
      <c r="AV180" s="35" t="str">
        <f t="shared" si="47"/>
        <v/>
      </c>
      <c r="AW180" s="35" t="str">
        <f t="shared" si="48"/>
        <v/>
      </c>
      <c r="AX180" s="35" t="str">
        <f t="shared" si="49"/>
        <v/>
      </c>
      <c r="AY180" s="35" t="str">
        <f t="shared" si="50"/>
        <v>Check Monthly Price Override</v>
      </c>
      <c r="AZ180" s="35" t="str">
        <f t="shared" si="51"/>
        <v/>
      </c>
      <c r="BA180" s="35" t="str">
        <f t="shared" si="52"/>
        <v>Check Quantity</v>
      </c>
      <c r="BB180" s="35" t="str">
        <f t="shared" si="53"/>
        <v/>
      </c>
      <c r="BC180" s="35"/>
      <c r="BE180" s="35" t="e">
        <f>INDEX(SF_Output!$AA$2:$AA$400,MATCH($B180,SF_Output!$M$2:$M$400,0))</f>
        <v>#N/A</v>
      </c>
      <c r="BF180" s="35" t="e">
        <f>INDEX(SF_Output!$AB$2:$AB$400,MATCH($B180,SF_Output!$M$2:$M$400,0))</f>
        <v>#N/A</v>
      </c>
    </row>
    <row r="181" spans="2:58" x14ac:dyDescent="0.25">
      <c r="B181" t="s">
        <v>2643</v>
      </c>
      <c r="C181" t="s">
        <v>2122</v>
      </c>
      <c r="F181" s="116" t="s">
        <v>2640</v>
      </c>
      <c r="G181" t="s">
        <v>2644</v>
      </c>
      <c r="H181">
        <v>1</v>
      </c>
      <c r="I181" s="125" t="str">
        <f>IFERROR(IF(AND(H181&gt;1,H181&lt;&gt;""),ROUND(SUMIFS(SF_Output!$S$1:$S$400,SF_Output!$AC$1:$AC$400,_xlfn.TEXTJOIN(",",TRUE,B181:E181),SF_Output!$Q$1:$Q$400,"monthly")*(1-W181)/H181,4),""),"")</f>
        <v/>
      </c>
      <c r="J181" s="6">
        <f>IF(B181="","",SUMIFS(SF_Output!$S$1:$S$400,SF_Output!$AC$1:$AC$400,_xlfn.TEXTJOIN(",",TRUE,B181:E181),SF_Output!$Q$1:$Q$400,"One Time",SF_Output!$L$1:$L$400,"license fee")+SUMIFS(SF_Output!$S$1:$S$400,SF_Output!$AC$1:$AC$400,_xlfn.TEXTJOIN(",",TRUE,B181:E181),SF_Output!$Q$1:$Q$400,"One Time",SF_Output!$L$1:$L$400,"software license")+SUMIFS(SF_Output!$S$1:$S$400,SF_Output!$AC$1:$AC$400,_xlfn.TEXTJOIN(",",TRUE,B181:E181),SF_Output!$Q$1:$Q$400,"One Time",SF_Output!$L$1:$L$400,"hardware"))</f>
        <v>0</v>
      </c>
      <c r="K181" s="112" t="str">
        <f>IF(OR(B181=0,B181="",G181="hardware",J181=0),"",IF(AF181&lt;&gt;"exclusion",MAX(K$9,-((SUMIFS(SF_Output!$T$1:$T$400,SF_Output!$AC$1:$AC$400,_xlfn.TEXTJOIN(",",TRUE,$B181:$E181),SF_Output!$Q$1:$Q$400,"One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license"))/J181)))</f>
        <v/>
      </c>
      <c r="L181" s="6">
        <f t="shared" si="37"/>
        <v>0</v>
      </c>
      <c r="N181" s="6">
        <v>7650</v>
      </c>
      <c r="O181" s="112">
        <f>IF(OR(B181=0,B181="",N181=0),"",IF(AF181&lt;&gt;"exclusion",MAX(O$9,-(SUMIFS(SF_Output!$T$1:$T$400,SF_Output!$AC$1:$AC$400,_xlfn.TEXTJOIN(",",TRUE,$B181:$E181),SF_Output!$Q$1:$Q$400,"One Time",SF_Output!$L$1:$L$400,"professional service"))/N181),-((SUMIFS(SF_Output!$T$1:$T$400,SF_Output!$AC$1:$AC$400,_xlfn.TEXTJOIN(",",TRUE,$B181:$E181),SF_Output!$Q$1:$Q$400,"One Time",SF_Output!$L$1:$L$400,"professional service")/N181))))</f>
        <v>0</v>
      </c>
      <c r="P181" s="6">
        <f t="shared" si="38"/>
        <v>7650</v>
      </c>
      <c r="R181" s="6">
        <v>10595.7</v>
      </c>
      <c r="S181" s="112">
        <f>IF(OR(B181=0,B181="",G181="hardware",R181=0),"",IF(AF181&lt;&gt;"exclusion",MAX(S$9,-(SUMIFS(SF_Output!$T$1:$T$400,SF_Output!$AC$1:$AC$400,_xlfn.TEXTJOIN(",",TRUE,$B181:$E181),SF_Output!$Q$1:$Q$400,"yearly"))/R181),-((SUMIFS(SF_Output!$T$1:$T$400,SF_Output!$AC$1:$AC$400,_xlfn.TEXTJOIN(",",TRUE,$B181:$E181),SF_Output!$Q$1:$Q$400,"yearly")/R181))))</f>
        <v>0</v>
      </c>
      <c r="T181" s="6">
        <f t="shared" si="39"/>
        <v>10595.7</v>
      </c>
      <c r="V181" s="6" cm="1">
        <f t="array" ref="V181">_xlfn.IFS(B181="","",AND(B181&lt;&gt;"",H181=SF_Output!$Y$2,SUMIFS(SF_Output!$T$1:$T$400,SF_Output!$AC$1:$AC$400,_xlfn.TEXTJOIN(",",TRUE,B181:E181),SF_Output!$Q$1:$Q$400,"monthly")=0),(SUMIFS(SF_Output!$F$1:$F$400,SF_Output!$AC$1:$AC$400,_xlfn.TEXTJOIN(",",TRUE,B181:E181),SF_Output!$Q$1:$Q$400,"monthly")+SUMIFS(SF_Output!$G$1:$G$400,SF_Output!$AC$1:$AC$400,_xlfn.TEXTJOIN(",",TRUE,B181:E181),SF_Output!$Q$1:$Q$400,"monthly"))*H181,AND(B181&lt;&gt;"",H181=SF_Output!$Y$2,SUMIFS(SF_Output!$T$1:$T$400,SF_Output!$AC$1:$AC$400,_xlfn.TEXTJOIN(",",TRUE,B181:E181),SF_Output!$Q$1:$Q$400,"monthly")&lt;&gt;0),SUMIFS(SF_Output!$S$1:$S$400,SF_Output!$AC$1:$AC$400,_xlfn.TEXTJOIN(",",TRUE,B181:E181),SF_Output!$Q$1:$Q$400,"monthly"),AND(B181&lt;&gt;"",H181&lt;&gt;SF_Output!$Y$2),SUMIFS(SF_Output!$S$1:$S$400,SF_Output!$AC$1:$AC$400,_xlfn.TEXTJOIN(",",TRUE,B181:E181),SF_Output!$Q$1:$Q$400,"monthly"))</f>
        <v>0</v>
      </c>
      <c r="W181" s="112" t="str" cm="1">
        <f t="array" ref="W181">_xlfn.IFS(OR(B181=0,B181="",V181=0),"",AF181&lt;&gt;"exclusion",MAX($W$9,$W$7,(-(SUMIFS(SF_Output!$T$1:$T$400,SF_Output!$AC$1:$AC$400,_xlfn.TEXTJOIN(",",TRUE,$B181:$E181),SF_Output!$Q$1:$Q$400,"monthly"))/V181)),AF181="exclusion",-(SUMIFS(SF_Output!$T$1:$T$400,SF_Output!$AC$1:$AC$400,_xlfn.TEXTJOIN(",",TRUE,$B181:$E181),SF_Output!$Q$1:$Q$400,"monthly"))/V181)</f>
        <v/>
      </c>
      <c r="X181" s="6" cm="1">
        <f t="array" ref="X181">IFERROR(_xlfn.IFS(V181=0,0,V181="","",W181=0,V181,OR(V181&lt;&gt;0,V181&lt;&gt;""),H181*I181),V181*(1-W181))</f>
        <v>0</v>
      </c>
      <c r="Z181" s="6">
        <f>IFERROR(IF(B181="","",SUMIFS(Billing_Fallout!H:H,Billing_Fallout!N:N,B181)),0)</f>
        <v>0</v>
      </c>
      <c r="AA181" s="6">
        <f t="shared" si="40"/>
        <v>0</v>
      </c>
      <c r="AB181" s="6">
        <f>IFERROR(IF(B181="","",SUMIFS(Billing_Fallout!J:J,Billing_Fallout!N:N,B181)),0)</f>
        <v>0</v>
      </c>
      <c r="AD181" s="6">
        <f t="shared" si="41"/>
        <v>0</v>
      </c>
      <c r="AF181" t="str">
        <f>IFERROR(INDEX(H_Tables!$B$1:$B$1500,MATCH(INDEX(SF_Output!$J$1:$J$400,MATCH(B181,SF_Output!$M$1:$M$400,0)),H_Tables!$A$1:$A$1500,0)),"")</f>
        <v/>
      </c>
      <c r="AI181" s="119" t="str">
        <f t="shared" si="42"/>
        <v>Change to Optional, Check Install Price Override, Check Maintenance Price Override, Check Quantity</v>
      </c>
      <c r="AJ181" s="121">
        <f>IFERROR(INDEX(SF_Output!AD:AD,MATCH(_xlfn.TEXTJOIN(",",TRUE,B181:E181),SF_Output!AC1:AC400,0)),0.05)</f>
        <v>0.05</v>
      </c>
      <c r="AK181" t="str">
        <f>IF(SUMIFS(SF_Output!$F$1:$F$400,SF_Output!$AC$1:$AC$400,_xlfn.TEXTJOIN(",",TRUE,B181:E181))+SUMIFS(SF_Output!$G$1:$G$400,SF_Output!$AC$1:$AC$400,_xlfn.TEXTJOIN(",",TRUE,B181:E181))=0,"","PAP")</f>
        <v/>
      </c>
      <c r="AL181" s="35" t="str">
        <f t="shared" si="43"/>
        <v>TruStage Forms-LoanVantage,New</v>
      </c>
      <c r="AQ181" s="35"/>
      <c r="AR181" s="35" t="str" cm="1">
        <f t="array" ref="AR181">IFERROR(_xlfn.IFS(AND(E181*1=1,F181="Included"),"Change to Included",AND(E181*1=0,F181="Optional"),"Change to Optional",OR(B181="",F181="replaced"),""),"")</f>
        <v>Change to Optional</v>
      </c>
      <c r="AS181" s="35" t="str">
        <f t="shared" si="44"/>
        <v/>
      </c>
      <c r="AT181" s="35" t="str">
        <f t="shared" si="45"/>
        <v/>
      </c>
      <c r="AU181" s="35" t="str">
        <f t="shared" si="46"/>
        <v>Check Install Price Override</v>
      </c>
      <c r="AV181" s="35" t="str">
        <f t="shared" si="47"/>
        <v/>
      </c>
      <c r="AW181" s="35" t="str">
        <f t="shared" si="48"/>
        <v>Check Maintenance Price Override</v>
      </c>
      <c r="AX181" s="35" t="str">
        <f t="shared" si="49"/>
        <v/>
      </c>
      <c r="AY181" s="35" t="str">
        <f t="shared" si="50"/>
        <v/>
      </c>
      <c r="AZ181" s="35" t="str">
        <f t="shared" si="51"/>
        <v/>
      </c>
      <c r="BA181" s="35" t="str">
        <f t="shared" si="52"/>
        <v>Check Quantity</v>
      </c>
      <c r="BB181" s="35" t="str">
        <f t="shared" si="53"/>
        <v/>
      </c>
      <c r="BC181" s="35"/>
      <c r="BE181" s="35" t="e">
        <f>INDEX(SF_Output!$AA$2:$AA$400,MATCH($B181,SF_Output!$M$2:$M$400,0))</f>
        <v>#N/A</v>
      </c>
      <c r="BF181" s="35" t="e">
        <f>INDEX(SF_Output!$AB$2:$AB$400,MATCH($B181,SF_Output!$M$2:$M$400,0))</f>
        <v>#N/A</v>
      </c>
    </row>
    <row r="182" spans="2:58" ht="30" x14ac:dyDescent="0.25">
      <c r="B182" s="141" t="s">
        <v>2645</v>
      </c>
      <c r="C182" t="s">
        <v>2122</v>
      </c>
      <c r="F182" s="116" t="str">
        <f t="shared" si="36"/>
        <v>Included</v>
      </c>
      <c r="G182" t="s">
        <v>2644</v>
      </c>
      <c r="H182">
        <v>1</v>
      </c>
      <c r="I182" s="125" t="str">
        <f>IFERROR(IF(AND(H182&gt;1,H182&lt;&gt;""),ROUND(SUMIFS(SF_Output!$S$1:$S$400,SF_Output!$AC$1:$AC$400,_xlfn.TEXTJOIN(",",TRUE,B182:E182),SF_Output!$Q$1:$Q$400,"monthly")*(1-W182)/H182,4),""),"")</f>
        <v/>
      </c>
      <c r="J182" s="6">
        <f>IF(B182="","",SUMIFS(SF_Output!$S$1:$S$400,SF_Output!$AC$1:$AC$400,_xlfn.TEXTJOIN(",",TRUE,B182:E182),SF_Output!$Q$1:$Q$400,"One Time",SF_Output!$L$1:$L$400,"license fee")+SUMIFS(SF_Output!$S$1:$S$400,SF_Output!$AC$1:$AC$400,_xlfn.TEXTJOIN(",",TRUE,B182:E182),SF_Output!$Q$1:$Q$400,"One Time",SF_Output!$L$1:$L$400,"software license")+SUMIFS(SF_Output!$S$1:$S$400,SF_Output!$AC$1:$AC$400,_xlfn.TEXTJOIN(",",TRUE,B182:E182),SF_Output!$Q$1:$Q$400,"One Time",SF_Output!$L$1:$L$400,"hardware"))</f>
        <v>0</v>
      </c>
      <c r="K182" s="112" t="str">
        <f>IF(OR(B182=0,B182="",G182="hardware",J182=0),"",IF(AF182&lt;&gt;"exclusion",MAX(K$9,-((SUMIFS(SF_Output!$T$1:$T$400,SF_Output!$AC$1:$AC$400,_xlfn.TEXTJOIN(",",TRUE,$B182:$E182),SF_Output!$Q$1:$Q$400,"One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license"))/J182)))</f>
        <v/>
      </c>
      <c r="L182" s="6">
        <f t="shared" si="37"/>
        <v>0</v>
      </c>
      <c r="N182" s="6">
        <v>7650</v>
      </c>
      <c r="O182" s="112">
        <f>IF(OR(B182=0,B182="",N182=0),"",IF(AF182&lt;&gt;"exclusion",MAX(O$9,-(SUMIFS(SF_Output!$T$1:$T$400,SF_Output!$AC$1:$AC$400,_xlfn.TEXTJOIN(",",TRUE,$B182:$E182),SF_Output!$Q$1:$Q$400,"One Time",SF_Output!$L$1:$L$400,"professional service"))/N182),-((SUMIFS(SF_Output!$T$1:$T$400,SF_Output!$AC$1:$AC$400,_xlfn.TEXTJOIN(",",TRUE,$B182:$E182),SF_Output!$Q$1:$Q$400,"One Time",SF_Output!$L$1:$L$400,"professional service")/N182))))</f>
        <v>0</v>
      </c>
      <c r="P182" s="6">
        <f t="shared" si="38"/>
        <v>7650</v>
      </c>
      <c r="R182" s="6">
        <v>14590</v>
      </c>
      <c r="S182" s="112">
        <f>IF(OR(B182=0,B182="",G182="hardware",R182=0),"",IF(AF182&lt;&gt;"exclusion",MAX(S$9,-(SUMIFS(SF_Output!$T$1:$T$400,SF_Output!$AC$1:$AC$400,_xlfn.TEXTJOIN(",",TRUE,$B182:$E182),SF_Output!$Q$1:$Q$400,"yearly"))/R182),-((SUMIFS(SF_Output!$T$1:$T$400,SF_Output!$AC$1:$AC$400,_xlfn.TEXTJOIN(",",TRUE,$B182:$E182),SF_Output!$Q$1:$Q$400,"yearly")/R182))))</f>
        <v>0</v>
      </c>
      <c r="T182" s="6">
        <f t="shared" si="39"/>
        <v>14590</v>
      </c>
      <c r="V182" s="6" cm="1">
        <f t="array" ref="V182">_xlfn.IFS(B182="","",AND(B182&lt;&gt;"",H182=SF_Output!$Y$2,SUMIFS(SF_Output!$T$1:$T$400,SF_Output!$AC$1:$AC$400,_xlfn.TEXTJOIN(",",TRUE,B182:E182),SF_Output!$Q$1:$Q$400,"monthly")=0),(SUMIFS(SF_Output!$F$1:$F$400,SF_Output!$AC$1:$AC$400,_xlfn.TEXTJOIN(",",TRUE,B182:E182),SF_Output!$Q$1:$Q$400,"monthly")+SUMIFS(SF_Output!$G$1:$G$400,SF_Output!$AC$1:$AC$400,_xlfn.TEXTJOIN(",",TRUE,B182:E182),SF_Output!$Q$1:$Q$400,"monthly"))*H182,AND(B182&lt;&gt;"",H182=SF_Output!$Y$2,SUMIFS(SF_Output!$T$1:$T$400,SF_Output!$AC$1:$AC$400,_xlfn.TEXTJOIN(",",TRUE,B182:E182),SF_Output!$Q$1:$Q$400,"monthly")&lt;&gt;0),SUMIFS(SF_Output!$S$1:$S$400,SF_Output!$AC$1:$AC$400,_xlfn.TEXTJOIN(",",TRUE,B182:E182),SF_Output!$Q$1:$Q$400,"monthly"),AND(B182&lt;&gt;"",H182&lt;&gt;SF_Output!$Y$2),SUMIFS(SF_Output!$S$1:$S$400,SF_Output!$AC$1:$AC$400,_xlfn.TEXTJOIN(",",TRUE,B182:E182),SF_Output!$Q$1:$Q$400,"monthly"))</f>
        <v>0</v>
      </c>
      <c r="W182" s="112" t="str" cm="1">
        <f t="array" ref="W182">_xlfn.IFS(OR(B182=0,B182="",V182=0),"",AF182&lt;&gt;"exclusion",MAX($W$9,$W$7,(-(SUMIFS(SF_Output!$T$1:$T$400,SF_Output!$AC$1:$AC$400,_xlfn.TEXTJOIN(",",TRUE,$B182:$E182),SF_Output!$Q$1:$Q$400,"monthly"))/V182)),AF182="exclusion",-(SUMIFS(SF_Output!$T$1:$T$400,SF_Output!$AC$1:$AC$400,_xlfn.TEXTJOIN(",",TRUE,$B182:$E182),SF_Output!$Q$1:$Q$400,"monthly"))/V182)</f>
        <v/>
      </c>
      <c r="X182" s="6" cm="1">
        <f t="array" ref="X182">IFERROR(_xlfn.IFS(V182=0,0,V182="","",W182=0,V182,OR(V182&lt;&gt;0,V182&lt;&gt;""),H182*I182),V182*(1-W182))</f>
        <v>0</v>
      </c>
      <c r="Z182" s="6">
        <f>IFERROR(IF(B182="","",SUMIFS(Billing_Fallout!H:H,Billing_Fallout!N:N,B182)),0)</f>
        <v>0</v>
      </c>
      <c r="AA182" s="6">
        <f t="shared" si="40"/>
        <v>0</v>
      </c>
      <c r="AB182" s="6">
        <f>IFERROR(IF(B182="","",SUMIFS(Billing_Fallout!J:J,Billing_Fallout!N:N,B182)),0)</f>
        <v>0</v>
      </c>
      <c r="AD182" s="6">
        <f t="shared" si="41"/>
        <v>0</v>
      </c>
      <c r="AF182" t="str">
        <f>IFERROR(INDEX(H_Tables!$B$1:$B$1500,MATCH(INDEX(SF_Output!$J$1:$J$400,MATCH(B182,SF_Output!$M$1:$M$400,0)),H_Tables!$A$1:$A$1500,0)),"")</f>
        <v/>
      </c>
      <c r="AI182" s="119" t="str">
        <f t="shared" si="42"/>
        <v>Check Install Price Override, Check Maintenance Price Override, Check Quantity</v>
      </c>
      <c r="AJ182" s="121">
        <f>IFERROR(INDEX(SF_Output!AD:AD,MATCH(_xlfn.TEXTJOIN(",",TRUE,B182:E182),SF_Output!AC1:AC400,0)),0.05)</f>
        <v>0.05</v>
      </c>
      <c r="AK182" t="str">
        <f>IF(SUMIFS(SF_Output!$F$1:$F$400,SF_Output!$AC$1:$AC$400,_xlfn.TEXTJOIN(",",TRUE,B182:E182))+SUMIFS(SF_Output!$G$1:$G$400,SF_Output!$AC$1:$AC$400,_xlfn.TEXTJOIN(",",TRUE,B182:E182))=0,"","PAP")</f>
        <v/>
      </c>
      <c r="AL182" s="35" t="str">
        <f t="shared" si="43"/>
        <v>TruStage Forms-OnBoard Deposits-Includes Tax Favored Acct Svcs Bundle,New</v>
      </c>
      <c r="AQ182" s="35"/>
      <c r="AR182" s="35" t="str" cm="1">
        <f t="array" ref="AR182">IFERROR(_xlfn.IFS(AND(E182*1=1,F182="Included"),"Change to Included",AND(E182*1=0,F182="Optional"),"Change to Optional",OR(B182="",F182="replaced"),""),"")</f>
        <v/>
      </c>
      <c r="AS182" s="35" t="str">
        <f t="shared" si="44"/>
        <v/>
      </c>
      <c r="AT182" s="35" t="str">
        <f t="shared" si="45"/>
        <v/>
      </c>
      <c r="AU182" s="35" t="str">
        <f t="shared" si="46"/>
        <v>Check Install Price Override</v>
      </c>
      <c r="AV182" s="35" t="str">
        <f t="shared" si="47"/>
        <v/>
      </c>
      <c r="AW182" s="35" t="str">
        <f t="shared" si="48"/>
        <v>Check Maintenance Price Override</v>
      </c>
      <c r="AX182" s="35" t="str">
        <f t="shared" si="49"/>
        <v/>
      </c>
      <c r="AY182" s="35" t="str">
        <f t="shared" si="50"/>
        <v/>
      </c>
      <c r="AZ182" s="35" t="str">
        <f t="shared" si="51"/>
        <v/>
      </c>
      <c r="BA182" s="35" t="str">
        <f t="shared" si="52"/>
        <v>Check Quantity</v>
      </c>
      <c r="BB182" s="35" t="str">
        <f t="shared" si="53"/>
        <v/>
      </c>
      <c r="BC182" s="35"/>
      <c r="BE182" s="35" t="e">
        <f>INDEX(SF_Output!$AA$2:$AA$400,MATCH($B182,SF_Output!$M$2:$M$400,0))</f>
        <v>#N/A</v>
      </c>
      <c r="BF182" s="35" t="e">
        <f>INDEX(SF_Output!$AB$2:$AB$400,MATCH($B182,SF_Output!$M$2:$M$400,0))</f>
        <v>#N/A</v>
      </c>
    </row>
    <row r="183" spans="2:58" x14ac:dyDescent="0.25">
      <c r="B183" t="s">
        <v>2646</v>
      </c>
      <c r="C183" t="s">
        <v>2122</v>
      </c>
      <c r="F183" s="116" t="str">
        <f t="shared" si="36"/>
        <v>Included</v>
      </c>
      <c r="G183" t="s">
        <v>2644</v>
      </c>
      <c r="H183">
        <v>1</v>
      </c>
      <c r="I183" s="125" t="str">
        <f>IFERROR(IF(AND(H183&gt;1,H183&lt;&gt;""),ROUND(SUMIFS(SF_Output!$S$1:$S$400,SF_Output!$AC$1:$AC$400,_xlfn.TEXTJOIN(",",TRUE,B183:E183),SF_Output!$Q$1:$Q$400,"monthly")*(1-W183)/H183,4),""),"")</f>
        <v/>
      </c>
      <c r="J183" s="6">
        <f>IF(B183="","",SUMIFS(SF_Output!$S$1:$S$400,SF_Output!$AC$1:$AC$400,_xlfn.TEXTJOIN(",",TRUE,B183:E183),SF_Output!$Q$1:$Q$400,"One Time",SF_Output!$L$1:$L$400,"license fee")+SUMIFS(SF_Output!$S$1:$S$400,SF_Output!$AC$1:$AC$400,_xlfn.TEXTJOIN(",",TRUE,B183:E183),SF_Output!$Q$1:$Q$400,"One Time",SF_Output!$L$1:$L$400,"software license")+SUMIFS(SF_Output!$S$1:$S$400,SF_Output!$AC$1:$AC$400,_xlfn.TEXTJOIN(",",TRUE,B183:E183),SF_Output!$Q$1:$Q$400,"One Time",SF_Output!$L$1:$L$400,"hardware"))</f>
        <v>0</v>
      </c>
      <c r="K183" s="112" t="str">
        <f>IF(OR(B183=0,B183="",G183="hardware",J183=0),"",IF(AF183&lt;&gt;"exclusion",MAX(K$9,-((SUMIFS(SF_Output!$T$1:$T$400,SF_Output!$AC$1:$AC$400,_xlfn.TEXTJOIN(",",TRUE,$B183:$E183),SF_Output!$Q$1:$Q$400,"One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license"))/J183)))</f>
        <v/>
      </c>
      <c r="L183" s="6">
        <f t="shared" si="37"/>
        <v>0</v>
      </c>
      <c r="N183" s="6">
        <f>IF(B183="","",SUMIFS(SF_Output!$S$1:$S$400,SF_Output!$AC$1:$AC$400,_xlfn.TEXTJOIN(",",TRUE,B183:E183),SF_Output!$Q$1:$Q$400,"One Time",SF_Output!$L$1:$L$400,"professional service"))</f>
        <v>0</v>
      </c>
      <c r="O183" s="112" t="str">
        <f>IF(OR(B183=0,B183="",N183=0),"",IF(AF183&lt;&gt;"exclusion",MAX(O$9,-(SUMIFS(SF_Output!$T$1:$T$400,SF_Output!$AC$1:$AC$400,_xlfn.TEXTJOIN(",",TRUE,$B183:$E183),SF_Output!$Q$1:$Q$400,"One Time",SF_Output!$L$1:$L$400,"professional service"))/N183),-((SUMIFS(SF_Output!$T$1:$T$400,SF_Output!$AC$1:$AC$400,_xlfn.TEXTJOIN(",",TRUE,$B183:$E183),SF_Output!$Q$1:$Q$400,"One Time",SF_Output!$L$1:$L$400,"professional service")/N183))))</f>
        <v/>
      </c>
      <c r="P183" s="6">
        <f t="shared" si="38"/>
        <v>0</v>
      </c>
      <c r="R183" s="6">
        <v>2550</v>
      </c>
      <c r="S183" s="112">
        <f>IF(OR(B183=0,B183="",G183="hardware",R183=0),"",IF(AF183&lt;&gt;"exclusion",MAX(S$9,-(SUMIFS(SF_Output!$T$1:$T$400,SF_Output!$AC$1:$AC$400,_xlfn.TEXTJOIN(",",TRUE,$B183:$E183),SF_Output!$Q$1:$Q$400,"yearly"))/R183),-((SUMIFS(SF_Output!$T$1:$T$400,SF_Output!$AC$1:$AC$400,_xlfn.TEXTJOIN(",",TRUE,$B183:$E183),SF_Output!$Q$1:$Q$400,"yearly")/R183))))</f>
        <v>0</v>
      </c>
      <c r="T183" s="6">
        <f t="shared" si="39"/>
        <v>2550</v>
      </c>
      <c r="V183" s="6" cm="1">
        <f t="array" ref="V183">_xlfn.IFS(B183="","",AND(B183&lt;&gt;"",H183=SF_Output!$Y$2,SUMIFS(SF_Output!$T$1:$T$400,SF_Output!$AC$1:$AC$400,_xlfn.TEXTJOIN(",",TRUE,B183:E183),SF_Output!$Q$1:$Q$400,"monthly")=0),(SUMIFS(SF_Output!$F$1:$F$400,SF_Output!$AC$1:$AC$400,_xlfn.TEXTJOIN(",",TRUE,B183:E183),SF_Output!$Q$1:$Q$400,"monthly")+SUMIFS(SF_Output!$G$1:$G$400,SF_Output!$AC$1:$AC$400,_xlfn.TEXTJOIN(",",TRUE,B183:E183),SF_Output!$Q$1:$Q$400,"monthly"))*H183,AND(B183&lt;&gt;"",H183=SF_Output!$Y$2,SUMIFS(SF_Output!$T$1:$T$400,SF_Output!$AC$1:$AC$400,_xlfn.TEXTJOIN(",",TRUE,B183:E183),SF_Output!$Q$1:$Q$400,"monthly")&lt;&gt;0),SUMIFS(SF_Output!$S$1:$S$400,SF_Output!$AC$1:$AC$400,_xlfn.TEXTJOIN(",",TRUE,B183:E183),SF_Output!$Q$1:$Q$400,"monthly"),AND(B183&lt;&gt;"",H183&lt;&gt;SF_Output!$Y$2),SUMIFS(SF_Output!$S$1:$S$400,SF_Output!$AC$1:$AC$400,_xlfn.TEXTJOIN(",",TRUE,B183:E183),SF_Output!$Q$1:$Q$400,"monthly"))</f>
        <v>0</v>
      </c>
      <c r="W183" s="112" t="str" cm="1">
        <f t="array" ref="W183">_xlfn.IFS(OR(B183=0,B183="",V183=0),"",AF183&lt;&gt;"exclusion",MAX($W$9,$W$7,(-(SUMIFS(SF_Output!$T$1:$T$400,SF_Output!$AC$1:$AC$400,_xlfn.TEXTJOIN(",",TRUE,$B183:$E183),SF_Output!$Q$1:$Q$400,"monthly"))/V183)),AF183="exclusion",-(SUMIFS(SF_Output!$T$1:$T$400,SF_Output!$AC$1:$AC$400,_xlfn.TEXTJOIN(",",TRUE,$B183:$E183),SF_Output!$Q$1:$Q$400,"monthly"))/V183)</f>
        <v/>
      </c>
      <c r="X183" s="6" cm="1">
        <f t="array" ref="X183">IFERROR(_xlfn.IFS(V183=0,0,V183="","",W183=0,V183,OR(V183&lt;&gt;0,V183&lt;&gt;""),H183*I183),V183*(1-W183))</f>
        <v>0</v>
      </c>
      <c r="Z183" s="6">
        <f>IFERROR(IF(B183="","",SUMIFS(Billing_Fallout!H:H,Billing_Fallout!N:N,B183)),0)</f>
        <v>0</v>
      </c>
      <c r="AA183" s="6">
        <f t="shared" si="40"/>
        <v>0</v>
      </c>
      <c r="AB183" s="6">
        <f>IFERROR(IF(B183="","",SUMIFS(Billing_Fallout!J:J,Billing_Fallout!N:N,B183)),0)</f>
        <v>0</v>
      </c>
      <c r="AD183" s="6">
        <f t="shared" si="41"/>
        <v>0</v>
      </c>
      <c r="AF183" t="str">
        <f>IFERROR(INDEX(H_Tables!$B$1:$B$1500,MATCH(INDEX(SF_Output!$J$1:$J$400,MATCH(B183,SF_Output!$M$1:$M$400,0)),H_Tables!$A$1:$A$1500,0)),"")</f>
        <v/>
      </c>
      <c r="AI183" s="119" t="str">
        <f t="shared" si="42"/>
        <v>Check Maintenance Price Override, Check Quantity</v>
      </c>
      <c r="AJ183" s="121">
        <f>IFERROR(INDEX(SF_Output!AD:AD,MATCH(_xlfn.TEXTJOIN(",",TRUE,B183:E183),SF_Output!AC1:AC400,0)),0.05)</f>
        <v>0.05</v>
      </c>
      <c r="AK183" t="str">
        <f>IF(SUMIFS(SF_Output!$F$1:$F$400,SF_Output!$AC$1:$AC$400,_xlfn.TEXTJOIN(",",TRUE,B183:E183))+SUMIFS(SF_Output!$G$1:$G$400,SF_Output!$AC$1:$AC$400,_xlfn.TEXTJOIN(",",TRUE,B183:E183))=0,"","PAP")</f>
        <v/>
      </c>
      <c r="AL183" s="35" t="str">
        <f t="shared" si="43"/>
        <v>TruStage Forms-OpenAnywhere,New</v>
      </c>
      <c r="AQ183" s="35"/>
      <c r="AR183" s="35" t="str" cm="1">
        <f t="array" ref="AR183">IFERROR(_xlfn.IFS(AND(E183*1=1,F183="Included"),"Change to Included",AND(E183*1=0,F183="Optional"),"Change to Optional",OR(B183="",F183="replaced"),""),"")</f>
        <v/>
      </c>
      <c r="AS183" s="35" t="str">
        <f t="shared" si="44"/>
        <v/>
      </c>
      <c r="AT183" s="35" t="str">
        <f t="shared" si="45"/>
        <v/>
      </c>
      <c r="AU183" s="35" t="str">
        <f t="shared" si="46"/>
        <v/>
      </c>
      <c r="AV183" s="35" t="str">
        <f t="shared" si="47"/>
        <v/>
      </c>
      <c r="AW183" s="35" t="str">
        <f t="shared" si="48"/>
        <v>Check Maintenance Price Override</v>
      </c>
      <c r="AX183" s="35" t="str">
        <f t="shared" si="49"/>
        <v/>
      </c>
      <c r="AY183" s="35" t="str">
        <f t="shared" si="50"/>
        <v/>
      </c>
      <c r="AZ183" s="35" t="str">
        <f t="shared" si="51"/>
        <v/>
      </c>
      <c r="BA183" s="35" t="str">
        <f t="shared" si="52"/>
        <v>Check Quantity</v>
      </c>
      <c r="BB183" s="35" t="str">
        <f t="shared" si="53"/>
        <v/>
      </c>
      <c r="BC183" s="35"/>
      <c r="BE183" s="35" t="e">
        <f>INDEX(SF_Output!$AA$2:$AA$400,MATCH($B183,SF_Output!$M$2:$M$400,0))</f>
        <v>#N/A</v>
      </c>
      <c r="BF183" s="35" t="e">
        <f>INDEX(SF_Output!$AB$2:$AB$400,MATCH($B183,SF_Output!$M$2:$M$400,0))</f>
        <v>#N/A</v>
      </c>
    </row>
    <row r="184" spans="2:58" x14ac:dyDescent="0.25">
      <c r="B184" t="s">
        <v>2647</v>
      </c>
      <c r="C184" t="s">
        <v>2122</v>
      </c>
      <c r="F184" s="116" t="s">
        <v>2640</v>
      </c>
      <c r="G184" t="s">
        <v>2648</v>
      </c>
      <c r="H184">
        <v>1</v>
      </c>
      <c r="I184" s="125" t="str">
        <f>IFERROR(IF(AND(H184&gt;1,H184&lt;&gt;""),ROUND(SUMIFS(SF_Output!$S$1:$S$400,SF_Output!$AC$1:$AC$400,_xlfn.TEXTJOIN(",",TRUE,B184:E184),SF_Output!$Q$1:$Q$400,"monthly")*(1-W184)/H184,4),""),"")</f>
        <v/>
      </c>
      <c r="J184" s="6">
        <f>IF(B184="","",SUMIFS(SF_Output!$S$1:$S$400,SF_Output!$AC$1:$AC$400,_xlfn.TEXTJOIN(",",TRUE,B184:E184),SF_Output!$Q$1:$Q$400,"One Time",SF_Output!$L$1:$L$400,"license fee")+SUMIFS(SF_Output!$S$1:$S$400,SF_Output!$AC$1:$AC$400,_xlfn.TEXTJOIN(",",TRUE,B184:E184),SF_Output!$Q$1:$Q$400,"One Time",SF_Output!$L$1:$L$400,"software license")+SUMIFS(SF_Output!$S$1:$S$400,SF_Output!$AC$1:$AC$400,_xlfn.TEXTJOIN(",",TRUE,B184:E184),SF_Output!$Q$1:$Q$400,"One Time",SF_Output!$L$1:$L$400,"hardware"))</f>
        <v>0</v>
      </c>
      <c r="K184" s="112" t="str">
        <f>IF(OR(B184=0,B184="",G184="hardware",J184=0),"",IF(AF184&lt;&gt;"exclusion",MAX(K$9,-((SUMIFS(SF_Output!$T$1:$T$400,SF_Output!$AC$1:$AC$400,_xlfn.TEXTJOIN(",",TRUE,$B184:$E184),SF_Output!$Q$1:$Q$400,"One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license"))/J184)))</f>
        <v/>
      </c>
      <c r="L184" s="6">
        <f t="shared" si="37"/>
        <v>0</v>
      </c>
      <c r="N184" s="6">
        <v>6500</v>
      </c>
      <c r="O184" s="112">
        <f>IF(OR(B184=0,B184="",N184=0),"",IF(AF184&lt;&gt;"exclusion",MAX(O$9,-(SUMIFS(SF_Output!$T$1:$T$400,SF_Output!$AC$1:$AC$400,_xlfn.TEXTJOIN(",",TRUE,$B184:$E184),SF_Output!$Q$1:$Q$400,"One Time",SF_Output!$L$1:$L$400,"professional service"))/N184),-((SUMIFS(SF_Output!$T$1:$T$400,SF_Output!$AC$1:$AC$400,_xlfn.TEXTJOIN(",",TRUE,$B184:$E184),SF_Output!$Q$1:$Q$400,"One Time",SF_Output!$L$1:$L$400,"professional service")/N184))))</f>
        <v>0</v>
      </c>
      <c r="P184" s="6">
        <f t="shared" si="38"/>
        <v>6500</v>
      </c>
      <c r="R184" s="6">
        <f>IF(B184="","",SUMIFS(SF_Output!$S$1:$S$400,SF_Output!$AC$1:$AC$400,_xlfn.TEXTJOIN(",",TRUE,B184:E184),SF_Output!$Q$1:$Q$400,"yearly")+SUMIFS(SF_Output!$S$1:$S$400,SF_Output!$AC$1:$AC$400,_xlfn.TEXTJOIN(",",TRUE,B184:E184),SF_Output!$Q$1:$Q$400,"quarterly")*4)</f>
        <v>0</v>
      </c>
      <c r="S184" s="112" t="str">
        <f>IF(OR(B184=0,B184="",G184="hardware",R184=0),"",IF(AF184&lt;&gt;"exclusion",MAX(S$9,-(SUMIFS(SF_Output!$T$1:$T$400,SF_Output!$AC$1:$AC$400,_xlfn.TEXTJOIN(",",TRUE,$B184:$E184),SF_Output!$Q$1:$Q$400,"yearly"))/R184),-((SUMIFS(SF_Output!$T$1:$T$400,SF_Output!$AC$1:$AC$400,_xlfn.TEXTJOIN(",",TRUE,$B184:$E184),SF_Output!$Q$1:$Q$400,"yearly")/R184))))</f>
        <v/>
      </c>
      <c r="T184" s="6">
        <f t="shared" si="39"/>
        <v>0</v>
      </c>
      <c r="V184" s="6">
        <v>375</v>
      </c>
      <c r="W184" s="112" cm="1">
        <f t="array" ref="W184">_xlfn.IFS(OR(B184=0,B184="",V184=0),"",AF184&lt;&gt;"exclusion",MAX($W$9,$W$7,(-(SUMIFS(SF_Output!$T$1:$T$400,SF_Output!$AC$1:$AC$400,_xlfn.TEXTJOIN(",",TRUE,$B184:$E184),SF_Output!$Q$1:$Q$400,"monthly"))/V184)),AF184="exclusion",-(SUMIFS(SF_Output!$T$1:$T$400,SF_Output!$AC$1:$AC$400,_xlfn.TEXTJOIN(",",TRUE,$B184:$E184),SF_Output!$Q$1:$Q$400,"monthly"))/V184)</f>
        <v>0</v>
      </c>
      <c r="X184" s="6" cm="1">
        <f t="array" ref="X184">IFERROR(_xlfn.IFS(V184=0,0,V184="","",W184=0,V184,OR(V184&lt;&gt;0,V184&lt;&gt;""),H184*I184),V184*(1-W184))</f>
        <v>375</v>
      </c>
      <c r="Z184" s="6">
        <f>IFERROR(IF(B184="","",SUMIFS(Billing_Fallout!H:H,Billing_Fallout!N:N,B184)),0)</f>
        <v>0</v>
      </c>
      <c r="AA184" s="6">
        <f t="shared" si="40"/>
        <v>0</v>
      </c>
      <c r="AB184" s="6">
        <f>IFERROR(IF(B184="","",SUMIFS(Billing_Fallout!J:J,Billing_Fallout!N:N,B184)),0)</f>
        <v>0</v>
      </c>
      <c r="AD184" s="6">
        <f t="shared" si="41"/>
        <v>375</v>
      </c>
      <c r="AF184" t="str">
        <f>IFERROR(INDEX(H_Tables!$B$1:$B$1500,MATCH(INDEX(SF_Output!$J$1:$J$400,MATCH(B184,SF_Output!$M$1:$M$400,0)),H_Tables!$A$1:$A$1500,0)),"")</f>
        <v/>
      </c>
      <c r="AI184" s="119" t="str">
        <f t="shared" si="42"/>
        <v>Change to Optional, Check Install Price Override, Check Monthly Price Override, Check Quantity</v>
      </c>
      <c r="AJ184" s="121">
        <f>IFERROR(INDEX(SF_Output!AD:AD,MATCH(_xlfn.TEXTJOIN(",",TRUE,B184:E184),SF_Output!AC1:AC400,0)),0.05)</f>
        <v>0.05</v>
      </c>
      <c r="AK184" t="str">
        <f>IF(SUMIFS(SF_Output!$F$1:$F$400,SF_Output!$AC$1:$AC$400,_xlfn.TEXTJOIN(",",TRUE,B184:E184))+SUMIFS(SF_Output!$G$1:$G$400,SF_Output!$AC$1:$AC$400,_xlfn.TEXTJOIN(",",TRUE,B184:E184))=0,"","PAP")</f>
        <v/>
      </c>
      <c r="AL184" s="35" t="str">
        <f t="shared" si="43"/>
        <v>Ensenta ITM/ATM,New</v>
      </c>
      <c r="AQ184" s="35"/>
      <c r="AR184" s="35" t="str" cm="1">
        <f t="array" ref="AR184">IFERROR(_xlfn.IFS(AND(E184*1=1,F184="Included"),"Change to Included",AND(E184*1=0,F184="Optional"),"Change to Optional",OR(B184="",F184="replaced"),""),"")</f>
        <v>Change to Optional</v>
      </c>
      <c r="AS184" s="35" t="str">
        <f t="shared" si="44"/>
        <v/>
      </c>
      <c r="AT184" s="35" t="str">
        <f t="shared" si="45"/>
        <v/>
      </c>
      <c r="AU184" s="35" t="str">
        <f t="shared" si="46"/>
        <v>Check Install Price Override</v>
      </c>
      <c r="AV184" s="35" t="str">
        <f t="shared" si="47"/>
        <v/>
      </c>
      <c r="AW184" s="35" t="str">
        <f t="shared" si="48"/>
        <v/>
      </c>
      <c r="AX184" s="35" t="str">
        <f t="shared" si="49"/>
        <v/>
      </c>
      <c r="AY184" s="35" t="str">
        <f t="shared" si="50"/>
        <v>Check Monthly Price Override</v>
      </c>
      <c r="AZ184" s="35" t="str">
        <f t="shared" si="51"/>
        <v/>
      </c>
      <c r="BA184" s="35" t="str">
        <f t="shared" si="52"/>
        <v>Check Quantity</v>
      </c>
      <c r="BB184" s="35" t="str">
        <f t="shared" si="53"/>
        <v/>
      </c>
      <c r="BC184" s="35"/>
      <c r="BE184" s="35" t="e">
        <f>INDEX(SF_Output!$AA$2:$AA$400,MATCH($B184,SF_Output!$M$2:$M$400,0))</f>
        <v>#N/A</v>
      </c>
      <c r="BF184" s="35" t="e">
        <f>INDEX(SF_Output!$AB$2:$AB$400,MATCH($B184,SF_Output!$M$2:$M$400,0))</f>
        <v>#N/A</v>
      </c>
    </row>
    <row r="185" spans="2:58" x14ac:dyDescent="0.25">
      <c r="B185" t="s">
        <v>2649</v>
      </c>
      <c r="C185" t="s">
        <v>2122</v>
      </c>
      <c r="F185" s="116" t="str">
        <f t="shared" si="36"/>
        <v>Included</v>
      </c>
      <c r="G185" t="s">
        <v>2650</v>
      </c>
      <c r="H185">
        <v>1</v>
      </c>
      <c r="I185" s="125" t="str">
        <f>IFERROR(IF(AND(H185&gt;1,H185&lt;&gt;""),ROUND(SUMIFS(SF_Output!$S$1:$S$400,SF_Output!$AC$1:$AC$400,_xlfn.TEXTJOIN(",",TRUE,B185:E185),SF_Output!$Q$1:$Q$400,"monthly")*(1-W185)/H185,4),""),"")</f>
        <v/>
      </c>
      <c r="J185" s="6">
        <f>IF(B185="","",SUMIFS(SF_Output!$S$1:$S$400,SF_Output!$AC$1:$AC$400,_xlfn.TEXTJOIN(",",TRUE,B185:E185),SF_Output!$Q$1:$Q$400,"One Time",SF_Output!$L$1:$L$400,"license fee")+SUMIFS(SF_Output!$S$1:$S$400,SF_Output!$AC$1:$AC$400,_xlfn.TEXTJOIN(",",TRUE,B185:E185),SF_Output!$Q$1:$Q$400,"One Time",SF_Output!$L$1:$L$400,"software license")+SUMIFS(SF_Output!$S$1:$S$400,SF_Output!$AC$1:$AC$400,_xlfn.TEXTJOIN(",",TRUE,B185:E185),SF_Output!$Q$1:$Q$400,"One Time",SF_Output!$L$1:$L$400,"hardware"))</f>
        <v>0</v>
      </c>
      <c r="K185" s="112" t="str">
        <f>IF(OR(B185=0,B185="",G185="hardware",J185=0),"",IF(AF185&lt;&gt;"exclusion",MAX(K$9,-((SUMIFS(SF_Output!$T$1:$T$400,SF_Output!$AC$1:$AC$400,_xlfn.TEXTJOIN(",",TRUE,$B185:$E185),SF_Output!$Q$1:$Q$400,"One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license"))/J185)))</f>
        <v/>
      </c>
      <c r="L185" s="6">
        <f t="shared" si="37"/>
        <v>0</v>
      </c>
      <c r="N185" s="6">
        <v>30000</v>
      </c>
      <c r="O185" s="112">
        <f>IF(OR(B185=0,B185="",N185=0),"",IF(AF185&lt;&gt;"exclusion",MAX(O$9,-(SUMIFS(SF_Output!$T$1:$T$400,SF_Output!$AC$1:$AC$400,_xlfn.TEXTJOIN(",",TRUE,$B185:$E185),SF_Output!$Q$1:$Q$400,"One Time",SF_Output!$L$1:$L$400,"professional service"))/N185),-((SUMIFS(SF_Output!$T$1:$T$400,SF_Output!$AC$1:$AC$400,_xlfn.TEXTJOIN(",",TRUE,$B185:$E185),SF_Output!$Q$1:$Q$400,"One Time",SF_Output!$L$1:$L$400,"professional service")/N185))))</f>
        <v>0</v>
      </c>
      <c r="P185" s="6">
        <f t="shared" si="38"/>
        <v>30000</v>
      </c>
      <c r="R185" s="6">
        <f>IF(B185="","",SUMIFS(SF_Output!$S$1:$S$400,SF_Output!$AC$1:$AC$400,_xlfn.TEXTJOIN(",",TRUE,B185:E185),SF_Output!$Q$1:$Q$400,"yearly")+SUMIFS(SF_Output!$S$1:$S$400,SF_Output!$AC$1:$AC$400,_xlfn.TEXTJOIN(",",TRUE,B185:E185),SF_Output!$Q$1:$Q$400,"quarterly")*4)</f>
        <v>0</v>
      </c>
      <c r="S185" s="112" t="str">
        <f>IF(OR(B185=0,B185="",G185="hardware",R185=0),"",IF(AF185&lt;&gt;"exclusion",MAX(S$9,-(SUMIFS(SF_Output!$T$1:$T$400,SF_Output!$AC$1:$AC$400,_xlfn.TEXTJOIN(",",TRUE,$B185:$E185),SF_Output!$Q$1:$Q$400,"yearly"))/R185),-((SUMIFS(SF_Output!$T$1:$T$400,SF_Output!$AC$1:$AC$400,_xlfn.TEXTJOIN(",",TRUE,$B185:$E185),SF_Output!$Q$1:$Q$400,"yearly")/R185))))</f>
        <v/>
      </c>
      <c r="T185" s="6">
        <f t="shared" si="39"/>
        <v>0</v>
      </c>
      <c r="V185" s="6" cm="1">
        <f t="array" ref="V185">_xlfn.IFS(B185="","",AND(B185&lt;&gt;"",H185=SF_Output!$Y$2,SUMIFS(SF_Output!$T$1:$T$400,SF_Output!$AC$1:$AC$400,_xlfn.TEXTJOIN(",",TRUE,B185:E185),SF_Output!$Q$1:$Q$400,"monthly")=0),(SUMIFS(SF_Output!$F$1:$F$400,SF_Output!$AC$1:$AC$400,_xlfn.TEXTJOIN(",",TRUE,B185:E185),SF_Output!$Q$1:$Q$400,"monthly")+SUMIFS(SF_Output!$G$1:$G$400,SF_Output!$AC$1:$AC$400,_xlfn.TEXTJOIN(",",TRUE,B185:E185),SF_Output!$Q$1:$Q$400,"monthly"))*H185,AND(B185&lt;&gt;"",H185=SF_Output!$Y$2,SUMIFS(SF_Output!$T$1:$T$400,SF_Output!$AC$1:$AC$400,_xlfn.TEXTJOIN(",",TRUE,B185:E185),SF_Output!$Q$1:$Q$400,"monthly")&lt;&gt;0),SUMIFS(SF_Output!$S$1:$S$400,SF_Output!$AC$1:$AC$400,_xlfn.TEXTJOIN(",",TRUE,B185:E185),SF_Output!$Q$1:$Q$400,"monthly"),AND(B185&lt;&gt;"",H185&lt;&gt;SF_Output!$Y$2),SUMIFS(SF_Output!$S$1:$S$400,SF_Output!$AC$1:$AC$400,_xlfn.TEXTJOIN(",",TRUE,B185:E185),SF_Output!$Q$1:$Q$400,"monthly"))</f>
        <v>0</v>
      </c>
      <c r="W185" s="112" t="str" cm="1">
        <f t="array" ref="W185">_xlfn.IFS(OR(B185=0,B185="",V185=0),"",AF185&lt;&gt;"exclusion",MAX($W$9,$W$7,(-(SUMIFS(SF_Output!$T$1:$T$400,SF_Output!$AC$1:$AC$400,_xlfn.TEXTJOIN(",",TRUE,$B185:$E185),SF_Output!$Q$1:$Q$400,"monthly"))/V185)),AF185="exclusion",-(SUMIFS(SF_Output!$T$1:$T$400,SF_Output!$AC$1:$AC$400,_xlfn.TEXTJOIN(",",TRUE,$B185:$E185),SF_Output!$Q$1:$Q$400,"monthly"))/V185)</f>
        <v/>
      </c>
      <c r="X185" s="6" cm="1">
        <f t="array" ref="X185">IFERROR(_xlfn.IFS(V185=0,0,V185="","",W185=0,V185,OR(V185&lt;&gt;0,V185&lt;&gt;""),H185*I185),V185*(1-W185))</f>
        <v>0</v>
      </c>
      <c r="Z185" s="6">
        <f>IFERROR(IF(B185="","",SUMIFS(Billing_Fallout!H:H,Billing_Fallout!N:N,B185)),0)</f>
        <v>0</v>
      </c>
      <c r="AA185" s="6">
        <f t="shared" si="40"/>
        <v>0</v>
      </c>
      <c r="AB185" s="6">
        <f>IFERROR(IF(B185="","",SUMIFS(Billing_Fallout!J:J,Billing_Fallout!N:N,B185)),0)</f>
        <v>0</v>
      </c>
      <c r="AD185" s="6">
        <f t="shared" si="41"/>
        <v>0</v>
      </c>
      <c r="AF185" t="str">
        <f>IFERROR(INDEX(H_Tables!$B$1:$B$1500,MATCH(INDEX(SF_Output!$J$1:$J$400,MATCH(B185,SF_Output!$M$1:$M$400,0)),H_Tables!$A$1:$A$1500,0)),"")</f>
        <v/>
      </c>
      <c r="AI185" s="119" t="str">
        <f t="shared" si="42"/>
        <v>Check Install Price Override, Check Quantity</v>
      </c>
      <c r="AJ185" s="121">
        <f>IFERROR(INDEX(SF_Output!AD:AD,MATCH(_xlfn.TEXTJOIN(",",TRUE,B185:E185),SF_Output!AC1:AC400,0)),0.05)</f>
        <v>0.05</v>
      </c>
      <c r="AK185" t="str">
        <f>IF(SUMIFS(SF_Output!$F$1:$F$400,SF_Output!$AC$1:$AC$400,_xlfn.TEXTJOIN(",",TRUE,B185:E185))+SUMIFS(SF_Output!$G$1:$G$400,SF_Output!$AC$1:$AC$400,_xlfn.TEXTJOIN(",",TRUE,B185:E185))=0,"","PAP")</f>
        <v/>
      </c>
      <c r="AL185" s="35" t="str">
        <f t="shared" si="43"/>
        <v>PrePaid Consulting,New</v>
      </c>
      <c r="AQ185" s="35"/>
      <c r="AR185" s="35" t="str" cm="1">
        <f t="array" ref="AR185">IFERROR(_xlfn.IFS(AND(E185*1=1,F185="Included"),"Change to Included",AND(E185*1=0,F185="Optional"),"Change to Optional",OR(B185="",F185="replaced"),""),"")</f>
        <v/>
      </c>
      <c r="AS185" s="35" t="str">
        <f t="shared" si="44"/>
        <v/>
      </c>
      <c r="AT185" s="35" t="str">
        <f t="shared" si="45"/>
        <v/>
      </c>
      <c r="AU185" s="35" t="str">
        <f t="shared" si="46"/>
        <v>Check Install Price Override</v>
      </c>
      <c r="AV185" s="35" t="str">
        <f t="shared" si="47"/>
        <v/>
      </c>
      <c r="AW185" s="35" t="str">
        <f t="shared" si="48"/>
        <v/>
      </c>
      <c r="AX185" s="35" t="str">
        <f t="shared" si="49"/>
        <v/>
      </c>
      <c r="AY185" s="35" t="str">
        <f t="shared" si="50"/>
        <v/>
      </c>
      <c r="AZ185" s="35" t="str">
        <f t="shared" si="51"/>
        <v/>
      </c>
      <c r="BA185" s="35" t="str">
        <f t="shared" si="52"/>
        <v>Check Quantity</v>
      </c>
      <c r="BB185" s="35" t="str">
        <f t="shared" si="53"/>
        <v/>
      </c>
      <c r="BC185" s="35"/>
      <c r="BE185" s="35" t="e">
        <f>INDEX(SF_Output!$AA$2:$AA$400,MATCH($B185,SF_Output!$M$2:$M$400,0))</f>
        <v>#N/A</v>
      </c>
      <c r="BF185" s="35" t="e">
        <f>INDEX(SF_Output!$AB$2:$AB$400,MATCH($B185,SF_Output!$M$2:$M$400,0))</f>
        <v>#N/A</v>
      </c>
    </row>
    <row r="186" spans="2:58" x14ac:dyDescent="0.25">
      <c r="F186" s="116" t="str">
        <f t="shared" si="36"/>
        <v/>
      </c>
      <c r="G186" t="str">
        <f>IF(B186="","",INDEX(SF_Output!$K$1:$K$400,MATCH(B186,SF_Output!$M$1:$M$400,0)))</f>
        <v/>
      </c>
      <c r="H186" t="str" cm="1">
        <f t="array" ref="H186">_xlfn.IFS(B186="","",(SUMIFS(SF_Output!$F$1:$F$400,SF_Output!$AC$1:$AC$400,_xlfn.TEXTJOIN(",",TRUE,B186:E186))+SUMIFS(SF_Output!$G$1:$G$400,SF_Output!$AC$1:$AC$400,_xlfn.TEXTJOIN(",",TRUE,B186:E186)))&lt;&gt;0,SF_Output!$Y$2,INDEX(SF_Output!$F$1:$F$400,MATCH(_xlfn.TEXTJOIN(",",TRUE,B186:E186),SF_Output!$AC$1:$AC$400,0))=0,INDEX(SF_Output!$R$1:$R$400,MATCH(_xlfn.TEXTJOIN(",",TRUE,B186:E186),SF_Output!$AC$1:$AC$400,0)))</f>
        <v/>
      </c>
      <c r="I186" s="125" t="str">
        <f>IFERROR(IF(AND(H186&gt;1,H186&lt;&gt;""),ROUND(SUMIFS(SF_Output!$S$1:$S$400,SF_Output!$AC$1:$AC$400,_xlfn.TEXTJOIN(",",TRUE,B186:E186),SF_Output!$Q$1:$Q$400,"monthly")*(1-W186)/H186,4),""),"")</f>
        <v/>
      </c>
      <c r="J186" s="6" t="str">
        <f>IF(B186="","",SUMIFS(SF_Output!$S$1:$S$400,SF_Output!$AC$1:$AC$400,_xlfn.TEXTJOIN(",",TRUE,B186:E186),SF_Output!$Q$1:$Q$400,"One Time",SF_Output!$L$1:$L$400,"license fee")+SUMIFS(SF_Output!$S$1:$S$400,SF_Output!$AC$1:$AC$400,_xlfn.TEXTJOIN(",",TRUE,B186:E186),SF_Output!$Q$1:$Q$400,"One Time",SF_Output!$L$1:$L$400,"software license")+SUMIFS(SF_Output!$S$1:$S$400,SF_Output!$AC$1:$AC$400,_xlfn.TEXTJOIN(",",TRUE,B186:E186),SF_Output!$Q$1:$Q$400,"One Time",SF_Output!$L$1:$L$400,"hardware"))</f>
        <v/>
      </c>
      <c r="K186" s="112" t="str">
        <f>IF(OR(B186=0,B186="",G186="hardware",J186=0),"",IF(AF186&lt;&gt;"exclusion",MAX(K$9,-((SUMIFS(SF_Output!$T$1:$T$400,SF_Output!$AC$1:$AC$400,_xlfn.TEXTJOIN(",",TRUE,$B186:$E186),SF_Output!$Q$1:$Q$400,"One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license"))/J186)))</f>
        <v/>
      </c>
      <c r="L186" s="6" t="str">
        <f t="shared" si="37"/>
        <v/>
      </c>
      <c r="N186" s="6" t="str">
        <f>IF(B186="","",SUMIFS(SF_Output!$S$1:$S$400,SF_Output!$AC$1:$AC$400,_xlfn.TEXTJOIN(",",TRUE,B186:E186),SF_Output!$Q$1:$Q$400,"One Time",SF_Output!$L$1:$L$400,"professional service"))</f>
        <v/>
      </c>
      <c r="O186" s="112" t="str">
        <f>IF(OR(B186=0,B186="",N186=0),"",IF(AF186&lt;&gt;"exclusion",MAX(O$9,-(SUMIFS(SF_Output!$T$1:$T$400,SF_Output!$AC$1:$AC$400,_xlfn.TEXTJOIN(",",TRUE,$B186:$E186),SF_Output!$Q$1:$Q$400,"One Time",SF_Output!$L$1:$L$400,"professional service"))/N186),-((SUMIFS(SF_Output!$T$1:$T$400,SF_Output!$AC$1:$AC$400,_xlfn.TEXTJOIN(",",TRUE,$B186:$E186),SF_Output!$Q$1:$Q$400,"One Time",SF_Output!$L$1:$L$400,"professional service")/N186))))</f>
        <v/>
      </c>
      <c r="P186" s="6" t="str">
        <f t="shared" si="38"/>
        <v/>
      </c>
      <c r="R186" s="6" t="str">
        <f>IF(B186="","",SUMIFS(SF_Output!$S$1:$S$400,SF_Output!$AC$1:$AC$400,_xlfn.TEXTJOIN(",",TRUE,B186:E186),SF_Output!$Q$1:$Q$400,"yearly")+SUMIFS(SF_Output!$S$1:$S$400,SF_Output!$AC$1:$AC$400,_xlfn.TEXTJOIN(",",TRUE,B186:E186),SF_Output!$Q$1:$Q$400,"quarterly")*4)</f>
        <v/>
      </c>
      <c r="S186" s="112" t="str">
        <f>IF(OR(B186=0,B186="",G186="hardware",R186=0),"",IF(AF186&lt;&gt;"exclusion",MAX(S$9,-(SUMIFS(SF_Output!$T$1:$T$400,SF_Output!$AC$1:$AC$400,_xlfn.TEXTJOIN(",",TRUE,$B186:$E186),SF_Output!$Q$1:$Q$400,"yearly"))/R186),-((SUMIFS(SF_Output!$T$1:$T$400,SF_Output!$AC$1:$AC$400,_xlfn.TEXTJOIN(",",TRUE,$B186:$E186),SF_Output!$Q$1:$Q$400,"yearly")/R186))))</f>
        <v/>
      </c>
      <c r="T186" s="6" t="str">
        <f t="shared" si="39"/>
        <v/>
      </c>
      <c r="V186" s="6" t="str" cm="1">
        <f t="array" ref="V186">_xlfn.IFS(B186="","",AND(B186&lt;&gt;"",H186=SF_Output!$Y$2,SUMIFS(SF_Output!$T$1:$T$400,SF_Output!$AC$1:$AC$400,_xlfn.TEXTJOIN(",",TRUE,B186:E186),SF_Output!$Q$1:$Q$400,"monthly")=0),(SUMIFS(SF_Output!$F$1:$F$400,SF_Output!$AC$1:$AC$400,_xlfn.TEXTJOIN(",",TRUE,B186:E186),SF_Output!$Q$1:$Q$400,"monthly")+SUMIFS(SF_Output!$G$1:$G$400,SF_Output!$AC$1:$AC$400,_xlfn.TEXTJOIN(",",TRUE,B186:E186),SF_Output!$Q$1:$Q$400,"monthly"))*H186,AND(B186&lt;&gt;"",H186=SF_Output!$Y$2,SUMIFS(SF_Output!$T$1:$T$400,SF_Output!$AC$1:$AC$400,_xlfn.TEXTJOIN(",",TRUE,B186:E186),SF_Output!$Q$1:$Q$400,"monthly")&lt;&gt;0),SUMIFS(SF_Output!$S$1:$S$400,SF_Output!$AC$1:$AC$400,_xlfn.TEXTJOIN(",",TRUE,B186:E186),SF_Output!$Q$1:$Q$400,"monthly"),AND(B186&lt;&gt;"",H186&lt;&gt;SF_Output!$Y$2),SUMIFS(SF_Output!$S$1:$S$400,SF_Output!$AC$1:$AC$400,_xlfn.TEXTJOIN(",",TRUE,B186:E186),SF_Output!$Q$1:$Q$400,"monthly"))</f>
        <v/>
      </c>
      <c r="W186" s="112" t="str" cm="1">
        <f t="array" ref="W186">_xlfn.IFS(OR(B186=0,B186="",V186=0),"",AF186&lt;&gt;"exclusion",MAX($W$9,$W$7,(-(SUMIFS(SF_Output!$T$1:$T$400,SF_Output!$AC$1:$AC$400,_xlfn.TEXTJOIN(",",TRUE,$B186:$E186),SF_Output!$Q$1:$Q$400,"monthly"))/V186)),AF186="exclusion",-(SUMIFS(SF_Output!$T$1:$T$400,SF_Output!$AC$1:$AC$400,_xlfn.TEXTJOIN(",",TRUE,$B186:$E186),SF_Output!$Q$1:$Q$400,"monthly"))/V186)</f>
        <v/>
      </c>
      <c r="X186" s="6" t="str" cm="1">
        <f t="array" ref="X186">IFERROR(_xlfn.IFS(V186=0,0,V186="","",W186=0,V186,OR(V186&lt;&gt;0,V186&lt;&gt;""),H186*I186),V186*(1-W186))</f>
        <v/>
      </c>
      <c r="Z186" s="6" t="str">
        <f>IFERROR(IF(B186="","",SUMIFS(Billing_Fallout!H:H,Billing_Fallout!N:N,B186)),0)</f>
        <v/>
      </c>
      <c r="AA186" s="6" t="str">
        <f t="shared" si="40"/>
        <v/>
      </c>
      <c r="AB186" s="6" t="str">
        <f>IFERROR(IF(B186="","",SUMIFS(Billing_Fallout!J:J,Billing_Fallout!N:N,B186)),0)</f>
        <v/>
      </c>
      <c r="AD186" s="6" t="str">
        <f t="shared" si="41"/>
        <v/>
      </c>
      <c r="AF186" t="str">
        <f>IFERROR(INDEX(H_Tables!$B$1:$B$1500,MATCH(INDEX(SF_Output!$J$1:$J$400,MATCH(B186,SF_Output!$M$1:$M$400,0)),H_Tables!$A$1:$A$1500,0)),"")</f>
        <v/>
      </c>
      <c r="AI186" s="119" t="str">
        <f t="shared" si="42"/>
        <v/>
      </c>
      <c r="AJ186" s="121">
        <f>IFERROR(INDEX(SF_Output!AD:AD,MATCH(_xlfn.TEXTJOIN(",",TRUE,B186:E186),SF_Output!AC1:AC400,0)),0.05)</f>
        <v>241</v>
      </c>
      <c r="AK186" t="str">
        <f>IF(SUMIFS(SF_Output!$F$1:$F$400,SF_Output!$AC$1:$AC$400,_xlfn.TEXTJOIN(",",TRUE,B186:E186))+SUMIFS(SF_Output!$G$1:$G$400,SF_Output!$AC$1:$AC$400,_xlfn.TEXTJOIN(",",TRUE,B186:E186))=0,"","PAP")</f>
        <v/>
      </c>
      <c r="AL186" s="35" t="str">
        <f t="shared" si="43"/>
        <v/>
      </c>
      <c r="AQ186" s="35"/>
      <c r="AR186" s="35" t="str" cm="1">
        <f t="array" ref="AR186">IFERROR(_xlfn.IFS(AND(E186*1=1,F186="Included"),"Change to Included",AND(E186*1=0,F186="Optional"),"Change to Optional",OR(B186="",F186="replaced"),""),"")</f>
        <v/>
      </c>
      <c r="AS186" s="35" t="str">
        <f t="shared" si="44"/>
        <v/>
      </c>
      <c r="AT186" s="35" t="str">
        <f t="shared" si="45"/>
        <v/>
      </c>
      <c r="AU186" s="35" t="str">
        <f t="shared" si="46"/>
        <v/>
      </c>
      <c r="AV186" s="35" t="str">
        <f t="shared" si="47"/>
        <v/>
      </c>
      <c r="AW186" s="35" t="str">
        <f t="shared" si="48"/>
        <v/>
      </c>
      <c r="AX186" s="35" t="str">
        <f t="shared" si="49"/>
        <v/>
      </c>
      <c r="AY186" s="35" t="str">
        <f t="shared" si="50"/>
        <v/>
      </c>
      <c r="AZ186" s="35" t="str">
        <f t="shared" si="51"/>
        <v/>
      </c>
      <c r="BA186" s="35" t="str">
        <f t="shared" si="52"/>
        <v/>
      </c>
      <c r="BB186" s="35" t="str">
        <f t="shared" si="53"/>
        <v/>
      </c>
      <c r="BC186" s="35"/>
      <c r="BE186" s="35" t="e">
        <f>INDEX(SF_Output!$AA$2:$AA$400,MATCH($B186,SF_Output!$M$2:$M$400,0))</f>
        <v>#N/A</v>
      </c>
      <c r="BF186" s="35" t="e">
        <f>INDEX(SF_Output!$AB$2:$AB$400,MATCH($B186,SF_Output!$M$2:$M$400,0))</f>
        <v>#N/A</v>
      </c>
    </row>
    <row r="187" spans="2:58" x14ac:dyDescent="0.25">
      <c r="B187" t="s">
        <v>2651</v>
      </c>
      <c r="C187" t="s">
        <v>2122</v>
      </c>
      <c r="F187" s="116" t="str">
        <f t="shared" si="36"/>
        <v>Included</v>
      </c>
      <c r="G187" t="s">
        <v>517</v>
      </c>
      <c r="H187">
        <v>1</v>
      </c>
      <c r="I187" s="125" t="str">
        <f>IFERROR(IF(AND(H187&gt;1,H187&lt;&gt;""),ROUND(SUMIFS(SF_Output!$S$1:$S$400,SF_Output!$AC$1:$AC$400,_xlfn.TEXTJOIN(",",TRUE,B187:E187),SF_Output!$Q$1:$Q$400,"monthly")*(1-W187)/H187,4),""),"")</f>
        <v/>
      </c>
      <c r="J187" s="6">
        <f>IF(B187="","",SUMIFS(SF_Output!$S$1:$S$400,SF_Output!$AC$1:$AC$400,_xlfn.TEXTJOIN(",",TRUE,B187:E187),SF_Output!$Q$1:$Q$400,"One Time",SF_Output!$L$1:$L$400,"license fee")+SUMIFS(SF_Output!$S$1:$S$400,SF_Output!$AC$1:$AC$400,_xlfn.TEXTJOIN(",",TRUE,B187:E187),SF_Output!$Q$1:$Q$400,"One Time",SF_Output!$L$1:$L$400,"software license")+SUMIFS(SF_Output!$S$1:$S$400,SF_Output!$AC$1:$AC$400,_xlfn.TEXTJOIN(",",TRUE,B187:E187),SF_Output!$Q$1:$Q$400,"One Time",SF_Output!$L$1:$L$400,"hardware"))</f>
        <v>0</v>
      </c>
      <c r="K187" s="112" t="str">
        <f>IF(OR(B187=0,B187="",G187="hardware",J187=0),"",IF(AF187&lt;&gt;"exclusion",MAX(K$9,-((SUMIFS(SF_Output!$T$1:$T$400,SF_Output!$AC$1:$AC$400,_xlfn.TEXTJOIN(",",TRUE,$B187:$E187),SF_Output!$Q$1:$Q$400,"One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license"))/J187)))</f>
        <v/>
      </c>
      <c r="L187" s="6">
        <f t="shared" si="37"/>
        <v>0</v>
      </c>
      <c r="N187" s="6">
        <v>10500</v>
      </c>
      <c r="O187" s="112">
        <f>IF(OR(B187=0,B187="",N187=0),"",IF(AF187&lt;&gt;"exclusion",MAX(O$9,-(SUMIFS(SF_Output!$T$1:$T$400,SF_Output!$AC$1:$AC$400,_xlfn.TEXTJOIN(",",TRUE,$B187:$E187),SF_Output!$Q$1:$Q$400,"One Time",SF_Output!$L$1:$L$400,"professional service"))/N187),-((SUMIFS(SF_Output!$T$1:$T$400,SF_Output!$AC$1:$AC$400,_xlfn.TEXTJOIN(",",TRUE,$B187:$E187),SF_Output!$Q$1:$Q$400,"One Time",SF_Output!$L$1:$L$400,"professional service")/N187))))</f>
        <v>0</v>
      </c>
      <c r="P187" s="6">
        <f t="shared" si="38"/>
        <v>10500</v>
      </c>
      <c r="R187" s="6">
        <f>IF(B187="","",SUMIFS(SF_Output!$S$1:$S$400,SF_Output!$AC$1:$AC$400,_xlfn.TEXTJOIN(",",TRUE,B187:E187),SF_Output!$Q$1:$Q$400,"yearly")+SUMIFS(SF_Output!$S$1:$S$400,SF_Output!$AC$1:$AC$400,_xlfn.TEXTJOIN(",",TRUE,B187:E187),SF_Output!$Q$1:$Q$400,"quarterly")*4)</f>
        <v>0</v>
      </c>
      <c r="S187" s="112" t="str">
        <f>IF(OR(B187=0,B187="",G187="hardware",R187=0),"",IF(AF187&lt;&gt;"exclusion",MAX(S$9,-(SUMIFS(SF_Output!$T$1:$T$400,SF_Output!$AC$1:$AC$400,_xlfn.TEXTJOIN(",",TRUE,$B187:$E187),SF_Output!$Q$1:$Q$400,"yearly"))/R187),-((SUMIFS(SF_Output!$T$1:$T$400,SF_Output!$AC$1:$AC$400,_xlfn.TEXTJOIN(",",TRUE,$B187:$E187),SF_Output!$Q$1:$Q$400,"yearly")/R187))))</f>
        <v/>
      </c>
      <c r="T187" s="6">
        <f t="shared" si="39"/>
        <v>0</v>
      </c>
      <c r="V187" s="6">
        <v>114</v>
      </c>
      <c r="W187" s="112" cm="1">
        <f t="array" ref="W187">_xlfn.IFS(OR(B187=0,B187="",V187=0),"",AF187&lt;&gt;"exclusion",MAX($W$9,$W$7,(-(SUMIFS(SF_Output!$T$1:$T$400,SF_Output!$AC$1:$AC$400,_xlfn.TEXTJOIN(",",TRUE,$B187:$E187),SF_Output!$Q$1:$Q$400,"monthly"))/V187)),AF187="exclusion",-(SUMIFS(SF_Output!$T$1:$T$400,SF_Output!$AC$1:$AC$400,_xlfn.TEXTJOIN(",",TRUE,$B187:$E187),SF_Output!$Q$1:$Q$400,"monthly"))/V187)</f>
        <v>0</v>
      </c>
      <c r="X187" s="6" cm="1">
        <f t="array" ref="X187">IFERROR(_xlfn.IFS(V187=0,0,V187="","",W187=0,V187,OR(V187&lt;&gt;0,V187&lt;&gt;""),H187*I187),V187*(1-W187))</f>
        <v>114</v>
      </c>
      <c r="Z187" s="6">
        <f>IFERROR(IF(B187="","",SUMIFS(Billing_Fallout!H:H,Billing_Fallout!N:N,B187)),0)</f>
        <v>0</v>
      </c>
      <c r="AA187" s="6">
        <f t="shared" si="40"/>
        <v>0</v>
      </c>
      <c r="AB187" s="6">
        <f>IFERROR(IF(B187="","",SUMIFS(Billing_Fallout!J:J,Billing_Fallout!N:N,B187)),0)</f>
        <v>0</v>
      </c>
      <c r="AD187" s="6">
        <f t="shared" si="41"/>
        <v>114</v>
      </c>
      <c r="AF187" t="str">
        <f>IFERROR(INDEX(H_Tables!$B$1:$B$1500,MATCH(INDEX(SF_Output!$J$1:$J$400,MATCH(B187,SF_Output!$M$1:$M$400,0)),H_Tables!$A$1:$A$1500,0)),"")</f>
        <v/>
      </c>
      <c r="AI187" s="119" t="str">
        <f t="shared" si="42"/>
        <v>Check Install Price Override, Check Monthly Price Override, Check Quantity</v>
      </c>
      <c r="AJ187" s="121">
        <f>IFERROR(INDEX(SF_Output!AD:AD,MATCH(_xlfn.TEXTJOIN(",",TRUE,B187:E187),SF_Output!AC1:AC400,0)),0.05)</f>
        <v>0.05</v>
      </c>
      <c r="AK187" t="str">
        <f>IF(SUMIFS(SF_Output!$F$1:$F$400,SF_Output!$AC$1:$AC$400,_xlfn.TEXTJOIN(",",TRUE,B187:E187))+SUMIFS(SF_Output!$G$1:$G$400,SF_Output!$AC$1:$AC$400,_xlfn.TEXTJOIN(",",TRUE,B187:E187))=0,"","PAP")</f>
        <v/>
      </c>
      <c r="AL187" s="35" t="str">
        <f t="shared" si="43"/>
        <v>PNV,New</v>
      </c>
      <c r="AQ187" s="35"/>
      <c r="AR187" s="35" t="str" cm="1">
        <f t="array" ref="AR187">IFERROR(_xlfn.IFS(AND(E187*1=1,F187="Included"),"Change to Included",AND(E187*1=0,F187="Optional"),"Change to Optional",OR(B187="",F187="replaced"),""),"")</f>
        <v/>
      </c>
      <c r="AS187" s="35" t="str">
        <f t="shared" si="44"/>
        <v/>
      </c>
      <c r="AT187" s="35" t="str">
        <f t="shared" si="45"/>
        <v/>
      </c>
      <c r="AU187" s="35" t="str">
        <f t="shared" si="46"/>
        <v>Check Install Price Override</v>
      </c>
      <c r="AV187" s="35" t="str">
        <f t="shared" si="47"/>
        <v/>
      </c>
      <c r="AW187" s="35" t="str">
        <f t="shared" si="48"/>
        <v/>
      </c>
      <c r="AX187" s="35" t="str">
        <f t="shared" si="49"/>
        <v/>
      </c>
      <c r="AY187" s="35" t="str">
        <f t="shared" si="50"/>
        <v>Check Monthly Price Override</v>
      </c>
      <c r="AZ187" s="35" t="str">
        <f t="shared" si="51"/>
        <v/>
      </c>
      <c r="BA187" s="35" t="str">
        <f t="shared" si="52"/>
        <v>Check Quantity</v>
      </c>
      <c r="BB187" s="35" t="str">
        <f t="shared" si="53"/>
        <v/>
      </c>
      <c r="BC187" s="35"/>
      <c r="BE187" s="35" t="e">
        <f>INDEX(SF_Output!$AA$2:$AA$400,MATCH($B187,SF_Output!$M$2:$M$400,0))</f>
        <v>#N/A</v>
      </c>
      <c r="BF187" s="35" t="e">
        <f>INDEX(SF_Output!$AB$2:$AB$400,MATCH($B187,SF_Output!$M$2:$M$400,0))</f>
        <v>#N/A</v>
      </c>
    </row>
    <row r="188" spans="2:58" x14ac:dyDescent="0.25">
      <c r="B188" t="s">
        <v>1456</v>
      </c>
      <c r="C188" t="s">
        <v>2122</v>
      </c>
      <c r="F188" s="116" t="str">
        <f t="shared" si="36"/>
        <v>Included</v>
      </c>
      <c r="G188" t="s">
        <v>535</v>
      </c>
      <c r="H188">
        <v>1</v>
      </c>
      <c r="I188" s="125" t="str">
        <f>IFERROR(IF(AND(H188&gt;1,H188&lt;&gt;""),ROUND(SUMIFS(SF_Output!$S$1:$S$400,SF_Output!$AC$1:$AC$400,_xlfn.TEXTJOIN(",",TRUE,B188:E188),SF_Output!$Q$1:$Q$400,"monthly")*(1-W188)/H188,4),""),"")</f>
        <v/>
      </c>
      <c r="J188" s="6">
        <f>IF(B188="","",SUMIFS(SF_Output!$S$1:$S$400,SF_Output!$AC$1:$AC$400,_xlfn.TEXTJOIN(",",TRUE,B188:E188),SF_Output!$Q$1:$Q$400,"One Time",SF_Output!$L$1:$L$400,"license fee")+SUMIFS(SF_Output!$S$1:$S$400,SF_Output!$AC$1:$AC$400,_xlfn.TEXTJOIN(",",TRUE,B188:E188),SF_Output!$Q$1:$Q$400,"One Time",SF_Output!$L$1:$L$400,"software license")+SUMIFS(SF_Output!$S$1:$S$400,SF_Output!$AC$1:$AC$400,_xlfn.TEXTJOIN(",",TRUE,B188:E188),SF_Output!$Q$1:$Q$400,"One Time",SF_Output!$L$1:$L$400,"hardware"))</f>
        <v>0</v>
      </c>
      <c r="K188" s="112" t="str">
        <f>IF(OR(B188=0,B188="",G188="hardware",J188=0),"",IF(AF188&lt;&gt;"exclusion",MAX(K$9,-((SUMIFS(SF_Output!$T$1:$T$400,SF_Output!$AC$1:$AC$400,_xlfn.TEXTJOIN(",",TRUE,$B188:$E188),SF_Output!$Q$1:$Q$400,"One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license"))/J188)))</f>
        <v/>
      </c>
      <c r="L188" s="6">
        <f t="shared" si="37"/>
        <v>0</v>
      </c>
      <c r="N188" s="6">
        <v>4250</v>
      </c>
      <c r="O188" s="112">
        <v>1</v>
      </c>
      <c r="P188" s="6">
        <f t="shared" si="38"/>
        <v>0</v>
      </c>
      <c r="R188" s="6">
        <f>IF(B188="","",SUMIFS(SF_Output!$S$1:$S$400,SF_Output!$AC$1:$AC$400,_xlfn.TEXTJOIN(",",TRUE,B188:E188),SF_Output!$Q$1:$Q$400,"yearly")+SUMIFS(SF_Output!$S$1:$S$400,SF_Output!$AC$1:$AC$400,_xlfn.TEXTJOIN(",",TRUE,B188:E188),SF_Output!$Q$1:$Q$400,"quarterly")*4)</f>
        <v>0</v>
      </c>
      <c r="S188" s="112" t="str">
        <f>IF(OR(B188=0,B188="",G188="hardware",R188=0),"",IF(AF188&lt;&gt;"exclusion",MAX(S$9,-(SUMIFS(SF_Output!$T$1:$T$400,SF_Output!$AC$1:$AC$400,_xlfn.TEXTJOIN(",",TRUE,$B188:$E188),SF_Output!$Q$1:$Q$400,"yearly"))/R188),-((SUMIFS(SF_Output!$T$1:$T$400,SF_Output!$AC$1:$AC$400,_xlfn.TEXTJOIN(",",TRUE,$B188:$E188),SF_Output!$Q$1:$Q$400,"yearly")/R188))))</f>
        <v/>
      </c>
      <c r="T188" s="6">
        <f t="shared" si="39"/>
        <v>0</v>
      </c>
      <c r="V188" s="6">
        <v>535</v>
      </c>
      <c r="W188" s="112">
        <v>0.25</v>
      </c>
      <c r="X188" s="6" cm="1">
        <f t="array" ref="X188">IFERROR(_xlfn.IFS(V188=0,0,V188="","",W188=0,V188,OR(V188&lt;&gt;0,V188&lt;&gt;""),H188*I188),V188*(1-W188))</f>
        <v>401.25</v>
      </c>
      <c r="Z188" s="6">
        <f>IFERROR(IF(B188="","",SUMIFS(Billing_Fallout!H:H,Billing_Fallout!N:N,B188)),0)</f>
        <v>0</v>
      </c>
      <c r="AA188" s="6">
        <f t="shared" si="40"/>
        <v>0</v>
      </c>
      <c r="AB188" s="6">
        <f>IFERROR(IF(B188="","",SUMIFS(Billing_Fallout!J:J,Billing_Fallout!N:N,B188)),0)</f>
        <v>0</v>
      </c>
      <c r="AD188" s="6">
        <f t="shared" si="41"/>
        <v>401.25</v>
      </c>
      <c r="AF188" t="str">
        <f>IFERROR(INDEX(H_Tables!$B$1:$B$1500,MATCH(INDEX(SF_Output!$J$1:$J$400,MATCH(B188,SF_Output!$M$1:$M$400,0)),H_Tables!$A$1:$A$1500,0)),"")</f>
        <v/>
      </c>
      <c r="AI188" s="119" t="str">
        <f t="shared" si="42"/>
        <v>Check Install Price Override, Install Discount 100%, Check Monthly Price Override, Monthly Discount 25%, Check Quantity</v>
      </c>
      <c r="AJ188" s="121">
        <f>IFERROR(INDEX(SF_Output!AD:AD,MATCH(_xlfn.TEXTJOIN(",",TRUE,B188:E188),SF_Output!AC1:AC400,0)),0.05)</f>
        <v>0.05</v>
      </c>
      <c r="AK188" t="str">
        <f>IF(SUMIFS(SF_Output!$F$1:$F$400,SF_Output!$AC$1:$AC$400,_xlfn.TEXTJOIN(",",TRUE,B188:E188))+SUMIFS(SF_Output!$G$1:$G$400,SF_Output!$AC$1:$AC$400,_xlfn.TEXTJOIN(",",TRUE,B188:E188))=0,"","PAP")</f>
        <v/>
      </c>
      <c r="AL188" s="35" t="str">
        <f t="shared" si="43"/>
        <v>FPS Customer Profitability and Pricing,New</v>
      </c>
      <c r="AQ188" s="35"/>
      <c r="AR188" s="35" t="str" cm="1">
        <f t="array" ref="AR188">IFERROR(_xlfn.IFS(AND(E188*1=1,F188="Included"),"Change to Included",AND(E188*1=0,F188="Optional"),"Change to Optional",OR(B188="",F188="replaced"),""),"")</f>
        <v/>
      </c>
      <c r="AS188" s="35" t="str">
        <f t="shared" si="44"/>
        <v/>
      </c>
      <c r="AT188" s="35" t="str">
        <f t="shared" si="45"/>
        <v/>
      </c>
      <c r="AU188" s="35" t="str">
        <f t="shared" si="46"/>
        <v>Check Install Price Override</v>
      </c>
      <c r="AV188" s="35" t="str">
        <f t="shared" si="47"/>
        <v>Install Discount 100%</v>
      </c>
      <c r="AW188" s="35" t="str">
        <f t="shared" si="48"/>
        <v/>
      </c>
      <c r="AX188" s="35" t="str">
        <f t="shared" si="49"/>
        <v/>
      </c>
      <c r="AY188" s="35" t="str">
        <f t="shared" si="50"/>
        <v>Check Monthly Price Override</v>
      </c>
      <c r="AZ188" s="35" t="str">
        <f t="shared" si="51"/>
        <v>Monthly Discount 25%</v>
      </c>
      <c r="BA188" s="35" t="str">
        <f t="shared" si="52"/>
        <v>Check Quantity</v>
      </c>
      <c r="BB188" s="35" t="str">
        <f t="shared" si="53"/>
        <v/>
      </c>
      <c r="BC188" s="35"/>
      <c r="BE188" s="35" t="e">
        <f>INDEX(SF_Output!$AA$2:$AA$400,MATCH($B188,SF_Output!$M$2:$M$400,0))</f>
        <v>#N/A</v>
      </c>
      <c r="BF188" s="35" t="e">
        <f>INDEX(SF_Output!$AB$2:$AB$400,MATCH($B188,SF_Output!$M$2:$M$400,0))</f>
        <v>#N/A</v>
      </c>
    </row>
    <row r="189" spans="2:58" x14ac:dyDescent="0.25">
      <c r="F189" s="116" t="str">
        <f t="shared" si="36"/>
        <v/>
      </c>
      <c r="G189" t="str">
        <f>IF(B189="","",INDEX(SF_Output!$K$1:$K$400,MATCH(B189,SF_Output!$M$1:$M$400,0)))</f>
        <v/>
      </c>
      <c r="H189" t="str" cm="1">
        <f t="array" ref="H189">_xlfn.IFS(B189="","",(SUMIFS(SF_Output!$F$1:$F$400,SF_Output!$AC$1:$AC$400,_xlfn.TEXTJOIN(",",TRUE,B189:E189))+SUMIFS(SF_Output!$G$1:$G$400,SF_Output!$AC$1:$AC$400,_xlfn.TEXTJOIN(",",TRUE,B189:E189)))&lt;&gt;0,SF_Output!$Y$2,INDEX(SF_Output!$F$1:$F$400,MATCH(_xlfn.TEXTJOIN(",",TRUE,B189:E189),SF_Output!$AC$1:$AC$400,0))=0,INDEX(SF_Output!$R$1:$R$400,MATCH(_xlfn.TEXTJOIN(",",TRUE,B189:E189),SF_Output!$AC$1:$AC$400,0)))</f>
        <v/>
      </c>
      <c r="I189" s="125" t="str">
        <f>IFERROR(IF(AND(H189&gt;1,H189&lt;&gt;""),ROUND(SUMIFS(SF_Output!$S$1:$S$400,SF_Output!$AC$1:$AC$400,_xlfn.TEXTJOIN(",",TRUE,B189:E189),SF_Output!$Q$1:$Q$400,"monthly")*(1-W189)/H189,4),""),"")</f>
        <v/>
      </c>
      <c r="J189" s="6" t="str">
        <f>IF(B189="","",SUMIFS(SF_Output!$S$1:$S$400,SF_Output!$AC$1:$AC$400,_xlfn.TEXTJOIN(",",TRUE,B189:E189),SF_Output!$Q$1:$Q$400,"One Time",SF_Output!$L$1:$L$400,"license fee")+SUMIFS(SF_Output!$S$1:$S$400,SF_Output!$AC$1:$AC$400,_xlfn.TEXTJOIN(",",TRUE,B189:E189),SF_Output!$Q$1:$Q$400,"One Time",SF_Output!$L$1:$L$400,"software license")+SUMIFS(SF_Output!$S$1:$S$400,SF_Output!$AC$1:$AC$400,_xlfn.TEXTJOIN(",",TRUE,B189:E189),SF_Output!$Q$1:$Q$400,"One Time",SF_Output!$L$1:$L$400,"hardware"))</f>
        <v/>
      </c>
      <c r="K189" s="112" t="str">
        <f>IF(OR(B189=0,B189="",G189="hardware",J189=0),"",IF(AF189&lt;&gt;"exclusion",MAX(K$9,-((SUMIFS(SF_Output!$T$1:$T$400,SF_Output!$AC$1:$AC$400,_xlfn.TEXTJOIN(",",TRUE,$B189:$E189),SF_Output!$Q$1:$Q$400,"One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license"))/J189)))</f>
        <v/>
      </c>
      <c r="L189" s="6" t="str">
        <f t="shared" si="37"/>
        <v/>
      </c>
      <c r="N189" s="6" t="str">
        <f>IF(B189="","",SUMIFS(SF_Output!$S$1:$S$400,SF_Output!$AC$1:$AC$400,_xlfn.TEXTJOIN(",",TRUE,B189:E189),SF_Output!$Q$1:$Q$400,"One Time",SF_Output!$L$1:$L$400,"professional service"))</f>
        <v/>
      </c>
      <c r="O189" s="112" t="str">
        <f>IF(OR(B189=0,B189="",N189=0),"",IF(AF189&lt;&gt;"exclusion",MAX(O$9,-(SUMIFS(SF_Output!$T$1:$T$400,SF_Output!$AC$1:$AC$400,_xlfn.TEXTJOIN(",",TRUE,$B189:$E189),SF_Output!$Q$1:$Q$400,"One Time",SF_Output!$L$1:$L$400,"professional service"))/N189),-((SUMIFS(SF_Output!$T$1:$T$400,SF_Output!$AC$1:$AC$400,_xlfn.TEXTJOIN(",",TRUE,$B189:$E189),SF_Output!$Q$1:$Q$400,"One Time",SF_Output!$L$1:$L$400,"professional service")/N189))))</f>
        <v/>
      </c>
      <c r="P189" s="6" t="str">
        <f t="shared" si="38"/>
        <v/>
      </c>
      <c r="R189" s="6" t="str">
        <f>IF(B189="","",SUMIFS(SF_Output!$S$1:$S$400,SF_Output!$AC$1:$AC$400,_xlfn.TEXTJOIN(",",TRUE,B189:E189),SF_Output!$Q$1:$Q$400,"yearly")+SUMIFS(SF_Output!$S$1:$S$400,SF_Output!$AC$1:$AC$400,_xlfn.TEXTJOIN(",",TRUE,B189:E189),SF_Output!$Q$1:$Q$400,"quarterly")*4)</f>
        <v/>
      </c>
      <c r="S189" s="112" t="str">
        <f>IF(OR(B189=0,B189="",G189="hardware",R189=0),"",IF(AF189&lt;&gt;"exclusion",MAX(S$9,-(SUMIFS(SF_Output!$T$1:$T$400,SF_Output!$AC$1:$AC$400,_xlfn.TEXTJOIN(",",TRUE,$B189:$E189),SF_Output!$Q$1:$Q$400,"yearly"))/R189),-((SUMIFS(SF_Output!$T$1:$T$400,SF_Output!$AC$1:$AC$400,_xlfn.TEXTJOIN(",",TRUE,$B189:$E189),SF_Output!$Q$1:$Q$400,"yearly")/R189))))</f>
        <v/>
      </c>
      <c r="T189" s="6" t="str">
        <f t="shared" si="39"/>
        <v/>
      </c>
      <c r="V189" s="6" t="str" cm="1">
        <f t="array" ref="V189">_xlfn.IFS(B189="","",AND(B189&lt;&gt;"",H189=SF_Output!$Y$2,SUMIFS(SF_Output!$T$1:$T$400,SF_Output!$AC$1:$AC$400,_xlfn.TEXTJOIN(",",TRUE,B189:E189),SF_Output!$Q$1:$Q$400,"monthly")=0),(SUMIFS(SF_Output!$F$1:$F$400,SF_Output!$AC$1:$AC$400,_xlfn.TEXTJOIN(",",TRUE,B189:E189),SF_Output!$Q$1:$Q$400,"monthly")+SUMIFS(SF_Output!$G$1:$G$400,SF_Output!$AC$1:$AC$400,_xlfn.TEXTJOIN(",",TRUE,B189:E189),SF_Output!$Q$1:$Q$400,"monthly"))*H189,AND(B189&lt;&gt;"",H189=SF_Output!$Y$2,SUMIFS(SF_Output!$T$1:$T$400,SF_Output!$AC$1:$AC$400,_xlfn.TEXTJOIN(",",TRUE,B189:E189),SF_Output!$Q$1:$Q$400,"monthly")&lt;&gt;0),SUMIFS(SF_Output!$S$1:$S$400,SF_Output!$AC$1:$AC$400,_xlfn.TEXTJOIN(",",TRUE,B189:E189),SF_Output!$Q$1:$Q$400,"monthly"),AND(B189&lt;&gt;"",H189&lt;&gt;SF_Output!$Y$2),SUMIFS(SF_Output!$S$1:$S$400,SF_Output!$AC$1:$AC$400,_xlfn.TEXTJOIN(",",TRUE,B189:E189),SF_Output!$Q$1:$Q$400,"monthly"))</f>
        <v/>
      </c>
      <c r="W189" s="112" t="str" cm="1">
        <f t="array" ref="W189">_xlfn.IFS(OR(B189=0,B189="",V189=0),"",AF189&lt;&gt;"exclusion",MAX($W$9,$W$7,(-(SUMIFS(SF_Output!$T$1:$T$400,SF_Output!$AC$1:$AC$400,_xlfn.TEXTJOIN(",",TRUE,$B189:$E189),SF_Output!$Q$1:$Q$400,"monthly"))/V189)),AF189="exclusion",-(SUMIFS(SF_Output!$T$1:$T$400,SF_Output!$AC$1:$AC$400,_xlfn.TEXTJOIN(",",TRUE,$B189:$E189),SF_Output!$Q$1:$Q$400,"monthly"))/V189)</f>
        <v/>
      </c>
      <c r="X189" s="6" t="str" cm="1">
        <f t="array" ref="X189">IFERROR(_xlfn.IFS(V189=0,0,V189="","",W189=0,V189,OR(V189&lt;&gt;0,V189&lt;&gt;""),H189*I189),V189*(1-W189))</f>
        <v/>
      </c>
      <c r="Z189" s="6" t="str">
        <f>IFERROR(IF(B189="","",SUMIFS(Billing_Fallout!H:H,Billing_Fallout!N:N,B189)),0)</f>
        <v/>
      </c>
      <c r="AA189" s="6" t="str">
        <f t="shared" si="40"/>
        <v/>
      </c>
      <c r="AB189" s="6" t="str">
        <f>IFERROR(IF(B189="","",SUMIFS(Billing_Fallout!J:J,Billing_Fallout!N:N,B189)),0)</f>
        <v/>
      </c>
      <c r="AD189" s="6" t="str">
        <f t="shared" si="41"/>
        <v/>
      </c>
      <c r="AF189" t="str">
        <f>IFERROR(INDEX(H_Tables!$B$1:$B$1500,MATCH(INDEX(SF_Output!$J$1:$J$400,MATCH(B189,SF_Output!$M$1:$M$400,0)),H_Tables!$A$1:$A$1500,0)),"")</f>
        <v/>
      </c>
      <c r="AI189" s="119" t="str">
        <f t="shared" si="42"/>
        <v/>
      </c>
      <c r="AJ189" s="121">
        <f>IFERROR(INDEX(SF_Output!AD:AD,MATCH(_xlfn.TEXTJOIN(",",TRUE,B189:E189),SF_Output!AC1:AC400,0)),0.05)</f>
        <v>241</v>
      </c>
      <c r="AK189" t="str">
        <f>IF(SUMIFS(SF_Output!$F$1:$F$400,SF_Output!$AC$1:$AC$400,_xlfn.TEXTJOIN(",",TRUE,B189:E189))+SUMIFS(SF_Output!$G$1:$G$400,SF_Output!$AC$1:$AC$400,_xlfn.TEXTJOIN(",",TRUE,B189:E189))=0,"","PAP")</f>
        <v/>
      </c>
      <c r="AL189" s="35" t="str">
        <f t="shared" si="43"/>
        <v/>
      </c>
      <c r="AQ189" s="35"/>
      <c r="AR189" s="35" t="str" cm="1">
        <f t="array" ref="AR189">IFERROR(_xlfn.IFS(AND(E189*1=1,F189="Included"),"Change to Included",AND(E189*1=0,F189="Optional"),"Change to Optional",OR(B189="",F189="replaced"),""),"")</f>
        <v/>
      </c>
      <c r="AS189" s="35" t="str">
        <f t="shared" si="44"/>
        <v/>
      </c>
      <c r="AT189" s="35" t="str">
        <f t="shared" si="45"/>
        <v/>
      </c>
      <c r="AU189" s="35" t="str">
        <f t="shared" si="46"/>
        <v/>
      </c>
      <c r="AV189" s="35" t="str">
        <f t="shared" si="47"/>
        <v/>
      </c>
      <c r="AW189" s="35" t="str">
        <f t="shared" si="48"/>
        <v/>
      </c>
      <c r="AX189" s="35" t="str">
        <f t="shared" si="49"/>
        <v/>
      </c>
      <c r="AY189" s="35" t="str">
        <f t="shared" si="50"/>
        <v/>
      </c>
      <c r="AZ189" s="35" t="str">
        <f t="shared" si="51"/>
        <v/>
      </c>
      <c r="BA189" s="35" t="str">
        <f t="shared" si="52"/>
        <v/>
      </c>
      <c r="BB189" s="35" t="str">
        <f t="shared" si="53"/>
        <v/>
      </c>
      <c r="BC189" s="35"/>
      <c r="BE189" s="35" t="e">
        <f>INDEX(SF_Output!$AA$2:$AA$400,MATCH($B189,SF_Output!$M$2:$M$400,0))</f>
        <v>#N/A</v>
      </c>
      <c r="BF189" s="35" t="e">
        <f>INDEX(SF_Output!$AB$2:$AB$400,MATCH($B189,SF_Output!$M$2:$M$400,0))</f>
        <v>#N/A</v>
      </c>
    </row>
    <row r="190" spans="2:58" x14ac:dyDescent="0.25">
      <c r="F190" s="116" t="str">
        <f t="shared" si="36"/>
        <v/>
      </c>
      <c r="G190" t="str">
        <f>IF(B190="","",INDEX(SF_Output!$K$1:$K$400,MATCH(B190,SF_Output!$M$1:$M$400,0)))</f>
        <v/>
      </c>
      <c r="H190" t="str" cm="1">
        <f t="array" ref="H190">_xlfn.IFS(B190="","",(SUMIFS(SF_Output!$F$1:$F$400,SF_Output!$AC$1:$AC$400,_xlfn.TEXTJOIN(",",TRUE,B190:E190))+SUMIFS(SF_Output!$G$1:$G$400,SF_Output!$AC$1:$AC$400,_xlfn.TEXTJOIN(",",TRUE,B190:E190)))&lt;&gt;0,SF_Output!$Y$2,INDEX(SF_Output!$F$1:$F$400,MATCH(_xlfn.TEXTJOIN(",",TRUE,B190:E190),SF_Output!$AC$1:$AC$400,0))=0,INDEX(SF_Output!$R$1:$R$400,MATCH(_xlfn.TEXTJOIN(",",TRUE,B190:E190),SF_Output!$AC$1:$AC$400,0)))</f>
        <v/>
      </c>
      <c r="I190" s="125" t="str">
        <f>IFERROR(IF(AND(H190&gt;1,H190&lt;&gt;""),ROUND(SUMIFS(SF_Output!$S$1:$S$400,SF_Output!$AC$1:$AC$400,_xlfn.TEXTJOIN(",",TRUE,B190:E190),SF_Output!$Q$1:$Q$400,"monthly")*(1-W190)/H190,4),""),"")</f>
        <v/>
      </c>
      <c r="J190" s="6" t="str">
        <f>IF(B190="","",SUMIFS(SF_Output!$S$1:$S$400,SF_Output!$AC$1:$AC$400,_xlfn.TEXTJOIN(",",TRUE,B190:E190),SF_Output!$Q$1:$Q$400,"One Time",SF_Output!$L$1:$L$400,"license fee")+SUMIFS(SF_Output!$S$1:$S$400,SF_Output!$AC$1:$AC$400,_xlfn.TEXTJOIN(",",TRUE,B190:E190),SF_Output!$Q$1:$Q$400,"One Time",SF_Output!$L$1:$L$400,"software license")+SUMIFS(SF_Output!$S$1:$S$400,SF_Output!$AC$1:$AC$400,_xlfn.TEXTJOIN(",",TRUE,B190:E190),SF_Output!$Q$1:$Q$400,"One Time",SF_Output!$L$1:$L$400,"hardware"))</f>
        <v/>
      </c>
      <c r="K190" s="112" t="str">
        <f>IF(OR(B190=0,B190="",G190="hardware",J190=0),"",IF(AF190&lt;&gt;"exclusion",MAX(K$9,-((SUMIFS(SF_Output!$T$1:$T$400,SF_Output!$AC$1:$AC$400,_xlfn.TEXTJOIN(",",TRUE,$B190:$E190),SF_Output!$Q$1:$Q$400,"One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license"))/J190)))</f>
        <v/>
      </c>
      <c r="L190" s="6" t="str">
        <f t="shared" si="37"/>
        <v/>
      </c>
      <c r="N190" s="6" t="str">
        <f>IF(B190="","",SUMIFS(SF_Output!$S$1:$S$400,SF_Output!$AC$1:$AC$400,_xlfn.TEXTJOIN(",",TRUE,B190:E190),SF_Output!$Q$1:$Q$400,"One Time",SF_Output!$L$1:$L$400,"professional service"))</f>
        <v/>
      </c>
      <c r="O190" s="112" t="str">
        <f>IF(OR(B190=0,B190="",N190=0),"",IF(AF190&lt;&gt;"exclusion",MAX(O$9,-(SUMIFS(SF_Output!$T$1:$T$400,SF_Output!$AC$1:$AC$400,_xlfn.TEXTJOIN(",",TRUE,$B190:$E190),SF_Output!$Q$1:$Q$400,"One Time",SF_Output!$L$1:$L$400,"professional service"))/N190),-((SUMIFS(SF_Output!$T$1:$T$400,SF_Output!$AC$1:$AC$400,_xlfn.TEXTJOIN(",",TRUE,$B190:$E190),SF_Output!$Q$1:$Q$400,"One Time",SF_Output!$L$1:$L$400,"professional service")/N190))))</f>
        <v/>
      </c>
      <c r="P190" s="6" t="str">
        <f t="shared" si="38"/>
        <v/>
      </c>
      <c r="R190" s="6" t="str">
        <f>IF(B190="","",SUMIFS(SF_Output!$S$1:$S$400,SF_Output!$AC$1:$AC$400,_xlfn.TEXTJOIN(",",TRUE,B190:E190),SF_Output!$Q$1:$Q$400,"yearly")+SUMIFS(SF_Output!$S$1:$S$400,SF_Output!$AC$1:$AC$400,_xlfn.TEXTJOIN(",",TRUE,B190:E190),SF_Output!$Q$1:$Q$400,"quarterly")*4)</f>
        <v/>
      </c>
      <c r="S190" s="112" t="str">
        <f>IF(OR(B190=0,B190="",G190="hardware",R190=0),"",IF(AF190&lt;&gt;"exclusion",MAX(S$9,-(SUMIFS(SF_Output!$T$1:$T$400,SF_Output!$AC$1:$AC$400,_xlfn.TEXTJOIN(",",TRUE,$B190:$E190),SF_Output!$Q$1:$Q$400,"yearly"))/R190),-((SUMIFS(SF_Output!$T$1:$T$400,SF_Output!$AC$1:$AC$400,_xlfn.TEXTJOIN(",",TRUE,$B190:$E190),SF_Output!$Q$1:$Q$400,"yearly")/R190))))</f>
        <v/>
      </c>
      <c r="T190" s="6" t="str">
        <f t="shared" si="39"/>
        <v/>
      </c>
      <c r="V190" s="6" t="str" cm="1">
        <f t="array" ref="V190">_xlfn.IFS(B190="","",AND(B190&lt;&gt;"",H190=SF_Output!$Y$2,SUMIFS(SF_Output!$T$1:$T$400,SF_Output!$AC$1:$AC$400,_xlfn.TEXTJOIN(",",TRUE,B190:E190),SF_Output!$Q$1:$Q$400,"monthly")=0),(SUMIFS(SF_Output!$F$1:$F$400,SF_Output!$AC$1:$AC$400,_xlfn.TEXTJOIN(",",TRUE,B190:E190),SF_Output!$Q$1:$Q$400,"monthly")+SUMIFS(SF_Output!$G$1:$G$400,SF_Output!$AC$1:$AC$400,_xlfn.TEXTJOIN(",",TRUE,B190:E190),SF_Output!$Q$1:$Q$400,"monthly"))*H190,AND(B190&lt;&gt;"",H190=SF_Output!$Y$2,SUMIFS(SF_Output!$T$1:$T$400,SF_Output!$AC$1:$AC$400,_xlfn.TEXTJOIN(",",TRUE,B190:E190),SF_Output!$Q$1:$Q$400,"monthly")&lt;&gt;0),SUMIFS(SF_Output!$S$1:$S$400,SF_Output!$AC$1:$AC$400,_xlfn.TEXTJOIN(",",TRUE,B190:E190),SF_Output!$Q$1:$Q$400,"monthly"),AND(B190&lt;&gt;"",H190&lt;&gt;SF_Output!$Y$2),SUMIFS(SF_Output!$S$1:$S$400,SF_Output!$AC$1:$AC$400,_xlfn.TEXTJOIN(",",TRUE,B190:E190),SF_Output!$Q$1:$Q$400,"monthly"))</f>
        <v/>
      </c>
      <c r="W190" s="112" t="str" cm="1">
        <f t="array" ref="W190">_xlfn.IFS(OR(B190=0,B190="",V190=0),"",AF190&lt;&gt;"exclusion",MAX($W$9,$W$7,(-(SUMIFS(SF_Output!$T$1:$T$400,SF_Output!$AC$1:$AC$400,_xlfn.TEXTJOIN(",",TRUE,$B190:$E190),SF_Output!$Q$1:$Q$400,"monthly"))/V190)),AF190="exclusion",-(SUMIFS(SF_Output!$T$1:$T$400,SF_Output!$AC$1:$AC$400,_xlfn.TEXTJOIN(",",TRUE,$B190:$E190),SF_Output!$Q$1:$Q$400,"monthly"))/V190)</f>
        <v/>
      </c>
      <c r="X190" s="6" t="str" cm="1">
        <f t="array" ref="X190">IFERROR(_xlfn.IFS(V190=0,0,V190="","",W190=0,V190,OR(V190&lt;&gt;0,V190&lt;&gt;""),H190*I190),V190*(1-W190))</f>
        <v/>
      </c>
      <c r="Z190" s="6" t="str">
        <f>IFERROR(IF(B190="","",SUMIFS(Billing_Fallout!H:H,Billing_Fallout!N:N,B190)),0)</f>
        <v/>
      </c>
      <c r="AA190" s="6" t="str">
        <f t="shared" si="40"/>
        <v/>
      </c>
      <c r="AB190" s="6" t="str">
        <f>IFERROR(IF(B190="","",SUMIFS(Billing_Fallout!J:J,Billing_Fallout!N:N,B190)),0)</f>
        <v/>
      </c>
      <c r="AD190" s="6" t="str">
        <f t="shared" si="41"/>
        <v/>
      </c>
      <c r="AF190" t="str">
        <f>IFERROR(INDEX(H_Tables!$B$1:$B$1500,MATCH(INDEX(SF_Output!$J$1:$J$400,MATCH(B190,SF_Output!$M$1:$M$400,0)),H_Tables!$A$1:$A$1500,0)),"")</f>
        <v/>
      </c>
      <c r="AI190" s="119" t="str">
        <f t="shared" si="42"/>
        <v/>
      </c>
      <c r="AJ190" s="121">
        <f>IFERROR(INDEX(SF_Output!AD:AD,MATCH(_xlfn.TEXTJOIN(",",TRUE,B190:E190),SF_Output!AC1:AC400,0)),0.05)</f>
        <v>241</v>
      </c>
      <c r="AK190" t="str">
        <f>IF(SUMIFS(SF_Output!$F$1:$F$400,SF_Output!$AC$1:$AC$400,_xlfn.TEXTJOIN(",",TRUE,B190:E190))+SUMIFS(SF_Output!$G$1:$G$400,SF_Output!$AC$1:$AC$400,_xlfn.TEXTJOIN(",",TRUE,B190:E190))=0,"","PAP")</f>
        <v/>
      </c>
      <c r="AL190" s="35" t="str">
        <f t="shared" si="43"/>
        <v/>
      </c>
      <c r="AQ190" s="35"/>
      <c r="AR190" s="35" t="str" cm="1">
        <f t="array" ref="AR190">IFERROR(_xlfn.IFS(AND(E190*1=1,F190="Included"),"Change to Included",AND(E190*1=0,F190="Optional"),"Change to Optional",OR(B190="",F190="replaced"),""),"")</f>
        <v/>
      </c>
      <c r="AS190" s="35" t="str">
        <f t="shared" si="44"/>
        <v/>
      </c>
      <c r="AT190" s="35" t="str">
        <f t="shared" si="45"/>
        <v/>
      </c>
      <c r="AU190" s="35" t="str">
        <f t="shared" si="46"/>
        <v/>
      </c>
      <c r="AV190" s="35" t="str">
        <f t="shared" si="47"/>
        <v/>
      </c>
      <c r="AW190" s="35" t="str">
        <f t="shared" si="48"/>
        <v/>
      </c>
      <c r="AX190" s="35" t="str">
        <f t="shared" si="49"/>
        <v/>
      </c>
      <c r="AY190" s="35" t="str">
        <f t="shared" si="50"/>
        <v/>
      </c>
      <c r="AZ190" s="35" t="str">
        <f t="shared" si="51"/>
        <v/>
      </c>
      <c r="BA190" s="35" t="str">
        <f t="shared" si="52"/>
        <v/>
      </c>
      <c r="BB190" s="35" t="str">
        <f t="shared" si="53"/>
        <v/>
      </c>
      <c r="BC190" s="35"/>
      <c r="BE190" s="35" t="e">
        <f>INDEX(SF_Output!$AA$2:$AA$400,MATCH($B190,SF_Output!$M$2:$M$400,0))</f>
        <v>#N/A</v>
      </c>
      <c r="BF190" s="35" t="e">
        <f>INDEX(SF_Output!$AB$2:$AB$400,MATCH($B190,SF_Output!$M$2:$M$400,0))</f>
        <v>#N/A</v>
      </c>
    </row>
    <row r="191" spans="2:58" x14ac:dyDescent="0.25">
      <c r="F191" s="116" t="str">
        <f t="shared" si="36"/>
        <v/>
      </c>
      <c r="G191" t="str">
        <f>IF(B191="","",INDEX(SF_Output!$K$1:$K$400,MATCH(B191,SF_Output!$M$1:$M$400,0)))</f>
        <v/>
      </c>
      <c r="H191" t="str" cm="1">
        <f t="array" ref="H191">_xlfn.IFS(B191="","",(SUMIFS(SF_Output!$F$1:$F$400,SF_Output!$AC$1:$AC$400,_xlfn.TEXTJOIN(",",TRUE,B191:E191))+SUMIFS(SF_Output!$G$1:$G$400,SF_Output!$AC$1:$AC$400,_xlfn.TEXTJOIN(",",TRUE,B191:E191)))&lt;&gt;0,SF_Output!$Y$2,INDEX(SF_Output!$F$1:$F$400,MATCH(_xlfn.TEXTJOIN(",",TRUE,B191:E191),SF_Output!$AC$1:$AC$400,0))=0,INDEX(SF_Output!$R$1:$R$400,MATCH(_xlfn.TEXTJOIN(",",TRUE,B191:E191),SF_Output!$AC$1:$AC$400,0)))</f>
        <v/>
      </c>
      <c r="I191" s="125" t="str">
        <f>IFERROR(IF(AND(H191&gt;1,H191&lt;&gt;""),ROUND(SUMIFS(SF_Output!$S$1:$S$400,SF_Output!$AC$1:$AC$400,_xlfn.TEXTJOIN(",",TRUE,B191:E191),SF_Output!$Q$1:$Q$400,"monthly")*(1-W191)/H191,4),""),"")</f>
        <v/>
      </c>
      <c r="J191" s="6" t="str">
        <f>IF(B191="","",SUMIFS(SF_Output!$S$1:$S$400,SF_Output!$AC$1:$AC$400,_xlfn.TEXTJOIN(",",TRUE,B191:E191),SF_Output!$Q$1:$Q$400,"One Time",SF_Output!$L$1:$L$400,"license fee")+SUMIFS(SF_Output!$S$1:$S$400,SF_Output!$AC$1:$AC$400,_xlfn.TEXTJOIN(",",TRUE,B191:E191),SF_Output!$Q$1:$Q$400,"One Time",SF_Output!$L$1:$L$400,"software license")+SUMIFS(SF_Output!$S$1:$S$400,SF_Output!$AC$1:$AC$400,_xlfn.TEXTJOIN(",",TRUE,B191:E191),SF_Output!$Q$1:$Q$400,"One Time",SF_Output!$L$1:$L$400,"hardware"))</f>
        <v/>
      </c>
      <c r="K191" s="112" t="str">
        <f>IF(OR(B191=0,B191="",G191="hardware",J191=0),"",IF(AF191&lt;&gt;"exclusion",MAX(K$9,-((SUMIFS(SF_Output!$T$1:$T$400,SF_Output!$AC$1:$AC$400,_xlfn.TEXTJOIN(",",TRUE,$B191:$E191),SF_Output!$Q$1:$Q$400,"One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license"))/J191)))</f>
        <v/>
      </c>
      <c r="L191" s="6" t="str">
        <f t="shared" si="37"/>
        <v/>
      </c>
      <c r="N191" s="6" t="str">
        <f>IF(B191="","",SUMIFS(SF_Output!$S$1:$S$400,SF_Output!$AC$1:$AC$400,_xlfn.TEXTJOIN(",",TRUE,B191:E191),SF_Output!$Q$1:$Q$400,"One Time",SF_Output!$L$1:$L$400,"professional service"))</f>
        <v/>
      </c>
      <c r="O191" s="112" t="str">
        <f>IF(OR(B191=0,B191="",N191=0),"",IF(AF191&lt;&gt;"exclusion",MAX(O$9,-(SUMIFS(SF_Output!$T$1:$T$400,SF_Output!$AC$1:$AC$400,_xlfn.TEXTJOIN(",",TRUE,$B191:$E191),SF_Output!$Q$1:$Q$400,"One Time",SF_Output!$L$1:$L$400,"professional service"))/N191),-((SUMIFS(SF_Output!$T$1:$T$400,SF_Output!$AC$1:$AC$400,_xlfn.TEXTJOIN(",",TRUE,$B191:$E191),SF_Output!$Q$1:$Q$400,"One Time",SF_Output!$L$1:$L$400,"professional service")/N191))))</f>
        <v/>
      </c>
      <c r="P191" s="6" t="str">
        <f t="shared" si="38"/>
        <v/>
      </c>
      <c r="R191" s="6" t="str">
        <f>IF(B191="","",SUMIFS(SF_Output!$S$1:$S$400,SF_Output!$AC$1:$AC$400,_xlfn.TEXTJOIN(",",TRUE,B191:E191),SF_Output!$Q$1:$Q$400,"yearly")+SUMIFS(SF_Output!$S$1:$S$400,SF_Output!$AC$1:$AC$400,_xlfn.TEXTJOIN(",",TRUE,B191:E191),SF_Output!$Q$1:$Q$400,"quarterly")*4)</f>
        <v/>
      </c>
      <c r="S191" s="112" t="str">
        <f>IF(OR(B191=0,B191="",G191="hardware",R191=0),"",IF(AF191&lt;&gt;"exclusion",MAX(S$9,-(SUMIFS(SF_Output!$T$1:$T$400,SF_Output!$AC$1:$AC$400,_xlfn.TEXTJOIN(",",TRUE,$B191:$E191),SF_Output!$Q$1:$Q$400,"yearly"))/R191),-((SUMIFS(SF_Output!$T$1:$T$400,SF_Output!$AC$1:$AC$400,_xlfn.TEXTJOIN(",",TRUE,$B191:$E191),SF_Output!$Q$1:$Q$400,"yearly")/R191))))</f>
        <v/>
      </c>
      <c r="T191" s="6" t="str">
        <f t="shared" si="39"/>
        <v/>
      </c>
      <c r="V191" s="6" t="str" cm="1">
        <f t="array" ref="V191">_xlfn.IFS(B191="","",AND(B191&lt;&gt;"",H191=SF_Output!$Y$2,SUMIFS(SF_Output!$T$1:$T$400,SF_Output!$AC$1:$AC$400,_xlfn.TEXTJOIN(",",TRUE,B191:E191),SF_Output!$Q$1:$Q$400,"monthly")=0),(SUMIFS(SF_Output!$F$1:$F$400,SF_Output!$AC$1:$AC$400,_xlfn.TEXTJOIN(",",TRUE,B191:E191),SF_Output!$Q$1:$Q$400,"monthly")+SUMIFS(SF_Output!$G$1:$G$400,SF_Output!$AC$1:$AC$400,_xlfn.TEXTJOIN(",",TRUE,B191:E191),SF_Output!$Q$1:$Q$400,"monthly"))*H191,AND(B191&lt;&gt;"",H191=SF_Output!$Y$2,SUMIFS(SF_Output!$T$1:$T$400,SF_Output!$AC$1:$AC$400,_xlfn.TEXTJOIN(",",TRUE,B191:E191),SF_Output!$Q$1:$Q$400,"monthly")&lt;&gt;0),SUMIFS(SF_Output!$S$1:$S$400,SF_Output!$AC$1:$AC$400,_xlfn.TEXTJOIN(",",TRUE,B191:E191),SF_Output!$Q$1:$Q$400,"monthly"),AND(B191&lt;&gt;"",H191&lt;&gt;SF_Output!$Y$2),SUMIFS(SF_Output!$S$1:$S$400,SF_Output!$AC$1:$AC$400,_xlfn.TEXTJOIN(",",TRUE,B191:E191),SF_Output!$Q$1:$Q$400,"monthly"))</f>
        <v/>
      </c>
      <c r="W191" s="112" t="str" cm="1">
        <f t="array" ref="W191">_xlfn.IFS(OR(B191=0,B191="",V191=0),"",AF191&lt;&gt;"exclusion",MAX($W$9,$W$7,(-(SUMIFS(SF_Output!$T$1:$T$400,SF_Output!$AC$1:$AC$400,_xlfn.TEXTJOIN(",",TRUE,$B191:$E191),SF_Output!$Q$1:$Q$400,"monthly"))/V191)),AF191="exclusion",-(SUMIFS(SF_Output!$T$1:$T$400,SF_Output!$AC$1:$AC$400,_xlfn.TEXTJOIN(",",TRUE,$B191:$E191),SF_Output!$Q$1:$Q$400,"monthly"))/V191)</f>
        <v/>
      </c>
      <c r="X191" s="6" t="str" cm="1">
        <f t="array" ref="X191">IFERROR(_xlfn.IFS(V191=0,0,V191="","",W191=0,V191,OR(V191&lt;&gt;0,V191&lt;&gt;""),H191*I191),V191*(1-W191))</f>
        <v/>
      </c>
      <c r="Z191" s="6" t="str">
        <f>IFERROR(IF(B191="","",SUMIFS(Billing_Fallout!H:H,Billing_Fallout!N:N,B191)),0)</f>
        <v/>
      </c>
      <c r="AA191" s="6" t="str">
        <f t="shared" si="40"/>
        <v/>
      </c>
      <c r="AB191" s="6" t="str">
        <f>IFERROR(IF(B191="","",SUMIFS(Billing_Fallout!J:J,Billing_Fallout!N:N,B191)),0)</f>
        <v/>
      </c>
      <c r="AD191" s="6" t="str">
        <f t="shared" si="41"/>
        <v/>
      </c>
      <c r="AF191" t="str">
        <f>IFERROR(INDEX(H_Tables!$B$1:$B$1500,MATCH(INDEX(SF_Output!$J$1:$J$400,MATCH(B191,SF_Output!$M$1:$M$400,0)),H_Tables!$A$1:$A$1500,0)),"")</f>
        <v/>
      </c>
      <c r="AI191" s="119" t="str">
        <f t="shared" si="42"/>
        <v/>
      </c>
      <c r="AJ191" s="121">
        <f>IFERROR(INDEX(SF_Output!AD:AD,MATCH(_xlfn.TEXTJOIN(",",TRUE,B191:E191),SF_Output!AC1:AC400,0)),0.05)</f>
        <v>241</v>
      </c>
      <c r="AK191" t="str">
        <f>IF(SUMIFS(SF_Output!$F$1:$F$400,SF_Output!$AC$1:$AC$400,_xlfn.TEXTJOIN(",",TRUE,B191:E191))+SUMIFS(SF_Output!$G$1:$G$400,SF_Output!$AC$1:$AC$400,_xlfn.TEXTJOIN(",",TRUE,B191:E191))=0,"","PAP")</f>
        <v/>
      </c>
      <c r="AL191" s="35" t="str">
        <f t="shared" si="43"/>
        <v/>
      </c>
      <c r="AQ191" s="35"/>
      <c r="AR191" s="35" t="str" cm="1">
        <f t="array" ref="AR191">IFERROR(_xlfn.IFS(AND(E191*1=1,F191="Included"),"Change to Included",AND(E191*1=0,F191="Optional"),"Change to Optional",OR(B191="",F191="replaced"),""),"")</f>
        <v/>
      </c>
      <c r="AS191" s="35" t="str">
        <f t="shared" si="44"/>
        <v/>
      </c>
      <c r="AT191" s="35" t="str">
        <f t="shared" si="45"/>
        <v/>
      </c>
      <c r="AU191" s="35" t="str">
        <f t="shared" si="46"/>
        <v/>
      </c>
      <c r="AV191" s="35" t="str">
        <f t="shared" si="47"/>
        <v/>
      </c>
      <c r="AW191" s="35" t="str">
        <f t="shared" si="48"/>
        <v/>
      </c>
      <c r="AX191" s="35" t="str">
        <f t="shared" si="49"/>
        <v/>
      </c>
      <c r="AY191" s="35" t="str">
        <f t="shared" si="50"/>
        <v/>
      </c>
      <c r="AZ191" s="35" t="str">
        <f t="shared" si="51"/>
        <v/>
      </c>
      <c r="BA191" s="35" t="str">
        <f t="shared" si="52"/>
        <v/>
      </c>
      <c r="BB191" s="35" t="str">
        <f t="shared" si="53"/>
        <v/>
      </c>
      <c r="BC191" s="35"/>
      <c r="BE191" s="35" t="e">
        <f>INDEX(SF_Output!$AA$2:$AA$400,MATCH($B191,SF_Output!$M$2:$M$400,0))</f>
        <v>#N/A</v>
      </c>
      <c r="BF191" s="35" t="e">
        <f>INDEX(SF_Output!$AB$2:$AB$400,MATCH($B191,SF_Output!$M$2:$M$400,0))</f>
        <v>#N/A</v>
      </c>
    </row>
    <row r="192" spans="2:58" x14ac:dyDescent="0.25">
      <c r="F192" s="116" t="str">
        <f t="shared" si="36"/>
        <v/>
      </c>
      <c r="G192" t="str">
        <f>IF(B192="","",INDEX(SF_Output!$K$1:$K$400,MATCH(B192,SF_Output!$M$1:$M$400,0)))</f>
        <v/>
      </c>
      <c r="H192" t="str" cm="1">
        <f t="array" ref="H192">_xlfn.IFS(B192="","",(SUMIFS(SF_Output!$F$1:$F$400,SF_Output!$AC$1:$AC$400,_xlfn.TEXTJOIN(",",TRUE,B192:E192))+SUMIFS(SF_Output!$G$1:$G$400,SF_Output!$AC$1:$AC$400,_xlfn.TEXTJOIN(",",TRUE,B192:E192)))&lt;&gt;0,SF_Output!$Y$2,INDEX(SF_Output!$F$1:$F$400,MATCH(_xlfn.TEXTJOIN(",",TRUE,B192:E192),SF_Output!$AC$1:$AC$400,0))=0,INDEX(SF_Output!$R$1:$R$400,MATCH(_xlfn.TEXTJOIN(",",TRUE,B192:E192),SF_Output!$AC$1:$AC$400,0)))</f>
        <v/>
      </c>
      <c r="I192" s="125" t="str">
        <f>IFERROR(IF(AND(H192&gt;1,H192&lt;&gt;""),ROUND(SUMIFS(SF_Output!$S$1:$S$400,SF_Output!$AC$1:$AC$400,_xlfn.TEXTJOIN(",",TRUE,B192:E192),SF_Output!$Q$1:$Q$400,"monthly")*(1-W192)/H192,4),""),"")</f>
        <v/>
      </c>
      <c r="J192" s="6" t="str">
        <f>IF(B192="","",SUMIFS(SF_Output!$S$1:$S$400,SF_Output!$AC$1:$AC$400,_xlfn.TEXTJOIN(",",TRUE,B192:E192),SF_Output!$Q$1:$Q$400,"One Time",SF_Output!$L$1:$L$400,"license fee")+SUMIFS(SF_Output!$S$1:$S$400,SF_Output!$AC$1:$AC$400,_xlfn.TEXTJOIN(",",TRUE,B192:E192),SF_Output!$Q$1:$Q$400,"One Time",SF_Output!$L$1:$L$400,"software license")+SUMIFS(SF_Output!$S$1:$S$400,SF_Output!$AC$1:$AC$400,_xlfn.TEXTJOIN(",",TRUE,B192:E192),SF_Output!$Q$1:$Q$400,"One Time",SF_Output!$L$1:$L$400,"hardware"))</f>
        <v/>
      </c>
      <c r="K192" s="112" t="str">
        <f>IF(OR(B192=0,B192="",G192="hardware",J192=0),"",IF(AF192&lt;&gt;"exclusion",MAX(K$9,-((SUMIFS(SF_Output!$T$1:$T$400,SF_Output!$AC$1:$AC$400,_xlfn.TEXTJOIN(",",TRUE,$B192:$E192),SF_Output!$Q$1:$Q$400,"One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license"))/J192)))</f>
        <v/>
      </c>
      <c r="L192" s="6" t="str">
        <f t="shared" si="37"/>
        <v/>
      </c>
      <c r="N192" s="6" t="str">
        <f>IF(B192="","",SUMIFS(SF_Output!$S$1:$S$400,SF_Output!$AC$1:$AC$400,_xlfn.TEXTJOIN(",",TRUE,B192:E192),SF_Output!$Q$1:$Q$400,"One Time",SF_Output!$L$1:$L$400,"professional service"))</f>
        <v/>
      </c>
      <c r="O192" s="112" t="str">
        <f>IF(OR(B192=0,B192="",N192=0),"",IF(AF192&lt;&gt;"exclusion",MAX(O$9,-(SUMIFS(SF_Output!$T$1:$T$400,SF_Output!$AC$1:$AC$400,_xlfn.TEXTJOIN(",",TRUE,$B192:$E192),SF_Output!$Q$1:$Q$400,"One Time",SF_Output!$L$1:$L$400,"professional service"))/N192),-((SUMIFS(SF_Output!$T$1:$T$400,SF_Output!$AC$1:$AC$400,_xlfn.TEXTJOIN(",",TRUE,$B192:$E192),SF_Output!$Q$1:$Q$400,"One Time",SF_Output!$L$1:$L$400,"professional service")/N192))))</f>
        <v/>
      </c>
      <c r="P192" s="6" t="str">
        <f t="shared" si="38"/>
        <v/>
      </c>
      <c r="R192" s="6" t="str">
        <f>IF(B192="","",SUMIFS(SF_Output!$S$1:$S$400,SF_Output!$AC$1:$AC$400,_xlfn.TEXTJOIN(",",TRUE,B192:E192),SF_Output!$Q$1:$Q$400,"yearly")+SUMIFS(SF_Output!$S$1:$S$400,SF_Output!$AC$1:$AC$400,_xlfn.TEXTJOIN(",",TRUE,B192:E192),SF_Output!$Q$1:$Q$400,"quarterly")*4)</f>
        <v/>
      </c>
      <c r="S192" s="112" t="str">
        <f>IF(OR(B192=0,B192="",G192="hardware",R192=0),"",IF(AF192&lt;&gt;"exclusion",MAX(S$9,-(SUMIFS(SF_Output!$T$1:$T$400,SF_Output!$AC$1:$AC$400,_xlfn.TEXTJOIN(",",TRUE,$B192:$E192),SF_Output!$Q$1:$Q$400,"yearly"))/R192),-((SUMIFS(SF_Output!$T$1:$T$400,SF_Output!$AC$1:$AC$400,_xlfn.TEXTJOIN(",",TRUE,$B192:$E192),SF_Output!$Q$1:$Q$400,"yearly")/R192))))</f>
        <v/>
      </c>
      <c r="T192" s="6" t="str">
        <f t="shared" si="39"/>
        <v/>
      </c>
      <c r="V192" s="6" t="str" cm="1">
        <f t="array" ref="V192">_xlfn.IFS(B192="","",AND(B192&lt;&gt;"",H192=SF_Output!$Y$2,SUMIFS(SF_Output!$T$1:$T$400,SF_Output!$AC$1:$AC$400,_xlfn.TEXTJOIN(",",TRUE,B192:E192),SF_Output!$Q$1:$Q$400,"monthly")=0),(SUMIFS(SF_Output!$F$1:$F$400,SF_Output!$AC$1:$AC$400,_xlfn.TEXTJOIN(",",TRUE,B192:E192),SF_Output!$Q$1:$Q$400,"monthly")+SUMIFS(SF_Output!$G$1:$G$400,SF_Output!$AC$1:$AC$400,_xlfn.TEXTJOIN(",",TRUE,B192:E192),SF_Output!$Q$1:$Q$400,"monthly"))*H192,AND(B192&lt;&gt;"",H192=SF_Output!$Y$2,SUMIFS(SF_Output!$T$1:$T$400,SF_Output!$AC$1:$AC$400,_xlfn.TEXTJOIN(",",TRUE,B192:E192),SF_Output!$Q$1:$Q$400,"monthly")&lt;&gt;0),SUMIFS(SF_Output!$S$1:$S$400,SF_Output!$AC$1:$AC$400,_xlfn.TEXTJOIN(",",TRUE,B192:E192),SF_Output!$Q$1:$Q$400,"monthly"),AND(B192&lt;&gt;"",H192&lt;&gt;SF_Output!$Y$2),SUMIFS(SF_Output!$S$1:$S$400,SF_Output!$AC$1:$AC$400,_xlfn.TEXTJOIN(",",TRUE,B192:E192),SF_Output!$Q$1:$Q$400,"monthly"))</f>
        <v/>
      </c>
      <c r="W192" s="112" t="str" cm="1">
        <f t="array" ref="W192">_xlfn.IFS(OR(B192=0,B192="",V192=0),"",AF192&lt;&gt;"exclusion",MAX($W$9,$W$7,(-(SUMIFS(SF_Output!$T$1:$T$400,SF_Output!$AC$1:$AC$400,_xlfn.TEXTJOIN(",",TRUE,$B192:$E192),SF_Output!$Q$1:$Q$400,"monthly"))/V192)),AF192="exclusion",-(SUMIFS(SF_Output!$T$1:$T$400,SF_Output!$AC$1:$AC$400,_xlfn.TEXTJOIN(",",TRUE,$B192:$E192),SF_Output!$Q$1:$Q$400,"monthly"))/V192)</f>
        <v/>
      </c>
      <c r="X192" s="6" t="str" cm="1">
        <f t="array" ref="X192">IFERROR(_xlfn.IFS(V192=0,0,V192="","",W192=0,V192,OR(V192&lt;&gt;0,V192&lt;&gt;""),H192*I192),V192*(1-W192))</f>
        <v/>
      </c>
      <c r="Z192" s="6" t="str">
        <f>IFERROR(IF(B192="","",SUMIFS(Billing_Fallout!H:H,Billing_Fallout!N:N,B192)),0)</f>
        <v/>
      </c>
      <c r="AA192" s="6" t="str">
        <f t="shared" si="40"/>
        <v/>
      </c>
      <c r="AB192" s="6" t="str">
        <f>IFERROR(IF(B192="","",SUMIFS(Billing_Fallout!J:J,Billing_Fallout!N:N,B192)),0)</f>
        <v/>
      </c>
      <c r="AD192" s="6" t="str">
        <f t="shared" si="41"/>
        <v/>
      </c>
      <c r="AF192" t="str">
        <f>IFERROR(INDEX(H_Tables!$B$1:$B$1500,MATCH(INDEX(SF_Output!$J$1:$J$400,MATCH(B192,SF_Output!$M$1:$M$400,0)),H_Tables!$A$1:$A$1500,0)),"")</f>
        <v/>
      </c>
      <c r="AI192" s="119" t="str">
        <f t="shared" si="42"/>
        <v/>
      </c>
      <c r="AJ192" s="121">
        <f>IFERROR(INDEX(SF_Output!AD:AD,MATCH(_xlfn.TEXTJOIN(",",TRUE,B192:E192),SF_Output!AC1:AC400,0)),0.05)</f>
        <v>241</v>
      </c>
      <c r="AK192" t="str">
        <f>IF(SUMIFS(SF_Output!$F$1:$F$400,SF_Output!$AC$1:$AC$400,_xlfn.TEXTJOIN(",",TRUE,B192:E192))+SUMIFS(SF_Output!$G$1:$G$400,SF_Output!$AC$1:$AC$400,_xlfn.TEXTJOIN(",",TRUE,B192:E192))=0,"","PAP")</f>
        <v/>
      </c>
      <c r="AL192" s="35" t="str">
        <f t="shared" si="43"/>
        <v/>
      </c>
      <c r="AQ192" s="35"/>
      <c r="AR192" s="35" t="str" cm="1">
        <f t="array" ref="AR192">IFERROR(_xlfn.IFS(AND(E192*1=1,F192="Included"),"Change to Included",AND(E192*1=0,F192="Optional"),"Change to Optional",OR(B192="",F192="replaced"),""),"")</f>
        <v/>
      </c>
      <c r="AS192" s="35" t="str">
        <f t="shared" si="44"/>
        <v/>
      </c>
      <c r="AT192" s="35" t="str">
        <f t="shared" si="45"/>
        <v/>
      </c>
      <c r="AU192" s="35" t="str">
        <f t="shared" si="46"/>
        <v/>
      </c>
      <c r="AV192" s="35" t="str">
        <f t="shared" si="47"/>
        <v/>
      </c>
      <c r="AW192" s="35" t="str">
        <f t="shared" si="48"/>
        <v/>
      </c>
      <c r="AX192" s="35" t="str">
        <f t="shared" si="49"/>
        <v/>
      </c>
      <c r="AY192" s="35" t="str">
        <f t="shared" si="50"/>
        <v/>
      </c>
      <c r="AZ192" s="35" t="str">
        <f t="shared" si="51"/>
        <v/>
      </c>
      <c r="BA192" s="35" t="str">
        <f t="shared" si="52"/>
        <v/>
      </c>
      <c r="BB192" s="35" t="str">
        <f t="shared" si="53"/>
        <v/>
      </c>
      <c r="BC192" s="35"/>
      <c r="BE192" s="35" t="e">
        <f>INDEX(SF_Output!$AA$2:$AA$400,MATCH($B192,SF_Output!$M$2:$M$400,0))</f>
        <v>#N/A</v>
      </c>
      <c r="BF192" s="35" t="e">
        <f>INDEX(SF_Output!$AB$2:$AB$400,MATCH($B192,SF_Output!$M$2:$M$400,0))</f>
        <v>#N/A</v>
      </c>
    </row>
    <row r="193" spans="6:58" x14ac:dyDescent="0.25">
      <c r="F193" s="116" t="str">
        <f t="shared" si="36"/>
        <v/>
      </c>
      <c r="G193" t="str">
        <f>IF(B193="","",INDEX(SF_Output!$K$1:$K$400,MATCH(B193,SF_Output!$M$1:$M$400,0)))</f>
        <v/>
      </c>
      <c r="H193" t="str" cm="1">
        <f t="array" ref="H193">_xlfn.IFS(B193="","",(SUMIFS(SF_Output!$F$1:$F$400,SF_Output!$AC$1:$AC$400,_xlfn.TEXTJOIN(",",TRUE,B193:E193))+SUMIFS(SF_Output!$G$1:$G$400,SF_Output!$AC$1:$AC$400,_xlfn.TEXTJOIN(",",TRUE,B193:E193)))&lt;&gt;0,SF_Output!$Y$2,INDEX(SF_Output!$F$1:$F$400,MATCH(_xlfn.TEXTJOIN(",",TRUE,B193:E193),SF_Output!$AC$1:$AC$400,0))=0,INDEX(SF_Output!$R$1:$R$400,MATCH(_xlfn.TEXTJOIN(",",TRUE,B193:E193),SF_Output!$AC$1:$AC$400,0)))</f>
        <v/>
      </c>
      <c r="I193" s="125" t="str">
        <f>IFERROR(IF(AND(H193&gt;1,H193&lt;&gt;""),ROUND(SUMIFS(SF_Output!$S$1:$S$400,SF_Output!$AC$1:$AC$400,_xlfn.TEXTJOIN(",",TRUE,B193:E193),SF_Output!$Q$1:$Q$400,"monthly")*(1-W193)/H193,4),""),"")</f>
        <v/>
      </c>
      <c r="J193" s="6" t="str">
        <f>IF(B193="","",SUMIFS(SF_Output!$S$1:$S$400,SF_Output!$AC$1:$AC$400,_xlfn.TEXTJOIN(",",TRUE,B193:E193),SF_Output!$Q$1:$Q$400,"One Time",SF_Output!$L$1:$L$400,"license fee")+SUMIFS(SF_Output!$S$1:$S$400,SF_Output!$AC$1:$AC$400,_xlfn.TEXTJOIN(",",TRUE,B193:E193),SF_Output!$Q$1:$Q$400,"One Time",SF_Output!$L$1:$L$400,"software license")+SUMIFS(SF_Output!$S$1:$S$400,SF_Output!$AC$1:$AC$400,_xlfn.TEXTJOIN(",",TRUE,B193:E193),SF_Output!$Q$1:$Q$400,"One Time",SF_Output!$L$1:$L$400,"hardware"))</f>
        <v/>
      </c>
      <c r="K193" s="112" t="str">
        <f>IF(OR(B193=0,B193="",G193="hardware",J193=0),"",IF(AF193&lt;&gt;"exclusion",MAX(K$9,-((SUMIFS(SF_Output!$T$1:$T$400,SF_Output!$AC$1:$AC$400,_xlfn.TEXTJOIN(",",TRUE,$B193:$E193),SF_Output!$Q$1:$Q$400,"One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license"))/J193)))</f>
        <v/>
      </c>
      <c r="L193" s="6" t="str">
        <f t="shared" si="37"/>
        <v/>
      </c>
      <c r="N193" s="6" t="str">
        <f>IF(B193="","",SUMIFS(SF_Output!$S$1:$S$400,SF_Output!$AC$1:$AC$400,_xlfn.TEXTJOIN(",",TRUE,B193:E193),SF_Output!$Q$1:$Q$400,"One Time",SF_Output!$L$1:$L$400,"professional service"))</f>
        <v/>
      </c>
      <c r="O193" s="112" t="str">
        <f>IF(OR(B193=0,B193="",N193=0),"",IF(AF193&lt;&gt;"exclusion",MAX(O$9,-(SUMIFS(SF_Output!$T$1:$T$400,SF_Output!$AC$1:$AC$400,_xlfn.TEXTJOIN(",",TRUE,$B193:$E193),SF_Output!$Q$1:$Q$400,"One Time",SF_Output!$L$1:$L$400,"professional service"))/N193),-((SUMIFS(SF_Output!$T$1:$T$400,SF_Output!$AC$1:$AC$400,_xlfn.TEXTJOIN(",",TRUE,$B193:$E193),SF_Output!$Q$1:$Q$400,"One Time",SF_Output!$L$1:$L$400,"professional service")/N193))))</f>
        <v/>
      </c>
      <c r="P193" s="6" t="str">
        <f t="shared" si="38"/>
        <v/>
      </c>
      <c r="R193" s="6" t="str">
        <f>IF(B193="","",SUMIFS(SF_Output!$S$1:$S$400,SF_Output!$AC$1:$AC$400,_xlfn.TEXTJOIN(",",TRUE,B193:E193),SF_Output!$Q$1:$Q$400,"yearly")+SUMIFS(SF_Output!$S$1:$S$400,SF_Output!$AC$1:$AC$400,_xlfn.TEXTJOIN(",",TRUE,B193:E193),SF_Output!$Q$1:$Q$400,"quarterly")*4)</f>
        <v/>
      </c>
      <c r="S193" s="112" t="str">
        <f>IF(OR(B193=0,B193="",G193="hardware",R193=0),"",IF(AF193&lt;&gt;"exclusion",MAX(S$9,-(SUMIFS(SF_Output!$T$1:$T$400,SF_Output!$AC$1:$AC$400,_xlfn.TEXTJOIN(",",TRUE,$B193:$E193),SF_Output!$Q$1:$Q$400,"yearly"))/R193),-((SUMIFS(SF_Output!$T$1:$T$400,SF_Output!$AC$1:$AC$400,_xlfn.TEXTJOIN(",",TRUE,$B193:$E193),SF_Output!$Q$1:$Q$400,"yearly")/R193))))</f>
        <v/>
      </c>
      <c r="T193" s="6" t="str">
        <f t="shared" si="39"/>
        <v/>
      </c>
      <c r="V193" s="6" t="str" cm="1">
        <f t="array" ref="V193">_xlfn.IFS(B193="","",AND(B193&lt;&gt;"",H193=SF_Output!$Y$2,SUMIFS(SF_Output!$T$1:$T$400,SF_Output!$AC$1:$AC$400,_xlfn.TEXTJOIN(",",TRUE,B193:E193),SF_Output!$Q$1:$Q$400,"monthly")=0),(SUMIFS(SF_Output!$F$1:$F$400,SF_Output!$AC$1:$AC$400,_xlfn.TEXTJOIN(",",TRUE,B193:E193),SF_Output!$Q$1:$Q$400,"monthly")+SUMIFS(SF_Output!$G$1:$G$400,SF_Output!$AC$1:$AC$400,_xlfn.TEXTJOIN(",",TRUE,B193:E193),SF_Output!$Q$1:$Q$400,"monthly"))*H193,AND(B193&lt;&gt;"",H193=SF_Output!$Y$2,SUMIFS(SF_Output!$T$1:$T$400,SF_Output!$AC$1:$AC$400,_xlfn.TEXTJOIN(",",TRUE,B193:E193),SF_Output!$Q$1:$Q$400,"monthly")&lt;&gt;0),SUMIFS(SF_Output!$S$1:$S$400,SF_Output!$AC$1:$AC$400,_xlfn.TEXTJOIN(",",TRUE,B193:E193),SF_Output!$Q$1:$Q$400,"monthly"),AND(B193&lt;&gt;"",H193&lt;&gt;SF_Output!$Y$2),SUMIFS(SF_Output!$S$1:$S$400,SF_Output!$AC$1:$AC$400,_xlfn.TEXTJOIN(",",TRUE,B193:E193),SF_Output!$Q$1:$Q$400,"monthly"))</f>
        <v/>
      </c>
      <c r="W193" s="112" t="str" cm="1">
        <f t="array" ref="W193">_xlfn.IFS(OR(B193=0,B193="",V193=0),"",AF193&lt;&gt;"exclusion",MAX($W$9,$W$7,(-(SUMIFS(SF_Output!$T$1:$T$400,SF_Output!$AC$1:$AC$400,_xlfn.TEXTJOIN(",",TRUE,$B193:$E193),SF_Output!$Q$1:$Q$400,"monthly"))/V193)),AF193="exclusion",-(SUMIFS(SF_Output!$T$1:$T$400,SF_Output!$AC$1:$AC$400,_xlfn.TEXTJOIN(",",TRUE,$B193:$E193),SF_Output!$Q$1:$Q$400,"monthly"))/V193)</f>
        <v/>
      </c>
      <c r="X193" s="6" t="str" cm="1">
        <f t="array" ref="X193">IFERROR(_xlfn.IFS(V193=0,0,V193="","",W193=0,V193,OR(V193&lt;&gt;0,V193&lt;&gt;""),H193*I193),V193*(1-W193))</f>
        <v/>
      </c>
      <c r="Z193" s="6" t="str">
        <f>IFERROR(IF(B193="","",SUMIFS(Billing_Fallout!H:H,Billing_Fallout!N:N,B193)),0)</f>
        <v/>
      </c>
      <c r="AA193" s="6" t="str">
        <f t="shared" si="40"/>
        <v/>
      </c>
      <c r="AB193" s="6" t="str">
        <f>IFERROR(IF(B193="","",SUMIFS(Billing_Fallout!J:J,Billing_Fallout!N:N,B193)),0)</f>
        <v/>
      </c>
      <c r="AD193" s="6" t="str">
        <f t="shared" si="41"/>
        <v/>
      </c>
      <c r="AF193" t="str">
        <f>IFERROR(INDEX(H_Tables!$B$1:$B$1500,MATCH(INDEX(SF_Output!$J$1:$J$400,MATCH(B193,SF_Output!$M$1:$M$400,0)),H_Tables!$A$1:$A$1500,0)),"")</f>
        <v/>
      </c>
      <c r="AI193" s="119" t="str">
        <f t="shared" si="42"/>
        <v/>
      </c>
      <c r="AJ193" s="121">
        <f>IFERROR(INDEX(SF_Output!AD:AD,MATCH(_xlfn.TEXTJOIN(",",TRUE,B193:E193),SF_Output!AC1:AC400,0)),0.05)</f>
        <v>241</v>
      </c>
      <c r="AK193" t="str">
        <f>IF(SUMIFS(SF_Output!$F$1:$F$400,SF_Output!$AC$1:$AC$400,_xlfn.TEXTJOIN(",",TRUE,B193:E193))+SUMIFS(SF_Output!$G$1:$G$400,SF_Output!$AC$1:$AC$400,_xlfn.TEXTJOIN(",",TRUE,B193:E193))=0,"","PAP")</f>
        <v/>
      </c>
      <c r="AL193" s="35" t="str">
        <f t="shared" si="43"/>
        <v/>
      </c>
      <c r="AQ193" s="35"/>
      <c r="AR193" s="35" t="str" cm="1">
        <f t="array" ref="AR193">IFERROR(_xlfn.IFS(AND(E193*1=1,F193="Included"),"Change to Included",AND(E193*1=0,F193="Optional"),"Change to Optional",OR(B193="",F193="replaced"),""),"")</f>
        <v/>
      </c>
      <c r="AS193" s="35" t="str">
        <f t="shared" si="44"/>
        <v/>
      </c>
      <c r="AT193" s="35" t="str">
        <f t="shared" si="45"/>
        <v/>
      </c>
      <c r="AU193" s="35" t="str">
        <f t="shared" si="46"/>
        <v/>
      </c>
      <c r="AV193" s="35" t="str">
        <f t="shared" si="47"/>
        <v/>
      </c>
      <c r="AW193" s="35" t="str">
        <f t="shared" si="48"/>
        <v/>
      </c>
      <c r="AX193" s="35" t="str">
        <f t="shared" si="49"/>
        <v/>
      </c>
      <c r="AY193" s="35" t="str">
        <f t="shared" si="50"/>
        <v/>
      </c>
      <c r="AZ193" s="35" t="str">
        <f t="shared" si="51"/>
        <v/>
      </c>
      <c r="BA193" s="35" t="str">
        <f t="shared" si="52"/>
        <v/>
      </c>
      <c r="BB193" s="35" t="str">
        <f t="shared" si="53"/>
        <v/>
      </c>
      <c r="BC193" s="35"/>
      <c r="BE193" s="35" t="e">
        <f>INDEX(SF_Output!$AA$2:$AA$400,MATCH($B193,SF_Output!$M$2:$M$400,0))</f>
        <v>#N/A</v>
      </c>
      <c r="BF193" s="35" t="e">
        <f>INDEX(SF_Output!$AB$2:$AB$400,MATCH($B193,SF_Output!$M$2:$M$400,0))</f>
        <v>#N/A</v>
      </c>
    </row>
    <row r="194" spans="6:58" x14ac:dyDescent="0.25">
      <c r="F194" s="116" t="str">
        <f t="shared" si="36"/>
        <v/>
      </c>
      <c r="G194" t="str">
        <f>IF(B194="","",INDEX(SF_Output!$K$1:$K$400,MATCH(B194,SF_Output!$M$1:$M$400,0)))</f>
        <v/>
      </c>
      <c r="H194" t="str" cm="1">
        <f t="array" ref="H194">_xlfn.IFS(B194="","",(SUMIFS(SF_Output!$F$1:$F$400,SF_Output!$AC$1:$AC$400,_xlfn.TEXTJOIN(",",TRUE,B194:E194))+SUMIFS(SF_Output!$G$1:$G$400,SF_Output!$AC$1:$AC$400,_xlfn.TEXTJOIN(",",TRUE,B194:E194)))&lt;&gt;0,SF_Output!$Y$2,INDEX(SF_Output!$F$1:$F$400,MATCH(_xlfn.TEXTJOIN(",",TRUE,B194:E194),SF_Output!$AC$1:$AC$400,0))=0,INDEX(SF_Output!$R$1:$R$400,MATCH(_xlfn.TEXTJOIN(",",TRUE,B194:E194),SF_Output!$AC$1:$AC$400,0)))</f>
        <v/>
      </c>
      <c r="I194" s="125" t="str">
        <f>IFERROR(IF(AND(H194&gt;1,H194&lt;&gt;""),ROUND(SUMIFS(SF_Output!$S$1:$S$400,SF_Output!$AC$1:$AC$400,_xlfn.TEXTJOIN(",",TRUE,B194:E194),SF_Output!$Q$1:$Q$400,"monthly")*(1-W194)/H194,4),""),"")</f>
        <v/>
      </c>
      <c r="J194" s="6" t="str">
        <f>IF(B194="","",SUMIFS(SF_Output!$S$1:$S$400,SF_Output!$AC$1:$AC$400,_xlfn.TEXTJOIN(",",TRUE,B194:E194),SF_Output!$Q$1:$Q$400,"One Time",SF_Output!$L$1:$L$400,"license fee")+SUMIFS(SF_Output!$S$1:$S$400,SF_Output!$AC$1:$AC$400,_xlfn.TEXTJOIN(",",TRUE,B194:E194),SF_Output!$Q$1:$Q$400,"One Time",SF_Output!$L$1:$L$400,"software license")+SUMIFS(SF_Output!$S$1:$S$400,SF_Output!$AC$1:$AC$400,_xlfn.TEXTJOIN(",",TRUE,B194:E194),SF_Output!$Q$1:$Q$400,"One Time",SF_Output!$L$1:$L$400,"hardware"))</f>
        <v/>
      </c>
      <c r="K194" s="112" t="str">
        <f>IF(OR(B194=0,B194="",G194="hardware",J194=0),"",IF(AF194&lt;&gt;"exclusion",MAX(K$9,-((SUMIFS(SF_Output!$T$1:$T$400,SF_Output!$AC$1:$AC$400,_xlfn.TEXTJOIN(",",TRUE,$B194:$E194),SF_Output!$Q$1:$Q$400,"One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license"))/J194)))</f>
        <v/>
      </c>
      <c r="L194" s="6" t="str">
        <f t="shared" si="37"/>
        <v/>
      </c>
      <c r="N194" s="6" t="str">
        <f>IF(B194="","",SUMIFS(SF_Output!$S$1:$S$400,SF_Output!$AC$1:$AC$400,_xlfn.TEXTJOIN(",",TRUE,B194:E194),SF_Output!$Q$1:$Q$400,"One Time",SF_Output!$L$1:$L$400,"professional service"))</f>
        <v/>
      </c>
      <c r="O194" s="112" t="str">
        <f>IF(OR(B194=0,B194="",N194=0),"",IF(AF194&lt;&gt;"exclusion",MAX(O$9,-(SUMIFS(SF_Output!$T$1:$T$400,SF_Output!$AC$1:$AC$400,_xlfn.TEXTJOIN(",",TRUE,$B194:$E194),SF_Output!$Q$1:$Q$400,"One Time",SF_Output!$L$1:$L$400,"professional service"))/N194),-((SUMIFS(SF_Output!$T$1:$T$400,SF_Output!$AC$1:$AC$400,_xlfn.TEXTJOIN(",",TRUE,$B194:$E194),SF_Output!$Q$1:$Q$400,"One Time",SF_Output!$L$1:$L$400,"professional service")/N194))))</f>
        <v/>
      </c>
      <c r="P194" s="6" t="str">
        <f t="shared" si="38"/>
        <v/>
      </c>
      <c r="R194" s="6" t="str">
        <f>IF(B194="","",SUMIFS(SF_Output!$S$1:$S$400,SF_Output!$AC$1:$AC$400,_xlfn.TEXTJOIN(",",TRUE,B194:E194),SF_Output!$Q$1:$Q$400,"yearly")+SUMIFS(SF_Output!$S$1:$S$400,SF_Output!$AC$1:$AC$400,_xlfn.TEXTJOIN(",",TRUE,B194:E194),SF_Output!$Q$1:$Q$400,"quarterly")*4)</f>
        <v/>
      </c>
      <c r="S194" s="112" t="str">
        <f>IF(OR(B194=0,B194="",G194="hardware",R194=0),"",IF(AF194&lt;&gt;"exclusion",MAX(S$9,-(SUMIFS(SF_Output!$T$1:$T$400,SF_Output!$AC$1:$AC$400,_xlfn.TEXTJOIN(",",TRUE,$B194:$E194),SF_Output!$Q$1:$Q$400,"yearly"))/R194),-((SUMIFS(SF_Output!$T$1:$T$400,SF_Output!$AC$1:$AC$400,_xlfn.TEXTJOIN(",",TRUE,$B194:$E194),SF_Output!$Q$1:$Q$400,"yearly")/R194))))</f>
        <v/>
      </c>
      <c r="T194" s="6" t="str">
        <f t="shared" si="39"/>
        <v/>
      </c>
      <c r="V194" s="6" t="str" cm="1">
        <f t="array" ref="V194">_xlfn.IFS(B194="","",AND(B194&lt;&gt;"",H194=SF_Output!$Y$2,SUMIFS(SF_Output!$T$1:$T$400,SF_Output!$AC$1:$AC$400,_xlfn.TEXTJOIN(",",TRUE,B194:E194),SF_Output!$Q$1:$Q$400,"monthly")=0),(SUMIFS(SF_Output!$F$1:$F$400,SF_Output!$AC$1:$AC$400,_xlfn.TEXTJOIN(",",TRUE,B194:E194),SF_Output!$Q$1:$Q$400,"monthly")+SUMIFS(SF_Output!$G$1:$G$400,SF_Output!$AC$1:$AC$400,_xlfn.TEXTJOIN(",",TRUE,B194:E194),SF_Output!$Q$1:$Q$400,"monthly"))*H194,AND(B194&lt;&gt;"",H194=SF_Output!$Y$2,SUMIFS(SF_Output!$T$1:$T$400,SF_Output!$AC$1:$AC$400,_xlfn.TEXTJOIN(",",TRUE,B194:E194),SF_Output!$Q$1:$Q$400,"monthly")&lt;&gt;0),SUMIFS(SF_Output!$S$1:$S$400,SF_Output!$AC$1:$AC$400,_xlfn.TEXTJOIN(",",TRUE,B194:E194),SF_Output!$Q$1:$Q$400,"monthly"),AND(B194&lt;&gt;"",H194&lt;&gt;SF_Output!$Y$2),SUMIFS(SF_Output!$S$1:$S$400,SF_Output!$AC$1:$AC$400,_xlfn.TEXTJOIN(",",TRUE,B194:E194),SF_Output!$Q$1:$Q$400,"monthly"))</f>
        <v/>
      </c>
      <c r="W194" s="112" t="str" cm="1">
        <f t="array" ref="W194">_xlfn.IFS(OR(B194=0,B194="",V194=0),"",AF194&lt;&gt;"exclusion",MAX($W$9,$W$7,(-(SUMIFS(SF_Output!$T$1:$T$400,SF_Output!$AC$1:$AC$400,_xlfn.TEXTJOIN(",",TRUE,$B194:$E194),SF_Output!$Q$1:$Q$400,"monthly"))/V194)),AF194="exclusion",-(SUMIFS(SF_Output!$T$1:$T$400,SF_Output!$AC$1:$AC$400,_xlfn.TEXTJOIN(",",TRUE,$B194:$E194),SF_Output!$Q$1:$Q$400,"monthly"))/V194)</f>
        <v/>
      </c>
      <c r="X194" s="6" t="str" cm="1">
        <f t="array" ref="X194">IFERROR(_xlfn.IFS(V194=0,0,V194="","",W194=0,V194,OR(V194&lt;&gt;0,V194&lt;&gt;""),H194*I194),V194*(1-W194))</f>
        <v/>
      </c>
      <c r="Z194" s="6" t="str">
        <f>IFERROR(IF(B194="","",SUMIFS(Billing_Fallout!H:H,Billing_Fallout!N:N,B194)),0)</f>
        <v/>
      </c>
      <c r="AA194" s="6" t="str">
        <f t="shared" si="40"/>
        <v/>
      </c>
      <c r="AB194" s="6" t="str">
        <f>IFERROR(IF(B194="","",SUMIFS(Billing_Fallout!J:J,Billing_Fallout!N:N,B194)),0)</f>
        <v/>
      </c>
      <c r="AD194" s="6" t="str">
        <f t="shared" si="41"/>
        <v/>
      </c>
      <c r="AF194" t="str">
        <f>IFERROR(INDEX(H_Tables!$B$1:$B$1500,MATCH(INDEX(SF_Output!$J$1:$J$400,MATCH(B194,SF_Output!$M$1:$M$400,0)),H_Tables!$A$1:$A$1500,0)),"")</f>
        <v/>
      </c>
      <c r="AI194" s="119" t="str">
        <f t="shared" si="42"/>
        <v/>
      </c>
      <c r="AJ194" s="121">
        <f>IFERROR(INDEX(SF_Output!AD:AD,MATCH(_xlfn.TEXTJOIN(",",TRUE,B194:E194),SF_Output!AC1:AC400,0)),0.05)</f>
        <v>241</v>
      </c>
      <c r="AK194" t="str">
        <f>IF(SUMIFS(SF_Output!$F$1:$F$400,SF_Output!$AC$1:$AC$400,_xlfn.TEXTJOIN(",",TRUE,B194:E194))+SUMIFS(SF_Output!$G$1:$G$400,SF_Output!$AC$1:$AC$400,_xlfn.TEXTJOIN(",",TRUE,B194:E194))=0,"","PAP")</f>
        <v/>
      </c>
      <c r="AL194" s="35" t="str">
        <f t="shared" si="43"/>
        <v/>
      </c>
      <c r="AQ194" s="35"/>
      <c r="AR194" s="35" t="str" cm="1">
        <f t="array" ref="AR194">IFERROR(_xlfn.IFS(AND(E194*1=1,F194="Included"),"Change to Included",AND(E194*1=0,F194="Optional"),"Change to Optional",OR(B194="",F194="replaced"),""),"")</f>
        <v/>
      </c>
      <c r="AS194" s="35" t="str">
        <f t="shared" si="44"/>
        <v/>
      </c>
      <c r="AT194" s="35" t="str">
        <f t="shared" si="45"/>
        <v/>
      </c>
      <c r="AU194" s="35" t="str">
        <f t="shared" si="46"/>
        <v/>
      </c>
      <c r="AV194" s="35" t="str">
        <f t="shared" si="47"/>
        <v/>
      </c>
      <c r="AW194" s="35" t="str">
        <f t="shared" si="48"/>
        <v/>
      </c>
      <c r="AX194" s="35" t="str">
        <f t="shared" si="49"/>
        <v/>
      </c>
      <c r="AY194" s="35" t="str">
        <f t="shared" si="50"/>
        <v/>
      </c>
      <c r="AZ194" s="35" t="str">
        <f t="shared" si="51"/>
        <v/>
      </c>
      <c r="BA194" s="35" t="str">
        <f t="shared" si="52"/>
        <v/>
      </c>
      <c r="BB194" s="35" t="str">
        <f t="shared" si="53"/>
        <v/>
      </c>
      <c r="BC194" s="35"/>
      <c r="BE194" s="35" t="e">
        <f>INDEX(SF_Output!$AA$2:$AA$400,MATCH($B194,SF_Output!$M$2:$M$400,0))</f>
        <v>#N/A</v>
      </c>
      <c r="BF194" s="35" t="e">
        <f>INDEX(SF_Output!$AB$2:$AB$400,MATCH($B194,SF_Output!$M$2:$M$400,0))</f>
        <v>#N/A</v>
      </c>
    </row>
    <row r="195" spans="6:58" x14ac:dyDescent="0.25">
      <c r="F195" s="116" t="str">
        <f t="shared" si="36"/>
        <v/>
      </c>
      <c r="G195" t="str">
        <f>IF(B195="","",INDEX(SF_Output!$K$1:$K$400,MATCH(B195,SF_Output!$M$1:$M$400,0)))</f>
        <v/>
      </c>
      <c r="H195" t="str" cm="1">
        <f t="array" ref="H195">_xlfn.IFS(B195="","",(SUMIFS(SF_Output!$F$1:$F$400,SF_Output!$AC$1:$AC$400,_xlfn.TEXTJOIN(",",TRUE,B195:E195))+SUMIFS(SF_Output!$G$1:$G$400,SF_Output!$AC$1:$AC$400,_xlfn.TEXTJOIN(",",TRUE,B195:E195)))&lt;&gt;0,SF_Output!$Y$2,INDEX(SF_Output!$F$1:$F$400,MATCH(_xlfn.TEXTJOIN(",",TRUE,B195:E195),SF_Output!$AC$1:$AC$400,0))=0,INDEX(SF_Output!$R$1:$R$400,MATCH(_xlfn.TEXTJOIN(",",TRUE,B195:E195),SF_Output!$AC$1:$AC$400,0)))</f>
        <v/>
      </c>
      <c r="I195" s="125" t="str">
        <f>IFERROR(IF(AND(H195&gt;1,H195&lt;&gt;""),ROUND(SUMIFS(SF_Output!$S$1:$S$400,SF_Output!$AC$1:$AC$400,_xlfn.TEXTJOIN(",",TRUE,B195:E195),SF_Output!$Q$1:$Q$400,"monthly")*(1-W195)/H195,4),""),"")</f>
        <v/>
      </c>
      <c r="J195" s="6" t="str">
        <f>IF(B195="","",SUMIFS(SF_Output!$S$1:$S$400,SF_Output!$AC$1:$AC$400,_xlfn.TEXTJOIN(",",TRUE,B195:E195),SF_Output!$Q$1:$Q$400,"One Time",SF_Output!$L$1:$L$400,"license fee")+SUMIFS(SF_Output!$S$1:$S$400,SF_Output!$AC$1:$AC$400,_xlfn.TEXTJOIN(",",TRUE,B195:E195),SF_Output!$Q$1:$Q$400,"One Time",SF_Output!$L$1:$L$400,"software license")+SUMIFS(SF_Output!$S$1:$S$400,SF_Output!$AC$1:$AC$400,_xlfn.TEXTJOIN(",",TRUE,B195:E195),SF_Output!$Q$1:$Q$400,"One Time",SF_Output!$L$1:$L$400,"hardware"))</f>
        <v/>
      </c>
      <c r="K195" s="112" t="str">
        <f>IF(OR(B195=0,B195="",G195="hardware",J195=0),"",IF(AF195&lt;&gt;"exclusion",MAX(K$9,-((SUMIFS(SF_Output!$T$1:$T$400,SF_Output!$AC$1:$AC$400,_xlfn.TEXTJOIN(",",TRUE,$B195:$E195),SF_Output!$Q$1:$Q$400,"One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license"))/J195)))</f>
        <v/>
      </c>
      <c r="L195" s="6" t="str">
        <f t="shared" si="37"/>
        <v/>
      </c>
      <c r="N195" s="6" t="str">
        <f>IF(B195="","",SUMIFS(SF_Output!$S$1:$S$400,SF_Output!$AC$1:$AC$400,_xlfn.TEXTJOIN(",",TRUE,B195:E195),SF_Output!$Q$1:$Q$400,"One Time",SF_Output!$L$1:$L$400,"professional service"))</f>
        <v/>
      </c>
      <c r="O195" s="112" t="str">
        <f>IF(OR(B195=0,B195="",N195=0),"",IF(AF195&lt;&gt;"exclusion",MAX(O$9,-(SUMIFS(SF_Output!$T$1:$T$400,SF_Output!$AC$1:$AC$400,_xlfn.TEXTJOIN(",",TRUE,$B195:$E195),SF_Output!$Q$1:$Q$400,"One Time",SF_Output!$L$1:$L$400,"professional service"))/N195),-((SUMIFS(SF_Output!$T$1:$T$400,SF_Output!$AC$1:$AC$400,_xlfn.TEXTJOIN(",",TRUE,$B195:$E195),SF_Output!$Q$1:$Q$400,"One Time",SF_Output!$L$1:$L$400,"professional service")/N195))))</f>
        <v/>
      </c>
      <c r="P195" s="6" t="str">
        <f t="shared" si="38"/>
        <v/>
      </c>
      <c r="R195" s="6" t="str">
        <f>IF(B195="","",SUMIFS(SF_Output!$S$1:$S$400,SF_Output!$AC$1:$AC$400,_xlfn.TEXTJOIN(",",TRUE,B195:E195),SF_Output!$Q$1:$Q$400,"yearly")+SUMIFS(SF_Output!$S$1:$S$400,SF_Output!$AC$1:$AC$400,_xlfn.TEXTJOIN(",",TRUE,B195:E195),SF_Output!$Q$1:$Q$400,"quarterly")*4)</f>
        <v/>
      </c>
      <c r="S195" s="112" t="str">
        <f>IF(OR(B195=0,B195="",G195="hardware",R195=0),"",IF(AF195&lt;&gt;"exclusion",MAX(S$9,-(SUMIFS(SF_Output!$T$1:$T$400,SF_Output!$AC$1:$AC$400,_xlfn.TEXTJOIN(",",TRUE,$B195:$E195),SF_Output!$Q$1:$Q$400,"yearly"))/R195),-((SUMIFS(SF_Output!$T$1:$T$400,SF_Output!$AC$1:$AC$400,_xlfn.TEXTJOIN(",",TRUE,$B195:$E195),SF_Output!$Q$1:$Q$400,"yearly")/R195))))</f>
        <v/>
      </c>
      <c r="T195" s="6" t="str">
        <f t="shared" si="39"/>
        <v/>
      </c>
      <c r="V195" s="6" t="str" cm="1">
        <f t="array" ref="V195">_xlfn.IFS(B195="","",AND(B195&lt;&gt;"",H195=SF_Output!$Y$2,SUMIFS(SF_Output!$T$1:$T$400,SF_Output!$AC$1:$AC$400,_xlfn.TEXTJOIN(",",TRUE,B195:E195),SF_Output!$Q$1:$Q$400,"monthly")=0),(SUMIFS(SF_Output!$F$1:$F$400,SF_Output!$AC$1:$AC$400,_xlfn.TEXTJOIN(",",TRUE,B195:E195),SF_Output!$Q$1:$Q$400,"monthly")+SUMIFS(SF_Output!$G$1:$G$400,SF_Output!$AC$1:$AC$400,_xlfn.TEXTJOIN(",",TRUE,B195:E195),SF_Output!$Q$1:$Q$400,"monthly"))*H195,AND(B195&lt;&gt;"",H195=SF_Output!$Y$2,SUMIFS(SF_Output!$T$1:$T$400,SF_Output!$AC$1:$AC$400,_xlfn.TEXTJOIN(",",TRUE,B195:E195),SF_Output!$Q$1:$Q$400,"monthly")&lt;&gt;0),SUMIFS(SF_Output!$S$1:$S$400,SF_Output!$AC$1:$AC$400,_xlfn.TEXTJOIN(",",TRUE,B195:E195),SF_Output!$Q$1:$Q$400,"monthly"),AND(B195&lt;&gt;"",H195&lt;&gt;SF_Output!$Y$2),SUMIFS(SF_Output!$S$1:$S$400,SF_Output!$AC$1:$AC$400,_xlfn.TEXTJOIN(",",TRUE,B195:E195),SF_Output!$Q$1:$Q$400,"monthly"))</f>
        <v/>
      </c>
      <c r="W195" s="112" t="str" cm="1">
        <f t="array" ref="W195">_xlfn.IFS(OR(B195=0,B195="",V195=0),"",AF195&lt;&gt;"exclusion",MAX($W$9,$W$7,(-(SUMIFS(SF_Output!$T$1:$T$400,SF_Output!$AC$1:$AC$400,_xlfn.TEXTJOIN(",",TRUE,$B195:$E195),SF_Output!$Q$1:$Q$400,"monthly"))/V195)),AF195="exclusion",-(SUMIFS(SF_Output!$T$1:$T$400,SF_Output!$AC$1:$AC$400,_xlfn.TEXTJOIN(",",TRUE,$B195:$E195),SF_Output!$Q$1:$Q$400,"monthly"))/V195)</f>
        <v/>
      </c>
      <c r="X195" s="6" t="str" cm="1">
        <f t="array" ref="X195">IFERROR(_xlfn.IFS(V195=0,0,V195="","",W195=0,V195,OR(V195&lt;&gt;0,V195&lt;&gt;""),H195*I195),V195*(1-W195))</f>
        <v/>
      </c>
      <c r="Z195" s="6" t="str">
        <f>IFERROR(IF(B195="","",SUMIFS(Billing_Fallout!H:H,Billing_Fallout!N:N,B195)),0)</f>
        <v/>
      </c>
      <c r="AA195" s="6" t="str">
        <f t="shared" si="40"/>
        <v/>
      </c>
      <c r="AB195" s="6" t="str">
        <f>IFERROR(IF(B195="","",SUMIFS(Billing_Fallout!J:J,Billing_Fallout!N:N,B195)),0)</f>
        <v/>
      </c>
      <c r="AD195" s="6" t="str">
        <f t="shared" si="41"/>
        <v/>
      </c>
      <c r="AF195" t="str">
        <f>IFERROR(INDEX(H_Tables!$B$1:$B$1500,MATCH(INDEX(SF_Output!$J$1:$J$400,MATCH(B195,SF_Output!$M$1:$M$400,0)),H_Tables!$A$1:$A$1500,0)),"")</f>
        <v/>
      </c>
      <c r="AI195" s="119" t="str">
        <f t="shared" si="42"/>
        <v/>
      </c>
      <c r="AJ195" s="121">
        <f>IFERROR(INDEX(SF_Output!AD:AD,MATCH(_xlfn.TEXTJOIN(",",TRUE,B195:E195),SF_Output!AC1:AC400,0)),0.05)</f>
        <v>241</v>
      </c>
      <c r="AK195" t="str">
        <f>IF(SUMIFS(SF_Output!$F$1:$F$400,SF_Output!$AC$1:$AC$400,_xlfn.TEXTJOIN(",",TRUE,B195:E195))+SUMIFS(SF_Output!$G$1:$G$400,SF_Output!$AC$1:$AC$400,_xlfn.TEXTJOIN(",",TRUE,B195:E195))=0,"","PAP")</f>
        <v/>
      </c>
      <c r="AL195" s="35" t="str">
        <f t="shared" si="43"/>
        <v/>
      </c>
      <c r="AQ195" s="35"/>
      <c r="AR195" s="35" t="str" cm="1">
        <f t="array" ref="AR195">IFERROR(_xlfn.IFS(AND(E195*1=1,F195="Included"),"Change to Included",AND(E195*1=0,F195="Optional"),"Change to Optional",OR(B195="",F195="replaced"),""),"")</f>
        <v/>
      </c>
      <c r="AS195" s="35" t="str">
        <f t="shared" si="44"/>
        <v/>
      </c>
      <c r="AT195" s="35" t="str">
        <f t="shared" si="45"/>
        <v/>
      </c>
      <c r="AU195" s="35" t="str">
        <f t="shared" si="46"/>
        <v/>
      </c>
      <c r="AV195" s="35" t="str">
        <f t="shared" si="47"/>
        <v/>
      </c>
      <c r="AW195" s="35" t="str">
        <f t="shared" si="48"/>
        <v/>
      </c>
      <c r="AX195" s="35" t="str">
        <f t="shared" si="49"/>
        <v/>
      </c>
      <c r="AY195" s="35" t="str">
        <f t="shared" si="50"/>
        <v/>
      </c>
      <c r="AZ195" s="35" t="str">
        <f t="shared" si="51"/>
        <v/>
      </c>
      <c r="BA195" s="35" t="str">
        <f t="shared" si="52"/>
        <v/>
      </c>
      <c r="BB195" s="35" t="str">
        <f t="shared" si="53"/>
        <v/>
      </c>
      <c r="BC195" s="35"/>
      <c r="BE195" s="35" t="e">
        <f>INDEX(SF_Output!$AA$2:$AA$400,MATCH($B195,SF_Output!$M$2:$M$400,0))</f>
        <v>#N/A</v>
      </c>
      <c r="BF195" s="35" t="e">
        <f>INDEX(SF_Output!$AB$2:$AB$400,MATCH($B195,SF_Output!$M$2:$M$400,0))</f>
        <v>#N/A</v>
      </c>
    </row>
    <row r="196" spans="6:58" x14ac:dyDescent="0.25">
      <c r="F196" s="116" t="str">
        <f t="shared" si="36"/>
        <v/>
      </c>
      <c r="G196" t="str">
        <f>IF(B196="","",INDEX(SF_Output!$K$1:$K$400,MATCH(B196,SF_Output!$M$1:$M$400,0)))</f>
        <v/>
      </c>
      <c r="H196" t="str" cm="1">
        <f t="array" ref="H196">_xlfn.IFS(B196="","",(SUMIFS(SF_Output!$F$1:$F$400,SF_Output!$AC$1:$AC$400,_xlfn.TEXTJOIN(",",TRUE,B196:E196))+SUMIFS(SF_Output!$G$1:$G$400,SF_Output!$AC$1:$AC$400,_xlfn.TEXTJOIN(",",TRUE,B196:E196)))&lt;&gt;0,SF_Output!$Y$2,INDEX(SF_Output!$F$1:$F$400,MATCH(_xlfn.TEXTJOIN(",",TRUE,B196:E196),SF_Output!$AC$1:$AC$400,0))=0,INDEX(SF_Output!$R$1:$R$400,MATCH(_xlfn.TEXTJOIN(",",TRUE,B196:E196),SF_Output!$AC$1:$AC$400,0)))</f>
        <v/>
      </c>
      <c r="I196" s="125" t="str">
        <f>IFERROR(IF(AND(H196&gt;1,H196&lt;&gt;""),ROUND(SUMIFS(SF_Output!$S$1:$S$400,SF_Output!$AC$1:$AC$400,_xlfn.TEXTJOIN(",",TRUE,B196:E196),SF_Output!$Q$1:$Q$400,"monthly")*(1-W196)/H196,4),""),"")</f>
        <v/>
      </c>
      <c r="J196" s="6" t="str">
        <f>IF(B196="","",SUMIFS(SF_Output!$S$1:$S$400,SF_Output!$AC$1:$AC$400,_xlfn.TEXTJOIN(",",TRUE,B196:E196),SF_Output!$Q$1:$Q$400,"One Time",SF_Output!$L$1:$L$400,"license fee")+SUMIFS(SF_Output!$S$1:$S$400,SF_Output!$AC$1:$AC$400,_xlfn.TEXTJOIN(",",TRUE,B196:E196),SF_Output!$Q$1:$Q$400,"One Time",SF_Output!$L$1:$L$400,"software license")+SUMIFS(SF_Output!$S$1:$S$400,SF_Output!$AC$1:$AC$400,_xlfn.TEXTJOIN(",",TRUE,B196:E196),SF_Output!$Q$1:$Q$400,"One Time",SF_Output!$L$1:$L$400,"hardware"))</f>
        <v/>
      </c>
      <c r="K196" s="112" t="str">
        <f>IF(OR(B196=0,B196="",G196="hardware",J196=0),"",IF(AF196&lt;&gt;"exclusion",MAX(K$9,-((SUMIFS(SF_Output!$T$1:$T$400,SF_Output!$AC$1:$AC$400,_xlfn.TEXTJOIN(",",TRUE,$B196:$E196),SF_Output!$Q$1:$Q$400,"One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license"))/J196)))</f>
        <v/>
      </c>
      <c r="L196" s="6" t="str">
        <f t="shared" si="37"/>
        <v/>
      </c>
      <c r="N196" s="6" t="str">
        <f>IF(B196="","",SUMIFS(SF_Output!$S$1:$S$400,SF_Output!$AC$1:$AC$400,_xlfn.TEXTJOIN(",",TRUE,B196:E196),SF_Output!$Q$1:$Q$400,"One Time",SF_Output!$L$1:$L$400,"professional service"))</f>
        <v/>
      </c>
      <c r="O196" s="112" t="str">
        <f>IF(OR(B196=0,B196="",N196=0),"",IF(AF196&lt;&gt;"exclusion",MAX(O$9,-(SUMIFS(SF_Output!$T$1:$T$400,SF_Output!$AC$1:$AC$400,_xlfn.TEXTJOIN(",",TRUE,$B196:$E196),SF_Output!$Q$1:$Q$400,"One Time",SF_Output!$L$1:$L$400,"professional service"))/N196),-((SUMIFS(SF_Output!$T$1:$T$400,SF_Output!$AC$1:$AC$400,_xlfn.TEXTJOIN(",",TRUE,$B196:$E196),SF_Output!$Q$1:$Q$400,"One Time",SF_Output!$L$1:$L$400,"professional service")/N196))))</f>
        <v/>
      </c>
      <c r="P196" s="6" t="str">
        <f t="shared" si="38"/>
        <v/>
      </c>
      <c r="R196" s="6" t="str">
        <f>IF(B196="","",SUMIFS(SF_Output!$S$1:$S$400,SF_Output!$AC$1:$AC$400,_xlfn.TEXTJOIN(",",TRUE,B196:E196),SF_Output!$Q$1:$Q$400,"yearly")+SUMIFS(SF_Output!$S$1:$S$400,SF_Output!$AC$1:$AC$400,_xlfn.TEXTJOIN(",",TRUE,B196:E196),SF_Output!$Q$1:$Q$400,"quarterly")*4)</f>
        <v/>
      </c>
      <c r="S196" s="112" t="str">
        <f>IF(OR(B196=0,B196="",G196="hardware",R196=0),"",IF(AF196&lt;&gt;"exclusion",MAX(S$9,-(SUMIFS(SF_Output!$T$1:$T$400,SF_Output!$AC$1:$AC$400,_xlfn.TEXTJOIN(",",TRUE,$B196:$E196),SF_Output!$Q$1:$Q$400,"yearly"))/R196),-((SUMIFS(SF_Output!$T$1:$T$400,SF_Output!$AC$1:$AC$400,_xlfn.TEXTJOIN(",",TRUE,$B196:$E196),SF_Output!$Q$1:$Q$400,"yearly")/R196))))</f>
        <v/>
      </c>
      <c r="T196" s="6" t="str">
        <f t="shared" si="39"/>
        <v/>
      </c>
      <c r="V196" s="6" t="str" cm="1">
        <f t="array" ref="V196">_xlfn.IFS(B196="","",AND(B196&lt;&gt;"",H196=SF_Output!$Y$2,SUMIFS(SF_Output!$T$1:$T$400,SF_Output!$AC$1:$AC$400,_xlfn.TEXTJOIN(",",TRUE,B196:E196),SF_Output!$Q$1:$Q$400,"monthly")=0),(SUMIFS(SF_Output!$F$1:$F$400,SF_Output!$AC$1:$AC$400,_xlfn.TEXTJOIN(",",TRUE,B196:E196),SF_Output!$Q$1:$Q$400,"monthly")+SUMIFS(SF_Output!$G$1:$G$400,SF_Output!$AC$1:$AC$400,_xlfn.TEXTJOIN(",",TRUE,B196:E196),SF_Output!$Q$1:$Q$400,"monthly"))*H196,AND(B196&lt;&gt;"",H196=SF_Output!$Y$2,SUMIFS(SF_Output!$T$1:$T$400,SF_Output!$AC$1:$AC$400,_xlfn.TEXTJOIN(",",TRUE,B196:E196),SF_Output!$Q$1:$Q$400,"monthly")&lt;&gt;0),SUMIFS(SF_Output!$S$1:$S$400,SF_Output!$AC$1:$AC$400,_xlfn.TEXTJOIN(",",TRUE,B196:E196),SF_Output!$Q$1:$Q$400,"monthly"),AND(B196&lt;&gt;"",H196&lt;&gt;SF_Output!$Y$2),SUMIFS(SF_Output!$S$1:$S$400,SF_Output!$AC$1:$AC$400,_xlfn.TEXTJOIN(",",TRUE,B196:E196),SF_Output!$Q$1:$Q$400,"monthly"))</f>
        <v/>
      </c>
      <c r="W196" s="112" t="str" cm="1">
        <f t="array" ref="W196">_xlfn.IFS(OR(B196=0,B196="",V196=0),"",AF196&lt;&gt;"exclusion",MAX($W$9,$W$7,(-(SUMIFS(SF_Output!$T$1:$T$400,SF_Output!$AC$1:$AC$400,_xlfn.TEXTJOIN(",",TRUE,$B196:$E196),SF_Output!$Q$1:$Q$400,"monthly"))/V196)),AF196="exclusion",-(SUMIFS(SF_Output!$T$1:$T$400,SF_Output!$AC$1:$AC$400,_xlfn.TEXTJOIN(",",TRUE,$B196:$E196),SF_Output!$Q$1:$Q$400,"monthly"))/V196)</f>
        <v/>
      </c>
      <c r="X196" s="6" t="str" cm="1">
        <f t="array" ref="X196">IFERROR(_xlfn.IFS(V196=0,0,V196="","",W196=0,V196,OR(V196&lt;&gt;0,V196&lt;&gt;""),H196*I196),V196*(1-W196))</f>
        <v/>
      </c>
      <c r="Z196" s="6" t="str">
        <f>IFERROR(IF(B196="","",SUMIFS(Billing_Fallout!H:H,Billing_Fallout!N:N,B196)),0)</f>
        <v/>
      </c>
      <c r="AA196" s="6" t="str">
        <f t="shared" si="40"/>
        <v/>
      </c>
      <c r="AB196" s="6" t="str">
        <f>IFERROR(IF(B196="","",SUMIFS(Billing_Fallout!J:J,Billing_Fallout!N:N,B196)),0)</f>
        <v/>
      </c>
      <c r="AD196" s="6" t="str">
        <f t="shared" si="41"/>
        <v/>
      </c>
      <c r="AF196" t="str">
        <f>IFERROR(INDEX(H_Tables!$B$1:$B$1500,MATCH(INDEX(SF_Output!$J$1:$J$400,MATCH(B196,SF_Output!$M$1:$M$400,0)),H_Tables!$A$1:$A$1500,0)),"")</f>
        <v/>
      </c>
      <c r="AI196" s="119" t="str">
        <f t="shared" si="42"/>
        <v/>
      </c>
      <c r="AJ196" s="121">
        <f>IFERROR(INDEX(SF_Output!AD:AD,MATCH(_xlfn.TEXTJOIN(",",TRUE,B196:E196),SF_Output!AC1:AC400,0)),0.05)</f>
        <v>241</v>
      </c>
      <c r="AK196" t="str">
        <f>IF(SUMIFS(SF_Output!$F$1:$F$400,SF_Output!$AC$1:$AC$400,_xlfn.TEXTJOIN(",",TRUE,B196:E196))+SUMIFS(SF_Output!$G$1:$G$400,SF_Output!$AC$1:$AC$400,_xlfn.TEXTJOIN(",",TRUE,B196:E196))=0,"","PAP")</f>
        <v/>
      </c>
      <c r="AL196" s="35" t="str">
        <f t="shared" si="43"/>
        <v/>
      </c>
      <c r="AQ196" s="35"/>
      <c r="AR196" s="35" t="str" cm="1">
        <f t="array" ref="AR196">IFERROR(_xlfn.IFS(AND(E196*1=1,F196="Included"),"Change to Included",AND(E196*1=0,F196="Optional"),"Change to Optional",OR(B196="",F196="replaced"),""),"")</f>
        <v/>
      </c>
      <c r="AS196" s="35" t="str">
        <f t="shared" si="44"/>
        <v/>
      </c>
      <c r="AT196" s="35" t="str">
        <f t="shared" si="45"/>
        <v/>
      </c>
      <c r="AU196" s="35" t="str">
        <f t="shared" si="46"/>
        <v/>
      </c>
      <c r="AV196" s="35" t="str">
        <f t="shared" si="47"/>
        <v/>
      </c>
      <c r="AW196" s="35" t="str">
        <f t="shared" si="48"/>
        <v/>
      </c>
      <c r="AX196" s="35" t="str">
        <f t="shared" si="49"/>
        <v/>
      </c>
      <c r="AY196" s="35" t="str">
        <f t="shared" si="50"/>
        <v/>
      </c>
      <c r="AZ196" s="35" t="str">
        <f t="shared" si="51"/>
        <v/>
      </c>
      <c r="BA196" s="35" t="str">
        <f t="shared" si="52"/>
        <v/>
      </c>
      <c r="BB196" s="35" t="str">
        <f t="shared" si="53"/>
        <v/>
      </c>
      <c r="BC196" s="35"/>
      <c r="BE196" s="35" t="e">
        <f>INDEX(SF_Output!$AA$2:$AA$400,MATCH($B196,SF_Output!$M$2:$M$400,0))</f>
        <v>#N/A</v>
      </c>
      <c r="BF196" s="35" t="e">
        <f>INDEX(SF_Output!$AB$2:$AB$400,MATCH($B196,SF_Output!$M$2:$M$400,0))</f>
        <v>#N/A</v>
      </c>
    </row>
    <row r="197" spans="6:58" x14ac:dyDescent="0.25">
      <c r="F197" s="116" t="str">
        <f t="shared" si="36"/>
        <v/>
      </c>
      <c r="G197" t="str">
        <f>IF(B197="","",INDEX(SF_Output!$K$1:$K$400,MATCH(B197,SF_Output!$M$1:$M$400,0)))</f>
        <v/>
      </c>
      <c r="H197" t="str" cm="1">
        <f t="array" ref="H197">_xlfn.IFS(B197="","",(SUMIFS(SF_Output!$F$1:$F$400,SF_Output!$AC$1:$AC$400,_xlfn.TEXTJOIN(",",TRUE,B197:E197))+SUMIFS(SF_Output!$G$1:$G$400,SF_Output!$AC$1:$AC$400,_xlfn.TEXTJOIN(",",TRUE,B197:E197)))&lt;&gt;0,SF_Output!$Y$2,INDEX(SF_Output!$F$1:$F$400,MATCH(_xlfn.TEXTJOIN(",",TRUE,B197:E197),SF_Output!$AC$1:$AC$400,0))=0,INDEX(SF_Output!$R$1:$R$400,MATCH(_xlfn.TEXTJOIN(",",TRUE,B197:E197),SF_Output!$AC$1:$AC$400,0)))</f>
        <v/>
      </c>
      <c r="I197" s="125" t="str">
        <f>IFERROR(IF(AND(H197&gt;1,H197&lt;&gt;""),ROUND(SUMIFS(SF_Output!$S$1:$S$400,SF_Output!$AC$1:$AC$400,_xlfn.TEXTJOIN(",",TRUE,B197:E197),SF_Output!$Q$1:$Q$400,"monthly")*(1-W197)/H197,4),""),"")</f>
        <v/>
      </c>
      <c r="J197" s="6" t="str">
        <f>IF(B197="","",SUMIFS(SF_Output!$S$1:$S$400,SF_Output!$AC$1:$AC$400,_xlfn.TEXTJOIN(",",TRUE,B197:E197),SF_Output!$Q$1:$Q$400,"One Time",SF_Output!$L$1:$L$400,"license fee")+SUMIFS(SF_Output!$S$1:$S$400,SF_Output!$AC$1:$AC$400,_xlfn.TEXTJOIN(",",TRUE,B197:E197),SF_Output!$Q$1:$Q$400,"One Time",SF_Output!$L$1:$L$400,"software license")+SUMIFS(SF_Output!$S$1:$S$400,SF_Output!$AC$1:$AC$400,_xlfn.TEXTJOIN(",",TRUE,B197:E197),SF_Output!$Q$1:$Q$400,"One Time",SF_Output!$L$1:$L$400,"hardware"))</f>
        <v/>
      </c>
      <c r="K197" s="112" t="str">
        <f>IF(OR(B197=0,B197="",G197="hardware",J197=0),"",IF(AF197&lt;&gt;"exclusion",MAX(K$9,-((SUMIFS(SF_Output!$T$1:$T$400,SF_Output!$AC$1:$AC$400,_xlfn.TEXTJOIN(",",TRUE,$B197:$E197),SF_Output!$Q$1:$Q$400,"One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license"))/J197)))</f>
        <v/>
      </c>
      <c r="L197" s="6" t="str">
        <f t="shared" si="37"/>
        <v/>
      </c>
      <c r="N197" s="6" t="str">
        <f>IF(B197="","",SUMIFS(SF_Output!$S$1:$S$400,SF_Output!$AC$1:$AC$400,_xlfn.TEXTJOIN(",",TRUE,B197:E197),SF_Output!$Q$1:$Q$400,"One Time",SF_Output!$L$1:$L$400,"professional service"))</f>
        <v/>
      </c>
      <c r="O197" s="112" t="str">
        <f>IF(OR(B197=0,B197="",N197=0),"",IF(AF197&lt;&gt;"exclusion",MAX(O$9,-(SUMIFS(SF_Output!$T$1:$T$400,SF_Output!$AC$1:$AC$400,_xlfn.TEXTJOIN(",",TRUE,$B197:$E197),SF_Output!$Q$1:$Q$400,"One Time",SF_Output!$L$1:$L$400,"professional service"))/N197),-((SUMIFS(SF_Output!$T$1:$T$400,SF_Output!$AC$1:$AC$400,_xlfn.TEXTJOIN(",",TRUE,$B197:$E197),SF_Output!$Q$1:$Q$400,"One Time",SF_Output!$L$1:$L$400,"professional service")/N197))))</f>
        <v/>
      </c>
      <c r="P197" s="6" t="str">
        <f t="shared" si="38"/>
        <v/>
      </c>
      <c r="R197" s="6" t="str">
        <f>IF(B197="","",SUMIFS(SF_Output!$S$1:$S$400,SF_Output!$AC$1:$AC$400,_xlfn.TEXTJOIN(",",TRUE,B197:E197),SF_Output!$Q$1:$Q$400,"yearly")+SUMIFS(SF_Output!$S$1:$S$400,SF_Output!$AC$1:$AC$400,_xlfn.TEXTJOIN(",",TRUE,B197:E197),SF_Output!$Q$1:$Q$400,"quarterly")*4)</f>
        <v/>
      </c>
      <c r="S197" s="112" t="str">
        <f>IF(OR(B197=0,B197="",G197="hardware",R197=0),"",IF(AF197&lt;&gt;"exclusion",MAX(S$9,-(SUMIFS(SF_Output!$T$1:$T$400,SF_Output!$AC$1:$AC$400,_xlfn.TEXTJOIN(",",TRUE,$B197:$E197),SF_Output!$Q$1:$Q$400,"yearly"))/R197),-((SUMIFS(SF_Output!$T$1:$T$400,SF_Output!$AC$1:$AC$400,_xlfn.TEXTJOIN(",",TRUE,$B197:$E197),SF_Output!$Q$1:$Q$400,"yearly")/R197))))</f>
        <v/>
      </c>
      <c r="T197" s="6" t="str">
        <f t="shared" si="39"/>
        <v/>
      </c>
      <c r="V197" s="6" t="str" cm="1">
        <f t="array" ref="V197">_xlfn.IFS(B197="","",AND(B197&lt;&gt;"",H197=SF_Output!$Y$2,SUMIFS(SF_Output!$T$1:$T$400,SF_Output!$AC$1:$AC$400,_xlfn.TEXTJOIN(",",TRUE,B197:E197),SF_Output!$Q$1:$Q$400,"monthly")=0),(SUMIFS(SF_Output!$F$1:$F$400,SF_Output!$AC$1:$AC$400,_xlfn.TEXTJOIN(",",TRUE,B197:E197),SF_Output!$Q$1:$Q$400,"monthly")+SUMIFS(SF_Output!$G$1:$G$400,SF_Output!$AC$1:$AC$400,_xlfn.TEXTJOIN(",",TRUE,B197:E197),SF_Output!$Q$1:$Q$400,"monthly"))*H197,AND(B197&lt;&gt;"",H197=SF_Output!$Y$2,SUMIFS(SF_Output!$T$1:$T$400,SF_Output!$AC$1:$AC$400,_xlfn.TEXTJOIN(",",TRUE,B197:E197),SF_Output!$Q$1:$Q$400,"monthly")&lt;&gt;0),SUMIFS(SF_Output!$S$1:$S$400,SF_Output!$AC$1:$AC$400,_xlfn.TEXTJOIN(",",TRUE,B197:E197),SF_Output!$Q$1:$Q$400,"monthly"),AND(B197&lt;&gt;"",H197&lt;&gt;SF_Output!$Y$2),SUMIFS(SF_Output!$S$1:$S$400,SF_Output!$AC$1:$AC$400,_xlfn.TEXTJOIN(",",TRUE,B197:E197),SF_Output!$Q$1:$Q$400,"monthly"))</f>
        <v/>
      </c>
      <c r="W197" s="112" t="str" cm="1">
        <f t="array" ref="W197">_xlfn.IFS(OR(B197=0,B197="",V197=0),"",AF197&lt;&gt;"exclusion",MAX($W$9,$W$7,(-(SUMIFS(SF_Output!$T$1:$T$400,SF_Output!$AC$1:$AC$400,_xlfn.TEXTJOIN(",",TRUE,$B197:$E197),SF_Output!$Q$1:$Q$400,"monthly"))/V197)),AF197="exclusion",-(SUMIFS(SF_Output!$T$1:$T$400,SF_Output!$AC$1:$AC$400,_xlfn.TEXTJOIN(",",TRUE,$B197:$E197),SF_Output!$Q$1:$Q$400,"monthly"))/V197)</f>
        <v/>
      </c>
      <c r="X197" s="6" t="str" cm="1">
        <f t="array" ref="X197">IFERROR(_xlfn.IFS(V197=0,0,V197="","",W197=0,V197,OR(V197&lt;&gt;0,V197&lt;&gt;""),H197*I197),V197*(1-W197))</f>
        <v/>
      </c>
      <c r="Z197" s="6" t="str">
        <f>IFERROR(IF(B197="","",SUMIFS(Billing_Fallout!H:H,Billing_Fallout!N:N,B197)),0)</f>
        <v/>
      </c>
      <c r="AA197" s="6" t="str">
        <f t="shared" si="40"/>
        <v/>
      </c>
      <c r="AB197" s="6" t="str">
        <f>IFERROR(IF(B197="","",SUMIFS(Billing_Fallout!J:J,Billing_Fallout!N:N,B197)),0)</f>
        <v/>
      </c>
      <c r="AD197" s="6" t="str">
        <f t="shared" si="41"/>
        <v/>
      </c>
      <c r="AF197" t="str">
        <f>IFERROR(INDEX(H_Tables!$B$1:$B$1500,MATCH(INDEX(SF_Output!$J$1:$J$400,MATCH(B197,SF_Output!$M$1:$M$400,0)),H_Tables!$A$1:$A$1500,0)),"")</f>
        <v/>
      </c>
      <c r="AI197" s="119" t="str">
        <f t="shared" si="42"/>
        <v/>
      </c>
      <c r="AJ197" s="121">
        <f>IFERROR(INDEX(SF_Output!AD:AD,MATCH(_xlfn.TEXTJOIN(",",TRUE,B197:E197),SF_Output!AC1:AC400,0)),0.05)</f>
        <v>241</v>
      </c>
      <c r="AK197" t="str">
        <f>IF(SUMIFS(SF_Output!$F$1:$F$400,SF_Output!$AC$1:$AC$400,_xlfn.TEXTJOIN(",",TRUE,B197:E197))+SUMIFS(SF_Output!$G$1:$G$400,SF_Output!$AC$1:$AC$400,_xlfn.TEXTJOIN(",",TRUE,B197:E197))=0,"","PAP")</f>
        <v/>
      </c>
      <c r="AL197" s="35" t="str">
        <f t="shared" si="43"/>
        <v/>
      </c>
      <c r="AQ197" s="35"/>
      <c r="AR197" s="35" t="str" cm="1">
        <f t="array" ref="AR197">IFERROR(_xlfn.IFS(AND(E197*1=1,F197="Included"),"Change to Included",AND(E197*1=0,F197="Optional"),"Change to Optional",OR(B197="",F197="replaced"),""),"")</f>
        <v/>
      </c>
      <c r="AS197" s="35" t="str">
        <f t="shared" si="44"/>
        <v/>
      </c>
      <c r="AT197" s="35" t="str">
        <f t="shared" si="45"/>
        <v/>
      </c>
      <c r="AU197" s="35" t="str">
        <f t="shared" si="46"/>
        <v/>
      </c>
      <c r="AV197" s="35" t="str">
        <f t="shared" si="47"/>
        <v/>
      </c>
      <c r="AW197" s="35" t="str">
        <f t="shared" si="48"/>
        <v/>
      </c>
      <c r="AX197" s="35" t="str">
        <f t="shared" si="49"/>
        <v/>
      </c>
      <c r="AY197" s="35" t="str">
        <f t="shared" si="50"/>
        <v/>
      </c>
      <c r="AZ197" s="35" t="str">
        <f t="shared" si="51"/>
        <v/>
      </c>
      <c r="BA197" s="35" t="str">
        <f t="shared" si="52"/>
        <v/>
      </c>
      <c r="BB197" s="35" t="str">
        <f t="shared" si="53"/>
        <v/>
      </c>
      <c r="BC197" s="35"/>
      <c r="BE197" s="35" t="e">
        <f>INDEX(SF_Output!$AA$2:$AA$400,MATCH($B197,SF_Output!$M$2:$M$400,0))</f>
        <v>#N/A</v>
      </c>
      <c r="BF197" s="35" t="e">
        <f>INDEX(SF_Output!$AB$2:$AB$400,MATCH($B197,SF_Output!$M$2:$M$400,0))</f>
        <v>#N/A</v>
      </c>
    </row>
    <row r="198" spans="6:58" x14ac:dyDescent="0.25">
      <c r="F198" s="116" t="str">
        <f t="shared" si="36"/>
        <v/>
      </c>
      <c r="G198" t="str">
        <f>IF(B198="","",INDEX(SF_Output!$K$1:$K$400,MATCH(B198,SF_Output!$M$1:$M$400,0)))</f>
        <v/>
      </c>
      <c r="H198" t="str" cm="1">
        <f t="array" ref="H198">_xlfn.IFS(B198="","",(SUMIFS(SF_Output!$F$1:$F$400,SF_Output!$AC$1:$AC$400,_xlfn.TEXTJOIN(",",TRUE,B198:E198))+SUMIFS(SF_Output!$G$1:$G$400,SF_Output!$AC$1:$AC$400,_xlfn.TEXTJOIN(",",TRUE,B198:E198)))&lt;&gt;0,SF_Output!$Y$2,INDEX(SF_Output!$F$1:$F$400,MATCH(_xlfn.TEXTJOIN(",",TRUE,B198:E198),SF_Output!$AC$1:$AC$400,0))=0,INDEX(SF_Output!$R$1:$R$400,MATCH(_xlfn.TEXTJOIN(",",TRUE,B198:E198),SF_Output!$AC$1:$AC$400,0)))</f>
        <v/>
      </c>
      <c r="I198" s="125" t="str">
        <f>IFERROR(IF(AND(H198&gt;1,H198&lt;&gt;""),ROUND(SUMIFS(SF_Output!$S$1:$S$400,SF_Output!$AC$1:$AC$400,_xlfn.TEXTJOIN(",",TRUE,B198:E198),SF_Output!$Q$1:$Q$400,"monthly")*(1-W198)/H198,4),""),"")</f>
        <v/>
      </c>
      <c r="J198" s="6" t="str">
        <f>IF(B198="","",SUMIFS(SF_Output!$S$1:$S$400,SF_Output!$AC$1:$AC$400,_xlfn.TEXTJOIN(",",TRUE,B198:E198),SF_Output!$Q$1:$Q$400,"One Time",SF_Output!$L$1:$L$400,"license fee")+SUMIFS(SF_Output!$S$1:$S$400,SF_Output!$AC$1:$AC$400,_xlfn.TEXTJOIN(",",TRUE,B198:E198),SF_Output!$Q$1:$Q$400,"One Time",SF_Output!$L$1:$L$400,"software license")+SUMIFS(SF_Output!$S$1:$S$400,SF_Output!$AC$1:$AC$400,_xlfn.TEXTJOIN(",",TRUE,B198:E198),SF_Output!$Q$1:$Q$400,"One Time",SF_Output!$L$1:$L$400,"hardware"))</f>
        <v/>
      </c>
      <c r="K198" s="112" t="str">
        <f>IF(OR(B198=0,B198="",G198="hardware",J198=0),"",IF(AF198&lt;&gt;"exclusion",MAX(K$9,-((SUMIFS(SF_Output!$T$1:$T$400,SF_Output!$AC$1:$AC$400,_xlfn.TEXTJOIN(",",TRUE,$B198:$E198),SF_Output!$Q$1:$Q$400,"One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license"))/J198)))</f>
        <v/>
      </c>
      <c r="L198" s="6" t="str">
        <f t="shared" si="37"/>
        <v/>
      </c>
      <c r="N198" s="6" t="str">
        <f>IF(B198="","",SUMIFS(SF_Output!$S$1:$S$400,SF_Output!$AC$1:$AC$400,_xlfn.TEXTJOIN(",",TRUE,B198:E198),SF_Output!$Q$1:$Q$400,"One Time",SF_Output!$L$1:$L$400,"professional service"))</f>
        <v/>
      </c>
      <c r="O198" s="112" t="str">
        <f>IF(OR(B198=0,B198="",N198=0),"",IF(AF198&lt;&gt;"exclusion",MAX(O$9,-(SUMIFS(SF_Output!$T$1:$T$400,SF_Output!$AC$1:$AC$400,_xlfn.TEXTJOIN(",",TRUE,$B198:$E198),SF_Output!$Q$1:$Q$400,"One Time",SF_Output!$L$1:$L$400,"professional service"))/N198),-((SUMIFS(SF_Output!$T$1:$T$400,SF_Output!$AC$1:$AC$400,_xlfn.TEXTJOIN(",",TRUE,$B198:$E198),SF_Output!$Q$1:$Q$400,"One Time",SF_Output!$L$1:$L$400,"professional service")/N198))))</f>
        <v/>
      </c>
      <c r="P198" s="6" t="str">
        <f t="shared" si="38"/>
        <v/>
      </c>
      <c r="R198" s="6" t="str">
        <f>IF(B198="","",SUMIFS(SF_Output!$S$1:$S$400,SF_Output!$AC$1:$AC$400,_xlfn.TEXTJOIN(",",TRUE,B198:E198),SF_Output!$Q$1:$Q$400,"yearly")+SUMIFS(SF_Output!$S$1:$S$400,SF_Output!$AC$1:$AC$400,_xlfn.TEXTJOIN(",",TRUE,B198:E198),SF_Output!$Q$1:$Q$400,"quarterly")*4)</f>
        <v/>
      </c>
      <c r="S198" s="112" t="str">
        <f>IF(OR(B198=0,B198="",G198="hardware",R198=0),"",IF(AF198&lt;&gt;"exclusion",MAX(S$9,-(SUMIFS(SF_Output!$T$1:$T$400,SF_Output!$AC$1:$AC$400,_xlfn.TEXTJOIN(",",TRUE,$B198:$E198),SF_Output!$Q$1:$Q$400,"yearly"))/R198),-((SUMIFS(SF_Output!$T$1:$T$400,SF_Output!$AC$1:$AC$400,_xlfn.TEXTJOIN(",",TRUE,$B198:$E198),SF_Output!$Q$1:$Q$400,"yearly")/R198))))</f>
        <v/>
      </c>
      <c r="T198" s="6" t="str">
        <f t="shared" si="39"/>
        <v/>
      </c>
      <c r="V198" s="6" t="str" cm="1">
        <f t="array" ref="V198">_xlfn.IFS(B198="","",AND(B198&lt;&gt;"",H198=SF_Output!$Y$2,SUMIFS(SF_Output!$T$1:$T$400,SF_Output!$AC$1:$AC$400,_xlfn.TEXTJOIN(",",TRUE,B198:E198),SF_Output!$Q$1:$Q$400,"monthly")=0),(SUMIFS(SF_Output!$F$1:$F$400,SF_Output!$AC$1:$AC$400,_xlfn.TEXTJOIN(",",TRUE,B198:E198),SF_Output!$Q$1:$Q$400,"monthly")+SUMIFS(SF_Output!$G$1:$G$400,SF_Output!$AC$1:$AC$400,_xlfn.TEXTJOIN(",",TRUE,B198:E198),SF_Output!$Q$1:$Q$400,"monthly"))*H198,AND(B198&lt;&gt;"",H198=SF_Output!$Y$2,SUMIFS(SF_Output!$T$1:$T$400,SF_Output!$AC$1:$AC$400,_xlfn.TEXTJOIN(",",TRUE,B198:E198),SF_Output!$Q$1:$Q$400,"monthly")&lt;&gt;0),SUMIFS(SF_Output!$S$1:$S$400,SF_Output!$AC$1:$AC$400,_xlfn.TEXTJOIN(",",TRUE,B198:E198),SF_Output!$Q$1:$Q$400,"monthly"),AND(B198&lt;&gt;"",H198&lt;&gt;SF_Output!$Y$2),SUMIFS(SF_Output!$S$1:$S$400,SF_Output!$AC$1:$AC$400,_xlfn.TEXTJOIN(",",TRUE,B198:E198),SF_Output!$Q$1:$Q$400,"monthly"))</f>
        <v/>
      </c>
      <c r="W198" s="112" t="str" cm="1">
        <f t="array" ref="W198">_xlfn.IFS(OR(B198=0,B198="",V198=0),"",AF198&lt;&gt;"exclusion",MAX($W$9,$W$7,(-(SUMIFS(SF_Output!$T$1:$T$400,SF_Output!$AC$1:$AC$400,_xlfn.TEXTJOIN(",",TRUE,$B198:$E198),SF_Output!$Q$1:$Q$400,"monthly"))/V198)),AF198="exclusion",-(SUMIFS(SF_Output!$T$1:$T$400,SF_Output!$AC$1:$AC$400,_xlfn.TEXTJOIN(",",TRUE,$B198:$E198),SF_Output!$Q$1:$Q$400,"monthly"))/V198)</f>
        <v/>
      </c>
      <c r="X198" s="6" t="str" cm="1">
        <f t="array" ref="X198">IFERROR(_xlfn.IFS(V198=0,0,V198="","",W198=0,V198,OR(V198&lt;&gt;0,V198&lt;&gt;""),H198*I198),V198*(1-W198))</f>
        <v/>
      </c>
      <c r="Z198" s="6" t="str">
        <f>IFERROR(IF(B198="","",SUMIFS(Billing_Fallout!H:H,Billing_Fallout!N:N,B198)),0)</f>
        <v/>
      </c>
      <c r="AA198" s="6" t="str">
        <f t="shared" si="40"/>
        <v/>
      </c>
      <c r="AB198" s="6" t="str">
        <f>IFERROR(IF(B198="","",SUMIFS(Billing_Fallout!J:J,Billing_Fallout!N:N,B198)),0)</f>
        <v/>
      </c>
      <c r="AD198" s="6" t="str">
        <f t="shared" si="41"/>
        <v/>
      </c>
      <c r="AF198" t="str">
        <f>IFERROR(INDEX(H_Tables!$B$1:$B$1500,MATCH(INDEX(SF_Output!$J$1:$J$400,MATCH(B198,SF_Output!$M$1:$M$400,0)),H_Tables!$A$1:$A$1500,0)),"")</f>
        <v/>
      </c>
      <c r="AI198" s="119" t="str">
        <f t="shared" si="42"/>
        <v/>
      </c>
      <c r="AJ198" s="121">
        <f>IFERROR(INDEX(SF_Output!AD:AD,MATCH(_xlfn.TEXTJOIN(",",TRUE,B198:E198),SF_Output!AC1:AC400,0)),0.05)</f>
        <v>241</v>
      </c>
      <c r="AK198" t="str">
        <f>IF(SUMIFS(SF_Output!$F$1:$F$400,SF_Output!$AC$1:$AC$400,_xlfn.TEXTJOIN(",",TRUE,B198:E198))+SUMIFS(SF_Output!$G$1:$G$400,SF_Output!$AC$1:$AC$400,_xlfn.TEXTJOIN(",",TRUE,B198:E198))=0,"","PAP")</f>
        <v/>
      </c>
      <c r="AL198" s="35" t="str">
        <f t="shared" si="43"/>
        <v/>
      </c>
      <c r="AQ198" s="35"/>
      <c r="AR198" s="35" t="str" cm="1">
        <f t="array" ref="AR198">IFERROR(_xlfn.IFS(AND(E198*1=1,F198="Included"),"Change to Included",AND(E198*1=0,F198="Optional"),"Change to Optional",OR(B198="",F198="replaced"),""),"")</f>
        <v/>
      </c>
      <c r="AS198" s="35" t="str">
        <f t="shared" si="44"/>
        <v/>
      </c>
      <c r="AT198" s="35" t="str">
        <f t="shared" si="45"/>
        <v/>
      </c>
      <c r="AU198" s="35" t="str">
        <f t="shared" si="46"/>
        <v/>
      </c>
      <c r="AV198" s="35" t="str">
        <f t="shared" si="47"/>
        <v/>
      </c>
      <c r="AW198" s="35" t="str">
        <f t="shared" si="48"/>
        <v/>
      </c>
      <c r="AX198" s="35" t="str">
        <f t="shared" si="49"/>
        <v/>
      </c>
      <c r="AY198" s="35" t="str">
        <f t="shared" si="50"/>
        <v/>
      </c>
      <c r="AZ198" s="35" t="str">
        <f t="shared" si="51"/>
        <v/>
      </c>
      <c r="BA198" s="35" t="str">
        <f t="shared" si="52"/>
        <v/>
      </c>
      <c r="BB198" s="35" t="str">
        <f t="shared" si="53"/>
        <v/>
      </c>
      <c r="BC198" s="35"/>
      <c r="BE198" s="35" t="e">
        <f>INDEX(SF_Output!$AA$2:$AA$400,MATCH($B198,SF_Output!$M$2:$M$400,0))</f>
        <v>#N/A</v>
      </c>
      <c r="BF198" s="35" t="e">
        <f>INDEX(SF_Output!$AB$2:$AB$400,MATCH($B198,SF_Output!$M$2:$M$400,0))</f>
        <v>#N/A</v>
      </c>
    </row>
    <row r="199" spans="6:58" x14ac:dyDescent="0.25">
      <c r="F199" s="116" t="str">
        <f t="shared" si="36"/>
        <v/>
      </c>
      <c r="G199" t="str">
        <f>IF(B199="","",INDEX(SF_Output!$K$1:$K$400,MATCH(B199,SF_Output!$M$1:$M$400,0)))</f>
        <v/>
      </c>
      <c r="H199" t="str" cm="1">
        <f t="array" ref="H199">_xlfn.IFS(B199="","",(SUMIFS(SF_Output!$F$1:$F$400,SF_Output!$AC$1:$AC$400,_xlfn.TEXTJOIN(",",TRUE,B199:E199))+SUMIFS(SF_Output!$G$1:$G$400,SF_Output!$AC$1:$AC$400,_xlfn.TEXTJOIN(",",TRUE,B199:E199)))&lt;&gt;0,SF_Output!$Y$2,INDEX(SF_Output!$F$1:$F$400,MATCH(_xlfn.TEXTJOIN(",",TRUE,B199:E199),SF_Output!$AC$1:$AC$400,0))=0,INDEX(SF_Output!$R$1:$R$400,MATCH(_xlfn.TEXTJOIN(",",TRUE,B199:E199),SF_Output!$AC$1:$AC$400,0)))</f>
        <v/>
      </c>
      <c r="I199" s="125" t="str">
        <f>IFERROR(IF(AND(H199&gt;1,H199&lt;&gt;""),ROUND(SUMIFS(SF_Output!$S$1:$S$400,SF_Output!$AC$1:$AC$400,_xlfn.TEXTJOIN(",",TRUE,B199:E199),SF_Output!$Q$1:$Q$400,"monthly")*(1-W199)/H199,4),""),"")</f>
        <v/>
      </c>
      <c r="J199" s="6" t="str">
        <f>IF(B199="","",SUMIFS(SF_Output!$S$1:$S$400,SF_Output!$AC$1:$AC$400,_xlfn.TEXTJOIN(",",TRUE,B199:E199),SF_Output!$Q$1:$Q$400,"One Time",SF_Output!$L$1:$L$400,"license fee")+SUMIFS(SF_Output!$S$1:$S$400,SF_Output!$AC$1:$AC$400,_xlfn.TEXTJOIN(",",TRUE,B199:E199),SF_Output!$Q$1:$Q$400,"One Time",SF_Output!$L$1:$L$400,"software license")+SUMIFS(SF_Output!$S$1:$S$400,SF_Output!$AC$1:$AC$400,_xlfn.TEXTJOIN(",",TRUE,B199:E199),SF_Output!$Q$1:$Q$400,"One Time",SF_Output!$L$1:$L$400,"hardware"))</f>
        <v/>
      </c>
      <c r="K199" s="112" t="str">
        <f>IF(OR(B199=0,B199="",G199="hardware",J199=0),"",IF(AF199&lt;&gt;"exclusion",MAX(K$9,-((SUMIFS(SF_Output!$T$1:$T$400,SF_Output!$AC$1:$AC$400,_xlfn.TEXTJOIN(",",TRUE,$B199:$E199),SF_Output!$Q$1:$Q$400,"One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license"))/J199)))</f>
        <v/>
      </c>
      <c r="L199" s="6" t="str">
        <f t="shared" si="37"/>
        <v/>
      </c>
      <c r="N199" s="6" t="str">
        <f>IF(B199="","",SUMIFS(SF_Output!$S$1:$S$400,SF_Output!$AC$1:$AC$400,_xlfn.TEXTJOIN(",",TRUE,B199:E199),SF_Output!$Q$1:$Q$400,"One Time",SF_Output!$L$1:$L$400,"professional service"))</f>
        <v/>
      </c>
      <c r="O199" s="112" t="str">
        <f>IF(OR(B199=0,B199="",N199=0),"",IF(AF199&lt;&gt;"exclusion",MAX(O$9,-(SUMIFS(SF_Output!$T$1:$T$400,SF_Output!$AC$1:$AC$400,_xlfn.TEXTJOIN(",",TRUE,$B199:$E199),SF_Output!$Q$1:$Q$400,"One Time",SF_Output!$L$1:$L$400,"professional service"))/N199),-((SUMIFS(SF_Output!$T$1:$T$400,SF_Output!$AC$1:$AC$400,_xlfn.TEXTJOIN(",",TRUE,$B199:$E199),SF_Output!$Q$1:$Q$400,"One Time",SF_Output!$L$1:$L$400,"professional service")/N199))))</f>
        <v/>
      </c>
      <c r="P199" s="6" t="str">
        <f t="shared" si="38"/>
        <v/>
      </c>
      <c r="R199" s="6" t="str">
        <f>IF(B199="","",SUMIFS(SF_Output!$S$1:$S$400,SF_Output!$AC$1:$AC$400,_xlfn.TEXTJOIN(",",TRUE,B199:E199),SF_Output!$Q$1:$Q$400,"yearly")+SUMIFS(SF_Output!$S$1:$S$400,SF_Output!$AC$1:$AC$400,_xlfn.TEXTJOIN(",",TRUE,B199:E199),SF_Output!$Q$1:$Q$400,"quarterly")*4)</f>
        <v/>
      </c>
      <c r="S199" s="112" t="str">
        <f>IF(OR(B199=0,B199="",G199="hardware",R199=0),"",IF(AF199&lt;&gt;"exclusion",MAX(S$9,-(SUMIFS(SF_Output!$T$1:$T$400,SF_Output!$AC$1:$AC$400,_xlfn.TEXTJOIN(",",TRUE,$B199:$E199),SF_Output!$Q$1:$Q$400,"yearly"))/R199),-((SUMIFS(SF_Output!$T$1:$T$400,SF_Output!$AC$1:$AC$400,_xlfn.TEXTJOIN(",",TRUE,$B199:$E199),SF_Output!$Q$1:$Q$400,"yearly")/R199))))</f>
        <v/>
      </c>
      <c r="T199" s="6" t="str">
        <f t="shared" si="39"/>
        <v/>
      </c>
      <c r="V199" s="6" t="str" cm="1">
        <f t="array" ref="V199">_xlfn.IFS(B199="","",AND(B199&lt;&gt;"",H199=SF_Output!$Y$2,SUMIFS(SF_Output!$T$1:$T$400,SF_Output!$AC$1:$AC$400,_xlfn.TEXTJOIN(",",TRUE,B199:E199),SF_Output!$Q$1:$Q$400,"monthly")=0),(SUMIFS(SF_Output!$F$1:$F$400,SF_Output!$AC$1:$AC$400,_xlfn.TEXTJOIN(",",TRUE,B199:E199),SF_Output!$Q$1:$Q$400,"monthly")+SUMIFS(SF_Output!$G$1:$G$400,SF_Output!$AC$1:$AC$400,_xlfn.TEXTJOIN(",",TRUE,B199:E199),SF_Output!$Q$1:$Q$400,"monthly"))*H199,AND(B199&lt;&gt;"",H199=SF_Output!$Y$2,SUMIFS(SF_Output!$T$1:$T$400,SF_Output!$AC$1:$AC$400,_xlfn.TEXTJOIN(",",TRUE,B199:E199),SF_Output!$Q$1:$Q$400,"monthly")&lt;&gt;0),SUMIFS(SF_Output!$S$1:$S$400,SF_Output!$AC$1:$AC$400,_xlfn.TEXTJOIN(",",TRUE,B199:E199),SF_Output!$Q$1:$Q$400,"monthly"),AND(B199&lt;&gt;"",H199&lt;&gt;SF_Output!$Y$2),SUMIFS(SF_Output!$S$1:$S$400,SF_Output!$AC$1:$AC$400,_xlfn.TEXTJOIN(",",TRUE,B199:E199),SF_Output!$Q$1:$Q$400,"monthly"))</f>
        <v/>
      </c>
      <c r="W199" s="112" t="str" cm="1">
        <f t="array" ref="W199">_xlfn.IFS(OR(B199=0,B199="",V199=0),"",AF199&lt;&gt;"exclusion",MAX($W$9,$W$7,(-(SUMIFS(SF_Output!$T$1:$T$400,SF_Output!$AC$1:$AC$400,_xlfn.TEXTJOIN(",",TRUE,$B199:$E199),SF_Output!$Q$1:$Q$400,"monthly"))/V199)),AF199="exclusion",-(SUMIFS(SF_Output!$T$1:$T$400,SF_Output!$AC$1:$AC$400,_xlfn.TEXTJOIN(",",TRUE,$B199:$E199),SF_Output!$Q$1:$Q$400,"monthly"))/V199)</f>
        <v/>
      </c>
      <c r="X199" s="6" t="str" cm="1">
        <f t="array" ref="X199">IFERROR(_xlfn.IFS(V199=0,0,V199="","",W199=0,V199,OR(V199&lt;&gt;0,V199&lt;&gt;""),H199*I199),V199*(1-W199))</f>
        <v/>
      </c>
      <c r="Z199" s="6" t="str">
        <f>IFERROR(IF(B199="","",SUMIFS(Billing_Fallout!H:H,Billing_Fallout!N:N,B199)),0)</f>
        <v/>
      </c>
      <c r="AA199" s="6" t="str">
        <f t="shared" si="40"/>
        <v/>
      </c>
      <c r="AB199" s="6" t="str">
        <f>IFERROR(IF(B199="","",SUMIFS(Billing_Fallout!J:J,Billing_Fallout!N:N,B199)),0)</f>
        <v/>
      </c>
      <c r="AD199" s="6" t="str">
        <f t="shared" si="41"/>
        <v/>
      </c>
      <c r="AF199" t="str">
        <f>IFERROR(INDEX(H_Tables!$B$1:$B$1500,MATCH(INDEX(SF_Output!$J$1:$J$400,MATCH(B199,SF_Output!$M$1:$M$400,0)),H_Tables!$A$1:$A$1500,0)),"")</f>
        <v/>
      </c>
      <c r="AI199" s="119" t="str">
        <f t="shared" si="42"/>
        <v/>
      </c>
      <c r="AJ199" s="121">
        <f>IFERROR(INDEX(SF_Output!AD:AD,MATCH(_xlfn.TEXTJOIN(",",TRUE,B199:E199),SF_Output!AC1:AC400,0)),0.05)</f>
        <v>241</v>
      </c>
      <c r="AK199" t="str">
        <f>IF(SUMIFS(SF_Output!$F$1:$F$400,SF_Output!$AC$1:$AC$400,_xlfn.TEXTJOIN(",",TRUE,B199:E199))+SUMIFS(SF_Output!$G$1:$G$400,SF_Output!$AC$1:$AC$400,_xlfn.TEXTJOIN(",",TRUE,B199:E199))=0,"","PAP")</f>
        <v/>
      </c>
      <c r="AL199" s="35" t="str">
        <f t="shared" si="43"/>
        <v/>
      </c>
      <c r="AQ199" s="35"/>
      <c r="AR199" s="35" t="str" cm="1">
        <f t="array" ref="AR199">IFERROR(_xlfn.IFS(AND(E199*1=1,F199="Included"),"Change to Included",AND(E199*1=0,F199="Optional"),"Change to Optional",OR(B199="",F199="replaced"),""),"")</f>
        <v/>
      </c>
      <c r="AS199" s="35" t="str">
        <f t="shared" si="44"/>
        <v/>
      </c>
      <c r="AT199" s="35" t="str">
        <f t="shared" si="45"/>
        <v/>
      </c>
      <c r="AU199" s="35" t="str">
        <f t="shared" si="46"/>
        <v/>
      </c>
      <c r="AV199" s="35" t="str">
        <f t="shared" si="47"/>
        <v/>
      </c>
      <c r="AW199" s="35" t="str">
        <f t="shared" si="48"/>
        <v/>
      </c>
      <c r="AX199" s="35" t="str">
        <f t="shared" si="49"/>
        <v/>
      </c>
      <c r="AY199" s="35" t="str">
        <f t="shared" si="50"/>
        <v/>
      </c>
      <c r="AZ199" s="35" t="str">
        <f t="shared" si="51"/>
        <v/>
      </c>
      <c r="BA199" s="35" t="str">
        <f t="shared" si="52"/>
        <v/>
      </c>
      <c r="BB199" s="35" t="str">
        <f t="shared" si="53"/>
        <v/>
      </c>
      <c r="BC199" s="35"/>
      <c r="BE199" s="35" t="e">
        <f>INDEX(SF_Output!$AA$2:$AA$400,MATCH($B199,SF_Output!$M$2:$M$400,0))</f>
        <v>#N/A</v>
      </c>
      <c r="BF199" s="35" t="e">
        <f>INDEX(SF_Output!$AB$2:$AB$400,MATCH($B199,SF_Output!$M$2:$M$400,0))</f>
        <v>#N/A</v>
      </c>
    </row>
    <row r="200" spans="6:58" x14ac:dyDescent="0.25">
      <c r="F200" s="116" t="str">
        <f t="shared" si="36"/>
        <v/>
      </c>
      <c r="G200" t="str">
        <f>IF(B200="","",INDEX(SF_Output!$K$1:$K$400,MATCH(B200,SF_Output!$M$1:$M$400,0)))</f>
        <v/>
      </c>
      <c r="H200" t="str" cm="1">
        <f t="array" ref="H200">_xlfn.IFS(B200="","",(SUMIFS(SF_Output!$F$1:$F$400,SF_Output!$AC$1:$AC$400,_xlfn.TEXTJOIN(",",TRUE,B200:E200))+SUMIFS(SF_Output!$G$1:$G$400,SF_Output!$AC$1:$AC$400,_xlfn.TEXTJOIN(",",TRUE,B200:E200)))&lt;&gt;0,SF_Output!$Y$2,INDEX(SF_Output!$F$1:$F$400,MATCH(_xlfn.TEXTJOIN(",",TRUE,B200:E200),SF_Output!$AC$1:$AC$400,0))=0,INDEX(SF_Output!$R$1:$R$400,MATCH(_xlfn.TEXTJOIN(",",TRUE,B200:E200),SF_Output!$AC$1:$AC$400,0)))</f>
        <v/>
      </c>
      <c r="I200" s="125" t="str">
        <f>IFERROR(IF(AND(H200&gt;1,H200&lt;&gt;""),ROUND(SUMIFS(SF_Output!$S$1:$S$400,SF_Output!$AC$1:$AC$400,_xlfn.TEXTJOIN(",",TRUE,B200:E200),SF_Output!$Q$1:$Q$400,"monthly")*(1-W200)/H200,4),""),"")</f>
        <v/>
      </c>
      <c r="J200" s="6" t="str">
        <f>IF(B200="","",SUMIFS(SF_Output!$S$1:$S$400,SF_Output!$AC$1:$AC$400,_xlfn.TEXTJOIN(",",TRUE,B200:E200),SF_Output!$Q$1:$Q$400,"One Time",SF_Output!$L$1:$L$400,"license fee")+SUMIFS(SF_Output!$S$1:$S$400,SF_Output!$AC$1:$AC$400,_xlfn.TEXTJOIN(",",TRUE,B200:E200),SF_Output!$Q$1:$Q$400,"One Time",SF_Output!$L$1:$L$400,"software license")+SUMIFS(SF_Output!$S$1:$S$400,SF_Output!$AC$1:$AC$400,_xlfn.TEXTJOIN(",",TRUE,B200:E200),SF_Output!$Q$1:$Q$400,"One Time",SF_Output!$L$1:$L$400,"hardware"))</f>
        <v/>
      </c>
      <c r="K200" s="112" t="str">
        <f>IF(OR(B200=0,B200="",G200="hardware",J200=0),"",IF(AF200&lt;&gt;"exclusion",MAX(K$9,-((SUMIFS(SF_Output!$T$1:$T$400,SF_Output!$AC$1:$AC$400,_xlfn.TEXTJOIN(",",TRUE,$B200:$E200),SF_Output!$Q$1:$Q$400,"One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license"))/J200)))</f>
        <v/>
      </c>
      <c r="L200" s="6" t="str">
        <f t="shared" si="37"/>
        <v/>
      </c>
      <c r="N200" s="6" t="str">
        <f>IF(B200="","",SUMIFS(SF_Output!$S$1:$S$400,SF_Output!$AC$1:$AC$400,_xlfn.TEXTJOIN(",",TRUE,B200:E200),SF_Output!$Q$1:$Q$400,"One Time",SF_Output!$L$1:$L$400,"professional service"))</f>
        <v/>
      </c>
      <c r="O200" s="112" t="str">
        <f>IF(OR(B200=0,B200="",N200=0),"",IF(AF200&lt;&gt;"exclusion",MAX(O$9,-(SUMIFS(SF_Output!$T$1:$T$400,SF_Output!$AC$1:$AC$400,_xlfn.TEXTJOIN(",",TRUE,$B200:$E200),SF_Output!$Q$1:$Q$400,"One Time",SF_Output!$L$1:$L$400,"professional service"))/N200),-((SUMIFS(SF_Output!$T$1:$T$400,SF_Output!$AC$1:$AC$400,_xlfn.TEXTJOIN(",",TRUE,$B200:$E200),SF_Output!$Q$1:$Q$400,"One Time",SF_Output!$L$1:$L$400,"professional service")/N200))))</f>
        <v/>
      </c>
      <c r="P200" s="6" t="str">
        <f t="shared" si="38"/>
        <v/>
      </c>
      <c r="R200" s="6" t="str">
        <f>IF(B200="","",SUMIFS(SF_Output!$S$1:$S$400,SF_Output!$AC$1:$AC$400,_xlfn.TEXTJOIN(",",TRUE,B200:E200),SF_Output!$Q$1:$Q$400,"yearly")+SUMIFS(SF_Output!$S$1:$S$400,SF_Output!$AC$1:$AC$400,_xlfn.TEXTJOIN(",",TRUE,B200:E200),SF_Output!$Q$1:$Q$400,"quarterly")*4)</f>
        <v/>
      </c>
      <c r="S200" s="112" t="str">
        <f>IF(OR(B200=0,B200="",G200="hardware",R200=0),"",IF(AF200&lt;&gt;"exclusion",MAX(S$9,-(SUMIFS(SF_Output!$T$1:$T$400,SF_Output!$AC$1:$AC$400,_xlfn.TEXTJOIN(",",TRUE,$B200:$E200),SF_Output!$Q$1:$Q$400,"yearly"))/R200),-((SUMIFS(SF_Output!$T$1:$T$400,SF_Output!$AC$1:$AC$400,_xlfn.TEXTJOIN(",",TRUE,$B200:$E200),SF_Output!$Q$1:$Q$400,"yearly")/R200))))</f>
        <v/>
      </c>
      <c r="T200" s="6" t="str">
        <f t="shared" si="39"/>
        <v/>
      </c>
      <c r="V200" s="6" t="str" cm="1">
        <f t="array" ref="V200">_xlfn.IFS(B200="","",AND(B200&lt;&gt;"",H200=SF_Output!$Y$2,SUMIFS(SF_Output!$T$1:$T$400,SF_Output!$AC$1:$AC$400,_xlfn.TEXTJOIN(",",TRUE,B200:E200),SF_Output!$Q$1:$Q$400,"monthly")=0),(SUMIFS(SF_Output!$F$1:$F$400,SF_Output!$AC$1:$AC$400,_xlfn.TEXTJOIN(",",TRUE,B200:E200),SF_Output!$Q$1:$Q$400,"monthly")+SUMIFS(SF_Output!$G$1:$G$400,SF_Output!$AC$1:$AC$400,_xlfn.TEXTJOIN(",",TRUE,B200:E200),SF_Output!$Q$1:$Q$400,"monthly"))*H200,AND(B200&lt;&gt;"",H200=SF_Output!$Y$2,SUMIFS(SF_Output!$T$1:$T$400,SF_Output!$AC$1:$AC$400,_xlfn.TEXTJOIN(",",TRUE,B200:E200),SF_Output!$Q$1:$Q$400,"monthly")&lt;&gt;0),SUMIFS(SF_Output!$S$1:$S$400,SF_Output!$AC$1:$AC$400,_xlfn.TEXTJOIN(",",TRUE,B200:E200),SF_Output!$Q$1:$Q$400,"monthly"),AND(B200&lt;&gt;"",H200&lt;&gt;SF_Output!$Y$2),SUMIFS(SF_Output!$S$1:$S$400,SF_Output!$AC$1:$AC$400,_xlfn.TEXTJOIN(",",TRUE,B200:E200),SF_Output!$Q$1:$Q$400,"monthly"))</f>
        <v/>
      </c>
      <c r="W200" s="112" t="str" cm="1">
        <f t="array" ref="W200">_xlfn.IFS(OR(B200=0,B200="",V200=0),"",AF200&lt;&gt;"exclusion",MAX($W$9,$W$7,(-(SUMIFS(SF_Output!$T$1:$T$400,SF_Output!$AC$1:$AC$400,_xlfn.TEXTJOIN(",",TRUE,$B200:$E200),SF_Output!$Q$1:$Q$400,"monthly"))/V200)),AF200="exclusion",-(SUMIFS(SF_Output!$T$1:$T$400,SF_Output!$AC$1:$AC$400,_xlfn.TEXTJOIN(",",TRUE,$B200:$E200),SF_Output!$Q$1:$Q$400,"monthly"))/V200)</f>
        <v/>
      </c>
      <c r="X200" s="6" t="str" cm="1">
        <f t="array" ref="X200">IFERROR(_xlfn.IFS(V200=0,0,V200="","",W200=0,V200,OR(V200&lt;&gt;0,V200&lt;&gt;""),H200*I200),V200*(1-W200))</f>
        <v/>
      </c>
      <c r="Z200" s="6" t="str">
        <f>IFERROR(IF(B200="","",SUMIFS(Billing_Fallout!H:H,Billing_Fallout!N:N,B200)),0)</f>
        <v/>
      </c>
      <c r="AA200" s="6" t="str">
        <f t="shared" si="40"/>
        <v/>
      </c>
      <c r="AB200" s="6" t="str">
        <f>IFERROR(IF(B200="","",SUMIFS(Billing_Fallout!J:J,Billing_Fallout!N:N,B200)),0)</f>
        <v/>
      </c>
      <c r="AD200" s="6" t="str">
        <f t="shared" si="41"/>
        <v/>
      </c>
      <c r="AF200" t="str">
        <f>IFERROR(INDEX(H_Tables!$B$1:$B$1500,MATCH(INDEX(SF_Output!$J$1:$J$400,MATCH(B200,SF_Output!$M$1:$M$400,0)),H_Tables!$A$1:$A$1500,0)),"")</f>
        <v/>
      </c>
      <c r="AI200" s="119" t="str">
        <f t="shared" si="42"/>
        <v/>
      </c>
      <c r="AJ200" s="121">
        <f>IFERROR(INDEX(SF_Output!AD:AD,MATCH(_xlfn.TEXTJOIN(",",TRUE,B200:E200),SF_Output!AC1:AC400,0)),0.05)</f>
        <v>241</v>
      </c>
      <c r="AK200" t="str">
        <f>IF(SUMIFS(SF_Output!$F$1:$F$400,SF_Output!$AC$1:$AC$400,_xlfn.TEXTJOIN(",",TRUE,B200:E200))+SUMIFS(SF_Output!$G$1:$G$400,SF_Output!$AC$1:$AC$400,_xlfn.TEXTJOIN(",",TRUE,B200:E200))=0,"","PAP")</f>
        <v/>
      </c>
      <c r="AL200" s="35" t="str">
        <f t="shared" si="43"/>
        <v/>
      </c>
      <c r="AQ200" s="35"/>
      <c r="AR200" s="35" t="str" cm="1">
        <f t="array" ref="AR200">IFERROR(_xlfn.IFS(AND(E200*1=1,F200="Included"),"Change to Included",AND(E200*1=0,F200="Optional"),"Change to Optional",OR(B200="",F200="replaced"),""),"")</f>
        <v/>
      </c>
      <c r="AS200" s="35" t="str">
        <f t="shared" si="44"/>
        <v/>
      </c>
      <c r="AT200" s="35" t="str">
        <f t="shared" si="45"/>
        <v/>
      </c>
      <c r="AU200" s="35" t="str">
        <f t="shared" si="46"/>
        <v/>
      </c>
      <c r="AV200" s="35" t="str">
        <f t="shared" si="47"/>
        <v/>
      </c>
      <c r="AW200" s="35" t="str">
        <f t="shared" si="48"/>
        <v/>
      </c>
      <c r="AX200" s="35" t="str">
        <f t="shared" si="49"/>
        <v/>
      </c>
      <c r="AY200" s="35" t="str">
        <f t="shared" si="50"/>
        <v/>
      </c>
      <c r="AZ200" s="35" t="str">
        <f t="shared" si="51"/>
        <v/>
      </c>
      <c r="BA200" s="35" t="str">
        <f t="shared" si="52"/>
        <v/>
      </c>
      <c r="BB200" s="35" t="str">
        <f t="shared" si="53"/>
        <v/>
      </c>
      <c r="BC200" s="35"/>
      <c r="BE200" s="35" t="e">
        <f>INDEX(SF_Output!$AA$2:$AA$400,MATCH($B200,SF_Output!$M$2:$M$400,0))</f>
        <v>#N/A</v>
      </c>
      <c r="BF200" s="35" t="e">
        <f>INDEX(SF_Output!$AB$2:$AB$400,MATCH($B200,SF_Output!$M$2:$M$400,0))</f>
        <v>#N/A</v>
      </c>
    </row>
    <row r="201" spans="6:58" x14ac:dyDescent="0.25">
      <c r="F201" s="116" t="str">
        <f t="shared" si="36"/>
        <v/>
      </c>
      <c r="G201" t="str">
        <f>IF(B201="","",INDEX(SF_Output!$K$1:$K$400,MATCH(B201,SF_Output!$M$1:$M$400,0)))</f>
        <v/>
      </c>
      <c r="H201" t="str" cm="1">
        <f t="array" ref="H201">_xlfn.IFS(B201="","",(SUMIFS(SF_Output!$F$1:$F$400,SF_Output!$AC$1:$AC$400,_xlfn.TEXTJOIN(",",TRUE,B201:E201))+SUMIFS(SF_Output!$G$1:$G$400,SF_Output!$AC$1:$AC$400,_xlfn.TEXTJOIN(",",TRUE,B201:E201)))&lt;&gt;0,SF_Output!$Y$2,INDEX(SF_Output!$F$1:$F$400,MATCH(_xlfn.TEXTJOIN(",",TRUE,B201:E201),SF_Output!$AC$1:$AC$400,0))=0,INDEX(SF_Output!$R$1:$R$400,MATCH(_xlfn.TEXTJOIN(",",TRUE,B201:E201),SF_Output!$AC$1:$AC$400,0)))</f>
        <v/>
      </c>
      <c r="I201" s="125" t="str">
        <f>IFERROR(IF(AND(H201&gt;1,H201&lt;&gt;""),ROUND(SUMIFS(SF_Output!$S$1:$S$400,SF_Output!$AC$1:$AC$400,_xlfn.TEXTJOIN(",",TRUE,B201:E201),SF_Output!$Q$1:$Q$400,"monthly")*(1-W201)/H201,4),""),"")</f>
        <v/>
      </c>
      <c r="J201" s="6" t="str">
        <f>IF(B201="","",SUMIFS(SF_Output!$S$1:$S$400,SF_Output!$AC$1:$AC$400,_xlfn.TEXTJOIN(",",TRUE,B201:E201),SF_Output!$Q$1:$Q$400,"One Time",SF_Output!$L$1:$L$400,"license fee")+SUMIFS(SF_Output!$S$1:$S$400,SF_Output!$AC$1:$AC$400,_xlfn.TEXTJOIN(",",TRUE,B201:E201),SF_Output!$Q$1:$Q$400,"One Time",SF_Output!$L$1:$L$400,"software license")+SUMIFS(SF_Output!$S$1:$S$400,SF_Output!$AC$1:$AC$400,_xlfn.TEXTJOIN(",",TRUE,B201:E201),SF_Output!$Q$1:$Q$400,"One Time",SF_Output!$L$1:$L$400,"hardware"))</f>
        <v/>
      </c>
      <c r="K201" s="112" t="str">
        <f>IF(OR(B201=0,B201="",G201="hardware",J201=0),"",IF(AF201&lt;&gt;"exclusion",MAX(K$9,-((SUMIFS(SF_Output!$T$1:$T$400,SF_Output!$AC$1:$AC$400,_xlfn.TEXTJOIN(",",TRUE,$B201:$E201),SF_Output!$Q$1:$Q$400,"One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license"))/J201)))</f>
        <v/>
      </c>
      <c r="L201" s="6" t="str">
        <f t="shared" si="37"/>
        <v/>
      </c>
      <c r="N201" s="6" t="str">
        <f>IF(B201="","",SUMIFS(SF_Output!$S$1:$S$400,SF_Output!$AC$1:$AC$400,_xlfn.TEXTJOIN(",",TRUE,B201:E201),SF_Output!$Q$1:$Q$400,"One Time",SF_Output!$L$1:$L$400,"professional service"))</f>
        <v/>
      </c>
      <c r="O201" s="112" t="str">
        <f>IF(OR(B201=0,B201="",N201=0),"",IF(AF201&lt;&gt;"exclusion",MAX(O$9,-(SUMIFS(SF_Output!$T$1:$T$400,SF_Output!$AC$1:$AC$400,_xlfn.TEXTJOIN(",",TRUE,$B201:$E201),SF_Output!$Q$1:$Q$400,"One Time",SF_Output!$L$1:$L$400,"professional service"))/N201),-((SUMIFS(SF_Output!$T$1:$T$400,SF_Output!$AC$1:$AC$400,_xlfn.TEXTJOIN(",",TRUE,$B201:$E201),SF_Output!$Q$1:$Q$400,"One Time",SF_Output!$L$1:$L$400,"professional service")/N201))))</f>
        <v/>
      </c>
      <c r="P201" s="6" t="str">
        <f t="shared" si="38"/>
        <v/>
      </c>
      <c r="R201" s="6" t="str">
        <f>IF(B201="","",SUMIFS(SF_Output!$S$1:$S$400,SF_Output!$AC$1:$AC$400,_xlfn.TEXTJOIN(",",TRUE,B201:E201),SF_Output!$Q$1:$Q$400,"yearly")+SUMIFS(SF_Output!$S$1:$S$400,SF_Output!$AC$1:$AC$400,_xlfn.TEXTJOIN(",",TRUE,B201:E201),SF_Output!$Q$1:$Q$400,"quarterly")*4)</f>
        <v/>
      </c>
      <c r="S201" s="112" t="str">
        <f>IF(OR(B201=0,B201="",G201="hardware",R201=0),"",IF(AF201&lt;&gt;"exclusion",MAX(S$9,-(SUMIFS(SF_Output!$T$1:$T$400,SF_Output!$AC$1:$AC$400,_xlfn.TEXTJOIN(",",TRUE,$B201:$E201),SF_Output!$Q$1:$Q$400,"yearly"))/R201),-((SUMIFS(SF_Output!$T$1:$T$400,SF_Output!$AC$1:$AC$400,_xlfn.TEXTJOIN(",",TRUE,$B201:$E201),SF_Output!$Q$1:$Q$400,"yearly")/R201))))</f>
        <v/>
      </c>
      <c r="T201" s="6" t="str">
        <f t="shared" si="39"/>
        <v/>
      </c>
      <c r="V201" s="6" t="str" cm="1">
        <f t="array" ref="V201">_xlfn.IFS(B201="","",AND(B201&lt;&gt;"",H201=SF_Output!$Y$2,SUMIFS(SF_Output!$T$1:$T$400,SF_Output!$AC$1:$AC$400,_xlfn.TEXTJOIN(",",TRUE,B201:E201),SF_Output!$Q$1:$Q$400,"monthly")=0),(SUMIFS(SF_Output!$F$1:$F$400,SF_Output!$AC$1:$AC$400,_xlfn.TEXTJOIN(",",TRUE,B201:E201),SF_Output!$Q$1:$Q$400,"monthly")+SUMIFS(SF_Output!$G$1:$G$400,SF_Output!$AC$1:$AC$400,_xlfn.TEXTJOIN(",",TRUE,B201:E201),SF_Output!$Q$1:$Q$400,"monthly"))*H201,AND(B201&lt;&gt;"",H201=SF_Output!$Y$2,SUMIFS(SF_Output!$T$1:$T$400,SF_Output!$AC$1:$AC$400,_xlfn.TEXTJOIN(",",TRUE,B201:E201),SF_Output!$Q$1:$Q$400,"monthly")&lt;&gt;0),SUMIFS(SF_Output!$S$1:$S$400,SF_Output!$AC$1:$AC$400,_xlfn.TEXTJOIN(",",TRUE,B201:E201),SF_Output!$Q$1:$Q$400,"monthly"),AND(B201&lt;&gt;"",H201&lt;&gt;SF_Output!$Y$2),SUMIFS(SF_Output!$S$1:$S$400,SF_Output!$AC$1:$AC$400,_xlfn.TEXTJOIN(",",TRUE,B201:E201),SF_Output!$Q$1:$Q$400,"monthly"))</f>
        <v/>
      </c>
      <c r="W201" s="112" t="str" cm="1">
        <f t="array" ref="W201">_xlfn.IFS(OR(B201=0,B201="",V201=0),"",AF201&lt;&gt;"exclusion",MAX($W$9,$W$7,(-(SUMIFS(SF_Output!$T$1:$T$400,SF_Output!$AC$1:$AC$400,_xlfn.TEXTJOIN(",",TRUE,$B201:$E201),SF_Output!$Q$1:$Q$400,"monthly"))/V201)),AF201="exclusion",-(SUMIFS(SF_Output!$T$1:$T$400,SF_Output!$AC$1:$AC$400,_xlfn.TEXTJOIN(",",TRUE,$B201:$E201),SF_Output!$Q$1:$Q$400,"monthly"))/V201)</f>
        <v/>
      </c>
      <c r="X201" s="6" t="str" cm="1">
        <f t="array" ref="X201">IFERROR(_xlfn.IFS(V201=0,0,V201="","",W201=0,V201,OR(V201&lt;&gt;0,V201&lt;&gt;""),H201*I201),V201*(1-W201))</f>
        <v/>
      </c>
      <c r="Z201" s="6" t="str">
        <f>IFERROR(IF(B201="","",SUMIFS(Billing_Fallout!H:H,Billing_Fallout!N:N,B201)),0)</f>
        <v/>
      </c>
      <c r="AA201" s="6" t="str">
        <f t="shared" si="40"/>
        <v/>
      </c>
      <c r="AB201" s="6" t="str">
        <f>IFERROR(IF(B201="","",SUMIFS(Billing_Fallout!J:J,Billing_Fallout!N:N,B201)),0)</f>
        <v/>
      </c>
      <c r="AD201" s="6" t="str">
        <f t="shared" si="41"/>
        <v/>
      </c>
      <c r="AF201" t="str">
        <f>IFERROR(INDEX(H_Tables!$B$1:$B$1500,MATCH(INDEX(SF_Output!$J$1:$J$400,MATCH(B201,SF_Output!$M$1:$M$400,0)),H_Tables!$A$1:$A$1500,0)),"")</f>
        <v/>
      </c>
      <c r="AI201" s="119" t="str">
        <f t="shared" si="42"/>
        <v/>
      </c>
      <c r="AJ201" s="121">
        <f>IFERROR(INDEX(SF_Output!AD:AD,MATCH(_xlfn.TEXTJOIN(",",TRUE,B201:E201),SF_Output!AC1:AC400,0)),0.05)</f>
        <v>241</v>
      </c>
      <c r="AK201" t="str">
        <f>IF(SUMIFS(SF_Output!$F$1:$F$400,SF_Output!$AC$1:$AC$400,_xlfn.TEXTJOIN(",",TRUE,B201:E201))+SUMIFS(SF_Output!$G$1:$G$400,SF_Output!$AC$1:$AC$400,_xlfn.TEXTJOIN(",",TRUE,B201:E201))=0,"","PAP")</f>
        <v/>
      </c>
      <c r="AL201" s="35" t="str">
        <f t="shared" si="43"/>
        <v/>
      </c>
      <c r="AQ201" s="35"/>
      <c r="AR201" s="35" t="str" cm="1">
        <f t="array" ref="AR201">IFERROR(_xlfn.IFS(AND(E201*1=1,F201="Included"),"Change to Included",AND(E201*1=0,F201="Optional"),"Change to Optional",OR(B201="",F201="replaced"),""),"")</f>
        <v/>
      </c>
      <c r="AS201" s="35" t="str">
        <f t="shared" si="44"/>
        <v/>
      </c>
      <c r="AT201" s="35" t="str">
        <f t="shared" si="45"/>
        <v/>
      </c>
      <c r="AU201" s="35" t="str">
        <f t="shared" si="46"/>
        <v/>
      </c>
      <c r="AV201" s="35" t="str">
        <f t="shared" si="47"/>
        <v/>
      </c>
      <c r="AW201" s="35" t="str">
        <f t="shared" si="48"/>
        <v/>
      </c>
      <c r="AX201" s="35" t="str">
        <f t="shared" si="49"/>
        <v/>
      </c>
      <c r="AY201" s="35" t="str">
        <f t="shared" si="50"/>
        <v/>
      </c>
      <c r="AZ201" s="35" t="str">
        <f t="shared" si="51"/>
        <v/>
      </c>
      <c r="BA201" s="35" t="str">
        <f t="shared" si="52"/>
        <v/>
      </c>
      <c r="BB201" s="35" t="str">
        <f t="shared" si="53"/>
        <v/>
      </c>
      <c r="BC201" s="35"/>
      <c r="BE201" s="35" t="e">
        <f>INDEX(SF_Output!$AA$2:$AA$400,MATCH($B201,SF_Output!$M$2:$M$400,0))</f>
        <v>#N/A</v>
      </c>
      <c r="BF201" s="35" t="e">
        <f>INDEX(SF_Output!$AB$2:$AB$400,MATCH($B201,SF_Output!$M$2:$M$400,0))</f>
        <v>#N/A</v>
      </c>
    </row>
    <row r="202" spans="6:58" x14ac:dyDescent="0.25">
      <c r="F202" s="116" t="str">
        <f t="shared" si="36"/>
        <v/>
      </c>
      <c r="G202" t="str">
        <f>IF(B202="","",INDEX(SF_Output!$K$1:$K$400,MATCH(B202,SF_Output!$M$1:$M$400,0)))</f>
        <v/>
      </c>
      <c r="H202" t="str" cm="1">
        <f t="array" ref="H202">_xlfn.IFS(B202="","",(SUMIFS(SF_Output!$F$1:$F$400,SF_Output!$AC$1:$AC$400,_xlfn.TEXTJOIN(",",TRUE,B202:E202))+SUMIFS(SF_Output!$G$1:$G$400,SF_Output!$AC$1:$AC$400,_xlfn.TEXTJOIN(",",TRUE,B202:E202)))&lt;&gt;0,SF_Output!$Y$2,INDEX(SF_Output!$F$1:$F$400,MATCH(_xlfn.TEXTJOIN(",",TRUE,B202:E202),SF_Output!$AC$1:$AC$400,0))=0,INDEX(SF_Output!$R$1:$R$400,MATCH(_xlfn.TEXTJOIN(",",TRUE,B202:E202),SF_Output!$AC$1:$AC$400,0)))</f>
        <v/>
      </c>
      <c r="I202" s="125" t="str">
        <f>IFERROR(IF(AND(H202&gt;1,H202&lt;&gt;""),ROUND(SUMIFS(SF_Output!$S$1:$S$400,SF_Output!$AC$1:$AC$400,_xlfn.TEXTJOIN(",",TRUE,B202:E202),SF_Output!$Q$1:$Q$400,"monthly")*(1-W202)/H202,4),""),"")</f>
        <v/>
      </c>
      <c r="J202" s="6" t="str">
        <f>IF(B202="","",SUMIFS(SF_Output!$S$1:$S$400,SF_Output!$AC$1:$AC$400,_xlfn.TEXTJOIN(",",TRUE,B202:E202),SF_Output!$Q$1:$Q$400,"One Time",SF_Output!$L$1:$L$400,"license fee")+SUMIFS(SF_Output!$S$1:$S$400,SF_Output!$AC$1:$AC$400,_xlfn.TEXTJOIN(",",TRUE,B202:E202),SF_Output!$Q$1:$Q$400,"One Time",SF_Output!$L$1:$L$400,"software license")+SUMIFS(SF_Output!$S$1:$S$400,SF_Output!$AC$1:$AC$400,_xlfn.TEXTJOIN(",",TRUE,B202:E202),SF_Output!$Q$1:$Q$400,"One Time",SF_Output!$L$1:$L$400,"hardware"))</f>
        <v/>
      </c>
      <c r="K202" s="112" t="str">
        <f>IF(OR(B202=0,B202="",G202="hardware",J202=0),"",IF(AF202&lt;&gt;"exclusion",MAX(K$9,-((SUMIFS(SF_Output!$T$1:$T$400,SF_Output!$AC$1:$AC$400,_xlfn.TEXTJOIN(",",TRUE,$B202:$E202),SF_Output!$Q$1:$Q$400,"One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license"))/J202)))</f>
        <v/>
      </c>
      <c r="L202" s="6" t="str">
        <f t="shared" si="37"/>
        <v/>
      </c>
      <c r="N202" s="6" t="str">
        <f>IF(B202="","",SUMIFS(SF_Output!$S$1:$S$400,SF_Output!$AC$1:$AC$400,_xlfn.TEXTJOIN(",",TRUE,B202:E202),SF_Output!$Q$1:$Q$400,"One Time",SF_Output!$L$1:$L$400,"professional service"))</f>
        <v/>
      </c>
      <c r="O202" s="112" t="str">
        <f>IF(OR(B202=0,B202="",N202=0),"",IF(AF202&lt;&gt;"exclusion",MAX(O$9,-(SUMIFS(SF_Output!$T$1:$T$400,SF_Output!$AC$1:$AC$400,_xlfn.TEXTJOIN(",",TRUE,$B202:$E202),SF_Output!$Q$1:$Q$400,"One Time",SF_Output!$L$1:$L$400,"professional service"))/N202),-((SUMIFS(SF_Output!$T$1:$T$400,SF_Output!$AC$1:$AC$400,_xlfn.TEXTJOIN(",",TRUE,$B202:$E202),SF_Output!$Q$1:$Q$400,"One Time",SF_Output!$L$1:$L$400,"professional service")/N202))))</f>
        <v/>
      </c>
      <c r="P202" s="6" t="str">
        <f t="shared" si="38"/>
        <v/>
      </c>
      <c r="R202" s="6" t="str">
        <f>IF(B202="","",SUMIFS(SF_Output!$S$1:$S$400,SF_Output!$AC$1:$AC$400,_xlfn.TEXTJOIN(",",TRUE,B202:E202),SF_Output!$Q$1:$Q$400,"yearly")+SUMIFS(SF_Output!$S$1:$S$400,SF_Output!$AC$1:$AC$400,_xlfn.TEXTJOIN(",",TRUE,B202:E202),SF_Output!$Q$1:$Q$400,"quarterly")*4)</f>
        <v/>
      </c>
      <c r="S202" s="112" t="str">
        <f>IF(OR(B202=0,B202="",G202="hardware",R202=0),"",IF(AF202&lt;&gt;"exclusion",MAX(S$9,-(SUMIFS(SF_Output!$T$1:$T$400,SF_Output!$AC$1:$AC$400,_xlfn.TEXTJOIN(",",TRUE,$B202:$E202),SF_Output!$Q$1:$Q$400,"yearly"))/R202),-((SUMIFS(SF_Output!$T$1:$T$400,SF_Output!$AC$1:$AC$400,_xlfn.TEXTJOIN(",",TRUE,$B202:$E202),SF_Output!$Q$1:$Q$400,"yearly")/R202))))</f>
        <v/>
      </c>
      <c r="T202" s="6" t="str">
        <f t="shared" si="39"/>
        <v/>
      </c>
      <c r="V202" s="6" t="str" cm="1">
        <f t="array" ref="V202">_xlfn.IFS(B202="","",AND(B202&lt;&gt;"",H202=SF_Output!$Y$2,SUMIFS(SF_Output!$T$1:$T$400,SF_Output!$AC$1:$AC$400,_xlfn.TEXTJOIN(",",TRUE,B202:E202),SF_Output!$Q$1:$Q$400,"monthly")=0),(SUMIFS(SF_Output!$F$1:$F$400,SF_Output!$AC$1:$AC$400,_xlfn.TEXTJOIN(",",TRUE,B202:E202),SF_Output!$Q$1:$Q$400,"monthly")+SUMIFS(SF_Output!$G$1:$G$400,SF_Output!$AC$1:$AC$400,_xlfn.TEXTJOIN(",",TRUE,B202:E202),SF_Output!$Q$1:$Q$400,"monthly"))*H202,AND(B202&lt;&gt;"",H202=SF_Output!$Y$2,SUMIFS(SF_Output!$T$1:$T$400,SF_Output!$AC$1:$AC$400,_xlfn.TEXTJOIN(",",TRUE,B202:E202),SF_Output!$Q$1:$Q$400,"monthly")&lt;&gt;0),SUMIFS(SF_Output!$S$1:$S$400,SF_Output!$AC$1:$AC$400,_xlfn.TEXTJOIN(",",TRUE,B202:E202),SF_Output!$Q$1:$Q$400,"monthly"),AND(B202&lt;&gt;"",H202&lt;&gt;SF_Output!$Y$2),SUMIFS(SF_Output!$S$1:$S$400,SF_Output!$AC$1:$AC$400,_xlfn.TEXTJOIN(",",TRUE,B202:E202),SF_Output!$Q$1:$Q$400,"monthly"))</f>
        <v/>
      </c>
      <c r="W202" s="112" t="str" cm="1">
        <f t="array" ref="W202">_xlfn.IFS(OR(B202=0,B202="",V202=0),"",AF202&lt;&gt;"exclusion",MAX($W$9,$W$7,(-(SUMIFS(SF_Output!$T$1:$T$400,SF_Output!$AC$1:$AC$400,_xlfn.TEXTJOIN(",",TRUE,$B202:$E202),SF_Output!$Q$1:$Q$400,"monthly"))/V202)),AF202="exclusion",-(SUMIFS(SF_Output!$T$1:$T$400,SF_Output!$AC$1:$AC$400,_xlfn.TEXTJOIN(",",TRUE,$B202:$E202),SF_Output!$Q$1:$Q$400,"monthly"))/V202)</f>
        <v/>
      </c>
      <c r="X202" s="6" t="str" cm="1">
        <f t="array" ref="X202">IFERROR(_xlfn.IFS(V202=0,0,V202="","",W202=0,V202,OR(V202&lt;&gt;0,V202&lt;&gt;""),H202*I202),V202*(1-W202))</f>
        <v/>
      </c>
      <c r="Z202" s="6" t="str">
        <f>IFERROR(IF(B202="","",SUMIFS(Billing_Fallout!H:H,Billing_Fallout!N:N,B202)),0)</f>
        <v/>
      </c>
      <c r="AA202" s="6" t="str">
        <f t="shared" si="40"/>
        <v/>
      </c>
      <c r="AB202" s="6" t="str">
        <f>IFERROR(IF(B202="","",SUMIFS(Billing_Fallout!J:J,Billing_Fallout!N:N,B202)),0)</f>
        <v/>
      </c>
      <c r="AD202" s="6" t="str">
        <f t="shared" si="41"/>
        <v/>
      </c>
      <c r="AF202" t="str">
        <f>IFERROR(INDEX(H_Tables!$B$1:$B$1500,MATCH(INDEX(SF_Output!$J$1:$J$400,MATCH(B202,SF_Output!$M$1:$M$400,0)),H_Tables!$A$1:$A$1500,0)),"")</f>
        <v/>
      </c>
      <c r="AI202" s="119" t="str">
        <f t="shared" si="42"/>
        <v/>
      </c>
      <c r="AJ202" s="121">
        <f>IFERROR(INDEX(SF_Output!AD:AD,MATCH(_xlfn.TEXTJOIN(",",TRUE,B202:E202),SF_Output!AC1:AC400,0)),0.05)</f>
        <v>241</v>
      </c>
      <c r="AK202" t="str">
        <f>IF(SUMIFS(SF_Output!$F$1:$F$400,SF_Output!$AC$1:$AC$400,_xlfn.TEXTJOIN(",",TRUE,B202:E202))+SUMIFS(SF_Output!$G$1:$G$400,SF_Output!$AC$1:$AC$400,_xlfn.TEXTJOIN(",",TRUE,B202:E202))=0,"","PAP")</f>
        <v/>
      </c>
      <c r="AL202" s="35" t="str">
        <f t="shared" si="43"/>
        <v/>
      </c>
      <c r="AQ202" s="35"/>
      <c r="AR202" s="35" t="str" cm="1">
        <f t="array" ref="AR202">IFERROR(_xlfn.IFS(AND(E202*1=1,F202="Included"),"Change to Included",AND(E202*1=0,F202="Optional"),"Change to Optional",OR(B202="",F202="replaced"),""),"")</f>
        <v/>
      </c>
      <c r="AS202" s="35" t="str">
        <f t="shared" si="44"/>
        <v/>
      </c>
      <c r="AT202" s="35" t="str">
        <f t="shared" si="45"/>
        <v/>
      </c>
      <c r="AU202" s="35" t="str">
        <f t="shared" si="46"/>
        <v/>
      </c>
      <c r="AV202" s="35" t="str">
        <f t="shared" si="47"/>
        <v/>
      </c>
      <c r="AW202" s="35" t="str">
        <f t="shared" si="48"/>
        <v/>
      </c>
      <c r="AX202" s="35" t="str">
        <f t="shared" si="49"/>
        <v/>
      </c>
      <c r="AY202" s="35" t="str">
        <f t="shared" si="50"/>
        <v/>
      </c>
      <c r="AZ202" s="35" t="str">
        <f t="shared" si="51"/>
        <v/>
      </c>
      <c r="BA202" s="35" t="str">
        <f t="shared" si="52"/>
        <v/>
      </c>
      <c r="BB202" s="35" t="str">
        <f t="shared" si="53"/>
        <v/>
      </c>
      <c r="BC202" s="35"/>
      <c r="BE202" s="35" t="e">
        <f>INDEX(SF_Output!$AA$2:$AA$400,MATCH($B202,SF_Output!$M$2:$M$400,0))</f>
        <v>#N/A</v>
      </c>
      <c r="BF202" s="35" t="e">
        <f>INDEX(SF_Output!$AB$2:$AB$400,MATCH($B202,SF_Output!$M$2:$M$400,0))</f>
        <v>#N/A</v>
      </c>
    </row>
    <row r="203" spans="6:58" x14ac:dyDescent="0.25">
      <c r="F203" s="116" t="str">
        <f t="shared" si="36"/>
        <v/>
      </c>
      <c r="G203" t="str">
        <f>IF(B203="","",INDEX(SF_Output!$K$1:$K$400,MATCH(B203,SF_Output!$M$1:$M$400,0)))</f>
        <v/>
      </c>
      <c r="H203" t="str" cm="1">
        <f t="array" ref="H203">_xlfn.IFS(B203="","",(SUMIFS(SF_Output!$F$1:$F$400,SF_Output!$AC$1:$AC$400,_xlfn.TEXTJOIN(",",TRUE,B203:E203))+SUMIFS(SF_Output!$G$1:$G$400,SF_Output!$AC$1:$AC$400,_xlfn.TEXTJOIN(",",TRUE,B203:E203)))&lt;&gt;0,SF_Output!$Y$2,INDEX(SF_Output!$F$1:$F$400,MATCH(_xlfn.TEXTJOIN(",",TRUE,B203:E203),SF_Output!$AC$1:$AC$400,0))=0,INDEX(SF_Output!$R$1:$R$400,MATCH(_xlfn.TEXTJOIN(",",TRUE,B203:E203),SF_Output!$AC$1:$AC$400,0)))</f>
        <v/>
      </c>
      <c r="I203" s="125" t="str">
        <f>IFERROR(IF(AND(H203&gt;1,H203&lt;&gt;""),ROUND(SUMIFS(SF_Output!$S$1:$S$400,SF_Output!$AC$1:$AC$400,_xlfn.TEXTJOIN(",",TRUE,B203:E203),SF_Output!$Q$1:$Q$400,"monthly")*(1-W203)/H203,4),""),"")</f>
        <v/>
      </c>
      <c r="J203" s="6" t="str">
        <f>IF(B203="","",SUMIFS(SF_Output!$S$1:$S$400,SF_Output!$AC$1:$AC$400,_xlfn.TEXTJOIN(",",TRUE,B203:E203),SF_Output!$Q$1:$Q$400,"One Time",SF_Output!$L$1:$L$400,"license fee")+SUMIFS(SF_Output!$S$1:$S$400,SF_Output!$AC$1:$AC$400,_xlfn.TEXTJOIN(",",TRUE,B203:E203),SF_Output!$Q$1:$Q$400,"One Time",SF_Output!$L$1:$L$400,"software license")+SUMIFS(SF_Output!$S$1:$S$400,SF_Output!$AC$1:$AC$400,_xlfn.TEXTJOIN(",",TRUE,B203:E203),SF_Output!$Q$1:$Q$400,"One Time",SF_Output!$L$1:$L$400,"hardware"))</f>
        <v/>
      </c>
      <c r="K203" s="112" t="str">
        <f>IF(OR(B203=0,B203="",G203="hardware",J203=0),"",IF(AF203&lt;&gt;"exclusion",MAX(K$9,-((SUMIFS(SF_Output!$T$1:$T$400,SF_Output!$AC$1:$AC$400,_xlfn.TEXTJOIN(",",TRUE,$B203:$E203),SF_Output!$Q$1:$Q$400,"One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license"))/J203)))</f>
        <v/>
      </c>
      <c r="L203" s="6" t="str">
        <f t="shared" si="37"/>
        <v/>
      </c>
      <c r="N203" s="6" t="str">
        <f>IF(B203="","",SUMIFS(SF_Output!$S$1:$S$400,SF_Output!$AC$1:$AC$400,_xlfn.TEXTJOIN(",",TRUE,B203:E203),SF_Output!$Q$1:$Q$400,"One Time",SF_Output!$L$1:$L$400,"professional service"))</f>
        <v/>
      </c>
      <c r="O203" s="112" t="str">
        <f>IF(OR(B203=0,B203="",N203=0),"",IF(AF203&lt;&gt;"exclusion",MAX(O$9,-(SUMIFS(SF_Output!$T$1:$T$400,SF_Output!$AC$1:$AC$400,_xlfn.TEXTJOIN(",",TRUE,$B203:$E203),SF_Output!$Q$1:$Q$400,"One Time",SF_Output!$L$1:$L$400,"professional service"))/N203),-((SUMIFS(SF_Output!$T$1:$T$400,SF_Output!$AC$1:$AC$400,_xlfn.TEXTJOIN(",",TRUE,$B203:$E203),SF_Output!$Q$1:$Q$400,"One Time",SF_Output!$L$1:$L$400,"professional service")/N203))))</f>
        <v/>
      </c>
      <c r="P203" s="6" t="str">
        <f t="shared" si="38"/>
        <v/>
      </c>
      <c r="R203" s="6" t="str">
        <f>IF(B203="","",SUMIFS(SF_Output!$S$1:$S$400,SF_Output!$AC$1:$AC$400,_xlfn.TEXTJOIN(",",TRUE,B203:E203),SF_Output!$Q$1:$Q$400,"yearly")+SUMIFS(SF_Output!$S$1:$S$400,SF_Output!$AC$1:$AC$400,_xlfn.TEXTJOIN(",",TRUE,B203:E203),SF_Output!$Q$1:$Q$400,"quarterly")*4)</f>
        <v/>
      </c>
      <c r="S203" s="112" t="str">
        <f>IF(OR(B203=0,B203="",G203="hardware",R203=0),"",IF(AF203&lt;&gt;"exclusion",MAX(S$9,-(SUMIFS(SF_Output!$T$1:$T$400,SF_Output!$AC$1:$AC$400,_xlfn.TEXTJOIN(",",TRUE,$B203:$E203),SF_Output!$Q$1:$Q$400,"yearly"))/R203),-((SUMIFS(SF_Output!$T$1:$T$400,SF_Output!$AC$1:$AC$400,_xlfn.TEXTJOIN(",",TRUE,$B203:$E203),SF_Output!$Q$1:$Q$400,"yearly")/R203))))</f>
        <v/>
      </c>
      <c r="T203" s="6" t="str">
        <f t="shared" si="39"/>
        <v/>
      </c>
      <c r="V203" s="6" t="str" cm="1">
        <f t="array" ref="V203">_xlfn.IFS(B203="","",AND(B203&lt;&gt;"",H203=SF_Output!$Y$2,SUMIFS(SF_Output!$T$1:$T$400,SF_Output!$AC$1:$AC$400,_xlfn.TEXTJOIN(",",TRUE,B203:E203),SF_Output!$Q$1:$Q$400,"monthly")=0),(SUMIFS(SF_Output!$F$1:$F$400,SF_Output!$AC$1:$AC$400,_xlfn.TEXTJOIN(",",TRUE,B203:E203),SF_Output!$Q$1:$Q$400,"monthly")+SUMIFS(SF_Output!$G$1:$G$400,SF_Output!$AC$1:$AC$400,_xlfn.TEXTJOIN(",",TRUE,B203:E203),SF_Output!$Q$1:$Q$400,"monthly"))*H203,AND(B203&lt;&gt;"",H203=SF_Output!$Y$2,SUMIFS(SF_Output!$T$1:$T$400,SF_Output!$AC$1:$AC$400,_xlfn.TEXTJOIN(",",TRUE,B203:E203),SF_Output!$Q$1:$Q$400,"monthly")&lt;&gt;0),SUMIFS(SF_Output!$S$1:$S$400,SF_Output!$AC$1:$AC$400,_xlfn.TEXTJOIN(",",TRUE,B203:E203),SF_Output!$Q$1:$Q$400,"monthly"),AND(B203&lt;&gt;"",H203&lt;&gt;SF_Output!$Y$2),SUMIFS(SF_Output!$S$1:$S$400,SF_Output!$AC$1:$AC$400,_xlfn.TEXTJOIN(",",TRUE,B203:E203),SF_Output!$Q$1:$Q$400,"monthly"))</f>
        <v/>
      </c>
      <c r="W203" s="112" t="str" cm="1">
        <f t="array" ref="W203">_xlfn.IFS(OR(B203=0,B203="",V203=0),"",AF203&lt;&gt;"exclusion",MAX($W$9,$W$7,(-(SUMIFS(SF_Output!$T$1:$T$400,SF_Output!$AC$1:$AC$400,_xlfn.TEXTJOIN(",",TRUE,$B203:$E203),SF_Output!$Q$1:$Q$400,"monthly"))/V203)),AF203="exclusion",-(SUMIFS(SF_Output!$T$1:$T$400,SF_Output!$AC$1:$AC$400,_xlfn.TEXTJOIN(",",TRUE,$B203:$E203),SF_Output!$Q$1:$Q$400,"monthly"))/V203)</f>
        <v/>
      </c>
      <c r="X203" s="6" t="str" cm="1">
        <f t="array" ref="X203">IFERROR(_xlfn.IFS(V203=0,0,V203="","",W203=0,V203,OR(V203&lt;&gt;0,V203&lt;&gt;""),H203*I203),V203*(1-W203))</f>
        <v/>
      </c>
      <c r="Z203" s="6" t="str">
        <f>IFERROR(IF(B203="","",SUMIFS(Billing_Fallout!H:H,Billing_Fallout!N:N,B203)),0)</f>
        <v/>
      </c>
      <c r="AA203" s="6" t="str">
        <f t="shared" si="40"/>
        <v/>
      </c>
      <c r="AB203" s="6" t="str">
        <f>IFERROR(IF(B203="","",SUMIFS(Billing_Fallout!J:J,Billing_Fallout!N:N,B203)),0)</f>
        <v/>
      </c>
      <c r="AD203" s="6" t="str">
        <f t="shared" si="41"/>
        <v/>
      </c>
      <c r="AF203" t="str">
        <f>IFERROR(INDEX(H_Tables!$B$1:$B$1500,MATCH(INDEX(SF_Output!$J$1:$J$400,MATCH(B203,SF_Output!$M$1:$M$400,0)),H_Tables!$A$1:$A$1500,0)),"")</f>
        <v/>
      </c>
      <c r="AI203" s="119" t="str">
        <f t="shared" si="42"/>
        <v/>
      </c>
      <c r="AJ203" s="121">
        <f>IFERROR(INDEX(SF_Output!AD:AD,MATCH(_xlfn.TEXTJOIN(",",TRUE,B203:E203),SF_Output!AC1:AC400,0)),0.05)</f>
        <v>241</v>
      </c>
      <c r="AK203" t="str">
        <f>IF(SUMIFS(SF_Output!$F$1:$F$400,SF_Output!$AC$1:$AC$400,_xlfn.TEXTJOIN(",",TRUE,B203:E203))+SUMIFS(SF_Output!$G$1:$G$400,SF_Output!$AC$1:$AC$400,_xlfn.TEXTJOIN(",",TRUE,B203:E203))=0,"","PAP")</f>
        <v/>
      </c>
      <c r="AL203" s="35" t="str">
        <f t="shared" si="43"/>
        <v/>
      </c>
      <c r="AQ203" s="35"/>
      <c r="AR203" s="35" t="str" cm="1">
        <f t="array" ref="AR203">IFERROR(_xlfn.IFS(AND(E203*1=1,F203="Included"),"Change to Included",AND(E203*1=0,F203="Optional"),"Change to Optional",OR(B203="",F203="replaced"),""),"")</f>
        <v/>
      </c>
      <c r="AS203" s="35" t="str">
        <f t="shared" si="44"/>
        <v/>
      </c>
      <c r="AT203" s="35" t="str">
        <f t="shared" si="45"/>
        <v/>
      </c>
      <c r="AU203" s="35" t="str">
        <f t="shared" si="46"/>
        <v/>
      </c>
      <c r="AV203" s="35" t="str">
        <f t="shared" si="47"/>
        <v/>
      </c>
      <c r="AW203" s="35" t="str">
        <f t="shared" si="48"/>
        <v/>
      </c>
      <c r="AX203" s="35" t="str">
        <f t="shared" si="49"/>
        <v/>
      </c>
      <c r="AY203" s="35" t="str">
        <f t="shared" si="50"/>
        <v/>
      </c>
      <c r="AZ203" s="35" t="str">
        <f t="shared" si="51"/>
        <v/>
      </c>
      <c r="BA203" s="35" t="str">
        <f t="shared" si="52"/>
        <v/>
      </c>
      <c r="BB203" s="35" t="str">
        <f t="shared" si="53"/>
        <v/>
      </c>
      <c r="BC203" s="35"/>
      <c r="BE203" s="35" t="e">
        <f>INDEX(SF_Output!$AA$2:$AA$400,MATCH($B203,SF_Output!$M$2:$M$400,0))</f>
        <v>#N/A</v>
      </c>
      <c r="BF203" s="35" t="e">
        <f>INDEX(SF_Output!$AB$2:$AB$400,MATCH($B203,SF_Output!$M$2:$M$400,0))</f>
        <v>#N/A</v>
      </c>
    </row>
    <row r="204" spans="6:58" x14ac:dyDescent="0.25">
      <c r="F204" s="116" t="str">
        <f t="shared" si="36"/>
        <v/>
      </c>
      <c r="G204" t="str">
        <f>IF(B204="","",INDEX(SF_Output!$K$1:$K$400,MATCH(B204,SF_Output!$M$1:$M$400,0)))</f>
        <v/>
      </c>
      <c r="H204" t="str" cm="1">
        <f t="array" ref="H204">_xlfn.IFS(B204="","",(SUMIFS(SF_Output!$F$1:$F$400,SF_Output!$AC$1:$AC$400,_xlfn.TEXTJOIN(",",TRUE,B204:E204))+SUMIFS(SF_Output!$G$1:$G$400,SF_Output!$AC$1:$AC$400,_xlfn.TEXTJOIN(",",TRUE,B204:E204)))&lt;&gt;0,SF_Output!$Y$2,INDEX(SF_Output!$F$1:$F$400,MATCH(_xlfn.TEXTJOIN(",",TRUE,B204:E204),SF_Output!$AC$1:$AC$400,0))=0,INDEX(SF_Output!$R$1:$R$400,MATCH(_xlfn.TEXTJOIN(",",TRUE,B204:E204),SF_Output!$AC$1:$AC$400,0)))</f>
        <v/>
      </c>
      <c r="I204" s="125" t="str">
        <f>IFERROR(IF(AND(H204&gt;1,H204&lt;&gt;""),ROUND(SUMIFS(SF_Output!$S$1:$S$400,SF_Output!$AC$1:$AC$400,_xlfn.TEXTJOIN(",",TRUE,B204:E204),SF_Output!$Q$1:$Q$400,"monthly")*(1-W204)/H204,4),""),"")</f>
        <v/>
      </c>
      <c r="J204" s="6" t="str">
        <f>IF(B204="","",SUMIFS(SF_Output!$S$1:$S$400,SF_Output!$AC$1:$AC$400,_xlfn.TEXTJOIN(",",TRUE,B204:E204),SF_Output!$Q$1:$Q$400,"One Time",SF_Output!$L$1:$L$400,"license fee")+SUMIFS(SF_Output!$S$1:$S$400,SF_Output!$AC$1:$AC$400,_xlfn.TEXTJOIN(",",TRUE,B204:E204),SF_Output!$Q$1:$Q$400,"One Time",SF_Output!$L$1:$L$400,"software license")+SUMIFS(SF_Output!$S$1:$S$400,SF_Output!$AC$1:$AC$400,_xlfn.TEXTJOIN(",",TRUE,B204:E204),SF_Output!$Q$1:$Q$400,"One Time",SF_Output!$L$1:$L$400,"hardware"))</f>
        <v/>
      </c>
      <c r="K204" s="112" t="str">
        <f>IF(OR(B204=0,B204="",G204="hardware",J204=0),"",IF(AF204&lt;&gt;"exclusion",MAX(K$9,-((SUMIFS(SF_Output!$T$1:$T$400,SF_Output!$AC$1:$AC$400,_xlfn.TEXTJOIN(",",TRUE,$B204:$E204),SF_Output!$Q$1:$Q$400,"One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license"))/J204)))</f>
        <v/>
      </c>
      <c r="L204" s="6" t="str">
        <f t="shared" si="37"/>
        <v/>
      </c>
      <c r="N204" s="6" t="str">
        <f>IF(B204="","",SUMIFS(SF_Output!$S$1:$S$400,SF_Output!$AC$1:$AC$400,_xlfn.TEXTJOIN(",",TRUE,B204:E204),SF_Output!$Q$1:$Q$400,"One Time",SF_Output!$L$1:$L$400,"professional service"))</f>
        <v/>
      </c>
      <c r="O204" s="112" t="str">
        <f>IF(OR(B204=0,B204="",N204=0),"",IF(AF204&lt;&gt;"exclusion",MAX(O$9,-(SUMIFS(SF_Output!$T$1:$T$400,SF_Output!$AC$1:$AC$400,_xlfn.TEXTJOIN(",",TRUE,$B204:$E204),SF_Output!$Q$1:$Q$400,"One Time",SF_Output!$L$1:$L$400,"professional service"))/N204),-((SUMIFS(SF_Output!$T$1:$T$400,SF_Output!$AC$1:$AC$400,_xlfn.TEXTJOIN(",",TRUE,$B204:$E204),SF_Output!$Q$1:$Q$400,"One Time",SF_Output!$L$1:$L$400,"professional service")/N204))))</f>
        <v/>
      </c>
      <c r="P204" s="6" t="str">
        <f t="shared" si="38"/>
        <v/>
      </c>
      <c r="R204" s="6" t="str">
        <f>IF(B204="","",SUMIFS(SF_Output!$S$1:$S$400,SF_Output!$AC$1:$AC$400,_xlfn.TEXTJOIN(",",TRUE,B204:E204),SF_Output!$Q$1:$Q$400,"yearly")+SUMIFS(SF_Output!$S$1:$S$400,SF_Output!$AC$1:$AC$400,_xlfn.TEXTJOIN(",",TRUE,B204:E204),SF_Output!$Q$1:$Q$400,"quarterly")*4)</f>
        <v/>
      </c>
      <c r="S204" s="112" t="str">
        <f>IF(OR(B204=0,B204="",G204="hardware",R204=0),"",IF(AF204&lt;&gt;"exclusion",MAX(S$9,-(SUMIFS(SF_Output!$T$1:$T$400,SF_Output!$AC$1:$AC$400,_xlfn.TEXTJOIN(",",TRUE,$B204:$E204),SF_Output!$Q$1:$Q$400,"yearly"))/R204),-((SUMIFS(SF_Output!$T$1:$T$400,SF_Output!$AC$1:$AC$400,_xlfn.TEXTJOIN(",",TRUE,$B204:$E204),SF_Output!$Q$1:$Q$400,"yearly")/R204))))</f>
        <v/>
      </c>
      <c r="T204" s="6" t="str">
        <f t="shared" si="39"/>
        <v/>
      </c>
      <c r="V204" s="6" t="str" cm="1">
        <f t="array" ref="V204">_xlfn.IFS(B204="","",AND(B204&lt;&gt;"",H204=SF_Output!$Y$2,SUMIFS(SF_Output!$T$1:$T$400,SF_Output!$AC$1:$AC$400,_xlfn.TEXTJOIN(",",TRUE,B204:E204),SF_Output!$Q$1:$Q$400,"monthly")=0),(SUMIFS(SF_Output!$F$1:$F$400,SF_Output!$AC$1:$AC$400,_xlfn.TEXTJOIN(",",TRUE,B204:E204),SF_Output!$Q$1:$Q$400,"monthly")+SUMIFS(SF_Output!$G$1:$G$400,SF_Output!$AC$1:$AC$400,_xlfn.TEXTJOIN(",",TRUE,B204:E204),SF_Output!$Q$1:$Q$400,"monthly"))*H204,AND(B204&lt;&gt;"",H204=SF_Output!$Y$2,SUMIFS(SF_Output!$T$1:$T$400,SF_Output!$AC$1:$AC$400,_xlfn.TEXTJOIN(",",TRUE,B204:E204),SF_Output!$Q$1:$Q$400,"monthly")&lt;&gt;0),SUMIFS(SF_Output!$S$1:$S$400,SF_Output!$AC$1:$AC$400,_xlfn.TEXTJOIN(",",TRUE,B204:E204),SF_Output!$Q$1:$Q$400,"monthly"),AND(B204&lt;&gt;"",H204&lt;&gt;SF_Output!$Y$2),SUMIFS(SF_Output!$S$1:$S$400,SF_Output!$AC$1:$AC$400,_xlfn.TEXTJOIN(",",TRUE,B204:E204),SF_Output!$Q$1:$Q$400,"monthly"))</f>
        <v/>
      </c>
      <c r="W204" s="112" t="str" cm="1">
        <f t="array" ref="W204">_xlfn.IFS(OR(B204=0,B204="",V204=0),"",AF204&lt;&gt;"exclusion",MAX($W$9,$W$7,(-(SUMIFS(SF_Output!$T$1:$T$400,SF_Output!$AC$1:$AC$400,_xlfn.TEXTJOIN(",",TRUE,$B204:$E204),SF_Output!$Q$1:$Q$400,"monthly"))/V204)),AF204="exclusion",-(SUMIFS(SF_Output!$T$1:$T$400,SF_Output!$AC$1:$AC$400,_xlfn.TEXTJOIN(",",TRUE,$B204:$E204),SF_Output!$Q$1:$Q$400,"monthly"))/V204)</f>
        <v/>
      </c>
      <c r="X204" s="6" t="str" cm="1">
        <f t="array" ref="X204">IFERROR(_xlfn.IFS(V204=0,0,V204="","",W204=0,V204,OR(V204&lt;&gt;0,V204&lt;&gt;""),H204*I204),V204*(1-W204))</f>
        <v/>
      </c>
      <c r="Z204" s="6" t="str">
        <f>IFERROR(IF(B204="","",SUMIFS(Billing_Fallout!H:H,Billing_Fallout!N:N,B204)),0)</f>
        <v/>
      </c>
      <c r="AA204" s="6" t="str">
        <f t="shared" si="40"/>
        <v/>
      </c>
      <c r="AB204" s="6" t="str">
        <f>IFERROR(IF(B204="","",SUMIFS(Billing_Fallout!J:J,Billing_Fallout!N:N,B204)),0)</f>
        <v/>
      </c>
      <c r="AD204" s="6" t="str">
        <f t="shared" si="41"/>
        <v/>
      </c>
      <c r="AF204" t="str">
        <f>IFERROR(INDEX(H_Tables!$B$1:$B$1500,MATCH(INDEX(SF_Output!$J$1:$J$400,MATCH(B204,SF_Output!$M$1:$M$400,0)),H_Tables!$A$1:$A$1500,0)),"")</f>
        <v/>
      </c>
      <c r="AI204" s="119" t="str">
        <f t="shared" si="42"/>
        <v/>
      </c>
      <c r="AJ204" s="121">
        <f>IFERROR(INDEX(SF_Output!AD:AD,MATCH(_xlfn.TEXTJOIN(",",TRUE,B204:E204),SF_Output!AC1:AC400,0)),0.05)</f>
        <v>241</v>
      </c>
      <c r="AK204" t="str">
        <f>IF(SUMIFS(SF_Output!$F$1:$F$400,SF_Output!$AC$1:$AC$400,_xlfn.TEXTJOIN(",",TRUE,B204:E204))+SUMIFS(SF_Output!$G$1:$G$400,SF_Output!$AC$1:$AC$400,_xlfn.TEXTJOIN(",",TRUE,B204:E204))=0,"","PAP")</f>
        <v/>
      </c>
      <c r="AL204" s="35" t="str">
        <f t="shared" si="43"/>
        <v/>
      </c>
      <c r="AQ204" s="35"/>
      <c r="AR204" s="35" t="str" cm="1">
        <f t="array" ref="AR204">IFERROR(_xlfn.IFS(AND(E204*1=1,F204="Included"),"Change to Included",AND(E204*1=0,F204="Optional"),"Change to Optional",OR(B204="",F204="replaced"),""),"")</f>
        <v/>
      </c>
      <c r="AS204" s="35" t="str">
        <f t="shared" si="44"/>
        <v/>
      </c>
      <c r="AT204" s="35" t="str">
        <f t="shared" si="45"/>
        <v/>
      </c>
      <c r="AU204" s="35" t="str">
        <f t="shared" si="46"/>
        <v/>
      </c>
      <c r="AV204" s="35" t="str">
        <f t="shared" si="47"/>
        <v/>
      </c>
      <c r="AW204" s="35" t="str">
        <f t="shared" si="48"/>
        <v/>
      </c>
      <c r="AX204" s="35" t="str">
        <f t="shared" si="49"/>
        <v/>
      </c>
      <c r="AY204" s="35" t="str">
        <f t="shared" si="50"/>
        <v/>
      </c>
      <c r="AZ204" s="35" t="str">
        <f t="shared" si="51"/>
        <v/>
      </c>
      <c r="BA204" s="35" t="str">
        <f t="shared" si="52"/>
        <v/>
      </c>
      <c r="BB204" s="35" t="str">
        <f t="shared" si="53"/>
        <v/>
      </c>
      <c r="BC204" s="35"/>
      <c r="BE204" s="35" t="e">
        <f>INDEX(SF_Output!$AA$2:$AA$400,MATCH($B204,SF_Output!$M$2:$M$400,0))</f>
        <v>#N/A</v>
      </c>
      <c r="BF204" s="35" t="e">
        <f>INDEX(SF_Output!$AB$2:$AB$400,MATCH($B204,SF_Output!$M$2:$M$400,0))</f>
        <v>#N/A</v>
      </c>
    </row>
    <row r="205" spans="6:58" x14ac:dyDescent="0.25">
      <c r="F205" s="116" t="str">
        <f t="shared" si="36"/>
        <v/>
      </c>
      <c r="G205" t="str">
        <f>IF(B205="","",INDEX(SF_Output!$K$1:$K$400,MATCH(B205,SF_Output!$M$1:$M$400,0)))</f>
        <v/>
      </c>
      <c r="H205" t="str" cm="1">
        <f t="array" ref="H205">_xlfn.IFS(B205="","",(SUMIFS(SF_Output!$F$1:$F$400,SF_Output!$AC$1:$AC$400,_xlfn.TEXTJOIN(",",TRUE,B205:E205))+SUMIFS(SF_Output!$G$1:$G$400,SF_Output!$AC$1:$AC$400,_xlfn.TEXTJOIN(",",TRUE,B205:E205)))&lt;&gt;0,SF_Output!$Y$2,INDEX(SF_Output!$F$1:$F$400,MATCH(_xlfn.TEXTJOIN(",",TRUE,B205:E205),SF_Output!$AC$1:$AC$400,0))=0,INDEX(SF_Output!$R$1:$R$400,MATCH(_xlfn.TEXTJOIN(",",TRUE,B205:E205),SF_Output!$AC$1:$AC$400,0)))</f>
        <v/>
      </c>
      <c r="I205" s="125" t="str">
        <f>IFERROR(IF(AND(H205&gt;1,H205&lt;&gt;""),ROUND(SUMIFS(SF_Output!$S$1:$S$400,SF_Output!$AC$1:$AC$400,_xlfn.TEXTJOIN(",",TRUE,B205:E205),SF_Output!$Q$1:$Q$400,"monthly")*(1-W205)/H205,4),""),"")</f>
        <v/>
      </c>
      <c r="J205" s="6" t="str">
        <f>IF(B205="","",SUMIFS(SF_Output!$S$1:$S$400,SF_Output!$AC$1:$AC$400,_xlfn.TEXTJOIN(",",TRUE,B205:E205),SF_Output!$Q$1:$Q$400,"One Time",SF_Output!$L$1:$L$400,"license fee")+SUMIFS(SF_Output!$S$1:$S$400,SF_Output!$AC$1:$AC$400,_xlfn.TEXTJOIN(",",TRUE,B205:E205),SF_Output!$Q$1:$Q$400,"One Time",SF_Output!$L$1:$L$400,"software license")+SUMIFS(SF_Output!$S$1:$S$400,SF_Output!$AC$1:$AC$400,_xlfn.TEXTJOIN(",",TRUE,B205:E205),SF_Output!$Q$1:$Q$400,"One Time",SF_Output!$L$1:$L$400,"hardware"))</f>
        <v/>
      </c>
      <c r="K205" s="112" t="str">
        <f>IF(OR(B205=0,B205="",G205="hardware",J205=0),"",IF(AF205&lt;&gt;"exclusion",MAX(K$9,-((SUMIFS(SF_Output!$T$1:$T$400,SF_Output!$AC$1:$AC$400,_xlfn.TEXTJOIN(",",TRUE,$B205:$E205),SF_Output!$Q$1:$Q$400,"One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license"))/J205)))</f>
        <v/>
      </c>
      <c r="L205" s="6" t="str">
        <f t="shared" si="37"/>
        <v/>
      </c>
      <c r="N205" s="6" t="str">
        <f>IF(B205="","",SUMIFS(SF_Output!$S$1:$S$400,SF_Output!$AC$1:$AC$400,_xlfn.TEXTJOIN(",",TRUE,B205:E205),SF_Output!$Q$1:$Q$400,"One Time",SF_Output!$L$1:$L$400,"professional service"))</f>
        <v/>
      </c>
      <c r="O205" s="112" t="str">
        <f>IF(OR(B205=0,B205="",N205=0),"",IF(AF205&lt;&gt;"exclusion",MAX(O$9,-(SUMIFS(SF_Output!$T$1:$T$400,SF_Output!$AC$1:$AC$400,_xlfn.TEXTJOIN(",",TRUE,$B205:$E205),SF_Output!$Q$1:$Q$400,"One Time",SF_Output!$L$1:$L$400,"professional service"))/N205),-((SUMIFS(SF_Output!$T$1:$T$400,SF_Output!$AC$1:$AC$400,_xlfn.TEXTJOIN(",",TRUE,$B205:$E205),SF_Output!$Q$1:$Q$400,"One Time",SF_Output!$L$1:$L$400,"professional service")/N205))))</f>
        <v/>
      </c>
      <c r="P205" s="6" t="str">
        <f t="shared" si="38"/>
        <v/>
      </c>
      <c r="R205" s="6" t="str">
        <f>IF(B205="","",SUMIFS(SF_Output!$S$1:$S$400,SF_Output!$AC$1:$AC$400,_xlfn.TEXTJOIN(",",TRUE,B205:E205),SF_Output!$Q$1:$Q$400,"yearly")+SUMIFS(SF_Output!$S$1:$S$400,SF_Output!$AC$1:$AC$400,_xlfn.TEXTJOIN(",",TRUE,B205:E205),SF_Output!$Q$1:$Q$400,"quarterly")*4)</f>
        <v/>
      </c>
      <c r="S205" s="112" t="str">
        <f>IF(OR(B205=0,B205="",G205="hardware",R205=0),"",IF(AF205&lt;&gt;"exclusion",MAX(S$9,-(SUMIFS(SF_Output!$T$1:$T$400,SF_Output!$AC$1:$AC$400,_xlfn.TEXTJOIN(",",TRUE,$B205:$E205),SF_Output!$Q$1:$Q$400,"yearly"))/R205),-((SUMIFS(SF_Output!$T$1:$T$400,SF_Output!$AC$1:$AC$400,_xlfn.TEXTJOIN(",",TRUE,$B205:$E205),SF_Output!$Q$1:$Q$400,"yearly")/R205))))</f>
        <v/>
      </c>
      <c r="T205" s="6" t="str">
        <f t="shared" si="39"/>
        <v/>
      </c>
      <c r="V205" s="6" t="str" cm="1">
        <f t="array" ref="V205">_xlfn.IFS(B205="","",AND(B205&lt;&gt;"",H205=SF_Output!$Y$2,SUMIFS(SF_Output!$T$1:$T$400,SF_Output!$AC$1:$AC$400,_xlfn.TEXTJOIN(",",TRUE,B205:E205),SF_Output!$Q$1:$Q$400,"monthly")=0),(SUMIFS(SF_Output!$F$1:$F$400,SF_Output!$AC$1:$AC$400,_xlfn.TEXTJOIN(",",TRUE,B205:E205),SF_Output!$Q$1:$Q$400,"monthly")+SUMIFS(SF_Output!$G$1:$G$400,SF_Output!$AC$1:$AC$400,_xlfn.TEXTJOIN(",",TRUE,B205:E205),SF_Output!$Q$1:$Q$400,"monthly"))*H205,AND(B205&lt;&gt;"",H205=SF_Output!$Y$2,SUMIFS(SF_Output!$T$1:$T$400,SF_Output!$AC$1:$AC$400,_xlfn.TEXTJOIN(",",TRUE,B205:E205),SF_Output!$Q$1:$Q$400,"monthly")&lt;&gt;0),SUMIFS(SF_Output!$S$1:$S$400,SF_Output!$AC$1:$AC$400,_xlfn.TEXTJOIN(",",TRUE,B205:E205),SF_Output!$Q$1:$Q$400,"monthly"),AND(B205&lt;&gt;"",H205&lt;&gt;SF_Output!$Y$2),SUMIFS(SF_Output!$S$1:$S$400,SF_Output!$AC$1:$AC$400,_xlfn.TEXTJOIN(",",TRUE,B205:E205),SF_Output!$Q$1:$Q$400,"monthly"))</f>
        <v/>
      </c>
      <c r="W205" s="112" t="str" cm="1">
        <f t="array" ref="W205">_xlfn.IFS(OR(B205=0,B205="",V205=0),"",AF205&lt;&gt;"exclusion",MAX($W$9,$W$7,(-(SUMIFS(SF_Output!$T$1:$T$400,SF_Output!$AC$1:$AC$400,_xlfn.TEXTJOIN(",",TRUE,$B205:$E205),SF_Output!$Q$1:$Q$400,"monthly"))/V205)),AF205="exclusion",-(SUMIFS(SF_Output!$T$1:$T$400,SF_Output!$AC$1:$AC$400,_xlfn.TEXTJOIN(",",TRUE,$B205:$E205),SF_Output!$Q$1:$Q$400,"monthly"))/V205)</f>
        <v/>
      </c>
      <c r="X205" s="6" t="str" cm="1">
        <f t="array" ref="X205">IFERROR(_xlfn.IFS(V205=0,0,V205="","",W205=0,V205,OR(V205&lt;&gt;0,V205&lt;&gt;""),H205*I205),V205*(1-W205))</f>
        <v/>
      </c>
      <c r="Z205" s="6" t="str">
        <f>IFERROR(IF(B205="","",SUMIFS(Billing_Fallout!H:H,Billing_Fallout!N:N,B205)),0)</f>
        <v/>
      </c>
      <c r="AA205" s="6" t="str">
        <f t="shared" si="40"/>
        <v/>
      </c>
      <c r="AB205" s="6" t="str">
        <f>IFERROR(IF(B205="","",SUMIFS(Billing_Fallout!J:J,Billing_Fallout!N:N,B205)),0)</f>
        <v/>
      </c>
      <c r="AD205" s="6" t="str">
        <f t="shared" si="41"/>
        <v/>
      </c>
      <c r="AF205" t="str">
        <f>IFERROR(INDEX(H_Tables!$B$1:$B$1500,MATCH(INDEX(SF_Output!$J$1:$J$400,MATCH(B205,SF_Output!$M$1:$M$400,0)),H_Tables!$A$1:$A$1500,0)),"")</f>
        <v/>
      </c>
      <c r="AI205" s="119" t="str">
        <f t="shared" si="42"/>
        <v/>
      </c>
      <c r="AJ205" s="121">
        <f>IFERROR(INDEX(SF_Output!AD:AD,MATCH(_xlfn.TEXTJOIN(",",TRUE,B205:E205),SF_Output!AC1:AC400,0)),0.05)</f>
        <v>241</v>
      </c>
      <c r="AK205" t="str">
        <f>IF(SUMIFS(SF_Output!$F$1:$F$400,SF_Output!$AC$1:$AC$400,_xlfn.TEXTJOIN(",",TRUE,B205:E205))+SUMIFS(SF_Output!$G$1:$G$400,SF_Output!$AC$1:$AC$400,_xlfn.TEXTJOIN(",",TRUE,B205:E205))=0,"","PAP")</f>
        <v/>
      </c>
      <c r="AL205" s="35" t="str">
        <f t="shared" si="43"/>
        <v/>
      </c>
      <c r="AQ205" s="35"/>
      <c r="AR205" s="35" t="str" cm="1">
        <f t="array" ref="AR205">IFERROR(_xlfn.IFS(AND(E205*1=1,F205="Included"),"Change to Included",AND(E205*1=0,F205="Optional"),"Change to Optional",OR(B205="",F205="replaced"),""),"")</f>
        <v/>
      </c>
      <c r="AS205" s="35" t="str">
        <f t="shared" si="44"/>
        <v/>
      </c>
      <c r="AT205" s="35" t="str">
        <f t="shared" si="45"/>
        <v/>
      </c>
      <c r="AU205" s="35" t="str">
        <f t="shared" si="46"/>
        <v/>
      </c>
      <c r="AV205" s="35" t="str">
        <f t="shared" si="47"/>
        <v/>
      </c>
      <c r="AW205" s="35" t="str">
        <f t="shared" si="48"/>
        <v/>
      </c>
      <c r="AX205" s="35" t="str">
        <f t="shared" si="49"/>
        <v/>
      </c>
      <c r="AY205" s="35" t="str">
        <f t="shared" si="50"/>
        <v/>
      </c>
      <c r="AZ205" s="35" t="str">
        <f t="shared" si="51"/>
        <v/>
      </c>
      <c r="BA205" s="35" t="str">
        <f t="shared" si="52"/>
        <v/>
      </c>
      <c r="BB205" s="35" t="str">
        <f t="shared" si="53"/>
        <v/>
      </c>
      <c r="BC205" s="35"/>
      <c r="BE205" s="35" t="e">
        <f>INDEX(SF_Output!$AA$2:$AA$400,MATCH($B205,SF_Output!$M$2:$M$400,0))</f>
        <v>#N/A</v>
      </c>
      <c r="BF205" s="35" t="e">
        <f>INDEX(SF_Output!$AB$2:$AB$400,MATCH($B205,SF_Output!$M$2:$M$400,0))</f>
        <v>#N/A</v>
      </c>
    </row>
    <row r="206" spans="6:58" x14ac:dyDescent="0.25">
      <c r="F206" s="116" t="str">
        <f t="shared" ref="F206:F250" si="54">IF(B206="","",IF(E206*1=0,"Included","Optional"))</f>
        <v/>
      </c>
      <c r="G206" t="str">
        <f>IF(B206="","",INDEX(SF_Output!$K$1:$K$400,MATCH(B206,SF_Output!$M$1:$M$400,0)))</f>
        <v/>
      </c>
      <c r="H206" t="str" cm="1">
        <f t="array" ref="H206">_xlfn.IFS(B206="","",(SUMIFS(SF_Output!$F$1:$F$400,SF_Output!$AC$1:$AC$400,_xlfn.TEXTJOIN(",",TRUE,B206:E206))+SUMIFS(SF_Output!$G$1:$G$400,SF_Output!$AC$1:$AC$400,_xlfn.TEXTJOIN(",",TRUE,B206:E206)))&lt;&gt;0,SF_Output!$Y$2,INDEX(SF_Output!$F$1:$F$400,MATCH(_xlfn.TEXTJOIN(",",TRUE,B206:E206),SF_Output!$AC$1:$AC$400,0))=0,INDEX(SF_Output!$R$1:$R$400,MATCH(_xlfn.TEXTJOIN(",",TRUE,B206:E206),SF_Output!$AC$1:$AC$400,0)))</f>
        <v/>
      </c>
      <c r="I206" s="125" t="str">
        <f>IFERROR(IF(AND(H206&gt;1,H206&lt;&gt;""),ROUND(SUMIFS(SF_Output!$S$1:$S$400,SF_Output!$AC$1:$AC$400,_xlfn.TEXTJOIN(",",TRUE,B206:E206),SF_Output!$Q$1:$Q$400,"monthly")*(1-W206)/H206,4),""),"")</f>
        <v/>
      </c>
      <c r="J206" s="6" t="str">
        <f>IF(B206="","",SUMIFS(SF_Output!$S$1:$S$400,SF_Output!$AC$1:$AC$400,_xlfn.TEXTJOIN(",",TRUE,B206:E206),SF_Output!$Q$1:$Q$400,"One Time",SF_Output!$L$1:$L$400,"license fee")+SUMIFS(SF_Output!$S$1:$S$400,SF_Output!$AC$1:$AC$400,_xlfn.TEXTJOIN(",",TRUE,B206:E206),SF_Output!$Q$1:$Q$400,"One Time",SF_Output!$L$1:$L$400,"software license")+SUMIFS(SF_Output!$S$1:$S$400,SF_Output!$AC$1:$AC$400,_xlfn.TEXTJOIN(",",TRUE,B206:E206),SF_Output!$Q$1:$Q$400,"One Time",SF_Output!$L$1:$L$400,"hardware"))</f>
        <v/>
      </c>
      <c r="K206" s="112" t="str">
        <f>IF(OR(B206=0,B206="",G206="hardware",J206=0),"",IF(AF206&lt;&gt;"exclusion",MAX(K$9,-((SUMIFS(SF_Output!$T$1:$T$400,SF_Output!$AC$1:$AC$400,_xlfn.TEXTJOIN(",",TRUE,$B206:$E206),SF_Output!$Q$1:$Q$400,"One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license"))/J206)))</f>
        <v/>
      </c>
      <c r="L206" s="6" t="str">
        <f t="shared" ref="L206:L250" si="55">IF(K206="",J206,J206*(1-K206))</f>
        <v/>
      </c>
      <c r="N206" s="6" t="str">
        <f>IF(B206="","",SUMIFS(SF_Output!$S$1:$S$400,SF_Output!$AC$1:$AC$400,_xlfn.TEXTJOIN(",",TRUE,B206:E206),SF_Output!$Q$1:$Q$400,"One Time",SF_Output!$L$1:$L$400,"professional service"))</f>
        <v/>
      </c>
      <c r="O206" s="112" t="str">
        <f>IF(OR(B206=0,B206="",N206=0),"",IF(AF206&lt;&gt;"exclusion",MAX(O$9,-(SUMIFS(SF_Output!$T$1:$T$400,SF_Output!$AC$1:$AC$400,_xlfn.TEXTJOIN(",",TRUE,$B206:$E206),SF_Output!$Q$1:$Q$400,"One Time",SF_Output!$L$1:$L$400,"professional service"))/N206),-((SUMIFS(SF_Output!$T$1:$T$400,SF_Output!$AC$1:$AC$400,_xlfn.TEXTJOIN(",",TRUE,$B206:$E206),SF_Output!$Q$1:$Q$400,"One Time",SF_Output!$L$1:$L$400,"professional service")/N206))))</f>
        <v/>
      </c>
      <c r="P206" s="6" t="str">
        <f t="shared" ref="P206:P250" si="56">IF(O206="",N206,N206*(1-O206))</f>
        <v/>
      </c>
      <c r="R206" s="6" t="str">
        <f>IF(B206="","",SUMIFS(SF_Output!$S$1:$S$400,SF_Output!$AC$1:$AC$400,_xlfn.TEXTJOIN(",",TRUE,B206:E206),SF_Output!$Q$1:$Q$400,"yearly")+SUMIFS(SF_Output!$S$1:$S$400,SF_Output!$AC$1:$AC$400,_xlfn.TEXTJOIN(",",TRUE,B206:E206),SF_Output!$Q$1:$Q$400,"quarterly")*4)</f>
        <v/>
      </c>
      <c r="S206" s="112" t="str">
        <f>IF(OR(B206=0,B206="",G206="hardware",R206=0),"",IF(AF206&lt;&gt;"exclusion",MAX(S$9,-(SUMIFS(SF_Output!$T$1:$T$400,SF_Output!$AC$1:$AC$400,_xlfn.TEXTJOIN(",",TRUE,$B206:$E206),SF_Output!$Q$1:$Q$400,"yearly"))/R206),-((SUMIFS(SF_Output!$T$1:$T$400,SF_Output!$AC$1:$AC$400,_xlfn.TEXTJOIN(",",TRUE,$B206:$E206),SF_Output!$Q$1:$Q$400,"yearly")/R206))))</f>
        <v/>
      </c>
      <c r="T206" s="6" t="str">
        <f t="shared" ref="T206:T250" si="57">IF(S206="",R206,R206*(1-S206))</f>
        <v/>
      </c>
      <c r="V206" s="6" t="str" cm="1">
        <f t="array" ref="V206">_xlfn.IFS(B206="","",AND(B206&lt;&gt;"",H206=SF_Output!$Y$2,SUMIFS(SF_Output!$T$1:$T$400,SF_Output!$AC$1:$AC$400,_xlfn.TEXTJOIN(",",TRUE,B206:E206),SF_Output!$Q$1:$Q$400,"monthly")=0),(SUMIFS(SF_Output!$F$1:$F$400,SF_Output!$AC$1:$AC$400,_xlfn.TEXTJOIN(",",TRUE,B206:E206),SF_Output!$Q$1:$Q$400,"monthly")+SUMIFS(SF_Output!$G$1:$G$400,SF_Output!$AC$1:$AC$400,_xlfn.TEXTJOIN(",",TRUE,B206:E206),SF_Output!$Q$1:$Q$400,"monthly"))*H206,AND(B206&lt;&gt;"",H206=SF_Output!$Y$2,SUMIFS(SF_Output!$T$1:$T$400,SF_Output!$AC$1:$AC$400,_xlfn.TEXTJOIN(",",TRUE,B206:E206),SF_Output!$Q$1:$Q$400,"monthly")&lt;&gt;0),SUMIFS(SF_Output!$S$1:$S$400,SF_Output!$AC$1:$AC$400,_xlfn.TEXTJOIN(",",TRUE,B206:E206),SF_Output!$Q$1:$Q$400,"monthly"),AND(B206&lt;&gt;"",H206&lt;&gt;SF_Output!$Y$2),SUMIFS(SF_Output!$S$1:$S$400,SF_Output!$AC$1:$AC$400,_xlfn.TEXTJOIN(",",TRUE,B206:E206),SF_Output!$Q$1:$Q$400,"monthly"))</f>
        <v/>
      </c>
      <c r="W206" s="112" t="str" cm="1">
        <f t="array" ref="W206">_xlfn.IFS(OR(B206=0,B206="",V206=0),"",AF206&lt;&gt;"exclusion",MAX($W$9,$W$7,(-(SUMIFS(SF_Output!$T$1:$T$400,SF_Output!$AC$1:$AC$400,_xlfn.TEXTJOIN(",",TRUE,$B206:$E206),SF_Output!$Q$1:$Q$400,"monthly"))/V206)),AF206="exclusion",-(SUMIFS(SF_Output!$T$1:$T$400,SF_Output!$AC$1:$AC$400,_xlfn.TEXTJOIN(",",TRUE,$B206:$E206),SF_Output!$Q$1:$Q$400,"monthly"))/V206)</f>
        <v/>
      </c>
      <c r="X206" s="6" t="str" cm="1">
        <f t="array" ref="X206">IFERROR(_xlfn.IFS(V206=0,0,V206="","",W206=0,V206,OR(V206&lt;&gt;0,V206&lt;&gt;""),H206*I206),V206*(1-W206))</f>
        <v/>
      </c>
      <c r="Z206" s="6" t="str">
        <f>IFERROR(IF(B206="","",SUMIFS(Billing_Fallout!H:H,Billing_Fallout!N:N,B206)),0)</f>
        <v/>
      </c>
      <c r="AA206" s="6" t="str">
        <f t="shared" ref="AA206:AA250" si="58">IF(Z206="","",AB206-Z206)</f>
        <v/>
      </c>
      <c r="AB206" s="6" t="str">
        <f>IFERROR(IF(B206="","",SUMIFS(Billing_Fallout!J:J,Billing_Fallout!N:N,B206)),0)</f>
        <v/>
      </c>
      <c r="AD206" s="6" t="str">
        <f t="shared" ref="AD206:AD250" si="59">IFERROR(X206-AB206,"")</f>
        <v/>
      </c>
      <c r="AF206" t="str">
        <f>IFERROR(INDEX(H_Tables!$B$1:$B$1500,MATCH(INDEX(SF_Output!$J$1:$J$400,MATCH(B206,SF_Output!$M$1:$M$400,0)),H_Tables!$A$1:$A$1500,0)),"")</f>
        <v/>
      </c>
      <c r="AI206" s="119" t="str">
        <f t="shared" ref="AI206:AI250" si="60">IF(B206="","",IF(F206="remove","Remove Product",IF(F206="add","Add Product",_xlfn.TEXTJOIN(", ",TRUE,AQ206,AR206,AS206,AT206,AU206,AV206,AW206,AX206,AY206,AZ206,BA206,BB206,BC206))))</f>
        <v/>
      </c>
      <c r="AJ206" s="121">
        <f>IFERROR(INDEX(SF_Output!AD:AD,MATCH(_xlfn.TEXTJOIN(",",TRUE,B206:E206),SF_Output!AC1:AC400,0)),0.05)</f>
        <v>241</v>
      </c>
      <c r="AK206" t="str">
        <f>IF(SUMIFS(SF_Output!$F$1:$F$400,SF_Output!$AC$1:$AC$400,_xlfn.TEXTJOIN(",",TRUE,B206:E206))+SUMIFS(SF_Output!$G$1:$G$400,SF_Output!$AC$1:$AC$400,_xlfn.TEXTJOIN(",",TRUE,B206:E206))=0,"","PAP")</f>
        <v/>
      </c>
      <c r="AL206" s="35" t="str">
        <f t="shared" ref="AL206:AL250" si="61">LEFT(_xlfn.TEXTJOIN(",",TRUE,B206:E206),80)</f>
        <v/>
      </c>
      <c r="AQ206" s="35"/>
      <c r="AR206" s="35" t="str" cm="1">
        <f t="array" ref="AR206">IFERROR(_xlfn.IFS(AND(E206*1=1,F206="Included"),"Change to Included",AND(E206*1=0,F206="Optional"),"Change to Optional",OR(B206="",F206="replaced"),""),"")</f>
        <v/>
      </c>
      <c r="AS206" s="35" t="str">
        <f t="shared" ref="AS206:AS250" si="62">IF((OR(NOT(_xlfn.ISFORMULA(J206)),NOT(_xlfn.ISFORMULA(L206)))),"Check License Price Override","")</f>
        <v/>
      </c>
      <c r="AT206" s="35" t="str">
        <f t="shared" ref="AT206:AT250" si="63">IF(OR(AND(K206=$K$9,K206&lt;&gt;0),NOT(_xlfn.ISFORMULA(K206))),"License Discount "&amp;K206*100&amp;"%","")</f>
        <v/>
      </c>
      <c r="AU206" s="35" t="str">
        <f t="shared" ref="AU206:AU250" si="64">IF((OR(NOT(_xlfn.ISFORMULA(N206)),NOT(_xlfn.ISFORMULA(P206)))),"Check Install Price Override","")</f>
        <v/>
      </c>
      <c r="AV206" s="35" t="str">
        <f t="shared" ref="AV206:AV250" si="65">IF(OR(AND(O206=$O$9,O206&lt;&gt;0),NOT(_xlfn.ISFORMULA(O206))),"Install Discount "&amp;O206*100&amp;"%","")</f>
        <v/>
      </c>
      <c r="AW206" s="35" t="str">
        <f t="shared" ref="AW206:AW250" si="66">IF((OR(NOT(_xlfn.ISFORMULA(R206)),NOT(_xlfn.ISFORMULA(T206)))),"Check Maintenance Price Override","")</f>
        <v/>
      </c>
      <c r="AX206" s="35" t="str">
        <f t="shared" ref="AX206:AX250" si="67">IF(OR(AND(S206=$S$9,S206&lt;&gt;0),NOT(_xlfn.ISFORMULA(S206))),"Maintenance Discount "&amp;S206*100&amp;"%","")</f>
        <v/>
      </c>
      <c r="AY206" s="35" t="str">
        <f t="shared" ref="AY206:AY250" si="68">IF((OR(NOT(_xlfn.ISFORMULA(V206)),NOT(_xlfn.ISFORMULA(X206)))),"Check Monthly Price Override","")</f>
        <v/>
      </c>
      <c r="AZ206" s="35" t="str">
        <f t="shared" ref="AZ206:AZ250" si="69">IF(OR((AND(W206=$W$9,W206&lt;&gt;0)),(AND(W206=$W$7,W206&lt;&gt;0)),(NOT(_xlfn.ISFORMULA(W206))),AND($W$7+0.2=W206,$W$7&lt;&gt;0)),"Monthly Discount "&amp;W206*100&amp;"%","")</f>
        <v/>
      </c>
      <c r="BA206" s="35" t="str">
        <f t="shared" ref="BA206:BA250" si="70">IF(NOT(_xlfn.ISFORMULA(H206)),"Check Quantity","")</f>
        <v/>
      </c>
      <c r="BB206" s="35" t="str">
        <f t="shared" ref="BB206:BB250" si="71">IF(NOT(_xlfn.ISFORMULA(I206)),"Check Unit Price Override","")</f>
        <v/>
      </c>
      <c r="BC206" s="35"/>
      <c r="BE206" s="35" t="e">
        <f>INDEX(SF_Output!$AA$2:$AA$400,MATCH($B206,SF_Output!$M$2:$M$400,0))</f>
        <v>#N/A</v>
      </c>
      <c r="BF206" s="35" t="e">
        <f>INDEX(SF_Output!$AB$2:$AB$400,MATCH($B206,SF_Output!$M$2:$M$400,0))</f>
        <v>#N/A</v>
      </c>
    </row>
    <row r="207" spans="6:58" x14ac:dyDescent="0.25">
      <c r="F207" s="116" t="str">
        <f t="shared" si="54"/>
        <v/>
      </c>
      <c r="G207" t="str">
        <f>IF(B207="","",INDEX(SF_Output!$K$1:$K$400,MATCH(B207,SF_Output!$M$1:$M$400,0)))</f>
        <v/>
      </c>
      <c r="H207" t="str" cm="1">
        <f t="array" ref="H207">_xlfn.IFS(B207="","",(SUMIFS(SF_Output!$F$1:$F$400,SF_Output!$AC$1:$AC$400,_xlfn.TEXTJOIN(",",TRUE,B207:E207))+SUMIFS(SF_Output!$G$1:$G$400,SF_Output!$AC$1:$AC$400,_xlfn.TEXTJOIN(",",TRUE,B207:E207)))&lt;&gt;0,SF_Output!$Y$2,INDEX(SF_Output!$F$1:$F$400,MATCH(_xlfn.TEXTJOIN(",",TRUE,B207:E207),SF_Output!$AC$1:$AC$400,0))=0,INDEX(SF_Output!$R$1:$R$400,MATCH(_xlfn.TEXTJOIN(",",TRUE,B207:E207),SF_Output!$AC$1:$AC$400,0)))</f>
        <v/>
      </c>
      <c r="I207" s="125" t="str">
        <f>IFERROR(IF(AND(H207&gt;1,H207&lt;&gt;""),ROUND(SUMIFS(SF_Output!$S$1:$S$400,SF_Output!$AC$1:$AC$400,_xlfn.TEXTJOIN(",",TRUE,B207:E207),SF_Output!$Q$1:$Q$400,"monthly")*(1-W207)/H207,4),""),"")</f>
        <v/>
      </c>
      <c r="J207" s="6" t="str">
        <f>IF(B207="","",SUMIFS(SF_Output!$S$1:$S$400,SF_Output!$AC$1:$AC$400,_xlfn.TEXTJOIN(",",TRUE,B207:E207),SF_Output!$Q$1:$Q$400,"One Time",SF_Output!$L$1:$L$400,"license fee")+SUMIFS(SF_Output!$S$1:$S$400,SF_Output!$AC$1:$AC$400,_xlfn.TEXTJOIN(",",TRUE,B207:E207),SF_Output!$Q$1:$Q$400,"One Time",SF_Output!$L$1:$L$400,"software license")+SUMIFS(SF_Output!$S$1:$S$400,SF_Output!$AC$1:$AC$400,_xlfn.TEXTJOIN(",",TRUE,B207:E207),SF_Output!$Q$1:$Q$400,"One Time",SF_Output!$L$1:$L$400,"hardware"))</f>
        <v/>
      </c>
      <c r="K207" s="112" t="str">
        <f>IF(OR(B207=0,B207="",G207="hardware",J207=0),"",IF(AF207&lt;&gt;"exclusion",MAX(K$9,-((SUMIFS(SF_Output!$T$1:$T$400,SF_Output!$AC$1:$AC$400,_xlfn.TEXTJOIN(",",TRUE,$B207:$E207),SF_Output!$Q$1:$Q$400,"One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license"))/J207)))</f>
        <v/>
      </c>
      <c r="L207" s="6" t="str">
        <f t="shared" si="55"/>
        <v/>
      </c>
      <c r="N207" s="6" t="str">
        <f>IF(B207="","",SUMIFS(SF_Output!$S$1:$S$400,SF_Output!$AC$1:$AC$400,_xlfn.TEXTJOIN(",",TRUE,B207:E207),SF_Output!$Q$1:$Q$400,"One Time",SF_Output!$L$1:$L$400,"professional service"))</f>
        <v/>
      </c>
      <c r="O207" s="112" t="str">
        <f>IF(OR(B207=0,B207="",N207=0),"",IF(AF207&lt;&gt;"exclusion",MAX(O$9,-(SUMIFS(SF_Output!$T$1:$T$400,SF_Output!$AC$1:$AC$400,_xlfn.TEXTJOIN(",",TRUE,$B207:$E207),SF_Output!$Q$1:$Q$400,"One Time",SF_Output!$L$1:$L$400,"professional service"))/N207),-((SUMIFS(SF_Output!$T$1:$T$400,SF_Output!$AC$1:$AC$400,_xlfn.TEXTJOIN(",",TRUE,$B207:$E207),SF_Output!$Q$1:$Q$400,"One Time",SF_Output!$L$1:$L$400,"professional service")/N207))))</f>
        <v/>
      </c>
      <c r="P207" s="6" t="str">
        <f t="shared" si="56"/>
        <v/>
      </c>
      <c r="R207" s="6" t="str">
        <f>IF(B207="","",SUMIFS(SF_Output!$S$1:$S$400,SF_Output!$AC$1:$AC$400,_xlfn.TEXTJOIN(",",TRUE,B207:E207),SF_Output!$Q$1:$Q$400,"yearly")+SUMIFS(SF_Output!$S$1:$S$400,SF_Output!$AC$1:$AC$400,_xlfn.TEXTJOIN(",",TRUE,B207:E207),SF_Output!$Q$1:$Q$400,"quarterly")*4)</f>
        <v/>
      </c>
      <c r="S207" s="112" t="str">
        <f>IF(OR(B207=0,B207="",G207="hardware",R207=0),"",IF(AF207&lt;&gt;"exclusion",MAX(S$9,-(SUMIFS(SF_Output!$T$1:$T$400,SF_Output!$AC$1:$AC$400,_xlfn.TEXTJOIN(",",TRUE,$B207:$E207),SF_Output!$Q$1:$Q$400,"yearly"))/R207),-((SUMIFS(SF_Output!$T$1:$T$400,SF_Output!$AC$1:$AC$400,_xlfn.TEXTJOIN(",",TRUE,$B207:$E207),SF_Output!$Q$1:$Q$400,"yearly")/R207))))</f>
        <v/>
      </c>
      <c r="T207" s="6" t="str">
        <f t="shared" si="57"/>
        <v/>
      </c>
      <c r="V207" s="6" t="str" cm="1">
        <f t="array" ref="V207">_xlfn.IFS(B207="","",AND(B207&lt;&gt;"",H207=SF_Output!$Y$2,SUMIFS(SF_Output!$T$1:$T$400,SF_Output!$AC$1:$AC$400,_xlfn.TEXTJOIN(",",TRUE,B207:E207),SF_Output!$Q$1:$Q$400,"monthly")=0),(SUMIFS(SF_Output!$F$1:$F$400,SF_Output!$AC$1:$AC$400,_xlfn.TEXTJOIN(",",TRUE,B207:E207),SF_Output!$Q$1:$Q$400,"monthly")+SUMIFS(SF_Output!$G$1:$G$400,SF_Output!$AC$1:$AC$400,_xlfn.TEXTJOIN(",",TRUE,B207:E207),SF_Output!$Q$1:$Q$400,"monthly"))*H207,AND(B207&lt;&gt;"",H207=SF_Output!$Y$2,SUMIFS(SF_Output!$T$1:$T$400,SF_Output!$AC$1:$AC$400,_xlfn.TEXTJOIN(",",TRUE,B207:E207),SF_Output!$Q$1:$Q$400,"monthly")&lt;&gt;0),SUMIFS(SF_Output!$S$1:$S$400,SF_Output!$AC$1:$AC$400,_xlfn.TEXTJOIN(",",TRUE,B207:E207),SF_Output!$Q$1:$Q$400,"monthly"),AND(B207&lt;&gt;"",H207&lt;&gt;SF_Output!$Y$2),SUMIFS(SF_Output!$S$1:$S$400,SF_Output!$AC$1:$AC$400,_xlfn.TEXTJOIN(",",TRUE,B207:E207),SF_Output!$Q$1:$Q$400,"monthly"))</f>
        <v/>
      </c>
      <c r="W207" s="112" t="str" cm="1">
        <f t="array" ref="W207">_xlfn.IFS(OR(B207=0,B207="",V207=0),"",AF207&lt;&gt;"exclusion",MAX($W$9,$W$7,(-(SUMIFS(SF_Output!$T$1:$T$400,SF_Output!$AC$1:$AC$400,_xlfn.TEXTJOIN(",",TRUE,$B207:$E207),SF_Output!$Q$1:$Q$400,"monthly"))/V207)),AF207="exclusion",-(SUMIFS(SF_Output!$T$1:$T$400,SF_Output!$AC$1:$AC$400,_xlfn.TEXTJOIN(",",TRUE,$B207:$E207),SF_Output!$Q$1:$Q$400,"monthly"))/V207)</f>
        <v/>
      </c>
      <c r="X207" s="6" t="str" cm="1">
        <f t="array" ref="X207">IFERROR(_xlfn.IFS(V207=0,0,V207="","",W207=0,V207,OR(V207&lt;&gt;0,V207&lt;&gt;""),H207*I207),V207*(1-W207))</f>
        <v/>
      </c>
      <c r="Z207" s="6" t="str">
        <f>IFERROR(IF(B207="","",SUMIFS(Billing_Fallout!H:H,Billing_Fallout!N:N,B207)),0)</f>
        <v/>
      </c>
      <c r="AA207" s="6" t="str">
        <f t="shared" si="58"/>
        <v/>
      </c>
      <c r="AB207" s="6" t="str">
        <f>IFERROR(IF(B207="","",SUMIFS(Billing_Fallout!J:J,Billing_Fallout!N:N,B207)),0)</f>
        <v/>
      </c>
      <c r="AD207" s="6" t="str">
        <f t="shared" si="59"/>
        <v/>
      </c>
      <c r="AF207" t="str">
        <f>IFERROR(INDEX(H_Tables!$B$1:$B$1500,MATCH(INDEX(SF_Output!$J$1:$J$400,MATCH(B207,SF_Output!$M$1:$M$400,0)),H_Tables!$A$1:$A$1500,0)),"")</f>
        <v/>
      </c>
      <c r="AI207" s="119" t="str">
        <f t="shared" si="60"/>
        <v/>
      </c>
      <c r="AJ207" s="121">
        <f>IFERROR(INDEX(SF_Output!AD:AD,MATCH(_xlfn.TEXTJOIN(",",TRUE,B207:E207),SF_Output!AC1:AC400,0)),0.05)</f>
        <v>241</v>
      </c>
      <c r="AK207" t="str">
        <f>IF(SUMIFS(SF_Output!$F$1:$F$400,SF_Output!$AC$1:$AC$400,_xlfn.TEXTJOIN(",",TRUE,B207:E207))+SUMIFS(SF_Output!$G$1:$G$400,SF_Output!$AC$1:$AC$400,_xlfn.TEXTJOIN(",",TRUE,B207:E207))=0,"","PAP")</f>
        <v/>
      </c>
      <c r="AL207" s="35" t="str">
        <f t="shared" si="61"/>
        <v/>
      </c>
      <c r="AQ207" s="35"/>
      <c r="AR207" s="35" t="str" cm="1">
        <f t="array" ref="AR207">IFERROR(_xlfn.IFS(AND(E207*1=1,F207="Included"),"Change to Included",AND(E207*1=0,F207="Optional"),"Change to Optional",OR(B207="",F207="replaced"),""),"")</f>
        <v/>
      </c>
      <c r="AS207" s="35" t="str">
        <f t="shared" si="62"/>
        <v/>
      </c>
      <c r="AT207" s="35" t="str">
        <f t="shared" si="63"/>
        <v/>
      </c>
      <c r="AU207" s="35" t="str">
        <f t="shared" si="64"/>
        <v/>
      </c>
      <c r="AV207" s="35" t="str">
        <f t="shared" si="65"/>
        <v/>
      </c>
      <c r="AW207" s="35" t="str">
        <f t="shared" si="66"/>
        <v/>
      </c>
      <c r="AX207" s="35" t="str">
        <f t="shared" si="67"/>
        <v/>
      </c>
      <c r="AY207" s="35" t="str">
        <f t="shared" si="68"/>
        <v/>
      </c>
      <c r="AZ207" s="35" t="str">
        <f t="shared" si="69"/>
        <v/>
      </c>
      <c r="BA207" s="35" t="str">
        <f t="shared" si="70"/>
        <v/>
      </c>
      <c r="BB207" s="35" t="str">
        <f t="shared" si="71"/>
        <v/>
      </c>
      <c r="BC207" s="35"/>
      <c r="BE207" s="35" t="e">
        <f>INDEX(SF_Output!$AA$2:$AA$400,MATCH($B207,SF_Output!$M$2:$M$400,0))</f>
        <v>#N/A</v>
      </c>
      <c r="BF207" s="35" t="e">
        <f>INDEX(SF_Output!$AB$2:$AB$400,MATCH($B207,SF_Output!$M$2:$M$400,0))</f>
        <v>#N/A</v>
      </c>
    </row>
    <row r="208" spans="6:58" x14ac:dyDescent="0.25">
      <c r="F208" s="116" t="str">
        <f t="shared" si="54"/>
        <v/>
      </c>
      <c r="G208" t="str">
        <f>IF(B208="","",INDEX(SF_Output!$K$1:$K$400,MATCH(B208,SF_Output!$M$1:$M$400,0)))</f>
        <v/>
      </c>
      <c r="H208" t="str" cm="1">
        <f t="array" ref="H208">_xlfn.IFS(B208="","",(SUMIFS(SF_Output!$F$1:$F$400,SF_Output!$AC$1:$AC$400,_xlfn.TEXTJOIN(",",TRUE,B208:E208))+SUMIFS(SF_Output!$G$1:$G$400,SF_Output!$AC$1:$AC$400,_xlfn.TEXTJOIN(",",TRUE,B208:E208)))&lt;&gt;0,SF_Output!$Y$2,INDEX(SF_Output!$F$1:$F$400,MATCH(_xlfn.TEXTJOIN(",",TRUE,B208:E208),SF_Output!$AC$1:$AC$400,0))=0,INDEX(SF_Output!$R$1:$R$400,MATCH(_xlfn.TEXTJOIN(",",TRUE,B208:E208),SF_Output!$AC$1:$AC$400,0)))</f>
        <v/>
      </c>
      <c r="I208" s="125" t="str">
        <f>IFERROR(IF(AND(H208&gt;1,H208&lt;&gt;""),ROUND(SUMIFS(SF_Output!$S$1:$S$400,SF_Output!$AC$1:$AC$400,_xlfn.TEXTJOIN(",",TRUE,B208:E208),SF_Output!$Q$1:$Q$400,"monthly")*(1-W208)/H208,4),""),"")</f>
        <v/>
      </c>
      <c r="J208" s="6" t="str">
        <f>IF(B208="","",SUMIFS(SF_Output!$S$1:$S$400,SF_Output!$AC$1:$AC$400,_xlfn.TEXTJOIN(",",TRUE,B208:E208),SF_Output!$Q$1:$Q$400,"One Time",SF_Output!$L$1:$L$400,"license fee")+SUMIFS(SF_Output!$S$1:$S$400,SF_Output!$AC$1:$AC$400,_xlfn.TEXTJOIN(",",TRUE,B208:E208),SF_Output!$Q$1:$Q$400,"One Time",SF_Output!$L$1:$L$400,"software license")+SUMIFS(SF_Output!$S$1:$S$400,SF_Output!$AC$1:$AC$400,_xlfn.TEXTJOIN(",",TRUE,B208:E208),SF_Output!$Q$1:$Q$400,"One Time",SF_Output!$L$1:$L$400,"hardware"))</f>
        <v/>
      </c>
      <c r="K208" s="112" t="str">
        <f>IF(OR(B208=0,B208="",G208="hardware",J208=0),"",IF(AF208&lt;&gt;"exclusion",MAX(K$9,-((SUMIFS(SF_Output!$T$1:$T$400,SF_Output!$AC$1:$AC$400,_xlfn.TEXTJOIN(",",TRUE,$B208:$E208),SF_Output!$Q$1:$Q$400,"One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license"))/J208)))</f>
        <v/>
      </c>
      <c r="L208" s="6" t="str">
        <f t="shared" si="55"/>
        <v/>
      </c>
      <c r="N208" s="6" t="str">
        <f>IF(B208="","",SUMIFS(SF_Output!$S$1:$S$400,SF_Output!$AC$1:$AC$400,_xlfn.TEXTJOIN(",",TRUE,B208:E208),SF_Output!$Q$1:$Q$400,"One Time",SF_Output!$L$1:$L$400,"professional service"))</f>
        <v/>
      </c>
      <c r="O208" s="112" t="str">
        <f>IF(OR(B208=0,B208="",N208=0),"",IF(AF208&lt;&gt;"exclusion",MAX(O$9,-(SUMIFS(SF_Output!$T$1:$T$400,SF_Output!$AC$1:$AC$400,_xlfn.TEXTJOIN(",",TRUE,$B208:$E208),SF_Output!$Q$1:$Q$400,"One Time",SF_Output!$L$1:$L$400,"professional service"))/N208),-((SUMIFS(SF_Output!$T$1:$T$400,SF_Output!$AC$1:$AC$400,_xlfn.TEXTJOIN(",",TRUE,$B208:$E208),SF_Output!$Q$1:$Q$400,"One Time",SF_Output!$L$1:$L$400,"professional service")/N208))))</f>
        <v/>
      </c>
      <c r="P208" s="6" t="str">
        <f t="shared" si="56"/>
        <v/>
      </c>
      <c r="R208" s="6" t="str">
        <f>IF(B208="","",SUMIFS(SF_Output!$S$1:$S$400,SF_Output!$AC$1:$AC$400,_xlfn.TEXTJOIN(",",TRUE,B208:E208),SF_Output!$Q$1:$Q$400,"yearly")+SUMIFS(SF_Output!$S$1:$S$400,SF_Output!$AC$1:$AC$400,_xlfn.TEXTJOIN(",",TRUE,B208:E208),SF_Output!$Q$1:$Q$400,"quarterly")*4)</f>
        <v/>
      </c>
      <c r="S208" s="112" t="str">
        <f>IF(OR(B208=0,B208="",G208="hardware",R208=0),"",IF(AF208&lt;&gt;"exclusion",MAX(S$9,-(SUMIFS(SF_Output!$T$1:$T$400,SF_Output!$AC$1:$AC$400,_xlfn.TEXTJOIN(",",TRUE,$B208:$E208),SF_Output!$Q$1:$Q$400,"yearly"))/R208),-((SUMIFS(SF_Output!$T$1:$T$400,SF_Output!$AC$1:$AC$400,_xlfn.TEXTJOIN(",",TRUE,$B208:$E208),SF_Output!$Q$1:$Q$400,"yearly")/R208))))</f>
        <v/>
      </c>
      <c r="T208" s="6" t="str">
        <f t="shared" si="57"/>
        <v/>
      </c>
      <c r="V208" s="6" t="str" cm="1">
        <f t="array" ref="V208">_xlfn.IFS(B208="","",AND(B208&lt;&gt;"",H208=SF_Output!$Y$2,SUMIFS(SF_Output!$T$1:$T$400,SF_Output!$AC$1:$AC$400,_xlfn.TEXTJOIN(",",TRUE,B208:E208),SF_Output!$Q$1:$Q$400,"monthly")=0),(SUMIFS(SF_Output!$F$1:$F$400,SF_Output!$AC$1:$AC$400,_xlfn.TEXTJOIN(",",TRUE,B208:E208),SF_Output!$Q$1:$Q$400,"monthly")+SUMIFS(SF_Output!$G$1:$G$400,SF_Output!$AC$1:$AC$400,_xlfn.TEXTJOIN(",",TRUE,B208:E208),SF_Output!$Q$1:$Q$400,"monthly"))*H208,AND(B208&lt;&gt;"",H208=SF_Output!$Y$2,SUMIFS(SF_Output!$T$1:$T$400,SF_Output!$AC$1:$AC$400,_xlfn.TEXTJOIN(",",TRUE,B208:E208),SF_Output!$Q$1:$Q$400,"monthly")&lt;&gt;0),SUMIFS(SF_Output!$S$1:$S$400,SF_Output!$AC$1:$AC$400,_xlfn.TEXTJOIN(",",TRUE,B208:E208),SF_Output!$Q$1:$Q$400,"monthly"),AND(B208&lt;&gt;"",H208&lt;&gt;SF_Output!$Y$2),SUMIFS(SF_Output!$S$1:$S$400,SF_Output!$AC$1:$AC$400,_xlfn.TEXTJOIN(",",TRUE,B208:E208),SF_Output!$Q$1:$Q$400,"monthly"))</f>
        <v/>
      </c>
      <c r="W208" s="112" t="str" cm="1">
        <f t="array" ref="W208">_xlfn.IFS(OR(B208=0,B208="",V208=0),"",AF208&lt;&gt;"exclusion",MAX($W$9,$W$7,(-(SUMIFS(SF_Output!$T$1:$T$400,SF_Output!$AC$1:$AC$400,_xlfn.TEXTJOIN(",",TRUE,$B208:$E208),SF_Output!$Q$1:$Q$400,"monthly"))/V208)),AF208="exclusion",-(SUMIFS(SF_Output!$T$1:$T$400,SF_Output!$AC$1:$AC$400,_xlfn.TEXTJOIN(",",TRUE,$B208:$E208),SF_Output!$Q$1:$Q$400,"monthly"))/V208)</f>
        <v/>
      </c>
      <c r="X208" s="6" t="str" cm="1">
        <f t="array" ref="X208">IFERROR(_xlfn.IFS(V208=0,0,V208="","",W208=0,V208,OR(V208&lt;&gt;0,V208&lt;&gt;""),H208*I208),V208*(1-W208))</f>
        <v/>
      </c>
      <c r="Z208" s="6" t="str">
        <f>IFERROR(IF(B208="","",SUMIFS(Billing_Fallout!H:H,Billing_Fallout!N:N,B208)),0)</f>
        <v/>
      </c>
      <c r="AA208" s="6" t="str">
        <f t="shared" si="58"/>
        <v/>
      </c>
      <c r="AB208" s="6" t="str">
        <f>IFERROR(IF(B208="","",SUMIFS(Billing_Fallout!J:J,Billing_Fallout!N:N,B208)),0)</f>
        <v/>
      </c>
      <c r="AD208" s="6" t="str">
        <f t="shared" si="59"/>
        <v/>
      </c>
      <c r="AF208" t="str">
        <f>IFERROR(INDEX(H_Tables!$B$1:$B$1500,MATCH(INDEX(SF_Output!$J$1:$J$400,MATCH(B208,SF_Output!$M$1:$M$400,0)),H_Tables!$A$1:$A$1500,0)),"")</f>
        <v/>
      </c>
      <c r="AI208" s="119" t="str">
        <f t="shared" si="60"/>
        <v/>
      </c>
      <c r="AJ208" s="121">
        <f>IFERROR(INDEX(SF_Output!AD:AD,MATCH(_xlfn.TEXTJOIN(",",TRUE,B208:E208),SF_Output!AC1:AC400,0)),0.05)</f>
        <v>241</v>
      </c>
      <c r="AK208" t="str">
        <f>IF(SUMIFS(SF_Output!$F$1:$F$400,SF_Output!$AC$1:$AC$400,_xlfn.TEXTJOIN(",",TRUE,B208:E208))+SUMIFS(SF_Output!$G$1:$G$400,SF_Output!$AC$1:$AC$400,_xlfn.TEXTJOIN(",",TRUE,B208:E208))=0,"","PAP")</f>
        <v/>
      </c>
      <c r="AL208" s="35" t="str">
        <f t="shared" si="61"/>
        <v/>
      </c>
      <c r="AQ208" s="35"/>
      <c r="AR208" s="35" t="str" cm="1">
        <f t="array" ref="AR208">IFERROR(_xlfn.IFS(AND(E208*1=1,F208="Included"),"Change to Included",AND(E208*1=0,F208="Optional"),"Change to Optional",OR(B208="",F208="replaced"),""),"")</f>
        <v/>
      </c>
      <c r="AS208" s="35" t="str">
        <f t="shared" si="62"/>
        <v/>
      </c>
      <c r="AT208" s="35" t="str">
        <f t="shared" si="63"/>
        <v/>
      </c>
      <c r="AU208" s="35" t="str">
        <f t="shared" si="64"/>
        <v/>
      </c>
      <c r="AV208" s="35" t="str">
        <f t="shared" si="65"/>
        <v/>
      </c>
      <c r="AW208" s="35" t="str">
        <f t="shared" si="66"/>
        <v/>
      </c>
      <c r="AX208" s="35" t="str">
        <f t="shared" si="67"/>
        <v/>
      </c>
      <c r="AY208" s="35" t="str">
        <f t="shared" si="68"/>
        <v/>
      </c>
      <c r="AZ208" s="35" t="str">
        <f t="shared" si="69"/>
        <v/>
      </c>
      <c r="BA208" s="35" t="str">
        <f t="shared" si="70"/>
        <v/>
      </c>
      <c r="BB208" s="35" t="str">
        <f t="shared" si="71"/>
        <v/>
      </c>
      <c r="BC208" s="35"/>
      <c r="BE208" s="35" t="e">
        <f>INDEX(SF_Output!$AA$2:$AA$400,MATCH($B208,SF_Output!$M$2:$M$400,0))</f>
        <v>#N/A</v>
      </c>
      <c r="BF208" s="35" t="e">
        <f>INDEX(SF_Output!$AB$2:$AB$400,MATCH($B208,SF_Output!$M$2:$M$400,0))</f>
        <v>#N/A</v>
      </c>
    </row>
    <row r="209" spans="6:58" x14ac:dyDescent="0.25">
      <c r="F209" s="116" t="str">
        <f t="shared" si="54"/>
        <v/>
      </c>
      <c r="G209" t="str">
        <f>IF(B209="","",INDEX(SF_Output!$K$1:$K$400,MATCH(B209,SF_Output!$M$1:$M$400,0)))</f>
        <v/>
      </c>
      <c r="H209" t="str" cm="1">
        <f t="array" ref="H209">_xlfn.IFS(B209="","",(SUMIFS(SF_Output!$F$1:$F$400,SF_Output!$AC$1:$AC$400,_xlfn.TEXTJOIN(",",TRUE,B209:E209))+SUMIFS(SF_Output!$G$1:$G$400,SF_Output!$AC$1:$AC$400,_xlfn.TEXTJOIN(",",TRUE,B209:E209)))&lt;&gt;0,SF_Output!$Y$2,INDEX(SF_Output!$F$1:$F$400,MATCH(_xlfn.TEXTJOIN(",",TRUE,B209:E209),SF_Output!$AC$1:$AC$400,0))=0,INDEX(SF_Output!$R$1:$R$400,MATCH(_xlfn.TEXTJOIN(",",TRUE,B209:E209),SF_Output!$AC$1:$AC$400,0)))</f>
        <v/>
      </c>
      <c r="I209" s="125" t="str">
        <f>IFERROR(IF(AND(H209&gt;1,H209&lt;&gt;""),ROUND(SUMIFS(SF_Output!$S$1:$S$400,SF_Output!$AC$1:$AC$400,_xlfn.TEXTJOIN(",",TRUE,B209:E209),SF_Output!$Q$1:$Q$400,"monthly")*(1-W209)/H209,4),""),"")</f>
        <v/>
      </c>
      <c r="J209" s="6" t="str">
        <f>IF(B209="","",SUMIFS(SF_Output!$S$1:$S$400,SF_Output!$AC$1:$AC$400,_xlfn.TEXTJOIN(",",TRUE,B209:E209),SF_Output!$Q$1:$Q$400,"One Time",SF_Output!$L$1:$L$400,"license fee")+SUMIFS(SF_Output!$S$1:$S$400,SF_Output!$AC$1:$AC$400,_xlfn.TEXTJOIN(",",TRUE,B209:E209),SF_Output!$Q$1:$Q$400,"One Time",SF_Output!$L$1:$L$400,"software license")+SUMIFS(SF_Output!$S$1:$S$400,SF_Output!$AC$1:$AC$400,_xlfn.TEXTJOIN(",",TRUE,B209:E209),SF_Output!$Q$1:$Q$400,"One Time",SF_Output!$L$1:$L$400,"hardware"))</f>
        <v/>
      </c>
      <c r="K209" s="112" t="str">
        <f>IF(OR(B209=0,B209="",G209="hardware",J209=0),"",IF(AF209&lt;&gt;"exclusion",MAX(K$9,-((SUMIFS(SF_Output!$T$1:$T$400,SF_Output!$AC$1:$AC$400,_xlfn.TEXTJOIN(",",TRUE,$B209:$E209),SF_Output!$Q$1:$Q$400,"One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license"))/J209)))</f>
        <v/>
      </c>
      <c r="L209" s="6" t="str">
        <f t="shared" si="55"/>
        <v/>
      </c>
      <c r="N209" s="6" t="str">
        <f>IF(B209="","",SUMIFS(SF_Output!$S$1:$S$400,SF_Output!$AC$1:$AC$400,_xlfn.TEXTJOIN(",",TRUE,B209:E209),SF_Output!$Q$1:$Q$400,"One Time",SF_Output!$L$1:$L$400,"professional service"))</f>
        <v/>
      </c>
      <c r="O209" s="112" t="str">
        <f>IF(OR(B209=0,B209="",N209=0),"",IF(AF209&lt;&gt;"exclusion",MAX(O$9,-(SUMIFS(SF_Output!$T$1:$T$400,SF_Output!$AC$1:$AC$400,_xlfn.TEXTJOIN(",",TRUE,$B209:$E209),SF_Output!$Q$1:$Q$400,"One Time",SF_Output!$L$1:$L$400,"professional service"))/N209),-((SUMIFS(SF_Output!$T$1:$T$400,SF_Output!$AC$1:$AC$400,_xlfn.TEXTJOIN(",",TRUE,$B209:$E209),SF_Output!$Q$1:$Q$400,"One Time",SF_Output!$L$1:$L$400,"professional service")/N209))))</f>
        <v/>
      </c>
      <c r="P209" s="6" t="str">
        <f t="shared" si="56"/>
        <v/>
      </c>
      <c r="R209" s="6" t="str">
        <f>IF(B209="","",SUMIFS(SF_Output!$S$1:$S$400,SF_Output!$AC$1:$AC$400,_xlfn.TEXTJOIN(",",TRUE,B209:E209),SF_Output!$Q$1:$Q$400,"yearly")+SUMIFS(SF_Output!$S$1:$S$400,SF_Output!$AC$1:$AC$400,_xlfn.TEXTJOIN(",",TRUE,B209:E209),SF_Output!$Q$1:$Q$400,"quarterly")*4)</f>
        <v/>
      </c>
      <c r="S209" s="112" t="str">
        <f>IF(OR(B209=0,B209="",G209="hardware",R209=0),"",IF(AF209&lt;&gt;"exclusion",MAX(S$9,-(SUMIFS(SF_Output!$T$1:$T$400,SF_Output!$AC$1:$AC$400,_xlfn.TEXTJOIN(",",TRUE,$B209:$E209),SF_Output!$Q$1:$Q$400,"yearly"))/R209),-((SUMIFS(SF_Output!$T$1:$T$400,SF_Output!$AC$1:$AC$400,_xlfn.TEXTJOIN(",",TRUE,$B209:$E209),SF_Output!$Q$1:$Q$400,"yearly")/R209))))</f>
        <v/>
      </c>
      <c r="T209" s="6" t="str">
        <f t="shared" si="57"/>
        <v/>
      </c>
      <c r="V209" s="6" t="str" cm="1">
        <f t="array" ref="V209">_xlfn.IFS(B209="","",AND(B209&lt;&gt;"",H209=SF_Output!$Y$2,SUMIFS(SF_Output!$T$1:$T$400,SF_Output!$AC$1:$AC$400,_xlfn.TEXTJOIN(",",TRUE,B209:E209),SF_Output!$Q$1:$Q$400,"monthly")=0),(SUMIFS(SF_Output!$F$1:$F$400,SF_Output!$AC$1:$AC$400,_xlfn.TEXTJOIN(",",TRUE,B209:E209),SF_Output!$Q$1:$Q$400,"monthly")+SUMIFS(SF_Output!$G$1:$G$400,SF_Output!$AC$1:$AC$400,_xlfn.TEXTJOIN(",",TRUE,B209:E209),SF_Output!$Q$1:$Q$400,"monthly"))*H209,AND(B209&lt;&gt;"",H209=SF_Output!$Y$2,SUMIFS(SF_Output!$T$1:$T$400,SF_Output!$AC$1:$AC$400,_xlfn.TEXTJOIN(",",TRUE,B209:E209),SF_Output!$Q$1:$Q$400,"monthly")&lt;&gt;0),SUMIFS(SF_Output!$S$1:$S$400,SF_Output!$AC$1:$AC$400,_xlfn.TEXTJOIN(",",TRUE,B209:E209),SF_Output!$Q$1:$Q$400,"monthly"),AND(B209&lt;&gt;"",H209&lt;&gt;SF_Output!$Y$2),SUMIFS(SF_Output!$S$1:$S$400,SF_Output!$AC$1:$AC$400,_xlfn.TEXTJOIN(",",TRUE,B209:E209),SF_Output!$Q$1:$Q$400,"monthly"))</f>
        <v/>
      </c>
      <c r="W209" s="112" t="str" cm="1">
        <f t="array" ref="W209">_xlfn.IFS(OR(B209=0,B209="",V209=0),"",AF209&lt;&gt;"exclusion",MAX($W$9,$W$7,(-(SUMIFS(SF_Output!$T$1:$T$400,SF_Output!$AC$1:$AC$400,_xlfn.TEXTJOIN(",",TRUE,$B209:$E209),SF_Output!$Q$1:$Q$400,"monthly"))/V209)),AF209="exclusion",-(SUMIFS(SF_Output!$T$1:$T$400,SF_Output!$AC$1:$AC$400,_xlfn.TEXTJOIN(",",TRUE,$B209:$E209),SF_Output!$Q$1:$Q$400,"monthly"))/V209)</f>
        <v/>
      </c>
      <c r="X209" s="6" t="str" cm="1">
        <f t="array" ref="X209">IFERROR(_xlfn.IFS(V209=0,0,V209="","",W209=0,V209,OR(V209&lt;&gt;0,V209&lt;&gt;""),H209*I209),V209*(1-W209))</f>
        <v/>
      </c>
      <c r="Z209" s="6" t="str">
        <f>IFERROR(IF(B209="","",SUMIFS(Billing_Fallout!H:H,Billing_Fallout!N:N,B209)),0)</f>
        <v/>
      </c>
      <c r="AA209" s="6" t="str">
        <f t="shared" si="58"/>
        <v/>
      </c>
      <c r="AB209" s="6" t="str">
        <f>IFERROR(IF(B209="","",SUMIFS(Billing_Fallout!J:J,Billing_Fallout!N:N,B209)),0)</f>
        <v/>
      </c>
      <c r="AD209" s="6" t="str">
        <f t="shared" si="59"/>
        <v/>
      </c>
      <c r="AF209" t="str">
        <f>IFERROR(INDEX(H_Tables!$B$1:$B$1500,MATCH(INDEX(SF_Output!$J$1:$J$400,MATCH(B209,SF_Output!$M$1:$M$400,0)),H_Tables!$A$1:$A$1500,0)),"")</f>
        <v/>
      </c>
      <c r="AI209" s="119" t="str">
        <f t="shared" si="60"/>
        <v/>
      </c>
      <c r="AJ209" s="121">
        <f>IFERROR(INDEX(SF_Output!AD:AD,MATCH(_xlfn.TEXTJOIN(",",TRUE,B209:E209),SF_Output!AC1:AC400,0)),0.05)</f>
        <v>241</v>
      </c>
      <c r="AK209" t="str">
        <f>IF(SUMIFS(SF_Output!$F$1:$F$400,SF_Output!$AC$1:$AC$400,_xlfn.TEXTJOIN(",",TRUE,B209:E209))+SUMIFS(SF_Output!$G$1:$G$400,SF_Output!$AC$1:$AC$400,_xlfn.TEXTJOIN(",",TRUE,B209:E209))=0,"","PAP")</f>
        <v/>
      </c>
      <c r="AL209" s="35" t="str">
        <f t="shared" si="61"/>
        <v/>
      </c>
      <c r="AQ209" s="35"/>
      <c r="AR209" s="35" t="str" cm="1">
        <f t="array" ref="AR209">IFERROR(_xlfn.IFS(AND(E209*1=1,F209="Included"),"Change to Included",AND(E209*1=0,F209="Optional"),"Change to Optional",OR(B209="",F209="replaced"),""),"")</f>
        <v/>
      </c>
      <c r="AS209" s="35" t="str">
        <f t="shared" si="62"/>
        <v/>
      </c>
      <c r="AT209" s="35" t="str">
        <f t="shared" si="63"/>
        <v/>
      </c>
      <c r="AU209" s="35" t="str">
        <f t="shared" si="64"/>
        <v/>
      </c>
      <c r="AV209" s="35" t="str">
        <f t="shared" si="65"/>
        <v/>
      </c>
      <c r="AW209" s="35" t="str">
        <f t="shared" si="66"/>
        <v/>
      </c>
      <c r="AX209" s="35" t="str">
        <f t="shared" si="67"/>
        <v/>
      </c>
      <c r="AY209" s="35" t="str">
        <f t="shared" si="68"/>
        <v/>
      </c>
      <c r="AZ209" s="35" t="str">
        <f t="shared" si="69"/>
        <v/>
      </c>
      <c r="BA209" s="35" t="str">
        <f t="shared" si="70"/>
        <v/>
      </c>
      <c r="BB209" s="35" t="str">
        <f t="shared" si="71"/>
        <v/>
      </c>
      <c r="BC209" s="35"/>
      <c r="BE209" s="35" t="e">
        <f>INDEX(SF_Output!$AA$2:$AA$400,MATCH($B209,SF_Output!$M$2:$M$400,0))</f>
        <v>#N/A</v>
      </c>
      <c r="BF209" s="35" t="e">
        <f>INDEX(SF_Output!$AB$2:$AB$400,MATCH($B209,SF_Output!$M$2:$M$400,0))</f>
        <v>#N/A</v>
      </c>
    </row>
    <row r="210" spans="6:58" x14ac:dyDescent="0.25">
      <c r="F210" s="116" t="str">
        <f t="shared" si="54"/>
        <v/>
      </c>
      <c r="G210" t="str">
        <f>IF(B210="","",INDEX(SF_Output!$K$1:$K$400,MATCH(B210,SF_Output!$M$1:$M$400,0)))</f>
        <v/>
      </c>
      <c r="H210" t="str" cm="1">
        <f t="array" ref="H210">_xlfn.IFS(B210="","",(SUMIFS(SF_Output!$F$1:$F$400,SF_Output!$AC$1:$AC$400,_xlfn.TEXTJOIN(",",TRUE,B210:E210))+SUMIFS(SF_Output!$G$1:$G$400,SF_Output!$AC$1:$AC$400,_xlfn.TEXTJOIN(",",TRUE,B210:E210)))&lt;&gt;0,SF_Output!$Y$2,INDEX(SF_Output!$F$1:$F$400,MATCH(_xlfn.TEXTJOIN(",",TRUE,B210:E210),SF_Output!$AC$1:$AC$400,0))=0,INDEX(SF_Output!$R$1:$R$400,MATCH(_xlfn.TEXTJOIN(",",TRUE,B210:E210),SF_Output!$AC$1:$AC$400,0)))</f>
        <v/>
      </c>
      <c r="I210" s="125" t="str">
        <f>IFERROR(IF(AND(H210&gt;1,H210&lt;&gt;""),ROUND(SUMIFS(SF_Output!$S$1:$S$400,SF_Output!$AC$1:$AC$400,_xlfn.TEXTJOIN(",",TRUE,B210:E210),SF_Output!$Q$1:$Q$400,"monthly")*(1-W210)/H210,4),""),"")</f>
        <v/>
      </c>
      <c r="J210" s="6" t="str">
        <f>IF(B210="","",SUMIFS(SF_Output!$S$1:$S$400,SF_Output!$AC$1:$AC$400,_xlfn.TEXTJOIN(",",TRUE,B210:E210),SF_Output!$Q$1:$Q$400,"One Time",SF_Output!$L$1:$L$400,"license fee")+SUMIFS(SF_Output!$S$1:$S$400,SF_Output!$AC$1:$AC$400,_xlfn.TEXTJOIN(",",TRUE,B210:E210),SF_Output!$Q$1:$Q$400,"One Time",SF_Output!$L$1:$L$400,"software license")+SUMIFS(SF_Output!$S$1:$S$400,SF_Output!$AC$1:$AC$400,_xlfn.TEXTJOIN(",",TRUE,B210:E210),SF_Output!$Q$1:$Q$400,"One Time",SF_Output!$L$1:$L$400,"hardware"))</f>
        <v/>
      </c>
      <c r="K210" s="112" t="str">
        <f>IF(OR(B210=0,B210="",G210="hardware",J210=0),"",IF(AF210&lt;&gt;"exclusion",MAX(K$9,-((SUMIFS(SF_Output!$T$1:$T$400,SF_Output!$AC$1:$AC$400,_xlfn.TEXTJOIN(",",TRUE,$B210:$E210),SF_Output!$Q$1:$Q$400,"One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license"))/J210)))</f>
        <v/>
      </c>
      <c r="L210" s="6" t="str">
        <f t="shared" si="55"/>
        <v/>
      </c>
      <c r="N210" s="6" t="str">
        <f>IF(B210="","",SUMIFS(SF_Output!$S$1:$S$400,SF_Output!$AC$1:$AC$400,_xlfn.TEXTJOIN(",",TRUE,B210:E210),SF_Output!$Q$1:$Q$400,"One Time",SF_Output!$L$1:$L$400,"professional service"))</f>
        <v/>
      </c>
      <c r="O210" s="112" t="str">
        <f>IF(OR(B210=0,B210="",N210=0),"",IF(AF210&lt;&gt;"exclusion",MAX(O$9,-(SUMIFS(SF_Output!$T$1:$T$400,SF_Output!$AC$1:$AC$400,_xlfn.TEXTJOIN(",",TRUE,$B210:$E210),SF_Output!$Q$1:$Q$400,"One Time",SF_Output!$L$1:$L$400,"professional service"))/N210),-((SUMIFS(SF_Output!$T$1:$T$400,SF_Output!$AC$1:$AC$400,_xlfn.TEXTJOIN(",",TRUE,$B210:$E210),SF_Output!$Q$1:$Q$400,"One Time",SF_Output!$L$1:$L$400,"professional service")/N210))))</f>
        <v/>
      </c>
      <c r="P210" s="6" t="str">
        <f t="shared" si="56"/>
        <v/>
      </c>
      <c r="R210" s="6" t="str">
        <f>IF(B210="","",SUMIFS(SF_Output!$S$1:$S$400,SF_Output!$AC$1:$AC$400,_xlfn.TEXTJOIN(",",TRUE,B210:E210),SF_Output!$Q$1:$Q$400,"yearly")+SUMIFS(SF_Output!$S$1:$S$400,SF_Output!$AC$1:$AC$400,_xlfn.TEXTJOIN(",",TRUE,B210:E210),SF_Output!$Q$1:$Q$400,"quarterly")*4)</f>
        <v/>
      </c>
      <c r="S210" s="112" t="str">
        <f>IF(OR(B210=0,B210="",G210="hardware",R210=0),"",IF(AF210&lt;&gt;"exclusion",MAX(S$9,-(SUMIFS(SF_Output!$T$1:$T$400,SF_Output!$AC$1:$AC$400,_xlfn.TEXTJOIN(",",TRUE,$B210:$E210),SF_Output!$Q$1:$Q$400,"yearly"))/R210),-((SUMIFS(SF_Output!$T$1:$T$400,SF_Output!$AC$1:$AC$400,_xlfn.TEXTJOIN(",",TRUE,$B210:$E210),SF_Output!$Q$1:$Q$400,"yearly")/R210))))</f>
        <v/>
      </c>
      <c r="T210" s="6" t="str">
        <f t="shared" si="57"/>
        <v/>
      </c>
      <c r="V210" s="6" t="str" cm="1">
        <f t="array" ref="V210">_xlfn.IFS(B210="","",AND(B210&lt;&gt;"",H210=SF_Output!$Y$2,SUMIFS(SF_Output!$T$1:$T$400,SF_Output!$AC$1:$AC$400,_xlfn.TEXTJOIN(",",TRUE,B210:E210),SF_Output!$Q$1:$Q$400,"monthly")=0),(SUMIFS(SF_Output!$F$1:$F$400,SF_Output!$AC$1:$AC$400,_xlfn.TEXTJOIN(",",TRUE,B210:E210),SF_Output!$Q$1:$Q$400,"monthly")+SUMIFS(SF_Output!$G$1:$G$400,SF_Output!$AC$1:$AC$400,_xlfn.TEXTJOIN(",",TRUE,B210:E210),SF_Output!$Q$1:$Q$400,"monthly"))*H210,AND(B210&lt;&gt;"",H210=SF_Output!$Y$2,SUMIFS(SF_Output!$T$1:$T$400,SF_Output!$AC$1:$AC$400,_xlfn.TEXTJOIN(",",TRUE,B210:E210),SF_Output!$Q$1:$Q$400,"monthly")&lt;&gt;0),SUMIFS(SF_Output!$S$1:$S$400,SF_Output!$AC$1:$AC$400,_xlfn.TEXTJOIN(",",TRUE,B210:E210),SF_Output!$Q$1:$Q$400,"monthly"),AND(B210&lt;&gt;"",H210&lt;&gt;SF_Output!$Y$2),SUMIFS(SF_Output!$S$1:$S$400,SF_Output!$AC$1:$AC$400,_xlfn.TEXTJOIN(",",TRUE,B210:E210),SF_Output!$Q$1:$Q$400,"monthly"))</f>
        <v/>
      </c>
      <c r="W210" s="112" t="str" cm="1">
        <f t="array" ref="W210">_xlfn.IFS(OR(B210=0,B210="",V210=0),"",AF210&lt;&gt;"exclusion",MAX($W$9,$W$7,(-(SUMIFS(SF_Output!$T$1:$T$400,SF_Output!$AC$1:$AC$400,_xlfn.TEXTJOIN(",",TRUE,$B210:$E210),SF_Output!$Q$1:$Q$400,"monthly"))/V210)),AF210="exclusion",-(SUMIFS(SF_Output!$T$1:$T$400,SF_Output!$AC$1:$AC$400,_xlfn.TEXTJOIN(",",TRUE,$B210:$E210),SF_Output!$Q$1:$Q$400,"monthly"))/V210)</f>
        <v/>
      </c>
      <c r="X210" s="6" t="str" cm="1">
        <f t="array" ref="X210">IFERROR(_xlfn.IFS(V210=0,0,V210="","",W210=0,V210,OR(V210&lt;&gt;0,V210&lt;&gt;""),H210*I210),V210*(1-W210))</f>
        <v/>
      </c>
      <c r="Z210" s="6" t="str">
        <f>IFERROR(IF(B210="","",SUMIFS(Billing_Fallout!H:H,Billing_Fallout!N:N,B210)),0)</f>
        <v/>
      </c>
      <c r="AA210" s="6" t="str">
        <f t="shared" si="58"/>
        <v/>
      </c>
      <c r="AB210" s="6" t="str">
        <f>IFERROR(IF(B210="","",SUMIFS(Billing_Fallout!J:J,Billing_Fallout!N:N,B210)),0)</f>
        <v/>
      </c>
      <c r="AD210" s="6" t="str">
        <f t="shared" si="59"/>
        <v/>
      </c>
      <c r="AF210" t="str">
        <f>IFERROR(INDEX(H_Tables!$B$1:$B$1500,MATCH(INDEX(SF_Output!$J$1:$J$400,MATCH(B210,SF_Output!$M$1:$M$400,0)),H_Tables!$A$1:$A$1500,0)),"")</f>
        <v/>
      </c>
      <c r="AI210" s="119" t="str">
        <f t="shared" si="60"/>
        <v/>
      </c>
      <c r="AJ210" s="121">
        <f>IFERROR(INDEX(SF_Output!AD:AD,MATCH(_xlfn.TEXTJOIN(",",TRUE,B210:E210),SF_Output!AC1:AC400,0)),0.05)</f>
        <v>241</v>
      </c>
      <c r="AK210" t="str">
        <f>IF(SUMIFS(SF_Output!$F$1:$F$400,SF_Output!$AC$1:$AC$400,_xlfn.TEXTJOIN(",",TRUE,B210:E210))+SUMIFS(SF_Output!$G$1:$G$400,SF_Output!$AC$1:$AC$400,_xlfn.TEXTJOIN(",",TRUE,B210:E210))=0,"","PAP")</f>
        <v/>
      </c>
      <c r="AL210" s="35" t="str">
        <f t="shared" si="61"/>
        <v/>
      </c>
      <c r="AQ210" s="35"/>
      <c r="AR210" s="35" t="str" cm="1">
        <f t="array" ref="AR210">IFERROR(_xlfn.IFS(AND(E210*1=1,F210="Included"),"Change to Included",AND(E210*1=0,F210="Optional"),"Change to Optional",OR(B210="",F210="replaced"),""),"")</f>
        <v/>
      </c>
      <c r="AS210" s="35" t="str">
        <f t="shared" si="62"/>
        <v/>
      </c>
      <c r="AT210" s="35" t="str">
        <f t="shared" si="63"/>
        <v/>
      </c>
      <c r="AU210" s="35" t="str">
        <f t="shared" si="64"/>
        <v/>
      </c>
      <c r="AV210" s="35" t="str">
        <f t="shared" si="65"/>
        <v/>
      </c>
      <c r="AW210" s="35" t="str">
        <f t="shared" si="66"/>
        <v/>
      </c>
      <c r="AX210" s="35" t="str">
        <f t="shared" si="67"/>
        <v/>
      </c>
      <c r="AY210" s="35" t="str">
        <f t="shared" si="68"/>
        <v/>
      </c>
      <c r="AZ210" s="35" t="str">
        <f t="shared" si="69"/>
        <v/>
      </c>
      <c r="BA210" s="35" t="str">
        <f t="shared" si="70"/>
        <v/>
      </c>
      <c r="BB210" s="35" t="str">
        <f t="shared" si="71"/>
        <v/>
      </c>
      <c r="BC210" s="35"/>
      <c r="BE210" s="35" t="e">
        <f>INDEX(SF_Output!$AA$2:$AA$400,MATCH($B210,SF_Output!$M$2:$M$400,0))</f>
        <v>#N/A</v>
      </c>
      <c r="BF210" s="35" t="e">
        <f>INDEX(SF_Output!$AB$2:$AB$400,MATCH($B210,SF_Output!$M$2:$M$400,0))</f>
        <v>#N/A</v>
      </c>
    </row>
    <row r="211" spans="6:58" x14ac:dyDescent="0.25">
      <c r="F211" s="116" t="str">
        <f t="shared" si="54"/>
        <v/>
      </c>
      <c r="G211" t="str">
        <f>IF(B211="","",INDEX(SF_Output!$K$1:$K$400,MATCH(B211,SF_Output!$M$1:$M$400,0)))</f>
        <v/>
      </c>
      <c r="H211" t="str" cm="1">
        <f t="array" ref="H211">_xlfn.IFS(B211="","",(SUMIFS(SF_Output!$F$1:$F$400,SF_Output!$AC$1:$AC$400,_xlfn.TEXTJOIN(",",TRUE,B211:E211))+SUMIFS(SF_Output!$G$1:$G$400,SF_Output!$AC$1:$AC$400,_xlfn.TEXTJOIN(",",TRUE,B211:E211)))&lt;&gt;0,SF_Output!$Y$2,INDEX(SF_Output!$F$1:$F$400,MATCH(_xlfn.TEXTJOIN(",",TRUE,B211:E211),SF_Output!$AC$1:$AC$400,0))=0,INDEX(SF_Output!$R$1:$R$400,MATCH(_xlfn.TEXTJOIN(",",TRUE,B211:E211),SF_Output!$AC$1:$AC$400,0)))</f>
        <v/>
      </c>
      <c r="I211" s="125" t="str">
        <f>IFERROR(IF(AND(H211&gt;1,H211&lt;&gt;""),ROUND(SUMIFS(SF_Output!$S$1:$S$400,SF_Output!$AC$1:$AC$400,_xlfn.TEXTJOIN(",",TRUE,B211:E211),SF_Output!$Q$1:$Q$400,"monthly")*(1-W211)/H211,4),""),"")</f>
        <v/>
      </c>
      <c r="J211" s="6" t="str">
        <f>IF(B211="","",SUMIFS(SF_Output!$S$1:$S$400,SF_Output!$AC$1:$AC$400,_xlfn.TEXTJOIN(",",TRUE,B211:E211),SF_Output!$Q$1:$Q$400,"One Time",SF_Output!$L$1:$L$400,"license fee")+SUMIFS(SF_Output!$S$1:$S$400,SF_Output!$AC$1:$AC$400,_xlfn.TEXTJOIN(",",TRUE,B211:E211),SF_Output!$Q$1:$Q$400,"One Time",SF_Output!$L$1:$L$400,"software license")+SUMIFS(SF_Output!$S$1:$S$400,SF_Output!$AC$1:$AC$400,_xlfn.TEXTJOIN(",",TRUE,B211:E211),SF_Output!$Q$1:$Q$400,"One Time",SF_Output!$L$1:$L$400,"hardware"))</f>
        <v/>
      </c>
      <c r="K211" s="112" t="str">
        <f>IF(OR(B211=0,B211="",G211="hardware",J211=0),"",IF(AF211&lt;&gt;"exclusion",MAX(K$9,-((SUMIFS(SF_Output!$T$1:$T$400,SF_Output!$AC$1:$AC$400,_xlfn.TEXTJOIN(",",TRUE,$B211:$E211),SF_Output!$Q$1:$Q$400,"One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license"))/J211)))</f>
        <v/>
      </c>
      <c r="L211" s="6" t="str">
        <f t="shared" si="55"/>
        <v/>
      </c>
      <c r="N211" s="6" t="str">
        <f>IF(B211="","",SUMIFS(SF_Output!$S$1:$S$400,SF_Output!$AC$1:$AC$400,_xlfn.TEXTJOIN(",",TRUE,B211:E211),SF_Output!$Q$1:$Q$400,"One Time",SF_Output!$L$1:$L$400,"professional service"))</f>
        <v/>
      </c>
      <c r="O211" s="112" t="str">
        <f>IF(OR(B211=0,B211="",N211=0),"",IF(AF211&lt;&gt;"exclusion",MAX(O$9,-(SUMIFS(SF_Output!$T$1:$T$400,SF_Output!$AC$1:$AC$400,_xlfn.TEXTJOIN(",",TRUE,$B211:$E211),SF_Output!$Q$1:$Q$400,"One Time",SF_Output!$L$1:$L$400,"professional service"))/N211),-((SUMIFS(SF_Output!$T$1:$T$400,SF_Output!$AC$1:$AC$400,_xlfn.TEXTJOIN(",",TRUE,$B211:$E211),SF_Output!$Q$1:$Q$400,"One Time",SF_Output!$L$1:$L$400,"professional service")/N211))))</f>
        <v/>
      </c>
      <c r="P211" s="6" t="str">
        <f t="shared" si="56"/>
        <v/>
      </c>
      <c r="R211" s="6" t="str">
        <f>IF(B211="","",SUMIFS(SF_Output!$S$1:$S$400,SF_Output!$AC$1:$AC$400,_xlfn.TEXTJOIN(",",TRUE,B211:E211),SF_Output!$Q$1:$Q$400,"yearly")+SUMIFS(SF_Output!$S$1:$S$400,SF_Output!$AC$1:$AC$400,_xlfn.TEXTJOIN(",",TRUE,B211:E211),SF_Output!$Q$1:$Q$400,"quarterly")*4)</f>
        <v/>
      </c>
      <c r="S211" s="112" t="str">
        <f>IF(OR(B211=0,B211="",G211="hardware",R211=0),"",IF(AF211&lt;&gt;"exclusion",MAX(S$9,-(SUMIFS(SF_Output!$T$1:$T$400,SF_Output!$AC$1:$AC$400,_xlfn.TEXTJOIN(",",TRUE,$B211:$E211),SF_Output!$Q$1:$Q$400,"yearly"))/R211),-((SUMIFS(SF_Output!$T$1:$T$400,SF_Output!$AC$1:$AC$400,_xlfn.TEXTJOIN(",",TRUE,$B211:$E211),SF_Output!$Q$1:$Q$400,"yearly")/R211))))</f>
        <v/>
      </c>
      <c r="T211" s="6" t="str">
        <f t="shared" si="57"/>
        <v/>
      </c>
      <c r="V211" s="6" t="str" cm="1">
        <f t="array" ref="V211">_xlfn.IFS(B211="","",AND(B211&lt;&gt;"",H211=SF_Output!$Y$2,SUMIFS(SF_Output!$T$1:$T$400,SF_Output!$AC$1:$AC$400,_xlfn.TEXTJOIN(",",TRUE,B211:E211),SF_Output!$Q$1:$Q$400,"monthly")=0),(SUMIFS(SF_Output!$F$1:$F$400,SF_Output!$AC$1:$AC$400,_xlfn.TEXTJOIN(",",TRUE,B211:E211),SF_Output!$Q$1:$Q$400,"monthly")+SUMIFS(SF_Output!$G$1:$G$400,SF_Output!$AC$1:$AC$400,_xlfn.TEXTJOIN(",",TRUE,B211:E211),SF_Output!$Q$1:$Q$400,"monthly"))*H211,AND(B211&lt;&gt;"",H211=SF_Output!$Y$2,SUMIFS(SF_Output!$T$1:$T$400,SF_Output!$AC$1:$AC$400,_xlfn.TEXTJOIN(",",TRUE,B211:E211),SF_Output!$Q$1:$Q$400,"monthly")&lt;&gt;0),SUMIFS(SF_Output!$S$1:$S$400,SF_Output!$AC$1:$AC$400,_xlfn.TEXTJOIN(",",TRUE,B211:E211),SF_Output!$Q$1:$Q$400,"monthly"),AND(B211&lt;&gt;"",H211&lt;&gt;SF_Output!$Y$2),SUMIFS(SF_Output!$S$1:$S$400,SF_Output!$AC$1:$AC$400,_xlfn.TEXTJOIN(",",TRUE,B211:E211),SF_Output!$Q$1:$Q$400,"monthly"))</f>
        <v/>
      </c>
      <c r="W211" s="112" t="str" cm="1">
        <f t="array" ref="W211">_xlfn.IFS(OR(B211=0,B211="",V211=0),"",AF211&lt;&gt;"exclusion",MAX($W$9,$W$7,(-(SUMIFS(SF_Output!$T$1:$T$400,SF_Output!$AC$1:$AC$400,_xlfn.TEXTJOIN(",",TRUE,$B211:$E211),SF_Output!$Q$1:$Q$400,"monthly"))/V211)),AF211="exclusion",-(SUMIFS(SF_Output!$T$1:$T$400,SF_Output!$AC$1:$AC$400,_xlfn.TEXTJOIN(",",TRUE,$B211:$E211),SF_Output!$Q$1:$Q$400,"monthly"))/V211)</f>
        <v/>
      </c>
      <c r="X211" s="6" t="str" cm="1">
        <f t="array" ref="X211">IFERROR(_xlfn.IFS(V211=0,0,V211="","",W211=0,V211,OR(V211&lt;&gt;0,V211&lt;&gt;""),H211*I211),V211*(1-W211))</f>
        <v/>
      </c>
      <c r="Z211" s="6" t="str">
        <f>IFERROR(IF(B211="","",SUMIFS(Billing_Fallout!H:H,Billing_Fallout!N:N,B211)),0)</f>
        <v/>
      </c>
      <c r="AA211" s="6" t="str">
        <f t="shared" si="58"/>
        <v/>
      </c>
      <c r="AB211" s="6" t="str">
        <f>IFERROR(IF(B211="","",SUMIFS(Billing_Fallout!J:J,Billing_Fallout!N:N,B211)),0)</f>
        <v/>
      </c>
      <c r="AD211" s="6" t="str">
        <f t="shared" si="59"/>
        <v/>
      </c>
      <c r="AF211" t="str">
        <f>IFERROR(INDEX(H_Tables!$B$1:$B$1500,MATCH(INDEX(SF_Output!$J$1:$J$400,MATCH(B211,SF_Output!$M$1:$M$400,0)),H_Tables!$A$1:$A$1500,0)),"")</f>
        <v/>
      </c>
      <c r="AI211" s="119" t="str">
        <f t="shared" si="60"/>
        <v/>
      </c>
      <c r="AJ211" s="121">
        <f>IFERROR(INDEX(SF_Output!AD:AD,MATCH(_xlfn.TEXTJOIN(",",TRUE,B211:E211),SF_Output!AC1:AC400,0)),0.05)</f>
        <v>241</v>
      </c>
      <c r="AK211" t="str">
        <f>IF(SUMIFS(SF_Output!$F$1:$F$400,SF_Output!$AC$1:$AC$400,_xlfn.TEXTJOIN(",",TRUE,B211:E211))+SUMIFS(SF_Output!$G$1:$G$400,SF_Output!$AC$1:$AC$400,_xlfn.TEXTJOIN(",",TRUE,B211:E211))=0,"","PAP")</f>
        <v/>
      </c>
      <c r="AL211" s="35" t="str">
        <f t="shared" si="61"/>
        <v/>
      </c>
      <c r="AQ211" s="35"/>
      <c r="AR211" s="35" t="str" cm="1">
        <f t="array" ref="AR211">IFERROR(_xlfn.IFS(AND(E211*1=1,F211="Included"),"Change to Included",AND(E211*1=0,F211="Optional"),"Change to Optional",OR(B211="",F211="replaced"),""),"")</f>
        <v/>
      </c>
      <c r="AS211" s="35" t="str">
        <f t="shared" si="62"/>
        <v/>
      </c>
      <c r="AT211" s="35" t="str">
        <f t="shared" si="63"/>
        <v/>
      </c>
      <c r="AU211" s="35" t="str">
        <f t="shared" si="64"/>
        <v/>
      </c>
      <c r="AV211" s="35" t="str">
        <f t="shared" si="65"/>
        <v/>
      </c>
      <c r="AW211" s="35" t="str">
        <f t="shared" si="66"/>
        <v/>
      </c>
      <c r="AX211" s="35" t="str">
        <f t="shared" si="67"/>
        <v/>
      </c>
      <c r="AY211" s="35" t="str">
        <f t="shared" si="68"/>
        <v/>
      </c>
      <c r="AZ211" s="35" t="str">
        <f t="shared" si="69"/>
        <v/>
      </c>
      <c r="BA211" s="35" t="str">
        <f t="shared" si="70"/>
        <v/>
      </c>
      <c r="BB211" s="35" t="str">
        <f t="shared" si="71"/>
        <v/>
      </c>
      <c r="BC211" s="35"/>
      <c r="BE211" s="35" t="e">
        <f>INDEX(SF_Output!$AA$2:$AA$400,MATCH($B211,SF_Output!$M$2:$M$400,0))</f>
        <v>#N/A</v>
      </c>
      <c r="BF211" s="35" t="e">
        <f>INDEX(SF_Output!$AB$2:$AB$400,MATCH($B211,SF_Output!$M$2:$M$400,0))</f>
        <v>#N/A</v>
      </c>
    </row>
    <row r="212" spans="6:58" x14ac:dyDescent="0.25">
      <c r="F212" s="116" t="str">
        <f t="shared" si="54"/>
        <v/>
      </c>
      <c r="G212" t="str">
        <f>IF(B212="","",INDEX(SF_Output!$K$1:$K$400,MATCH(B212,SF_Output!$M$1:$M$400,0)))</f>
        <v/>
      </c>
      <c r="H212" t="str" cm="1">
        <f t="array" ref="H212">_xlfn.IFS(B212="","",(SUMIFS(SF_Output!$F$1:$F$400,SF_Output!$AC$1:$AC$400,_xlfn.TEXTJOIN(",",TRUE,B212:E212))+SUMIFS(SF_Output!$G$1:$G$400,SF_Output!$AC$1:$AC$400,_xlfn.TEXTJOIN(",",TRUE,B212:E212)))&lt;&gt;0,SF_Output!$Y$2,INDEX(SF_Output!$F$1:$F$400,MATCH(_xlfn.TEXTJOIN(",",TRUE,B212:E212),SF_Output!$AC$1:$AC$400,0))=0,INDEX(SF_Output!$R$1:$R$400,MATCH(_xlfn.TEXTJOIN(",",TRUE,B212:E212),SF_Output!$AC$1:$AC$400,0)))</f>
        <v/>
      </c>
      <c r="I212" s="125" t="str">
        <f>IFERROR(IF(AND(H212&gt;1,H212&lt;&gt;""),ROUND(SUMIFS(SF_Output!$S$1:$S$400,SF_Output!$AC$1:$AC$400,_xlfn.TEXTJOIN(",",TRUE,B212:E212),SF_Output!$Q$1:$Q$400,"monthly")*(1-W212)/H212,4),""),"")</f>
        <v/>
      </c>
      <c r="J212" s="6" t="str">
        <f>IF(B212="","",SUMIFS(SF_Output!$S$1:$S$400,SF_Output!$AC$1:$AC$400,_xlfn.TEXTJOIN(",",TRUE,B212:E212),SF_Output!$Q$1:$Q$400,"One Time",SF_Output!$L$1:$L$400,"license fee")+SUMIFS(SF_Output!$S$1:$S$400,SF_Output!$AC$1:$AC$400,_xlfn.TEXTJOIN(",",TRUE,B212:E212),SF_Output!$Q$1:$Q$400,"One Time",SF_Output!$L$1:$L$400,"software license")+SUMIFS(SF_Output!$S$1:$S$400,SF_Output!$AC$1:$AC$400,_xlfn.TEXTJOIN(",",TRUE,B212:E212),SF_Output!$Q$1:$Q$400,"One Time",SF_Output!$L$1:$L$400,"hardware"))</f>
        <v/>
      </c>
      <c r="K212" s="112" t="str">
        <f>IF(OR(B212=0,B212="",G212="hardware",J212=0),"",IF(AF212&lt;&gt;"exclusion",MAX(K$9,-((SUMIFS(SF_Output!$T$1:$T$400,SF_Output!$AC$1:$AC$400,_xlfn.TEXTJOIN(",",TRUE,$B212:$E212),SF_Output!$Q$1:$Q$400,"One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license"))/J212)))</f>
        <v/>
      </c>
      <c r="L212" s="6" t="str">
        <f t="shared" si="55"/>
        <v/>
      </c>
      <c r="N212" s="6" t="str">
        <f>IF(B212="","",SUMIFS(SF_Output!$S$1:$S$400,SF_Output!$AC$1:$AC$400,_xlfn.TEXTJOIN(",",TRUE,B212:E212),SF_Output!$Q$1:$Q$400,"One Time",SF_Output!$L$1:$L$400,"professional service"))</f>
        <v/>
      </c>
      <c r="O212" s="112" t="str">
        <f>IF(OR(B212=0,B212="",N212=0),"",IF(AF212&lt;&gt;"exclusion",MAX(O$9,-(SUMIFS(SF_Output!$T$1:$T$400,SF_Output!$AC$1:$AC$400,_xlfn.TEXTJOIN(",",TRUE,$B212:$E212),SF_Output!$Q$1:$Q$400,"One Time",SF_Output!$L$1:$L$400,"professional service"))/N212),-((SUMIFS(SF_Output!$T$1:$T$400,SF_Output!$AC$1:$AC$400,_xlfn.TEXTJOIN(",",TRUE,$B212:$E212),SF_Output!$Q$1:$Q$400,"One Time",SF_Output!$L$1:$L$400,"professional service")/N212))))</f>
        <v/>
      </c>
      <c r="P212" s="6" t="str">
        <f t="shared" si="56"/>
        <v/>
      </c>
      <c r="R212" s="6" t="str">
        <f>IF(B212="","",SUMIFS(SF_Output!$S$1:$S$400,SF_Output!$AC$1:$AC$400,_xlfn.TEXTJOIN(",",TRUE,B212:E212),SF_Output!$Q$1:$Q$400,"yearly")+SUMIFS(SF_Output!$S$1:$S$400,SF_Output!$AC$1:$AC$400,_xlfn.TEXTJOIN(",",TRUE,B212:E212),SF_Output!$Q$1:$Q$400,"quarterly")*4)</f>
        <v/>
      </c>
      <c r="S212" s="112" t="str">
        <f>IF(OR(B212=0,B212="",G212="hardware",R212=0),"",IF(AF212&lt;&gt;"exclusion",MAX(S$9,-(SUMIFS(SF_Output!$T$1:$T$400,SF_Output!$AC$1:$AC$400,_xlfn.TEXTJOIN(",",TRUE,$B212:$E212),SF_Output!$Q$1:$Q$400,"yearly"))/R212),-((SUMIFS(SF_Output!$T$1:$T$400,SF_Output!$AC$1:$AC$400,_xlfn.TEXTJOIN(",",TRUE,$B212:$E212),SF_Output!$Q$1:$Q$400,"yearly")/R212))))</f>
        <v/>
      </c>
      <c r="T212" s="6" t="str">
        <f t="shared" si="57"/>
        <v/>
      </c>
      <c r="V212" s="6" t="str" cm="1">
        <f t="array" ref="V212">_xlfn.IFS(B212="","",AND(B212&lt;&gt;"",H212=SF_Output!$Y$2,SUMIFS(SF_Output!$T$1:$T$400,SF_Output!$AC$1:$AC$400,_xlfn.TEXTJOIN(",",TRUE,B212:E212),SF_Output!$Q$1:$Q$400,"monthly")=0),(SUMIFS(SF_Output!$F$1:$F$400,SF_Output!$AC$1:$AC$400,_xlfn.TEXTJOIN(",",TRUE,B212:E212),SF_Output!$Q$1:$Q$400,"monthly")+SUMIFS(SF_Output!$G$1:$G$400,SF_Output!$AC$1:$AC$400,_xlfn.TEXTJOIN(",",TRUE,B212:E212),SF_Output!$Q$1:$Q$400,"monthly"))*H212,AND(B212&lt;&gt;"",H212=SF_Output!$Y$2,SUMIFS(SF_Output!$T$1:$T$400,SF_Output!$AC$1:$AC$400,_xlfn.TEXTJOIN(",",TRUE,B212:E212),SF_Output!$Q$1:$Q$400,"monthly")&lt;&gt;0),SUMIFS(SF_Output!$S$1:$S$400,SF_Output!$AC$1:$AC$400,_xlfn.TEXTJOIN(",",TRUE,B212:E212),SF_Output!$Q$1:$Q$400,"monthly"),AND(B212&lt;&gt;"",H212&lt;&gt;SF_Output!$Y$2),SUMIFS(SF_Output!$S$1:$S$400,SF_Output!$AC$1:$AC$400,_xlfn.TEXTJOIN(",",TRUE,B212:E212),SF_Output!$Q$1:$Q$400,"monthly"))</f>
        <v/>
      </c>
      <c r="W212" s="112" t="str" cm="1">
        <f t="array" ref="W212">_xlfn.IFS(OR(B212=0,B212="",V212=0),"",AF212&lt;&gt;"exclusion",MAX($W$9,$W$7,(-(SUMIFS(SF_Output!$T$1:$T$400,SF_Output!$AC$1:$AC$400,_xlfn.TEXTJOIN(",",TRUE,$B212:$E212),SF_Output!$Q$1:$Q$400,"monthly"))/V212)),AF212="exclusion",-(SUMIFS(SF_Output!$T$1:$T$400,SF_Output!$AC$1:$AC$400,_xlfn.TEXTJOIN(",",TRUE,$B212:$E212),SF_Output!$Q$1:$Q$400,"monthly"))/V212)</f>
        <v/>
      </c>
      <c r="X212" s="6" t="str" cm="1">
        <f t="array" ref="X212">IFERROR(_xlfn.IFS(V212=0,0,V212="","",W212=0,V212,OR(V212&lt;&gt;0,V212&lt;&gt;""),H212*I212),V212*(1-W212))</f>
        <v/>
      </c>
      <c r="Z212" s="6" t="str">
        <f>IFERROR(IF(B212="","",SUMIFS(Billing_Fallout!H:H,Billing_Fallout!N:N,B212)),0)</f>
        <v/>
      </c>
      <c r="AA212" s="6" t="str">
        <f t="shared" si="58"/>
        <v/>
      </c>
      <c r="AB212" s="6" t="str">
        <f>IFERROR(IF(B212="","",SUMIFS(Billing_Fallout!J:J,Billing_Fallout!N:N,B212)),0)</f>
        <v/>
      </c>
      <c r="AD212" s="6" t="str">
        <f t="shared" si="59"/>
        <v/>
      </c>
      <c r="AF212" t="str">
        <f>IFERROR(INDEX(H_Tables!$B$1:$B$1500,MATCH(INDEX(SF_Output!$J$1:$J$400,MATCH(B212,SF_Output!$M$1:$M$400,0)),H_Tables!$A$1:$A$1500,0)),"")</f>
        <v/>
      </c>
      <c r="AI212" s="119" t="str">
        <f t="shared" si="60"/>
        <v/>
      </c>
      <c r="AJ212" s="121">
        <f>IFERROR(INDEX(SF_Output!AD:AD,MATCH(_xlfn.TEXTJOIN(",",TRUE,B212:E212),SF_Output!AC1:AC400,0)),0.05)</f>
        <v>241</v>
      </c>
      <c r="AK212" t="str">
        <f>IF(SUMIFS(SF_Output!$F$1:$F$400,SF_Output!$AC$1:$AC$400,_xlfn.TEXTJOIN(",",TRUE,B212:E212))+SUMIFS(SF_Output!$G$1:$G$400,SF_Output!$AC$1:$AC$400,_xlfn.TEXTJOIN(",",TRUE,B212:E212))=0,"","PAP")</f>
        <v/>
      </c>
      <c r="AL212" s="35" t="str">
        <f t="shared" si="61"/>
        <v/>
      </c>
      <c r="AQ212" s="35"/>
      <c r="AR212" s="35" t="str" cm="1">
        <f t="array" ref="AR212">IFERROR(_xlfn.IFS(AND(E212*1=1,F212="Included"),"Change to Included",AND(E212*1=0,F212="Optional"),"Change to Optional",OR(B212="",F212="replaced"),""),"")</f>
        <v/>
      </c>
      <c r="AS212" s="35" t="str">
        <f t="shared" si="62"/>
        <v/>
      </c>
      <c r="AT212" s="35" t="str">
        <f t="shared" si="63"/>
        <v/>
      </c>
      <c r="AU212" s="35" t="str">
        <f t="shared" si="64"/>
        <v/>
      </c>
      <c r="AV212" s="35" t="str">
        <f t="shared" si="65"/>
        <v/>
      </c>
      <c r="AW212" s="35" t="str">
        <f t="shared" si="66"/>
        <v/>
      </c>
      <c r="AX212" s="35" t="str">
        <f t="shared" si="67"/>
        <v/>
      </c>
      <c r="AY212" s="35" t="str">
        <f t="shared" si="68"/>
        <v/>
      </c>
      <c r="AZ212" s="35" t="str">
        <f t="shared" si="69"/>
        <v/>
      </c>
      <c r="BA212" s="35" t="str">
        <f t="shared" si="70"/>
        <v/>
      </c>
      <c r="BB212" s="35" t="str">
        <f t="shared" si="71"/>
        <v/>
      </c>
      <c r="BC212" s="35"/>
      <c r="BE212" s="35" t="e">
        <f>INDEX(SF_Output!$AA$2:$AA$400,MATCH($B212,SF_Output!$M$2:$M$400,0))</f>
        <v>#N/A</v>
      </c>
      <c r="BF212" s="35" t="e">
        <f>INDEX(SF_Output!$AB$2:$AB$400,MATCH($B212,SF_Output!$M$2:$M$400,0))</f>
        <v>#N/A</v>
      </c>
    </row>
    <row r="213" spans="6:58" x14ac:dyDescent="0.25">
      <c r="F213" s="116" t="str">
        <f t="shared" si="54"/>
        <v/>
      </c>
      <c r="G213" t="str">
        <f>IF(B213="","",INDEX(SF_Output!$K$1:$K$400,MATCH(B213,SF_Output!$M$1:$M$400,0)))</f>
        <v/>
      </c>
      <c r="H213" t="str" cm="1">
        <f t="array" ref="H213">_xlfn.IFS(B213="","",(SUMIFS(SF_Output!$F$1:$F$400,SF_Output!$AC$1:$AC$400,_xlfn.TEXTJOIN(",",TRUE,B213:E213))+SUMIFS(SF_Output!$G$1:$G$400,SF_Output!$AC$1:$AC$400,_xlfn.TEXTJOIN(",",TRUE,B213:E213)))&lt;&gt;0,SF_Output!$Y$2,INDEX(SF_Output!$F$1:$F$400,MATCH(_xlfn.TEXTJOIN(",",TRUE,B213:E213),SF_Output!$AC$1:$AC$400,0))=0,INDEX(SF_Output!$R$1:$R$400,MATCH(_xlfn.TEXTJOIN(",",TRUE,B213:E213),SF_Output!$AC$1:$AC$400,0)))</f>
        <v/>
      </c>
      <c r="I213" s="125" t="str">
        <f>IFERROR(IF(AND(H213&gt;1,H213&lt;&gt;""),ROUND(SUMIFS(SF_Output!$S$1:$S$400,SF_Output!$AC$1:$AC$400,_xlfn.TEXTJOIN(",",TRUE,B213:E213),SF_Output!$Q$1:$Q$400,"monthly")*(1-W213)/H213,4),""),"")</f>
        <v/>
      </c>
      <c r="J213" s="6" t="str">
        <f>IF(B213="","",SUMIFS(SF_Output!$S$1:$S$400,SF_Output!$AC$1:$AC$400,_xlfn.TEXTJOIN(",",TRUE,B213:E213),SF_Output!$Q$1:$Q$400,"One Time",SF_Output!$L$1:$L$400,"license fee")+SUMIFS(SF_Output!$S$1:$S$400,SF_Output!$AC$1:$AC$400,_xlfn.TEXTJOIN(",",TRUE,B213:E213),SF_Output!$Q$1:$Q$400,"One Time",SF_Output!$L$1:$L$400,"software license")+SUMIFS(SF_Output!$S$1:$S$400,SF_Output!$AC$1:$AC$400,_xlfn.TEXTJOIN(",",TRUE,B213:E213),SF_Output!$Q$1:$Q$400,"One Time",SF_Output!$L$1:$L$400,"hardware"))</f>
        <v/>
      </c>
      <c r="K213" s="112" t="str">
        <f>IF(OR(B213=0,B213="",G213="hardware",J213=0),"",IF(AF213&lt;&gt;"exclusion",MAX(K$9,-((SUMIFS(SF_Output!$T$1:$T$400,SF_Output!$AC$1:$AC$400,_xlfn.TEXTJOIN(",",TRUE,$B213:$E213),SF_Output!$Q$1:$Q$400,"One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license"))/J213)))</f>
        <v/>
      </c>
      <c r="L213" s="6" t="str">
        <f t="shared" si="55"/>
        <v/>
      </c>
      <c r="N213" s="6" t="str">
        <f>IF(B213="","",SUMIFS(SF_Output!$S$1:$S$400,SF_Output!$AC$1:$AC$400,_xlfn.TEXTJOIN(",",TRUE,B213:E213),SF_Output!$Q$1:$Q$400,"One Time",SF_Output!$L$1:$L$400,"professional service"))</f>
        <v/>
      </c>
      <c r="O213" s="112" t="str">
        <f>IF(OR(B213=0,B213="",N213=0),"",IF(AF213&lt;&gt;"exclusion",MAX(O$9,-(SUMIFS(SF_Output!$T$1:$T$400,SF_Output!$AC$1:$AC$400,_xlfn.TEXTJOIN(",",TRUE,$B213:$E213),SF_Output!$Q$1:$Q$400,"One Time",SF_Output!$L$1:$L$400,"professional service"))/N213),-((SUMIFS(SF_Output!$T$1:$T$400,SF_Output!$AC$1:$AC$400,_xlfn.TEXTJOIN(",",TRUE,$B213:$E213),SF_Output!$Q$1:$Q$400,"One Time",SF_Output!$L$1:$L$400,"professional service")/N213))))</f>
        <v/>
      </c>
      <c r="P213" s="6" t="str">
        <f t="shared" si="56"/>
        <v/>
      </c>
      <c r="R213" s="6" t="str">
        <f>IF(B213="","",SUMIFS(SF_Output!$S$1:$S$400,SF_Output!$AC$1:$AC$400,_xlfn.TEXTJOIN(",",TRUE,B213:E213),SF_Output!$Q$1:$Q$400,"yearly")+SUMIFS(SF_Output!$S$1:$S$400,SF_Output!$AC$1:$AC$400,_xlfn.TEXTJOIN(",",TRUE,B213:E213),SF_Output!$Q$1:$Q$400,"quarterly")*4)</f>
        <v/>
      </c>
      <c r="S213" s="112" t="str">
        <f>IF(OR(B213=0,B213="",G213="hardware",R213=0),"",IF(AF213&lt;&gt;"exclusion",MAX(S$9,-(SUMIFS(SF_Output!$T$1:$T$400,SF_Output!$AC$1:$AC$400,_xlfn.TEXTJOIN(",",TRUE,$B213:$E213),SF_Output!$Q$1:$Q$400,"yearly"))/R213),-((SUMIFS(SF_Output!$T$1:$T$400,SF_Output!$AC$1:$AC$400,_xlfn.TEXTJOIN(",",TRUE,$B213:$E213),SF_Output!$Q$1:$Q$400,"yearly")/R213))))</f>
        <v/>
      </c>
      <c r="T213" s="6" t="str">
        <f t="shared" si="57"/>
        <v/>
      </c>
      <c r="V213" s="6" t="str" cm="1">
        <f t="array" ref="V213">_xlfn.IFS(B213="","",AND(B213&lt;&gt;"",H213=SF_Output!$Y$2,SUMIFS(SF_Output!$T$1:$T$400,SF_Output!$AC$1:$AC$400,_xlfn.TEXTJOIN(",",TRUE,B213:E213),SF_Output!$Q$1:$Q$400,"monthly")=0),(SUMIFS(SF_Output!$F$1:$F$400,SF_Output!$AC$1:$AC$400,_xlfn.TEXTJOIN(",",TRUE,B213:E213),SF_Output!$Q$1:$Q$400,"monthly")+SUMIFS(SF_Output!$G$1:$G$400,SF_Output!$AC$1:$AC$400,_xlfn.TEXTJOIN(",",TRUE,B213:E213),SF_Output!$Q$1:$Q$400,"monthly"))*H213,AND(B213&lt;&gt;"",H213=SF_Output!$Y$2,SUMIFS(SF_Output!$T$1:$T$400,SF_Output!$AC$1:$AC$400,_xlfn.TEXTJOIN(",",TRUE,B213:E213),SF_Output!$Q$1:$Q$400,"monthly")&lt;&gt;0),SUMIFS(SF_Output!$S$1:$S$400,SF_Output!$AC$1:$AC$400,_xlfn.TEXTJOIN(",",TRUE,B213:E213),SF_Output!$Q$1:$Q$400,"monthly"),AND(B213&lt;&gt;"",H213&lt;&gt;SF_Output!$Y$2),SUMIFS(SF_Output!$S$1:$S$400,SF_Output!$AC$1:$AC$400,_xlfn.TEXTJOIN(",",TRUE,B213:E213),SF_Output!$Q$1:$Q$400,"monthly"))</f>
        <v/>
      </c>
      <c r="W213" s="112" t="str" cm="1">
        <f t="array" ref="W213">_xlfn.IFS(OR(B213=0,B213="",V213=0),"",AF213&lt;&gt;"exclusion",MAX($W$9,$W$7,(-(SUMIFS(SF_Output!$T$1:$T$400,SF_Output!$AC$1:$AC$400,_xlfn.TEXTJOIN(",",TRUE,$B213:$E213),SF_Output!$Q$1:$Q$400,"monthly"))/V213)),AF213="exclusion",-(SUMIFS(SF_Output!$T$1:$T$400,SF_Output!$AC$1:$AC$400,_xlfn.TEXTJOIN(",",TRUE,$B213:$E213),SF_Output!$Q$1:$Q$400,"monthly"))/V213)</f>
        <v/>
      </c>
      <c r="X213" s="6" t="str" cm="1">
        <f t="array" ref="X213">IFERROR(_xlfn.IFS(V213=0,0,V213="","",W213=0,V213,OR(V213&lt;&gt;0,V213&lt;&gt;""),H213*I213),V213*(1-W213))</f>
        <v/>
      </c>
      <c r="Z213" s="6" t="str">
        <f>IFERROR(IF(B213="","",SUMIFS(Billing_Fallout!H:H,Billing_Fallout!N:N,B213)),0)</f>
        <v/>
      </c>
      <c r="AA213" s="6" t="str">
        <f t="shared" si="58"/>
        <v/>
      </c>
      <c r="AB213" s="6" t="str">
        <f>IFERROR(IF(B213="","",SUMIFS(Billing_Fallout!J:J,Billing_Fallout!N:N,B213)),0)</f>
        <v/>
      </c>
      <c r="AD213" s="6" t="str">
        <f t="shared" si="59"/>
        <v/>
      </c>
      <c r="AF213" t="str">
        <f>IFERROR(INDEX(H_Tables!$B$1:$B$1500,MATCH(INDEX(SF_Output!$J$1:$J$400,MATCH(B213,SF_Output!$M$1:$M$400,0)),H_Tables!$A$1:$A$1500,0)),"")</f>
        <v/>
      </c>
      <c r="AI213" s="119" t="str">
        <f t="shared" si="60"/>
        <v/>
      </c>
      <c r="AJ213" s="121">
        <f>IFERROR(INDEX(SF_Output!AD:AD,MATCH(_xlfn.TEXTJOIN(",",TRUE,B213:E213),SF_Output!AC1:AC400,0)),0.05)</f>
        <v>241</v>
      </c>
      <c r="AK213" t="str">
        <f>IF(SUMIFS(SF_Output!$F$1:$F$400,SF_Output!$AC$1:$AC$400,_xlfn.TEXTJOIN(",",TRUE,B213:E213))+SUMIFS(SF_Output!$G$1:$G$400,SF_Output!$AC$1:$AC$400,_xlfn.TEXTJOIN(",",TRUE,B213:E213))=0,"","PAP")</f>
        <v/>
      </c>
      <c r="AL213" s="35" t="str">
        <f t="shared" si="61"/>
        <v/>
      </c>
      <c r="AQ213" s="35"/>
      <c r="AR213" s="35" t="str" cm="1">
        <f t="array" ref="AR213">IFERROR(_xlfn.IFS(AND(E213*1=1,F213="Included"),"Change to Included",AND(E213*1=0,F213="Optional"),"Change to Optional",OR(B213="",F213="replaced"),""),"")</f>
        <v/>
      </c>
      <c r="AS213" s="35" t="str">
        <f t="shared" si="62"/>
        <v/>
      </c>
      <c r="AT213" s="35" t="str">
        <f t="shared" si="63"/>
        <v/>
      </c>
      <c r="AU213" s="35" t="str">
        <f t="shared" si="64"/>
        <v/>
      </c>
      <c r="AV213" s="35" t="str">
        <f t="shared" si="65"/>
        <v/>
      </c>
      <c r="AW213" s="35" t="str">
        <f t="shared" si="66"/>
        <v/>
      </c>
      <c r="AX213" s="35" t="str">
        <f t="shared" si="67"/>
        <v/>
      </c>
      <c r="AY213" s="35" t="str">
        <f t="shared" si="68"/>
        <v/>
      </c>
      <c r="AZ213" s="35" t="str">
        <f t="shared" si="69"/>
        <v/>
      </c>
      <c r="BA213" s="35" t="str">
        <f t="shared" si="70"/>
        <v/>
      </c>
      <c r="BB213" s="35" t="str">
        <f t="shared" si="71"/>
        <v/>
      </c>
      <c r="BC213" s="35"/>
      <c r="BE213" s="35" t="e">
        <f>INDEX(SF_Output!$AA$2:$AA$400,MATCH($B213,SF_Output!$M$2:$M$400,0))</f>
        <v>#N/A</v>
      </c>
      <c r="BF213" s="35" t="e">
        <f>INDEX(SF_Output!$AB$2:$AB$400,MATCH($B213,SF_Output!$M$2:$M$400,0))</f>
        <v>#N/A</v>
      </c>
    </row>
    <row r="214" spans="6:58" x14ac:dyDescent="0.25">
      <c r="F214" s="116" t="str">
        <f t="shared" si="54"/>
        <v/>
      </c>
      <c r="G214" t="str">
        <f>IF(B214="","",INDEX(SF_Output!$K$1:$K$400,MATCH(B214,SF_Output!$M$1:$M$400,0)))</f>
        <v/>
      </c>
      <c r="H214" t="str" cm="1">
        <f t="array" ref="H214">_xlfn.IFS(B214="","",(SUMIFS(SF_Output!$F$1:$F$400,SF_Output!$AC$1:$AC$400,_xlfn.TEXTJOIN(",",TRUE,B214:E214))+SUMIFS(SF_Output!$G$1:$G$400,SF_Output!$AC$1:$AC$400,_xlfn.TEXTJOIN(",",TRUE,B214:E214)))&lt;&gt;0,SF_Output!$Y$2,INDEX(SF_Output!$F$1:$F$400,MATCH(_xlfn.TEXTJOIN(",",TRUE,B214:E214),SF_Output!$AC$1:$AC$400,0))=0,INDEX(SF_Output!$R$1:$R$400,MATCH(_xlfn.TEXTJOIN(",",TRUE,B214:E214),SF_Output!$AC$1:$AC$400,0)))</f>
        <v/>
      </c>
      <c r="I214" s="125" t="str">
        <f>IFERROR(IF(AND(H214&gt;1,H214&lt;&gt;""),ROUND(SUMIFS(SF_Output!$S$1:$S$400,SF_Output!$AC$1:$AC$400,_xlfn.TEXTJOIN(",",TRUE,B214:E214),SF_Output!$Q$1:$Q$400,"monthly")*(1-W214)/H214,4),""),"")</f>
        <v/>
      </c>
      <c r="J214" s="6" t="str">
        <f>IF(B214="","",SUMIFS(SF_Output!$S$1:$S$400,SF_Output!$AC$1:$AC$400,_xlfn.TEXTJOIN(",",TRUE,B214:E214),SF_Output!$Q$1:$Q$400,"One Time",SF_Output!$L$1:$L$400,"license fee")+SUMIFS(SF_Output!$S$1:$S$400,SF_Output!$AC$1:$AC$400,_xlfn.TEXTJOIN(",",TRUE,B214:E214),SF_Output!$Q$1:$Q$400,"One Time",SF_Output!$L$1:$L$400,"software license")+SUMIFS(SF_Output!$S$1:$S$400,SF_Output!$AC$1:$AC$400,_xlfn.TEXTJOIN(",",TRUE,B214:E214),SF_Output!$Q$1:$Q$400,"One Time",SF_Output!$L$1:$L$400,"hardware"))</f>
        <v/>
      </c>
      <c r="K214" s="112" t="str">
        <f>IF(OR(B214=0,B214="",G214="hardware",J214=0),"",IF(AF214&lt;&gt;"exclusion",MAX(K$9,-((SUMIFS(SF_Output!$T$1:$T$400,SF_Output!$AC$1:$AC$400,_xlfn.TEXTJOIN(",",TRUE,$B214:$E214),SF_Output!$Q$1:$Q$400,"One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license"))/J214)))</f>
        <v/>
      </c>
      <c r="L214" s="6" t="str">
        <f t="shared" si="55"/>
        <v/>
      </c>
      <c r="N214" s="6" t="str">
        <f>IF(B214="","",SUMIFS(SF_Output!$S$1:$S$400,SF_Output!$AC$1:$AC$400,_xlfn.TEXTJOIN(",",TRUE,B214:E214),SF_Output!$Q$1:$Q$400,"One Time",SF_Output!$L$1:$L$400,"professional service"))</f>
        <v/>
      </c>
      <c r="O214" s="112" t="str">
        <f>IF(OR(B214=0,B214="",N214=0),"",IF(AF214&lt;&gt;"exclusion",MAX(O$9,-(SUMIFS(SF_Output!$T$1:$T$400,SF_Output!$AC$1:$AC$400,_xlfn.TEXTJOIN(",",TRUE,$B214:$E214),SF_Output!$Q$1:$Q$400,"One Time",SF_Output!$L$1:$L$400,"professional service"))/N214),-((SUMIFS(SF_Output!$T$1:$T$400,SF_Output!$AC$1:$AC$400,_xlfn.TEXTJOIN(",",TRUE,$B214:$E214),SF_Output!$Q$1:$Q$400,"One Time",SF_Output!$L$1:$L$400,"professional service")/N214))))</f>
        <v/>
      </c>
      <c r="P214" s="6" t="str">
        <f t="shared" si="56"/>
        <v/>
      </c>
      <c r="R214" s="6" t="str">
        <f>IF(B214="","",SUMIFS(SF_Output!$S$1:$S$400,SF_Output!$AC$1:$AC$400,_xlfn.TEXTJOIN(",",TRUE,B214:E214),SF_Output!$Q$1:$Q$400,"yearly")+SUMIFS(SF_Output!$S$1:$S$400,SF_Output!$AC$1:$AC$400,_xlfn.TEXTJOIN(",",TRUE,B214:E214),SF_Output!$Q$1:$Q$400,"quarterly")*4)</f>
        <v/>
      </c>
      <c r="S214" s="112" t="str">
        <f>IF(OR(B214=0,B214="",G214="hardware",R214=0),"",IF(AF214&lt;&gt;"exclusion",MAX(S$9,-(SUMIFS(SF_Output!$T$1:$T$400,SF_Output!$AC$1:$AC$400,_xlfn.TEXTJOIN(",",TRUE,$B214:$E214),SF_Output!$Q$1:$Q$400,"yearly"))/R214),-((SUMIFS(SF_Output!$T$1:$T$400,SF_Output!$AC$1:$AC$400,_xlfn.TEXTJOIN(",",TRUE,$B214:$E214),SF_Output!$Q$1:$Q$400,"yearly")/R214))))</f>
        <v/>
      </c>
      <c r="T214" s="6" t="str">
        <f t="shared" si="57"/>
        <v/>
      </c>
      <c r="V214" s="6" t="str" cm="1">
        <f t="array" ref="V214">_xlfn.IFS(B214="","",AND(B214&lt;&gt;"",H214=SF_Output!$Y$2,SUMIFS(SF_Output!$T$1:$T$400,SF_Output!$AC$1:$AC$400,_xlfn.TEXTJOIN(",",TRUE,B214:E214),SF_Output!$Q$1:$Q$400,"monthly")=0),(SUMIFS(SF_Output!$F$1:$F$400,SF_Output!$AC$1:$AC$400,_xlfn.TEXTJOIN(",",TRUE,B214:E214),SF_Output!$Q$1:$Q$400,"monthly")+SUMIFS(SF_Output!$G$1:$G$400,SF_Output!$AC$1:$AC$400,_xlfn.TEXTJOIN(",",TRUE,B214:E214),SF_Output!$Q$1:$Q$400,"monthly"))*H214,AND(B214&lt;&gt;"",H214=SF_Output!$Y$2,SUMIFS(SF_Output!$T$1:$T$400,SF_Output!$AC$1:$AC$400,_xlfn.TEXTJOIN(",",TRUE,B214:E214),SF_Output!$Q$1:$Q$400,"monthly")&lt;&gt;0),SUMIFS(SF_Output!$S$1:$S$400,SF_Output!$AC$1:$AC$400,_xlfn.TEXTJOIN(",",TRUE,B214:E214),SF_Output!$Q$1:$Q$400,"monthly"),AND(B214&lt;&gt;"",H214&lt;&gt;SF_Output!$Y$2),SUMIFS(SF_Output!$S$1:$S$400,SF_Output!$AC$1:$AC$400,_xlfn.TEXTJOIN(",",TRUE,B214:E214),SF_Output!$Q$1:$Q$400,"monthly"))</f>
        <v/>
      </c>
      <c r="W214" s="112" t="str" cm="1">
        <f t="array" ref="W214">_xlfn.IFS(OR(B214=0,B214="",V214=0),"",AF214&lt;&gt;"exclusion",MAX($W$9,$W$7,(-(SUMIFS(SF_Output!$T$1:$T$400,SF_Output!$AC$1:$AC$400,_xlfn.TEXTJOIN(",",TRUE,$B214:$E214),SF_Output!$Q$1:$Q$400,"monthly"))/V214)),AF214="exclusion",-(SUMIFS(SF_Output!$T$1:$T$400,SF_Output!$AC$1:$AC$400,_xlfn.TEXTJOIN(",",TRUE,$B214:$E214),SF_Output!$Q$1:$Q$400,"monthly"))/V214)</f>
        <v/>
      </c>
      <c r="X214" s="6" t="str" cm="1">
        <f t="array" ref="X214">IFERROR(_xlfn.IFS(V214=0,0,V214="","",W214=0,V214,OR(V214&lt;&gt;0,V214&lt;&gt;""),H214*I214),V214*(1-W214))</f>
        <v/>
      </c>
      <c r="Z214" s="6" t="str">
        <f>IFERROR(IF(B214="","",SUMIFS(Billing_Fallout!H:H,Billing_Fallout!N:N,B214)),0)</f>
        <v/>
      </c>
      <c r="AA214" s="6" t="str">
        <f t="shared" si="58"/>
        <v/>
      </c>
      <c r="AB214" s="6" t="str">
        <f>IFERROR(IF(B214="","",SUMIFS(Billing_Fallout!J:J,Billing_Fallout!N:N,B214)),0)</f>
        <v/>
      </c>
      <c r="AD214" s="6" t="str">
        <f t="shared" si="59"/>
        <v/>
      </c>
      <c r="AF214" t="str">
        <f>IFERROR(INDEX(H_Tables!$B$1:$B$1500,MATCH(INDEX(SF_Output!$J$1:$J$400,MATCH(B214,SF_Output!$M$1:$M$400,0)),H_Tables!$A$1:$A$1500,0)),"")</f>
        <v/>
      </c>
      <c r="AI214" s="119" t="str">
        <f t="shared" si="60"/>
        <v/>
      </c>
      <c r="AJ214" s="121">
        <f>IFERROR(INDEX(SF_Output!AD:AD,MATCH(_xlfn.TEXTJOIN(",",TRUE,B214:E214),SF_Output!AC1:AC400,0)),0.05)</f>
        <v>241</v>
      </c>
      <c r="AK214" t="str">
        <f>IF(SUMIFS(SF_Output!$F$1:$F$400,SF_Output!$AC$1:$AC$400,_xlfn.TEXTJOIN(",",TRUE,B214:E214))+SUMIFS(SF_Output!$G$1:$G$400,SF_Output!$AC$1:$AC$400,_xlfn.TEXTJOIN(",",TRUE,B214:E214))=0,"","PAP")</f>
        <v/>
      </c>
      <c r="AL214" s="35" t="str">
        <f t="shared" si="61"/>
        <v/>
      </c>
      <c r="AQ214" s="35"/>
      <c r="AR214" s="35" t="str" cm="1">
        <f t="array" ref="AR214">IFERROR(_xlfn.IFS(AND(E214*1=1,F214="Included"),"Change to Included",AND(E214*1=0,F214="Optional"),"Change to Optional",OR(B214="",F214="replaced"),""),"")</f>
        <v/>
      </c>
      <c r="AS214" s="35" t="str">
        <f t="shared" si="62"/>
        <v/>
      </c>
      <c r="AT214" s="35" t="str">
        <f t="shared" si="63"/>
        <v/>
      </c>
      <c r="AU214" s="35" t="str">
        <f t="shared" si="64"/>
        <v/>
      </c>
      <c r="AV214" s="35" t="str">
        <f t="shared" si="65"/>
        <v/>
      </c>
      <c r="AW214" s="35" t="str">
        <f t="shared" si="66"/>
        <v/>
      </c>
      <c r="AX214" s="35" t="str">
        <f t="shared" si="67"/>
        <v/>
      </c>
      <c r="AY214" s="35" t="str">
        <f t="shared" si="68"/>
        <v/>
      </c>
      <c r="AZ214" s="35" t="str">
        <f t="shared" si="69"/>
        <v/>
      </c>
      <c r="BA214" s="35" t="str">
        <f t="shared" si="70"/>
        <v/>
      </c>
      <c r="BB214" s="35" t="str">
        <f t="shared" si="71"/>
        <v/>
      </c>
      <c r="BC214" s="35"/>
      <c r="BE214" s="35" t="e">
        <f>INDEX(SF_Output!$AA$2:$AA$400,MATCH($B214,SF_Output!$M$2:$M$400,0))</f>
        <v>#N/A</v>
      </c>
      <c r="BF214" s="35" t="e">
        <f>INDEX(SF_Output!$AB$2:$AB$400,MATCH($B214,SF_Output!$M$2:$M$400,0))</f>
        <v>#N/A</v>
      </c>
    </row>
    <row r="215" spans="6:58" x14ac:dyDescent="0.25">
      <c r="F215" s="116" t="str">
        <f t="shared" si="54"/>
        <v/>
      </c>
      <c r="G215" t="str">
        <f>IF(B215="","",INDEX(SF_Output!$K$1:$K$400,MATCH(B215,SF_Output!$M$1:$M$400,0)))</f>
        <v/>
      </c>
      <c r="H215" t="str" cm="1">
        <f t="array" ref="H215">_xlfn.IFS(B215="","",(SUMIFS(SF_Output!$F$1:$F$400,SF_Output!$AC$1:$AC$400,_xlfn.TEXTJOIN(",",TRUE,B215:E215))+SUMIFS(SF_Output!$G$1:$G$400,SF_Output!$AC$1:$AC$400,_xlfn.TEXTJOIN(",",TRUE,B215:E215)))&lt;&gt;0,SF_Output!$Y$2,INDEX(SF_Output!$F$1:$F$400,MATCH(_xlfn.TEXTJOIN(",",TRUE,B215:E215),SF_Output!$AC$1:$AC$400,0))=0,INDEX(SF_Output!$R$1:$R$400,MATCH(_xlfn.TEXTJOIN(",",TRUE,B215:E215),SF_Output!$AC$1:$AC$400,0)))</f>
        <v/>
      </c>
      <c r="I215" s="125" t="str">
        <f>IFERROR(IF(AND(H215&gt;1,H215&lt;&gt;""),ROUND(SUMIFS(SF_Output!$S$1:$S$400,SF_Output!$AC$1:$AC$400,_xlfn.TEXTJOIN(",",TRUE,B215:E215),SF_Output!$Q$1:$Q$400,"monthly")*(1-W215)/H215,4),""),"")</f>
        <v/>
      </c>
      <c r="J215" s="6" t="str">
        <f>IF(B215="","",SUMIFS(SF_Output!$S$1:$S$400,SF_Output!$AC$1:$AC$400,_xlfn.TEXTJOIN(",",TRUE,B215:E215),SF_Output!$Q$1:$Q$400,"One Time",SF_Output!$L$1:$L$400,"license fee")+SUMIFS(SF_Output!$S$1:$S$400,SF_Output!$AC$1:$AC$400,_xlfn.TEXTJOIN(",",TRUE,B215:E215),SF_Output!$Q$1:$Q$400,"One Time",SF_Output!$L$1:$L$400,"software license")+SUMIFS(SF_Output!$S$1:$S$400,SF_Output!$AC$1:$AC$400,_xlfn.TEXTJOIN(",",TRUE,B215:E215),SF_Output!$Q$1:$Q$400,"One Time",SF_Output!$L$1:$L$400,"hardware"))</f>
        <v/>
      </c>
      <c r="K215" s="112" t="str">
        <f>IF(OR(B215=0,B215="",G215="hardware",J215=0),"",IF(AF215&lt;&gt;"exclusion",MAX(K$9,-((SUMIFS(SF_Output!$T$1:$T$400,SF_Output!$AC$1:$AC$400,_xlfn.TEXTJOIN(",",TRUE,$B215:$E215),SF_Output!$Q$1:$Q$400,"One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license"))/J215)))</f>
        <v/>
      </c>
      <c r="L215" s="6" t="str">
        <f t="shared" si="55"/>
        <v/>
      </c>
      <c r="N215" s="6" t="str">
        <f>IF(B215="","",SUMIFS(SF_Output!$S$1:$S$400,SF_Output!$AC$1:$AC$400,_xlfn.TEXTJOIN(",",TRUE,B215:E215),SF_Output!$Q$1:$Q$400,"One Time",SF_Output!$L$1:$L$400,"professional service"))</f>
        <v/>
      </c>
      <c r="O215" s="112" t="str">
        <f>IF(OR(B215=0,B215="",N215=0),"",IF(AF215&lt;&gt;"exclusion",MAX(O$9,-(SUMIFS(SF_Output!$T$1:$T$400,SF_Output!$AC$1:$AC$400,_xlfn.TEXTJOIN(",",TRUE,$B215:$E215),SF_Output!$Q$1:$Q$400,"One Time",SF_Output!$L$1:$L$400,"professional service"))/N215),-((SUMIFS(SF_Output!$T$1:$T$400,SF_Output!$AC$1:$AC$400,_xlfn.TEXTJOIN(",",TRUE,$B215:$E215),SF_Output!$Q$1:$Q$400,"One Time",SF_Output!$L$1:$L$400,"professional service")/N215))))</f>
        <v/>
      </c>
      <c r="P215" s="6" t="str">
        <f t="shared" si="56"/>
        <v/>
      </c>
      <c r="R215" s="6" t="str">
        <f>IF(B215="","",SUMIFS(SF_Output!$S$1:$S$400,SF_Output!$AC$1:$AC$400,_xlfn.TEXTJOIN(",",TRUE,B215:E215),SF_Output!$Q$1:$Q$400,"yearly")+SUMIFS(SF_Output!$S$1:$S$400,SF_Output!$AC$1:$AC$400,_xlfn.TEXTJOIN(",",TRUE,B215:E215),SF_Output!$Q$1:$Q$400,"quarterly")*4)</f>
        <v/>
      </c>
      <c r="S215" s="112" t="str">
        <f>IF(OR(B215=0,B215="",G215="hardware",R215=0),"",IF(AF215&lt;&gt;"exclusion",MAX(S$9,-(SUMIFS(SF_Output!$T$1:$T$400,SF_Output!$AC$1:$AC$400,_xlfn.TEXTJOIN(",",TRUE,$B215:$E215),SF_Output!$Q$1:$Q$400,"yearly"))/R215),-((SUMIFS(SF_Output!$T$1:$T$400,SF_Output!$AC$1:$AC$400,_xlfn.TEXTJOIN(",",TRUE,$B215:$E215),SF_Output!$Q$1:$Q$400,"yearly")/R215))))</f>
        <v/>
      </c>
      <c r="T215" s="6" t="str">
        <f t="shared" si="57"/>
        <v/>
      </c>
      <c r="V215" s="6" t="str" cm="1">
        <f t="array" ref="V215">_xlfn.IFS(B215="","",AND(B215&lt;&gt;"",H215=SF_Output!$Y$2,SUMIFS(SF_Output!$T$1:$T$400,SF_Output!$AC$1:$AC$400,_xlfn.TEXTJOIN(",",TRUE,B215:E215),SF_Output!$Q$1:$Q$400,"monthly")=0),(SUMIFS(SF_Output!$F$1:$F$400,SF_Output!$AC$1:$AC$400,_xlfn.TEXTJOIN(",",TRUE,B215:E215),SF_Output!$Q$1:$Q$400,"monthly")+SUMIFS(SF_Output!$G$1:$G$400,SF_Output!$AC$1:$AC$400,_xlfn.TEXTJOIN(",",TRUE,B215:E215),SF_Output!$Q$1:$Q$400,"monthly"))*H215,AND(B215&lt;&gt;"",H215=SF_Output!$Y$2,SUMIFS(SF_Output!$T$1:$T$400,SF_Output!$AC$1:$AC$400,_xlfn.TEXTJOIN(",",TRUE,B215:E215),SF_Output!$Q$1:$Q$400,"monthly")&lt;&gt;0),SUMIFS(SF_Output!$S$1:$S$400,SF_Output!$AC$1:$AC$400,_xlfn.TEXTJOIN(",",TRUE,B215:E215),SF_Output!$Q$1:$Q$400,"monthly"),AND(B215&lt;&gt;"",H215&lt;&gt;SF_Output!$Y$2),SUMIFS(SF_Output!$S$1:$S$400,SF_Output!$AC$1:$AC$400,_xlfn.TEXTJOIN(",",TRUE,B215:E215),SF_Output!$Q$1:$Q$400,"monthly"))</f>
        <v/>
      </c>
      <c r="W215" s="112" t="str" cm="1">
        <f t="array" ref="W215">_xlfn.IFS(OR(B215=0,B215="",V215=0),"",AF215&lt;&gt;"exclusion",MAX($W$9,$W$7,(-(SUMIFS(SF_Output!$T$1:$T$400,SF_Output!$AC$1:$AC$400,_xlfn.TEXTJOIN(",",TRUE,$B215:$E215),SF_Output!$Q$1:$Q$400,"monthly"))/V215)),AF215="exclusion",-(SUMIFS(SF_Output!$T$1:$T$400,SF_Output!$AC$1:$AC$400,_xlfn.TEXTJOIN(",",TRUE,$B215:$E215),SF_Output!$Q$1:$Q$400,"monthly"))/V215)</f>
        <v/>
      </c>
      <c r="X215" s="6" t="str" cm="1">
        <f t="array" ref="X215">IFERROR(_xlfn.IFS(V215=0,0,V215="","",W215=0,V215,OR(V215&lt;&gt;0,V215&lt;&gt;""),H215*I215),V215*(1-W215))</f>
        <v/>
      </c>
      <c r="Z215" s="6" t="str">
        <f>IFERROR(IF(B215="","",SUMIFS(Billing_Fallout!H:H,Billing_Fallout!N:N,B215)),0)</f>
        <v/>
      </c>
      <c r="AA215" s="6" t="str">
        <f t="shared" si="58"/>
        <v/>
      </c>
      <c r="AB215" s="6" t="str">
        <f>IFERROR(IF(B215="","",SUMIFS(Billing_Fallout!J:J,Billing_Fallout!N:N,B215)),0)</f>
        <v/>
      </c>
      <c r="AD215" s="6" t="str">
        <f t="shared" si="59"/>
        <v/>
      </c>
      <c r="AF215" t="str">
        <f>IFERROR(INDEX(H_Tables!$B$1:$B$1500,MATCH(INDEX(SF_Output!$J$1:$J$400,MATCH(B215,SF_Output!$M$1:$M$400,0)),H_Tables!$A$1:$A$1500,0)),"")</f>
        <v/>
      </c>
      <c r="AI215" s="119" t="str">
        <f t="shared" si="60"/>
        <v/>
      </c>
      <c r="AJ215" s="121">
        <f>IFERROR(INDEX(SF_Output!AD:AD,MATCH(_xlfn.TEXTJOIN(",",TRUE,B215:E215),SF_Output!AC1:AC400,0)),0.05)</f>
        <v>241</v>
      </c>
      <c r="AK215" t="str">
        <f>IF(SUMIFS(SF_Output!$F$1:$F$400,SF_Output!$AC$1:$AC$400,_xlfn.TEXTJOIN(",",TRUE,B215:E215))+SUMIFS(SF_Output!$G$1:$G$400,SF_Output!$AC$1:$AC$400,_xlfn.TEXTJOIN(",",TRUE,B215:E215))=0,"","PAP")</f>
        <v/>
      </c>
      <c r="AL215" s="35" t="str">
        <f t="shared" si="61"/>
        <v/>
      </c>
      <c r="AQ215" s="35"/>
      <c r="AR215" s="35" t="str" cm="1">
        <f t="array" ref="AR215">IFERROR(_xlfn.IFS(AND(E215*1=1,F215="Included"),"Change to Included",AND(E215*1=0,F215="Optional"),"Change to Optional",OR(B215="",F215="replaced"),""),"")</f>
        <v/>
      </c>
      <c r="AS215" s="35" t="str">
        <f t="shared" si="62"/>
        <v/>
      </c>
      <c r="AT215" s="35" t="str">
        <f t="shared" si="63"/>
        <v/>
      </c>
      <c r="AU215" s="35" t="str">
        <f t="shared" si="64"/>
        <v/>
      </c>
      <c r="AV215" s="35" t="str">
        <f t="shared" si="65"/>
        <v/>
      </c>
      <c r="AW215" s="35" t="str">
        <f t="shared" si="66"/>
        <v/>
      </c>
      <c r="AX215" s="35" t="str">
        <f t="shared" si="67"/>
        <v/>
      </c>
      <c r="AY215" s="35" t="str">
        <f t="shared" si="68"/>
        <v/>
      </c>
      <c r="AZ215" s="35" t="str">
        <f t="shared" si="69"/>
        <v/>
      </c>
      <c r="BA215" s="35" t="str">
        <f t="shared" si="70"/>
        <v/>
      </c>
      <c r="BB215" s="35" t="str">
        <f t="shared" si="71"/>
        <v/>
      </c>
      <c r="BC215" s="35"/>
      <c r="BE215" s="35" t="e">
        <f>INDEX(SF_Output!$AA$2:$AA$400,MATCH($B215,SF_Output!$M$2:$M$400,0))</f>
        <v>#N/A</v>
      </c>
      <c r="BF215" s="35" t="e">
        <f>INDEX(SF_Output!$AB$2:$AB$400,MATCH($B215,SF_Output!$M$2:$M$400,0))</f>
        <v>#N/A</v>
      </c>
    </row>
    <row r="216" spans="6:58" x14ac:dyDescent="0.25">
      <c r="F216" s="116" t="str">
        <f t="shared" si="54"/>
        <v/>
      </c>
      <c r="G216" t="str">
        <f>IF(B216="","",INDEX(SF_Output!$K$1:$K$400,MATCH(B216,SF_Output!$M$1:$M$400,0)))</f>
        <v/>
      </c>
      <c r="H216" t="str" cm="1">
        <f t="array" ref="H216">_xlfn.IFS(B216="","",(SUMIFS(SF_Output!$F$1:$F$400,SF_Output!$AC$1:$AC$400,_xlfn.TEXTJOIN(",",TRUE,B216:E216))+SUMIFS(SF_Output!$G$1:$G$400,SF_Output!$AC$1:$AC$400,_xlfn.TEXTJOIN(",",TRUE,B216:E216)))&lt;&gt;0,SF_Output!$Y$2,INDEX(SF_Output!$F$1:$F$400,MATCH(_xlfn.TEXTJOIN(",",TRUE,B216:E216),SF_Output!$AC$1:$AC$400,0))=0,INDEX(SF_Output!$R$1:$R$400,MATCH(_xlfn.TEXTJOIN(",",TRUE,B216:E216),SF_Output!$AC$1:$AC$400,0)))</f>
        <v/>
      </c>
      <c r="I216" s="125" t="str">
        <f>IFERROR(IF(AND(H216&gt;1,H216&lt;&gt;""),ROUND(SUMIFS(SF_Output!$S$1:$S$400,SF_Output!$AC$1:$AC$400,_xlfn.TEXTJOIN(",",TRUE,B216:E216),SF_Output!$Q$1:$Q$400,"monthly")*(1-W216)/H216,4),""),"")</f>
        <v/>
      </c>
      <c r="J216" s="6" t="str">
        <f>IF(B216="","",SUMIFS(SF_Output!$S$1:$S$400,SF_Output!$AC$1:$AC$400,_xlfn.TEXTJOIN(",",TRUE,B216:E216),SF_Output!$Q$1:$Q$400,"One Time",SF_Output!$L$1:$L$400,"license fee")+SUMIFS(SF_Output!$S$1:$S$400,SF_Output!$AC$1:$AC$400,_xlfn.TEXTJOIN(",",TRUE,B216:E216),SF_Output!$Q$1:$Q$400,"One Time",SF_Output!$L$1:$L$400,"software license")+SUMIFS(SF_Output!$S$1:$S$400,SF_Output!$AC$1:$AC$400,_xlfn.TEXTJOIN(",",TRUE,B216:E216),SF_Output!$Q$1:$Q$400,"One Time",SF_Output!$L$1:$L$400,"hardware"))</f>
        <v/>
      </c>
      <c r="K216" s="112" t="str">
        <f>IF(OR(B216=0,B216="",G216="hardware",J216=0),"",IF(AF216&lt;&gt;"exclusion",MAX(K$9,-((SUMIFS(SF_Output!$T$1:$T$400,SF_Output!$AC$1:$AC$400,_xlfn.TEXTJOIN(",",TRUE,$B216:$E216),SF_Output!$Q$1:$Q$400,"One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license"))/J216)))</f>
        <v/>
      </c>
      <c r="L216" s="6" t="str">
        <f t="shared" si="55"/>
        <v/>
      </c>
      <c r="N216" s="6" t="str">
        <f>IF(B216="","",SUMIFS(SF_Output!$S$1:$S$400,SF_Output!$AC$1:$AC$400,_xlfn.TEXTJOIN(",",TRUE,B216:E216),SF_Output!$Q$1:$Q$400,"One Time",SF_Output!$L$1:$L$400,"professional service"))</f>
        <v/>
      </c>
      <c r="O216" s="112" t="str">
        <f>IF(OR(B216=0,B216="",N216=0),"",IF(AF216&lt;&gt;"exclusion",MAX(O$9,-(SUMIFS(SF_Output!$T$1:$T$400,SF_Output!$AC$1:$AC$400,_xlfn.TEXTJOIN(",",TRUE,$B216:$E216),SF_Output!$Q$1:$Q$400,"One Time",SF_Output!$L$1:$L$400,"professional service"))/N216),-((SUMIFS(SF_Output!$T$1:$T$400,SF_Output!$AC$1:$AC$400,_xlfn.TEXTJOIN(",",TRUE,$B216:$E216),SF_Output!$Q$1:$Q$400,"One Time",SF_Output!$L$1:$L$400,"professional service")/N216))))</f>
        <v/>
      </c>
      <c r="P216" s="6" t="str">
        <f t="shared" si="56"/>
        <v/>
      </c>
      <c r="R216" s="6" t="str">
        <f>IF(B216="","",SUMIFS(SF_Output!$S$1:$S$400,SF_Output!$AC$1:$AC$400,_xlfn.TEXTJOIN(",",TRUE,B216:E216),SF_Output!$Q$1:$Q$400,"yearly")+SUMIFS(SF_Output!$S$1:$S$400,SF_Output!$AC$1:$AC$400,_xlfn.TEXTJOIN(",",TRUE,B216:E216),SF_Output!$Q$1:$Q$400,"quarterly")*4)</f>
        <v/>
      </c>
      <c r="S216" s="112" t="str">
        <f>IF(OR(B216=0,B216="",G216="hardware",R216=0),"",IF(AF216&lt;&gt;"exclusion",MAX(S$9,-(SUMIFS(SF_Output!$T$1:$T$400,SF_Output!$AC$1:$AC$400,_xlfn.TEXTJOIN(",",TRUE,$B216:$E216),SF_Output!$Q$1:$Q$400,"yearly"))/R216),-((SUMIFS(SF_Output!$T$1:$T$400,SF_Output!$AC$1:$AC$400,_xlfn.TEXTJOIN(",",TRUE,$B216:$E216),SF_Output!$Q$1:$Q$400,"yearly")/R216))))</f>
        <v/>
      </c>
      <c r="T216" s="6" t="str">
        <f t="shared" si="57"/>
        <v/>
      </c>
      <c r="V216" s="6" t="str" cm="1">
        <f t="array" ref="V216">_xlfn.IFS(B216="","",AND(B216&lt;&gt;"",H216=SF_Output!$Y$2,SUMIFS(SF_Output!$T$1:$T$400,SF_Output!$AC$1:$AC$400,_xlfn.TEXTJOIN(",",TRUE,B216:E216),SF_Output!$Q$1:$Q$400,"monthly")=0),(SUMIFS(SF_Output!$F$1:$F$400,SF_Output!$AC$1:$AC$400,_xlfn.TEXTJOIN(",",TRUE,B216:E216),SF_Output!$Q$1:$Q$400,"monthly")+SUMIFS(SF_Output!$G$1:$G$400,SF_Output!$AC$1:$AC$400,_xlfn.TEXTJOIN(",",TRUE,B216:E216),SF_Output!$Q$1:$Q$400,"monthly"))*H216,AND(B216&lt;&gt;"",H216=SF_Output!$Y$2,SUMIFS(SF_Output!$T$1:$T$400,SF_Output!$AC$1:$AC$400,_xlfn.TEXTJOIN(",",TRUE,B216:E216),SF_Output!$Q$1:$Q$400,"monthly")&lt;&gt;0),SUMIFS(SF_Output!$S$1:$S$400,SF_Output!$AC$1:$AC$400,_xlfn.TEXTJOIN(",",TRUE,B216:E216),SF_Output!$Q$1:$Q$400,"monthly"),AND(B216&lt;&gt;"",H216&lt;&gt;SF_Output!$Y$2),SUMIFS(SF_Output!$S$1:$S$400,SF_Output!$AC$1:$AC$400,_xlfn.TEXTJOIN(",",TRUE,B216:E216),SF_Output!$Q$1:$Q$400,"monthly"))</f>
        <v/>
      </c>
      <c r="W216" s="112" t="str" cm="1">
        <f t="array" ref="W216">_xlfn.IFS(OR(B216=0,B216="",V216=0),"",AF216&lt;&gt;"exclusion",MAX($W$9,$W$7,(-(SUMIFS(SF_Output!$T$1:$T$400,SF_Output!$AC$1:$AC$400,_xlfn.TEXTJOIN(",",TRUE,$B216:$E216),SF_Output!$Q$1:$Q$400,"monthly"))/V216)),AF216="exclusion",-(SUMIFS(SF_Output!$T$1:$T$400,SF_Output!$AC$1:$AC$400,_xlfn.TEXTJOIN(",",TRUE,$B216:$E216),SF_Output!$Q$1:$Q$400,"monthly"))/V216)</f>
        <v/>
      </c>
      <c r="X216" s="6" t="str" cm="1">
        <f t="array" ref="X216">IFERROR(_xlfn.IFS(V216=0,0,V216="","",W216=0,V216,OR(V216&lt;&gt;0,V216&lt;&gt;""),H216*I216),V216*(1-W216))</f>
        <v/>
      </c>
      <c r="Z216" s="6" t="str">
        <f>IFERROR(IF(B216="","",SUMIFS(Billing_Fallout!H:H,Billing_Fallout!N:N,B216)),0)</f>
        <v/>
      </c>
      <c r="AA216" s="6" t="str">
        <f t="shared" si="58"/>
        <v/>
      </c>
      <c r="AB216" s="6" t="str">
        <f>IFERROR(IF(B216="","",SUMIFS(Billing_Fallout!J:J,Billing_Fallout!N:N,B216)),0)</f>
        <v/>
      </c>
      <c r="AD216" s="6" t="str">
        <f t="shared" si="59"/>
        <v/>
      </c>
      <c r="AF216" t="str">
        <f>IFERROR(INDEX(H_Tables!$B$1:$B$1500,MATCH(INDEX(SF_Output!$J$1:$J$400,MATCH(B216,SF_Output!$M$1:$M$400,0)),H_Tables!$A$1:$A$1500,0)),"")</f>
        <v/>
      </c>
      <c r="AI216" s="119" t="str">
        <f t="shared" si="60"/>
        <v/>
      </c>
      <c r="AJ216" s="121">
        <f>IFERROR(INDEX(SF_Output!AD:AD,MATCH(_xlfn.TEXTJOIN(",",TRUE,B216:E216),SF_Output!AC1:AC400,0)),0.05)</f>
        <v>241</v>
      </c>
      <c r="AK216" t="str">
        <f>IF(SUMIFS(SF_Output!$F$1:$F$400,SF_Output!$AC$1:$AC$400,_xlfn.TEXTJOIN(",",TRUE,B216:E216))+SUMIFS(SF_Output!$G$1:$G$400,SF_Output!$AC$1:$AC$400,_xlfn.TEXTJOIN(",",TRUE,B216:E216))=0,"","PAP")</f>
        <v/>
      </c>
      <c r="AL216" s="35" t="str">
        <f t="shared" si="61"/>
        <v/>
      </c>
      <c r="AQ216" s="35"/>
      <c r="AR216" s="35" t="str" cm="1">
        <f t="array" ref="AR216">IFERROR(_xlfn.IFS(AND(E216*1=1,F216="Included"),"Change to Included",AND(E216*1=0,F216="Optional"),"Change to Optional",OR(B216="",F216="replaced"),""),"")</f>
        <v/>
      </c>
      <c r="AS216" s="35" t="str">
        <f t="shared" si="62"/>
        <v/>
      </c>
      <c r="AT216" s="35" t="str">
        <f t="shared" si="63"/>
        <v/>
      </c>
      <c r="AU216" s="35" t="str">
        <f t="shared" si="64"/>
        <v/>
      </c>
      <c r="AV216" s="35" t="str">
        <f t="shared" si="65"/>
        <v/>
      </c>
      <c r="AW216" s="35" t="str">
        <f t="shared" si="66"/>
        <v/>
      </c>
      <c r="AX216" s="35" t="str">
        <f t="shared" si="67"/>
        <v/>
      </c>
      <c r="AY216" s="35" t="str">
        <f t="shared" si="68"/>
        <v/>
      </c>
      <c r="AZ216" s="35" t="str">
        <f t="shared" si="69"/>
        <v/>
      </c>
      <c r="BA216" s="35" t="str">
        <f t="shared" si="70"/>
        <v/>
      </c>
      <c r="BB216" s="35" t="str">
        <f t="shared" si="71"/>
        <v/>
      </c>
      <c r="BC216" s="35"/>
      <c r="BE216" s="35" t="e">
        <f>INDEX(SF_Output!$AA$2:$AA$400,MATCH($B216,SF_Output!$M$2:$M$400,0))</f>
        <v>#N/A</v>
      </c>
      <c r="BF216" s="35" t="e">
        <f>INDEX(SF_Output!$AB$2:$AB$400,MATCH($B216,SF_Output!$M$2:$M$400,0))</f>
        <v>#N/A</v>
      </c>
    </row>
    <row r="217" spans="6:58" x14ac:dyDescent="0.25">
      <c r="F217" s="116" t="str">
        <f t="shared" si="54"/>
        <v/>
      </c>
      <c r="G217" t="str">
        <f>IF(B217="","",INDEX(SF_Output!$K$1:$K$400,MATCH(B217,SF_Output!$M$1:$M$400,0)))</f>
        <v/>
      </c>
      <c r="H217" t="str" cm="1">
        <f t="array" ref="H217">_xlfn.IFS(B217="","",(SUMIFS(SF_Output!$F$1:$F$400,SF_Output!$AC$1:$AC$400,_xlfn.TEXTJOIN(",",TRUE,B217:E217))+SUMIFS(SF_Output!$G$1:$G$400,SF_Output!$AC$1:$AC$400,_xlfn.TEXTJOIN(",",TRUE,B217:E217)))&lt;&gt;0,SF_Output!$Y$2,INDEX(SF_Output!$F$1:$F$400,MATCH(_xlfn.TEXTJOIN(",",TRUE,B217:E217),SF_Output!$AC$1:$AC$400,0))=0,INDEX(SF_Output!$R$1:$R$400,MATCH(_xlfn.TEXTJOIN(",",TRUE,B217:E217),SF_Output!$AC$1:$AC$400,0)))</f>
        <v/>
      </c>
      <c r="I217" s="125" t="str">
        <f>IFERROR(IF(AND(H217&gt;1,H217&lt;&gt;""),ROUND(SUMIFS(SF_Output!$S$1:$S$400,SF_Output!$AC$1:$AC$400,_xlfn.TEXTJOIN(",",TRUE,B217:E217),SF_Output!$Q$1:$Q$400,"monthly")*(1-W217)/H217,4),""),"")</f>
        <v/>
      </c>
      <c r="J217" s="6" t="str">
        <f>IF(B217="","",SUMIFS(SF_Output!$S$1:$S$400,SF_Output!$AC$1:$AC$400,_xlfn.TEXTJOIN(",",TRUE,B217:E217),SF_Output!$Q$1:$Q$400,"One Time",SF_Output!$L$1:$L$400,"license fee")+SUMIFS(SF_Output!$S$1:$S$400,SF_Output!$AC$1:$AC$400,_xlfn.TEXTJOIN(",",TRUE,B217:E217),SF_Output!$Q$1:$Q$400,"One Time",SF_Output!$L$1:$L$400,"software license")+SUMIFS(SF_Output!$S$1:$S$400,SF_Output!$AC$1:$AC$400,_xlfn.TEXTJOIN(",",TRUE,B217:E217),SF_Output!$Q$1:$Q$400,"One Time",SF_Output!$L$1:$L$400,"hardware"))</f>
        <v/>
      </c>
      <c r="K217" s="112" t="str">
        <f>IF(OR(B217=0,B217="",G217="hardware",J217=0),"",IF(AF217&lt;&gt;"exclusion",MAX(K$9,-((SUMIFS(SF_Output!$T$1:$T$400,SF_Output!$AC$1:$AC$400,_xlfn.TEXTJOIN(",",TRUE,$B217:$E217),SF_Output!$Q$1:$Q$400,"One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license"))/J217)))</f>
        <v/>
      </c>
      <c r="L217" s="6" t="str">
        <f t="shared" si="55"/>
        <v/>
      </c>
      <c r="N217" s="6" t="str">
        <f>IF(B217="","",SUMIFS(SF_Output!$S$1:$S$400,SF_Output!$AC$1:$AC$400,_xlfn.TEXTJOIN(",",TRUE,B217:E217),SF_Output!$Q$1:$Q$400,"One Time",SF_Output!$L$1:$L$400,"professional service"))</f>
        <v/>
      </c>
      <c r="O217" s="112" t="str">
        <f>IF(OR(B217=0,B217="",N217=0),"",IF(AF217&lt;&gt;"exclusion",MAX(O$9,-(SUMIFS(SF_Output!$T$1:$T$400,SF_Output!$AC$1:$AC$400,_xlfn.TEXTJOIN(",",TRUE,$B217:$E217),SF_Output!$Q$1:$Q$400,"One Time",SF_Output!$L$1:$L$400,"professional service"))/N217),-((SUMIFS(SF_Output!$T$1:$T$400,SF_Output!$AC$1:$AC$400,_xlfn.TEXTJOIN(",",TRUE,$B217:$E217),SF_Output!$Q$1:$Q$400,"One Time",SF_Output!$L$1:$L$400,"professional service")/N217))))</f>
        <v/>
      </c>
      <c r="P217" s="6" t="str">
        <f t="shared" si="56"/>
        <v/>
      </c>
      <c r="R217" s="6" t="str">
        <f>IF(B217="","",SUMIFS(SF_Output!$S$1:$S$400,SF_Output!$AC$1:$AC$400,_xlfn.TEXTJOIN(",",TRUE,B217:E217),SF_Output!$Q$1:$Q$400,"yearly")+SUMIFS(SF_Output!$S$1:$S$400,SF_Output!$AC$1:$AC$400,_xlfn.TEXTJOIN(",",TRUE,B217:E217),SF_Output!$Q$1:$Q$400,"quarterly")*4)</f>
        <v/>
      </c>
      <c r="S217" s="112" t="str">
        <f>IF(OR(B217=0,B217="",G217="hardware",R217=0),"",IF(AF217&lt;&gt;"exclusion",MAX(S$9,-(SUMIFS(SF_Output!$T$1:$T$400,SF_Output!$AC$1:$AC$400,_xlfn.TEXTJOIN(",",TRUE,$B217:$E217),SF_Output!$Q$1:$Q$400,"yearly"))/R217),-((SUMIFS(SF_Output!$T$1:$T$400,SF_Output!$AC$1:$AC$400,_xlfn.TEXTJOIN(",",TRUE,$B217:$E217),SF_Output!$Q$1:$Q$400,"yearly")/R217))))</f>
        <v/>
      </c>
      <c r="T217" s="6" t="str">
        <f t="shared" si="57"/>
        <v/>
      </c>
      <c r="V217" s="6" t="str" cm="1">
        <f t="array" ref="V217">_xlfn.IFS(B217="","",AND(B217&lt;&gt;"",H217=SF_Output!$Y$2,SUMIFS(SF_Output!$T$1:$T$400,SF_Output!$AC$1:$AC$400,_xlfn.TEXTJOIN(",",TRUE,B217:E217),SF_Output!$Q$1:$Q$400,"monthly")=0),(SUMIFS(SF_Output!$F$1:$F$400,SF_Output!$AC$1:$AC$400,_xlfn.TEXTJOIN(",",TRUE,B217:E217),SF_Output!$Q$1:$Q$400,"monthly")+SUMIFS(SF_Output!$G$1:$G$400,SF_Output!$AC$1:$AC$400,_xlfn.TEXTJOIN(",",TRUE,B217:E217),SF_Output!$Q$1:$Q$400,"monthly"))*H217,AND(B217&lt;&gt;"",H217=SF_Output!$Y$2,SUMIFS(SF_Output!$T$1:$T$400,SF_Output!$AC$1:$AC$400,_xlfn.TEXTJOIN(",",TRUE,B217:E217),SF_Output!$Q$1:$Q$400,"monthly")&lt;&gt;0),SUMIFS(SF_Output!$S$1:$S$400,SF_Output!$AC$1:$AC$400,_xlfn.TEXTJOIN(",",TRUE,B217:E217),SF_Output!$Q$1:$Q$400,"monthly"),AND(B217&lt;&gt;"",H217&lt;&gt;SF_Output!$Y$2),SUMIFS(SF_Output!$S$1:$S$400,SF_Output!$AC$1:$AC$400,_xlfn.TEXTJOIN(",",TRUE,B217:E217),SF_Output!$Q$1:$Q$400,"monthly"))</f>
        <v/>
      </c>
      <c r="W217" s="112" t="str" cm="1">
        <f t="array" ref="W217">_xlfn.IFS(OR(B217=0,B217="",V217=0),"",AF217&lt;&gt;"exclusion",MAX($W$9,$W$7,(-(SUMIFS(SF_Output!$T$1:$T$400,SF_Output!$AC$1:$AC$400,_xlfn.TEXTJOIN(",",TRUE,$B217:$E217),SF_Output!$Q$1:$Q$400,"monthly"))/V217)),AF217="exclusion",-(SUMIFS(SF_Output!$T$1:$T$400,SF_Output!$AC$1:$AC$400,_xlfn.TEXTJOIN(",",TRUE,$B217:$E217),SF_Output!$Q$1:$Q$400,"monthly"))/V217)</f>
        <v/>
      </c>
      <c r="X217" s="6" t="str" cm="1">
        <f t="array" ref="X217">IFERROR(_xlfn.IFS(V217=0,0,V217="","",W217=0,V217,OR(V217&lt;&gt;0,V217&lt;&gt;""),H217*I217),V217*(1-W217))</f>
        <v/>
      </c>
      <c r="Z217" s="6" t="str">
        <f>IFERROR(IF(B217="","",SUMIFS(Billing_Fallout!H:H,Billing_Fallout!N:N,B217)),0)</f>
        <v/>
      </c>
      <c r="AA217" s="6" t="str">
        <f t="shared" si="58"/>
        <v/>
      </c>
      <c r="AB217" s="6" t="str">
        <f>IFERROR(IF(B217="","",SUMIFS(Billing_Fallout!J:J,Billing_Fallout!N:N,B217)),0)</f>
        <v/>
      </c>
      <c r="AD217" s="6" t="str">
        <f t="shared" si="59"/>
        <v/>
      </c>
      <c r="AF217" t="str">
        <f>IFERROR(INDEX(H_Tables!$B$1:$B$1500,MATCH(INDEX(SF_Output!$J$1:$J$400,MATCH(B217,SF_Output!$M$1:$M$400,0)),H_Tables!$A$1:$A$1500,0)),"")</f>
        <v/>
      </c>
      <c r="AI217" s="119" t="str">
        <f t="shared" si="60"/>
        <v/>
      </c>
      <c r="AJ217" s="121">
        <f>IFERROR(INDEX(SF_Output!AD:AD,MATCH(_xlfn.TEXTJOIN(",",TRUE,B217:E217),SF_Output!AC1:AC400,0)),0.05)</f>
        <v>241</v>
      </c>
      <c r="AK217" t="str">
        <f>IF(SUMIFS(SF_Output!$F$1:$F$400,SF_Output!$AC$1:$AC$400,_xlfn.TEXTJOIN(",",TRUE,B217:E217))+SUMIFS(SF_Output!$G$1:$G$400,SF_Output!$AC$1:$AC$400,_xlfn.TEXTJOIN(",",TRUE,B217:E217))=0,"","PAP")</f>
        <v/>
      </c>
      <c r="AL217" s="35" t="str">
        <f t="shared" si="61"/>
        <v/>
      </c>
      <c r="AQ217" s="35"/>
      <c r="AR217" s="35" t="str" cm="1">
        <f t="array" ref="AR217">IFERROR(_xlfn.IFS(AND(E217*1=1,F217="Included"),"Change to Included",AND(E217*1=0,F217="Optional"),"Change to Optional",OR(B217="",F217="replaced"),""),"")</f>
        <v/>
      </c>
      <c r="AS217" s="35" t="str">
        <f t="shared" si="62"/>
        <v/>
      </c>
      <c r="AT217" s="35" t="str">
        <f t="shared" si="63"/>
        <v/>
      </c>
      <c r="AU217" s="35" t="str">
        <f t="shared" si="64"/>
        <v/>
      </c>
      <c r="AV217" s="35" t="str">
        <f t="shared" si="65"/>
        <v/>
      </c>
      <c r="AW217" s="35" t="str">
        <f t="shared" si="66"/>
        <v/>
      </c>
      <c r="AX217" s="35" t="str">
        <f t="shared" si="67"/>
        <v/>
      </c>
      <c r="AY217" s="35" t="str">
        <f t="shared" si="68"/>
        <v/>
      </c>
      <c r="AZ217" s="35" t="str">
        <f t="shared" si="69"/>
        <v/>
      </c>
      <c r="BA217" s="35" t="str">
        <f t="shared" si="70"/>
        <v/>
      </c>
      <c r="BB217" s="35" t="str">
        <f t="shared" si="71"/>
        <v/>
      </c>
      <c r="BC217" s="35"/>
      <c r="BE217" s="35" t="e">
        <f>INDEX(SF_Output!$AA$2:$AA$400,MATCH($B217,SF_Output!$M$2:$M$400,0))</f>
        <v>#N/A</v>
      </c>
      <c r="BF217" s="35" t="e">
        <f>INDEX(SF_Output!$AB$2:$AB$400,MATCH($B217,SF_Output!$M$2:$M$400,0))</f>
        <v>#N/A</v>
      </c>
    </row>
    <row r="218" spans="6:58" x14ac:dyDescent="0.25">
      <c r="F218" s="116" t="str">
        <f t="shared" si="54"/>
        <v/>
      </c>
      <c r="G218" t="str">
        <f>IF(B218="","",INDEX(SF_Output!$K$1:$K$400,MATCH(B218,SF_Output!$M$1:$M$400,0)))</f>
        <v/>
      </c>
      <c r="H218" t="str" cm="1">
        <f t="array" ref="H218">_xlfn.IFS(B218="","",(SUMIFS(SF_Output!$F$1:$F$400,SF_Output!$AC$1:$AC$400,_xlfn.TEXTJOIN(",",TRUE,B218:E218))+SUMIFS(SF_Output!$G$1:$G$400,SF_Output!$AC$1:$AC$400,_xlfn.TEXTJOIN(",",TRUE,B218:E218)))&lt;&gt;0,SF_Output!$Y$2,INDEX(SF_Output!$F$1:$F$400,MATCH(_xlfn.TEXTJOIN(",",TRUE,B218:E218),SF_Output!$AC$1:$AC$400,0))=0,INDEX(SF_Output!$R$1:$R$400,MATCH(_xlfn.TEXTJOIN(",",TRUE,B218:E218),SF_Output!$AC$1:$AC$400,0)))</f>
        <v/>
      </c>
      <c r="I218" s="125" t="str">
        <f>IFERROR(IF(AND(H218&gt;1,H218&lt;&gt;""),ROUND(SUMIFS(SF_Output!$S$1:$S$400,SF_Output!$AC$1:$AC$400,_xlfn.TEXTJOIN(",",TRUE,B218:E218),SF_Output!$Q$1:$Q$400,"monthly")*(1-W218)/H218,4),""),"")</f>
        <v/>
      </c>
      <c r="J218" s="6" t="str">
        <f>IF(B218="","",SUMIFS(SF_Output!$S$1:$S$400,SF_Output!$AC$1:$AC$400,_xlfn.TEXTJOIN(",",TRUE,B218:E218),SF_Output!$Q$1:$Q$400,"One Time",SF_Output!$L$1:$L$400,"license fee")+SUMIFS(SF_Output!$S$1:$S$400,SF_Output!$AC$1:$AC$400,_xlfn.TEXTJOIN(",",TRUE,B218:E218),SF_Output!$Q$1:$Q$400,"One Time",SF_Output!$L$1:$L$400,"software license")+SUMIFS(SF_Output!$S$1:$S$400,SF_Output!$AC$1:$AC$400,_xlfn.TEXTJOIN(",",TRUE,B218:E218),SF_Output!$Q$1:$Q$400,"One Time",SF_Output!$L$1:$L$400,"hardware"))</f>
        <v/>
      </c>
      <c r="K218" s="112" t="str">
        <f>IF(OR(B218=0,B218="",G218="hardware",J218=0),"",IF(AF218&lt;&gt;"exclusion",MAX(K$9,-((SUMIFS(SF_Output!$T$1:$T$400,SF_Output!$AC$1:$AC$400,_xlfn.TEXTJOIN(",",TRUE,$B218:$E218),SF_Output!$Q$1:$Q$400,"One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license"))/J218)))</f>
        <v/>
      </c>
      <c r="L218" s="6" t="str">
        <f t="shared" si="55"/>
        <v/>
      </c>
      <c r="N218" s="6" t="str">
        <f>IF(B218="","",SUMIFS(SF_Output!$S$1:$S$400,SF_Output!$AC$1:$AC$400,_xlfn.TEXTJOIN(",",TRUE,B218:E218),SF_Output!$Q$1:$Q$400,"One Time",SF_Output!$L$1:$L$400,"professional service"))</f>
        <v/>
      </c>
      <c r="O218" s="112" t="str">
        <f>IF(OR(B218=0,B218="",N218=0),"",IF(AF218&lt;&gt;"exclusion",MAX(O$9,-(SUMIFS(SF_Output!$T$1:$T$400,SF_Output!$AC$1:$AC$400,_xlfn.TEXTJOIN(",",TRUE,$B218:$E218),SF_Output!$Q$1:$Q$400,"One Time",SF_Output!$L$1:$L$400,"professional service"))/N218),-((SUMIFS(SF_Output!$T$1:$T$400,SF_Output!$AC$1:$AC$400,_xlfn.TEXTJOIN(",",TRUE,$B218:$E218),SF_Output!$Q$1:$Q$400,"One Time",SF_Output!$L$1:$L$400,"professional service")/N218))))</f>
        <v/>
      </c>
      <c r="P218" s="6" t="str">
        <f t="shared" si="56"/>
        <v/>
      </c>
      <c r="R218" s="6" t="str">
        <f>IF(B218="","",SUMIFS(SF_Output!$S$1:$S$400,SF_Output!$AC$1:$AC$400,_xlfn.TEXTJOIN(",",TRUE,B218:E218),SF_Output!$Q$1:$Q$400,"yearly")+SUMIFS(SF_Output!$S$1:$S$400,SF_Output!$AC$1:$AC$400,_xlfn.TEXTJOIN(",",TRUE,B218:E218),SF_Output!$Q$1:$Q$400,"quarterly")*4)</f>
        <v/>
      </c>
      <c r="S218" s="112" t="str">
        <f>IF(OR(B218=0,B218="",G218="hardware",R218=0),"",IF(AF218&lt;&gt;"exclusion",MAX(S$9,-(SUMIFS(SF_Output!$T$1:$T$400,SF_Output!$AC$1:$AC$400,_xlfn.TEXTJOIN(",",TRUE,$B218:$E218),SF_Output!$Q$1:$Q$400,"yearly"))/R218),-((SUMIFS(SF_Output!$T$1:$T$400,SF_Output!$AC$1:$AC$400,_xlfn.TEXTJOIN(",",TRUE,$B218:$E218),SF_Output!$Q$1:$Q$400,"yearly")/R218))))</f>
        <v/>
      </c>
      <c r="T218" s="6" t="str">
        <f t="shared" si="57"/>
        <v/>
      </c>
      <c r="V218" s="6" t="str" cm="1">
        <f t="array" ref="V218">_xlfn.IFS(B218="","",AND(B218&lt;&gt;"",H218=SF_Output!$Y$2,SUMIFS(SF_Output!$T$1:$T$400,SF_Output!$AC$1:$AC$400,_xlfn.TEXTJOIN(",",TRUE,B218:E218),SF_Output!$Q$1:$Q$400,"monthly")=0),(SUMIFS(SF_Output!$F$1:$F$400,SF_Output!$AC$1:$AC$400,_xlfn.TEXTJOIN(",",TRUE,B218:E218),SF_Output!$Q$1:$Q$400,"monthly")+SUMIFS(SF_Output!$G$1:$G$400,SF_Output!$AC$1:$AC$400,_xlfn.TEXTJOIN(",",TRUE,B218:E218),SF_Output!$Q$1:$Q$400,"monthly"))*H218,AND(B218&lt;&gt;"",H218=SF_Output!$Y$2,SUMIFS(SF_Output!$T$1:$T$400,SF_Output!$AC$1:$AC$400,_xlfn.TEXTJOIN(",",TRUE,B218:E218),SF_Output!$Q$1:$Q$400,"monthly")&lt;&gt;0),SUMIFS(SF_Output!$S$1:$S$400,SF_Output!$AC$1:$AC$400,_xlfn.TEXTJOIN(",",TRUE,B218:E218),SF_Output!$Q$1:$Q$400,"monthly"),AND(B218&lt;&gt;"",H218&lt;&gt;SF_Output!$Y$2),SUMIFS(SF_Output!$S$1:$S$400,SF_Output!$AC$1:$AC$400,_xlfn.TEXTJOIN(",",TRUE,B218:E218),SF_Output!$Q$1:$Q$400,"monthly"))</f>
        <v/>
      </c>
      <c r="W218" s="112" t="str" cm="1">
        <f t="array" ref="W218">_xlfn.IFS(OR(B218=0,B218="",V218=0),"",AF218&lt;&gt;"exclusion",MAX($W$9,$W$7,(-(SUMIFS(SF_Output!$T$1:$T$400,SF_Output!$AC$1:$AC$400,_xlfn.TEXTJOIN(",",TRUE,$B218:$E218),SF_Output!$Q$1:$Q$400,"monthly"))/V218)),AF218="exclusion",-(SUMIFS(SF_Output!$T$1:$T$400,SF_Output!$AC$1:$AC$400,_xlfn.TEXTJOIN(",",TRUE,$B218:$E218),SF_Output!$Q$1:$Q$400,"monthly"))/V218)</f>
        <v/>
      </c>
      <c r="X218" s="6" t="str" cm="1">
        <f t="array" ref="X218">IFERROR(_xlfn.IFS(V218=0,0,V218="","",W218=0,V218,OR(V218&lt;&gt;0,V218&lt;&gt;""),H218*I218),V218*(1-W218))</f>
        <v/>
      </c>
      <c r="Z218" s="6" t="str">
        <f>IFERROR(IF(B218="","",SUMIFS(Billing_Fallout!H:H,Billing_Fallout!N:N,B218)),0)</f>
        <v/>
      </c>
      <c r="AA218" s="6" t="str">
        <f t="shared" si="58"/>
        <v/>
      </c>
      <c r="AB218" s="6" t="str">
        <f>IFERROR(IF(B218="","",SUMIFS(Billing_Fallout!J:J,Billing_Fallout!N:N,B218)),0)</f>
        <v/>
      </c>
      <c r="AD218" s="6" t="str">
        <f t="shared" si="59"/>
        <v/>
      </c>
      <c r="AF218" t="str">
        <f>IFERROR(INDEX(H_Tables!$B$1:$B$1500,MATCH(INDEX(SF_Output!$J$1:$J$400,MATCH(B218,SF_Output!$M$1:$M$400,0)),H_Tables!$A$1:$A$1500,0)),"")</f>
        <v/>
      </c>
      <c r="AI218" s="119" t="str">
        <f t="shared" si="60"/>
        <v/>
      </c>
      <c r="AJ218" s="121">
        <f>IFERROR(INDEX(SF_Output!AD:AD,MATCH(_xlfn.TEXTJOIN(",",TRUE,B218:E218),SF_Output!AC1:AC400,0)),0.05)</f>
        <v>241</v>
      </c>
      <c r="AK218" t="str">
        <f>IF(SUMIFS(SF_Output!$F$1:$F$400,SF_Output!$AC$1:$AC$400,_xlfn.TEXTJOIN(",",TRUE,B218:E218))+SUMIFS(SF_Output!$G$1:$G$400,SF_Output!$AC$1:$AC$400,_xlfn.TEXTJOIN(",",TRUE,B218:E218))=0,"","PAP")</f>
        <v/>
      </c>
      <c r="AL218" s="35" t="str">
        <f t="shared" si="61"/>
        <v/>
      </c>
      <c r="AQ218" s="35"/>
      <c r="AR218" s="35" t="str" cm="1">
        <f t="array" ref="AR218">IFERROR(_xlfn.IFS(AND(E218*1=1,F218="Included"),"Change to Included",AND(E218*1=0,F218="Optional"),"Change to Optional",OR(B218="",F218="replaced"),""),"")</f>
        <v/>
      </c>
      <c r="AS218" s="35" t="str">
        <f t="shared" si="62"/>
        <v/>
      </c>
      <c r="AT218" s="35" t="str">
        <f t="shared" si="63"/>
        <v/>
      </c>
      <c r="AU218" s="35" t="str">
        <f t="shared" si="64"/>
        <v/>
      </c>
      <c r="AV218" s="35" t="str">
        <f t="shared" si="65"/>
        <v/>
      </c>
      <c r="AW218" s="35" t="str">
        <f t="shared" si="66"/>
        <v/>
      </c>
      <c r="AX218" s="35" t="str">
        <f t="shared" si="67"/>
        <v/>
      </c>
      <c r="AY218" s="35" t="str">
        <f t="shared" si="68"/>
        <v/>
      </c>
      <c r="AZ218" s="35" t="str">
        <f t="shared" si="69"/>
        <v/>
      </c>
      <c r="BA218" s="35" t="str">
        <f t="shared" si="70"/>
        <v/>
      </c>
      <c r="BB218" s="35" t="str">
        <f t="shared" si="71"/>
        <v/>
      </c>
      <c r="BC218" s="35"/>
      <c r="BE218" s="35" t="e">
        <f>INDEX(SF_Output!$AA$2:$AA$400,MATCH($B218,SF_Output!$M$2:$M$400,0))</f>
        <v>#N/A</v>
      </c>
      <c r="BF218" s="35" t="e">
        <f>INDEX(SF_Output!$AB$2:$AB$400,MATCH($B218,SF_Output!$M$2:$M$400,0))</f>
        <v>#N/A</v>
      </c>
    </row>
    <row r="219" spans="6:58" x14ac:dyDescent="0.25">
      <c r="F219" s="116" t="str">
        <f t="shared" si="54"/>
        <v/>
      </c>
      <c r="G219" t="str">
        <f>IF(B219="","",INDEX(SF_Output!$K$1:$K$400,MATCH(B219,SF_Output!$M$1:$M$400,0)))</f>
        <v/>
      </c>
      <c r="H219" t="str" cm="1">
        <f t="array" ref="H219">_xlfn.IFS(B219="","",(SUMIFS(SF_Output!$F$1:$F$400,SF_Output!$AC$1:$AC$400,_xlfn.TEXTJOIN(",",TRUE,B219:E219))+SUMIFS(SF_Output!$G$1:$G$400,SF_Output!$AC$1:$AC$400,_xlfn.TEXTJOIN(",",TRUE,B219:E219)))&lt;&gt;0,SF_Output!$Y$2,INDEX(SF_Output!$F$1:$F$400,MATCH(_xlfn.TEXTJOIN(",",TRUE,B219:E219),SF_Output!$AC$1:$AC$400,0))=0,INDEX(SF_Output!$R$1:$R$400,MATCH(_xlfn.TEXTJOIN(",",TRUE,B219:E219),SF_Output!$AC$1:$AC$400,0)))</f>
        <v/>
      </c>
      <c r="I219" s="125" t="str">
        <f>IFERROR(IF(AND(H219&gt;1,H219&lt;&gt;""),ROUND(SUMIFS(SF_Output!$S$1:$S$400,SF_Output!$AC$1:$AC$400,_xlfn.TEXTJOIN(",",TRUE,B219:E219),SF_Output!$Q$1:$Q$400,"monthly")*(1-W219)/H219,4),""),"")</f>
        <v/>
      </c>
      <c r="J219" s="6" t="str">
        <f>IF(B219="","",SUMIFS(SF_Output!$S$1:$S$400,SF_Output!$AC$1:$AC$400,_xlfn.TEXTJOIN(",",TRUE,B219:E219),SF_Output!$Q$1:$Q$400,"One Time",SF_Output!$L$1:$L$400,"license fee")+SUMIFS(SF_Output!$S$1:$S$400,SF_Output!$AC$1:$AC$400,_xlfn.TEXTJOIN(",",TRUE,B219:E219),SF_Output!$Q$1:$Q$400,"One Time",SF_Output!$L$1:$L$400,"software license")+SUMIFS(SF_Output!$S$1:$S$400,SF_Output!$AC$1:$AC$400,_xlfn.TEXTJOIN(",",TRUE,B219:E219),SF_Output!$Q$1:$Q$400,"One Time",SF_Output!$L$1:$L$400,"hardware"))</f>
        <v/>
      </c>
      <c r="K219" s="112" t="str">
        <f>IF(OR(B219=0,B219="",G219="hardware",J219=0),"",IF(AF219&lt;&gt;"exclusion",MAX(K$9,-((SUMIFS(SF_Output!$T$1:$T$400,SF_Output!$AC$1:$AC$400,_xlfn.TEXTJOIN(",",TRUE,$B219:$E219),SF_Output!$Q$1:$Q$400,"One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license"))/J219)))</f>
        <v/>
      </c>
      <c r="L219" s="6" t="str">
        <f t="shared" si="55"/>
        <v/>
      </c>
      <c r="N219" s="6" t="str">
        <f>IF(B219="","",SUMIFS(SF_Output!$S$1:$S$400,SF_Output!$AC$1:$AC$400,_xlfn.TEXTJOIN(",",TRUE,B219:E219),SF_Output!$Q$1:$Q$400,"One Time",SF_Output!$L$1:$L$400,"professional service"))</f>
        <v/>
      </c>
      <c r="O219" s="112" t="str">
        <f>IF(OR(B219=0,B219="",N219=0),"",IF(AF219&lt;&gt;"exclusion",MAX(O$9,-(SUMIFS(SF_Output!$T$1:$T$400,SF_Output!$AC$1:$AC$400,_xlfn.TEXTJOIN(",",TRUE,$B219:$E219),SF_Output!$Q$1:$Q$400,"One Time",SF_Output!$L$1:$L$400,"professional service"))/N219),-((SUMIFS(SF_Output!$T$1:$T$400,SF_Output!$AC$1:$AC$400,_xlfn.TEXTJOIN(",",TRUE,$B219:$E219),SF_Output!$Q$1:$Q$400,"One Time",SF_Output!$L$1:$L$400,"professional service")/N219))))</f>
        <v/>
      </c>
      <c r="P219" s="6" t="str">
        <f t="shared" si="56"/>
        <v/>
      </c>
      <c r="R219" s="6" t="str">
        <f>IF(B219="","",SUMIFS(SF_Output!$S$1:$S$400,SF_Output!$AC$1:$AC$400,_xlfn.TEXTJOIN(",",TRUE,B219:E219),SF_Output!$Q$1:$Q$400,"yearly")+SUMIFS(SF_Output!$S$1:$S$400,SF_Output!$AC$1:$AC$400,_xlfn.TEXTJOIN(",",TRUE,B219:E219),SF_Output!$Q$1:$Q$400,"quarterly")*4)</f>
        <v/>
      </c>
      <c r="S219" s="112" t="str">
        <f>IF(OR(B219=0,B219="",G219="hardware",R219=0),"",IF(AF219&lt;&gt;"exclusion",MAX(S$9,-(SUMIFS(SF_Output!$T$1:$T$400,SF_Output!$AC$1:$AC$400,_xlfn.TEXTJOIN(",",TRUE,$B219:$E219),SF_Output!$Q$1:$Q$400,"yearly"))/R219),-((SUMIFS(SF_Output!$T$1:$T$400,SF_Output!$AC$1:$AC$400,_xlfn.TEXTJOIN(",",TRUE,$B219:$E219),SF_Output!$Q$1:$Q$400,"yearly")/R219))))</f>
        <v/>
      </c>
      <c r="T219" s="6" t="str">
        <f t="shared" si="57"/>
        <v/>
      </c>
      <c r="V219" s="6" t="str" cm="1">
        <f t="array" ref="V219">_xlfn.IFS(B219="","",AND(B219&lt;&gt;"",H219=SF_Output!$Y$2,SUMIFS(SF_Output!$T$1:$T$400,SF_Output!$AC$1:$AC$400,_xlfn.TEXTJOIN(",",TRUE,B219:E219),SF_Output!$Q$1:$Q$400,"monthly")=0),(SUMIFS(SF_Output!$F$1:$F$400,SF_Output!$AC$1:$AC$400,_xlfn.TEXTJOIN(",",TRUE,B219:E219),SF_Output!$Q$1:$Q$400,"monthly")+SUMIFS(SF_Output!$G$1:$G$400,SF_Output!$AC$1:$AC$400,_xlfn.TEXTJOIN(",",TRUE,B219:E219),SF_Output!$Q$1:$Q$400,"monthly"))*H219,AND(B219&lt;&gt;"",H219=SF_Output!$Y$2,SUMIFS(SF_Output!$T$1:$T$400,SF_Output!$AC$1:$AC$400,_xlfn.TEXTJOIN(",",TRUE,B219:E219),SF_Output!$Q$1:$Q$400,"monthly")&lt;&gt;0),SUMIFS(SF_Output!$S$1:$S$400,SF_Output!$AC$1:$AC$400,_xlfn.TEXTJOIN(",",TRUE,B219:E219),SF_Output!$Q$1:$Q$400,"monthly"),AND(B219&lt;&gt;"",H219&lt;&gt;SF_Output!$Y$2),SUMIFS(SF_Output!$S$1:$S$400,SF_Output!$AC$1:$AC$400,_xlfn.TEXTJOIN(",",TRUE,B219:E219),SF_Output!$Q$1:$Q$400,"monthly"))</f>
        <v/>
      </c>
      <c r="W219" s="112" t="str" cm="1">
        <f t="array" ref="W219">_xlfn.IFS(OR(B219=0,B219="",V219=0),"",AF219&lt;&gt;"exclusion",MAX($W$9,$W$7,(-(SUMIFS(SF_Output!$T$1:$T$400,SF_Output!$AC$1:$AC$400,_xlfn.TEXTJOIN(",",TRUE,$B219:$E219),SF_Output!$Q$1:$Q$400,"monthly"))/V219)),AF219="exclusion",-(SUMIFS(SF_Output!$T$1:$T$400,SF_Output!$AC$1:$AC$400,_xlfn.TEXTJOIN(",",TRUE,$B219:$E219),SF_Output!$Q$1:$Q$400,"monthly"))/V219)</f>
        <v/>
      </c>
      <c r="X219" s="6" t="str" cm="1">
        <f t="array" ref="X219">IFERROR(_xlfn.IFS(V219=0,0,V219="","",W219=0,V219,OR(V219&lt;&gt;0,V219&lt;&gt;""),H219*I219),V219*(1-W219))</f>
        <v/>
      </c>
      <c r="Z219" s="6" t="str">
        <f>IFERROR(IF(B219="","",SUMIFS(Billing_Fallout!H:H,Billing_Fallout!N:N,B219)),0)</f>
        <v/>
      </c>
      <c r="AA219" s="6" t="str">
        <f t="shared" si="58"/>
        <v/>
      </c>
      <c r="AB219" s="6" t="str">
        <f>IFERROR(IF(B219="","",SUMIFS(Billing_Fallout!J:J,Billing_Fallout!N:N,B219)),0)</f>
        <v/>
      </c>
      <c r="AD219" s="6" t="str">
        <f t="shared" si="59"/>
        <v/>
      </c>
      <c r="AF219" t="str">
        <f>IFERROR(INDEX(H_Tables!$B$1:$B$1500,MATCH(INDEX(SF_Output!$J$1:$J$400,MATCH(B219,SF_Output!$M$1:$M$400,0)),H_Tables!$A$1:$A$1500,0)),"")</f>
        <v/>
      </c>
      <c r="AI219" s="119" t="str">
        <f t="shared" si="60"/>
        <v/>
      </c>
      <c r="AJ219" s="121">
        <f>IFERROR(INDEX(SF_Output!AD:AD,MATCH(_xlfn.TEXTJOIN(",",TRUE,B219:E219),SF_Output!AC1:AC400,0)),0.05)</f>
        <v>241</v>
      </c>
      <c r="AK219" t="str">
        <f>IF(SUMIFS(SF_Output!$F$1:$F$400,SF_Output!$AC$1:$AC$400,_xlfn.TEXTJOIN(",",TRUE,B219:E219))+SUMIFS(SF_Output!$G$1:$G$400,SF_Output!$AC$1:$AC$400,_xlfn.TEXTJOIN(",",TRUE,B219:E219))=0,"","PAP")</f>
        <v/>
      </c>
      <c r="AL219" s="35" t="str">
        <f t="shared" si="61"/>
        <v/>
      </c>
      <c r="AQ219" s="35"/>
      <c r="AR219" s="35" t="str" cm="1">
        <f t="array" ref="AR219">IFERROR(_xlfn.IFS(AND(E219*1=1,F219="Included"),"Change to Included",AND(E219*1=0,F219="Optional"),"Change to Optional",OR(B219="",F219="replaced"),""),"")</f>
        <v/>
      </c>
      <c r="AS219" s="35" t="str">
        <f t="shared" si="62"/>
        <v/>
      </c>
      <c r="AT219" s="35" t="str">
        <f t="shared" si="63"/>
        <v/>
      </c>
      <c r="AU219" s="35" t="str">
        <f t="shared" si="64"/>
        <v/>
      </c>
      <c r="AV219" s="35" t="str">
        <f t="shared" si="65"/>
        <v/>
      </c>
      <c r="AW219" s="35" t="str">
        <f t="shared" si="66"/>
        <v/>
      </c>
      <c r="AX219" s="35" t="str">
        <f t="shared" si="67"/>
        <v/>
      </c>
      <c r="AY219" s="35" t="str">
        <f t="shared" si="68"/>
        <v/>
      </c>
      <c r="AZ219" s="35" t="str">
        <f t="shared" si="69"/>
        <v/>
      </c>
      <c r="BA219" s="35" t="str">
        <f t="shared" si="70"/>
        <v/>
      </c>
      <c r="BB219" s="35" t="str">
        <f t="shared" si="71"/>
        <v/>
      </c>
      <c r="BC219" s="35"/>
      <c r="BE219" s="35" t="e">
        <f>INDEX(SF_Output!$AA$2:$AA$400,MATCH($B219,SF_Output!$M$2:$M$400,0))</f>
        <v>#N/A</v>
      </c>
      <c r="BF219" s="35" t="e">
        <f>INDEX(SF_Output!$AB$2:$AB$400,MATCH($B219,SF_Output!$M$2:$M$400,0))</f>
        <v>#N/A</v>
      </c>
    </row>
    <row r="220" spans="6:58" x14ac:dyDescent="0.25">
      <c r="F220" s="116" t="str">
        <f t="shared" si="54"/>
        <v/>
      </c>
      <c r="G220" t="str">
        <f>IF(B220="","",INDEX(SF_Output!$K$1:$K$400,MATCH(B220,SF_Output!$M$1:$M$400,0)))</f>
        <v/>
      </c>
      <c r="H220" t="str" cm="1">
        <f t="array" ref="H220">_xlfn.IFS(B220="","",(SUMIFS(SF_Output!$F$1:$F$400,SF_Output!$AC$1:$AC$400,_xlfn.TEXTJOIN(",",TRUE,B220:E220))+SUMIFS(SF_Output!$G$1:$G$400,SF_Output!$AC$1:$AC$400,_xlfn.TEXTJOIN(",",TRUE,B220:E220)))&lt;&gt;0,SF_Output!$Y$2,INDEX(SF_Output!$F$1:$F$400,MATCH(_xlfn.TEXTJOIN(",",TRUE,B220:E220),SF_Output!$AC$1:$AC$400,0))=0,INDEX(SF_Output!$R$1:$R$400,MATCH(_xlfn.TEXTJOIN(",",TRUE,B220:E220),SF_Output!$AC$1:$AC$400,0)))</f>
        <v/>
      </c>
      <c r="I220" s="125" t="str">
        <f>IFERROR(IF(AND(H220&gt;1,H220&lt;&gt;""),ROUND(SUMIFS(SF_Output!$S$1:$S$400,SF_Output!$AC$1:$AC$400,_xlfn.TEXTJOIN(",",TRUE,B220:E220),SF_Output!$Q$1:$Q$400,"monthly")*(1-W220)/H220,4),""),"")</f>
        <v/>
      </c>
      <c r="J220" s="6" t="str">
        <f>IF(B220="","",SUMIFS(SF_Output!$S$1:$S$400,SF_Output!$AC$1:$AC$400,_xlfn.TEXTJOIN(",",TRUE,B220:E220),SF_Output!$Q$1:$Q$400,"One Time",SF_Output!$L$1:$L$400,"license fee")+SUMIFS(SF_Output!$S$1:$S$400,SF_Output!$AC$1:$AC$400,_xlfn.TEXTJOIN(",",TRUE,B220:E220),SF_Output!$Q$1:$Q$400,"One Time",SF_Output!$L$1:$L$400,"software license")+SUMIFS(SF_Output!$S$1:$S$400,SF_Output!$AC$1:$AC$400,_xlfn.TEXTJOIN(",",TRUE,B220:E220),SF_Output!$Q$1:$Q$400,"One Time",SF_Output!$L$1:$L$400,"hardware"))</f>
        <v/>
      </c>
      <c r="K220" s="112" t="str">
        <f>IF(OR(B220=0,B220="",G220="hardware",J220=0),"",IF(AF220&lt;&gt;"exclusion",MAX(K$9,-((SUMIFS(SF_Output!$T$1:$T$400,SF_Output!$AC$1:$AC$400,_xlfn.TEXTJOIN(",",TRUE,$B220:$E220),SF_Output!$Q$1:$Q$400,"One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license"))/J220)))</f>
        <v/>
      </c>
      <c r="L220" s="6" t="str">
        <f t="shared" si="55"/>
        <v/>
      </c>
      <c r="N220" s="6" t="str">
        <f>IF(B220="","",SUMIFS(SF_Output!$S$1:$S$400,SF_Output!$AC$1:$AC$400,_xlfn.TEXTJOIN(",",TRUE,B220:E220),SF_Output!$Q$1:$Q$400,"One Time",SF_Output!$L$1:$L$400,"professional service"))</f>
        <v/>
      </c>
      <c r="O220" s="112" t="str">
        <f>IF(OR(B220=0,B220="",N220=0),"",IF(AF220&lt;&gt;"exclusion",MAX(O$9,-(SUMIFS(SF_Output!$T$1:$T$400,SF_Output!$AC$1:$AC$400,_xlfn.TEXTJOIN(",",TRUE,$B220:$E220),SF_Output!$Q$1:$Q$400,"One Time",SF_Output!$L$1:$L$400,"professional service"))/N220),-((SUMIFS(SF_Output!$T$1:$T$400,SF_Output!$AC$1:$AC$400,_xlfn.TEXTJOIN(",",TRUE,$B220:$E220),SF_Output!$Q$1:$Q$400,"One Time",SF_Output!$L$1:$L$400,"professional service")/N220))))</f>
        <v/>
      </c>
      <c r="P220" s="6" t="str">
        <f t="shared" si="56"/>
        <v/>
      </c>
      <c r="R220" s="6" t="str">
        <f>IF(B220="","",SUMIFS(SF_Output!$S$1:$S$400,SF_Output!$AC$1:$AC$400,_xlfn.TEXTJOIN(",",TRUE,B220:E220),SF_Output!$Q$1:$Q$400,"yearly")+SUMIFS(SF_Output!$S$1:$S$400,SF_Output!$AC$1:$AC$400,_xlfn.TEXTJOIN(",",TRUE,B220:E220),SF_Output!$Q$1:$Q$400,"quarterly")*4)</f>
        <v/>
      </c>
      <c r="S220" s="112" t="str">
        <f>IF(OR(B220=0,B220="",G220="hardware",R220=0),"",IF(AF220&lt;&gt;"exclusion",MAX(S$9,-(SUMIFS(SF_Output!$T$1:$T$400,SF_Output!$AC$1:$AC$400,_xlfn.TEXTJOIN(",",TRUE,$B220:$E220),SF_Output!$Q$1:$Q$400,"yearly"))/R220),-((SUMIFS(SF_Output!$T$1:$T$400,SF_Output!$AC$1:$AC$400,_xlfn.TEXTJOIN(",",TRUE,$B220:$E220),SF_Output!$Q$1:$Q$400,"yearly")/R220))))</f>
        <v/>
      </c>
      <c r="T220" s="6" t="str">
        <f t="shared" si="57"/>
        <v/>
      </c>
      <c r="V220" s="6" t="str" cm="1">
        <f t="array" ref="V220">_xlfn.IFS(B220="","",AND(B220&lt;&gt;"",H220=SF_Output!$Y$2,SUMIFS(SF_Output!$T$1:$T$400,SF_Output!$AC$1:$AC$400,_xlfn.TEXTJOIN(",",TRUE,B220:E220),SF_Output!$Q$1:$Q$400,"monthly")=0),(SUMIFS(SF_Output!$F$1:$F$400,SF_Output!$AC$1:$AC$400,_xlfn.TEXTJOIN(",",TRUE,B220:E220),SF_Output!$Q$1:$Q$400,"monthly")+SUMIFS(SF_Output!$G$1:$G$400,SF_Output!$AC$1:$AC$400,_xlfn.TEXTJOIN(",",TRUE,B220:E220),SF_Output!$Q$1:$Q$400,"monthly"))*H220,AND(B220&lt;&gt;"",H220=SF_Output!$Y$2,SUMIFS(SF_Output!$T$1:$T$400,SF_Output!$AC$1:$AC$400,_xlfn.TEXTJOIN(",",TRUE,B220:E220),SF_Output!$Q$1:$Q$400,"monthly")&lt;&gt;0),SUMIFS(SF_Output!$S$1:$S$400,SF_Output!$AC$1:$AC$400,_xlfn.TEXTJOIN(",",TRUE,B220:E220),SF_Output!$Q$1:$Q$400,"monthly"),AND(B220&lt;&gt;"",H220&lt;&gt;SF_Output!$Y$2),SUMIFS(SF_Output!$S$1:$S$400,SF_Output!$AC$1:$AC$400,_xlfn.TEXTJOIN(",",TRUE,B220:E220),SF_Output!$Q$1:$Q$400,"monthly"))</f>
        <v/>
      </c>
      <c r="W220" s="112" t="str" cm="1">
        <f t="array" ref="W220">_xlfn.IFS(OR(B220=0,B220="",V220=0),"",AF220&lt;&gt;"exclusion",MAX($W$9,$W$7,(-(SUMIFS(SF_Output!$T$1:$T$400,SF_Output!$AC$1:$AC$400,_xlfn.TEXTJOIN(",",TRUE,$B220:$E220),SF_Output!$Q$1:$Q$400,"monthly"))/V220)),AF220="exclusion",-(SUMIFS(SF_Output!$T$1:$T$400,SF_Output!$AC$1:$AC$400,_xlfn.TEXTJOIN(",",TRUE,$B220:$E220),SF_Output!$Q$1:$Q$400,"monthly"))/V220)</f>
        <v/>
      </c>
      <c r="X220" s="6" t="str" cm="1">
        <f t="array" ref="X220">IFERROR(_xlfn.IFS(V220=0,0,V220="","",W220=0,V220,OR(V220&lt;&gt;0,V220&lt;&gt;""),H220*I220),V220*(1-W220))</f>
        <v/>
      </c>
      <c r="Z220" s="6" t="str">
        <f>IFERROR(IF(B220="","",SUMIFS(Billing_Fallout!H:H,Billing_Fallout!N:N,B220)),0)</f>
        <v/>
      </c>
      <c r="AA220" s="6" t="str">
        <f t="shared" si="58"/>
        <v/>
      </c>
      <c r="AB220" s="6" t="str">
        <f>IFERROR(IF(B220="","",SUMIFS(Billing_Fallout!J:J,Billing_Fallout!N:N,B220)),0)</f>
        <v/>
      </c>
      <c r="AD220" s="6" t="str">
        <f t="shared" si="59"/>
        <v/>
      </c>
      <c r="AF220" t="str">
        <f>IFERROR(INDEX(H_Tables!$B$1:$B$1500,MATCH(INDEX(SF_Output!$J$1:$J$400,MATCH(B220,SF_Output!$M$1:$M$400,0)),H_Tables!$A$1:$A$1500,0)),"")</f>
        <v/>
      </c>
      <c r="AI220" s="119" t="str">
        <f t="shared" si="60"/>
        <v/>
      </c>
      <c r="AJ220" s="121">
        <f>IFERROR(INDEX(SF_Output!AD:AD,MATCH(_xlfn.TEXTJOIN(",",TRUE,B220:E220),SF_Output!AC1:AC400,0)),0.05)</f>
        <v>241</v>
      </c>
      <c r="AK220" t="str">
        <f>IF(SUMIFS(SF_Output!$F$1:$F$400,SF_Output!$AC$1:$AC$400,_xlfn.TEXTJOIN(",",TRUE,B220:E220))+SUMIFS(SF_Output!$G$1:$G$400,SF_Output!$AC$1:$AC$400,_xlfn.TEXTJOIN(",",TRUE,B220:E220))=0,"","PAP")</f>
        <v/>
      </c>
      <c r="AL220" s="35" t="str">
        <f t="shared" si="61"/>
        <v/>
      </c>
      <c r="AQ220" s="35"/>
      <c r="AR220" s="35" t="str" cm="1">
        <f t="array" ref="AR220">IFERROR(_xlfn.IFS(AND(E220*1=1,F220="Included"),"Change to Included",AND(E220*1=0,F220="Optional"),"Change to Optional",OR(B220="",F220="replaced"),""),"")</f>
        <v/>
      </c>
      <c r="AS220" s="35" t="str">
        <f t="shared" si="62"/>
        <v/>
      </c>
      <c r="AT220" s="35" t="str">
        <f t="shared" si="63"/>
        <v/>
      </c>
      <c r="AU220" s="35" t="str">
        <f t="shared" si="64"/>
        <v/>
      </c>
      <c r="AV220" s="35" t="str">
        <f t="shared" si="65"/>
        <v/>
      </c>
      <c r="AW220" s="35" t="str">
        <f t="shared" si="66"/>
        <v/>
      </c>
      <c r="AX220" s="35" t="str">
        <f t="shared" si="67"/>
        <v/>
      </c>
      <c r="AY220" s="35" t="str">
        <f t="shared" si="68"/>
        <v/>
      </c>
      <c r="AZ220" s="35" t="str">
        <f t="shared" si="69"/>
        <v/>
      </c>
      <c r="BA220" s="35" t="str">
        <f t="shared" si="70"/>
        <v/>
      </c>
      <c r="BB220" s="35" t="str">
        <f t="shared" si="71"/>
        <v/>
      </c>
      <c r="BC220" s="35"/>
      <c r="BE220" s="35" t="e">
        <f>INDEX(SF_Output!$AA$2:$AA$400,MATCH($B220,SF_Output!$M$2:$M$400,0))</f>
        <v>#N/A</v>
      </c>
      <c r="BF220" s="35" t="e">
        <f>INDEX(SF_Output!$AB$2:$AB$400,MATCH($B220,SF_Output!$M$2:$M$400,0))</f>
        <v>#N/A</v>
      </c>
    </row>
    <row r="221" spans="6:58" x14ac:dyDescent="0.25">
      <c r="F221" s="116" t="str">
        <f t="shared" si="54"/>
        <v/>
      </c>
      <c r="G221" t="str">
        <f>IF(B221="","",INDEX(SF_Output!$K$1:$K$400,MATCH(B221,SF_Output!$M$1:$M$400,0)))</f>
        <v/>
      </c>
      <c r="H221" t="str" cm="1">
        <f t="array" ref="H221">_xlfn.IFS(B221="","",(SUMIFS(SF_Output!$F$1:$F$400,SF_Output!$AC$1:$AC$400,_xlfn.TEXTJOIN(",",TRUE,B221:E221))+SUMIFS(SF_Output!$G$1:$G$400,SF_Output!$AC$1:$AC$400,_xlfn.TEXTJOIN(",",TRUE,B221:E221)))&lt;&gt;0,SF_Output!$Y$2,INDEX(SF_Output!$F$1:$F$400,MATCH(_xlfn.TEXTJOIN(",",TRUE,B221:E221),SF_Output!$AC$1:$AC$400,0))=0,INDEX(SF_Output!$R$1:$R$400,MATCH(_xlfn.TEXTJOIN(",",TRUE,B221:E221),SF_Output!$AC$1:$AC$400,0)))</f>
        <v/>
      </c>
      <c r="I221" s="125" t="str">
        <f>IFERROR(IF(AND(H221&gt;1,H221&lt;&gt;""),ROUND(SUMIFS(SF_Output!$S$1:$S$400,SF_Output!$AC$1:$AC$400,_xlfn.TEXTJOIN(",",TRUE,B221:E221),SF_Output!$Q$1:$Q$400,"monthly")*(1-W221)/H221,4),""),"")</f>
        <v/>
      </c>
      <c r="J221" s="6" t="str">
        <f>IF(B221="","",SUMIFS(SF_Output!$S$1:$S$400,SF_Output!$AC$1:$AC$400,_xlfn.TEXTJOIN(",",TRUE,B221:E221),SF_Output!$Q$1:$Q$400,"One Time",SF_Output!$L$1:$L$400,"license fee")+SUMIFS(SF_Output!$S$1:$S$400,SF_Output!$AC$1:$AC$400,_xlfn.TEXTJOIN(",",TRUE,B221:E221),SF_Output!$Q$1:$Q$400,"One Time",SF_Output!$L$1:$L$400,"software license")+SUMIFS(SF_Output!$S$1:$S$400,SF_Output!$AC$1:$AC$400,_xlfn.TEXTJOIN(",",TRUE,B221:E221),SF_Output!$Q$1:$Q$400,"One Time",SF_Output!$L$1:$L$400,"hardware"))</f>
        <v/>
      </c>
      <c r="K221" s="112" t="str">
        <f>IF(OR(B221=0,B221="",G221="hardware",J221=0),"",IF(AF221&lt;&gt;"exclusion",MAX(K$9,-((SUMIFS(SF_Output!$T$1:$T$400,SF_Output!$AC$1:$AC$400,_xlfn.TEXTJOIN(",",TRUE,$B221:$E221),SF_Output!$Q$1:$Q$400,"One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license"))/J221)))</f>
        <v/>
      </c>
      <c r="L221" s="6" t="str">
        <f t="shared" si="55"/>
        <v/>
      </c>
      <c r="N221" s="6" t="str">
        <f>IF(B221="","",SUMIFS(SF_Output!$S$1:$S$400,SF_Output!$AC$1:$AC$400,_xlfn.TEXTJOIN(",",TRUE,B221:E221),SF_Output!$Q$1:$Q$400,"One Time",SF_Output!$L$1:$L$400,"professional service"))</f>
        <v/>
      </c>
      <c r="O221" s="112" t="str">
        <f>IF(OR(B221=0,B221="",N221=0),"",IF(AF221&lt;&gt;"exclusion",MAX(O$9,-(SUMIFS(SF_Output!$T$1:$T$400,SF_Output!$AC$1:$AC$400,_xlfn.TEXTJOIN(",",TRUE,$B221:$E221),SF_Output!$Q$1:$Q$400,"One Time",SF_Output!$L$1:$L$400,"professional service"))/N221),-((SUMIFS(SF_Output!$T$1:$T$400,SF_Output!$AC$1:$AC$400,_xlfn.TEXTJOIN(",",TRUE,$B221:$E221),SF_Output!$Q$1:$Q$400,"One Time",SF_Output!$L$1:$L$400,"professional service")/N221))))</f>
        <v/>
      </c>
      <c r="P221" s="6" t="str">
        <f t="shared" si="56"/>
        <v/>
      </c>
      <c r="R221" s="6" t="str">
        <f>IF(B221="","",SUMIFS(SF_Output!$S$1:$S$400,SF_Output!$AC$1:$AC$400,_xlfn.TEXTJOIN(",",TRUE,B221:E221),SF_Output!$Q$1:$Q$400,"yearly")+SUMIFS(SF_Output!$S$1:$S$400,SF_Output!$AC$1:$AC$400,_xlfn.TEXTJOIN(",",TRUE,B221:E221),SF_Output!$Q$1:$Q$400,"quarterly")*4)</f>
        <v/>
      </c>
      <c r="S221" s="112" t="str">
        <f>IF(OR(B221=0,B221="",G221="hardware",R221=0),"",IF(AF221&lt;&gt;"exclusion",MAX(S$9,-(SUMIFS(SF_Output!$T$1:$T$400,SF_Output!$AC$1:$AC$400,_xlfn.TEXTJOIN(",",TRUE,$B221:$E221),SF_Output!$Q$1:$Q$400,"yearly"))/R221),-((SUMIFS(SF_Output!$T$1:$T$400,SF_Output!$AC$1:$AC$400,_xlfn.TEXTJOIN(",",TRUE,$B221:$E221),SF_Output!$Q$1:$Q$400,"yearly")/R221))))</f>
        <v/>
      </c>
      <c r="T221" s="6" t="str">
        <f t="shared" si="57"/>
        <v/>
      </c>
      <c r="V221" s="6" t="str" cm="1">
        <f t="array" ref="V221">_xlfn.IFS(B221="","",AND(B221&lt;&gt;"",H221=SF_Output!$Y$2,SUMIFS(SF_Output!$T$1:$T$400,SF_Output!$AC$1:$AC$400,_xlfn.TEXTJOIN(",",TRUE,B221:E221),SF_Output!$Q$1:$Q$400,"monthly")=0),(SUMIFS(SF_Output!$F$1:$F$400,SF_Output!$AC$1:$AC$400,_xlfn.TEXTJOIN(",",TRUE,B221:E221),SF_Output!$Q$1:$Q$400,"monthly")+SUMIFS(SF_Output!$G$1:$G$400,SF_Output!$AC$1:$AC$400,_xlfn.TEXTJOIN(",",TRUE,B221:E221),SF_Output!$Q$1:$Q$400,"monthly"))*H221,AND(B221&lt;&gt;"",H221=SF_Output!$Y$2,SUMIFS(SF_Output!$T$1:$T$400,SF_Output!$AC$1:$AC$400,_xlfn.TEXTJOIN(",",TRUE,B221:E221),SF_Output!$Q$1:$Q$400,"monthly")&lt;&gt;0),SUMIFS(SF_Output!$S$1:$S$400,SF_Output!$AC$1:$AC$400,_xlfn.TEXTJOIN(",",TRUE,B221:E221),SF_Output!$Q$1:$Q$400,"monthly"),AND(B221&lt;&gt;"",H221&lt;&gt;SF_Output!$Y$2),SUMIFS(SF_Output!$S$1:$S$400,SF_Output!$AC$1:$AC$400,_xlfn.TEXTJOIN(",",TRUE,B221:E221),SF_Output!$Q$1:$Q$400,"monthly"))</f>
        <v/>
      </c>
      <c r="W221" s="112" t="str" cm="1">
        <f t="array" ref="W221">_xlfn.IFS(OR(B221=0,B221="",V221=0),"",AF221&lt;&gt;"exclusion",MAX($W$9,$W$7,(-(SUMIFS(SF_Output!$T$1:$T$400,SF_Output!$AC$1:$AC$400,_xlfn.TEXTJOIN(",",TRUE,$B221:$E221),SF_Output!$Q$1:$Q$400,"monthly"))/V221)),AF221="exclusion",-(SUMIFS(SF_Output!$T$1:$T$400,SF_Output!$AC$1:$AC$400,_xlfn.TEXTJOIN(",",TRUE,$B221:$E221),SF_Output!$Q$1:$Q$400,"monthly"))/V221)</f>
        <v/>
      </c>
      <c r="X221" s="6" t="str" cm="1">
        <f t="array" ref="X221">IFERROR(_xlfn.IFS(V221=0,0,V221="","",W221=0,V221,OR(V221&lt;&gt;0,V221&lt;&gt;""),H221*I221),V221*(1-W221))</f>
        <v/>
      </c>
      <c r="Z221" s="6" t="str">
        <f>IFERROR(IF(B221="","",SUMIFS(Billing_Fallout!H:H,Billing_Fallout!N:N,B221)),0)</f>
        <v/>
      </c>
      <c r="AA221" s="6" t="str">
        <f t="shared" si="58"/>
        <v/>
      </c>
      <c r="AB221" s="6" t="str">
        <f>IFERROR(IF(B221="","",SUMIFS(Billing_Fallout!J:J,Billing_Fallout!N:N,B221)),0)</f>
        <v/>
      </c>
      <c r="AD221" s="6" t="str">
        <f t="shared" si="59"/>
        <v/>
      </c>
      <c r="AF221" t="str">
        <f>IFERROR(INDEX(H_Tables!$B$1:$B$1500,MATCH(INDEX(SF_Output!$J$1:$J$400,MATCH(B221,SF_Output!$M$1:$M$400,0)),H_Tables!$A$1:$A$1500,0)),"")</f>
        <v/>
      </c>
      <c r="AI221" s="119" t="str">
        <f t="shared" si="60"/>
        <v/>
      </c>
      <c r="AJ221" s="121">
        <f>IFERROR(INDEX(SF_Output!AD:AD,MATCH(_xlfn.TEXTJOIN(",",TRUE,B221:E221),SF_Output!AC1:AC400,0)),0.05)</f>
        <v>241</v>
      </c>
      <c r="AK221" t="str">
        <f>IF(SUMIFS(SF_Output!$F$1:$F$400,SF_Output!$AC$1:$AC$400,_xlfn.TEXTJOIN(",",TRUE,B221:E221))+SUMIFS(SF_Output!$G$1:$G$400,SF_Output!$AC$1:$AC$400,_xlfn.TEXTJOIN(",",TRUE,B221:E221))=0,"","PAP")</f>
        <v/>
      </c>
      <c r="AL221" s="35" t="str">
        <f t="shared" si="61"/>
        <v/>
      </c>
      <c r="AQ221" s="35"/>
      <c r="AR221" s="35" t="str" cm="1">
        <f t="array" ref="AR221">IFERROR(_xlfn.IFS(AND(E221*1=1,F221="Included"),"Change to Included",AND(E221*1=0,F221="Optional"),"Change to Optional",OR(B221="",F221="replaced"),""),"")</f>
        <v/>
      </c>
      <c r="AS221" s="35" t="str">
        <f t="shared" si="62"/>
        <v/>
      </c>
      <c r="AT221" s="35" t="str">
        <f t="shared" si="63"/>
        <v/>
      </c>
      <c r="AU221" s="35" t="str">
        <f t="shared" si="64"/>
        <v/>
      </c>
      <c r="AV221" s="35" t="str">
        <f t="shared" si="65"/>
        <v/>
      </c>
      <c r="AW221" s="35" t="str">
        <f t="shared" si="66"/>
        <v/>
      </c>
      <c r="AX221" s="35" t="str">
        <f t="shared" si="67"/>
        <v/>
      </c>
      <c r="AY221" s="35" t="str">
        <f t="shared" si="68"/>
        <v/>
      </c>
      <c r="AZ221" s="35" t="str">
        <f t="shared" si="69"/>
        <v/>
      </c>
      <c r="BA221" s="35" t="str">
        <f t="shared" si="70"/>
        <v/>
      </c>
      <c r="BB221" s="35" t="str">
        <f t="shared" si="71"/>
        <v/>
      </c>
      <c r="BC221" s="35"/>
      <c r="BE221" s="35" t="e">
        <f>INDEX(SF_Output!$AA$2:$AA$400,MATCH($B221,SF_Output!$M$2:$M$400,0))</f>
        <v>#N/A</v>
      </c>
      <c r="BF221" s="35" t="e">
        <f>INDEX(SF_Output!$AB$2:$AB$400,MATCH($B221,SF_Output!$M$2:$M$400,0))</f>
        <v>#N/A</v>
      </c>
    </row>
    <row r="222" spans="6:58" x14ac:dyDescent="0.25">
      <c r="F222" s="116" t="str">
        <f t="shared" si="54"/>
        <v/>
      </c>
      <c r="G222" t="str">
        <f>IF(B222="","",INDEX(SF_Output!$K$1:$K$400,MATCH(B222,SF_Output!$M$1:$M$400,0)))</f>
        <v/>
      </c>
      <c r="H222" t="str" cm="1">
        <f t="array" ref="H222">_xlfn.IFS(B222="","",(SUMIFS(SF_Output!$F$1:$F$400,SF_Output!$AC$1:$AC$400,_xlfn.TEXTJOIN(",",TRUE,B222:E222))+SUMIFS(SF_Output!$G$1:$G$400,SF_Output!$AC$1:$AC$400,_xlfn.TEXTJOIN(",",TRUE,B222:E222)))&lt;&gt;0,SF_Output!$Y$2,INDEX(SF_Output!$F$1:$F$400,MATCH(_xlfn.TEXTJOIN(",",TRUE,B222:E222),SF_Output!$AC$1:$AC$400,0))=0,INDEX(SF_Output!$R$1:$R$400,MATCH(_xlfn.TEXTJOIN(",",TRUE,B222:E222),SF_Output!$AC$1:$AC$400,0)))</f>
        <v/>
      </c>
      <c r="I222" s="125" t="str">
        <f>IFERROR(IF(AND(H222&gt;1,H222&lt;&gt;""),ROUND(SUMIFS(SF_Output!$S$1:$S$400,SF_Output!$AC$1:$AC$400,_xlfn.TEXTJOIN(",",TRUE,B222:E222),SF_Output!$Q$1:$Q$400,"monthly")*(1-W222)/H222,4),""),"")</f>
        <v/>
      </c>
      <c r="J222" s="6" t="str">
        <f>IF(B222="","",SUMIFS(SF_Output!$S$1:$S$400,SF_Output!$AC$1:$AC$400,_xlfn.TEXTJOIN(",",TRUE,B222:E222),SF_Output!$Q$1:$Q$400,"One Time",SF_Output!$L$1:$L$400,"license fee")+SUMIFS(SF_Output!$S$1:$S$400,SF_Output!$AC$1:$AC$400,_xlfn.TEXTJOIN(",",TRUE,B222:E222),SF_Output!$Q$1:$Q$400,"One Time",SF_Output!$L$1:$L$400,"software license")+SUMIFS(SF_Output!$S$1:$S$400,SF_Output!$AC$1:$AC$400,_xlfn.TEXTJOIN(",",TRUE,B222:E222),SF_Output!$Q$1:$Q$400,"One Time",SF_Output!$L$1:$L$400,"hardware"))</f>
        <v/>
      </c>
      <c r="K222" s="112" t="str">
        <f>IF(OR(B222=0,B222="",G222="hardware",J222=0),"",IF(AF222&lt;&gt;"exclusion",MAX(K$9,-((SUMIFS(SF_Output!$T$1:$T$400,SF_Output!$AC$1:$AC$400,_xlfn.TEXTJOIN(",",TRUE,$B222:$E222),SF_Output!$Q$1:$Q$400,"One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license"))/J222)))</f>
        <v/>
      </c>
      <c r="L222" s="6" t="str">
        <f t="shared" si="55"/>
        <v/>
      </c>
      <c r="N222" s="6" t="str">
        <f>IF(B222="","",SUMIFS(SF_Output!$S$1:$S$400,SF_Output!$AC$1:$AC$400,_xlfn.TEXTJOIN(",",TRUE,B222:E222),SF_Output!$Q$1:$Q$400,"One Time",SF_Output!$L$1:$L$400,"professional service"))</f>
        <v/>
      </c>
      <c r="O222" s="112" t="str">
        <f>IF(OR(B222=0,B222="",N222=0),"",IF(AF222&lt;&gt;"exclusion",MAX(O$9,-(SUMIFS(SF_Output!$T$1:$T$400,SF_Output!$AC$1:$AC$400,_xlfn.TEXTJOIN(",",TRUE,$B222:$E222),SF_Output!$Q$1:$Q$400,"One Time",SF_Output!$L$1:$L$400,"professional service"))/N222),-((SUMIFS(SF_Output!$T$1:$T$400,SF_Output!$AC$1:$AC$400,_xlfn.TEXTJOIN(",",TRUE,$B222:$E222),SF_Output!$Q$1:$Q$400,"One Time",SF_Output!$L$1:$L$400,"professional service")/N222))))</f>
        <v/>
      </c>
      <c r="P222" s="6" t="str">
        <f t="shared" si="56"/>
        <v/>
      </c>
      <c r="R222" s="6" t="str">
        <f>IF(B222="","",SUMIFS(SF_Output!$S$1:$S$400,SF_Output!$AC$1:$AC$400,_xlfn.TEXTJOIN(",",TRUE,B222:E222),SF_Output!$Q$1:$Q$400,"yearly")+SUMIFS(SF_Output!$S$1:$S$400,SF_Output!$AC$1:$AC$400,_xlfn.TEXTJOIN(",",TRUE,B222:E222),SF_Output!$Q$1:$Q$400,"quarterly")*4)</f>
        <v/>
      </c>
      <c r="S222" s="112" t="str">
        <f>IF(OR(B222=0,B222="",G222="hardware",R222=0),"",IF(AF222&lt;&gt;"exclusion",MAX(S$9,-(SUMIFS(SF_Output!$T$1:$T$400,SF_Output!$AC$1:$AC$400,_xlfn.TEXTJOIN(",",TRUE,$B222:$E222),SF_Output!$Q$1:$Q$400,"yearly"))/R222),-((SUMIFS(SF_Output!$T$1:$T$400,SF_Output!$AC$1:$AC$400,_xlfn.TEXTJOIN(",",TRUE,$B222:$E222),SF_Output!$Q$1:$Q$400,"yearly")/R222))))</f>
        <v/>
      </c>
      <c r="T222" s="6" t="str">
        <f t="shared" si="57"/>
        <v/>
      </c>
      <c r="V222" s="6" t="str" cm="1">
        <f t="array" ref="V222">_xlfn.IFS(B222="","",AND(B222&lt;&gt;"",H222=SF_Output!$Y$2,SUMIFS(SF_Output!$T$1:$T$400,SF_Output!$AC$1:$AC$400,_xlfn.TEXTJOIN(",",TRUE,B222:E222),SF_Output!$Q$1:$Q$400,"monthly")=0),(SUMIFS(SF_Output!$F$1:$F$400,SF_Output!$AC$1:$AC$400,_xlfn.TEXTJOIN(",",TRUE,B222:E222),SF_Output!$Q$1:$Q$400,"monthly")+SUMIFS(SF_Output!$G$1:$G$400,SF_Output!$AC$1:$AC$400,_xlfn.TEXTJOIN(",",TRUE,B222:E222),SF_Output!$Q$1:$Q$400,"monthly"))*H222,AND(B222&lt;&gt;"",H222=SF_Output!$Y$2,SUMIFS(SF_Output!$T$1:$T$400,SF_Output!$AC$1:$AC$400,_xlfn.TEXTJOIN(",",TRUE,B222:E222),SF_Output!$Q$1:$Q$400,"monthly")&lt;&gt;0),SUMIFS(SF_Output!$S$1:$S$400,SF_Output!$AC$1:$AC$400,_xlfn.TEXTJOIN(",",TRUE,B222:E222),SF_Output!$Q$1:$Q$400,"monthly"),AND(B222&lt;&gt;"",H222&lt;&gt;SF_Output!$Y$2),SUMIFS(SF_Output!$S$1:$S$400,SF_Output!$AC$1:$AC$400,_xlfn.TEXTJOIN(",",TRUE,B222:E222),SF_Output!$Q$1:$Q$400,"monthly"))</f>
        <v/>
      </c>
      <c r="W222" s="112" t="str" cm="1">
        <f t="array" ref="W222">_xlfn.IFS(OR(B222=0,B222="",V222=0),"",AF222&lt;&gt;"exclusion",MAX($W$9,$W$7,(-(SUMIFS(SF_Output!$T$1:$T$400,SF_Output!$AC$1:$AC$400,_xlfn.TEXTJOIN(",",TRUE,$B222:$E222),SF_Output!$Q$1:$Q$400,"monthly"))/V222)),AF222="exclusion",-(SUMIFS(SF_Output!$T$1:$T$400,SF_Output!$AC$1:$AC$400,_xlfn.TEXTJOIN(",",TRUE,$B222:$E222),SF_Output!$Q$1:$Q$400,"monthly"))/V222)</f>
        <v/>
      </c>
      <c r="X222" s="6" t="str" cm="1">
        <f t="array" ref="X222">IFERROR(_xlfn.IFS(V222=0,0,V222="","",W222=0,V222,OR(V222&lt;&gt;0,V222&lt;&gt;""),H222*I222),V222*(1-W222))</f>
        <v/>
      </c>
      <c r="Z222" s="6" t="str">
        <f>IFERROR(IF(B222="","",SUMIFS(Billing_Fallout!H:H,Billing_Fallout!N:N,B222)),0)</f>
        <v/>
      </c>
      <c r="AA222" s="6" t="str">
        <f t="shared" si="58"/>
        <v/>
      </c>
      <c r="AB222" s="6" t="str">
        <f>IFERROR(IF(B222="","",SUMIFS(Billing_Fallout!J:J,Billing_Fallout!N:N,B222)),0)</f>
        <v/>
      </c>
      <c r="AD222" s="6" t="str">
        <f t="shared" si="59"/>
        <v/>
      </c>
      <c r="AF222" t="str">
        <f>IFERROR(INDEX(H_Tables!$B$1:$B$1500,MATCH(INDEX(SF_Output!$J$1:$J$400,MATCH(B222,SF_Output!$M$1:$M$400,0)),H_Tables!$A$1:$A$1500,0)),"")</f>
        <v/>
      </c>
      <c r="AI222" s="119" t="str">
        <f t="shared" si="60"/>
        <v/>
      </c>
      <c r="AJ222" s="121">
        <f>IFERROR(INDEX(SF_Output!AD:AD,MATCH(_xlfn.TEXTJOIN(",",TRUE,B222:E222),SF_Output!AC1:AC400,0)),0.05)</f>
        <v>241</v>
      </c>
      <c r="AK222" t="str">
        <f>IF(SUMIFS(SF_Output!$F$1:$F$400,SF_Output!$AC$1:$AC$400,_xlfn.TEXTJOIN(",",TRUE,B222:E222))+SUMIFS(SF_Output!$G$1:$G$400,SF_Output!$AC$1:$AC$400,_xlfn.TEXTJOIN(",",TRUE,B222:E222))=0,"","PAP")</f>
        <v/>
      </c>
      <c r="AL222" s="35" t="str">
        <f t="shared" si="61"/>
        <v/>
      </c>
      <c r="AQ222" s="35"/>
      <c r="AR222" s="35" t="str" cm="1">
        <f t="array" ref="AR222">IFERROR(_xlfn.IFS(AND(E222*1=1,F222="Included"),"Change to Included",AND(E222*1=0,F222="Optional"),"Change to Optional",OR(B222="",F222="replaced"),""),"")</f>
        <v/>
      </c>
      <c r="AS222" s="35" t="str">
        <f t="shared" si="62"/>
        <v/>
      </c>
      <c r="AT222" s="35" t="str">
        <f t="shared" si="63"/>
        <v/>
      </c>
      <c r="AU222" s="35" t="str">
        <f t="shared" si="64"/>
        <v/>
      </c>
      <c r="AV222" s="35" t="str">
        <f t="shared" si="65"/>
        <v/>
      </c>
      <c r="AW222" s="35" t="str">
        <f t="shared" si="66"/>
        <v/>
      </c>
      <c r="AX222" s="35" t="str">
        <f t="shared" si="67"/>
        <v/>
      </c>
      <c r="AY222" s="35" t="str">
        <f t="shared" si="68"/>
        <v/>
      </c>
      <c r="AZ222" s="35" t="str">
        <f t="shared" si="69"/>
        <v/>
      </c>
      <c r="BA222" s="35" t="str">
        <f t="shared" si="70"/>
        <v/>
      </c>
      <c r="BB222" s="35" t="str">
        <f t="shared" si="71"/>
        <v/>
      </c>
      <c r="BC222" s="35"/>
      <c r="BE222" s="35" t="e">
        <f>INDEX(SF_Output!$AA$2:$AA$400,MATCH($B222,SF_Output!$M$2:$M$400,0))</f>
        <v>#N/A</v>
      </c>
      <c r="BF222" s="35" t="e">
        <f>INDEX(SF_Output!$AB$2:$AB$400,MATCH($B222,SF_Output!$M$2:$M$400,0))</f>
        <v>#N/A</v>
      </c>
    </row>
    <row r="223" spans="6:58" x14ac:dyDescent="0.25">
      <c r="F223" s="116" t="str">
        <f t="shared" si="54"/>
        <v/>
      </c>
      <c r="G223" t="str">
        <f>IF(B223="","",INDEX(SF_Output!$K$1:$K$400,MATCH(B223,SF_Output!$M$1:$M$400,0)))</f>
        <v/>
      </c>
      <c r="H223" t="str" cm="1">
        <f t="array" ref="H223">_xlfn.IFS(B223="","",(SUMIFS(SF_Output!$F$1:$F$400,SF_Output!$AC$1:$AC$400,_xlfn.TEXTJOIN(",",TRUE,B223:E223))+SUMIFS(SF_Output!$G$1:$G$400,SF_Output!$AC$1:$AC$400,_xlfn.TEXTJOIN(",",TRUE,B223:E223)))&lt;&gt;0,SF_Output!$Y$2,INDEX(SF_Output!$F$1:$F$400,MATCH(_xlfn.TEXTJOIN(",",TRUE,B223:E223),SF_Output!$AC$1:$AC$400,0))=0,INDEX(SF_Output!$R$1:$R$400,MATCH(_xlfn.TEXTJOIN(",",TRUE,B223:E223),SF_Output!$AC$1:$AC$400,0)))</f>
        <v/>
      </c>
      <c r="I223" s="125" t="str">
        <f>IFERROR(IF(AND(H223&gt;1,H223&lt;&gt;""),ROUND(SUMIFS(SF_Output!$S$1:$S$400,SF_Output!$AC$1:$AC$400,_xlfn.TEXTJOIN(",",TRUE,B223:E223),SF_Output!$Q$1:$Q$400,"monthly")*(1-W223)/H223,4),""),"")</f>
        <v/>
      </c>
      <c r="J223" s="6" t="str">
        <f>IF(B223="","",SUMIFS(SF_Output!$S$1:$S$400,SF_Output!$AC$1:$AC$400,_xlfn.TEXTJOIN(",",TRUE,B223:E223),SF_Output!$Q$1:$Q$400,"One Time",SF_Output!$L$1:$L$400,"license fee")+SUMIFS(SF_Output!$S$1:$S$400,SF_Output!$AC$1:$AC$400,_xlfn.TEXTJOIN(",",TRUE,B223:E223),SF_Output!$Q$1:$Q$400,"One Time",SF_Output!$L$1:$L$400,"software license")+SUMIFS(SF_Output!$S$1:$S$400,SF_Output!$AC$1:$AC$400,_xlfn.TEXTJOIN(",",TRUE,B223:E223),SF_Output!$Q$1:$Q$400,"One Time",SF_Output!$L$1:$L$400,"hardware"))</f>
        <v/>
      </c>
      <c r="K223" s="112" t="str">
        <f>IF(OR(B223=0,B223="",G223="hardware",J223=0),"",IF(AF223&lt;&gt;"exclusion",MAX(K$9,-((SUMIFS(SF_Output!$T$1:$T$400,SF_Output!$AC$1:$AC$400,_xlfn.TEXTJOIN(",",TRUE,$B223:$E223),SF_Output!$Q$1:$Q$400,"One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license"))/J223)))</f>
        <v/>
      </c>
      <c r="L223" s="6" t="str">
        <f t="shared" si="55"/>
        <v/>
      </c>
      <c r="N223" s="6" t="str">
        <f>IF(B223="","",SUMIFS(SF_Output!$S$1:$S$400,SF_Output!$AC$1:$AC$400,_xlfn.TEXTJOIN(",",TRUE,B223:E223),SF_Output!$Q$1:$Q$400,"One Time",SF_Output!$L$1:$L$400,"professional service"))</f>
        <v/>
      </c>
      <c r="O223" s="112" t="str">
        <f>IF(OR(B223=0,B223="",N223=0),"",IF(AF223&lt;&gt;"exclusion",MAX(O$9,-(SUMIFS(SF_Output!$T$1:$T$400,SF_Output!$AC$1:$AC$400,_xlfn.TEXTJOIN(",",TRUE,$B223:$E223),SF_Output!$Q$1:$Q$400,"One Time",SF_Output!$L$1:$L$400,"professional service"))/N223),-((SUMIFS(SF_Output!$T$1:$T$400,SF_Output!$AC$1:$AC$400,_xlfn.TEXTJOIN(",",TRUE,$B223:$E223),SF_Output!$Q$1:$Q$400,"One Time",SF_Output!$L$1:$L$400,"professional service")/N223))))</f>
        <v/>
      </c>
      <c r="P223" s="6" t="str">
        <f t="shared" si="56"/>
        <v/>
      </c>
      <c r="R223" s="6" t="str">
        <f>IF(B223="","",SUMIFS(SF_Output!$S$1:$S$400,SF_Output!$AC$1:$AC$400,_xlfn.TEXTJOIN(",",TRUE,B223:E223),SF_Output!$Q$1:$Q$400,"yearly")+SUMIFS(SF_Output!$S$1:$S$400,SF_Output!$AC$1:$AC$400,_xlfn.TEXTJOIN(",",TRUE,B223:E223),SF_Output!$Q$1:$Q$400,"quarterly")*4)</f>
        <v/>
      </c>
      <c r="S223" s="112" t="str">
        <f>IF(OR(B223=0,B223="",G223="hardware",R223=0),"",IF(AF223&lt;&gt;"exclusion",MAX(S$9,-(SUMIFS(SF_Output!$T$1:$T$400,SF_Output!$AC$1:$AC$400,_xlfn.TEXTJOIN(",",TRUE,$B223:$E223),SF_Output!$Q$1:$Q$400,"yearly"))/R223),-((SUMIFS(SF_Output!$T$1:$T$400,SF_Output!$AC$1:$AC$400,_xlfn.TEXTJOIN(",",TRUE,$B223:$E223),SF_Output!$Q$1:$Q$400,"yearly")/R223))))</f>
        <v/>
      </c>
      <c r="T223" s="6" t="str">
        <f t="shared" si="57"/>
        <v/>
      </c>
      <c r="V223" s="6" t="str" cm="1">
        <f t="array" ref="V223">_xlfn.IFS(B223="","",AND(B223&lt;&gt;"",H223=SF_Output!$Y$2,SUMIFS(SF_Output!$T$1:$T$400,SF_Output!$AC$1:$AC$400,_xlfn.TEXTJOIN(",",TRUE,B223:E223),SF_Output!$Q$1:$Q$400,"monthly")=0),(SUMIFS(SF_Output!$F$1:$F$400,SF_Output!$AC$1:$AC$400,_xlfn.TEXTJOIN(",",TRUE,B223:E223),SF_Output!$Q$1:$Q$400,"monthly")+SUMIFS(SF_Output!$G$1:$G$400,SF_Output!$AC$1:$AC$400,_xlfn.TEXTJOIN(",",TRUE,B223:E223),SF_Output!$Q$1:$Q$400,"monthly"))*H223,AND(B223&lt;&gt;"",H223=SF_Output!$Y$2,SUMIFS(SF_Output!$T$1:$T$400,SF_Output!$AC$1:$AC$400,_xlfn.TEXTJOIN(",",TRUE,B223:E223),SF_Output!$Q$1:$Q$400,"monthly")&lt;&gt;0),SUMIFS(SF_Output!$S$1:$S$400,SF_Output!$AC$1:$AC$400,_xlfn.TEXTJOIN(",",TRUE,B223:E223),SF_Output!$Q$1:$Q$400,"monthly"),AND(B223&lt;&gt;"",H223&lt;&gt;SF_Output!$Y$2),SUMIFS(SF_Output!$S$1:$S$400,SF_Output!$AC$1:$AC$400,_xlfn.TEXTJOIN(",",TRUE,B223:E223),SF_Output!$Q$1:$Q$400,"monthly"))</f>
        <v/>
      </c>
      <c r="W223" s="112" t="str" cm="1">
        <f t="array" ref="W223">_xlfn.IFS(OR(B223=0,B223="",V223=0),"",AF223&lt;&gt;"exclusion",MAX($W$9,$W$7,(-(SUMIFS(SF_Output!$T$1:$T$400,SF_Output!$AC$1:$AC$400,_xlfn.TEXTJOIN(",",TRUE,$B223:$E223),SF_Output!$Q$1:$Q$400,"monthly"))/V223)),AF223="exclusion",-(SUMIFS(SF_Output!$T$1:$T$400,SF_Output!$AC$1:$AC$400,_xlfn.TEXTJOIN(",",TRUE,$B223:$E223),SF_Output!$Q$1:$Q$400,"monthly"))/V223)</f>
        <v/>
      </c>
      <c r="X223" s="6" t="str" cm="1">
        <f t="array" ref="X223">IFERROR(_xlfn.IFS(V223=0,0,V223="","",W223=0,V223,OR(V223&lt;&gt;0,V223&lt;&gt;""),H223*I223),V223*(1-W223))</f>
        <v/>
      </c>
      <c r="Z223" s="6" t="str">
        <f>IFERROR(IF(B223="","",SUMIFS(Billing_Fallout!H:H,Billing_Fallout!N:N,B223)),0)</f>
        <v/>
      </c>
      <c r="AA223" s="6" t="str">
        <f t="shared" si="58"/>
        <v/>
      </c>
      <c r="AB223" s="6" t="str">
        <f>IFERROR(IF(B223="","",SUMIFS(Billing_Fallout!J:J,Billing_Fallout!N:N,B223)),0)</f>
        <v/>
      </c>
      <c r="AD223" s="6" t="str">
        <f t="shared" si="59"/>
        <v/>
      </c>
      <c r="AF223" t="str">
        <f>IFERROR(INDEX(H_Tables!$B$1:$B$1500,MATCH(INDEX(SF_Output!$J$1:$J$400,MATCH(B223,SF_Output!$M$1:$M$400,0)),H_Tables!$A$1:$A$1500,0)),"")</f>
        <v/>
      </c>
      <c r="AI223" s="119" t="str">
        <f t="shared" si="60"/>
        <v/>
      </c>
      <c r="AJ223" s="121">
        <f>IFERROR(INDEX(SF_Output!AD:AD,MATCH(_xlfn.TEXTJOIN(",",TRUE,B223:E223),SF_Output!AC1:AC400,0)),0.05)</f>
        <v>241</v>
      </c>
      <c r="AK223" t="str">
        <f>IF(SUMIFS(SF_Output!$F$1:$F$400,SF_Output!$AC$1:$AC$400,_xlfn.TEXTJOIN(",",TRUE,B223:E223))+SUMIFS(SF_Output!$G$1:$G$400,SF_Output!$AC$1:$AC$400,_xlfn.TEXTJOIN(",",TRUE,B223:E223))=0,"","PAP")</f>
        <v/>
      </c>
      <c r="AL223" s="35" t="str">
        <f t="shared" si="61"/>
        <v/>
      </c>
      <c r="AQ223" s="35"/>
      <c r="AR223" s="35" t="str" cm="1">
        <f t="array" ref="AR223">IFERROR(_xlfn.IFS(AND(E223*1=1,F223="Included"),"Change to Included",AND(E223*1=0,F223="Optional"),"Change to Optional",OR(B223="",F223="replaced"),""),"")</f>
        <v/>
      </c>
      <c r="AS223" s="35" t="str">
        <f t="shared" si="62"/>
        <v/>
      </c>
      <c r="AT223" s="35" t="str">
        <f t="shared" si="63"/>
        <v/>
      </c>
      <c r="AU223" s="35" t="str">
        <f t="shared" si="64"/>
        <v/>
      </c>
      <c r="AV223" s="35" t="str">
        <f t="shared" si="65"/>
        <v/>
      </c>
      <c r="AW223" s="35" t="str">
        <f t="shared" si="66"/>
        <v/>
      </c>
      <c r="AX223" s="35" t="str">
        <f t="shared" si="67"/>
        <v/>
      </c>
      <c r="AY223" s="35" t="str">
        <f t="shared" si="68"/>
        <v/>
      </c>
      <c r="AZ223" s="35" t="str">
        <f t="shared" si="69"/>
        <v/>
      </c>
      <c r="BA223" s="35" t="str">
        <f t="shared" si="70"/>
        <v/>
      </c>
      <c r="BB223" s="35" t="str">
        <f t="shared" si="71"/>
        <v/>
      </c>
      <c r="BC223" s="35"/>
      <c r="BE223" s="35" t="e">
        <f>INDEX(SF_Output!$AA$2:$AA$400,MATCH($B223,SF_Output!$M$2:$M$400,0))</f>
        <v>#N/A</v>
      </c>
      <c r="BF223" s="35" t="e">
        <f>INDEX(SF_Output!$AB$2:$AB$400,MATCH($B223,SF_Output!$M$2:$M$400,0))</f>
        <v>#N/A</v>
      </c>
    </row>
    <row r="224" spans="6:58" x14ac:dyDescent="0.25">
      <c r="F224" s="116" t="str">
        <f t="shared" si="54"/>
        <v/>
      </c>
      <c r="G224" t="str">
        <f>IF(B224="","",INDEX(SF_Output!$K$1:$K$400,MATCH(B224,SF_Output!$M$1:$M$400,0)))</f>
        <v/>
      </c>
      <c r="H224" t="str" cm="1">
        <f t="array" ref="H224">_xlfn.IFS(B224="","",(SUMIFS(SF_Output!$F$1:$F$400,SF_Output!$AC$1:$AC$400,_xlfn.TEXTJOIN(",",TRUE,B224:E224))+SUMIFS(SF_Output!$G$1:$G$400,SF_Output!$AC$1:$AC$400,_xlfn.TEXTJOIN(",",TRUE,B224:E224)))&lt;&gt;0,SF_Output!$Y$2,INDEX(SF_Output!$F$1:$F$400,MATCH(_xlfn.TEXTJOIN(",",TRUE,B224:E224),SF_Output!$AC$1:$AC$400,0))=0,INDEX(SF_Output!$R$1:$R$400,MATCH(_xlfn.TEXTJOIN(",",TRUE,B224:E224),SF_Output!$AC$1:$AC$400,0)))</f>
        <v/>
      </c>
      <c r="I224" s="125" t="str">
        <f>IFERROR(IF(AND(H224&gt;1,H224&lt;&gt;""),ROUND(SUMIFS(SF_Output!$S$1:$S$400,SF_Output!$AC$1:$AC$400,_xlfn.TEXTJOIN(",",TRUE,B224:E224),SF_Output!$Q$1:$Q$400,"monthly")*(1-W224)/H224,4),""),"")</f>
        <v/>
      </c>
      <c r="J224" s="6" t="str">
        <f>IF(B224="","",SUMIFS(SF_Output!$S$1:$S$400,SF_Output!$AC$1:$AC$400,_xlfn.TEXTJOIN(",",TRUE,B224:E224),SF_Output!$Q$1:$Q$400,"One Time",SF_Output!$L$1:$L$400,"license fee")+SUMIFS(SF_Output!$S$1:$S$400,SF_Output!$AC$1:$AC$400,_xlfn.TEXTJOIN(",",TRUE,B224:E224),SF_Output!$Q$1:$Q$400,"One Time",SF_Output!$L$1:$L$400,"software license")+SUMIFS(SF_Output!$S$1:$S$400,SF_Output!$AC$1:$AC$400,_xlfn.TEXTJOIN(",",TRUE,B224:E224),SF_Output!$Q$1:$Q$400,"One Time",SF_Output!$L$1:$L$400,"hardware"))</f>
        <v/>
      </c>
      <c r="K224" s="112" t="str">
        <f>IF(OR(B224=0,B224="",G224="hardware",J224=0),"",IF(AF224&lt;&gt;"exclusion",MAX(K$9,-((SUMIFS(SF_Output!$T$1:$T$400,SF_Output!$AC$1:$AC$400,_xlfn.TEXTJOIN(",",TRUE,$B224:$E224),SF_Output!$Q$1:$Q$400,"One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license"))/J224)))</f>
        <v/>
      </c>
      <c r="L224" s="6" t="str">
        <f t="shared" si="55"/>
        <v/>
      </c>
      <c r="N224" s="6" t="str">
        <f>IF(B224="","",SUMIFS(SF_Output!$S$1:$S$400,SF_Output!$AC$1:$AC$400,_xlfn.TEXTJOIN(",",TRUE,B224:E224),SF_Output!$Q$1:$Q$400,"One Time",SF_Output!$L$1:$L$400,"professional service"))</f>
        <v/>
      </c>
      <c r="O224" s="112" t="str">
        <f>IF(OR(B224=0,B224="",N224=0),"",IF(AF224&lt;&gt;"exclusion",MAX(O$9,-(SUMIFS(SF_Output!$T$1:$T$400,SF_Output!$AC$1:$AC$400,_xlfn.TEXTJOIN(",",TRUE,$B224:$E224),SF_Output!$Q$1:$Q$400,"One Time",SF_Output!$L$1:$L$400,"professional service"))/N224),-((SUMIFS(SF_Output!$T$1:$T$400,SF_Output!$AC$1:$AC$400,_xlfn.TEXTJOIN(",",TRUE,$B224:$E224),SF_Output!$Q$1:$Q$400,"One Time",SF_Output!$L$1:$L$400,"professional service")/N224))))</f>
        <v/>
      </c>
      <c r="P224" s="6" t="str">
        <f t="shared" si="56"/>
        <v/>
      </c>
      <c r="R224" s="6" t="str">
        <f>IF(B224="","",SUMIFS(SF_Output!$S$1:$S$400,SF_Output!$AC$1:$AC$400,_xlfn.TEXTJOIN(",",TRUE,B224:E224),SF_Output!$Q$1:$Q$400,"yearly")+SUMIFS(SF_Output!$S$1:$S$400,SF_Output!$AC$1:$AC$400,_xlfn.TEXTJOIN(",",TRUE,B224:E224),SF_Output!$Q$1:$Q$400,"quarterly")*4)</f>
        <v/>
      </c>
      <c r="S224" s="112" t="str">
        <f>IF(OR(B224=0,B224="",G224="hardware",R224=0),"",IF(AF224&lt;&gt;"exclusion",MAX(S$9,-(SUMIFS(SF_Output!$T$1:$T$400,SF_Output!$AC$1:$AC$400,_xlfn.TEXTJOIN(",",TRUE,$B224:$E224),SF_Output!$Q$1:$Q$400,"yearly"))/R224),-((SUMIFS(SF_Output!$T$1:$T$400,SF_Output!$AC$1:$AC$400,_xlfn.TEXTJOIN(",",TRUE,$B224:$E224),SF_Output!$Q$1:$Q$400,"yearly")/R224))))</f>
        <v/>
      </c>
      <c r="T224" s="6" t="str">
        <f t="shared" si="57"/>
        <v/>
      </c>
      <c r="V224" s="6" t="str" cm="1">
        <f t="array" ref="V224">_xlfn.IFS(B224="","",AND(B224&lt;&gt;"",H224=SF_Output!$Y$2,SUMIFS(SF_Output!$T$1:$T$400,SF_Output!$AC$1:$AC$400,_xlfn.TEXTJOIN(",",TRUE,B224:E224),SF_Output!$Q$1:$Q$400,"monthly")=0),(SUMIFS(SF_Output!$F$1:$F$400,SF_Output!$AC$1:$AC$400,_xlfn.TEXTJOIN(",",TRUE,B224:E224),SF_Output!$Q$1:$Q$400,"monthly")+SUMIFS(SF_Output!$G$1:$G$400,SF_Output!$AC$1:$AC$400,_xlfn.TEXTJOIN(",",TRUE,B224:E224),SF_Output!$Q$1:$Q$400,"monthly"))*H224,AND(B224&lt;&gt;"",H224=SF_Output!$Y$2,SUMIFS(SF_Output!$T$1:$T$400,SF_Output!$AC$1:$AC$400,_xlfn.TEXTJOIN(",",TRUE,B224:E224),SF_Output!$Q$1:$Q$400,"monthly")&lt;&gt;0),SUMIFS(SF_Output!$S$1:$S$400,SF_Output!$AC$1:$AC$400,_xlfn.TEXTJOIN(",",TRUE,B224:E224),SF_Output!$Q$1:$Q$400,"monthly"),AND(B224&lt;&gt;"",H224&lt;&gt;SF_Output!$Y$2),SUMIFS(SF_Output!$S$1:$S$400,SF_Output!$AC$1:$AC$400,_xlfn.TEXTJOIN(",",TRUE,B224:E224),SF_Output!$Q$1:$Q$400,"monthly"))</f>
        <v/>
      </c>
      <c r="W224" s="112" t="str" cm="1">
        <f t="array" ref="W224">_xlfn.IFS(OR(B224=0,B224="",V224=0),"",AF224&lt;&gt;"exclusion",MAX($W$9,$W$7,(-(SUMIFS(SF_Output!$T$1:$T$400,SF_Output!$AC$1:$AC$400,_xlfn.TEXTJOIN(",",TRUE,$B224:$E224),SF_Output!$Q$1:$Q$400,"monthly"))/V224)),AF224="exclusion",-(SUMIFS(SF_Output!$T$1:$T$400,SF_Output!$AC$1:$AC$400,_xlfn.TEXTJOIN(",",TRUE,$B224:$E224),SF_Output!$Q$1:$Q$400,"monthly"))/V224)</f>
        <v/>
      </c>
      <c r="X224" s="6" t="str" cm="1">
        <f t="array" ref="X224">IFERROR(_xlfn.IFS(V224=0,0,V224="","",W224=0,V224,OR(V224&lt;&gt;0,V224&lt;&gt;""),H224*I224),V224*(1-W224))</f>
        <v/>
      </c>
      <c r="Z224" s="6" t="str">
        <f>IFERROR(IF(B224="","",SUMIFS(Billing_Fallout!H:H,Billing_Fallout!N:N,B224)),0)</f>
        <v/>
      </c>
      <c r="AA224" s="6" t="str">
        <f t="shared" si="58"/>
        <v/>
      </c>
      <c r="AB224" s="6" t="str">
        <f>IFERROR(IF(B224="","",SUMIFS(Billing_Fallout!J:J,Billing_Fallout!N:N,B224)),0)</f>
        <v/>
      </c>
      <c r="AD224" s="6" t="str">
        <f t="shared" si="59"/>
        <v/>
      </c>
      <c r="AF224" t="str">
        <f>IFERROR(INDEX(H_Tables!$B$1:$B$1500,MATCH(INDEX(SF_Output!$J$1:$J$400,MATCH(B224,SF_Output!$M$1:$M$400,0)),H_Tables!$A$1:$A$1500,0)),"")</f>
        <v/>
      </c>
      <c r="AI224" s="119" t="str">
        <f t="shared" si="60"/>
        <v/>
      </c>
      <c r="AJ224" s="121">
        <f>IFERROR(INDEX(SF_Output!AD:AD,MATCH(_xlfn.TEXTJOIN(",",TRUE,B224:E224),SF_Output!AC1:AC400,0)),0.05)</f>
        <v>241</v>
      </c>
      <c r="AK224" t="str">
        <f>IF(SUMIFS(SF_Output!$F$1:$F$400,SF_Output!$AC$1:$AC$400,_xlfn.TEXTJOIN(",",TRUE,B224:E224))+SUMIFS(SF_Output!$G$1:$G$400,SF_Output!$AC$1:$AC$400,_xlfn.TEXTJOIN(",",TRUE,B224:E224))=0,"","PAP")</f>
        <v/>
      </c>
      <c r="AL224" s="35" t="str">
        <f t="shared" si="61"/>
        <v/>
      </c>
      <c r="AQ224" s="35"/>
      <c r="AR224" s="35" t="str" cm="1">
        <f t="array" ref="AR224">IFERROR(_xlfn.IFS(AND(E224*1=1,F224="Included"),"Change to Included",AND(E224*1=0,F224="Optional"),"Change to Optional",OR(B224="",F224="replaced"),""),"")</f>
        <v/>
      </c>
      <c r="AS224" s="35" t="str">
        <f t="shared" si="62"/>
        <v/>
      </c>
      <c r="AT224" s="35" t="str">
        <f t="shared" si="63"/>
        <v/>
      </c>
      <c r="AU224" s="35" t="str">
        <f t="shared" si="64"/>
        <v/>
      </c>
      <c r="AV224" s="35" t="str">
        <f t="shared" si="65"/>
        <v/>
      </c>
      <c r="AW224" s="35" t="str">
        <f t="shared" si="66"/>
        <v/>
      </c>
      <c r="AX224" s="35" t="str">
        <f t="shared" si="67"/>
        <v/>
      </c>
      <c r="AY224" s="35" t="str">
        <f t="shared" si="68"/>
        <v/>
      </c>
      <c r="AZ224" s="35" t="str">
        <f t="shared" si="69"/>
        <v/>
      </c>
      <c r="BA224" s="35" t="str">
        <f t="shared" si="70"/>
        <v/>
      </c>
      <c r="BB224" s="35" t="str">
        <f t="shared" si="71"/>
        <v/>
      </c>
      <c r="BC224" s="35"/>
      <c r="BE224" s="35" t="e">
        <f>INDEX(SF_Output!$AA$2:$AA$400,MATCH($B224,SF_Output!$M$2:$M$400,0))</f>
        <v>#N/A</v>
      </c>
      <c r="BF224" s="35" t="e">
        <f>INDEX(SF_Output!$AB$2:$AB$400,MATCH($B224,SF_Output!$M$2:$M$400,0))</f>
        <v>#N/A</v>
      </c>
    </row>
    <row r="225" spans="6:58" x14ac:dyDescent="0.25">
      <c r="F225" s="116" t="str">
        <f t="shared" si="54"/>
        <v/>
      </c>
      <c r="G225" t="str">
        <f>IF(B225="","",INDEX(SF_Output!$K$1:$K$400,MATCH(B225,SF_Output!$M$1:$M$400,0)))</f>
        <v/>
      </c>
      <c r="H225" t="str" cm="1">
        <f t="array" ref="H225">_xlfn.IFS(B225="","",(SUMIFS(SF_Output!$F$1:$F$400,SF_Output!$AC$1:$AC$400,_xlfn.TEXTJOIN(",",TRUE,B225:E225))+SUMIFS(SF_Output!$G$1:$G$400,SF_Output!$AC$1:$AC$400,_xlfn.TEXTJOIN(",",TRUE,B225:E225)))&lt;&gt;0,SF_Output!$Y$2,INDEX(SF_Output!$F$1:$F$400,MATCH(_xlfn.TEXTJOIN(",",TRUE,B225:E225),SF_Output!$AC$1:$AC$400,0))=0,INDEX(SF_Output!$R$1:$R$400,MATCH(_xlfn.TEXTJOIN(",",TRUE,B225:E225),SF_Output!$AC$1:$AC$400,0)))</f>
        <v/>
      </c>
      <c r="I225" s="125" t="str">
        <f>IFERROR(IF(AND(H225&gt;1,H225&lt;&gt;""),ROUND(SUMIFS(SF_Output!$S$1:$S$400,SF_Output!$AC$1:$AC$400,_xlfn.TEXTJOIN(",",TRUE,B225:E225),SF_Output!$Q$1:$Q$400,"monthly")*(1-W225)/H225,4),""),"")</f>
        <v/>
      </c>
      <c r="J225" s="6" t="str">
        <f>IF(B225="","",SUMIFS(SF_Output!$S$1:$S$400,SF_Output!$AC$1:$AC$400,_xlfn.TEXTJOIN(",",TRUE,B225:E225),SF_Output!$Q$1:$Q$400,"One Time",SF_Output!$L$1:$L$400,"license fee")+SUMIFS(SF_Output!$S$1:$S$400,SF_Output!$AC$1:$AC$400,_xlfn.TEXTJOIN(",",TRUE,B225:E225),SF_Output!$Q$1:$Q$400,"One Time",SF_Output!$L$1:$L$400,"software license")+SUMIFS(SF_Output!$S$1:$S$400,SF_Output!$AC$1:$AC$400,_xlfn.TEXTJOIN(",",TRUE,B225:E225),SF_Output!$Q$1:$Q$400,"One Time",SF_Output!$L$1:$L$400,"hardware"))</f>
        <v/>
      </c>
      <c r="K225" s="112" t="str">
        <f>IF(OR(B225=0,B225="",G225="hardware",J225=0),"",IF(AF225&lt;&gt;"exclusion",MAX(K$9,-((SUMIFS(SF_Output!$T$1:$T$400,SF_Output!$AC$1:$AC$400,_xlfn.TEXTJOIN(",",TRUE,$B225:$E225),SF_Output!$Q$1:$Q$400,"One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license"))/J225)))</f>
        <v/>
      </c>
      <c r="L225" s="6" t="str">
        <f t="shared" si="55"/>
        <v/>
      </c>
      <c r="N225" s="6" t="str">
        <f>IF(B225="","",SUMIFS(SF_Output!$S$1:$S$400,SF_Output!$AC$1:$AC$400,_xlfn.TEXTJOIN(",",TRUE,B225:E225),SF_Output!$Q$1:$Q$400,"One Time",SF_Output!$L$1:$L$400,"professional service"))</f>
        <v/>
      </c>
      <c r="O225" s="112" t="str">
        <f>IF(OR(B225=0,B225="",N225=0),"",IF(AF225&lt;&gt;"exclusion",MAX(O$9,-(SUMIFS(SF_Output!$T$1:$T$400,SF_Output!$AC$1:$AC$400,_xlfn.TEXTJOIN(",",TRUE,$B225:$E225),SF_Output!$Q$1:$Q$400,"One Time",SF_Output!$L$1:$L$400,"professional service"))/N225),-((SUMIFS(SF_Output!$T$1:$T$400,SF_Output!$AC$1:$AC$400,_xlfn.TEXTJOIN(",",TRUE,$B225:$E225),SF_Output!$Q$1:$Q$400,"One Time",SF_Output!$L$1:$L$400,"professional service")/N225))))</f>
        <v/>
      </c>
      <c r="P225" s="6" t="str">
        <f t="shared" si="56"/>
        <v/>
      </c>
      <c r="R225" s="6" t="str">
        <f>IF(B225="","",SUMIFS(SF_Output!$S$1:$S$400,SF_Output!$AC$1:$AC$400,_xlfn.TEXTJOIN(",",TRUE,B225:E225),SF_Output!$Q$1:$Q$400,"yearly")+SUMIFS(SF_Output!$S$1:$S$400,SF_Output!$AC$1:$AC$400,_xlfn.TEXTJOIN(",",TRUE,B225:E225),SF_Output!$Q$1:$Q$400,"quarterly")*4)</f>
        <v/>
      </c>
      <c r="S225" s="112" t="str">
        <f>IF(OR(B225=0,B225="",G225="hardware",R225=0),"",IF(AF225&lt;&gt;"exclusion",MAX(S$9,-(SUMIFS(SF_Output!$T$1:$T$400,SF_Output!$AC$1:$AC$400,_xlfn.TEXTJOIN(",",TRUE,$B225:$E225),SF_Output!$Q$1:$Q$400,"yearly"))/R225),-((SUMIFS(SF_Output!$T$1:$T$400,SF_Output!$AC$1:$AC$400,_xlfn.TEXTJOIN(",",TRUE,$B225:$E225),SF_Output!$Q$1:$Q$400,"yearly")/R225))))</f>
        <v/>
      </c>
      <c r="T225" s="6" t="str">
        <f t="shared" si="57"/>
        <v/>
      </c>
      <c r="V225" s="6" t="str" cm="1">
        <f t="array" ref="V225">_xlfn.IFS(B225="","",AND(B225&lt;&gt;"",H225=SF_Output!$Y$2,SUMIFS(SF_Output!$T$1:$T$400,SF_Output!$AC$1:$AC$400,_xlfn.TEXTJOIN(",",TRUE,B225:E225),SF_Output!$Q$1:$Q$400,"monthly")=0),(SUMIFS(SF_Output!$F$1:$F$400,SF_Output!$AC$1:$AC$400,_xlfn.TEXTJOIN(",",TRUE,B225:E225),SF_Output!$Q$1:$Q$400,"monthly")+SUMIFS(SF_Output!$G$1:$G$400,SF_Output!$AC$1:$AC$400,_xlfn.TEXTJOIN(",",TRUE,B225:E225),SF_Output!$Q$1:$Q$400,"monthly"))*H225,AND(B225&lt;&gt;"",H225=SF_Output!$Y$2,SUMIFS(SF_Output!$T$1:$T$400,SF_Output!$AC$1:$AC$400,_xlfn.TEXTJOIN(",",TRUE,B225:E225),SF_Output!$Q$1:$Q$400,"monthly")&lt;&gt;0),SUMIFS(SF_Output!$S$1:$S$400,SF_Output!$AC$1:$AC$400,_xlfn.TEXTJOIN(",",TRUE,B225:E225),SF_Output!$Q$1:$Q$400,"monthly"),AND(B225&lt;&gt;"",H225&lt;&gt;SF_Output!$Y$2),SUMIFS(SF_Output!$S$1:$S$400,SF_Output!$AC$1:$AC$400,_xlfn.TEXTJOIN(",",TRUE,B225:E225),SF_Output!$Q$1:$Q$400,"monthly"))</f>
        <v/>
      </c>
      <c r="W225" s="112" t="str" cm="1">
        <f t="array" ref="W225">_xlfn.IFS(OR(B225=0,B225="",V225=0),"",AF225&lt;&gt;"exclusion",MAX($W$9,$W$7,(-(SUMIFS(SF_Output!$T$1:$T$400,SF_Output!$AC$1:$AC$400,_xlfn.TEXTJOIN(",",TRUE,$B225:$E225),SF_Output!$Q$1:$Q$400,"monthly"))/V225)),AF225="exclusion",-(SUMIFS(SF_Output!$T$1:$T$400,SF_Output!$AC$1:$AC$400,_xlfn.TEXTJOIN(",",TRUE,$B225:$E225),SF_Output!$Q$1:$Q$400,"monthly"))/V225)</f>
        <v/>
      </c>
      <c r="X225" s="6" t="str" cm="1">
        <f t="array" ref="X225">IFERROR(_xlfn.IFS(V225=0,0,V225="","",W225=0,V225,OR(V225&lt;&gt;0,V225&lt;&gt;""),H225*I225),V225*(1-W225))</f>
        <v/>
      </c>
      <c r="Z225" s="6" t="str">
        <f>IFERROR(IF(B225="","",SUMIFS(Billing_Fallout!H:H,Billing_Fallout!N:N,B225)),0)</f>
        <v/>
      </c>
      <c r="AA225" s="6" t="str">
        <f t="shared" si="58"/>
        <v/>
      </c>
      <c r="AB225" s="6" t="str">
        <f>IFERROR(IF(B225="","",SUMIFS(Billing_Fallout!J:J,Billing_Fallout!N:N,B225)),0)</f>
        <v/>
      </c>
      <c r="AD225" s="6" t="str">
        <f t="shared" si="59"/>
        <v/>
      </c>
      <c r="AF225" t="str">
        <f>IFERROR(INDEX(H_Tables!$B$1:$B$1500,MATCH(INDEX(SF_Output!$J$1:$J$400,MATCH(B225,SF_Output!$M$1:$M$400,0)),H_Tables!$A$1:$A$1500,0)),"")</f>
        <v/>
      </c>
      <c r="AI225" s="119" t="str">
        <f t="shared" si="60"/>
        <v/>
      </c>
      <c r="AJ225" s="121">
        <f>IFERROR(INDEX(SF_Output!AD:AD,MATCH(_xlfn.TEXTJOIN(",",TRUE,B225:E225),SF_Output!AC1:AC400,0)),0.05)</f>
        <v>241</v>
      </c>
      <c r="AK225" t="str">
        <f>IF(SUMIFS(SF_Output!$F$1:$F$400,SF_Output!$AC$1:$AC$400,_xlfn.TEXTJOIN(",",TRUE,B225:E225))+SUMIFS(SF_Output!$G$1:$G$400,SF_Output!$AC$1:$AC$400,_xlfn.TEXTJOIN(",",TRUE,B225:E225))=0,"","PAP")</f>
        <v/>
      </c>
      <c r="AL225" s="35" t="str">
        <f t="shared" si="61"/>
        <v/>
      </c>
      <c r="AQ225" s="35"/>
      <c r="AR225" s="35" t="str" cm="1">
        <f t="array" ref="AR225">IFERROR(_xlfn.IFS(AND(E225*1=1,F225="Included"),"Change to Included",AND(E225*1=0,F225="Optional"),"Change to Optional",OR(B225="",F225="replaced"),""),"")</f>
        <v/>
      </c>
      <c r="AS225" s="35" t="str">
        <f t="shared" si="62"/>
        <v/>
      </c>
      <c r="AT225" s="35" t="str">
        <f t="shared" si="63"/>
        <v/>
      </c>
      <c r="AU225" s="35" t="str">
        <f t="shared" si="64"/>
        <v/>
      </c>
      <c r="AV225" s="35" t="str">
        <f t="shared" si="65"/>
        <v/>
      </c>
      <c r="AW225" s="35" t="str">
        <f t="shared" si="66"/>
        <v/>
      </c>
      <c r="AX225" s="35" t="str">
        <f t="shared" si="67"/>
        <v/>
      </c>
      <c r="AY225" s="35" t="str">
        <f t="shared" si="68"/>
        <v/>
      </c>
      <c r="AZ225" s="35" t="str">
        <f t="shared" si="69"/>
        <v/>
      </c>
      <c r="BA225" s="35" t="str">
        <f t="shared" si="70"/>
        <v/>
      </c>
      <c r="BB225" s="35" t="str">
        <f t="shared" si="71"/>
        <v/>
      </c>
      <c r="BC225" s="35"/>
      <c r="BE225" s="35" t="e">
        <f>INDEX(SF_Output!$AA$2:$AA$400,MATCH($B225,SF_Output!$M$2:$M$400,0))</f>
        <v>#N/A</v>
      </c>
      <c r="BF225" s="35" t="e">
        <f>INDEX(SF_Output!$AB$2:$AB$400,MATCH($B225,SF_Output!$M$2:$M$400,0))</f>
        <v>#N/A</v>
      </c>
    </row>
    <row r="226" spans="6:58" x14ac:dyDescent="0.25">
      <c r="F226" s="116" t="str">
        <f t="shared" si="54"/>
        <v/>
      </c>
      <c r="G226" t="str">
        <f>IF(B226="","",INDEX(SF_Output!$K$1:$K$400,MATCH(B226,SF_Output!$M$1:$M$400,0)))</f>
        <v/>
      </c>
      <c r="H226" t="str" cm="1">
        <f t="array" ref="H226">_xlfn.IFS(B226="","",(SUMIFS(SF_Output!$F$1:$F$400,SF_Output!$AC$1:$AC$400,_xlfn.TEXTJOIN(",",TRUE,B226:E226))+SUMIFS(SF_Output!$G$1:$G$400,SF_Output!$AC$1:$AC$400,_xlfn.TEXTJOIN(",",TRUE,B226:E226)))&lt;&gt;0,SF_Output!$Y$2,INDEX(SF_Output!$F$1:$F$400,MATCH(_xlfn.TEXTJOIN(",",TRUE,B226:E226),SF_Output!$AC$1:$AC$400,0))=0,INDEX(SF_Output!$R$1:$R$400,MATCH(_xlfn.TEXTJOIN(",",TRUE,B226:E226),SF_Output!$AC$1:$AC$400,0)))</f>
        <v/>
      </c>
      <c r="I226" s="125" t="str">
        <f>IFERROR(IF(AND(H226&gt;1,H226&lt;&gt;""),ROUND(SUMIFS(SF_Output!$S$1:$S$400,SF_Output!$AC$1:$AC$400,_xlfn.TEXTJOIN(",",TRUE,B226:E226),SF_Output!$Q$1:$Q$400,"monthly")*(1-W226)/H226,4),""),"")</f>
        <v/>
      </c>
      <c r="J226" s="6" t="str">
        <f>IF(B226="","",SUMIFS(SF_Output!$S$1:$S$400,SF_Output!$AC$1:$AC$400,_xlfn.TEXTJOIN(",",TRUE,B226:E226),SF_Output!$Q$1:$Q$400,"One Time",SF_Output!$L$1:$L$400,"license fee")+SUMIFS(SF_Output!$S$1:$S$400,SF_Output!$AC$1:$AC$400,_xlfn.TEXTJOIN(",",TRUE,B226:E226),SF_Output!$Q$1:$Q$400,"One Time",SF_Output!$L$1:$L$400,"software license")+SUMIFS(SF_Output!$S$1:$S$400,SF_Output!$AC$1:$AC$400,_xlfn.TEXTJOIN(",",TRUE,B226:E226),SF_Output!$Q$1:$Q$400,"One Time",SF_Output!$L$1:$L$400,"hardware"))</f>
        <v/>
      </c>
      <c r="K226" s="112" t="str">
        <f>IF(OR(B226=0,B226="",G226="hardware",J226=0),"",IF(AF226&lt;&gt;"exclusion",MAX(K$9,-((SUMIFS(SF_Output!$T$1:$T$400,SF_Output!$AC$1:$AC$400,_xlfn.TEXTJOIN(",",TRUE,$B226:$E226),SF_Output!$Q$1:$Q$400,"One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license"))/J226)))</f>
        <v/>
      </c>
      <c r="L226" s="6" t="str">
        <f t="shared" si="55"/>
        <v/>
      </c>
      <c r="N226" s="6" t="str">
        <f>IF(B226="","",SUMIFS(SF_Output!$S$1:$S$400,SF_Output!$AC$1:$AC$400,_xlfn.TEXTJOIN(",",TRUE,B226:E226),SF_Output!$Q$1:$Q$400,"One Time",SF_Output!$L$1:$L$400,"professional service"))</f>
        <v/>
      </c>
      <c r="O226" s="112" t="str">
        <f>IF(OR(B226=0,B226="",N226=0),"",IF(AF226&lt;&gt;"exclusion",MAX(O$9,-(SUMIFS(SF_Output!$T$1:$T$400,SF_Output!$AC$1:$AC$400,_xlfn.TEXTJOIN(",",TRUE,$B226:$E226),SF_Output!$Q$1:$Q$400,"One Time",SF_Output!$L$1:$L$400,"professional service"))/N226),-((SUMIFS(SF_Output!$T$1:$T$400,SF_Output!$AC$1:$AC$400,_xlfn.TEXTJOIN(",",TRUE,$B226:$E226),SF_Output!$Q$1:$Q$400,"One Time",SF_Output!$L$1:$L$400,"professional service")/N226))))</f>
        <v/>
      </c>
      <c r="P226" s="6" t="str">
        <f t="shared" si="56"/>
        <v/>
      </c>
      <c r="R226" s="6" t="str">
        <f>IF(B226="","",SUMIFS(SF_Output!$S$1:$S$400,SF_Output!$AC$1:$AC$400,_xlfn.TEXTJOIN(",",TRUE,B226:E226),SF_Output!$Q$1:$Q$400,"yearly")+SUMIFS(SF_Output!$S$1:$S$400,SF_Output!$AC$1:$AC$400,_xlfn.TEXTJOIN(",",TRUE,B226:E226),SF_Output!$Q$1:$Q$400,"quarterly")*4)</f>
        <v/>
      </c>
      <c r="S226" s="112" t="str">
        <f>IF(OR(B226=0,B226="",G226="hardware",R226=0),"",IF(AF226&lt;&gt;"exclusion",MAX(S$9,-(SUMIFS(SF_Output!$T$1:$T$400,SF_Output!$AC$1:$AC$400,_xlfn.TEXTJOIN(",",TRUE,$B226:$E226),SF_Output!$Q$1:$Q$400,"yearly"))/R226),-((SUMIFS(SF_Output!$T$1:$T$400,SF_Output!$AC$1:$AC$400,_xlfn.TEXTJOIN(",",TRUE,$B226:$E226),SF_Output!$Q$1:$Q$400,"yearly")/R226))))</f>
        <v/>
      </c>
      <c r="T226" s="6" t="str">
        <f t="shared" si="57"/>
        <v/>
      </c>
      <c r="V226" s="6" t="str" cm="1">
        <f t="array" ref="V226">_xlfn.IFS(B226="","",AND(B226&lt;&gt;"",H226=SF_Output!$Y$2,SUMIFS(SF_Output!$T$1:$T$400,SF_Output!$AC$1:$AC$400,_xlfn.TEXTJOIN(",",TRUE,B226:E226),SF_Output!$Q$1:$Q$400,"monthly")=0),(SUMIFS(SF_Output!$F$1:$F$400,SF_Output!$AC$1:$AC$400,_xlfn.TEXTJOIN(",",TRUE,B226:E226),SF_Output!$Q$1:$Q$400,"monthly")+SUMIFS(SF_Output!$G$1:$G$400,SF_Output!$AC$1:$AC$400,_xlfn.TEXTJOIN(",",TRUE,B226:E226),SF_Output!$Q$1:$Q$400,"monthly"))*H226,AND(B226&lt;&gt;"",H226=SF_Output!$Y$2,SUMIFS(SF_Output!$T$1:$T$400,SF_Output!$AC$1:$AC$400,_xlfn.TEXTJOIN(",",TRUE,B226:E226),SF_Output!$Q$1:$Q$400,"monthly")&lt;&gt;0),SUMIFS(SF_Output!$S$1:$S$400,SF_Output!$AC$1:$AC$400,_xlfn.TEXTJOIN(",",TRUE,B226:E226),SF_Output!$Q$1:$Q$400,"monthly"),AND(B226&lt;&gt;"",H226&lt;&gt;SF_Output!$Y$2),SUMIFS(SF_Output!$S$1:$S$400,SF_Output!$AC$1:$AC$400,_xlfn.TEXTJOIN(",",TRUE,B226:E226),SF_Output!$Q$1:$Q$400,"monthly"))</f>
        <v/>
      </c>
      <c r="W226" s="112" t="str" cm="1">
        <f t="array" ref="W226">_xlfn.IFS(OR(B226=0,B226="",V226=0),"",AF226&lt;&gt;"exclusion",MAX($W$9,$W$7,(-(SUMIFS(SF_Output!$T$1:$T$400,SF_Output!$AC$1:$AC$400,_xlfn.TEXTJOIN(",",TRUE,$B226:$E226),SF_Output!$Q$1:$Q$400,"monthly"))/V226)),AF226="exclusion",-(SUMIFS(SF_Output!$T$1:$T$400,SF_Output!$AC$1:$AC$400,_xlfn.TEXTJOIN(",",TRUE,$B226:$E226),SF_Output!$Q$1:$Q$400,"monthly"))/V226)</f>
        <v/>
      </c>
      <c r="X226" s="6" t="str" cm="1">
        <f t="array" ref="X226">IFERROR(_xlfn.IFS(V226=0,0,V226="","",W226=0,V226,OR(V226&lt;&gt;0,V226&lt;&gt;""),H226*I226),V226*(1-W226))</f>
        <v/>
      </c>
      <c r="Z226" s="6" t="str">
        <f>IFERROR(IF(B226="","",SUMIFS(Billing_Fallout!H:H,Billing_Fallout!N:N,B226)),0)</f>
        <v/>
      </c>
      <c r="AA226" s="6" t="str">
        <f t="shared" si="58"/>
        <v/>
      </c>
      <c r="AB226" s="6" t="str">
        <f>IFERROR(IF(B226="","",SUMIFS(Billing_Fallout!J:J,Billing_Fallout!N:N,B226)),0)</f>
        <v/>
      </c>
      <c r="AD226" s="6" t="str">
        <f t="shared" si="59"/>
        <v/>
      </c>
      <c r="AF226" t="str">
        <f>IFERROR(INDEX(H_Tables!$B$1:$B$1500,MATCH(INDEX(SF_Output!$J$1:$J$400,MATCH(B226,SF_Output!$M$1:$M$400,0)),H_Tables!$A$1:$A$1500,0)),"")</f>
        <v/>
      </c>
      <c r="AI226" s="119" t="str">
        <f t="shared" si="60"/>
        <v/>
      </c>
      <c r="AJ226" s="121">
        <f>IFERROR(INDEX(SF_Output!AD:AD,MATCH(_xlfn.TEXTJOIN(",",TRUE,B226:E226),SF_Output!AC1:AC400,0)),0.05)</f>
        <v>241</v>
      </c>
      <c r="AK226" t="str">
        <f>IF(SUMIFS(SF_Output!$F$1:$F$400,SF_Output!$AC$1:$AC$400,_xlfn.TEXTJOIN(",",TRUE,B226:E226))+SUMIFS(SF_Output!$G$1:$G$400,SF_Output!$AC$1:$AC$400,_xlfn.TEXTJOIN(",",TRUE,B226:E226))=0,"","PAP")</f>
        <v/>
      </c>
      <c r="AL226" s="35" t="str">
        <f t="shared" si="61"/>
        <v/>
      </c>
      <c r="AQ226" s="35"/>
      <c r="AR226" s="35" t="str" cm="1">
        <f t="array" ref="AR226">IFERROR(_xlfn.IFS(AND(E226*1=1,F226="Included"),"Change to Included",AND(E226*1=0,F226="Optional"),"Change to Optional",OR(B226="",F226="replaced"),""),"")</f>
        <v/>
      </c>
      <c r="AS226" s="35" t="str">
        <f t="shared" si="62"/>
        <v/>
      </c>
      <c r="AT226" s="35" t="str">
        <f t="shared" si="63"/>
        <v/>
      </c>
      <c r="AU226" s="35" t="str">
        <f t="shared" si="64"/>
        <v/>
      </c>
      <c r="AV226" s="35" t="str">
        <f t="shared" si="65"/>
        <v/>
      </c>
      <c r="AW226" s="35" t="str">
        <f t="shared" si="66"/>
        <v/>
      </c>
      <c r="AX226" s="35" t="str">
        <f t="shared" si="67"/>
        <v/>
      </c>
      <c r="AY226" s="35" t="str">
        <f t="shared" si="68"/>
        <v/>
      </c>
      <c r="AZ226" s="35" t="str">
        <f t="shared" si="69"/>
        <v/>
      </c>
      <c r="BA226" s="35" t="str">
        <f t="shared" si="70"/>
        <v/>
      </c>
      <c r="BB226" s="35" t="str">
        <f t="shared" si="71"/>
        <v/>
      </c>
      <c r="BC226" s="35"/>
      <c r="BE226" s="35" t="e">
        <f>INDEX(SF_Output!$AA$2:$AA$400,MATCH($B226,SF_Output!$M$2:$M$400,0))</f>
        <v>#N/A</v>
      </c>
      <c r="BF226" s="35" t="e">
        <f>INDEX(SF_Output!$AB$2:$AB$400,MATCH($B226,SF_Output!$M$2:$M$400,0))</f>
        <v>#N/A</v>
      </c>
    </row>
    <row r="227" spans="6:58" x14ac:dyDescent="0.25">
      <c r="F227" s="116" t="str">
        <f t="shared" si="54"/>
        <v/>
      </c>
      <c r="G227" t="str">
        <f>IF(B227="","",INDEX(SF_Output!$K$1:$K$400,MATCH(B227,SF_Output!$M$1:$M$400,0)))</f>
        <v/>
      </c>
      <c r="H227" t="str" cm="1">
        <f t="array" ref="H227">_xlfn.IFS(B227="","",(SUMIFS(SF_Output!$F$1:$F$400,SF_Output!$AC$1:$AC$400,_xlfn.TEXTJOIN(",",TRUE,B227:E227))+SUMIFS(SF_Output!$G$1:$G$400,SF_Output!$AC$1:$AC$400,_xlfn.TEXTJOIN(",",TRUE,B227:E227)))&lt;&gt;0,SF_Output!$Y$2,INDEX(SF_Output!$F$1:$F$400,MATCH(_xlfn.TEXTJOIN(",",TRUE,B227:E227),SF_Output!$AC$1:$AC$400,0))=0,INDEX(SF_Output!$R$1:$R$400,MATCH(_xlfn.TEXTJOIN(",",TRUE,B227:E227),SF_Output!$AC$1:$AC$400,0)))</f>
        <v/>
      </c>
      <c r="I227" s="125" t="str">
        <f>IFERROR(IF(AND(H227&gt;1,H227&lt;&gt;""),ROUND(SUMIFS(SF_Output!$S$1:$S$400,SF_Output!$AC$1:$AC$400,_xlfn.TEXTJOIN(",",TRUE,B227:E227),SF_Output!$Q$1:$Q$400,"monthly")*(1-W227)/H227,4),""),"")</f>
        <v/>
      </c>
      <c r="J227" s="6" t="str">
        <f>IF(B227="","",SUMIFS(SF_Output!$S$1:$S$400,SF_Output!$AC$1:$AC$400,_xlfn.TEXTJOIN(",",TRUE,B227:E227),SF_Output!$Q$1:$Q$400,"One Time",SF_Output!$L$1:$L$400,"license fee")+SUMIFS(SF_Output!$S$1:$S$400,SF_Output!$AC$1:$AC$400,_xlfn.TEXTJOIN(",",TRUE,B227:E227),SF_Output!$Q$1:$Q$400,"One Time",SF_Output!$L$1:$L$400,"software license")+SUMIFS(SF_Output!$S$1:$S$400,SF_Output!$AC$1:$AC$400,_xlfn.TEXTJOIN(",",TRUE,B227:E227),SF_Output!$Q$1:$Q$400,"One Time",SF_Output!$L$1:$L$400,"hardware"))</f>
        <v/>
      </c>
      <c r="K227" s="112" t="str">
        <f>IF(OR(B227=0,B227="",G227="hardware",J227=0),"",IF(AF227&lt;&gt;"exclusion",MAX(K$9,-((SUMIFS(SF_Output!$T$1:$T$400,SF_Output!$AC$1:$AC$400,_xlfn.TEXTJOIN(",",TRUE,$B227:$E227),SF_Output!$Q$1:$Q$400,"One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license"))/J227)))</f>
        <v/>
      </c>
      <c r="L227" s="6" t="str">
        <f t="shared" si="55"/>
        <v/>
      </c>
      <c r="N227" s="6" t="str">
        <f>IF(B227="","",SUMIFS(SF_Output!$S$1:$S$400,SF_Output!$AC$1:$AC$400,_xlfn.TEXTJOIN(",",TRUE,B227:E227),SF_Output!$Q$1:$Q$400,"One Time",SF_Output!$L$1:$L$400,"professional service"))</f>
        <v/>
      </c>
      <c r="O227" s="112" t="str">
        <f>IF(OR(B227=0,B227="",N227=0),"",IF(AF227&lt;&gt;"exclusion",MAX(O$9,-(SUMIFS(SF_Output!$T$1:$T$400,SF_Output!$AC$1:$AC$400,_xlfn.TEXTJOIN(",",TRUE,$B227:$E227),SF_Output!$Q$1:$Q$400,"One Time",SF_Output!$L$1:$L$400,"professional service"))/N227),-((SUMIFS(SF_Output!$T$1:$T$400,SF_Output!$AC$1:$AC$400,_xlfn.TEXTJOIN(",",TRUE,$B227:$E227),SF_Output!$Q$1:$Q$400,"One Time",SF_Output!$L$1:$L$400,"professional service")/N227))))</f>
        <v/>
      </c>
      <c r="P227" s="6" t="str">
        <f t="shared" si="56"/>
        <v/>
      </c>
      <c r="R227" s="6" t="str">
        <f>IF(B227="","",SUMIFS(SF_Output!$S$1:$S$400,SF_Output!$AC$1:$AC$400,_xlfn.TEXTJOIN(",",TRUE,B227:E227),SF_Output!$Q$1:$Q$400,"yearly")+SUMIFS(SF_Output!$S$1:$S$400,SF_Output!$AC$1:$AC$400,_xlfn.TEXTJOIN(",",TRUE,B227:E227),SF_Output!$Q$1:$Q$400,"quarterly")*4)</f>
        <v/>
      </c>
      <c r="S227" s="112" t="str">
        <f>IF(OR(B227=0,B227="",G227="hardware",R227=0),"",IF(AF227&lt;&gt;"exclusion",MAX(S$9,-(SUMIFS(SF_Output!$T$1:$T$400,SF_Output!$AC$1:$AC$400,_xlfn.TEXTJOIN(",",TRUE,$B227:$E227),SF_Output!$Q$1:$Q$400,"yearly"))/R227),-((SUMIFS(SF_Output!$T$1:$T$400,SF_Output!$AC$1:$AC$400,_xlfn.TEXTJOIN(",",TRUE,$B227:$E227),SF_Output!$Q$1:$Q$400,"yearly")/R227))))</f>
        <v/>
      </c>
      <c r="T227" s="6" t="str">
        <f t="shared" si="57"/>
        <v/>
      </c>
      <c r="V227" s="6" t="str" cm="1">
        <f t="array" ref="V227">_xlfn.IFS(B227="","",AND(B227&lt;&gt;"",H227=SF_Output!$Y$2,SUMIFS(SF_Output!$T$1:$T$400,SF_Output!$AC$1:$AC$400,_xlfn.TEXTJOIN(",",TRUE,B227:E227),SF_Output!$Q$1:$Q$400,"monthly")=0),(SUMIFS(SF_Output!$F$1:$F$400,SF_Output!$AC$1:$AC$400,_xlfn.TEXTJOIN(",",TRUE,B227:E227),SF_Output!$Q$1:$Q$400,"monthly")+SUMIFS(SF_Output!$G$1:$G$400,SF_Output!$AC$1:$AC$400,_xlfn.TEXTJOIN(",",TRUE,B227:E227),SF_Output!$Q$1:$Q$400,"monthly"))*H227,AND(B227&lt;&gt;"",H227=SF_Output!$Y$2,SUMIFS(SF_Output!$T$1:$T$400,SF_Output!$AC$1:$AC$400,_xlfn.TEXTJOIN(",",TRUE,B227:E227),SF_Output!$Q$1:$Q$400,"monthly")&lt;&gt;0),SUMIFS(SF_Output!$S$1:$S$400,SF_Output!$AC$1:$AC$400,_xlfn.TEXTJOIN(",",TRUE,B227:E227),SF_Output!$Q$1:$Q$400,"monthly"),AND(B227&lt;&gt;"",H227&lt;&gt;SF_Output!$Y$2),SUMIFS(SF_Output!$S$1:$S$400,SF_Output!$AC$1:$AC$400,_xlfn.TEXTJOIN(",",TRUE,B227:E227),SF_Output!$Q$1:$Q$400,"monthly"))</f>
        <v/>
      </c>
      <c r="W227" s="112" t="str" cm="1">
        <f t="array" ref="W227">_xlfn.IFS(OR(B227=0,B227="",V227=0),"",AF227&lt;&gt;"exclusion",MAX($W$9,$W$7,(-(SUMIFS(SF_Output!$T$1:$T$400,SF_Output!$AC$1:$AC$400,_xlfn.TEXTJOIN(",",TRUE,$B227:$E227),SF_Output!$Q$1:$Q$400,"monthly"))/V227)),AF227="exclusion",-(SUMIFS(SF_Output!$T$1:$T$400,SF_Output!$AC$1:$AC$400,_xlfn.TEXTJOIN(",",TRUE,$B227:$E227),SF_Output!$Q$1:$Q$400,"monthly"))/V227)</f>
        <v/>
      </c>
      <c r="X227" s="6" t="str" cm="1">
        <f t="array" ref="X227">IFERROR(_xlfn.IFS(V227=0,0,V227="","",W227=0,V227,OR(V227&lt;&gt;0,V227&lt;&gt;""),H227*I227),V227*(1-W227))</f>
        <v/>
      </c>
      <c r="Z227" s="6" t="str">
        <f>IFERROR(IF(B227="","",SUMIFS(Billing_Fallout!H:H,Billing_Fallout!N:N,B227)),0)</f>
        <v/>
      </c>
      <c r="AA227" s="6" t="str">
        <f t="shared" si="58"/>
        <v/>
      </c>
      <c r="AB227" s="6" t="str">
        <f>IFERROR(IF(B227="","",SUMIFS(Billing_Fallout!J:J,Billing_Fallout!N:N,B227)),0)</f>
        <v/>
      </c>
      <c r="AD227" s="6" t="str">
        <f t="shared" si="59"/>
        <v/>
      </c>
      <c r="AF227" t="str">
        <f>IFERROR(INDEX(H_Tables!$B$1:$B$1500,MATCH(INDEX(SF_Output!$J$1:$J$400,MATCH(B227,SF_Output!$M$1:$M$400,0)),H_Tables!$A$1:$A$1500,0)),"")</f>
        <v/>
      </c>
      <c r="AI227" s="119" t="str">
        <f t="shared" si="60"/>
        <v/>
      </c>
      <c r="AJ227" s="121">
        <f>IFERROR(INDEX(SF_Output!AD:AD,MATCH(_xlfn.TEXTJOIN(",",TRUE,B227:E227),SF_Output!AC1:AC400,0)),0.05)</f>
        <v>241</v>
      </c>
      <c r="AK227" t="str">
        <f>IF(SUMIFS(SF_Output!$F$1:$F$400,SF_Output!$AC$1:$AC$400,_xlfn.TEXTJOIN(",",TRUE,B227:E227))+SUMIFS(SF_Output!$G$1:$G$400,SF_Output!$AC$1:$AC$400,_xlfn.TEXTJOIN(",",TRUE,B227:E227))=0,"","PAP")</f>
        <v/>
      </c>
      <c r="AL227" s="35" t="str">
        <f t="shared" si="61"/>
        <v/>
      </c>
      <c r="AQ227" s="35"/>
      <c r="AR227" s="35" t="str" cm="1">
        <f t="array" ref="AR227">IFERROR(_xlfn.IFS(AND(E227*1=1,F227="Included"),"Change to Included",AND(E227*1=0,F227="Optional"),"Change to Optional",OR(B227="",F227="replaced"),""),"")</f>
        <v/>
      </c>
      <c r="AS227" s="35" t="str">
        <f t="shared" si="62"/>
        <v/>
      </c>
      <c r="AT227" s="35" t="str">
        <f t="shared" si="63"/>
        <v/>
      </c>
      <c r="AU227" s="35" t="str">
        <f t="shared" si="64"/>
        <v/>
      </c>
      <c r="AV227" s="35" t="str">
        <f t="shared" si="65"/>
        <v/>
      </c>
      <c r="AW227" s="35" t="str">
        <f t="shared" si="66"/>
        <v/>
      </c>
      <c r="AX227" s="35" t="str">
        <f t="shared" si="67"/>
        <v/>
      </c>
      <c r="AY227" s="35" t="str">
        <f t="shared" si="68"/>
        <v/>
      </c>
      <c r="AZ227" s="35" t="str">
        <f t="shared" si="69"/>
        <v/>
      </c>
      <c r="BA227" s="35" t="str">
        <f t="shared" si="70"/>
        <v/>
      </c>
      <c r="BB227" s="35" t="str">
        <f t="shared" si="71"/>
        <v/>
      </c>
      <c r="BC227" s="35"/>
      <c r="BE227" s="35" t="e">
        <f>INDEX(SF_Output!$AA$2:$AA$400,MATCH($B227,SF_Output!$M$2:$M$400,0))</f>
        <v>#N/A</v>
      </c>
      <c r="BF227" s="35" t="e">
        <f>INDEX(SF_Output!$AB$2:$AB$400,MATCH($B227,SF_Output!$M$2:$M$400,0))</f>
        <v>#N/A</v>
      </c>
    </row>
    <row r="228" spans="6:58" x14ac:dyDescent="0.25">
      <c r="F228" s="116" t="str">
        <f t="shared" si="54"/>
        <v/>
      </c>
      <c r="G228" t="str">
        <f>IF(B228="","",INDEX(SF_Output!$K$1:$K$400,MATCH(B228,SF_Output!$M$1:$M$400,0)))</f>
        <v/>
      </c>
      <c r="H228" t="str" cm="1">
        <f t="array" ref="H228">_xlfn.IFS(B228="","",(SUMIFS(SF_Output!$F$1:$F$400,SF_Output!$AC$1:$AC$400,_xlfn.TEXTJOIN(",",TRUE,B228:E228))+SUMIFS(SF_Output!$G$1:$G$400,SF_Output!$AC$1:$AC$400,_xlfn.TEXTJOIN(",",TRUE,B228:E228)))&lt;&gt;0,SF_Output!$Y$2,INDEX(SF_Output!$F$1:$F$400,MATCH(_xlfn.TEXTJOIN(",",TRUE,B228:E228),SF_Output!$AC$1:$AC$400,0))=0,INDEX(SF_Output!$R$1:$R$400,MATCH(_xlfn.TEXTJOIN(",",TRUE,B228:E228),SF_Output!$AC$1:$AC$400,0)))</f>
        <v/>
      </c>
      <c r="I228" s="125" t="str">
        <f>IFERROR(IF(AND(H228&gt;1,H228&lt;&gt;""),ROUND(SUMIFS(SF_Output!$S$1:$S$400,SF_Output!$AC$1:$AC$400,_xlfn.TEXTJOIN(",",TRUE,B228:E228),SF_Output!$Q$1:$Q$400,"monthly")*(1-W228)/H228,4),""),"")</f>
        <v/>
      </c>
      <c r="J228" s="6" t="str">
        <f>IF(B228="","",SUMIFS(SF_Output!$S$1:$S$400,SF_Output!$AC$1:$AC$400,_xlfn.TEXTJOIN(",",TRUE,B228:E228),SF_Output!$Q$1:$Q$400,"One Time",SF_Output!$L$1:$L$400,"license fee")+SUMIFS(SF_Output!$S$1:$S$400,SF_Output!$AC$1:$AC$400,_xlfn.TEXTJOIN(",",TRUE,B228:E228),SF_Output!$Q$1:$Q$400,"One Time",SF_Output!$L$1:$L$400,"software license")+SUMIFS(SF_Output!$S$1:$S$400,SF_Output!$AC$1:$AC$400,_xlfn.TEXTJOIN(",",TRUE,B228:E228),SF_Output!$Q$1:$Q$400,"One Time",SF_Output!$L$1:$L$400,"hardware"))</f>
        <v/>
      </c>
      <c r="K228" s="112" t="str">
        <f>IF(OR(B228=0,B228="",G228="hardware",J228=0),"",IF(AF228&lt;&gt;"exclusion",MAX(K$9,-((SUMIFS(SF_Output!$T$1:$T$400,SF_Output!$AC$1:$AC$400,_xlfn.TEXTJOIN(",",TRUE,$B228:$E228),SF_Output!$Q$1:$Q$400,"One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license"))/J228)))</f>
        <v/>
      </c>
      <c r="L228" s="6" t="str">
        <f t="shared" si="55"/>
        <v/>
      </c>
      <c r="N228" s="6" t="str">
        <f>IF(B228="","",SUMIFS(SF_Output!$S$1:$S$400,SF_Output!$AC$1:$AC$400,_xlfn.TEXTJOIN(",",TRUE,B228:E228),SF_Output!$Q$1:$Q$400,"One Time",SF_Output!$L$1:$L$400,"professional service"))</f>
        <v/>
      </c>
      <c r="O228" s="112" t="str">
        <f>IF(OR(B228=0,B228="",N228=0),"",IF(AF228&lt;&gt;"exclusion",MAX(O$9,-(SUMIFS(SF_Output!$T$1:$T$400,SF_Output!$AC$1:$AC$400,_xlfn.TEXTJOIN(",",TRUE,$B228:$E228),SF_Output!$Q$1:$Q$400,"One Time",SF_Output!$L$1:$L$400,"professional service"))/N228),-((SUMIFS(SF_Output!$T$1:$T$400,SF_Output!$AC$1:$AC$400,_xlfn.TEXTJOIN(",",TRUE,$B228:$E228),SF_Output!$Q$1:$Q$400,"One Time",SF_Output!$L$1:$L$400,"professional service")/N228))))</f>
        <v/>
      </c>
      <c r="P228" s="6" t="str">
        <f t="shared" si="56"/>
        <v/>
      </c>
      <c r="R228" s="6" t="str">
        <f>IF(B228="","",SUMIFS(SF_Output!$S$1:$S$400,SF_Output!$AC$1:$AC$400,_xlfn.TEXTJOIN(",",TRUE,B228:E228),SF_Output!$Q$1:$Q$400,"yearly")+SUMIFS(SF_Output!$S$1:$S$400,SF_Output!$AC$1:$AC$400,_xlfn.TEXTJOIN(",",TRUE,B228:E228),SF_Output!$Q$1:$Q$400,"quarterly")*4)</f>
        <v/>
      </c>
      <c r="S228" s="112" t="str">
        <f>IF(OR(B228=0,B228="",G228="hardware",R228=0),"",IF(AF228&lt;&gt;"exclusion",MAX(S$9,-(SUMIFS(SF_Output!$T$1:$T$400,SF_Output!$AC$1:$AC$400,_xlfn.TEXTJOIN(",",TRUE,$B228:$E228),SF_Output!$Q$1:$Q$400,"yearly"))/R228),-((SUMIFS(SF_Output!$T$1:$T$400,SF_Output!$AC$1:$AC$400,_xlfn.TEXTJOIN(",",TRUE,$B228:$E228),SF_Output!$Q$1:$Q$400,"yearly")/R228))))</f>
        <v/>
      </c>
      <c r="T228" s="6" t="str">
        <f t="shared" si="57"/>
        <v/>
      </c>
      <c r="V228" s="6" t="str" cm="1">
        <f t="array" ref="V228">_xlfn.IFS(B228="","",AND(B228&lt;&gt;"",H228=SF_Output!$Y$2,SUMIFS(SF_Output!$T$1:$T$400,SF_Output!$AC$1:$AC$400,_xlfn.TEXTJOIN(",",TRUE,B228:E228),SF_Output!$Q$1:$Q$400,"monthly")=0),(SUMIFS(SF_Output!$F$1:$F$400,SF_Output!$AC$1:$AC$400,_xlfn.TEXTJOIN(",",TRUE,B228:E228),SF_Output!$Q$1:$Q$400,"monthly")+SUMIFS(SF_Output!$G$1:$G$400,SF_Output!$AC$1:$AC$400,_xlfn.TEXTJOIN(",",TRUE,B228:E228),SF_Output!$Q$1:$Q$400,"monthly"))*H228,AND(B228&lt;&gt;"",H228=SF_Output!$Y$2,SUMIFS(SF_Output!$T$1:$T$400,SF_Output!$AC$1:$AC$400,_xlfn.TEXTJOIN(",",TRUE,B228:E228),SF_Output!$Q$1:$Q$400,"monthly")&lt;&gt;0),SUMIFS(SF_Output!$S$1:$S$400,SF_Output!$AC$1:$AC$400,_xlfn.TEXTJOIN(",",TRUE,B228:E228),SF_Output!$Q$1:$Q$400,"monthly"),AND(B228&lt;&gt;"",H228&lt;&gt;SF_Output!$Y$2),SUMIFS(SF_Output!$S$1:$S$400,SF_Output!$AC$1:$AC$400,_xlfn.TEXTJOIN(",",TRUE,B228:E228),SF_Output!$Q$1:$Q$400,"monthly"))</f>
        <v/>
      </c>
      <c r="W228" s="112" t="str" cm="1">
        <f t="array" ref="W228">_xlfn.IFS(OR(B228=0,B228="",V228=0),"",AF228&lt;&gt;"exclusion",MAX($W$9,$W$7,(-(SUMIFS(SF_Output!$T$1:$T$400,SF_Output!$AC$1:$AC$400,_xlfn.TEXTJOIN(",",TRUE,$B228:$E228),SF_Output!$Q$1:$Q$400,"monthly"))/V228)),AF228="exclusion",-(SUMIFS(SF_Output!$T$1:$T$400,SF_Output!$AC$1:$AC$400,_xlfn.TEXTJOIN(",",TRUE,$B228:$E228),SF_Output!$Q$1:$Q$400,"monthly"))/V228)</f>
        <v/>
      </c>
      <c r="X228" s="6" t="str" cm="1">
        <f t="array" ref="X228">IFERROR(_xlfn.IFS(V228=0,0,V228="","",W228=0,V228,OR(V228&lt;&gt;0,V228&lt;&gt;""),H228*I228),V228*(1-W228))</f>
        <v/>
      </c>
      <c r="Z228" s="6" t="str">
        <f>IFERROR(IF(B228="","",SUMIFS(Billing_Fallout!H:H,Billing_Fallout!N:N,B228)),0)</f>
        <v/>
      </c>
      <c r="AA228" s="6" t="str">
        <f t="shared" si="58"/>
        <v/>
      </c>
      <c r="AB228" s="6" t="str">
        <f>IFERROR(IF(B228="","",SUMIFS(Billing_Fallout!J:J,Billing_Fallout!N:N,B228)),0)</f>
        <v/>
      </c>
      <c r="AD228" s="6" t="str">
        <f t="shared" si="59"/>
        <v/>
      </c>
      <c r="AF228" t="str">
        <f>IFERROR(INDEX(H_Tables!$B$1:$B$1500,MATCH(INDEX(SF_Output!$J$1:$J$400,MATCH(B228,SF_Output!$M$1:$M$400,0)),H_Tables!$A$1:$A$1500,0)),"")</f>
        <v/>
      </c>
      <c r="AI228" s="119" t="str">
        <f t="shared" si="60"/>
        <v/>
      </c>
      <c r="AJ228" s="121">
        <f>IFERROR(INDEX(SF_Output!AD:AD,MATCH(_xlfn.TEXTJOIN(",",TRUE,B228:E228),SF_Output!AC1:AC400,0)),0.05)</f>
        <v>241</v>
      </c>
      <c r="AK228" t="str">
        <f>IF(SUMIFS(SF_Output!$F$1:$F$400,SF_Output!$AC$1:$AC$400,_xlfn.TEXTJOIN(",",TRUE,B228:E228))+SUMIFS(SF_Output!$G$1:$G$400,SF_Output!$AC$1:$AC$400,_xlfn.TEXTJOIN(",",TRUE,B228:E228))=0,"","PAP")</f>
        <v/>
      </c>
      <c r="AL228" s="35" t="str">
        <f t="shared" si="61"/>
        <v/>
      </c>
      <c r="AQ228" s="35"/>
      <c r="AR228" s="35" t="str" cm="1">
        <f t="array" ref="AR228">IFERROR(_xlfn.IFS(AND(E228*1=1,F228="Included"),"Change to Included",AND(E228*1=0,F228="Optional"),"Change to Optional",OR(B228="",F228="replaced"),""),"")</f>
        <v/>
      </c>
      <c r="AS228" s="35" t="str">
        <f t="shared" si="62"/>
        <v/>
      </c>
      <c r="AT228" s="35" t="str">
        <f t="shared" si="63"/>
        <v/>
      </c>
      <c r="AU228" s="35" t="str">
        <f t="shared" si="64"/>
        <v/>
      </c>
      <c r="AV228" s="35" t="str">
        <f t="shared" si="65"/>
        <v/>
      </c>
      <c r="AW228" s="35" t="str">
        <f t="shared" si="66"/>
        <v/>
      </c>
      <c r="AX228" s="35" t="str">
        <f t="shared" si="67"/>
        <v/>
      </c>
      <c r="AY228" s="35" t="str">
        <f t="shared" si="68"/>
        <v/>
      </c>
      <c r="AZ228" s="35" t="str">
        <f t="shared" si="69"/>
        <v/>
      </c>
      <c r="BA228" s="35" t="str">
        <f t="shared" si="70"/>
        <v/>
      </c>
      <c r="BB228" s="35" t="str">
        <f t="shared" si="71"/>
        <v/>
      </c>
      <c r="BC228" s="35"/>
      <c r="BE228" s="35" t="e">
        <f>INDEX(SF_Output!$AA$2:$AA$400,MATCH($B228,SF_Output!$M$2:$M$400,0))</f>
        <v>#N/A</v>
      </c>
      <c r="BF228" s="35" t="e">
        <f>INDEX(SF_Output!$AB$2:$AB$400,MATCH($B228,SF_Output!$M$2:$M$400,0))</f>
        <v>#N/A</v>
      </c>
    </row>
    <row r="229" spans="6:58" x14ac:dyDescent="0.25">
      <c r="F229" s="116" t="str">
        <f t="shared" si="54"/>
        <v/>
      </c>
      <c r="G229" t="str">
        <f>IF(B229="","",INDEX(SF_Output!$K$1:$K$400,MATCH(B229,SF_Output!$M$1:$M$400,0)))</f>
        <v/>
      </c>
      <c r="H229" t="str" cm="1">
        <f t="array" ref="H229">_xlfn.IFS(B229="","",(SUMIFS(SF_Output!$F$1:$F$400,SF_Output!$AC$1:$AC$400,_xlfn.TEXTJOIN(",",TRUE,B229:E229))+SUMIFS(SF_Output!$G$1:$G$400,SF_Output!$AC$1:$AC$400,_xlfn.TEXTJOIN(",",TRUE,B229:E229)))&lt;&gt;0,SF_Output!$Y$2,INDEX(SF_Output!$F$1:$F$400,MATCH(_xlfn.TEXTJOIN(",",TRUE,B229:E229),SF_Output!$AC$1:$AC$400,0))=0,INDEX(SF_Output!$R$1:$R$400,MATCH(_xlfn.TEXTJOIN(",",TRUE,B229:E229),SF_Output!$AC$1:$AC$400,0)))</f>
        <v/>
      </c>
      <c r="I229" s="125" t="str">
        <f>IFERROR(IF(AND(H229&gt;1,H229&lt;&gt;""),ROUND(SUMIFS(SF_Output!$S$1:$S$400,SF_Output!$AC$1:$AC$400,_xlfn.TEXTJOIN(",",TRUE,B229:E229),SF_Output!$Q$1:$Q$400,"monthly")*(1-W229)/H229,4),""),"")</f>
        <v/>
      </c>
      <c r="J229" s="6" t="str">
        <f>IF(B229="","",SUMIFS(SF_Output!$S$1:$S$400,SF_Output!$AC$1:$AC$400,_xlfn.TEXTJOIN(",",TRUE,B229:E229),SF_Output!$Q$1:$Q$400,"One Time",SF_Output!$L$1:$L$400,"license fee")+SUMIFS(SF_Output!$S$1:$S$400,SF_Output!$AC$1:$AC$400,_xlfn.TEXTJOIN(",",TRUE,B229:E229),SF_Output!$Q$1:$Q$400,"One Time",SF_Output!$L$1:$L$400,"software license")+SUMIFS(SF_Output!$S$1:$S$400,SF_Output!$AC$1:$AC$400,_xlfn.TEXTJOIN(",",TRUE,B229:E229),SF_Output!$Q$1:$Q$400,"One Time",SF_Output!$L$1:$L$400,"hardware"))</f>
        <v/>
      </c>
      <c r="K229" s="112" t="str">
        <f>IF(OR(B229=0,B229="",G229="hardware",J229=0),"",IF(AF229&lt;&gt;"exclusion",MAX(K$9,-((SUMIFS(SF_Output!$T$1:$T$400,SF_Output!$AC$1:$AC$400,_xlfn.TEXTJOIN(",",TRUE,$B229:$E229),SF_Output!$Q$1:$Q$400,"One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license"))/J229)))</f>
        <v/>
      </c>
      <c r="L229" s="6" t="str">
        <f t="shared" si="55"/>
        <v/>
      </c>
      <c r="N229" s="6" t="str">
        <f>IF(B229="","",SUMIFS(SF_Output!$S$1:$S$400,SF_Output!$AC$1:$AC$400,_xlfn.TEXTJOIN(",",TRUE,B229:E229),SF_Output!$Q$1:$Q$400,"One Time",SF_Output!$L$1:$L$400,"professional service"))</f>
        <v/>
      </c>
      <c r="O229" s="112" t="str">
        <f>IF(OR(B229=0,B229="",N229=0),"",IF(AF229&lt;&gt;"exclusion",MAX(O$9,-(SUMIFS(SF_Output!$T$1:$T$400,SF_Output!$AC$1:$AC$400,_xlfn.TEXTJOIN(",",TRUE,$B229:$E229),SF_Output!$Q$1:$Q$400,"One Time",SF_Output!$L$1:$L$400,"professional service"))/N229),-((SUMIFS(SF_Output!$T$1:$T$400,SF_Output!$AC$1:$AC$400,_xlfn.TEXTJOIN(",",TRUE,$B229:$E229),SF_Output!$Q$1:$Q$400,"One Time",SF_Output!$L$1:$L$400,"professional service")/N229))))</f>
        <v/>
      </c>
      <c r="P229" s="6" t="str">
        <f t="shared" si="56"/>
        <v/>
      </c>
      <c r="R229" s="6" t="str">
        <f>IF(B229="","",SUMIFS(SF_Output!$S$1:$S$400,SF_Output!$AC$1:$AC$400,_xlfn.TEXTJOIN(",",TRUE,B229:E229),SF_Output!$Q$1:$Q$400,"yearly")+SUMIFS(SF_Output!$S$1:$S$400,SF_Output!$AC$1:$AC$400,_xlfn.TEXTJOIN(",",TRUE,B229:E229),SF_Output!$Q$1:$Q$400,"quarterly")*4)</f>
        <v/>
      </c>
      <c r="S229" s="112" t="str">
        <f>IF(OR(B229=0,B229="",G229="hardware",R229=0),"",IF(AF229&lt;&gt;"exclusion",MAX(S$9,-(SUMIFS(SF_Output!$T$1:$T$400,SF_Output!$AC$1:$AC$400,_xlfn.TEXTJOIN(",",TRUE,$B229:$E229),SF_Output!$Q$1:$Q$400,"yearly"))/R229),-((SUMIFS(SF_Output!$T$1:$T$400,SF_Output!$AC$1:$AC$400,_xlfn.TEXTJOIN(",",TRUE,$B229:$E229),SF_Output!$Q$1:$Q$400,"yearly")/R229))))</f>
        <v/>
      </c>
      <c r="T229" s="6" t="str">
        <f t="shared" si="57"/>
        <v/>
      </c>
      <c r="V229" s="6" t="str" cm="1">
        <f t="array" ref="V229">_xlfn.IFS(B229="","",AND(B229&lt;&gt;"",H229=SF_Output!$Y$2,SUMIFS(SF_Output!$T$1:$T$400,SF_Output!$AC$1:$AC$400,_xlfn.TEXTJOIN(",",TRUE,B229:E229),SF_Output!$Q$1:$Q$400,"monthly")=0),(SUMIFS(SF_Output!$F$1:$F$400,SF_Output!$AC$1:$AC$400,_xlfn.TEXTJOIN(",",TRUE,B229:E229),SF_Output!$Q$1:$Q$400,"monthly")+SUMIFS(SF_Output!$G$1:$G$400,SF_Output!$AC$1:$AC$400,_xlfn.TEXTJOIN(",",TRUE,B229:E229),SF_Output!$Q$1:$Q$400,"monthly"))*H229,AND(B229&lt;&gt;"",H229=SF_Output!$Y$2,SUMIFS(SF_Output!$T$1:$T$400,SF_Output!$AC$1:$AC$400,_xlfn.TEXTJOIN(",",TRUE,B229:E229),SF_Output!$Q$1:$Q$400,"monthly")&lt;&gt;0),SUMIFS(SF_Output!$S$1:$S$400,SF_Output!$AC$1:$AC$400,_xlfn.TEXTJOIN(",",TRUE,B229:E229),SF_Output!$Q$1:$Q$400,"monthly"),AND(B229&lt;&gt;"",H229&lt;&gt;SF_Output!$Y$2),SUMIFS(SF_Output!$S$1:$S$400,SF_Output!$AC$1:$AC$400,_xlfn.TEXTJOIN(",",TRUE,B229:E229),SF_Output!$Q$1:$Q$400,"monthly"))</f>
        <v/>
      </c>
      <c r="W229" s="112" t="str" cm="1">
        <f t="array" ref="W229">_xlfn.IFS(OR(B229=0,B229="",V229=0),"",AF229&lt;&gt;"exclusion",MAX($W$9,$W$7,(-(SUMIFS(SF_Output!$T$1:$T$400,SF_Output!$AC$1:$AC$400,_xlfn.TEXTJOIN(",",TRUE,$B229:$E229),SF_Output!$Q$1:$Q$400,"monthly"))/V229)),AF229="exclusion",-(SUMIFS(SF_Output!$T$1:$T$400,SF_Output!$AC$1:$AC$400,_xlfn.TEXTJOIN(",",TRUE,$B229:$E229),SF_Output!$Q$1:$Q$400,"monthly"))/V229)</f>
        <v/>
      </c>
      <c r="X229" s="6" t="str" cm="1">
        <f t="array" ref="X229">IFERROR(_xlfn.IFS(V229=0,0,V229="","",W229=0,V229,OR(V229&lt;&gt;0,V229&lt;&gt;""),H229*I229),V229*(1-W229))</f>
        <v/>
      </c>
      <c r="Z229" s="6" t="str">
        <f>IFERROR(IF(B229="","",SUMIFS(Billing_Fallout!H:H,Billing_Fallout!N:N,B229)),0)</f>
        <v/>
      </c>
      <c r="AA229" s="6" t="str">
        <f t="shared" si="58"/>
        <v/>
      </c>
      <c r="AB229" s="6" t="str">
        <f>IFERROR(IF(B229="","",SUMIFS(Billing_Fallout!J:J,Billing_Fallout!N:N,B229)),0)</f>
        <v/>
      </c>
      <c r="AD229" s="6" t="str">
        <f t="shared" si="59"/>
        <v/>
      </c>
      <c r="AF229" t="str">
        <f>IFERROR(INDEX(H_Tables!$B$1:$B$1500,MATCH(INDEX(SF_Output!$J$1:$J$400,MATCH(B229,SF_Output!$M$1:$M$400,0)),H_Tables!$A$1:$A$1500,0)),"")</f>
        <v/>
      </c>
      <c r="AI229" s="119" t="str">
        <f t="shared" si="60"/>
        <v/>
      </c>
      <c r="AJ229" s="121">
        <f>IFERROR(INDEX(SF_Output!AD:AD,MATCH(_xlfn.TEXTJOIN(",",TRUE,B229:E229),SF_Output!AC1:AC400,0)),0.05)</f>
        <v>241</v>
      </c>
      <c r="AK229" t="str">
        <f>IF(SUMIFS(SF_Output!$F$1:$F$400,SF_Output!$AC$1:$AC$400,_xlfn.TEXTJOIN(",",TRUE,B229:E229))+SUMIFS(SF_Output!$G$1:$G$400,SF_Output!$AC$1:$AC$400,_xlfn.TEXTJOIN(",",TRUE,B229:E229))=0,"","PAP")</f>
        <v/>
      </c>
      <c r="AL229" s="35" t="str">
        <f t="shared" si="61"/>
        <v/>
      </c>
      <c r="AQ229" s="35"/>
      <c r="AR229" s="35" t="str" cm="1">
        <f t="array" ref="AR229">IFERROR(_xlfn.IFS(AND(E229*1=1,F229="Included"),"Change to Included",AND(E229*1=0,F229="Optional"),"Change to Optional",OR(B229="",F229="replaced"),""),"")</f>
        <v/>
      </c>
      <c r="AS229" s="35" t="str">
        <f t="shared" si="62"/>
        <v/>
      </c>
      <c r="AT229" s="35" t="str">
        <f t="shared" si="63"/>
        <v/>
      </c>
      <c r="AU229" s="35" t="str">
        <f t="shared" si="64"/>
        <v/>
      </c>
      <c r="AV229" s="35" t="str">
        <f t="shared" si="65"/>
        <v/>
      </c>
      <c r="AW229" s="35" t="str">
        <f t="shared" si="66"/>
        <v/>
      </c>
      <c r="AX229" s="35" t="str">
        <f t="shared" si="67"/>
        <v/>
      </c>
      <c r="AY229" s="35" t="str">
        <f t="shared" si="68"/>
        <v/>
      </c>
      <c r="AZ229" s="35" t="str">
        <f t="shared" si="69"/>
        <v/>
      </c>
      <c r="BA229" s="35" t="str">
        <f t="shared" si="70"/>
        <v/>
      </c>
      <c r="BB229" s="35" t="str">
        <f t="shared" si="71"/>
        <v/>
      </c>
      <c r="BC229" s="35"/>
      <c r="BE229" s="35" t="e">
        <f>INDEX(SF_Output!$AA$2:$AA$400,MATCH($B229,SF_Output!$M$2:$M$400,0))</f>
        <v>#N/A</v>
      </c>
      <c r="BF229" s="35" t="e">
        <f>INDEX(SF_Output!$AB$2:$AB$400,MATCH($B229,SF_Output!$M$2:$M$400,0))</f>
        <v>#N/A</v>
      </c>
    </row>
    <row r="230" spans="6:58" x14ac:dyDescent="0.25">
      <c r="F230" s="116" t="str">
        <f t="shared" si="54"/>
        <v/>
      </c>
      <c r="G230" t="str">
        <f>IF(B230="","",INDEX(SF_Output!$K$1:$K$400,MATCH(B230,SF_Output!$M$1:$M$400,0)))</f>
        <v/>
      </c>
      <c r="H230" t="str" cm="1">
        <f t="array" ref="H230">_xlfn.IFS(B230="","",(SUMIFS(SF_Output!$F$1:$F$400,SF_Output!$AC$1:$AC$400,_xlfn.TEXTJOIN(",",TRUE,B230:E230))+SUMIFS(SF_Output!$G$1:$G$400,SF_Output!$AC$1:$AC$400,_xlfn.TEXTJOIN(",",TRUE,B230:E230)))&lt;&gt;0,SF_Output!$Y$2,INDEX(SF_Output!$F$1:$F$400,MATCH(_xlfn.TEXTJOIN(",",TRUE,B230:E230),SF_Output!$AC$1:$AC$400,0))=0,INDEX(SF_Output!$R$1:$R$400,MATCH(_xlfn.TEXTJOIN(",",TRUE,B230:E230),SF_Output!$AC$1:$AC$400,0)))</f>
        <v/>
      </c>
      <c r="I230" s="125" t="str">
        <f>IFERROR(IF(AND(H230&gt;1,H230&lt;&gt;""),ROUND(SUMIFS(SF_Output!$S$1:$S$400,SF_Output!$AC$1:$AC$400,_xlfn.TEXTJOIN(",",TRUE,B230:E230),SF_Output!$Q$1:$Q$400,"monthly")*(1-W230)/H230,4),""),"")</f>
        <v/>
      </c>
      <c r="J230" s="6" t="str">
        <f>IF(B230="","",SUMIFS(SF_Output!$S$1:$S$400,SF_Output!$AC$1:$AC$400,_xlfn.TEXTJOIN(",",TRUE,B230:E230),SF_Output!$Q$1:$Q$400,"One Time",SF_Output!$L$1:$L$400,"license fee")+SUMIFS(SF_Output!$S$1:$S$400,SF_Output!$AC$1:$AC$400,_xlfn.TEXTJOIN(",",TRUE,B230:E230),SF_Output!$Q$1:$Q$400,"One Time",SF_Output!$L$1:$L$400,"software license")+SUMIFS(SF_Output!$S$1:$S$400,SF_Output!$AC$1:$AC$400,_xlfn.TEXTJOIN(",",TRUE,B230:E230),SF_Output!$Q$1:$Q$400,"One Time",SF_Output!$L$1:$L$400,"hardware"))</f>
        <v/>
      </c>
      <c r="K230" s="112" t="str">
        <f>IF(OR(B230=0,B230="",G230="hardware",J230=0),"",IF(AF230&lt;&gt;"exclusion",MAX(K$9,-((SUMIFS(SF_Output!$T$1:$T$400,SF_Output!$AC$1:$AC$400,_xlfn.TEXTJOIN(",",TRUE,$B230:$E230),SF_Output!$Q$1:$Q$400,"One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license"))/J230)))</f>
        <v/>
      </c>
      <c r="L230" s="6" t="str">
        <f t="shared" si="55"/>
        <v/>
      </c>
      <c r="N230" s="6" t="str">
        <f>IF(B230="","",SUMIFS(SF_Output!$S$1:$S$400,SF_Output!$AC$1:$AC$400,_xlfn.TEXTJOIN(",",TRUE,B230:E230),SF_Output!$Q$1:$Q$400,"One Time",SF_Output!$L$1:$L$400,"professional service"))</f>
        <v/>
      </c>
      <c r="O230" s="112" t="str">
        <f>IF(OR(B230=0,B230="",N230=0),"",IF(AF230&lt;&gt;"exclusion",MAX(O$9,-(SUMIFS(SF_Output!$T$1:$T$400,SF_Output!$AC$1:$AC$400,_xlfn.TEXTJOIN(",",TRUE,$B230:$E230),SF_Output!$Q$1:$Q$400,"One Time",SF_Output!$L$1:$L$400,"professional service"))/N230),-((SUMIFS(SF_Output!$T$1:$T$400,SF_Output!$AC$1:$AC$400,_xlfn.TEXTJOIN(",",TRUE,$B230:$E230),SF_Output!$Q$1:$Q$400,"One Time",SF_Output!$L$1:$L$400,"professional service")/N230))))</f>
        <v/>
      </c>
      <c r="P230" s="6" t="str">
        <f t="shared" si="56"/>
        <v/>
      </c>
      <c r="R230" s="6" t="str">
        <f>IF(B230="","",SUMIFS(SF_Output!$S$1:$S$400,SF_Output!$AC$1:$AC$400,_xlfn.TEXTJOIN(",",TRUE,B230:E230),SF_Output!$Q$1:$Q$400,"yearly")+SUMIFS(SF_Output!$S$1:$S$400,SF_Output!$AC$1:$AC$400,_xlfn.TEXTJOIN(",",TRUE,B230:E230),SF_Output!$Q$1:$Q$400,"quarterly")*4)</f>
        <v/>
      </c>
      <c r="S230" s="112" t="str">
        <f>IF(OR(B230=0,B230="",G230="hardware",R230=0),"",IF(AF230&lt;&gt;"exclusion",MAX(S$9,-(SUMIFS(SF_Output!$T$1:$T$400,SF_Output!$AC$1:$AC$400,_xlfn.TEXTJOIN(",",TRUE,$B230:$E230),SF_Output!$Q$1:$Q$400,"yearly"))/R230),-((SUMIFS(SF_Output!$T$1:$T$400,SF_Output!$AC$1:$AC$400,_xlfn.TEXTJOIN(",",TRUE,$B230:$E230),SF_Output!$Q$1:$Q$400,"yearly")/R230))))</f>
        <v/>
      </c>
      <c r="T230" s="6" t="str">
        <f t="shared" si="57"/>
        <v/>
      </c>
      <c r="V230" s="6" t="str" cm="1">
        <f t="array" ref="V230">_xlfn.IFS(B230="","",AND(B230&lt;&gt;"",H230=SF_Output!$Y$2,SUMIFS(SF_Output!$T$1:$T$400,SF_Output!$AC$1:$AC$400,_xlfn.TEXTJOIN(",",TRUE,B230:E230),SF_Output!$Q$1:$Q$400,"monthly")=0),(SUMIFS(SF_Output!$F$1:$F$400,SF_Output!$AC$1:$AC$400,_xlfn.TEXTJOIN(",",TRUE,B230:E230),SF_Output!$Q$1:$Q$400,"monthly")+SUMIFS(SF_Output!$G$1:$G$400,SF_Output!$AC$1:$AC$400,_xlfn.TEXTJOIN(",",TRUE,B230:E230),SF_Output!$Q$1:$Q$400,"monthly"))*H230,AND(B230&lt;&gt;"",H230=SF_Output!$Y$2,SUMIFS(SF_Output!$T$1:$T$400,SF_Output!$AC$1:$AC$400,_xlfn.TEXTJOIN(",",TRUE,B230:E230),SF_Output!$Q$1:$Q$400,"monthly")&lt;&gt;0),SUMIFS(SF_Output!$S$1:$S$400,SF_Output!$AC$1:$AC$400,_xlfn.TEXTJOIN(",",TRUE,B230:E230),SF_Output!$Q$1:$Q$400,"monthly"),AND(B230&lt;&gt;"",H230&lt;&gt;SF_Output!$Y$2),SUMIFS(SF_Output!$S$1:$S$400,SF_Output!$AC$1:$AC$400,_xlfn.TEXTJOIN(",",TRUE,B230:E230),SF_Output!$Q$1:$Q$400,"monthly"))</f>
        <v/>
      </c>
      <c r="W230" s="112" t="str" cm="1">
        <f t="array" ref="W230">_xlfn.IFS(OR(B230=0,B230="",V230=0),"",AF230&lt;&gt;"exclusion",MAX($W$9,$W$7,(-(SUMIFS(SF_Output!$T$1:$T$400,SF_Output!$AC$1:$AC$400,_xlfn.TEXTJOIN(",",TRUE,$B230:$E230),SF_Output!$Q$1:$Q$400,"monthly"))/V230)),AF230="exclusion",-(SUMIFS(SF_Output!$T$1:$T$400,SF_Output!$AC$1:$AC$400,_xlfn.TEXTJOIN(",",TRUE,$B230:$E230),SF_Output!$Q$1:$Q$400,"monthly"))/V230)</f>
        <v/>
      </c>
      <c r="X230" s="6" t="str" cm="1">
        <f t="array" ref="X230">IFERROR(_xlfn.IFS(V230=0,0,V230="","",W230=0,V230,OR(V230&lt;&gt;0,V230&lt;&gt;""),H230*I230),V230*(1-W230))</f>
        <v/>
      </c>
      <c r="Z230" s="6" t="str">
        <f>IFERROR(IF(B230="","",SUMIFS(Billing_Fallout!H:H,Billing_Fallout!N:N,B230)),0)</f>
        <v/>
      </c>
      <c r="AA230" s="6" t="str">
        <f t="shared" si="58"/>
        <v/>
      </c>
      <c r="AB230" s="6" t="str">
        <f>IFERROR(IF(B230="","",SUMIFS(Billing_Fallout!J:J,Billing_Fallout!N:N,B230)),0)</f>
        <v/>
      </c>
      <c r="AD230" s="6" t="str">
        <f t="shared" si="59"/>
        <v/>
      </c>
      <c r="AF230" t="str">
        <f>IFERROR(INDEX(H_Tables!$B$1:$B$1500,MATCH(INDEX(SF_Output!$J$1:$J$400,MATCH(B230,SF_Output!$M$1:$M$400,0)),H_Tables!$A$1:$A$1500,0)),"")</f>
        <v/>
      </c>
      <c r="AI230" s="119" t="str">
        <f t="shared" si="60"/>
        <v/>
      </c>
      <c r="AJ230" s="121">
        <f>IFERROR(INDEX(SF_Output!AD:AD,MATCH(_xlfn.TEXTJOIN(",",TRUE,B230:E230),SF_Output!AC1:AC400,0)),0.05)</f>
        <v>241</v>
      </c>
      <c r="AK230" t="str">
        <f>IF(SUMIFS(SF_Output!$F$1:$F$400,SF_Output!$AC$1:$AC$400,_xlfn.TEXTJOIN(",",TRUE,B230:E230))+SUMIFS(SF_Output!$G$1:$G$400,SF_Output!$AC$1:$AC$400,_xlfn.TEXTJOIN(",",TRUE,B230:E230))=0,"","PAP")</f>
        <v/>
      </c>
      <c r="AL230" s="35" t="str">
        <f t="shared" si="61"/>
        <v/>
      </c>
      <c r="AQ230" s="35"/>
      <c r="AR230" s="35" t="str" cm="1">
        <f t="array" ref="AR230">IFERROR(_xlfn.IFS(AND(E230*1=1,F230="Included"),"Change to Included",AND(E230*1=0,F230="Optional"),"Change to Optional",OR(B230="",F230="replaced"),""),"")</f>
        <v/>
      </c>
      <c r="AS230" s="35" t="str">
        <f t="shared" si="62"/>
        <v/>
      </c>
      <c r="AT230" s="35" t="str">
        <f t="shared" si="63"/>
        <v/>
      </c>
      <c r="AU230" s="35" t="str">
        <f t="shared" si="64"/>
        <v/>
      </c>
      <c r="AV230" s="35" t="str">
        <f t="shared" si="65"/>
        <v/>
      </c>
      <c r="AW230" s="35" t="str">
        <f t="shared" si="66"/>
        <v/>
      </c>
      <c r="AX230" s="35" t="str">
        <f t="shared" si="67"/>
        <v/>
      </c>
      <c r="AY230" s="35" t="str">
        <f t="shared" si="68"/>
        <v/>
      </c>
      <c r="AZ230" s="35" t="str">
        <f t="shared" si="69"/>
        <v/>
      </c>
      <c r="BA230" s="35" t="str">
        <f t="shared" si="70"/>
        <v/>
      </c>
      <c r="BB230" s="35" t="str">
        <f t="shared" si="71"/>
        <v/>
      </c>
      <c r="BC230" s="35"/>
      <c r="BE230" s="35" t="e">
        <f>INDEX(SF_Output!$AA$2:$AA$400,MATCH($B230,SF_Output!$M$2:$M$400,0))</f>
        <v>#N/A</v>
      </c>
      <c r="BF230" s="35" t="e">
        <f>INDEX(SF_Output!$AB$2:$AB$400,MATCH($B230,SF_Output!$M$2:$M$400,0))</f>
        <v>#N/A</v>
      </c>
    </row>
    <row r="231" spans="6:58" x14ac:dyDescent="0.25">
      <c r="F231" s="116" t="str">
        <f t="shared" si="54"/>
        <v/>
      </c>
      <c r="G231" t="str">
        <f>IF(B231="","",INDEX(SF_Output!$K$1:$K$400,MATCH(B231,SF_Output!$M$1:$M$400,0)))</f>
        <v/>
      </c>
      <c r="H231" t="str" cm="1">
        <f t="array" ref="H231">_xlfn.IFS(B231="","",(SUMIFS(SF_Output!$F$1:$F$400,SF_Output!$AC$1:$AC$400,_xlfn.TEXTJOIN(",",TRUE,B231:E231))+SUMIFS(SF_Output!$G$1:$G$400,SF_Output!$AC$1:$AC$400,_xlfn.TEXTJOIN(",",TRUE,B231:E231)))&lt;&gt;0,SF_Output!$Y$2,INDEX(SF_Output!$F$1:$F$400,MATCH(_xlfn.TEXTJOIN(",",TRUE,B231:E231),SF_Output!$AC$1:$AC$400,0))=0,INDEX(SF_Output!$R$1:$R$400,MATCH(_xlfn.TEXTJOIN(",",TRUE,B231:E231),SF_Output!$AC$1:$AC$400,0)))</f>
        <v/>
      </c>
      <c r="I231" s="125" t="str">
        <f>IFERROR(IF(AND(H231&gt;1,H231&lt;&gt;""),ROUND(SUMIFS(SF_Output!$S$1:$S$400,SF_Output!$AC$1:$AC$400,_xlfn.TEXTJOIN(",",TRUE,B231:E231),SF_Output!$Q$1:$Q$400,"monthly")*(1-W231)/H231,4),""),"")</f>
        <v/>
      </c>
      <c r="J231" s="6" t="str">
        <f>IF(B231="","",SUMIFS(SF_Output!$S$1:$S$400,SF_Output!$AC$1:$AC$400,_xlfn.TEXTJOIN(",",TRUE,B231:E231),SF_Output!$Q$1:$Q$400,"One Time",SF_Output!$L$1:$L$400,"license fee")+SUMIFS(SF_Output!$S$1:$S$400,SF_Output!$AC$1:$AC$400,_xlfn.TEXTJOIN(",",TRUE,B231:E231),SF_Output!$Q$1:$Q$400,"One Time",SF_Output!$L$1:$L$400,"software license")+SUMIFS(SF_Output!$S$1:$S$400,SF_Output!$AC$1:$AC$400,_xlfn.TEXTJOIN(",",TRUE,B231:E231),SF_Output!$Q$1:$Q$400,"One Time",SF_Output!$L$1:$L$400,"hardware"))</f>
        <v/>
      </c>
      <c r="K231" s="112" t="str">
        <f>IF(OR(B231=0,B231="",G231="hardware",J231=0),"",IF(AF231&lt;&gt;"exclusion",MAX(K$9,-((SUMIFS(SF_Output!$T$1:$T$400,SF_Output!$AC$1:$AC$400,_xlfn.TEXTJOIN(",",TRUE,$B231:$E231),SF_Output!$Q$1:$Q$400,"One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license"))/J231)))</f>
        <v/>
      </c>
      <c r="L231" s="6" t="str">
        <f t="shared" si="55"/>
        <v/>
      </c>
      <c r="N231" s="6" t="str">
        <f>IF(B231="","",SUMIFS(SF_Output!$S$1:$S$400,SF_Output!$AC$1:$AC$400,_xlfn.TEXTJOIN(",",TRUE,B231:E231),SF_Output!$Q$1:$Q$400,"One Time",SF_Output!$L$1:$L$400,"professional service"))</f>
        <v/>
      </c>
      <c r="O231" s="112" t="str">
        <f>IF(OR(B231=0,B231="",N231=0),"",IF(AF231&lt;&gt;"exclusion",MAX(O$9,-(SUMIFS(SF_Output!$T$1:$T$400,SF_Output!$AC$1:$AC$400,_xlfn.TEXTJOIN(",",TRUE,$B231:$E231),SF_Output!$Q$1:$Q$400,"One Time",SF_Output!$L$1:$L$400,"professional service"))/N231),-((SUMIFS(SF_Output!$T$1:$T$400,SF_Output!$AC$1:$AC$400,_xlfn.TEXTJOIN(",",TRUE,$B231:$E231),SF_Output!$Q$1:$Q$400,"One Time",SF_Output!$L$1:$L$400,"professional service")/N231))))</f>
        <v/>
      </c>
      <c r="P231" s="6" t="str">
        <f t="shared" si="56"/>
        <v/>
      </c>
      <c r="R231" s="6" t="str">
        <f>IF(B231="","",SUMIFS(SF_Output!$S$1:$S$400,SF_Output!$AC$1:$AC$400,_xlfn.TEXTJOIN(",",TRUE,B231:E231),SF_Output!$Q$1:$Q$400,"yearly")+SUMIFS(SF_Output!$S$1:$S$400,SF_Output!$AC$1:$AC$400,_xlfn.TEXTJOIN(",",TRUE,B231:E231),SF_Output!$Q$1:$Q$400,"quarterly")*4)</f>
        <v/>
      </c>
      <c r="S231" s="112" t="str">
        <f>IF(OR(B231=0,B231="",G231="hardware",R231=0),"",IF(AF231&lt;&gt;"exclusion",MAX(S$9,-(SUMIFS(SF_Output!$T$1:$T$400,SF_Output!$AC$1:$AC$400,_xlfn.TEXTJOIN(",",TRUE,$B231:$E231),SF_Output!$Q$1:$Q$400,"yearly"))/R231),-((SUMIFS(SF_Output!$T$1:$T$400,SF_Output!$AC$1:$AC$400,_xlfn.TEXTJOIN(",",TRUE,$B231:$E231),SF_Output!$Q$1:$Q$400,"yearly")/R231))))</f>
        <v/>
      </c>
      <c r="T231" s="6" t="str">
        <f t="shared" si="57"/>
        <v/>
      </c>
      <c r="V231" s="6" t="str" cm="1">
        <f t="array" ref="V231">_xlfn.IFS(B231="","",AND(B231&lt;&gt;"",H231=SF_Output!$Y$2,SUMIFS(SF_Output!$T$1:$T$400,SF_Output!$AC$1:$AC$400,_xlfn.TEXTJOIN(",",TRUE,B231:E231),SF_Output!$Q$1:$Q$400,"monthly")=0),(SUMIFS(SF_Output!$F$1:$F$400,SF_Output!$AC$1:$AC$400,_xlfn.TEXTJOIN(",",TRUE,B231:E231),SF_Output!$Q$1:$Q$400,"monthly")+SUMIFS(SF_Output!$G$1:$G$400,SF_Output!$AC$1:$AC$400,_xlfn.TEXTJOIN(",",TRUE,B231:E231),SF_Output!$Q$1:$Q$400,"monthly"))*H231,AND(B231&lt;&gt;"",H231=SF_Output!$Y$2,SUMIFS(SF_Output!$T$1:$T$400,SF_Output!$AC$1:$AC$400,_xlfn.TEXTJOIN(",",TRUE,B231:E231),SF_Output!$Q$1:$Q$400,"monthly")&lt;&gt;0),SUMIFS(SF_Output!$S$1:$S$400,SF_Output!$AC$1:$AC$400,_xlfn.TEXTJOIN(",",TRUE,B231:E231),SF_Output!$Q$1:$Q$400,"monthly"),AND(B231&lt;&gt;"",H231&lt;&gt;SF_Output!$Y$2),SUMIFS(SF_Output!$S$1:$S$400,SF_Output!$AC$1:$AC$400,_xlfn.TEXTJOIN(",",TRUE,B231:E231),SF_Output!$Q$1:$Q$400,"monthly"))</f>
        <v/>
      </c>
      <c r="W231" s="112" t="str" cm="1">
        <f t="array" ref="W231">_xlfn.IFS(OR(B231=0,B231="",V231=0),"",AF231&lt;&gt;"exclusion",MAX($W$9,$W$7,(-(SUMIFS(SF_Output!$T$1:$T$400,SF_Output!$AC$1:$AC$400,_xlfn.TEXTJOIN(",",TRUE,$B231:$E231),SF_Output!$Q$1:$Q$400,"monthly"))/V231)),AF231="exclusion",-(SUMIFS(SF_Output!$T$1:$T$400,SF_Output!$AC$1:$AC$400,_xlfn.TEXTJOIN(",",TRUE,$B231:$E231),SF_Output!$Q$1:$Q$400,"monthly"))/V231)</f>
        <v/>
      </c>
      <c r="X231" s="6" t="str" cm="1">
        <f t="array" ref="X231">IFERROR(_xlfn.IFS(V231=0,0,V231="","",W231=0,V231,OR(V231&lt;&gt;0,V231&lt;&gt;""),H231*I231),V231*(1-W231))</f>
        <v/>
      </c>
      <c r="Z231" s="6" t="str">
        <f>IFERROR(IF(B231="","",SUMIFS(Billing_Fallout!H:H,Billing_Fallout!N:N,B231)),0)</f>
        <v/>
      </c>
      <c r="AA231" s="6" t="str">
        <f t="shared" si="58"/>
        <v/>
      </c>
      <c r="AB231" s="6" t="str">
        <f>IFERROR(IF(B231="","",SUMIFS(Billing_Fallout!J:J,Billing_Fallout!N:N,B231)),0)</f>
        <v/>
      </c>
      <c r="AD231" s="6" t="str">
        <f t="shared" si="59"/>
        <v/>
      </c>
      <c r="AF231" t="str">
        <f>IFERROR(INDEX(H_Tables!$B$1:$B$1500,MATCH(INDEX(SF_Output!$J$1:$J$400,MATCH(B231,SF_Output!$M$1:$M$400,0)),H_Tables!$A$1:$A$1500,0)),"")</f>
        <v/>
      </c>
      <c r="AI231" s="119" t="str">
        <f t="shared" si="60"/>
        <v/>
      </c>
      <c r="AJ231" s="121">
        <f>IFERROR(INDEX(SF_Output!AD:AD,MATCH(_xlfn.TEXTJOIN(",",TRUE,B231:E231),SF_Output!AC1:AC400,0)),0.05)</f>
        <v>241</v>
      </c>
      <c r="AK231" t="str">
        <f>IF(SUMIFS(SF_Output!$F$1:$F$400,SF_Output!$AC$1:$AC$400,_xlfn.TEXTJOIN(",",TRUE,B231:E231))+SUMIFS(SF_Output!$G$1:$G$400,SF_Output!$AC$1:$AC$400,_xlfn.TEXTJOIN(",",TRUE,B231:E231))=0,"","PAP")</f>
        <v/>
      </c>
      <c r="AL231" s="35" t="str">
        <f t="shared" si="61"/>
        <v/>
      </c>
      <c r="AQ231" s="35"/>
      <c r="AR231" s="35" t="str" cm="1">
        <f t="array" ref="AR231">IFERROR(_xlfn.IFS(AND(E231*1=1,F231="Included"),"Change to Included",AND(E231*1=0,F231="Optional"),"Change to Optional",OR(B231="",F231="replaced"),""),"")</f>
        <v/>
      </c>
      <c r="AS231" s="35" t="str">
        <f t="shared" si="62"/>
        <v/>
      </c>
      <c r="AT231" s="35" t="str">
        <f t="shared" si="63"/>
        <v/>
      </c>
      <c r="AU231" s="35" t="str">
        <f t="shared" si="64"/>
        <v/>
      </c>
      <c r="AV231" s="35" t="str">
        <f t="shared" si="65"/>
        <v/>
      </c>
      <c r="AW231" s="35" t="str">
        <f t="shared" si="66"/>
        <v/>
      </c>
      <c r="AX231" s="35" t="str">
        <f t="shared" si="67"/>
        <v/>
      </c>
      <c r="AY231" s="35" t="str">
        <f t="shared" si="68"/>
        <v/>
      </c>
      <c r="AZ231" s="35" t="str">
        <f t="shared" si="69"/>
        <v/>
      </c>
      <c r="BA231" s="35" t="str">
        <f t="shared" si="70"/>
        <v/>
      </c>
      <c r="BB231" s="35" t="str">
        <f t="shared" si="71"/>
        <v/>
      </c>
      <c r="BC231" s="35"/>
      <c r="BE231" s="35" t="e">
        <f>INDEX(SF_Output!$AA$2:$AA$400,MATCH($B231,SF_Output!$M$2:$M$400,0))</f>
        <v>#N/A</v>
      </c>
      <c r="BF231" s="35" t="e">
        <f>INDEX(SF_Output!$AB$2:$AB$400,MATCH($B231,SF_Output!$M$2:$M$400,0))</f>
        <v>#N/A</v>
      </c>
    </row>
    <row r="232" spans="6:58" x14ac:dyDescent="0.25">
      <c r="F232" s="116" t="str">
        <f t="shared" si="54"/>
        <v/>
      </c>
      <c r="G232" t="str">
        <f>IF(B232="","",INDEX(SF_Output!$K$1:$K$400,MATCH(B232,SF_Output!$M$1:$M$400,0)))</f>
        <v/>
      </c>
      <c r="H232" t="str" cm="1">
        <f t="array" ref="H232">_xlfn.IFS(B232="","",(SUMIFS(SF_Output!$F$1:$F$400,SF_Output!$AC$1:$AC$400,_xlfn.TEXTJOIN(",",TRUE,B232:E232))+SUMIFS(SF_Output!$G$1:$G$400,SF_Output!$AC$1:$AC$400,_xlfn.TEXTJOIN(",",TRUE,B232:E232)))&lt;&gt;0,SF_Output!$Y$2,INDEX(SF_Output!$F$1:$F$400,MATCH(_xlfn.TEXTJOIN(",",TRUE,B232:E232),SF_Output!$AC$1:$AC$400,0))=0,INDEX(SF_Output!$R$1:$R$400,MATCH(_xlfn.TEXTJOIN(",",TRUE,B232:E232),SF_Output!$AC$1:$AC$400,0)))</f>
        <v/>
      </c>
      <c r="I232" s="125" t="str">
        <f>IFERROR(IF(AND(H232&gt;1,H232&lt;&gt;""),ROUND(SUMIFS(SF_Output!$S$1:$S$400,SF_Output!$AC$1:$AC$400,_xlfn.TEXTJOIN(",",TRUE,B232:E232),SF_Output!$Q$1:$Q$400,"monthly")*(1-W232)/H232,4),""),"")</f>
        <v/>
      </c>
      <c r="J232" s="6" t="str">
        <f>IF(B232="","",SUMIFS(SF_Output!$S$1:$S$400,SF_Output!$AC$1:$AC$400,_xlfn.TEXTJOIN(",",TRUE,B232:E232),SF_Output!$Q$1:$Q$400,"One Time",SF_Output!$L$1:$L$400,"license fee")+SUMIFS(SF_Output!$S$1:$S$400,SF_Output!$AC$1:$AC$400,_xlfn.TEXTJOIN(",",TRUE,B232:E232),SF_Output!$Q$1:$Q$400,"One Time",SF_Output!$L$1:$L$400,"software license")+SUMIFS(SF_Output!$S$1:$S$400,SF_Output!$AC$1:$AC$400,_xlfn.TEXTJOIN(",",TRUE,B232:E232),SF_Output!$Q$1:$Q$400,"One Time",SF_Output!$L$1:$L$400,"hardware"))</f>
        <v/>
      </c>
      <c r="K232" s="112" t="str">
        <f>IF(OR(B232=0,B232="",G232="hardware",J232=0),"",IF(AF232&lt;&gt;"exclusion",MAX(K$9,-((SUMIFS(SF_Output!$T$1:$T$400,SF_Output!$AC$1:$AC$400,_xlfn.TEXTJOIN(",",TRUE,$B232:$E232),SF_Output!$Q$1:$Q$400,"One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license"))/J232)))</f>
        <v/>
      </c>
      <c r="L232" s="6" t="str">
        <f t="shared" si="55"/>
        <v/>
      </c>
      <c r="N232" s="6" t="str">
        <f>IF(B232="","",SUMIFS(SF_Output!$S$1:$S$400,SF_Output!$AC$1:$AC$400,_xlfn.TEXTJOIN(",",TRUE,B232:E232),SF_Output!$Q$1:$Q$400,"One Time",SF_Output!$L$1:$L$400,"professional service"))</f>
        <v/>
      </c>
      <c r="O232" s="112" t="str">
        <f>IF(OR(B232=0,B232="",N232=0),"",IF(AF232&lt;&gt;"exclusion",MAX(O$9,-(SUMIFS(SF_Output!$T$1:$T$400,SF_Output!$AC$1:$AC$400,_xlfn.TEXTJOIN(",",TRUE,$B232:$E232),SF_Output!$Q$1:$Q$400,"One Time",SF_Output!$L$1:$L$400,"professional service"))/N232),-((SUMIFS(SF_Output!$T$1:$T$400,SF_Output!$AC$1:$AC$400,_xlfn.TEXTJOIN(",",TRUE,$B232:$E232),SF_Output!$Q$1:$Q$400,"One Time",SF_Output!$L$1:$L$400,"professional service")/N232))))</f>
        <v/>
      </c>
      <c r="P232" s="6" t="str">
        <f t="shared" si="56"/>
        <v/>
      </c>
      <c r="R232" s="6" t="str">
        <f>IF(B232="","",SUMIFS(SF_Output!$S$1:$S$400,SF_Output!$AC$1:$AC$400,_xlfn.TEXTJOIN(",",TRUE,B232:E232),SF_Output!$Q$1:$Q$400,"yearly")+SUMIFS(SF_Output!$S$1:$S$400,SF_Output!$AC$1:$AC$400,_xlfn.TEXTJOIN(",",TRUE,B232:E232),SF_Output!$Q$1:$Q$400,"quarterly")*4)</f>
        <v/>
      </c>
      <c r="S232" s="112" t="str">
        <f>IF(OR(B232=0,B232="",G232="hardware",R232=0),"",IF(AF232&lt;&gt;"exclusion",MAX(S$9,-(SUMIFS(SF_Output!$T$1:$T$400,SF_Output!$AC$1:$AC$400,_xlfn.TEXTJOIN(",",TRUE,$B232:$E232),SF_Output!$Q$1:$Q$400,"yearly"))/R232),-((SUMIFS(SF_Output!$T$1:$T$400,SF_Output!$AC$1:$AC$400,_xlfn.TEXTJOIN(",",TRUE,$B232:$E232),SF_Output!$Q$1:$Q$400,"yearly")/R232))))</f>
        <v/>
      </c>
      <c r="T232" s="6" t="str">
        <f t="shared" si="57"/>
        <v/>
      </c>
      <c r="V232" s="6" t="str" cm="1">
        <f t="array" ref="V232">_xlfn.IFS(B232="","",AND(B232&lt;&gt;"",H232=SF_Output!$Y$2,SUMIFS(SF_Output!$T$1:$T$400,SF_Output!$AC$1:$AC$400,_xlfn.TEXTJOIN(",",TRUE,B232:E232),SF_Output!$Q$1:$Q$400,"monthly")=0),(SUMIFS(SF_Output!$F$1:$F$400,SF_Output!$AC$1:$AC$400,_xlfn.TEXTJOIN(",",TRUE,B232:E232),SF_Output!$Q$1:$Q$400,"monthly")+SUMIFS(SF_Output!$G$1:$G$400,SF_Output!$AC$1:$AC$400,_xlfn.TEXTJOIN(",",TRUE,B232:E232),SF_Output!$Q$1:$Q$400,"monthly"))*H232,AND(B232&lt;&gt;"",H232=SF_Output!$Y$2,SUMIFS(SF_Output!$T$1:$T$400,SF_Output!$AC$1:$AC$400,_xlfn.TEXTJOIN(",",TRUE,B232:E232),SF_Output!$Q$1:$Q$400,"monthly")&lt;&gt;0),SUMIFS(SF_Output!$S$1:$S$400,SF_Output!$AC$1:$AC$400,_xlfn.TEXTJOIN(",",TRUE,B232:E232),SF_Output!$Q$1:$Q$400,"monthly"),AND(B232&lt;&gt;"",H232&lt;&gt;SF_Output!$Y$2),SUMIFS(SF_Output!$S$1:$S$400,SF_Output!$AC$1:$AC$400,_xlfn.TEXTJOIN(",",TRUE,B232:E232),SF_Output!$Q$1:$Q$400,"monthly"))</f>
        <v/>
      </c>
      <c r="W232" s="112" t="str" cm="1">
        <f t="array" ref="W232">_xlfn.IFS(OR(B232=0,B232="",V232=0),"",AF232&lt;&gt;"exclusion",MAX($W$9,$W$7,(-(SUMIFS(SF_Output!$T$1:$T$400,SF_Output!$AC$1:$AC$400,_xlfn.TEXTJOIN(",",TRUE,$B232:$E232),SF_Output!$Q$1:$Q$400,"monthly"))/V232)),AF232="exclusion",-(SUMIFS(SF_Output!$T$1:$T$400,SF_Output!$AC$1:$AC$400,_xlfn.TEXTJOIN(",",TRUE,$B232:$E232),SF_Output!$Q$1:$Q$400,"monthly"))/V232)</f>
        <v/>
      </c>
      <c r="X232" s="6" t="str" cm="1">
        <f t="array" ref="X232">IFERROR(_xlfn.IFS(V232=0,0,V232="","",W232=0,V232,OR(V232&lt;&gt;0,V232&lt;&gt;""),H232*I232),V232*(1-W232))</f>
        <v/>
      </c>
      <c r="Z232" s="6" t="str">
        <f>IFERROR(IF(B232="","",SUMIFS(Billing_Fallout!H:H,Billing_Fallout!N:N,B232)),0)</f>
        <v/>
      </c>
      <c r="AA232" s="6" t="str">
        <f t="shared" si="58"/>
        <v/>
      </c>
      <c r="AB232" s="6" t="str">
        <f>IFERROR(IF(B232="","",SUMIFS(Billing_Fallout!J:J,Billing_Fallout!N:N,B232)),0)</f>
        <v/>
      </c>
      <c r="AD232" s="6" t="str">
        <f t="shared" si="59"/>
        <v/>
      </c>
      <c r="AF232" t="str">
        <f>IFERROR(INDEX(H_Tables!$B$1:$B$1500,MATCH(INDEX(SF_Output!$J$1:$J$400,MATCH(B232,SF_Output!$M$1:$M$400,0)),H_Tables!$A$1:$A$1500,0)),"")</f>
        <v/>
      </c>
      <c r="AI232" s="119" t="str">
        <f t="shared" si="60"/>
        <v/>
      </c>
      <c r="AJ232" s="121">
        <f>IFERROR(INDEX(SF_Output!AD:AD,MATCH(_xlfn.TEXTJOIN(",",TRUE,B232:E232),SF_Output!AC1:AC400,0)),0.05)</f>
        <v>241</v>
      </c>
      <c r="AK232" t="str">
        <f>IF(SUMIFS(SF_Output!$F$1:$F$400,SF_Output!$AC$1:$AC$400,_xlfn.TEXTJOIN(",",TRUE,B232:E232))+SUMIFS(SF_Output!$G$1:$G$400,SF_Output!$AC$1:$AC$400,_xlfn.TEXTJOIN(",",TRUE,B232:E232))=0,"","PAP")</f>
        <v/>
      </c>
      <c r="AL232" s="35" t="str">
        <f t="shared" si="61"/>
        <v/>
      </c>
      <c r="AQ232" s="35"/>
      <c r="AR232" s="35" t="str" cm="1">
        <f t="array" ref="AR232">IFERROR(_xlfn.IFS(AND(E232*1=1,F232="Included"),"Change to Included",AND(E232*1=0,F232="Optional"),"Change to Optional",OR(B232="",F232="replaced"),""),"")</f>
        <v/>
      </c>
      <c r="AS232" s="35" t="str">
        <f t="shared" si="62"/>
        <v/>
      </c>
      <c r="AT232" s="35" t="str">
        <f t="shared" si="63"/>
        <v/>
      </c>
      <c r="AU232" s="35" t="str">
        <f t="shared" si="64"/>
        <v/>
      </c>
      <c r="AV232" s="35" t="str">
        <f t="shared" si="65"/>
        <v/>
      </c>
      <c r="AW232" s="35" t="str">
        <f t="shared" si="66"/>
        <v/>
      </c>
      <c r="AX232" s="35" t="str">
        <f t="shared" si="67"/>
        <v/>
      </c>
      <c r="AY232" s="35" t="str">
        <f t="shared" si="68"/>
        <v/>
      </c>
      <c r="AZ232" s="35" t="str">
        <f t="shared" si="69"/>
        <v/>
      </c>
      <c r="BA232" s="35" t="str">
        <f t="shared" si="70"/>
        <v/>
      </c>
      <c r="BB232" s="35" t="str">
        <f t="shared" si="71"/>
        <v/>
      </c>
      <c r="BC232" s="35"/>
      <c r="BE232" s="35" t="e">
        <f>INDEX(SF_Output!$AA$2:$AA$400,MATCH($B232,SF_Output!$M$2:$M$400,0))</f>
        <v>#N/A</v>
      </c>
      <c r="BF232" s="35" t="e">
        <f>INDEX(SF_Output!$AB$2:$AB$400,MATCH($B232,SF_Output!$M$2:$M$400,0))</f>
        <v>#N/A</v>
      </c>
    </row>
    <row r="233" spans="6:58" x14ac:dyDescent="0.25">
      <c r="F233" s="116" t="str">
        <f t="shared" si="54"/>
        <v/>
      </c>
      <c r="G233" t="str">
        <f>IF(B233="","",INDEX(SF_Output!$K$1:$K$400,MATCH(B233,SF_Output!$M$1:$M$400,0)))</f>
        <v/>
      </c>
      <c r="H233" t="str" cm="1">
        <f t="array" ref="H233">_xlfn.IFS(B233="","",(SUMIFS(SF_Output!$F$1:$F$400,SF_Output!$AC$1:$AC$400,_xlfn.TEXTJOIN(",",TRUE,B233:E233))+SUMIFS(SF_Output!$G$1:$G$400,SF_Output!$AC$1:$AC$400,_xlfn.TEXTJOIN(",",TRUE,B233:E233)))&lt;&gt;0,SF_Output!$Y$2,INDEX(SF_Output!$F$1:$F$400,MATCH(_xlfn.TEXTJOIN(",",TRUE,B233:E233),SF_Output!$AC$1:$AC$400,0))=0,INDEX(SF_Output!$R$1:$R$400,MATCH(_xlfn.TEXTJOIN(",",TRUE,B233:E233),SF_Output!$AC$1:$AC$400,0)))</f>
        <v/>
      </c>
      <c r="I233" s="125" t="str">
        <f>IFERROR(IF(AND(H233&gt;1,H233&lt;&gt;""),ROUND(SUMIFS(SF_Output!$S$1:$S$400,SF_Output!$AC$1:$AC$400,_xlfn.TEXTJOIN(",",TRUE,B233:E233),SF_Output!$Q$1:$Q$400,"monthly")*(1-W233)/H233,4),""),"")</f>
        <v/>
      </c>
      <c r="J233" s="6" t="str">
        <f>IF(B233="","",SUMIFS(SF_Output!$S$1:$S$400,SF_Output!$AC$1:$AC$400,_xlfn.TEXTJOIN(",",TRUE,B233:E233),SF_Output!$Q$1:$Q$400,"One Time",SF_Output!$L$1:$L$400,"license fee")+SUMIFS(SF_Output!$S$1:$S$400,SF_Output!$AC$1:$AC$400,_xlfn.TEXTJOIN(",",TRUE,B233:E233),SF_Output!$Q$1:$Q$400,"One Time",SF_Output!$L$1:$L$400,"software license")+SUMIFS(SF_Output!$S$1:$S$400,SF_Output!$AC$1:$AC$400,_xlfn.TEXTJOIN(",",TRUE,B233:E233),SF_Output!$Q$1:$Q$400,"One Time",SF_Output!$L$1:$L$400,"hardware"))</f>
        <v/>
      </c>
      <c r="K233" s="112" t="str">
        <f>IF(OR(B233=0,B233="",G233="hardware",J233=0),"",IF(AF233&lt;&gt;"exclusion",MAX(K$9,-((SUMIFS(SF_Output!$T$1:$T$400,SF_Output!$AC$1:$AC$400,_xlfn.TEXTJOIN(",",TRUE,$B233:$E233),SF_Output!$Q$1:$Q$400,"One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license"))/J233)))</f>
        <v/>
      </c>
      <c r="L233" s="6" t="str">
        <f t="shared" si="55"/>
        <v/>
      </c>
      <c r="N233" s="6" t="str">
        <f>IF(B233="","",SUMIFS(SF_Output!$S$1:$S$400,SF_Output!$AC$1:$AC$400,_xlfn.TEXTJOIN(",",TRUE,B233:E233),SF_Output!$Q$1:$Q$400,"One Time",SF_Output!$L$1:$L$400,"professional service"))</f>
        <v/>
      </c>
      <c r="O233" s="112" t="str">
        <f>IF(OR(B233=0,B233="",N233=0),"",IF(AF233&lt;&gt;"exclusion",MAX(O$9,-(SUMIFS(SF_Output!$T$1:$T$400,SF_Output!$AC$1:$AC$400,_xlfn.TEXTJOIN(",",TRUE,$B233:$E233),SF_Output!$Q$1:$Q$400,"One Time",SF_Output!$L$1:$L$400,"professional service"))/N233),-((SUMIFS(SF_Output!$T$1:$T$400,SF_Output!$AC$1:$AC$400,_xlfn.TEXTJOIN(",",TRUE,$B233:$E233),SF_Output!$Q$1:$Q$400,"One Time",SF_Output!$L$1:$L$400,"professional service")/N233))))</f>
        <v/>
      </c>
      <c r="P233" s="6" t="str">
        <f t="shared" si="56"/>
        <v/>
      </c>
      <c r="R233" s="6" t="str">
        <f>IF(B233="","",SUMIFS(SF_Output!$S$1:$S$400,SF_Output!$AC$1:$AC$400,_xlfn.TEXTJOIN(",",TRUE,B233:E233),SF_Output!$Q$1:$Q$400,"yearly")+SUMIFS(SF_Output!$S$1:$S$400,SF_Output!$AC$1:$AC$400,_xlfn.TEXTJOIN(",",TRUE,B233:E233),SF_Output!$Q$1:$Q$400,"quarterly")*4)</f>
        <v/>
      </c>
      <c r="S233" s="112" t="str">
        <f>IF(OR(B233=0,B233="",G233="hardware",R233=0),"",IF(AF233&lt;&gt;"exclusion",MAX(S$9,-(SUMIFS(SF_Output!$T$1:$T$400,SF_Output!$AC$1:$AC$400,_xlfn.TEXTJOIN(",",TRUE,$B233:$E233),SF_Output!$Q$1:$Q$400,"yearly"))/R233),-((SUMIFS(SF_Output!$T$1:$T$400,SF_Output!$AC$1:$AC$400,_xlfn.TEXTJOIN(",",TRUE,$B233:$E233),SF_Output!$Q$1:$Q$400,"yearly")/R233))))</f>
        <v/>
      </c>
      <c r="T233" s="6" t="str">
        <f t="shared" si="57"/>
        <v/>
      </c>
      <c r="V233" s="6" t="str" cm="1">
        <f t="array" ref="V233">_xlfn.IFS(B233="","",AND(B233&lt;&gt;"",H233=SF_Output!$Y$2,SUMIFS(SF_Output!$T$1:$T$400,SF_Output!$AC$1:$AC$400,_xlfn.TEXTJOIN(",",TRUE,B233:E233),SF_Output!$Q$1:$Q$400,"monthly")=0),(SUMIFS(SF_Output!$F$1:$F$400,SF_Output!$AC$1:$AC$400,_xlfn.TEXTJOIN(",",TRUE,B233:E233),SF_Output!$Q$1:$Q$400,"monthly")+SUMIFS(SF_Output!$G$1:$G$400,SF_Output!$AC$1:$AC$400,_xlfn.TEXTJOIN(",",TRUE,B233:E233),SF_Output!$Q$1:$Q$400,"monthly"))*H233,AND(B233&lt;&gt;"",H233=SF_Output!$Y$2,SUMIFS(SF_Output!$T$1:$T$400,SF_Output!$AC$1:$AC$400,_xlfn.TEXTJOIN(",",TRUE,B233:E233),SF_Output!$Q$1:$Q$400,"monthly")&lt;&gt;0),SUMIFS(SF_Output!$S$1:$S$400,SF_Output!$AC$1:$AC$400,_xlfn.TEXTJOIN(",",TRUE,B233:E233),SF_Output!$Q$1:$Q$400,"monthly"),AND(B233&lt;&gt;"",H233&lt;&gt;SF_Output!$Y$2),SUMIFS(SF_Output!$S$1:$S$400,SF_Output!$AC$1:$AC$400,_xlfn.TEXTJOIN(",",TRUE,B233:E233),SF_Output!$Q$1:$Q$400,"monthly"))</f>
        <v/>
      </c>
      <c r="W233" s="112" t="str" cm="1">
        <f t="array" ref="W233">_xlfn.IFS(OR(B233=0,B233="",V233=0),"",AF233&lt;&gt;"exclusion",MAX($W$9,$W$7,(-(SUMIFS(SF_Output!$T$1:$T$400,SF_Output!$AC$1:$AC$400,_xlfn.TEXTJOIN(",",TRUE,$B233:$E233),SF_Output!$Q$1:$Q$400,"monthly"))/V233)),AF233="exclusion",-(SUMIFS(SF_Output!$T$1:$T$400,SF_Output!$AC$1:$AC$400,_xlfn.TEXTJOIN(",",TRUE,$B233:$E233),SF_Output!$Q$1:$Q$400,"monthly"))/V233)</f>
        <v/>
      </c>
      <c r="X233" s="6" t="str" cm="1">
        <f t="array" ref="X233">IFERROR(_xlfn.IFS(V233=0,0,V233="","",W233=0,V233,OR(V233&lt;&gt;0,V233&lt;&gt;""),H233*I233),V233*(1-W233))</f>
        <v/>
      </c>
      <c r="Z233" s="6" t="str">
        <f>IFERROR(IF(B233="","",SUMIFS(Billing_Fallout!H:H,Billing_Fallout!N:N,B233)),0)</f>
        <v/>
      </c>
      <c r="AA233" s="6" t="str">
        <f t="shared" si="58"/>
        <v/>
      </c>
      <c r="AB233" s="6" t="str">
        <f>IFERROR(IF(B233="","",SUMIFS(Billing_Fallout!J:J,Billing_Fallout!N:N,B233)),0)</f>
        <v/>
      </c>
      <c r="AD233" s="6" t="str">
        <f t="shared" si="59"/>
        <v/>
      </c>
      <c r="AF233" t="str">
        <f>IFERROR(INDEX(H_Tables!$B$1:$B$1500,MATCH(INDEX(SF_Output!$J$1:$J$400,MATCH(B233,SF_Output!$M$1:$M$400,0)),H_Tables!$A$1:$A$1500,0)),"")</f>
        <v/>
      </c>
      <c r="AI233" s="119" t="str">
        <f t="shared" si="60"/>
        <v/>
      </c>
      <c r="AJ233" s="121">
        <f>IFERROR(INDEX(SF_Output!AD:AD,MATCH(_xlfn.TEXTJOIN(",",TRUE,B233:E233),SF_Output!AC1:AC400,0)),0.05)</f>
        <v>241</v>
      </c>
      <c r="AK233" t="str">
        <f>IF(SUMIFS(SF_Output!$F$1:$F$400,SF_Output!$AC$1:$AC$400,_xlfn.TEXTJOIN(",",TRUE,B233:E233))+SUMIFS(SF_Output!$G$1:$G$400,SF_Output!$AC$1:$AC$400,_xlfn.TEXTJOIN(",",TRUE,B233:E233))=0,"","PAP")</f>
        <v/>
      </c>
      <c r="AL233" s="35" t="str">
        <f t="shared" si="61"/>
        <v/>
      </c>
      <c r="AQ233" s="35"/>
      <c r="AR233" s="35" t="str" cm="1">
        <f t="array" ref="AR233">IFERROR(_xlfn.IFS(AND(E233*1=1,F233="Included"),"Change to Included",AND(E233*1=0,F233="Optional"),"Change to Optional",OR(B233="",F233="replaced"),""),"")</f>
        <v/>
      </c>
      <c r="AS233" s="35" t="str">
        <f t="shared" si="62"/>
        <v/>
      </c>
      <c r="AT233" s="35" t="str">
        <f t="shared" si="63"/>
        <v/>
      </c>
      <c r="AU233" s="35" t="str">
        <f t="shared" si="64"/>
        <v/>
      </c>
      <c r="AV233" s="35" t="str">
        <f t="shared" si="65"/>
        <v/>
      </c>
      <c r="AW233" s="35" t="str">
        <f t="shared" si="66"/>
        <v/>
      </c>
      <c r="AX233" s="35" t="str">
        <f t="shared" si="67"/>
        <v/>
      </c>
      <c r="AY233" s="35" t="str">
        <f t="shared" si="68"/>
        <v/>
      </c>
      <c r="AZ233" s="35" t="str">
        <f t="shared" si="69"/>
        <v/>
      </c>
      <c r="BA233" s="35" t="str">
        <f t="shared" si="70"/>
        <v/>
      </c>
      <c r="BB233" s="35" t="str">
        <f t="shared" si="71"/>
        <v/>
      </c>
      <c r="BC233" s="35"/>
      <c r="BE233" s="35" t="e">
        <f>INDEX(SF_Output!$AA$2:$AA$400,MATCH($B233,SF_Output!$M$2:$M$400,0))</f>
        <v>#N/A</v>
      </c>
      <c r="BF233" s="35" t="e">
        <f>INDEX(SF_Output!$AB$2:$AB$400,MATCH($B233,SF_Output!$M$2:$M$400,0))</f>
        <v>#N/A</v>
      </c>
    </row>
    <row r="234" spans="6:58" x14ac:dyDescent="0.25">
      <c r="F234" s="116" t="str">
        <f t="shared" si="54"/>
        <v/>
      </c>
      <c r="G234" t="str">
        <f>IF(B234="","",INDEX(SF_Output!$K$1:$K$400,MATCH(B234,SF_Output!$M$1:$M$400,0)))</f>
        <v/>
      </c>
      <c r="H234" t="str" cm="1">
        <f t="array" ref="H234">_xlfn.IFS(B234="","",(SUMIFS(SF_Output!$F$1:$F$400,SF_Output!$AC$1:$AC$400,_xlfn.TEXTJOIN(",",TRUE,B234:E234))+SUMIFS(SF_Output!$G$1:$G$400,SF_Output!$AC$1:$AC$400,_xlfn.TEXTJOIN(",",TRUE,B234:E234)))&lt;&gt;0,SF_Output!$Y$2,INDEX(SF_Output!$F$1:$F$400,MATCH(_xlfn.TEXTJOIN(",",TRUE,B234:E234),SF_Output!$AC$1:$AC$400,0))=0,INDEX(SF_Output!$R$1:$R$400,MATCH(_xlfn.TEXTJOIN(",",TRUE,B234:E234),SF_Output!$AC$1:$AC$400,0)))</f>
        <v/>
      </c>
      <c r="I234" s="125" t="str">
        <f>IFERROR(IF(AND(H234&gt;1,H234&lt;&gt;""),ROUND(SUMIFS(SF_Output!$S$1:$S$400,SF_Output!$AC$1:$AC$400,_xlfn.TEXTJOIN(",",TRUE,B234:E234),SF_Output!$Q$1:$Q$400,"monthly")*(1-W234)/H234,4),""),"")</f>
        <v/>
      </c>
      <c r="J234" s="6" t="str">
        <f>IF(B234="","",SUMIFS(SF_Output!$S$1:$S$400,SF_Output!$AC$1:$AC$400,_xlfn.TEXTJOIN(",",TRUE,B234:E234),SF_Output!$Q$1:$Q$400,"One Time",SF_Output!$L$1:$L$400,"license fee")+SUMIFS(SF_Output!$S$1:$S$400,SF_Output!$AC$1:$AC$400,_xlfn.TEXTJOIN(",",TRUE,B234:E234),SF_Output!$Q$1:$Q$400,"One Time",SF_Output!$L$1:$L$400,"software license")+SUMIFS(SF_Output!$S$1:$S$400,SF_Output!$AC$1:$AC$400,_xlfn.TEXTJOIN(",",TRUE,B234:E234),SF_Output!$Q$1:$Q$400,"One Time",SF_Output!$L$1:$L$400,"hardware"))</f>
        <v/>
      </c>
      <c r="K234" s="112" t="str">
        <f>IF(OR(B234=0,B234="",G234="hardware",J234=0),"",IF(AF234&lt;&gt;"exclusion",MAX(K$9,-((SUMIFS(SF_Output!$T$1:$T$400,SF_Output!$AC$1:$AC$400,_xlfn.TEXTJOIN(",",TRUE,$B234:$E234),SF_Output!$Q$1:$Q$400,"One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license"))/J234)))</f>
        <v/>
      </c>
      <c r="L234" s="6" t="str">
        <f t="shared" si="55"/>
        <v/>
      </c>
      <c r="N234" s="6" t="str">
        <f>IF(B234="","",SUMIFS(SF_Output!$S$1:$S$400,SF_Output!$AC$1:$AC$400,_xlfn.TEXTJOIN(",",TRUE,B234:E234),SF_Output!$Q$1:$Q$400,"One Time",SF_Output!$L$1:$L$400,"professional service"))</f>
        <v/>
      </c>
      <c r="O234" s="112" t="str">
        <f>IF(OR(B234=0,B234="",N234=0),"",IF(AF234&lt;&gt;"exclusion",MAX(O$9,-(SUMIFS(SF_Output!$T$1:$T$400,SF_Output!$AC$1:$AC$400,_xlfn.TEXTJOIN(",",TRUE,$B234:$E234),SF_Output!$Q$1:$Q$400,"One Time",SF_Output!$L$1:$L$400,"professional service"))/N234),-((SUMIFS(SF_Output!$T$1:$T$400,SF_Output!$AC$1:$AC$400,_xlfn.TEXTJOIN(",",TRUE,$B234:$E234),SF_Output!$Q$1:$Q$400,"One Time",SF_Output!$L$1:$L$400,"professional service")/N234))))</f>
        <v/>
      </c>
      <c r="P234" s="6" t="str">
        <f t="shared" si="56"/>
        <v/>
      </c>
      <c r="R234" s="6" t="str">
        <f>IF(B234="","",SUMIFS(SF_Output!$S$1:$S$400,SF_Output!$AC$1:$AC$400,_xlfn.TEXTJOIN(",",TRUE,B234:E234),SF_Output!$Q$1:$Q$400,"yearly")+SUMIFS(SF_Output!$S$1:$S$400,SF_Output!$AC$1:$AC$400,_xlfn.TEXTJOIN(",",TRUE,B234:E234),SF_Output!$Q$1:$Q$400,"quarterly")*4)</f>
        <v/>
      </c>
      <c r="S234" s="112" t="str">
        <f>IF(OR(B234=0,B234="",G234="hardware",R234=0),"",IF(AF234&lt;&gt;"exclusion",MAX(S$9,-(SUMIFS(SF_Output!$T$1:$T$400,SF_Output!$AC$1:$AC$400,_xlfn.TEXTJOIN(",",TRUE,$B234:$E234),SF_Output!$Q$1:$Q$400,"yearly"))/R234),-((SUMIFS(SF_Output!$T$1:$T$400,SF_Output!$AC$1:$AC$400,_xlfn.TEXTJOIN(",",TRUE,$B234:$E234),SF_Output!$Q$1:$Q$400,"yearly")/R234))))</f>
        <v/>
      </c>
      <c r="T234" s="6" t="str">
        <f t="shared" si="57"/>
        <v/>
      </c>
      <c r="V234" s="6" t="str" cm="1">
        <f t="array" ref="V234">_xlfn.IFS(B234="","",AND(B234&lt;&gt;"",H234=SF_Output!$Y$2,SUMIFS(SF_Output!$T$1:$T$400,SF_Output!$AC$1:$AC$400,_xlfn.TEXTJOIN(",",TRUE,B234:E234),SF_Output!$Q$1:$Q$400,"monthly")=0),(SUMIFS(SF_Output!$F$1:$F$400,SF_Output!$AC$1:$AC$400,_xlfn.TEXTJOIN(",",TRUE,B234:E234),SF_Output!$Q$1:$Q$400,"monthly")+SUMIFS(SF_Output!$G$1:$G$400,SF_Output!$AC$1:$AC$400,_xlfn.TEXTJOIN(",",TRUE,B234:E234),SF_Output!$Q$1:$Q$400,"monthly"))*H234,AND(B234&lt;&gt;"",H234=SF_Output!$Y$2,SUMIFS(SF_Output!$T$1:$T$400,SF_Output!$AC$1:$AC$400,_xlfn.TEXTJOIN(",",TRUE,B234:E234),SF_Output!$Q$1:$Q$400,"monthly")&lt;&gt;0),SUMIFS(SF_Output!$S$1:$S$400,SF_Output!$AC$1:$AC$400,_xlfn.TEXTJOIN(",",TRUE,B234:E234),SF_Output!$Q$1:$Q$400,"monthly"),AND(B234&lt;&gt;"",H234&lt;&gt;SF_Output!$Y$2),SUMIFS(SF_Output!$S$1:$S$400,SF_Output!$AC$1:$AC$400,_xlfn.TEXTJOIN(",",TRUE,B234:E234),SF_Output!$Q$1:$Q$400,"monthly"))</f>
        <v/>
      </c>
      <c r="W234" s="112" t="str" cm="1">
        <f t="array" ref="W234">_xlfn.IFS(OR(B234=0,B234="",V234=0),"",AF234&lt;&gt;"exclusion",MAX($W$9,$W$7,(-(SUMIFS(SF_Output!$T$1:$T$400,SF_Output!$AC$1:$AC$400,_xlfn.TEXTJOIN(",",TRUE,$B234:$E234),SF_Output!$Q$1:$Q$400,"monthly"))/V234)),AF234="exclusion",-(SUMIFS(SF_Output!$T$1:$T$400,SF_Output!$AC$1:$AC$400,_xlfn.TEXTJOIN(",",TRUE,$B234:$E234),SF_Output!$Q$1:$Q$400,"monthly"))/V234)</f>
        <v/>
      </c>
      <c r="X234" s="6" t="str" cm="1">
        <f t="array" ref="X234">IFERROR(_xlfn.IFS(V234=0,0,V234="","",W234=0,V234,OR(V234&lt;&gt;0,V234&lt;&gt;""),H234*I234),V234*(1-W234))</f>
        <v/>
      </c>
      <c r="Z234" s="6" t="str">
        <f>IFERROR(IF(B234="","",SUMIFS(Billing_Fallout!H:H,Billing_Fallout!N:N,B234)),0)</f>
        <v/>
      </c>
      <c r="AA234" s="6" t="str">
        <f t="shared" si="58"/>
        <v/>
      </c>
      <c r="AB234" s="6" t="str">
        <f>IFERROR(IF(B234="","",SUMIFS(Billing_Fallout!J:J,Billing_Fallout!N:N,B234)),0)</f>
        <v/>
      </c>
      <c r="AD234" s="6" t="str">
        <f t="shared" si="59"/>
        <v/>
      </c>
      <c r="AF234" t="str">
        <f>IFERROR(INDEX(H_Tables!$B$1:$B$1500,MATCH(INDEX(SF_Output!$J$1:$J$400,MATCH(B234,SF_Output!$M$1:$M$400,0)),H_Tables!$A$1:$A$1500,0)),"")</f>
        <v/>
      </c>
      <c r="AI234" s="119" t="str">
        <f t="shared" si="60"/>
        <v/>
      </c>
      <c r="AJ234" s="121">
        <f>IFERROR(INDEX(SF_Output!AD:AD,MATCH(_xlfn.TEXTJOIN(",",TRUE,B234:E234),SF_Output!AC1:AC400,0)),0.05)</f>
        <v>241</v>
      </c>
      <c r="AK234" t="str">
        <f>IF(SUMIFS(SF_Output!$F$1:$F$400,SF_Output!$AC$1:$AC$400,_xlfn.TEXTJOIN(",",TRUE,B234:E234))+SUMIFS(SF_Output!$G$1:$G$400,SF_Output!$AC$1:$AC$400,_xlfn.TEXTJOIN(",",TRUE,B234:E234))=0,"","PAP")</f>
        <v/>
      </c>
      <c r="AL234" s="35" t="str">
        <f t="shared" si="61"/>
        <v/>
      </c>
      <c r="AQ234" s="35"/>
      <c r="AR234" s="35" t="str" cm="1">
        <f t="array" ref="AR234">IFERROR(_xlfn.IFS(AND(E234*1=1,F234="Included"),"Change to Included",AND(E234*1=0,F234="Optional"),"Change to Optional",OR(B234="",F234="replaced"),""),"")</f>
        <v/>
      </c>
      <c r="AS234" s="35" t="str">
        <f t="shared" si="62"/>
        <v/>
      </c>
      <c r="AT234" s="35" t="str">
        <f t="shared" si="63"/>
        <v/>
      </c>
      <c r="AU234" s="35" t="str">
        <f t="shared" si="64"/>
        <v/>
      </c>
      <c r="AV234" s="35" t="str">
        <f t="shared" si="65"/>
        <v/>
      </c>
      <c r="AW234" s="35" t="str">
        <f t="shared" si="66"/>
        <v/>
      </c>
      <c r="AX234" s="35" t="str">
        <f t="shared" si="67"/>
        <v/>
      </c>
      <c r="AY234" s="35" t="str">
        <f t="shared" si="68"/>
        <v/>
      </c>
      <c r="AZ234" s="35" t="str">
        <f t="shared" si="69"/>
        <v/>
      </c>
      <c r="BA234" s="35" t="str">
        <f t="shared" si="70"/>
        <v/>
      </c>
      <c r="BB234" s="35" t="str">
        <f t="shared" si="71"/>
        <v/>
      </c>
      <c r="BC234" s="35"/>
      <c r="BE234" s="35" t="e">
        <f>INDEX(SF_Output!$AA$2:$AA$400,MATCH($B234,SF_Output!$M$2:$M$400,0))</f>
        <v>#N/A</v>
      </c>
      <c r="BF234" s="35" t="e">
        <f>INDEX(SF_Output!$AB$2:$AB$400,MATCH($B234,SF_Output!$M$2:$M$400,0))</f>
        <v>#N/A</v>
      </c>
    </row>
    <row r="235" spans="6:58" x14ac:dyDescent="0.25">
      <c r="F235" s="116" t="str">
        <f t="shared" si="54"/>
        <v/>
      </c>
      <c r="G235" t="str">
        <f>IF(B235="","",INDEX(SF_Output!$K$1:$K$400,MATCH(B235,SF_Output!$M$1:$M$400,0)))</f>
        <v/>
      </c>
      <c r="H235" t="str" cm="1">
        <f t="array" ref="H235">_xlfn.IFS(B235="","",(SUMIFS(SF_Output!$F$1:$F$400,SF_Output!$AC$1:$AC$400,_xlfn.TEXTJOIN(",",TRUE,B235:E235))+SUMIFS(SF_Output!$G$1:$G$400,SF_Output!$AC$1:$AC$400,_xlfn.TEXTJOIN(",",TRUE,B235:E235)))&lt;&gt;0,SF_Output!$Y$2,INDEX(SF_Output!$F$1:$F$400,MATCH(_xlfn.TEXTJOIN(",",TRUE,B235:E235),SF_Output!$AC$1:$AC$400,0))=0,INDEX(SF_Output!$R$1:$R$400,MATCH(_xlfn.TEXTJOIN(",",TRUE,B235:E235),SF_Output!$AC$1:$AC$400,0)))</f>
        <v/>
      </c>
      <c r="I235" s="125" t="str">
        <f>IFERROR(IF(AND(H235&gt;1,H235&lt;&gt;""),ROUND(SUMIFS(SF_Output!$S$1:$S$400,SF_Output!$AC$1:$AC$400,_xlfn.TEXTJOIN(",",TRUE,B235:E235),SF_Output!$Q$1:$Q$400,"monthly")*(1-W235)/H235,4),""),"")</f>
        <v/>
      </c>
      <c r="J235" s="6" t="str">
        <f>IF(B235="","",SUMIFS(SF_Output!$S$1:$S$400,SF_Output!$AC$1:$AC$400,_xlfn.TEXTJOIN(",",TRUE,B235:E235),SF_Output!$Q$1:$Q$400,"One Time",SF_Output!$L$1:$L$400,"license fee")+SUMIFS(SF_Output!$S$1:$S$400,SF_Output!$AC$1:$AC$400,_xlfn.TEXTJOIN(",",TRUE,B235:E235),SF_Output!$Q$1:$Q$400,"One Time",SF_Output!$L$1:$L$400,"software license")+SUMIFS(SF_Output!$S$1:$S$400,SF_Output!$AC$1:$AC$400,_xlfn.TEXTJOIN(",",TRUE,B235:E235),SF_Output!$Q$1:$Q$400,"One Time",SF_Output!$L$1:$L$400,"hardware"))</f>
        <v/>
      </c>
      <c r="K235" s="112" t="str">
        <f>IF(OR(B235=0,B235="",G235="hardware",J235=0),"",IF(AF235&lt;&gt;"exclusion",MAX(K$9,-((SUMIFS(SF_Output!$T$1:$T$400,SF_Output!$AC$1:$AC$400,_xlfn.TEXTJOIN(",",TRUE,$B235:$E235),SF_Output!$Q$1:$Q$400,"One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license"))/J235)))</f>
        <v/>
      </c>
      <c r="L235" s="6" t="str">
        <f t="shared" si="55"/>
        <v/>
      </c>
      <c r="N235" s="6" t="str">
        <f>IF(B235="","",SUMIFS(SF_Output!$S$1:$S$400,SF_Output!$AC$1:$AC$400,_xlfn.TEXTJOIN(",",TRUE,B235:E235),SF_Output!$Q$1:$Q$400,"One Time",SF_Output!$L$1:$L$400,"professional service"))</f>
        <v/>
      </c>
      <c r="O235" s="112" t="str">
        <f>IF(OR(B235=0,B235="",N235=0),"",IF(AF235&lt;&gt;"exclusion",MAX(O$9,-(SUMIFS(SF_Output!$T$1:$T$400,SF_Output!$AC$1:$AC$400,_xlfn.TEXTJOIN(",",TRUE,$B235:$E235),SF_Output!$Q$1:$Q$400,"One Time",SF_Output!$L$1:$L$400,"professional service"))/N235),-((SUMIFS(SF_Output!$T$1:$T$400,SF_Output!$AC$1:$AC$400,_xlfn.TEXTJOIN(",",TRUE,$B235:$E235),SF_Output!$Q$1:$Q$400,"One Time",SF_Output!$L$1:$L$400,"professional service")/N235))))</f>
        <v/>
      </c>
      <c r="P235" s="6" t="str">
        <f t="shared" si="56"/>
        <v/>
      </c>
      <c r="R235" s="6" t="str">
        <f>IF(B235="","",SUMIFS(SF_Output!$S$1:$S$400,SF_Output!$AC$1:$AC$400,_xlfn.TEXTJOIN(",",TRUE,B235:E235),SF_Output!$Q$1:$Q$400,"yearly")+SUMIFS(SF_Output!$S$1:$S$400,SF_Output!$AC$1:$AC$400,_xlfn.TEXTJOIN(",",TRUE,B235:E235),SF_Output!$Q$1:$Q$400,"quarterly")*4)</f>
        <v/>
      </c>
      <c r="S235" s="112" t="str">
        <f>IF(OR(B235=0,B235="",G235="hardware",R235=0),"",IF(AF235&lt;&gt;"exclusion",MAX(S$9,-(SUMIFS(SF_Output!$T$1:$T$400,SF_Output!$AC$1:$AC$400,_xlfn.TEXTJOIN(",",TRUE,$B235:$E235),SF_Output!$Q$1:$Q$400,"yearly"))/R235),-((SUMIFS(SF_Output!$T$1:$T$400,SF_Output!$AC$1:$AC$400,_xlfn.TEXTJOIN(",",TRUE,$B235:$E235),SF_Output!$Q$1:$Q$400,"yearly")/R235))))</f>
        <v/>
      </c>
      <c r="T235" s="6" t="str">
        <f t="shared" si="57"/>
        <v/>
      </c>
      <c r="V235" s="6" t="str" cm="1">
        <f t="array" ref="V235">_xlfn.IFS(B235="","",AND(B235&lt;&gt;"",H235=SF_Output!$Y$2,SUMIFS(SF_Output!$T$1:$T$400,SF_Output!$AC$1:$AC$400,_xlfn.TEXTJOIN(",",TRUE,B235:E235),SF_Output!$Q$1:$Q$400,"monthly")=0),(SUMIFS(SF_Output!$F$1:$F$400,SF_Output!$AC$1:$AC$400,_xlfn.TEXTJOIN(",",TRUE,B235:E235),SF_Output!$Q$1:$Q$400,"monthly")+SUMIFS(SF_Output!$G$1:$G$400,SF_Output!$AC$1:$AC$400,_xlfn.TEXTJOIN(",",TRUE,B235:E235),SF_Output!$Q$1:$Q$400,"monthly"))*H235,AND(B235&lt;&gt;"",H235=SF_Output!$Y$2,SUMIFS(SF_Output!$T$1:$T$400,SF_Output!$AC$1:$AC$400,_xlfn.TEXTJOIN(",",TRUE,B235:E235),SF_Output!$Q$1:$Q$400,"monthly")&lt;&gt;0),SUMIFS(SF_Output!$S$1:$S$400,SF_Output!$AC$1:$AC$400,_xlfn.TEXTJOIN(",",TRUE,B235:E235),SF_Output!$Q$1:$Q$400,"monthly"),AND(B235&lt;&gt;"",H235&lt;&gt;SF_Output!$Y$2),SUMIFS(SF_Output!$S$1:$S$400,SF_Output!$AC$1:$AC$400,_xlfn.TEXTJOIN(",",TRUE,B235:E235),SF_Output!$Q$1:$Q$400,"monthly"))</f>
        <v/>
      </c>
      <c r="W235" s="112" t="str" cm="1">
        <f t="array" ref="W235">_xlfn.IFS(OR(B235=0,B235="",V235=0),"",AF235&lt;&gt;"exclusion",MAX($W$9,$W$7,(-(SUMIFS(SF_Output!$T$1:$T$400,SF_Output!$AC$1:$AC$400,_xlfn.TEXTJOIN(",",TRUE,$B235:$E235),SF_Output!$Q$1:$Q$400,"monthly"))/V235)),AF235="exclusion",-(SUMIFS(SF_Output!$T$1:$T$400,SF_Output!$AC$1:$AC$400,_xlfn.TEXTJOIN(",",TRUE,$B235:$E235),SF_Output!$Q$1:$Q$400,"monthly"))/V235)</f>
        <v/>
      </c>
      <c r="X235" s="6" t="str" cm="1">
        <f t="array" ref="X235">IFERROR(_xlfn.IFS(V235=0,0,V235="","",W235=0,V235,OR(V235&lt;&gt;0,V235&lt;&gt;""),H235*I235),V235*(1-W235))</f>
        <v/>
      </c>
      <c r="Z235" s="6" t="str">
        <f>IFERROR(IF(B235="","",SUMIFS(Billing_Fallout!H:H,Billing_Fallout!N:N,B235)),0)</f>
        <v/>
      </c>
      <c r="AA235" s="6" t="str">
        <f t="shared" si="58"/>
        <v/>
      </c>
      <c r="AB235" s="6" t="str">
        <f>IFERROR(IF(B235="","",SUMIFS(Billing_Fallout!J:J,Billing_Fallout!N:N,B235)),0)</f>
        <v/>
      </c>
      <c r="AD235" s="6" t="str">
        <f t="shared" si="59"/>
        <v/>
      </c>
      <c r="AF235" t="str">
        <f>IFERROR(INDEX(H_Tables!$B$1:$B$1500,MATCH(INDEX(SF_Output!$J$1:$J$400,MATCH(B235,SF_Output!$M$1:$M$400,0)),H_Tables!$A$1:$A$1500,0)),"")</f>
        <v/>
      </c>
      <c r="AI235" s="119" t="str">
        <f t="shared" si="60"/>
        <v/>
      </c>
      <c r="AJ235" s="121">
        <f>IFERROR(INDEX(SF_Output!AD:AD,MATCH(_xlfn.TEXTJOIN(",",TRUE,B235:E235),SF_Output!AC1:AC400,0)),0.05)</f>
        <v>241</v>
      </c>
      <c r="AK235" t="str">
        <f>IF(SUMIFS(SF_Output!$F$1:$F$400,SF_Output!$AC$1:$AC$400,_xlfn.TEXTJOIN(",",TRUE,B235:E235))+SUMIFS(SF_Output!$G$1:$G$400,SF_Output!$AC$1:$AC$400,_xlfn.TEXTJOIN(",",TRUE,B235:E235))=0,"","PAP")</f>
        <v/>
      </c>
      <c r="AL235" s="35" t="str">
        <f t="shared" si="61"/>
        <v/>
      </c>
      <c r="AQ235" s="35"/>
      <c r="AR235" s="35" t="str" cm="1">
        <f t="array" ref="AR235">IFERROR(_xlfn.IFS(AND(E235*1=1,F235="Included"),"Change to Included",AND(E235*1=0,F235="Optional"),"Change to Optional",OR(B235="",F235="replaced"),""),"")</f>
        <v/>
      </c>
      <c r="AS235" s="35" t="str">
        <f t="shared" si="62"/>
        <v/>
      </c>
      <c r="AT235" s="35" t="str">
        <f t="shared" si="63"/>
        <v/>
      </c>
      <c r="AU235" s="35" t="str">
        <f t="shared" si="64"/>
        <v/>
      </c>
      <c r="AV235" s="35" t="str">
        <f t="shared" si="65"/>
        <v/>
      </c>
      <c r="AW235" s="35" t="str">
        <f t="shared" si="66"/>
        <v/>
      </c>
      <c r="AX235" s="35" t="str">
        <f t="shared" si="67"/>
        <v/>
      </c>
      <c r="AY235" s="35" t="str">
        <f t="shared" si="68"/>
        <v/>
      </c>
      <c r="AZ235" s="35" t="str">
        <f t="shared" si="69"/>
        <v/>
      </c>
      <c r="BA235" s="35" t="str">
        <f t="shared" si="70"/>
        <v/>
      </c>
      <c r="BB235" s="35" t="str">
        <f t="shared" si="71"/>
        <v/>
      </c>
      <c r="BC235" s="35"/>
      <c r="BE235" s="35" t="e">
        <f>INDEX(SF_Output!$AA$2:$AA$400,MATCH($B235,SF_Output!$M$2:$M$400,0))</f>
        <v>#N/A</v>
      </c>
      <c r="BF235" s="35" t="e">
        <f>INDEX(SF_Output!$AB$2:$AB$400,MATCH($B235,SF_Output!$M$2:$M$400,0))</f>
        <v>#N/A</v>
      </c>
    </row>
    <row r="236" spans="6:58" x14ac:dyDescent="0.25">
      <c r="F236" s="116" t="str">
        <f t="shared" si="54"/>
        <v/>
      </c>
      <c r="G236" t="str">
        <f>IF(B236="","",INDEX(SF_Output!$K$1:$K$400,MATCH(B236,SF_Output!$M$1:$M$400,0)))</f>
        <v/>
      </c>
      <c r="H236" t="str" cm="1">
        <f t="array" ref="H236">_xlfn.IFS(B236="","",(SUMIFS(SF_Output!$F$1:$F$400,SF_Output!$AC$1:$AC$400,_xlfn.TEXTJOIN(",",TRUE,B236:E236))+SUMIFS(SF_Output!$G$1:$G$400,SF_Output!$AC$1:$AC$400,_xlfn.TEXTJOIN(",",TRUE,B236:E236)))&lt;&gt;0,SF_Output!$Y$2,INDEX(SF_Output!$F$1:$F$400,MATCH(_xlfn.TEXTJOIN(",",TRUE,B236:E236),SF_Output!$AC$1:$AC$400,0))=0,INDEX(SF_Output!$R$1:$R$400,MATCH(_xlfn.TEXTJOIN(",",TRUE,B236:E236),SF_Output!$AC$1:$AC$400,0)))</f>
        <v/>
      </c>
      <c r="I236" s="125" t="str">
        <f>IFERROR(IF(AND(H236&gt;1,H236&lt;&gt;""),ROUND(SUMIFS(SF_Output!$S$1:$S$400,SF_Output!$AC$1:$AC$400,_xlfn.TEXTJOIN(",",TRUE,B236:E236),SF_Output!$Q$1:$Q$400,"monthly")*(1-W236)/H236,4),""),"")</f>
        <v/>
      </c>
      <c r="J236" s="6" t="str">
        <f>IF(B236="","",SUMIFS(SF_Output!$S$1:$S$400,SF_Output!$AC$1:$AC$400,_xlfn.TEXTJOIN(",",TRUE,B236:E236),SF_Output!$Q$1:$Q$400,"One Time",SF_Output!$L$1:$L$400,"license fee")+SUMIFS(SF_Output!$S$1:$S$400,SF_Output!$AC$1:$AC$400,_xlfn.TEXTJOIN(",",TRUE,B236:E236),SF_Output!$Q$1:$Q$400,"One Time",SF_Output!$L$1:$L$400,"software license")+SUMIFS(SF_Output!$S$1:$S$400,SF_Output!$AC$1:$AC$400,_xlfn.TEXTJOIN(",",TRUE,B236:E236),SF_Output!$Q$1:$Q$400,"One Time",SF_Output!$L$1:$L$400,"hardware"))</f>
        <v/>
      </c>
      <c r="K236" s="112" t="str">
        <f>IF(OR(B236=0,B236="",G236="hardware",J236=0),"",IF(AF236&lt;&gt;"exclusion",MAX(K$9,-((SUMIFS(SF_Output!$T$1:$T$400,SF_Output!$AC$1:$AC$400,_xlfn.TEXTJOIN(",",TRUE,$B236:$E236),SF_Output!$Q$1:$Q$400,"One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license"))/J236)))</f>
        <v/>
      </c>
      <c r="L236" s="6" t="str">
        <f t="shared" si="55"/>
        <v/>
      </c>
      <c r="N236" s="6" t="str">
        <f>IF(B236="","",SUMIFS(SF_Output!$S$1:$S$400,SF_Output!$AC$1:$AC$400,_xlfn.TEXTJOIN(",",TRUE,B236:E236),SF_Output!$Q$1:$Q$400,"One Time",SF_Output!$L$1:$L$400,"professional service"))</f>
        <v/>
      </c>
      <c r="O236" s="112" t="str">
        <f>IF(OR(B236=0,B236="",N236=0),"",IF(AF236&lt;&gt;"exclusion",MAX(O$9,-(SUMIFS(SF_Output!$T$1:$T$400,SF_Output!$AC$1:$AC$400,_xlfn.TEXTJOIN(",",TRUE,$B236:$E236),SF_Output!$Q$1:$Q$400,"One Time",SF_Output!$L$1:$L$400,"professional service"))/N236),-((SUMIFS(SF_Output!$T$1:$T$400,SF_Output!$AC$1:$AC$400,_xlfn.TEXTJOIN(",",TRUE,$B236:$E236),SF_Output!$Q$1:$Q$400,"One Time",SF_Output!$L$1:$L$400,"professional service")/N236))))</f>
        <v/>
      </c>
      <c r="P236" s="6" t="str">
        <f t="shared" si="56"/>
        <v/>
      </c>
      <c r="R236" s="6" t="str">
        <f>IF(B236="","",SUMIFS(SF_Output!$S$1:$S$400,SF_Output!$AC$1:$AC$400,_xlfn.TEXTJOIN(",",TRUE,B236:E236),SF_Output!$Q$1:$Q$400,"yearly")+SUMIFS(SF_Output!$S$1:$S$400,SF_Output!$AC$1:$AC$400,_xlfn.TEXTJOIN(",",TRUE,B236:E236),SF_Output!$Q$1:$Q$400,"quarterly")*4)</f>
        <v/>
      </c>
      <c r="S236" s="112" t="str">
        <f>IF(OR(B236=0,B236="",G236="hardware",R236=0),"",IF(AF236&lt;&gt;"exclusion",MAX(S$9,-(SUMIFS(SF_Output!$T$1:$T$400,SF_Output!$AC$1:$AC$400,_xlfn.TEXTJOIN(",",TRUE,$B236:$E236),SF_Output!$Q$1:$Q$400,"yearly"))/R236),-((SUMIFS(SF_Output!$T$1:$T$400,SF_Output!$AC$1:$AC$400,_xlfn.TEXTJOIN(",",TRUE,$B236:$E236),SF_Output!$Q$1:$Q$400,"yearly")/R236))))</f>
        <v/>
      </c>
      <c r="T236" s="6" t="str">
        <f t="shared" si="57"/>
        <v/>
      </c>
      <c r="V236" s="6" t="str" cm="1">
        <f t="array" ref="V236">_xlfn.IFS(B236="","",AND(B236&lt;&gt;"",H236=SF_Output!$Y$2,SUMIFS(SF_Output!$T$1:$T$400,SF_Output!$AC$1:$AC$400,_xlfn.TEXTJOIN(",",TRUE,B236:E236),SF_Output!$Q$1:$Q$400,"monthly")=0),(SUMIFS(SF_Output!$F$1:$F$400,SF_Output!$AC$1:$AC$400,_xlfn.TEXTJOIN(",",TRUE,B236:E236),SF_Output!$Q$1:$Q$400,"monthly")+SUMIFS(SF_Output!$G$1:$G$400,SF_Output!$AC$1:$AC$400,_xlfn.TEXTJOIN(",",TRUE,B236:E236),SF_Output!$Q$1:$Q$400,"monthly"))*H236,AND(B236&lt;&gt;"",H236=SF_Output!$Y$2,SUMIFS(SF_Output!$T$1:$T$400,SF_Output!$AC$1:$AC$400,_xlfn.TEXTJOIN(",",TRUE,B236:E236),SF_Output!$Q$1:$Q$400,"monthly")&lt;&gt;0),SUMIFS(SF_Output!$S$1:$S$400,SF_Output!$AC$1:$AC$400,_xlfn.TEXTJOIN(",",TRUE,B236:E236),SF_Output!$Q$1:$Q$400,"monthly"),AND(B236&lt;&gt;"",H236&lt;&gt;SF_Output!$Y$2),SUMIFS(SF_Output!$S$1:$S$400,SF_Output!$AC$1:$AC$400,_xlfn.TEXTJOIN(",",TRUE,B236:E236),SF_Output!$Q$1:$Q$400,"monthly"))</f>
        <v/>
      </c>
      <c r="W236" s="112" t="str" cm="1">
        <f t="array" ref="W236">_xlfn.IFS(OR(B236=0,B236="",V236=0),"",AF236&lt;&gt;"exclusion",MAX($W$9,$W$7,(-(SUMIFS(SF_Output!$T$1:$T$400,SF_Output!$AC$1:$AC$400,_xlfn.TEXTJOIN(",",TRUE,$B236:$E236),SF_Output!$Q$1:$Q$400,"monthly"))/V236)),AF236="exclusion",-(SUMIFS(SF_Output!$T$1:$T$400,SF_Output!$AC$1:$AC$400,_xlfn.TEXTJOIN(",",TRUE,$B236:$E236),SF_Output!$Q$1:$Q$400,"monthly"))/V236)</f>
        <v/>
      </c>
      <c r="X236" s="6" t="str" cm="1">
        <f t="array" ref="X236">IFERROR(_xlfn.IFS(V236=0,0,V236="","",W236=0,V236,OR(V236&lt;&gt;0,V236&lt;&gt;""),H236*I236),V236*(1-W236))</f>
        <v/>
      </c>
      <c r="Z236" s="6" t="str">
        <f>IFERROR(IF(B236="","",SUMIFS(Billing_Fallout!H:H,Billing_Fallout!N:N,B236)),0)</f>
        <v/>
      </c>
      <c r="AA236" s="6" t="str">
        <f t="shared" si="58"/>
        <v/>
      </c>
      <c r="AB236" s="6" t="str">
        <f>IFERROR(IF(B236="","",SUMIFS(Billing_Fallout!J:J,Billing_Fallout!N:N,B236)),0)</f>
        <v/>
      </c>
      <c r="AD236" s="6" t="str">
        <f t="shared" si="59"/>
        <v/>
      </c>
      <c r="AF236" t="str">
        <f>IFERROR(INDEX(H_Tables!$B$1:$B$1500,MATCH(INDEX(SF_Output!$J$1:$J$400,MATCH(B236,SF_Output!$M$1:$M$400,0)),H_Tables!$A$1:$A$1500,0)),"")</f>
        <v/>
      </c>
      <c r="AI236" s="119" t="str">
        <f t="shared" si="60"/>
        <v/>
      </c>
      <c r="AJ236" s="121">
        <f>IFERROR(INDEX(SF_Output!AD:AD,MATCH(_xlfn.TEXTJOIN(",",TRUE,B236:E236),SF_Output!AC1:AC400,0)),0.05)</f>
        <v>241</v>
      </c>
      <c r="AK236" t="str">
        <f>IF(SUMIFS(SF_Output!$F$1:$F$400,SF_Output!$AC$1:$AC$400,_xlfn.TEXTJOIN(",",TRUE,B236:E236))+SUMIFS(SF_Output!$G$1:$G$400,SF_Output!$AC$1:$AC$400,_xlfn.TEXTJOIN(",",TRUE,B236:E236))=0,"","PAP")</f>
        <v/>
      </c>
      <c r="AL236" s="35" t="str">
        <f t="shared" si="61"/>
        <v/>
      </c>
      <c r="AQ236" s="35"/>
      <c r="AR236" s="35" t="str" cm="1">
        <f t="array" ref="AR236">IFERROR(_xlfn.IFS(AND(E236*1=1,F236="Included"),"Change to Included",AND(E236*1=0,F236="Optional"),"Change to Optional",OR(B236="",F236="replaced"),""),"")</f>
        <v/>
      </c>
      <c r="AS236" s="35" t="str">
        <f t="shared" si="62"/>
        <v/>
      </c>
      <c r="AT236" s="35" t="str">
        <f t="shared" si="63"/>
        <v/>
      </c>
      <c r="AU236" s="35" t="str">
        <f t="shared" si="64"/>
        <v/>
      </c>
      <c r="AV236" s="35" t="str">
        <f t="shared" si="65"/>
        <v/>
      </c>
      <c r="AW236" s="35" t="str">
        <f t="shared" si="66"/>
        <v/>
      </c>
      <c r="AX236" s="35" t="str">
        <f t="shared" si="67"/>
        <v/>
      </c>
      <c r="AY236" s="35" t="str">
        <f t="shared" si="68"/>
        <v/>
      </c>
      <c r="AZ236" s="35" t="str">
        <f t="shared" si="69"/>
        <v/>
      </c>
      <c r="BA236" s="35" t="str">
        <f t="shared" si="70"/>
        <v/>
      </c>
      <c r="BB236" s="35" t="str">
        <f t="shared" si="71"/>
        <v/>
      </c>
      <c r="BC236" s="35"/>
      <c r="BE236" s="35" t="e">
        <f>INDEX(SF_Output!$AA$2:$AA$400,MATCH($B236,SF_Output!$M$2:$M$400,0))</f>
        <v>#N/A</v>
      </c>
      <c r="BF236" s="35" t="e">
        <f>INDEX(SF_Output!$AB$2:$AB$400,MATCH($B236,SF_Output!$M$2:$M$400,0))</f>
        <v>#N/A</v>
      </c>
    </row>
    <row r="237" spans="6:58" x14ac:dyDescent="0.25">
      <c r="F237" s="116" t="str">
        <f t="shared" si="54"/>
        <v/>
      </c>
      <c r="G237" t="str">
        <f>IF(B237="","",INDEX(SF_Output!$K$1:$K$400,MATCH(B237,SF_Output!$M$1:$M$400,0)))</f>
        <v/>
      </c>
      <c r="H237" t="str" cm="1">
        <f t="array" ref="H237">_xlfn.IFS(B237="","",(SUMIFS(SF_Output!$F$1:$F$400,SF_Output!$AC$1:$AC$400,_xlfn.TEXTJOIN(",",TRUE,B237:E237))+SUMIFS(SF_Output!$G$1:$G$400,SF_Output!$AC$1:$AC$400,_xlfn.TEXTJOIN(",",TRUE,B237:E237)))&lt;&gt;0,SF_Output!$Y$2,INDEX(SF_Output!$F$1:$F$400,MATCH(_xlfn.TEXTJOIN(",",TRUE,B237:E237),SF_Output!$AC$1:$AC$400,0))=0,INDEX(SF_Output!$R$1:$R$400,MATCH(_xlfn.TEXTJOIN(",",TRUE,B237:E237),SF_Output!$AC$1:$AC$400,0)))</f>
        <v/>
      </c>
      <c r="I237" s="125" t="str">
        <f>IFERROR(IF(AND(H237&gt;1,H237&lt;&gt;""),ROUND(SUMIFS(SF_Output!$S$1:$S$400,SF_Output!$AC$1:$AC$400,_xlfn.TEXTJOIN(",",TRUE,B237:E237),SF_Output!$Q$1:$Q$400,"monthly")*(1-W237)/H237,4),""),"")</f>
        <v/>
      </c>
      <c r="J237" s="6" t="str">
        <f>IF(B237="","",SUMIFS(SF_Output!$S$1:$S$400,SF_Output!$AC$1:$AC$400,_xlfn.TEXTJOIN(",",TRUE,B237:E237),SF_Output!$Q$1:$Q$400,"One Time",SF_Output!$L$1:$L$400,"license fee")+SUMIFS(SF_Output!$S$1:$S$400,SF_Output!$AC$1:$AC$400,_xlfn.TEXTJOIN(",",TRUE,B237:E237),SF_Output!$Q$1:$Q$400,"One Time",SF_Output!$L$1:$L$400,"software license")+SUMIFS(SF_Output!$S$1:$S$400,SF_Output!$AC$1:$AC$400,_xlfn.TEXTJOIN(",",TRUE,B237:E237),SF_Output!$Q$1:$Q$400,"One Time",SF_Output!$L$1:$L$400,"hardware"))</f>
        <v/>
      </c>
      <c r="K237" s="112" t="str">
        <f>IF(OR(B237=0,B237="",G237="hardware",J237=0),"",IF(AF237&lt;&gt;"exclusion",MAX(K$9,-((SUMIFS(SF_Output!$T$1:$T$400,SF_Output!$AC$1:$AC$400,_xlfn.TEXTJOIN(",",TRUE,$B237:$E237),SF_Output!$Q$1:$Q$400,"One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license"))/J237)))</f>
        <v/>
      </c>
      <c r="L237" s="6" t="str">
        <f t="shared" si="55"/>
        <v/>
      </c>
      <c r="N237" s="6" t="str">
        <f>IF(B237="","",SUMIFS(SF_Output!$S$1:$S$400,SF_Output!$AC$1:$AC$400,_xlfn.TEXTJOIN(",",TRUE,B237:E237),SF_Output!$Q$1:$Q$400,"One Time",SF_Output!$L$1:$L$400,"professional service"))</f>
        <v/>
      </c>
      <c r="O237" s="112" t="str">
        <f>IF(OR(B237=0,B237="",N237=0),"",IF(AF237&lt;&gt;"exclusion",MAX(O$9,-(SUMIFS(SF_Output!$T$1:$T$400,SF_Output!$AC$1:$AC$400,_xlfn.TEXTJOIN(",",TRUE,$B237:$E237),SF_Output!$Q$1:$Q$400,"One Time",SF_Output!$L$1:$L$400,"professional service"))/N237),-((SUMIFS(SF_Output!$T$1:$T$400,SF_Output!$AC$1:$AC$400,_xlfn.TEXTJOIN(",",TRUE,$B237:$E237),SF_Output!$Q$1:$Q$400,"One Time",SF_Output!$L$1:$L$400,"professional service")/N237))))</f>
        <v/>
      </c>
      <c r="P237" s="6" t="str">
        <f t="shared" si="56"/>
        <v/>
      </c>
      <c r="R237" s="6" t="str">
        <f>IF(B237="","",SUMIFS(SF_Output!$S$1:$S$400,SF_Output!$AC$1:$AC$400,_xlfn.TEXTJOIN(",",TRUE,B237:E237),SF_Output!$Q$1:$Q$400,"yearly")+SUMIFS(SF_Output!$S$1:$S$400,SF_Output!$AC$1:$AC$400,_xlfn.TEXTJOIN(",",TRUE,B237:E237),SF_Output!$Q$1:$Q$400,"quarterly")*4)</f>
        <v/>
      </c>
      <c r="S237" s="112" t="str">
        <f>IF(OR(B237=0,B237="",G237="hardware",R237=0),"",IF(AF237&lt;&gt;"exclusion",MAX(S$9,-(SUMIFS(SF_Output!$T$1:$T$400,SF_Output!$AC$1:$AC$400,_xlfn.TEXTJOIN(",",TRUE,$B237:$E237),SF_Output!$Q$1:$Q$400,"yearly"))/R237),-((SUMIFS(SF_Output!$T$1:$T$400,SF_Output!$AC$1:$AC$400,_xlfn.TEXTJOIN(",",TRUE,$B237:$E237),SF_Output!$Q$1:$Q$400,"yearly")/R237))))</f>
        <v/>
      </c>
      <c r="T237" s="6" t="str">
        <f t="shared" si="57"/>
        <v/>
      </c>
      <c r="V237" s="6" t="str" cm="1">
        <f t="array" ref="V237">_xlfn.IFS(B237="","",AND(B237&lt;&gt;"",H237=SF_Output!$Y$2,SUMIFS(SF_Output!$T$1:$T$400,SF_Output!$AC$1:$AC$400,_xlfn.TEXTJOIN(",",TRUE,B237:E237),SF_Output!$Q$1:$Q$400,"monthly")=0),(SUMIFS(SF_Output!$F$1:$F$400,SF_Output!$AC$1:$AC$400,_xlfn.TEXTJOIN(",",TRUE,B237:E237),SF_Output!$Q$1:$Q$400,"monthly")+SUMIFS(SF_Output!$G$1:$G$400,SF_Output!$AC$1:$AC$400,_xlfn.TEXTJOIN(",",TRUE,B237:E237),SF_Output!$Q$1:$Q$400,"monthly"))*H237,AND(B237&lt;&gt;"",H237=SF_Output!$Y$2,SUMIFS(SF_Output!$T$1:$T$400,SF_Output!$AC$1:$AC$400,_xlfn.TEXTJOIN(",",TRUE,B237:E237),SF_Output!$Q$1:$Q$400,"monthly")&lt;&gt;0),SUMIFS(SF_Output!$S$1:$S$400,SF_Output!$AC$1:$AC$400,_xlfn.TEXTJOIN(",",TRUE,B237:E237),SF_Output!$Q$1:$Q$400,"monthly"),AND(B237&lt;&gt;"",H237&lt;&gt;SF_Output!$Y$2),SUMIFS(SF_Output!$S$1:$S$400,SF_Output!$AC$1:$AC$400,_xlfn.TEXTJOIN(",",TRUE,B237:E237),SF_Output!$Q$1:$Q$400,"monthly"))</f>
        <v/>
      </c>
      <c r="W237" s="112" t="str" cm="1">
        <f t="array" ref="W237">_xlfn.IFS(OR(B237=0,B237="",V237=0),"",AF237&lt;&gt;"exclusion",MAX($W$9,$W$7,(-(SUMIFS(SF_Output!$T$1:$T$400,SF_Output!$AC$1:$AC$400,_xlfn.TEXTJOIN(",",TRUE,$B237:$E237),SF_Output!$Q$1:$Q$400,"monthly"))/V237)),AF237="exclusion",-(SUMIFS(SF_Output!$T$1:$T$400,SF_Output!$AC$1:$AC$400,_xlfn.TEXTJOIN(",",TRUE,$B237:$E237),SF_Output!$Q$1:$Q$400,"monthly"))/V237)</f>
        <v/>
      </c>
      <c r="X237" s="6" t="str" cm="1">
        <f t="array" ref="X237">IFERROR(_xlfn.IFS(V237=0,0,V237="","",W237=0,V237,OR(V237&lt;&gt;0,V237&lt;&gt;""),H237*I237),V237*(1-W237))</f>
        <v/>
      </c>
      <c r="Z237" s="6" t="str">
        <f>IFERROR(IF(B237="","",SUMIFS(Billing_Fallout!H:H,Billing_Fallout!N:N,B237)),0)</f>
        <v/>
      </c>
      <c r="AA237" s="6" t="str">
        <f t="shared" si="58"/>
        <v/>
      </c>
      <c r="AB237" s="6" t="str">
        <f>IFERROR(IF(B237="","",SUMIFS(Billing_Fallout!J:J,Billing_Fallout!N:N,B237)),0)</f>
        <v/>
      </c>
      <c r="AD237" s="6" t="str">
        <f t="shared" si="59"/>
        <v/>
      </c>
      <c r="AF237" t="str">
        <f>IFERROR(INDEX(H_Tables!$B$1:$B$1500,MATCH(INDEX(SF_Output!$J$1:$J$400,MATCH(B237,SF_Output!$M$1:$M$400,0)),H_Tables!$A$1:$A$1500,0)),"")</f>
        <v/>
      </c>
      <c r="AI237" s="119" t="str">
        <f t="shared" si="60"/>
        <v/>
      </c>
      <c r="AJ237" s="121">
        <f>IFERROR(INDEX(SF_Output!AD:AD,MATCH(_xlfn.TEXTJOIN(",",TRUE,B237:E237),SF_Output!AC1:AC400,0)),0.05)</f>
        <v>241</v>
      </c>
      <c r="AK237" t="str">
        <f>IF(SUMIFS(SF_Output!$F$1:$F$400,SF_Output!$AC$1:$AC$400,_xlfn.TEXTJOIN(",",TRUE,B237:E237))+SUMIFS(SF_Output!$G$1:$G$400,SF_Output!$AC$1:$AC$400,_xlfn.TEXTJOIN(",",TRUE,B237:E237))=0,"","PAP")</f>
        <v/>
      </c>
      <c r="AL237" s="35" t="str">
        <f t="shared" si="61"/>
        <v/>
      </c>
      <c r="AQ237" s="35"/>
      <c r="AR237" s="35" t="str" cm="1">
        <f t="array" ref="AR237">IFERROR(_xlfn.IFS(AND(E237*1=1,F237="Included"),"Change to Included",AND(E237*1=0,F237="Optional"),"Change to Optional",OR(B237="",F237="replaced"),""),"")</f>
        <v/>
      </c>
      <c r="AS237" s="35" t="str">
        <f t="shared" si="62"/>
        <v/>
      </c>
      <c r="AT237" s="35" t="str">
        <f t="shared" si="63"/>
        <v/>
      </c>
      <c r="AU237" s="35" t="str">
        <f t="shared" si="64"/>
        <v/>
      </c>
      <c r="AV237" s="35" t="str">
        <f t="shared" si="65"/>
        <v/>
      </c>
      <c r="AW237" s="35" t="str">
        <f t="shared" si="66"/>
        <v/>
      </c>
      <c r="AX237" s="35" t="str">
        <f t="shared" si="67"/>
        <v/>
      </c>
      <c r="AY237" s="35" t="str">
        <f t="shared" si="68"/>
        <v/>
      </c>
      <c r="AZ237" s="35" t="str">
        <f t="shared" si="69"/>
        <v/>
      </c>
      <c r="BA237" s="35" t="str">
        <f t="shared" si="70"/>
        <v/>
      </c>
      <c r="BB237" s="35" t="str">
        <f t="shared" si="71"/>
        <v/>
      </c>
      <c r="BC237" s="35"/>
      <c r="BE237" s="35" t="e">
        <f>INDEX(SF_Output!$AA$2:$AA$400,MATCH($B237,SF_Output!$M$2:$M$400,0))</f>
        <v>#N/A</v>
      </c>
      <c r="BF237" s="35" t="e">
        <f>INDEX(SF_Output!$AB$2:$AB$400,MATCH($B237,SF_Output!$M$2:$M$400,0))</f>
        <v>#N/A</v>
      </c>
    </row>
    <row r="238" spans="6:58" x14ac:dyDescent="0.25">
      <c r="F238" s="116" t="str">
        <f t="shared" si="54"/>
        <v/>
      </c>
      <c r="G238" t="str">
        <f>IF(B238="","",INDEX(SF_Output!$K$1:$K$400,MATCH(B238,SF_Output!$M$1:$M$400,0)))</f>
        <v/>
      </c>
      <c r="H238" t="str" cm="1">
        <f t="array" ref="H238">_xlfn.IFS(B238="","",(SUMIFS(SF_Output!$F$1:$F$400,SF_Output!$AC$1:$AC$400,_xlfn.TEXTJOIN(",",TRUE,B238:E238))+SUMIFS(SF_Output!$G$1:$G$400,SF_Output!$AC$1:$AC$400,_xlfn.TEXTJOIN(",",TRUE,B238:E238)))&lt;&gt;0,SF_Output!$Y$2,INDEX(SF_Output!$F$1:$F$400,MATCH(_xlfn.TEXTJOIN(",",TRUE,B238:E238),SF_Output!$AC$1:$AC$400,0))=0,INDEX(SF_Output!$R$1:$R$400,MATCH(_xlfn.TEXTJOIN(",",TRUE,B238:E238),SF_Output!$AC$1:$AC$400,0)))</f>
        <v/>
      </c>
      <c r="I238" s="125" t="str">
        <f>IFERROR(IF(AND(H238&gt;1,H238&lt;&gt;""),ROUND(SUMIFS(SF_Output!$S$1:$S$400,SF_Output!$AC$1:$AC$400,_xlfn.TEXTJOIN(",",TRUE,B238:E238),SF_Output!$Q$1:$Q$400,"monthly")*(1-W238)/H238,4),""),"")</f>
        <v/>
      </c>
      <c r="J238" s="6" t="str">
        <f>IF(B238="","",SUMIFS(SF_Output!$S$1:$S$400,SF_Output!$AC$1:$AC$400,_xlfn.TEXTJOIN(",",TRUE,B238:E238),SF_Output!$Q$1:$Q$400,"One Time",SF_Output!$L$1:$L$400,"license fee")+SUMIFS(SF_Output!$S$1:$S$400,SF_Output!$AC$1:$AC$400,_xlfn.TEXTJOIN(",",TRUE,B238:E238),SF_Output!$Q$1:$Q$400,"One Time",SF_Output!$L$1:$L$400,"software license")+SUMIFS(SF_Output!$S$1:$S$400,SF_Output!$AC$1:$AC$400,_xlfn.TEXTJOIN(",",TRUE,B238:E238),SF_Output!$Q$1:$Q$400,"One Time",SF_Output!$L$1:$L$400,"hardware"))</f>
        <v/>
      </c>
      <c r="K238" s="112" t="str">
        <f>IF(OR(B238=0,B238="",G238="hardware",J238=0),"",IF(AF238&lt;&gt;"exclusion",MAX(K$9,-((SUMIFS(SF_Output!$T$1:$T$400,SF_Output!$AC$1:$AC$400,_xlfn.TEXTJOIN(",",TRUE,$B238:$E238),SF_Output!$Q$1:$Q$400,"One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license"))/J238)))</f>
        <v/>
      </c>
      <c r="L238" s="6" t="str">
        <f t="shared" si="55"/>
        <v/>
      </c>
      <c r="N238" s="6" t="str">
        <f>IF(B238="","",SUMIFS(SF_Output!$S$1:$S$400,SF_Output!$AC$1:$AC$400,_xlfn.TEXTJOIN(",",TRUE,B238:E238),SF_Output!$Q$1:$Q$400,"One Time",SF_Output!$L$1:$L$400,"professional service"))</f>
        <v/>
      </c>
      <c r="O238" s="112" t="str">
        <f>IF(OR(B238=0,B238="",N238=0),"",IF(AF238&lt;&gt;"exclusion",MAX(O$9,-(SUMIFS(SF_Output!$T$1:$T$400,SF_Output!$AC$1:$AC$400,_xlfn.TEXTJOIN(",",TRUE,$B238:$E238),SF_Output!$Q$1:$Q$400,"One Time",SF_Output!$L$1:$L$400,"professional service"))/N238),-((SUMIFS(SF_Output!$T$1:$T$400,SF_Output!$AC$1:$AC$400,_xlfn.TEXTJOIN(",",TRUE,$B238:$E238),SF_Output!$Q$1:$Q$400,"One Time",SF_Output!$L$1:$L$400,"professional service")/N238))))</f>
        <v/>
      </c>
      <c r="P238" s="6" t="str">
        <f t="shared" si="56"/>
        <v/>
      </c>
      <c r="R238" s="6" t="str">
        <f>IF(B238="","",SUMIFS(SF_Output!$S$1:$S$400,SF_Output!$AC$1:$AC$400,_xlfn.TEXTJOIN(",",TRUE,B238:E238),SF_Output!$Q$1:$Q$400,"yearly")+SUMIFS(SF_Output!$S$1:$S$400,SF_Output!$AC$1:$AC$400,_xlfn.TEXTJOIN(",",TRUE,B238:E238),SF_Output!$Q$1:$Q$400,"quarterly")*4)</f>
        <v/>
      </c>
      <c r="S238" s="112" t="str">
        <f>IF(OR(B238=0,B238="",G238="hardware",R238=0),"",IF(AF238&lt;&gt;"exclusion",MAX(S$9,-(SUMIFS(SF_Output!$T$1:$T$400,SF_Output!$AC$1:$AC$400,_xlfn.TEXTJOIN(",",TRUE,$B238:$E238),SF_Output!$Q$1:$Q$400,"yearly"))/R238),-((SUMIFS(SF_Output!$T$1:$T$400,SF_Output!$AC$1:$AC$400,_xlfn.TEXTJOIN(",",TRUE,$B238:$E238),SF_Output!$Q$1:$Q$400,"yearly")/R238))))</f>
        <v/>
      </c>
      <c r="T238" s="6" t="str">
        <f t="shared" si="57"/>
        <v/>
      </c>
      <c r="V238" s="6" t="str" cm="1">
        <f t="array" ref="V238">_xlfn.IFS(B238="","",AND(B238&lt;&gt;"",H238=SF_Output!$Y$2,SUMIFS(SF_Output!$T$1:$T$400,SF_Output!$AC$1:$AC$400,_xlfn.TEXTJOIN(",",TRUE,B238:E238),SF_Output!$Q$1:$Q$400,"monthly")=0),(SUMIFS(SF_Output!$F$1:$F$400,SF_Output!$AC$1:$AC$400,_xlfn.TEXTJOIN(",",TRUE,B238:E238),SF_Output!$Q$1:$Q$400,"monthly")+SUMIFS(SF_Output!$G$1:$G$400,SF_Output!$AC$1:$AC$400,_xlfn.TEXTJOIN(",",TRUE,B238:E238),SF_Output!$Q$1:$Q$400,"monthly"))*H238,AND(B238&lt;&gt;"",H238=SF_Output!$Y$2,SUMIFS(SF_Output!$T$1:$T$400,SF_Output!$AC$1:$AC$400,_xlfn.TEXTJOIN(",",TRUE,B238:E238),SF_Output!$Q$1:$Q$400,"monthly")&lt;&gt;0),SUMIFS(SF_Output!$S$1:$S$400,SF_Output!$AC$1:$AC$400,_xlfn.TEXTJOIN(",",TRUE,B238:E238),SF_Output!$Q$1:$Q$400,"monthly"),AND(B238&lt;&gt;"",H238&lt;&gt;SF_Output!$Y$2),SUMIFS(SF_Output!$S$1:$S$400,SF_Output!$AC$1:$AC$400,_xlfn.TEXTJOIN(",",TRUE,B238:E238),SF_Output!$Q$1:$Q$400,"monthly"))</f>
        <v/>
      </c>
      <c r="W238" s="112" t="str" cm="1">
        <f t="array" ref="W238">_xlfn.IFS(OR(B238=0,B238="",V238=0),"",AF238&lt;&gt;"exclusion",MAX($W$9,$W$7,(-(SUMIFS(SF_Output!$T$1:$T$400,SF_Output!$AC$1:$AC$400,_xlfn.TEXTJOIN(",",TRUE,$B238:$E238),SF_Output!$Q$1:$Q$400,"monthly"))/V238)),AF238="exclusion",-(SUMIFS(SF_Output!$T$1:$T$400,SF_Output!$AC$1:$AC$400,_xlfn.TEXTJOIN(",",TRUE,$B238:$E238),SF_Output!$Q$1:$Q$400,"monthly"))/V238)</f>
        <v/>
      </c>
      <c r="X238" s="6" t="str" cm="1">
        <f t="array" ref="X238">IFERROR(_xlfn.IFS(V238=0,0,V238="","",W238=0,V238,OR(V238&lt;&gt;0,V238&lt;&gt;""),H238*I238),V238*(1-W238))</f>
        <v/>
      </c>
      <c r="Z238" s="6" t="str">
        <f>IFERROR(IF(B238="","",SUMIFS(Billing_Fallout!H:H,Billing_Fallout!N:N,B238)),0)</f>
        <v/>
      </c>
      <c r="AA238" s="6" t="str">
        <f t="shared" si="58"/>
        <v/>
      </c>
      <c r="AB238" s="6" t="str">
        <f>IFERROR(IF(B238="","",SUMIFS(Billing_Fallout!J:J,Billing_Fallout!N:N,B238)),0)</f>
        <v/>
      </c>
      <c r="AD238" s="6" t="str">
        <f t="shared" si="59"/>
        <v/>
      </c>
      <c r="AF238" t="str">
        <f>IFERROR(INDEX(H_Tables!$B$1:$B$1500,MATCH(INDEX(SF_Output!$J$1:$J$400,MATCH(B238,SF_Output!$M$1:$M$400,0)),H_Tables!$A$1:$A$1500,0)),"")</f>
        <v/>
      </c>
      <c r="AI238" s="119" t="str">
        <f t="shared" si="60"/>
        <v/>
      </c>
      <c r="AJ238" s="121">
        <f>IFERROR(INDEX(SF_Output!AD:AD,MATCH(_xlfn.TEXTJOIN(",",TRUE,B238:E238),SF_Output!AC1:AC400,0)),0.05)</f>
        <v>241</v>
      </c>
      <c r="AK238" t="str">
        <f>IF(SUMIFS(SF_Output!$F$1:$F$400,SF_Output!$AC$1:$AC$400,_xlfn.TEXTJOIN(",",TRUE,B238:E238))+SUMIFS(SF_Output!$G$1:$G$400,SF_Output!$AC$1:$AC$400,_xlfn.TEXTJOIN(",",TRUE,B238:E238))=0,"","PAP")</f>
        <v/>
      </c>
      <c r="AL238" s="35" t="str">
        <f t="shared" si="61"/>
        <v/>
      </c>
      <c r="AQ238" s="35"/>
      <c r="AR238" s="35" t="str" cm="1">
        <f t="array" ref="AR238">IFERROR(_xlfn.IFS(AND(E238*1=1,F238="Included"),"Change to Included",AND(E238*1=0,F238="Optional"),"Change to Optional",OR(B238="",F238="replaced"),""),"")</f>
        <v/>
      </c>
      <c r="AS238" s="35" t="str">
        <f t="shared" si="62"/>
        <v/>
      </c>
      <c r="AT238" s="35" t="str">
        <f t="shared" si="63"/>
        <v/>
      </c>
      <c r="AU238" s="35" t="str">
        <f t="shared" si="64"/>
        <v/>
      </c>
      <c r="AV238" s="35" t="str">
        <f t="shared" si="65"/>
        <v/>
      </c>
      <c r="AW238" s="35" t="str">
        <f t="shared" si="66"/>
        <v/>
      </c>
      <c r="AX238" s="35" t="str">
        <f t="shared" si="67"/>
        <v/>
      </c>
      <c r="AY238" s="35" t="str">
        <f t="shared" si="68"/>
        <v/>
      </c>
      <c r="AZ238" s="35" t="str">
        <f t="shared" si="69"/>
        <v/>
      </c>
      <c r="BA238" s="35" t="str">
        <f t="shared" si="70"/>
        <v/>
      </c>
      <c r="BB238" s="35" t="str">
        <f t="shared" si="71"/>
        <v/>
      </c>
      <c r="BC238" s="35"/>
      <c r="BE238" s="35" t="e">
        <f>INDEX(SF_Output!$AA$2:$AA$400,MATCH($B238,SF_Output!$M$2:$M$400,0))</f>
        <v>#N/A</v>
      </c>
      <c r="BF238" s="35" t="e">
        <f>INDEX(SF_Output!$AB$2:$AB$400,MATCH($B238,SF_Output!$M$2:$M$400,0))</f>
        <v>#N/A</v>
      </c>
    </row>
    <row r="239" spans="6:58" x14ac:dyDescent="0.25">
      <c r="F239" s="116" t="str">
        <f t="shared" si="54"/>
        <v/>
      </c>
      <c r="G239" t="str">
        <f>IF(B239="","",INDEX(SF_Output!$K$1:$K$400,MATCH(B239,SF_Output!$M$1:$M$400,0)))</f>
        <v/>
      </c>
      <c r="H239" t="str" cm="1">
        <f t="array" ref="H239">_xlfn.IFS(B239="","",(SUMIFS(SF_Output!$F$1:$F$400,SF_Output!$AC$1:$AC$400,_xlfn.TEXTJOIN(",",TRUE,B239:E239))+SUMIFS(SF_Output!$G$1:$G$400,SF_Output!$AC$1:$AC$400,_xlfn.TEXTJOIN(",",TRUE,B239:E239)))&lt;&gt;0,SF_Output!$Y$2,INDEX(SF_Output!$F$1:$F$400,MATCH(_xlfn.TEXTJOIN(",",TRUE,B239:E239),SF_Output!$AC$1:$AC$400,0))=0,INDEX(SF_Output!$R$1:$R$400,MATCH(_xlfn.TEXTJOIN(",",TRUE,B239:E239),SF_Output!$AC$1:$AC$400,0)))</f>
        <v/>
      </c>
      <c r="I239" s="125" t="str">
        <f>IFERROR(IF(AND(H239&gt;1,H239&lt;&gt;""),ROUND(SUMIFS(SF_Output!$S$1:$S$400,SF_Output!$AC$1:$AC$400,_xlfn.TEXTJOIN(",",TRUE,B239:E239),SF_Output!$Q$1:$Q$400,"monthly")*(1-W239)/H239,4),""),"")</f>
        <v/>
      </c>
      <c r="J239" s="6" t="str">
        <f>IF(B239="","",SUMIFS(SF_Output!$S$1:$S$400,SF_Output!$AC$1:$AC$400,_xlfn.TEXTJOIN(",",TRUE,B239:E239),SF_Output!$Q$1:$Q$400,"One Time",SF_Output!$L$1:$L$400,"license fee")+SUMIFS(SF_Output!$S$1:$S$400,SF_Output!$AC$1:$AC$400,_xlfn.TEXTJOIN(",",TRUE,B239:E239),SF_Output!$Q$1:$Q$400,"One Time",SF_Output!$L$1:$L$400,"software license")+SUMIFS(SF_Output!$S$1:$S$400,SF_Output!$AC$1:$AC$400,_xlfn.TEXTJOIN(",",TRUE,B239:E239),SF_Output!$Q$1:$Q$400,"One Time",SF_Output!$L$1:$L$400,"hardware"))</f>
        <v/>
      </c>
      <c r="K239" s="112" t="str">
        <f>IF(OR(B239=0,B239="",G239="hardware",J239=0),"",IF(AF239&lt;&gt;"exclusion",MAX(K$9,-((SUMIFS(SF_Output!$T$1:$T$400,SF_Output!$AC$1:$AC$400,_xlfn.TEXTJOIN(",",TRUE,$B239:$E239),SF_Output!$Q$1:$Q$400,"One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license"))/J239)))</f>
        <v/>
      </c>
      <c r="L239" s="6" t="str">
        <f t="shared" si="55"/>
        <v/>
      </c>
      <c r="N239" s="6" t="str">
        <f>IF(B239="","",SUMIFS(SF_Output!$S$1:$S$400,SF_Output!$AC$1:$AC$400,_xlfn.TEXTJOIN(",",TRUE,B239:E239),SF_Output!$Q$1:$Q$400,"One Time",SF_Output!$L$1:$L$400,"professional service"))</f>
        <v/>
      </c>
      <c r="O239" s="112" t="str">
        <f>IF(OR(B239=0,B239="",N239=0),"",IF(AF239&lt;&gt;"exclusion",MAX(O$9,-(SUMIFS(SF_Output!$T$1:$T$400,SF_Output!$AC$1:$AC$400,_xlfn.TEXTJOIN(",",TRUE,$B239:$E239),SF_Output!$Q$1:$Q$400,"One Time",SF_Output!$L$1:$L$400,"professional service"))/N239),-((SUMIFS(SF_Output!$T$1:$T$400,SF_Output!$AC$1:$AC$400,_xlfn.TEXTJOIN(",",TRUE,$B239:$E239),SF_Output!$Q$1:$Q$400,"One Time",SF_Output!$L$1:$L$400,"professional service")/N239))))</f>
        <v/>
      </c>
      <c r="P239" s="6" t="str">
        <f t="shared" si="56"/>
        <v/>
      </c>
      <c r="R239" s="6" t="str">
        <f>IF(B239="","",SUMIFS(SF_Output!$S$1:$S$400,SF_Output!$AC$1:$AC$400,_xlfn.TEXTJOIN(",",TRUE,B239:E239),SF_Output!$Q$1:$Q$400,"yearly")+SUMIFS(SF_Output!$S$1:$S$400,SF_Output!$AC$1:$AC$400,_xlfn.TEXTJOIN(",",TRUE,B239:E239),SF_Output!$Q$1:$Q$400,"quarterly")*4)</f>
        <v/>
      </c>
      <c r="S239" s="112" t="str">
        <f>IF(OR(B239=0,B239="",G239="hardware",R239=0),"",IF(AF239&lt;&gt;"exclusion",MAX(S$9,-(SUMIFS(SF_Output!$T$1:$T$400,SF_Output!$AC$1:$AC$400,_xlfn.TEXTJOIN(",",TRUE,$B239:$E239),SF_Output!$Q$1:$Q$400,"yearly"))/R239),-((SUMIFS(SF_Output!$T$1:$T$400,SF_Output!$AC$1:$AC$400,_xlfn.TEXTJOIN(",",TRUE,$B239:$E239),SF_Output!$Q$1:$Q$400,"yearly")/R239))))</f>
        <v/>
      </c>
      <c r="T239" s="6" t="str">
        <f t="shared" si="57"/>
        <v/>
      </c>
      <c r="V239" s="6" t="str" cm="1">
        <f t="array" ref="V239">_xlfn.IFS(B239="","",AND(B239&lt;&gt;"",H239=SF_Output!$Y$2,SUMIFS(SF_Output!$T$1:$T$400,SF_Output!$AC$1:$AC$400,_xlfn.TEXTJOIN(",",TRUE,B239:E239),SF_Output!$Q$1:$Q$400,"monthly")=0),(SUMIFS(SF_Output!$F$1:$F$400,SF_Output!$AC$1:$AC$400,_xlfn.TEXTJOIN(",",TRUE,B239:E239),SF_Output!$Q$1:$Q$400,"monthly")+SUMIFS(SF_Output!$G$1:$G$400,SF_Output!$AC$1:$AC$400,_xlfn.TEXTJOIN(",",TRUE,B239:E239),SF_Output!$Q$1:$Q$400,"monthly"))*H239,AND(B239&lt;&gt;"",H239=SF_Output!$Y$2,SUMIFS(SF_Output!$T$1:$T$400,SF_Output!$AC$1:$AC$400,_xlfn.TEXTJOIN(",",TRUE,B239:E239),SF_Output!$Q$1:$Q$400,"monthly")&lt;&gt;0),SUMIFS(SF_Output!$S$1:$S$400,SF_Output!$AC$1:$AC$400,_xlfn.TEXTJOIN(",",TRUE,B239:E239),SF_Output!$Q$1:$Q$400,"monthly"),AND(B239&lt;&gt;"",H239&lt;&gt;SF_Output!$Y$2),SUMIFS(SF_Output!$S$1:$S$400,SF_Output!$AC$1:$AC$400,_xlfn.TEXTJOIN(",",TRUE,B239:E239),SF_Output!$Q$1:$Q$400,"monthly"))</f>
        <v/>
      </c>
      <c r="W239" s="112" t="str" cm="1">
        <f t="array" ref="W239">_xlfn.IFS(OR(B239=0,B239="",V239=0),"",AF239&lt;&gt;"exclusion",MAX($W$9,$W$7,(-(SUMIFS(SF_Output!$T$1:$T$400,SF_Output!$AC$1:$AC$400,_xlfn.TEXTJOIN(",",TRUE,$B239:$E239),SF_Output!$Q$1:$Q$400,"monthly"))/V239)),AF239="exclusion",-(SUMIFS(SF_Output!$T$1:$T$400,SF_Output!$AC$1:$AC$400,_xlfn.TEXTJOIN(",",TRUE,$B239:$E239),SF_Output!$Q$1:$Q$400,"monthly"))/V239)</f>
        <v/>
      </c>
      <c r="X239" s="6" t="str" cm="1">
        <f t="array" ref="X239">IFERROR(_xlfn.IFS(V239=0,0,V239="","",W239=0,V239,OR(V239&lt;&gt;0,V239&lt;&gt;""),H239*I239),V239*(1-W239))</f>
        <v/>
      </c>
      <c r="Z239" s="6" t="str">
        <f>IFERROR(IF(B239="","",SUMIFS(Billing_Fallout!H:H,Billing_Fallout!N:N,B239)),0)</f>
        <v/>
      </c>
      <c r="AA239" s="6" t="str">
        <f t="shared" si="58"/>
        <v/>
      </c>
      <c r="AB239" s="6" t="str">
        <f>IFERROR(IF(B239="","",SUMIFS(Billing_Fallout!J:J,Billing_Fallout!N:N,B239)),0)</f>
        <v/>
      </c>
      <c r="AD239" s="6" t="str">
        <f t="shared" si="59"/>
        <v/>
      </c>
      <c r="AF239" t="str">
        <f>IFERROR(INDEX(H_Tables!$B$1:$B$1500,MATCH(INDEX(SF_Output!$J$1:$J$400,MATCH(B239,SF_Output!$M$1:$M$400,0)),H_Tables!$A$1:$A$1500,0)),"")</f>
        <v/>
      </c>
      <c r="AI239" s="119" t="str">
        <f t="shared" si="60"/>
        <v/>
      </c>
      <c r="AJ239" s="121">
        <f>IFERROR(INDEX(SF_Output!AD:AD,MATCH(_xlfn.TEXTJOIN(",",TRUE,B239:E239),SF_Output!AC1:AC400,0)),0.05)</f>
        <v>241</v>
      </c>
      <c r="AK239" t="str">
        <f>IF(SUMIFS(SF_Output!$F$1:$F$400,SF_Output!$AC$1:$AC$400,_xlfn.TEXTJOIN(",",TRUE,B239:E239))+SUMIFS(SF_Output!$G$1:$G$400,SF_Output!$AC$1:$AC$400,_xlfn.TEXTJOIN(",",TRUE,B239:E239))=0,"","PAP")</f>
        <v/>
      </c>
      <c r="AL239" s="35" t="str">
        <f t="shared" si="61"/>
        <v/>
      </c>
      <c r="AQ239" s="35"/>
      <c r="AR239" s="35" t="str" cm="1">
        <f t="array" ref="AR239">IFERROR(_xlfn.IFS(AND(E239*1=1,F239="Included"),"Change to Included",AND(E239*1=0,F239="Optional"),"Change to Optional",OR(B239="",F239="replaced"),""),"")</f>
        <v/>
      </c>
      <c r="AS239" s="35" t="str">
        <f t="shared" si="62"/>
        <v/>
      </c>
      <c r="AT239" s="35" t="str">
        <f t="shared" si="63"/>
        <v/>
      </c>
      <c r="AU239" s="35" t="str">
        <f t="shared" si="64"/>
        <v/>
      </c>
      <c r="AV239" s="35" t="str">
        <f t="shared" si="65"/>
        <v/>
      </c>
      <c r="AW239" s="35" t="str">
        <f t="shared" si="66"/>
        <v/>
      </c>
      <c r="AX239" s="35" t="str">
        <f t="shared" si="67"/>
        <v/>
      </c>
      <c r="AY239" s="35" t="str">
        <f t="shared" si="68"/>
        <v/>
      </c>
      <c r="AZ239" s="35" t="str">
        <f t="shared" si="69"/>
        <v/>
      </c>
      <c r="BA239" s="35" t="str">
        <f t="shared" si="70"/>
        <v/>
      </c>
      <c r="BB239" s="35" t="str">
        <f t="shared" si="71"/>
        <v/>
      </c>
      <c r="BC239" s="35"/>
      <c r="BE239" s="35" t="e">
        <f>INDEX(SF_Output!$AA$2:$AA$400,MATCH($B239,SF_Output!$M$2:$M$400,0))</f>
        <v>#N/A</v>
      </c>
      <c r="BF239" s="35" t="e">
        <f>INDEX(SF_Output!$AB$2:$AB$400,MATCH($B239,SF_Output!$M$2:$M$400,0))</f>
        <v>#N/A</v>
      </c>
    </row>
    <row r="240" spans="6:58" x14ac:dyDescent="0.25">
      <c r="F240" s="116" t="str">
        <f t="shared" si="54"/>
        <v/>
      </c>
      <c r="G240" t="str">
        <f>IF(B240="","",INDEX(SF_Output!$K$1:$K$400,MATCH(B240,SF_Output!$M$1:$M$400,0)))</f>
        <v/>
      </c>
      <c r="H240" t="str" cm="1">
        <f t="array" ref="H240">_xlfn.IFS(B240="","",(SUMIFS(SF_Output!$F$1:$F$400,SF_Output!$AC$1:$AC$400,_xlfn.TEXTJOIN(",",TRUE,B240:E240))+SUMIFS(SF_Output!$G$1:$G$400,SF_Output!$AC$1:$AC$400,_xlfn.TEXTJOIN(",",TRUE,B240:E240)))&lt;&gt;0,SF_Output!$Y$2,INDEX(SF_Output!$F$1:$F$400,MATCH(_xlfn.TEXTJOIN(",",TRUE,B240:E240),SF_Output!$AC$1:$AC$400,0))=0,INDEX(SF_Output!$R$1:$R$400,MATCH(_xlfn.TEXTJOIN(",",TRUE,B240:E240),SF_Output!$AC$1:$AC$400,0)))</f>
        <v/>
      </c>
      <c r="I240" s="125" t="str">
        <f>IFERROR(IF(AND(H240&gt;1,H240&lt;&gt;""),ROUND(SUMIFS(SF_Output!$S$1:$S$400,SF_Output!$AC$1:$AC$400,_xlfn.TEXTJOIN(",",TRUE,B240:E240),SF_Output!$Q$1:$Q$400,"monthly")*(1-W240)/H240,4),""),"")</f>
        <v/>
      </c>
      <c r="J240" s="6" t="str">
        <f>IF(B240="","",SUMIFS(SF_Output!$S$1:$S$400,SF_Output!$AC$1:$AC$400,_xlfn.TEXTJOIN(",",TRUE,B240:E240),SF_Output!$Q$1:$Q$400,"One Time",SF_Output!$L$1:$L$400,"license fee")+SUMIFS(SF_Output!$S$1:$S$400,SF_Output!$AC$1:$AC$400,_xlfn.TEXTJOIN(",",TRUE,B240:E240),SF_Output!$Q$1:$Q$400,"One Time",SF_Output!$L$1:$L$400,"software license")+SUMIFS(SF_Output!$S$1:$S$400,SF_Output!$AC$1:$AC$400,_xlfn.TEXTJOIN(",",TRUE,B240:E240),SF_Output!$Q$1:$Q$400,"One Time",SF_Output!$L$1:$L$400,"hardware"))</f>
        <v/>
      </c>
      <c r="K240" s="112" t="str">
        <f>IF(OR(B240=0,B240="",G240="hardware",J240=0),"",IF(AF240&lt;&gt;"exclusion",MAX(K$9,-((SUMIFS(SF_Output!$T$1:$T$400,SF_Output!$AC$1:$AC$400,_xlfn.TEXTJOIN(",",TRUE,$B240:$E240),SF_Output!$Q$1:$Q$400,"One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license"))/J240)))</f>
        <v/>
      </c>
      <c r="L240" s="6" t="str">
        <f t="shared" si="55"/>
        <v/>
      </c>
      <c r="N240" s="6" t="str">
        <f>IF(B240="","",SUMIFS(SF_Output!$S$1:$S$400,SF_Output!$AC$1:$AC$400,_xlfn.TEXTJOIN(",",TRUE,B240:E240),SF_Output!$Q$1:$Q$400,"One Time",SF_Output!$L$1:$L$400,"professional service"))</f>
        <v/>
      </c>
      <c r="O240" s="112" t="str">
        <f>IF(OR(B240=0,B240="",N240=0),"",IF(AF240&lt;&gt;"exclusion",MAX(O$9,-(SUMIFS(SF_Output!$T$1:$T$400,SF_Output!$AC$1:$AC$400,_xlfn.TEXTJOIN(",",TRUE,$B240:$E240),SF_Output!$Q$1:$Q$400,"One Time",SF_Output!$L$1:$L$400,"professional service"))/N240),-((SUMIFS(SF_Output!$T$1:$T$400,SF_Output!$AC$1:$AC$400,_xlfn.TEXTJOIN(",",TRUE,$B240:$E240),SF_Output!$Q$1:$Q$400,"One Time",SF_Output!$L$1:$L$400,"professional service")/N240))))</f>
        <v/>
      </c>
      <c r="P240" s="6" t="str">
        <f t="shared" si="56"/>
        <v/>
      </c>
      <c r="R240" s="6" t="str">
        <f>IF(B240="","",SUMIFS(SF_Output!$S$1:$S$400,SF_Output!$AC$1:$AC$400,_xlfn.TEXTJOIN(",",TRUE,B240:E240),SF_Output!$Q$1:$Q$400,"yearly")+SUMIFS(SF_Output!$S$1:$S$400,SF_Output!$AC$1:$AC$400,_xlfn.TEXTJOIN(",",TRUE,B240:E240),SF_Output!$Q$1:$Q$400,"quarterly")*4)</f>
        <v/>
      </c>
      <c r="S240" s="112" t="str">
        <f>IF(OR(B240=0,B240="",G240="hardware",R240=0),"",IF(AF240&lt;&gt;"exclusion",MAX(S$9,-(SUMIFS(SF_Output!$T$1:$T$400,SF_Output!$AC$1:$AC$400,_xlfn.TEXTJOIN(",",TRUE,$B240:$E240),SF_Output!$Q$1:$Q$400,"yearly"))/R240),-((SUMIFS(SF_Output!$T$1:$T$400,SF_Output!$AC$1:$AC$400,_xlfn.TEXTJOIN(",",TRUE,$B240:$E240),SF_Output!$Q$1:$Q$400,"yearly")/R240))))</f>
        <v/>
      </c>
      <c r="T240" s="6" t="str">
        <f t="shared" si="57"/>
        <v/>
      </c>
      <c r="V240" s="6" t="str" cm="1">
        <f t="array" ref="V240">_xlfn.IFS(B240="","",AND(B240&lt;&gt;"",H240=SF_Output!$Y$2,SUMIFS(SF_Output!$T$1:$T$400,SF_Output!$AC$1:$AC$400,_xlfn.TEXTJOIN(",",TRUE,B240:E240),SF_Output!$Q$1:$Q$400,"monthly")=0),(SUMIFS(SF_Output!$F$1:$F$400,SF_Output!$AC$1:$AC$400,_xlfn.TEXTJOIN(",",TRUE,B240:E240),SF_Output!$Q$1:$Q$400,"monthly")+SUMIFS(SF_Output!$G$1:$G$400,SF_Output!$AC$1:$AC$400,_xlfn.TEXTJOIN(",",TRUE,B240:E240),SF_Output!$Q$1:$Q$400,"monthly"))*H240,AND(B240&lt;&gt;"",H240=SF_Output!$Y$2,SUMIFS(SF_Output!$T$1:$T$400,SF_Output!$AC$1:$AC$400,_xlfn.TEXTJOIN(",",TRUE,B240:E240),SF_Output!$Q$1:$Q$400,"monthly")&lt;&gt;0),SUMIFS(SF_Output!$S$1:$S$400,SF_Output!$AC$1:$AC$400,_xlfn.TEXTJOIN(",",TRUE,B240:E240),SF_Output!$Q$1:$Q$400,"monthly"),AND(B240&lt;&gt;"",H240&lt;&gt;SF_Output!$Y$2),SUMIFS(SF_Output!$S$1:$S$400,SF_Output!$AC$1:$AC$400,_xlfn.TEXTJOIN(",",TRUE,B240:E240),SF_Output!$Q$1:$Q$400,"monthly"))</f>
        <v/>
      </c>
      <c r="W240" s="112" t="str" cm="1">
        <f t="array" ref="W240">_xlfn.IFS(OR(B240=0,B240="",V240=0),"",AF240&lt;&gt;"exclusion",MAX($W$9,$W$7,(-(SUMIFS(SF_Output!$T$1:$T$400,SF_Output!$AC$1:$AC$400,_xlfn.TEXTJOIN(",",TRUE,$B240:$E240),SF_Output!$Q$1:$Q$400,"monthly"))/V240)),AF240="exclusion",-(SUMIFS(SF_Output!$T$1:$T$400,SF_Output!$AC$1:$AC$400,_xlfn.TEXTJOIN(",",TRUE,$B240:$E240),SF_Output!$Q$1:$Q$400,"monthly"))/V240)</f>
        <v/>
      </c>
      <c r="X240" s="6" t="str" cm="1">
        <f t="array" ref="X240">IFERROR(_xlfn.IFS(V240=0,0,V240="","",W240=0,V240,OR(V240&lt;&gt;0,V240&lt;&gt;""),H240*I240),V240*(1-W240))</f>
        <v/>
      </c>
      <c r="Z240" s="6" t="str">
        <f>IFERROR(IF(B240="","",SUMIFS(Billing_Fallout!H:H,Billing_Fallout!N:N,B240)),0)</f>
        <v/>
      </c>
      <c r="AA240" s="6" t="str">
        <f t="shared" si="58"/>
        <v/>
      </c>
      <c r="AB240" s="6" t="str">
        <f>IFERROR(IF(B240="","",SUMIFS(Billing_Fallout!J:J,Billing_Fallout!N:N,B240)),0)</f>
        <v/>
      </c>
      <c r="AD240" s="6" t="str">
        <f t="shared" si="59"/>
        <v/>
      </c>
      <c r="AF240" t="str">
        <f>IFERROR(INDEX(H_Tables!$B$1:$B$1500,MATCH(INDEX(SF_Output!$J$1:$J$400,MATCH(B240,SF_Output!$M$1:$M$400,0)),H_Tables!$A$1:$A$1500,0)),"")</f>
        <v/>
      </c>
      <c r="AI240" s="119" t="str">
        <f t="shared" si="60"/>
        <v/>
      </c>
      <c r="AJ240" s="121">
        <f>IFERROR(INDEX(SF_Output!AD:AD,MATCH(_xlfn.TEXTJOIN(",",TRUE,B240:E240),SF_Output!AC1:AC400,0)),0.05)</f>
        <v>241</v>
      </c>
      <c r="AK240" t="str">
        <f>IF(SUMIFS(SF_Output!$F$1:$F$400,SF_Output!$AC$1:$AC$400,_xlfn.TEXTJOIN(",",TRUE,B240:E240))+SUMIFS(SF_Output!$G$1:$G$400,SF_Output!$AC$1:$AC$400,_xlfn.TEXTJOIN(",",TRUE,B240:E240))=0,"","PAP")</f>
        <v/>
      </c>
      <c r="AL240" s="35" t="str">
        <f t="shared" si="61"/>
        <v/>
      </c>
      <c r="AQ240" s="35"/>
      <c r="AR240" s="35" t="str" cm="1">
        <f t="array" ref="AR240">IFERROR(_xlfn.IFS(AND(E240*1=1,F240="Included"),"Change to Included",AND(E240*1=0,F240="Optional"),"Change to Optional",OR(B240="",F240="replaced"),""),"")</f>
        <v/>
      </c>
      <c r="AS240" s="35" t="str">
        <f t="shared" si="62"/>
        <v/>
      </c>
      <c r="AT240" s="35" t="str">
        <f t="shared" si="63"/>
        <v/>
      </c>
      <c r="AU240" s="35" t="str">
        <f t="shared" si="64"/>
        <v/>
      </c>
      <c r="AV240" s="35" t="str">
        <f t="shared" si="65"/>
        <v/>
      </c>
      <c r="AW240" s="35" t="str">
        <f t="shared" si="66"/>
        <v/>
      </c>
      <c r="AX240" s="35" t="str">
        <f t="shared" si="67"/>
        <v/>
      </c>
      <c r="AY240" s="35" t="str">
        <f t="shared" si="68"/>
        <v/>
      </c>
      <c r="AZ240" s="35" t="str">
        <f t="shared" si="69"/>
        <v/>
      </c>
      <c r="BA240" s="35" t="str">
        <f t="shared" si="70"/>
        <v/>
      </c>
      <c r="BB240" s="35" t="str">
        <f t="shared" si="71"/>
        <v/>
      </c>
      <c r="BC240" s="35"/>
      <c r="BE240" s="35" t="e">
        <f>INDEX(SF_Output!$AA$2:$AA$400,MATCH($B240,SF_Output!$M$2:$M$400,0))</f>
        <v>#N/A</v>
      </c>
      <c r="BF240" s="35" t="e">
        <f>INDEX(SF_Output!$AB$2:$AB$400,MATCH($B240,SF_Output!$M$2:$M$400,0))</f>
        <v>#N/A</v>
      </c>
    </row>
    <row r="241" spans="6:58" x14ac:dyDescent="0.25">
      <c r="F241" s="116" t="str">
        <f t="shared" si="54"/>
        <v/>
      </c>
      <c r="G241" t="str">
        <f>IF(B241="","",INDEX(SF_Output!$K$1:$K$400,MATCH(B241,SF_Output!$M$1:$M$400,0)))</f>
        <v/>
      </c>
      <c r="H241" t="str" cm="1">
        <f t="array" ref="H241">_xlfn.IFS(B241="","",(SUMIFS(SF_Output!$F$1:$F$400,SF_Output!$AC$1:$AC$400,_xlfn.TEXTJOIN(",",TRUE,B241:E241))+SUMIFS(SF_Output!$G$1:$G$400,SF_Output!$AC$1:$AC$400,_xlfn.TEXTJOIN(",",TRUE,B241:E241)))&lt;&gt;0,SF_Output!$Y$2,INDEX(SF_Output!$F$1:$F$400,MATCH(_xlfn.TEXTJOIN(",",TRUE,B241:E241),SF_Output!$AC$1:$AC$400,0))=0,INDEX(SF_Output!$R$1:$R$400,MATCH(_xlfn.TEXTJOIN(",",TRUE,B241:E241),SF_Output!$AC$1:$AC$400,0)))</f>
        <v/>
      </c>
      <c r="I241" s="125" t="str">
        <f>IFERROR(IF(AND(H241&gt;1,H241&lt;&gt;""),ROUND(SUMIFS(SF_Output!$S$1:$S$400,SF_Output!$AC$1:$AC$400,_xlfn.TEXTJOIN(",",TRUE,B241:E241),SF_Output!$Q$1:$Q$400,"monthly")*(1-W241)/H241,4),""),"")</f>
        <v/>
      </c>
      <c r="J241" s="6" t="str">
        <f>IF(B241="","",SUMIFS(SF_Output!$S$1:$S$400,SF_Output!$AC$1:$AC$400,_xlfn.TEXTJOIN(",",TRUE,B241:E241),SF_Output!$Q$1:$Q$400,"One Time",SF_Output!$L$1:$L$400,"license fee")+SUMIFS(SF_Output!$S$1:$S$400,SF_Output!$AC$1:$AC$400,_xlfn.TEXTJOIN(",",TRUE,B241:E241),SF_Output!$Q$1:$Q$400,"One Time",SF_Output!$L$1:$L$400,"software license")+SUMIFS(SF_Output!$S$1:$S$400,SF_Output!$AC$1:$AC$400,_xlfn.TEXTJOIN(",",TRUE,B241:E241),SF_Output!$Q$1:$Q$400,"One Time",SF_Output!$L$1:$L$400,"hardware"))</f>
        <v/>
      </c>
      <c r="K241" s="112" t="str">
        <f>IF(OR(B241=0,B241="",G241="hardware",J241=0),"",IF(AF241&lt;&gt;"exclusion",MAX(K$9,-((SUMIFS(SF_Output!$T$1:$T$400,SF_Output!$AC$1:$AC$400,_xlfn.TEXTJOIN(",",TRUE,$B241:$E241),SF_Output!$Q$1:$Q$400,"One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license"))/J241)))</f>
        <v/>
      </c>
      <c r="L241" s="6" t="str">
        <f t="shared" si="55"/>
        <v/>
      </c>
      <c r="N241" s="6" t="str">
        <f>IF(B241="","",SUMIFS(SF_Output!$S$1:$S$400,SF_Output!$AC$1:$AC$400,_xlfn.TEXTJOIN(",",TRUE,B241:E241),SF_Output!$Q$1:$Q$400,"One Time",SF_Output!$L$1:$L$400,"professional service"))</f>
        <v/>
      </c>
      <c r="O241" s="112" t="str">
        <f>IF(OR(B241=0,B241="",N241=0),"",IF(AF241&lt;&gt;"exclusion",MAX(O$9,-(SUMIFS(SF_Output!$T$1:$T$400,SF_Output!$AC$1:$AC$400,_xlfn.TEXTJOIN(",",TRUE,$B241:$E241),SF_Output!$Q$1:$Q$400,"One Time",SF_Output!$L$1:$L$400,"professional service"))/N241),-((SUMIFS(SF_Output!$T$1:$T$400,SF_Output!$AC$1:$AC$400,_xlfn.TEXTJOIN(",",TRUE,$B241:$E241),SF_Output!$Q$1:$Q$400,"One Time",SF_Output!$L$1:$L$400,"professional service")/N241))))</f>
        <v/>
      </c>
      <c r="P241" s="6" t="str">
        <f t="shared" si="56"/>
        <v/>
      </c>
      <c r="R241" s="6" t="str">
        <f>IF(B241="","",SUMIFS(SF_Output!$S$1:$S$400,SF_Output!$AC$1:$AC$400,_xlfn.TEXTJOIN(",",TRUE,B241:E241),SF_Output!$Q$1:$Q$400,"yearly")+SUMIFS(SF_Output!$S$1:$S$400,SF_Output!$AC$1:$AC$400,_xlfn.TEXTJOIN(",",TRUE,B241:E241),SF_Output!$Q$1:$Q$400,"quarterly")*4)</f>
        <v/>
      </c>
      <c r="S241" s="112" t="str">
        <f>IF(OR(B241=0,B241="",G241="hardware",R241=0),"",IF(AF241&lt;&gt;"exclusion",MAX(S$9,-(SUMIFS(SF_Output!$T$1:$T$400,SF_Output!$AC$1:$AC$400,_xlfn.TEXTJOIN(",",TRUE,$B241:$E241),SF_Output!$Q$1:$Q$400,"yearly"))/R241),-((SUMIFS(SF_Output!$T$1:$T$400,SF_Output!$AC$1:$AC$400,_xlfn.TEXTJOIN(",",TRUE,$B241:$E241),SF_Output!$Q$1:$Q$400,"yearly")/R241))))</f>
        <v/>
      </c>
      <c r="T241" s="6" t="str">
        <f t="shared" si="57"/>
        <v/>
      </c>
      <c r="V241" s="6" t="str" cm="1">
        <f t="array" ref="V241">_xlfn.IFS(B241="","",AND(B241&lt;&gt;"",H241=SF_Output!$Y$2,SUMIFS(SF_Output!$T$1:$T$400,SF_Output!$AC$1:$AC$400,_xlfn.TEXTJOIN(",",TRUE,B241:E241),SF_Output!$Q$1:$Q$400,"monthly")=0),(SUMIFS(SF_Output!$F$1:$F$400,SF_Output!$AC$1:$AC$400,_xlfn.TEXTJOIN(",",TRUE,B241:E241),SF_Output!$Q$1:$Q$400,"monthly")+SUMIFS(SF_Output!$G$1:$G$400,SF_Output!$AC$1:$AC$400,_xlfn.TEXTJOIN(",",TRUE,B241:E241),SF_Output!$Q$1:$Q$400,"monthly"))*H241,AND(B241&lt;&gt;"",H241=SF_Output!$Y$2,SUMIFS(SF_Output!$T$1:$T$400,SF_Output!$AC$1:$AC$400,_xlfn.TEXTJOIN(",",TRUE,B241:E241),SF_Output!$Q$1:$Q$400,"monthly")&lt;&gt;0),SUMIFS(SF_Output!$S$1:$S$400,SF_Output!$AC$1:$AC$400,_xlfn.TEXTJOIN(",",TRUE,B241:E241),SF_Output!$Q$1:$Q$400,"monthly"),AND(B241&lt;&gt;"",H241&lt;&gt;SF_Output!$Y$2),SUMIFS(SF_Output!$S$1:$S$400,SF_Output!$AC$1:$AC$400,_xlfn.TEXTJOIN(",",TRUE,B241:E241),SF_Output!$Q$1:$Q$400,"monthly"))</f>
        <v/>
      </c>
      <c r="W241" s="112" t="str" cm="1">
        <f t="array" ref="W241">_xlfn.IFS(OR(B241=0,B241="",V241=0),"",AF241&lt;&gt;"exclusion",MAX($W$9,$W$7,(-(SUMIFS(SF_Output!$T$1:$T$400,SF_Output!$AC$1:$AC$400,_xlfn.TEXTJOIN(",",TRUE,$B241:$E241),SF_Output!$Q$1:$Q$400,"monthly"))/V241)),AF241="exclusion",-(SUMIFS(SF_Output!$T$1:$T$400,SF_Output!$AC$1:$AC$400,_xlfn.TEXTJOIN(",",TRUE,$B241:$E241),SF_Output!$Q$1:$Q$400,"monthly"))/V241)</f>
        <v/>
      </c>
      <c r="X241" s="6" t="str" cm="1">
        <f t="array" ref="X241">IFERROR(_xlfn.IFS(V241=0,0,V241="","",W241=0,V241,OR(V241&lt;&gt;0,V241&lt;&gt;""),H241*I241),V241*(1-W241))</f>
        <v/>
      </c>
      <c r="Z241" s="6" t="str">
        <f>IFERROR(IF(B241="","",SUMIFS(Billing_Fallout!H:H,Billing_Fallout!N:N,B241)),0)</f>
        <v/>
      </c>
      <c r="AA241" s="6" t="str">
        <f t="shared" si="58"/>
        <v/>
      </c>
      <c r="AB241" s="6" t="str">
        <f>IFERROR(IF(B241="","",SUMIFS(Billing_Fallout!J:J,Billing_Fallout!N:N,B241)),0)</f>
        <v/>
      </c>
      <c r="AD241" s="6" t="str">
        <f t="shared" si="59"/>
        <v/>
      </c>
      <c r="AF241" t="str">
        <f>IFERROR(INDEX(H_Tables!$B$1:$B$1500,MATCH(INDEX(SF_Output!$J$1:$J$400,MATCH(B241,SF_Output!$M$1:$M$400,0)),H_Tables!$A$1:$A$1500,0)),"")</f>
        <v/>
      </c>
      <c r="AI241" s="119" t="str">
        <f t="shared" si="60"/>
        <v/>
      </c>
      <c r="AJ241" s="121">
        <f>IFERROR(INDEX(SF_Output!AD:AD,MATCH(_xlfn.TEXTJOIN(",",TRUE,B241:E241),SF_Output!AC1:AC400,0)),0.05)</f>
        <v>241</v>
      </c>
      <c r="AK241" t="str">
        <f>IF(SUMIFS(SF_Output!$F$1:$F$400,SF_Output!$AC$1:$AC$400,_xlfn.TEXTJOIN(",",TRUE,B241:E241))+SUMIFS(SF_Output!$G$1:$G$400,SF_Output!$AC$1:$AC$400,_xlfn.TEXTJOIN(",",TRUE,B241:E241))=0,"","PAP")</f>
        <v/>
      </c>
      <c r="AL241" s="35" t="str">
        <f t="shared" si="61"/>
        <v/>
      </c>
      <c r="AQ241" s="35"/>
      <c r="AR241" s="35" t="str" cm="1">
        <f t="array" ref="AR241">IFERROR(_xlfn.IFS(AND(E241*1=1,F241="Included"),"Change to Included",AND(E241*1=0,F241="Optional"),"Change to Optional",OR(B241="",F241="replaced"),""),"")</f>
        <v/>
      </c>
      <c r="AS241" s="35" t="str">
        <f t="shared" si="62"/>
        <v/>
      </c>
      <c r="AT241" s="35" t="str">
        <f t="shared" si="63"/>
        <v/>
      </c>
      <c r="AU241" s="35" t="str">
        <f t="shared" si="64"/>
        <v/>
      </c>
      <c r="AV241" s="35" t="str">
        <f t="shared" si="65"/>
        <v/>
      </c>
      <c r="AW241" s="35" t="str">
        <f t="shared" si="66"/>
        <v/>
      </c>
      <c r="AX241" s="35" t="str">
        <f t="shared" si="67"/>
        <v/>
      </c>
      <c r="AY241" s="35" t="str">
        <f t="shared" si="68"/>
        <v/>
      </c>
      <c r="AZ241" s="35" t="str">
        <f t="shared" si="69"/>
        <v/>
      </c>
      <c r="BA241" s="35" t="str">
        <f t="shared" si="70"/>
        <v/>
      </c>
      <c r="BB241" s="35" t="str">
        <f t="shared" si="71"/>
        <v/>
      </c>
      <c r="BC241" s="35"/>
      <c r="BE241" s="35" t="e">
        <f>INDEX(SF_Output!$AA$2:$AA$400,MATCH($B241,SF_Output!$M$2:$M$400,0))</f>
        <v>#N/A</v>
      </c>
      <c r="BF241" s="35" t="e">
        <f>INDEX(SF_Output!$AB$2:$AB$400,MATCH($B241,SF_Output!$M$2:$M$400,0))</f>
        <v>#N/A</v>
      </c>
    </row>
    <row r="242" spans="6:58" x14ac:dyDescent="0.25">
      <c r="F242" s="116" t="str">
        <f t="shared" si="54"/>
        <v/>
      </c>
      <c r="G242" t="str">
        <f>IF(B242="","",INDEX(SF_Output!$K$1:$K$400,MATCH(B242,SF_Output!$M$1:$M$400,0)))</f>
        <v/>
      </c>
      <c r="H242" t="str" cm="1">
        <f t="array" ref="H242">_xlfn.IFS(B242="","",(SUMIFS(SF_Output!$F$1:$F$400,SF_Output!$AC$1:$AC$400,_xlfn.TEXTJOIN(",",TRUE,B242:E242))+SUMIFS(SF_Output!$G$1:$G$400,SF_Output!$AC$1:$AC$400,_xlfn.TEXTJOIN(",",TRUE,B242:E242)))&lt;&gt;0,SF_Output!$Y$2,INDEX(SF_Output!$F$1:$F$400,MATCH(_xlfn.TEXTJOIN(",",TRUE,B242:E242),SF_Output!$AC$1:$AC$400,0))=0,INDEX(SF_Output!$R$1:$R$400,MATCH(_xlfn.TEXTJOIN(",",TRUE,B242:E242),SF_Output!$AC$1:$AC$400,0)))</f>
        <v/>
      </c>
      <c r="I242" s="125" t="str">
        <f>IFERROR(IF(AND(H242&gt;1,H242&lt;&gt;""),ROUND(SUMIFS(SF_Output!$S$1:$S$400,SF_Output!$AC$1:$AC$400,_xlfn.TEXTJOIN(",",TRUE,B242:E242),SF_Output!$Q$1:$Q$400,"monthly")*(1-W242)/H242,4),""),"")</f>
        <v/>
      </c>
      <c r="J242" s="6" t="str">
        <f>IF(B242="","",SUMIFS(SF_Output!$S$1:$S$400,SF_Output!$AC$1:$AC$400,_xlfn.TEXTJOIN(",",TRUE,B242:E242),SF_Output!$Q$1:$Q$400,"One Time",SF_Output!$L$1:$L$400,"license fee")+SUMIFS(SF_Output!$S$1:$S$400,SF_Output!$AC$1:$AC$400,_xlfn.TEXTJOIN(",",TRUE,B242:E242),SF_Output!$Q$1:$Q$400,"One Time",SF_Output!$L$1:$L$400,"software license")+SUMIFS(SF_Output!$S$1:$S$400,SF_Output!$AC$1:$AC$400,_xlfn.TEXTJOIN(",",TRUE,B242:E242),SF_Output!$Q$1:$Q$400,"One Time",SF_Output!$L$1:$L$400,"hardware"))</f>
        <v/>
      </c>
      <c r="K242" s="112" t="str">
        <f>IF(OR(B242=0,B242="",G242="hardware",J242=0),"",IF(AF242&lt;&gt;"exclusion",MAX(K$9,-((SUMIFS(SF_Output!$T$1:$T$400,SF_Output!$AC$1:$AC$400,_xlfn.TEXTJOIN(",",TRUE,$B242:$E242),SF_Output!$Q$1:$Q$400,"One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license"))/J242)))</f>
        <v/>
      </c>
      <c r="L242" s="6" t="str">
        <f t="shared" si="55"/>
        <v/>
      </c>
      <c r="N242" s="6" t="str">
        <f>IF(B242="","",SUMIFS(SF_Output!$S$1:$S$400,SF_Output!$AC$1:$AC$400,_xlfn.TEXTJOIN(",",TRUE,B242:E242),SF_Output!$Q$1:$Q$400,"One Time",SF_Output!$L$1:$L$400,"professional service"))</f>
        <v/>
      </c>
      <c r="O242" s="112" t="str">
        <f>IF(OR(B242=0,B242="",N242=0),"",IF(AF242&lt;&gt;"exclusion",MAX(O$9,-(SUMIFS(SF_Output!$T$1:$T$400,SF_Output!$AC$1:$AC$400,_xlfn.TEXTJOIN(",",TRUE,$B242:$E242),SF_Output!$Q$1:$Q$400,"One Time",SF_Output!$L$1:$L$400,"professional service"))/N242),-((SUMIFS(SF_Output!$T$1:$T$400,SF_Output!$AC$1:$AC$400,_xlfn.TEXTJOIN(",",TRUE,$B242:$E242),SF_Output!$Q$1:$Q$400,"One Time",SF_Output!$L$1:$L$400,"professional service")/N242))))</f>
        <v/>
      </c>
      <c r="P242" s="6" t="str">
        <f t="shared" si="56"/>
        <v/>
      </c>
      <c r="R242" s="6" t="str">
        <f>IF(B242="","",SUMIFS(SF_Output!$S$1:$S$400,SF_Output!$AC$1:$AC$400,_xlfn.TEXTJOIN(",",TRUE,B242:E242),SF_Output!$Q$1:$Q$400,"yearly")+SUMIFS(SF_Output!$S$1:$S$400,SF_Output!$AC$1:$AC$400,_xlfn.TEXTJOIN(",",TRUE,B242:E242),SF_Output!$Q$1:$Q$400,"quarterly")*4)</f>
        <v/>
      </c>
      <c r="S242" s="112" t="str">
        <f>IF(OR(B242=0,B242="",G242="hardware",R242=0),"",IF(AF242&lt;&gt;"exclusion",MAX(S$9,-(SUMIFS(SF_Output!$T$1:$T$400,SF_Output!$AC$1:$AC$400,_xlfn.TEXTJOIN(",",TRUE,$B242:$E242),SF_Output!$Q$1:$Q$400,"yearly"))/R242),-((SUMIFS(SF_Output!$T$1:$T$400,SF_Output!$AC$1:$AC$400,_xlfn.TEXTJOIN(",",TRUE,$B242:$E242),SF_Output!$Q$1:$Q$400,"yearly")/R242))))</f>
        <v/>
      </c>
      <c r="T242" s="6" t="str">
        <f t="shared" si="57"/>
        <v/>
      </c>
      <c r="V242" s="6" t="str" cm="1">
        <f t="array" ref="V242">_xlfn.IFS(B242="","",AND(B242&lt;&gt;"",H242=SF_Output!$Y$2,SUMIFS(SF_Output!$T$1:$T$400,SF_Output!$AC$1:$AC$400,_xlfn.TEXTJOIN(",",TRUE,B242:E242),SF_Output!$Q$1:$Q$400,"monthly")=0),(SUMIFS(SF_Output!$F$1:$F$400,SF_Output!$AC$1:$AC$400,_xlfn.TEXTJOIN(",",TRUE,B242:E242),SF_Output!$Q$1:$Q$400,"monthly")+SUMIFS(SF_Output!$G$1:$G$400,SF_Output!$AC$1:$AC$400,_xlfn.TEXTJOIN(",",TRUE,B242:E242),SF_Output!$Q$1:$Q$400,"monthly"))*H242,AND(B242&lt;&gt;"",H242=SF_Output!$Y$2,SUMIFS(SF_Output!$T$1:$T$400,SF_Output!$AC$1:$AC$400,_xlfn.TEXTJOIN(",",TRUE,B242:E242),SF_Output!$Q$1:$Q$400,"monthly")&lt;&gt;0),SUMIFS(SF_Output!$S$1:$S$400,SF_Output!$AC$1:$AC$400,_xlfn.TEXTJOIN(",",TRUE,B242:E242),SF_Output!$Q$1:$Q$400,"monthly"),AND(B242&lt;&gt;"",H242&lt;&gt;SF_Output!$Y$2),SUMIFS(SF_Output!$S$1:$S$400,SF_Output!$AC$1:$AC$400,_xlfn.TEXTJOIN(",",TRUE,B242:E242),SF_Output!$Q$1:$Q$400,"monthly"))</f>
        <v/>
      </c>
      <c r="W242" s="112" t="str" cm="1">
        <f t="array" ref="W242">_xlfn.IFS(OR(B242=0,B242="",V242=0),"",AF242&lt;&gt;"exclusion",MAX($W$9,$W$7,(-(SUMIFS(SF_Output!$T$1:$T$400,SF_Output!$AC$1:$AC$400,_xlfn.TEXTJOIN(",",TRUE,$B242:$E242),SF_Output!$Q$1:$Q$400,"monthly"))/V242)),AF242="exclusion",-(SUMIFS(SF_Output!$T$1:$T$400,SF_Output!$AC$1:$AC$400,_xlfn.TEXTJOIN(",",TRUE,$B242:$E242),SF_Output!$Q$1:$Q$400,"monthly"))/V242)</f>
        <v/>
      </c>
      <c r="X242" s="6" t="str" cm="1">
        <f t="array" ref="X242">IFERROR(_xlfn.IFS(V242=0,0,V242="","",W242=0,V242,OR(V242&lt;&gt;0,V242&lt;&gt;""),H242*I242),V242*(1-W242))</f>
        <v/>
      </c>
      <c r="Z242" s="6" t="str">
        <f>IFERROR(IF(B242="","",SUMIFS(Billing_Fallout!H:H,Billing_Fallout!N:N,B242)),0)</f>
        <v/>
      </c>
      <c r="AA242" s="6" t="str">
        <f t="shared" si="58"/>
        <v/>
      </c>
      <c r="AB242" s="6" t="str">
        <f>IFERROR(IF(B242="","",SUMIFS(Billing_Fallout!J:J,Billing_Fallout!N:N,B242)),0)</f>
        <v/>
      </c>
      <c r="AD242" s="6" t="str">
        <f t="shared" si="59"/>
        <v/>
      </c>
      <c r="AF242" t="str">
        <f>IFERROR(INDEX(H_Tables!$B$1:$B$1500,MATCH(INDEX(SF_Output!$J$1:$J$400,MATCH(B242,SF_Output!$M$1:$M$400,0)),H_Tables!$A$1:$A$1500,0)),"")</f>
        <v/>
      </c>
      <c r="AI242" s="119" t="str">
        <f t="shared" si="60"/>
        <v/>
      </c>
      <c r="AJ242" s="121">
        <f>IFERROR(INDEX(SF_Output!AD:AD,MATCH(_xlfn.TEXTJOIN(",",TRUE,B242:E242),SF_Output!AC1:AC400,0)),0.05)</f>
        <v>241</v>
      </c>
      <c r="AK242" t="str">
        <f>IF(SUMIFS(SF_Output!$F$1:$F$400,SF_Output!$AC$1:$AC$400,_xlfn.TEXTJOIN(",",TRUE,B242:E242))+SUMIFS(SF_Output!$G$1:$G$400,SF_Output!$AC$1:$AC$400,_xlfn.TEXTJOIN(",",TRUE,B242:E242))=0,"","PAP")</f>
        <v/>
      </c>
      <c r="AL242" s="35" t="str">
        <f t="shared" si="61"/>
        <v/>
      </c>
      <c r="AQ242" s="35"/>
      <c r="AR242" s="35" t="str" cm="1">
        <f t="array" ref="AR242">IFERROR(_xlfn.IFS(AND(E242*1=1,F242="Included"),"Change to Included",AND(E242*1=0,F242="Optional"),"Change to Optional",OR(B242="",F242="replaced"),""),"")</f>
        <v/>
      </c>
      <c r="AS242" s="35" t="str">
        <f t="shared" si="62"/>
        <v/>
      </c>
      <c r="AT242" s="35" t="str">
        <f t="shared" si="63"/>
        <v/>
      </c>
      <c r="AU242" s="35" t="str">
        <f t="shared" si="64"/>
        <v/>
      </c>
      <c r="AV242" s="35" t="str">
        <f t="shared" si="65"/>
        <v/>
      </c>
      <c r="AW242" s="35" t="str">
        <f t="shared" si="66"/>
        <v/>
      </c>
      <c r="AX242" s="35" t="str">
        <f t="shared" si="67"/>
        <v/>
      </c>
      <c r="AY242" s="35" t="str">
        <f t="shared" si="68"/>
        <v/>
      </c>
      <c r="AZ242" s="35" t="str">
        <f t="shared" si="69"/>
        <v/>
      </c>
      <c r="BA242" s="35" t="str">
        <f t="shared" si="70"/>
        <v/>
      </c>
      <c r="BB242" s="35" t="str">
        <f t="shared" si="71"/>
        <v/>
      </c>
      <c r="BC242" s="35"/>
      <c r="BE242" s="35" t="e">
        <f>INDEX(SF_Output!$AA$2:$AA$400,MATCH($B242,SF_Output!$M$2:$M$400,0))</f>
        <v>#N/A</v>
      </c>
      <c r="BF242" s="35" t="e">
        <f>INDEX(SF_Output!$AB$2:$AB$400,MATCH($B242,SF_Output!$M$2:$M$400,0))</f>
        <v>#N/A</v>
      </c>
    </row>
    <row r="243" spans="6:58" x14ac:dyDescent="0.25">
      <c r="F243" s="116" t="str">
        <f t="shared" si="54"/>
        <v/>
      </c>
      <c r="G243" t="str">
        <f>IF(B243="","",INDEX(SF_Output!$K$1:$K$400,MATCH(B243,SF_Output!$M$1:$M$400,0)))</f>
        <v/>
      </c>
      <c r="H243" t="str" cm="1">
        <f t="array" ref="H243">_xlfn.IFS(B243="","",(SUMIFS(SF_Output!$F$1:$F$400,SF_Output!$AC$1:$AC$400,_xlfn.TEXTJOIN(",",TRUE,B243:E243))+SUMIFS(SF_Output!$G$1:$G$400,SF_Output!$AC$1:$AC$400,_xlfn.TEXTJOIN(",",TRUE,B243:E243)))&lt;&gt;0,SF_Output!$Y$2,INDEX(SF_Output!$F$1:$F$400,MATCH(_xlfn.TEXTJOIN(",",TRUE,B243:E243),SF_Output!$AC$1:$AC$400,0))=0,INDEX(SF_Output!$R$1:$R$400,MATCH(_xlfn.TEXTJOIN(",",TRUE,B243:E243),SF_Output!$AC$1:$AC$400,0)))</f>
        <v/>
      </c>
      <c r="I243" s="125" t="str">
        <f>IFERROR(IF(AND(H243&gt;1,H243&lt;&gt;""),ROUND(SUMIFS(SF_Output!$S$1:$S$400,SF_Output!$AC$1:$AC$400,_xlfn.TEXTJOIN(",",TRUE,B243:E243),SF_Output!$Q$1:$Q$400,"monthly")*(1-W243)/H243,4),""),"")</f>
        <v/>
      </c>
      <c r="J243" s="6" t="str">
        <f>IF(B243="","",SUMIFS(SF_Output!$S$1:$S$400,SF_Output!$AC$1:$AC$400,_xlfn.TEXTJOIN(",",TRUE,B243:E243),SF_Output!$Q$1:$Q$400,"One Time",SF_Output!$L$1:$L$400,"license fee")+SUMIFS(SF_Output!$S$1:$S$400,SF_Output!$AC$1:$AC$400,_xlfn.TEXTJOIN(",",TRUE,B243:E243),SF_Output!$Q$1:$Q$400,"One Time",SF_Output!$L$1:$L$400,"software license")+SUMIFS(SF_Output!$S$1:$S$400,SF_Output!$AC$1:$AC$400,_xlfn.TEXTJOIN(",",TRUE,B243:E243),SF_Output!$Q$1:$Q$400,"One Time",SF_Output!$L$1:$L$400,"hardware"))</f>
        <v/>
      </c>
      <c r="K243" s="112" t="str">
        <f>IF(OR(B243=0,B243="",G243="hardware",J243=0),"",IF(AF243&lt;&gt;"exclusion",MAX(K$9,-((SUMIFS(SF_Output!$T$1:$T$400,SF_Output!$AC$1:$AC$400,_xlfn.TEXTJOIN(",",TRUE,$B243:$E243),SF_Output!$Q$1:$Q$400,"One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license"))/J243)))</f>
        <v/>
      </c>
      <c r="L243" s="6" t="str">
        <f t="shared" si="55"/>
        <v/>
      </c>
      <c r="N243" s="6" t="str">
        <f>IF(B243="","",SUMIFS(SF_Output!$S$1:$S$400,SF_Output!$AC$1:$AC$400,_xlfn.TEXTJOIN(",",TRUE,B243:E243),SF_Output!$Q$1:$Q$400,"One Time",SF_Output!$L$1:$L$400,"professional service"))</f>
        <v/>
      </c>
      <c r="O243" s="112" t="str">
        <f>IF(OR(B243=0,B243="",N243=0),"",IF(AF243&lt;&gt;"exclusion",MAX(O$9,-(SUMIFS(SF_Output!$T$1:$T$400,SF_Output!$AC$1:$AC$400,_xlfn.TEXTJOIN(",",TRUE,$B243:$E243),SF_Output!$Q$1:$Q$400,"One Time",SF_Output!$L$1:$L$400,"professional service"))/N243),-((SUMIFS(SF_Output!$T$1:$T$400,SF_Output!$AC$1:$AC$400,_xlfn.TEXTJOIN(",",TRUE,$B243:$E243),SF_Output!$Q$1:$Q$400,"One Time",SF_Output!$L$1:$L$400,"professional service")/N243))))</f>
        <v/>
      </c>
      <c r="P243" s="6" t="str">
        <f t="shared" si="56"/>
        <v/>
      </c>
      <c r="R243" s="6" t="str">
        <f>IF(B243="","",SUMIFS(SF_Output!$S$1:$S$400,SF_Output!$AC$1:$AC$400,_xlfn.TEXTJOIN(",",TRUE,B243:E243),SF_Output!$Q$1:$Q$400,"yearly")+SUMIFS(SF_Output!$S$1:$S$400,SF_Output!$AC$1:$AC$400,_xlfn.TEXTJOIN(",",TRUE,B243:E243),SF_Output!$Q$1:$Q$400,"quarterly")*4)</f>
        <v/>
      </c>
      <c r="S243" s="112" t="str">
        <f>IF(OR(B243=0,B243="",G243="hardware",R243=0),"",IF(AF243&lt;&gt;"exclusion",MAX(S$9,-(SUMIFS(SF_Output!$T$1:$T$400,SF_Output!$AC$1:$AC$400,_xlfn.TEXTJOIN(",",TRUE,$B243:$E243),SF_Output!$Q$1:$Q$400,"yearly"))/R243),-((SUMIFS(SF_Output!$T$1:$T$400,SF_Output!$AC$1:$AC$400,_xlfn.TEXTJOIN(",",TRUE,$B243:$E243),SF_Output!$Q$1:$Q$400,"yearly")/R243))))</f>
        <v/>
      </c>
      <c r="T243" s="6" t="str">
        <f t="shared" si="57"/>
        <v/>
      </c>
      <c r="V243" s="6" t="str" cm="1">
        <f t="array" ref="V243">_xlfn.IFS(B243="","",AND(B243&lt;&gt;"",H243=SF_Output!$Y$2,SUMIFS(SF_Output!$T$1:$T$400,SF_Output!$AC$1:$AC$400,_xlfn.TEXTJOIN(",",TRUE,B243:E243),SF_Output!$Q$1:$Q$400,"monthly")=0),(SUMIFS(SF_Output!$F$1:$F$400,SF_Output!$AC$1:$AC$400,_xlfn.TEXTJOIN(",",TRUE,B243:E243),SF_Output!$Q$1:$Q$400,"monthly")+SUMIFS(SF_Output!$G$1:$G$400,SF_Output!$AC$1:$AC$400,_xlfn.TEXTJOIN(",",TRUE,B243:E243),SF_Output!$Q$1:$Q$400,"monthly"))*H243,AND(B243&lt;&gt;"",H243=SF_Output!$Y$2,SUMIFS(SF_Output!$T$1:$T$400,SF_Output!$AC$1:$AC$400,_xlfn.TEXTJOIN(",",TRUE,B243:E243),SF_Output!$Q$1:$Q$400,"monthly")&lt;&gt;0),SUMIFS(SF_Output!$S$1:$S$400,SF_Output!$AC$1:$AC$400,_xlfn.TEXTJOIN(",",TRUE,B243:E243),SF_Output!$Q$1:$Q$400,"monthly"),AND(B243&lt;&gt;"",H243&lt;&gt;SF_Output!$Y$2),SUMIFS(SF_Output!$S$1:$S$400,SF_Output!$AC$1:$AC$400,_xlfn.TEXTJOIN(",",TRUE,B243:E243),SF_Output!$Q$1:$Q$400,"monthly"))</f>
        <v/>
      </c>
      <c r="W243" s="112" t="str" cm="1">
        <f t="array" ref="W243">_xlfn.IFS(OR(B243=0,B243="",V243=0),"",AF243&lt;&gt;"exclusion",MAX($W$9,$W$7,(-(SUMIFS(SF_Output!$T$1:$T$400,SF_Output!$AC$1:$AC$400,_xlfn.TEXTJOIN(",",TRUE,$B243:$E243),SF_Output!$Q$1:$Q$400,"monthly"))/V243)),AF243="exclusion",-(SUMIFS(SF_Output!$T$1:$T$400,SF_Output!$AC$1:$AC$400,_xlfn.TEXTJOIN(",",TRUE,$B243:$E243),SF_Output!$Q$1:$Q$400,"monthly"))/V243)</f>
        <v/>
      </c>
      <c r="X243" s="6" t="str" cm="1">
        <f t="array" ref="X243">IFERROR(_xlfn.IFS(V243=0,0,V243="","",W243=0,V243,OR(V243&lt;&gt;0,V243&lt;&gt;""),H243*I243),V243*(1-W243))</f>
        <v/>
      </c>
      <c r="Z243" s="6" t="str">
        <f>IFERROR(IF(B243="","",SUMIFS(Billing_Fallout!H:H,Billing_Fallout!N:N,B243)),0)</f>
        <v/>
      </c>
      <c r="AA243" s="6" t="str">
        <f t="shared" si="58"/>
        <v/>
      </c>
      <c r="AB243" s="6" t="str">
        <f>IFERROR(IF(B243="","",SUMIFS(Billing_Fallout!J:J,Billing_Fallout!N:N,B243)),0)</f>
        <v/>
      </c>
      <c r="AD243" s="6" t="str">
        <f t="shared" si="59"/>
        <v/>
      </c>
      <c r="AF243" t="str">
        <f>IFERROR(INDEX(H_Tables!$B$1:$B$1500,MATCH(INDEX(SF_Output!$J$1:$J$400,MATCH(B243,SF_Output!$M$1:$M$400,0)),H_Tables!$A$1:$A$1500,0)),"")</f>
        <v/>
      </c>
      <c r="AI243" s="119" t="str">
        <f t="shared" si="60"/>
        <v/>
      </c>
      <c r="AJ243" s="121">
        <f>IFERROR(INDEX(SF_Output!AD:AD,MATCH(_xlfn.TEXTJOIN(",",TRUE,B243:E243),SF_Output!AC1:AC400,0)),0.05)</f>
        <v>241</v>
      </c>
      <c r="AK243" t="str">
        <f>IF(SUMIFS(SF_Output!$F$1:$F$400,SF_Output!$AC$1:$AC$400,_xlfn.TEXTJOIN(",",TRUE,B243:E243))+SUMIFS(SF_Output!$G$1:$G$400,SF_Output!$AC$1:$AC$400,_xlfn.TEXTJOIN(",",TRUE,B243:E243))=0,"","PAP")</f>
        <v/>
      </c>
      <c r="AL243" s="35" t="str">
        <f t="shared" si="61"/>
        <v/>
      </c>
      <c r="AQ243" s="35"/>
      <c r="AR243" s="35" t="str" cm="1">
        <f t="array" ref="AR243">IFERROR(_xlfn.IFS(AND(E243*1=1,F243="Included"),"Change to Included",AND(E243*1=0,F243="Optional"),"Change to Optional",OR(B243="",F243="replaced"),""),"")</f>
        <v/>
      </c>
      <c r="AS243" s="35" t="str">
        <f t="shared" si="62"/>
        <v/>
      </c>
      <c r="AT243" s="35" t="str">
        <f t="shared" si="63"/>
        <v/>
      </c>
      <c r="AU243" s="35" t="str">
        <f t="shared" si="64"/>
        <v/>
      </c>
      <c r="AV243" s="35" t="str">
        <f t="shared" si="65"/>
        <v/>
      </c>
      <c r="AW243" s="35" t="str">
        <f t="shared" si="66"/>
        <v/>
      </c>
      <c r="AX243" s="35" t="str">
        <f t="shared" si="67"/>
        <v/>
      </c>
      <c r="AY243" s="35" t="str">
        <f t="shared" si="68"/>
        <v/>
      </c>
      <c r="AZ243" s="35" t="str">
        <f t="shared" si="69"/>
        <v/>
      </c>
      <c r="BA243" s="35" t="str">
        <f t="shared" si="70"/>
        <v/>
      </c>
      <c r="BB243" s="35" t="str">
        <f t="shared" si="71"/>
        <v/>
      </c>
      <c r="BC243" s="35"/>
      <c r="BE243" s="35" t="e">
        <f>INDEX(SF_Output!$AA$2:$AA$400,MATCH($B243,SF_Output!$M$2:$M$400,0))</f>
        <v>#N/A</v>
      </c>
      <c r="BF243" s="35" t="e">
        <f>INDEX(SF_Output!$AB$2:$AB$400,MATCH($B243,SF_Output!$M$2:$M$400,0))</f>
        <v>#N/A</v>
      </c>
    </row>
    <row r="244" spans="6:58" x14ac:dyDescent="0.25">
      <c r="F244" s="116" t="str">
        <f t="shared" si="54"/>
        <v/>
      </c>
      <c r="G244" t="str">
        <f>IF(B244="","",INDEX(SF_Output!$K$1:$K$400,MATCH(B244,SF_Output!$M$1:$M$400,0)))</f>
        <v/>
      </c>
      <c r="H244" t="str" cm="1">
        <f t="array" ref="H244">_xlfn.IFS(B244="","",(SUMIFS(SF_Output!$F$1:$F$400,SF_Output!$AC$1:$AC$400,_xlfn.TEXTJOIN(",",TRUE,B244:E244))+SUMIFS(SF_Output!$G$1:$G$400,SF_Output!$AC$1:$AC$400,_xlfn.TEXTJOIN(",",TRUE,B244:E244)))&lt;&gt;0,SF_Output!$Y$2,INDEX(SF_Output!$F$1:$F$400,MATCH(_xlfn.TEXTJOIN(",",TRUE,B244:E244),SF_Output!$AC$1:$AC$400,0))=0,INDEX(SF_Output!$R$1:$R$400,MATCH(_xlfn.TEXTJOIN(",",TRUE,B244:E244),SF_Output!$AC$1:$AC$400,0)))</f>
        <v/>
      </c>
      <c r="I244" s="125" t="str">
        <f>IFERROR(IF(AND(H244&gt;1,H244&lt;&gt;""),ROUND(SUMIFS(SF_Output!$S$1:$S$400,SF_Output!$AC$1:$AC$400,_xlfn.TEXTJOIN(",",TRUE,B244:E244),SF_Output!$Q$1:$Q$400,"monthly")*(1-W244)/H244,4),""),"")</f>
        <v/>
      </c>
      <c r="J244" s="6" t="str">
        <f>IF(B244="","",SUMIFS(SF_Output!$S$1:$S$400,SF_Output!$AC$1:$AC$400,_xlfn.TEXTJOIN(",",TRUE,B244:E244),SF_Output!$Q$1:$Q$400,"One Time",SF_Output!$L$1:$L$400,"license fee")+SUMIFS(SF_Output!$S$1:$S$400,SF_Output!$AC$1:$AC$400,_xlfn.TEXTJOIN(",",TRUE,B244:E244),SF_Output!$Q$1:$Q$400,"One Time",SF_Output!$L$1:$L$400,"software license")+SUMIFS(SF_Output!$S$1:$S$400,SF_Output!$AC$1:$AC$400,_xlfn.TEXTJOIN(",",TRUE,B244:E244),SF_Output!$Q$1:$Q$400,"One Time",SF_Output!$L$1:$L$400,"hardware"))</f>
        <v/>
      </c>
      <c r="K244" s="112" t="str">
        <f>IF(OR(B244=0,B244="",G244="hardware",J244=0),"",IF(AF244&lt;&gt;"exclusion",MAX(K$9,-((SUMIFS(SF_Output!$T$1:$T$400,SF_Output!$AC$1:$AC$400,_xlfn.TEXTJOIN(",",TRUE,$B244:$E244),SF_Output!$Q$1:$Q$400,"One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license"))/J244)))</f>
        <v/>
      </c>
      <c r="L244" s="6" t="str">
        <f t="shared" si="55"/>
        <v/>
      </c>
      <c r="N244" s="6" t="str">
        <f>IF(B244="","",SUMIFS(SF_Output!$S$1:$S$400,SF_Output!$AC$1:$AC$400,_xlfn.TEXTJOIN(",",TRUE,B244:E244),SF_Output!$Q$1:$Q$400,"One Time",SF_Output!$L$1:$L$400,"professional service"))</f>
        <v/>
      </c>
      <c r="O244" s="112" t="str">
        <f>IF(OR(B244=0,B244="",N244=0),"",IF(AF244&lt;&gt;"exclusion",MAX(O$9,-(SUMIFS(SF_Output!$T$1:$T$400,SF_Output!$AC$1:$AC$400,_xlfn.TEXTJOIN(",",TRUE,$B244:$E244),SF_Output!$Q$1:$Q$400,"One Time",SF_Output!$L$1:$L$400,"professional service"))/N244),-((SUMIFS(SF_Output!$T$1:$T$400,SF_Output!$AC$1:$AC$400,_xlfn.TEXTJOIN(",",TRUE,$B244:$E244),SF_Output!$Q$1:$Q$400,"One Time",SF_Output!$L$1:$L$400,"professional service")/N244))))</f>
        <v/>
      </c>
      <c r="P244" s="6" t="str">
        <f t="shared" si="56"/>
        <v/>
      </c>
      <c r="R244" s="6" t="str">
        <f>IF(B244="","",SUMIFS(SF_Output!$S$1:$S$400,SF_Output!$AC$1:$AC$400,_xlfn.TEXTJOIN(",",TRUE,B244:E244),SF_Output!$Q$1:$Q$400,"yearly")+SUMIFS(SF_Output!$S$1:$S$400,SF_Output!$AC$1:$AC$400,_xlfn.TEXTJOIN(",",TRUE,B244:E244),SF_Output!$Q$1:$Q$400,"quarterly")*4)</f>
        <v/>
      </c>
      <c r="S244" s="112" t="str">
        <f>IF(OR(B244=0,B244="",G244="hardware",R244=0),"",IF(AF244&lt;&gt;"exclusion",MAX(S$9,-(SUMIFS(SF_Output!$T$1:$T$400,SF_Output!$AC$1:$AC$400,_xlfn.TEXTJOIN(",",TRUE,$B244:$E244),SF_Output!$Q$1:$Q$400,"yearly"))/R244),-((SUMIFS(SF_Output!$T$1:$T$400,SF_Output!$AC$1:$AC$400,_xlfn.TEXTJOIN(",",TRUE,$B244:$E244),SF_Output!$Q$1:$Q$400,"yearly")/R244))))</f>
        <v/>
      </c>
      <c r="T244" s="6" t="str">
        <f t="shared" si="57"/>
        <v/>
      </c>
      <c r="V244" s="6" t="str" cm="1">
        <f t="array" ref="V244">_xlfn.IFS(B244="","",AND(B244&lt;&gt;"",H244=SF_Output!$Y$2,SUMIFS(SF_Output!$T$1:$T$400,SF_Output!$AC$1:$AC$400,_xlfn.TEXTJOIN(",",TRUE,B244:E244),SF_Output!$Q$1:$Q$400,"monthly")=0),(SUMIFS(SF_Output!$F$1:$F$400,SF_Output!$AC$1:$AC$400,_xlfn.TEXTJOIN(",",TRUE,B244:E244),SF_Output!$Q$1:$Q$400,"monthly")+SUMIFS(SF_Output!$G$1:$G$400,SF_Output!$AC$1:$AC$400,_xlfn.TEXTJOIN(",",TRUE,B244:E244),SF_Output!$Q$1:$Q$400,"monthly"))*H244,AND(B244&lt;&gt;"",H244=SF_Output!$Y$2,SUMIFS(SF_Output!$T$1:$T$400,SF_Output!$AC$1:$AC$400,_xlfn.TEXTJOIN(",",TRUE,B244:E244),SF_Output!$Q$1:$Q$400,"monthly")&lt;&gt;0),SUMIFS(SF_Output!$S$1:$S$400,SF_Output!$AC$1:$AC$400,_xlfn.TEXTJOIN(",",TRUE,B244:E244),SF_Output!$Q$1:$Q$400,"monthly"),AND(B244&lt;&gt;"",H244&lt;&gt;SF_Output!$Y$2),SUMIFS(SF_Output!$S$1:$S$400,SF_Output!$AC$1:$AC$400,_xlfn.TEXTJOIN(",",TRUE,B244:E244),SF_Output!$Q$1:$Q$400,"monthly"))</f>
        <v/>
      </c>
      <c r="W244" s="112" t="str" cm="1">
        <f t="array" ref="W244">_xlfn.IFS(OR(B244=0,B244="",V244=0),"",AF244&lt;&gt;"exclusion",MAX($W$9,$W$7,(-(SUMIFS(SF_Output!$T$1:$T$400,SF_Output!$AC$1:$AC$400,_xlfn.TEXTJOIN(",",TRUE,$B244:$E244),SF_Output!$Q$1:$Q$400,"monthly"))/V244)),AF244="exclusion",-(SUMIFS(SF_Output!$T$1:$T$400,SF_Output!$AC$1:$AC$400,_xlfn.TEXTJOIN(",",TRUE,$B244:$E244),SF_Output!$Q$1:$Q$400,"monthly"))/V244)</f>
        <v/>
      </c>
      <c r="X244" s="6" t="str" cm="1">
        <f t="array" ref="X244">IFERROR(_xlfn.IFS(V244=0,0,V244="","",W244=0,V244,OR(V244&lt;&gt;0,V244&lt;&gt;""),H244*I244),V244*(1-W244))</f>
        <v/>
      </c>
      <c r="Z244" s="6" t="str">
        <f>IFERROR(IF(B244="","",SUMIFS(Billing_Fallout!H:H,Billing_Fallout!N:N,B244)),0)</f>
        <v/>
      </c>
      <c r="AA244" s="6" t="str">
        <f t="shared" si="58"/>
        <v/>
      </c>
      <c r="AB244" s="6" t="str">
        <f>IFERROR(IF(B244="","",SUMIFS(Billing_Fallout!J:J,Billing_Fallout!N:N,B244)),0)</f>
        <v/>
      </c>
      <c r="AD244" s="6" t="str">
        <f t="shared" si="59"/>
        <v/>
      </c>
      <c r="AF244" t="str">
        <f>IFERROR(INDEX(H_Tables!$B$1:$B$1500,MATCH(INDEX(SF_Output!$J$1:$J$400,MATCH(B244,SF_Output!$M$1:$M$400,0)),H_Tables!$A$1:$A$1500,0)),"")</f>
        <v/>
      </c>
      <c r="AI244" s="119" t="str">
        <f t="shared" si="60"/>
        <v/>
      </c>
      <c r="AJ244" s="121">
        <f>IFERROR(INDEX(SF_Output!AD:AD,MATCH(_xlfn.TEXTJOIN(",",TRUE,B244:E244),SF_Output!AC1:AC400,0)),0.05)</f>
        <v>241</v>
      </c>
      <c r="AK244" t="str">
        <f>IF(SUMIFS(SF_Output!$F$1:$F$400,SF_Output!$AC$1:$AC$400,_xlfn.TEXTJOIN(",",TRUE,B244:E244))+SUMIFS(SF_Output!$G$1:$G$400,SF_Output!$AC$1:$AC$400,_xlfn.TEXTJOIN(",",TRUE,B244:E244))=0,"","PAP")</f>
        <v/>
      </c>
      <c r="AL244" s="35" t="str">
        <f t="shared" si="61"/>
        <v/>
      </c>
      <c r="AQ244" s="35"/>
      <c r="AR244" s="35" t="str" cm="1">
        <f t="array" ref="AR244">IFERROR(_xlfn.IFS(AND(E244*1=1,F244="Included"),"Change to Included",AND(E244*1=0,F244="Optional"),"Change to Optional",OR(B244="",F244="replaced"),""),"")</f>
        <v/>
      </c>
      <c r="AS244" s="35" t="str">
        <f t="shared" si="62"/>
        <v/>
      </c>
      <c r="AT244" s="35" t="str">
        <f t="shared" si="63"/>
        <v/>
      </c>
      <c r="AU244" s="35" t="str">
        <f t="shared" si="64"/>
        <v/>
      </c>
      <c r="AV244" s="35" t="str">
        <f t="shared" si="65"/>
        <v/>
      </c>
      <c r="AW244" s="35" t="str">
        <f t="shared" si="66"/>
        <v/>
      </c>
      <c r="AX244" s="35" t="str">
        <f t="shared" si="67"/>
        <v/>
      </c>
      <c r="AY244" s="35" t="str">
        <f t="shared" si="68"/>
        <v/>
      </c>
      <c r="AZ244" s="35" t="str">
        <f t="shared" si="69"/>
        <v/>
      </c>
      <c r="BA244" s="35" t="str">
        <f t="shared" si="70"/>
        <v/>
      </c>
      <c r="BB244" s="35" t="str">
        <f t="shared" si="71"/>
        <v/>
      </c>
      <c r="BC244" s="35"/>
      <c r="BE244" s="35" t="e">
        <f>INDEX(SF_Output!$AA$2:$AA$400,MATCH($B244,SF_Output!$M$2:$M$400,0))</f>
        <v>#N/A</v>
      </c>
      <c r="BF244" s="35" t="e">
        <f>INDEX(SF_Output!$AB$2:$AB$400,MATCH($B244,SF_Output!$M$2:$M$400,0))</f>
        <v>#N/A</v>
      </c>
    </row>
    <row r="245" spans="6:58" x14ac:dyDescent="0.25">
      <c r="F245" s="116" t="str">
        <f t="shared" si="54"/>
        <v/>
      </c>
      <c r="G245" t="str">
        <f>IF(B245="","",INDEX(SF_Output!$K$1:$K$400,MATCH(B245,SF_Output!$M$1:$M$400,0)))</f>
        <v/>
      </c>
      <c r="H245" t="str" cm="1">
        <f t="array" ref="H245">_xlfn.IFS(B245="","",(SUMIFS(SF_Output!$F$1:$F$400,SF_Output!$AC$1:$AC$400,_xlfn.TEXTJOIN(",",TRUE,B245:E245))+SUMIFS(SF_Output!$G$1:$G$400,SF_Output!$AC$1:$AC$400,_xlfn.TEXTJOIN(",",TRUE,B245:E245)))&lt;&gt;0,SF_Output!$Y$2,INDEX(SF_Output!$F$1:$F$400,MATCH(_xlfn.TEXTJOIN(",",TRUE,B245:E245),SF_Output!$AC$1:$AC$400,0))=0,INDEX(SF_Output!$R$1:$R$400,MATCH(_xlfn.TEXTJOIN(",",TRUE,B245:E245),SF_Output!$AC$1:$AC$400,0)))</f>
        <v/>
      </c>
      <c r="I245" s="125" t="str">
        <f>IFERROR(IF(AND(H245&gt;1,H245&lt;&gt;""),ROUND(SUMIFS(SF_Output!$S$1:$S$400,SF_Output!$AC$1:$AC$400,_xlfn.TEXTJOIN(",",TRUE,B245:E245),SF_Output!$Q$1:$Q$400,"monthly")*(1-W245)/H245,4),""),"")</f>
        <v/>
      </c>
      <c r="J245" s="6" t="str">
        <f>IF(B245="","",SUMIFS(SF_Output!$S$1:$S$400,SF_Output!$AC$1:$AC$400,_xlfn.TEXTJOIN(",",TRUE,B245:E245),SF_Output!$Q$1:$Q$400,"One Time",SF_Output!$L$1:$L$400,"license fee")+SUMIFS(SF_Output!$S$1:$S$400,SF_Output!$AC$1:$AC$400,_xlfn.TEXTJOIN(",",TRUE,B245:E245),SF_Output!$Q$1:$Q$400,"One Time",SF_Output!$L$1:$L$400,"software license")+SUMIFS(SF_Output!$S$1:$S$400,SF_Output!$AC$1:$AC$400,_xlfn.TEXTJOIN(",",TRUE,B245:E245),SF_Output!$Q$1:$Q$400,"One Time",SF_Output!$L$1:$L$400,"hardware"))</f>
        <v/>
      </c>
      <c r="K245" s="112" t="str">
        <f>IF(OR(B245=0,B245="",G245="hardware",J245=0),"",IF(AF245&lt;&gt;"exclusion",MAX(K$9,-((SUMIFS(SF_Output!$T$1:$T$400,SF_Output!$AC$1:$AC$400,_xlfn.TEXTJOIN(",",TRUE,$B245:$E245),SF_Output!$Q$1:$Q$400,"One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license"))/J245)))</f>
        <v/>
      </c>
      <c r="L245" s="6" t="str">
        <f t="shared" si="55"/>
        <v/>
      </c>
      <c r="N245" s="6" t="str">
        <f>IF(B245="","",SUMIFS(SF_Output!$S$1:$S$400,SF_Output!$AC$1:$AC$400,_xlfn.TEXTJOIN(",",TRUE,B245:E245),SF_Output!$Q$1:$Q$400,"One Time",SF_Output!$L$1:$L$400,"professional service"))</f>
        <v/>
      </c>
      <c r="O245" s="112" t="str">
        <f>IF(OR(B245=0,B245="",N245=0),"",IF(AF245&lt;&gt;"exclusion",MAX(O$9,-(SUMIFS(SF_Output!$T$1:$T$400,SF_Output!$AC$1:$AC$400,_xlfn.TEXTJOIN(",",TRUE,$B245:$E245),SF_Output!$Q$1:$Q$400,"One Time",SF_Output!$L$1:$L$400,"professional service"))/N245),-((SUMIFS(SF_Output!$T$1:$T$400,SF_Output!$AC$1:$AC$400,_xlfn.TEXTJOIN(",",TRUE,$B245:$E245),SF_Output!$Q$1:$Q$400,"One Time",SF_Output!$L$1:$L$400,"professional service")/N245))))</f>
        <v/>
      </c>
      <c r="P245" s="6" t="str">
        <f t="shared" si="56"/>
        <v/>
      </c>
      <c r="R245" s="6" t="str">
        <f>IF(B245="","",SUMIFS(SF_Output!$S$1:$S$400,SF_Output!$AC$1:$AC$400,_xlfn.TEXTJOIN(",",TRUE,B245:E245),SF_Output!$Q$1:$Q$400,"yearly")+SUMIFS(SF_Output!$S$1:$S$400,SF_Output!$AC$1:$AC$400,_xlfn.TEXTJOIN(",",TRUE,B245:E245),SF_Output!$Q$1:$Q$400,"quarterly")*4)</f>
        <v/>
      </c>
      <c r="S245" s="112" t="str">
        <f>IF(OR(B245=0,B245="",G245="hardware",R245=0),"",IF(AF245&lt;&gt;"exclusion",MAX(S$9,-(SUMIFS(SF_Output!$T$1:$T$400,SF_Output!$AC$1:$AC$400,_xlfn.TEXTJOIN(",",TRUE,$B245:$E245),SF_Output!$Q$1:$Q$400,"yearly"))/R245),-((SUMIFS(SF_Output!$T$1:$T$400,SF_Output!$AC$1:$AC$400,_xlfn.TEXTJOIN(",",TRUE,$B245:$E245),SF_Output!$Q$1:$Q$400,"yearly")/R245))))</f>
        <v/>
      </c>
      <c r="T245" s="6" t="str">
        <f t="shared" si="57"/>
        <v/>
      </c>
      <c r="V245" s="6" t="str" cm="1">
        <f t="array" ref="V245">_xlfn.IFS(B245="","",AND(B245&lt;&gt;"",H245=SF_Output!$Y$2,SUMIFS(SF_Output!$T$1:$T$400,SF_Output!$AC$1:$AC$400,_xlfn.TEXTJOIN(",",TRUE,B245:E245),SF_Output!$Q$1:$Q$400,"monthly")=0),(SUMIFS(SF_Output!$F$1:$F$400,SF_Output!$AC$1:$AC$400,_xlfn.TEXTJOIN(",",TRUE,B245:E245),SF_Output!$Q$1:$Q$400,"monthly")+SUMIFS(SF_Output!$G$1:$G$400,SF_Output!$AC$1:$AC$400,_xlfn.TEXTJOIN(",",TRUE,B245:E245),SF_Output!$Q$1:$Q$400,"monthly"))*H245,AND(B245&lt;&gt;"",H245=SF_Output!$Y$2,SUMIFS(SF_Output!$T$1:$T$400,SF_Output!$AC$1:$AC$400,_xlfn.TEXTJOIN(",",TRUE,B245:E245),SF_Output!$Q$1:$Q$400,"monthly")&lt;&gt;0),SUMIFS(SF_Output!$S$1:$S$400,SF_Output!$AC$1:$AC$400,_xlfn.TEXTJOIN(",",TRUE,B245:E245),SF_Output!$Q$1:$Q$400,"monthly"),AND(B245&lt;&gt;"",H245&lt;&gt;SF_Output!$Y$2),SUMIFS(SF_Output!$S$1:$S$400,SF_Output!$AC$1:$AC$400,_xlfn.TEXTJOIN(",",TRUE,B245:E245),SF_Output!$Q$1:$Q$400,"monthly"))</f>
        <v/>
      </c>
      <c r="W245" s="112" t="str" cm="1">
        <f t="array" ref="W245">_xlfn.IFS(OR(B245=0,B245="",V245=0),"",AF245&lt;&gt;"exclusion",MAX($W$9,$W$7,(-(SUMIFS(SF_Output!$T$1:$T$400,SF_Output!$AC$1:$AC$400,_xlfn.TEXTJOIN(",",TRUE,$B245:$E245),SF_Output!$Q$1:$Q$400,"monthly"))/V245)),AF245="exclusion",-(SUMIFS(SF_Output!$T$1:$T$400,SF_Output!$AC$1:$AC$400,_xlfn.TEXTJOIN(",",TRUE,$B245:$E245),SF_Output!$Q$1:$Q$400,"monthly"))/V245)</f>
        <v/>
      </c>
      <c r="X245" s="6" t="str" cm="1">
        <f t="array" ref="X245">IFERROR(_xlfn.IFS(V245=0,0,V245="","",W245=0,V245,OR(V245&lt;&gt;0,V245&lt;&gt;""),H245*I245),V245*(1-W245))</f>
        <v/>
      </c>
      <c r="Z245" s="6" t="str">
        <f>IFERROR(IF(B245="","",SUMIFS(Billing_Fallout!H:H,Billing_Fallout!N:N,B245)),0)</f>
        <v/>
      </c>
      <c r="AA245" s="6" t="str">
        <f t="shared" si="58"/>
        <v/>
      </c>
      <c r="AB245" s="6" t="str">
        <f>IFERROR(IF(B245="","",SUMIFS(Billing_Fallout!J:J,Billing_Fallout!N:N,B245)),0)</f>
        <v/>
      </c>
      <c r="AD245" s="6" t="str">
        <f t="shared" si="59"/>
        <v/>
      </c>
      <c r="AF245" t="str">
        <f>IFERROR(INDEX(H_Tables!$B$1:$B$1500,MATCH(INDEX(SF_Output!$J$1:$J$400,MATCH(B245,SF_Output!$M$1:$M$400,0)),H_Tables!$A$1:$A$1500,0)),"")</f>
        <v/>
      </c>
      <c r="AI245" s="119" t="str">
        <f t="shared" si="60"/>
        <v/>
      </c>
      <c r="AJ245" s="121">
        <f>IFERROR(INDEX(SF_Output!AD:AD,MATCH(_xlfn.TEXTJOIN(",",TRUE,B245:E245),SF_Output!AC1:AC400,0)),0.05)</f>
        <v>241</v>
      </c>
      <c r="AK245" t="str">
        <f>IF(SUMIFS(SF_Output!$F$1:$F$400,SF_Output!$AC$1:$AC$400,_xlfn.TEXTJOIN(",",TRUE,B245:E245))+SUMIFS(SF_Output!$G$1:$G$400,SF_Output!$AC$1:$AC$400,_xlfn.TEXTJOIN(",",TRUE,B245:E245))=0,"","PAP")</f>
        <v/>
      </c>
      <c r="AL245" s="35" t="str">
        <f t="shared" si="61"/>
        <v/>
      </c>
      <c r="AQ245" s="35"/>
      <c r="AR245" s="35" t="str" cm="1">
        <f t="array" ref="AR245">IFERROR(_xlfn.IFS(AND(E245*1=1,F245="Included"),"Change to Included",AND(E245*1=0,F245="Optional"),"Change to Optional",OR(B245="",F245="replaced"),""),"")</f>
        <v/>
      </c>
      <c r="AS245" s="35" t="str">
        <f t="shared" si="62"/>
        <v/>
      </c>
      <c r="AT245" s="35" t="str">
        <f t="shared" si="63"/>
        <v/>
      </c>
      <c r="AU245" s="35" t="str">
        <f t="shared" si="64"/>
        <v/>
      </c>
      <c r="AV245" s="35" t="str">
        <f t="shared" si="65"/>
        <v/>
      </c>
      <c r="AW245" s="35" t="str">
        <f t="shared" si="66"/>
        <v/>
      </c>
      <c r="AX245" s="35" t="str">
        <f t="shared" si="67"/>
        <v/>
      </c>
      <c r="AY245" s="35" t="str">
        <f t="shared" si="68"/>
        <v/>
      </c>
      <c r="AZ245" s="35" t="str">
        <f t="shared" si="69"/>
        <v/>
      </c>
      <c r="BA245" s="35" t="str">
        <f t="shared" si="70"/>
        <v/>
      </c>
      <c r="BB245" s="35" t="str">
        <f t="shared" si="71"/>
        <v/>
      </c>
      <c r="BC245" s="35"/>
      <c r="BE245" s="35" t="e">
        <f>INDEX(SF_Output!$AA$2:$AA$400,MATCH($B245,SF_Output!$M$2:$M$400,0))</f>
        <v>#N/A</v>
      </c>
      <c r="BF245" s="35" t="e">
        <f>INDEX(SF_Output!$AB$2:$AB$400,MATCH($B245,SF_Output!$M$2:$M$400,0))</f>
        <v>#N/A</v>
      </c>
    </row>
    <row r="246" spans="6:58" x14ac:dyDescent="0.25">
      <c r="F246" s="116" t="str">
        <f t="shared" si="54"/>
        <v/>
      </c>
      <c r="G246" t="str">
        <f>IF(B246="","",INDEX(SF_Output!$K$1:$K$400,MATCH(B246,SF_Output!$M$1:$M$400,0)))</f>
        <v/>
      </c>
      <c r="H246" t="str" cm="1">
        <f t="array" ref="H246">_xlfn.IFS(B246="","",(SUMIFS(SF_Output!$F$1:$F$400,SF_Output!$AC$1:$AC$400,_xlfn.TEXTJOIN(",",TRUE,B246:E246))+SUMIFS(SF_Output!$G$1:$G$400,SF_Output!$AC$1:$AC$400,_xlfn.TEXTJOIN(",",TRUE,B246:E246)))&lt;&gt;0,SF_Output!$Y$2,INDEX(SF_Output!$F$1:$F$400,MATCH(_xlfn.TEXTJOIN(",",TRUE,B246:E246),SF_Output!$AC$1:$AC$400,0))=0,INDEX(SF_Output!$R$1:$R$400,MATCH(_xlfn.TEXTJOIN(",",TRUE,B246:E246),SF_Output!$AC$1:$AC$400,0)))</f>
        <v/>
      </c>
      <c r="I246" s="125" t="str">
        <f>IFERROR(IF(AND(H246&gt;1,H246&lt;&gt;""),ROUND(SUMIFS(SF_Output!$S$1:$S$400,SF_Output!$AC$1:$AC$400,_xlfn.TEXTJOIN(",",TRUE,B246:E246),SF_Output!$Q$1:$Q$400,"monthly")*(1-W246)/H246,4),""),"")</f>
        <v/>
      </c>
      <c r="J246" s="6" t="str">
        <f>IF(B246="","",SUMIFS(SF_Output!$S$1:$S$400,SF_Output!$AC$1:$AC$400,_xlfn.TEXTJOIN(",",TRUE,B246:E246),SF_Output!$Q$1:$Q$400,"One Time",SF_Output!$L$1:$L$400,"license fee")+SUMIFS(SF_Output!$S$1:$S$400,SF_Output!$AC$1:$AC$400,_xlfn.TEXTJOIN(",",TRUE,B246:E246),SF_Output!$Q$1:$Q$400,"One Time",SF_Output!$L$1:$L$400,"software license")+SUMIFS(SF_Output!$S$1:$S$400,SF_Output!$AC$1:$AC$400,_xlfn.TEXTJOIN(",",TRUE,B246:E246),SF_Output!$Q$1:$Q$400,"One Time",SF_Output!$L$1:$L$400,"hardware"))</f>
        <v/>
      </c>
      <c r="K246" s="112" t="str">
        <f>IF(OR(B246=0,B246="",G246="hardware",J246=0),"",IF(AF246&lt;&gt;"exclusion",MAX(K$9,-((SUMIFS(SF_Output!$T$1:$T$400,SF_Output!$AC$1:$AC$400,_xlfn.TEXTJOIN(",",TRUE,$B246:$E246),SF_Output!$Q$1:$Q$400,"One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license"))/J246)))</f>
        <v/>
      </c>
      <c r="L246" s="6" t="str">
        <f t="shared" si="55"/>
        <v/>
      </c>
      <c r="N246" s="6" t="str">
        <f>IF(B246="","",SUMIFS(SF_Output!$S$1:$S$400,SF_Output!$AC$1:$AC$400,_xlfn.TEXTJOIN(",",TRUE,B246:E246),SF_Output!$Q$1:$Q$400,"One Time",SF_Output!$L$1:$L$400,"professional service"))</f>
        <v/>
      </c>
      <c r="O246" s="112" t="str">
        <f>IF(OR(B246=0,B246="",N246=0),"",IF(AF246&lt;&gt;"exclusion",MAX(O$9,-(SUMIFS(SF_Output!$T$1:$T$400,SF_Output!$AC$1:$AC$400,_xlfn.TEXTJOIN(",",TRUE,$B246:$E246),SF_Output!$Q$1:$Q$400,"One Time",SF_Output!$L$1:$L$400,"professional service"))/N246),-((SUMIFS(SF_Output!$T$1:$T$400,SF_Output!$AC$1:$AC$400,_xlfn.TEXTJOIN(",",TRUE,$B246:$E246),SF_Output!$Q$1:$Q$400,"One Time",SF_Output!$L$1:$L$400,"professional service")/N246))))</f>
        <v/>
      </c>
      <c r="P246" s="6" t="str">
        <f t="shared" si="56"/>
        <v/>
      </c>
      <c r="R246" s="6" t="str">
        <f>IF(B246="","",SUMIFS(SF_Output!$S$1:$S$400,SF_Output!$AC$1:$AC$400,_xlfn.TEXTJOIN(",",TRUE,B246:E246),SF_Output!$Q$1:$Q$400,"yearly")+SUMIFS(SF_Output!$S$1:$S$400,SF_Output!$AC$1:$AC$400,_xlfn.TEXTJOIN(",",TRUE,B246:E246),SF_Output!$Q$1:$Q$400,"quarterly")*4)</f>
        <v/>
      </c>
      <c r="S246" s="112" t="str">
        <f>IF(OR(B246=0,B246="",G246="hardware",R246=0),"",IF(AF246&lt;&gt;"exclusion",MAX(S$9,-(SUMIFS(SF_Output!$T$1:$T$400,SF_Output!$AC$1:$AC$400,_xlfn.TEXTJOIN(",",TRUE,$B246:$E246),SF_Output!$Q$1:$Q$400,"yearly"))/R246),-((SUMIFS(SF_Output!$T$1:$T$400,SF_Output!$AC$1:$AC$400,_xlfn.TEXTJOIN(",",TRUE,$B246:$E246),SF_Output!$Q$1:$Q$400,"yearly")/R246))))</f>
        <v/>
      </c>
      <c r="T246" s="6" t="str">
        <f t="shared" si="57"/>
        <v/>
      </c>
      <c r="V246" s="6" t="str" cm="1">
        <f t="array" ref="V246">_xlfn.IFS(B246="","",AND(B246&lt;&gt;"",H246=SF_Output!$Y$2,SUMIFS(SF_Output!$T$1:$T$400,SF_Output!$AC$1:$AC$400,_xlfn.TEXTJOIN(",",TRUE,B246:E246),SF_Output!$Q$1:$Q$400,"monthly")=0),(SUMIFS(SF_Output!$F$1:$F$400,SF_Output!$AC$1:$AC$400,_xlfn.TEXTJOIN(",",TRUE,B246:E246),SF_Output!$Q$1:$Q$400,"monthly")+SUMIFS(SF_Output!$G$1:$G$400,SF_Output!$AC$1:$AC$400,_xlfn.TEXTJOIN(",",TRUE,B246:E246),SF_Output!$Q$1:$Q$400,"monthly"))*H246,AND(B246&lt;&gt;"",H246=SF_Output!$Y$2,SUMIFS(SF_Output!$T$1:$T$400,SF_Output!$AC$1:$AC$400,_xlfn.TEXTJOIN(",",TRUE,B246:E246),SF_Output!$Q$1:$Q$400,"monthly")&lt;&gt;0),SUMIFS(SF_Output!$S$1:$S$400,SF_Output!$AC$1:$AC$400,_xlfn.TEXTJOIN(",",TRUE,B246:E246),SF_Output!$Q$1:$Q$400,"monthly"),AND(B246&lt;&gt;"",H246&lt;&gt;SF_Output!$Y$2),SUMIFS(SF_Output!$S$1:$S$400,SF_Output!$AC$1:$AC$400,_xlfn.TEXTJOIN(",",TRUE,B246:E246),SF_Output!$Q$1:$Q$400,"monthly"))</f>
        <v/>
      </c>
      <c r="W246" s="112" t="str" cm="1">
        <f t="array" ref="W246">_xlfn.IFS(OR(B246=0,B246="",V246=0),"",AF246&lt;&gt;"exclusion",MAX($W$9,$W$7,(-(SUMIFS(SF_Output!$T$1:$T$400,SF_Output!$AC$1:$AC$400,_xlfn.TEXTJOIN(",",TRUE,$B246:$E246),SF_Output!$Q$1:$Q$400,"monthly"))/V246)),AF246="exclusion",-(SUMIFS(SF_Output!$T$1:$T$400,SF_Output!$AC$1:$AC$400,_xlfn.TEXTJOIN(",",TRUE,$B246:$E246),SF_Output!$Q$1:$Q$400,"monthly"))/V246)</f>
        <v/>
      </c>
      <c r="X246" s="6" t="str" cm="1">
        <f t="array" ref="X246">IFERROR(_xlfn.IFS(V246=0,0,V246="","",W246=0,V246,OR(V246&lt;&gt;0,V246&lt;&gt;""),H246*I246),V246*(1-W246))</f>
        <v/>
      </c>
      <c r="Z246" s="6" t="str">
        <f>IFERROR(IF(B246="","",SUMIFS(Billing_Fallout!H:H,Billing_Fallout!N:N,B246)),0)</f>
        <v/>
      </c>
      <c r="AA246" s="6" t="str">
        <f t="shared" si="58"/>
        <v/>
      </c>
      <c r="AB246" s="6" t="str">
        <f>IFERROR(IF(B246="","",SUMIFS(Billing_Fallout!J:J,Billing_Fallout!N:N,B246)),0)</f>
        <v/>
      </c>
      <c r="AD246" s="6" t="str">
        <f t="shared" si="59"/>
        <v/>
      </c>
      <c r="AF246" t="str">
        <f>IFERROR(INDEX(H_Tables!$B$1:$B$1500,MATCH(INDEX(SF_Output!$J$1:$J$400,MATCH(B246,SF_Output!$M$1:$M$400,0)),H_Tables!$A$1:$A$1500,0)),"")</f>
        <v/>
      </c>
      <c r="AI246" s="119" t="str">
        <f t="shared" si="60"/>
        <v/>
      </c>
      <c r="AJ246" s="121">
        <f>IFERROR(INDEX(SF_Output!AD:AD,MATCH(_xlfn.TEXTJOIN(",",TRUE,B246:E246),SF_Output!AC1:AC400,0)),0.05)</f>
        <v>241</v>
      </c>
      <c r="AK246" t="str">
        <f>IF(SUMIFS(SF_Output!$F$1:$F$400,SF_Output!$AC$1:$AC$400,_xlfn.TEXTJOIN(",",TRUE,B246:E246))+SUMIFS(SF_Output!$G$1:$G$400,SF_Output!$AC$1:$AC$400,_xlfn.TEXTJOIN(",",TRUE,B246:E246))=0,"","PAP")</f>
        <v/>
      </c>
      <c r="AL246" s="35" t="str">
        <f t="shared" si="61"/>
        <v/>
      </c>
      <c r="AQ246" s="35"/>
      <c r="AR246" s="35" t="str" cm="1">
        <f t="array" ref="AR246">IFERROR(_xlfn.IFS(AND(E246*1=1,F246="Included"),"Change to Included",AND(E246*1=0,F246="Optional"),"Change to Optional",OR(B246="",F246="replaced"),""),"")</f>
        <v/>
      </c>
      <c r="AS246" s="35" t="str">
        <f t="shared" si="62"/>
        <v/>
      </c>
      <c r="AT246" s="35" t="str">
        <f t="shared" si="63"/>
        <v/>
      </c>
      <c r="AU246" s="35" t="str">
        <f t="shared" si="64"/>
        <v/>
      </c>
      <c r="AV246" s="35" t="str">
        <f t="shared" si="65"/>
        <v/>
      </c>
      <c r="AW246" s="35" t="str">
        <f t="shared" si="66"/>
        <v/>
      </c>
      <c r="AX246" s="35" t="str">
        <f t="shared" si="67"/>
        <v/>
      </c>
      <c r="AY246" s="35" t="str">
        <f t="shared" si="68"/>
        <v/>
      </c>
      <c r="AZ246" s="35" t="str">
        <f t="shared" si="69"/>
        <v/>
      </c>
      <c r="BA246" s="35" t="str">
        <f t="shared" si="70"/>
        <v/>
      </c>
      <c r="BB246" s="35" t="str">
        <f t="shared" si="71"/>
        <v/>
      </c>
      <c r="BC246" s="35"/>
      <c r="BE246" s="35" t="e">
        <f>INDEX(SF_Output!$AA$2:$AA$400,MATCH($B246,SF_Output!$M$2:$M$400,0))</f>
        <v>#N/A</v>
      </c>
      <c r="BF246" s="35" t="e">
        <f>INDEX(SF_Output!$AB$2:$AB$400,MATCH($B246,SF_Output!$M$2:$M$400,0))</f>
        <v>#N/A</v>
      </c>
    </row>
    <row r="247" spans="6:58" x14ac:dyDescent="0.25">
      <c r="F247" s="116" t="str">
        <f t="shared" si="54"/>
        <v/>
      </c>
      <c r="G247" t="str">
        <f>IF(B247="","",INDEX(SF_Output!$K$1:$K$400,MATCH(B247,SF_Output!$M$1:$M$400,0)))</f>
        <v/>
      </c>
      <c r="H247" t="str" cm="1">
        <f t="array" ref="H247">_xlfn.IFS(B247="","",(SUMIFS(SF_Output!$F$1:$F$400,SF_Output!$AC$1:$AC$400,_xlfn.TEXTJOIN(",",TRUE,B247:E247))+SUMIFS(SF_Output!$G$1:$G$400,SF_Output!$AC$1:$AC$400,_xlfn.TEXTJOIN(",",TRUE,B247:E247)))&lt;&gt;0,SF_Output!$Y$2,INDEX(SF_Output!$F$1:$F$400,MATCH(_xlfn.TEXTJOIN(",",TRUE,B247:E247),SF_Output!$AC$1:$AC$400,0))=0,INDEX(SF_Output!$R$1:$R$400,MATCH(_xlfn.TEXTJOIN(",",TRUE,B247:E247),SF_Output!$AC$1:$AC$400,0)))</f>
        <v/>
      </c>
      <c r="I247" s="125" t="str">
        <f>IFERROR(IF(AND(H247&gt;1,H247&lt;&gt;""),ROUND(SUMIFS(SF_Output!$S$1:$S$400,SF_Output!$AC$1:$AC$400,_xlfn.TEXTJOIN(",",TRUE,B247:E247),SF_Output!$Q$1:$Q$400,"monthly")*(1-W247)/H247,4),""),"")</f>
        <v/>
      </c>
      <c r="J247" s="6" t="str">
        <f>IF(B247="","",SUMIFS(SF_Output!$S$1:$S$400,SF_Output!$AC$1:$AC$400,_xlfn.TEXTJOIN(",",TRUE,B247:E247),SF_Output!$Q$1:$Q$400,"One Time",SF_Output!$L$1:$L$400,"license fee")+SUMIFS(SF_Output!$S$1:$S$400,SF_Output!$AC$1:$AC$400,_xlfn.TEXTJOIN(",",TRUE,B247:E247),SF_Output!$Q$1:$Q$400,"One Time",SF_Output!$L$1:$L$400,"software license")+SUMIFS(SF_Output!$S$1:$S$400,SF_Output!$AC$1:$AC$400,_xlfn.TEXTJOIN(",",TRUE,B247:E247),SF_Output!$Q$1:$Q$400,"One Time",SF_Output!$L$1:$L$400,"hardware"))</f>
        <v/>
      </c>
      <c r="K247" s="112" t="str">
        <f>IF(OR(B247=0,B247="",G247="hardware",J247=0),"",IF(AF247&lt;&gt;"exclusion",MAX(K$9,-((SUMIFS(SF_Output!$T$1:$T$400,SF_Output!$AC$1:$AC$400,_xlfn.TEXTJOIN(",",TRUE,$B247:$E247),SF_Output!$Q$1:$Q$400,"One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license"))/J247)))</f>
        <v/>
      </c>
      <c r="L247" s="6" t="str">
        <f t="shared" si="55"/>
        <v/>
      </c>
      <c r="N247" s="6" t="str">
        <f>IF(B247="","",SUMIFS(SF_Output!$S$1:$S$400,SF_Output!$AC$1:$AC$400,_xlfn.TEXTJOIN(",",TRUE,B247:E247),SF_Output!$Q$1:$Q$400,"One Time",SF_Output!$L$1:$L$400,"professional service"))</f>
        <v/>
      </c>
      <c r="O247" s="112" t="str">
        <f>IF(OR(B247=0,B247="",N247=0),"",IF(AF247&lt;&gt;"exclusion",MAX(O$9,-(SUMIFS(SF_Output!$T$1:$T$400,SF_Output!$AC$1:$AC$400,_xlfn.TEXTJOIN(",",TRUE,$B247:$E247),SF_Output!$Q$1:$Q$400,"One Time",SF_Output!$L$1:$L$400,"professional service"))/N247),-((SUMIFS(SF_Output!$T$1:$T$400,SF_Output!$AC$1:$AC$400,_xlfn.TEXTJOIN(",",TRUE,$B247:$E247),SF_Output!$Q$1:$Q$400,"One Time",SF_Output!$L$1:$L$400,"professional service")/N247))))</f>
        <v/>
      </c>
      <c r="P247" s="6" t="str">
        <f t="shared" si="56"/>
        <v/>
      </c>
      <c r="R247" s="6" t="str">
        <f>IF(B247="","",SUMIFS(SF_Output!$S$1:$S$400,SF_Output!$AC$1:$AC$400,_xlfn.TEXTJOIN(",",TRUE,B247:E247),SF_Output!$Q$1:$Q$400,"yearly")+SUMIFS(SF_Output!$S$1:$S$400,SF_Output!$AC$1:$AC$400,_xlfn.TEXTJOIN(",",TRUE,B247:E247),SF_Output!$Q$1:$Q$400,"quarterly")*4)</f>
        <v/>
      </c>
      <c r="S247" s="112" t="str">
        <f>IF(OR(B247=0,B247="",G247="hardware",R247=0),"",IF(AF247&lt;&gt;"exclusion",MAX(S$9,-(SUMIFS(SF_Output!$T$1:$T$400,SF_Output!$AC$1:$AC$400,_xlfn.TEXTJOIN(",",TRUE,$B247:$E247),SF_Output!$Q$1:$Q$400,"yearly"))/R247),-((SUMIFS(SF_Output!$T$1:$T$400,SF_Output!$AC$1:$AC$400,_xlfn.TEXTJOIN(",",TRUE,$B247:$E247),SF_Output!$Q$1:$Q$400,"yearly")/R247))))</f>
        <v/>
      </c>
      <c r="T247" s="6" t="str">
        <f t="shared" si="57"/>
        <v/>
      </c>
      <c r="V247" s="6" t="str" cm="1">
        <f t="array" ref="V247">_xlfn.IFS(B247="","",AND(B247&lt;&gt;"",H247=SF_Output!$Y$2,SUMIFS(SF_Output!$T$1:$T$400,SF_Output!$AC$1:$AC$400,_xlfn.TEXTJOIN(",",TRUE,B247:E247),SF_Output!$Q$1:$Q$400,"monthly")=0),(SUMIFS(SF_Output!$F$1:$F$400,SF_Output!$AC$1:$AC$400,_xlfn.TEXTJOIN(",",TRUE,B247:E247),SF_Output!$Q$1:$Q$400,"monthly")+SUMIFS(SF_Output!$G$1:$G$400,SF_Output!$AC$1:$AC$400,_xlfn.TEXTJOIN(",",TRUE,B247:E247),SF_Output!$Q$1:$Q$400,"monthly"))*H247,AND(B247&lt;&gt;"",H247=SF_Output!$Y$2,SUMIFS(SF_Output!$T$1:$T$400,SF_Output!$AC$1:$AC$400,_xlfn.TEXTJOIN(",",TRUE,B247:E247),SF_Output!$Q$1:$Q$400,"monthly")&lt;&gt;0),SUMIFS(SF_Output!$S$1:$S$400,SF_Output!$AC$1:$AC$400,_xlfn.TEXTJOIN(",",TRUE,B247:E247),SF_Output!$Q$1:$Q$400,"monthly"),AND(B247&lt;&gt;"",H247&lt;&gt;SF_Output!$Y$2),SUMIFS(SF_Output!$S$1:$S$400,SF_Output!$AC$1:$AC$400,_xlfn.TEXTJOIN(",",TRUE,B247:E247),SF_Output!$Q$1:$Q$400,"monthly"))</f>
        <v/>
      </c>
      <c r="W247" s="112" t="str" cm="1">
        <f t="array" ref="W247">_xlfn.IFS(OR(B247=0,B247="",V247=0),"",AF247&lt;&gt;"exclusion",MAX($W$9,$W$7,(-(SUMIFS(SF_Output!$T$1:$T$400,SF_Output!$AC$1:$AC$400,_xlfn.TEXTJOIN(",",TRUE,$B247:$E247),SF_Output!$Q$1:$Q$400,"monthly"))/V247)),AF247="exclusion",-(SUMIFS(SF_Output!$T$1:$T$400,SF_Output!$AC$1:$AC$400,_xlfn.TEXTJOIN(",",TRUE,$B247:$E247),SF_Output!$Q$1:$Q$400,"monthly"))/V247)</f>
        <v/>
      </c>
      <c r="X247" s="6" t="str" cm="1">
        <f t="array" ref="X247">IFERROR(_xlfn.IFS(V247=0,0,V247="","",W247=0,V247,OR(V247&lt;&gt;0,V247&lt;&gt;""),H247*I247),V247*(1-W247))</f>
        <v/>
      </c>
      <c r="Z247" s="6" t="str">
        <f>IFERROR(IF(B247="","",SUMIFS(Billing_Fallout!H:H,Billing_Fallout!N:N,B247)),0)</f>
        <v/>
      </c>
      <c r="AA247" s="6" t="str">
        <f t="shared" si="58"/>
        <v/>
      </c>
      <c r="AB247" s="6" t="str">
        <f>IFERROR(IF(B247="","",SUMIFS(Billing_Fallout!J:J,Billing_Fallout!N:N,B247)),0)</f>
        <v/>
      </c>
      <c r="AD247" s="6" t="str">
        <f t="shared" si="59"/>
        <v/>
      </c>
      <c r="AF247" t="str">
        <f>IFERROR(INDEX(H_Tables!$B$1:$B$1500,MATCH(INDEX(SF_Output!$J$1:$J$400,MATCH(B247,SF_Output!$M$1:$M$400,0)),H_Tables!$A$1:$A$1500,0)),"")</f>
        <v/>
      </c>
      <c r="AI247" s="119" t="str">
        <f t="shared" si="60"/>
        <v/>
      </c>
      <c r="AJ247" s="121">
        <f>IFERROR(INDEX(SF_Output!AD:AD,MATCH(_xlfn.TEXTJOIN(",",TRUE,B247:E247),SF_Output!AC1:AC400,0)),0.05)</f>
        <v>241</v>
      </c>
      <c r="AK247" t="str">
        <f>IF(SUMIFS(SF_Output!$F$1:$F$400,SF_Output!$AC$1:$AC$400,_xlfn.TEXTJOIN(",",TRUE,B247:E247))+SUMIFS(SF_Output!$G$1:$G$400,SF_Output!$AC$1:$AC$400,_xlfn.TEXTJOIN(",",TRUE,B247:E247))=0,"","PAP")</f>
        <v/>
      </c>
      <c r="AL247" s="35" t="str">
        <f t="shared" si="61"/>
        <v/>
      </c>
      <c r="AQ247" s="35"/>
      <c r="AR247" s="35" t="str" cm="1">
        <f t="array" ref="AR247">IFERROR(_xlfn.IFS(AND(E247*1=1,F247="Included"),"Change to Included",AND(E247*1=0,F247="Optional"),"Change to Optional",OR(B247="",F247="replaced"),""),"")</f>
        <v/>
      </c>
      <c r="AS247" s="35" t="str">
        <f t="shared" si="62"/>
        <v/>
      </c>
      <c r="AT247" s="35" t="str">
        <f t="shared" si="63"/>
        <v/>
      </c>
      <c r="AU247" s="35" t="str">
        <f t="shared" si="64"/>
        <v/>
      </c>
      <c r="AV247" s="35" t="str">
        <f t="shared" si="65"/>
        <v/>
      </c>
      <c r="AW247" s="35" t="str">
        <f t="shared" si="66"/>
        <v/>
      </c>
      <c r="AX247" s="35" t="str">
        <f t="shared" si="67"/>
        <v/>
      </c>
      <c r="AY247" s="35" t="str">
        <f t="shared" si="68"/>
        <v/>
      </c>
      <c r="AZ247" s="35" t="str">
        <f t="shared" si="69"/>
        <v/>
      </c>
      <c r="BA247" s="35" t="str">
        <f t="shared" si="70"/>
        <v/>
      </c>
      <c r="BB247" s="35" t="str">
        <f t="shared" si="71"/>
        <v/>
      </c>
      <c r="BC247" s="35"/>
      <c r="BE247" s="35" t="e">
        <f>INDEX(SF_Output!$AA$2:$AA$400,MATCH($B247,SF_Output!$M$2:$M$400,0))</f>
        <v>#N/A</v>
      </c>
      <c r="BF247" s="35" t="e">
        <f>INDEX(SF_Output!$AB$2:$AB$400,MATCH($B247,SF_Output!$M$2:$M$400,0))</f>
        <v>#N/A</v>
      </c>
    </row>
    <row r="248" spans="6:58" x14ac:dyDescent="0.25">
      <c r="F248" s="116" t="str">
        <f t="shared" si="54"/>
        <v/>
      </c>
      <c r="G248" t="str">
        <f>IF(B248="","",INDEX(SF_Output!$K$1:$K$400,MATCH(B248,SF_Output!$M$1:$M$400,0)))</f>
        <v/>
      </c>
      <c r="H248" t="str" cm="1">
        <f t="array" ref="H248">_xlfn.IFS(B248="","",(SUMIFS(SF_Output!$F$1:$F$400,SF_Output!$AC$1:$AC$400,_xlfn.TEXTJOIN(",",TRUE,B248:E248))+SUMIFS(SF_Output!$G$1:$G$400,SF_Output!$AC$1:$AC$400,_xlfn.TEXTJOIN(",",TRUE,B248:E248)))&lt;&gt;0,SF_Output!$Y$2,INDEX(SF_Output!$F$1:$F$400,MATCH(_xlfn.TEXTJOIN(",",TRUE,B248:E248),SF_Output!$AC$1:$AC$400,0))=0,INDEX(SF_Output!$R$1:$R$400,MATCH(_xlfn.TEXTJOIN(",",TRUE,B248:E248),SF_Output!$AC$1:$AC$400,0)))</f>
        <v/>
      </c>
      <c r="I248" s="125" t="str">
        <f>IFERROR(IF(AND(H248&gt;1,H248&lt;&gt;""),ROUND(SUMIFS(SF_Output!$S$1:$S$400,SF_Output!$AC$1:$AC$400,_xlfn.TEXTJOIN(",",TRUE,B248:E248),SF_Output!$Q$1:$Q$400,"monthly")*(1-W248)/H248,4),""),"")</f>
        <v/>
      </c>
      <c r="J248" s="6" t="str">
        <f>IF(B248="","",SUMIFS(SF_Output!$S$1:$S$400,SF_Output!$AC$1:$AC$400,_xlfn.TEXTJOIN(",",TRUE,B248:E248),SF_Output!$Q$1:$Q$400,"One Time",SF_Output!$L$1:$L$400,"license fee")+SUMIFS(SF_Output!$S$1:$S$400,SF_Output!$AC$1:$AC$400,_xlfn.TEXTJOIN(",",TRUE,B248:E248),SF_Output!$Q$1:$Q$400,"One Time",SF_Output!$L$1:$L$400,"software license")+SUMIFS(SF_Output!$S$1:$S$400,SF_Output!$AC$1:$AC$400,_xlfn.TEXTJOIN(",",TRUE,B248:E248),SF_Output!$Q$1:$Q$400,"One Time",SF_Output!$L$1:$L$400,"hardware"))</f>
        <v/>
      </c>
      <c r="K248" s="112" t="str">
        <f>IF(OR(B248=0,B248="",G248="hardware",J248=0),"",IF(AF248&lt;&gt;"exclusion",MAX(K$9,-((SUMIFS(SF_Output!$T$1:$T$400,SF_Output!$AC$1:$AC$400,_xlfn.TEXTJOIN(",",TRUE,$B248:$E248),SF_Output!$Q$1:$Q$400,"One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license"))/J248)))</f>
        <v/>
      </c>
      <c r="L248" s="6" t="str">
        <f t="shared" si="55"/>
        <v/>
      </c>
      <c r="N248" s="6" t="str">
        <f>IF(B248="","",SUMIFS(SF_Output!$S$1:$S$400,SF_Output!$AC$1:$AC$400,_xlfn.TEXTJOIN(",",TRUE,B248:E248),SF_Output!$Q$1:$Q$400,"One Time",SF_Output!$L$1:$L$400,"professional service"))</f>
        <v/>
      </c>
      <c r="O248" s="112" t="str">
        <f>IF(OR(B248=0,B248="",N248=0),"",IF(AF248&lt;&gt;"exclusion",MAX(O$9,-(SUMIFS(SF_Output!$T$1:$T$400,SF_Output!$AC$1:$AC$400,_xlfn.TEXTJOIN(",",TRUE,$B248:$E248),SF_Output!$Q$1:$Q$400,"One Time",SF_Output!$L$1:$L$400,"professional service"))/N248),-((SUMIFS(SF_Output!$T$1:$T$400,SF_Output!$AC$1:$AC$400,_xlfn.TEXTJOIN(",",TRUE,$B248:$E248),SF_Output!$Q$1:$Q$400,"One Time",SF_Output!$L$1:$L$400,"professional service")/N248))))</f>
        <v/>
      </c>
      <c r="P248" s="6" t="str">
        <f t="shared" si="56"/>
        <v/>
      </c>
      <c r="R248" s="6" t="str">
        <f>IF(B248="","",SUMIFS(SF_Output!$S$1:$S$400,SF_Output!$AC$1:$AC$400,_xlfn.TEXTJOIN(",",TRUE,B248:E248),SF_Output!$Q$1:$Q$400,"yearly")+SUMIFS(SF_Output!$S$1:$S$400,SF_Output!$AC$1:$AC$400,_xlfn.TEXTJOIN(",",TRUE,B248:E248),SF_Output!$Q$1:$Q$400,"quarterly")*4)</f>
        <v/>
      </c>
      <c r="S248" s="112" t="str">
        <f>IF(OR(B248=0,B248="",G248="hardware",R248=0),"",IF(AF248&lt;&gt;"exclusion",MAX(S$9,-(SUMIFS(SF_Output!$T$1:$T$400,SF_Output!$AC$1:$AC$400,_xlfn.TEXTJOIN(",",TRUE,$B248:$E248),SF_Output!$Q$1:$Q$400,"yearly"))/R248),-((SUMIFS(SF_Output!$T$1:$T$400,SF_Output!$AC$1:$AC$400,_xlfn.TEXTJOIN(",",TRUE,$B248:$E248),SF_Output!$Q$1:$Q$400,"yearly")/R248))))</f>
        <v/>
      </c>
      <c r="T248" s="6" t="str">
        <f t="shared" si="57"/>
        <v/>
      </c>
      <c r="V248" s="6" t="str" cm="1">
        <f t="array" ref="V248">_xlfn.IFS(B248="","",AND(B248&lt;&gt;"",H248=SF_Output!$Y$2,SUMIFS(SF_Output!$T$1:$T$400,SF_Output!$AC$1:$AC$400,_xlfn.TEXTJOIN(",",TRUE,B248:E248),SF_Output!$Q$1:$Q$400,"monthly")=0),(SUMIFS(SF_Output!$F$1:$F$400,SF_Output!$AC$1:$AC$400,_xlfn.TEXTJOIN(",",TRUE,B248:E248),SF_Output!$Q$1:$Q$400,"monthly")+SUMIFS(SF_Output!$G$1:$G$400,SF_Output!$AC$1:$AC$400,_xlfn.TEXTJOIN(",",TRUE,B248:E248),SF_Output!$Q$1:$Q$400,"monthly"))*H248,AND(B248&lt;&gt;"",H248=SF_Output!$Y$2,SUMIFS(SF_Output!$T$1:$T$400,SF_Output!$AC$1:$AC$400,_xlfn.TEXTJOIN(",",TRUE,B248:E248),SF_Output!$Q$1:$Q$400,"monthly")&lt;&gt;0),SUMIFS(SF_Output!$S$1:$S$400,SF_Output!$AC$1:$AC$400,_xlfn.TEXTJOIN(",",TRUE,B248:E248),SF_Output!$Q$1:$Q$400,"monthly"),AND(B248&lt;&gt;"",H248&lt;&gt;SF_Output!$Y$2),SUMIFS(SF_Output!$S$1:$S$400,SF_Output!$AC$1:$AC$400,_xlfn.TEXTJOIN(",",TRUE,B248:E248),SF_Output!$Q$1:$Q$400,"monthly"))</f>
        <v/>
      </c>
      <c r="W248" s="112" t="str" cm="1">
        <f t="array" ref="W248">_xlfn.IFS(OR(B248=0,B248="",V248=0),"",AF248&lt;&gt;"exclusion",MAX($W$9,$W$7,(-(SUMIFS(SF_Output!$T$1:$T$400,SF_Output!$AC$1:$AC$400,_xlfn.TEXTJOIN(",",TRUE,$B248:$E248),SF_Output!$Q$1:$Q$400,"monthly"))/V248)),AF248="exclusion",-(SUMIFS(SF_Output!$T$1:$T$400,SF_Output!$AC$1:$AC$400,_xlfn.TEXTJOIN(",",TRUE,$B248:$E248),SF_Output!$Q$1:$Q$400,"monthly"))/V248)</f>
        <v/>
      </c>
      <c r="X248" s="6" t="str" cm="1">
        <f t="array" ref="X248">IFERROR(_xlfn.IFS(V248=0,0,V248="","",W248=0,V248,OR(V248&lt;&gt;0,V248&lt;&gt;""),H248*I248),V248*(1-W248))</f>
        <v/>
      </c>
      <c r="Z248" s="6" t="str">
        <f>IFERROR(IF(B248="","",SUMIFS(Billing_Fallout!H:H,Billing_Fallout!N:N,B248)),0)</f>
        <v/>
      </c>
      <c r="AA248" s="6" t="str">
        <f t="shared" si="58"/>
        <v/>
      </c>
      <c r="AB248" s="6" t="str">
        <f>IFERROR(IF(B248="","",SUMIFS(Billing_Fallout!J:J,Billing_Fallout!N:N,B248)),0)</f>
        <v/>
      </c>
      <c r="AD248" s="6" t="str">
        <f t="shared" si="59"/>
        <v/>
      </c>
      <c r="AF248" t="str">
        <f>IFERROR(INDEX(H_Tables!$B$1:$B$1500,MATCH(INDEX(SF_Output!$J$1:$J$400,MATCH(B248,SF_Output!$M$1:$M$400,0)),H_Tables!$A$1:$A$1500,0)),"")</f>
        <v/>
      </c>
      <c r="AI248" s="119" t="str">
        <f t="shared" si="60"/>
        <v/>
      </c>
      <c r="AJ248" s="121">
        <f>IFERROR(INDEX(SF_Output!AD:AD,MATCH(_xlfn.TEXTJOIN(",",TRUE,B248:E248),SF_Output!AC1:AC400,0)),0.05)</f>
        <v>241</v>
      </c>
      <c r="AK248" t="str">
        <f>IF(SUMIFS(SF_Output!$F$1:$F$400,SF_Output!$AC$1:$AC$400,_xlfn.TEXTJOIN(",",TRUE,B248:E248))+SUMIFS(SF_Output!$G$1:$G$400,SF_Output!$AC$1:$AC$400,_xlfn.TEXTJOIN(",",TRUE,B248:E248))=0,"","PAP")</f>
        <v/>
      </c>
      <c r="AL248" s="35" t="str">
        <f t="shared" si="61"/>
        <v/>
      </c>
      <c r="AQ248" s="35"/>
      <c r="AR248" s="35" t="str" cm="1">
        <f t="array" ref="AR248">IFERROR(_xlfn.IFS(AND(E248*1=1,F248="Included"),"Change to Included",AND(E248*1=0,F248="Optional"),"Change to Optional",OR(B248="",F248="replaced"),""),"")</f>
        <v/>
      </c>
      <c r="AS248" s="35" t="str">
        <f t="shared" si="62"/>
        <v/>
      </c>
      <c r="AT248" s="35" t="str">
        <f t="shared" si="63"/>
        <v/>
      </c>
      <c r="AU248" s="35" t="str">
        <f t="shared" si="64"/>
        <v/>
      </c>
      <c r="AV248" s="35" t="str">
        <f t="shared" si="65"/>
        <v/>
      </c>
      <c r="AW248" s="35" t="str">
        <f t="shared" si="66"/>
        <v/>
      </c>
      <c r="AX248" s="35" t="str">
        <f t="shared" si="67"/>
        <v/>
      </c>
      <c r="AY248" s="35" t="str">
        <f t="shared" si="68"/>
        <v/>
      </c>
      <c r="AZ248" s="35" t="str">
        <f t="shared" si="69"/>
        <v/>
      </c>
      <c r="BA248" s="35" t="str">
        <f t="shared" si="70"/>
        <v/>
      </c>
      <c r="BB248" s="35" t="str">
        <f t="shared" si="71"/>
        <v/>
      </c>
      <c r="BC248" s="35"/>
      <c r="BE248" s="35" t="e">
        <f>INDEX(SF_Output!$AA$2:$AA$400,MATCH($B248,SF_Output!$M$2:$M$400,0))</f>
        <v>#N/A</v>
      </c>
      <c r="BF248" s="35" t="e">
        <f>INDEX(SF_Output!$AB$2:$AB$400,MATCH($B248,SF_Output!$M$2:$M$400,0))</f>
        <v>#N/A</v>
      </c>
    </row>
    <row r="249" spans="6:58" x14ac:dyDescent="0.25">
      <c r="F249" s="116" t="str">
        <f t="shared" si="54"/>
        <v/>
      </c>
      <c r="G249" t="str">
        <f>IF(B249="","",INDEX(SF_Output!$K$1:$K$400,MATCH(B249,SF_Output!$M$1:$M$400,0)))</f>
        <v/>
      </c>
      <c r="H249" t="str" cm="1">
        <f t="array" ref="H249">_xlfn.IFS(B249="","",(SUMIFS(SF_Output!$F$1:$F$400,SF_Output!$AC$1:$AC$400,_xlfn.TEXTJOIN(",",TRUE,B249:E249))+SUMIFS(SF_Output!$G$1:$G$400,SF_Output!$AC$1:$AC$400,_xlfn.TEXTJOIN(",",TRUE,B249:E249)))&lt;&gt;0,SF_Output!$Y$2,INDEX(SF_Output!$F$1:$F$400,MATCH(_xlfn.TEXTJOIN(",",TRUE,B249:E249),SF_Output!$AC$1:$AC$400,0))=0,INDEX(SF_Output!$R$1:$R$400,MATCH(_xlfn.TEXTJOIN(",",TRUE,B249:E249),SF_Output!$AC$1:$AC$400,0)))</f>
        <v/>
      </c>
      <c r="I249" s="125" t="str">
        <f>IFERROR(IF(AND(H249&gt;1,H249&lt;&gt;""),ROUND(SUMIFS(SF_Output!$S$1:$S$400,SF_Output!$AC$1:$AC$400,_xlfn.TEXTJOIN(",",TRUE,B249:E249),SF_Output!$Q$1:$Q$400,"monthly")*(1-W249)/H249,4),""),"")</f>
        <v/>
      </c>
      <c r="J249" s="6" t="str">
        <f>IF(B249="","",SUMIFS(SF_Output!$S$1:$S$400,SF_Output!$AC$1:$AC$400,_xlfn.TEXTJOIN(",",TRUE,B249:E249),SF_Output!$Q$1:$Q$400,"One Time",SF_Output!$L$1:$L$400,"license fee")+SUMIFS(SF_Output!$S$1:$S$400,SF_Output!$AC$1:$AC$400,_xlfn.TEXTJOIN(",",TRUE,B249:E249),SF_Output!$Q$1:$Q$400,"One Time",SF_Output!$L$1:$L$400,"software license")+SUMIFS(SF_Output!$S$1:$S$400,SF_Output!$AC$1:$AC$400,_xlfn.TEXTJOIN(",",TRUE,B249:E249),SF_Output!$Q$1:$Q$400,"One Time",SF_Output!$L$1:$L$400,"hardware"))</f>
        <v/>
      </c>
      <c r="K249" s="112" t="str">
        <f>IF(OR(B249=0,B249="",G249="hardware",J249=0),"",IF(AF249&lt;&gt;"exclusion",MAX(K$9,-((SUMIFS(SF_Output!$T$1:$T$400,SF_Output!$AC$1:$AC$400,_xlfn.TEXTJOIN(",",TRUE,$B249:$E249),SF_Output!$Q$1:$Q$400,"One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license"))/J249)))</f>
        <v/>
      </c>
      <c r="L249" s="6" t="str">
        <f t="shared" si="55"/>
        <v/>
      </c>
      <c r="N249" s="6" t="str">
        <f>IF(B249="","",SUMIFS(SF_Output!$S$1:$S$400,SF_Output!$AC$1:$AC$400,_xlfn.TEXTJOIN(",",TRUE,B249:E249),SF_Output!$Q$1:$Q$400,"One Time",SF_Output!$L$1:$L$400,"professional service"))</f>
        <v/>
      </c>
      <c r="O249" s="112" t="str">
        <f>IF(OR(B249=0,B249="",N249=0),"",IF(AF249&lt;&gt;"exclusion",MAX(O$9,-(SUMIFS(SF_Output!$T$1:$T$400,SF_Output!$AC$1:$AC$400,_xlfn.TEXTJOIN(",",TRUE,$B249:$E249),SF_Output!$Q$1:$Q$400,"One Time",SF_Output!$L$1:$L$400,"professional service"))/N249),-((SUMIFS(SF_Output!$T$1:$T$400,SF_Output!$AC$1:$AC$400,_xlfn.TEXTJOIN(",",TRUE,$B249:$E249),SF_Output!$Q$1:$Q$400,"One Time",SF_Output!$L$1:$L$400,"professional service")/N249))))</f>
        <v/>
      </c>
      <c r="P249" s="6" t="str">
        <f t="shared" si="56"/>
        <v/>
      </c>
      <c r="R249" s="6" t="str">
        <f>IF(B249="","",SUMIFS(SF_Output!$S$1:$S$400,SF_Output!$AC$1:$AC$400,_xlfn.TEXTJOIN(",",TRUE,B249:E249),SF_Output!$Q$1:$Q$400,"yearly")+SUMIFS(SF_Output!$S$1:$S$400,SF_Output!$AC$1:$AC$400,_xlfn.TEXTJOIN(",",TRUE,B249:E249),SF_Output!$Q$1:$Q$400,"quarterly")*4)</f>
        <v/>
      </c>
      <c r="S249" s="112" t="str">
        <f>IF(OR(B249=0,B249="",G249="hardware",R249=0),"",IF(AF249&lt;&gt;"exclusion",MAX(S$9,-(SUMIFS(SF_Output!$T$1:$T$400,SF_Output!$AC$1:$AC$400,_xlfn.TEXTJOIN(",",TRUE,$B249:$E249),SF_Output!$Q$1:$Q$400,"yearly"))/R249),-((SUMIFS(SF_Output!$T$1:$T$400,SF_Output!$AC$1:$AC$400,_xlfn.TEXTJOIN(",",TRUE,$B249:$E249),SF_Output!$Q$1:$Q$400,"yearly")/R249))))</f>
        <v/>
      </c>
      <c r="T249" s="6" t="str">
        <f t="shared" si="57"/>
        <v/>
      </c>
      <c r="V249" s="6" t="str" cm="1">
        <f t="array" ref="V249">_xlfn.IFS(B249="","",AND(B249&lt;&gt;"",H249=SF_Output!$Y$2,SUMIFS(SF_Output!$T$1:$T$400,SF_Output!$AC$1:$AC$400,_xlfn.TEXTJOIN(",",TRUE,B249:E249),SF_Output!$Q$1:$Q$400,"monthly")=0),(SUMIFS(SF_Output!$F$1:$F$400,SF_Output!$AC$1:$AC$400,_xlfn.TEXTJOIN(",",TRUE,B249:E249),SF_Output!$Q$1:$Q$400,"monthly")+SUMIFS(SF_Output!$G$1:$G$400,SF_Output!$AC$1:$AC$400,_xlfn.TEXTJOIN(",",TRUE,B249:E249),SF_Output!$Q$1:$Q$400,"monthly"))*H249,AND(B249&lt;&gt;"",H249=SF_Output!$Y$2,SUMIFS(SF_Output!$T$1:$T$400,SF_Output!$AC$1:$AC$400,_xlfn.TEXTJOIN(",",TRUE,B249:E249),SF_Output!$Q$1:$Q$400,"monthly")&lt;&gt;0),SUMIFS(SF_Output!$S$1:$S$400,SF_Output!$AC$1:$AC$400,_xlfn.TEXTJOIN(",",TRUE,B249:E249),SF_Output!$Q$1:$Q$400,"monthly"),AND(B249&lt;&gt;"",H249&lt;&gt;SF_Output!$Y$2),SUMIFS(SF_Output!$S$1:$S$400,SF_Output!$AC$1:$AC$400,_xlfn.TEXTJOIN(",",TRUE,B249:E249),SF_Output!$Q$1:$Q$400,"monthly"))</f>
        <v/>
      </c>
      <c r="W249" s="112" t="str" cm="1">
        <f t="array" ref="W249">_xlfn.IFS(OR(B249=0,B249="",V249=0),"",AF249&lt;&gt;"exclusion",MAX($W$9,$W$7,(-(SUMIFS(SF_Output!$T$1:$T$400,SF_Output!$AC$1:$AC$400,_xlfn.TEXTJOIN(",",TRUE,$B249:$E249),SF_Output!$Q$1:$Q$400,"monthly"))/V249)),AF249="exclusion",-(SUMIFS(SF_Output!$T$1:$T$400,SF_Output!$AC$1:$AC$400,_xlfn.TEXTJOIN(",",TRUE,$B249:$E249),SF_Output!$Q$1:$Q$400,"monthly"))/V249)</f>
        <v/>
      </c>
      <c r="X249" s="6" t="str" cm="1">
        <f t="array" ref="X249">IFERROR(_xlfn.IFS(V249=0,0,V249="","",W249=0,V249,OR(V249&lt;&gt;0,V249&lt;&gt;""),H249*I249),V249*(1-W249))</f>
        <v/>
      </c>
      <c r="Z249" s="6" t="str">
        <f>IFERROR(IF(B249="","",SUMIFS(Billing_Fallout!H:H,Billing_Fallout!N:N,B249)),0)</f>
        <v/>
      </c>
      <c r="AA249" s="6" t="str">
        <f t="shared" si="58"/>
        <v/>
      </c>
      <c r="AB249" s="6" t="str">
        <f>IFERROR(IF(B249="","",SUMIFS(Billing_Fallout!J:J,Billing_Fallout!N:N,B249)),0)</f>
        <v/>
      </c>
      <c r="AD249" s="6" t="str">
        <f t="shared" si="59"/>
        <v/>
      </c>
      <c r="AF249" t="str">
        <f>IFERROR(INDEX(H_Tables!$B$1:$B$1500,MATCH(INDEX(SF_Output!$J$1:$J$400,MATCH(B249,SF_Output!$M$1:$M$400,0)),H_Tables!$A$1:$A$1500,0)),"")</f>
        <v/>
      </c>
      <c r="AI249" s="119" t="str">
        <f t="shared" si="60"/>
        <v/>
      </c>
      <c r="AJ249" s="121">
        <f>IFERROR(INDEX(SF_Output!AD:AD,MATCH(_xlfn.TEXTJOIN(",",TRUE,B249:E249),SF_Output!AC1:AC400,0)),0.05)</f>
        <v>241</v>
      </c>
      <c r="AK249" t="str">
        <f>IF(SUMIFS(SF_Output!$F$1:$F$400,SF_Output!$AC$1:$AC$400,_xlfn.TEXTJOIN(",",TRUE,B249:E249))+SUMIFS(SF_Output!$G$1:$G$400,SF_Output!$AC$1:$AC$400,_xlfn.TEXTJOIN(",",TRUE,B249:E249))=0,"","PAP")</f>
        <v/>
      </c>
      <c r="AL249" s="35" t="str">
        <f t="shared" si="61"/>
        <v/>
      </c>
      <c r="AQ249" s="35"/>
      <c r="AR249" s="35" t="str" cm="1">
        <f t="array" ref="AR249">IFERROR(_xlfn.IFS(AND(E249*1=1,F249="Included"),"Change to Included",AND(E249*1=0,F249="Optional"),"Change to Optional",OR(B249="",F249="replaced"),""),"")</f>
        <v/>
      </c>
      <c r="AS249" s="35" t="str">
        <f t="shared" si="62"/>
        <v/>
      </c>
      <c r="AT249" s="35" t="str">
        <f t="shared" si="63"/>
        <v/>
      </c>
      <c r="AU249" s="35" t="str">
        <f t="shared" si="64"/>
        <v/>
      </c>
      <c r="AV249" s="35" t="str">
        <f t="shared" si="65"/>
        <v/>
      </c>
      <c r="AW249" s="35" t="str">
        <f t="shared" si="66"/>
        <v/>
      </c>
      <c r="AX249" s="35" t="str">
        <f t="shared" si="67"/>
        <v/>
      </c>
      <c r="AY249" s="35" t="str">
        <f t="shared" si="68"/>
        <v/>
      </c>
      <c r="AZ249" s="35" t="str">
        <f t="shared" si="69"/>
        <v/>
      </c>
      <c r="BA249" s="35" t="str">
        <f t="shared" si="70"/>
        <v/>
      </c>
      <c r="BB249" s="35" t="str">
        <f t="shared" si="71"/>
        <v/>
      </c>
      <c r="BC249" s="35"/>
      <c r="BE249" s="35" t="e">
        <f>INDEX(SF_Output!$AA$2:$AA$400,MATCH($B249,SF_Output!$M$2:$M$400,0))</f>
        <v>#N/A</v>
      </c>
      <c r="BF249" s="35" t="e">
        <f>INDEX(SF_Output!$AB$2:$AB$400,MATCH($B249,SF_Output!$M$2:$M$400,0))</f>
        <v>#N/A</v>
      </c>
    </row>
    <row r="250" spans="6:58" x14ac:dyDescent="0.25">
      <c r="F250" s="116" t="str">
        <f t="shared" si="54"/>
        <v/>
      </c>
      <c r="G250" t="str">
        <f>IF(B250="","",INDEX(SF_Output!$K$1:$K$400,MATCH(B250,SF_Output!$M$1:$M$400,0)))</f>
        <v/>
      </c>
      <c r="H250" t="str" cm="1">
        <f t="array" ref="H250">_xlfn.IFS(B250="","",(SUMIFS(SF_Output!$F$1:$F$400,SF_Output!$AC$1:$AC$400,_xlfn.TEXTJOIN(",",TRUE,B250:E250))+SUMIFS(SF_Output!$G$1:$G$400,SF_Output!$AC$1:$AC$400,_xlfn.TEXTJOIN(",",TRUE,B250:E250)))&lt;&gt;0,SF_Output!$Y$2,INDEX(SF_Output!$F$1:$F$400,MATCH(_xlfn.TEXTJOIN(",",TRUE,B250:E250),SF_Output!$AC$1:$AC$400,0))=0,INDEX(SF_Output!$R$1:$R$400,MATCH(_xlfn.TEXTJOIN(",",TRUE,B250:E250),SF_Output!$AC$1:$AC$400,0)))</f>
        <v/>
      </c>
      <c r="I250" s="125" t="str">
        <f>IFERROR(IF(AND(H250&gt;1,H250&lt;&gt;""),ROUND(SUMIFS(SF_Output!$S$1:$S$400,SF_Output!$AC$1:$AC$400,_xlfn.TEXTJOIN(",",TRUE,B250:E250),SF_Output!$Q$1:$Q$400,"monthly")*(1-W250)/H250,4),""),"")</f>
        <v/>
      </c>
      <c r="J250" s="6" t="str">
        <f>IF(B250="","",SUMIFS(SF_Output!$S$1:$S$400,SF_Output!$AC$1:$AC$400,_xlfn.TEXTJOIN(",",TRUE,B250:E250),SF_Output!$Q$1:$Q$400,"One Time",SF_Output!$L$1:$L$400,"license fee")+SUMIFS(SF_Output!$S$1:$S$400,SF_Output!$AC$1:$AC$400,_xlfn.TEXTJOIN(",",TRUE,B250:E250),SF_Output!$Q$1:$Q$400,"One Time",SF_Output!$L$1:$L$400,"software license")+SUMIFS(SF_Output!$S$1:$S$400,SF_Output!$AC$1:$AC$400,_xlfn.TEXTJOIN(",",TRUE,B250:E250),SF_Output!$Q$1:$Q$400,"One Time",SF_Output!$L$1:$L$400,"hardware"))</f>
        <v/>
      </c>
      <c r="K250" s="112" t="str">
        <f>IF(OR(B250=0,B250="",G250="hardware",J250=0),"",IF(AF250&lt;&gt;"exclusion",MAX(K$9,-((SUMIFS(SF_Output!$T$1:$T$400,SF_Output!$AC$1:$AC$400,_xlfn.TEXTJOIN(",",TRUE,$B250:$E250),SF_Output!$Q$1:$Q$400,"One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license"))/J250)))</f>
        <v/>
      </c>
      <c r="L250" s="6" t="str">
        <f t="shared" si="55"/>
        <v/>
      </c>
      <c r="N250" s="6" t="str">
        <f>IF(B250="","",SUMIFS(SF_Output!$S$1:$S$400,SF_Output!$AC$1:$AC$400,_xlfn.TEXTJOIN(",",TRUE,B250:E250),SF_Output!$Q$1:$Q$400,"One Time",SF_Output!$L$1:$L$400,"professional service"))</f>
        <v/>
      </c>
      <c r="O250" s="112" t="str">
        <f>IF(OR(B250=0,B250="",N250=0),"",IF(AF250&lt;&gt;"exclusion",MAX(O$9,-(SUMIFS(SF_Output!$T$1:$T$400,SF_Output!$AC$1:$AC$400,_xlfn.TEXTJOIN(",",TRUE,$B250:$E250),SF_Output!$Q$1:$Q$400,"One Time",SF_Output!$L$1:$L$400,"professional service"))/N250),-((SUMIFS(SF_Output!$T$1:$T$400,SF_Output!$AC$1:$AC$400,_xlfn.TEXTJOIN(",",TRUE,$B250:$E250),SF_Output!$Q$1:$Q$400,"One Time",SF_Output!$L$1:$L$400,"professional service")/N250))))</f>
        <v/>
      </c>
      <c r="P250" s="6" t="str">
        <f t="shared" si="56"/>
        <v/>
      </c>
      <c r="R250" s="6" t="str">
        <f>IF(B250="","",SUMIFS(SF_Output!$S$1:$S$400,SF_Output!$AC$1:$AC$400,_xlfn.TEXTJOIN(",",TRUE,B250:E250),SF_Output!$Q$1:$Q$400,"yearly")+SUMIFS(SF_Output!$S$1:$S$400,SF_Output!$AC$1:$AC$400,_xlfn.TEXTJOIN(",",TRUE,B250:E250),SF_Output!$Q$1:$Q$400,"quarterly")*4)</f>
        <v/>
      </c>
      <c r="S250" s="112" t="str">
        <f>IF(OR(B250=0,B250="",G250="hardware",R250=0),"",IF(AF250&lt;&gt;"exclusion",MAX(S$9,-(SUMIFS(SF_Output!$T$1:$T$400,SF_Output!$AC$1:$AC$400,_xlfn.TEXTJOIN(",",TRUE,$B250:$E250),SF_Output!$Q$1:$Q$400,"yearly"))/R250),-((SUMIFS(SF_Output!$T$1:$T$400,SF_Output!$AC$1:$AC$400,_xlfn.TEXTJOIN(",",TRUE,$B250:$E250),SF_Output!$Q$1:$Q$400,"yearly")/R250))))</f>
        <v/>
      </c>
      <c r="T250" s="6" t="str">
        <f t="shared" si="57"/>
        <v/>
      </c>
      <c r="V250" s="6" t="str" cm="1">
        <f t="array" ref="V250">_xlfn.IFS(B250="","",AND(B250&lt;&gt;"",H250=SF_Output!$Y$2,SUMIFS(SF_Output!$T$1:$T$400,SF_Output!$AC$1:$AC$400,_xlfn.TEXTJOIN(",",TRUE,B250:E250),SF_Output!$Q$1:$Q$400,"monthly")=0),(SUMIFS(SF_Output!$F$1:$F$400,SF_Output!$AC$1:$AC$400,_xlfn.TEXTJOIN(",",TRUE,B250:E250),SF_Output!$Q$1:$Q$400,"monthly")+SUMIFS(SF_Output!$G$1:$G$400,SF_Output!$AC$1:$AC$400,_xlfn.TEXTJOIN(",",TRUE,B250:E250),SF_Output!$Q$1:$Q$400,"monthly"))*H250,AND(B250&lt;&gt;"",H250=SF_Output!$Y$2,SUMIFS(SF_Output!$T$1:$T$400,SF_Output!$AC$1:$AC$400,_xlfn.TEXTJOIN(",",TRUE,B250:E250),SF_Output!$Q$1:$Q$400,"monthly")&lt;&gt;0),SUMIFS(SF_Output!$S$1:$S$400,SF_Output!$AC$1:$AC$400,_xlfn.TEXTJOIN(",",TRUE,B250:E250),SF_Output!$Q$1:$Q$400,"monthly"),AND(B250&lt;&gt;"",H250&lt;&gt;SF_Output!$Y$2),SUMIFS(SF_Output!$S$1:$S$400,SF_Output!$AC$1:$AC$400,_xlfn.TEXTJOIN(",",TRUE,B250:E250),SF_Output!$Q$1:$Q$400,"monthly"))</f>
        <v/>
      </c>
      <c r="W250" s="112" t="str" cm="1">
        <f t="array" ref="W250">_xlfn.IFS(OR(B250=0,B250="",V250=0),"",AF250&lt;&gt;"exclusion",MAX($W$9,$W$7,(-(SUMIFS(SF_Output!$T$1:$T$400,SF_Output!$AC$1:$AC$400,_xlfn.TEXTJOIN(",",TRUE,$B250:$E250),SF_Output!$Q$1:$Q$400,"monthly"))/V250)),AF250="exclusion",-(SUMIFS(SF_Output!$T$1:$T$400,SF_Output!$AC$1:$AC$400,_xlfn.TEXTJOIN(",",TRUE,$B250:$E250),SF_Output!$Q$1:$Q$400,"monthly"))/V250)</f>
        <v/>
      </c>
      <c r="X250" s="6" t="str" cm="1">
        <f t="array" ref="X250">IFERROR(_xlfn.IFS(V250=0,0,V250="","",W250=0,V250,OR(V250&lt;&gt;0,V250&lt;&gt;""),H250*I250),V250*(1-W250))</f>
        <v/>
      </c>
      <c r="Z250" s="6" t="str">
        <f>IFERROR(IF(B250="","",SUMIFS(Billing_Fallout!H:H,Billing_Fallout!N:N,B250)),0)</f>
        <v/>
      </c>
      <c r="AA250" s="6" t="str">
        <f t="shared" si="58"/>
        <v/>
      </c>
      <c r="AB250" s="6" t="str">
        <f>IFERROR(IF(B250="","",SUMIFS(Billing_Fallout!J:J,Billing_Fallout!N:N,B250)),0)</f>
        <v/>
      </c>
      <c r="AD250" s="6" t="str">
        <f t="shared" si="59"/>
        <v/>
      </c>
      <c r="AF250" t="str">
        <f>IFERROR(INDEX(H_Tables!$B$1:$B$1500,MATCH(INDEX(SF_Output!$J$1:$J$400,MATCH(B250,SF_Output!$M$1:$M$400,0)),H_Tables!$A$1:$A$1500,0)),"")</f>
        <v/>
      </c>
      <c r="AI250" s="119" t="str">
        <f t="shared" si="60"/>
        <v/>
      </c>
      <c r="AJ250" s="121">
        <f>IFERROR(INDEX(SF_Output!AD:AD,MATCH(_xlfn.TEXTJOIN(",",TRUE,B250:E250),SF_Output!AC1:AC400,0)),0.05)</f>
        <v>241</v>
      </c>
      <c r="AK250" t="str">
        <f>IF(SUMIFS(SF_Output!$F$1:$F$400,SF_Output!$AC$1:$AC$400,_xlfn.TEXTJOIN(",",TRUE,B250:E250))+SUMIFS(SF_Output!$G$1:$G$400,SF_Output!$AC$1:$AC$400,_xlfn.TEXTJOIN(",",TRUE,B250:E250))=0,"","PAP")</f>
        <v/>
      </c>
      <c r="AL250" s="35" t="str">
        <f t="shared" si="61"/>
        <v/>
      </c>
      <c r="AQ250" s="35"/>
      <c r="AR250" s="35" t="str" cm="1">
        <f t="array" ref="AR250">IFERROR(_xlfn.IFS(AND(E250*1=1,F250="Included"),"Change to Included",AND(E250*1=0,F250="Optional"),"Change to Optional",OR(B250="",F250="replaced"),""),"")</f>
        <v/>
      </c>
      <c r="AS250" s="35" t="str">
        <f t="shared" si="62"/>
        <v/>
      </c>
      <c r="AT250" s="35" t="str">
        <f t="shared" si="63"/>
        <v/>
      </c>
      <c r="AU250" s="35" t="str">
        <f t="shared" si="64"/>
        <v/>
      </c>
      <c r="AV250" s="35" t="str">
        <f t="shared" si="65"/>
        <v/>
      </c>
      <c r="AW250" s="35" t="str">
        <f t="shared" si="66"/>
        <v/>
      </c>
      <c r="AX250" s="35" t="str">
        <f t="shared" si="67"/>
        <v/>
      </c>
      <c r="AY250" s="35" t="str">
        <f t="shared" si="68"/>
        <v/>
      </c>
      <c r="AZ250" s="35" t="str">
        <f t="shared" si="69"/>
        <v/>
      </c>
      <c r="BA250" s="35" t="str">
        <f t="shared" si="70"/>
        <v/>
      </c>
      <c r="BB250" s="35" t="str">
        <f t="shared" si="71"/>
        <v/>
      </c>
      <c r="BC250" s="35"/>
      <c r="BE250" s="35" t="e">
        <f>INDEX(SF_Output!$AA$2:$AA$400,MATCH($B250,SF_Output!$M$2:$M$400,0))</f>
        <v>#N/A</v>
      </c>
      <c r="BF250" s="35" t="e">
        <f>INDEX(SF_Output!$AB$2:$AB$400,MATCH($B250,SF_Output!$M$2:$M$400,0))</f>
        <v>#N/A</v>
      </c>
    </row>
    <row r="251" spans="6:58" x14ac:dyDescent="0.25">
      <c r="F251" s="116" t="str">
        <f t="shared" ref="F251:F300" si="72">IF(B251="","",IF(E251*1=0,"Included","Optional"))</f>
        <v/>
      </c>
      <c r="G251" t="str">
        <f>IF(B251="","",INDEX(SF_Output!$K$1:$K$400,MATCH(B251,SF_Output!$M$1:$M$400,0)))</f>
        <v/>
      </c>
      <c r="H251" t="str" cm="1">
        <f t="array" ref="H251">_xlfn.IFS(B251="","",(SUMIFS(SF_Output!$F$1:$F$400,SF_Output!$AC$1:$AC$400,_xlfn.TEXTJOIN(",",TRUE,B251:E251))+SUMIFS(SF_Output!$G$1:$G$400,SF_Output!$AC$1:$AC$400,_xlfn.TEXTJOIN(",",TRUE,B251:E251)))&lt;&gt;0,SF_Output!$Y$2,INDEX(SF_Output!$F$1:$F$400,MATCH(_xlfn.TEXTJOIN(",",TRUE,B251:E251),SF_Output!$AC$1:$AC$400,0))=0,INDEX(SF_Output!$R$1:$R$400,MATCH(_xlfn.TEXTJOIN(",",TRUE,B251:E251),SF_Output!$AC$1:$AC$400,0)))</f>
        <v/>
      </c>
      <c r="I251" s="125" t="str">
        <f>IFERROR(IF(AND(H251&gt;1,H251&lt;&gt;""),ROUND(SUMIFS(SF_Output!$S$1:$S$400,SF_Output!$AC$1:$AC$400,_xlfn.TEXTJOIN(",",TRUE,B251:E251),SF_Output!$Q$1:$Q$400,"monthly")*(1-W251)/H251,4),""),"")</f>
        <v/>
      </c>
      <c r="J251" s="6" t="str">
        <f>IF(B251="","",SUMIFS(SF_Output!$S$1:$S$400,SF_Output!$AC$1:$AC$400,_xlfn.TEXTJOIN(",",TRUE,B251:E251),SF_Output!$Q$1:$Q$400,"One Time",SF_Output!$L$1:$L$400,"license fee")+SUMIFS(SF_Output!$S$1:$S$400,SF_Output!$AC$1:$AC$400,_xlfn.TEXTJOIN(",",TRUE,B251:E251),SF_Output!$Q$1:$Q$400,"One Time",SF_Output!$L$1:$L$400,"software license")+SUMIFS(SF_Output!$S$1:$S$400,SF_Output!$AC$1:$AC$400,_xlfn.TEXTJOIN(",",TRUE,B251:E251),SF_Output!$Q$1:$Q$400,"One Time",SF_Output!$L$1:$L$400,"hardware"))</f>
        <v/>
      </c>
      <c r="K251" s="112" t="str">
        <f>IF(OR(B251=0,B251="",G251="hardware",J251=0),"",IF(AF251&lt;&gt;"exclusion",MAX(K$9,-((SUMIFS(SF_Output!$T$1:$T$400,SF_Output!$AC$1:$AC$400,_xlfn.TEXTJOIN(",",TRUE,$B251:$E251),SF_Output!$Q$1:$Q$400,"One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license"))/J251)))</f>
        <v/>
      </c>
      <c r="L251" s="6" t="str">
        <f t="shared" ref="L251:L300" si="73">IF(K251="",J251,J251*(1-K251))</f>
        <v/>
      </c>
      <c r="N251" s="6" t="str">
        <f>IF(B251="","",SUMIFS(SF_Output!$S$1:$S$400,SF_Output!$AC$1:$AC$400,_xlfn.TEXTJOIN(",",TRUE,B251:E251),SF_Output!$Q$1:$Q$400,"One Time",SF_Output!$L$1:$L$400,"professional service"))</f>
        <v/>
      </c>
      <c r="O251" s="112" t="str">
        <f>IF(OR(B251=0,B251="",N251=0),"",IF(AF251&lt;&gt;"exclusion",MAX(O$9,-(SUMIFS(SF_Output!$T$1:$T$400,SF_Output!$AC$1:$AC$400,_xlfn.TEXTJOIN(",",TRUE,$B251:$E251),SF_Output!$Q$1:$Q$400,"One Time",SF_Output!$L$1:$L$400,"professional service"))/N251),-((SUMIFS(SF_Output!$T$1:$T$400,SF_Output!$AC$1:$AC$400,_xlfn.TEXTJOIN(",",TRUE,$B251:$E251),SF_Output!$Q$1:$Q$400,"One Time",SF_Output!$L$1:$L$400,"professional service")/N251))))</f>
        <v/>
      </c>
      <c r="P251" s="6" t="str">
        <f t="shared" ref="P251:P300" si="74">IF(O251="",N251,N251*(1-O251))</f>
        <v/>
      </c>
      <c r="R251" s="6" t="str">
        <f>IF(B251="","",SUMIFS(SF_Output!$S$1:$S$400,SF_Output!$AC$1:$AC$400,_xlfn.TEXTJOIN(",",TRUE,B251:E251),SF_Output!$Q$1:$Q$400,"yearly")+SUMIFS(SF_Output!$S$1:$S$400,SF_Output!$AC$1:$AC$400,_xlfn.TEXTJOIN(",",TRUE,B251:E251),SF_Output!$Q$1:$Q$400,"quarterly")*4)</f>
        <v/>
      </c>
      <c r="S251" s="112" t="str">
        <f>IF(OR(B251=0,B251="",G251="hardware",R251=0),"",IF(AF251&lt;&gt;"exclusion",MAX(S$9,-(SUMIFS(SF_Output!$T$1:$T$400,SF_Output!$AC$1:$AC$400,_xlfn.TEXTJOIN(",",TRUE,$B251:$E251),SF_Output!$Q$1:$Q$400,"yearly"))/R251),-((SUMIFS(SF_Output!$T$1:$T$400,SF_Output!$AC$1:$AC$400,_xlfn.TEXTJOIN(",",TRUE,$B251:$E251),SF_Output!$Q$1:$Q$400,"yearly")/R251))))</f>
        <v/>
      </c>
      <c r="T251" s="6" t="str">
        <f t="shared" ref="T251:T300" si="75">IF(S251="",R251,R251*(1-S251))</f>
        <v/>
      </c>
      <c r="V251" s="6" t="str" cm="1">
        <f t="array" ref="V251">_xlfn.IFS(B251="","",AND(B251&lt;&gt;"",H251=SF_Output!$Y$2,SUMIFS(SF_Output!$T$1:$T$400,SF_Output!$AC$1:$AC$400,_xlfn.TEXTJOIN(",",TRUE,B251:E251),SF_Output!$Q$1:$Q$400,"monthly")=0),(SUMIFS(SF_Output!$F$1:$F$400,SF_Output!$AC$1:$AC$400,_xlfn.TEXTJOIN(",",TRUE,B251:E251),SF_Output!$Q$1:$Q$400,"monthly")+SUMIFS(SF_Output!$G$1:$G$400,SF_Output!$AC$1:$AC$400,_xlfn.TEXTJOIN(",",TRUE,B251:E251),SF_Output!$Q$1:$Q$400,"monthly"))*H251,AND(B251&lt;&gt;"",H251=SF_Output!$Y$2,SUMIFS(SF_Output!$T$1:$T$400,SF_Output!$AC$1:$AC$400,_xlfn.TEXTJOIN(",",TRUE,B251:E251),SF_Output!$Q$1:$Q$400,"monthly")&lt;&gt;0),SUMIFS(SF_Output!$S$1:$S$400,SF_Output!$AC$1:$AC$400,_xlfn.TEXTJOIN(",",TRUE,B251:E251),SF_Output!$Q$1:$Q$400,"monthly"),AND(B251&lt;&gt;"",H251&lt;&gt;SF_Output!$Y$2),SUMIFS(SF_Output!$S$1:$S$400,SF_Output!$AC$1:$AC$400,_xlfn.TEXTJOIN(",",TRUE,B251:E251),SF_Output!$Q$1:$Q$400,"monthly"))</f>
        <v/>
      </c>
      <c r="W251" s="112" t="str" cm="1">
        <f t="array" ref="W251">_xlfn.IFS(OR(B251=0,B251="",V251=0),"",AF251&lt;&gt;"exclusion",MAX($W$9,$W$7,(-(SUMIFS(SF_Output!$T$1:$T$400,SF_Output!$AC$1:$AC$400,_xlfn.TEXTJOIN(",",TRUE,$B251:$E251),SF_Output!$Q$1:$Q$400,"monthly"))/V251)),AF251="exclusion",-(SUMIFS(SF_Output!$T$1:$T$400,SF_Output!$AC$1:$AC$400,_xlfn.TEXTJOIN(",",TRUE,$B251:$E251),SF_Output!$Q$1:$Q$400,"monthly"))/V251)</f>
        <v/>
      </c>
      <c r="X251" s="6" t="str" cm="1">
        <f t="array" ref="X251">IFERROR(_xlfn.IFS(V251=0,0,V251="","",W251=0,V251,OR(V251&lt;&gt;0,V251&lt;&gt;""),H251*I251),V251*(1-W251))</f>
        <v/>
      </c>
      <c r="Z251" s="6" t="str">
        <f>IFERROR(IF(B251="","",SUMIFS(Billing_Fallout!H:H,Billing_Fallout!N:N,B251)),0)</f>
        <v/>
      </c>
      <c r="AA251" s="6" t="str">
        <f t="shared" ref="AA251:AA300" si="76">IF(Z251="","",AB251-Z251)</f>
        <v/>
      </c>
      <c r="AB251" s="6" t="str">
        <f>IFERROR(IF(B251="","",SUMIFS(Billing_Fallout!J:J,Billing_Fallout!N:N,B251)),0)</f>
        <v/>
      </c>
      <c r="AD251" s="6" t="str">
        <f t="shared" ref="AD251:AD300" si="77">IFERROR(X251-AB251,"")</f>
        <v/>
      </c>
      <c r="AF251" t="str">
        <f>IFERROR(INDEX(H_Tables!$B$1:$B$1500,MATCH(INDEX(SF_Output!$J$1:$J$400,MATCH(B251,SF_Output!$M$1:$M$400,0)),H_Tables!$A$1:$A$1500,0)),"")</f>
        <v/>
      </c>
      <c r="AI251" s="119" t="str">
        <f t="shared" ref="AI251:AI300" si="78">IF(B251="","",IF(F251="remove","Remove Product",IF(F251="add","Add Product",_xlfn.TEXTJOIN(", ",TRUE,AQ251,AR251,AS251,AT251,AU251,AV251,AW251,AX251,AY251,AZ251,BA251,BB251,BC251))))</f>
        <v/>
      </c>
      <c r="AJ251" s="121">
        <f>IFERROR(INDEX(SF_Output!AD:AD,MATCH(_xlfn.TEXTJOIN(",",TRUE,B251:E251),SF_Output!AC2:AC401,0)),0.05)</f>
        <v>240</v>
      </c>
      <c r="AK251" t="str">
        <f>IF(SUMIFS(SF_Output!$F$1:$F$400,SF_Output!$AC$1:$AC$400,_xlfn.TEXTJOIN(",",TRUE,B251:E251))+SUMIFS(SF_Output!$G$1:$G$400,SF_Output!$AC$1:$AC$400,_xlfn.TEXTJOIN(",",TRUE,B251:E251))=0,"","PAP")</f>
        <v/>
      </c>
      <c r="AL251" s="35" t="str">
        <f t="shared" ref="AL251:AL300" si="79">LEFT(_xlfn.TEXTJOIN(",",TRUE,B251:E251),80)</f>
        <v/>
      </c>
      <c r="AQ251" s="35"/>
      <c r="AR251" s="35" t="str" cm="1">
        <f t="array" ref="AR251">IFERROR(_xlfn.IFS(AND(E251*1=1,F251="Included"),"Change to Included",AND(E251*1=0,F251="Optional"),"Change to Optional",OR(B251="",F251="replaced"),""),"")</f>
        <v/>
      </c>
      <c r="AS251" s="35" t="str">
        <f t="shared" ref="AS251:AS300" si="80">IF((OR(NOT(_xlfn.ISFORMULA(J251)),NOT(_xlfn.ISFORMULA(L251)))),"Check License Price Override","")</f>
        <v/>
      </c>
      <c r="AT251" s="35" t="str">
        <f t="shared" ref="AT251:AT300" si="81">IF(OR(AND(K251=$K$9,K251&lt;&gt;0),NOT(_xlfn.ISFORMULA(K251))),"License Discount "&amp;K251*100&amp;"%","")</f>
        <v/>
      </c>
      <c r="AU251" s="35" t="str">
        <f t="shared" ref="AU251:AU300" si="82">IF((OR(NOT(_xlfn.ISFORMULA(N251)),NOT(_xlfn.ISFORMULA(P251)))),"Check Install Price Override","")</f>
        <v/>
      </c>
      <c r="AV251" s="35" t="str">
        <f t="shared" ref="AV251:AV300" si="83">IF(OR(AND(O251=$O$9,O251&lt;&gt;0),NOT(_xlfn.ISFORMULA(O251))),"Install Discount "&amp;O251*100&amp;"%","")</f>
        <v/>
      </c>
      <c r="AW251" s="35" t="str">
        <f t="shared" ref="AW251:AW300" si="84">IF((OR(NOT(_xlfn.ISFORMULA(R251)),NOT(_xlfn.ISFORMULA(T251)))),"Check Maintenance Price Override","")</f>
        <v/>
      </c>
      <c r="AX251" s="35" t="str">
        <f t="shared" ref="AX251:AX300" si="85">IF(OR(AND(S251=$S$9,S251&lt;&gt;0),NOT(_xlfn.ISFORMULA(S251))),"Maintenance Discount "&amp;S251*100&amp;"%","")</f>
        <v/>
      </c>
      <c r="AY251" s="35" t="str">
        <f t="shared" ref="AY251:AY300" si="86">IF((OR(NOT(_xlfn.ISFORMULA(V251)),NOT(_xlfn.ISFORMULA(X251)))),"Check Monthly Price Override","")</f>
        <v/>
      </c>
      <c r="AZ251" s="35" t="str">
        <f t="shared" ref="AZ251:AZ300" si="87">IF(OR((AND(W251=$W$9,W251&lt;&gt;0)),(AND(W251=$W$7,W251&lt;&gt;0)),(NOT(_xlfn.ISFORMULA(W251))),AND($W$7+0.2=W251,$W$7&lt;&gt;0)),"Monthly Discount "&amp;W251*100&amp;"%","")</f>
        <v/>
      </c>
      <c r="BA251" s="35" t="str">
        <f t="shared" ref="BA251:BA300" si="88">IF(NOT(_xlfn.ISFORMULA(H251)),"Check Quantity","")</f>
        <v/>
      </c>
      <c r="BB251" s="35" t="str">
        <f t="shared" ref="BB251:BB300" si="89">IF(NOT(_xlfn.ISFORMULA(I251)),"Check Unit Price Override","")</f>
        <v/>
      </c>
      <c r="BC251" s="35"/>
      <c r="BE251" s="35" t="e">
        <f>INDEX(SF_Output!$AA$2:$AA$400,MATCH($B251,SF_Output!$M$2:$M$400,0))</f>
        <v>#N/A</v>
      </c>
      <c r="BF251" s="35" t="e">
        <f>INDEX(SF_Output!$AB$2:$AB$400,MATCH($B251,SF_Output!$M$2:$M$400,0))</f>
        <v>#N/A</v>
      </c>
    </row>
    <row r="252" spans="6:58" x14ac:dyDescent="0.25">
      <c r="F252" s="116" t="str">
        <f t="shared" si="72"/>
        <v/>
      </c>
      <c r="G252" t="str">
        <f>IF(B252="","",INDEX(SF_Output!$K$1:$K$400,MATCH(B252,SF_Output!$M$1:$M$400,0)))</f>
        <v/>
      </c>
      <c r="H252" t="str" cm="1">
        <f t="array" ref="H252">_xlfn.IFS(B252="","",(SUMIFS(SF_Output!$F$1:$F$400,SF_Output!$AC$1:$AC$400,_xlfn.TEXTJOIN(",",TRUE,B252:E252))+SUMIFS(SF_Output!$G$1:$G$400,SF_Output!$AC$1:$AC$400,_xlfn.TEXTJOIN(",",TRUE,B252:E252)))&lt;&gt;0,SF_Output!$Y$2,INDEX(SF_Output!$F$1:$F$400,MATCH(_xlfn.TEXTJOIN(",",TRUE,B252:E252),SF_Output!$AC$1:$AC$400,0))=0,INDEX(SF_Output!$R$1:$R$400,MATCH(_xlfn.TEXTJOIN(",",TRUE,B252:E252),SF_Output!$AC$1:$AC$400,0)))</f>
        <v/>
      </c>
      <c r="I252" s="125" t="str">
        <f>IFERROR(IF(AND(H252&gt;1,H252&lt;&gt;""),ROUND(SUMIFS(SF_Output!$S$1:$S$400,SF_Output!$AC$1:$AC$400,_xlfn.TEXTJOIN(",",TRUE,B252:E252),SF_Output!$Q$1:$Q$400,"monthly")*(1-W252)/H252,4),""),"")</f>
        <v/>
      </c>
      <c r="J252" s="6" t="str">
        <f>IF(B252="","",SUMIFS(SF_Output!$S$1:$S$400,SF_Output!$AC$1:$AC$400,_xlfn.TEXTJOIN(",",TRUE,B252:E252),SF_Output!$Q$1:$Q$400,"One Time",SF_Output!$L$1:$L$400,"license fee")+SUMIFS(SF_Output!$S$1:$S$400,SF_Output!$AC$1:$AC$400,_xlfn.TEXTJOIN(",",TRUE,B252:E252),SF_Output!$Q$1:$Q$400,"One Time",SF_Output!$L$1:$L$400,"software license")+SUMIFS(SF_Output!$S$1:$S$400,SF_Output!$AC$1:$AC$400,_xlfn.TEXTJOIN(",",TRUE,B252:E252),SF_Output!$Q$1:$Q$400,"One Time",SF_Output!$L$1:$L$400,"hardware"))</f>
        <v/>
      </c>
      <c r="K252" s="112" t="str">
        <f>IF(OR(B252=0,B252="",G252="hardware",J252=0),"",IF(AF252&lt;&gt;"exclusion",MAX(K$9,-((SUMIFS(SF_Output!$T$1:$T$400,SF_Output!$AC$1:$AC$400,_xlfn.TEXTJOIN(",",TRUE,$B252:$E252),SF_Output!$Q$1:$Q$400,"One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license"))/J252)))</f>
        <v/>
      </c>
      <c r="L252" s="6" t="str">
        <f t="shared" si="73"/>
        <v/>
      </c>
      <c r="N252" s="6" t="str">
        <f>IF(B252="","",SUMIFS(SF_Output!$S$1:$S$400,SF_Output!$AC$1:$AC$400,_xlfn.TEXTJOIN(",",TRUE,B252:E252),SF_Output!$Q$1:$Q$400,"One Time",SF_Output!$L$1:$L$400,"professional service"))</f>
        <v/>
      </c>
      <c r="O252" s="112" t="str">
        <f>IF(OR(B252=0,B252="",N252=0),"",IF(AF252&lt;&gt;"exclusion",MAX(O$9,-(SUMIFS(SF_Output!$T$1:$T$400,SF_Output!$AC$1:$AC$400,_xlfn.TEXTJOIN(",",TRUE,$B252:$E252),SF_Output!$Q$1:$Q$400,"One Time",SF_Output!$L$1:$L$400,"professional service"))/N252),-((SUMIFS(SF_Output!$T$1:$T$400,SF_Output!$AC$1:$AC$400,_xlfn.TEXTJOIN(",",TRUE,$B252:$E252),SF_Output!$Q$1:$Q$400,"One Time",SF_Output!$L$1:$L$400,"professional service")/N252))))</f>
        <v/>
      </c>
      <c r="P252" s="6" t="str">
        <f t="shared" si="74"/>
        <v/>
      </c>
      <c r="R252" s="6" t="str">
        <f>IF(B252="","",SUMIFS(SF_Output!$S$1:$S$400,SF_Output!$AC$1:$AC$400,_xlfn.TEXTJOIN(",",TRUE,B252:E252),SF_Output!$Q$1:$Q$400,"yearly")+SUMIFS(SF_Output!$S$1:$S$400,SF_Output!$AC$1:$AC$400,_xlfn.TEXTJOIN(",",TRUE,B252:E252),SF_Output!$Q$1:$Q$400,"quarterly")*4)</f>
        <v/>
      </c>
      <c r="S252" s="112" t="str">
        <f>IF(OR(B252=0,B252="",G252="hardware",R252=0),"",IF(AF252&lt;&gt;"exclusion",MAX(S$9,-(SUMIFS(SF_Output!$T$1:$T$400,SF_Output!$AC$1:$AC$400,_xlfn.TEXTJOIN(",",TRUE,$B252:$E252),SF_Output!$Q$1:$Q$400,"yearly"))/R252),-((SUMIFS(SF_Output!$T$1:$T$400,SF_Output!$AC$1:$AC$400,_xlfn.TEXTJOIN(",",TRUE,$B252:$E252),SF_Output!$Q$1:$Q$400,"yearly")/R252))))</f>
        <v/>
      </c>
      <c r="T252" s="6" t="str">
        <f t="shared" si="75"/>
        <v/>
      </c>
      <c r="V252" s="6" t="str" cm="1">
        <f t="array" ref="V252">_xlfn.IFS(B252="","",AND(B252&lt;&gt;"",H252=SF_Output!$Y$2,SUMIFS(SF_Output!$T$1:$T$400,SF_Output!$AC$1:$AC$400,_xlfn.TEXTJOIN(",",TRUE,B252:E252),SF_Output!$Q$1:$Q$400,"monthly")=0),(SUMIFS(SF_Output!$F$1:$F$400,SF_Output!$AC$1:$AC$400,_xlfn.TEXTJOIN(",",TRUE,B252:E252),SF_Output!$Q$1:$Q$400,"monthly")+SUMIFS(SF_Output!$G$1:$G$400,SF_Output!$AC$1:$AC$400,_xlfn.TEXTJOIN(",",TRUE,B252:E252),SF_Output!$Q$1:$Q$400,"monthly"))*H252,AND(B252&lt;&gt;"",H252=SF_Output!$Y$2,SUMIFS(SF_Output!$T$1:$T$400,SF_Output!$AC$1:$AC$400,_xlfn.TEXTJOIN(",",TRUE,B252:E252),SF_Output!$Q$1:$Q$400,"monthly")&lt;&gt;0),SUMIFS(SF_Output!$S$1:$S$400,SF_Output!$AC$1:$AC$400,_xlfn.TEXTJOIN(",",TRUE,B252:E252),SF_Output!$Q$1:$Q$400,"monthly"),AND(B252&lt;&gt;"",H252&lt;&gt;SF_Output!$Y$2),SUMIFS(SF_Output!$S$1:$S$400,SF_Output!$AC$1:$AC$400,_xlfn.TEXTJOIN(",",TRUE,B252:E252),SF_Output!$Q$1:$Q$400,"monthly"))</f>
        <v/>
      </c>
      <c r="W252" s="112" t="str" cm="1">
        <f t="array" ref="W252">_xlfn.IFS(OR(B252=0,B252="",V252=0),"",AF252&lt;&gt;"exclusion",MAX($W$9,$W$7,(-(SUMIFS(SF_Output!$T$1:$T$400,SF_Output!$AC$1:$AC$400,_xlfn.TEXTJOIN(",",TRUE,$B252:$E252),SF_Output!$Q$1:$Q$400,"monthly"))/V252)),AF252="exclusion",-(SUMIFS(SF_Output!$T$1:$T$400,SF_Output!$AC$1:$AC$400,_xlfn.TEXTJOIN(",",TRUE,$B252:$E252),SF_Output!$Q$1:$Q$400,"monthly"))/V252)</f>
        <v/>
      </c>
      <c r="X252" s="6" t="str" cm="1">
        <f t="array" ref="X252">IFERROR(_xlfn.IFS(V252=0,0,V252="","",W252=0,V252,OR(V252&lt;&gt;0,V252&lt;&gt;""),H252*I252),V252*(1-W252))</f>
        <v/>
      </c>
      <c r="Z252" s="6" t="str">
        <f>IFERROR(IF(B252="","",SUMIFS(Billing_Fallout!H:H,Billing_Fallout!N:N,B252)),0)</f>
        <v/>
      </c>
      <c r="AA252" s="6" t="str">
        <f t="shared" si="76"/>
        <v/>
      </c>
      <c r="AB252" s="6" t="str">
        <f>IFERROR(IF(B252="","",SUMIFS(Billing_Fallout!J:J,Billing_Fallout!N:N,B252)),0)</f>
        <v/>
      </c>
      <c r="AD252" s="6" t="str">
        <f t="shared" si="77"/>
        <v/>
      </c>
      <c r="AF252" t="str">
        <f>IFERROR(INDEX(H_Tables!$B$1:$B$1500,MATCH(INDEX(SF_Output!$J$1:$J$400,MATCH(B252,SF_Output!$M$1:$M$400,0)),H_Tables!$A$1:$A$1500,0)),"")</f>
        <v/>
      </c>
      <c r="AI252" s="119" t="str">
        <f t="shared" si="78"/>
        <v/>
      </c>
      <c r="AJ252" s="121">
        <f>IFERROR(INDEX(SF_Output!AD:AD,MATCH(_xlfn.TEXTJOIN(",",TRUE,B252:E252),SF_Output!AC3:AC402,0)),0.05)</f>
        <v>239</v>
      </c>
      <c r="AK252" t="str">
        <f>IF(SUMIFS(SF_Output!$F$1:$F$400,SF_Output!$AC$1:$AC$400,_xlfn.TEXTJOIN(",",TRUE,B252:E252))+SUMIFS(SF_Output!$G$1:$G$400,SF_Output!$AC$1:$AC$400,_xlfn.TEXTJOIN(",",TRUE,B252:E252))=0,"","PAP")</f>
        <v/>
      </c>
      <c r="AL252" s="35" t="str">
        <f t="shared" si="79"/>
        <v/>
      </c>
      <c r="AQ252" s="35"/>
      <c r="AR252" s="35" t="str" cm="1">
        <f t="array" ref="AR252">IFERROR(_xlfn.IFS(AND(E252*1=1,F252="Included"),"Change to Included",AND(E252*1=0,F252="Optional"),"Change to Optional",OR(B252="",F252="replaced"),""),"")</f>
        <v/>
      </c>
      <c r="AS252" s="35" t="str">
        <f t="shared" si="80"/>
        <v/>
      </c>
      <c r="AT252" s="35" t="str">
        <f t="shared" si="81"/>
        <v/>
      </c>
      <c r="AU252" s="35" t="str">
        <f t="shared" si="82"/>
        <v/>
      </c>
      <c r="AV252" s="35" t="str">
        <f t="shared" si="83"/>
        <v/>
      </c>
      <c r="AW252" s="35" t="str">
        <f t="shared" si="84"/>
        <v/>
      </c>
      <c r="AX252" s="35" t="str">
        <f t="shared" si="85"/>
        <v/>
      </c>
      <c r="AY252" s="35" t="str">
        <f t="shared" si="86"/>
        <v/>
      </c>
      <c r="AZ252" s="35" t="str">
        <f t="shared" si="87"/>
        <v/>
      </c>
      <c r="BA252" s="35" t="str">
        <f t="shared" si="88"/>
        <v/>
      </c>
      <c r="BB252" s="35" t="str">
        <f t="shared" si="89"/>
        <v/>
      </c>
      <c r="BC252" s="35"/>
      <c r="BE252" s="35" t="e">
        <f>INDEX(SF_Output!$AA$2:$AA$400,MATCH($B252,SF_Output!$M$2:$M$400,0))</f>
        <v>#N/A</v>
      </c>
      <c r="BF252" s="35" t="e">
        <f>INDEX(SF_Output!$AB$2:$AB$400,MATCH($B252,SF_Output!$M$2:$M$400,0))</f>
        <v>#N/A</v>
      </c>
    </row>
    <row r="253" spans="6:58" x14ac:dyDescent="0.25">
      <c r="F253" s="116" t="str">
        <f t="shared" si="72"/>
        <v/>
      </c>
      <c r="G253" t="str">
        <f>IF(B253="","",INDEX(SF_Output!$K$1:$K$400,MATCH(B253,SF_Output!$M$1:$M$400,0)))</f>
        <v/>
      </c>
      <c r="H253" t="str" cm="1">
        <f t="array" ref="H253">_xlfn.IFS(B253="","",(SUMIFS(SF_Output!$F$1:$F$400,SF_Output!$AC$1:$AC$400,_xlfn.TEXTJOIN(",",TRUE,B253:E253))+SUMIFS(SF_Output!$G$1:$G$400,SF_Output!$AC$1:$AC$400,_xlfn.TEXTJOIN(",",TRUE,B253:E253)))&lt;&gt;0,SF_Output!$Y$2,INDEX(SF_Output!$F$1:$F$400,MATCH(_xlfn.TEXTJOIN(",",TRUE,B253:E253),SF_Output!$AC$1:$AC$400,0))=0,INDEX(SF_Output!$R$1:$R$400,MATCH(_xlfn.TEXTJOIN(",",TRUE,B253:E253),SF_Output!$AC$1:$AC$400,0)))</f>
        <v/>
      </c>
      <c r="I253" s="125" t="str">
        <f>IFERROR(IF(AND(H253&gt;1,H253&lt;&gt;""),ROUND(SUMIFS(SF_Output!$S$1:$S$400,SF_Output!$AC$1:$AC$400,_xlfn.TEXTJOIN(",",TRUE,B253:E253),SF_Output!$Q$1:$Q$400,"monthly")*(1-W253)/H253,4),""),"")</f>
        <v/>
      </c>
      <c r="J253" s="6" t="str">
        <f>IF(B253="","",SUMIFS(SF_Output!$S$1:$S$400,SF_Output!$AC$1:$AC$400,_xlfn.TEXTJOIN(",",TRUE,B253:E253),SF_Output!$Q$1:$Q$400,"One Time",SF_Output!$L$1:$L$400,"license fee")+SUMIFS(SF_Output!$S$1:$S$400,SF_Output!$AC$1:$AC$400,_xlfn.TEXTJOIN(",",TRUE,B253:E253),SF_Output!$Q$1:$Q$400,"One Time",SF_Output!$L$1:$L$400,"software license")+SUMIFS(SF_Output!$S$1:$S$400,SF_Output!$AC$1:$AC$400,_xlfn.TEXTJOIN(",",TRUE,B253:E253),SF_Output!$Q$1:$Q$400,"One Time",SF_Output!$L$1:$L$400,"hardware"))</f>
        <v/>
      </c>
      <c r="K253" s="112" t="str">
        <f>IF(OR(B253=0,B253="",G253="hardware",J253=0),"",IF(AF253&lt;&gt;"exclusion",MAX(K$9,-((SUMIFS(SF_Output!$T$1:$T$400,SF_Output!$AC$1:$AC$400,_xlfn.TEXTJOIN(",",TRUE,$B253:$E253),SF_Output!$Q$1:$Q$400,"One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license"))/J253)))</f>
        <v/>
      </c>
      <c r="L253" s="6" t="str">
        <f t="shared" si="73"/>
        <v/>
      </c>
      <c r="N253" s="6" t="str">
        <f>IF(B253="","",SUMIFS(SF_Output!$S$1:$S$400,SF_Output!$AC$1:$AC$400,_xlfn.TEXTJOIN(",",TRUE,B253:E253),SF_Output!$Q$1:$Q$400,"One Time",SF_Output!$L$1:$L$400,"professional service"))</f>
        <v/>
      </c>
      <c r="O253" s="112" t="str">
        <f>IF(OR(B253=0,B253="",N253=0),"",IF(AF253&lt;&gt;"exclusion",MAX(O$9,-(SUMIFS(SF_Output!$T$1:$T$400,SF_Output!$AC$1:$AC$400,_xlfn.TEXTJOIN(",",TRUE,$B253:$E253),SF_Output!$Q$1:$Q$400,"One Time",SF_Output!$L$1:$L$400,"professional service"))/N253),-((SUMIFS(SF_Output!$T$1:$T$400,SF_Output!$AC$1:$AC$400,_xlfn.TEXTJOIN(",",TRUE,$B253:$E253),SF_Output!$Q$1:$Q$400,"One Time",SF_Output!$L$1:$L$400,"professional service")/N253))))</f>
        <v/>
      </c>
      <c r="P253" s="6" t="str">
        <f t="shared" si="74"/>
        <v/>
      </c>
      <c r="R253" s="6" t="str">
        <f>IF(B253="","",SUMIFS(SF_Output!$S$1:$S$400,SF_Output!$AC$1:$AC$400,_xlfn.TEXTJOIN(",",TRUE,B253:E253),SF_Output!$Q$1:$Q$400,"yearly")+SUMIFS(SF_Output!$S$1:$S$400,SF_Output!$AC$1:$AC$400,_xlfn.TEXTJOIN(",",TRUE,B253:E253),SF_Output!$Q$1:$Q$400,"quarterly")*4)</f>
        <v/>
      </c>
      <c r="S253" s="112" t="str">
        <f>IF(OR(B253=0,B253="",G253="hardware",R253=0),"",IF(AF253&lt;&gt;"exclusion",MAX(S$9,-(SUMIFS(SF_Output!$T$1:$T$400,SF_Output!$AC$1:$AC$400,_xlfn.TEXTJOIN(",",TRUE,$B253:$E253),SF_Output!$Q$1:$Q$400,"yearly"))/R253),-((SUMIFS(SF_Output!$T$1:$T$400,SF_Output!$AC$1:$AC$400,_xlfn.TEXTJOIN(",",TRUE,$B253:$E253),SF_Output!$Q$1:$Q$400,"yearly")/R253))))</f>
        <v/>
      </c>
      <c r="T253" s="6" t="str">
        <f t="shared" si="75"/>
        <v/>
      </c>
      <c r="V253" s="6" t="str" cm="1">
        <f t="array" ref="V253">_xlfn.IFS(B253="","",AND(B253&lt;&gt;"",H253=SF_Output!$Y$2,SUMIFS(SF_Output!$T$1:$T$400,SF_Output!$AC$1:$AC$400,_xlfn.TEXTJOIN(",",TRUE,B253:E253),SF_Output!$Q$1:$Q$400,"monthly")=0),(SUMIFS(SF_Output!$F$1:$F$400,SF_Output!$AC$1:$AC$400,_xlfn.TEXTJOIN(",",TRUE,B253:E253),SF_Output!$Q$1:$Q$400,"monthly")+SUMIFS(SF_Output!$G$1:$G$400,SF_Output!$AC$1:$AC$400,_xlfn.TEXTJOIN(",",TRUE,B253:E253),SF_Output!$Q$1:$Q$400,"monthly"))*H253,AND(B253&lt;&gt;"",H253=SF_Output!$Y$2,SUMIFS(SF_Output!$T$1:$T$400,SF_Output!$AC$1:$AC$400,_xlfn.TEXTJOIN(",",TRUE,B253:E253),SF_Output!$Q$1:$Q$400,"monthly")&lt;&gt;0),SUMIFS(SF_Output!$S$1:$S$400,SF_Output!$AC$1:$AC$400,_xlfn.TEXTJOIN(",",TRUE,B253:E253),SF_Output!$Q$1:$Q$400,"monthly"),AND(B253&lt;&gt;"",H253&lt;&gt;SF_Output!$Y$2),SUMIFS(SF_Output!$S$1:$S$400,SF_Output!$AC$1:$AC$400,_xlfn.TEXTJOIN(",",TRUE,B253:E253),SF_Output!$Q$1:$Q$400,"monthly"))</f>
        <v/>
      </c>
      <c r="W253" s="112" t="str" cm="1">
        <f t="array" ref="W253">_xlfn.IFS(OR(B253=0,B253="",V253=0),"",AF253&lt;&gt;"exclusion",MAX($W$9,$W$7,(-(SUMIFS(SF_Output!$T$1:$T$400,SF_Output!$AC$1:$AC$400,_xlfn.TEXTJOIN(",",TRUE,$B253:$E253),SF_Output!$Q$1:$Q$400,"monthly"))/V253)),AF253="exclusion",-(SUMIFS(SF_Output!$T$1:$T$400,SF_Output!$AC$1:$AC$400,_xlfn.TEXTJOIN(",",TRUE,$B253:$E253),SF_Output!$Q$1:$Q$400,"monthly"))/V253)</f>
        <v/>
      </c>
      <c r="X253" s="6" t="str" cm="1">
        <f t="array" ref="X253">IFERROR(_xlfn.IFS(V253=0,0,V253="","",W253=0,V253,OR(V253&lt;&gt;0,V253&lt;&gt;""),H253*I253),V253*(1-W253))</f>
        <v/>
      </c>
      <c r="Z253" s="6" t="str">
        <f>IFERROR(IF(B253="","",SUMIFS(Billing_Fallout!H:H,Billing_Fallout!N:N,B253)),0)</f>
        <v/>
      </c>
      <c r="AA253" s="6" t="str">
        <f t="shared" si="76"/>
        <v/>
      </c>
      <c r="AB253" s="6" t="str">
        <f>IFERROR(IF(B253="","",SUMIFS(Billing_Fallout!J:J,Billing_Fallout!N:N,B253)),0)</f>
        <v/>
      </c>
      <c r="AD253" s="6" t="str">
        <f t="shared" si="77"/>
        <v/>
      </c>
      <c r="AF253" t="str">
        <f>IFERROR(INDEX(H_Tables!$B$1:$B$1500,MATCH(INDEX(SF_Output!$J$1:$J$400,MATCH(B253,SF_Output!$M$1:$M$400,0)),H_Tables!$A$1:$A$1500,0)),"")</f>
        <v/>
      </c>
      <c r="AI253" s="119" t="str">
        <f t="shared" si="78"/>
        <v/>
      </c>
      <c r="AJ253" s="121">
        <f>IFERROR(INDEX(SF_Output!AD:AD,MATCH(_xlfn.TEXTJOIN(",",TRUE,B253:E253),SF_Output!AC4:AC403,0)),0.05)</f>
        <v>238</v>
      </c>
      <c r="AK253" t="str">
        <f>IF(SUMIFS(SF_Output!$F$1:$F$400,SF_Output!$AC$1:$AC$400,_xlfn.TEXTJOIN(",",TRUE,B253:E253))+SUMIFS(SF_Output!$G$1:$G$400,SF_Output!$AC$1:$AC$400,_xlfn.TEXTJOIN(",",TRUE,B253:E253))=0,"","PAP")</f>
        <v/>
      </c>
      <c r="AL253" s="35" t="str">
        <f t="shared" si="79"/>
        <v/>
      </c>
      <c r="AQ253" s="35"/>
      <c r="AR253" s="35" t="str" cm="1">
        <f t="array" ref="AR253">IFERROR(_xlfn.IFS(AND(E253*1=1,F253="Included"),"Change to Included",AND(E253*1=0,F253="Optional"),"Change to Optional",OR(B253="",F253="replaced"),""),"")</f>
        <v/>
      </c>
      <c r="AS253" s="35" t="str">
        <f t="shared" si="80"/>
        <v/>
      </c>
      <c r="AT253" s="35" t="str">
        <f t="shared" si="81"/>
        <v/>
      </c>
      <c r="AU253" s="35" t="str">
        <f t="shared" si="82"/>
        <v/>
      </c>
      <c r="AV253" s="35" t="str">
        <f t="shared" si="83"/>
        <v/>
      </c>
      <c r="AW253" s="35" t="str">
        <f t="shared" si="84"/>
        <v/>
      </c>
      <c r="AX253" s="35" t="str">
        <f t="shared" si="85"/>
        <v/>
      </c>
      <c r="AY253" s="35" t="str">
        <f t="shared" si="86"/>
        <v/>
      </c>
      <c r="AZ253" s="35" t="str">
        <f t="shared" si="87"/>
        <v/>
      </c>
      <c r="BA253" s="35" t="str">
        <f t="shared" si="88"/>
        <v/>
      </c>
      <c r="BB253" s="35" t="str">
        <f t="shared" si="89"/>
        <v/>
      </c>
      <c r="BC253" s="35"/>
      <c r="BE253" s="35" t="e">
        <f>INDEX(SF_Output!$AA$2:$AA$400,MATCH($B253,SF_Output!$M$2:$M$400,0))</f>
        <v>#N/A</v>
      </c>
      <c r="BF253" s="35" t="e">
        <f>INDEX(SF_Output!$AB$2:$AB$400,MATCH($B253,SF_Output!$M$2:$M$400,0))</f>
        <v>#N/A</v>
      </c>
    </row>
    <row r="254" spans="6:58" x14ac:dyDescent="0.25">
      <c r="F254" s="116" t="str">
        <f t="shared" si="72"/>
        <v/>
      </c>
      <c r="G254" t="str">
        <f>IF(B254="","",INDEX(SF_Output!$K$1:$K$400,MATCH(B254,SF_Output!$M$1:$M$400,0)))</f>
        <v/>
      </c>
      <c r="H254" t="str" cm="1">
        <f t="array" ref="H254">_xlfn.IFS(B254="","",(SUMIFS(SF_Output!$F$1:$F$400,SF_Output!$AC$1:$AC$400,_xlfn.TEXTJOIN(",",TRUE,B254:E254))+SUMIFS(SF_Output!$G$1:$G$400,SF_Output!$AC$1:$AC$400,_xlfn.TEXTJOIN(",",TRUE,B254:E254)))&lt;&gt;0,SF_Output!$Y$2,INDEX(SF_Output!$F$1:$F$400,MATCH(_xlfn.TEXTJOIN(",",TRUE,B254:E254),SF_Output!$AC$1:$AC$400,0))=0,INDEX(SF_Output!$R$1:$R$400,MATCH(_xlfn.TEXTJOIN(",",TRUE,B254:E254),SF_Output!$AC$1:$AC$400,0)))</f>
        <v/>
      </c>
      <c r="I254" s="125" t="str">
        <f>IFERROR(IF(AND(H254&gt;1,H254&lt;&gt;""),ROUND(SUMIFS(SF_Output!$S$1:$S$400,SF_Output!$AC$1:$AC$400,_xlfn.TEXTJOIN(",",TRUE,B254:E254),SF_Output!$Q$1:$Q$400,"monthly")*(1-W254)/H254,4),""),"")</f>
        <v/>
      </c>
      <c r="J254" s="6" t="str">
        <f>IF(B254="","",SUMIFS(SF_Output!$S$1:$S$400,SF_Output!$AC$1:$AC$400,_xlfn.TEXTJOIN(",",TRUE,B254:E254),SF_Output!$Q$1:$Q$400,"One Time",SF_Output!$L$1:$L$400,"license fee")+SUMIFS(SF_Output!$S$1:$S$400,SF_Output!$AC$1:$AC$400,_xlfn.TEXTJOIN(",",TRUE,B254:E254),SF_Output!$Q$1:$Q$400,"One Time",SF_Output!$L$1:$L$400,"software license")+SUMIFS(SF_Output!$S$1:$S$400,SF_Output!$AC$1:$AC$400,_xlfn.TEXTJOIN(",",TRUE,B254:E254),SF_Output!$Q$1:$Q$400,"One Time",SF_Output!$L$1:$L$400,"hardware"))</f>
        <v/>
      </c>
      <c r="K254" s="112" t="str">
        <f>IF(OR(B254=0,B254="",G254="hardware",J254=0),"",IF(AF254&lt;&gt;"exclusion",MAX(K$9,-((SUMIFS(SF_Output!$T$1:$T$400,SF_Output!$AC$1:$AC$400,_xlfn.TEXTJOIN(",",TRUE,$B254:$E254),SF_Output!$Q$1:$Q$400,"One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license"))/J254)))</f>
        <v/>
      </c>
      <c r="L254" s="6" t="str">
        <f t="shared" si="73"/>
        <v/>
      </c>
      <c r="N254" s="6" t="str">
        <f>IF(B254="","",SUMIFS(SF_Output!$S$1:$S$400,SF_Output!$AC$1:$AC$400,_xlfn.TEXTJOIN(",",TRUE,B254:E254),SF_Output!$Q$1:$Q$400,"One Time",SF_Output!$L$1:$L$400,"professional service"))</f>
        <v/>
      </c>
      <c r="O254" s="112" t="str">
        <f>IF(OR(B254=0,B254="",N254=0),"",IF(AF254&lt;&gt;"exclusion",MAX(O$9,-(SUMIFS(SF_Output!$T$1:$T$400,SF_Output!$AC$1:$AC$400,_xlfn.TEXTJOIN(",",TRUE,$B254:$E254),SF_Output!$Q$1:$Q$400,"One Time",SF_Output!$L$1:$L$400,"professional service"))/N254),-((SUMIFS(SF_Output!$T$1:$T$400,SF_Output!$AC$1:$AC$400,_xlfn.TEXTJOIN(",",TRUE,$B254:$E254),SF_Output!$Q$1:$Q$400,"One Time",SF_Output!$L$1:$L$400,"professional service")/N254))))</f>
        <v/>
      </c>
      <c r="P254" s="6" t="str">
        <f t="shared" si="74"/>
        <v/>
      </c>
      <c r="R254" s="6" t="str">
        <f>IF(B254="","",SUMIFS(SF_Output!$S$1:$S$400,SF_Output!$AC$1:$AC$400,_xlfn.TEXTJOIN(",",TRUE,B254:E254),SF_Output!$Q$1:$Q$400,"yearly")+SUMIFS(SF_Output!$S$1:$S$400,SF_Output!$AC$1:$AC$400,_xlfn.TEXTJOIN(",",TRUE,B254:E254),SF_Output!$Q$1:$Q$400,"quarterly")*4)</f>
        <v/>
      </c>
      <c r="S254" s="112" t="str">
        <f>IF(OR(B254=0,B254="",G254="hardware",R254=0),"",IF(AF254&lt;&gt;"exclusion",MAX(S$9,-(SUMIFS(SF_Output!$T$1:$T$400,SF_Output!$AC$1:$AC$400,_xlfn.TEXTJOIN(",",TRUE,$B254:$E254),SF_Output!$Q$1:$Q$400,"yearly"))/R254),-((SUMIFS(SF_Output!$T$1:$T$400,SF_Output!$AC$1:$AC$400,_xlfn.TEXTJOIN(",",TRUE,$B254:$E254),SF_Output!$Q$1:$Q$400,"yearly")/R254))))</f>
        <v/>
      </c>
      <c r="T254" s="6" t="str">
        <f t="shared" si="75"/>
        <v/>
      </c>
      <c r="V254" s="6" t="str" cm="1">
        <f t="array" ref="V254">_xlfn.IFS(B254="","",AND(B254&lt;&gt;"",H254=SF_Output!$Y$2,SUMIFS(SF_Output!$T$1:$T$400,SF_Output!$AC$1:$AC$400,_xlfn.TEXTJOIN(",",TRUE,B254:E254),SF_Output!$Q$1:$Q$400,"monthly")=0),(SUMIFS(SF_Output!$F$1:$F$400,SF_Output!$AC$1:$AC$400,_xlfn.TEXTJOIN(",",TRUE,B254:E254),SF_Output!$Q$1:$Q$400,"monthly")+SUMIFS(SF_Output!$G$1:$G$400,SF_Output!$AC$1:$AC$400,_xlfn.TEXTJOIN(",",TRUE,B254:E254),SF_Output!$Q$1:$Q$400,"monthly"))*H254,AND(B254&lt;&gt;"",H254=SF_Output!$Y$2,SUMIFS(SF_Output!$T$1:$T$400,SF_Output!$AC$1:$AC$400,_xlfn.TEXTJOIN(",",TRUE,B254:E254),SF_Output!$Q$1:$Q$400,"monthly")&lt;&gt;0),SUMIFS(SF_Output!$S$1:$S$400,SF_Output!$AC$1:$AC$400,_xlfn.TEXTJOIN(",",TRUE,B254:E254),SF_Output!$Q$1:$Q$400,"monthly"),AND(B254&lt;&gt;"",H254&lt;&gt;SF_Output!$Y$2),SUMIFS(SF_Output!$S$1:$S$400,SF_Output!$AC$1:$AC$400,_xlfn.TEXTJOIN(",",TRUE,B254:E254),SF_Output!$Q$1:$Q$400,"monthly"))</f>
        <v/>
      </c>
      <c r="W254" s="112" t="str" cm="1">
        <f t="array" ref="W254">_xlfn.IFS(OR(B254=0,B254="",V254=0),"",AF254&lt;&gt;"exclusion",MAX($W$9,$W$7,(-(SUMIFS(SF_Output!$T$1:$T$400,SF_Output!$AC$1:$AC$400,_xlfn.TEXTJOIN(",",TRUE,$B254:$E254),SF_Output!$Q$1:$Q$400,"monthly"))/V254)),AF254="exclusion",-(SUMIFS(SF_Output!$T$1:$T$400,SF_Output!$AC$1:$AC$400,_xlfn.TEXTJOIN(",",TRUE,$B254:$E254),SF_Output!$Q$1:$Q$400,"monthly"))/V254)</f>
        <v/>
      </c>
      <c r="X254" s="6" t="str" cm="1">
        <f t="array" ref="X254">IFERROR(_xlfn.IFS(V254=0,0,V254="","",W254=0,V254,OR(V254&lt;&gt;0,V254&lt;&gt;""),H254*I254),V254*(1-W254))</f>
        <v/>
      </c>
      <c r="Z254" s="6" t="str">
        <f>IFERROR(IF(B254="","",SUMIFS(Billing_Fallout!H:H,Billing_Fallout!N:N,B254)),0)</f>
        <v/>
      </c>
      <c r="AA254" s="6" t="str">
        <f t="shared" si="76"/>
        <v/>
      </c>
      <c r="AB254" s="6" t="str">
        <f>IFERROR(IF(B254="","",SUMIFS(Billing_Fallout!J:J,Billing_Fallout!N:N,B254)),0)</f>
        <v/>
      </c>
      <c r="AD254" s="6" t="str">
        <f t="shared" si="77"/>
        <v/>
      </c>
      <c r="AF254" t="str">
        <f>IFERROR(INDEX(H_Tables!$B$1:$B$1500,MATCH(INDEX(SF_Output!$J$1:$J$400,MATCH(B254,SF_Output!$M$1:$M$400,0)),H_Tables!$A$1:$A$1500,0)),"")</f>
        <v/>
      </c>
      <c r="AI254" s="119" t="str">
        <f t="shared" si="78"/>
        <v/>
      </c>
      <c r="AJ254" s="121">
        <f>IFERROR(INDEX(SF_Output!AD:AD,MATCH(_xlfn.TEXTJOIN(",",TRUE,B254:E254),SF_Output!AC5:AC404,0)),0.05)</f>
        <v>237</v>
      </c>
      <c r="AK254" t="str">
        <f>IF(SUMIFS(SF_Output!$F$1:$F$400,SF_Output!$AC$1:$AC$400,_xlfn.TEXTJOIN(",",TRUE,B254:E254))+SUMIFS(SF_Output!$G$1:$G$400,SF_Output!$AC$1:$AC$400,_xlfn.TEXTJOIN(",",TRUE,B254:E254))=0,"","PAP")</f>
        <v/>
      </c>
      <c r="AL254" s="35" t="str">
        <f t="shared" si="79"/>
        <v/>
      </c>
      <c r="AQ254" s="35"/>
      <c r="AR254" s="35" t="str" cm="1">
        <f t="array" ref="AR254">IFERROR(_xlfn.IFS(AND(E254*1=1,F254="Included"),"Change to Included",AND(E254*1=0,F254="Optional"),"Change to Optional",OR(B254="",F254="replaced"),""),"")</f>
        <v/>
      </c>
      <c r="AS254" s="35" t="str">
        <f t="shared" si="80"/>
        <v/>
      </c>
      <c r="AT254" s="35" t="str">
        <f t="shared" si="81"/>
        <v/>
      </c>
      <c r="AU254" s="35" t="str">
        <f t="shared" si="82"/>
        <v/>
      </c>
      <c r="AV254" s="35" t="str">
        <f t="shared" si="83"/>
        <v/>
      </c>
      <c r="AW254" s="35" t="str">
        <f t="shared" si="84"/>
        <v/>
      </c>
      <c r="AX254" s="35" t="str">
        <f t="shared" si="85"/>
        <v/>
      </c>
      <c r="AY254" s="35" t="str">
        <f t="shared" si="86"/>
        <v/>
      </c>
      <c r="AZ254" s="35" t="str">
        <f t="shared" si="87"/>
        <v/>
      </c>
      <c r="BA254" s="35" t="str">
        <f t="shared" si="88"/>
        <v/>
      </c>
      <c r="BB254" s="35" t="str">
        <f t="shared" si="89"/>
        <v/>
      </c>
      <c r="BC254" s="35"/>
      <c r="BE254" s="35" t="e">
        <f>INDEX(SF_Output!$AA$2:$AA$400,MATCH($B254,SF_Output!$M$2:$M$400,0))</f>
        <v>#N/A</v>
      </c>
      <c r="BF254" s="35" t="e">
        <f>INDEX(SF_Output!$AB$2:$AB$400,MATCH($B254,SF_Output!$M$2:$M$400,0))</f>
        <v>#N/A</v>
      </c>
    </row>
    <row r="255" spans="6:58" x14ac:dyDescent="0.25">
      <c r="F255" s="116" t="str">
        <f t="shared" si="72"/>
        <v/>
      </c>
      <c r="G255" t="str">
        <f>IF(B255="","",INDEX(SF_Output!$K$1:$K$400,MATCH(B255,SF_Output!$M$1:$M$400,0)))</f>
        <v/>
      </c>
      <c r="H255" t="str" cm="1">
        <f t="array" ref="H255">_xlfn.IFS(B255="","",(SUMIFS(SF_Output!$F$1:$F$400,SF_Output!$AC$1:$AC$400,_xlfn.TEXTJOIN(",",TRUE,B255:E255))+SUMIFS(SF_Output!$G$1:$G$400,SF_Output!$AC$1:$AC$400,_xlfn.TEXTJOIN(",",TRUE,B255:E255)))&lt;&gt;0,SF_Output!$Y$2,INDEX(SF_Output!$F$1:$F$400,MATCH(_xlfn.TEXTJOIN(",",TRUE,B255:E255),SF_Output!$AC$1:$AC$400,0))=0,INDEX(SF_Output!$R$1:$R$400,MATCH(_xlfn.TEXTJOIN(",",TRUE,B255:E255),SF_Output!$AC$1:$AC$400,0)))</f>
        <v/>
      </c>
      <c r="I255" s="125" t="str">
        <f>IFERROR(IF(AND(H255&gt;1,H255&lt;&gt;""),ROUND(SUMIFS(SF_Output!$S$1:$S$400,SF_Output!$AC$1:$AC$400,_xlfn.TEXTJOIN(",",TRUE,B255:E255),SF_Output!$Q$1:$Q$400,"monthly")*(1-W255)/H255,4),""),"")</f>
        <v/>
      </c>
      <c r="J255" s="6" t="str">
        <f>IF(B255="","",SUMIFS(SF_Output!$S$1:$S$400,SF_Output!$AC$1:$AC$400,_xlfn.TEXTJOIN(",",TRUE,B255:E255),SF_Output!$Q$1:$Q$400,"One Time",SF_Output!$L$1:$L$400,"license fee")+SUMIFS(SF_Output!$S$1:$S$400,SF_Output!$AC$1:$AC$400,_xlfn.TEXTJOIN(",",TRUE,B255:E255),SF_Output!$Q$1:$Q$400,"One Time",SF_Output!$L$1:$L$400,"software license")+SUMIFS(SF_Output!$S$1:$S$400,SF_Output!$AC$1:$AC$400,_xlfn.TEXTJOIN(",",TRUE,B255:E255),SF_Output!$Q$1:$Q$400,"One Time",SF_Output!$L$1:$L$400,"hardware"))</f>
        <v/>
      </c>
      <c r="K255" s="112" t="str">
        <f>IF(OR(B255=0,B255="",G255="hardware",J255=0),"",IF(AF255&lt;&gt;"exclusion",MAX(K$9,-((SUMIFS(SF_Output!$T$1:$T$400,SF_Output!$AC$1:$AC$400,_xlfn.TEXTJOIN(",",TRUE,$B255:$E255),SF_Output!$Q$1:$Q$400,"One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license"))/J255)))</f>
        <v/>
      </c>
      <c r="L255" s="6" t="str">
        <f t="shared" si="73"/>
        <v/>
      </c>
      <c r="N255" s="6" t="str">
        <f>IF(B255="","",SUMIFS(SF_Output!$S$1:$S$400,SF_Output!$AC$1:$AC$400,_xlfn.TEXTJOIN(",",TRUE,B255:E255),SF_Output!$Q$1:$Q$400,"One Time",SF_Output!$L$1:$L$400,"professional service"))</f>
        <v/>
      </c>
      <c r="O255" s="112" t="str">
        <f>IF(OR(B255=0,B255="",N255=0),"",IF(AF255&lt;&gt;"exclusion",MAX(O$9,-(SUMIFS(SF_Output!$T$1:$T$400,SF_Output!$AC$1:$AC$400,_xlfn.TEXTJOIN(",",TRUE,$B255:$E255),SF_Output!$Q$1:$Q$400,"One Time",SF_Output!$L$1:$L$400,"professional service"))/N255),-((SUMIFS(SF_Output!$T$1:$T$400,SF_Output!$AC$1:$AC$400,_xlfn.TEXTJOIN(",",TRUE,$B255:$E255),SF_Output!$Q$1:$Q$400,"One Time",SF_Output!$L$1:$L$400,"professional service")/N255))))</f>
        <v/>
      </c>
      <c r="P255" s="6" t="str">
        <f t="shared" si="74"/>
        <v/>
      </c>
      <c r="R255" s="6" t="str">
        <f>IF(B255="","",SUMIFS(SF_Output!$S$1:$S$400,SF_Output!$AC$1:$AC$400,_xlfn.TEXTJOIN(",",TRUE,B255:E255),SF_Output!$Q$1:$Q$400,"yearly")+SUMIFS(SF_Output!$S$1:$S$400,SF_Output!$AC$1:$AC$400,_xlfn.TEXTJOIN(",",TRUE,B255:E255),SF_Output!$Q$1:$Q$400,"quarterly")*4)</f>
        <v/>
      </c>
      <c r="S255" s="112" t="str">
        <f>IF(OR(B255=0,B255="",G255="hardware",R255=0),"",IF(AF255&lt;&gt;"exclusion",MAX(S$9,-(SUMIFS(SF_Output!$T$1:$T$400,SF_Output!$AC$1:$AC$400,_xlfn.TEXTJOIN(",",TRUE,$B255:$E255),SF_Output!$Q$1:$Q$400,"yearly"))/R255),-((SUMIFS(SF_Output!$T$1:$T$400,SF_Output!$AC$1:$AC$400,_xlfn.TEXTJOIN(",",TRUE,$B255:$E255),SF_Output!$Q$1:$Q$400,"yearly")/R255))))</f>
        <v/>
      </c>
      <c r="T255" s="6" t="str">
        <f t="shared" si="75"/>
        <v/>
      </c>
      <c r="V255" s="6" t="str" cm="1">
        <f t="array" ref="V255">_xlfn.IFS(B255="","",AND(B255&lt;&gt;"",H255=SF_Output!$Y$2,SUMIFS(SF_Output!$T$1:$T$400,SF_Output!$AC$1:$AC$400,_xlfn.TEXTJOIN(",",TRUE,B255:E255),SF_Output!$Q$1:$Q$400,"monthly")=0),(SUMIFS(SF_Output!$F$1:$F$400,SF_Output!$AC$1:$AC$400,_xlfn.TEXTJOIN(",",TRUE,B255:E255),SF_Output!$Q$1:$Q$400,"monthly")+SUMIFS(SF_Output!$G$1:$G$400,SF_Output!$AC$1:$AC$400,_xlfn.TEXTJOIN(",",TRUE,B255:E255),SF_Output!$Q$1:$Q$400,"monthly"))*H255,AND(B255&lt;&gt;"",H255=SF_Output!$Y$2,SUMIFS(SF_Output!$T$1:$T$400,SF_Output!$AC$1:$AC$400,_xlfn.TEXTJOIN(",",TRUE,B255:E255),SF_Output!$Q$1:$Q$400,"monthly")&lt;&gt;0),SUMIFS(SF_Output!$S$1:$S$400,SF_Output!$AC$1:$AC$400,_xlfn.TEXTJOIN(",",TRUE,B255:E255),SF_Output!$Q$1:$Q$400,"monthly"),AND(B255&lt;&gt;"",H255&lt;&gt;SF_Output!$Y$2),SUMIFS(SF_Output!$S$1:$S$400,SF_Output!$AC$1:$AC$400,_xlfn.TEXTJOIN(",",TRUE,B255:E255),SF_Output!$Q$1:$Q$400,"monthly"))</f>
        <v/>
      </c>
      <c r="W255" s="112" t="str" cm="1">
        <f t="array" ref="W255">_xlfn.IFS(OR(B255=0,B255="",V255=0),"",AF255&lt;&gt;"exclusion",MAX($W$9,$W$7,(-(SUMIFS(SF_Output!$T$1:$T$400,SF_Output!$AC$1:$AC$400,_xlfn.TEXTJOIN(",",TRUE,$B255:$E255),SF_Output!$Q$1:$Q$400,"monthly"))/V255)),AF255="exclusion",-(SUMIFS(SF_Output!$T$1:$T$400,SF_Output!$AC$1:$AC$400,_xlfn.TEXTJOIN(",",TRUE,$B255:$E255),SF_Output!$Q$1:$Q$400,"monthly"))/V255)</f>
        <v/>
      </c>
      <c r="X255" s="6" t="str" cm="1">
        <f t="array" ref="X255">IFERROR(_xlfn.IFS(V255=0,0,V255="","",W255=0,V255,OR(V255&lt;&gt;0,V255&lt;&gt;""),H255*I255),V255*(1-W255))</f>
        <v/>
      </c>
      <c r="Z255" s="6" t="str">
        <f>IFERROR(IF(B255="","",SUMIFS(Billing_Fallout!H:H,Billing_Fallout!N:N,B255)),0)</f>
        <v/>
      </c>
      <c r="AA255" s="6" t="str">
        <f t="shared" si="76"/>
        <v/>
      </c>
      <c r="AB255" s="6" t="str">
        <f>IFERROR(IF(B255="","",SUMIFS(Billing_Fallout!J:J,Billing_Fallout!N:N,B255)),0)</f>
        <v/>
      </c>
      <c r="AD255" s="6" t="str">
        <f t="shared" si="77"/>
        <v/>
      </c>
      <c r="AF255" t="str">
        <f>IFERROR(INDEX(H_Tables!$B$1:$B$1500,MATCH(INDEX(SF_Output!$J$1:$J$400,MATCH(B255,SF_Output!$M$1:$M$400,0)),H_Tables!$A$1:$A$1500,0)),"")</f>
        <v/>
      </c>
      <c r="AI255" s="119" t="str">
        <f t="shared" si="78"/>
        <v/>
      </c>
      <c r="AJ255" s="121">
        <f>IFERROR(INDEX(SF_Output!AD:AD,MATCH(_xlfn.TEXTJOIN(",",TRUE,B255:E255),SF_Output!AC6:AC405,0)),0.05)</f>
        <v>236</v>
      </c>
      <c r="AK255" t="str">
        <f>IF(SUMIFS(SF_Output!$F$1:$F$400,SF_Output!$AC$1:$AC$400,_xlfn.TEXTJOIN(",",TRUE,B255:E255))+SUMIFS(SF_Output!$G$1:$G$400,SF_Output!$AC$1:$AC$400,_xlfn.TEXTJOIN(",",TRUE,B255:E255))=0,"","PAP")</f>
        <v/>
      </c>
      <c r="AL255" s="35" t="str">
        <f t="shared" si="79"/>
        <v/>
      </c>
      <c r="AQ255" s="35"/>
      <c r="AR255" s="35" t="str" cm="1">
        <f t="array" ref="AR255">IFERROR(_xlfn.IFS(AND(E255*1=1,F255="Included"),"Change to Included",AND(E255*1=0,F255="Optional"),"Change to Optional",OR(B255="",F255="replaced"),""),"")</f>
        <v/>
      </c>
      <c r="AS255" s="35" t="str">
        <f t="shared" si="80"/>
        <v/>
      </c>
      <c r="AT255" s="35" t="str">
        <f t="shared" si="81"/>
        <v/>
      </c>
      <c r="AU255" s="35" t="str">
        <f t="shared" si="82"/>
        <v/>
      </c>
      <c r="AV255" s="35" t="str">
        <f t="shared" si="83"/>
        <v/>
      </c>
      <c r="AW255" s="35" t="str">
        <f t="shared" si="84"/>
        <v/>
      </c>
      <c r="AX255" s="35" t="str">
        <f t="shared" si="85"/>
        <v/>
      </c>
      <c r="AY255" s="35" t="str">
        <f t="shared" si="86"/>
        <v/>
      </c>
      <c r="AZ255" s="35" t="str">
        <f t="shared" si="87"/>
        <v/>
      </c>
      <c r="BA255" s="35" t="str">
        <f t="shared" si="88"/>
        <v/>
      </c>
      <c r="BB255" s="35" t="str">
        <f t="shared" si="89"/>
        <v/>
      </c>
      <c r="BC255" s="35"/>
      <c r="BE255" s="35" t="e">
        <f>INDEX(SF_Output!$AA$2:$AA$400,MATCH($B255,SF_Output!$M$2:$M$400,0))</f>
        <v>#N/A</v>
      </c>
      <c r="BF255" s="35" t="e">
        <f>INDEX(SF_Output!$AB$2:$AB$400,MATCH($B255,SF_Output!$M$2:$M$400,0))</f>
        <v>#N/A</v>
      </c>
    </row>
    <row r="256" spans="6:58" x14ac:dyDescent="0.25">
      <c r="F256" s="116" t="str">
        <f t="shared" si="72"/>
        <v/>
      </c>
      <c r="G256" t="str">
        <f>IF(B256="","",INDEX(SF_Output!$K$1:$K$400,MATCH(B256,SF_Output!$M$1:$M$400,0)))</f>
        <v/>
      </c>
      <c r="H256" t="str" cm="1">
        <f t="array" ref="H256">_xlfn.IFS(B256="","",(SUMIFS(SF_Output!$F$1:$F$400,SF_Output!$AC$1:$AC$400,_xlfn.TEXTJOIN(",",TRUE,B256:E256))+SUMIFS(SF_Output!$G$1:$G$400,SF_Output!$AC$1:$AC$400,_xlfn.TEXTJOIN(",",TRUE,B256:E256)))&lt;&gt;0,SF_Output!$Y$2,INDEX(SF_Output!$F$1:$F$400,MATCH(_xlfn.TEXTJOIN(",",TRUE,B256:E256),SF_Output!$AC$1:$AC$400,0))=0,INDEX(SF_Output!$R$1:$R$400,MATCH(_xlfn.TEXTJOIN(",",TRUE,B256:E256),SF_Output!$AC$1:$AC$400,0)))</f>
        <v/>
      </c>
      <c r="I256" s="125" t="str">
        <f>IFERROR(IF(AND(H256&gt;1,H256&lt;&gt;""),ROUND(SUMIFS(SF_Output!$S$1:$S$400,SF_Output!$AC$1:$AC$400,_xlfn.TEXTJOIN(",",TRUE,B256:E256),SF_Output!$Q$1:$Q$400,"monthly")*(1-W256)/H256,4),""),"")</f>
        <v/>
      </c>
      <c r="J256" s="6" t="str">
        <f>IF(B256="","",SUMIFS(SF_Output!$S$1:$S$400,SF_Output!$AC$1:$AC$400,_xlfn.TEXTJOIN(",",TRUE,B256:E256),SF_Output!$Q$1:$Q$400,"One Time",SF_Output!$L$1:$L$400,"license fee")+SUMIFS(SF_Output!$S$1:$S$400,SF_Output!$AC$1:$AC$400,_xlfn.TEXTJOIN(",",TRUE,B256:E256),SF_Output!$Q$1:$Q$400,"One Time",SF_Output!$L$1:$L$400,"software license")+SUMIFS(SF_Output!$S$1:$S$400,SF_Output!$AC$1:$AC$400,_xlfn.TEXTJOIN(",",TRUE,B256:E256),SF_Output!$Q$1:$Q$400,"One Time",SF_Output!$L$1:$L$400,"hardware"))</f>
        <v/>
      </c>
      <c r="K256" s="112" t="str">
        <f>IF(OR(B256=0,B256="",G256="hardware",J256=0),"",IF(AF256&lt;&gt;"exclusion",MAX(K$9,-((SUMIFS(SF_Output!$T$1:$T$400,SF_Output!$AC$1:$AC$400,_xlfn.TEXTJOIN(",",TRUE,$B256:$E256),SF_Output!$Q$1:$Q$400,"One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license"))/J256)))</f>
        <v/>
      </c>
      <c r="L256" s="6" t="str">
        <f t="shared" si="73"/>
        <v/>
      </c>
      <c r="N256" s="6" t="str">
        <f>IF(B256="","",SUMIFS(SF_Output!$S$1:$S$400,SF_Output!$AC$1:$AC$400,_xlfn.TEXTJOIN(",",TRUE,B256:E256),SF_Output!$Q$1:$Q$400,"One Time",SF_Output!$L$1:$L$400,"professional service"))</f>
        <v/>
      </c>
      <c r="O256" s="112" t="str">
        <f>IF(OR(B256=0,B256="",N256=0),"",IF(AF256&lt;&gt;"exclusion",MAX(O$9,-(SUMIFS(SF_Output!$T$1:$T$400,SF_Output!$AC$1:$AC$400,_xlfn.TEXTJOIN(",",TRUE,$B256:$E256),SF_Output!$Q$1:$Q$400,"One Time",SF_Output!$L$1:$L$400,"professional service"))/N256),-((SUMIFS(SF_Output!$T$1:$T$400,SF_Output!$AC$1:$AC$400,_xlfn.TEXTJOIN(",",TRUE,$B256:$E256),SF_Output!$Q$1:$Q$400,"One Time",SF_Output!$L$1:$L$400,"professional service")/N256))))</f>
        <v/>
      </c>
      <c r="P256" s="6" t="str">
        <f t="shared" si="74"/>
        <v/>
      </c>
      <c r="R256" s="6" t="str">
        <f>IF(B256="","",SUMIFS(SF_Output!$S$1:$S$400,SF_Output!$AC$1:$AC$400,_xlfn.TEXTJOIN(",",TRUE,B256:E256),SF_Output!$Q$1:$Q$400,"yearly")+SUMIFS(SF_Output!$S$1:$S$400,SF_Output!$AC$1:$AC$400,_xlfn.TEXTJOIN(",",TRUE,B256:E256),SF_Output!$Q$1:$Q$400,"quarterly")*4)</f>
        <v/>
      </c>
      <c r="S256" s="112" t="str">
        <f>IF(OR(B256=0,B256="",G256="hardware",R256=0),"",IF(AF256&lt;&gt;"exclusion",MAX(S$9,-(SUMIFS(SF_Output!$T$1:$T$400,SF_Output!$AC$1:$AC$400,_xlfn.TEXTJOIN(",",TRUE,$B256:$E256),SF_Output!$Q$1:$Q$400,"yearly"))/R256),-((SUMIFS(SF_Output!$T$1:$T$400,SF_Output!$AC$1:$AC$400,_xlfn.TEXTJOIN(",",TRUE,$B256:$E256),SF_Output!$Q$1:$Q$400,"yearly")/R256))))</f>
        <v/>
      </c>
      <c r="T256" s="6" t="str">
        <f t="shared" si="75"/>
        <v/>
      </c>
      <c r="V256" s="6" t="str" cm="1">
        <f t="array" ref="V256">_xlfn.IFS(B256="","",AND(B256&lt;&gt;"",H256=SF_Output!$Y$2,SUMIFS(SF_Output!$T$1:$T$400,SF_Output!$AC$1:$AC$400,_xlfn.TEXTJOIN(",",TRUE,B256:E256),SF_Output!$Q$1:$Q$400,"monthly")=0),(SUMIFS(SF_Output!$F$1:$F$400,SF_Output!$AC$1:$AC$400,_xlfn.TEXTJOIN(",",TRUE,B256:E256),SF_Output!$Q$1:$Q$400,"monthly")+SUMIFS(SF_Output!$G$1:$G$400,SF_Output!$AC$1:$AC$400,_xlfn.TEXTJOIN(",",TRUE,B256:E256),SF_Output!$Q$1:$Q$400,"monthly"))*H256,AND(B256&lt;&gt;"",H256=SF_Output!$Y$2,SUMIFS(SF_Output!$T$1:$T$400,SF_Output!$AC$1:$AC$400,_xlfn.TEXTJOIN(",",TRUE,B256:E256),SF_Output!$Q$1:$Q$400,"monthly")&lt;&gt;0),SUMIFS(SF_Output!$S$1:$S$400,SF_Output!$AC$1:$AC$400,_xlfn.TEXTJOIN(",",TRUE,B256:E256),SF_Output!$Q$1:$Q$400,"monthly"),AND(B256&lt;&gt;"",H256&lt;&gt;SF_Output!$Y$2),SUMIFS(SF_Output!$S$1:$S$400,SF_Output!$AC$1:$AC$400,_xlfn.TEXTJOIN(",",TRUE,B256:E256),SF_Output!$Q$1:$Q$400,"monthly"))</f>
        <v/>
      </c>
      <c r="W256" s="112" t="str" cm="1">
        <f t="array" ref="W256">_xlfn.IFS(OR(B256=0,B256="",V256=0),"",AF256&lt;&gt;"exclusion",MAX($W$9,$W$7,(-(SUMIFS(SF_Output!$T$1:$T$400,SF_Output!$AC$1:$AC$400,_xlfn.TEXTJOIN(",",TRUE,$B256:$E256),SF_Output!$Q$1:$Q$400,"monthly"))/V256)),AF256="exclusion",-(SUMIFS(SF_Output!$T$1:$T$400,SF_Output!$AC$1:$AC$400,_xlfn.TEXTJOIN(",",TRUE,$B256:$E256),SF_Output!$Q$1:$Q$400,"monthly"))/V256)</f>
        <v/>
      </c>
      <c r="X256" s="6" t="str" cm="1">
        <f t="array" ref="X256">IFERROR(_xlfn.IFS(V256=0,0,V256="","",W256=0,V256,OR(V256&lt;&gt;0,V256&lt;&gt;""),H256*I256),V256*(1-W256))</f>
        <v/>
      </c>
      <c r="Z256" s="6" t="str">
        <f>IFERROR(IF(B256="","",SUMIFS(Billing_Fallout!H:H,Billing_Fallout!N:N,B256)),0)</f>
        <v/>
      </c>
      <c r="AA256" s="6" t="str">
        <f t="shared" si="76"/>
        <v/>
      </c>
      <c r="AB256" s="6" t="str">
        <f>IFERROR(IF(B256="","",SUMIFS(Billing_Fallout!J:J,Billing_Fallout!N:N,B256)),0)</f>
        <v/>
      </c>
      <c r="AD256" s="6" t="str">
        <f t="shared" si="77"/>
        <v/>
      </c>
      <c r="AF256" t="str">
        <f>IFERROR(INDEX(H_Tables!$B$1:$B$1500,MATCH(INDEX(SF_Output!$J$1:$J$400,MATCH(B256,SF_Output!$M$1:$M$400,0)),H_Tables!$A$1:$A$1500,0)),"")</f>
        <v/>
      </c>
      <c r="AI256" s="119" t="str">
        <f t="shared" si="78"/>
        <v/>
      </c>
      <c r="AJ256" s="121">
        <f>IFERROR(INDEX(SF_Output!AD:AD,MATCH(_xlfn.TEXTJOIN(",",TRUE,B256:E256),SF_Output!AC7:AC406,0)),0.05)</f>
        <v>235</v>
      </c>
      <c r="AK256" t="str">
        <f>IF(SUMIFS(SF_Output!$F$1:$F$400,SF_Output!$AC$1:$AC$400,_xlfn.TEXTJOIN(",",TRUE,B256:E256))+SUMIFS(SF_Output!$G$1:$G$400,SF_Output!$AC$1:$AC$400,_xlfn.TEXTJOIN(",",TRUE,B256:E256))=0,"","PAP")</f>
        <v/>
      </c>
      <c r="AL256" s="35" t="str">
        <f t="shared" si="79"/>
        <v/>
      </c>
      <c r="AQ256" s="35"/>
      <c r="AR256" s="35" t="str" cm="1">
        <f t="array" ref="AR256">IFERROR(_xlfn.IFS(AND(E256*1=1,F256="Included"),"Change to Included",AND(E256*1=0,F256="Optional"),"Change to Optional",OR(B256="",F256="replaced"),""),"")</f>
        <v/>
      </c>
      <c r="AS256" s="35" t="str">
        <f t="shared" si="80"/>
        <v/>
      </c>
      <c r="AT256" s="35" t="str">
        <f t="shared" si="81"/>
        <v/>
      </c>
      <c r="AU256" s="35" t="str">
        <f t="shared" si="82"/>
        <v/>
      </c>
      <c r="AV256" s="35" t="str">
        <f t="shared" si="83"/>
        <v/>
      </c>
      <c r="AW256" s="35" t="str">
        <f t="shared" si="84"/>
        <v/>
      </c>
      <c r="AX256" s="35" t="str">
        <f t="shared" si="85"/>
        <v/>
      </c>
      <c r="AY256" s="35" t="str">
        <f t="shared" si="86"/>
        <v/>
      </c>
      <c r="AZ256" s="35" t="str">
        <f t="shared" si="87"/>
        <v/>
      </c>
      <c r="BA256" s="35" t="str">
        <f t="shared" si="88"/>
        <v/>
      </c>
      <c r="BB256" s="35" t="str">
        <f t="shared" si="89"/>
        <v/>
      </c>
      <c r="BC256" s="35"/>
      <c r="BE256" s="35" t="e">
        <f>INDEX(SF_Output!$AA$2:$AA$400,MATCH($B256,SF_Output!$M$2:$M$400,0))</f>
        <v>#N/A</v>
      </c>
      <c r="BF256" s="35" t="e">
        <f>INDEX(SF_Output!$AB$2:$AB$400,MATCH($B256,SF_Output!$M$2:$M$400,0))</f>
        <v>#N/A</v>
      </c>
    </row>
    <row r="257" spans="6:58" x14ac:dyDescent="0.25">
      <c r="F257" s="116" t="str">
        <f t="shared" si="72"/>
        <v/>
      </c>
      <c r="G257" t="str">
        <f>IF(B257="","",INDEX(SF_Output!$K$1:$K$400,MATCH(B257,SF_Output!$M$1:$M$400,0)))</f>
        <v/>
      </c>
      <c r="H257" t="str" cm="1">
        <f t="array" ref="H257">_xlfn.IFS(B257="","",(SUMIFS(SF_Output!$F$1:$F$400,SF_Output!$AC$1:$AC$400,_xlfn.TEXTJOIN(",",TRUE,B257:E257))+SUMIFS(SF_Output!$G$1:$G$400,SF_Output!$AC$1:$AC$400,_xlfn.TEXTJOIN(",",TRUE,B257:E257)))&lt;&gt;0,SF_Output!$Y$2,INDEX(SF_Output!$F$1:$F$400,MATCH(_xlfn.TEXTJOIN(",",TRUE,B257:E257),SF_Output!$AC$1:$AC$400,0))=0,INDEX(SF_Output!$R$1:$R$400,MATCH(_xlfn.TEXTJOIN(",",TRUE,B257:E257),SF_Output!$AC$1:$AC$400,0)))</f>
        <v/>
      </c>
      <c r="I257" s="125" t="str">
        <f>IFERROR(IF(AND(H257&gt;1,H257&lt;&gt;""),ROUND(SUMIFS(SF_Output!$S$1:$S$400,SF_Output!$AC$1:$AC$400,_xlfn.TEXTJOIN(",",TRUE,B257:E257),SF_Output!$Q$1:$Q$400,"monthly")*(1-W257)/H257,4),""),"")</f>
        <v/>
      </c>
      <c r="J257" s="6" t="str">
        <f>IF(B257="","",SUMIFS(SF_Output!$S$1:$S$400,SF_Output!$AC$1:$AC$400,_xlfn.TEXTJOIN(",",TRUE,B257:E257),SF_Output!$Q$1:$Q$400,"One Time",SF_Output!$L$1:$L$400,"license fee")+SUMIFS(SF_Output!$S$1:$S$400,SF_Output!$AC$1:$AC$400,_xlfn.TEXTJOIN(",",TRUE,B257:E257),SF_Output!$Q$1:$Q$400,"One Time",SF_Output!$L$1:$L$400,"software license")+SUMIFS(SF_Output!$S$1:$S$400,SF_Output!$AC$1:$AC$400,_xlfn.TEXTJOIN(",",TRUE,B257:E257),SF_Output!$Q$1:$Q$400,"One Time",SF_Output!$L$1:$L$400,"hardware"))</f>
        <v/>
      </c>
      <c r="K257" s="112" t="str">
        <f>IF(OR(B257=0,B257="",G257="hardware",J257=0),"",IF(AF257&lt;&gt;"exclusion",MAX(K$9,-((SUMIFS(SF_Output!$T$1:$T$400,SF_Output!$AC$1:$AC$400,_xlfn.TEXTJOIN(",",TRUE,$B257:$E257),SF_Output!$Q$1:$Q$400,"One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license"))/J257)))</f>
        <v/>
      </c>
      <c r="L257" s="6" t="str">
        <f t="shared" si="73"/>
        <v/>
      </c>
      <c r="N257" s="6" t="str">
        <f>IF(B257="","",SUMIFS(SF_Output!$S$1:$S$400,SF_Output!$AC$1:$AC$400,_xlfn.TEXTJOIN(",",TRUE,B257:E257),SF_Output!$Q$1:$Q$400,"One Time",SF_Output!$L$1:$L$400,"professional service"))</f>
        <v/>
      </c>
      <c r="O257" s="112" t="str">
        <f>IF(OR(B257=0,B257="",N257=0),"",IF(AF257&lt;&gt;"exclusion",MAX(O$9,-(SUMIFS(SF_Output!$T$1:$T$400,SF_Output!$AC$1:$AC$400,_xlfn.TEXTJOIN(",",TRUE,$B257:$E257),SF_Output!$Q$1:$Q$400,"One Time",SF_Output!$L$1:$L$400,"professional service"))/N257),-((SUMIFS(SF_Output!$T$1:$T$400,SF_Output!$AC$1:$AC$400,_xlfn.TEXTJOIN(",",TRUE,$B257:$E257),SF_Output!$Q$1:$Q$400,"One Time",SF_Output!$L$1:$L$400,"professional service")/N257))))</f>
        <v/>
      </c>
      <c r="P257" s="6" t="str">
        <f t="shared" si="74"/>
        <v/>
      </c>
      <c r="R257" s="6" t="str">
        <f>IF(B257="","",SUMIFS(SF_Output!$S$1:$S$400,SF_Output!$AC$1:$AC$400,_xlfn.TEXTJOIN(",",TRUE,B257:E257),SF_Output!$Q$1:$Q$400,"yearly")+SUMIFS(SF_Output!$S$1:$S$400,SF_Output!$AC$1:$AC$400,_xlfn.TEXTJOIN(",",TRUE,B257:E257),SF_Output!$Q$1:$Q$400,"quarterly")*4)</f>
        <v/>
      </c>
      <c r="S257" s="112" t="str">
        <f>IF(OR(B257=0,B257="",G257="hardware",R257=0),"",IF(AF257&lt;&gt;"exclusion",MAX(S$9,-(SUMIFS(SF_Output!$T$1:$T$400,SF_Output!$AC$1:$AC$400,_xlfn.TEXTJOIN(",",TRUE,$B257:$E257),SF_Output!$Q$1:$Q$400,"yearly"))/R257),-((SUMIFS(SF_Output!$T$1:$T$400,SF_Output!$AC$1:$AC$400,_xlfn.TEXTJOIN(",",TRUE,$B257:$E257),SF_Output!$Q$1:$Q$400,"yearly")/R257))))</f>
        <v/>
      </c>
      <c r="T257" s="6" t="str">
        <f t="shared" si="75"/>
        <v/>
      </c>
      <c r="V257" s="6" t="str" cm="1">
        <f t="array" ref="V257">_xlfn.IFS(B257="","",AND(B257&lt;&gt;"",H257=SF_Output!$Y$2,SUMIFS(SF_Output!$T$1:$T$400,SF_Output!$AC$1:$AC$400,_xlfn.TEXTJOIN(",",TRUE,B257:E257),SF_Output!$Q$1:$Q$400,"monthly")=0),(SUMIFS(SF_Output!$F$1:$F$400,SF_Output!$AC$1:$AC$400,_xlfn.TEXTJOIN(",",TRUE,B257:E257),SF_Output!$Q$1:$Q$400,"monthly")+SUMIFS(SF_Output!$G$1:$G$400,SF_Output!$AC$1:$AC$400,_xlfn.TEXTJOIN(",",TRUE,B257:E257),SF_Output!$Q$1:$Q$400,"monthly"))*H257,AND(B257&lt;&gt;"",H257=SF_Output!$Y$2,SUMIFS(SF_Output!$T$1:$T$400,SF_Output!$AC$1:$AC$400,_xlfn.TEXTJOIN(",",TRUE,B257:E257),SF_Output!$Q$1:$Q$400,"monthly")&lt;&gt;0),SUMIFS(SF_Output!$S$1:$S$400,SF_Output!$AC$1:$AC$400,_xlfn.TEXTJOIN(",",TRUE,B257:E257),SF_Output!$Q$1:$Q$400,"monthly"),AND(B257&lt;&gt;"",H257&lt;&gt;SF_Output!$Y$2),SUMIFS(SF_Output!$S$1:$S$400,SF_Output!$AC$1:$AC$400,_xlfn.TEXTJOIN(",",TRUE,B257:E257),SF_Output!$Q$1:$Q$400,"monthly"))</f>
        <v/>
      </c>
      <c r="W257" s="112" t="str" cm="1">
        <f t="array" ref="W257">_xlfn.IFS(OR(B257=0,B257="",V257=0),"",AF257&lt;&gt;"exclusion",MAX($W$9,$W$7,(-(SUMIFS(SF_Output!$T$1:$T$400,SF_Output!$AC$1:$AC$400,_xlfn.TEXTJOIN(",",TRUE,$B257:$E257),SF_Output!$Q$1:$Q$400,"monthly"))/V257)),AF257="exclusion",-(SUMIFS(SF_Output!$T$1:$T$400,SF_Output!$AC$1:$AC$400,_xlfn.TEXTJOIN(",",TRUE,$B257:$E257),SF_Output!$Q$1:$Q$400,"monthly"))/V257)</f>
        <v/>
      </c>
      <c r="X257" s="6" t="str" cm="1">
        <f t="array" ref="X257">IFERROR(_xlfn.IFS(V257=0,0,V257="","",W257=0,V257,OR(V257&lt;&gt;0,V257&lt;&gt;""),H257*I257),V257*(1-W257))</f>
        <v/>
      </c>
      <c r="Z257" s="6" t="str">
        <f>IFERROR(IF(B257="","",SUMIFS(Billing_Fallout!H:H,Billing_Fallout!N:N,B257)),0)</f>
        <v/>
      </c>
      <c r="AA257" s="6" t="str">
        <f t="shared" si="76"/>
        <v/>
      </c>
      <c r="AB257" s="6" t="str">
        <f>IFERROR(IF(B257="","",SUMIFS(Billing_Fallout!J:J,Billing_Fallout!N:N,B257)),0)</f>
        <v/>
      </c>
      <c r="AD257" s="6" t="str">
        <f t="shared" si="77"/>
        <v/>
      </c>
      <c r="AF257" t="str">
        <f>IFERROR(INDEX(H_Tables!$B$1:$B$1500,MATCH(INDEX(SF_Output!$J$1:$J$400,MATCH(B257,SF_Output!$M$1:$M$400,0)),H_Tables!$A$1:$A$1500,0)),"")</f>
        <v/>
      </c>
      <c r="AI257" s="119" t="str">
        <f t="shared" si="78"/>
        <v/>
      </c>
      <c r="AJ257" s="121">
        <f>IFERROR(INDEX(SF_Output!AD:AD,MATCH(_xlfn.TEXTJOIN(",",TRUE,B257:E257),SF_Output!AC8:AC407,0)),0.05)</f>
        <v>234</v>
      </c>
      <c r="AK257" t="str">
        <f>IF(SUMIFS(SF_Output!$F$1:$F$400,SF_Output!$AC$1:$AC$400,_xlfn.TEXTJOIN(",",TRUE,B257:E257))+SUMIFS(SF_Output!$G$1:$G$400,SF_Output!$AC$1:$AC$400,_xlfn.TEXTJOIN(",",TRUE,B257:E257))=0,"","PAP")</f>
        <v/>
      </c>
      <c r="AL257" s="35" t="str">
        <f t="shared" si="79"/>
        <v/>
      </c>
      <c r="AQ257" s="35"/>
      <c r="AR257" s="35" t="str" cm="1">
        <f t="array" ref="AR257">IFERROR(_xlfn.IFS(AND(E257*1=1,F257="Included"),"Change to Included",AND(E257*1=0,F257="Optional"),"Change to Optional",OR(B257="",F257="replaced"),""),"")</f>
        <v/>
      </c>
      <c r="AS257" s="35" t="str">
        <f t="shared" si="80"/>
        <v/>
      </c>
      <c r="AT257" s="35" t="str">
        <f t="shared" si="81"/>
        <v/>
      </c>
      <c r="AU257" s="35" t="str">
        <f t="shared" si="82"/>
        <v/>
      </c>
      <c r="AV257" s="35" t="str">
        <f t="shared" si="83"/>
        <v/>
      </c>
      <c r="AW257" s="35" t="str">
        <f t="shared" si="84"/>
        <v/>
      </c>
      <c r="AX257" s="35" t="str">
        <f t="shared" si="85"/>
        <v/>
      </c>
      <c r="AY257" s="35" t="str">
        <f t="shared" si="86"/>
        <v/>
      </c>
      <c r="AZ257" s="35" t="str">
        <f t="shared" si="87"/>
        <v/>
      </c>
      <c r="BA257" s="35" t="str">
        <f t="shared" si="88"/>
        <v/>
      </c>
      <c r="BB257" s="35" t="str">
        <f t="shared" si="89"/>
        <v/>
      </c>
      <c r="BC257" s="35"/>
      <c r="BE257" s="35" t="e">
        <f>INDEX(SF_Output!$AA$2:$AA$400,MATCH($B257,SF_Output!$M$2:$M$400,0))</f>
        <v>#N/A</v>
      </c>
      <c r="BF257" s="35" t="e">
        <f>INDEX(SF_Output!$AB$2:$AB$400,MATCH($B257,SF_Output!$M$2:$M$400,0))</f>
        <v>#N/A</v>
      </c>
    </row>
    <row r="258" spans="6:58" x14ac:dyDescent="0.25">
      <c r="F258" s="116" t="str">
        <f t="shared" si="72"/>
        <v/>
      </c>
      <c r="G258" t="str">
        <f>IF(B258="","",INDEX(SF_Output!$K$1:$K$400,MATCH(B258,SF_Output!$M$1:$M$400,0)))</f>
        <v/>
      </c>
      <c r="H258" t="str" cm="1">
        <f t="array" ref="H258">_xlfn.IFS(B258="","",(SUMIFS(SF_Output!$F$1:$F$400,SF_Output!$AC$1:$AC$400,_xlfn.TEXTJOIN(",",TRUE,B258:E258))+SUMIFS(SF_Output!$G$1:$G$400,SF_Output!$AC$1:$AC$400,_xlfn.TEXTJOIN(",",TRUE,B258:E258)))&lt;&gt;0,SF_Output!$Y$2,INDEX(SF_Output!$F$1:$F$400,MATCH(_xlfn.TEXTJOIN(",",TRUE,B258:E258),SF_Output!$AC$1:$AC$400,0))=0,INDEX(SF_Output!$R$1:$R$400,MATCH(_xlfn.TEXTJOIN(",",TRUE,B258:E258),SF_Output!$AC$1:$AC$400,0)))</f>
        <v/>
      </c>
      <c r="I258" s="125" t="str">
        <f>IFERROR(IF(AND(H258&gt;1,H258&lt;&gt;""),ROUND(SUMIFS(SF_Output!$S$1:$S$400,SF_Output!$AC$1:$AC$400,_xlfn.TEXTJOIN(",",TRUE,B258:E258),SF_Output!$Q$1:$Q$400,"monthly")*(1-W258)/H258,4),""),"")</f>
        <v/>
      </c>
      <c r="J258" s="6" t="str">
        <f>IF(B258="","",SUMIFS(SF_Output!$S$1:$S$400,SF_Output!$AC$1:$AC$400,_xlfn.TEXTJOIN(",",TRUE,B258:E258),SF_Output!$Q$1:$Q$400,"One Time",SF_Output!$L$1:$L$400,"license fee")+SUMIFS(SF_Output!$S$1:$S$400,SF_Output!$AC$1:$AC$400,_xlfn.TEXTJOIN(",",TRUE,B258:E258),SF_Output!$Q$1:$Q$400,"One Time",SF_Output!$L$1:$L$400,"software license")+SUMIFS(SF_Output!$S$1:$S$400,SF_Output!$AC$1:$AC$400,_xlfn.TEXTJOIN(",",TRUE,B258:E258),SF_Output!$Q$1:$Q$400,"One Time",SF_Output!$L$1:$L$400,"hardware"))</f>
        <v/>
      </c>
      <c r="K258" s="112" t="str">
        <f>IF(OR(B258=0,B258="",G258="hardware",J258=0),"",IF(AF258&lt;&gt;"exclusion",MAX(K$9,-((SUMIFS(SF_Output!$T$1:$T$400,SF_Output!$AC$1:$AC$400,_xlfn.TEXTJOIN(",",TRUE,$B258:$E258),SF_Output!$Q$1:$Q$400,"One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license"))/J258)))</f>
        <v/>
      </c>
      <c r="L258" s="6" t="str">
        <f t="shared" si="73"/>
        <v/>
      </c>
      <c r="N258" s="6" t="str">
        <f>IF(B258="","",SUMIFS(SF_Output!$S$1:$S$400,SF_Output!$AC$1:$AC$400,_xlfn.TEXTJOIN(",",TRUE,B258:E258),SF_Output!$Q$1:$Q$400,"One Time",SF_Output!$L$1:$L$400,"professional service"))</f>
        <v/>
      </c>
      <c r="O258" s="112" t="str">
        <f>IF(OR(B258=0,B258="",N258=0),"",IF(AF258&lt;&gt;"exclusion",MAX(O$9,-(SUMIFS(SF_Output!$T$1:$T$400,SF_Output!$AC$1:$AC$400,_xlfn.TEXTJOIN(",",TRUE,$B258:$E258),SF_Output!$Q$1:$Q$400,"One Time",SF_Output!$L$1:$L$400,"professional service"))/N258),-((SUMIFS(SF_Output!$T$1:$T$400,SF_Output!$AC$1:$AC$400,_xlfn.TEXTJOIN(",",TRUE,$B258:$E258),SF_Output!$Q$1:$Q$400,"One Time",SF_Output!$L$1:$L$400,"professional service")/N258))))</f>
        <v/>
      </c>
      <c r="P258" s="6" t="str">
        <f t="shared" si="74"/>
        <v/>
      </c>
      <c r="R258" s="6" t="str">
        <f>IF(B258="","",SUMIFS(SF_Output!$S$1:$S$400,SF_Output!$AC$1:$AC$400,_xlfn.TEXTJOIN(",",TRUE,B258:E258),SF_Output!$Q$1:$Q$400,"yearly")+SUMIFS(SF_Output!$S$1:$S$400,SF_Output!$AC$1:$AC$400,_xlfn.TEXTJOIN(",",TRUE,B258:E258),SF_Output!$Q$1:$Q$400,"quarterly")*4)</f>
        <v/>
      </c>
      <c r="S258" s="112" t="str">
        <f>IF(OR(B258=0,B258="",G258="hardware",R258=0),"",IF(AF258&lt;&gt;"exclusion",MAX(S$9,-(SUMIFS(SF_Output!$T$1:$T$400,SF_Output!$AC$1:$AC$400,_xlfn.TEXTJOIN(",",TRUE,$B258:$E258),SF_Output!$Q$1:$Q$400,"yearly"))/R258),-((SUMIFS(SF_Output!$T$1:$T$400,SF_Output!$AC$1:$AC$400,_xlfn.TEXTJOIN(",",TRUE,$B258:$E258),SF_Output!$Q$1:$Q$400,"yearly")/R258))))</f>
        <v/>
      </c>
      <c r="T258" s="6" t="str">
        <f t="shared" si="75"/>
        <v/>
      </c>
      <c r="V258" s="6" t="str" cm="1">
        <f t="array" ref="V258">_xlfn.IFS(B258="","",AND(B258&lt;&gt;"",H258=SF_Output!$Y$2,SUMIFS(SF_Output!$T$1:$T$400,SF_Output!$AC$1:$AC$400,_xlfn.TEXTJOIN(",",TRUE,B258:E258),SF_Output!$Q$1:$Q$400,"monthly")=0),(SUMIFS(SF_Output!$F$1:$F$400,SF_Output!$AC$1:$AC$400,_xlfn.TEXTJOIN(",",TRUE,B258:E258),SF_Output!$Q$1:$Q$400,"monthly")+SUMIFS(SF_Output!$G$1:$G$400,SF_Output!$AC$1:$AC$400,_xlfn.TEXTJOIN(",",TRUE,B258:E258),SF_Output!$Q$1:$Q$400,"monthly"))*H258,AND(B258&lt;&gt;"",H258=SF_Output!$Y$2,SUMIFS(SF_Output!$T$1:$T$400,SF_Output!$AC$1:$AC$400,_xlfn.TEXTJOIN(",",TRUE,B258:E258),SF_Output!$Q$1:$Q$400,"monthly")&lt;&gt;0),SUMIFS(SF_Output!$S$1:$S$400,SF_Output!$AC$1:$AC$400,_xlfn.TEXTJOIN(",",TRUE,B258:E258),SF_Output!$Q$1:$Q$400,"monthly"),AND(B258&lt;&gt;"",H258&lt;&gt;SF_Output!$Y$2),SUMIFS(SF_Output!$S$1:$S$400,SF_Output!$AC$1:$AC$400,_xlfn.TEXTJOIN(",",TRUE,B258:E258),SF_Output!$Q$1:$Q$400,"monthly"))</f>
        <v/>
      </c>
      <c r="W258" s="112" t="str" cm="1">
        <f t="array" ref="W258">_xlfn.IFS(OR(B258=0,B258="",V258=0),"",AF258&lt;&gt;"exclusion",MAX($W$9,$W$7,(-(SUMIFS(SF_Output!$T$1:$T$400,SF_Output!$AC$1:$AC$400,_xlfn.TEXTJOIN(",",TRUE,$B258:$E258),SF_Output!$Q$1:$Q$400,"monthly"))/V258)),AF258="exclusion",-(SUMIFS(SF_Output!$T$1:$T$400,SF_Output!$AC$1:$AC$400,_xlfn.TEXTJOIN(",",TRUE,$B258:$E258),SF_Output!$Q$1:$Q$400,"monthly"))/V258)</f>
        <v/>
      </c>
      <c r="X258" s="6" t="str" cm="1">
        <f t="array" ref="X258">IFERROR(_xlfn.IFS(V258=0,0,V258="","",W258=0,V258,OR(V258&lt;&gt;0,V258&lt;&gt;""),H258*I258),V258*(1-W258))</f>
        <v/>
      </c>
      <c r="Z258" s="6" t="str">
        <f>IFERROR(IF(B258="","",SUMIFS(Billing_Fallout!H:H,Billing_Fallout!N:N,B258)),0)</f>
        <v/>
      </c>
      <c r="AA258" s="6" t="str">
        <f t="shared" si="76"/>
        <v/>
      </c>
      <c r="AB258" s="6" t="str">
        <f>IFERROR(IF(B258="","",SUMIFS(Billing_Fallout!J:J,Billing_Fallout!N:N,B258)),0)</f>
        <v/>
      </c>
      <c r="AD258" s="6" t="str">
        <f t="shared" si="77"/>
        <v/>
      </c>
      <c r="AF258" t="str">
        <f>IFERROR(INDEX(H_Tables!$B$1:$B$1500,MATCH(INDEX(SF_Output!$J$1:$J$400,MATCH(B258,SF_Output!$M$1:$M$400,0)),H_Tables!$A$1:$A$1500,0)),"")</f>
        <v/>
      </c>
      <c r="AI258" s="119" t="str">
        <f t="shared" si="78"/>
        <v/>
      </c>
      <c r="AJ258" s="121">
        <f>IFERROR(INDEX(SF_Output!AD:AD,MATCH(_xlfn.TEXTJOIN(",",TRUE,B258:E258),SF_Output!AC9:AC408,0)),0.05)</f>
        <v>233</v>
      </c>
      <c r="AK258" t="str">
        <f>IF(SUMIFS(SF_Output!$F$1:$F$400,SF_Output!$AC$1:$AC$400,_xlfn.TEXTJOIN(",",TRUE,B258:E258))+SUMIFS(SF_Output!$G$1:$G$400,SF_Output!$AC$1:$AC$400,_xlfn.TEXTJOIN(",",TRUE,B258:E258))=0,"","PAP")</f>
        <v/>
      </c>
      <c r="AL258" s="35" t="str">
        <f t="shared" si="79"/>
        <v/>
      </c>
      <c r="AQ258" s="35"/>
      <c r="AR258" s="35" t="str" cm="1">
        <f t="array" ref="AR258">IFERROR(_xlfn.IFS(AND(E258*1=1,F258="Included"),"Change to Included",AND(E258*1=0,F258="Optional"),"Change to Optional",OR(B258="",F258="replaced"),""),"")</f>
        <v/>
      </c>
      <c r="AS258" s="35" t="str">
        <f t="shared" si="80"/>
        <v/>
      </c>
      <c r="AT258" s="35" t="str">
        <f t="shared" si="81"/>
        <v/>
      </c>
      <c r="AU258" s="35" t="str">
        <f t="shared" si="82"/>
        <v/>
      </c>
      <c r="AV258" s="35" t="str">
        <f t="shared" si="83"/>
        <v/>
      </c>
      <c r="AW258" s="35" t="str">
        <f t="shared" si="84"/>
        <v/>
      </c>
      <c r="AX258" s="35" t="str">
        <f t="shared" si="85"/>
        <v/>
      </c>
      <c r="AY258" s="35" t="str">
        <f t="shared" si="86"/>
        <v/>
      </c>
      <c r="AZ258" s="35" t="str">
        <f t="shared" si="87"/>
        <v/>
      </c>
      <c r="BA258" s="35" t="str">
        <f t="shared" si="88"/>
        <v/>
      </c>
      <c r="BB258" s="35" t="str">
        <f t="shared" si="89"/>
        <v/>
      </c>
      <c r="BC258" s="35"/>
      <c r="BE258" s="35" t="e">
        <f>INDEX(SF_Output!$AA$2:$AA$400,MATCH($B258,SF_Output!$M$2:$M$400,0))</f>
        <v>#N/A</v>
      </c>
      <c r="BF258" s="35" t="e">
        <f>INDEX(SF_Output!$AB$2:$AB$400,MATCH($B258,SF_Output!$M$2:$M$400,0))</f>
        <v>#N/A</v>
      </c>
    </row>
    <row r="259" spans="6:58" x14ac:dyDescent="0.25">
      <c r="F259" s="116" t="str">
        <f t="shared" si="72"/>
        <v/>
      </c>
      <c r="G259" t="str">
        <f>IF(B259="","",INDEX(SF_Output!$K$1:$K$400,MATCH(B259,SF_Output!$M$1:$M$400,0)))</f>
        <v/>
      </c>
      <c r="H259" t="str" cm="1">
        <f t="array" ref="H259">_xlfn.IFS(B259="","",(SUMIFS(SF_Output!$F$1:$F$400,SF_Output!$AC$1:$AC$400,_xlfn.TEXTJOIN(",",TRUE,B259:E259))+SUMIFS(SF_Output!$G$1:$G$400,SF_Output!$AC$1:$AC$400,_xlfn.TEXTJOIN(",",TRUE,B259:E259)))&lt;&gt;0,SF_Output!$Y$2,INDEX(SF_Output!$F$1:$F$400,MATCH(_xlfn.TEXTJOIN(",",TRUE,B259:E259),SF_Output!$AC$1:$AC$400,0))=0,INDEX(SF_Output!$R$1:$R$400,MATCH(_xlfn.TEXTJOIN(",",TRUE,B259:E259),SF_Output!$AC$1:$AC$400,0)))</f>
        <v/>
      </c>
      <c r="I259" s="125" t="str">
        <f>IFERROR(IF(AND(H259&gt;1,H259&lt;&gt;""),ROUND(SUMIFS(SF_Output!$S$1:$S$400,SF_Output!$AC$1:$AC$400,_xlfn.TEXTJOIN(",",TRUE,B259:E259),SF_Output!$Q$1:$Q$400,"monthly")*(1-W259)/H259,4),""),"")</f>
        <v/>
      </c>
      <c r="J259" s="6" t="str">
        <f>IF(B259="","",SUMIFS(SF_Output!$S$1:$S$400,SF_Output!$AC$1:$AC$400,_xlfn.TEXTJOIN(",",TRUE,B259:E259),SF_Output!$Q$1:$Q$400,"One Time",SF_Output!$L$1:$L$400,"license fee")+SUMIFS(SF_Output!$S$1:$S$400,SF_Output!$AC$1:$AC$400,_xlfn.TEXTJOIN(",",TRUE,B259:E259),SF_Output!$Q$1:$Q$400,"One Time",SF_Output!$L$1:$L$400,"software license")+SUMIFS(SF_Output!$S$1:$S$400,SF_Output!$AC$1:$AC$400,_xlfn.TEXTJOIN(",",TRUE,B259:E259),SF_Output!$Q$1:$Q$400,"One Time",SF_Output!$L$1:$L$400,"hardware"))</f>
        <v/>
      </c>
      <c r="K259" s="112" t="str">
        <f>IF(OR(B259=0,B259="",G259="hardware",J259=0),"",IF(AF259&lt;&gt;"exclusion",MAX(K$9,-((SUMIFS(SF_Output!$T$1:$T$400,SF_Output!$AC$1:$AC$400,_xlfn.TEXTJOIN(",",TRUE,$B259:$E259),SF_Output!$Q$1:$Q$400,"One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license"))/J259)))</f>
        <v/>
      </c>
      <c r="L259" s="6" t="str">
        <f t="shared" si="73"/>
        <v/>
      </c>
      <c r="N259" s="6" t="str">
        <f>IF(B259="","",SUMIFS(SF_Output!$S$1:$S$400,SF_Output!$AC$1:$AC$400,_xlfn.TEXTJOIN(",",TRUE,B259:E259),SF_Output!$Q$1:$Q$400,"One Time",SF_Output!$L$1:$L$400,"professional service"))</f>
        <v/>
      </c>
      <c r="O259" s="112" t="str">
        <f>IF(OR(B259=0,B259="",N259=0),"",IF(AF259&lt;&gt;"exclusion",MAX(O$9,-(SUMIFS(SF_Output!$T$1:$T$400,SF_Output!$AC$1:$AC$400,_xlfn.TEXTJOIN(",",TRUE,$B259:$E259),SF_Output!$Q$1:$Q$400,"One Time",SF_Output!$L$1:$L$400,"professional service"))/N259),-((SUMIFS(SF_Output!$T$1:$T$400,SF_Output!$AC$1:$AC$400,_xlfn.TEXTJOIN(",",TRUE,$B259:$E259),SF_Output!$Q$1:$Q$400,"One Time",SF_Output!$L$1:$L$400,"professional service")/N259))))</f>
        <v/>
      </c>
      <c r="P259" s="6" t="str">
        <f t="shared" si="74"/>
        <v/>
      </c>
      <c r="R259" s="6" t="str">
        <f>IF(B259="","",SUMIFS(SF_Output!$S$1:$S$400,SF_Output!$AC$1:$AC$400,_xlfn.TEXTJOIN(",",TRUE,B259:E259),SF_Output!$Q$1:$Q$400,"yearly")+SUMIFS(SF_Output!$S$1:$S$400,SF_Output!$AC$1:$AC$400,_xlfn.TEXTJOIN(",",TRUE,B259:E259),SF_Output!$Q$1:$Q$400,"quarterly")*4)</f>
        <v/>
      </c>
      <c r="S259" s="112" t="str">
        <f>IF(OR(B259=0,B259="",G259="hardware",R259=0),"",IF(AF259&lt;&gt;"exclusion",MAX(S$9,-(SUMIFS(SF_Output!$T$1:$T$400,SF_Output!$AC$1:$AC$400,_xlfn.TEXTJOIN(",",TRUE,$B259:$E259),SF_Output!$Q$1:$Q$400,"yearly"))/R259),-((SUMIFS(SF_Output!$T$1:$T$400,SF_Output!$AC$1:$AC$400,_xlfn.TEXTJOIN(",",TRUE,$B259:$E259),SF_Output!$Q$1:$Q$400,"yearly")/R259))))</f>
        <v/>
      </c>
      <c r="T259" s="6" t="str">
        <f t="shared" si="75"/>
        <v/>
      </c>
      <c r="V259" s="6" t="str" cm="1">
        <f t="array" ref="V259">_xlfn.IFS(B259="","",AND(B259&lt;&gt;"",H259=SF_Output!$Y$2,SUMIFS(SF_Output!$T$1:$T$400,SF_Output!$AC$1:$AC$400,_xlfn.TEXTJOIN(",",TRUE,B259:E259),SF_Output!$Q$1:$Q$400,"monthly")=0),(SUMIFS(SF_Output!$F$1:$F$400,SF_Output!$AC$1:$AC$400,_xlfn.TEXTJOIN(",",TRUE,B259:E259),SF_Output!$Q$1:$Q$400,"monthly")+SUMIFS(SF_Output!$G$1:$G$400,SF_Output!$AC$1:$AC$400,_xlfn.TEXTJOIN(",",TRUE,B259:E259),SF_Output!$Q$1:$Q$400,"monthly"))*H259,AND(B259&lt;&gt;"",H259=SF_Output!$Y$2,SUMIFS(SF_Output!$T$1:$T$400,SF_Output!$AC$1:$AC$400,_xlfn.TEXTJOIN(",",TRUE,B259:E259),SF_Output!$Q$1:$Q$400,"monthly")&lt;&gt;0),SUMIFS(SF_Output!$S$1:$S$400,SF_Output!$AC$1:$AC$400,_xlfn.TEXTJOIN(",",TRUE,B259:E259),SF_Output!$Q$1:$Q$400,"monthly"),AND(B259&lt;&gt;"",H259&lt;&gt;SF_Output!$Y$2),SUMIFS(SF_Output!$S$1:$S$400,SF_Output!$AC$1:$AC$400,_xlfn.TEXTJOIN(",",TRUE,B259:E259),SF_Output!$Q$1:$Q$400,"monthly"))</f>
        <v/>
      </c>
      <c r="W259" s="112" t="str" cm="1">
        <f t="array" ref="W259">_xlfn.IFS(OR(B259=0,B259="",V259=0),"",AF259&lt;&gt;"exclusion",MAX($W$9,$W$7,(-(SUMIFS(SF_Output!$T$1:$T$400,SF_Output!$AC$1:$AC$400,_xlfn.TEXTJOIN(",",TRUE,$B259:$E259),SF_Output!$Q$1:$Q$400,"monthly"))/V259)),AF259="exclusion",-(SUMIFS(SF_Output!$T$1:$T$400,SF_Output!$AC$1:$AC$400,_xlfn.TEXTJOIN(",",TRUE,$B259:$E259),SF_Output!$Q$1:$Q$400,"monthly"))/V259)</f>
        <v/>
      </c>
      <c r="X259" s="6" t="str" cm="1">
        <f t="array" ref="X259">IFERROR(_xlfn.IFS(V259=0,0,V259="","",W259=0,V259,OR(V259&lt;&gt;0,V259&lt;&gt;""),H259*I259),V259*(1-W259))</f>
        <v/>
      </c>
      <c r="Z259" s="6" t="str">
        <f>IFERROR(IF(B259="","",SUMIFS(Billing_Fallout!H:H,Billing_Fallout!N:N,B259)),0)</f>
        <v/>
      </c>
      <c r="AA259" s="6" t="str">
        <f t="shared" si="76"/>
        <v/>
      </c>
      <c r="AB259" s="6" t="str">
        <f>IFERROR(IF(B259="","",SUMIFS(Billing_Fallout!J:J,Billing_Fallout!N:N,B259)),0)</f>
        <v/>
      </c>
      <c r="AD259" s="6" t="str">
        <f t="shared" si="77"/>
        <v/>
      </c>
      <c r="AF259" t="str">
        <f>IFERROR(INDEX(H_Tables!$B$1:$B$1500,MATCH(INDEX(SF_Output!$J$1:$J$400,MATCH(B259,SF_Output!$M$1:$M$400,0)),H_Tables!$A$1:$A$1500,0)),"")</f>
        <v/>
      </c>
      <c r="AI259" s="119" t="str">
        <f t="shared" si="78"/>
        <v/>
      </c>
      <c r="AJ259" s="121">
        <f>IFERROR(INDEX(SF_Output!AD:AD,MATCH(_xlfn.TEXTJOIN(",",TRUE,B259:E259),SF_Output!AC10:AC409,0)),0.05)</f>
        <v>232</v>
      </c>
      <c r="AK259" t="str">
        <f>IF(SUMIFS(SF_Output!$F$1:$F$400,SF_Output!$AC$1:$AC$400,_xlfn.TEXTJOIN(",",TRUE,B259:E259))+SUMIFS(SF_Output!$G$1:$G$400,SF_Output!$AC$1:$AC$400,_xlfn.TEXTJOIN(",",TRUE,B259:E259))=0,"","PAP")</f>
        <v/>
      </c>
      <c r="AL259" s="35" t="str">
        <f t="shared" si="79"/>
        <v/>
      </c>
      <c r="AQ259" s="35"/>
      <c r="AR259" s="35" t="str" cm="1">
        <f t="array" ref="AR259">IFERROR(_xlfn.IFS(AND(E259*1=1,F259="Included"),"Change to Included",AND(E259*1=0,F259="Optional"),"Change to Optional",OR(B259="",F259="replaced"),""),"")</f>
        <v/>
      </c>
      <c r="AS259" s="35" t="str">
        <f t="shared" si="80"/>
        <v/>
      </c>
      <c r="AT259" s="35" t="str">
        <f t="shared" si="81"/>
        <v/>
      </c>
      <c r="AU259" s="35" t="str">
        <f t="shared" si="82"/>
        <v/>
      </c>
      <c r="AV259" s="35" t="str">
        <f t="shared" si="83"/>
        <v/>
      </c>
      <c r="AW259" s="35" t="str">
        <f t="shared" si="84"/>
        <v/>
      </c>
      <c r="AX259" s="35" t="str">
        <f t="shared" si="85"/>
        <v/>
      </c>
      <c r="AY259" s="35" t="str">
        <f t="shared" si="86"/>
        <v/>
      </c>
      <c r="AZ259" s="35" t="str">
        <f t="shared" si="87"/>
        <v/>
      </c>
      <c r="BA259" s="35" t="str">
        <f t="shared" si="88"/>
        <v/>
      </c>
      <c r="BB259" s="35" t="str">
        <f t="shared" si="89"/>
        <v/>
      </c>
      <c r="BC259" s="35"/>
      <c r="BE259" s="35" t="e">
        <f>INDEX(SF_Output!$AA$2:$AA$400,MATCH($B259,SF_Output!$M$2:$M$400,0))</f>
        <v>#N/A</v>
      </c>
      <c r="BF259" s="35" t="e">
        <f>INDEX(SF_Output!$AB$2:$AB$400,MATCH($B259,SF_Output!$M$2:$M$400,0))</f>
        <v>#N/A</v>
      </c>
    </row>
    <row r="260" spans="6:58" x14ac:dyDescent="0.25">
      <c r="F260" s="116" t="str">
        <f t="shared" si="72"/>
        <v/>
      </c>
      <c r="G260" t="str">
        <f>IF(B260="","",INDEX(SF_Output!$K$1:$K$400,MATCH(B260,SF_Output!$M$1:$M$400,0)))</f>
        <v/>
      </c>
      <c r="H260" t="str" cm="1">
        <f t="array" ref="H260">_xlfn.IFS(B260="","",(SUMIFS(SF_Output!$F$1:$F$400,SF_Output!$AC$1:$AC$400,_xlfn.TEXTJOIN(",",TRUE,B260:E260))+SUMIFS(SF_Output!$G$1:$G$400,SF_Output!$AC$1:$AC$400,_xlfn.TEXTJOIN(",",TRUE,B260:E260)))&lt;&gt;0,SF_Output!$Y$2,INDEX(SF_Output!$F$1:$F$400,MATCH(_xlfn.TEXTJOIN(",",TRUE,B260:E260),SF_Output!$AC$1:$AC$400,0))=0,INDEX(SF_Output!$R$1:$R$400,MATCH(_xlfn.TEXTJOIN(",",TRUE,B260:E260),SF_Output!$AC$1:$AC$400,0)))</f>
        <v/>
      </c>
      <c r="I260" s="125" t="str">
        <f>IFERROR(IF(AND(H260&gt;1,H260&lt;&gt;""),ROUND(SUMIFS(SF_Output!$S$1:$S$400,SF_Output!$AC$1:$AC$400,_xlfn.TEXTJOIN(",",TRUE,B260:E260),SF_Output!$Q$1:$Q$400,"monthly")*(1-W260)/H260,4),""),"")</f>
        <v/>
      </c>
      <c r="J260" s="6" t="str">
        <f>IF(B260="","",SUMIFS(SF_Output!$S$1:$S$400,SF_Output!$AC$1:$AC$400,_xlfn.TEXTJOIN(",",TRUE,B260:E260),SF_Output!$Q$1:$Q$400,"One Time",SF_Output!$L$1:$L$400,"license fee")+SUMIFS(SF_Output!$S$1:$S$400,SF_Output!$AC$1:$AC$400,_xlfn.TEXTJOIN(",",TRUE,B260:E260),SF_Output!$Q$1:$Q$400,"One Time",SF_Output!$L$1:$L$400,"software license")+SUMIFS(SF_Output!$S$1:$S$400,SF_Output!$AC$1:$AC$400,_xlfn.TEXTJOIN(",",TRUE,B260:E260),SF_Output!$Q$1:$Q$400,"One Time",SF_Output!$L$1:$L$400,"hardware"))</f>
        <v/>
      </c>
      <c r="K260" s="112" t="str">
        <f>IF(OR(B260=0,B260="",G260="hardware",J260=0),"",IF(AF260&lt;&gt;"exclusion",MAX(K$9,-((SUMIFS(SF_Output!$T$1:$T$400,SF_Output!$AC$1:$AC$400,_xlfn.TEXTJOIN(",",TRUE,$B260:$E260),SF_Output!$Q$1:$Q$400,"One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license"))/J260)))</f>
        <v/>
      </c>
      <c r="L260" s="6" t="str">
        <f t="shared" si="73"/>
        <v/>
      </c>
      <c r="N260" s="6" t="str">
        <f>IF(B260="","",SUMIFS(SF_Output!$S$1:$S$400,SF_Output!$AC$1:$AC$400,_xlfn.TEXTJOIN(",",TRUE,B260:E260),SF_Output!$Q$1:$Q$400,"One Time",SF_Output!$L$1:$L$400,"professional service"))</f>
        <v/>
      </c>
      <c r="O260" s="112" t="str">
        <f>IF(OR(B260=0,B260="",N260=0),"",IF(AF260&lt;&gt;"exclusion",MAX(O$9,-(SUMIFS(SF_Output!$T$1:$T$400,SF_Output!$AC$1:$AC$400,_xlfn.TEXTJOIN(",",TRUE,$B260:$E260),SF_Output!$Q$1:$Q$400,"One Time",SF_Output!$L$1:$L$400,"professional service"))/N260),-((SUMIFS(SF_Output!$T$1:$T$400,SF_Output!$AC$1:$AC$400,_xlfn.TEXTJOIN(",",TRUE,$B260:$E260),SF_Output!$Q$1:$Q$400,"One Time",SF_Output!$L$1:$L$400,"professional service")/N260))))</f>
        <v/>
      </c>
      <c r="P260" s="6" t="str">
        <f t="shared" si="74"/>
        <v/>
      </c>
      <c r="R260" s="6" t="str">
        <f>IF(B260="","",SUMIFS(SF_Output!$S$1:$S$400,SF_Output!$AC$1:$AC$400,_xlfn.TEXTJOIN(",",TRUE,B260:E260),SF_Output!$Q$1:$Q$400,"yearly")+SUMIFS(SF_Output!$S$1:$S$400,SF_Output!$AC$1:$AC$400,_xlfn.TEXTJOIN(",",TRUE,B260:E260),SF_Output!$Q$1:$Q$400,"quarterly")*4)</f>
        <v/>
      </c>
      <c r="S260" s="112" t="str">
        <f>IF(OR(B260=0,B260="",G260="hardware",R260=0),"",IF(AF260&lt;&gt;"exclusion",MAX(S$9,-(SUMIFS(SF_Output!$T$1:$T$400,SF_Output!$AC$1:$AC$400,_xlfn.TEXTJOIN(",",TRUE,$B260:$E260),SF_Output!$Q$1:$Q$400,"yearly"))/R260),-((SUMIFS(SF_Output!$T$1:$T$400,SF_Output!$AC$1:$AC$400,_xlfn.TEXTJOIN(",",TRUE,$B260:$E260),SF_Output!$Q$1:$Q$400,"yearly")/R260))))</f>
        <v/>
      </c>
      <c r="T260" s="6" t="str">
        <f t="shared" si="75"/>
        <v/>
      </c>
      <c r="V260" s="6" t="str" cm="1">
        <f t="array" ref="V260">_xlfn.IFS(B260="","",AND(B260&lt;&gt;"",H260=SF_Output!$Y$2,SUMIFS(SF_Output!$T$1:$T$400,SF_Output!$AC$1:$AC$400,_xlfn.TEXTJOIN(",",TRUE,B260:E260),SF_Output!$Q$1:$Q$400,"monthly")=0),(SUMIFS(SF_Output!$F$1:$F$400,SF_Output!$AC$1:$AC$400,_xlfn.TEXTJOIN(",",TRUE,B260:E260),SF_Output!$Q$1:$Q$400,"monthly")+SUMIFS(SF_Output!$G$1:$G$400,SF_Output!$AC$1:$AC$400,_xlfn.TEXTJOIN(",",TRUE,B260:E260),SF_Output!$Q$1:$Q$400,"monthly"))*H260,AND(B260&lt;&gt;"",H260=SF_Output!$Y$2,SUMIFS(SF_Output!$T$1:$T$400,SF_Output!$AC$1:$AC$400,_xlfn.TEXTJOIN(",",TRUE,B260:E260),SF_Output!$Q$1:$Q$400,"monthly")&lt;&gt;0),SUMIFS(SF_Output!$S$1:$S$400,SF_Output!$AC$1:$AC$400,_xlfn.TEXTJOIN(",",TRUE,B260:E260),SF_Output!$Q$1:$Q$400,"monthly"),AND(B260&lt;&gt;"",H260&lt;&gt;SF_Output!$Y$2),SUMIFS(SF_Output!$S$1:$S$400,SF_Output!$AC$1:$AC$400,_xlfn.TEXTJOIN(",",TRUE,B260:E260),SF_Output!$Q$1:$Q$400,"monthly"))</f>
        <v/>
      </c>
      <c r="W260" s="112" t="str" cm="1">
        <f t="array" ref="W260">_xlfn.IFS(OR(B260=0,B260="",V260=0),"",AF260&lt;&gt;"exclusion",MAX($W$9,$W$7,(-(SUMIFS(SF_Output!$T$1:$T$400,SF_Output!$AC$1:$AC$400,_xlfn.TEXTJOIN(",",TRUE,$B260:$E260),SF_Output!$Q$1:$Q$400,"monthly"))/V260)),AF260="exclusion",-(SUMIFS(SF_Output!$T$1:$T$400,SF_Output!$AC$1:$AC$400,_xlfn.TEXTJOIN(",",TRUE,$B260:$E260),SF_Output!$Q$1:$Q$400,"monthly"))/V260)</f>
        <v/>
      </c>
      <c r="X260" s="6" t="str" cm="1">
        <f t="array" ref="X260">IFERROR(_xlfn.IFS(V260=0,0,V260="","",W260=0,V260,OR(V260&lt;&gt;0,V260&lt;&gt;""),H260*I260),V260*(1-W260))</f>
        <v/>
      </c>
      <c r="Z260" s="6" t="str">
        <f>IFERROR(IF(B260="","",SUMIFS(Billing_Fallout!H:H,Billing_Fallout!N:N,B260)),0)</f>
        <v/>
      </c>
      <c r="AA260" s="6" t="str">
        <f t="shared" si="76"/>
        <v/>
      </c>
      <c r="AB260" s="6" t="str">
        <f>IFERROR(IF(B260="","",SUMIFS(Billing_Fallout!J:J,Billing_Fallout!N:N,B260)),0)</f>
        <v/>
      </c>
      <c r="AD260" s="6" t="str">
        <f t="shared" si="77"/>
        <v/>
      </c>
      <c r="AF260" t="str">
        <f>IFERROR(INDEX(H_Tables!$B$1:$B$1500,MATCH(INDEX(SF_Output!$J$1:$J$400,MATCH(B260,SF_Output!$M$1:$M$400,0)),H_Tables!$A$1:$A$1500,0)),"")</f>
        <v/>
      </c>
      <c r="AI260" s="119" t="str">
        <f t="shared" si="78"/>
        <v/>
      </c>
      <c r="AJ260" s="121">
        <f>IFERROR(INDEX(SF_Output!AD:AD,MATCH(_xlfn.TEXTJOIN(",",TRUE,B260:E260),SF_Output!AC11:AC410,0)),0.05)</f>
        <v>231</v>
      </c>
      <c r="AK260" t="str">
        <f>IF(SUMIFS(SF_Output!$F$1:$F$400,SF_Output!$AC$1:$AC$400,_xlfn.TEXTJOIN(",",TRUE,B260:E260))+SUMIFS(SF_Output!$G$1:$G$400,SF_Output!$AC$1:$AC$400,_xlfn.TEXTJOIN(",",TRUE,B260:E260))=0,"","PAP")</f>
        <v/>
      </c>
      <c r="AL260" s="35" t="str">
        <f t="shared" si="79"/>
        <v/>
      </c>
      <c r="AQ260" s="35"/>
      <c r="AR260" s="35" t="str" cm="1">
        <f t="array" ref="AR260">IFERROR(_xlfn.IFS(AND(E260*1=1,F260="Included"),"Change to Included",AND(E260*1=0,F260="Optional"),"Change to Optional",OR(B260="",F260="replaced"),""),"")</f>
        <v/>
      </c>
      <c r="AS260" s="35" t="str">
        <f t="shared" si="80"/>
        <v/>
      </c>
      <c r="AT260" s="35" t="str">
        <f t="shared" si="81"/>
        <v/>
      </c>
      <c r="AU260" s="35" t="str">
        <f t="shared" si="82"/>
        <v/>
      </c>
      <c r="AV260" s="35" t="str">
        <f t="shared" si="83"/>
        <v/>
      </c>
      <c r="AW260" s="35" t="str">
        <f t="shared" si="84"/>
        <v/>
      </c>
      <c r="AX260" s="35" t="str">
        <f t="shared" si="85"/>
        <v/>
      </c>
      <c r="AY260" s="35" t="str">
        <f t="shared" si="86"/>
        <v/>
      </c>
      <c r="AZ260" s="35" t="str">
        <f t="shared" si="87"/>
        <v/>
      </c>
      <c r="BA260" s="35" t="str">
        <f t="shared" si="88"/>
        <v/>
      </c>
      <c r="BB260" s="35" t="str">
        <f t="shared" si="89"/>
        <v/>
      </c>
      <c r="BC260" s="35"/>
      <c r="BE260" s="35" t="e">
        <f>INDEX(SF_Output!$AA$2:$AA$400,MATCH($B260,SF_Output!$M$2:$M$400,0))</f>
        <v>#N/A</v>
      </c>
      <c r="BF260" s="35" t="e">
        <f>INDEX(SF_Output!$AB$2:$AB$400,MATCH($B260,SF_Output!$M$2:$M$400,0))</f>
        <v>#N/A</v>
      </c>
    </row>
    <row r="261" spans="6:58" x14ac:dyDescent="0.25">
      <c r="F261" s="116" t="str">
        <f t="shared" si="72"/>
        <v/>
      </c>
      <c r="G261" t="str">
        <f>IF(B261="","",INDEX(SF_Output!$K$1:$K$400,MATCH(B261,SF_Output!$M$1:$M$400,0)))</f>
        <v/>
      </c>
      <c r="H261" t="str" cm="1">
        <f t="array" ref="H261">_xlfn.IFS(B261="","",(SUMIFS(SF_Output!$F$1:$F$400,SF_Output!$AC$1:$AC$400,_xlfn.TEXTJOIN(",",TRUE,B261:E261))+SUMIFS(SF_Output!$G$1:$G$400,SF_Output!$AC$1:$AC$400,_xlfn.TEXTJOIN(",",TRUE,B261:E261)))&lt;&gt;0,SF_Output!$Y$2,INDEX(SF_Output!$F$1:$F$400,MATCH(_xlfn.TEXTJOIN(",",TRUE,B261:E261),SF_Output!$AC$1:$AC$400,0))=0,INDEX(SF_Output!$R$1:$R$400,MATCH(_xlfn.TEXTJOIN(",",TRUE,B261:E261),SF_Output!$AC$1:$AC$400,0)))</f>
        <v/>
      </c>
      <c r="I261" s="125" t="str">
        <f>IFERROR(IF(AND(H261&gt;1,H261&lt;&gt;""),ROUND(SUMIFS(SF_Output!$S$1:$S$400,SF_Output!$AC$1:$AC$400,_xlfn.TEXTJOIN(",",TRUE,B261:E261),SF_Output!$Q$1:$Q$400,"monthly")*(1-W261)/H261,4),""),"")</f>
        <v/>
      </c>
      <c r="J261" s="6" t="str">
        <f>IF(B261="","",SUMIFS(SF_Output!$S$1:$S$400,SF_Output!$AC$1:$AC$400,_xlfn.TEXTJOIN(",",TRUE,B261:E261),SF_Output!$Q$1:$Q$400,"One Time",SF_Output!$L$1:$L$400,"license fee")+SUMIFS(SF_Output!$S$1:$S$400,SF_Output!$AC$1:$AC$400,_xlfn.TEXTJOIN(",",TRUE,B261:E261),SF_Output!$Q$1:$Q$400,"One Time",SF_Output!$L$1:$L$400,"software license")+SUMIFS(SF_Output!$S$1:$S$400,SF_Output!$AC$1:$AC$400,_xlfn.TEXTJOIN(",",TRUE,B261:E261),SF_Output!$Q$1:$Q$400,"One Time",SF_Output!$L$1:$L$400,"hardware"))</f>
        <v/>
      </c>
      <c r="K261" s="112" t="str">
        <f>IF(OR(B261=0,B261="",G261="hardware",J261=0),"",IF(AF261&lt;&gt;"exclusion",MAX(K$9,-((SUMIFS(SF_Output!$T$1:$T$400,SF_Output!$AC$1:$AC$400,_xlfn.TEXTJOIN(",",TRUE,$B261:$E261),SF_Output!$Q$1:$Q$400,"One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license"))/J261)))</f>
        <v/>
      </c>
      <c r="L261" s="6" t="str">
        <f t="shared" si="73"/>
        <v/>
      </c>
      <c r="N261" s="6" t="str">
        <f>IF(B261="","",SUMIFS(SF_Output!$S$1:$S$400,SF_Output!$AC$1:$AC$400,_xlfn.TEXTJOIN(",",TRUE,B261:E261),SF_Output!$Q$1:$Q$400,"One Time",SF_Output!$L$1:$L$400,"professional service"))</f>
        <v/>
      </c>
      <c r="O261" s="112" t="str">
        <f>IF(OR(B261=0,B261="",N261=0),"",IF(AF261&lt;&gt;"exclusion",MAX(O$9,-(SUMIFS(SF_Output!$T$1:$T$400,SF_Output!$AC$1:$AC$400,_xlfn.TEXTJOIN(",",TRUE,$B261:$E261),SF_Output!$Q$1:$Q$400,"One Time",SF_Output!$L$1:$L$400,"professional service"))/N261),-((SUMIFS(SF_Output!$T$1:$T$400,SF_Output!$AC$1:$AC$400,_xlfn.TEXTJOIN(",",TRUE,$B261:$E261),SF_Output!$Q$1:$Q$400,"One Time",SF_Output!$L$1:$L$400,"professional service")/N261))))</f>
        <v/>
      </c>
      <c r="P261" s="6" t="str">
        <f t="shared" si="74"/>
        <v/>
      </c>
      <c r="R261" s="6" t="str">
        <f>IF(B261="","",SUMIFS(SF_Output!$S$1:$S$400,SF_Output!$AC$1:$AC$400,_xlfn.TEXTJOIN(",",TRUE,B261:E261),SF_Output!$Q$1:$Q$400,"yearly")+SUMIFS(SF_Output!$S$1:$S$400,SF_Output!$AC$1:$AC$400,_xlfn.TEXTJOIN(",",TRUE,B261:E261),SF_Output!$Q$1:$Q$400,"quarterly")*4)</f>
        <v/>
      </c>
      <c r="S261" s="112" t="str">
        <f>IF(OR(B261=0,B261="",G261="hardware",R261=0),"",IF(AF261&lt;&gt;"exclusion",MAX(S$9,-(SUMIFS(SF_Output!$T$1:$T$400,SF_Output!$AC$1:$AC$400,_xlfn.TEXTJOIN(",",TRUE,$B261:$E261),SF_Output!$Q$1:$Q$400,"yearly"))/R261),-((SUMIFS(SF_Output!$T$1:$T$400,SF_Output!$AC$1:$AC$400,_xlfn.TEXTJOIN(",",TRUE,$B261:$E261),SF_Output!$Q$1:$Q$400,"yearly")/R261))))</f>
        <v/>
      </c>
      <c r="T261" s="6" t="str">
        <f t="shared" si="75"/>
        <v/>
      </c>
      <c r="V261" s="6" t="str" cm="1">
        <f t="array" ref="V261">_xlfn.IFS(B261="","",AND(B261&lt;&gt;"",H261=SF_Output!$Y$2,SUMIFS(SF_Output!$T$1:$T$400,SF_Output!$AC$1:$AC$400,_xlfn.TEXTJOIN(",",TRUE,B261:E261),SF_Output!$Q$1:$Q$400,"monthly")=0),(SUMIFS(SF_Output!$F$1:$F$400,SF_Output!$AC$1:$AC$400,_xlfn.TEXTJOIN(",",TRUE,B261:E261),SF_Output!$Q$1:$Q$400,"monthly")+SUMIFS(SF_Output!$G$1:$G$400,SF_Output!$AC$1:$AC$400,_xlfn.TEXTJOIN(",",TRUE,B261:E261),SF_Output!$Q$1:$Q$400,"monthly"))*H261,AND(B261&lt;&gt;"",H261=SF_Output!$Y$2,SUMIFS(SF_Output!$T$1:$T$400,SF_Output!$AC$1:$AC$400,_xlfn.TEXTJOIN(",",TRUE,B261:E261),SF_Output!$Q$1:$Q$400,"monthly")&lt;&gt;0),SUMIFS(SF_Output!$S$1:$S$400,SF_Output!$AC$1:$AC$400,_xlfn.TEXTJOIN(",",TRUE,B261:E261),SF_Output!$Q$1:$Q$400,"monthly"),AND(B261&lt;&gt;"",H261&lt;&gt;SF_Output!$Y$2),SUMIFS(SF_Output!$S$1:$S$400,SF_Output!$AC$1:$AC$400,_xlfn.TEXTJOIN(",",TRUE,B261:E261),SF_Output!$Q$1:$Q$400,"monthly"))</f>
        <v/>
      </c>
      <c r="W261" s="112" t="str" cm="1">
        <f t="array" ref="W261">_xlfn.IFS(OR(B261=0,B261="",V261=0),"",AF261&lt;&gt;"exclusion",MAX($W$9,$W$7,(-(SUMIFS(SF_Output!$T$1:$T$400,SF_Output!$AC$1:$AC$400,_xlfn.TEXTJOIN(",",TRUE,$B261:$E261),SF_Output!$Q$1:$Q$400,"monthly"))/V261)),AF261="exclusion",-(SUMIFS(SF_Output!$T$1:$T$400,SF_Output!$AC$1:$AC$400,_xlfn.TEXTJOIN(",",TRUE,$B261:$E261),SF_Output!$Q$1:$Q$400,"monthly"))/V261)</f>
        <v/>
      </c>
      <c r="X261" s="6" t="str" cm="1">
        <f t="array" ref="X261">IFERROR(_xlfn.IFS(V261=0,0,V261="","",W261=0,V261,OR(V261&lt;&gt;0,V261&lt;&gt;""),H261*I261),V261*(1-W261))</f>
        <v/>
      </c>
      <c r="Z261" s="6" t="str">
        <f>IFERROR(IF(B261="","",SUMIFS(Billing_Fallout!H:H,Billing_Fallout!N:N,B261)),0)</f>
        <v/>
      </c>
      <c r="AA261" s="6" t="str">
        <f t="shared" si="76"/>
        <v/>
      </c>
      <c r="AB261" s="6" t="str">
        <f>IFERROR(IF(B261="","",SUMIFS(Billing_Fallout!J:J,Billing_Fallout!N:N,B261)),0)</f>
        <v/>
      </c>
      <c r="AD261" s="6" t="str">
        <f t="shared" si="77"/>
        <v/>
      </c>
      <c r="AF261" t="str">
        <f>IFERROR(INDEX(H_Tables!$B$1:$B$1500,MATCH(INDEX(SF_Output!$J$1:$J$400,MATCH(B261,SF_Output!$M$1:$M$400,0)),H_Tables!$A$1:$A$1500,0)),"")</f>
        <v/>
      </c>
      <c r="AI261" s="119" t="str">
        <f t="shared" si="78"/>
        <v/>
      </c>
      <c r="AJ261" s="121">
        <f>IFERROR(INDEX(SF_Output!AD:AD,MATCH(_xlfn.TEXTJOIN(",",TRUE,B261:E261),SF_Output!AC12:AC411,0)),0.05)</f>
        <v>230</v>
      </c>
      <c r="AK261" t="str">
        <f>IF(SUMIFS(SF_Output!$F$1:$F$400,SF_Output!$AC$1:$AC$400,_xlfn.TEXTJOIN(",",TRUE,B261:E261))+SUMIFS(SF_Output!$G$1:$G$400,SF_Output!$AC$1:$AC$400,_xlfn.TEXTJOIN(",",TRUE,B261:E261))=0,"","PAP")</f>
        <v/>
      </c>
      <c r="AL261" s="35" t="str">
        <f t="shared" si="79"/>
        <v/>
      </c>
      <c r="AQ261" s="35"/>
      <c r="AR261" s="35" t="str" cm="1">
        <f t="array" ref="AR261">IFERROR(_xlfn.IFS(AND(E261*1=1,F261="Included"),"Change to Included",AND(E261*1=0,F261="Optional"),"Change to Optional",OR(B261="",F261="replaced"),""),"")</f>
        <v/>
      </c>
      <c r="AS261" s="35" t="str">
        <f t="shared" si="80"/>
        <v/>
      </c>
      <c r="AT261" s="35" t="str">
        <f t="shared" si="81"/>
        <v/>
      </c>
      <c r="AU261" s="35" t="str">
        <f t="shared" si="82"/>
        <v/>
      </c>
      <c r="AV261" s="35" t="str">
        <f t="shared" si="83"/>
        <v/>
      </c>
      <c r="AW261" s="35" t="str">
        <f t="shared" si="84"/>
        <v/>
      </c>
      <c r="AX261" s="35" t="str">
        <f t="shared" si="85"/>
        <v/>
      </c>
      <c r="AY261" s="35" t="str">
        <f t="shared" si="86"/>
        <v/>
      </c>
      <c r="AZ261" s="35" t="str">
        <f t="shared" si="87"/>
        <v/>
      </c>
      <c r="BA261" s="35" t="str">
        <f t="shared" si="88"/>
        <v/>
      </c>
      <c r="BB261" s="35" t="str">
        <f t="shared" si="89"/>
        <v/>
      </c>
      <c r="BC261" s="35"/>
      <c r="BE261" s="35" t="e">
        <f>INDEX(SF_Output!$AA$2:$AA$400,MATCH($B261,SF_Output!$M$2:$M$400,0))</f>
        <v>#N/A</v>
      </c>
      <c r="BF261" s="35" t="e">
        <f>INDEX(SF_Output!$AB$2:$AB$400,MATCH($B261,SF_Output!$M$2:$M$400,0))</f>
        <v>#N/A</v>
      </c>
    </row>
    <row r="262" spans="6:58" x14ac:dyDescent="0.25">
      <c r="F262" s="116" t="str">
        <f t="shared" si="72"/>
        <v/>
      </c>
      <c r="G262" t="str">
        <f>IF(B262="","",INDEX(SF_Output!$K$1:$K$400,MATCH(B262,SF_Output!$M$1:$M$400,0)))</f>
        <v/>
      </c>
      <c r="H262" t="str" cm="1">
        <f t="array" ref="H262">_xlfn.IFS(B262="","",(SUMIFS(SF_Output!$F$1:$F$400,SF_Output!$AC$1:$AC$400,_xlfn.TEXTJOIN(",",TRUE,B262:E262))+SUMIFS(SF_Output!$G$1:$G$400,SF_Output!$AC$1:$AC$400,_xlfn.TEXTJOIN(",",TRUE,B262:E262)))&lt;&gt;0,SF_Output!$Y$2,INDEX(SF_Output!$F$1:$F$400,MATCH(_xlfn.TEXTJOIN(",",TRUE,B262:E262),SF_Output!$AC$1:$AC$400,0))=0,INDEX(SF_Output!$R$1:$R$400,MATCH(_xlfn.TEXTJOIN(",",TRUE,B262:E262),SF_Output!$AC$1:$AC$400,0)))</f>
        <v/>
      </c>
      <c r="I262" s="125" t="str">
        <f>IFERROR(IF(AND(H262&gt;1,H262&lt;&gt;""),ROUND(SUMIFS(SF_Output!$S$1:$S$400,SF_Output!$AC$1:$AC$400,_xlfn.TEXTJOIN(",",TRUE,B262:E262),SF_Output!$Q$1:$Q$400,"monthly")*(1-W262)/H262,4),""),"")</f>
        <v/>
      </c>
      <c r="J262" s="6" t="str">
        <f>IF(B262="","",SUMIFS(SF_Output!$S$1:$S$400,SF_Output!$AC$1:$AC$400,_xlfn.TEXTJOIN(",",TRUE,B262:E262),SF_Output!$Q$1:$Q$400,"One Time",SF_Output!$L$1:$L$400,"license fee")+SUMIFS(SF_Output!$S$1:$S$400,SF_Output!$AC$1:$AC$400,_xlfn.TEXTJOIN(",",TRUE,B262:E262),SF_Output!$Q$1:$Q$400,"One Time",SF_Output!$L$1:$L$400,"software license")+SUMIFS(SF_Output!$S$1:$S$400,SF_Output!$AC$1:$AC$400,_xlfn.TEXTJOIN(",",TRUE,B262:E262),SF_Output!$Q$1:$Q$400,"One Time",SF_Output!$L$1:$L$400,"hardware"))</f>
        <v/>
      </c>
      <c r="K262" s="112" t="str">
        <f>IF(OR(B262=0,B262="",G262="hardware",J262=0),"",IF(AF262&lt;&gt;"exclusion",MAX(K$9,-((SUMIFS(SF_Output!$T$1:$T$400,SF_Output!$AC$1:$AC$400,_xlfn.TEXTJOIN(",",TRUE,$B262:$E262),SF_Output!$Q$1:$Q$400,"One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license"))/J262)))</f>
        <v/>
      </c>
      <c r="L262" s="6" t="str">
        <f t="shared" si="73"/>
        <v/>
      </c>
      <c r="N262" s="6" t="str">
        <f>IF(B262="","",SUMIFS(SF_Output!$S$1:$S$400,SF_Output!$AC$1:$AC$400,_xlfn.TEXTJOIN(",",TRUE,B262:E262),SF_Output!$Q$1:$Q$400,"One Time",SF_Output!$L$1:$L$400,"professional service"))</f>
        <v/>
      </c>
      <c r="O262" s="112" t="str">
        <f>IF(OR(B262=0,B262="",N262=0),"",IF(AF262&lt;&gt;"exclusion",MAX(O$9,-(SUMIFS(SF_Output!$T$1:$T$400,SF_Output!$AC$1:$AC$400,_xlfn.TEXTJOIN(",",TRUE,$B262:$E262),SF_Output!$Q$1:$Q$400,"One Time",SF_Output!$L$1:$L$400,"professional service"))/N262),-((SUMIFS(SF_Output!$T$1:$T$400,SF_Output!$AC$1:$AC$400,_xlfn.TEXTJOIN(",",TRUE,$B262:$E262),SF_Output!$Q$1:$Q$400,"One Time",SF_Output!$L$1:$L$400,"professional service")/N262))))</f>
        <v/>
      </c>
      <c r="P262" s="6" t="str">
        <f t="shared" si="74"/>
        <v/>
      </c>
      <c r="R262" s="6" t="str">
        <f>IF(B262="","",SUMIFS(SF_Output!$S$1:$S$400,SF_Output!$AC$1:$AC$400,_xlfn.TEXTJOIN(",",TRUE,B262:E262),SF_Output!$Q$1:$Q$400,"yearly")+SUMIFS(SF_Output!$S$1:$S$400,SF_Output!$AC$1:$AC$400,_xlfn.TEXTJOIN(",",TRUE,B262:E262),SF_Output!$Q$1:$Q$400,"quarterly")*4)</f>
        <v/>
      </c>
      <c r="S262" s="112" t="str">
        <f>IF(OR(B262=0,B262="",G262="hardware",R262=0),"",IF(AF262&lt;&gt;"exclusion",MAX(S$9,-(SUMIFS(SF_Output!$T$1:$T$400,SF_Output!$AC$1:$AC$400,_xlfn.TEXTJOIN(",",TRUE,$B262:$E262),SF_Output!$Q$1:$Q$400,"yearly"))/R262),-((SUMIFS(SF_Output!$T$1:$T$400,SF_Output!$AC$1:$AC$400,_xlfn.TEXTJOIN(",",TRUE,$B262:$E262),SF_Output!$Q$1:$Q$400,"yearly")/R262))))</f>
        <v/>
      </c>
      <c r="T262" s="6" t="str">
        <f t="shared" si="75"/>
        <v/>
      </c>
      <c r="V262" s="6" t="str" cm="1">
        <f t="array" ref="V262">_xlfn.IFS(B262="","",AND(B262&lt;&gt;"",H262=SF_Output!$Y$2,SUMIFS(SF_Output!$T$1:$T$400,SF_Output!$AC$1:$AC$400,_xlfn.TEXTJOIN(",",TRUE,B262:E262),SF_Output!$Q$1:$Q$400,"monthly")=0),(SUMIFS(SF_Output!$F$1:$F$400,SF_Output!$AC$1:$AC$400,_xlfn.TEXTJOIN(",",TRUE,B262:E262),SF_Output!$Q$1:$Q$400,"monthly")+SUMIFS(SF_Output!$G$1:$G$400,SF_Output!$AC$1:$AC$400,_xlfn.TEXTJOIN(",",TRUE,B262:E262),SF_Output!$Q$1:$Q$400,"monthly"))*H262,AND(B262&lt;&gt;"",H262=SF_Output!$Y$2,SUMIFS(SF_Output!$T$1:$T$400,SF_Output!$AC$1:$AC$400,_xlfn.TEXTJOIN(",",TRUE,B262:E262),SF_Output!$Q$1:$Q$400,"monthly")&lt;&gt;0),SUMIFS(SF_Output!$S$1:$S$400,SF_Output!$AC$1:$AC$400,_xlfn.TEXTJOIN(",",TRUE,B262:E262),SF_Output!$Q$1:$Q$400,"monthly"),AND(B262&lt;&gt;"",H262&lt;&gt;SF_Output!$Y$2),SUMIFS(SF_Output!$S$1:$S$400,SF_Output!$AC$1:$AC$400,_xlfn.TEXTJOIN(",",TRUE,B262:E262),SF_Output!$Q$1:$Q$400,"monthly"))</f>
        <v/>
      </c>
      <c r="W262" s="112" t="str" cm="1">
        <f t="array" ref="W262">_xlfn.IFS(OR(B262=0,B262="",V262=0),"",AF262&lt;&gt;"exclusion",MAX($W$9,$W$7,(-(SUMIFS(SF_Output!$T$1:$T$400,SF_Output!$AC$1:$AC$400,_xlfn.TEXTJOIN(",",TRUE,$B262:$E262),SF_Output!$Q$1:$Q$400,"monthly"))/V262)),AF262="exclusion",-(SUMIFS(SF_Output!$T$1:$T$400,SF_Output!$AC$1:$AC$400,_xlfn.TEXTJOIN(",",TRUE,$B262:$E262),SF_Output!$Q$1:$Q$400,"monthly"))/V262)</f>
        <v/>
      </c>
      <c r="X262" s="6" t="str" cm="1">
        <f t="array" ref="X262">IFERROR(_xlfn.IFS(V262=0,0,V262="","",W262=0,V262,OR(V262&lt;&gt;0,V262&lt;&gt;""),H262*I262),V262*(1-W262))</f>
        <v/>
      </c>
      <c r="Z262" s="6" t="str">
        <f>IFERROR(IF(B262="","",SUMIFS(Billing_Fallout!H:H,Billing_Fallout!N:N,B262)),0)</f>
        <v/>
      </c>
      <c r="AA262" s="6" t="str">
        <f t="shared" si="76"/>
        <v/>
      </c>
      <c r="AB262" s="6" t="str">
        <f>IFERROR(IF(B262="","",SUMIFS(Billing_Fallout!J:J,Billing_Fallout!N:N,B262)),0)</f>
        <v/>
      </c>
      <c r="AD262" s="6" t="str">
        <f t="shared" si="77"/>
        <v/>
      </c>
      <c r="AF262" t="str">
        <f>IFERROR(INDEX(H_Tables!$B$1:$B$1500,MATCH(INDEX(SF_Output!$J$1:$J$400,MATCH(B262,SF_Output!$M$1:$M$400,0)),H_Tables!$A$1:$A$1500,0)),"")</f>
        <v/>
      </c>
      <c r="AI262" s="119" t="str">
        <f t="shared" si="78"/>
        <v/>
      </c>
      <c r="AJ262" s="121">
        <f>IFERROR(INDEX(SF_Output!AD:AD,MATCH(_xlfn.TEXTJOIN(",",TRUE,B262:E262),SF_Output!AC13:AC412,0)),0.05)</f>
        <v>229</v>
      </c>
      <c r="AK262" t="str">
        <f>IF(SUMIFS(SF_Output!$F$1:$F$400,SF_Output!$AC$1:$AC$400,_xlfn.TEXTJOIN(",",TRUE,B262:E262))+SUMIFS(SF_Output!$G$1:$G$400,SF_Output!$AC$1:$AC$400,_xlfn.TEXTJOIN(",",TRUE,B262:E262))=0,"","PAP")</f>
        <v/>
      </c>
      <c r="AL262" s="35" t="str">
        <f t="shared" si="79"/>
        <v/>
      </c>
      <c r="AQ262" s="35"/>
      <c r="AR262" s="35" t="str" cm="1">
        <f t="array" ref="AR262">IFERROR(_xlfn.IFS(AND(E262*1=1,F262="Included"),"Change to Included",AND(E262*1=0,F262="Optional"),"Change to Optional",OR(B262="",F262="replaced"),""),"")</f>
        <v/>
      </c>
      <c r="AS262" s="35" t="str">
        <f t="shared" si="80"/>
        <v/>
      </c>
      <c r="AT262" s="35" t="str">
        <f t="shared" si="81"/>
        <v/>
      </c>
      <c r="AU262" s="35" t="str">
        <f t="shared" si="82"/>
        <v/>
      </c>
      <c r="AV262" s="35" t="str">
        <f t="shared" si="83"/>
        <v/>
      </c>
      <c r="AW262" s="35" t="str">
        <f t="shared" si="84"/>
        <v/>
      </c>
      <c r="AX262" s="35" t="str">
        <f t="shared" si="85"/>
        <v/>
      </c>
      <c r="AY262" s="35" t="str">
        <f t="shared" si="86"/>
        <v/>
      </c>
      <c r="AZ262" s="35" t="str">
        <f t="shared" si="87"/>
        <v/>
      </c>
      <c r="BA262" s="35" t="str">
        <f t="shared" si="88"/>
        <v/>
      </c>
      <c r="BB262" s="35" t="str">
        <f t="shared" si="89"/>
        <v/>
      </c>
      <c r="BC262" s="35"/>
      <c r="BE262" s="35" t="e">
        <f>INDEX(SF_Output!$AA$2:$AA$400,MATCH($B262,SF_Output!$M$2:$M$400,0))</f>
        <v>#N/A</v>
      </c>
      <c r="BF262" s="35" t="e">
        <f>INDEX(SF_Output!$AB$2:$AB$400,MATCH($B262,SF_Output!$M$2:$M$400,0))</f>
        <v>#N/A</v>
      </c>
    </row>
    <row r="263" spans="6:58" x14ac:dyDescent="0.25">
      <c r="F263" s="116" t="str">
        <f t="shared" si="72"/>
        <v/>
      </c>
      <c r="G263" t="str">
        <f>IF(B263="","",INDEX(SF_Output!$K$1:$K$400,MATCH(B263,SF_Output!$M$1:$M$400,0)))</f>
        <v/>
      </c>
      <c r="H263" t="str" cm="1">
        <f t="array" ref="H263">_xlfn.IFS(B263="","",(SUMIFS(SF_Output!$F$1:$F$400,SF_Output!$AC$1:$AC$400,_xlfn.TEXTJOIN(",",TRUE,B263:E263))+SUMIFS(SF_Output!$G$1:$G$400,SF_Output!$AC$1:$AC$400,_xlfn.TEXTJOIN(",",TRUE,B263:E263)))&lt;&gt;0,SF_Output!$Y$2,INDEX(SF_Output!$F$1:$F$400,MATCH(_xlfn.TEXTJOIN(",",TRUE,B263:E263),SF_Output!$AC$1:$AC$400,0))=0,INDEX(SF_Output!$R$1:$R$400,MATCH(_xlfn.TEXTJOIN(",",TRUE,B263:E263),SF_Output!$AC$1:$AC$400,0)))</f>
        <v/>
      </c>
      <c r="I263" s="125" t="str">
        <f>IFERROR(IF(AND(H263&gt;1,H263&lt;&gt;""),ROUND(SUMIFS(SF_Output!$S$1:$S$400,SF_Output!$AC$1:$AC$400,_xlfn.TEXTJOIN(",",TRUE,B263:E263),SF_Output!$Q$1:$Q$400,"monthly")*(1-W263)/H263,4),""),"")</f>
        <v/>
      </c>
      <c r="J263" s="6" t="str">
        <f>IF(B263="","",SUMIFS(SF_Output!$S$1:$S$400,SF_Output!$AC$1:$AC$400,_xlfn.TEXTJOIN(",",TRUE,B263:E263),SF_Output!$Q$1:$Q$400,"One Time",SF_Output!$L$1:$L$400,"license fee")+SUMIFS(SF_Output!$S$1:$S$400,SF_Output!$AC$1:$AC$400,_xlfn.TEXTJOIN(",",TRUE,B263:E263),SF_Output!$Q$1:$Q$400,"One Time",SF_Output!$L$1:$L$400,"software license")+SUMIFS(SF_Output!$S$1:$S$400,SF_Output!$AC$1:$AC$400,_xlfn.TEXTJOIN(",",TRUE,B263:E263),SF_Output!$Q$1:$Q$400,"One Time",SF_Output!$L$1:$L$400,"hardware"))</f>
        <v/>
      </c>
      <c r="K263" s="112" t="str">
        <f>IF(OR(B263=0,B263="",G263="hardware",J263=0),"",IF(AF263&lt;&gt;"exclusion",MAX(K$9,-((SUMIFS(SF_Output!$T$1:$T$400,SF_Output!$AC$1:$AC$400,_xlfn.TEXTJOIN(",",TRUE,$B263:$E263),SF_Output!$Q$1:$Q$400,"One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license"))/J263)))</f>
        <v/>
      </c>
      <c r="L263" s="6" t="str">
        <f t="shared" si="73"/>
        <v/>
      </c>
      <c r="N263" s="6" t="str">
        <f>IF(B263="","",SUMIFS(SF_Output!$S$1:$S$400,SF_Output!$AC$1:$AC$400,_xlfn.TEXTJOIN(",",TRUE,B263:E263),SF_Output!$Q$1:$Q$400,"One Time",SF_Output!$L$1:$L$400,"professional service"))</f>
        <v/>
      </c>
      <c r="O263" s="112" t="str">
        <f>IF(OR(B263=0,B263="",N263=0),"",IF(AF263&lt;&gt;"exclusion",MAX(O$9,-(SUMIFS(SF_Output!$T$1:$T$400,SF_Output!$AC$1:$AC$400,_xlfn.TEXTJOIN(",",TRUE,$B263:$E263),SF_Output!$Q$1:$Q$400,"One Time",SF_Output!$L$1:$L$400,"professional service"))/N263),-((SUMIFS(SF_Output!$T$1:$T$400,SF_Output!$AC$1:$AC$400,_xlfn.TEXTJOIN(",",TRUE,$B263:$E263),SF_Output!$Q$1:$Q$400,"One Time",SF_Output!$L$1:$L$400,"professional service")/N263))))</f>
        <v/>
      </c>
      <c r="P263" s="6" t="str">
        <f t="shared" si="74"/>
        <v/>
      </c>
      <c r="R263" s="6" t="str">
        <f>IF(B263="","",SUMIFS(SF_Output!$S$1:$S$400,SF_Output!$AC$1:$AC$400,_xlfn.TEXTJOIN(",",TRUE,B263:E263),SF_Output!$Q$1:$Q$400,"yearly")+SUMIFS(SF_Output!$S$1:$S$400,SF_Output!$AC$1:$AC$400,_xlfn.TEXTJOIN(",",TRUE,B263:E263),SF_Output!$Q$1:$Q$400,"quarterly")*4)</f>
        <v/>
      </c>
      <c r="S263" s="112" t="str">
        <f>IF(OR(B263=0,B263="",G263="hardware",R263=0),"",IF(AF263&lt;&gt;"exclusion",MAX(S$9,-(SUMIFS(SF_Output!$T$1:$T$400,SF_Output!$AC$1:$AC$400,_xlfn.TEXTJOIN(",",TRUE,$B263:$E263),SF_Output!$Q$1:$Q$400,"yearly"))/R263),-((SUMIFS(SF_Output!$T$1:$T$400,SF_Output!$AC$1:$AC$400,_xlfn.TEXTJOIN(",",TRUE,$B263:$E263),SF_Output!$Q$1:$Q$400,"yearly")/R263))))</f>
        <v/>
      </c>
      <c r="T263" s="6" t="str">
        <f t="shared" si="75"/>
        <v/>
      </c>
      <c r="V263" s="6" t="str" cm="1">
        <f t="array" ref="V263">_xlfn.IFS(B263="","",AND(B263&lt;&gt;"",H263=SF_Output!$Y$2,SUMIFS(SF_Output!$T$1:$T$400,SF_Output!$AC$1:$AC$400,_xlfn.TEXTJOIN(",",TRUE,B263:E263),SF_Output!$Q$1:$Q$400,"monthly")=0),(SUMIFS(SF_Output!$F$1:$F$400,SF_Output!$AC$1:$AC$400,_xlfn.TEXTJOIN(",",TRUE,B263:E263),SF_Output!$Q$1:$Q$400,"monthly")+SUMIFS(SF_Output!$G$1:$G$400,SF_Output!$AC$1:$AC$400,_xlfn.TEXTJOIN(",",TRUE,B263:E263),SF_Output!$Q$1:$Q$400,"monthly"))*H263,AND(B263&lt;&gt;"",H263=SF_Output!$Y$2,SUMIFS(SF_Output!$T$1:$T$400,SF_Output!$AC$1:$AC$400,_xlfn.TEXTJOIN(",",TRUE,B263:E263),SF_Output!$Q$1:$Q$400,"monthly")&lt;&gt;0),SUMIFS(SF_Output!$S$1:$S$400,SF_Output!$AC$1:$AC$400,_xlfn.TEXTJOIN(",",TRUE,B263:E263),SF_Output!$Q$1:$Q$400,"monthly"),AND(B263&lt;&gt;"",H263&lt;&gt;SF_Output!$Y$2),SUMIFS(SF_Output!$S$1:$S$400,SF_Output!$AC$1:$AC$400,_xlfn.TEXTJOIN(",",TRUE,B263:E263),SF_Output!$Q$1:$Q$400,"monthly"))</f>
        <v/>
      </c>
      <c r="W263" s="112" t="str" cm="1">
        <f t="array" ref="W263">_xlfn.IFS(OR(B263=0,B263="",V263=0),"",AF263&lt;&gt;"exclusion",MAX($W$9,$W$7,(-(SUMIFS(SF_Output!$T$1:$T$400,SF_Output!$AC$1:$AC$400,_xlfn.TEXTJOIN(",",TRUE,$B263:$E263),SF_Output!$Q$1:$Q$400,"monthly"))/V263)),AF263="exclusion",-(SUMIFS(SF_Output!$T$1:$T$400,SF_Output!$AC$1:$AC$400,_xlfn.TEXTJOIN(",",TRUE,$B263:$E263),SF_Output!$Q$1:$Q$400,"monthly"))/V263)</f>
        <v/>
      </c>
      <c r="X263" s="6" t="str" cm="1">
        <f t="array" ref="X263">IFERROR(_xlfn.IFS(V263=0,0,V263="","",W263=0,V263,OR(V263&lt;&gt;0,V263&lt;&gt;""),H263*I263),V263*(1-W263))</f>
        <v/>
      </c>
      <c r="Z263" s="6" t="str">
        <f>IFERROR(IF(B263="","",SUMIFS(Billing_Fallout!H:H,Billing_Fallout!N:N,B263)),0)</f>
        <v/>
      </c>
      <c r="AA263" s="6" t="str">
        <f t="shared" si="76"/>
        <v/>
      </c>
      <c r="AB263" s="6" t="str">
        <f>IFERROR(IF(B263="","",SUMIFS(Billing_Fallout!J:J,Billing_Fallout!N:N,B263)),0)</f>
        <v/>
      </c>
      <c r="AD263" s="6" t="str">
        <f t="shared" si="77"/>
        <v/>
      </c>
      <c r="AF263" t="str">
        <f>IFERROR(INDEX(H_Tables!$B$1:$B$1500,MATCH(INDEX(SF_Output!$J$1:$J$400,MATCH(B263,SF_Output!$M$1:$M$400,0)),H_Tables!$A$1:$A$1500,0)),"")</f>
        <v/>
      </c>
      <c r="AI263" s="119" t="str">
        <f t="shared" si="78"/>
        <v/>
      </c>
      <c r="AJ263" s="121">
        <f>IFERROR(INDEX(SF_Output!AD:AD,MATCH(_xlfn.TEXTJOIN(",",TRUE,B263:E263),SF_Output!AC14:AC413,0)),0.05)</f>
        <v>228</v>
      </c>
      <c r="AK263" t="str">
        <f>IF(SUMIFS(SF_Output!$F$1:$F$400,SF_Output!$AC$1:$AC$400,_xlfn.TEXTJOIN(",",TRUE,B263:E263))+SUMIFS(SF_Output!$G$1:$G$400,SF_Output!$AC$1:$AC$400,_xlfn.TEXTJOIN(",",TRUE,B263:E263))=0,"","PAP")</f>
        <v/>
      </c>
      <c r="AL263" s="35" t="str">
        <f t="shared" si="79"/>
        <v/>
      </c>
      <c r="AQ263" s="35"/>
      <c r="AR263" s="35" t="str" cm="1">
        <f t="array" ref="AR263">IFERROR(_xlfn.IFS(AND(E263*1=1,F263="Included"),"Change to Included",AND(E263*1=0,F263="Optional"),"Change to Optional",OR(B263="",F263="replaced"),""),"")</f>
        <v/>
      </c>
      <c r="AS263" s="35" t="str">
        <f t="shared" si="80"/>
        <v/>
      </c>
      <c r="AT263" s="35" t="str">
        <f t="shared" si="81"/>
        <v/>
      </c>
      <c r="AU263" s="35" t="str">
        <f t="shared" si="82"/>
        <v/>
      </c>
      <c r="AV263" s="35" t="str">
        <f t="shared" si="83"/>
        <v/>
      </c>
      <c r="AW263" s="35" t="str">
        <f t="shared" si="84"/>
        <v/>
      </c>
      <c r="AX263" s="35" t="str">
        <f t="shared" si="85"/>
        <v/>
      </c>
      <c r="AY263" s="35" t="str">
        <f t="shared" si="86"/>
        <v/>
      </c>
      <c r="AZ263" s="35" t="str">
        <f t="shared" si="87"/>
        <v/>
      </c>
      <c r="BA263" s="35" t="str">
        <f t="shared" si="88"/>
        <v/>
      </c>
      <c r="BB263" s="35" t="str">
        <f t="shared" si="89"/>
        <v/>
      </c>
      <c r="BC263" s="35"/>
      <c r="BE263" s="35" t="e">
        <f>INDEX(SF_Output!$AA$2:$AA$400,MATCH($B263,SF_Output!$M$2:$M$400,0))</f>
        <v>#N/A</v>
      </c>
      <c r="BF263" s="35" t="e">
        <f>INDEX(SF_Output!$AB$2:$AB$400,MATCH($B263,SF_Output!$M$2:$M$400,0))</f>
        <v>#N/A</v>
      </c>
    </row>
    <row r="264" spans="6:58" x14ac:dyDescent="0.25">
      <c r="F264" s="116" t="str">
        <f t="shared" si="72"/>
        <v/>
      </c>
      <c r="G264" t="str">
        <f>IF(B264="","",INDEX(SF_Output!$K$1:$K$400,MATCH(B264,SF_Output!$M$1:$M$400,0)))</f>
        <v/>
      </c>
      <c r="H264" t="str" cm="1">
        <f t="array" ref="H264">_xlfn.IFS(B264="","",(SUMIFS(SF_Output!$F$1:$F$400,SF_Output!$AC$1:$AC$400,_xlfn.TEXTJOIN(",",TRUE,B264:E264))+SUMIFS(SF_Output!$G$1:$G$400,SF_Output!$AC$1:$AC$400,_xlfn.TEXTJOIN(",",TRUE,B264:E264)))&lt;&gt;0,SF_Output!$Y$2,INDEX(SF_Output!$F$1:$F$400,MATCH(_xlfn.TEXTJOIN(",",TRUE,B264:E264),SF_Output!$AC$1:$AC$400,0))=0,INDEX(SF_Output!$R$1:$R$400,MATCH(_xlfn.TEXTJOIN(",",TRUE,B264:E264),SF_Output!$AC$1:$AC$400,0)))</f>
        <v/>
      </c>
      <c r="I264" s="125" t="str">
        <f>IFERROR(IF(AND(H264&gt;1,H264&lt;&gt;""),ROUND(SUMIFS(SF_Output!$S$1:$S$400,SF_Output!$AC$1:$AC$400,_xlfn.TEXTJOIN(",",TRUE,B264:E264),SF_Output!$Q$1:$Q$400,"monthly")*(1-W264)/H264,4),""),"")</f>
        <v/>
      </c>
      <c r="J264" s="6" t="str">
        <f>IF(B264="","",SUMIFS(SF_Output!$S$1:$S$400,SF_Output!$AC$1:$AC$400,_xlfn.TEXTJOIN(",",TRUE,B264:E264),SF_Output!$Q$1:$Q$400,"One Time",SF_Output!$L$1:$L$400,"license fee")+SUMIFS(SF_Output!$S$1:$S$400,SF_Output!$AC$1:$AC$400,_xlfn.TEXTJOIN(",",TRUE,B264:E264),SF_Output!$Q$1:$Q$400,"One Time",SF_Output!$L$1:$L$400,"software license")+SUMIFS(SF_Output!$S$1:$S$400,SF_Output!$AC$1:$AC$400,_xlfn.TEXTJOIN(",",TRUE,B264:E264),SF_Output!$Q$1:$Q$400,"One Time",SF_Output!$L$1:$L$400,"hardware"))</f>
        <v/>
      </c>
      <c r="K264" s="112" t="str">
        <f>IF(OR(B264=0,B264="",G264="hardware",J264=0),"",IF(AF264&lt;&gt;"exclusion",MAX(K$9,-((SUMIFS(SF_Output!$T$1:$T$400,SF_Output!$AC$1:$AC$400,_xlfn.TEXTJOIN(",",TRUE,$B264:$E264),SF_Output!$Q$1:$Q$400,"One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license"))/J264)))</f>
        <v/>
      </c>
      <c r="L264" s="6" t="str">
        <f t="shared" si="73"/>
        <v/>
      </c>
      <c r="N264" s="6" t="str">
        <f>IF(B264="","",SUMIFS(SF_Output!$S$1:$S$400,SF_Output!$AC$1:$AC$400,_xlfn.TEXTJOIN(",",TRUE,B264:E264),SF_Output!$Q$1:$Q$400,"One Time",SF_Output!$L$1:$L$400,"professional service"))</f>
        <v/>
      </c>
      <c r="O264" s="112" t="str">
        <f>IF(OR(B264=0,B264="",N264=0),"",IF(AF264&lt;&gt;"exclusion",MAX(O$9,-(SUMIFS(SF_Output!$T$1:$T$400,SF_Output!$AC$1:$AC$400,_xlfn.TEXTJOIN(",",TRUE,$B264:$E264),SF_Output!$Q$1:$Q$400,"One Time",SF_Output!$L$1:$L$400,"professional service"))/N264),-((SUMIFS(SF_Output!$T$1:$T$400,SF_Output!$AC$1:$AC$400,_xlfn.TEXTJOIN(",",TRUE,$B264:$E264),SF_Output!$Q$1:$Q$400,"One Time",SF_Output!$L$1:$L$400,"professional service")/N264))))</f>
        <v/>
      </c>
      <c r="P264" s="6" t="str">
        <f t="shared" si="74"/>
        <v/>
      </c>
      <c r="R264" s="6" t="str">
        <f>IF(B264="","",SUMIFS(SF_Output!$S$1:$S$400,SF_Output!$AC$1:$AC$400,_xlfn.TEXTJOIN(",",TRUE,B264:E264),SF_Output!$Q$1:$Q$400,"yearly")+SUMIFS(SF_Output!$S$1:$S$400,SF_Output!$AC$1:$AC$400,_xlfn.TEXTJOIN(",",TRUE,B264:E264),SF_Output!$Q$1:$Q$400,"quarterly")*4)</f>
        <v/>
      </c>
      <c r="S264" s="112" t="str">
        <f>IF(OR(B264=0,B264="",G264="hardware",R264=0),"",IF(AF264&lt;&gt;"exclusion",MAX(S$9,-(SUMIFS(SF_Output!$T$1:$T$400,SF_Output!$AC$1:$AC$400,_xlfn.TEXTJOIN(",",TRUE,$B264:$E264),SF_Output!$Q$1:$Q$400,"yearly"))/R264),-((SUMIFS(SF_Output!$T$1:$T$400,SF_Output!$AC$1:$AC$400,_xlfn.TEXTJOIN(",",TRUE,$B264:$E264),SF_Output!$Q$1:$Q$400,"yearly")/R264))))</f>
        <v/>
      </c>
      <c r="T264" s="6" t="str">
        <f t="shared" si="75"/>
        <v/>
      </c>
      <c r="V264" s="6" t="str" cm="1">
        <f t="array" ref="V264">_xlfn.IFS(B264="","",AND(B264&lt;&gt;"",H264=SF_Output!$Y$2,SUMIFS(SF_Output!$T$1:$T$400,SF_Output!$AC$1:$AC$400,_xlfn.TEXTJOIN(",",TRUE,B264:E264),SF_Output!$Q$1:$Q$400,"monthly")=0),(SUMIFS(SF_Output!$F$1:$F$400,SF_Output!$AC$1:$AC$400,_xlfn.TEXTJOIN(",",TRUE,B264:E264),SF_Output!$Q$1:$Q$400,"monthly")+SUMIFS(SF_Output!$G$1:$G$400,SF_Output!$AC$1:$AC$400,_xlfn.TEXTJOIN(",",TRUE,B264:E264),SF_Output!$Q$1:$Q$400,"monthly"))*H264,AND(B264&lt;&gt;"",H264=SF_Output!$Y$2,SUMIFS(SF_Output!$T$1:$T$400,SF_Output!$AC$1:$AC$400,_xlfn.TEXTJOIN(",",TRUE,B264:E264),SF_Output!$Q$1:$Q$400,"monthly")&lt;&gt;0),SUMIFS(SF_Output!$S$1:$S$400,SF_Output!$AC$1:$AC$400,_xlfn.TEXTJOIN(",",TRUE,B264:E264),SF_Output!$Q$1:$Q$400,"monthly"),AND(B264&lt;&gt;"",H264&lt;&gt;SF_Output!$Y$2),SUMIFS(SF_Output!$S$1:$S$400,SF_Output!$AC$1:$AC$400,_xlfn.TEXTJOIN(",",TRUE,B264:E264),SF_Output!$Q$1:$Q$400,"monthly"))</f>
        <v/>
      </c>
      <c r="W264" s="112" t="str" cm="1">
        <f t="array" ref="W264">_xlfn.IFS(OR(B264=0,B264="",V264=0),"",AF264&lt;&gt;"exclusion",MAX($W$9,$W$7,(-(SUMIFS(SF_Output!$T$1:$T$400,SF_Output!$AC$1:$AC$400,_xlfn.TEXTJOIN(",",TRUE,$B264:$E264),SF_Output!$Q$1:$Q$400,"monthly"))/V264)),AF264="exclusion",-(SUMIFS(SF_Output!$T$1:$T$400,SF_Output!$AC$1:$AC$400,_xlfn.TEXTJOIN(",",TRUE,$B264:$E264),SF_Output!$Q$1:$Q$400,"monthly"))/V264)</f>
        <v/>
      </c>
      <c r="X264" s="6" t="str" cm="1">
        <f t="array" ref="X264">IFERROR(_xlfn.IFS(V264=0,0,V264="","",W264=0,V264,OR(V264&lt;&gt;0,V264&lt;&gt;""),H264*I264),V264*(1-W264))</f>
        <v/>
      </c>
      <c r="Z264" s="6" t="str">
        <f>IFERROR(IF(B264="","",SUMIFS(Billing_Fallout!H:H,Billing_Fallout!N:N,B264)),0)</f>
        <v/>
      </c>
      <c r="AA264" s="6" t="str">
        <f t="shared" si="76"/>
        <v/>
      </c>
      <c r="AB264" s="6" t="str">
        <f>IFERROR(IF(B264="","",SUMIFS(Billing_Fallout!J:J,Billing_Fallout!N:N,B264)),0)</f>
        <v/>
      </c>
      <c r="AD264" s="6" t="str">
        <f t="shared" si="77"/>
        <v/>
      </c>
      <c r="AF264" t="str">
        <f>IFERROR(INDEX(H_Tables!$B$1:$B$1500,MATCH(INDEX(SF_Output!$J$1:$J$400,MATCH(B264,SF_Output!$M$1:$M$400,0)),H_Tables!$A$1:$A$1500,0)),"")</f>
        <v/>
      </c>
      <c r="AI264" s="119" t="str">
        <f t="shared" si="78"/>
        <v/>
      </c>
      <c r="AJ264" s="121">
        <f>IFERROR(INDEX(SF_Output!AD:AD,MATCH(_xlfn.TEXTJOIN(",",TRUE,B264:E264),SF_Output!AC15:AC414,0)),0.05)</f>
        <v>227</v>
      </c>
      <c r="AK264" t="str">
        <f>IF(SUMIFS(SF_Output!$F$1:$F$400,SF_Output!$AC$1:$AC$400,_xlfn.TEXTJOIN(",",TRUE,B264:E264))+SUMIFS(SF_Output!$G$1:$G$400,SF_Output!$AC$1:$AC$400,_xlfn.TEXTJOIN(",",TRUE,B264:E264))=0,"","PAP")</f>
        <v/>
      </c>
      <c r="AL264" s="35" t="str">
        <f t="shared" si="79"/>
        <v/>
      </c>
      <c r="AQ264" s="35"/>
      <c r="AR264" s="35" t="str" cm="1">
        <f t="array" ref="AR264">IFERROR(_xlfn.IFS(AND(E264*1=1,F264="Included"),"Change to Included",AND(E264*1=0,F264="Optional"),"Change to Optional",OR(B264="",F264="replaced"),""),"")</f>
        <v/>
      </c>
      <c r="AS264" s="35" t="str">
        <f t="shared" si="80"/>
        <v/>
      </c>
      <c r="AT264" s="35" t="str">
        <f t="shared" si="81"/>
        <v/>
      </c>
      <c r="AU264" s="35" t="str">
        <f t="shared" si="82"/>
        <v/>
      </c>
      <c r="AV264" s="35" t="str">
        <f t="shared" si="83"/>
        <v/>
      </c>
      <c r="AW264" s="35" t="str">
        <f t="shared" si="84"/>
        <v/>
      </c>
      <c r="AX264" s="35" t="str">
        <f t="shared" si="85"/>
        <v/>
      </c>
      <c r="AY264" s="35" t="str">
        <f t="shared" si="86"/>
        <v/>
      </c>
      <c r="AZ264" s="35" t="str">
        <f t="shared" si="87"/>
        <v/>
      </c>
      <c r="BA264" s="35" t="str">
        <f t="shared" si="88"/>
        <v/>
      </c>
      <c r="BB264" s="35" t="str">
        <f t="shared" si="89"/>
        <v/>
      </c>
      <c r="BC264" s="35"/>
      <c r="BE264" s="35" t="e">
        <f>INDEX(SF_Output!$AA$2:$AA$400,MATCH($B264,SF_Output!$M$2:$M$400,0))</f>
        <v>#N/A</v>
      </c>
      <c r="BF264" s="35" t="e">
        <f>INDEX(SF_Output!$AB$2:$AB$400,MATCH($B264,SF_Output!$M$2:$M$400,0))</f>
        <v>#N/A</v>
      </c>
    </row>
    <row r="265" spans="6:58" x14ac:dyDescent="0.25">
      <c r="F265" s="116" t="str">
        <f t="shared" si="72"/>
        <v/>
      </c>
      <c r="G265" t="str">
        <f>IF(B265="","",INDEX(SF_Output!$K$1:$K$400,MATCH(B265,SF_Output!$M$1:$M$400,0)))</f>
        <v/>
      </c>
      <c r="H265" t="str" cm="1">
        <f t="array" ref="H265">_xlfn.IFS(B265="","",(SUMIFS(SF_Output!$F$1:$F$400,SF_Output!$AC$1:$AC$400,_xlfn.TEXTJOIN(",",TRUE,B265:E265))+SUMIFS(SF_Output!$G$1:$G$400,SF_Output!$AC$1:$AC$400,_xlfn.TEXTJOIN(",",TRUE,B265:E265)))&lt;&gt;0,SF_Output!$Y$2,INDEX(SF_Output!$F$1:$F$400,MATCH(_xlfn.TEXTJOIN(",",TRUE,B265:E265),SF_Output!$AC$1:$AC$400,0))=0,INDEX(SF_Output!$R$1:$R$400,MATCH(_xlfn.TEXTJOIN(",",TRUE,B265:E265),SF_Output!$AC$1:$AC$400,0)))</f>
        <v/>
      </c>
      <c r="I265" s="125" t="str">
        <f>IFERROR(IF(AND(H265&gt;1,H265&lt;&gt;""),ROUND(SUMIFS(SF_Output!$S$1:$S$400,SF_Output!$AC$1:$AC$400,_xlfn.TEXTJOIN(",",TRUE,B265:E265),SF_Output!$Q$1:$Q$400,"monthly")*(1-W265)/H265,4),""),"")</f>
        <v/>
      </c>
      <c r="J265" s="6" t="str">
        <f>IF(B265="","",SUMIFS(SF_Output!$S$1:$S$400,SF_Output!$AC$1:$AC$400,_xlfn.TEXTJOIN(",",TRUE,B265:E265),SF_Output!$Q$1:$Q$400,"One Time",SF_Output!$L$1:$L$400,"license fee")+SUMIFS(SF_Output!$S$1:$S$400,SF_Output!$AC$1:$AC$400,_xlfn.TEXTJOIN(",",TRUE,B265:E265),SF_Output!$Q$1:$Q$400,"One Time",SF_Output!$L$1:$L$400,"software license")+SUMIFS(SF_Output!$S$1:$S$400,SF_Output!$AC$1:$AC$400,_xlfn.TEXTJOIN(",",TRUE,B265:E265),SF_Output!$Q$1:$Q$400,"One Time",SF_Output!$L$1:$L$400,"hardware"))</f>
        <v/>
      </c>
      <c r="K265" s="112" t="str">
        <f>IF(OR(B265=0,B265="",G265="hardware",J265=0),"",IF(AF265&lt;&gt;"exclusion",MAX(K$9,-((SUMIFS(SF_Output!$T$1:$T$400,SF_Output!$AC$1:$AC$400,_xlfn.TEXTJOIN(",",TRUE,$B265:$E265),SF_Output!$Q$1:$Q$400,"One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license"))/J265)))</f>
        <v/>
      </c>
      <c r="L265" s="6" t="str">
        <f t="shared" si="73"/>
        <v/>
      </c>
      <c r="N265" s="6" t="str">
        <f>IF(B265="","",SUMIFS(SF_Output!$S$1:$S$400,SF_Output!$AC$1:$AC$400,_xlfn.TEXTJOIN(",",TRUE,B265:E265),SF_Output!$Q$1:$Q$400,"One Time",SF_Output!$L$1:$L$400,"professional service"))</f>
        <v/>
      </c>
      <c r="O265" s="112" t="str">
        <f>IF(OR(B265=0,B265="",N265=0),"",IF(AF265&lt;&gt;"exclusion",MAX(O$9,-(SUMIFS(SF_Output!$T$1:$T$400,SF_Output!$AC$1:$AC$400,_xlfn.TEXTJOIN(",",TRUE,$B265:$E265),SF_Output!$Q$1:$Q$400,"One Time",SF_Output!$L$1:$L$400,"professional service"))/N265),-((SUMIFS(SF_Output!$T$1:$T$400,SF_Output!$AC$1:$AC$400,_xlfn.TEXTJOIN(",",TRUE,$B265:$E265),SF_Output!$Q$1:$Q$400,"One Time",SF_Output!$L$1:$L$400,"professional service")/N265))))</f>
        <v/>
      </c>
      <c r="P265" s="6" t="str">
        <f t="shared" si="74"/>
        <v/>
      </c>
      <c r="R265" s="6" t="str">
        <f>IF(B265="","",SUMIFS(SF_Output!$S$1:$S$400,SF_Output!$AC$1:$AC$400,_xlfn.TEXTJOIN(",",TRUE,B265:E265),SF_Output!$Q$1:$Q$400,"yearly")+SUMIFS(SF_Output!$S$1:$S$400,SF_Output!$AC$1:$AC$400,_xlfn.TEXTJOIN(",",TRUE,B265:E265),SF_Output!$Q$1:$Q$400,"quarterly")*4)</f>
        <v/>
      </c>
      <c r="S265" s="112" t="str">
        <f>IF(OR(B265=0,B265="",G265="hardware",R265=0),"",IF(AF265&lt;&gt;"exclusion",MAX(S$9,-(SUMIFS(SF_Output!$T$1:$T$400,SF_Output!$AC$1:$AC$400,_xlfn.TEXTJOIN(",",TRUE,$B265:$E265),SF_Output!$Q$1:$Q$400,"yearly"))/R265),-((SUMIFS(SF_Output!$T$1:$T$400,SF_Output!$AC$1:$AC$400,_xlfn.TEXTJOIN(",",TRUE,$B265:$E265),SF_Output!$Q$1:$Q$400,"yearly")/R265))))</f>
        <v/>
      </c>
      <c r="T265" s="6" t="str">
        <f t="shared" si="75"/>
        <v/>
      </c>
      <c r="V265" s="6" t="str" cm="1">
        <f t="array" ref="V265">_xlfn.IFS(B265="","",AND(B265&lt;&gt;"",H265=SF_Output!$Y$2,SUMIFS(SF_Output!$T$1:$T$400,SF_Output!$AC$1:$AC$400,_xlfn.TEXTJOIN(",",TRUE,B265:E265),SF_Output!$Q$1:$Q$400,"monthly")=0),(SUMIFS(SF_Output!$F$1:$F$400,SF_Output!$AC$1:$AC$400,_xlfn.TEXTJOIN(",",TRUE,B265:E265),SF_Output!$Q$1:$Q$400,"monthly")+SUMIFS(SF_Output!$G$1:$G$400,SF_Output!$AC$1:$AC$400,_xlfn.TEXTJOIN(",",TRUE,B265:E265),SF_Output!$Q$1:$Q$400,"monthly"))*H265,AND(B265&lt;&gt;"",H265=SF_Output!$Y$2,SUMIFS(SF_Output!$T$1:$T$400,SF_Output!$AC$1:$AC$400,_xlfn.TEXTJOIN(",",TRUE,B265:E265),SF_Output!$Q$1:$Q$400,"monthly")&lt;&gt;0),SUMIFS(SF_Output!$S$1:$S$400,SF_Output!$AC$1:$AC$400,_xlfn.TEXTJOIN(",",TRUE,B265:E265),SF_Output!$Q$1:$Q$400,"monthly"),AND(B265&lt;&gt;"",H265&lt;&gt;SF_Output!$Y$2),SUMIFS(SF_Output!$S$1:$S$400,SF_Output!$AC$1:$AC$400,_xlfn.TEXTJOIN(",",TRUE,B265:E265),SF_Output!$Q$1:$Q$400,"monthly"))</f>
        <v/>
      </c>
      <c r="W265" s="112" t="str" cm="1">
        <f t="array" ref="W265">_xlfn.IFS(OR(B265=0,B265="",V265=0),"",AF265&lt;&gt;"exclusion",MAX($W$9,$W$7,(-(SUMIFS(SF_Output!$T$1:$T$400,SF_Output!$AC$1:$AC$400,_xlfn.TEXTJOIN(",",TRUE,$B265:$E265),SF_Output!$Q$1:$Q$400,"monthly"))/V265)),AF265="exclusion",-(SUMIFS(SF_Output!$T$1:$T$400,SF_Output!$AC$1:$AC$400,_xlfn.TEXTJOIN(",",TRUE,$B265:$E265),SF_Output!$Q$1:$Q$400,"monthly"))/V265)</f>
        <v/>
      </c>
      <c r="X265" s="6" t="str" cm="1">
        <f t="array" ref="X265">IFERROR(_xlfn.IFS(V265=0,0,V265="","",W265=0,V265,OR(V265&lt;&gt;0,V265&lt;&gt;""),H265*I265),V265*(1-W265))</f>
        <v/>
      </c>
      <c r="Z265" s="6" t="str">
        <f>IFERROR(IF(B265="","",SUMIFS(Billing_Fallout!H:H,Billing_Fallout!N:N,B265)),0)</f>
        <v/>
      </c>
      <c r="AA265" s="6" t="str">
        <f t="shared" si="76"/>
        <v/>
      </c>
      <c r="AB265" s="6" t="str">
        <f>IFERROR(IF(B265="","",SUMIFS(Billing_Fallout!J:J,Billing_Fallout!N:N,B265)),0)</f>
        <v/>
      </c>
      <c r="AD265" s="6" t="str">
        <f t="shared" si="77"/>
        <v/>
      </c>
      <c r="AF265" t="str">
        <f>IFERROR(INDEX(H_Tables!$B$1:$B$1500,MATCH(INDEX(SF_Output!$J$1:$J$400,MATCH(B265,SF_Output!$M$1:$M$400,0)),H_Tables!$A$1:$A$1500,0)),"")</f>
        <v/>
      </c>
      <c r="AI265" s="119" t="str">
        <f t="shared" si="78"/>
        <v/>
      </c>
      <c r="AJ265" s="121">
        <f>IFERROR(INDEX(SF_Output!AD:AD,MATCH(_xlfn.TEXTJOIN(",",TRUE,B265:E265),SF_Output!AC16:AC415,0)),0.05)</f>
        <v>226</v>
      </c>
      <c r="AK265" t="str">
        <f>IF(SUMIFS(SF_Output!$F$1:$F$400,SF_Output!$AC$1:$AC$400,_xlfn.TEXTJOIN(",",TRUE,B265:E265))+SUMIFS(SF_Output!$G$1:$G$400,SF_Output!$AC$1:$AC$400,_xlfn.TEXTJOIN(",",TRUE,B265:E265))=0,"","PAP")</f>
        <v/>
      </c>
      <c r="AL265" s="35" t="str">
        <f t="shared" si="79"/>
        <v/>
      </c>
      <c r="AQ265" s="35"/>
      <c r="AR265" s="35" t="str" cm="1">
        <f t="array" ref="AR265">IFERROR(_xlfn.IFS(AND(E265*1=1,F265="Included"),"Change to Included",AND(E265*1=0,F265="Optional"),"Change to Optional",OR(B265="",F265="replaced"),""),"")</f>
        <v/>
      </c>
      <c r="AS265" s="35" t="str">
        <f t="shared" si="80"/>
        <v/>
      </c>
      <c r="AT265" s="35" t="str">
        <f t="shared" si="81"/>
        <v/>
      </c>
      <c r="AU265" s="35" t="str">
        <f t="shared" si="82"/>
        <v/>
      </c>
      <c r="AV265" s="35" t="str">
        <f t="shared" si="83"/>
        <v/>
      </c>
      <c r="AW265" s="35" t="str">
        <f t="shared" si="84"/>
        <v/>
      </c>
      <c r="AX265" s="35" t="str">
        <f t="shared" si="85"/>
        <v/>
      </c>
      <c r="AY265" s="35" t="str">
        <f t="shared" si="86"/>
        <v/>
      </c>
      <c r="AZ265" s="35" t="str">
        <f t="shared" si="87"/>
        <v/>
      </c>
      <c r="BA265" s="35" t="str">
        <f t="shared" si="88"/>
        <v/>
      </c>
      <c r="BB265" s="35" t="str">
        <f t="shared" si="89"/>
        <v/>
      </c>
      <c r="BC265" s="35"/>
      <c r="BE265" s="35" t="e">
        <f>INDEX(SF_Output!$AA$2:$AA$400,MATCH($B265,SF_Output!$M$2:$M$400,0))</f>
        <v>#N/A</v>
      </c>
      <c r="BF265" s="35" t="e">
        <f>INDEX(SF_Output!$AB$2:$AB$400,MATCH($B265,SF_Output!$M$2:$M$400,0))</f>
        <v>#N/A</v>
      </c>
    </row>
    <row r="266" spans="6:58" x14ac:dyDescent="0.25">
      <c r="F266" s="116" t="str">
        <f t="shared" si="72"/>
        <v/>
      </c>
      <c r="G266" t="str">
        <f>IF(B266="","",INDEX(SF_Output!$K$1:$K$400,MATCH(B266,SF_Output!$M$1:$M$400,0)))</f>
        <v/>
      </c>
      <c r="H266" t="str" cm="1">
        <f t="array" ref="H266">_xlfn.IFS(B266="","",(SUMIFS(SF_Output!$F$1:$F$400,SF_Output!$AC$1:$AC$400,_xlfn.TEXTJOIN(",",TRUE,B266:E266))+SUMIFS(SF_Output!$G$1:$G$400,SF_Output!$AC$1:$AC$400,_xlfn.TEXTJOIN(",",TRUE,B266:E266)))&lt;&gt;0,SF_Output!$Y$2,INDEX(SF_Output!$F$1:$F$400,MATCH(_xlfn.TEXTJOIN(",",TRUE,B266:E266),SF_Output!$AC$1:$AC$400,0))=0,INDEX(SF_Output!$R$1:$R$400,MATCH(_xlfn.TEXTJOIN(",",TRUE,B266:E266),SF_Output!$AC$1:$AC$400,0)))</f>
        <v/>
      </c>
      <c r="I266" s="125" t="str">
        <f>IFERROR(IF(AND(H266&gt;1,H266&lt;&gt;""),ROUND(SUMIFS(SF_Output!$S$1:$S$400,SF_Output!$AC$1:$AC$400,_xlfn.TEXTJOIN(",",TRUE,B266:E266),SF_Output!$Q$1:$Q$400,"monthly")*(1-W266)/H266,4),""),"")</f>
        <v/>
      </c>
      <c r="J266" s="6" t="str">
        <f>IF(B266="","",SUMIFS(SF_Output!$S$1:$S$400,SF_Output!$AC$1:$AC$400,_xlfn.TEXTJOIN(",",TRUE,B266:E266),SF_Output!$Q$1:$Q$400,"One Time",SF_Output!$L$1:$L$400,"license fee")+SUMIFS(SF_Output!$S$1:$S$400,SF_Output!$AC$1:$AC$400,_xlfn.TEXTJOIN(",",TRUE,B266:E266),SF_Output!$Q$1:$Q$400,"One Time",SF_Output!$L$1:$L$400,"software license")+SUMIFS(SF_Output!$S$1:$S$400,SF_Output!$AC$1:$AC$400,_xlfn.TEXTJOIN(",",TRUE,B266:E266),SF_Output!$Q$1:$Q$400,"One Time",SF_Output!$L$1:$L$400,"hardware"))</f>
        <v/>
      </c>
      <c r="K266" s="112" t="str">
        <f>IF(OR(B266=0,B266="",G266="hardware",J266=0),"",IF(AF266&lt;&gt;"exclusion",MAX(K$9,-((SUMIFS(SF_Output!$T$1:$T$400,SF_Output!$AC$1:$AC$400,_xlfn.TEXTJOIN(",",TRUE,$B266:$E266),SF_Output!$Q$1:$Q$400,"One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license"))/J266)))</f>
        <v/>
      </c>
      <c r="L266" s="6" t="str">
        <f t="shared" si="73"/>
        <v/>
      </c>
      <c r="N266" s="6" t="str">
        <f>IF(B266="","",SUMIFS(SF_Output!$S$1:$S$400,SF_Output!$AC$1:$AC$400,_xlfn.TEXTJOIN(",",TRUE,B266:E266),SF_Output!$Q$1:$Q$400,"One Time",SF_Output!$L$1:$L$400,"professional service"))</f>
        <v/>
      </c>
      <c r="O266" s="112" t="str">
        <f>IF(OR(B266=0,B266="",N266=0),"",IF(AF266&lt;&gt;"exclusion",MAX(O$9,-(SUMIFS(SF_Output!$T$1:$T$400,SF_Output!$AC$1:$AC$400,_xlfn.TEXTJOIN(",",TRUE,$B266:$E266),SF_Output!$Q$1:$Q$400,"One Time",SF_Output!$L$1:$L$400,"professional service"))/N266),-((SUMIFS(SF_Output!$T$1:$T$400,SF_Output!$AC$1:$AC$400,_xlfn.TEXTJOIN(",",TRUE,$B266:$E266),SF_Output!$Q$1:$Q$400,"One Time",SF_Output!$L$1:$L$400,"professional service")/N266))))</f>
        <v/>
      </c>
      <c r="P266" s="6" t="str">
        <f t="shared" si="74"/>
        <v/>
      </c>
      <c r="R266" s="6" t="str">
        <f>IF(B266="","",SUMIFS(SF_Output!$S$1:$S$400,SF_Output!$AC$1:$AC$400,_xlfn.TEXTJOIN(",",TRUE,B266:E266),SF_Output!$Q$1:$Q$400,"yearly")+SUMIFS(SF_Output!$S$1:$S$400,SF_Output!$AC$1:$AC$400,_xlfn.TEXTJOIN(",",TRUE,B266:E266),SF_Output!$Q$1:$Q$400,"quarterly")*4)</f>
        <v/>
      </c>
      <c r="S266" s="112" t="str">
        <f>IF(OR(B266=0,B266="",G266="hardware",R266=0),"",IF(AF266&lt;&gt;"exclusion",MAX(S$9,-(SUMIFS(SF_Output!$T$1:$T$400,SF_Output!$AC$1:$AC$400,_xlfn.TEXTJOIN(",",TRUE,$B266:$E266),SF_Output!$Q$1:$Q$400,"yearly"))/R266),-((SUMIFS(SF_Output!$T$1:$T$400,SF_Output!$AC$1:$AC$400,_xlfn.TEXTJOIN(",",TRUE,$B266:$E266),SF_Output!$Q$1:$Q$400,"yearly")/R266))))</f>
        <v/>
      </c>
      <c r="T266" s="6" t="str">
        <f t="shared" si="75"/>
        <v/>
      </c>
      <c r="V266" s="6" t="str" cm="1">
        <f t="array" ref="V266">_xlfn.IFS(B266="","",AND(B266&lt;&gt;"",H266=SF_Output!$Y$2,SUMIFS(SF_Output!$T$1:$T$400,SF_Output!$AC$1:$AC$400,_xlfn.TEXTJOIN(",",TRUE,B266:E266),SF_Output!$Q$1:$Q$400,"monthly")=0),(SUMIFS(SF_Output!$F$1:$F$400,SF_Output!$AC$1:$AC$400,_xlfn.TEXTJOIN(",",TRUE,B266:E266),SF_Output!$Q$1:$Q$400,"monthly")+SUMIFS(SF_Output!$G$1:$G$400,SF_Output!$AC$1:$AC$400,_xlfn.TEXTJOIN(",",TRUE,B266:E266),SF_Output!$Q$1:$Q$400,"monthly"))*H266,AND(B266&lt;&gt;"",H266=SF_Output!$Y$2,SUMIFS(SF_Output!$T$1:$T$400,SF_Output!$AC$1:$AC$400,_xlfn.TEXTJOIN(",",TRUE,B266:E266),SF_Output!$Q$1:$Q$400,"monthly")&lt;&gt;0),SUMIFS(SF_Output!$S$1:$S$400,SF_Output!$AC$1:$AC$400,_xlfn.TEXTJOIN(",",TRUE,B266:E266),SF_Output!$Q$1:$Q$400,"monthly"),AND(B266&lt;&gt;"",H266&lt;&gt;SF_Output!$Y$2),SUMIFS(SF_Output!$S$1:$S$400,SF_Output!$AC$1:$AC$400,_xlfn.TEXTJOIN(",",TRUE,B266:E266),SF_Output!$Q$1:$Q$400,"monthly"))</f>
        <v/>
      </c>
      <c r="W266" s="112" t="str" cm="1">
        <f t="array" ref="W266">_xlfn.IFS(OR(B266=0,B266="",V266=0),"",AF266&lt;&gt;"exclusion",MAX($W$9,$W$7,(-(SUMIFS(SF_Output!$T$1:$T$400,SF_Output!$AC$1:$AC$400,_xlfn.TEXTJOIN(",",TRUE,$B266:$E266),SF_Output!$Q$1:$Q$400,"monthly"))/V266)),AF266="exclusion",-(SUMIFS(SF_Output!$T$1:$T$400,SF_Output!$AC$1:$AC$400,_xlfn.TEXTJOIN(",",TRUE,$B266:$E266),SF_Output!$Q$1:$Q$400,"monthly"))/V266)</f>
        <v/>
      </c>
      <c r="X266" s="6" t="str" cm="1">
        <f t="array" ref="X266">IFERROR(_xlfn.IFS(V266=0,0,V266="","",W266=0,V266,OR(V266&lt;&gt;0,V266&lt;&gt;""),H266*I266),V266*(1-W266))</f>
        <v/>
      </c>
      <c r="Z266" s="6" t="str">
        <f>IFERROR(IF(B266="","",SUMIFS(Billing_Fallout!H:H,Billing_Fallout!N:N,B266)),0)</f>
        <v/>
      </c>
      <c r="AA266" s="6" t="str">
        <f t="shared" si="76"/>
        <v/>
      </c>
      <c r="AB266" s="6" t="str">
        <f>IFERROR(IF(B266="","",SUMIFS(Billing_Fallout!J:J,Billing_Fallout!N:N,B266)),0)</f>
        <v/>
      </c>
      <c r="AD266" s="6" t="str">
        <f t="shared" si="77"/>
        <v/>
      </c>
      <c r="AF266" t="str">
        <f>IFERROR(INDEX(H_Tables!$B$1:$B$1500,MATCH(INDEX(SF_Output!$J$1:$J$400,MATCH(B266,SF_Output!$M$1:$M$400,0)),H_Tables!$A$1:$A$1500,0)),"")</f>
        <v/>
      </c>
      <c r="AI266" s="119" t="str">
        <f t="shared" si="78"/>
        <v/>
      </c>
      <c r="AJ266" s="121">
        <f>IFERROR(INDEX(SF_Output!AD:AD,MATCH(_xlfn.TEXTJOIN(",",TRUE,B266:E266),SF_Output!AC17:AC416,0)),0.05)</f>
        <v>225</v>
      </c>
      <c r="AK266" t="str">
        <f>IF(SUMIFS(SF_Output!$F$1:$F$400,SF_Output!$AC$1:$AC$400,_xlfn.TEXTJOIN(",",TRUE,B266:E266))+SUMIFS(SF_Output!$G$1:$G$400,SF_Output!$AC$1:$AC$400,_xlfn.TEXTJOIN(",",TRUE,B266:E266))=0,"","PAP")</f>
        <v/>
      </c>
      <c r="AL266" s="35" t="str">
        <f t="shared" si="79"/>
        <v/>
      </c>
      <c r="AQ266" s="35"/>
      <c r="AR266" s="35" t="str" cm="1">
        <f t="array" ref="AR266">IFERROR(_xlfn.IFS(AND(E266*1=1,F266="Included"),"Change to Included",AND(E266*1=0,F266="Optional"),"Change to Optional",OR(B266="",F266="replaced"),""),"")</f>
        <v/>
      </c>
      <c r="AS266" s="35" t="str">
        <f t="shared" si="80"/>
        <v/>
      </c>
      <c r="AT266" s="35" t="str">
        <f t="shared" si="81"/>
        <v/>
      </c>
      <c r="AU266" s="35" t="str">
        <f t="shared" si="82"/>
        <v/>
      </c>
      <c r="AV266" s="35" t="str">
        <f t="shared" si="83"/>
        <v/>
      </c>
      <c r="AW266" s="35" t="str">
        <f t="shared" si="84"/>
        <v/>
      </c>
      <c r="AX266" s="35" t="str">
        <f t="shared" si="85"/>
        <v/>
      </c>
      <c r="AY266" s="35" t="str">
        <f t="shared" si="86"/>
        <v/>
      </c>
      <c r="AZ266" s="35" t="str">
        <f t="shared" si="87"/>
        <v/>
      </c>
      <c r="BA266" s="35" t="str">
        <f t="shared" si="88"/>
        <v/>
      </c>
      <c r="BB266" s="35" t="str">
        <f t="shared" si="89"/>
        <v/>
      </c>
      <c r="BC266" s="35"/>
      <c r="BE266" s="35" t="e">
        <f>INDEX(SF_Output!$AA$2:$AA$400,MATCH($B266,SF_Output!$M$2:$M$400,0))</f>
        <v>#N/A</v>
      </c>
      <c r="BF266" s="35" t="e">
        <f>INDEX(SF_Output!$AB$2:$AB$400,MATCH($B266,SF_Output!$M$2:$M$400,0))</f>
        <v>#N/A</v>
      </c>
    </row>
    <row r="267" spans="6:58" x14ac:dyDescent="0.25">
      <c r="F267" s="116" t="str">
        <f t="shared" si="72"/>
        <v/>
      </c>
      <c r="G267" t="str">
        <f>IF(B267="","",INDEX(SF_Output!$K$1:$K$400,MATCH(B267,SF_Output!$M$1:$M$400,0)))</f>
        <v/>
      </c>
      <c r="H267" t="str" cm="1">
        <f t="array" ref="H267">_xlfn.IFS(B267="","",(SUMIFS(SF_Output!$F$1:$F$400,SF_Output!$AC$1:$AC$400,_xlfn.TEXTJOIN(",",TRUE,B267:E267))+SUMIFS(SF_Output!$G$1:$G$400,SF_Output!$AC$1:$AC$400,_xlfn.TEXTJOIN(",",TRUE,B267:E267)))&lt;&gt;0,SF_Output!$Y$2,INDEX(SF_Output!$F$1:$F$400,MATCH(_xlfn.TEXTJOIN(",",TRUE,B267:E267),SF_Output!$AC$1:$AC$400,0))=0,INDEX(SF_Output!$R$1:$R$400,MATCH(_xlfn.TEXTJOIN(",",TRUE,B267:E267),SF_Output!$AC$1:$AC$400,0)))</f>
        <v/>
      </c>
      <c r="I267" s="125" t="str">
        <f>IFERROR(IF(AND(H267&gt;1,H267&lt;&gt;""),ROUND(SUMIFS(SF_Output!$S$1:$S$400,SF_Output!$AC$1:$AC$400,_xlfn.TEXTJOIN(",",TRUE,B267:E267),SF_Output!$Q$1:$Q$400,"monthly")*(1-W267)/H267,4),""),"")</f>
        <v/>
      </c>
      <c r="J267" s="6" t="str">
        <f>IF(B267="","",SUMIFS(SF_Output!$S$1:$S$400,SF_Output!$AC$1:$AC$400,_xlfn.TEXTJOIN(",",TRUE,B267:E267),SF_Output!$Q$1:$Q$400,"One Time",SF_Output!$L$1:$L$400,"license fee")+SUMIFS(SF_Output!$S$1:$S$400,SF_Output!$AC$1:$AC$400,_xlfn.TEXTJOIN(",",TRUE,B267:E267),SF_Output!$Q$1:$Q$400,"One Time",SF_Output!$L$1:$L$400,"software license")+SUMIFS(SF_Output!$S$1:$S$400,SF_Output!$AC$1:$AC$400,_xlfn.TEXTJOIN(",",TRUE,B267:E267),SF_Output!$Q$1:$Q$400,"One Time",SF_Output!$L$1:$L$400,"hardware"))</f>
        <v/>
      </c>
      <c r="K267" s="112" t="str">
        <f>IF(OR(B267=0,B267="",G267="hardware",J267=0),"",IF(AF267&lt;&gt;"exclusion",MAX(K$9,-((SUMIFS(SF_Output!$T$1:$T$400,SF_Output!$AC$1:$AC$400,_xlfn.TEXTJOIN(",",TRUE,$B267:$E267),SF_Output!$Q$1:$Q$400,"One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license"))/J267)))</f>
        <v/>
      </c>
      <c r="L267" s="6" t="str">
        <f t="shared" si="73"/>
        <v/>
      </c>
      <c r="N267" s="6" t="str">
        <f>IF(B267="","",SUMIFS(SF_Output!$S$1:$S$400,SF_Output!$AC$1:$AC$400,_xlfn.TEXTJOIN(",",TRUE,B267:E267),SF_Output!$Q$1:$Q$400,"One Time",SF_Output!$L$1:$L$400,"professional service"))</f>
        <v/>
      </c>
      <c r="O267" s="112" t="str">
        <f>IF(OR(B267=0,B267="",N267=0),"",IF(AF267&lt;&gt;"exclusion",MAX(O$9,-(SUMIFS(SF_Output!$T$1:$T$400,SF_Output!$AC$1:$AC$400,_xlfn.TEXTJOIN(",",TRUE,$B267:$E267),SF_Output!$Q$1:$Q$400,"One Time",SF_Output!$L$1:$L$400,"professional service"))/N267),-((SUMIFS(SF_Output!$T$1:$T$400,SF_Output!$AC$1:$AC$400,_xlfn.TEXTJOIN(",",TRUE,$B267:$E267),SF_Output!$Q$1:$Q$400,"One Time",SF_Output!$L$1:$L$400,"professional service")/N267))))</f>
        <v/>
      </c>
      <c r="P267" s="6" t="str">
        <f t="shared" si="74"/>
        <v/>
      </c>
      <c r="R267" s="6" t="str">
        <f>IF(B267="","",SUMIFS(SF_Output!$S$1:$S$400,SF_Output!$AC$1:$AC$400,_xlfn.TEXTJOIN(",",TRUE,B267:E267),SF_Output!$Q$1:$Q$400,"yearly")+SUMIFS(SF_Output!$S$1:$S$400,SF_Output!$AC$1:$AC$400,_xlfn.TEXTJOIN(",",TRUE,B267:E267),SF_Output!$Q$1:$Q$400,"quarterly")*4)</f>
        <v/>
      </c>
      <c r="S267" s="112" t="str">
        <f>IF(OR(B267=0,B267="",G267="hardware",R267=0),"",IF(AF267&lt;&gt;"exclusion",MAX(S$9,-(SUMIFS(SF_Output!$T$1:$T$400,SF_Output!$AC$1:$AC$400,_xlfn.TEXTJOIN(",",TRUE,$B267:$E267),SF_Output!$Q$1:$Q$400,"yearly"))/R267),-((SUMIFS(SF_Output!$T$1:$T$400,SF_Output!$AC$1:$AC$400,_xlfn.TEXTJOIN(",",TRUE,$B267:$E267),SF_Output!$Q$1:$Q$400,"yearly")/R267))))</f>
        <v/>
      </c>
      <c r="T267" s="6" t="str">
        <f t="shared" si="75"/>
        <v/>
      </c>
      <c r="V267" s="6" t="str" cm="1">
        <f t="array" ref="V267">_xlfn.IFS(B267="","",AND(B267&lt;&gt;"",H267=SF_Output!$Y$2,SUMIFS(SF_Output!$T$1:$T$400,SF_Output!$AC$1:$AC$400,_xlfn.TEXTJOIN(",",TRUE,B267:E267),SF_Output!$Q$1:$Q$400,"monthly")=0),(SUMIFS(SF_Output!$F$1:$F$400,SF_Output!$AC$1:$AC$400,_xlfn.TEXTJOIN(",",TRUE,B267:E267),SF_Output!$Q$1:$Q$400,"monthly")+SUMIFS(SF_Output!$G$1:$G$400,SF_Output!$AC$1:$AC$400,_xlfn.TEXTJOIN(",",TRUE,B267:E267),SF_Output!$Q$1:$Q$400,"monthly"))*H267,AND(B267&lt;&gt;"",H267=SF_Output!$Y$2,SUMIFS(SF_Output!$T$1:$T$400,SF_Output!$AC$1:$AC$400,_xlfn.TEXTJOIN(",",TRUE,B267:E267),SF_Output!$Q$1:$Q$400,"monthly")&lt;&gt;0),SUMIFS(SF_Output!$S$1:$S$400,SF_Output!$AC$1:$AC$400,_xlfn.TEXTJOIN(",",TRUE,B267:E267),SF_Output!$Q$1:$Q$400,"monthly"),AND(B267&lt;&gt;"",H267&lt;&gt;SF_Output!$Y$2),SUMIFS(SF_Output!$S$1:$S$400,SF_Output!$AC$1:$AC$400,_xlfn.TEXTJOIN(",",TRUE,B267:E267),SF_Output!$Q$1:$Q$400,"monthly"))</f>
        <v/>
      </c>
      <c r="W267" s="112" t="str" cm="1">
        <f t="array" ref="W267">_xlfn.IFS(OR(B267=0,B267="",V267=0),"",AF267&lt;&gt;"exclusion",MAX($W$9,$W$7,(-(SUMIFS(SF_Output!$T$1:$T$400,SF_Output!$AC$1:$AC$400,_xlfn.TEXTJOIN(",",TRUE,$B267:$E267),SF_Output!$Q$1:$Q$400,"monthly"))/V267)),AF267="exclusion",-(SUMIFS(SF_Output!$T$1:$T$400,SF_Output!$AC$1:$AC$400,_xlfn.TEXTJOIN(",",TRUE,$B267:$E267),SF_Output!$Q$1:$Q$400,"monthly"))/V267)</f>
        <v/>
      </c>
      <c r="X267" s="6" t="str" cm="1">
        <f t="array" ref="X267">IFERROR(_xlfn.IFS(V267=0,0,V267="","",W267=0,V267,OR(V267&lt;&gt;0,V267&lt;&gt;""),H267*I267),V267*(1-W267))</f>
        <v/>
      </c>
      <c r="Z267" s="6" t="str">
        <f>IFERROR(IF(B267="","",SUMIFS(Billing_Fallout!H:H,Billing_Fallout!N:N,B267)),0)</f>
        <v/>
      </c>
      <c r="AA267" s="6" t="str">
        <f t="shared" si="76"/>
        <v/>
      </c>
      <c r="AB267" s="6" t="str">
        <f>IFERROR(IF(B267="","",SUMIFS(Billing_Fallout!J:J,Billing_Fallout!N:N,B267)),0)</f>
        <v/>
      </c>
      <c r="AD267" s="6" t="str">
        <f t="shared" si="77"/>
        <v/>
      </c>
      <c r="AF267" t="str">
        <f>IFERROR(INDEX(H_Tables!$B$1:$B$1500,MATCH(INDEX(SF_Output!$J$1:$J$400,MATCH(B267,SF_Output!$M$1:$M$400,0)),H_Tables!$A$1:$A$1500,0)),"")</f>
        <v/>
      </c>
      <c r="AI267" s="119" t="str">
        <f t="shared" si="78"/>
        <v/>
      </c>
      <c r="AJ267" s="121">
        <f>IFERROR(INDEX(SF_Output!AD:AD,MATCH(_xlfn.TEXTJOIN(",",TRUE,B267:E267),SF_Output!AC18:AC417,0)),0.05)</f>
        <v>224</v>
      </c>
      <c r="AK267" t="str">
        <f>IF(SUMIFS(SF_Output!$F$1:$F$400,SF_Output!$AC$1:$AC$400,_xlfn.TEXTJOIN(",",TRUE,B267:E267))+SUMIFS(SF_Output!$G$1:$G$400,SF_Output!$AC$1:$AC$400,_xlfn.TEXTJOIN(",",TRUE,B267:E267))=0,"","PAP")</f>
        <v/>
      </c>
      <c r="AL267" s="35" t="str">
        <f t="shared" si="79"/>
        <v/>
      </c>
      <c r="AQ267" s="35"/>
      <c r="AR267" s="35" t="str" cm="1">
        <f t="array" ref="AR267">IFERROR(_xlfn.IFS(AND(E267*1=1,F267="Included"),"Change to Included",AND(E267*1=0,F267="Optional"),"Change to Optional",OR(B267="",F267="replaced"),""),"")</f>
        <v/>
      </c>
      <c r="AS267" s="35" t="str">
        <f t="shared" si="80"/>
        <v/>
      </c>
      <c r="AT267" s="35" t="str">
        <f t="shared" si="81"/>
        <v/>
      </c>
      <c r="AU267" s="35" t="str">
        <f t="shared" si="82"/>
        <v/>
      </c>
      <c r="AV267" s="35" t="str">
        <f t="shared" si="83"/>
        <v/>
      </c>
      <c r="AW267" s="35" t="str">
        <f t="shared" si="84"/>
        <v/>
      </c>
      <c r="AX267" s="35" t="str">
        <f t="shared" si="85"/>
        <v/>
      </c>
      <c r="AY267" s="35" t="str">
        <f t="shared" si="86"/>
        <v/>
      </c>
      <c r="AZ267" s="35" t="str">
        <f t="shared" si="87"/>
        <v/>
      </c>
      <c r="BA267" s="35" t="str">
        <f t="shared" si="88"/>
        <v/>
      </c>
      <c r="BB267" s="35" t="str">
        <f t="shared" si="89"/>
        <v/>
      </c>
      <c r="BC267" s="35"/>
      <c r="BE267" s="35" t="e">
        <f>INDEX(SF_Output!$AA$2:$AA$400,MATCH($B267,SF_Output!$M$2:$M$400,0))</f>
        <v>#N/A</v>
      </c>
      <c r="BF267" s="35" t="e">
        <f>INDEX(SF_Output!$AB$2:$AB$400,MATCH($B267,SF_Output!$M$2:$M$400,0))</f>
        <v>#N/A</v>
      </c>
    </row>
    <row r="268" spans="6:58" x14ac:dyDescent="0.25">
      <c r="F268" s="116" t="str">
        <f t="shared" si="72"/>
        <v/>
      </c>
      <c r="G268" t="str">
        <f>IF(B268="","",INDEX(SF_Output!$K$1:$K$400,MATCH(B268,SF_Output!$M$1:$M$400,0)))</f>
        <v/>
      </c>
      <c r="H268" t="str" cm="1">
        <f t="array" ref="H268">_xlfn.IFS(B268="","",(SUMIFS(SF_Output!$F$1:$F$400,SF_Output!$AC$1:$AC$400,_xlfn.TEXTJOIN(",",TRUE,B268:E268))+SUMIFS(SF_Output!$G$1:$G$400,SF_Output!$AC$1:$AC$400,_xlfn.TEXTJOIN(",",TRUE,B268:E268)))&lt;&gt;0,SF_Output!$Y$2,INDEX(SF_Output!$F$1:$F$400,MATCH(_xlfn.TEXTJOIN(",",TRUE,B268:E268),SF_Output!$AC$1:$AC$400,0))=0,INDEX(SF_Output!$R$1:$R$400,MATCH(_xlfn.TEXTJOIN(",",TRUE,B268:E268),SF_Output!$AC$1:$AC$400,0)))</f>
        <v/>
      </c>
      <c r="I268" s="125" t="str">
        <f>IFERROR(IF(AND(H268&gt;1,H268&lt;&gt;""),ROUND(SUMIFS(SF_Output!$S$1:$S$400,SF_Output!$AC$1:$AC$400,_xlfn.TEXTJOIN(",",TRUE,B268:E268),SF_Output!$Q$1:$Q$400,"monthly")*(1-W268)/H268,4),""),"")</f>
        <v/>
      </c>
      <c r="J268" s="6" t="str">
        <f>IF(B268="","",SUMIFS(SF_Output!$S$1:$S$400,SF_Output!$AC$1:$AC$400,_xlfn.TEXTJOIN(",",TRUE,B268:E268),SF_Output!$Q$1:$Q$400,"One Time",SF_Output!$L$1:$L$400,"license fee")+SUMIFS(SF_Output!$S$1:$S$400,SF_Output!$AC$1:$AC$400,_xlfn.TEXTJOIN(",",TRUE,B268:E268),SF_Output!$Q$1:$Q$400,"One Time",SF_Output!$L$1:$L$400,"software license")+SUMIFS(SF_Output!$S$1:$S$400,SF_Output!$AC$1:$AC$400,_xlfn.TEXTJOIN(",",TRUE,B268:E268),SF_Output!$Q$1:$Q$400,"One Time",SF_Output!$L$1:$L$400,"hardware"))</f>
        <v/>
      </c>
      <c r="K268" s="112" t="str">
        <f>IF(OR(B268=0,B268="",G268="hardware",J268=0),"",IF(AF268&lt;&gt;"exclusion",MAX(K$9,-((SUMIFS(SF_Output!$T$1:$T$400,SF_Output!$AC$1:$AC$400,_xlfn.TEXTJOIN(",",TRUE,$B268:$E268),SF_Output!$Q$1:$Q$400,"One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license"))/J268)))</f>
        <v/>
      </c>
      <c r="L268" s="6" t="str">
        <f t="shared" si="73"/>
        <v/>
      </c>
      <c r="N268" s="6" t="str">
        <f>IF(B268="","",SUMIFS(SF_Output!$S$1:$S$400,SF_Output!$AC$1:$AC$400,_xlfn.TEXTJOIN(",",TRUE,B268:E268),SF_Output!$Q$1:$Q$400,"One Time",SF_Output!$L$1:$L$400,"professional service"))</f>
        <v/>
      </c>
      <c r="O268" s="112" t="str">
        <f>IF(OR(B268=0,B268="",N268=0),"",IF(AF268&lt;&gt;"exclusion",MAX(O$9,-(SUMIFS(SF_Output!$T$1:$T$400,SF_Output!$AC$1:$AC$400,_xlfn.TEXTJOIN(",",TRUE,$B268:$E268),SF_Output!$Q$1:$Q$400,"One Time",SF_Output!$L$1:$L$400,"professional service"))/N268),-((SUMIFS(SF_Output!$T$1:$T$400,SF_Output!$AC$1:$AC$400,_xlfn.TEXTJOIN(",",TRUE,$B268:$E268),SF_Output!$Q$1:$Q$400,"One Time",SF_Output!$L$1:$L$400,"professional service")/N268))))</f>
        <v/>
      </c>
      <c r="P268" s="6" t="str">
        <f t="shared" si="74"/>
        <v/>
      </c>
      <c r="R268" s="6" t="str">
        <f>IF(B268="","",SUMIFS(SF_Output!$S$1:$S$400,SF_Output!$AC$1:$AC$400,_xlfn.TEXTJOIN(",",TRUE,B268:E268),SF_Output!$Q$1:$Q$400,"yearly")+SUMIFS(SF_Output!$S$1:$S$400,SF_Output!$AC$1:$AC$400,_xlfn.TEXTJOIN(",",TRUE,B268:E268),SF_Output!$Q$1:$Q$400,"quarterly")*4)</f>
        <v/>
      </c>
      <c r="S268" s="112" t="str">
        <f>IF(OR(B268=0,B268="",G268="hardware",R268=0),"",IF(AF268&lt;&gt;"exclusion",MAX(S$9,-(SUMIFS(SF_Output!$T$1:$T$400,SF_Output!$AC$1:$AC$400,_xlfn.TEXTJOIN(",",TRUE,$B268:$E268),SF_Output!$Q$1:$Q$400,"yearly"))/R268),-((SUMIFS(SF_Output!$T$1:$T$400,SF_Output!$AC$1:$AC$400,_xlfn.TEXTJOIN(",",TRUE,$B268:$E268),SF_Output!$Q$1:$Q$400,"yearly")/R268))))</f>
        <v/>
      </c>
      <c r="T268" s="6" t="str">
        <f t="shared" si="75"/>
        <v/>
      </c>
      <c r="V268" s="6" t="str" cm="1">
        <f t="array" ref="V268">_xlfn.IFS(B268="","",AND(B268&lt;&gt;"",H268=SF_Output!$Y$2,SUMIFS(SF_Output!$T$1:$T$400,SF_Output!$AC$1:$AC$400,_xlfn.TEXTJOIN(",",TRUE,B268:E268),SF_Output!$Q$1:$Q$400,"monthly")=0),(SUMIFS(SF_Output!$F$1:$F$400,SF_Output!$AC$1:$AC$400,_xlfn.TEXTJOIN(",",TRUE,B268:E268),SF_Output!$Q$1:$Q$400,"monthly")+SUMIFS(SF_Output!$G$1:$G$400,SF_Output!$AC$1:$AC$400,_xlfn.TEXTJOIN(",",TRUE,B268:E268),SF_Output!$Q$1:$Q$400,"monthly"))*H268,AND(B268&lt;&gt;"",H268=SF_Output!$Y$2,SUMIFS(SF_Output!$T$1:$T$400,SF_Output!$AC$1:$AC$400,_xlfn.TEXTJOIN(",",TRUE,B268:E268),SF_Output!$Q$1:$Q$400,"monthly")&lt;&gt;0),SUMIFS(SF_Output!$S$1:$S$400,SF_Output!$AC$1:$AC$400,_xlfn.TEXTJOIN(",",TRUE,B268:E268),SF_Output!$Q$1:$Q$400,"monthly"),AND(B268&lt;&gt;"",H268&lt;&gt;SF_Output!$Y$2),SUMIFS(SF_Output!$S$1:$S$400,SF_Output!$AC$1:$AC$400,_xlfn.TEXTJOIN(",",TRUE,B268:E268),SF_Output!$Q$1:$Q$400,"monthly"))</f>
        <v/>
      </c>
      <c r="W268" s="112" t="str" cm="1">
        <f t="array" ref="W268">_xlfn.IFS(OR(B268=0,B268="",V268=0),"",AF268&lt;&gt;"exclusion",MAX($W$9,$W$7,(-(SUMIFS(SF_Output!$T$1:$T$400,SF_Output!$AC$1:$AC$400,_xlfn.TEXTJOIN(",",TRUE,$B268:$E268),SF_Output!$Q$1:$Q$400,"monthly"))/V268)),AF268="exclusion",-(SUMIFS(SF_Output!$T$1:$T$400,SF_Output!$AC$1:$AC$400,_xlfn.TEXTJOIN(",",TRUE,$B268:$E268),SF_Output!$Q$1:$Q$400,"monthly"))/V268)</f>
        <v/>
      </c>
      <c r="X268" s="6" t="str" cm="1">
        <f t="array" ref="X268">IFERROR(_xlfn.IFS(V268=0,0,V268="","",W268=0,V268,OR(V268&lt;&gt;0,V268&lt;&gt;""),H268*I268),V268*(1-W268))</f>
        <v/>
      </c>
      <c r="Z268" s="6" t="str">
        <f>IFERROR(IF(B268="","",SUMIFS(Billing_Fallout!H:H,Billing_Fallout!N:N,B268)),0)</f>
        <v/>
      </c>
      <c r="AA268" s="6" t="str">
        <f t="shared" si="76"/>
        <v/>
      </c>
      <c r="AB268" s="6" t="str">
        <f>IFERROR(IF(B268="","",SUMIFS(Billing_Fallout!J:J,Billing_Fallout!N:N,B268)),0)</f>
        <v/>
      </c>
      <c r="AD268" s="6" t="str">
        <f t="shared" si="77"/>
        <v/>
      </c>
      <c r="AF268" t="str">
        <f>IFERROR(INDEX(H_Tables!$B$1:$B$1500,MATCH(INDEX(SF_Output!$J$1:$J$400,MATCH(B268,SF_Output!$M$1:$M$400,0)),H_Tables!$A$1:$A$1500,0)),"")</f>
        <v/>
      </c>
      <c r="AI268" s="119" t="str">
        <f t="shared" si="78"/>
        <v/>
      </c>
      <c r="AJ268" s="121">
        <f>IFERROR(INDEX(SF_Output!AD:AD,MATCH(_xlfn.TEXTJOIN(",",TRUE,B268:E268),SF_Output!AC19:AC418,0)),0.05)</f>
        <v>223</v>
      </c>
      <c r="AK268" t="str">
        <f>IF(SUMIFS(SF_Output!$F$1:$F$400,SF_Output!$AC$1:$AC$400,_xlfn.TEXTJOIN(",",TRUE,B268:E268))+SUMIFS(SF_Output!$G$1:$G$400,SF_Output!$AC$1:$AC$400,_xlfn.TEXTJOIN(",",TRUE,B268:E268))=0,"","PAP")</f>
        <v/>
      </c>
      <c r="AL268" s="35" t="str">
        <f t="shared" si="79"/>
        <v/>
      </c>
      <c r="AQ268" s="35"/>
      <c r="AR268" s="35" t="str" cm="1">
        <f t="array" ref="AR268">IFERROR(_xlfn.IFS(AND(E268*1=1,F268="Included"),"Change to Included",AND(E268*1=0,F268="Optional"),"Change to Optional",OR(B268="",F268="replaced"),""),"")</f>
        <v/>
      </c>
      <c r="AS268" s="35" t="str">
        <f t="shared" si="80"/>
        <v/>
      </c>
      <c r="AT268" s="35" t="str">
        <f t="shared" si="81"/>
        <v/>
      </c>
      <c r="AU268" s="35" t="str">
        <f t="shared" si="82"/>
        <v/>
      </c>
      <c r="AV268" s="35" t="str">
        <f t="shared" si="83"/>
        <v/>
      </c>
      <c r="AW268" s="35" t="str">
        <f t="shared" si="84"/>
        <v/>
      </c>
      <c r="AX268" s="35" t="str">
        <f t="shared" si="85"/>
        <v/>
      </c>
      <c r="AY268" s="35" t="str">
        <f t="shared" si="86"/>
        <v/>
      </c>
      <c r="AZ268" s="35" t="str">
        <f t="shared" si="87"/>
        <v/>
      </c>
      <c r="BA268" s="35" t="str">
        <f t="shared" si="88"/>
        <v/>
      </c>
      <c r="BB268" s="35" t="str">
        <f t="shared" si="89"/>
        <v/>
      </c>
      <c r="BC268" s="35"/>
      <c r="BE268" s="35" t="e">
        <f>INDEX(SF_Output!$AA$2:$AA$400,MATCH($B268,SF_Output!$M$2:$M$400,0))</f>
        <v>#N/A</v>
      </c>
      <c r="BF268" s="35" t="e">
        <f>INDEX(SF_Output!$AB$2:$AB$400,MATCH($B268,SF_Output!$M$2:$M$400,0))</f>
        <v>#N/A</v>
      </c>
    </row>
    <row r="269" spans="6:58" x14ac:dyDescent="0.25">
      <c r="F269" s="116" t="str">
        <f t="shared" si="72"/>
        <v/>
      </c>
      <c r="G269" t="str">
        <f>IF(B269="","",INDEX(SF_Output!$K$1:$K$400,MATCH(B269,SF_Output!$M$1:$M$400,0)))</f>
        <v/>
      </c>
      <c r="H269" t="str" cm="1">
        <f t="array" ref="H269">_xlfn.IFS(B269="","",(SUMIFS(SF_Output!$F$1:$F$400,SF_Output!$AC$1:$AC$400,_xlfn.TEXTJOIN(",",TRUE,B269:E269))+SUMIFS(SF_Output!$G$1:$G$400,SF_Output!$AC$1:$AC$400,_xlfn.TEXTJOIN(",",TRUE,B269:E269)))&lt;&gt;0,SF_Output!$Y$2,INDEX(SF_Output!$F$1:$F$400,MATCH(_xlfn.TEXTJOIN(",",TRUE,B269:E269),SF_Output!$AC$1:$AC$400,0))=0,INDEX(SF_Output!$R$1:$R$400,MATCH(_xlfn.TEXTJOIN(",",TRUE,B269:E269),SF_Output!$AC$1:$AC$400,0)))</f>
        <v/>
      </c>
      <c r="I269" s="125" t="str">
        <f>IFERROR(IF(AND(H269&gt;1,H269&lt;&gt;""),ROUND(SUMIFS(SF_Output!$S$1:$S$400,SF_Output!$AC$1:$AC$400,_xlfn.TEXTJOIN(",",TRUE,B269:E269),SF_Output!$Q$1:$Q$400,"monthly")*(1-W269)/H269,4),""),"")</f>
        <v/>
      </c>
      <c r="J269" s="6" t="str">
        <f>IF(B269="","",SUMIFS(SF_Output!$S$1:$S$400,SF_Output!$AC$1:$AC$400,_xlfn.TEXTJOIN(",",TRUE,B269:E269),SF_Output!$Q$1:$Q$400,"One Time",SF_Output!$L$1:$L$400,"license fee")+SUMIFS(SF_Output!$S$1:$S$400,SF_Output!$AC$1:$AC$400,_xlfn.TEXTJOIN(",",TRUE,B269:E269),SF_Output!$Q$1:$Q$400,"One Time",SF_Output!$L$1:$L$400,"software license")+SUMIFS(SF_Output!$S$1:$S$400,SF_Output!$AC$1:$AC$400,_xlfn.TEXTJOIN(",",TRUE,B269:E269),SF_Output!$Q$1:$Q$400,"One Time",SF_Output!$L$1:$L$400,"hardware"))</f>
        <v/>
      </c>
      <c r="K269" s="112" t="str">
        <f>IF(OR(B269=0,B269="",G269="hardware",J269=0),"",IF(AF269&lt;&gt;"exclusion",MAX(K$9,-((SUMIFS(SF_Output!$T$1:$T$400,SF_Output!$AC$1:$AC$400,_xlfn.TEXTJOIN(",",TRUE,$B269:$E269),SF_Output!$Q$1:$Q$400,"One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license"))/J269)))</f>
        <v/>
      </c>
      <c r="L269" s="6" t="str">
        <f t="shared" si="73"/>
        <v/>
      </c>
      <c r="N269" s="6" t="str">
        <f>IF(B269="","",SUMIFS(SF_Output!$S$1:$S$400,SF_Output!$AC$1:$AC$400,_xlfn.TEXTJOIN(",",TRUE,B269:E269),SF_Output!$Q$1:$Q$400,"One Time",SF_Output!$L$1:$L$400,"professional service"))</f>
        <v/>
      </c>
      <c r="O269" s="112" t="str">
        <f>IF(OR(B269=0,B269="",N269=0),"",IF(AF269&lt;&gt;"exclusion",MAX(O$9,-(SUMIFS(SF_Output!$T$1:$T$400,SF_Output!$AC$1:$AC$400,_xlfn.TEXTJOIN(",",TRUE,$B269:$E269),SF_Output!$Q$1:$Q$400,"One Time",SF_Output!$L$1:$L$400,"professional service"))/N269),-((SUMIFS(SF_Output!$T$1:$T$400,SF_Output!$AC$1:$AC$400,_xlfn.TEXTJOIN(",",TRUE,$B269:$E269),SF_Output!$Q$1:$Q$400,"One Time",SF_Output!$L$1:$L$400,"professional service")/N269))))</f>
        <v/>
      </c>
      <c r="P269" s="6" t="str">
        <f t="shared" si="74"/>
        <v/>
      </c>
      <c r="R269" s="6" t="str">
        <f>IF(B269="","",SUMIFS(SF_Output!$S$1:$S$400,SF_Output!$AC$1:$AC$400,_xlfn.TEXTJOIN(",",TRUE,B269:E269),SF_Output!$Q$1:$Q$400,"yearly")+SUMIFS(SF_Output!$S$1:$S$400,SF_Output!$AC$1:$AC$400,_xlfn.TEXTJOIN(",",TRUE,B269:E269),SF_Output!$Q$1:$Q$400,"quarterly")*4)</f>
        <v/>
      </c>
      <c r="S269" s="112" t="str">
        <f>IF(OR(B269=0,B269="",G269="hardware",R269=0),"",IF(AF269&lt;&gt;"exclusion",MAX(S$9,-(SUMIFS(SF_Output!$T$1:$T$400,SF_Output!$AC$1:$AC$400,_xlfn.TEXTJOIN(",",TRUE,$B269:$E269),SF_Output!$Q$1:$Q$400,"yearly"))/R269),-((SUMIFS(SF_Output!$T$1:$T$400,SF_Output!$AC$1:$AC$400,_xlfn.TEXTJOIN(",",TRUE,$B269:$E269),SF_Output!$Q$1:$Q$400,"yearly")/R269))))</f>
        <v/>
      </c>
      <c r="T269" s="6" t="str">
        <f t="shared" si="75"/>
        <v/>
      </c>
      <c r="V269" s="6" t="str" cm="1">
        <f t="array" ref="V269">_xlfn.IFS(B269="","",AND(B269&lt;&gt;"",H269=SF_Output!$Y$2,SUMIFS(SF_Output!$T$1:$T$400,SF_Output!$AC$1:$AC$400,_xlfn.TEXTJOIN(",",TRUE,B269:E269),SF_Output!$Q$1:$Q$400,"monthly")=0),(SUMIFS(SF_Output!$F$1:$F$400,SF_Output!$AC$1:$AC$400,_xlfn.TEXTJOIN(",",TRUE,B269:E269),SF_Output!$Q$1:$Q$400,"monthly")+SUMIFS(SF_Output!$G$1:$G$400,SF_Output!$AC$1:$AC$400,_xlfn.TEXTJOIN(",",TRUE,B269:E269),SF_Output!$Q$1:$Q$400,"monthly"))*H269,AND(B269&lt;&gt;"",H269=SF_Output!$Y$2,SUMIFS(SF_Output!$T$1:$T$400,SF_Output!$AC$1:$AC$400,_xlfn.TEXTJOIN(",",TRUE,B269:E269),SF_Output!$Q$1:$Q$400,"monthly")&lt;&gt;0),SUMIFS(SF_Output!$S$1:$S$400,SF_Output!$AC$1:$AC$400,_xlfn.TEXTJOIN(",",TRUE,B269:E269),SF_Output!$Q$1:$Q$400,"monthly"),AND(B269&lt;&gt;"",H269&lt;&gt;SF_Output!$Y$2),SUMIFS(SF_Output!$S$1:$S$400,SF_Output!$AC$1:$AC$400,_xlfn.TEXTJOIN(",",TRUE,B269:E269),SF_Output!$Q$1:$Q$400,"monthly"))</f>
        <v/>
      </c>
      <c r="W269" s="112" t="str" cm="1">
        <f t="array" ref="W269">_xlfn.IFS(OR(B269=0,B269="",V269=0),"",AF269&lt;&gt;"exclusion",MAX($W$9,$W$7,(-(SUMIFS(SF_Output!$T$1:$T$400,SF_Output!$AC$1:$AC$400,_xlfn.TEXTJOIN(",",TRUE,$B269:$E269),SF_Output!$Q$1:$Q$400,"monthly"))/V269)),AF269="exclusion",-(SUMIFS(SF_Output!$T$1:$T$400,SF_Output!$AC$1:$AC$400,_xlfn.TEXTJOIN(",",TRUE,$B269:$E269),SF_Output!$Q$1:$Q$400,"monthly"))/V269)</f>
        <v/>
      </c>
      <c r="X269" s="6" t="str" cm="1">
        <f t="array" ref="X269">IFERROR(_xlfn.IFS(V269=0,0,V269="","",W269=0,V269,OR(V269&lt;&gt;0,V269&lt;&gt;""),H269*I269),V269*(1-W269))</f>
        <v/>
      </c>
      <c r="Z269" s="6" t="str">
        <f>IFERROR(IF(B269="","",SUMIFS(Billing_Fallout!H:H,Billing_Fallout!N:N,B269)),0)</f>
        <v/>
      </c>
      <c r="AA269" s="6" t="str">
        <f t="shared" si="76"/>
        <v/>
      </c>
      <c r="AB269" s="6" t="str">
        <f>IFERROR(IF(B269="","",SUMIFS(Billing_Fallout!J:J,Billing_Fallout!N:N,B269)),0)</f>
        <v/>
      </c>
      <c r="AD269" s="6" t="str">
        <f t="shared" si="77"/>
        <v/>
      </c>
      <c r="AF269" t="str">
        <f>IFERROR(INDEX(H_Tables!$B$1:$B$1500,MATCH(INDEX(SF_Output!$J$1:$J$400,MATCH(B269,SF_Output!$M$1:$M$400,0)),H_Tables!$A$1:$A$1500,0)),"")</f>
        <v/>
      </c>
      <c r="AI269" s="119" t="str">
        <f t="shared" si="78"/>
        <v/>
      </c>
      <c r="AJ269" s="121">
        <f>IFERROR(INDEX(SF_Output!AD:AD,MATCH(_xlfn.TEXTJOIN(",",TRUE,B269:E269),SF_Output!AC20:AC419,0)),0.05)</f>
        <v>222</v>
      </c>
      <c r="AK269" t="str">
        <f>IF(SUMIFS(SF_Output!$F$1:$F$400,SF_Output!$AC$1:$AC$400,_xlfn.TEXTJOIN(",",TRUE,B269:E269))+SUMIFS(SF_Output!$G$1:$G$400,SF_Output!$AC$1:$AC$400,_xlfn.TEXTJOIN(",",TRUE,B269:E269))=0,"","PAP")</f>
        <v/>
      </c>
      <c r="AL269" s="35" t="str">
        <f t="shared" si="79"/>
        <v/>
      </c>
      <c r="AQ269" s="35"/>
      <c r="AR269" s="35" t="str" cm="1">
        <f t="array" ref="AR269">IFERROR(_xlfn.IFS(AND(E269*1=1,F269="Included"),"Change to Included",AND(E269*1=0,F269="Optional"),"Change to Optional",OR(B269="",F269="replaced"),""),"")</f>
        <v/>
      </c>
      <c r="AS269" s="35" t="str">
        <f t="shared" si="80"/>
        <v/>
      </c>
      <c r="AT269" s="35" t="str">
        <f t="shared" si="81"/>
        <v/>
      </c>
      <c r="AU269" s="35" t="str">
        <f t="shared" si="82"/>
        <v/>
      </c>
      <c r="AV269" s="35" t="str">
        <f t="shared" si="83"/>
        <v/>
      </c>
      <c r="AW269" s="35" t="str">
        <f t="shared" si="84"/>
        <v/>
      </c>
      <c r="AX269" s="35" t="str">
        <f t="shared" si="85"/>
        <v/>
      </c>
      <c r="AY269" s="35" t="str">
        <f t="shared" si="86"/>
        <v/>
      </c>
      <c r="AZ269" s="35" t="str">
        <f t="shared" si="87"/>
        <v/>
      </c>
      <c r="BA269" s="35" t="str">
        <f t="shared" si="88"/>
        <v/>
      </c>
      <c r="BB269" s="35" t="str">
        <f t="shared" si="89"/>
        <v/>
      </c>
      <c r="BC269" s="35"/>
      <c r="BE269" s="35" t="e">
        <f>INDEX(SF_Output!$AA$2:$AA$400,MATCH($B269,SF_Output!$M$2:$M$400,0))</f>
        <v>#N/A</v>
      </c>
      <c r="BF269" s="35" t="e">
        <f>INDEX(SF_Output!$AB$2:$AB$400,MATCH($B269,SF_Output!$M$2:$M$400,0))</f>
        <v>#N/A</v>
      </c>
    </row>
    <row r="270" spans="6:58" x14ac:dyDescent="0.25">
      <c r="F270" s="116" t="str">
        <f t="shared" si="72"/>
        <v/>
      </c>
      <c r="G270" t="str">
        <f>IF(B270="","",INDEX(SF_Output!$K$1:$K$400,MATCH(B270,SF_Output!$M$1:$M$400,0)))</f>
        <v/>
      </c>
      <c r="H270" t="str" cm="1">
        <f t="array" ref="H270">_xlfn.IFS(B270="","",(SUMIFS(SF_Output!$F$1:$F$400,SF_Output!$AC$1:$AC$400,_xlfn.TEXTJOIN(",",TRUE,B270:E270))+SUMIFS(SF_Output!$G$1:$G$400,SF_Output!$AC$1:$AC$400,_xlfn.TEXTJOIN(",",TRUE,B270:E270)))&lt;&gt;0,SF_Output!$Y$2,INDEX(SF_Output!$F$1:$F$400,MATCH(_xlfn.TEXTJOIN(",",TRUE,B270:E270),SF_Output!$AC$1:$AC$400,0))=0,INDEX(SF_Output!$R$1:$R$400,MATCH(_xlfn.TEXTJOIN(",",TRUE,B270:E270),SF_Output!$AC$1:$AC$400,0)))</f>
        <v/>
      </c>
      <c r="I270" s="125" t="str">
        <f>IFERROR(IF(AND(H270&gt;1,H270&lt;&gt;""),ROUND(SUMIFS(SF_Output!$S$1:$S$400,SF_Output!$AC$1:$AC$400,_xlfn.TEXTJOIN(",",TRUE,B270:E270),SF_Output!$Q$1:$Q$400,"monthly")*(1-W270)/H270,4),""),"")</f>
        <v/>
      </c>
      <c r="J270" s="6" t="str">
        <f>IF(B270="","",SUMIFS(SF_Output!$S$1:$S$400,SF_Output!$AC$1:$AC$400,_xlfn.TEXTJOIN(",",TRUE,B270:E270),SF_Output!$Q$1:$Q$400,"One Time",SF_Output!$L$1:$L$400,"license fee")+SUMIFS(SF_Output!$S$1:$S$400,SF_Output!$AC$1:$AC$400,_xlfn.TEXTJOIN(",",TRUE,B270:E270),SF_Output!$Q$1:$Q$400,"One Time",SF_Output!$L$1:$L$400,"software license")+SUMIFS(SF_Output!$S$1:$S$400,SF_Output!$AC$1:$AC$400,_xlfn.TEXTJOIN(",",TRUE,B270:E270),SF_Output!$Q$1:$Q$400,"One Time",SF_Output!$L$1:$L$400,"hardware"))</f>
        <v/>
      </c>
      <c r="K270" s="112" t="str">
        <f>IF(OR(B270=0,B270="",G270="hardware",J270=0),"",IF(AF270&lt;&gt;"exclusion",MAX(K$9,-((SUMIFS(SF_Output!$T$1:$T$400,SF_Output!$AC$1:$AC$400,_xlfn.TEXTJOIN(",",TRUE,$B270:$E270),SF_Output!$Q$1:$Q$400,"One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license"))/J270)))</f>
        <v/>
      </c>
      <c r="L270" s="6" t="str">
        <f t="shared" si="73"/>
        <v/>
      </c>
      <c r="N270" s="6" t="str">
        <f>IF(B270="","",SUMIFS(SF_Output!$S$1:$S$400,SF_Output!$AC$1:$AC$400,_xlfn.TEXTJOIN(",",TRUE,B270:E270),SF_Output!$Q$1:$Q$400,"One Time",SF_Output!$L$1:$L$400,"professional service"))</f>
        <v/>
      </c>
      <c r="O270" s="112" t="str">
        <f>IF(OR(B270=0,B270="",N270=0),"",IF(AF270&lt;&gt;"exclusion",MAX(O$9,-(SUMIFS(SF_Output!$T$1:$T$400,SF_Output!$AC$1:$AC$400,_xlfn.TEXTJOIN(",",TRUE,$B270:$E270),SF_Output!$Q$1:$Q$400,"One Time",SF_Output!$L$1:$L$400,"professional service"))/N270),-((SUMIFS(SF_Output!$T$1:$T$400,SF_Output!$AC$1:$AC$400,_xlfn.TEXTJOIN(",",TRUE,$B270:$E270),SF_Output!$Q$1:$Q$400,"One Time",SF_Output!$L$1:$L$400,"professional service")/N270))))</f>
        <v/>
      </c>
      <c r="P270" s="6" t="str">
        <f t="shared" si="74"/>
        <v/>
      </c>
      <c r="R270" s="6" t="str">
        <f>IF(B270="","",SUMIFS(SF_Output!$S$1:$S$400,SF_Output!$AC$1:$AC$400,_xlfn.TEXTJOIN(",",TRUE,B270:E270),SF_Output!$Q$1:$Q$400,"yearly")+SUMIFS(SF_Output!$S$1:$S$400,SF_Output!$AC$1:$AC$400,_xlfn.TEXTJOIN(",",TRUE,B270:E270),SF_Output!$Q$1:$Q$400,"quarterly")*4)</f>
        <v/>
      </c>
      <c r="S270" s="112" t="str">
        <f>IF(OR(B270=0,B270="",G270="hardware",R270=0),"",IF(AF270&lt;&gt;"exclusion",MAX(S$9,-(SUMIFS(SF_Output!$T$1:$T$400,SF_Output!$AC$1:$AC$400,_xlfn.TEXTJOIN(",",TRUE,$B270:$E270),SF_Output!$Q$1:$Q$400,"yearly"))/R270),-((SUMIFS(SF_Output!$T$1:$T$400,SF_Output!$AC$1:$AC$400,_xlfn.TEXTJOIN(",",TRUE,$B270:$E270),SF_Output!$Q$1:$Q$400,"yearly")/R270))))</f>
        <v/>
      </c>
      <c r="T270" s="6" t="str">
        <f t="shared" si="75"/>
        <v/>
      </c>
      <c r="V270" s="6" t="str" cm="1">
        <f t="array" ref="V270">_xlfn.IFS(B270="","",AND(B270&lt;&gt;"",H270=SF_Output!$Y$2,SUMIFS(SF_Output!$T$1:$T$400,SF_Output!$AC$1:$AC$400,_xlfn.TEXTJOIN(",",TRUE,B270:E270),SF_Output!$Q$1:$Q$400,"monthly")=0),(SUMIFS(SF_Output!$F$1:$F$400,SF_Output!$AC$1:$AC$400,_xlfn.TEXTJOIN(",",TRUE,B270:E270),SF_Output!$Q$1:$Q$400,"monthly")+SUMIFS(SF_Output!$G$1:$G$400,SF_Output!$AC$1:$AC$400,_xlfn.TEXTJOIN(",",TRUE,B270:E270),SF_Output!$Q$1:$Q$400,"monthly"))*H270,AND(B270&lt;&gt;"",H270=SF_Output!$Y$2,SUMIFS(SF_Output!$T$1:$T$400,SF_Output!$AC$1:$AC$400,_xlfn.TEXTJOIN(",",TRUE,B270:E270),SF_Output!$Q$1:$Q$400,"monthly")&lt;&gt;0),SUMIFS(SF_Output!$S$1:$S$400,SF_Output!$AC$1:$AC$400,_xlfn.TEXTJOIN(",",TRUE,B270:E270),SF_Output!$Q$1:$Q$400,"monthly"),AND(B270&lt;&gt;"",H270&lt;&gt;SF_Output!$Y$2),SUMIFS(SF_Output!$S$1:$S$400,SF_Output!$AC$1:$AC$400,_xlfn.TEXTJOIN(",",TRUE,B270:E270),SF_Output!$Q$1:$Q$400,"monthly"))</f>
        <v/>
      </c>
      <c r="W270" s="112" t="str" cm="1">
        <f t="array" ref="W270">_xlfn.IFS(OR(B270=0,B270="",V270=0),"",AF270&lt;&gt;"exclusion",MAX($W$9,$W$7,(-(SUMIFS(SF_Output!$T$1:$T$400,SF_Output!$AC$1:$AC$400,_xlfn.TEXTJOIN(",",TRUE,$B270:$E270),SF_Output!$Q$1:$Q$400,"monthly"))/V270)),AF270="exclusion",-(SUMIFS(SF_Output!$T$1:$T$400,SF_Output!$AC$1:$AC$400,_xlfn.TEXTJOIN(",",TRUE,$B270:$E270),SF_Output!$Q$1:$Q$400,"monthly"))/V270)</f>
        <v/>
      </c>
      <c r="X270" s="6" t="str" cm="1">
        <f t="array" ref="X270">IFERROR(_xlfn.IFS(V270=0,0,V270="","",W270=0,V270,OR(V270&lt;&gt;0,V270&lt;&gt;""),H270*I270),V270*(1-W270))</f>
        <v/>
      </c>
      <c r="Z270" s="6" t="str">
        <f>IFERROR(IF(B270="","",SUMIFS(Billing_Fallout!H:H,Billing_Fallout!N:N,B270)),0)</f>
        <v/>
      </c>
      <c r="AA270" s="6" t="str">
        <f t="shared" si="76"/>
        <v/>
      </c>
      <c r="AB270" s="6" t="str">
        <f>IFERROR(IF(B270="","",SUMIFS(Billing_Fallout!J:J,Billing_Fallout!N:N,B270)),0)</f>
        <v/>
      </c>
      <c r="AD270" s="6" t="str">
        <f t="shared" si="77"/>
        <v/>
      </c>
      <c r="AF270" t="str">
        <f>IFERROR(INDEX(H_Tables!$B$1:$B$1500,MATCH(INDEX(SF_Output!$J$1:$J$400,MATCH(B270,SF_Output!$M$1:$M$400,0)),H_Tables!$A$1:$A$1500,0)),"")</f>
        <v/>
      </c>
      <c r="AI270" s="119" t="str">
        <f t="shared" si="78"/>
        <v/>
      </c>
      <c r="AJ270" s="121">
        <f>IFERROR(INDEX(SF_Output!AD:AD,MATCH(_xlfn.TEXTJOIN(",",TRUE,B270:E270),SF_Output!AC21:AC420,0)),0.05)</f>
        <v>221</v>
      </c>
      <c r="AK270" t="str">
        <f>IF(SUMIFS(SF_Output!$F$1:$F$400,SF_Output!$AC$1:$AC$400,_xlfn.TEXTJOIN(",",TRUE,B270:E270))+SUMIFS(SF_Output!$G$1:$G$400,SF_Output!$AC$1:$AC$400,_xlfn.TEXTJOIN(",",TRUE,B270:E270))=0,"","PAP")</f>
        <v/>
      </c>
      <c r="AL270" s="35" t="str">
        <f t="shared" si="79"/>
        <v/>
      </c>
      <c r="AQ270" s="35"/>
      <c r="AR270" s="35" t="str" cm="1">
        <f t="array" ref="AR270">IFERROR(_xlfn.IFS(AND(E270*1=1,F270="Included"),"Change to Included",AND(E270*1=0,F270="Optional"),"Change to Optional",OR(B270="",F270="replaced"),""),"")</f>
        <v/>
      </c>
      <c r="AS270" s="35" t="str">
        <f t="shared" si="80"/>
        <v/>
      </c>
      <c r="AT270" s="35" t="str">
        <f t="shared" si="81"/>
        <v/>
      </c>
      <c r="AU270" s="35" t="str">
        <f t="shared" si="82"/>
        <v/>
      </c>
      <c r="AV270" s="35" t="str">
        <f t="shared" si="83"/>
        <v/>
      </c>
      <c r="AW270" s="35" t="str">
        <f t="shared" si="84"/>
        <v/>
      </c>
      <c r="AX270" s="35" t="str">
        <f t="shared" si="85"/>
        <v/>
      </c>
      <c r="AY270" s="35" t="str">
        <f t="shared" si="86"/>
        <v/>
      </c>
      <c r="AZ270" s="35" t="str">
        <f t="shared" si="87"/>
        <v/>
      </c>
      <c r="BA270" s="35" t="str">
        <f t="shared" si="88"/>
        <v/>
      </c>
      <c r="BB270" s="35" t="str">
        <f t="shared" si="89"/>
        <v/>
      </c>
      <c r="BC270" s="35"/>
      <c r="BE270" s="35" t="e">
        <f>INDEX(SF_Output!$AA$2:$AA$400,MATCH($B270,SF_Output!$M$2:$M$400,0))</f>
        <v>#N/A</v>
      </c>
      <c r="BF270" s="35" t="e">
        <f>INDEX(SF_Output!$AB$2:$AB$400,MATCH($B270,SF_Output!$M$2:$M$400,0))</f>
        <v>#N/A</v>
      </c>
    </row>
    <row r="271" spans="6:58" x14ac:dyDescent="0.25">
      <c r="F271" s="116" t="str">
        <f t="shared" si="72"/>
        <v/>
      </c>
      <c r="G271" t="str">
        <f>IF(B271="","",INDEX(SF_Output!$K$1:$K$400,MATCH(B271,SF_Output!$M$1:$M$400,0)))</f>
        <v/>
      </c>
      <c r="H271" t="str" cm="1">
        <f t="array" ref="H271">_xlfn.IFS(B271="","",(SUMIFS(SF_Output!$F$1:$F$400,SF_Output!$AC$1:$AC$400,_xlfn.TEXTJOIN(",",TRUE,B271:E271))+SUMIFS(SF_Output!$G$1:$G$400,SF_Output!$AC$1:$AC$400,_xlfn.TEXTJOIN(",",TRUE,B271:E271)))&lt;&gt;0,SF_Output!$Y$2,INDEX(SF_Output!$F$1:$F$400,MATCH(_xlfn.TEXTJOIN(",",TRUE,B271:E271),SF_Output!$AC$1:$AC$400,0))=0,INDEX(SF_Output!$R$1:$R$400,MATCH(_xlfn.TEXTJOIN(",",TRUE,B271:E271),SF_Output!$AC$1:$AC$400,0)))</f>
        <v/>
      </c>
      <c r="I271" s="125" t="str">
        <f>IFERROR(IF(AND(H271&gt;1,H271&lt;&gt;""),ROUND(SUMIFS(SF_Output!$S$1:$S$400,SF_Output!$AC$1:$AC$400,_xlfn.TEXTJOIN(",",TRUE,B271:E271),SF_Output!$Q$1:$Q$400,"monthly")*(1-W271)/H271,4),""),"")</f>
        <v/>
      </c>
      <c r="J271" s="6" t="str">
        <f>IF(B271="","",SUMIFS(SF_Output!$S$1:$S$400,SF_Output!$AC$1:$AC$400,_xlfn.TEXTJOIN(",",TRUE,B271:E271),SF_Output!$Q$1:$Q$400,"One Time",SF_Output!$L$1:$L$400,"license fee")+SUMIFS(SF_Output!$S$1:$S$400,SF_Output!$AC$1:$AC$400,_xlfn.TEXTJOIN(",",TRUE,B271:E271),SF_Output!$Q$1:$Q$400,"One Time",SF_Output!$L$1:$L$400,"software license")+SUMIFS(SF_Output!$S$1:$S$400,SF_Output!$AC$1:$AC$400,_xlfn.TEXTJOIN(",",TRUE,B271:E271),SF_Output!$Q$1:$Q$400,"One Time",SF_Output!$L$1:$L$400,"hardware"))</f>
        <v/>
      </c>
      <c r="K271" s="112" t="str">
        <f>IF(OR(B271=0,B271="",G271="hardware",J271=0),"",IF(AF271&lt;&gt;"exclusion",MAX(K$9,-((SUMIFS(SF_Output!$T$1:$T$400,SF_Output!$AC$1:$AC$400,_xlfn.TEXTJOIN(",",TRUE,$B271:$E271),SF_Output!$Q$1:$Q$400,"One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license"))/J271)))</f>
        <v/>
      </c>
      <c r="L271" s="6" t="str">
        <f t="shared" si="73"/>
        <v/>
      </c>
      <c r="N271" s="6" t="str">
        <f>IF(B271="","",SUMIFS(SF_Output!$S$1:$S$400,SF_Output!$AC$1:$AC$400,_xlfn.TEXTJOIN(",",TRUE,B271:E271),SF_Output!$Q$1:$Q$400,"One Time",SF_Output!$L$1:$L$400,"professional service"))</f>
        <v/>
      </c>
      <c r="O271" s="112" t="str">
        <f>IF(OR(B271=0,B271="",N271=0),"",IF(AF271&lt;&gt;"exclusion",MAX(O$9,-(SUMIFS(SF_Output!$T$1:$T$400,SF_Output!$AC$1:$AC$400,_xlfn.TEXTJOIN(",",TRUE,$B271:$E271),SF_Output!$Q$1:$Q$400,"One Time",SF_Output!$L$1:$L$400,"professional service"))/N271),-((SUMIFS(SF_Output!$T$1:$T$400,SF_Output!$AC$1:$AC$400,_xlfn.TEXTJOIN(",",TRUE,$B271:$E271),SF_Output!$Q$1:$Q$400,"One Time",SF_Output!$L$1:$L$400,"professional service")/N271))))</f>
        <v/>
      </c>
      <c r="P271" s="6" t="str">
        <f t="shared" si="74"/>
        <v/>
      </c>
      <c r="R271" s="6" t="str">
        <f>IF(B271="","",SUMIFS(SF_Output!$S$1:$S$400,SF_Output!$AC$1:$AC$400,_xlfn.TEXTJOIN(",",TRUE,B271:E271),SF_Output!$Q$1:$Q$400,"yearly")+SUMIFS(SF_Output!$S$1:$S$400,SF_Output!$AC$1:$AC$400,_xlfn.TEXTJOIN(",",TRUE,B271:E271),SF_Output!$Q$1:$Q$400,"quarterly")*4)</f>
        <v/>
      </c>
      <c r="S271" s="112" t="str">
        <f>IF(OR(B271=0,B271="",G271="hardware",R271=0),"",IF(AF271&lt;&gt;"exclusion",MAX(S$9,-(SUMIFS(SF_Output!$T$1:$T$400,SF_Output!$AC$1:$AC$400,_xlfn.TEXTJOIN(",",TRUE,$B271:$E271),SF_Output!$Q$1:$Q$400,"yearly"))/R271),-((SUMIFS(SF_Output!$T$1:$T$400,SF_Output!$AC$1:$AC$400,_xlfn.TEXTJOIN(",",TRUE,$B271:$E271),SF_Output!$Q$1:$Q$400,"yearly")/R271))))</f>
        <v/>
      </c>
      <c r="T271" s="6" t="str">
        <f t="shared" si="75"/>
        <v/>
      </c>
      <c r="V271" s="6" t="str" cm="1">
        <f t="array" ref="V271">_xlfn.IFS(B271="","",AND(B271&lt;&gt;"",H271=SF_Output!$Y$2,SUMIFS(SF_Output!$T$1:$T$400,SF_Output!$AC$1:$AC$400,_xlfn.TEXTJOIN(",",TRUE,B271:E271),SF_Output!$Q$1:$Q$400,"monthly")=0),(SUMIFS(SF_Output!$F$1:$F$400,SF_Output!$AC$1:$AC$400,_xlfn.TEXTJOIN(",",TRUE,B271:E271),SF_Output!$Q$1:$Q$400,"monthly")+SUMIFS(SF_Output!$G$1:$G$400,SF_Output!$AC$1:$AC$400,_xlfn.TEXTJOIN(",",TRUE,B271:E271),SF_Output!$Q$1:$Q$400,"monthly"))*H271,AND(B271&lt;&gt;"",H271=SF_Output!$Y$2,SUMIFS(SF_Output!$T$1:$T$400,SF_Output!$AC$1:$AC$400,_xlfn.TEXTJOIN(",",TRUE,B271:E271),SF_Output!$Q$1:$Q$400,"monthly")&lt;&gt;0),SUMIFS(SF_Output!$S$1:$S$400,SF_Output!$AC$1:$AC$400,_xlfn.TEXTJOIN(",",TRUE,B271:E271),SF_Output!$Q$1:$Q$400,"monthly"),AND(B271&lt;&gt;"",H271&lt;&gt;SF_Output!$Y$2),SUMIFS(SF_Output!$S$1:$S$400,SF_Output!$AC$1:$AC$400,_xlfn.TEXTJOIN(",",TRUE,B271:E271),SF_Output!$Q$1:$Q$400,"monthly"))</f>
        <v/>
      </c>
      <c r="W271" s="112" t="str" cm="1">
        <f t="array" ref="W271">_xlfn.IFS(OR(B271=0,B271="",V271=0),"",AF271&lt;&gt;"exclusion",MAX($W$9,$W$7,(-(SUMIFS(SF_Output!$T$1:$T$400,SF_Output!$AC$1:$AC$400,_xlfn.TEXTJOIN(",",TRUE,$B271:$E271),SF_Output!$Q$1:$Q$400,"monthly"))/V271)),AF271="exclusion",-(SUMIFS(SF_Output!$T$1:$T$400,SF_Output!$AC$1:$AC$400,_xlfn.TEXTJOIN(",",TRUE,$B271:$E271),SF_Output!$Q$1:$Q$400,"monthly"))/V271)</f>
        <v/>
      </c>
      <c r="X271" s="6" t="str" cm="1">
        <f t="array" ref="X271">IFERROR(_xlfn.IFS(V271=0,0,V271="","",W271=0,V271,OR(V271&lt;&gt;0,V271&lt;&gt;""),H271*I271),V271*(1-W271))</f>
        <v/>
      </c>
      <c r="Z271" s="6" t="str">
        <f>IFERROR(IF(B271="","",SUMIFS(Billing_Fallout!H:H,Billing_Fallout!N:N,B271)),0)</f>
        <v/>
      </c>
      <c r="AA271" s="6" t="str">
        <f t="shared" si="76"/>
        <v/>
      </c>
      <c r="AB271" s="6" t="str">
        <f>IFERROR(IF(B271="","",SUMIFS(Billing_Fallout!J:J,Billing_Fallout!N:N,B271)),0)</f>
        <v/>
      </c>
      <c r="AD271" s="6" t="str">
        <f t="shared" si="77"/>
        <v/>
      </c>
      <c r="AF271" t="str">
        <f>IFERROR(INDEX(H_Tables!$B$1:$B$1500,MATCH(INDEX(SF_Output!$J$1:$J$400,MATCH(B271,SF_Output!$M$1:$M$400,0)),H_Tables!$A$1:$A$1500,0)),"")</f>
        <v/>
      </c>
      <c r="AI271" s="119" t="str">
        <f t="shared" si="78"/>
        <v/>
      </c>
      <c r="AJ271" s="121">
        <f>IFERROR(INDEX(SF_Output!AD:AD,MATCH(_xlfn.TEXTJOIN(",",TRUE,B271:E271),SF_Output!AC22:AC421,0)),0.05)</f>
        <v>220</v>
      </c>
      <c r="AK271" t="str">
        <f>IF(SUMIFS(SF_Output!$F$1:$F$400,SF_Output!$AC$1:$AC$400,_xlfn.TEXTJOIN(",",TRUE,B271:E271))+SUMIFS(SF_Output!$G$1:$G$400,SF_Output!$AC$1:$AC$400,_xlfn.TEXTJOIN(",",TRUE,B271:E271))=0,"","PAP")</f>
        <v/>
      </c>
      <c r="AL271" s="35" t="str">
        <f t="shared" si="79"/>
        <v/>
      </c>
      <c r="AQ271" s="35"/>
      <c r="AR271" s="35" t="str" cm="1">
        <f t="array" ref="AR271">IFERROR(_xlfn.IFS(AND(E271*1=1,F271="Included"),"Change to Included",AND(E271*1=0,F271="Optional"),"Change to Optional",OR(B271="",F271="replaced"),""),"")</f>
        <v/>
      </c>
      <c r="AS271" s="35" t="str">
        <f t="shared" si="80"/>
        <v/>
      </c>
      <c r="AT271" s="35" t="str">
        <f t="shared" si="81"/>
        <v/>
      </c>
      <c r="AU271" s="35" t="str">
        <f t="shared" si="82"/>
        <v/>
      </c>
      <c r="AV271" s="35" t="str">
        <f t="shared" si="83"/>
        <v/>
      </c>
      <c r="AW271" s="35" t="str">
        <f t="shared" si="84"/>
        <v/>
      </c>
      <c r="AX271" s="35" t="str">
        <f t="shared" si="85"/>
        <v/>
      </c>
      <c r="AY271" s="35" t="str">
        <f t="shared" si="86"/>
        <v/>
      </c>
      <c r="AZ271" s="35" t="str">
        <f t="shared" si="87"/>
        <v/>
      </c>
      <c r="BA271" s="35" t="str">
        <f t="shared" si="88"/>
        <v/>
      </c>
      <c r="BB271" s="35" t="str">
        <f t="shared" si="89"/>
        <v/>
      </c>
      <c r="BC271" s="35"/>
      <c r="BE271" s="35" t="e">
        <f>INDEX(SF_Output!$AA$2:$AA$400,MATCH($B271,SF_Output!$M$2:$M$400,0))</f>
        <v>#N/A</v>
      </c>
      <c r="BF271" s="35" t="e">
        <f>INDEX(SF_Output!$AB$2:$AB$400,MATCH($B271,SF_Output!$M$2:$M$400,0))</f>
        <v>#N/A</v>
      </c>
    </row>
    <row r="272" spans="6:58" x14ac:dyDescent="0.25">
      <c r="F272" s="116" t="str">
        <f t="shared" si="72"/>
        <v/>
      </c>
      <c r="G272" t="str">
        <f>IF(B272="","",INDEX(SF_Output!$K$1:$K$400,MATCH(B272,SF_Output!$M$1:$M$400,0)))</f>
        <v/>
      </c>
      <c r="H272" t="str" cm="1">
        <f t="array" ref="H272">_xlfn.IFS(B272="","",(SUMIFS(SF_Output!$F$1:$F$400,SF_Output!$AC$1:$AC$400,_xlfn.TEXTJOIN(",",TRUE,B272:E272))+SUMIFS(SF_Output!$G$1:$G$400,SF_Output!$AC$1:$AC$400,_xlfn.TEXTJOIN(",",TRUE,B272:E272)))&lt;&gt;0,SF_Output!$Y$2,INDEX(SF_Output!$F$1:$F$400,MATCH(_xlfn.TEXTJOIN(",",TRUE,B272:E272),SF_Output!$AC$1:$AC$400,0))=0,INDEX(SF_Output!$R$1:$R$400,MATCH(_xlfn.TEXTJOIN(",",TRUE,B272:E272),SF_Output!$AC$1:$AC$400,0)))</f>
        <v/>
      </c>
      <c r="I272" s="125" t="str">
        <f>IFERROR(IF(AND(H272&gt;1,H272&lt;&gt;""),ROUND(SUMIFS(SF_Output!$S$1:$S$400,SF_Output!$AC$1:$AC$400,_xlfn.TEXTJOIN(",",TRUE,B272:E272),SF_Output!$Q$1:$Q$400,"monthly")*(1-W272)/H272,4),""),"")</f>
        <v/>
      </c>
      <c r="J272" s="6" t="str">
        <f>IF(B272="","",SUMIFS(SF_Output!$S$1:$S$400,SF_Output!$AC$1:$AC$400,_xlfn.TEXTJOIN(",",TRUE,B272:E272),SF_Output!$Q$1:$Q$400,"One Time",SF_Output!$L$1:$L$400,"license fee")+SUMIFS(SF_Output!$S$1:$S$400,SF_Output!$AC$1:$AC$400,_xlfn.TEXTJOIN(",",TRUE,B272:E272),SF_Output!$Q$1:$Q$400,"One Time",SF_Output!$L$1:$L$400,"software license")+SUMIFS(SF_Output!$S$1:$S$400,SF_Output!$AC$1:$AC$400,_xlfn.TEXTJOIN(",",TRUE,B272:E272),SF_Output!$Q$1:$Q$400,"One Time",SF_Output!$L$1:$L$400,"hardware"))</f>
        <v/>
      </c>
      <c r="K272" s="112" t="str">
        <f>IF(OR(B272=0,B272="",G272="hardware",J272=0),"",IF(AF272&lt;&gt;"exclusion",MAX(K$9,-((SUMIFS(SF_Output!$T$1:$T$400,SF_Output!$AC$1:$AC$400,_xlfn.TEXTJOIN(",",TRUE,$B272:$E272),SF_Output!$Q$1:$Q$400,"One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license"))/J272)))</f>
        <v/>
      </c>
      <c r="L272" s="6" t="str">
        <f t="shared" si="73"/>
        <v/>
      </c>
      <c r="N272" s="6" t="str">
        <f>IF(B272="","",SUMIFS(SF_Output!$S$1:$S$400,SF_Output!$AC$1:$AC$400,_xlfn.TEXTJOIN(",",TRUE,B272:E272),SF_Output!$Q$1:$Q$400,"One Time",SF_Output!$L$1:$L$400,"professional service"))</f>
        <v/>
      </c>
      <c r="O272" s="112" t="str">
        <f>IF(OR(B272=0,B272="",N272=0),"",IF(AF272&lt;&gt;"exclusion",MAX(O$9,-(SUMIFS(SF_Output!$T$1:$T$400,SF_Output!$AC$1:$AC$400,_xlfn.TEXTJOIN(",",TRUE,$B272:$E272),SF_Output!$Q$1:$Q$400,"One Time",SF_Output!$L$1:$L$400,"professional service"))/N272),-((SUMIFS(SF_Output!$T$1:$T$400,SF_Output!$AC$1:$AC$400,_xlfn.TEXTJOIN(",",TRUE,$B272:$E272),SF_Output!$Q$1:$Q$400,"One Time",SF_Output!$L$1:$L$400,"professional service")/N272))))</f>
        <v/>
      </c>
      <c r="P272" s="6" t="str">
        <f t="shared" si="74"/>
        <v/>
      </c>
      <c r="R272" s="6" t="str">
        <f>IF(B272="","",SUMIFS(SF_Output!$S$1:$S$400,SF_Output!$AC$1:$AC$400,_xlfn.TEXTJOIN(",",TRUE,B272:E272),SF_Output!$Q$1:$Q$400,"yearly")+SUMIFS(SF_Output!$S$1:$S$400,SF_Output!$AC$1:$AC$400,_xlfn.TEXTJOIN(",",TRUE,B272:E272),SF_Output!$Q$1:$Q$400,"quarterly")*4)</f>
        <v/>
      </c>
      <c r="S272" s="112" t="str">
        <f>IF(OR(B272=0,B272="",G272="hardware",R272=0),"",IF(AF272&lt;&gt;"exclusion",MAX(S$9,-(SUMIFS(SF_Output!$T$1:$T$400,SF_Output!$AC$1:$AC$400,_xlfn.TEXTJOIN(",",TRUE,$B272:$E272),SF_Output!$Q$1:$Q$400,"yearly"))/R272),-((SUMIFS(SF_Output!$T$1:$T$400,SF_Output!$AC$1:$AC$400,_xlfn.TEXTJOIN(",",TRUE,$B272:$E272),SF_Output!$Q$1:$Q$400,"yearly")/R272))))</f>
        <v/>
      </c>
      <c r="T272" s="6" t="str">
        <f t="shared" si="75"/>
        <v/>
      </c>
      <c r="V272" s="6" t="str" cm="1">
        <f t="array" ref="V272">_xlfn.IFS(B272="","",AND(B272&lt;&gt;"",H272=SF_Output!$Y$2,SUMIFS(SF_Output!$T$1:$T$400,SF_Output!$AC$1:$AC$400,_xlfn.TEXTJOIN(",",TRUE,B272:E272),SF_Output!$Q$1:$Q$400,"monthly")=0),(SUMIFS(SF_Output!$F$1:$F$400,SF_Output!$AC$1:$AC$400,_xlfn.TEXTJOIN(",",TRUE,B272:E272),SF_Output!$Q$1:$Q$400,"monthly")+SUMIFS(SF_Output!$G$1:$G$400,SF_Output!$AC$1:$AC$400,_xlfn.TEXTJOIN(",",TRUE,B272:E272),SF_Output!$Q$1:$Q$400,"monthly"))*H272,AND(B272&lt;&gt;"",H272=SF_Output!$Y$2,SUMIFS(SF_Output!$T$1:$T$400,SF_Output!$AC$1:$AC$400,_xlfn.TEXTJOIN(",",TRUE,B272:E272),SF_Output!$Q$1:$Q$400,"monthly")&lt;&gt;0),SUMIFS(SF_Output!$S$1:$S$400,SF_Output!$AC$1:$AC$400,_xlfn.TEXTJOIN(",",TRUE,B272:E272),SF_Output!$Q$1:$Q$400,"monthly"),AND(B272&lt;&gt;"",H272&lt;&gt;SF_Output!$Y$2),SUMIFS(SF_Output!$S$1:$S$400,SF_Output!$AC$1:$AC$400,_xlfn.TEXTJOIN(",",TRUE,B272:E272),SF_Output!$Q$1:$Q$400,"monthly"))</f>
        <v/>
      </c>
      <c r="W272" s="112" t="str" cm="1">
        <f t="array" ref="W272">_xlfn.IFS(OR(B272=0,B272="",V272=0),"",AF272&lt;&gt;"exclusion",MAX($W$9,$W$7,(-(SUMIFS(SF_Output!$T$1:$T$400,SF_Output!$AC$1:$AC$400,_xlfn.TEXTJOIN(",",TRUE,$B272:$E272),SF_Output!$Q$1:$Q$400,"monthly"))/V272)),AF272="exclusion",-(SUMIFS(SF_Output!$T$1:$T$400,SF_Output!$AC$1:$AC$400,_xlfn.TEXTJOIN(",",TRUE,$B272:$E272),SF_Output!$Q$1:$Q$400,"monthly"))/V272)</f>
        <v/>
      </c>
      <c r="X272" s="6" t="str" cm="1">
        <f t="array" ref="X272">IFERROR(_xlfn.IFS(V272=0,0,V272="","",W272=0,V272,OR(V272&lt;&gt;0,V272&lt;&gt;""),H272*I272),V272*(1-W272))</f>
        <v/>
      </c>
      <c r="Z272" s="6" t="str">
        <f>IFERROR(IF(B272="","",SUMIFS(Billing_Fallout!H:H,Billing_Fallout!N:N,B272)),0)</f>
        <v/>
      </c>
      <c r="AA272" s="6" t="str">
        <f t="shared" si="76"/>
        <v/>
      </c>
      <c r="AB272" s="6" t="str">
        <f>IFERROR(IF(B272="","",SUMIFS(Billing_Fallout!J:J,Billing_Fallout!N:N,B272)),0)</f>
        <v/>
      </c>
      <c r="AD272" s="6" t="str">
        <f t="shared" si="77"/>
        <v/>
      </c>
      <c r="AF272" t="str">
        <f>IFERROR(INDEX(H_Tables!$B$1:$B$1500,MATCH(INDEX(SF_Output!$J$1:$J$400,MATCH(B272,SF_Output!$M$1:$M$400,0)),H_Tables!$A$1:$A$1500,0)),"")</f>
        <v/>
      </c>
      <c r="AI272" s="119" t="str">
        <f t="shared" si="78"/>
        <v/>
      </c>
      <c r="AJ272" s="121">
        <f>IFERROR(INDEX(SF_Output!AD:AD,MATCH(_xlfn.TEXTJOIN(",",TRUE,B272:E272),SF_Output!AC23:AC422,0)),0.05)</f>
        <v>219</v>
      </c>
      <c r="AK272" t="str">
        <f>IF(SUMIFS(SF_Output!$F$1:$F$400,SF_Output!$AC$1:$AC$400,_xlfn.TEXTJOIN(",",TRUE,B272:E272))+SUMIFS(SF_Output!$G$1:$G$400,SF_Output!$AC$1:$AC$400,_xlfn.TEXTJOIN(",",TRUE,B272:E272))=0,"","PAP")</f>
        <v/>
      </c>
      <c r="AL272" s="35" t="str">
        <f t="shared" si="79"/>
        <v/>
      </c>
      <c r="AQ272" s="35"/>
      <c r="AR272" s="35" t="str" cm="1">
        <f t="array" ref="AR272">IFERROR(_xlfn.IFS(AND(E272*1=1,F272="Included"),"Change to Included",AND(E272*1=0,F272="Optional"),"Change to Optional",OR(B272="",F272="replaced"),""),"")</f>
        <v/>
      </c>
      <c r="AS272" s="35" t="str">
        <f t="shared" si="80"/>
        <v/>
      </c>
      <c r="AT272" s="35" t="str">
        <f t="shared" si="81"/>
        <v/>
      </c>
      <c r="AU272" s="35" t="str">
        <f t="shared" si="82"/>
        <v/>
      </c>
      <c r="AV272" s="35" t="str">
        <f t="shared" si="83"/>
        <v/>
      </c>
      <c r="AW272" s="35" t="str">
        <f t="shared" si="84"/>
        <v/>
      </c>
      <c r="AX272" s="35" t="str">
        <f t="shared" si="85"/>
        <v/>
      </c>
      <c r="AY272" s="35" t="str">
        <f t="shared" si="86"/>
        <v/>
      </c>
      <c r="AZ272" s="35" t="str">
        <f t="shared" si="87"/>
        <v/>
      </c>
      <c r="BA272" s="35" t="str">
        <f t="shared" si="88"/>
        <v/>
      </c>
      <c r="BB272" s="35" t="str">
        <f t="shared" si="89"/>
        <v/>
      </c>
      <c r="BC272" s="35"/>
      <c r="BE272" s="35" t="e">
        <f>INDEX(SF_Output!$AA$2:$AA$400,MATCH($B272,SF_Output!$M$2:$M$400,0))</f>
        <v>#N/A</v>
      </c>
      <c r="BF272" s="35" t="e">
        <f>INDEX(SF_Output!$AB$2:$AB$400,MATCH($B272,SF_Output!$M$2:$M$400,0))</f>
        <v>#N/A</v>
      </c>
    </row>
    <row r="273" spans="6:58" x14ac:dyDescent="0.25">
      <c r="F273" s="116" t="str">
        <f t="shared" si="72"/>
        <v/>
      </c>
      <c r="G273" t="str">
        <f>IF(B273="","",INDEX(SF_Output!$K$1:$K$400,MATCH(B273,SF_Output!$M$1:$M$400,0)))</f>
        <v/>
      </c>
      <c r="H273" t="str" cm="1">
        <f t="array" ref="H273">_xlfn.IFS(B273="","",(SUMIFS(SF_Output!$F$1:$F$400,SF_Output!$AC$1:$AC$400,_xlfn.TEXTJOIN(",",TRUE,B273:E273))+SUMIFS(SF_Output!$G$1:$G$400,SF_Output!$AC$1:$AC$400,_xlfn.TEXTJOIN(",",TRUE,B273:E273)))&lt;&gt;0,SF_Output!$Y$2,INDEX(SF_Output!$F$1:$F$400,MATCH(_xlfn.TEXTJOIN(",",TRUE,B273:E273),SF_Output!$AC$1:$AC$400,0))=0,INDEX(SF_Output!$R$1:$R$400,MATCH(_xlfn.TEXTJOIN(",",TRUE,B273:E273),SF_Output!$AC$1:$AC$400,0)))</f>
        <v/>
      </c>
      <c r="I273" s="125" t="str">
        <f>IFERROR(IF(AND(H273&gt;1,H273&lt;&gt;""),ROUND(SUMIFS(SF_Output!$S$1:$S$400,SF_Output!$AC$1:$AC$400,_xlfn.TEXTJOIN(",",TRUE,B273:E273),SF_Output!$Q$1:$Q$400,"monthly")*(1-W273)/H273,4),""),"")</f>
        <v/>
      </c>
      <c r="J273" s="6" t="str">
        <f>IF(B273="","",SUMIFS(SF_Output!$S$1:$S$400,SF_Output!$AC$1:$AC$400,_xlfn.TEXTJOIN(",",TRUE,B273:E273),SF_Output!$Q$1:$Q$400,"One Time",SF_Output!$L$1:$L$400,"license fee")+SUMIFS(SF_Output!$S$1:$S$400,SF_Output!$AC$1:$AC$400,_xlfn.TEXTJOIN(",",TRUE,B273:E273),SF_Output!$Q$1:$Q$400,"One Time",SF_Output!$L$1:$L$400,"software license")+SUMIFS(SF_Output!$S$1:$S$400,SF_Output!$AC$1:$AC$400,_xlfn.TEXTJOIN(",",TRUE,B273:E273),SF_Output!$Q$1:$Q$400,"One Time",SF_Output!$L$1:$L$400,"hardware"))</f>
        <v/>
      </c>
      <c r="K273" s="112" t="str">
        <f>IF(OR(B273=0,B273="",G273="hardware",J273=0),"",IF(AF273&lt;&gt;"exclusion",MAX(K$9,-((SUMIFS(SF_Output!$T$1:$T$400,SF_Output!$AC$1:$AC$400,_xlfn.TEXTJOIN(",",TRUE,$B273:$E273),SF_Output!$Q$1:$Q$400,"One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license"))/J273)))</f>
        <v/>
      </c>
      <c r="L273" s="6" t="str">
        <f t="shared" si="73"/>
        <v/>
      </c>
      <c r="N273" s="6" t="str">
        <f>IF(B273="","",SUMIFS(SF_Output!$S$1:$S$400,SF_Output!$AC$1:$AC$400,_xlfn.TEXTJOIN(",",TRUE,B273:E273),SF_Output!$Q$1:$Q$400,"One Time",SF_Output!$L$1:$L$400,"professional service"))</f>
        <v/>
      </c>
      <c r="O273" s="112" t="str">
        <f>IF(OR(B273=0,B273="",N273=0),"",IF(AF273&lt;&gt;"exclusion",MAX(O$9,-(SUMIFS(SF_Output!$T$1:$T$400,SF_Output!$AC$1:$AC$400,_xlfn.TEXTJOIN(",",TRUE,$B273:$E273),SF_Output!$Q$1:$Q$400,"One Time",SF_Output!$L$1:$L$400,"professional service"))/N273),-((SUMIFS(SF_Output!$T$1:$T$400,SF_Output!$AC$1:$AC$400,_xlfn.TEXTJOIN(",",TRUE,$B273:$E273),SF_Output!$Q$1:$Q$400,"One Time",SF_Output!$L$1:$L$400,"professional service")/N273))))</f>
        <v/>
      </c>
      <c r="P273" s="6" t="str">
        <f t="shared" si="74"/>
        <v/>
      </c>
      <c r="R273" s="6" t="str">
        <f>IF(B273="","",SUMIFS(SF_Output!$S$1:$S$400,SF_Output!$AC$1:$AC$400,_xlfn.TEXTJOIN(",",TRUE,B273:E273),SF_Output!$Q$1:$Q$400,"yearly")+SUMIFS(SF_Output!$S$1:$S$400,SF_Output!$AC$1:$AC$400,_xlfn.TEXTJOIN(",",TRUE,B273:E273),SF_Output!$Q$1:$Q$400,"quarterly")*4)</f>
        <v/>
      </c>
      <c r="S273" s="112" t="str">
        <f>IF(OR(B273=0,B273="",G273="hardware",R273=0),"",IF(AF273&lt;&gt;"exclusion",MAX(S$9,-(SUMIFS(SF_Output!$T$1:$T$400,SF_Output!$AC$1:$AC$400,_xlfn.TEXTJOIN(",",TRUE,$B273:$E273),SF_Output!$Q$1:$Q$400,"yearly"))/R273),-((SUMIFS(SF_Output!$T$1:$T$400,SF_Output!$AC$1:$AC$400,_xlfn.TEXTJOIN(",",TRUE,$B273:$E273),SF_Output!$Q$1:$Q$400,"yearly")/R273))))</f>
        <v/>
      </c>
      <c r="T273" s="6" t="str">
        <f t="shared" si="75"/>
        <v/>
      </c>
      <c r="V273" s="6" t="str" cm="1">
        <f t="array" ref="V273">_xlfn.IFS(B273="","",AND(B273&lt;&gt;"",H273=SF_Output!$Y$2,SUMIFS(SF_Output!$T$1:$T$400,SF_Output!$AC$1:$AC$400,_xlfn.TEXTJOIN(",",TRUE,B273:E273),SF_Output!$Q$1:$Q$400,"monthly")=0),(SUMIFS(SF_Output!$F$1:$F$400,SF_Output!$AC$1:$AC$400,_xlfn.TEXTJOIN(",",TRUE,B273:E273),SF_Output!$Q$1:$Q$400,"monthly")+SUMIFS(SF_Output!$G$1:$G$400,SF_Output!$AC$1:$AC$400,_xlfn.TEXTJOIN(",",TRUE,B273:E273),SF_Output!$Q$1:$Q$400,"monthly"))*H273,AND(B273&lt;&gt;"",H273=SF_Output!$Y$2,SUMIFS(SF_Output!$T$1:$T$400,SF_Output!$AC$1:$AC$400,_xlfn.TEXTJOIN(",",TRUE,B273:E273),SF_Output!$Q$1:$Q$400,"monthly")&lt;&gt;0),SUMIFS(SF_Output!$S$1:$S$400,SF_Output!$AC$1:$AC$400,_xlfn.TEXTJOIN(",",TRUE,B273:E273),SF_Output!$Q$1:$Q$400,"monthly"),AND(B273&lt;&gt;"",H273&lt;&gt;SF_Output!$Y$2),SUMIFS(SF_Output!$S$1:$S$400,SF_Output!$AC$1:$AC$400,_xlfn.TEXTJOIN(",",TRUE,B273:E273),SF_Output!$Q$1:$Q$400,"monthly"))</f>
        <v/>
      </c>
      <c r="W273" s="112" t="str" cm="1">
        <f t="array" ref="W273">_xlfn.IFS(OR(B273=0,B273="",V273=0),"",AF273&lt;&gt;"exclusion",MAX($W$9,$W$7,(-(SUMIFS(SF_Output!$T$1:$T$400,SF_Output!$AC$1:$AC$400,_xlfn.TEXTJOIN(",",TRUE,$B273:$E273),SF_Output!$Q$1:$Q$400,"monthly"))/V273)),AF273="exclusion",-(SUMIFS(SF_Output!$T$1:$T$400,SF_Output!$AC$1:$AC$400,_xlfn.TEXTJOIN(",",TRUE,$B273:$E273),SF_Output!$Q$1:$Q$400,"monthly"))/V273)</f>
        <v/>
      </c>
      <c r="X273" s="6" t="str" cm="1">
        <f t="array" ref="X273">IFERROR(_xlfn.IFS(V273=0,0,V273="","",W273=0,V273,OR(V273&lt;&gt;0,V273&lt;&gt;""),H273*I273),V273*(1-W273))</f>
        <v/>
      </c>
      <c r="Z273" s="6" t="str">
        <f>IFERROR(IF(B273="","",SUMIFS(Billing_Fallout!H:H,Billing_Fallout!N:N,B273)),0)</f>
        <v/>
      </c>
      <c r="AA273" s="6" t="str">
        <f t="shared" si="76"/>
        <v/>
      </c>
      <c r="AB273" s="6" t="str">
        <f>IFERROR(IF(B273="","",SUMIFS(Billing_Fallout!J:J,Billing_Fallout!N:N,B273)),0)</f>
        <v/>
      </c>
      <c r="AD273" s="6" t="str">
        <f t="shared" si="77"/>
        <v/>
      </c>
      <c r="AF273" t="str">
        <f>IFERROR(INDEX(H_Tables!$B$1:$B$1500,MATCH(INDEX(SF_Output!$J$1:$J$400,MATCH(B273,SF_Output!$M$1:$M$400,0)),H_Tables!$A$1:$A$1500,0)),"")</f>
        <v/>
      </c>
      <c r="AI273" s="119" t="str">
        <f t="shared" si="78"/>
        <v/>
      </c>
      <c r="AJ273" s="121">
        <f>IFERROR(INDEX(SF_Output!AD:AD,MATCH(_xlfn.TEXTJOIN(",",TRUE,B273:E273),SF_Output!AC24:AC423,0)),0.05)</f>
        <v>218</v>
      </c>
      <c r="AK273" t="str">
        <f>IF(SUMIFS(SF_Output!$F$1:$F$400,SF_Output!$AC$1:$AC$400,_xlfn.TEXTJOIN(",",TRUE,B273:E273))+SUMIFS(SF_Output!$G$1:$G$400,SF_Output!$AC$1:$AC$400,_xlfn.TEXTJOIN(",",TRUE,B273:E273))=0,"","PAP")</f>
        <v/>
      </c>
      <c r="AL273" s="35" t="str">
        <f t="shared" si="79"/>
        <v/>
      </c>
      <c r="AQ273" s="35"/>
      <c r="AR273" s="35" t="str" cm="1">
        <f t="array" ref="AR273">IFERROR(_xlfn.IFS(AND(E273*1=1,F273="Included"),"Change to Included",AND(E273*1=0,F273="Optional"),"Change to Optional",OR(B273="",F273="replaced"),""),"")</f>
        <v/>
      </c>
      <c r="AS273" s="35" t="str">
        <f t="shared" si="80"/>
        <v/>
      </c>
      <c r="AT273" s="35" t="str">
        <f t="shared" si="81"/>
        <v/>
      </c>
      <c r="AU273" s="35" t="str">
        <f t="shared" si="82"/>
        <v/>
      </c>
      <c r="AV273" s="35" t="str">
        <f t="shared" si="83"/>
        <v/>
      </c>
      <c r="AW273" s="35" t="str">
        <f t="shared" si="84"/>
        <v/>
      </c>
      <c r="AX273" s="35" t="str">
        <f t="shared" si="85"/>
        <v/>
      </c>
      <c r="AY273" s="35" t="str">
        <f t="shared" si="86"/>
        <v/>
      </c>
      <c r="AZ273" s="35" t="str">
        <f t="shared" si="87"/>
        <v/>
      </c>
      <c r="BA273" s="35" t="str">
        <f t="shared" si="88"/>
        <v/>
      </c>
      <c r="BB273" s="35" t="str">
        <f t="shared" si="89"/>
        <v/>
      </c>
      <c r="BC273" s="35"/>
      <c r="BE273" s="35" t="e">
        <f>INDEX(SF_Output!$AA$2:$AA$400,MATCH($B273,SF_Output!$M$2:$M$400,0))</f>
        <v>#N/A</v>
      </c>
      <c r="BF273" s="35" t="e">
        <f>INDEX(SF_Output!$AB$2:$AB$400,MATCH($B273,SF_Output!$M$2:$M$400,0))</f>
        <v>#N/A</v>
      </c>
    </row>
    <row r="274" spans="6:58" x14ac:dyDescent="0.25">
      <c r="F274" s="116" t="str">
        <f t="shared" si="72"/>
        <v/>
      </c>
      <c r="G274" t="str">
        <f>IF(B274="","",INDEX(SF_Output!$K$1:$K$400,MATCH(B274,SF_Output!$M$1:$M$400,0)))</f>
        <v/>
      </c>
      <c r="H274" t="str" cm="1">
        <f t="array" ref="H274">_xlfn.IFS(B274="","",(SUMIFS(SF_Output!$F$1:$F$400,SF_Output!$AC$1:$AC$400,_xlfn.TEXTJOIN(",",TRUE,B274:E274))+SUMIFS(SF_Output!$G$1:$G$400,SF_Output!$AC$1:$AC$400,_xlfn.TEXTJOIN(",",TRUE,B274:E274)))&lt;&gt;0,SF_Output!$Y$2,INDEX(SF_Output!$F$1:$F$400,MATCH(_xlfn.TEXTJOIN(",",TRUE,B274:E274),SF_Output!$AC$1:$AC$400,0))=0,INDEX(SF_Output!$R$1:$R$400,MATCH(_xlfn.TEXTJOIN(",",TRUE,B274:E274),SF_Output!$AC$1:$AC$400,0)))</f>
        <v/>
      </c>
      <c r="I274" s="125" t="str">
        <f>IFERROR(IF(AND(H274&gt;1,H274&lt;&gt;""),ROUND(SUMIFS(SF_Output!$S$1:$S$400,SF_Output!$AC$1:$AC$400,_xlfn.TEXTJOIN(",",TRUE,B274:E274),SF_Output!$Q$1:$Q$400,"monthly")*(1-W274)/H274,4),""),"")</f>
        <v/>
      </c>
      <c r="J274" s="6" t="str">
        <f>IF(B274="","",SUMIFS(SF_Output!$S$1:$S$400,SF_Output!$AC$1:$AC$400,_xlfn.TEXTJOIN(",",TRUE,B274:E274),SF_Output!$Q$1:$Q$400,"One Time",SF_Output!$L$1:$L$400,"license fee")+SUMIFS(SF_Output!$S$1:$S$400,SF_Output!$AC$1:$AC$400,_xlfn.TEXTJOIN(",",TRUE,B274:E274),SF_Output!$Q$1:$Q$400,"One Time",SF_Output!$L$1:$L$400,"software license")+SUMIFS(SF_Output!$S$1:$S$400,SF_Output!$AC$1:$AC$400,_xlfn.TEXTJOIN(",",TRUE,B274:E274),SF_Output!$Q$1:$Q$400,"One Time",SF_Output!$L$1:$L$400,"hardware"))</f>
        <v/>
      </c>
      <c r="K274" s="112" t="str">
        <f>IF(OR(B274=0,B274="",G274="hardware",J274=0),"",IF(AF274&lt;&gt;"exclusion",MAX(K$9,-((SUMIFS(SF_Output!$T$1:$T$400,SF_Output!$AC$1:$AC$400,_xlfn.TEXTJOIN(",",TRUE,$B274:$E274),SF_Output!$Q$1:$Q$400,"One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license"))/J274)))</f>
        <v/>
      </c>
      <c r="L274" s="6" t="str">
        <f t="shared" si="73"/>
        <v/>
      </c>
      <c r="N274" s="6" t="str">
        <f>IF(B274="","",SUMIFS(SF_Output!$S$1:$S$400,SF_Output!$AC$1:$AC$400,_xlfn.TEXTJOIN(",",TRUE,B274:E274),SF_Output!$Q$1:$Q$400,"One Time",SF_Output!$L$1:$L$400,"professional service"))</f>
        <v/>
      </c>
      <c r="O274" s="112" t="str">
        <f>IF(OR(B274=0,B274="",N274=0),"",IF(AF274&lt;&gt;"exclusion",MAX(O$9,-(SUMIFS(SF_Output!$T$1:$T$400,SF_Output!$AC$1:$AC$400,_xlfn.TEXTJOIN(",",TRUE,$B274:$E274),SF_Output!$Q$1:$Q$400,"One Time",SF_Output!$L$1:$L$400,"professional service"))/N274),-((SUMIFS(SF_Output!$T$1:$T$400,SF_Output!$AC$1:$AC$400,_xlfn.TEXTJOIN(",",TRUE,$B274:$E274),SF_Output!$Q$1:$Q$400,"One Time",SF_Output!$L$1:$L$400,"professional service")/N274))))</f>
        <v/>
      </c>
      <c r="P274" s="6" t="str">
        <f t="shared" si="74"/>
        <v/>
      </c>
      <c r="R274" s="6" t="str">
        <f>IF(B274="","",SUMIFS(SF_Output!$S$1:$S$400,SF_Output!$AC$1:$AC$400,_xlfn.TEXTJOIN(",",TRUE,B274:E274),SF_Output!$Q$1:$Q$400,"yearly")+SUMIFS(SF_Output!$S$1:$S$400,SF_Output!$AC$1:$AC$400,_xlfn.TEXTJOIN(",",TRUE,B274:E274),SF_Output!$Q$1:$Q$400,"quarterly")*4)</f>
        <v/>
      </c>
      <c r="S274" s="112" t="str">
        <f>IF(OR(B274=0,B274="",G274="hardware",R274=0),"",IF(AF274&lt;&gt;"exclusion",MAX(S$9,-(SUMIFS(SF_Output!$T$1:$T$400,SF_Output!$AC$1:$AC$400,_xlfn.TEXTJOIN(",",TRUE,$B274:$E274),SF_Output!$Q$1:$Q$400,"yearly"))/R274),-((SUMIFS(SF_Output!$T$1:$T$400,SF_Output!$AC$1:$AC$400,_xlfn.TEXTJOIN(",",TRUE,$B274:$E274),SF_Output!$Q$1:$Q$400,"yearly")/R274))))</f>
        <v/>
      </c>
      <c r="T274" s="6" t="str">
        <f t="shared" si="75"/>
        <v/>
      </c>
      <c r="V274" s="6" t="str" cm="1">
        <f t="array" ref="V274">_xlfn.IFS(B274="","",AND(B274&lt;&gt;"",H274=SF_Output!$Y$2,SUMIFS(SF_Output!$T$1:$T$400,SF_Output!$AC$1:$AC$400,_xlfn.TEXTJOIN(",",TRUE,B274:E274),SF_Output!$Q$1:$Q$400,"monthly")=0),(SUMIFS(SF_Output!$F$1:$F$400,SF_Output!$AC$1:$AC$400,_xlfn.TEXTJOIN(",",TRUE,B274:E274),SF_Output!$Q$1:$Q$400,"monthly")+SUMIFS(SF_Output!$G$1:$G$400,SF_Output!$AC$1:$AC$400,_xlfn.TEXTJOIN(",",TRUE,B274:E274),SF_Output!$Q$1:$Q$400,"monthly"))*H274,AND(B274&lt;&gt;"",H274=SF_Output!$Y$2,SUMIFS(SF_Output!$T$1:$T$400,SF_Output!$AC$1:$AC$400,_xlfn.TEXTJOIN(",",TRUE,B274:E274),SF_Output!$Q$1:$Q$400,"monthly")&lt;&gt;0),SUMIFS(SF_Output!$S$1:$S$400,SF_Output!$AC$1:$AC$400,_xlfn.TEXTJOIN(",",TRUE,B274:E274),SF_Output!$Q$1:$Q$400,"monthly"),AND(B274&lt;&gt;"",H274&lt;&gt;SF_Output!$Y$2),SUMIFS(SF_Output!$S$1:$S$400,SF_Output!$AC$1:$AC$400,_xlfn.TEXTJOIN(",",TRUE,B274:E274),SF_Output!$Q$1:$Q$400,"monthly"))</f>
        <v/>
      </c>
      <c r="W274" s="112" t="str" cm="1">
        <f t="array" ref="W274">_xlfn.IFS(OR(B274=0,B274="",V274=0),"",AF274&lt;&gt;"exclusion",MAX($W$9,$W$7,(-(SUMIFS(SF_Output!$T$1:$T$400,SF_Output!$AC$1:$AC$400,_xlfn.TEXTJOIN(",",TRUE,$B274:$E274),SF_Output!$Q$1:$Q$400,"monthly"))/V274)),AF274="exclusion",-(SUMIFS(SF_Output!$T$1:$T$400,SF_Output!$AC$1:$AC$400,_xlfn.TEXTJOIN(",",TRUE,$B274:$E274),SF_Output!$Q$1:$Q$400,"monthly"))/V274)</f>
        <v/>
      </c>
      <c r="X274" s="6" t="str" cm="1">
        <f t="array" ref="X274">IFERROR(_xlfn.IFS(V274=0,0,V274="","",W274=0,V274,OR(V274&lt;&gt;0,V274&lt;&gt;""),H274*I274),V274*(1-W274))</f>
        <v/>
      </c>
      <c r="Z274" s="6" t="str">
        <f>IFERROR(IF(B274="","",SUMIFS(Billing_Fallout!H:H,Billing_Fallout!N:N,B274)),0)</f>
        <v/>
      </c>
      <c r="AA274" s="6" t="str">
        <f t="shared" si="76"/>
        <v/>
      </c>
      <c r="AB274" s="6" t="str">
        <f>IFERROR(IF(B274="","",SUMIFS(Billing_Fallout!J:J,Billing_Fallout!N:N,B274)),0)</f>
        <v/>
      </c>
      <c r="AD274" s="6" t="str">
        <f t="shared" si="77"/>
        <v/>
      </c>
      <c r="AF274" t="str">
        <f>IFERROR(INDEX(H_Tables!$B$1:$B$1500,MATCH(INDEX(SF_Output!$J$1:$J$400,MATCH(B274,SF_Output!$M$1:$M$400,0)),H_Tables!$A$1:$A$1500,0)),"")</f>
        <v/>
      </c>
      <c r="AI274" s="119" t="str">
        <f t="shared" si="78"/>
        <v/>
      </c>
      <c r="AJ274" s="121">
        <f>IFERROR(INDEX(SF_Output!AD:AD,MATCH(_xlfn.TEXTJOIN(",",TRUE,B274:E274),SF_Output!AC25:AC424,0)),0.05)</f>
        <v>217</v>
      </c>
      <c r="AK274" t="str">
        <f>IF(SUMIFS(SF_Output!$F$1:$F$400,SF_Output!$AC$1:$AC$400,_xlfn.TEXTJOIN(",",TRUE,B274:E274))+SUMIFS(SF_Output!$G$1:$G$400,SF_Output!$AC$1:$AC$400,_xlfn.TEXTJOIN(",",TRUE,B274:E274))=0,"","PAP")</f>
        <v/>
      </c>
      <c r="AL274" s="35" t="str">
        <f t="shared" si="79"/>
        <v/>
      </c>
      <c r="AQ274" s="35"/>
      <c r="AR274" s="35" t="str" cm="1">
        <f t="array" ref="AR274">IFERROR(_xlfn.IFS(AND(E274*1=1,F274="Included"),"Change to Included",AND(E274*1=0,F274="Optional"),"Change to Optional",OR(B274="",F274="replaced"),""),"")</f>
        <v/>
      </c>
      <c r="AS274" s="35" t="str">
        <f t="shared" si="80"/>
        <v/>
      </c>
      <c r="AT274" s="35" t="str">
        <f t="shared" si="81"/>
        <v/>
      </c>
      <c r="AU274" s="35" t="str">
        <f t="shared" si="82"/>
        <v/>
      </c>
      <c r="AV274" s="35" t="str">
        <f t="shared" si="83"/>
        <v/>
      </c>
      <c r="AW274" s="35" t="str">
        <f t="shared" si="84"/>
        <v/>
      </c>
      <c r="AX274" s="35" t="str">
        <f t="shared" si="85"/>
        <v/>
      </c>
      <c r="AY274" s="35" t="str">
        <f t="shared" si="86"/>
        <v/>
      </c>
      <c r="AZ274" s="35" t="str">
        <f t="shared" si="87"/>
        <v/>
      </c>
      <c r="BA274" s="35" t="str">
        <f t="shared" si="88"/>
        <v/>
      </c>
      <c r="BB274" s="35" t="str">
        <f t="shared" si="89"/>
        <v/>
      </c>
      <c r="BC274" s="35"/>
      <c r="BE274" s="35" t="e">
        <f>INDEX(SF_Output!$AA$2:$AA$400,MATCH($B274,SF_Output!$M$2:$M$400,0))</f>
        <v>#N/A</v>
      </c>
      <c r="BF274" s="35" t="e">
        <f>INDEX(SF_Output!$AB$2:$AB$400,MATCH($B274,SF_Output!$M$2:$M$400,0))</f>
        <v>#N/A</v>
      </c>
    </row>
    <row r="275" spans="6:58" x14ac:dyDescent="0.25">
      <c r="F275" s="116" t="str">
        <f t="shared" si="72"/>
        <v/>
      </c>
      <c r="G275" t="str">
        <f>IF(B275="","",INDEX(SF_Output!$K$1:$K$400,MATCH(B275,SF_Output!$M$1:$M$400,0)))</f>
        <v/>
      </c>
      <c r="H275" t="str" cm="1">
        <f t="array" ref="H275">_xlfn.IFS(B275="","",(SUMIFS(SF_Output!$F$1:$F$400,SF_Output!$AC$1:$AC$400,_xlfn.TEXTJOIN(",",TRUE,B275:E275))+SUMIFS(SF_Output!$G$1:$G$400,SF_Output!$AC$1:$AC$400,_xlfn.TEXTJOIN(",",TRUE,B275:E275)))&lt;&gt;0,SF_Output!$Y$2,INDEX(SF_Output!$F$1:$F$400,MATCH(_xlfn.TEXTJOIN(",",TRUE,B275:E275),SF_Output!$AC$1:$AC$400,0))=0,INDEX(SF_Output!$R$1:$R$400,MATCH(_xlfn.TEXTJOIN(",",TRUE,B275:E275),SF_Output!$AC$1:$AC$400,0)))</f>
        <v/>
      </c>
      <c r="I275" s="125" t="str">
        <f>IFERROR(IF(AND(H275&gt;1,H275&lt;&gt;""),ROUND(SUMIFS(SF_Output!$S$1:$S$400,SF_Output!$AC$1:$AC$400,_xlfn.TEXTJOIN(",",TRUE,B275:E275),SF_Output!$Q$1:$Q$400,"monthly")*(1-W275)/H275,4),""),"")</f>
        <v/>
      </c>
      <c r="J275" s="6" t="str">
        <f>IF(B275="","",SUMIFS(SF_Output!$S$1:$S$400,SF_Output!$AC$1:$AC$400,_xlfn.TEXTJOIN(",",TRUE,B275:E275),SF_Output!$Q$1:$Q$400,"One Time",SF_Output!$L$1:$L$400,"license fee")+SUMIFS(SF_Output!$S$1:$S$400,SF_Output!$AC$1:$AC$400,_xlfn.TEXTJOIN(",",TRUE,B275:E275),SF_Output!$Q$1:$Q$400,"One Time",SF_Output!$L$1:$L$400,"software license")+SUMIFS(SF_Output!$S$1:$S$400,SF_Output!$AC$1:$AC$400,_xlfn.TEXTJOIN(",",TRUE,B275:E275),SF_Output!$Q$1:$Q$400,"One Time",SF_Output!$L$1:$L$400,"hardware"))</f>
        <v/>
      </c>
      <c r="K275" s="112" t="str">
        <f>IF(OR(B275=0,B275="",G275="hardware",J275=0),"",IF(AF275&lt;&gt;"exclusion",MAX(K$9,-((SUMIFS(SF_Output!$T$1:$T$400,SF_Output!$AC$1:$AC$400,_xlfn.TEXTJOIN(",",TRUE,$B275:$E275),SF_Output!$Q$1:$Q$400,"One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license"))/J275)))</f>
        <v/>
      </c>
      <c r="L275" s="6" t="str">
        <f t="shared" si="73"/>
        <v/>
      </c>
      <c r="N275" s="6" t="str">
        <f>IF(B275="","",SUMIFS(SF_Output!$S$1:$S$400,SF_Output!$AC$1:$AC$400,_xlfn.TEXTJOIN(",",TRUE,B275:E275),SF_Output!$Q$1:$Q$400,"One Time",SF_Output!$L$1:$L$400,"professional service"))</f>
        <v/>
      </c>
      <c r="O275" s="112" t="str">
        <f>IF(OR(B275=0,B275="",N275=0),"",IF(AF275&lt;&gt;"exclusion",MAX(O$9,-(SUMIFS(SF_Output!$T$1:$T$400,SF_Output!$AC$1:$AC$400,_xlfn.TEXTJOIN(",",TRUE,$B275:$E275),SF_Output!$Q$1:$Q$400,"One Time",SF_Output!$L$1:$L$400,"professional service"))/N275),-((SUMIFS(SF_Output!$T$1:$T$400,SF_Output!$AC$1:$AC$400,_xlfn.TEXTJOIN(",",TRUE,$B275:$E275),SF_Output!$Q$1:$Q$400,"One Time",SF_Output!$L$1:$L$400,"professional service")/N275))))</f>
        <v/>
      </c>
      <c r="P275" s="6" t="str">
        <f t="shared" si="74"/>
        <v/>
      </c>
      <c r="R275" s="6" t="str">
        <f>IF(B275="","",SUMIFS(SF_Output!$S$1:$S$400,SF_Output!$AC$1:$AC$400,_xlfn.TEXTJOIN(",",TRUE,B275:E275),SF_Output!$Q$1:$Q$400,"yearly")+SUMIFS(SF_Output!$S$1:$S$400,SF_Output!$AC$1:$AC$400,_xlfn.TEXTJOIN(",",TRUE,B275:E275),SF_Output!$Q$1:$Q$400,"quarterly")*4)</f>
        <v/>
      </c>
      <c r="S275" s="112" t="str">
        <f>IF(OR(B275=0,B275="",G275="hardware",R275=0),"",IF(AF275&lt;&gt;"exclusion",MAX(S$9,-(SUMIFS(SF_Output!$T$1:$T$400,SF_Output!$AC$1:$AC$400,_xlfn.TEXTJOIN(",",TRUE,$B275:$E275),SF_Output!$Q$1:$Q$400,"yearly"))/R275),-((SUMIFS(SF_Output!$T$1:$T$400,SF_Output!$AC$1:$AC$400,_xlfn.TEXTJOIN(",",TRUE,$B275:$E275),SF_Output!$Q$1:$Q$400,"yearly")/R275))))</f>
        <v/>
      </c>
      <c r="T275" s="6" t="str">
        <f t="shared" si="75"/>
        <v/>
      </c>
      <c r="V275" s="6" t="str" cm="1">
        <f t="array" ref="V275">_xlfn.IFS(B275="","",AND(B275&lt;&gt;"",H275=SF_Output!$Y$2,SUMIFS(SF_Output!$T$1:$T$400,SF_Output!$AC$1:$AC$400,_xlfn.TEXTJOIN(",",TRUE,B275:E275),SF_Output!$Q$1:$Q$400,"monthly")=0),(SUMIFS(SF_Output!$F$1:$F$400,SF_Output!$AC$1:$AC$400,_xlfn.TEXTJOIN(",",TRUE,B275:E275),SF_Output!$Q$1:$Q$400,"monthly")+SUMIFS(SF_Output!$G$1:$G$400,SF_Output!$AC$1:$AC$400,_xlfn.TEXTJOIN(",",TRUE,B275:E275),SF_Output!$Q$1:$Q$400,"monthly"))*H275,AND(B275&lt;&gt;"",H275=SF_Output!$Y$2,SUMIFS(SF_Output!$T$1:$T$400,SF_Output!$AC$1:$AC$400,_xlfn.TEXTJOIN(",",TRUE,B275:E275),SF_Output!$Q$1:$Q$400,"monthly")&lt;&gt;0),SUMIFS(SF_Output!$S$1:$S$400,SF_Output!$AC$1:$AC$400,_xlfn.TEXTJOIN(",",TRUE,B275:E275),SF_Output!$Q$1:$Q$400,"monthly"),AND(B275&lt;&gt;"",H275&lt;&gt;SF_Output!$Y$2),SUMIFS(SF_Output!$S$1:$S$400,SF_Output!$AC$1:$AC$400,_xlfn.TEXTJOIN(",",TRUE,B275:E275),SF_Output!$Q$1:$Q$400,"monthly"))</f>
        <v/>
      </c>
      <c r="W275" s="112" t="str" cm="1">
        <f t="array" ref="W275">_xlfn.IFS(OR(B275=0,B275="",V275=0),"",AF275&lt;&gt;"exclusion",MAX($W$9,$W$7,(-(SUMIFS(SF_Output!$T$1:$T$400,SF_Output!$AC$1:$AC$400,_xlfn.TEXTJOIN(",",TRUE,$B275:$E275),SF_Output!$Q$1:$Q$400,"monthly"))/V275)),AF275="exclusion",-(SUMIFS(SF_Output!$T$1:$T$400,SF_Output!$AC$1:$AC$400,_xlfn.TEXTJOIN(",",TRUE,$B275:$E275),SF_Output!$Q$1:$Q$400,"monthly"))/V275)</f>
        <v/>
      </c>
      <c r="X275" s="6" t="str" cm="1">
        <f t="array" ref="X275">IFERROR(_xlfn.IFS(V275=0,0,V275="","",W275=0,V275,OR(V275&lt;&gt;0,V275&lt;&gt;""),H275*I275),V275*(1-W275))</f>
        <v/>
      </c>
      <c r="Z275" s="6" t="str">
        <f>IFERROR(IF(B275="","",SUMIFS(Billing_Fallout!H:H,Billing_Fallout!N:N,B275)),0)</f>
        <v/>
      </c>
      <c r="AA275" s="6" t="str">
        <f t="shared" si="76"/>
        <v/>
      </c>
      <c r="AB275" s="6" t="str">
        <f>IFERROR(IF(B275="","",SUMIFS(Billing_Fallout!J:J,Billing_Fallout!N:N,B275)),0)</f>
        <v/>
      </c>
      <c r="AD275" s="6" t="str">
        <f t="shared" si="77"/>
        <v/>
      </c>
      <c r="AF275" t="str">
        <f>IFERROR(INDEX(H_Tables!$B$1:$B$1500,MATCH(INDEX(SF_Output!$J$1:$J$400,MATCH(B275,SF_Output!$M$1:$M$400,0)),H_Tables!$A$1:$A$1500,0)),"")</f>
        <v/>
      </c>
      <c r="AI275" s="119" t="str">
        <f t="shared" si="78"/>
        <v/>
      </c>
      <c r="AJ275" s="121">
        <f>IFERROR(INDEX(SF_Output!AD:AD,MATCH(_xlfn.TEXTJOIN(",",TRUE,B275:E275),SF_Output!AC26:AC425,0)),0.05)</f>
        <v>216</v>
      </c>
      <c r="AK275" t="str">
        <f>IF(SUMIFS(SF_Output!$F$1:$F$400,SF_Output!$AC$1:$AC$400,_xlfn.TEXTJOIN(",",TRUE,B275:E275))+SUMIFS(SF_Output!$G$1:$G$400,SF_Output!$AC$1:$AC$400,_xlfn.TEXTJOIN(",",TRUE,B275:E275))=0,"","PAP")</f>
        <v/>
      </c>
      <c r="AL275" s="35" t="str">
        <f t="shared" si="79"/>
        <v/>
      </c>
      <c r="AQ275" s="35"/>
      <c r="AR275" s="35" t="str" cm="1">
        <f t="array" ref="AR275">IFERROR(_xlfn.IFS(AND(E275*1=1,F275="Included"),"Change to Included",AND(E275*1=0,F275="Optional"),"Change to Optional",OR(B275="",F275="replaced"),""),"")</f>
        <v/>
      </c>
      <c r="AS275" s="35" t="str">
        <f t="shared" si="80"/>
        <v/>
      </c>
      <c r="AT275" s="35" t="str">
        <f t="shared" si="81"/>
        <v/>
      </c>
      <c r="AU275" s="35" t="str">
        <f t="shared" si="82"/>
        <v/>
      </c>
      <c r="AV275" s="35" t="str">
        <f t="shared" si="83"/>
        <v/>
      </c>
      <c r="AW275" s="35" t="str">
        <f t="shared" si="84"/>
        <v/>
      </c>
      <c r="AX275" s="35" t="str">
        <f t="shared" si="85"/>
        <v/>
      </c>
      <c r="AY275" s="35" t="str">
        <f t="shared" si="86"/>
        <v/>
      </c>
      <c r="AZ275" s="35" t="str">
        <f t="shared" si="87"/>
        <v/>
      </c>
      <c r="BA275" s="35" t="str">
        <f t="shared" si="88"/>
        <v/>
      </c>
      <c r="BB275" s="35" t="str">
        <f t="shared" si="89"/>
        <v/>
      </c>
      <c r="BC275" s="35"/>
      <c r="BE275" s="35" t="e">
        <f>INDEX(SF_Output!$AA$2:$AA$400,MATCH($B275,SF_Output!$M$2:$M$400,0))</f>
        <v>#N/A</v>
      </c>
      <c r="BF275" s="35" t="e">
        <f>INDEX(SF_Output!$AB$2:$AB$400,MATCH($B275,SF_Output!$M$2:$M$400,0))</f>
        <v>#N/A</v>
      </c>
    </row>
    <row r="276" spans="6:58" x14ac:dyDescent="0.25">
      <c r="F276" s="116" t="str">
        <f t="shared" si="72"/>
        <v/>
      </c>
      <c r="G276" t="str">
        <f>IF(B276="","",INDEX(SF_Output!$K$1:$K$400,MATCH(B276,SF_Output!$M$1:$M$400,0)))</f>
        <v/>
      </c>
      <c r="H276" t="str" cm="1">
        <f t="array" ref="H276">_xlfn.IFS(B276="","",(SUMIFS(SF_Output!$F$1:$F$400,SF_Output!$AC$1:$AC$400,_xlfn.TEXTJOIN(",",TRUE,B276:E276))+SUMIFS(SF_Output!$G$1:$G$400,SF_Output!$AC$1:$AC$400,_xlfn.TEXTJOIN(",",TRUE,B276:E276)))&lt;&gt;0,SF_Output!$Y$2,INDEX(SF_Output!$F$1:$F$400,MATCH(_xlfn.TEXTJOIN(",",TRUE,B276:E276),SF_Output!$AC$1:$AC$400,0))=0,INDEX(SF_Output!$R$1:$R$400,MATCH(_xlfn.TEXTJOIN(",",TRUE,B276:E276),SF_Output!$AC$1:$AC$400,0)))</f>
        <v/>
      </c>
      <c r="I276" s="125" t="str">
        <f>IFERROR(IF(AND(H276&gt;1,H276&lt;&gt;""),ROUND(SUMIFS(SF_Output!$S$1:$S$400,SF_Output!$AC$1:$AC$400,_xlfn.TEXTJOIN(",",TRUE,B276:E276),SF_Output!$Q$1:$Q$400,"monthly")*(1-W276)/H276,4),""),"")</f>
        <v/>
      </c>
      <c r="J276" s="6" t="str">
        <f>IF(B276="","",SUMIFS(SF_Output!$S$1:$S$400,SF_Output!$AC$1:$AC$400,_xlfn.TEXTJOIN(",",TRUE,B276:E276),SF_Output!$Q$1:$Q$400,"One Time",SF_Output!$L$1:$L$400,"license fee")+SUMIFS(SF_Output!$S$1:$S$400,SF_Output!$AC$1:$AC$400,_xlfn.TEXTJOIN(",",TRUE,B276:E276),SF_Output!$Q$1:$Q$400,"One Time",SF_Output!$L$1:$L$400,"software license")+SUMIFS(SF_Output!$S$1:$S$400,SF_Output!$AC$1:$AC$400,_xlfn.TEXTJOIN(",",TRUE,B276:E276),SF_Output!$Q$1:$Q$400,"One Time",SF_Output!$L$1:$L$400,"hardware"))</f>
        <v/>
      </c>
      <c r="K276" s="112" t="str">
        <f>IF(OR(B276=0,B276="",G276="hardware",J276=0),"",IF(AF276&lt;&gt;"exclusion",MAX(K$9,-((SUMIFS(SF_Output!$T$1:$T$400,SF_Output!$AC$1:$AC$400,_xlfn.TEXTJOIN(",",TRUE,$B276:$E276),SF_Output!$Q$1:$Q$400,"One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license"))/J276)))</f>
        <v/>
      </c>
      <c r="L276" s="6" t="str">
        <f t="shared" si="73"/>
        <v/>
      </c>
      <c r="N276" s="6" t="str">
        <f>IF(B276="","",SUMIFS(SF_Output!$S$1:$S$400,SF_Output!$AC$1:$AC$400,_xlfn.TEXTJOIN(",",TRUE,B276:E276),SF_Output!$Q$1:$Q$400,"One Time",SF_Output!$L$1:$L$400,"professional service"))</f>
        <v/>
      </c>
      <c r="O276" s="112" t="str">
        <f>IF(OR(B276=0,B276="",N276=0),"",IF(AF276&lt;&gt;"exclusion",MAX(O$9,-(SUMIFS(SF_Output!$T$1:$T$400,SF_Output!$AC$1:$AC$400,_xlfn.TEXTJOIN(",",TRUE,$B276:$E276),SF_Output!$Q$1:$Q$400,"One Time",SF_Output!$L$1:$L$400,"professional service"))/N276),-((SUMIFS(SF_Output!$T$1:$T$400,SF_Output!$AC$1:$AC$400,_xlfn.TEXTJOIN(",",TRUE,$B276:$E276),SF_Output!$Q$1:$Q$400,"One Time",SF_Output!$L$1:$L$400,"professional service")/N276))))</f>
        <v/>
      </c>
      <c r="P276" s="6" t="str">
        <f t="shared" si="74"/>
        <v/>
      </c>
      <c r="R276" s="6" t="str">
        <f>IF(B276="","",SUMIFS(SF_Output!$S$1:$S$400,SF_Output!$AC$1:$AC$400,_xlfn.TEXTJOIN(",",TRUE,B276:E276),SF_Output!$Q$1:$Q$400,"yearly")+SUMIFS(SF_Output!$S$1:$S$400,SF_Output!$AC$1:$AC$400,_xlfn.TEXTJOIN(",",TRUE,B276:E276),SF_Output!$Q$1:$Q$400,"quarterly")*4)</f>
        <v/>
      </c>
      <c r="S276" s="112" t="str">
        <f>IF(OR(B276=0,B276="",G276="hardware",R276=0),"",IF(AF276&lt;&gt;"exclusion",MAX(S$9,-(SUMIFS(SF_Output!$T$1:$T$400,SF_Output!$AC$1:$AC$400,_xlfn.TEXTJOIN(",",TRUE,$B276:$E276),SF_Output!$Q$1:$Q$400,"yearly"))/R276),-((SUMIFS(SF_Output!$T$1:$T$400,SF_Output!$AC$1:$AC$400,_xlfn.TEXTJOIN(",",TRUE,$B276:$E276),SF_Output!$Q$1:$Q$400,"yearly")/R276))))</f>
        <v/>
      </c>
      <c r="T276" s="6" t="str">
        <f t="shared" si="75"/>
        <v/>
      </c>
      <c r="V276" s="6" t="str" cm="1">
        <f t="array" ref="V276">_xlfn.IFS(B276="","",AND(B276&lt;&gt;"",H276=SF_Output!$Y$2,SUMIFS(SF_Output!$T$1:$T$400,SF_Output!$AC$1:$AC$400,_xlfn.TEXTJOIN(",",TRUE,B276:E276),SF_Output!$Q$1:$Q$400,"monthly")=0),(SUMIFS(SF_Output!$F$1:$F$400,SF_Output!$AC$1:$AC$400,_xlfn.TEXTJOIN(",",TRUE,B276:E276),SF_Output!$Q$1:$Q$400,"monthly")+SUMIFS(SF_Output!$G$1:$G$400,SF_Output!$AC$1:$AC$400,_xlfn.TEXTJOIN(",",TRUE,B276:E276),SF_Output!$Q$1:$Q$400,"monthly"))*H276,AND(B276&lt;&gt;"",H276=SF_Output!$Y$2,SUMIFS(SF_Output!$T$1:$T$400,SF_Output!$AC$1:$AC$400,_xlfn.TEXTJOIN(",",TRUE,B276:E276),SF_Output!$Q$1:$Q$400,"monthly")&lt;&gt;0),SUMIFS(SF_Output!$S$1:$S$400,SF_Output!$AC$1:$AC$400,_xlfn.TEXTJOIN(",",TRUE,B276:E276),SF_Output!$Q$1:$Q$400,"monthly"),AND(B276&lt;&gt;"",H276&lt;&gt;SF_Output!$Y$2),SUMIFS(SF_Output!$S$1:$S$400,SF_Output!$AC$1:$AC$400,_xlfn.TEXTJOIN(",",TRUE,B276:E276),SF_Output!$Q$1:$Q$400,"monthly"))</f>
        <v/>
      </c>
      <c r="W276" s="112" t="str" cm="1">
        <f t="array" ref="W276">_xlfn.IFS(OR(B276=0,B276="",V276=0),"",AF276&lt;&gt;"exclusion",MAX($W$9,$W$7,(-(SUMIFS(SF_Output!$T$1:$T$400,SF_Output!$AC$1:$AC$400,_xlfn.TEXTJOIN(",",TRUE,$B276:$E276),SF_Output!$Q$1:$Q$400,"monthly"))/V276)),AF276="exclusion",-(SUMIFS(SF_Output!$T$1:$T$400,SF_Output!$AC$1:$AC$400,_xlfn.TEXTJOIN(",",TRUE,$B276:$E276),SF_Output!$Q$1:$Q$400,"monthly"))/V276)</f>
        <v/>
      </c>
      <c r="X276" s="6" t="str" cm="1">
        <f t="array" ref="X276">IFERROR(_xlfn.IFS(V276=0,0,V276="","",W276=0,V276,OR(V276&lt;&gt;0,V276&lt;&gt;""),H276*I276),V276*(1-W276))</f>
        <v/>
      </c>
      <c r="Z276" s="6" t="str">
        <f>IFERROR(IF(B276="","",SUMIFS(Billing_Fallout!H:H,Billing_Fallout!N:N,B276)),0)</f>
        <v/>
      </c>
      <c r="AA276" s="6" t="str">
        <f t="shared" si="76"/>
        <v/>
      </c>
      <c r="AB276" s="6" t="str">
        <f>IFERROR(IF(B276="","",SUMIFS(Billing_Fallout!J:J,Billing_Fallout!N:N,B276)),0)</f>
        <v/>
      </c>
      <c r="AD276" s="6" t="str">
        <f t="shared" si="77"/>
        <v/>
      </c>
      <c r="AF276" t="str">
        <f>IFERROR(INDEX(H_Tables!$B$1:$B$1500,MATCH(INDEX(SF_Output!$J$1:$J$400,MATCH(B276,SF_Output!$M$1:$M$400,0)),H_Tables!$A$1:$A$1500,0)),"")</f>
        <v/>
      </c>
      <c r="AI276" s="119" t="str">
        <f t="shared" si="78"/>
        <v/>
      </c>
      <c r="AJ276" s="121">
        <f>IFERROR(INDEX(SF_Output!AD:AD,MATCH(_xlfn.TEXTJOIN(",",TRUE,B276:E276),SF_Output!AC27:AC426,0)),0.05)</f>
        <v>215</v>
      </c>
      <c r="AK276" t="str">
        <f>IF(SUMIFS(SF_Output!$F$1:$F$400,SF_Output!$AC$1:$AC$400,_xlfn.TEXTJOIN(",",TRUE,B276:E276))+SUMIFS(SF_Output!$G$1:$G$400,SF_Output!$AC$1:$AC$400,_xlfn.TEXTJOIN(",",TRUE,B276:E276))=0,"","PAP")</f>
        <v/>
      </c>
      <c r="AL276" s="35" t="str">
        <f t="shared" si="79"/>
        <v/>
      </c>
      <c r="AQ276" s="35"/>
      <c r="AR276" s="35" t="str" cm="1">
        <f t="array" ref="AR276">IFERROR(_xlfn.IFS(AND(E276*1=1,F276="Included"),"Change to Included",AND(E276*1=0,F276="Optional"),"Change to Optional",OR(B276="",F276="replaced"),""),"")</f>
        <v/>
      </c>
      <c r="AS276" s="35" t="str">
        <f t="shared" si="80"/>
        <v/>
      </c>
      <c r="AT276" s="35" t="str">
        <f t="shared" si="81"/>
        <v/>
      </c>
      <c r="AU276" s="35" t="str">
        <f t="shared" si="82"/>
        <v/>
      </c>
      <c r="AV276" s="35" t="str">
        <f t="shared" si="83"/>
        <v/>
      </c>
      <c r="AW276" s="35" t="str">
        <f t="shared" si="84"/>
        <v/>
      </c>
      <c r="AX276" s="35" t="str">
        <f t="shared" si="85"/>
        <v/>
      </c>
      <c r="AY276" s="35" t="str">
        <f t="shared" si="86"/>
        <v/>
      </c>
      <c r="AZ276" s="35" t="str">
        <f t="shared" si="87"/>
        <v/>
      </c>
      <c r="BA276" s="35" t="str">
        <f t="shared" si="88"/>
        <v/>
      </c>
      <c r="BB276" s="35" t="str">
        <f t="shared" si="89"/>
        <v/>
      </c>
      <c r="BC276" s="35"/>
      <c r="BE276" s="35" t="e">
        <f>INDEX(SF_Output!$AA$2:$AA$400,MATCH($B276,SF_Output!$M$2:$M$400,0))</f>
        <v>#N/A</v>
      </c>
      <c r="BF276" s="35" t="e">
        <f>INDEX(SF_Output!$AB$2:$AB$400,MATCH($B276,SF_Output!$M$2:$M$400,0))</f>
        <v>#N/A</v>
      </c>
    </row>
    <row r="277" spans="6:58" x14ac:dyDescent="0.25">
      <c r="F277" s="116" t="str">
        <f t="shared" si="72"/>
        <v/>
      </c>
      <c r="G277" t="str">
        <f>IF(B277="","",INDEX(SF_Output!$K$1:$K$400,MATCH(B277,SF_Output!$M$1:$M$400,0)))</f>
        <v/>
      </c>
      <c r="H277" t="str" cm="1">
        <f t="array" ref="H277">_xlfn.IFS(B277="","",(SUMIFS(SF_Output!$F$1:$F$400,SF_Output!$AC$1:$AC$400,_xlfn.TEXTJOIN(",",TRUE,B277:E277))+SUMIFS(SF_Output!$G$1:$G$400,SF_Output!$AC$1:$AC$400,_xlfn.TEXTJOIN(",",TRUE,B277:E277)))&lt;&gt;0,SF_Output!$Y$2,INDEX(SF_Output!$F$1:$F$400,MATCH(_xlfn.TEXTJOIN(",",TRUE,B277:E277),SF_Output!$AC$1:$AC$400,0))=0,INDEX(SF_Output!$R$1:$R$400,MATCH(_xlfn.TEXTJOIN(",",TRUE,B277:E277),SF_Output!$AC$1:$AC$400,0)))</f>
        <v/>
      </c>
      <c r="I277" s="125" t="str">
        <f>IFERROR(IF(AND(H277&gt;1,H277&lt;&gt;""),ROUND(SUMIFS(SF_Output!$S$1:$S$400,SF_Output!$AC$1:$AC$400,_xlfn.TEXTJOIN(",",TRUE,B277:E277),SF_Output!$Q$1:$Q$400,"monthly")*(1-W277)/H277,4),""),"")</f>
        <v/>
      </c>
      <c r="J277" s="6" t="str">
        <f>IF(B277="","",SUMIFS(SF_Output!$S$1:$S$400,SF_Output!$AC$1:$AC$400,_xlfn.TEXTJOIN(",",TRUE,B277:E277),SF_Output!$Q$1:$Q$400,"One Time",SF_Output!$L$1:$L$400,"license fee")+SUMIFS(SF_Output!$S$1:$S$400,SF_Output!$AC$1:$AC$400,_xlfn.TEXTJOIN(",",TRUE,B277:E277),SF_Output!$Q$1:$Q$400,"One Time",SF_Output!$L$1:$L$400,"software license")+SUMIFS(SF_Output!$S$1:$S$400,SF_Output!$AC$1:$AC$400,_xlfn.TEXTJOIN(",",TRUE,B277:E277),SF_Output!$Q$1:$Q$400,"One Time",SF_Output!$L$1:$L$400,"hardware"))</f>
        <v/>
      </c>
      <c r="K277" s="112" t="str">
        <f>IF(OR(B277=0,B277="",G277="hardware",J277=0),"",IF(AF277&lt;&gt;"exclusion",MAX(K$9,-((SUMIFS(SF_Output!$T$1:$T$400,SF_Output!$AC$1:$AC$400,_xlfn.TEXTJOIN(",",TRUE,$B277:$E277),SF_Output!$Q$1:$Q$400,"One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license"))/J277)))</f>
        <v/>
      </c>
      <c r="L277" s="6" t="str">
        <f t="shared" si="73"/>
        <v/>
      </c>
      <c r="N277" s="6" t="str">
        <f>IF(B277="","",SUMIFS(SF_Output!$S$1:$S$400,SF_Output!$AC$1:$AC$400,_xlfn.TEXTJOIN(",",TRUE,B277:E277),SF_Output!$Q$1:$Q$400,"One Time",SF_Output!$L$1:$L$400,"professional service"))</f>
        <v/>
      </c>
      <c r="O277" s="112" t="str">
        <f>IF(OR(B277=0,B277="",N277=0),"",IF(AF277&lt;&gt;"exclusion",MAX(O$9,-(SUMIFS(SF_Output!$T$1:$T$400,SF_Output!$AC$1:$AC$400,_xlfn.TEXTJOIN(",",TRUE,$B277:$E277),SF_Output!$Q$1:$Q$400,"One Time",SF_Output!$L$1:$L$400,"professional service"))/N277),-((SUMIFS(SF_Output!$T$1:$T$400,SF_Output!$AC$1:$AC$400,_xlfn.TEXTJOIN(",",TRUE,$B277:$E277),SF_Output!$Q$1:$Q$400,"One Time",SF_Output!$L$1:$L$400,"professional service")/N277))))</f>
        <v/>
      </c>
      <c r="P277" s="6" t="str">
        <f t="shared" si="74"/>
        <v/>
      </c>
      <c r="R277" s="6" t="str">
        <f>IF(B277="","",SUMIFS(SF_Output!$S$1:$S$400,SF_Output!$AC$1:$AC$400,_xlfn.TEXTJOIN(",",TRUE,B277:E277),SF_Output!$Q$1:$Q$400,"yearly")+SUMIFS(SF_Output!$S$1:$S$400,SF_Output!$AC$1:$AC$400,_xlfn.TEXTJOIN(",",TRUE,B277:E277),SF_Output!$Q$1:$Q$400,"quarterly")*4)</f>
        <v/>
      </c>
      <c r="S277" s="112" t="str">
        <f>IF(OR(B277=0,B277="",G277="hardware",R277=0),"",IF(AF277&lt;&gt;"exclusion",MAX(S$9,-(SUMIFS(SF_Output!$T$1:$T$400,SF_Output!$AC$1:$AC$400,_xlfn.TEXTJOIN(",",TRUE,$B277:$E277),SF_Output!$Q$1:$Q$400,"yearly"))/R277),-((SUMIFS(SF_Output!$T$1:$T$400,SF_Output!$AC$1:$AC$400,_xlfn.TEXTJOIN(",",TRUE,$B277:$E277),SF_Output!$Q$1:$Q$400,"yearly")/R277))))</f>
        <v/>
      </c>
      <c r="T277" s="6" t="str">
        <f t="shared" si="75"/>
        <v/>
      </c>
      <c r="V277" s="6" t="str" cm="1">
        <f t="array" ref="V277">_xlfn.IFS(B277="","",AND(B277&lt;&gt;"",H277=SF_Output!$Y$2,SUMIFS(SF_Output!$T$1:$T$400,SF_Output!$AC$1:$AC$400,_xlfn.TEXTJOIN(",",TRUE,B277:E277),SF_Output!$Q$1:$Q$400,"monthly")=0),(SUMIFS(SF_Output!$F$1:$F$400,SF_Output!$AC$1:$AC$400,_xlfn.TEXTJOIN(",",TRUE,B277:E277),SF_Output!$Q$1:$Q$400,"monthly")+SUMIFS(SF_Output!$G$1:$G$400,SF_Output!$AC$1:$AC$400,_xlfn.TEXTJOIN(",",TRUE,B277:E277),SF_Output!$Q$1:$Q$400,"monthly"))*H277,AND(B277&lt;&gt;"",H277=SF_Output!$Y$2,SUMIFS(SF_Output!$T$1:$T$400,SF_Output!$AC$1:$AC$400,_xlfn.TEXTJOIN(",",TRUE,B277:E277),SF_Output!$Q$1:$Q$400,"monthly")&lt;&gt;0),SUMIFS(SF_Output!$S$1:$S$400,SF_Output!$AC$1:$AC$400,_xlfn.TEXTJOIN(",",TRUE,B277:E277),SF_Output!$Q$1:$Q$400,"monthly"),AND(B277&lt;&gt;"",H277&lt;&gt;SF_Output!$Y$2),SUMIFS(SF_Output!$S$1:$S$400,SF_Output!$AC$1:$AC$400,_xlfn.TEXTJOIN(",",TRUE,B277:E277),SF_Output!$Q$1:$Q$400,"monthly"))</f>
        <v/>
      </c>
      <c r="W277" s="112" t="str" cm="1">
        <f t="array" ref="W277">_xlfn.IFS(OR(B277=0,B277="",V277=0),"",AF277&lt;&gt;"exclusion",MAX($W$9,$W$7,(-(SUMIFS(SF_Output!$T$1:$T$400,SF_Output!$AC$1:$AC$400,_xlfn.TEXTJOIN(",",TRUE,$B277:$E277),SF_Output!$Q$1:$Q$400,"monthly"))/V277)),AF277="exclusion",-(SUMIFS(SF_Output!$T$1:$T$400,SF_Output!$AC$1:$AC$400,_xlfn.TEXTJOIN(",",TRUE,$B277:$E277),SF_Output!$Q$1:$Q$400,"monthly"))/V277)</f>
        <v/>
      </c>
      <c r="X277" s="6" t="str" cm="1">
        <f t="array" ref="X277">IFERROR(_xlfn.IFS(V277=0,0,V277="","",W277=0,V277,OR(V277&lt;&gt;0,V277&lt;&gt;""),H277*I277),V277*(1-W277))</f>
        <v/>
      </c>
      <c r="Z277" s="6" t="str">
        <f>IFERROR(IF(B277="","",SUMIFS(Billing_Fallout!H:H,Billing_Fallout!N:N,B277)),0)</f>
        <v/>
      </c>
      <c r="AA277" s="6" t="str">
        <f t="shared" si="76"/>
        <v/>
      </c>
      <c r="AB277" s="6" t="str">
        <f>IFERROR(IF(B277="","",SUMIFS(Billing_Fallout!J:J,Billing_Fallout!N:N,B277)),0)</f>
        <v/>
      </c>
      <c r="AD277" s="6" t="str">
        <f t="shared" si="77"/>
        <v/>
      </c>
      <c r="AF277" t="str">
        <f>IFERROR(INDEX(H_Tables!$B$1:$B$1500,MATCH(INDEX(SF_Output!$J$1:$J$400,MATCH(B277,SF_Output!$M$1:$M$400,0)),H_Tables!$A$1:$A$1500,0)),"")</f>
        <v/>
      </c>
      <c r="AI277" s="119" t="str">
        <f t="shared" si="78"/>
        <v/>
      </c>
      <c r="AJ277" s="121">
        <f>IFERROR(INDEX(SF_Output!AD:AD,MATCH(_xlfn.TEXTJOIN(",",TRUE,B277:E277),SF_Output!AC28:AC427,0)),0.05)</f>
        <v>214</v>
      </c>
      <c r="AK277" t="str">
        <f>IF(SUMIFS(SF_Output!$F$1:$F$400,SF_Output!$AC$1:$AC$400,_xlfn.TEXTJOIN(",",TRUE,B277:E277))+SUMIFS(SF_Output!$G$1:$G$400,SF_Output!$AC$1:$AC$400,_xlfn.TEXTJOIN(",",TRUE,B277:E277))=0,"","PAP")</f>
        <v/>
      </c>
      <c r="AL277" s="35" t="str">
        <f t="shared" si="79"/>
        <v/>
      </c>
      <c r="AQ277" s="35"/>
      <c r="AR277" s="35" t="str" cm="1">
        <f t="array" ref="AR277">IFERROR(_xlfn.IFS(AND(E277*1=1,F277="Included"),"Change to Included",AND(E277*1=0,F277="Optional"),"Change to Optional",OR(B277="",F277="replaced"),""),"")</f>
        <v/>
      </c>
      <c r="AS277" s="35" t="str">
        <f t="shared" si="80"/>
        <v/>
      </c>
      <c r="AT277" s="35" t="str">
        <f t="shared" si="81"/>
        <v/>
      </c>
      <c r="AU277" s="35" t="str">
        <f t="shared" si="82"/>
        <v/>
      </c>
      <c r="AV277" s="35" t="str">
        <f t="shared" si="83"/>
        <v/>
      </c>
      <c r="AW277" s="35" t="str">
        <f t="shared" si="84"/>
        <v/>
      </c>
      <c r="AX277" s="35" t="str">
        <f t="shared" si="85"/>
        <v/>
      </c>
      <c r="AY277" s="35" t="str">
        <f t="shared" si="86"/>
        <v/>
      </c>
      <c r="AZ277" s="35" t="str">
        <f t="shared" si="87"/>
        <v/>
      </c>
      <c r="BA277" s="35" t="str">
        <f t="shared" si="88"/>
        <v/>
      </c>
      <c r="BB277" s="35" t="str">
        <f t="shared" si="89"/>
        <v/>
      </c>
      <c r="BC277" s="35"/>
      <c r="BE277" s="35" t="e">
        <f>INDEX(SF_Output!$AA$2:$AA$400,MATCH($B277,SF_Output!$M$2:$M$400,0))</f>
        <v>#N/A</v>
      </c>
      <c r="BF277" s="35" t="e">
        <f>INDEX(SF_Output!$AB$2:$AB$400,MATCH($B277,SF_Output!$M$2:$M$400,0))</f>
        <v>#N/A</v>
      </c>
    </row>
    <row r="278" spans="6:58" x14ac:dyDescent="0.25">
      <c r="F278" s="116" t="str">
        <f t="shared" si="72"/>
        <v/>
      </c>
      <c r="G278" t="str">
        <f>IF(B278="","",INDEX(SF_Output!$K$1:$K$400,MATCH(B278,SF_Output!$M$1:$M$400,0)))</f>
        <v/>
      </c>
      <c r="H278" t="str" cm="1">
        <f t="array" ref="H278">_xlfn.IFS(B278="","",(SUMIFS(SF_Output!$F$1:$F$400,SF_Output!$AC$1:$AC$400,_xlfn.TEXTJOIN(",",TRUE,B278:E278))+SUMIFS(SF_Output!$G$1:$G$400,SF_Output!$AC$1:$AC$400,_xlfn.TEXTJOIN(",",TRUE,B278:E278)))&lt;&gt;0,SF_Output!$Y$2,INDEX(SF_Output!$F$1:$F$400,MATCH(_xlfn.TEXTJOIN(",",TRUE,B278:E278),SF_Output!$AC$1:$AC$400,0))=0,INDEX(SF_Output!$R$1:$R$400,MATCH(_xlfn.TEXTJOIN(",",TRUE,B278:E278),SF_Output!$AC$1:$AC$400,0)))</f>
        <v/>
      </c>
      <c r="I278" s="125" t="str">
        <f>IFERROR(IF(AND(H278&gt;1,H278&lt;&gt;""),ROUND(SUMIFS(SF_Output!$S$1:$S$400,SF_Output!$AC$1:$AC$400,_xlfn.TEXTJOIN(",",TRUE,B278:E278),SF_Output!$Q$1:$Q$400,"monthly")*(1-W278)/H278,4),""),"")</f>
        <v/>
      </c>
      <c r="J278" s="6" t="str">
        <f>IF(B278="","",SUMIFS(SF_Output!$S$1:$S$400,SF_Output!$AC$1:$AC$400,_xlfn.TEXTJOIN(",",TRUE,B278:E278),SF_Output!$Q$1:$Q$400,"One Time",SF_Output!$L$1:$L$400,"license fee")+SUMIFS(SF_Output!$S$1:$S$400,SF_Output!$AC$1:$AC$400,_xlfn.TEXTJOIN(",",TRUE,B278:E278),SF_Output!$Q$1:$Q$400,"One Time",SF_Output!$L$1:$L$400,"software license")+SUMIFS(SF_Output!$S$1:$S$400,SF_Output!$AC$1:$AC$400,_xlfn.TEXTJOIN(",",TRUE,B278:E278),SF_Output!$Q$1:$Q$400,"One Time",SF_Output!$L$1:$L$400,"hardware"))</f>
        <v/>
      </c>
      <c r="K278" s="112" t="str">
        <f>IF(OR(B278=0,B278="",G278="hardware",J278=0),"",IF(AF278&lt;&gt;"exclusion",MAX(K$9,-((SUMIFS(SF_Output!$T$1:$T$400,SF_Output!$AC$1:$AC$400,_xlfn.TEXTJOIN(",",TRUE,$B278:$E278),SF_Output!$Q$1:$Q$400,"One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license"))/J278)))</f>
        <v/>
      </c>
      <c r="L278" s="6" t="str">
        <f t="shared" si="73"/>
        <v/>
      </c>
      <c r="N278" s="6" t="str">
        <f>IF(B278="","",SUMIFS(SF_Output!$S$1:$S$400,SF_Output!$AC$1:$AC$400,_xlfn.TEXTJOIN(",",TRUE,B278:E278),SF_Output!$Q$1:$Q$400,"One Time",SF_Output!$L$1:$L$400,"professional service"))</f>
        <v/>
      </c>
      <c r="O278" s="112" t="str">
        <f>IF(OR(B278=0,B278="",N278=0),"",IF(AF278&lt;&gt;"exclusion",MAX(O$9,-(SUMIFS(SF_Output!$T$1:$T$400,SF_Output!$AC$1:$AC$400,_xlfn.TEXTJOIN(",",TRUE,$B278:$E278),SF_Output!$Q$1:$Q$400,"One Time",SF_Output!$L$1:$L$400,"professional service"))/N278),-((SUMIFS(SF_Output!$T$1:$T$400,SF_Output!$AC$1:$AC$400,_xlfn.TEXTJOIN(",",TRUE,$B278:$E278),SF_Output!$Q$1:$Q$400,"One Time",SF_Output!$L$1:$L$400,"professional service")/N278))))</f>
        <v/>
      </c>
      <c r="P278" s="6" t="str">
        <f t="shared" si="74"/>
        <v/>
      </c>
      <c r="R278" s="6" t="str">
        <f>IF(B278="","",SUMIFS(SF_Output!$S$1:$S$400,SF_Output!$AC$1:$AC$400,_xlfn.TEXTJOIN(",",TRUE,B278:E278),SF_Output!$Q$1:$Q$400,"yearly")+SUMIFS(SF_Output!$S$1:$S$400,SF_Output!$AC$1:$AC$400,_xlfn.TEXTJOIN(",",TRUE,B278:E278),SF_Output!$Q$1:$Q$400,"quarterly")*4)</f>
        <v/>
      </c>
      <c r="S278" s="112" t="str">
        <f>IF(OR(B278=0,B278="",G278="hardware",R278=0),"",IF(AF278&lt;&gt;"exclusion",MAX(S$9,-(SUMIFS(SF_Output!$T$1:$T$400,SF_Output!$AC$1:$AC$400,_xlfn.TEXTJOIN(",",TRUE,$B278:$E278),SF_Output!$Q$1:$Q$400,"yearly"))/R278),-((SUMIFS(SF_Output!$T$1:$T$400,SF_Output!$AC$1:$AC$400,_xlfn.TEXTJOIN(",",TRUE,$B278:$E278),SF_Output!$Q$1:$Q$400,"yearly")/R278))))</f>
        <v/>
      </c>
      <c r="T278" s="6" t="str">
        <f t="shared" si="75"/>
        <v/>
      </c>
      <c r="V278" s="6" t="str" cm="1">
        <f t="array" ref="V278">_xlfn.IFS(B278="","",AND(B278&lt;&gt;"",H278=SF_Output!$Y$2,SUMIFS(SF_Output!$T$1:$T$400,SF_Output!$AC$1:$AC$400,_xlfn.TEXTJOIN(",",TRUE,B278:E278),SF_Output!$Q$1:$Q$400,"monthly")=0),(SUMIFS(SF_Output!$F$1:$F$400,SF_Output!$AC$1:$AC$400,_xlfn.TEXTJOIN(",",TRUE,B278:E278),SF_Output!$Q$1:$Q$400,"monthly")+SUMIFS(SF_Output!$G$1:$G$400,SF_Output!$AC$1:$AC$400,_xlfn.TEXTJOIN(",",TRUE,B278:E278),SF_Output!$Q$1:$Q$400,"monthly"))*H278,AND(B278&lt;&gt;"",H278=SF_Output!$Y$2,SUMIFS(SF_Output!$T$1:$T$400,SF_Output!$AC$1:$AC$400,_xlfn.TEXTJOIN(",",TRUE,B278:E278),SF_Output!$Q$1:$Q$400,"monthly")&lt;&gt;0),SUMIFS(SF_Output!$S$1:$S$400,SF_Output!$AC$1:$AC$400,_xlfn.TEXTJOIN(",",TRUE,B278:E278),SF_Output!$Q$1:$Q$400,"monthly"),AND(B278&lt;&gt;"",H278&lt;&gt;SF_Output!$Y$2),SUMIFS(SF_Output!$S$1:$S$400,SF_Output!$AC$1:$AC$400,_xlfn.TEXTJOIN(",",TRUE,B278:E278),SF_Output!$Q$1:$Q$400,"monthly"))</f>
        <v/>
      </c>
      <c r="W278" s="112" t="str" cm="1">
        <f t="array" ref="W278">_xlfn.IFS(OR(B278=0,B278="",V278=0),"",AF278&lt;&gt;"exclusion",MAX($W$9,$W$7,(-(SUMIFS(SF_Output!$T$1:$T$400,SF_Output!$AC$1:$AC$400,_xlfn.TEXTJOIN(",",TRUE,$B278:$E278),SF_Output!$Q$1:$Q$400,"monthly"))/V278)),AF278="exclusion",-(SUMIFS(SF_Output!$T$1:$T$400,SF_Output!$AC$1:$AC$400,_xlfn.TEXTJOIN(",",TRUE,$B278:$E278),SF_Output!$Q$1:$Q$400,"monthly"))/V278)</f>
        <v/>
      </c>
      <c r="X278" s="6" t="str" cm="1">
        <f t="array" ref="X278">IFERROR(_xlfn.IFS(V278=0,0,V278="","",W278=0,V278,OR(V278&lt;&gt;0,V278&lt;&gt;""),H278*I278),V278*(1-W278))</f>
        <v/>
      </c>
      <c r="Z278" s="6" t="str">
        <f>IFERROR(IF(B278="","",SUMIFS(Billing_Fallout!H:H,Billing_Fallout!N:N,B278)),0)</f>
        <v/>
      </c>
      <c r="AA278" s="6" t="str">
        <f t="shared" si="76"/>
        <v/>
      </c>
      <c r="AB278" s="6" t="str">
        <f>IFERROR(IF(B278="","",SUMIFS(Billing_Fallout!J:J,Billing_Fallout!N:N,B278)),0)</f>
        <v/>
      </c>
      <c r="AD278" s="6" t="str">
        <f t="shared" si="77"/>
        <v/>
      </c>
      <c r="AF278" t="str">
        <f>IFERROR(INDEX(H_Tables!$B$1:$B$1500,MATCH(INDEX(SF_Output!$J$1:$J$400,MATCH(B278,SF_Output!$M$1:$M$400,0)),H_Tables!$A$1:$A$1500,0)),"")</f>
        <v/>
      </c>
      <c r="AI278" s="119" t="str">
        <f t="shared" si="78"/>
        <v/>
      </c>
      <c r="AJ278" s="121">
        <f>IFERROR(INDEX(SF_Output!AD:AD,MATCH(_xlfn.TEXTJOIN(",",TRUE,B278:E278),SF_Output!AC29:AC428,0)),0.05)</f>
        <v>213</v>
      </c>
      <c r="AK278" t="str">
        <f>IF(SUMIFS(SF_Output!$F$1:$F$400,SF_Output!$AC$1:$AC$400,_xlfn.TEXTJOIN(",",TRUE,B278:E278))+SUMIFS(SF_Output!$G$1:$G$400,SF_Output!$AC$1:$AC$400,_xlfn.TEXTJOIN(",",TRUE,B278:E278))=0,"","PAP")</f>
        <v/>
      </c>
      <c r="AL278" s="35" t="str">
        <f t="shared" si="79"/>
        <v/>
      </c>
      <c r="AQ278" s="35"/>
      <c r="AR278" s="35" t="str" cm="1">
        <f t="array" ref="AR278">IFERROR(_xlfn.IFS(AND(E278*1=1,F278="Included"),"Change to Included",AND(E278*1=0,F278="Optional"),"Change to Optional",OR(B278="",F278="replaced"),""),"")</f>
        <v/>
      </c>
      <c r="AS278" s="35" t="str">
        <f t="shared" si="80"/>
        <v/>
      </c>
      <c r="AT278" s="35" t="str">
        <f t="shared" si="81"/>
        <v/>
      </c>
      <c r="AU278" s="35" t="str">
        <f t="shared" si="82"/>
        <v/>
      </c>
      <c r="AV278" s="35" t="str">
        <f t="shared" si="83"/>
        <v/>
      </c>
      <c r="AW278" s="35" t="str">
        <f t="shared" si="84"/>
        <v/>
      </c>
      <c r="AX278" s="35" t="str">
        <f t="shared" si="85"/>
        <v/>
      </c>
      <c r="AY278" s="35" t="str">
        <f t="shared" si="86"/>
        <v/>
      </c>
      <c r="AZ278" s="35" t="str">
        <f t="shared" si="87"/>
        <v/>
      </c>
      <c r="BA278" s="35" t="str">
        <f t="shared" si="88"/>
        <v/>
      </c>
      <c r="BB278" s="35" t="str">
        <f t="shared" si="89"/>
        <v/>
      </c>
      <c r="BC278" s="35"/>
      <c r="BE278" s="35" t="e">
        <f>INDEX(SF_Output!$AA$2:$AA$400,MATCH($B278,SF_Output!$M$2:$M$400,0))</f>
        <v>#N/A</v>
      </c>
      <c r="BF278" s="35" t="e">
        <f>INDEX(SF_Output!$AB$2:$AB$400,MATCH($B278,SF_Output!$M$2:$M$400,0))</f>
        <v>#N/A</v>
      </c>
    </row>
    <row r="279" spans="6:58" x14ac:dyDescent="0.25">
      <c r="F279" s="116" t="str">
        <f t="shared" si="72"/>
        <v/>
      </c>
      <c r="G279" t="str">
        <f>IF(B279="","",INDEX(SF_Output!$K$1:$K$400,MATCH(B279,SF_Output!$M$1:$M$400,0)))</f>
        <v/>
      </c>
      <c r="H279" t="str" cm="1">
        <f t="array" ref="H279">_xlfn.IFS(B279="","",(SUMIFS(SF_Output!$F$1:$F$400,SF_Output!$AC$1:$AC$400,_xlfn.TEXTJOIN(",",TRUE,B279:E279))+SUMIFS(SF_Output!$G$1:$G$400,SF_Output!$AC$1:$AC$400,_xlfn.TEXTJOIN(",",TRUE,B279:E279)))&lt;&gt;0,SF_Output!$Y$2,INDEX(SF_Output!$F$1:$F$400,MATCH(_xlfn.TEXTJOIN(",",TRUE,B279:E279),SF_Output!$AC$1:$AC$400,0))=0,INDEX(SF_Output!$R$1:$R$400,MATCH(_xlfn.TEXTJOIN(",",TRUE,B279:E279),SF_Output!$AC$1:$AC$400,0)))</f>
        <v/>
      </c>
      <c r="I279" s="125" t="str">
        <f>IFERROR(IF(AND(H279&gt;1,H279&lt;&gt;""),ROUND(SUMIFS(SF_Output!$S$1:$S$400,SF_Output!$AC$1:$AC$400,_xlfn.TEXTJOIN(",",TRUE,B279:E279),SF_Output!$Q$1:$Q$400,"monthly")*(1-W279)/H279,4),""),"")</f>
        <v/>
      </c>
      <c r="J279" s="6" t="str">
        <f>IF(B279="","",SUMIFS(SF_Output!$S$1:$S$400,SF_Output!$AC$1:$AC$400,_xlfn.TEXTJOIN(",",TRUE,B279:E279),SF_Output!$Q$1:$Q$400,"One Time",SF_Output!$L$1:$L$400,"license fee")+SUMIFS(SF_Output!$S$1:$S$400,SF_Output!$AC$1:$AC$400,_xlfn.TEXTJOIN(",",TRUE,B279:E279),SF_Output!$Q$1:$Q$400,"One Time",SF_Output!$L$1:$L$400,"software license")+SUMIFS(SF_Output!$S$1:$S$400,SF_Output!$AC$1:$AC$400,_xlfn.TEXTJOIN(",",TRUE,B279:E279),SF_Output!$Q$1:$Q$400,"One Time",SF_Output!$L$1:$L$400,"hardware"))</f>
        <v/>
      </c>
      <c r="K279" s="112" t="str">
        <f>IF(OR(B279=0,B279="",G279="hardware",J279=0),"",IF(AF279&lt;&gt;"exclusion",MAX(K$9,-((SUMIFS(SF_Output!$T$1:$T$400,SF_Output!$AC$1:$AC$400,_xlfn.TEXTJOIN(",",TRUE,$B279:$E279),SF_Output!$Q$1:$Q$400,"One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license"))/J279)))</f>
        <v/>
      </c>
      <c r="L279" s="6" t="str">
        <f t="shared" si="73"/>
        <v/>
      </c>
      <c r="N279" s="6" t="str">
        <f>IF(B279="","",SUMIFS(SF_Output!$S$1:$S$400,SF_Output!$AC$1:$AC$400,_xlfn.TEXTJOIN(",",TRUE,B279:E279),SF_Output!$Q$1:$Q$400,"One Time",SF_Output!$L$1:$L$400,"professional service"))</f>
        <v/>
      </c>
      <c r="O279" s="112" t="str">
        <f>IF(OR(B279=0,B279="",N279=0),"",IF(AF279&lt;&gt;"exclusion",MAX(O$9,-(SUMIFS(SF_Output!$T$1:$T$400,SF_Output!$AC$1:$AC$400,_xlfn.TEXTJOIN(",",TRUE,$B279:$E279),SF_Output!$Q$1:$Q$400,"One Time",SF_Output!$L$1:$L$400,"professional service"))/N279),-((SUMIFS(SF_Output!$T$1:$T$400,SF_Output!$AC$1:$AC$400,_xlfn.TEXTJOIN(",",TRUE,$B279:$E279),SF_Output!$Q$1:$Q$400,"One Time",SF_Output!$L$1:$L$400,"professional service")/N279))))</f>
        <v/>
      </c>
      <c r="P279" s="6" t="str">
        <f t="shared" si="74"/>
        <v/>
      </c>
      <c r="R279" s="6" t="str">
        <f>IF(B279="","",SUMIFS(SF_Output!$S$1:$S$400,SF_Output!$AC$1:$AC$400,_xlfn.TEXTJOIN(",",TRUE,B279:E279),SF_Output!$Q$1:$Q$400,"yearly")+SUMIFS(SF_Output!$S$1:$S$400,SF_Output!$AC$1:$AC$400,_xlfn.TEXTJOIN(",",TRUE,B279:E279),SF_Output!$Q$1:$Q$400,"quarterly")*4)</f>
        <v/>
      </c>
      <c r="S279" s="112" t="str">
        <f>IF(OR(B279=0,B279="",G279="hardware",R279=0),"",IF(AF279&lt;&gt;"exclusion",MAX(S$9,-(SUMIFS(SF_Output!$T$1:$T$400,SF_Output!$AC$1:$AC$400,_xlfn.TEXTJOIN(",",TRUE,$B279:$E279),SF_Output!$Q$1:$Q$400,"yearly"))/R279),-((SUMIFS(SF_Output!$T$1:$T$400,SF_Output!$AC$1:$AC$400,_xlfn.TEXTJOIN(",",TRUE,$B279:$E279),SF_Output!$Q$1:$Q$400,"yearly")/R279))))</f>
        <v/>
      </c>
      <c r="T279" s="6" t="str">
        <f t="shared" si="75"/>
        <v/>
      </c>
      <c r="V279" s="6" t="str" cm="1">
        <f t="array" ref="V279">_xlfn.IFS(B279="","",AND(B279&lt;&gt;"",H279=SF_Output!$Y$2,SUMIFS(SF_Output!$T$1:$T$400,SF_Output!$AC$1:$AC$400,_xlfn.TEXTJOIN(",",TRUE,B279:E279),SF_Output!$Q$1:$Q$400,"monthly")=0),(SUMIFS(SF_Output!$F$1:$F$400,SF_Output!$AC$1:$AC$400,_xlfn.TEXTJOIN(",",TRUE,B279:E279),SF_Output!$Q$1:$Q$400,"monthly")+SUMIFS(SF_Output!$G$1:$G$400,SF_Output!$AC$1:$AC$400,_xlfn.TEXTJOIN(",",TRUE,B279:E279),SF_Output!$Q$1:$Q$400,"monthly"))*H279,AND(B279&lt;&gt;"",H279=SF_Output!$Y$2,SUMIFS(SF_Output!$T$1:$T$400,SF_Output!$AC$1:$AC$400,_xlfn.TEXTJOIN(",",TRUE,B279:E279),SF_Output!$Q$1:$Q$400,"monthly")&lt;&gt;0),SUMIFS(SF_Output!$S$1:$S$400,SF_Output!$AC$1:$AC$400,_xlfn.TEXTJOIN(",",TRUE,B279:E279),SF_Output!$Q$1:$Q$400,"monthly"),AND(B279&lt;&gt;"",H279&lt;&gt;SF_Output!$Y$2),SUMIFS(SF_Output!$S$1:$S$400,SF_Output!$AC$1:$AC$400,_xlfn.TEXTJOIN(",",TRUE,B279:E279),SF_Output!$Q$1:$Q$400,"monthly"))</f>
        <v/>
      </c>
      <c r="W279" s="112" t="str" cm="1">
        <f t="array" ref="W279">_xlfn.IFS(OR(B279=0,B279="",V279=0),"",AF279&lt;&gt;"exclusion",MAX($W$9,$W$7,(-(SUMIFS(SF_Output!$T$1:$T$400,SF_Output!$AC$1:$AC$400,_xlfn.TEXTJOIN(",",TRUE,$B279:$E279),SF_Output!$Q$1:$Q$400,"monthly"))/V279)),AF279="exclusion",-(SUMIFS(SF_Output!$T$1:$T$400,SF_Output!$AC$1:$AC$400,_xlfn.TEXTJOIN(",",TRUE,$B279:$E279),SF_Output!$Q$1:$Q$400,"monthly"))/V279)</f>
        <v/>
      </c>
      <c r="X279" s="6" t="str" cm="1">
        <f t="array" ref="X279">IFERROR(_xlfn.IFS(V279=0,0,V279="","",W279=0,V279,OR(V279&lt;&gt;0,V279&lt;&gt;""),H279*I279),V279*(1-W279))</f>
        <v/>
      </c>
      <c r="Z279" s="6" t="str">
        <f>IFERROR(IF(B279="","",SUMIFS(Billing_Fallout!H:H,Billing_Fallout!N:N,B279)),0)</f>
        <v/>
      </c>
      <c r="AA279" s="6" t="str">
        <f t="shared" si="76"/>
        <v/>
      </c>
      <c r="AB279" s="6" t="str">
        <f>IFERROR(IF(B279="","",SUMIFS(Billing_Fallout!J:J,Billing_Fallout!N:N,B279)),0)</f>
        <v/>
      </c>
      <c r="AD279" s="6" t="str">
        <f t="shared" si="77"/>
        <v/>
      </c>
      <c r="AF279" t="str">
        <f>IFERROR(INDEX(H_Tables!$B$1:$B$1500,MATCH(INDEX(SF_Output!$J$1:$J$400,MATCH(B279,SF_Output!$M$1:$M$400,0)),H_Tables!$A$1:$A$1500,0)),"")</f>
        <v/>
      </c>
      <c r="AI279" s="119" t="str">
        <f t="shared" si="78"/>
        <v/>
      </c>
      <c r="AJ279" s="121">
        <f>IFERROR(INDEX(SF_Output!AD:AD,MATCH(_xlfn.TEXTJOIN(",",TRUE,B279:E279),SF_Output!AC30:AC429,0)),0.05)</f>
        <v>212</v>
      </c>
      <c r="AK279" t="str">
        <f>IF(SUMIFS(SF_Output!$F$1:$F$400,SF_Output!$AC$1:$AC$400,_xlfn.TEXTJOIN(",",TRUE,B279:E279))+SUMIFS(SF_Output!$G$1:$G$400,SF_Output!$AC$1:$AC$400,_xlfn.TEXTJOIN(",",TRUE,B279:E279))=0,"","PAP")</f>
        <v/>
      </c>
      <c r="AL279" s="35" t="str">
        <f t="shared" si="79"/>
        <v/>
      </c>
      <c r="AQ279" s="35"/>
      <c r="AR279" s="35" t="str" cm="1">
        <f t="array" ref="AR279">IFERROR(_xlfn.IFS(AND(E279*1=1,F279="Included"),"Change to Included",AND(E279*1=0,F279="Optional"),"Change to Optional",OR(B279="",F279="replaced"),""),"")</f>
        <v/>
      </c>
      <c r="AS279" s="35" t="str">
        <f t="shared" si="80"/>
        <v/>
      </c>
      <c r="AT279" s="35" t="str">
        <f t="shared" si="81"/>
        <v/>
      </c>
      <c r="AU279" s="35" t="str">
        <f t="shared" si="82"/>
        <v/>
      </c>
      <c r="AV279" s="35" t="str">
        <f t="shared" si="83"/>
        <v/>
      </c>
      <c r="AW279" s="35" t="str">
        <f t="shared" si="84"/>
        <v/>
      </c>
      <c r="AX279" s="35" t="str">
        <f t="shared" si="85"/>
        <v/>
      </c>
      <c r="AY279" s="35" t="str">
        <f t="shared" si="86"/>
        <v/>
      </c>
      <c r="AZ279" s="35" t="str">
        <f t="shared" si="87"/>
        <v/>
      </c>
      <c r="BA279" s="35" t="str">
        <f t="shared" si="88"/>
        <v/>
      </c>
      <c r="BB279" s="35" t="str">
        <f t="shared" si="89"/>
        <v/>
      </c>
      <c r="BC279" s="35"/>
      <c r="BE279" s="35" t="e">
        <f>INDEX(SF_Output!$AA$2:$AA$400,MATCH($B279,SF_Output!$M$2:$M$400,0))</f>
        <v>#N/A</v>
      </c>
      <c r="BF279" s="35" t="e">
        <f>INDEX(SF_Output!$AB$2:$AB$400,MATCH($B279,SF_Output!$M$2:$M$400,0))</f>
        <v>#N/A</v>
      </c>
    </row>
    <row r="280" spans="6:58" x14ac:dyDescent="0.25">
      <c r="F280" s="116" t="str">
        <f t="shared" si="72"/>
        <v/>
      </c>
      <c r="G280" t="str">
        <f>IF(B280="","",INDEX(SF_Output!$K$1:$K$400,MATCH(B280,SF_Output!$M$1:$M$400,0)))</f>
        <v/>
      </c>
      <c r="H280" t="str" cm="1">
        <f t="array" ref="H280">_xlfn.IFS(B280="","",(SUMIFS(SF_Output!$F$1:$F$400,SF_Output!$AC$1:$AC$400,_xlfn.TEXTJOIN(",",TRUE,B280:E280))+SUMIFS(SF_Output!$G$1:$G$400,SF_Output!$AC$1:$AC$400,_xlfn.TEXTJOIN(",",TRUE,B280:E280)))&lt;&gt;0,SF_Output!$Y$2,INDEX(SF_Output!$F$1:$F$400,MATCH(_xlfn.TEXTJOIN(",",TRUE,B280:E280),SF_Output!$AC$1:$AC$400,0))=0,INDEX(SF_Output!$R$1:$R$400,MATCH(_xlfn.TEXTJOIN(",",TRUE,B280:E280),SF_Output!$AC$1:$AC$400,0)))</f>
        <v/>
      </c>
      <c r="I280" s="125" t="str">
        <f>IFERROR(IF(AND(H280&gt;1,H280&lt;&gt;""),ROUND(SUMIFS(SF_Output!$S$1:$S$400,SF_Output!$AC$1:$AC$400,_xlfn.TEXTJOIN(",",TRUE,B280:E280),SF_Output!$Q$1:$Q$400,"monthly")*(1-W280)/H280,4),""),"")</f>
        <v/>
      </c>
      <c r="J280" s="6" t="str">
        <f>IF(B280="","",SUMIFS(SF_Output!$S$1:$S$400,SF_Output!$AC$1:$AC$400,_xlfn.TEXTJOIN(",",TRUE,B280:E280),SF_Output!$Q$1:$Q$400,"One Time",SF_Output!$L$1:$L$400,"license fee")+SUMIFS(SF_Output!$S$1:$S$400,SF_Output!$AC$1:$AC$400,_xlfn.TEXTJOIN(",",TRUE,B280:E280),SF_Output!$Q$1:$Q$400,"One Time",SF_Output!$L$1:$L$400,"software license")+SUMIFS(SF_Output!$S$1:$S$400,SF_Output!$AC$1:$AC$400,_xlfn.TEXTJOIN(",",TRUE,B280:E280),SF_Output!$Q$1:$Q$400,"One Time",SF_Output!$L$1:$L$400,"hardware"))</f>
        <v/>
      </c>
      <c r="K280" s="112" t="str">
        <f>IF(OR(B280=0,B280="",G280="hardware",J280=0),"",IF(AF280&lt;&gt;"exclusion",MAX(K$9,-((SUMIFS(SF_Output!$T$1:$T$400,SF_Output!$AC$1:$AC$400,_xlfn.TEXTJOIN(",",TRUE,$B280:$E280),SF_Output!$Q$1:$Q$400,"One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license"))/J280)))</f>
        <v/>
      </c>
      <c r="L280" s="6" t="str">
        <f t="shared" si="73"/>
        <v/>
      </c>
      <c r="N280" s="6" t="str">
        <f>IF(B280="","",SUMIFS(SF_Output!$S$1:$S$400,SF_Output!$AC$1:$AC$400,_xlfn.TEXTJOIN(",",TRUE,B280:E280),SF_Output!$Q$1:$Q$400,"One Time",SF_Output!$L$1:$L$400,"professional service"))</f>
        <v/>
      </c>
      <c r="O280" s="112" t="str">
        <f>IF(OR(B280=0,B280="",N280=0),"",IF(AF280&lt;&gt;"exclusion",MAX(O$9,-(SUMIFS(SF_Output!$T$1:$T$400,SF_Output!$AC$1:$AC$400,_xlfn.TEXTJOIN(",",TRUE,$B280:$E280),SF_Output!$Q$1:$Q$400,"One Time",SF_Output!$L$1:$L$400,"professional service"))/N280),-((SUMIFS(SF_Output!$T$1:$T$400,SF_Output!$AC$1:$AC$400,_xlfn.TEXTJOIN(",",TRUE,$B280:$E280),SF_Output!$Q$1:$Q$400,"One Time",SF_Output!$L$1:$L$400,"professional service")/N280))))</f>
        <v/>
      </c>
      <c r="P280" s="6" t="str">
        <f t="shared" si="74"/>
        <v/>
      </c>
      <c r="R280" s="6" t="str">
        <f>IF(B280="","",SUMIFS(SF_Output!$S$1:$S$400,SF_Output!$AC$1:$AC$400,_xlfn.TEXTJOIN(",",TRUE,B280:E280),SF_Output!$Q$1:$Q$400,"yearly")+SUMIFS(SF_Output!$S$1:$S$400,SF_Output!$AC$1:$AC$400,_xlfn.TEXTJOIN(",",TRUE,B280:E280),SF_Output!$Q$1:$Q$400,"quarterly")*4)</f>
        <v/>
      </c>
      <c r="S280" s="112" t="str">
        <f>IF(OR(B280=0,B280="",G280="hardware",R280=0),"",IF(AF280&lt;&gt;"exclusion",MAX(S$9,-(SUMIFS(SF_Output!$T$1:$T$400,SF_Output!$AC$1:$AC$400,_xlfn.TEXTJOIN(",",TRUE,$B280:$E280),SF_Output!$Q$1:$Q$400,"yearly"))/R280),-((SUMIFS(SF_Output!$T$1:$T$400,SF_Output!$AC$1:$AC$400,_xlfn.TEXTJOIN(",",TRUE,$B280:$E280),SF_Output!$Q$1:$Q$400,"yearly")/R280))))</f>
        <v/>
      </c>
      <c r="T280" s="6" t="str">
        <f t="shared" si="75"/>
        <v/>
      </c>
      <c r="V280" s="6" t="str" cm="1">
        <f t="array" ref="V280">_xlfn.IFS(B280="","",AND(B280&lt;&gt;"",H280=SF_Output!$Y$2,SUMIFS(SF_Output!$T$1:$T$400,SF_Output!$AC$1:$AC$400,_xlfn.TEXTJOIN(",",TRUE,B280:E280),SF_Output!$Q$1:$Q$400,"monthly")=0),(SUMIFS(SF_Output!$F$1:$F$400,SF_Output!$AC$1:$AC$400,_xlfn.TEXTJOIN(",",TRUE,B280:E280),SF_Output!$Q$1:$Q$400,"monthly")+SUMIFS(SF_Output!$G$1:$G$400,SF_Output!$AC$1:$AC$400,_xlfn.TEXTJOIN(",",TRUE,B280:E280),SF_Output!$Q$1:$Q$400,"monthly"))*H280,AND(B280&lt;&gt;"",H280=SF_Output!$Y$2,SUMIFS(SF_Output!$T$1:$T$400,SF_Output!$AC$1:$AC$400,_xlfn.TEXTJOIN(",",TRUE,B280:E280),SF_Output!$Q$1:$Q$400,"monthly")&lt;&gt;0),SUMIFS(SF_Output!$S$1:$S$400,SF_Output!$AC$1:$AC$400,_xlfn.TEXTJOIN(",",TRUE,B280:E280),SF_Output!$Q$1:$Q$400,"monthly"),AND(B280&lt;&gt;"",H280&lt;&gt;SF_Output!$Y$2),SUMIFS(SF_Output!$S$1:$S$400,SF_Output!$AC$1:$AC$400,_xlfn.TEXTJOIN(",",TRUE,B280:E280),SF_Output!$Q$1:$Q$400,"monthly"))</f>
        <v/>
      </c>
      <c r="W280" s="112" t="str" cm="1">
        <f t="array" ref="W280">_xlfn.IFS(OR(B280=0,B280="",V280=0),"",AF280&lt;&gt;"exclusion",MAX($W$9,$W$7,(-(SUMIFS(SF_Output!$T$1:$T$400,SF_Output!$AC$1:$AC$400,_xlfn.TEXTJOIN(",",TRUE,$B280:$E280),SF_Output!$Q$1:$Q$400,"monthly"))/V280)),AF280="exclusion",-(SUMIFS(SF_Output!$T$1:$T$400,SF_Output!$AC$1:$AC$400,_xlfn.TEXTJOIN(",",TRUE,$B280:$E280),SF_Output!$Q$1:$Q$400,"monthly"))/V280)</f>
        <v/>
      </c>
      <c r="X280" s="6" t="str" cm="1">
        <f t="array" ref="X280">IFERROR(_xlfn.IFS(V280=0,0,V280="","",W280=0,V280,OR(V280&lt;&gt;0,V280&lt;&gt;""),H280*I280),V280*(1-W280))</f>
        <v/>
      </c>
      <c r="Z280" s="6" t="str">
        <f>IFERROR(IF(B280="","",SUMIFS(Billing_Fallout!H:H,Billing_Fallout!N:N,B280)),0)</f>
        <v/>
      </c>
      <c r="AA280" s="6" t="str">
        <f t="shared" si="76"/>
        <v/>
      </c>
      <c r="AB280" s="6" t="str">
        <f>IFERROR(IF(B280="","",SUMIFS(Billing_Fallout!J:J,Billing_Fallout!N:N,B280)),0)</f>
        <v/>
      </c>
      <c r="AD280" s="6" t="str">
        <f t="shared" si="77"/>
        <v/>
      </c>
      <c r="AF280" t="str">
        <f>IFERROR(INDEX(H_Tables!$B$1:$B$1500,MATCH(INDEX(SF_Output!$J$1:$J$400,MATCH(B280,SF_Output!$M$1:$M$400,0)),H_Tables!$A$1:$A$1500,0)),"")</f>
        <v/>
      </c>
      <c r="AI280" s="119" t="str">
        <f t="shared" si="78"/>
        <v/>
      </c>
      <c r="AJ280" s="121">
        <f>IFERROR(INDEX(SF_Output!AD:AD,MATCH(_xlfn.TEXTJOIN(",",TRUE,B280:E280),SF_Output!AC31:AC430,0)),0.05)</f>
        <v>211</v>
      </c>
      <c r="AK280" t="str">
        <f>IF(SUMIFS(SF_Output!$F$1:$F$400,SF_Output!$AC$1:$AC$400,_xlfn.TEXTJOIN(",",TRUE,B280:E280))+SUMIFS(SF_Output!$G$1:$G$400,SF_Output!$AC$1:$AC$400,_xlfn.TEXTJOIN(",",TRUE,B280:E280))=0,"","PAP")</f>
        <v/>
      </c>
      <c r="AL280" s="35" t="str">
        <f t="shared" si="79"/>
        <v/>
      </c>
      <c r="AQ280" s="35"/>
      <c r="AR280" s="35" t="str" cm="1">
        <f t="array" ref="AR280">IFERROR(_xlfn.IFS(AND(E280*1=1,F280="Included"),"Change to Included",AND(E280*1=0,F280="Optional"),"Change to Optional",OR(B280="",F280="replaced"),""),"")</f>
        <v/>
      </c>
      <c r="AS280" s="35" t="str">
        <f t="shared" si="80"/>
        <v/>
      </c>
      <c r="AT280" s="35" t="str">
        <f t="shared" si="81"/>
        <v/>
      </c>
      <c r="AU280" s="35" t="str">
        <f t="shared" si="82"/>
        <v/>
      </c>
      <c r="AV280" s="35" t="str">
        <f t="shared" si="83"/>
        <v/>
      </c>
      <c r="AW280" s="35" t="str">
        <f t="shared" si="84"/>
        <v/>
      </c>
      <c r="AX280" s="35" t="str">
        <f t="shared" si="85"/>
        <v/>
      </c>
      <c r="AY280" s="35" t="str">
        <f t="shared" si="86"/>
        <v/>
      </c>
      <c r="AZ280" s="35" t="str">
        <f t="shared" si="87"/>
        <v/>
      </c>
      <c r="BA280" s="35" t="str">
        <f t="shared" si="88"/>
        <v/>
      </c>
      <c r="BB280" s="35" t="str">
        <f t="shared" si="89"/>
        <v/>
      </c>
      <c r="BC280" s="35"/>
      <c r="BE280" s="35" t="e">
        <f>INDEX(SF_Output!$AA$2:$AA$400,MATCH($B280,SF_Output!$M$2:$M$400,0))</f>
        <v>#N/A</v>
      </c>
      <c r="BF280" s="35" t="e">
        <f>INDEX(SF_Output!$AB$2:$AB$400,MATCH($B280,SF_Output!$M$2:$M$400,0))</f>
        <v>#N/A</v>
      </c>
    </row>
    <row r="281" spans="6:58" x14ac:dyDescent="0.25">
      <c r="F281" s="116" t="str">
        <f t="shared" si="72"/>
        <v/>
      </c>
      <c r="G281" t="str">
        <f>IF(B281="","",INDEX(SF_Output!$K$1:$K$400,MATCH(B281,SF_Output!$M$1:$M$400,0)))</f>
        <v/>
      </c>
      <c r="H281" t="str" cm="1">
        <f t="array" ref="H281">_xlfn.IFS(B281="","",(SUMIFS(SF_Output!$F$1:$F$400,SF_Output!$AC$1:$AC$400,_xlfn.TEXTJOIN(",",TRUE,B281:E281))+SUMIFS(SF_Output!$G$1:$G$400,SF_Output!$AC$1:$AC$400,_xlfn.TEXTJOIN(",",TRUE,B281:E281)))&lt;&gt;0,SF_Output!$Y$2,INDEX(SF_Output!$F$1:$F$400,MATCH(_xlfn.TEXTJOIN(",",TRUE,B281:E281),SF_Output!$AC$1:$AC$400,0))=0,INDEX(SF_Output!$R$1:$R$400,MATCH(_xlfn.TEXTJOIN(",",TRUE,B281:E281),SF_Output!$AC$1:$AC$400,0)))</f>
        <v/>
      </c>
      <c r="I281" s="125" t="str">
        <f>IFERROR(IF(AND(H281&gt;1,H281&lt;&gt;""),ROUND(SUMIFS(SF_Output!$S$1:$S$400,SF_Output!$AC$1:$AC$400,_xlfn.TEXTJOIN(",",TRUE,B281:E281),SF_Output!$Q$1:$Q$400,"monthly")*(1-W281)/H281,4),""),"")</f>
        <v/>
      </c>
      <c r="J281" s="6" t="str">
        <f>IF(B281="","",SUMIFS(SF_Output!$S$1:$S$400,SF_Output!$AC$1:$AC$400,_xlfn.TEXTJOIN(",",TRUE,B281:E281),SF_Output!$Q$1:$Q$400,"One Time",SF_Output!$L$1:$L$400,"license fee")+SUMIFS(SF_Output!$S$1:$S$400,SF_Output!$AC$1:$AC$400,_xlfn.TEXTJOIN(",",TRUE,B281:E281),SF_Output!$Q$1:$Q$400,"One Time",SF_Output!$L$1:$L$400,"software license")+SUMIFS(SF_Output!$S$1:$S$400,SF_Output!$AC$1:$AC$400,_xlfn.TEXTJOIN(",",TRUE,B281:E281),SF_Output!$Q$1:$Q$400,"One Time",SF_Output!$L$1:$L$400,"hardware"))</f>
        <v/>
      </c>
      <c r="K281" s="112" t="str">
        <f>IF(OR(B281=0,B281="",G281="hardware",J281=0),"",IF(AF281&lt;&gt;"exclusion",MAX(K$9,-((SUMIFS(SF_Output!$T$1:$T$400,SF_Output!$AC$1:$AC$400,_xlfn.TEXTJOIN(",",TRUE,$B281:$E281),SF_Output!$Q$1:$Q$400,"One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license"))/J281)))</f>
        <v/>
      </c>
      <c r="L281" s="6" t="str">
        <f t="shared" si="73"/>
        <v/>
      </c>
      <c r="N281" s="6" t="str">
        <f>IF(B281="","",SUMIFS(SF_Output!$S$1:$S$400,SF_Output!$AC$1:$AC$400,_xlfn.TEXTJOIN(",",TRUE,B281:E281),SF_Output!$Q$1:$Q$400,"One Time",SF_Output!$L$1:$L$400,"professional service"))</f>
        <v/>
      </c>
      <c r="O281" s="112" t="str">
        <f>IF(OR(B281=0,B281="",N281=0),"",IF(AF281&lt;&gt;"exclusion",MAX(O$9,-(SUMIFS(SF_Output!$T$1:$T$400,SF_Output!$AC$1:$AC$400,_xlfn.TEXTJOIN(",",TRUE,$B281:$E281),SF_Output!$Q$1:$Q$400,"One Time",SF_Output!$L$1:$L$400,"professional service"))/N281),-((SUMIFS(SF_Output!$T$1:$T$400,SF_Output!$AC$1:$AC$400,_xlfn.TEXTJOIN(",",TRUE,$B281:$E281),SF_Output!$Q$1:$Q$400,"One Time",SF_Output!$L$1:$L$400,"professional service")/N281))))</f>
        <v/>
      </c>
      <c r="P281" s="6" t="str">
        <f t="shared" si="74"/>
        <v/>
      </c>
      <c r="R281" s="6" t="str">
        <f>IF(B281="","",SUMIFS(SF_Output!$S$1:$S$400,SF_Output!$AC$1:$AC$400,_xlfn.TEXTJOIN(",",TRUE,B281:E281),SF_Output!$Q$1:$Q$400,"yearly")+SUMIFS(SF_Output!$S$1:$S$400,SF_Output!$AC$1:$AC$400,_xlfn.TEXTJOIN(",",TRUE,B281:E281),SF_Output!$Q$1:$Q$400,"quarterly")*4)</f>
        <v/>
      </c>
      <c r="S281" s="112" t="str">
        <f>IF(OR(B281=0,B281="",G281="hardware",R281=0),"",IF(AF281&lt;&gt;"exclusion",MAX(S$9,-(SUMIFS(SF_Output!$T$1:$T$400,SF_Output!$AC$1:$AC$400,_xlfn.TEXTJOIN(",",TRUE,$B281:$E281),SF_Output!$Q$1:$Q$400,"yearly"))/R281),-((SUMIFS(SF_Output!$T$1:$T$400,SF_Output!$AC$1:$AC$400,_xlfn.TEXTJOIN(",",TRUE,$B281:$E281),SF_Output!$Q$1:$Q$400,"yearly")/R281))))</f>
        <v/>
      </c>
      <c r="T281" s="6" t="str">
        <f t="shared" si="75"/>
        <v/>
      </c>
      <c r="V281" s="6" t="str" cm="1">
        <f t="array" ref="V281">_xlfn.IFS(B281="","",AND(B281&lt;&gt;"",H281=SF_Output!$Y$2,SUMIFS(SF_Output!$T$1:$T$400,SF_Output!$AC$1:$AC$400,_xlfn.TEXTJOIN(",",TRUE,B281:E281),SF_Output!$Q$1:$Q$400,"monthly")=0),(SUMIFS(SF_Output!$F$1:$F$400,SF_Output!$AC$1:$AC$400,_xlfn.TEXTJOIN(",",TRUE,B281:E281),SF_Output!$Q$1:$Q$400,"monthly")+SUMIFS(SF_Output!$G$1:$G$400,SF_Output!$AC$1:$AC$400,_xlfn.TEXTJOIN(",",TRUE,B281:E281),SF_Output!$Q$1:$Q$400,"monthly"))*H281,AND(B281&lt;&gt;"",H281=SF_Output!$Y$2,SUMIFS(SF_Output!$T$1:$T$400,SF_Output!$AC$1:$AC$400,_xlfn.TEXTJOIN(",",TRUE,B281:E281),SF_Output!$Q$1:$Q$400,"monthly")&lt;&gt;0),SUMIFS(SF_Output!$S$1:$S$400,SF_Output!$AC$1:$AC$400,_xlfn.TEXTJOIN(",",TRUE,B281:E281),SF_Output!$Q$1:$Q$400,"monthly"),AND(B281&lt;&gt;"",H281&lt;&gt;SF_Output!$Y$2),SUMIFS(SF_Output!$S$1:$S$400,SF_Output!$AC$1:$AC$400,_xlfn.TEXTJOIN(",",TRUE,B281:E281),SF_Output!$Q$1:$Q$400,"monthly"))</f>
        <v/>
      </c>
      <c r="W281" s="112" t="str" cm="1">
        <f t="array" ref="W281">_xlfn.IFS(OR(B281=0,B281="",V281=0),"",AF281&lt;&gt;"exclusion",MAX($W$9,$W$7,(-(SUMIFS(SF_Output!$T$1:$T$400,SF_Output!$AC$1:$AC$400,_xlfn.TEXTJOIN(",",TRUE,$B281:$E281),SF_Output!$Q$1:$Q$400,"monthly"))/V281)),AF281="exclusion",-(SUMIFS(SF_Output!$T$1:$T$400,SF_Output!$AC$1:$AC$400,_xlfn.TEXTJOIN(",",TRUE,$B281:$E281),SF_Output!$Q$1:$Q$400,"monthly"))/V281)</f>
        <v/>
      </c>
      <c r="X281" s="6" t="str" cm="1">
        <f t="array" ref="X281">IFERROR(_xlfn.IFS(V281=0,0,V281="","",W281=0,V281,OR(V281&lt;&gt;0,V281&lt;&gt;""),H281*I281),V281*(1-W281))</f>
        <v/>
      </c>
      <c r="Z281" s="6" t="str">
        <f>IFERROR(IF(B281="","",SUMIFS(Billing_Fallout!H:H,Billing_Fallout!N:N,B281)),0)</f>
        <v/>
      </c>
      <c r="AA281" s="6" t="str">
        <f t="shared" si="76"/>
        <v/>
      </c>
      <c r="AB281" s="6" t="str">
        <f>IFERROR(IF(B281="","",SUMIFS(Billing_Fallout!J:J,Billing_Fallout!N:N,B281)),0)</f>
        <v/>
      </c>
      <c r="AD281" s="6" t="str">
        <f t="shared" si="77"/>
        <v/>
      </c>
      <c r="AF281" t="str">
        <f>IFERROR(INDEX(H_Tables!$B$1:$B$1500,MATCH(INDEX(SF_Output!$J$1:$J$400,MATCH(B281,SF_Output!$M$1:$M$400,0)),H_Tables!$A$1:$A$1500,0)),"")</f>
        <v/>
      </c>
      <c r="AI281" s="119" t="str">
        <f t="shared" si="78"/>
        <v/>
      </c>
      <c r="AJ281" s="121">
        <f>IFERROR(INDEX(SF_Output!AD:AD,MATCH(_xlfn.TEXTJOIN(",",TRUE,B281:E281),SF_Output!AC32:AC431,0)),0.05)</f>
        <v>210</v>
      </c>
      <c r="AK281" t="str">
        <f>IF(SUMIFS(SF_Output!$F$1:$F$400,SF_Output!$AC$1:$AC$400,_xlfn.TEXTJOIN(",",TRUE,B281:E281))+SUMIFS(SF_Output!$G$1:$G$400,SF_Output!$AC$1:$AC$400,_xlfn.TEXTJOIN(",",TRUE,B281:E281))=0,"","PAP")</f>
        <v/>
      </c>
      <c r="AL281" s="35" t="str">
        <f t="shared" si="79"/>
        <v/>
      </c>
      <c r="AQ281" s="35"/>
      <c r="AR281" s="35" t="str" cm="1">
        <f t="array" ref="AR281">IFERROR(_xlfn.IFS(AND(E281*1=1,F281="Included"),"Change to Included",AND(E281*1=0,F281="Optional"),"Change to Optional",OR(B281="",F281="replaced"),""),"")</f>
        <v/>
      </c>
      <c r="AS281" s="35" t="str">
        <f t="shared" si="80"/>
        <v/>
      </c>
      <c r="AT281" s="35" t="str">
        <f t="shared" si="81"/>
        <v/>
      </c>
      <c r="AU281" s="35" t="str">
        <f t="shared" si="82"/>
        <v/>
      </c>
      <c r="AV281" s="35" t="str">
        <f t="shared" si="83"/>
        <v/>
      </c>
      <c r="AW281" s="35" t="str">
        <f t="shared" si="84"/>
        <v/>
      </c>
      <c r="AX281" s="35" t="str">
        <f t="shared" si="85"/>
        <v/>
      </c>
      <c r="AY281" s="35" t="str">
        <f t="shared" si="86"/>
        <v/>
      </c>
      <c r="AZ281" s="35" t="str">
        <f t="shared" si="87"/>
        <v/>
      </c>
      <c r="BA281" s="35" t="str">
        <f t="shared" si="88"/>
        <v/>
      </c>
      <c r="BB281" s="35" t="str">
        <f t="shared" si="89"/>
        <v/>
      </c>
      <c r="BC281" s="35"/>
      <c r="BE281" s="35" t="e">
        <f>INDEX(SF_Output!$AA$2:$AA$400,MATCH($B281,SF_Output!$M$2:$M$400,0))</f>
        <v>#N/A</v>
      </c>
      <c r="BF281" s="35" t="e">
        <f>INDEX(SF_Output!$AB$2:$AB$400,MATCH($B281,SF_Output!$M$2:$M$400,0))</f>
        <v>#N/A</v>
      </c>
    </row>
    <row r="282" spans="6:58" x14ac:dyDescent="0.25">
      <c r="F282" s="116" t="str">
        <f t="shared" si="72"/>
        <v/>
      </c>
      <c r="G282" t="str">
        <f>IF(B282="","",INDEX(SF_Output!$K$1:$K$400,MATCH(B282,SF_Output!$M$1:$M$400,0)))</f>
        <v/>
      </c>
      <c r="H282" t="str" cm="1">
        <f t="array" ref="H282">_xlfn.IFS(B282="","",(SUMIFS(SF_Output!$F$1:$F$400,SF_Output!$AC$1:$AC$400,_xlfn.TEXTJOIN(",",TRUE,B282:E282))+SUMIFS(SF_Output!$G$1:$G$400,SF_Output!$AC$1:$AC$400,_xlfn.TEXTJOIN(",",TRUE,B282:E282)))&lt;&gt;0,SF_Output!$Y$2,INDEX(SF_Output!$F$1:$F$400,MATCH(_xlfn.TEXTJOIN(",",TRUE,B282:E282),SF_Output!$AC$1:$AC$400,0))=0,INDEX(SF_Output!$R$1:$R$400,MATCH(_xlfn.TEXTJOIN(",",TRUE,B282:E282),SF_Output!$AC$1:$AC$400,0)))</f>
        <v/>
      </c>
      <c r="I282" s="125" t="str">
        <f>IFERROR(IF(AND(H282&gt;1,H282&lt;&gt;""),ROUND(SUMIFS(SF_Output!$S$1:$S$400,SF_Output!$AC$1:$AC$400,_xlfn.TEXTJOIN(",",TRUE,B282:E282),SF_Output!$Q$1:$Q$400,"monthly")*(1-W282)/H282,4),""),"")</f>
        <v/>
      </c>
      <c r="J282" s="6" t="str">
        <f>IF(B282="","",SUMIFS(SF_Output!$S$1:$S$400,SF_Output!$AC$1:$AC$400,_xlfn.TEXTJOIN(",",TRUE,B282:E282),SF_Output!$Q$1:$Q$400,"One Time",SF_Output!$L$1:$L$400,"license fee")+SUMIFS(SF_Output!$S$1:$S$400,SF_Output!$AC$1:$AC$400,_xlfn.TEXTJOIN(",",TRUE,B282:E282),SF_Output!$Q$1:$Q$400,"One Time",SF_Output!$L$1:$L$400,"software license")+SUMIFS(SF_Output!$S$1:$S$400,SF_Output!$AC$1:$AC$400,_xlfn.TEXTJOIN(",",TRUE,B282:E282),SF_Output!$Q$1:$Q$400,"One Time",SF_Output!$L$1:$L$400,"hardware"))</f>
        <v/>
      </c>
      <c r="K282" s="112" t="str">
        <f>IF(OR(B282=0,B282="",G282="hardware",J282=0),"",IF(AF282&lt;&gt;"exclusion",MAX(K$9,-((SUMIFS(SF_Output!$T$1:$T$400,SF_Output!$AC$1:$AC$400,_xlfn.TEXTJOIN(",",TRUE,$B282:$E282),SF_Output!$Q$1:$Q$400,"One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license"))/J282)))</f>
        <v/>
      </c>
      <c r="L282" s="6" t="str">
        <f t="shared" si="73"/>
        <v/>
      </c>
      <c r="N282" s="6" t="str">
        <f>IF(B282="","",SUMIFS(SF_Output!$S$1:$S$400,SF_Output!$AC$1:$AC$400,_xlfn.TEXTJOIN(",",TRUE,B282:E282),SF_Output!$Q$1:$Q$400,"One Time",SF_Output!$L$1:$L$400,"professional service"))</f>
        <v/>
      </c>
      <c r="O282" s="112" t="str">
        <f>IF(OR(B282=0,B282="",N282=0),"",IF(AF282&lt;&gt;"exclusion",MAX(O$9,-(SUMIFS(SF_Output!$T$1:$T$400,SF_Output!$AC$1:$AC$400,_xlfn.TEXTJOIN(",",TRUE,$B282:$E282),SF_Output!$Q$1:$Q$400,"One Time",SF_Output!$L$1:$L$400,"professional service"))/N282),-((SUMIFS(SF_Output!$T$1:$T$400,SF_Output!$AC$1:$AC$400,_xlfn.TEXTJOIN(",",TRUE,$B282:$E282),SF_Output!$Q$1:$Q$400,"One Time",SF_Output!$L$1:$L$400,"professional service")/N282))))</f>
        <v/>
      </c>
      <c r="P282" s="6" t="str">
        <f t="shared" si="74"/>
        <v/>
      </c>
      <c r="R282" s="6" t="str">
        <f>IF(B282="","",SUMIFS(SF_Output!$S$1:$S$400,SF_Output!$AC$1:$AC$400,_xlfn.TEXTJOIN(",",TRUE,B282:E282),SF_Output!$Q$1:$Q$400,"yearly")+SUMIFS(SF_Output!$S$1:$S$400,SF_Output!$AC$1:$AC$400,_xlfn.TEXTJOIN(",",TRUE,B282:E282),SF_Output!$Q$1:$Q$400,"quarterly")*4)</f>
        <v/>
      </c>
      <c r="S282" s="112" t="str">
        <f>IF(OR(B282=0,B282="",G282="hardware",R282=0),"",IF(AF282&lt;&gt;"exclusion",MAX(S$9,-(SUMIFS(SF_Output!$T$1:$T$400,SF_Output!$AC$1:$AC$400,_xlfn.TEXTJOIN(",",TRUE,$B282:$E282),SF_Output!$Q$1:$Q$400,"yearly"))/R282),-((SUMIFS(SF_Output!$T$1:$T$400,SF_Output!$AC$1:$AC$400,_xlfn.TEXTJOIN(",",TRUE,$B282:$E282),SF_Output!$Q$1:$Q$400,"yearly")/R282))))</f>
        <v/>
      </c>
      <c r="T282" s="6" t="str">
        <f t="shared" si="75"/>
        <v/>
      </c>
      <c r="V282" s="6" t="str" cm="1">
        <f t="array" ref="V282">_xlfn.IFS(B282="","",AND(B282&lt;&gt;"",H282=SF_Output!$Y$2,SUMIFS(SF_Output!$T$1:$T$400,SF_Output!$AC$1:$AC$400,_xlfn.TEXTJOIN(",",TRUE,B282:E282),SF_Output!$Q$1:$Q$400,"monthly")=0),(SUMIFS(SF_Output!$F$1:$F$400,SF_Output!$AC$1:$AC$400,_xlfn.TEXTJOIN(",",TRUE,B282:E282),SF_Output!$Q$1:$Q$400,"monthly")+SUMIFS(SF_Output!$G$1:$G$400,SF_Output!$AC$1:$AC$400,_xlfn.TEXTJOIN(",",TRUE,B282:E282),SF_Output!$Q$1:$Q$400,"monthly"))*H282,AND(B282&lt;&gt;"",H282=SF_Output!$Y$2,SUMIFS(SF_Output!$T$1:$T$400,SF_Output!$AC$1:$AC$400,_xlfn.TEXTJOIN(",",TRUE,B282:E282),SF_Output!$Q$1:$Q$400,"monthly")&lt;&gt;0),SUMIFS(SF_Output!$S$1:$S$400,SF_Output!$AC$1:$AC$400,_xlfn.TEXTJOIN(",",TRUE,B282:E282),SF_Output!$Q$1:$Q$400,"monthly"),AND(B282&lt;&gt;"",H282&lt;&gt;SF_Output!$Y$2),SUMIFS(SF_Output!$S$1:$S$400,SF_Output!$AC$1:$AC$400,_xlfn.TEXTJOIN(",",TRUE,B282:E282),SF_Output!$Q$1:$Q$400,"monthly"))</f>
        <v/>
      </c>
      <c r="W282" s="112" t="str" cm="1">
        <f t="array" ref="W282">_xlfn.IFS(OR(B282=0,B282="",V282=0),"",AF282&lt;&gt;"exclusion",MAX($W$9,$W$7,(-(SUMIFS(SF_Output!$T$1:$T$400,SF_Output!$AC$1:$AC$400,_xlfn.TEXTJOIN(",",TRUE,$B282:$E282),SF_Output!$Q$1:$Q$400,"monthly"))/V282)),AF282="exclusion",-(SUMIFS(SF_Output!$T$1:$T$400,SF_Output!$AC$1:$AC$400,_xlfn.TEXTJOIN(",",TRUE,$B282:$E282),SF_Output!$Q$1:$Q$400,"monthly"))/V282)</f>
        <v/>
      </c>
      <c r="X282" s="6" t="str" cm="1">
        <f t="array" ref="X282">IFERROR(_xlfn.IFS(V282=0,0,V282="","",W282=0,V282,OR(V282&lt;&gt;0,V282&lt;&gt;""),H282*I282),V282*(1-W282))</f>
        <v/>
      </c>
      <c r="Z282" s="6" t="str">
        <f>IFERROR(IF(B282="","",SUMIFS(Billing_Fallout!H:H,Billing_Fallout!N:N,B282)),0)</f>
        <v/>
      </c>
      <c r="AA282" s="6" t="str">
        <f t="shared" si="76"/>
        <v/>
      </c>
      <c r="AB282" s="6" t="str">
        <f>IFERROR(IF(B282="","",SUMIFS(Billing_Fallout!J:J,Billing_Fallout!N:N,B282)),0)</f>
        <v/>
      </c>
      <c r="AD282" s="6" t="str">
        <f t="shared" si="77"/>
        <v/>
      </c>
      <c r="AF282" t="str">
        <f>IFERROR(INDEX(H_Tables!$B$1:$B$1500,MATCH(INDEX(SF_Output!$J$1:$J$400,MATCH(B282,SF_Output!$M$1:$M$400,0)),H_Tables!$A$1:$A$1500,0)),"")</f>
        <v/>
      </c>
      <c r="AI282" s="119" t="str">
        <f t="shared" si="78"/>
        <v/>
      </c>
      <c r="AJ282" s="121">
        <f>IFERROR(INDEX(SF_Output!AD:AD,MATCH(_xlfn.TEXTJOIN(",",TRUE,B282:E282),SF_Output!AC33:AC432,0)),0.05)</f>
        <v>209</v>
      </c>
      <c r="AK282" t="str">
        <f>IF(SUMIFS(SF_Output!$F$1:$F$400,SF_Output!$AC$1:$AC$400,_xlfn.TEXTJOIN(",",TRUE,B282:E282))+SUMIFS(SF_Output!$G$1:$G$400,SF_Output!$AC$1:$AC$400,_xlfn.TEXTJOIN(",",TRUE,B282:E282))=0,"","PAP")</f>
        <v/>
      </c>
      <c r="AL282" s="35" t="str">
        <f t="shared" si="79"/>
        <v/>
      </c>
      <c r="AQ282" s="35"/>
      <c r="AR282" s="35" t="str" cm="1">
        <f t="array" ref="AR282">IFERROR(_xlfn.IFS(AND(E282*1=1,F282="Included"),"Change to Included",AND(E282*1=0,F282="Optional"),"Change to Optional",OR(B282="",F282="replaced"),""),"")</f>
        <v/>
      </c>
      <c r="AS282" s="35" t="str">
        <f t="shared" si="80"/>
        <v/>
      </c>
      <c r="AT282" s="35" t="str">
        <f t="shared" si="81"/>
        <v/>
      </c>
      <c r="AU282" s="35" t="str">
        <f t="shared" si="82"/>
        <v/>
      </c>
      <c r="AV282" s="35" t="str">
        <f t="shared" si="83"/>
        <v/>
      </c>
      <c r="AW282" s="35" t="str">
        <f t="shared" si="84"/>
        <v/>
      </c>
      <c r="AX282" s="35" t="str">
        <f t="shared" si="85"/>
        <v/>
      </c>
      <c r="AY282" s="35" t="str">
        <f t="shared" si="86"/>
        <v/>
      </c>
      <c r="AZ282" s="35" t="str">
        <f t="shared" si="87"/>
        <v/>
      </c>
      <c r="BA282" s="35" t="str">
        <f t="shared" si="88"/>
        <v/>
      </c>
      <c r="BB282" s="35" t="str">
        <f t="shared" si="89"/>
        <v/>
      </c>
      <c r="BC282" s="35"/>
      <c r="BE282" s="35" t="e">
        <f>INDEX(SF_Output!$AA$2:$AA$400,MATCH($B282,SF_Output!$M$2:$M$400,0))</f>
        <v>#N/A</v>
      </c>
      <c r="BF282" s="35" t="e">
        <f>INDEX(SF_Output!$AB$2:$AB$400,MATCH($B282,SF_Output!$M$2:$M$400,0))</f>
        <v>#N/A</v>
      </c>
    </row>
    <row r="283" spans="6:58" x14ac:dyDescent="0.25">
      <c r="F283" s="116" t="str">
        <f t="shared" si="72"/>
        <v/>
      </c>
      <c r="G283" t="str">
        <f>IF(B283="","",INDEX(SF_Output!$K$1:$K$400,MATCH(B283,SF_Output!$M$1:$M$400,0)))</f>
        <v/>
      </c>
      <c r="H283" t="str" cm="1">
        <f t="array" ref="H283">_xlfn.IFS(B283="","",(SUMIFS(SF_Output!$F$1:$F$400,SF_Output!$AC$1:$AC$400,_xlfn.TEXTJOIN(",",TRUE,B283:E283))+SUMIFS(SF_Output!$G$1:$G$400,SF_Output!$AC$1:$AC$400,_xlfn.TEXTJOIN(",",TRUE,B283:E283)))&lt;&gt;0,SF_Output!$Y$2,INDEX(SF_Output!$F$1:$F$400,MATCH(_xlfn.TEXTJOIN(",",TRUE,B283:E283),SF_Output!$AC$1:$AC$400,0))=0,INDEX(SF_Output!$R$1:$R$400,MATCH(_xlfn.TEXTJOIN(",",TRUE,B283:E283),SF_Output!$AC$1:$AC$400,0)))</f>
        <v/>
      </c>
      <c r="I283" s="125" t="str">
        <f>IFERROR(IF(AND(H283&gt;1,H283&lt;&gt;""),ROUND(SUMIFS(SF_Output!$S$1:$S$400,SF_Output!$AC$1:$AC$400,_xlfn.TEXTJOIN(",",TRUE,B283:E283),SF_Output!$Q$1:$Q$400,"monthly")*(1-W283)/H283,4),""),"")</f>
        <v/>
      </c>
      <c r="J283" s="6" t="str">
        <f>IF(B283="","",SUMIFS(SF_Output!$S$1:$S$400,SF_Output!$AC$1:$AC$400,_xlfn.TEXTJOIN(",",TRUE,B283:E283),SF_Output!$Q$1:$Q$400,"One Time",SF_Output!$L$1:$L$400,"license fee")+SUMIFS(SF_Output!$S$1:$S$400,SF_Output!$AC$1:$AC$400,_xlfn.TEXTJOIN(",",TRUE,B283:E283),SF_Output!$Q$1:$Q$400,"One Time",SF_Output!$L$1:$L$400,"software license")+SUMIFS(SF_Output!$S$1:$S$400,SF_Output!$AC$1:$AC$400,_xlfn.TEXTJOIN(",",TRUE,B283:E283),SF_Output!$Q$1:$Q$400,"One Time",SF_Output!$L$1:$L$400,"hardware"))</f>
        <v/>
      </c>
      <c r="K283" s="112" t="str">
        <f>IF(OR(B283=0,B283="",G283="hardware",J283=0),"",IF(AF283&lt;&gt;"exclusion",MAX(K$9,-((SUMIFS(SF_Output!$T$1:$T$400,SF_Output!$AC$1:$AC$400,_xlfn.TEXTJOIN(",",TRUE,$B283:$E283),SF_Output!$Q$1:$Q$400,"One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license"))/J283)))</f>
        <v/>
      </c>
      <c r="L283" s="6" t="str">
        <f t="shared" si="73"/>
        <v/>
      </c>
      <c r="N283" s="6" t="str">
        <f>IF(B283="","",SUMIFS(SF_Output!$S$1:$S$400,SF_Output!$AC$1:$AC$400,_xlfn.TEXTJOIN(",",TRUE,B283:E283),SF_Output!$Q$1:$Q$400,"One Time",SF_Output!$L$1:$L$400,"professional service"))</f>
        <v/>
      </c>
      <c r="O283" s="112" t="str">
        <f>IF(OR(B283=0,B283="",N283=0),"",IF(AF283&lt;&gt;"exclusion",MAX(O$9,-(SUMIFS(SF_Output!$T$1:$T$400,SF_Output!$AC$1:$AC$400,_xlfn.TEXTJOIN(",",TRUE,$B283:$E283),SF_Output!$Q$1:$Q$400,"One Time",SF_Output!$L$1:$L$400,"professional service"))/N283),-((SUMIFS(SF_Output!$T$1:$T$400,SF_Output!$AC$1:$AC$400,_xlfn.TEXTJOIN(",",TRUE,$B283:$E283),SF_Output!$Q$1:$Q$400,"One Time",SF_Output!$L$1:$L$400,"professional service")/N283))))</f>
        <v/>
      </c>
      <c r="P283" s="6" t="str">
        <f t="shared" si="74"/>
        <v/>
      </c>
      <c r="R283" s="6" t="str">
        <f>IF(B283="","",SUMIFS(SF_Output!$S$1:$S$400,SF_Output!$AC$1:$AC$400,_xlfn.TEXTJOIN(",",TRUE,B283:E283),SF_Output!$Q$1:$Q$400,"yearly")+SUMIFS(SF_Output!$S$1:$S$400,SF_Output!$AC$1:$AC$400,_xlfn.TEXTJOIN(",",TRUE,B283:E283),SF_Output!$Q$1:$Q$400,"quarterly")*4)</f>
        <v/>
      </c>
      <c r="S283" s="112" t="str">
        <f>IF(OR(B283=0,B283="",G283="hardware",R283=0),"",IF(AF283&lt;&gt;"exclusion",MAX(S$9,-(SUMIFS(SF_Output!$T$1:$T$400,SF_Output!$AC$1:$AC$400,_xlfn.TEXTJOIN(",",TRUE,$B283:$E283),SF_Output!$Q$1:$Q$400,"yearly"))/R283),-((SUMIFS(SF_Output!$T$1:$T$400,SF_Output!$AC$1:$AC$400,_xlfn.TEXTJOIN(",",TRUE,$B283:$E283),SF_Output!$Q$1:$Q$400,"yearly")/R283))))</f>
        <v/>
      </c>
      <c r="T283" s="6" t="str">
        <f t="shared" si="75"/>
        <v/>
      </c>
      <c r="V283" s="6" t="str" cm="1">
        <f t="array" ref="V283">_xlfn.IFS(B283="","",AND(B283&lt;&gt;"",H283=SF_Output!$Y$2,SUMIFS(SF_Output!$T$1:$T$400,SF_Output!$AC$1:$AC$400,_xlfn.TEXTJOIN(",",TRUE,B283:E283),SF_Output!$Q$1:$Q$400,"monthly")=0),(SUMIFS(SF_Output!$F$1:$F$400,SF_Output!$AC$1:$AC$400,_xlfn.TEXTJOIN(",",TRUE,B283:E283),SF_Output!$Q$1:$Q$400,"monthly")+SUMIFS(SF_Output!$G$1:$G$400,SF_Output!$AC$1:$AC$400,_xlfn.TEXTJOIN(",",TRUE,B283:E283),SF_Output!$Q$1:$Q$400,"monthly"))*H283,AND(B283&lt;&gt;"",H283=SF_Output!$Y$2,SUMIFS(SF_Output!$T$1:$T$400,SF_Output!$AC$1:$AC$400,_xlfn.TEXTJOIN(",",TRUE,B283:E283),SF_Output!$Q$1:$Q$400,"monthly")&lt;&gt;0),SUMIFS(SF_Output!$S$1:$S$400,SF_Output!$AC$1:$AC$400,_xlfn.TEXTJOIN(",",TRUE,B283:E283),SF_Output!$Q$1:$Q$400,"monthly"),AND(B283&lt;&gt;"",H283&lt;&gt;SF_Output!$Y$2),SUMIFS(SF_Output!$S$1:$S$400,SF_Output!$AC$1:$AC$400,_xlfn.TEXTJOIN(",",TRUE,B283:E283),SF_Output!$Q$1:$Q$400,"monthly"))</f>
        <v/>
      </c>
      <c r="W283" s="112" t="str" cm="1">
        <f t="array" ref="W283">_xlfn.IFS(OR(B283=0,B283="",V283=0),"",AF283&lt;&gt;"exclusion",MAX($W$9,$W$7,(-(SUMIFS(SF_Output!$T$1:$T$400,SF_Output!$AC$1:$AC$400,_xlfn.TEXTJOIN(",",TRUE,$B283:$E283),SF_Output!$Q$1:$Q$400,"monthly"))/V283)),AF283="exclusion",-(SUMIFS(SF_Output!$T$1:$T$400,SF_Output!$AC$1:$AC$400,_xlfn.TEXTJOIN(",",TRUE,$B283:$E283),SF_Output!$Q$1:$Q$400,"monthly"))/V283)</f>
        <v/>
      </c>
      <c r="X283" s="6" t="str" cm="1">
        <f t="array" ref="X283">IFERROR(_xlfn.IFS(V283=0,0,V283="","",W283=0,V283,OR(V283&lt;&gt;0,V283&lt;&gt;""),H283*I283),V283*(1-W283))</f>
        <v/>
      </c>
      <c r="Z283" s="6" t="str">
        <f>IFERROR(IF(B283="","",SUMIFS(Billing_Fallout!H:H,Billing_Fallout!N:N,B283)),0)</f>
        <v/>
      </c>
      <c r="AA283" s="6" t="str">
        <f t="shared" si="76"/>
        <v/>
      </c>
      <c r="AB283" s="6" t="str">
        <f>IFERROR(IF(B283="","",SUMIFS(Billing_Fallout!J:J,Billing_Fallout!N:N,B283)),0)</f>
        <v/>
      </c>
      <c r="AD283" s="6" t="str">
        <f t="shared" si="77"/>
        <v/>
      </c>
      <c r="AF283" t="str">
        <f>IFERROR(INDEX(H_Tables!$B$1:$B$1500,MATCH(INDEX(SF_Output!$J$1:$J$400,MATCH(B283,SF_Output!$M$1:$M$400,0)),H_Tables!$A$1:$A$1500,0)),"")</f>
        <v/>
      </c>
      <c r="AI283" s="119" t="str">
        <f t="shared" si="78"/>
        <v/>
      </c>
      <c r="AJ283" s="121">
        <f>IFERROR(INDEX(SF_Output!AD:AD,MATCH(_xlfn.TEXTJOIN(",",TRUE,B283:E283),SF_Output!AC34:AC433,0)),0.05)</f>
        <v>208</v>
      </c>
      <c r="AK283" t="str">
        <f>IF(SUMIFS(SF_Output!$F$1:$F$400,SF_Output!$AC$1:$AC$400,_xlfn.TEXTJOIN(",",TRUE,B283:E283))+SUMIFS(SF_Output!$G$1:$G$400,SF_Output!$AC$1:$AC$400,_xlfn.TEXTJOIN(",",TRUE,B283:E283))=0,"","PAP")</f>
        <v/>
      </c>
      <c r="AL283" s="35" t="str">
        <f t="shared" si="79"/>
        <v/>
      </c>
      <c r="AQ283" s="35"/>
      <c r="AR283" s="35" t="str" cm="1">
        <f t="array" ref="AR283">IFERROR(_xlfn.IFS(AND(E283*1=1,F283="Included"),"Change to Included",AND(E283*1=0,F283="Optional"),"Change to Optional",OR(B283="",F283="replaced"),""),"")</f>
        <v/>
      </c>
      <c r="AS283" s="35" t="str">
        <f t="shared" si="80"/>
        <v/>
      </c>
      <c r="AT283" s="35" t="str">
        <f t="shared" si="81"/>
        <v/>
      </c>
      <c r="AU283" s="35" t="str">
        <f t="shared" si="82"/>
        <v/>
      </c>
      <c r="AV283" s="35" t="str">
        <f t="shared" si="83"/>
        <v/>
      </c>
      <c r="AW283" s="35" t="str">
        <f t="shared" si="84"/>
        <v/>
      </c>
      <c r="AX283" s="35" t="str">
        <f t="shared" si="85"/>
        <v/>
      </c>
      <c r="AY283" s="35" t="str">
        <f t="shared" si="86"/>
        <v/>
      </c>
      <c r="AZ283" s="35" t="str">
        <f t="shared" si="87"/>
        <v/>
      </c>
      <c r="BA283" s="35" t="str">
        <f t="shared" si="88"/>
        <v/>
      </c>
      <c r="BB283" s="35" t="str">
        <f t="shared" si="89"/>
        <v/>
      </c>
      <c r="BC283" s="35"/>
      <c r="BE283" s="35" t="e">
        <f>INDEX(SF_Output!$AA$2:$AA$400,MATCH($B283,SF_Output!$M$2:$M$400,0))</f>
        <v>#N/A</v>
      </c>
      <c r="BF283" s="35" t="e">
        <f>INDEX(SF_Output!$AB$2:$AB$400,MATCH($B283,SF_Output!$M$2:$M$400,0))</f>
        <v>#N/A</v>
      </c>
    </row>
    <row r="284" spans="6:58" x14ac:dyDescent="0.25">
      <c r="F284" s="116" t="str">
        <f t="shared" si="72"/>
        <v/>
      </c>
      <c r="G284" t="str">
        <f>IF(B284="","",INDEX(SF_Output!$K$1:$K$400,MATCH(B284,SF_Output!$M$1:$M$400,0)))</f>
        <v/>
      </c>
      <c r="H284" t="str" cm="1">
        <f t="array" ref="H284">_xlfn.IFS(B284="","",(SUMIFS(SF_Output!$F$1:$F$400,SF_Output!$AC$1:$AC$400,_xlfn.TEXTJOIN(",",TRUE,B284:E284))+SUMIFS(SF_Output!$G$1:$G$400,SF_Output!$AC$1:$AC$400,_xlfn.TEXTJOIN(",",TRUE,B284:E284)))&lt;&gt;0,SF_Output!$Y$2,INDEX(SF_Output!$F$1:$F$400,MATCH(_xlfn.TEXTJOIN(",",TRUE,B284:E284),SF_Output!$AC$1:$AC$400,0))=0,INDEX(SF_Output!$R$1:$R$400,MATCH(_xlfn.TEXTJOIN(",",TRUE,B284:E284),SF_Output!$AC$1:$AC$400,0)))</f>
        <v/>
      </c>
      <c r="I284" s="125" t="str">
        <f>IFERROR(IF(AND(H284&gt;1,H284&lt;&gt;""),ROUND(SUMIFS(SF_Output!$S$1:$S$400,SF_Output!$AC$1:$AC$400,_xlfn.TEXTJOIN(",",TRUE,B284:E284),SF_Output!$Q$1:$Q$400,"monthly")*(1-W284)/H284,4),""),"")</f>
        <v/>
      </c>
      <c r="J284" s="6" t="str">
        <f>IF(B284="","",SUMIFS(SF_Output!$S$1:$S$400,SF_Output!$AC$1:$AC$400,_xlfn.TEXTJOIN(",",TRUE,B284:E284),SF_Output!$Q$1:$Q$400,"One Time",SF_Output!$L$1:$L$400,"license fee")+SUMIFS(SF_Output!$S$1:$S$400,SF_Output!$AC$1:$AC$400,_xlfn.TEXTJOIN(",",TRUE,B284:E284),SF_Output!$Q$1:$Q$400,"One Time",SF_Output!$L$1:$L$400,"software license")+SUMIFS(SF_Output!$S$1:$S$400,SF_Output!$AC$1:$AC$400,_xlfn.TEXTJOIN(",",TRUE,B284:E284),SF_Output!$Q$1:$Q$400,"One Time",SF_Output!$L$1:$L$400,"hardware"))</f>
        <v/>
      </c>
      <c r="K284" s="112" t="str">
        <f>IF(OR(B284=0,B284="",G284="hardware",J284=0),"",IF(AF284&lt;&gt;"exclusion",MAX(K$9,-((SUMIFS(SF_Output!$T$1:$T$400,SF_Output!$AC$1:$AC$400,_xlfn.TEXTJOIN(",",TRUE,$B284:$E284),SF_Output!$Q$1:$Q$400,"One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license"))/J284)))</f>
        <v/>
      </c>
      <c r="L284" s="6" t="str">
        <f t="shared" si="73"/>
        <v/>
      </c>
      <c r="N284" s="6" t="str">
        <f>IF(B284="","",SUMIFS(SF_Output!$S$1:$S$400,SF_Output!$AC$1:$AC$400,_xlfn.TEXTJOIN(",",TRUE,B284:E284),SF_Output!$Q$1:$Q$400,"One Time",SF_Output!$L$1:$L$400,"professional service"))</f>
        <v/>
      </c>
      <c r="O284" s="112" t="str">
        <f>IF(OR(B284=0,B284="",N284=0),"",IF(AF284&lt;&gt;"exclusion",MAX(O$9,-(SUMIFS(SF_Output!$T$1:$T$400,SF_Output!$AC$1:$AC$400,_xlfn.TEXTJOIN(",",TRUE,$B284:$E284),SF_Output!$Q$1:$Q$400,"One Time",SF_Output!$L$1:$L$400,"professional service"))/N284),-((SUMIFS(SF_Output!$T$1:$T$400,SF_Output!$AC$1:$AC$400,_xlfn.TEXTJOIN(",",TRUE,$B284:$E284),SF_Output!$Q$1:$Q$400,"One Time",SF_Output!$L$1:$L$400,"professional service")/N284))))</f>
        <v/>
      </c>
      <c r="P284" s="6" t="str">
        <f t="shared" si="74"/>
        <v/>
      </c>
      <c r="R284" s="6" t="str">
        <f>IF(B284="","",SUMIFS(SF_Output!$S$1:$S$400,SF_Output!$AC$1:$AC$400,_xlfn.TEXTJOIN(",",TRUE,B284:E284),SF_Output!$Q$1:$Q$400,"yearly")+SUMIFS(SF_Output!$S$1:$S$400,SF_Output!$AC$1:$AC$400,_xlfn.TEXTJOIN(",",TRUE,B284:E284),SF_Output!$Q$1:$Q$400,"quarterly")*4)</f>
        <v/>
      </c>
      <c r="S284" s="112" t="str">
        <f>IF(OR(B284=0,B284="",G284="hardware",R284=0),"",IF(AF284&lt;&gt;"exclusion",MAX(S$9,-(SUMIFS(SF_Output!$T$1:$T$400,SF_Output!$AC$1:$AC$400,_xlfn.TEXTJOIN(",",TRUE,$B284:$E284),SF_Output!$Q$1:$Q$400,"yearly"))/R284),-((SUMIFS(SF_Output!$T$1:$T$400,SF_Output!$AC$1:$AC$400,_xlfn.TEXTJOIN(",",TRUE,$B284:$E284),SF_Output!$Q$1:$Q$400,"yearly")/R284))))</f>
        <v/>
      </c>
      <c r="T284" s="6" t="str">
        <f t="shared" si="75"/>
        <v/>
      </c>
      <c r="V284" s="6" t="str" cm="1">
        <f t="array" ref="V284">_xlfn.IFS(B284="","",AND(B284&lt;&gt;"",H284=SF_Output!$Y$2,SUMIFS(SF_Output!$T$1:$T$400,SF_Output!$AC$1:$AC$400,_xlfn.TEXTJOIN(",",TRUE,B284:E284),SF_Output!$Q$1:$Q$400,"monthly")=0),(SUMIFS(SF_Output!$F$1:$F$400,SF_Output!$AC$1:$AC$400,_xlfn.TEXTJOIN(",",TRUE,B284:E284),SF_Output!$Q$1:$Q$400,"monthly")+SUMIFS(SF_Output!$G$1:$G$400,SF_Output!$AC$1:$AC$400,_xlfn.TEXTJOIN(",",TRUE,B284:E284),SF_Output!$Q$1:$Q$400,"monthly"))*H284,AND(B284&lt;&gt;"",H284=SF_Output!$Y$2,SUMIFS(SF_Output!$T$1:$T$400,SF_Output!$AC$1:$AC$400,_xlfn.TEXTJOIN(",",TRUE,B284:E284),SF_Output!$Q$1:$Q$400,"monthly")&lt;&gt;0),SUMIFS(SF_Output!$S$1:$S$400,SF_Output!$AC$1:$AC$400,_xlfn.TEXTJOIN(",",TRUE,B284:E284),SF_Output!$Q$1:$Q$400,"monthly"),AND(B284&lt;&gt;"",H284&lt;&gt;SF_Output!$Y$2),SUMIFS(SF_Output!$S$1:$S$400,SF_Output!$AC$1:$AC$400,_xlfn.TEXTJOIN(",",TRUE,B284:E284),SF_Output!$Q$1:$Q$400,"monthly"))</f>
        <v/>
      </c>
      <c r="W284" s="112" t="str" cm="1">
        <f t="array" ref="W284">_xlfn.IFS(OR(B284=0,B284="",V284=0),"",AF284&lt;&gt;"exclusion",MAX($W$9,$W$7,(-(SUMIFS(SF_Output!$T$1:$T$400,SF_Output!$AC$1:$AC$400,_xlfn.TEXTJOIN(",",TRUE,$B284:$E284),SF_Output!$Q$1:$Q$400,"monthly"))/V284)),AF284="exclusion",-(SUMIFS(SF_Output!$T$1:$T$400,SF_Output!$AC$1:$AC$400,_xlfn.TEXTJOIN(",",TRUE,$B284:$E284),SF_Output!$Q$1:$Q$400,"monthly"))/V284)</f>
        <v/>
      </c>
      <c r="X284" s="6" t="str" cm="1">
        <f t="array" ref="X284">IFERROR(_xlfn.IFS(V284=0,0,V284="","",W284=0,V284,OR(V284&lt;&gt;0,V284&lt;&gt;""),H284*I284),V284*(1-W284))</f>
        <v/>
      </c>
      <c r="Z284" s="6" t="str">
        <f>IFERROR(IF(B284="","",SUMIFS(Billing_Fallout!H:H,Billing_Fallout!N:N,B284)),0)</f>
        <v/>
      </c>
      <c r="AA284" s="6" t="str">
        <f t="shared" si="76"/>
        <v/>
      </c>
      <c r="AB284" s="6" t="str">
        <f>IFERROR(IF(B284="","",SUMIFS(Billing_Fallout!J:J,Billing_Fallout!N:N,B284)),0)</f>
        <v/>
      </c>
      <c r="AD284" s="6" t="str">
        <f t="shared" si="77"/>
        <v/>
      </c>
      <c r="AF284" t="str">
        <f>IFERROR(INDEX(H_Tables!$B$1:$B$1500,MATCH(INDEX(SF_Output!$J$1:$J$400,MATCH(B284,SF_Output!$M$1:$M$400,0)),H_Tables!$A$1:$A$1500,0)),"")</f>
        <v/>
      </c>
      <c r="AI284" s="119" t="str">
        <f t="shared" si="78"/>
        <v/>
      </c>
      <c r="AJ284" s="121">
        <f>IFERROR(INDEX(SF_Output!AD:AD,MATCH(_xlfn.TEXTJOIN(",",TRUE,B284:E284),SF_Output!AC35:AC434,0)),0.05)</f>
        <v>207</v>
      </c>
      <c r="AK284" t="str">
        <f>IF(SUMIFS(SF_Output!$F$1:$F$400,SF_Output!$AC$1:$AC$400,_xlfn.TEXTJOIN(",",TRUE,B284:E284))+SUMIFS(SF_Output!$G$1:$G$400,SF_Output!$AC$1:$AC$400,_xlfn.TEXTJOIN(",",TRUE,B284:E284))=0,"","PAP")</f>
        <v/>
      </c>
      <c r="AL284" s="35" t="str">
        <f t="shared" si="79"/>
        <v/>
      </c>
      <c r="AQ284" s="35"/>
      <c r="AR284" s="35" t="str" cm="1">
        <f t="array" ref="AR284">IFERROR(_xlfn.IFS(AND(E284*1=1,F284="Included"),"Change to Included",AND(E284*1=0,F284="Optional"),"Change to Optional",OR(B284="",F284="replaced"),""),"")</f>
        <v/>
      </c>
      <c r="AS284" s="35" t="str">
        <f t="shared" si="80"/>
        <v/>
      </c>
      <c r="AT284" s="35" t="str">
        <f t="shared" si="81"/>
        <v/>
      </c>
      <c r="AU284" s="35" t="str">
        <f t="shared" si="82"/>
        <v/>
      </c>
      <c r="AV284" s="35" t="str">
        <f t="shared" si="83"/>
        <v/>
      </c>
      <c r="AW284" s="35" t="str">
        <f t="shared" si="84"/>
        <v/>
      </c>
      <c r="AX284" s="35" t="str">
        <f t="shared" si="85"/>
        <v/>
      </c>
      <c r="AY284" s="35" t="str">
        <f t="shared" si="86"/>
        <v/>
      </c>
      <c r="AZ284" s="35" t="str">
        <f t="shared" si="87"/>
        <v/>
      </c>
      <c r="BA284" s="35" t="str">
        <f t="shared" si="88"/>
        <v/>
      </c>
      <c r="BB284" s="35" t="str">
        <f t="shared" si="89"/>
        <v/>
      </c>
      <c r="BC284" s="35"/>
      <c r="BE284" s="35" t="e">
        <f>INDEX(SF_Output!$AA$2:$AA$400,MATCH($B284,SF_Output!$M$2:$M$400,0))</f>
        <v>#N/A</v>
      </c>
      <c r="BF284" s="35" t="e">
        <f>INDEX(SF_Output!$AB$2:$AB$400,MATCH($B284,SF_Output!$M$2:$M$400,0))</f>
        <v>#N/A</v>
      </c>
    </row>
    <row r="285" spans="6:58" x14ac:dyDescent="0.25">
      <c r="F285" s="116" t="str">
        <f t="shared" si="72"/>
        <v/>
      </c>
      <c r="G285" t="str">
        <f>IF(B285="","",INDEX(SF_Output!$K$1:$K$400,MATCH(B285,SF_Output!$M$1:$M$400,0)))</f>
        <v/>
      </c>
      <c r="H285" t="str" cm="1">
        <f t="array" ref="H285">_xlfn.IFS(B285="","",(SUMIFS(SF_Output!$F$1:$F$400,SF_Output!$AC$1:$AC$400,_xlfn.TEXTJOIN(",",TRUE,B285:E285))+SUMIFS(SF_Output!$G$1:$G$400,SF_Output!$AC$1:$AC$400,_xlfn.TEXTJOIN(",",TRUE,B285:E285)))&lt;&gt;0,SF_Output!$Y$2,INDEX(SF_Output!$F$1:$F$400,MATCH(_xlfn.TEXTJOIN(",",TRUE,B285:E285),SF_Output!$AC$1:$AC$400,0))=0,INDEX(SF_Output!$R$1:$R$400,MATCH(_xlfn.TEXTJOIN(",",TRUE,B285:E285),SF_Output!$AC$1:$AC$400,0)))</f>
        <v/>
      </c>
      <c r="I285" s="125" t="str">
        <f>IFERROR(IF(AND(H285&gt;1,H285&lt;&gt;""),ROUND(SUMIFS(SF_Output!$S$1:$S$400,SF_Output!$AC$1:$AC$400,_xlfn.TEXTJOIN(",",TRUE,B285:E285),SF_Output!$Q$1:$Q$400,"monthly")*(1-W285)/H285,4),""),"")</f>
        <v/>
      </c>
      <c r="J285" s="6" t="str">
        <f>IF(B285="","",SUMIFS(SF_Output!$S$1:$S$400,SF_Output!$AC$1:$AC$400,_xlfn.TEXTJOIN(",",TRUE,B285:E285),SF_Output!$Q$1:$Q$400,"One Time",SF_Output!$L$1:$L$400,"license fee")+SUMIFS(SF_Output!$S$1:$S$400,SF_Output!$AC$1:$AC$400,_xlfn.TEXTJOIN(",",TRUE,B285:E285),SF_Output!$Q$1:$Q$400,"One Time",SF_Output!$L$1:$L$400,"software license")+SUMIFS(SF_Output!$S$1:$S$400,SF_Output!$AC$1:$AC$400,_xlfn.TEXTJOIN(",",TRUE,B285:E285),SF_Output!$Q$1:$Q$400,"One Time",SF_Output!$L$1:$L$400,"hardware"))</f>
        <v/>
      </c>
      <c r="K285" s="112" t="str">
        <f>IF(OR(B285=0,B285="",G285="hardware",J285=0),"",IF(AF285&lt;&gt;"exclusion",MAX(K$9,-((SUMIFS(SF_Output!$T$1:$T$400,SF_Output!$AC$1:$AC$400,_xlfn.TEXTJOIN(",",TRUE,$B285:$E285),SF_Output!$Q$1:$Q$400,"One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license"))/J285)))</f>
        <v/>
      </c>
      <c r="L285" s="6" t="str">
        <f t="shared" si="73"/>
        <v/>
      </c>
      <c r="N285" s="6" t="str">
        <f>IF(B285="","",SUMIFS(SF_Output!$S$1:$S$400,SF_Output!$AC$1:$AC$400,_xlfn.TEXTJOIN(",",TRUE,B285:E285),SF_Output!$Q$1:$Q$400,"One Time",SF_Output!$L$1:$L$400,"professional service"))</f>
        <v/>
      </c>
      <c r="O285" s="112" t="str">
        <f>IF(OR(B285=0,B285="",N285=0),"",IF(AF285&lt;&gt;"exclusion",MAX(O$9,-(SUMIFS(SF_Output!$T$1:$T$400,SF_Output!$AC$1:$AC$400,_xlfn.TEXTJOIN(",",TRUE,$B285:$E285),SF_Output!$Q$1:$Q$400,"One Time",SF_Output!$L$1:$L$400,"professional service"))/N285),-((SUMIFS(SF_Output!$T$1:$T$400,SF_Output!$AC$1:$AC$400,_xlfn.TEXTJOIN(",",TRUE,$B285:$E285),SF_Output!$Q$1:$Q$400,"One Time",SF_Output!$L$1:$L$400,"professional service")/N285))))</f>
        <v/>
      </c>
      <c r="P285" s="6" t="str">
        <f t="shared" si="74"/>
        <v/>
      </c>
      <c r="R285" s="6" t="str">
        <f>IF(B285="","",SUMIFS(SF_Output!$S$1:$S$400,SF_Output!$AC$1:$AC$400,_xlfn.TEXTJOIN(",",TRUE,B285:E285),SF_Output!$Q$1:$Q$400,"yearly")+SUMIFS(SF_Output!$S$1:$S$400,SF_Output!$AC$1:$AC$400,_xlfn.TEXTJOIN(",",TRUE,B285:E285),SF_Output!$Q$1:$Q$400,"quarterly")*4)</f>
        <v/>
      </c>
      <c r="S285" s="112" t="str">
        <f>IF(OR(B285=0,B285="",G285="hardware",R285=0),"",IF(AF285&lt;&gt;"exclusion",MAX(S$9,-(SUMIFS(SF_Output!$T$1:$T$400,SF_Output!$AC$1:$AC$400,_xlfn.TEXTJOIN(",",TRUE,$B285:$E285),SF_Output!$Q$1:$Q$400,"yearly"))/R285),-((SUMIFS(SF_Output!$T$1:$T$400,SF_Output!$AC$1:$AC$400,_xlfn.TEXTJOIN(",",TRUE,$B285:$E285),SF_Output!$Q$1:$Q$400,"yearly")/R285))))</f>
        <v/>
      </c>
      <c r="T285" s="6" t="str">
        <f t="shared" si="75"/>
        <v/>
      </c>
      <c r="V285" s="6" t="str" cm="1">
        <f t="array" ref="V285">_xlfn.IFS(B285="","",AND(B285&lt;&gt;"",H285=SF_Output!$Y$2,SUMIFS(SF_Output!$T$1:$T$400,SF_Output!$AC$1:$AC$400,_xlfn.TEXTJOIN(",",TRUE,B285:E285),SF_Output!$Q$1:$Q$400,"monthly")=0),(SUMIFS(SF_Output!$F$1:$F$400,SF_Output!$AC$1:$AC$400,_xlfn.TEXTJOIN(",",TRUE,B285:E285),SF_Output!$Q$1:$Q$400,"monthly")+SUMIFS(SF_Output!$G$1:$G$400,SF_Output!$AC$1:$AC$400,_xlfn.TEXTJOIN(",",TRUE,B285:E285),SF_Output!$Q$1:$Q$400,"monthly"))*H285,AND(B285&lt;&gt;"",H285=SF_Output!$Y$2,SUMIFS(SF_Output!$T$1:$T$400,SF_Output!$AC$1:$AC$400,_xlfn.TEXTJOIN(",",TRUE,B285:E285),SF_Output!$Q$1:$Q$400,"monthly")&lt;&gt;0),SUMIFS(SF_Output!$S$1:$S$400,SF_Output!$AC$1:$AC$400,_xlfn.TEXTJOIN(",",TRUE,B285:E285),SF_Output!$Q$1:$Q$400,"monthly"),AND(B285&lt;&gt;"",H285&lt;&gt;SF_Output!$Y$2),SUMIFS(SF_Output!$S$1:$S$400,SF_Output!$AC$1:$AC$400,_xlfn.TEXTJOIN(",",TRUE,B285:E285),SF_Output!$Q$1:$Q$400,"monthly"))</f>
        <v/>
      </c>
      <c r="W285" s="112" t="str" cm="1">
        <f t="array" ref="W285">_xlfn.IFS(OR(B285=0,B285="",V285=0),"",AF285&lt;&gt;"exclusion",MAX($W$9,$W$7,(-(SUMIFS(SF_Output!$T$1:$T$400,SF_Output!$AC$1:$AC$400,_xlfn.TEXTJOIN(",",TRUE,$B285:$E285),SF_Output!$Q$1:$Q$400,"monthly"))/V285)),AF285="exclusion",-(SUMIFS(SF_Output!$T$1:$T$400,SF_Output!$AC$1:$AC$400,_xlfn.TEXTJOIN(",",TRUE,$B285:$E285),SF_Output!$Q$1:$Q$400,"monthly"))/V285)</f>
        <v/>
      </c>
      <c r="X285" s="6" t="str" cm="1">
        <f t="array" ref="X285">IFERROR(_xlfn.IFS(V285=0,0,V285="","",W285=0,V285,OR(V285&lt;&gt;0,V285&lt;&gt;""),H285*I285),V285*(1-W285))</f>
        <v/>
      </c>
      <c r="Z285" s="6" t="str">
        <f>IFERROR(IF(B285="","",SUMIFS(Billing_Fallout!H:H,Billing_Fallout!N:N,B285)),0)</f>
        <v/>
      </c>
      <c r="AA285" s="6" t="str">
        <f t="shared" si="76"/>
        <v/>
      </c>
      <c r="AB285" s="6" t="str">
        <f>IFERROR(IF(B285="","",SUMIFS(Billing_Fallout!J:J,Billing_Fallout!N:N,B285)),0)</f>
        <v/>
      </c>
      <c r="AD285" s="6" t="str">
        <f t="shared" si="77"/>
        <v/>
      </c>
      <c r="AF285" t="str">
        <f>IFERROR(INDEX(H_Tables!$B$1:$B$1500,MATCH(INDEX(SF_Output!$J$1:$J$400,MATCH(B285,SF_Output!$M$1:$M$400,0)),H_Tables!$A$1:$A$1500,0)),"")</f>
        <v/>
      </c>
      <c r="AI285" s="119" t="str">
        <f t="shared" si="78"/>
        <v/>
      </c>
      <c r="AJ285" s="121">
        <f>IFERROR(INDEX(SF_Output!AD:AD,MATCH(_xlfn.TEXTJOIN(",",TRUE,B285:E285),SF_Output!AC36:AC435,0)),0.05)</f>
        <v>206</v>
      </c>
      <c r="AK285" t="str">
        <f>IF(SUMIFS(SF_Output!$F$1:$F$400,SF_Output!$AC$1:$AC$400,_xlfn.TEXTJOIN(",",TRUE,B285:E285))+SUMIFS(SF_Output!$G$1:$G$400,SF_Output!$AC$1:$AC$400,_xlfn.TEXTJOIN(",",TRUE,B285:E285))=0,"","PAP")</f>
        <v/>
      </c>
      <c r="AL285" s="35" t="str">
        <f t="shared" si="79"/>
        <v/>
      </c>
      <c r="AQ285" s="35"/>
      <c r="AR285" s="35" t="str" cm="1">
        <f t="array" ref="AR285">IFERROR(_xlfn.IFS(AND(E285*1=1,F285="Included"),"Change to Included",AND(E285*1=0,F285="Optional"),"Change to Optional",OR(B285="",F285="replaced"),""),"")</f>
        <v/>
      </c>
      <c r="AS285" s="35" t="str">
        <f t="shared" si="80"/>
        <v/>
      </c>
      <c r="AT285" s="35" t="str">
        <f t="shared" si="81"/>
        <v/>
      </c>
      <c r="AU285" s="35" t="str">
        <f t="shared" si="82"/>
        <v/>
      </c>
      <c r="AV285" s="35" t="str">
        <f t="shared" si="83"/>
        <v/>
      </c>
      <c r="AW285" s="35" t="str">
        <f t="shared" si="84"/>
        <v/>
      </c>
      <c r="AX285" s="35" t="str">
        <f t="shared" si="85"/>
        <v/>
      </c>
      <c r="AY285" s="35" t="str">
        <f t="shared" si="86"/>
        <v/>
      </c>
      <c r="AZ285" s="35" t="str">
        <f t="shared" si="87"/>
        <v/>
      </c>
      <c r="BA285" s="35" t="str">
        <f t="shared" si="88"/>
        <v/>
      </c>
      <c r="BB285" s="35" t="str">
        <f t="shared" si="89"/>
        <v/>
      </c>
      <c r="BC285" s="35"/>
      <c r="BE285" s="35" t="e">
        <f>INDEX(SF_Output!$AA$2:$AA$400,MATCH($B285,SF_Output!$M$2:$M$400,0))</f>
        <v>#N/A</v>
      </c>
      <c r="BF285" s="35" t="e">
        <f>INDEX(SF_Output!$AB$2:$AB$400,MATCH($B285,SF_Output!$M$2:$M$400,0))</f>
        <v>#N/A</v>
      </c>
    </row>
    <row r="286" spans="6:58" x14ac:dyDescent="0.25">
      <c r="F286" s="116" t="str">
        <f t="shared" si="72"/>
        <v/>
      </c>
      <c r="G286" t="str">
        <f>IF(B286="","",INDEX(SF_Output!$K$1:$K$400,MATCH(B286,SF_Output!$M$1:$M$400,0)))</f>
        <v/>
      </c>
      <c r="H286" t="str" cm="1">
        <f t="array" ref="H286">_xlfn.IFS(B286="","",(SUMIFS(SF_Output!$F$1:$F$400,SF_Output!$AC$1:$AC$400,_xlfn.TEXTJOIN(",",TRUE,B286:E286))+SUMIFS(SF_Output!$G$1:$G$400,SF_Output!$AC$1:$AC$400,_xlfn.TEXTJOIN(",",TRUE,B286:E286)))&lt;&gt;0,SF_Output!$Y$2,INDEX(SF_Output!$F$1:$F$400,MATCH(_xlfn.TEXTJOIN(",",TRUE,B286:E286),SF_Output!$AC$1:$AC$400,0))=0,INDEX(SF_Output!$R$1:$R$400,MATCH(_xlfn.TEXTJOIN(",",TRUE,B286:E286),SF_Output!$AC$1:$AC$400,0)))</f>
        <v/>
      </c>
      <c r="I286" s="125" t="str">
        <f>IFERROR(IF(AND(H286&gt;1,H286&lt;&gt;""),ROUND(SUMIFS(SF_Output!$S$1:$S$400,SF_Output!$AC$1:$AC$400,_xlfn.TEXTJOIN(",",TRUE,B286:E286),SF_Output!$Q$1:$Q$400,"monthly")*(1-W286)/H286,4),""),"")</f>
        <v/>
      </c>
      <c r="J286" s="6" t="str">
        <f>IF(B286="","",SUMIFS(SF_Output!$S$1:$S$400,SF_Output!$AC$1:$AC$400,_xlfn.TEXTJOIN(",",TRUE,B286:E286),SF_Output!$Q$1:$Q$400,"One Time",SF_Output!$L$1:$L$400,"license fee")+SUMIFS(SF_Output!$S$1:$S$400,SF_Output!$AC$1:$AC$400,_xlfn.TEXTJOIN(",",TRUE,B286:E286),SF_Output!$Q$1:$Q$400,"One Time",SF_Output!$L$1:$L$400,"software license")+SUMIFS(SF_Output!$S$1:$S$400,SF_Output!$AC$1:$AC$400,_xlfn.TEXTJOIN(",",TRUE,B286:E286),SF_Output!$Q$1:$Q$400,"One Time",SF_Output!$L$1:$L$400,"hardware"))</f>
        <v/>
      </c>
      <c r="K286" s="112" t="str">
        <f>IF(OR(B286=0,B286="",G286="hardware",J286=0),"",IF(AF286&lt;&gt;"exclusion",MAX(K$9,-((SUMIFS(SF_Output!$T$1:$T$400,SF_Output!$AC$1:$AC$400,_xlfn.TEXTJOIN(",",TRUE,$B286:$E286),SF_Output!$Q$1:$Q$400,"One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license"))/J286)))</f>
        <v/>
      </c>
      <c r="L286" s="6" t="str">
        <f t="shared" si="73"/>
        <v/>
      </c>
      <c r="N286" s="6" t="str">
        <f>IF(B286="","",SUMIFS(SF_Output!$S$1:$S$400,SF_Output!$AC$1:$AC$400,_xlfn.TEXTJOIN(",",TRUE,B286:E286),SF_Output!$Q$1:$Q$400,"One Time",SF_Output!$L$1:$L$400,"professional service"))</f>
        <v/>
      </c>
      <c r="O286" s="112" t="str">
        <f>IF(OR(B286=0,B286="",N286=0),"",IF(AF286&lt;&gt;"exclusion",MAX(O$9,-(SUMIFS(SF_Output!$T$1:$T$400,SF_Output!$AC$1:$AC$400,_xlfn.TEXTJOIN(",",TRUE,$B286:$E286),SF_Output!$Q$1:$Q$400,"One Time",SF_Output!$L$1:$L$400,"professional service"))/N286),-((SUMIFS(SF_Output!$T$1:$T$400,SF_Output!$AC$1:$AC$400,_xlfn.TEXTJOIN(",",TRUE,$B286:$E286),SF_Output!$Q$1:$Q$400,"One Time",SF_Output!$L$1:$L$400,"professional service")/N286))))</f>
        <v/>
      </c>
      <c r="P286" s="6" t="str">
        <f t="shared" si="74"/>
        <v/>
      </c>
      <c r="R286" s="6" t="str">
        <f>IF(B286="","",SUMIFS(SF_Output!$S$1:$S$400,SF_Output!$AC$1:$AC$400,_xlfn.TEXTJOIN(",",TRUE,B286:E286),SF_Output!$Q$1:$Q$400,"yearly")+SUMIFS(SF_Output!$S$1:$S$400,SF_Output!$AC$1:$AC$400,_xlfn.TEXTJOIN(",",TRUE,B286:E286),SF_Output!$Q$1:$Q$400,"quarterly")*4)</f>
        <v/>
      </c>
      <c r="S286" s="112" t="str">
        <f>IF(OR(B286=0,B286="",G286="hardware",R286=0),"",IF(AF286&lt;&gt;"exclusion",MAX(S$9,-(SUMIFS(SF_Output!$T$1:$T$400,SF_Output!$AC$1:$AC$400,_xlfn.TEXTJOIN(",",TRUE,$B286:$E286),SF_Output!$Q$1:$Q$400,"yearly"))/R286),-((SUMIFS(SF_Output!$T$1:$T$400,SF_Output!$AC$1:$AC$400,_xlfn.TEXTJOIN(",",TRUE,$B286:$E286),SF_Output!$Q$1:$Q$400,"yearly")/R286))))</f>
        <v/>
      </c>
      <c r="T286" s="6" t="str">
        <f t="shared" si="75"/>
        <v/>
      </c>
      <c r="V286" s="6" t="str" cm="1">
        <f t="array" ref="V286">_xlfn.IFS(B286="","",AND(B286&lt;&gt;"",H286=SF_Output!$Y$2,SUMIFS(SF_Output!$T$1:$T$400,SF_Output!$AC$1:$AC$400,_xlfn.TEXTJOIN(",",TRUE,B286:E286),SF_Output!$Q$1:$Q$400,"monthly")=0),(SUMIFS(SF_Output!$F$1:$F$400,SF_Output!$AC$1:$AC$400,_xlfn.TEXTJOIN(",",TRUE,B286:E286),SF_Output!$Q$1:$Q$400,"monthly")+SUMIFS(SF_Output!$G$1:$G$400,SF_Output!$AC$1:$AC$400,_xlfn.TEXTJOIN(",",TRUE,B286:E286),SF_Output!$Q$1:$Q$400,"monthly"))*H286,AND(B286&lt;&gt;"",H286=SF_Output!$Y$2,SUMIFS(SF_Output!$T$1:$T$400,SF_Output!$AC$1:$AC$400,_xlfn.TEXTJOIN(",",TRUE,B286:E286),SF_Output!$Q$1:$Q$400,"monthly")&lt;&gt;0),SUMIFS(SF_Output!$S$1:$S$400,SF_Output!$AC$1:$AC$400,_xlfn.TEXTJOIN(",",TRUE,B286:E286),SF_Output!$Q$1:$Q$400,"monthly"),AND(B286&lt;&gt;"",H286&lt;&gt;SF_Output!$Y$2),SUMIFS(SF_Output!$S$1:$S$400,SF_Output!$AC$1:$AC$400,_xlfn.TEXTJOIN(",",TRUE,B286:E286),SF_Output!$Q$1:$Q$400,"monthly"))</f>
        <v/>
      </c>
      <c r="W286" s="112" t="str" cm="1">
        <f t="array" ref="W286">_xlfn.IFS(OR(B286=0,B286="",V286=0),"",AF286&lt;&gt;"exclusion",MAX($W$9,$W$7,(-(SUMIFS(SF_Output!$T$1:$T$400,SF_Output!$AC$1:$AC$400,_xlfn.TEXTJOIN(",",TRUE,$B286:$E286),SF_Output!$Q$1:$Q$400,"monthly"))/V286)),AF286="exclusion",-(SUMIFS(SF_Output!$T$1:$T$400,SF_Output!$AC$1:$AC$400,_xlfn.TEXTJOIN(",",TRUE,$B286:$E286),SF_Output!$Q$1:$Q$400,"monthly"))/V286)</f>
        <v/>
      </c>
      <c r="X286" s="6" t="str" cm="1">
        <f t="array" ref="X286">IFERROR(_xlfn.IFS(V286=0,0,V286="","",W286=0,V286,OR(V286&lt;&gt;0,V286&lt;&gt;""),H286*I286),V286*(1-W286))</f>
        <v/>
      </c>
      <c r="Z286" s="6" t="str">
        <f>IFERROR(IF(B286="","",SUMIFS(Billing_Fallout!H:H,Billing_Fallout!N:N,B286)),0)</f>
        <v/>
      </c>
      <c r="AA286" s="6" t="str">
        <f t="shared" si="76"/>
        <v/>
      </c>
      <c r="AB286" s="6" t="str">
        <f>IFERROR(IF(B286="","",SUMIFS(Billing_Fallout!J:J,Billing_Fallout!N:N,B286)),0)</f>
        <v/>
      </c>
      <c r="AD286" s="6" t="str">
        <f t="shared" si="77"/>
        <v/>
      </c>
      <c r="AF286" t="str">
        <f>IFERROR(INDEX(H_Tables!$B$1:$B$1500,MATCH(INDEX(SF_Output!$J$1:$J$400,MATCH(B286,SF_Output!$M$1:$M$400,0)),H_Tables!$A$1:$A$1500,0)),"")</f>
        <v/>
      </c>
      <c r="AI286" s="119" t="str">
        <f t="shared" si="78"/>
        <v/>
      </c>
      <c r="AJ286" s="121">
        <f>IFERROR(INDEX(SF_Output!AD:AD,MATCH(_xlfn.TEXTJOIN(",",TRUE,B286:E286),SF_Output!AC37:AC436,0)),0.05)</f>
        <v>205</v>
      </c>
      <c r="AK286" t="str">
        <f>IF(SUMIFS(SF_Output!$F$1:$F$400,SF_Output!$AC$1:$AC$400,_xlfn.TEXTJOIN(",",TRUE,B286:E286))+SUMIFS(SF_Output!$G$1:$G$400,SF_Output!$AC$1:$AC$400,_xlfn.TEXTJOIN(",",TRUE,B286:E286))=0,"","PAP")</f>
        <v/>
      </c>
      <c r="AL286" s="35" t="str">
        <f t="shared" si="79"/>
        <v/>
      </c>
      <c r="AQ286" s="35"/>
      <c r="AR286" s="35" t="str" cm="1">
        <f t="array" ref="AR286">IFERROR(_xlfn.IFS(AND(E286*1=1,F286="Included"),"Change to Included",AND(E286*1=0,F286="Optional"),"Change to Optional",OR(B286="",F286="replaced"),""),"")</f>
        <v/>
      </c>
      <c r="AS286" s="35" t="str">
        <f t="shared" si="80"/>
        <v/>
      </c>
      <c r="AT286" s="35" t="str">
        <f t="shared" si="81"/>
        <v/>
      </c>
      <c r="AU286" s="35" t="str">
        <f t="shared" si="82"/>
        <v/>
      </c>
      <c r="AV286" s="35" t="str">
        <f t="shared" si="83"/>
        <v/>
      </c>
      <c r="AW286" s="35" t="str">
        <f t="shared" si="84"/>
        <v/>
      </c>
      <c r="AX286" s="35" t="str">
        <f t="shared" si="85"/>
        <v/>
      </c>
      <c r="AY286" s="35" t="str">
        <f t="shared" si="86"/>
        <v/>
      </c>
      <c r="AZ286" s="35" t="str">
        <f t="shared" si="87"/>
        <v/>
      </c>
      <c r="BA286" s="35" t="str">
        <f t="shared" si="88"/>
        <v/>
      </c>
      <c r="BB286" s="35" t="str">
        <f t="shared" si="89"/>
        <v/>
      </c>
      <c r="BC286" s="35"/>
      <c r="BE286" s="35" t="e">
        <f>INDEX(SF_Output!$AA$2:$AA$400,MATCH($B286,SF_Output!$M$2:$M$400,0))</f>
        <v>#N/A</v>
      </c>
      <c r="BF286" s="35" t="e">
        <f>INDEX(SF_Output!$AB$2:$AB$400,MATCH($B286,SF_Output!$M$2:$M$400,0))</f>
        <v>#N/A</v>
      </c>
    </row>
    <row r="287" spans="6:58" x14ac:dyDescent="0.25">
      <c r="F287" s="116" t="str">
        <f t="shared" si="72"/>
        <v/>
      </c>
      <c r="G287" t="str">
        <f>IF(B287="","",INDEX(SF_Output!$K$1:$K$400,MATCH(B287,SF_Output!$M$1:$M$400,0)))</f>
        <v/>
      </c>
      <c r="H287" t="str" cm="1">
        <f t="array" ref="H287">_xlfn.IFS(B287="","",(SUMIFS(SF_Output!$F$1:$F$400,SF_Output!$AC$1:$AC$400,_xlfn.TEXTJOIN(",",TRUE,B287:E287))+SUMIFS(SF_Output!$G$1:$G$400,SF_Output!$AC$1:$AC$400,_xlfn.TEXTJOIN(",",TRUE,B287:E287)))&lt;&gt;0,SF_Output!$Y$2,INDEX(SF_Output!$F$1:$F$400,MATCH(_xlfn.TEXTJOIN(",",TRUE,B287:E287),SF_Output!$AC$1:$AC$400,0))=0,INDEX(SF_Output!$R$1:$R$400,MATCH(_xlfn.TEXTJOIN(",",TRUE,B287:E287),SF_Output!$AC$1:$AC$400,0)))</f>
        <v/>
      </c>
      <c r="I287" s="125" t="str">
        <f>IFERROR(IF(AND(H287&gt;1,H287&lt;&gt;""),ROUND(SUMIFS(SF_Output!$S$1:$S$400,SF_Output!$AC$1:$AC$400,_xlfn.TEXTJOIN(",",TRUE,B287:E287),SF_Output!$Q$1:$Q$400,"monthly")*(1-W287)/H287,4),""),"")</f>
        <v/>
      </c>
      <c r="J287" s="6" t="str">
        <f>IF(B287="","",SUMIFS(SF_Output!$S$1:$S$400,SF_Output!$AC$1:$AC$400,_xlfn.TEXTJOIN(",",TRUE,B287:E287),SF_Output!$Q$1:$Q$400,"One Time",SF_Output!$L$1:$L$400,"license fee")+SUMIFS(SF_Output!$S$1:$S$400,SF_Output!$AC$1:$AC$400,_xlfn.TEXTJOIN(",",TRUE,B287:E287),SF_Output!$Q$1:$Q$400,"One Time",SF_Output!$L$1:$L$400,"software license")+SUMIFS(SF_Output!$S$1:$S$400,SF_Output!$AC$1:$AC$400,_xlfn.TEXTJOIN(",",TRUE,B287:E287),SF_Output!$Q$1:$Q$400,"One Time",SF_Output!$L$1:$L$400,"hardware"))</f>
        <v/>
      </c>
      <c r="K287" s="112" t="str">
        <f>IF(OR(B287=0,B287="",G287="hardware",J287=0),"",IF(AF287&lt;&gt;"exclusion",MAX(K$9,-((SUMIFS(SF_Output!$T$1:$T$400,SF_Output!$AC$1:$AC$400,_xlfn.TEXTJOIN(",",TRUE,$B287:$E287),SF_Output!$Q$1:$Q$400,"One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license"))/J287)))</f>
        <v/>
      </c>
      <c r="L287" s="6" t="str">
        <f t="shared" si="73"/>
        <v/>
      </c>
      <c r="N287" s="6" t="str">
        <f>IF(B287="","",SUMIFS(SF_Output!$S$1:$S$400,SF_Output!$AC$1:$AC$400,_xlfn.TEXTJOIN(",",TRUE,B287:E287),SF_Output!$Q$1:$Q$400,"One Time",SF_Output!$L$1:$L$400,"professional service"))</f>
        <v/>
      </c>
      <c r="O287" s="112" t="str">
        <f>IF(OR(B287=0,B287="",N287=0),"",IF(AF287&lt;&gt;"exclusion",MAX(O$9,-(SUMIFS(SF_Output!$T$1:$T$400,SF_Output!$AC$1:$AC$400,_xlfn.TEXTJOIN(",",TRUE,$B287:$E287),SF_Output!$Q$1:$Q$400,"One Time",SF_Output!$L$1:$L$400,"professional service"))/N287),-((SUMIFS(SF_Output!$T$1:$T$400,SF_Output!$AC$1:$AC$400,_xlfn.TEXTJOIN(",",TRUE,$B287:$E287),SF_Output!$Q$1:$Q$400,"One Time",SF_Output!$L$1:$L$400,"professional service")/N287))))</f>
        <v/>
      </c>
      <c r="P287" s="6" t="str">
        <f t="shared" si="74"/>
        <v/>
      </c>
      <c r="R287" s="6" t="str">
        <f>IF(B287="","",SUMIFS(SF_Output!$S$1:$S$400,SF_Output!$AC$1:$AC$400,_xlfn.TEXTJOIN(",",TRUE,B287:E287),SF_Output!$Q$1:$Q$400,"yearly")+SUMIFS(SF_Output!$S$1:$S$400,SF_Output!$AC$1:$AC$400,_xlfn.TEXTJOIN(",",TRUE,B287:E287),SF_Output!$Q$1:$Q$400,"quarterly")*4)</f>
        <v/>
      </c>
      <c r="S287" s="112" t="str">
        <f>IF(OR(B287=0,B287="",G287="hardware",R287=0),"",IF(AF287&lt;&gt;"exclusion",MAX(S$9,-(SUMIFS(SF_Output!$T$1:$T$400,SF_Output!$AC$1:$AC$400,_xlfn.TEXTJOIN(",",TRUE,$B287:$E287),SF_Output!$Q$1:$Q$400,"yearly"))/R287),-((SUMIFS(SF_Output!$T$1:$T$400,SF_Output!$AC$1:$AC$400,_xlfn.TEXTJOIN(",",TRUE,$B287:$E287),SF_Output!$Q$1:$Q$400,"yearly")/R287))))</f>
        <v/>
      </c>
      <c r="T287" s="6" t="str">
        <f t="shared" si="75"/>
        <v/>
      </c>
      <c r="V287" s="6" t="str" cm="1">
        <f t="array" ref="V287">_xlfn.IFS(B287="","",AND(B287&lt;&gt;"",H287=SF_Output!$Y$2,SUMIFS(SF_Output!$T$1:$T$400,SF_Output!$AC$1:$AC$400,_xlfn.TEXTJOIN(",",TRUE,B287:E287),SF_Output!$Q$1:$Q$400,"monthly")=0),(SUMIFS(SF_Output!$F$1:$F$400,SF_Output!$AC$1:$AC$400,_xlfn.TEXTJOIN(",",TRUE,B287:E287),SF_Output!$Q$1:$Q$400,"monthly")+SUMIFS(SF_Output!$G$1:$G$400,SF_Output!$AC$1:$AC$400,_xlfn.TEXTJOIN(",",TRUE,B287:E287),SF_Output!$Q$1:$Q$400,"monthly"))*H287,AND(B287&lt;&gt;"",H287=SF_Output!$Y$2,SUMIFS(SF_Output!$T$1:$T$400,SF_Output!$AC$1:$AC$400,_xlfn.TEXTJOIN(",",TRUE,B287:E287),SF_Output!$Q$1:$Q$400,"monthly")&lt;&gt;0),SUMIFS(SF_Output!$S$1:$S$400,SF_Output!$AC$1:$AC$400,_xlfn.TEXTJOIN(",",TRUE,B287:E287),SF_Output!$Q$1:$Q$400,"monthly"),AND(B287&lt;&gt;"",H287&lt;&gt;SF_Output!$Y$2),SUMIFS(SF_Output!$S$1:$S$400,SF_Output!$AC$1:$AC$400,_xlfn.TEXTJOIN(",",TRUE,B287:E287),SF_Output!$Q$1:$Q$400,"monthly"))</f>
        <v/>
      </c>
      <c r="W287" s="112" t="str" cm="1">
        <f t="array" ref="W287">_xlfn.IFS(OR(B287=0,B287="",V287=0),"",AF287&lt;&gt;"exclusion",MAX($W$9,$W$7,(-(SUMIFS(SF_Output!$T$1:$T$400,SF_Output!$AC$1:$AC$400,_xlfn.TEXTJOIN(",",TRUE,$B287:$E287),SF_Output!$Q$1:$Q$400,"monthly"))/V287)),AF287="exclusion",-(SUMIFS(SF_Output!$T$1:$T$400,SF_Output!$AC$1:$AC$400,_xlfn.TEXTJOIN(",",TRUE,$B287:$E287),SF_Output!$Q$1:$Q$400,"monthly"))/V287)</f>
        <v/>
      </c>
      <c r="X287" s="6" t="str" cm="1">
        <f t="array" ref="X287">IFERROR(_xlfn.IFS(V287=0,0,V287="","",W287=0,V287,OR(V287&lt;&gt;0,V287&lt;&gt;""),H287*I287),V287*(1-W287))</f>
        <v/>
      </c>
      <c r="Z287" s="6" t="str">
        <f>IFERROR(IF(B287="","",SUMIFS(Billing_Fallout!H:H,Billing_Fallout!N:N,B287)),0)</f>
        <v/>
      </c>
      <c r="AA287" s="6" t="str">
        <f t="shared" si="76"/>
        <v/>
      </c>
      <c r="AB287" s="6" t="str">
        <f>IFERROR(IF(B287="","",SUMIFS(Billing_Fallout!J:J,Billing_Fallout!N:N,B287)),0)</f>
        <v/>
      </c>
      <c r="AD287" s="6" t="str">
        <f t="shared" si="77"/>
        <v/>
      </c>
      <c r="AF287" t="str">
        <f>IFERROR(INDEX(H_Tables!$B$1:$B$1500,MATCH(INDEX(SF_Output!$J$1:$J$400,MATCH(B287,SF_Output!$M$1:$M$400,0)),H_Tables!$A$1:$A$1500,0)),"")</f>
        <v/>
      </c>
      <c r="AI287" s="119" t="str">
        <f t="shared" si="78"/>
        <v/>
      </c>
      <c r="AJ287" s="121">
        <f>IFERROR(INDEX(SF_Output!AD:AD,MATCH(_xlfn.TEXTJOIN(",",TRUE,B287:E287),SF_Output!AC38:AC437,0)),0.05)</f>
        <v>204</v>
      </c>
      <c r="AK287" t="str">
        <f>IF(SUMIFS(SF_Output!$F$1:$F$400,SF_Output!$AC$1:$AC$400,_xlfn.TEXTJOIN(",",TRUE,B287:E287))+SUMIFS(SF_Output!$G$1:$G$400,SF_Output!$AC$1:$AC$400,_xlfn.TEXTJOIN(",",TRUE,B287:E287))=0,"","PAP")</f>
        <v/>
      </c>
      <c r="AL287" s="35" t="str">
        <f t="shared" si="79"/>
        <v/>
      </c>
      <c r="AQ287" s="35"/>
      <c r="AR287" s="35" t="str" cm="1">
        <f t="array" ref="AR287">IFERROR(_xlfn.IFS(AND(E287*1=1,F287="Included"),"Change to Included",AND(E287*1=0,F287="Optional"),"Change to Optional",OR(B287="",F287="replaced"),""),"")</f>
        <v/>
      </c>
      <c r="AS287" s="35" t="str">
        <f t="shared" si="80"/>
        <v/>
      </c>
      <c r="AT287" s="35" t="str">
        <f t="shared" si="81"/>
        <v/>
      </c>
      <c r="AU287" s="35" t="str">
        <f t="shared" si="82"/>
        <v/>
      </c>
      <c r="AV287" s="35" t="str">
        <f t="shared" si="83"/>
        <v/>
      </c>
      <c r="AW287" s="35" t="str">
        <f t="shared" si="84"/>
        <v/>
      </c>
      <c r="AX287" s="35" t="str">
        <f t="shared" si="85"/>
        <v/>
      </c>
      <c r="AY287" s="35" t="str">
        <f t="shared" si="86"/>
        <v/>
      </c>
      <c r="AZ287" s="35" t="str">
        <f t="shared" si="87"/>
        <v/>
      </c>
      <c r="BA287" s="35" t="str">
        <f t="shared" si="88"/>
        <v/>
      </c>
      <c r="BB287" s="35" t="str">
        <f t="shared" si="89"/>
        <v/>
      </c>
      <c r="BC287" s="35"/>
      <c r="BE287" s="35" t="e">
        <f>INDEX(SF_Output!$AA$2:$AA$400,MATCH($B287,SF_Output!$M$2:$M$400,0))</f>
        <v>#N/A</v>
      </c>
      <c r="BF287" s="35" t="e">
        <f>INDEX(SF_Output!$AB$2:$AB$400,MATCH($B287,SF_Output!$M$2:$M$400,0))</f>
        <v>#N/A</v>
      </c>
    </row>
    <row r="288" spans="6:58" x14ac:dyDescent="0.25">
      <c r="F288" s="116" t="str">
        <f t="shared" si="72"/>
        <v/>
      </c>
      <c r="G288" t="str">
        <f>IF(B288="","",INDEX(SF_Output!$K$1:$K$400,MATCH(B288,SF_Output!$M$1:$M$400,0)))</f>
        <v/>
      </c>
      <c r="H288" t="str" cm="1">
        <f t="array" ref="H288">_xlfn.IFS(B288="","",(SUMIFS(SF_Output!$F$1:$F$400,SF_Output!$AC$1:$AC$400,_xlfn.TEXTJOIN(",",TRUE,B288:E288))+SUMIFS(SF_Output!$G$1:$G$400,SF_Output!$AC$1:$AC$400,_xlfn.TEXTJOIN(",",TRUE,B288:E288)))&lt;&gt;0,SF_Output!$Y$2,INDEX(SF_Output!$F$1:$F$400,MATCH(_xlfn.TEXTJOIN(",",TRUE,B288:E288),SF_Output!$AC$1:$AC$400,0))=0,INDEX(SF_Output!$R$1:$R$400,MATCH(_xlfn.TEXTJOIN(",",TRUE,B288:E288),SF_Output!$AC$1:$AC$400,0)))</f>
        <v/>
      </c>
      <c r="I288" s="125" t="str">
        <f>IFERROR(IF(AND(H288&gt;1,H288&lt;&gt;""),ROUND(SUMIFS(SF_Output!$S$1:$S$400,SF_Output!$AC$1:$AC$400,_xlfn.TEXTJOIN(",",TRUE,B288:E288),SF_Output!$Q$1:$Q$400,"monthly")*(1-W288)/H288,4),""),"")</f>
        <v/>
      </c>
      <c r="J288" s="6" t="str">
        <f>IF(B288="","",SUMIFS(SF_Output!$S$1:$S$400,SF_Output!$AC$1:$AC$400,_xlfn.TEXTJOIN(",",TRUE,B288:E288),SF_Output!$Q$1:$Q$400,"One Time",SF_Output!$L$1:$L$400,"license fee")+SUMIFS(SF_Output!$S$1:$S$400,SF_Output!$AC$1:$AC$400,_xlfn.TEXTJOIN(",",TRUE,B288:E288),SF_Output!$Q$1:$Q$400,"One Time",SF_Output!$L$1:$L$400,"software license")+SUMIFS(SF_Output!$S$1:$S$400,SF_Output!$AC$1:$AC$400,_xlfn.TEXTJOIN(",",TRUE,B288:E288),SF_Output!$Q$1:$Q$400,"One Time",SF_Output!$L$1:$L$400,"hardware"))</f>
        <v/>
      </c>
      <c r="K288" s="112" t="str">
        <f>IF(OR(B288=0,B288="",G288="hardware",J288=0),"",IF(AF288&lt;&gt;"exclusion",MAX(K$9,-((SUMIFS(SF_Output!$T$1:$T$400,SF_Output!$AC$1:$AC$400,_xlfn.TEXTJOIN(",",TRUE,$B288:$E288),SF_Output!$Q$1:$Q$400,"One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license"))/J288)))</f>
        <v/>
      </c>
      <c r="L288" s="6" t="str">
        <f t="shared" si="73"/>
        <v/>
      </c>
      <c r="N288" s="6" t="str">
        <f>IF(B288="","",SUMIFS(SF_Output!$S$1:$S$400,SF_Output!$AC$1:$AC$400,_xlfn.TEXTJOIN(",",TRUE,B288:E288),SF_Output!$Q$1:$Q$400,"One Time",SF_Output!$L$1:$L$400,"professional service"))</f>
        <v/>
      </c>
      <c r="O288" s="112" t="str">
        <f>IF(OR(B288=0,B288="",N288=0),"",IF(AF288&lt;&gt;"exclusion",MAX(O$9,-(SUMIFS(SF_Output!$T$1:$T$400,SF_Output!$AC$1:$AC$400,_xlfn.TEXTJOIN(",",TRUE,$B288:$E288),SF_Output!$Q$1:$Q$400,"One Time",SF_Output!$L$1:$L$400,"professional service"))/N288),-((SUMIFS(SF_Output!$T$1:$T$400,SF_Output!$AC$1:$AC$400,_xlfn.TEXTJOIN(",",TRUE,$B288:$E288),SF_Output!$Q$1:$Q$400,"One Time",SF_Output!$L$1:$L$400,"professional service")/N288))))</f>
        <v/>
      </c>
      <c r="P288" s="6" t="str">
        <f t="shared" si="74"/>
        <v/>
      </c>
      <c r="R288" s="6" t="str">
        <f>IF(B288="","",SUMIFS(SF_Output!$S$1:$S$400,SF_Output!$AC$1:$AC$400,_xlfn.TEXTJOIN(",",TRUE,B288:E288),SF_Output!$Q$1:$Q$400,"yearly")+SUMIFS(SF_Output!$S$1:$S$400,SF_Output!$AC$1:$AC$400,_xlfn.TEXTJOIN(",",TRUE,B288:E288),SF_Output!$Q$1:$Q$400,"quarterly")*4)</f>
        <v/>
      </c>
      <c r="S288" s="112" t="str">
        <f>IF(OR(B288=0,B288="",G288="hardware",R288=0),"",IF(AF288&lt;&gt;"exclusion",MAX(S$9,-(SUMIFS(SF_Output!$T$1:$T$400,SF_Output!$AC$1:$AC$400,_xlfn.TEXTJOIN(",",TRUE,$B288:$E288),SF_Output!$Q$1:$Q$400,"yearly"))/R288),-((SUMIFS(SF_Output!$T$1:$T$400,SF_Output!$AC$1:$AC$400,_xlfn.TEXTJOIN(",",TRUE,$B288:$E288),SF_Output!$Q$1:$Q$400,"yearly")/R288))))</f>
        <v/>
      </c>
      <c r="T288" s="6" t="str">
        <f t="shared" si="75"/>
        <v/>
      </c>
      <c r="V288" s="6" t="str" cm="1">
        <f t="array" ref="V288">_xlfn.IFS(B288="","",AND(B288&lt;&gt;"",H288=SF_Output!$Y$2,SUMIFS(SF_Output!$T$1:$T$400,SF_Output!$AC$1:$AC$400,_xlfn.TEXTJOIN(",",TRUE,B288:E288),SF_Output!$Q$1:$Q$400,"monthly")=0),(SUMIFS(SF_Output!$F$1:$F$400,SF_Output!$AC$1:$AC$400,_xlfn.TEXTJOIN(",",TRUE,B288:E288),SF_Output!$Q$1:$Q$400,"monthly")+SUMIFS(SF_Output!$G$1:$G$400,SF_Output!$AC$1:$AC$400,_xlfn.TEXTJOIN(",",TRUE,B288:E288),SF_Output!$Q$1:$Q$400,"monthly"))*H288,AND(B288&lt;&gt;"",H288=SF_Output!$Y$2,SUMIFS(SF_Output!$T$1:$T$400,SF_Output!$AC$1:$AC$400,_xlfn.TEXTJOIN(",",TRUE,B288:E288),SF_Output!$Q$1:$Q$400,"monthly")&lt;&gt;0),SUMIFS(SF_Output!$S$1:$S$400,SF_Output!$AC$1:$AC$400,_xlfn.TEXTJOIN(",",TRUE,B288:E288),SF_Output!$Q$1:$Q$400,"monthly"),AND(B288&lt;&gt;"",H288&lt;&gt;SF_Output!$Y$2),SUMIFS(SF_Output!$S$1:$S$400,SF_Output!$AC$1:$AC$400,_xlfn.TEXTJOIN(",",TRUE,B288:E288),SF_Output!$Q$1:$Q$400,"monthly"))</f>
        <v/>
      </c>
      <c r="W288" s="112" t="str" cm="1">
        <f t="array" ref="W288">_xlfn.IFS(OR(B288=0,B288="",V288=0),"",AF288&lt;&gt;"exclusion",MAX($W$9,$W$7,(-(SUMIFS(SF_Output!$T$1:$T$400,SF_Output!$AC$1:$AC$400,_xlfn.TEXTJOIN(",",TRUE,$B288:$E288),SF_Output!$Q$1:$Q$400,"monthly"))/V288)),AF288="exclusion",-(SUMIFS(SF_Output!$T$1:$T$400,SF_Output!$AC$1:$AC$400,_xlfn.TEXTJOIN(",",TRUE,$B288:$E288),SF_Output!$Q$1:$Q$400,"monthly"))/V288)</f>
        <v/>
      </c>
      <c r="X288" s="6" t="str" cm="1">
        <f t="array" ref="X288">IFERROR(_xlfn.IFS(V288=0,0,V288="","",W288=0,V288,OR(V288&lt;&gt;0,V288&lt;&gt;""),H288*I288),V288*(1-W288))</f>
        <v/>
      </c>
      <c r="Z288" s="6" t="str">
        <f>IFERROR(IF(B288="","",SUMIFS(Billing_Fallout!H:H,Billing_Fallout!N:N,B288)),0)</f>
        <v/>
      </c>
      <c r="AA288" s="6" t="str">
        <f t="shared" si="76"/>
        <v/>
      </c>
      <c r="AB288" s="6" t="str">
        <f>IFERROR(IF(B288="","",SUMIFS(Billing_Fallout!J:J,Billing_Fallout!N:N,B288)),0)</f>
        <v/>
      </c>
      <c r="AD288" s="6" t="str">
        <f t="shared" si="77"/>
        <v/>
      </c>
      <c r="AF288" t="str">
        <f>IFERROR(INDEX(H_Tables!$B$1:$B$1500,MATCH(INDEX(SF_Output!$J$1:$J$400,MATCH(B288,SF_Output!$M$1:$M$400,0)),H_Tables!$A$1:$A$1500,0)),"")</f>
        <v/>
      </c>
      <c r="AI288" s="119" t="str">
        <f t="shared" si="78"/>
        <v/>
      </c>
      <c r="AJ288" s="121">
        <f>IFERROR(INDEX(SF_Output!AD:AD,MATCH(_xlfn.TEXTJOIN(",",TRUE,B288:E288),SF_Output!AC39:AC438,0)),0.05)</f>
        <v>203</v>
      </c>
      <c r="AK288" t="str">
        <f>IF(SUMIFS(SF_Output!$F$1:$F$400,SF_Output!$AC$1:$AC$400,_xlfn.TEXTJOIN(",",TRUE,B288:E288))+SUMIFS(SF_Output!$G$1:$G$400,SF_Output!$AC$1:$AC$400,_xlfn.TEXTJOIN(",",TRUE,B288:E288))=0,"","PAP")</f>
        <v/>
      </c>
      <c r="AL288" s="35" t="str">
        <f t="shared" si="79"/>
        <v/>
      </c>
      <c r="AQ288" s="35"/>
      <c r="AR288" s="35" t="str" cm="1">
        <f t="array" ref="AR288">IFERROR(_xlfn.IFS(AND(E288*1=1,F288="Included"),"Change to Included",AND(E288*1=0,F288="Optional"),"Change to Optional",OR(B288="",F288="replaced"),""),"")</f>
        <v/>
      </c>
      <c r="AS288" s="35" t="str">
        <f t="shared" si="80"/>
        <v/>
      </c>
      <c r="AT288" s="35" t="str">
        <f t="shared" si="81"/>
        <v/>
      </c>
      <c r="AU288" s="35" t="str">
        <f t="shared" si="82"/>
        <v/>
      </c>
      <c r="AV288" s="35" t="str">
        <f t="shared" si="83"/>
        <v/>
      </c>
      <c r="AW288" s="35" t="str">
        <f t="shared" si="84"/>
        <v/>
      </c>
      <c r="AX288" s="35" t="str">
        <f t="shared" si="85"/>
        <v/>
      </c>
      <c r="AY288" s="35" t="str">
        <f t="shared" si="86"/>
        <v/>
      </c>
      <c r="AZ288" s="35" t="str">
        <f t="shared" si="87"/>
        <v/>
      </c>
      <c r="BA288" s="35" t="str">
        <f t="shared" si="88"/>
        <v/>
      </c>
      <c r="BB288" s="35" t="str">
        <f t="shared" si="89"/>
        <v/>
      </c>
      <c r="BC288" s="35"/>
      <c r="BE288" s="35" t="e">
        <f>INDEX(SF_Output!$AA$2:$AA$400,MATCH($B288,SF_Output!$M$2:$M$400,0))</f>
        <v>#N/A</v>
      </c>
      <c r="BF288" s="35" t="e">
        <f>INDEX(SF_Output!$AB$2:$AB$400,MATCH($B288,SF_Output!$M$2:$M$400,0))</f>
        <v>#N/A</v>
      </c>
    </row>
    <row r="289" spans="6:58" x14ac:dyDescent="0.25">
      <c r="F289" s="116" t="str">
        <f t="shared" si="72"/>
        <v/>
      </c>
      <c r="G289" t="str">
        <f>IF(B289="","",INDEX(SF_Output!$K$1:$K$400,MATCH(B289,SF_Output!$M$1:$M$400,0)))</f>
        <v/>
      </c>
      <c r="H289" t="str" cm="1">
        <f t="array" ref="H289">_xlfn.IFS(B289="","",(SUMIFS(SF_Output!$F$1:$F$400,SF_Output!$AC$1:$AC$400,_xlfn.TEXTJOIN(",",TRUE,B289:E289))+SUMIFS(SF_Output!$G$1:$G$400,SF_Output!$AC$1:$AC$400,_xlfn.TEXTJOIN(",",TRUE,B289:E289)))&lt;&gt;0,SF_Output!$Y$2,INDEX(SF_Output!$F$1:$F$400,MATCH(_xlfn.TEXTJOIN(",",TRUE,B289:E289),SF_Output!$AC$1:$AC$400,0))=0,INDEX(SF_Output!$R$1:$R$400,MATCH(_xlfn.TEXTJOIN(",",TRUE,B289:E289),SF_Output!$AC$1:$AC$400,0)))</f>
        <v/>
      </c>
      <c r="I289" s="125" t="str">
        <f>IFERROR(IF(AND(H289&gt;1,H289&lt;&gt;""),ROUND(SUMIFS(SF_Output!$S$1:$S$400,SF_Output!$AC$1:$AC$400,_xlfn.TEXTJOIN(",",TRUE,B289:E289),SF_Output!$Q$1:$Q$400,"monthly")*(1-W289)/H289,4),""),"")</f>
        <v/>
      </c>
      <c r="J289" s="6" t="str">
        <f>IF(B289="","",SUMIFS(SF_Output!$S$1:$S$400,SF_Output!$AC$1:$AC$400,_xlfn.TEXTJOIN(",",TRUE,B289:E289),SF_Output!$Q$1:$Q$400,"One Time",SF_Output!$L$1:$L$400,"license fee")+SUMIFS(SF_Output!$S$1:$S$400,SF_Output!$AC$1:$AC$400,_xlfn.TEXTJOIN(",",TRUE,B289:E289),SF_Output!$Q$1:$Q$400,"One Time",SF_Output!$L$1:$L$400,"software license")+SUMIFS(SF_Output!$S$1:$S$400,SF_Output!$AC$1:$AC$400,_xlfn.TEXTJOIN(",",TRUE,B289:E289),SF_Output!$Q$1:$Q$400,"One Time",SF_Output!$L$1:$L$400,"hardware"))</f>
        <v/>
      </c>
      <c r="K289" s="112" t="str">
        <f>IF(OR(B289=0,B289="",G289="hardware",J289=0),"",IF(AF289&lt;&gt;"exclusion",MAX(K$9,-((SUMIFS(SF_Output!$T$1:$T$400,SF_Output!$AC$1:$AC$400,_xlfn.TEXTJOIN(",",TRUE,$B289:$E289),SF_Output!$Q$1:$Q$400,"One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license"))/J289)))</f>
        <v/>
      </c>
      <c r="L289" s="6" t="str">
        <f t="shared" si="73"/>
        <v/>
      </c>
      <c r="N289" s="6" t="str">
        <f>IF(B289="","",SUMIFS(SF_Output!$S$1:$S$400,SF_Output!$AC$1:$AC$400,_xlfn.TEXTJOIN(",",TRUE,B289:E289),SF_Output!$Q$1:$Q$400,"One Time",SF_Output!$L$1:$L$400,"professional service"))</f>
        <v/>
      </c>
      <c r="O289" s="112" t="str">
        <f>IF(OR(B289=0,B289="",N289=0),"",IF(AF289&lt;&gt;"exclusion",MAX(O$9,-(SUMIFS(SF_Output!$T$1:$T$400,SF_Output!$AC$1:$AC$400,_xlfn.TEXTJOIN(",",TRUE,$B289:$E289),SF_Output!$Q$1:$Q$400,"One Time",SF_Output!$L$1:$L$400,"professional service"))/N289),-((SUMIFS(SF_Output!$T$1:$T$400,SF_Output!$AC$1:$AC$400,_xlfn.TEXTJOIN(",",TRUE,$B289:$E289),SF_Output!$Q$1:$Q$400,"One Time",SF_Output!$L$1:$L$400,"professional service")/N289))))</f>
        <v/>
      </c>
      <c r="P289" s="6" t="str">
        <f t="shared" si="74"/>
        <v/>
      </c>
      <c r="R289" s="6" t="str">
        <f>IF(B289="","",SUMIFS(SF_Output!$S$1:$S$400,SF_Output!$AC$1:$AC$400,_xlfn.TEXTJOIN(",",TRUE,B289:E289),SF_Output!$Q$1:$Q$400,"yearly")+SUMIFS(SF_Output!$S$1:$S$400,SF_Output!$AC$1:$AC$400,_xlfn.TEXTJOIN(",",TRUE,B289:E289),SF_Output!$Q$1:$Q$400,"quarterly")*4)</f>
        <v/>
      </c>
      <c r="S289" s="112" t="str">
        <f>IF(OR(B289=0,B289="",G289="hardware",R289=0),"",IF(AF289&lt;&gt;"exclusion",MAX(S$9,-(SUMIFS(SF_Output!$T$1:$T$400,SF_Output!$AC$1:$AC$400,_xlfn.TEXTJOIN(",",TRUE,$B289:$E289),SF_Output!$Q$1:$Q$400,"yearly"))/R289),-((SUMIFS(SF_Output!$T$1:$T$400,SF_Output!$AC$1:$AC$400,_xlfn.TEXTJOIN(",",TRUE,$B289:$E289),SF_Output!$Q$1:$Q$400,"yearly")/R289))))</f>
        <v/>
      </c>
      <c r="T289" s="6" t="str">
        <f t="shared" si="75"/>
        <v/>
      </c>
      <c r="V289" s="6" t="str" cm="1">
        <f t="array" ref="V289">_xlfn.IFS(B289="","",AND(B289&lt;&gt;"",H289=SF_Output!$Y$2,SUMIFS(SF_Output!$T$1:$T$400,SF_Output!$AC$1:$AC$400,_xlfn.TEXTJOIN(",",TRUE,B289:E289),SF_Output!$Q$1:$Q$400,"monthly")=0),(SUMIFS(SF_Output!$F$1:$F$400,SF_Output!$AC$1:$AC$400,_xlfn.TEXTJOIN(",",TRUE,B289:E289),SF_Output!$Q$1:$Q$400,"monthly")+SUMIFS(SF_Output!$G$1:$G$400,SF_Output!$AC$1:$AC$400,_xlfn.TEXTJOIN(",",TRUE,B289:E289),SF_Output!$Q$1:$Q$400,"monthly"))*H289,AND(B289&lt;&gt;"",H289=SF_Output!$Y$2,SUMIFS(SF_Output!$T$1:$T$400,SF_Output!$AC$1:$AC$400,_xlfn.TEXTJOIN(",",TRUE,B289:E289),SF_Output!$Q$1:$Q$400,"monthly")&lt;&gt;0),SUMIFS(SF_Output!$S$1:$S$400,SF_Output!$AC$1:$AC$400,_xlfn.TEXTJOIN(",",TRUE,B289:E289),SF_Output!$Q$1:$Q$400,"monthly"),AND(B289&lt;&gt;"",H289&lt;&gt;SF_Output!$Y$2),SUMIFS(SF_Output!$S$1:$S$400,SF_Output!$AC$1:$AC$400,_xlfn.TEXTJOIN(",",TRUE,B289:E289),SF_Output!$Q$1:$Q$400,"monthly"))</f>
        <v/>
      </c>
      <c r="W289" s="112" t="str" cm="1">
        <f t="array" ref="W289">_xlfn.IFS(OR(B289=0,B289="",V289=0),"",AF289&lt;&gt;"exclusion",MAX($W$9,$W$7,(-(SUMIFS(SF_Output!$T$1:$T$400,SF_Output!$AC$1:$AC$400,_xlfn.TEXTJOIN(",",TRUE,$B289:$E289),SF_Output!$Q$1:$Q$400,"monthly"))/V289)),AF289="exclusion",-(SUMIFS(SF_Output!$T$1:$T$400,SF_Output!$AC$1:$AC$400,_xlfn.TEXTJOIN(",",TRUE,$B289:$E289),SF_Output!$Q$1:$Q$400,"monthly"))/V289)</f>
        <v/>
      </c>
      <c r="X289" s="6" t="str" cm="1">
        <f t="array" ref="X289">IFERROR(_xlfn.IFS(V289=0,0,V289="","",W289=0,V289,OR(V289&lt;&gt;0,V289&lt;&gt;""),H289*I289),V289*(1-W289))</f>
        <v/>
      </c>
      <c r="Z289" s="6" t="str">
        <f>IFERROR(IF(B289="","",SUMIFS(Billing_Fallout!H:H,Billing_Fallout!N:N,B289)),0)</f>
        <v/>
      </c>
      <c r="AA289" s="6" t="str">
        <f t="shared" si="76"/>
        <v/>
      </c>
      <c r="AB289" s="6" t="str">
        <f>IFERROR(IF(B289="","",SUMIFS(Billing_Fallout!J:J,Billing_Fallout!N:N,B289)),0)</f>
        <v/>
      </c>
      <c r="AD289" s="6" t="str">
        <f t="shared" si="77"/>
        <v/>
      </c>
      <c r="AF289" t="str">
        <f>IFERROR(INDEX(H_Tables!$B$1:$B$1500,MATCH(INDEX(SF_Output!$J$1:$J$400,MATCH(B289,SF_Output!$M$1:$M$400,0)),H_Tables!$A$1:$A$1500,0)),"")</f>
        <v/>
      </c>
      <c r="AI289" s="119" t="str">
        <f t="shared" si="78"/>
        <v/>
      </c>
      <c r="AJ289" s="121">
        <f>IFERROR(INDEX(SF_Output!AD:AD,MATCH(_xlfn.TEXTJOIN(",",TRUE,B289:E289),SF_Output!AC40:AC439,0)),0.05)</f>
        <v>202</v>
      </c>
      <c r="AK289" t="str">
        <f>IF(SUMIFS(SF_Output!$F$1:$F$400,SF_Output!$AC$1:$AC$400,_xlfn.TEXTJOIN(",",TRUE,B289:E289))+SUMIFS(SF_Output!$G$1:$G$400,SF_Output!$AC$1:$AC$400,_xlfn.TEXTJOIN(",",TRUE,B289:E289))=0,"","PAP")</f>
        <v/>
      </c>
      <c r="AL289" s="35" t="str">
        <f t="shared" si="79"/>
        <v/>
      </c>
      <c r="AQ289" s="35"/>
      <c r="AR289" s="35" t="str" cm="1">
        <f t="array" ref="AR289">IFERROR(_xlfn.IFS(AND(E289*1=1,F289="Included"),"Change to Included",AND(E289*1=0,F289="Optional"),"Change to Optional",OR(B289="",F289="replaced"),""),"")</f>
        <v/>
      </c>
      <c r="AS289" s="35" t="str">
        <f t="shared" si="80"/>
        <v/>
      </c>
      <c r="AT289" s="35" t="str">
        <f t="shared" si="81"/>
        <v/>
      </c>
      <c r="AU289" s="35" t="str">
        <f t="shared" si="82"/>
        <v/>
      </c>
      <c r="AV289" s="35" t="str">
        <f t="shared" si="83"/>
        <v/>
      </c>
      <c r="AW289" s="35" t="str">
        <f t="shared" si="84"/>
        <v/>
      </c>
      <c r="AX289" s="35" t="str">
        <f t="shared" si="85"/>
        <v/>
      </c>
      <c r="AY289" s="35" t="str">
        <f t="shared" si="86"/>
        <v/>
      </c>
      <c r="AZ289" s="35" t="str">
        <f t="shared" si="87"/>
        <v/>
      </c>
      <c r="BA289" s="35" t="str">
        <f t="shared" si="88"/>
        <v/>
      </c>
      <c r="BB289" s="35" t="str">
        <f t="shared" si="89"/>
        <v/>
      </c>
      <c r="BC289" s="35"/>
      <c r="BE289" s="35" t="e">
        <f>INDEX(SF_Output!$AA$2:$AA$400,MATCH($B289,SF_Output!$M$2:$M$400,0))</f>
        <v>#N/A</v>
      </c>
      <c r="BF289" s="35" t="e">
        <f>INDEX(SF_Output!$AB$2:$AB$400,MATCH($B289,SF_Output!$M$2:$M$400,0))</f>
        <v>#N/A</v>
      </c>
    </row>
    <row r="290" spans="6:58" x14ac:dyDescent="0.25">
      <c r="F290" s="116" t="str">
        <f t="shared" si="72"/>
        <v/>
      </c>
      <c r="G290" t="str">
        <f>IF(B290="","",INDEX(SF_Output!$K$1:$K$400,MATCH(B290,SF_Output!$M$1:$M$400,0)))</f>
        <v/>
      </c>
      <c r="H290" t="str" cm="1">
        <f t="array" ref="H290">_xlfn.IFS(B290="","",(SUMIFS(SF_Output!$F$1:$F$400,SF_Output!$AC$1:$AC$400,_xlfn.TEXTJOIN(",",TRUE,B290:E290))+SUMIFS(SF_Output!$G$1:$G$400,SF_Output!$AC$1:$AC$400,_xlfn.TEXTJOIN(",",TRUE,B290:E290)))&lt;&gt;0,SF_Output!$Y$2,INDEX(SF_Output!$F$1:$F$400,MATCH(_xlfn.TEXTJOIN(",",TRUE,B290:E290),SF_Output!$AC$1:$AC$400,0))=0,INDEX(SF_Output!$R$1:$R$400,MATCH(_xlfn.TEXTJOIN(",",TRUE,B290:E290),SF_Output!$AC$1:$AC$400,0)))</f>
        <v/>
      </c>
      <c r="I290" s="125" t="str">
        <f>IFERROR(IF(AND(H290&gt;1,H290&lt;&gt;""),ROUND(SUMIFS(SF_Output!$S$1:$S$400,SF_Output!$AC$1:$AC$400,_xlfn.TEXTJOIN(",",TRUE,B290:E290),SF_Output!$Q$1:$Q$400,"monthly")*(1-W290)/H290,4),""),"")</f>
        <v/>
      </c>
      <c r="J290" s="6" t="str">
        <f>IF(B290="","",SUMIFS(SF_Output!$S$1:$S$400,SF_Output!$AC$1:$AC$400,_xlfn.TEXTJOIN(",",TRUE,B290:E290),SF_Output!$Q$1:$Q$400,"One Time",SF_Output!$L$1:$L$400,"license fee")+SUMIFS(SF_Output!$S$1:$S$400,SF_Output!$AC$1:$AC$400,_xlfn.TEXTJOIN(",",TRUE,B290:E290),SF_Output!$Q$1:$Q$400,"One Time",SF_Output!$L$1:$L$400,"software license")+SUMIFS(SF_Output!$S$1:$S$400,SF_Output!$AC$1:$AC$400,_xlfn.TEXTJOIN(",",TRUE,B290:E290),SF_Output!$Q$1:$Q$400,"One Time",SF_Output!$L$1:$L$400,"hardware"))</f>
        <v/>
      </c>
      <c r="K290" s="112" t="str">
        <f>IF(OR(B290=0,B290="",G290="hardware",J290=0),"",IF(AF290&lt;&gt;"exclusion",MAX(K$9,-((SUMIFS(SF_Output!$T$1:$T$400,SF_Output!$AC$1:$AC$400,_xlfn.TEXTJOIN(",",TRUE,$B290:$E290),SF_Output!$Q$1:$Q$400,"One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license"))/J290)))</f>
        <v/>
      </c>
      <c r="L290" s="6" t="str">
        <f t="shared" si="73"/>
        <v/>
      </c>
      <c r="N290" s="6" t="str">
        <f>IF(B290="","",SUMIFS(SF_Output!$S$1:$S$400,SF_Output!$AC$1:$AC$400,_xlfn.TEXTJOIN(",",TRUE,B290:E290),SF_Output!$Q$1:$Q$400,"One Time",SF_Output!$L$1:$L$400,"professional service"))</f>
        <v/>
      </c>
      <c r="O290" s="112" t="str">
        <f>IF(OR(B290=0,B290="",N290=0),"",IF(AF290&lt;&gt;"exclusion",MAX(O$9,-(SUMIFS(SF_Output!$T$1:$T$400,SF_Output!$AC$1:$AC$400,_xlfn.TEXTJOIN(",",TRUE,$B290:$E290),SF_Output!$Q$1:$Q$400,"One Time",SF_Output!$L$1:$L$400,"professional service"))/N290),-((SUMIFS(SF_Output!$T$1:$T$400,SF_Output!$AC$1:$AC$400,_xlfn.TEXTJOIN(",",TRUE,$B290:$E290),SF_Output!$Q$1:$Q$400,"One Time",SF_Output!$L$1:$L$400,"professional service")/N290))))</f>
        <v/>
      </c>
      <c r="P290" s="6" t="str">
        <f t="shared" si="74"/>
        <v/>
      </c>
      <c r="R290" s="6" t="str">
        <f>IF(B290="","",SUMIFS(SF_Output!$S$1:$S$400,SF_Output!$AC$1:$AC$400,_xlfn.TEXTJOIN(",",TRUE,B290:E290),SF_Output!$Q$1:$Q$400,"yearly")+SUMIFS(SF_Output!$S$1:$S$400,SF_Output!$AC$1:$AC$400,_xlfn.TEXTJOIN(",",TRUE,B290:E290),SF_Output!$Q$1:$Q$400,"quarterly")*4)</f>
        <v/>
      </c>
      <c r="S290" s="112" t="str">
        <f>IF(OR(B290=0,B290="",G290="hardware",R290=0),"",IF(AF290&lt;&gt;"exclusion",MAX(S$9,-(SUMIFS(SF_Output!$T$1:$T$400,SF_Output!$AC$1:$AC$400,_xlfn.TEXTJOIN(",",TRUE,$B290:$E290),SF_Output!$Q$1:$Q$400,"yearly"))/R290),-((SUMIFS(SF_Output!$T$1:$T$400,SF_Output!$AC$1:$AC$400,_xlfn.TEXTJOIN(",",TRUE,$B290:$E290),SF_Output!$Q$1:$Q$400,"yearly")/R290))))</f>
        <v/>
      </c>
      <c r="T290" s="6" t="str">
        <f t="shared" si="75"/>
        <v/>
      </c>
      <c r="V290" s="6" t="str" cm="1">
        <f t="array" ref="V290">_xlfn.IFS(B290="","",AND(B290&lt;&gt;"",H290=SF_Output!$Y$2,SUMIFS(SF_Output!$T$1:$T$400,SF_Output!$AC$1:$AC$400,_xlfn.TEXTJOIN(",",TRUE,B290:E290),SF_Output!$Q$1:$Q$400,"monthly")=0),(SUMIFS(SF_Output!$F$1:$F$400,SF_Output!$AC$1:$AC$400,_xlfn.TEXTJOIN(",",TRUE,B290:E290),SF_Output!$Q$1:$Q$400,"monthly")+SUMIFS(SF_Output!$G$1:$G$400,SF_Output!$AC$1:$AC$400,_xlfn.TEXTJOIN(",",TRUE,B290:E290),SF_Output!$Q$1:$Q$400,"monthly"))*H290,AND(B290&lt;&gt;"",H290=SF_Output!$Y$2,SUMIFS(SF_Output!$T$1:$T$400,SF_Output!$AC$1:$AC$400,_xlfn.TEXTJOIN(",",TRUE,B290:E290),SF_Output!$Q$1:$Q$400,"monthly")&lt;&gt;0),SUMIFS(SF_Output!$S$1:$S$400,SF_Output!$AC$1:$AC$400,_xlfn.TEXTJOIN(",",TRUE,B290:E290),SF_Output!$Q$1:$Q$400,"monthly"),AND(B290&lt;&gt;"",H290&lt;&gt;SF_Output!$Y$2),SUMIFS(SF_Output!$S$1:$S$400,SF_Output!$AC$1:$AC$400,_xlfn.TEXTJOIN(",",TRUE,B290:E290),SF_Output!$Q$1:$Q$400,"monthly"))</f>
        <v/>
      </c>
      <c r="W290" s="112" t="str" cm="1">
        <f t="array" ref="W290">_xlfn.IFS(OR(B290=0,B290="",V290=0),"",AF290&lt;&gt;"exclusion",MAX($W$9,$W$7,(-(SUMIFS(SF_Output!$T$1:$T$400,SF_Output!$AC$1:$AC$400,_xlfn.TEXTJOIN(",",TRUE,$B290:$E290),SF_Output!$Q$1:$Q$400,"monthly"))/V290)),AF290="exclusion",-(SUMIFS(SF_Output!$T$1:$T$400,SF_Output!$AC$1:$AC$400,_xlfn.TEXTJOIN(",",TRUE,$B290:$E290),SF_Output!$Q$1:$Q$400,"monthly"))/V290)</f>
        <v/>
      </c>
      <c r="X290" s="6" t="str" cm="1">
        <f t="array" ref="X290">IFERROR(_xlfn.IFS(V290=0,0,V290="","",W290=0,V290,OR(V290&lt;&gt;0,V290&lt;&gt;""),H290*I290),V290*(1-W290))</f>
        <v/>
      </c>
      <c r="Z290" s="6" t="str">
        <f>IFERROR(IF(B290="","",SUMIFS(Billing_Fallout!H:H,Billing_Fallout!N:N,B290)),0)</f>
        <v/>
      </c>
      <c r="AA290" s="6" t="str">
        <f t="shared" si="76"/>
        <v/>
      </c>
      <c r="AB290" s="6" t="str">
        <f>IFERROR(IF(B290="","",SUMIFS(Billing_Fallout!J:J,Billing_Fallout!N:N,B290)),0)</f>
        <v/>
      </c>
      <c r="AD290" s="6" t="str">
        <f t="shared" si="77"/>
        <v/>
      </c>
      <c r="AF290" t="str">
        <f>IFERROR(INDEX(H_Tables!$B$1:$B$1500,MATCH(INDEX(SF_Output!$J$1:$J$400,MATCH(B290,SF_Output!$M$1:$M$400,0)),H_Tables!$A$1:$A$1500,0)),"")</f>
        <v/>
      </c>
      <c r="AI290" s="119" t="str">
        <f t="shared" si="78"/>
        <v/>
      </c>
      <c r="AJ290" s="121">
        <f>IFERROR(INDEX(SF_Output!AD:AD,MATCH(_xlfn.TEXTJOIN(",",TRUE,B290:E290),SF_Output!AC41:AC440,0)),0.05)</f>
        <v>201</v>
      </c>
      <c r="AK290" t="str">
        <f>IF(SUMIFS(SF_Output!$F$1:$F$400,SF_Output!$AC$1:$AC$400,_xlfn.TEXTJOIN(",",TRUE,B290:E290))+SUMIFS(SF_Output!$G$1:$G$400,SF_Output!$AC$1:$AC$400,_xlfn.TEXTJOIN(",",TRUE,B290:E290))=0,"","PAP")</f>
        <v/>
      </c>
      <c r="AL290" s="35" t="str">
        <f t="shared" si="79"/>
        <v/>
      </c>
      <c r="AQ290" s="35"/>
      <c r="AR290" s="35" t="str" cm="1">
        <f t="array" ref="AR290">IFERROR(_xlfn.IFS(AND(E290*1=1,F290="Included"),"Change to Included",AND(E290*1=0,F290="Optional"),"Change to Optional",OR(B290="",F290="replaced"),""),"")</f>
        <v/>
      </c>
      <c r="AS290" s="35" t="str">
        <f t="shared" si="80"/>
        <v/>
      </c>
      <c r="AT290" s="35" t="str">
        <f t="shared" si="81"/>
        <v/>
      </c>
      <c r="AU290" s="35" t="str">
        <f t="shared" si="82"/>
        <v/>
      </c>
      <c r="AV290" s="35" t="str">
        <f t="shared" si="83"/>
        <v/>
      </c>
      <c r="AW290" s="35" t="str">
        <f t="shared" si="84"/>
        <v/>
      </c>
      <c r="AX290" s="35" t="str">
        <f t="shared" si="85"/>
        <v/>
      </c>
      <c r="AY290" s="35" t="str">
        <f t="shared" si="86"/>
        <v/>
      </c>
      <c r="AZ290" s="35" t="str">
        <f t="shared" si="87"/>
        <v/>
      </c>
      <c r="BA290" s="35" t="str">
        <f t="shared" si="88"/>
        <v/>
      </c>
      <c r="BB290" s="35" t="str">
        <f t="shared" si="89"/>
        <v/>
      </c>
      <c r="BC290" s="35"/>
      <c r="BE290" s="35" t="e">
        <f>INDEX(SF_Output!$AA$2:$AA$400,MATCH($B290,SF_Output!$M$2:$M$400,0))</f>
        <v>#N/A</v>
      </c>
      <c r="BF290" s="35" t="e">
        <f>INDEX(SF_Output!$AB$2:$AB$400,MATCH($B290,SF_Output!$M$2:$M$400,0))</f>
        <v>#N/A</v>
      </c>
    </row>
    <row r="291" spans="6:58" x14ac:dyDescent="0.25">
      <c r="F291" s="116" t="str">
        <f t="shared" si="72"/>
        <v/>
      </c>
      <c r="G291" t="str">
        <f>IF(B291="","",INDEX(SF_Output!$K$1:$K$400,MATCH(B291,SF_Output!$M$1:$M$400,0)))</f>
        <v/>
      </c>
      <c r="H291" t="str" cm="1">
        <f t="array" ref="H291">_xlfn.IFS(B291="","",(SUMIFS(SF_Output!$F$1:$F$400,SF_Output!$AC$1:$AC$400,_xlfn.TEXTJOIN(",",TRUE,B291:E291))+SUMIFS(SF_Output!$G$1:$G$400,SF_Output!$AC$1:$AC$400,_xlfn.TEXTJOIN(",",TRUE,B291:E291)))&lt;&gt;0,SF_Output!$Y$2,INDEX(SF_Output!$F$1:$F$400,MATCH(_xlfn.TEXTJOIN(",",TRUE,B291:E291),SF_Output!$AC$1:$AC$400,0))=0,INDEX(SF_Output!$R$1:$R$400,MATCH(_xlfn.TEXTJOIN(",",TRUE,B291:E291),SF_Output!$AC$1:$AC$400,0)))</f>
        <v/>
      </c>
      <c r="I291" s="125" t="str">
        <f>IFERROR(IF(AND(H291&gt;1,H291&lt;&gt;""),ROUND(SUMIFS(SF_Output!$S$1:$S$400,SF_Output!$AC$1:$AC$400,_xlfn.TEXTJOIN(",",TRUE,B291:E291),SF_Output!$Q$1:$Q$400,"monthly")*(1-W291)/H291,4),""),"")</f>
        <v/>
      </c>
      <c r="J291" s="6" t="str">
        <f>IF(B291="","",SUMIFS(SF_Output!$S$1:$S$400,SF_Output!$AC$1:$AC$400,_xlfn.TEXTJOIN(",",TRUE,B291:E291),SF_Output!$Q$1:$Q$400,"One Time",SF_Output!$L$1:$L$400,"license fee")+SUMIFS(SF_Output!$S$1:$S$400,SF_Output!$AC$1:$AC$400,_xlfn.TEXTJOIN(",",TRUE,B291:E291),SF_Output!$Q$1:$Q$400,"One Time",SF_Output!$L$1:$L$400,"software license")+SUMIFS(SF_Output!$S$1:$S$400,SF_Output!$AC$1:$AC$400,_xlfn.TEXTJOIN(",",TRUE,B291:E291),SF_Output!$Q$1:$Q$400,"One Time",SF_Output!$L$1:$L$400,"hardware"))</f>
        <v/>
      </c>
      <c r="K291" s="112" t="str">
        <f>IF(OR(B291=0,B291="",G291="hardware",J291=0),"",IF(AF291&lt;&gt;"exclusion",MAX(K$9,-((SUMIFS(SF_Output!$T$1:$T$400,SF_Output!$AC$1:$AC$400,_xlfn.TEXTJOIN(",",TRUE,$B291:$E291),SF_Output!$Q$1:$Q$400,"One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license"))/J291)))</f>
        <v/>
      </c>
      <c r="L291" s="6" t="str">
        <f t="shared" si="73"/>
        <v/>
      </c>
      <c r="N291" s="6" t="str">
        <f>IF(B291="","",SUMIFS(SF_Output!$S$1:$S$400,SF_Output!$AC$1:$AC$400,_xlfn.TEXTJOIN(",",TRUE,B291:E291),SF_Output!$Q$1:$Q$400,"One Time",SF_Output!$L$1:$L$400,"professional service"))</f>
        <v/>
      </c>
      <c r="O291" s="112" t="str">
        <f>IF(OR(B291=0,B291="",N291=0),"",IF(AF291&lt;&gt;"exclusion",MAX(O$9,-(SUMIFS(SF_Output!$T$1:$T$400,SF_Output!$AC$1:$AC$400,_xlfn.TEXTJOIN(",",TRUE,$B291:$E291),SF_Output!$Q$1:$Q$400,"One Time",SF_Output!$L$1:$L$400,"professional service"))/N291),-((SUMIFS(SF_Output!$T$1:$T$400,SF_Output!$AC$1:$AC$400,_xlfn.TEXTJOIN(",",TRUE,$B291:$E291),SF_Output!$Q$1:$Q$400,"One Time",SF_Output!$L$1:$L$400,"professional service")/N291))))</f>
        <v/>
      </c>
      <c r="P291" s="6" t="str">
        <f t="shared" si="74"/>
        <v/>
      </c>
      <c r="R291" s="6" t="str">
        <f>IF(B291="","",SUMIFS(SF_Output!$S$1:$S$400,SF_Output!$AC$1:$AC$400,_xlfn.TEXTJOIN(",",TRUE,B291:E291),SF_Output!$Q$1:$Q$400,"yearly")+SUMIFS(SF_Output!$S$1:$S$400,SF_Output!$AC$1:$AC$400,_xlfn.TEXTJOIN(",",TRUE,B291:E291),SF_Output!$Q$1:$Q$400,"quarterly")*4)</f>
        <v/>
      </c>
      <c r="S291" s="112" t="str">
        <f>IF(OR(B291=0,B291="",G291="hardware",R291=0),"",IF(AF291&lt;&gt;"exclusion",MAX(S$9,-(SUMIFS(SF_Output!$T$1:$T$400,SF_Output!$AC$1:$AC$400,_xlfn.TEXTJOIN(",",TRUE,$B291:$E291),SF_Output!$Q$1:$Q$400,"yearly"))/R291),-((SUMIFS(SF_Output!$T$1:$T$400,SF_Output!$AC$1:$AC$400,_xlfn.TEXTJOIN(",",TRUE,$B291:$E291),SF_Output!$Q$1:$Q$400,"yearly")/R291))))</f>
        <v/>
      </c>
      <c r="T291" s="6" t="str">
        <f t="shared" si="75"/>
        <v/>
      </c>
      <c r="V291" s="6" t="str" cm="1">
        <f t="array" ref="V291">_xlfn.IFS(B291="","",AND(B291&lt;&gt;"",H291=SF_Output!$Y$2,SUMIFS(SF_Output!$T$1:$T$400,SF_Output!$AC$1:$AC$400,_xlfn.TEXTJOIN(",",TRUE,B291:E291),SF_Output!$Q$1:$Q$400,"monthly")=0),(SUMIFS(SF_Output!$F$1:$F$400,SF_Output!$AC$1:$AC$400,_xlfn.TEXTJOIN(",",TRUE,B291:E291),SF_Output!$Q$1:$Q$400,"monthly")+SUMIFS(SF_Output!$G$1:$G$400,SF_Output!$AC$1:$AC$400,_xlfn.TEXTJOIN(",",TRUE,B291:E291),SF_Output!$Q$1:$Q$400,"monthly"))*H291,AND(B291&lt;&gt;"",H291=SF_Output!$Y$2,SUMIFS(SF_Output!$T$1:$T$400,SF_Output!$AC$1:$AC$400,_xlfn.TEXTJOIN(",",TRUE,B291:E291),SF_Output!$Q$1:$Q$400,"monthly")&lt;&gt;0),SUMIFS(SF_Output!$S$1:$S$400,SF_Output!$AC$1:$AC$400,_xlfn.TEXTJOIN(",",TRUE,B291:E291),SF_Output!$Q$1:$Q$400,"monthly"),AND(B291&lt;&gt;"",H291&lt;&gt;SF_Output!$Y$2),SUMIFS(SF_Output!$S$1:$S$400,SF_Output!$AC$1:$AC$400,_xlfn.TEXTJOIN(",",TRUE,B291:E291),SF_Output!$Q$1:$Q$400,"monthly"))</f>
        <v/>
      </c>
      <c r="W291" s="112" t="str" cm="1">
        <f t="array" ref="W291">_xlfn.IFS(OR(B291=0,B291="",V291=0),"",AF291&lt;&gt;"exclusion",MAX($W$9,$W$7,(-(SUMIFS(SF_Output!$T$1:$T$400,SF_Output!$AC$1:$AC$400,_xlfn.TEXTJOIN(",",TRUE,$B291:$E291),SF_Output!$Q$1:$Q$400,"monthly"))/V291)),AF291="exclusion",-(SUMIFS(SF_Output!$T$1:$T$400,SF_Output!$AC$1:$AC$400,_xlfn.TEXTJOIN(",",TRUE,$B291:$E291),SF_Output!$Q$1:$Q$400,"monthly"))/V291)</f>
        <v/>
      </c>
      <c r="X291" s="6" t="str" cm="1">
        <f t="array" ref="X291">IFERROR(_xlfn.IFS(V291=0,0,V291="","",W291=0,V291,OR(V291&lt;&gt;0,V291&lt;&gt;""),H291*I291),V291*(1-W291))</f>
        <v/>
      </c>
      <c r="Z291" s="6" t="str">
        <f>IFERROR(IF(B291="","",SUMIFS(Billing_Fallout!H:H,Billing_Fallout!N:N,B291)),0)</f>
        <v/>
      </c>
      <c r="AA291" s="6" t="str">
        <f t="shared" si="76"/>
        <v/>
      </c>
      <c r="AB291" s="6" t="str">
        <f>IFERROR(IF(B291="","",SUMIFS(Billing_Fallout!J:J,Billing_Fallout!N:N,B291)),0)</f>
        <v/>
      </c>
      <c r="AD291" s="6" t="str">
        <f t="shared" si="77"/>
        <v/>
      </c>
      <c r="AF291" t="str">
        <f>IFERROR(INDEX(H_Tables!$B$1:$B$1500,MATCH(INDEX(SF_Output!$J$1:$J$400,MATCH(B291,SF_Output!$M$1:$M$400,0)),H_Tables!$A$1:$A$1500,0)),"")</f>
        <v/>
      </c>
      <c r="AI291" s="119" t="str">
        <f t="shared" si="78"/>
        <v/>
      </c>
      <c r="AJ291" s="121">
        <f>IFERROR(INDEX(SF_Output!AD:AD,MATCH(_xlfn.TEXTJOIN(",",TRUE,B291:E291),SF_Output!AC42:AC441,0)),0.05)</f>
        <v>200</v>
      </c>
      <c r="AK291" t="str">
        <f>IF(SUMIFS(SF_Output!$F$1:$F$400,SF_Output!$AC$1:$AC$400,_xlfn.TEXTJOIN(",",TRUE,B291:E291))+SUMIFS(SF_Output!$G$1:$G$400,SF_Output!$AC$1:$AC$400,_xlfn.TEXTJOIN(",",TRUE,B291:E291))=0,"","PAP")</f>
        <v/>
      </c>
      <c r="AL291" s="35" t="str">
        <f t="shared" si="79"/>
        <v/>
      </c>
      <c r="AQ291" s="35"/>
      <c r="AR291" s="35" t="str" cm="1">
        <f t="array" ref="AR291">IFERROR(_xlfn.IFS(AND(E291*1=1,F291="Included"),"Change to Included",AND(E291*1=0,F291="Optional"),"Change to Optional",OR(B291="",F291="replaced"),""),"")</f>
        <v/>
      </c>
      <c r="AS291" s="35" t="str">
        <f t="shared" si="80"/>
        <v/>
      </c>
      <c r="AT291" s="35" t="str">
        <f t="shared" si="81"/>
        <v/>
      </c>
      <c r="AU291" s="35" t="str">
        <f t="shared" si="82"/>
        <v/>
      </c>
      <c r="AV291" s="35" t="str">
        <f t="shared" si="83"/>
        <v/>
      </c>
      <c r="AW291" s="35" t="str">
        <f t="shared" si="84"/>
        <v/>
      </c>
      <c r="AX291" s="35" t="str">
        <f t="shared" si="85"/>
        <v/>
      </c>
      <c r="AY291" s="35" t="str">
        <f t="shared" si="86"/>
        <v/>
      </c>
      <c r="AZ291" s="35" t="str">
        <f t="shared" si="87"/>
        <v/>
      </c>
      <c r="BA291" s="35" t="str">
        <f t="shared" si="88"/>
        <v/>
      </c>
      <c r="BB291" s="35" t="str">
        <f t="shared" si="89"/>
        <v/>
      </c>
      <c r="BC291" s="35"/>
      <c r="BE291" s="35" t="e">
        <f>INDEX(SF_Output!$AA$2:$AA$400,MATCH($B291,SF_Output!$M$2:$M$400,0))</f>
        <v>#N/A</v>
      </c>
      <c r="BF291" s="35" t="e">
        <f>INDEX(SF_Output!$AB$2:$AB$400,MATCH($B291,SF_Output!$M$2:$M$400,0))</f>
        <v>#N/A</v>
      </c>
    </row>
    <row r="292" spans="6:58" x14ac:dyDescent="0.25">
      <c r="F292" s="116" t="str">
        <f t="shared" si="72"/>
        <v/>
      </c>
      <c r="G292" t="str">
        <f>IF(B292="","",INDEX(SF_Output!$K$1:$K$400,MATCH(B292,SF_Output!$M$1:$M$400,0)))</f>
        <v/>
      </c>
      <c r="H292" t="str" cm="1">
        <f t="array" ref="H292">_xlfn.IFS(B292="","",(SUMIFS(SF_Output!$F$1:$F$400,SF_Output!$AC$1:$AC$400,_xlfn.TEXTJOIN(",",TRUE,B292:E292))+SUMIFS(SF_Output!$G$1:$G$400,SF_Output!$AC$1:$AC$400,_xlfn.TEXTJOIN(",",TRUE,B292:E292)))&lt;&gt;0,SF_Output!$Y$2,INDEX(SF_Output!$F$1:$F$400,MATCH(_xlfn.TEXTJOIN(",",TRUE,B292:E292),SF_Output!$AC$1:$AC$400,0))=0,INDEX(SF_Output!$R$1:$R$400,MATCH(_xlfn.TEXTJOIN(",",TRUE,B292:E292),SF_Output!$AC$1:$AC$400,0)))</f>
        <v/>
      </c>
      <c r="I292" s="125" t="str">
        <f>IFERROR(IF(AND(H292&gt;1,H292&lt;&gt;""),ROUND(SUMIFS(SF_Output!$S$1:$S$400,SF_Output!$AC$1:$AC$400,_xlfn.TEXTJOIN(",",TRUE,B292:E292),SF_Output!$Q$1:$Q$400,"monthly")*(1-W292)/H292,4),""),"")</f>
        <v/>
      </c>
      <c r="J292" s="6" t="str">
        <f>IF(B292="","",SUMIFS(SF_Output!$S$1:$S$400,SF_Output!$AC$1:$AC$400,_xlfn.TEXTJOIN(",",TRUE,B292:E292),SF_Output!$Q$1:$Q$400,"One Time",SF_Output!$L$1:$L$400,"license fee")+SUMIFS(SF_Output!$S$1:$S$400,SF_Output!$AC$1:$AC$400,_xlfn.TEXTJOIN(",",TRUE,B292:E292),SF_Output!$Q$1:$Q$400,"One Time",SF_Output!$L$1:$L$400,"software license")+SUMIFS(SF_Output!$S$1:$S$400,SF_Output!$AC$1:$AC$400,_xlfn.TEXTJOIN(",",TRUE,B292:E292),SF_Output!$Q$1:$Q$400,"One Time",SF_Output!$L$1:$L$400,"hardware"))</f>
        <v/>
      </c>
      <c r="K292" s="112" t="str">
        <f>IF(OR(B292=0,B292="",G292="hardware",J292=0),"",IF(AF292&lt;&gt;"exclusion",MAX(K$9,-((SUMIFS(SF_Output!$T$1:$T$400,SF_Output!$AC$1:$AC$400,_xlfn.TEXTJOIN(",",TRUE,$B292:$E292),SF_Output!$Q$1:$Q$400,"One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license"))/J292)))</f>
        <v/>
      </c>
      <c r="L292" s="6" t="str">
        <f t="shared" si="73"/>
        <v/>
      </c>
      <c r="N292" s="6" t="str">
        <f>IF(B292="","",SUMIFS(SF_Output!$S$1:$S$400,SF_Output!$AC$1:$AC$400,_xlfn.TEXTJOIN(",",TRUE,B292:E292),SF_Output!$Q$1:$Q$400,"One Time",SF_Output!$L$1:$L$400,"professional service"))</f>
        <v/>
      </c>
      <c r="O292" s="112" t="str">
        <f>IF(OR(B292=0,B292="",N292=0),"",IF(AF292&lt;&gt;"exclusion",MAX(O$9,-(SUMIFS(SF_Output!$T$1:$T$400,SF_Output!$AC$1:$AC$400,_xlfn.TEXTJOIN(",",TRUE,$B292:$E292),SF_Output!$Q$1:$Q$400,"One Time",SF_Output!$L$1:$L$400,"professional service"))/N292),-((SUMIFS(SF_Output!$T$1:$T$400,SF_Output!$AC$1:$AC$400,_xlfn.TEXTJOIN(",",TRUE,$B292:$E292),SF_Output!$Q$1:$Q$400,"One Time",SF_Output!$L$1:$L$400,"professional service")/N292))))</f>
        <v/>
      </c>
      <c r="P292" s="6" t="str">
        <f t="shared" si="74"/>
        <v/>
      </c>
      <c r="R292" s="6" t="str">
        <f>IF(B292="","",SUMIFS(SF_Output!$S$1:$S$400,SF_Output!$AC$1:$AC$400,_xlfn.TEXTJOIN(",",TRUE,B292:E292),SF_Output!$Q$1:$Q$400,"yearly")+SUMIFS(SF_Output!$S$1:$S$400,SF_Output!$AC$1:$AC$400,_xlfn.TEXTJOIN(",",TRUE,B292:E292),SF_Output!$Q$1:$Q$400,"quarterly")*4)</f>
        <v/>
      </c>
      <c r="S292" s="112" t="str">
        <f>IF(OR(B292=0,B292="",G292="hardware",R292=0),"",IF(AF292&lt;&gt;"exclusion",MAX(S$9,-(SUMIFS(SF_Output!$T$1:$T$400,SF_Output!$AC$1:$AC$400,_xlfn.TEXTJOIN(",",TRUE,$B292:$E292),SF_Output!$Q$1:$Q$400,"yearly"))/R292),-((SUMIFS(SF_Output!$T$1:$T$400,SF_Output!$AC$1:$AC$400,_xlfn.TEXTJOIN(",",TRUE,$B292:$E292),SF_Output!$Q$1:$Q$400,"yearly")/R292))))</f>
        <v/>
      </c>
      <c r="T292" s="6" t="str">
        <f t="shared" si="75"/>
        <v/>
      </c>
      <c r="V292" s="6" t="str" cm="1">
        <f t="array" ref="V292">_xlfn.IFS(B292="","",AND(B292&lt;&gt;"",H292=SF_Output!$Y$2,SUMIFS(SF_Output!$T$1:$T$400,SF_Output!$AC$1:$AC$400,_xlfn.TEXTJOIN(",",TRUE,B292:E292),SF_Output!$Q$1:$Q$400,"monthly")=0),(SUMIFS(SF_Output!$F$1:$F$400,SF_Output!$AC$1:$AC$400,_xlfn.TEXTJOIN(",",TRUE,B292:E292),SF_Output!$Q$1:$Q$400,"monthly")+SUMIFS(SF_Output!$G$1:$G$400,SF_Output!$AC$1:$AC$400,_xlfn.TEXTJOIN(",",TRUE,B292:E292),SF_Output!$Q$1:$Q$400,"monthly"))*H292,AND(B292&lt;&gt;"",H292=SF_Output!$Y$2,SUMIFS(SF_Output!$T$1:$T$400,SF_Output!$AC$1:$AC$400,_xlfn.TEXTJOIN(",",TRUE,B292:E292),SF_Output!$Q$1:$Q$400,"monthly")&lt;&gt;0),SUMIFS(SF_Output!$S$1:$S$400,SF_Output!$AC$1:$AC$400,_xlfn.TEXTJOIN(",",TRUE,B292:E292),SF_Output!$Q$1:$Q$400,"monthly"),AND(B292&lt;&gt;"",H292&lt;&gt;SF_Output!$Y$2),SUMIFS(SF_Output!$S$1:$S$400,SF_Output!$AC$1:$AC$400,_xlfn.TEXTJOIN(",",TRUE,B292:E292),SF_Output!$Q$1:$Q$400,"monthly"))</f>
        <v/>
      </c>
      <c r="W292" s="112" t="str" cm="1">
        <f t="array" ref="W292">_xlfn.IFS(OR(B292=0,B292="",V292=0),"",AF292&lt;&gt;"exclusion",MAX($W$9,$W$7,(-(SUMIFS(SF_Output!$T$1:$T$400,SF_Output!$AC$1:$AC$400,_xlfn.TEXTJOIN(",",TRUE,$B292:$E292),SF_Output!$Q$1:$Q$400,"monthly"))/V292)),AF292="exclusion",-(SUMIFS(SF_Output!$T$1:$T$400,SF_Output!$AC$1:$AC$400,_xlfn.TEXTJOIN(",",TRUE,$B292:$E292),SF_Output!$Q$1:$Q$400,"monthly"))/V292)</f>
        <v/>
      </c>
      <c r="X292" s="6" t="str" cm="1">
        <f t="array" ref="X292">IFERROR(_xlfn.IFS(V292=0,0,V292="","",W292=0,V292,OR(V292&lt;&gt;0,V292&lt;&gt;""),H292*I292),V292*(1-W292))</f>
        <v/>
      </c>
      <c r="Z292" s="6" t="str">
        <f>IFERROR(IF(B292="","",SUMIFS(Billing_Fallout!H:H,Billing_Fallout!N:N,B292)),0)</f>
        <v/>
      </c>
      <c r="AA292" s="6" t="str">
        <f t="shared" si="76"/>
        <v/>
      </c>
      <c r="AB292" s="6" t="str">
        <f>IFERROR(IF(B292="","",SUMIFS(Billing_Fallout!J:J,Billing_Fallout!N:N,B292)),0)</f>
        <v/>
      </c>
      <c r="AD292" s="6" t="str">
        <f t="shared" si="77"/>
        <v/>
      </c>
      <c r="AF292" t="str">
        <f>IFERROR(INDEX(H_Tables!$B$1:$B$1500,MATCH(INDEX(SF_Output!$J$1:$J$400,MATCH(B292,SF_Output!$M$1:$M$400,0)),H_Tables!$A$1:$A$1500,0)),"")</f>
        <v/>
      </c>
      <c r="AI292" s="119" t="str">
        <f t="shared" si="78"/>
        <v/>
      </c>
      <c r="AJ292" s="121">
        <f>IFERROR(INDEX(SF_Output!AD:AD,MATCH(_xlfn.TEXTJOIN(",",TRUE,B292:E292),SF_Output!AC43:AC442,0)),0.05)</f>
        <v>199</v>
      </c>
      <c r="AK292" t="str">
        <f>IF(SUMIFS(SF_Output!$F$1:$F$400,SF_Output!$AC$1:$AC$400,_xlfn.TEXTJOIN(",",TRUE,B292:E292))+SUMIFS(SF_Output!$G$1:$G$400,SF_Output!$AC$1:$AC$400,_xlfn.TEXTJOIN(",",TRUE,B292:E292))=0,"","PAP")</f>
        <v/>
      </c>
      <c r="AL292" s="35" t="str">
        <f t="shared" si="79"/>
        <v/>
      </c>
      <c r="AQ292" s="35"/>
      <c r="AR292" s="35" t="str" cm="1">
        <f t="array" ref="AR292">IFERROR(_xlfn.IFS(AND(E292*1=1,F292="Included"),"Change to Included",AND(E292*1=0,F292="Optional"),"Change to Optional",OR(B292="",F292="replaced"),""),"")</f>
        <v/>
      </c>
      <c r="AS292" s="35" t="str">
        <f t="shared" si="80"/>
        <v/>
      </c>
      <c r="AT292" s="35" t="str">
        <f t="shared" si="81"/>
        <v/>
      </c>
      <c r="AU292" s="35" t="str">
        <f t="shared" si="82"/>
        <v/>
      </c>
      <c r="AV292" s="35" t="str">
        <f t="shared" si="83"/>
        <v/>
      </c>
      <c r="AW292" s="35" t="str">
        <f t="shared" si="84"/>
        <v/>
      </c>
      <c r="AX292" s="35" t="str">
        <f t="shared" si="85"/>
        <v/>
      </c>
      <c r="AY292" s="35" t="str">
        <f t="shared" si="86"/>
        <v/>
      </c>
      <c r="AZ292" s="35" t="str">
        <f t="shared" si="87"/>
        <v/>
      </c>
      <c r="BA292" s="35" t="str">
        <f t="shared" si="88"/>
        <v/>
      </c>
      <c r="BB292" s="35" t="str">
        <f t="shared" si="89"/>
        <v/>
      </c>
      <c r="BC292" s="35"/>
      <c r="BE292" s="35" t="e">
        <f>INDEX(SF_Output!$AA$2:$AA$400,MATCH($B292,SF_Output!$M$2:$M$400,0))</f>
        <v>#N/A</v>
      </c>
      <c r="BF292" s="35" t="e">
        <f>INDEX(SF_Output!$AB$2:$AB$400,MATCH($B292,SF_Output!$M$2:$M$400,0))</f>
        <v>#N/A</v>
      </c>
    </row>
    <row r="293" spans="6:58" x14ac:dyDescent="0.25">
      <c r="F293" s="116" t="str">
        <f t="shared" si="72"/>
        <v/>
      </c>
      <c r="G293" t="str">
        <f>IF(B293="","",INDEX(SF_Output!$K$1:$K$400,MATCH(B293,SF_Output!$M$1:$M$400,0)))</f>
        <v/>
      </c>
      <c r="H293" t="str" cm="1">
        <f t="array" ref="H293">_xlfn.IFS(B293="","",(SUMIFS(SF_Output!$F$1:$F$400,SF_Output!$AC$1:$AC$400,_xlfn.TEXTJOIN(",",TRUE,B293:E293))+SUMIFS(SF_Output!$G$1:$G$400,SF_Output!$AC$1:$AC$400,_xlfn.TEXTJOIN(",",TRUE,B293:E293)))&lt;&gt;0,SF_Output!$Y$2,INDEX(SF_Output!$F$1:$F$400,MATCH(_xlfn.TEXTJOIN(",",TRUE,B293:E293),SF_Output!$AC$1:$AC$400,0))=0,INDEX(SF_Output!$R$1:$R$400,MATCH(_xlfn.TEXTJOIN(",",TRUE,B293:E293),SF_Output!$AC$1:$AC$400,0)))</f>
        <v/>
      </c>
      <c r="I293" s="125" t="str">
        <f>IFERROR(IF(AND(H293&gt;1,H293&lt;&gt;""),ROUND(SUMIFS(SF_Output!$S$1:$S$400,SF_Output!$AC$1:$AC$400,_xlfn.TEXTJOIN(",",TRUE,B293:E293),SF_Output!$Q$1:$Q$400,"monthly")*(1-W293)/H293,4),""),"")</f>
        <v/>
      </c>
      <c r="J293" s="6" t="str">
        <f>IF(B293="","",SUMIFS(SF_Output!$S$1:$S$400,SF_Output!$AC$1:$AC$400,_xlfn.TEXTJOIN(",",TRUE,B293:E293),SF_Output!$Q$1:$Q$400,"One Time",SF_Output!$L$1:$L$400,"license fee")+SUMIFS(SF_Output!$S$1:$S$400,SF_Output!$AC$1:$AC$400,_xlfn.TEXTJOIN(",",TRUE,B293:E293),SF_Output!$Q$1:$Q$400,"One Time",SF_Output!$L$1:$L$400,"software license")+SUMIFS(SF_Output!$S$1:$S$400,SF_Output!$AC$1:$AC$400,_xlfn.TEXTJOIN(",",TRUE,B293:E293),SF_Output!$Q$1:$Q$400,"One Time",SF_Output!$L$1:$L$400,"hardware"))</f>
        <v/>
      </c>
      <c r="K293" s="112" t="str">
        <f>IF(OR(B293=0,B293="",G293="hardware",J293=0),"",IF(AF293&lt;&gt;"exclusion",MAX(K$9,-((SUMIFS(SF_Output!$T$1:$T$400,SF_Output!$AC$1:$AC$400,_xlfn.TEXTJOIN(",",TRUE,$B293:$E293),SF_Output!$Q$1:$Q$400,"One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license"))/J293)))</f>
        <v/>
      </c>
      <c r="L293" s="6" t="str">
        <f t="shared" si="73"/>
        <v/>
      </c>
      <c r="N293" s="6" t="str">
        <f>IF(B293="","",SUMIFS(SF_Output!$S$1:$S$400,SF_Output!$AC$1:$AC$400,_xlfn.TEXTJOIN(",",TRUE,B293:E293),SF_Output!$Q$1:$Q$400,"One Time",SF_Output!$L$1:$L$400,"professional service"))</f>
        <v/>
      </c>
      <c r="O293" s="112" t="str">
        <f>IF(OR(B293=0,B293="",N293=0),"",IF(AF293&lt;&gt;"exclusion",MAX(O$9,-(SUMIFS(SF_Output!$T$1:$T$400,SF_Output!$AC$1:$AC$400,_xlfn.TEXTJOIN(",",TRUE,$B293:$E293),SF_Output!$Q$1:$Q$400,"One Time",SF_Output!$L$1:$L$400,"professional service"))/N293),-((SUMIFS(SF_Output!$T$1:$T$400,SF_Output!$AC$1:$AC$400,_xlfn.TEXTJOIN(",",TRUE,$B293:$E293),SF_Output!$Q$1:$Q$400,"One Time",SF_Output!$L$1:$L$400,"professional service")/N293))))</f>
        <v/>
      </c>
      <c r="P293" s="6" t="str">
        <f t="shared" si="74"/>
        <v/>
      </c>
      <c r="R293" s="6" t="str">
        <f>IF(B293="","",SUMIFS(SF_Output!$S$1:$S$400,SF_Output!$AC$1:$AC$400,_xlfn.TEXTJOIN(",",TRUE,B293:E293),SF_Output!$Q$1:$Q$400,"yearly")+SUMIFS(SF_Output!$S$1:$S$400,SF_Output!$AC$1:$AC$400,_xlfn.TEXTJOIN(",",TRUE,B293:E293),SF_Output!$Q$1:$Q$400,"quarterly")*4)</f>
        <v/>
      </c>
      <c r="S293" s="112" t="str">
        <f>IF(OR(B293=0,B293="",G293="hardware",R293=0),"",IF(AF293&lt;&gt;"exclusion",MAX(S$9,-(SUMIFS(SF_Output!$T$1:$T$400,SF_Output!$AC$1:$AC$400,_xlfn.TEXTJOIN(",",TRUE,$B293:$E293),SF_Output!$Q$1:$Q$400,"yearly"))/R293),-((SUMIFS(SF_Output!$T$1:$T$400,SF_Output!$AC$1:$AC$400,_xlfn.TEXTJOIN(",",TRUE,$B293:$E293),SF_Output!$Q$1:$Q$400,"yearly")/R293))))</f>
        <v/>
      </c>
      <c r="T293" s="6" t="str">
        <f t="shared" si="75"/>
        <v/>
      </c>
      <c r="V293" s="6" t="str" cm="1">
        <f t="array" ref="V293">_xlfn.IFS(B293="","",AND(B293&lt;&gt;"",H293=SF_Output!$Y$2,SUMIFS(SF_Output!$T$1:$T$400,SF_Output!$AC$1:$AC$400,_xlfn.TEXTJOIN(",",TRUE,B293:E293),SF_Output!$Q$1:$Q$400,"monthly")=0),(SUMIFS(SF_Output!$F$1:$F$400,SF_Output!$AC$1:$AC$400,_xlfn.TEXTJOIN(",",TRUE,B293:E293),SF_Output!$Q$1:$Q$400,"monthly")+SUMIFS(SF_Output!$G$1:$G$400,SF_Output!$AC$1:$AC$400,_xlfn.TEXTJOIN(",",TRUE,B293:E293),SF_Output!$Q$1:$Q$400,"monthly"))*H293,AND(B293&lt;&gt;"",H293=SF_Output!$Y$2,SUMIFS(SF_Output!$T$1:$T$400,SF_Output!$AC$1:$AC$400,_xlfn.TEXTJOIN(",",TRUE,B293:E293),SF_Output!$Q$1:$Q$400,"monthly")&lt;&gt;0),SUMIFS(SF_Output!$S$1:$S$400,SF_Output!$AC$1:$AC$400,_xlfn.TEXTJOIN(",",TRUE,B293:E293),SF_Output!$Q$1:$Q$400,"monthly"),AND(B293&lt;&gt;"",H293&lt;&gt;SF_Output!$Y$2),SUMIFS(SF_Output!$S$1:$S$400,SF_Output!$AC$1:$AC$400,_xlfn.TEXTJOIN(",",TRUE,B293:E293),SF_Output!$Q$1:$Q$400,"monthly"))</f>
        <v/>
      </c>
      <c r="W293" s="112" t="str" cm="1">
        <f t="array" ref="W293">_xlfn.IFS(OR(B293=0,B293="",V293=0),"",AF293&lt;&gt;"exclusion",MAX($W$9,$W$7,(-(SUMIFS(SF_Output!$T$1:$T$400,SF_Output!$AC$1:$AC$400,_xlfn.TEXTJOIN(",",TRUE,$B293:$E293),SF_Output!$Q$1:$Q$400,"monthly"))/V293)),AF293="exclusion",-(SUMIFS(SF_Output!$T$1:$T$400,SF_Output!$AC$1:$AC$400,_xlfn.TEXTJOIN(",",TRUE,$B293:$E293),SF_Output!$Q$1:$Q$400,"monthly"))/V293)</f>
        <v/>
      </c>
      <c r="X293" s="6" t="str" cm="1">
        <f t="array" ref="X293">IFERROR(_xlfn.IFS(V293=0,0,V293="","",W293=0,V293,OR(V293&lt;&gt;0,V293&lt;&gt;""),H293*I293),V293*(1-W293))</f>
        <v/>
      </c>
      <c r="Z293" s="6" t="str">
        <f>IFERROR(IF(B293="","",SUMIFS(Billing_Fallout!H:H,Billing_Fallout!N:N,B293)),0)</f>
        <v/>
      </c>
      <c r="AA293" s="6" t="str">
        <f t="shared" si="76"/>
        <v/>
      </c>
      <c r="AB293" s="6" t="str">
        <f>IFERROR(IF(B293="","",SUMIFS(Billing_Fallout!J:J,Billing_Fallout!N:N,B293)),0)</f>
        <v/>
      </c>
      <c r="AD293" s="6" t="str">
        <f t="shared" si="77"/>
        <v/>
      </c>
      <c r="AF293" t="str">
        <f>IFERROR(INDEX(H_Tables!$B$1:$B$1500,MATCH(INDEX(SF_Output!$J$1:$J$400,MATCH(B293,SF_Output!$M$1:$M$400,0)),H_Tables!$A$1:$A$1500,0)),"")</f>
        <v/>
      </c>
      <c r="AI293" s="119" t="str">
        <f t="shared" si="78"/>
        <v/>
      </c>
      <c r="AJ293" s="121">
        <f>IFERROR(INDEX(SF_Output!AD:AD,MATCH(_xlfn.TEXTJOIN(",",TRUE,B293:E293),SF_Output!AC44:AC443,0)),0.05)</f>
        <v>198</v>
      </c>
      <c r="AK293" t="str">
        <f>IF(SUMIFS(SF_Output!$F$1:$F$400,SF_Output!$AC$1:$AC$400,_xlfn.TEXTJOIN(",",TRUE,B293:E293))+SUMIFS(SF_Output!$G$1:$G$400,SF_Output!$AC$1:$AC$400,_xlfn.TEXTJOIN(",",TRUE,B293:E293))=0,"","PAP")</f>
        <v/>
      </c>
      <c r="AL293" s="35" t="str">
        <f t="shared" si="79"/>
        <v/>
      </c>
      <c r="AQ293" s="35"/>
      <c r="AR293" s="35" t="str" cm="1">
        <f t="array" ref="AR293">IFERROR(_xlfn.IFS(AND(E293*1=1,F293="Included"),"Change to Included",AND(E293*1=0,F293="Optional"),"Change to Optional",OR(B293="",F293="replaced"),""),"")</f>
        <v/>
      </c>
      <c r="AS293" s="35" t="str">
        <f t="shared" si="80"/>
        <v/>
      </c>
      <c r="AT293" s="35" t="str">
        <f t="shared" si="81"/>
        <v/>
      </c>
      <c r="AU293" s="35" t="str">
        <f t="shared" si="82"/>
        <v/>
      </c>
      <c r="AV293" s="35" t="str">
        <f t="shared" si="83"/>
        <v/>
      </c>
      <c r="AW293" s="35" t="str">
        <f t="shared" si="84"/>
        <v/>
      </c>
      <c r="AX293" s="35" t="str">
        <f t="shared" si="85"/>
        <v/>
      </c>
      <c r="AY293" s="35" t="str">
        <f t="shared" si="86"/>
        <v/>
      </c>
      <c r="AZ293" s="35" t="str">
        <f t="shared" si="87"/>
        <v/>
      </c>
      <c r="BA293" s="35" t="str">
        <f t="shared" si="88"/>
        <v/>
      </c>
      <c r="BB293" s="35" t="str">
        <f t="shared" si="89"/>
        <v/>
      </c>
      <c r="BC293" s="35"/>
      <c r="BE293" s="35" t="e">
        <f>INDEX(SF_Output!$AA$2:$AA$400,MATCH($B293,SF_Output!$M$2:$M$400,0))</f>
        <v>#N/A</v>
      </c>
      <c r="BF293" s="35" t="e">
        <f>INDEX(SF_Output!$AB$2:$AB$400,MATCH($B293,SF_Output!$M$2:$M$400,0))</f>
        <v>#N/A</v>
      </c>
    </row>
    <row r="294" spans="6:58" x14ac:dyDescent="0.25">
      <c r="F294" s="116" t="str">
        <f t="shared" si="72"/>
        <v/>
      </c>
      <c r="G294" t="str">
        <f>IF(B294="","",INDEX(SF_Output!$K$1:$K$400,MATCH(B294,SF_Output!$M$1:$M$400,0)))</f>
        <v/>
      </c>
      <c r="H294" t="str" cm="1">
        <f t="array" ref="H294">_xlfn.IFS(B294="","",(SUMIFS(SF_Output!$F$1:$F$400,SF_Output!$AC$1:$AC$400,_xlfn.TEXTJOIN(",",TRUE,B294:E294))+SUMIFS(SF_Output!$G$1:$G$400,SF_Output!$AC$1:$AC$400,_xlfn.TEXTJOIN(",",TRUE,B294:E294)))&lt;&gt;0,SF_Output!$Y$2,INDEX(SF_Output!$F$1:$F$400,MATCH(_xlfn.TEXTJOIN(",",TRUE,B294:E294),SF_Output!$AC$1:$AC$400,0))=0,INDEX(SF_Output!$R$1:$R$400,MATCH(_xlfn.TEXTJOIN(",",TRUE,B294:E294),SF_Output!$AC$1:$AC$400,0)))</f>
        <v/>
      </c>
      <c r="I294" s="125" t="str">
        <f>IFERROR(IF(AND(H294&gt;1,H294&lt;&gt;""),ROUND(SUMIFS(SF_Output!$S$1:$S$400,SF_Output!$AC$1:$AC$400,_xlfn.TEXTJOIN(",",TRUE,B294:E294),SF_Output!$Q$1:$Q$400,"monthly")*(1-W294)/H294,4),""),"")</f>
        <v/>
      </c>
      <c r="J294" s="6" t="str">
        <f>IF(B294="","",SUMIFS(SF_Output!$S$1:$S$400,SF_Output!$AC$1:$AC$400,_xlfn.TEXTJOIN(",",TRUE,B294:E294),SF_Output!$Q$1:$Q$400,"One Time",SF_Output!$L$1:$L$400,"license fee")+SUMIFS(SF_Output!$S$1:$S$400,SF_Output!$AC$1:$AC$400,_xlfn.TEXTJOIN(",",TRUE,B294:E294),SF_Output!$Q$1:$Q$400,"One Time",SF_Output!$L$1:$L$400,"software license")+SUMIFS(SF_Output!$S$1:$S$400,SF_Output!$AC$1:$AC$400,_xlfn.TEXTJOIN(",",TRUE,B294:E294),SF_Output!$Q$1:$Q$400,"One Time",SF_Output!$L$1:$L$400,"hardware"))</f>
        <v/>
      </c>
      <c r="K294" s="112" t="str">
        <f>IF(OR(B294=0,B294="",G294="hardware",J294=0),"",IF(AF294&lt;&gt;"exclusion",MAX(K$9,-((SUMIFS(SF_Output!$T$1:$T$400,SF_Output!$AC$1:$AC$400,_xlfn.TEXTJOIN(",",TRUE,$B294:$E294),SF_Output!$Q$1:$Q$400,"One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license"))/J294)))</f>
        <v/>
      </c>
      <c r="L294" s="6" t="str">
        <f t="shared" si="73"/>
        <v/>
      </c>
      <c r="N294" s="6" t="str">
        <f>IF(B294="","",SUMIFS(SF_Output!$S$1:$S$400,SF_Output!$AC$1:$AC$400,_xlfn.TEXTJOIN(",",TRUE,B294:E294),SF_Output!$Q$1:$Q$400,"One Time",SF_Output!$L$1:$L$400,"professional service"))</f>
        <v/>
      </c>
      <c r="O294" s="112" t="str">
        <f>IF(OR(B294=0,B294="",N294=0),"",IF(AF294&lt;&gt;"exclusion",MAX(O$9,-(SUMIFS(SF_Output!$T$1:$T$400,SF_Output!$AC$1:$AC$400,_xlfn.TEXTJOIN(",",TRUE,$B294:$E294),SF_Output!$Q$1:$Q$400,"One Time",SF_Output!$L$1:$L$400,"professional service"))/N294),-((SUMIFS(SF_Output!$T$1:$T$400,SF_Output!$AC$1:$AC$400,_xlfn.TEXTJOIN(",",TRUE,$B294:$E294),SF_Output!$Q$1:$Q$400,"One Time",SF_Output!$L$1:$L$400,"professional service")/N294))))</f>
        <v/>
      </c>
      <c r="P294" s="6" t="str">
        <f t="shared" si="74"/>
        <v/>
      </c>
      <c r="R294" s="6" t="str">
        <f>IF(B294="","",SUMIFS(SF_Output!$S$1:$S$400,SF_Output!$AC$1:$AC$400,_xlfn.TEXTJOIN(",",TRUE,B294:E294),SF_Output!$Q$1:$Q$400,"yearly")+SUMIFS(SF_Output!$S$1:$S$400,SF_Output!$AC$1:$AC$400,_xlfn.TEXTJOIN(",",TRUE,B294:E294),SF_Output!$Q$1:$Q$400,"quarterly")*4)</f>
        <v/>
      </c>
      <c r="S294" s="112" t="str">
        <f>IF(OR(B294=0,B294="",G294="hardware",R294=0),"",IF(AF294&lt;&gt;"exclusion",MAX(S$9,-(SUMIFS(SF_Output!$T$1:$T$400,SF_Output!$AC$1:$AC$400,_xlfn.TEXTJOIN(",",TRUE,$B294:$E294),SF_Output!$Q$1:$Q$400,"yearly"))/R294),-((SUMIFS(SF_Output!$T$1:$T$400,SF_Output!$AC$1:$AC$400,_xlfn.TEXTJOIN(",",TRUE,$B294:$E294),SF_Output!$Q$1:$Q$400,"yearly")/R294))))</f>
        <v/>
      </c>
      <c r="T294" s="6" t="str">
        <f t="shared" si="75"/>
        <v/>
      </c>
      <c r="V294" s="6" t="str" cm="1">
        <f t="array" ref="V294">_xlfn.IFS(B294="","",AND(B294&lt;&gt;"",H294=SF_Output!$Y$2,SUMIFS(SF_Output!$T$1:$T$400,SF_Output!$AC$1:$AC$400,_xlfn.TEXTJOIN(",",TRUE,B294:E294),SF_Output!$Q$1:$Q$400,"monthly")=0),(SUMIFS(SF_Output!$F$1:$F$400,SF_Output!$AC$1:$AC$400,_xlfn.TEXTJOIN(",",TRUE,B294:E294),SF_Output!$Q$1:$Q$400,"monthly")+SUMIFS(SF_Output!$G$1:$G$400,SF_Output!$AC$1:$AC$400,_xlfn.TEXTJOIN(",",TRUE,B294:E294),SF_Output!$Q$1:$Q$400,"monthly"))*H294,AND(B294&lt;&gt;"",H294=SF_Output!$Y$2,SUMIFS(SF_Output!$T$1:$T$400,SF_Output!$AC$1:$AC$400,_xlfn.TEXTJOIN(",",TRUE,B294:E294),SF_Output!$Q$1:$Q$400,"monthly")&lt;&gt;0),SUMIFS(SF_Output!$S$1:$S$400,SF_Output!$AC$1:$AC$400,_xlfn.TEXTJOIN(",",TRUE,B294:E294),SF_Output!$Q$1:$Q$400,"monthly"),AND(B294&lt;&gt;"",H294&lt;&gt;SF_Output!$Y$2),SUMIFS(SF_Output!$S$1:$S$400,SF_Output!$AC$1:$AC$400,_xlfn.TEXTJOIN(",",TRUE,B294:E294),SF_Output!$Q$1:$Q$400,"monthly"))</f>
        <v/>
      </c>
      <c r="W294" s="112" t="str" cm="1">
        <f t="array" ref="W294">_xlfn.IFS(OR(B294=0,B294="",V294=0),"",AF294&lt;&gt;"exclusion",MAX($W$9,$W$7,(-(SUMIFS(SF_Output!$T$1:$T$400,SF_Output!$AC$1:$AC$400,_xlfn.TEXTJOIN(",",TRUE,$B294:$E294),SF_Output!$Q$1:$Q$400,"monthly"))/V294)),AF294="exclusion",-(SUMIFS(SF_Output!$T$1:$T$400,SF_Output!$AC$1:$AC$400,_xlfn.TEXTJOIN(",",TRUE,$B294:$E294),SF_Output!$Q$1:$Q$400,"monthly"))/V294)</f>
        <v/>
      </c>
      <c r="X294" s="6" t="str" cm="1">
        <f t="array" ref="X294">IFERROR(_xlfn.IFS(V294=0,0,V294="","",W294=0,V294,OR(V294&lt;&gt;0,V294&lt;&gt;""),H294*I294),V294*(1-W294))</f>
        <v/>
      </c>
      <c r="Z294" s="6" t="str">
        <f>IFERROR(IF(B294="","",SUMIFS(Billing_Fallout!H:H,Billing_Fallout!N:N,B294)),0)</f>
        <v/>
      </c>
      <c r="AA294" s="6" t="str">
        <f t="shared" si="76"/>
        <v/>
      </c>
      <c r="AB294" s="6" t="str">
        <f>IFERROR(IF(B294="","",SUMIFS(Billing_Fallout!J:J,Billing_Fallout!N:N,B294)),0)</f>
        <v/>
      </c>
      <c r="AD294" s="6" t="str">
        <f t="shared" si="77"/>
        <v/>
      </c>
      <c r="AF294" t="str">
        <f>IFERROR(INDEX(H_Tables!$B$1:$B$1500,MATCH(INDEX(SF_Output!$J$1:$J$400,MATCH(B294,SF_Output!$M$1:$M$400,0)),H_Tables!$A$1:$A$1500,0)),"")</f>
        <v/>
      </c>
      <c r="AI294" s="119" t="str">
        <f t="shared" si="78"/>
        <v/>
      </c>
      <c r="AJ294" s="121">
        <f>IFERROR(INDEX(SF_Output!AD:AD,MATCH(_xlfn.TEXTJOIN(",",TRUE,B294:E294),SF_Output!AC45:AC444,0)),0.05)</f>
        <v>197</v>
      </c>
      <c r="AK294" t="str">
        <f>IF(SUMIFS(SF_Output!$F$1:$F$400,SF_Output!$AC$1:$AC$400,_xlfn.TEXTJOIN(",",TRUE,B294:E294))+SUMIFS(SF_Output!$G$1:$G$400,SF_Output!$AC$1:$AC$400,_xlfn.TEXTJOIN(",",TRUE,B294:E294))=0,"","PAP")</f>
        <v/>
      </c>
      <c r="AL294" s="35" t="str">
        <f t="shared" si="79"/>
        <v/>
      </c>
      <c r="AQ294" s="35"/>
      <c r="AR294" s="35" t="str" cm="1">
        <f t="array" ref="AR294">IFERROR(_xlfn.IFS(AND(E294*1=1,F294="Included"),"Change to Included",AND(E294*1=0,F294="Optional"),"Change to Optional",OR(B294="",F294="replaced"),""),"")</f>
        <v/>
      </c>
      <c r="AS294" s="35" t="str">
        <f t="shared" si="80"/>
        <v/>
      </c>
      <c r="AT294" s="35" t="str">
        <f t="shared" si="81"/>
        <v/>
      </c>
      <c r="AU294" s="35" t="str">
        <f t="shared" si="82"/>
        <v/>
      </c>
      <c r="AV294" s="35" t="str">
        <f t="shared" si="83"/>
        <v/>
      </c>
      <c r="AW294" s="35" t="str">
        <f t="shared" si="84"/>
        <v/>
      </c>
      <c r="AX294" s="35" t="str">
        <f t="shared" si="85"/>
        <v/>
      </c>
      <c r="AY294" s="35" t="str">
        <f t="shared" si="86"/>
        <v/>
      </c>
      <c r="AZ294" s="35" t="str">
        <f t="shared" si="87"/>
        <v/>
      </c>
      <c r="BA294" s="35" t="str">
        <f t="shared" si="88"/>
        <v/>
      </c>
      <c r="BB294" s="35" t="str">
        <f t="shared" si="89"/>
        <v/>
      </c>
      <c r="BC294" s="35"/>
      <c r="BE294" s="35" t="e">
        <f>INDEX(SF_Output!$AA$2:$AA$400,MATCH($B294,SF_Output!$M$2:$M$400,0))</f>
        <v>#N/A</v>
      </c>
      <c r="BF294" s="35" t="e">
        <f>INDEX(SF_Output!$AB$2:$AB$400,MATCH($B294,SF_Output!$M$2:$M$400,0))</f>
        <v>#N/A</v>
      </c>
    </row>
    <row r="295" spans="6:58" x14ac:dyDescent="0.25">
      <c r="F295" s="116" t="str">
        <f t="shared" si="72"/>
        <v/>
      </c>
      <c r="G295" t="str">
        <f>IF(B295="","",INDEX(SF_Output!$K$1:$K$400,MATCH(B295,SF_Output!$M$1:$M$400,0)))</f>
        <v/>
      </c>
      <c r="H295" t="str" cm="1">
        <f t="array" ref="H295">_xlfn.IFS(B295="","",(SUMIFS(SF_Output!$F$1:$F$400,SF_Output!$AC$1:$AC$400,_xlfn.TEXTJOIN(",",TRUE,B295:E295))+SUMIFS(SF_Output!$G$1:$G$400,SF_Output!$AC$1:$AC$400,_xlfn.TEXTJOIN(",",TRUE,B295:E295)))&lt;&gt;0,SF_Output!$Y$2,INDEX(SF_Output!$F$1:$F$400,MATCH(_xlfn.TEXTJOIN(",",TRUE,B295:E295),SF_Output!$AC$1:$AC$400,0))=0,INDEX(SF_Output!$R$1:$R$400,MATCH(_xlfn.TEXTJOIN(",",TRUE,B295:E295),SF_Output!$AC$1:$AC$400,0)))</f>
        <v/>
      </c>
      <c r="I295" s="125" t="str">
        <f>IFERROR(IF(AND(H295&gt;1,H295&lt;&gt;""),ROUND(SUMIFS(SF_Output!$S$1:$S$400,SF_Output!$AC$1:$AC$400,_xlfn.TEXTJOIN(",",TRUE,B295:E295),SF_Output!$Q$1:$Q$400,"monthly")*(1-W295)/H295,4),""),"")</f>
        <v/>
      </c>
      <c r="J295" s="6" t="str">
        <f>IF(B295="","",SUMIFS(SF_Output!$S$1:$S$400,SF_Output!$AC$1:$AC$400,_xlfn.TEXTJOIN(",",TRUE,B295:E295),SF_Output!$Q$1:$Q$400,"One Time",SF_Output!$L$1:$L$400,"license fee")+SUMIFS(SF_Output!$S$1:$S$400,SF_Output!$AC$1:$AC$400,_xlfn.TEXTJOIN(",",TRUE,B295:E295),SF_Output!$Q$1:$Q$400,"One Time",SF_Output!$L$1:$L$400,"software license")+SUMIFS(SF_Output!$S$1:$S$400,SF_Output!$AC$1:$AC$400,_xlfn.TEXTJOIN(",",TRUE,B295:E295),SF_Output!$Q$1:$Q$400,"One Time",SF_Output!$L$1:$L$400,"hardware"))</f>
        <v/>
      </c>
      <c r="K295" s="112" t="str">
        <f>IF(OR(B295=0,B295="",G295="hardware",J295=0),"",IF(AF295&lt;&gt;"exclusion",MAX(K$9,-((SUMIFS(SF_Output!$T$1:$T$400,SF_Output!$AC$1:$AC$400,_xlfn.TEXTJOIN(",",TRUE,$B295:$E295),SF_Output!$Q$1:$Q$400,"One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license"))/J295)))</f>
        <v/>
      </c>
      <c r="L295" s="6" t="str">
        <f t="shared" si="73"/>
        <v/>
      </c>
      <c r="N295" s="6" t="str">
        <f>IF(B295="","",SUMIFS(SF_Output!$S$1:$S$400,SF_Output!$AC$1:$AC$400,_xlfn.TEXTJOIN(",",TRUE,B295:E295),SF_Output!$Q$1:$Q$400,"One Time",SF_Output!$L$1:$L$400,"professional service"))</f>
        <v/>
      </c>
      <c r="O295" s="112" t="str">
        <f>IF(OR(B295=0,B295="",N295=0),"",IF(AF295&lt;&gt;"exclusion",MAX(O$9,-(SUMIFS(SF_Output!$T$1:$T$400,SF_Output!$AC$1:$AC$400,_xlfn.TEXTJOIN(",",TRUE,$B295:$E295),SF_Output!$Q$1:$Q$400,"One Time",SF_Output!$L$1:$L$400,"professional service"))/N295),-((SUMIFS(SF_Output!$T$1:$T$400,SF_Output!$AC$1:$AC$400,_xlfn.TEXTJOIN(",",TRUE,$B295:$E295),SF_Output!$Q$1:$Q$400,"One Time",SF_Output!$L$1:$L$400,"professional service")/N295))))</f>
        <v/>
      </c>
      <c r="P295" s="6" t="str">
        <f t="shared" si="74"/>
        <v/>
      </c>
      <c r="R295" s="6" t="str">
        <f>IF(B295="","",SUMIFS(SF_Output!$S$1:$S$400,SF_Output!$AC$1:$AC$400,_xlfn.TEXTJOIN(",",TRUE,B295:E295),SF_Output!$Q$1:$Q$400,"yearly")+SUMIFS(SF_Output!$S$1:$S$400,SF_Output!$AC$1:$AC$400,_xlfn.TEXTJOIN(",",TRUE,B295:E295),SF_Output!$Q$1:$Q$400,"quarterly")*4)</f>
        <v/>
      </c>
      <c r="S295" s="112" t="str">
        <f>IF(OR(B295=0,B295="",G295="hardware",R295=0),"",IF(AF295&lt;&gt;"exclusion",MAX(S$9,-(SUMIFS(SF_Output!$T$1:$T$400,SF_Output!$AC$1:$AC$400,_xlfn.TEXTJOIN(",",TRUE,$B295:$E295),SF_Output!$Q$1:$Q$400,"yearly"))/R295),-((SUMIFS(SF_Output!$T$1:$T$400,SF_Output!$AC$1:$AC$400,_xlfn.TEXTJOIN(",",TRUE,$B295:$E295),SF_Output!$Q$1:$Q$400,"yearly")/R295))))</f>
        <v/>
      </c>
      <c r="T295" s="6" t="str">
        <f t="shared" si="75"/>
        <v/>
      </c>
      <c r="V295" s="6" t="str" cm="1">
        <f t="array" ref="V295">_xlfn.IFS(B295="","",AND(B295&lt;&gt;"",H295=SF_Output!$Y$2,SUMIFS(SF_Output!$T$1:$T$400,SF_Output!$AC$1:$AC$400,_xlfn.TEXTJOIN(",",TRUE,B295:E295),SF_Output!$Q$1:$Q$400,"monthly")=0),(SUMIFS(SF_Output!$F$1:$F$400,SF_Output!$AC$1:$AC$400,_xlfn.TEXTJOIN(",",TRUE,B295:E295),SF_Output!$Q$1:$Q$400,"monthly")+SUMIFS(SF_Output!$G$1:$G$400,SF_Output!$AC$1:$AC$400,_xlfn.TEXTJOIN(",",TRUE,B295:E295),SF_Output!$Q$1:$Q$400,"monthly"))*H295,AND(B295&lt;&gt;"",H295=SF_Output!$Y$2,SUMIFS(SF_Output!$T$1:$T$400,SF_Output!$AC$1:$AC$400,_xlfn.TEXTJOIN(",",TRUE,B295:E295),SF_Output!$Q$1:$Q$400,"monthly")&lt;&gt;0),SUMIFS(SF_Output!$S$1:$S$400,SF_Output!$AC$1:$AC$400,_xlfn.TEXTJOIN(",",TRUE,B295:E295),SF_Output!$Q$1:$Q$400,"monthly"),AND(B295&lt;&gt;"",H295&lt;&gt;SF_Output!$Y$2),SUMIFS(SF_Output!$S$1:$S$400,SF_Output!$AC$1:$AC$400,_xlfn.TEXTJOIN(",",TRUE,B295:E295),SF_Output!$Q$1:$Q$400,"monthly"))</f>
        <v/>
      </c>
      <c r="W295" s="112" t="str" cm="1">
        <f t="array" ref="W295">_xlfn.IFS(OR(B295=0,B295="",V295=0),"",AF295&lt;&gt;"exclusion",MAX($W$9,$W$7,(-(SUMIFS(SF_Output!$T$1:$T$400,SF_Output!$AC$1:$AC$400,_xlfn.TEXTJOIN(",",TRUE,$B295:$E295),SF_Output!$Q$1:$Q$400,"monthly"))/V295)),AF295="exclusion",-(SUMIFS(SF_Output!$T$1:$T$400,SF_Output!$AC$1:$AC$400,_xlfn.TEXTJOIN(",",TRUE,$B295:$E295),SF_Output!$Q$1:$Q$400,"monthly"))/V295)</f>
        <v/>
      </c>
      <c r="X295" s="6" t="str" cm="1">
        <f t="array" ref="X295">IFERROR(_xlfn.IFS(V295=0,0,V295="","",W295=0,V295,OR(V295&lt;&gt;0,V295&lt;&gt;""),H295*I295),V295*(1-W295))</f>
        <v/>
      </c>
      <c r="Z295" s="6" t="str">
        <f>IFERROR(IF(B295="","",SUMIFS(Billing_Fallout!H:H,Billing_Fallout!N:N,B295)),0)</f>
        <v/>
      </c>
      <c r="AA295" s="6" t="str">
        <f t="shared" si="76"/>
        <v/>
      </c>
      <c r="AB295" s="6" t="str">
        <f>IFERROR(IF(B295="","",SUMIFS(Billing_Fallout!J:J,Billing_Fallout!N:N,B295)),0)</f>
        <v/>
      </c>
      <c r="AD295" s="6" t="str">
        <f t="shared" si="77"/>
        <v/>
      </c>
      <c r="AF295" t="str">
        <f>IFERROR(INDEX(H_Tables!$B$1:$B$1500,MATCH(INDEX(SF_Output!$J$1:$J$400,MATCH(B295,SF_Output!$M$1:$M$400,0)),H_Tables!$A$1:$A$1500,0)),"")</f>
        <v/>
      </c>
      <c r="AI295" s="119" t="str">
        <f t="shared" si="78"/>
        <v/>
      </c>
      <c r="AJ295" s="121">
        <f>IFERROR(INDEX(SF_Output!AD:AD,MATCH(_xlfn.TEXTJOIN(",",TRUE,B295:E295),SF_Output!AC46:AC445,0)),0.05)</f>
        <v>196</v>
      </c>
      <c r="AK295" t="str">
        <f>IF(SUMIFS(SF_Output!$F$1:$F$400,SF_Output!$AC$1:$AC$400,_xlfn.TEXTJOIN(",",TRUE,B295:E295))+SUMIFS(SF_Output!$G$1:$G$400,SF_Output!$AC$1:$AC$400,_xlfn.TEXTJOIN(",",TRUE,B295:E295))=0,"","PAP")</f>
        <v/>
      </c>
      <c r="AL295" s="35" t="str">
        <f t="shared" si="79"/>
        <v/>
      </c>
      <c r="AQ295" s="35"/>
      <c r="AR295" s="35" t="str" cm="1">
        <f t="array" ref="AR295">IFERROR(_xlfn.IFS(AND(E295*1=1,F295="Included"),"Change to Included",AND(E295*1=0,F295="Optional"),"Change to Optional",OR(B295="",F295="replaced"),""),"")</f>
        <v/>
      </c>
      <c r="AS295" s="35" t="str">
        <f t="shared" si="80"/>
        <v/>
      </c>
      <c r="AT295" s="35" t="str">
        <f t="shared" si="81"/>
        <v/>
      </c>
      <c r="AU295" s="35" t="str">
        <f t="shared" si="82"/>
        <v/>
      </c>
      <c r="AV295" s="35" t="str">
        <f t="shared" si="83"/>
        <v/>
      </c>
      <c r="AW295" s="35" t="str">
        <f t="shared" si="84"/>
        <v/>
      </c>
      <c r="AX295" s="35" t="str">
        <f t="shared" si="85"/>
        <v/>
      </c>
      <c r="AY295" s="35" t="str">
        <f t="shared" si="86"/>
        <v/>
      </c>
      <c r="AZ295" s="35" t="str">
        <f t="shared" si="87"/>
        <v/>
      </c>
      <c r="BA295" s="35" t="str">
        <f t="shared" si="88"/>
        <v/>
      </c>
      <c r="BB295" s="35" t="str">
        <f t="shared" si="89"/>
        <v/>
      </c>
      <c r="BC295" s="35"/>
      <c r="BE295" s="35" t="e">
        <f>INDEX(SF_Output!$AA$2:$AA$400,MATCH($B295,SF_Output!$M$2:$M$400,0))</f>
        <v>#N/A</v>
      </c>
      <c r="BF295" s="35" t="e">
        <f>INDEX(SF_Output!$AB$2:$AB$400,MATCH($B295,SF_Output!$M$2:$M$400,0))</f>
        <v>#N/A</v>
      </c>
    </row>
    <row r="296" spans="6:58" x14ac:dyDescent="0.25">
      <c r="F296" s="116" t="str">
        <f t="shared" si="72"/>
        <v/>
      </c>
      <c r="G296" t="str">
        <f>IF(B296="","",INDEX(SF_Output!$K$1:$K$400,MATCH(B296,SF_Output!$M$1:$M$400,0)))</f>
        <v/>
      </c>
      <c r="H296" t="str" cm="1">
        <f t="array" ref="H296">_xlfn.IFS(B296="","",(SUMIFS(SF_Output!$F$1:$F$400,SF_Output!$AC$1:$AC$400,_xlfn.TEXTJOIN(",",TRUE,B296:E296))+SUMIFS(SF_Output!$G$1:$G$400,SF_Output!$AC$1:$AC$400,_xlfn.TEXTJOIN(",",TRUE,B296:E296)))&lt;&gt;0,SF_Output!$Y$2,INDEX(SF_Output!$F$1:$F$400,MATCH(_xlfn.TEXTJOIN(",",TRUE,B296:E296),SF_Output!$AC$1:$AC$400,0))=0,INDEX(SF_Output!$R$1:$R$400,MATCH(_xlfn.TEXTJOIN(",",TRUE,B296:E296),SF_Output!$AC$1:$AC$400,0)))</f>
        <v/>
      </c>
      <c r="I296" s="125" t="str">
        <f>IFERROR(IF(AND(H296&gt;1,H296&lt;&gt;""),ROUND(SUMIFS(SF_Output!$S$1:$S$400,SF_Output!$AC$1:$AC$400,_xlfn.TEXTJOIN(",",TRUE,B296:E296),SF_Output!$Q$1:$Q$400,"monthly")*(1-W296)/H296,4),""),"")</f>
        <v/>
      </c>
      <c r="J296" s="6" t="str">
        <f>IF(B296="","",SUMIFS(SF_Output!$S$1:$S$400,SF_Output!$AC$1:$AC$400,_xlfn.TEXTJOIN(",",TRUE,B296:E296),SF_Output!$Q$1:$Q$400,"One Time",SF_Output!$L$1:$L$400,"license fee")+SUMIFS(SF_Output!$S$1:$S$400,SF_Output!$AC$1:$AC$400,_xlfn.TEXTJOIN(",",TRUE,B296:E296),SF_Output!$Q$1:$Q$400,"One Time",SF_Output!$L$1:$L$400,"software license")+SUMIFS(SF_Output!$S$1:$S$400,SF_Output!$AC$1:$AC$400,_xlfn.TEXTJOIN(",",TRUE,B296:E296),SF_Output!$Q$1:$Q$400,"One Time",SF_Output!$L$1:$L$400,"hardware"))</f>
        <v/>
      </c>
      <c r="K296" s="112" t="str">
        <f>IF(OR(B296=0,B296="",G296="hardware",J296=0),"",IF(AF296&lt;&gt;"exclusion",MAX(K$9,-((SUMIFS(SF_Output!$T$1:$T$400,SF_Output!$AC$1:$AC$400,_xlfn.TEXTJOIN(",",TRUE,$B296:$E296),SF_Output!$Q$1:$Q$400,"One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license"))/J296)))</f>
        <v/>
      </c>
      <c r="L296" s="6" t="str">
        <f t="shared" si="73"/>
        <v/>
      </c>
      <c r="N296" s="6" t="str">
        <f>IF(B296="","",SUMIFS(SF_Output!$S$1:$S$400,SF_Output!$AC$1:$AC$400,_xlfn.TEXTJOIN(",",TRUE,B296:E296),SF_Output!$Q$1:$Q$400,"One Time",SF_Output!$L$1:$L$400,"professional service"))</f>
        <v/>
      </c>
      <c r="O296" s="112" t="str">
        <f>IF(OR(B296=0,B296="",N296=0),"",IF(AF296&lt;&gt;"exclusion",MAX(O$9,-(SUMIFS(SF_Output!$T$1:$T$400,SF_Output!$AC$1:$AC$400,_xlfn.TEXTJOIN(",",TRUE,$B296:$E296),SF_Output!$Q$1:$Q$400,"One Time",SF_Output!$L$1:$L$400,"professional service"))/N296),-((SUMIFS(SF_Output!$T$1:$T$400,SF_Output!$AC$1:$AC$400,_xlfn.TEXTJOIN(",",TRUE,$B296:$E296),SF_Output!$Q$1:$Q$400,"One Time",SF_Output!$L$1:$L$400,"professional service")/N296))))</f>
        <v/>
      </c>
      <c r="P296" s="6" t="str">
        <f t="shared" si="74"/>
        <v/>
      </c>
      <c r="R296" s="6" t="str">
        <f>IF(B296="","",SUMIFS(SF_Output!$S$1:$S$400,SF_Output!$AC$1:$AC$400,_xlfn.TEXTJOIN(",",TRUE,B296:E296),SF_Output!$Q$1:$Q$400,"yearly")+SUMIFS(SF_Output!$S$1:$S$400,SF_Output!$AC$1:$AC$400,_xlfn.TEXTJOIN(",",TRUE,B296:E296),SF_Output!$Q$1:$Q$400,"quarterly")*4)</f>
        <v/>
      </c>
      <c r="S296" s="112" t="str">
        <f>IF(OR(B296=0,B296="",G296="hardware",R296=0),"",IF(AF296&lt;&gt;"exclusion",MAX(S$9,-(SUMIFS(SF_Output!$T$1:$T$400,SF_Output!$AC$1:$AC$400,_xlfn.TEXTJOIN(",",TRUE,$B296:$E296),SF_Output!$Q$1:$Q$400,"yearly"))/R296),-((SUMIFS(SF_Output!$T$1:$T$400,SF_Output!$AC$1:$AC$400,_xlfn.TEXTJOIN(",",TRUE,$B296:$E296),SF_Output!$Q$1:$Q$400,"yearly")/R296))))</f>
        <v/>
      </c>
      <c r="T296" s="6" t="str">
        <f t="shared" si="75"/>
        <v/>
      </c>
      <c r="V296" s="6" t="str" cm="1">
        <f t="array" ref="V296">_xlfn.IFS(B296="","",AND(B296&lt;&gt;"",H296=SF_Output!$Y$2,SUMIFS(SF_Output!$T$1:$T$400,SF_Output!$AC$1:$AC$400,_xlfn.TEXTJOIN(",",TRUE,B296:E296),SF_Output!$Q$1:$Q$400,"monthly")=0),(SUMIFS(SF_Output!$F$1:$F$400,SF_Output!$AC$1:$AC$400,_xlfn.TEXTJOIN(",",TRUE,B296:E296),SF_Output!$Q$1:$Q$400,"monthly")+SUMIFS(SF_Output!$G$1:$G$400,SF_Output!$AC$1:$AC$400,_xlfn.TEXTJOIN(",",TRUE,B296:E296),SF_Output!$Q$1:$Q$400,"monthly"))*H296,AND(B296&lt;&gt;"",H296=SF_Output!$Y$2,SUMIFS(SF_Output!$T$1:$T$400,SF_Output!$AC$1:$AC$400,_xlfn.TEXTJOIN(",",TRUE,B296:E296),SF_Output!$Q$1:$Q$400,"monthly")&lt;&gt;0),SUMIFS(SF_Output!$S$1:$S$400,SF_Output!$AC$1:$AC$400,_xlfn.TEXTJOIN(",",TRUE,B296:E296),SF_Output!$Q$1:$Q$400,"monthly"),AND(B296&lt;&gt;"",H296&lt;&gt;SF_Output!$Y$2),SUMIFS(SF_Output!$S$1:$S$400,SF_Output!$AC$1:$AC$400,_xlfn.TEXTJOIN(",",TRUE,B296:E296),SF_Output!$Q$1:$Q$400,"monthly"))</f>
        <v/>
      </c>
      <c r="W296" s="112" t="str" cm="1">
        <f t="array" ref="W296">_xlfn.IFS(OR(B296=0,B296="",V296=0),"",AF296&lt;&gt;"exclusion",MAX($W$9,$W$7,(-(SUMIFS(SF_Output!$T$1:$T$400,SF_Output!$AC$1:$AC$400,_xlfn.TEXTJOIN(",",TRUE,$B296:$E296),SF_Output!$Q$1:$Q$400,"monthly"))/V296)),AF296="exclusion",-(SUMIFS(SF_Output!$T$1:$T$400,SF_Output!$AC$1:$AC$400,_xlfn.TEXTJOIN(",",TRUE,$B296:$E296),SF_Output!$Q$1:$Q$400,"monthly"))/V296)</f>
        <v/>
      </c>
      <c r="X296" s="6" t="str" cm="1">
        <f t="array" ref="X296">IFERROR(_xlfn.IFS(V296=0,0,V296="","",W296=0,V296,OR(V296&lt;&gt;0,V296&lt;&gt;""),H296*I296),V296*(1-W296))</f>
        <v/>
      </c>
      <c r="Z296" s="6" t="str">
        <f>IFERROR(IF(B296="","",SUMIFS(Billing_Fallout!H:H,Billing_Fallout!N:N,B296)),0)</f>
        <v/>
      </c>
      <c r="AA296" s="6" t="str">
        <f t="shared" si="76"/>
        <v/>
      </c>
      <c r="AB296" s="6" t="str">
        <f>IFERROR(IF(B296="","",SUMIFS(Billing_Fallout!J:J,Billing_Fallout!N:N,B296)),0)</f>
        <v/>
      </c>
      <c r="AD296" s="6" t="str">
        <f t="shared" si="77"/>
        <v/>
      </c>
      <c r="AF296" t="str">
        <f>IFERROR(INDEX(H_Tables!$B$1:$B$1500,MATCH(INDEX(SF_Output!$J$1:$J$400,MATCH(B296,SF_Output!$M$1:$M$400,0)),H_Tables!$A$1:$A$1500,0)),"")</f>
        <v/>
      </c>
      <c r="AI296" s="119" t="str">
        <f t="shared" si="78"/>
        <v/>
      </c>
      <c r="AJ296" s="121">
        <f>IFERROR(INDEX(SF_Output!AD:AD,MATCH(_xlfn.TEXTJOIN(",",TRUE,B296:E296),SF_Output!AC47:AC446,0)),0.05)</f>
        <v>195</v>
      </c>
      <c r="AK296" t="str">
        <f>IF(SUMIFS(SF_Output!$F$1:$F$400,SF_Output!$AC$1:$AC$400,_xlfn.TEXTJOIN(",",TRUE,B296:E296))+SUMIFS(SF_Output!$G$1:$G$400,SF_Output!$AC$1:$AC$400,_xlfn.TEXTJOIN(",",TRUE,B296:E296))=0,"","PAP")</f>
        <v/>
      </c>
      <c r="AL296" s="35" t="str">
        <f t="shared" si="79"/>
        <v/>
      </c>
      <c r="AQ296" s="35"/>
      <c r="AR296" s="35" t="str" cm="1">
        <f t="array" ref="AR296">IFERROR(_xlfn.IFS(AND(E296*1=1,F296="Included"),"Change to Included",AND(E296*1=0,F296="Optional"),"Change to Optional",OR(B296="",F296="replaced"),""),"")</f>
        <v/>
      </c>
      <c r="AS296" s="35" t="str">
        <f t="shared" si="80"/>
        <v/>
      </c>
      <c r="AT296" s="35" t="str">
        <f t="shared" si="81"/>
        <v/>
      </c>
      <c r="AU296" s="35" t="str">
        <f t="shared" si="82"/>
        <v/>
      </c>
      <c r="AV296" s="35" t="str">
        <f t="shared" si="83"/>
        <v/>
      </c>
      <c r="AW296" s="35" t="str">
        <f t="shared" si="84"/>
        <v/>
      </c>
      <c r="AX296" s="35" t="str">
        <f t="shared" si="85"/>
        <v/>
      </c>
      <c r="AY296" s="35" t="str">
        <f t="shared" si="86"/>
        <v/>
      </c>
      <c r="AZ296" s="35" t="str">
        <f t="shared" si="87"/>
        <v/>
      </c>
      <c r="BA296" s="35" t="str">
        <f t="shared" si="88"/>
        <v/>
      </c>
      <c r="BB296" s="35" t="str">
        <f t="shared" si="89"/>
        <v/>
      </c>
      <c r="BC296" s="35"/>
      <c r="BE296" s="35" t="e">
        <f>INDEX(SF_Output!$AA$2:$AA$400,MATCH($B296,SF_Output!$M$2:$M$400,0))</f>
        <v>#N/A</v>
      </c>
      <c r="BF296" s="35" t="e">
        <f>INDEX(SF_Output!$AB$2:$AB$400,MATCH($B296,SF_Output!$M$2:$M$400,0))</f>
        <v>#N/A</v>
      </c>
    </row>
    <row r="297" spans="6:58" x14ac:dyDescent="0.25">
      <c r="F297" s="116" t="str">
        <f t="shared" si="72"/>
        <v/>
      </c>
      <c r="G297" t="str">
        <f>IF(B297="","",INDEX(SF_Output!$K$1:$K$400,MATCH(B297,SF_Output!$M$1:$M$400,0)))</f>
        <v/>
      </c>
      <c r="H297" t="str" cm="1">
        <f t="array" ref="H297">_xlfn.IFS(B297="","",(SUMIFS(SF_Output!$F$1:$F$400,SF_Output!$AC$1:$AC$400,_xlfn.TEXTJOIN(",",TRUE,B297:E297))+SUMIFS(SF_Output!$G$1:$G$400,SF_Output!$AC$1:$AC$400,_xlfn.TEXTJOIN(",",TRUE,B297:E297)))&lt;&gt;0,SF_Output!$Y$2,INDEX(SF_Output!$F$1:$F$400,MATCH(_xlfn.TEXTJOIN(",",TRUE,B297:E297),SF_Output!$AC$1:$AC$400,0))=0,INDEX(SF_Output!$R$1:$R$400,MATCH(_xlfn.TEXTJOIN(",",TRUE,B297:E297),SF_Output!$AC$1:$AC$400,0)))</f>
        <v/>
      </c>
      <c r="I297" s="125" t="str">
        <f>IFERROR(IF(AND(H297&gt;1,H297&lt;&gt;""),ROUND(SUMIFS(SF_Output!$S$1:$S$400,SF_Output!$AC$1:$AC$400,_xlfn.TEXTJOIN(",",TRUE,B297:E297),SF_Output!$Q$1:$Q$400,"monthly")*(1-W297)/H297,4),""),"")</f>
        <v/>
      </c>
      <c r="J297" s="6" t="str">
        <f>IF(B297="","",SUMIFS(SF_Output!$S$1:$S$400,SF_Output!$AC$1:$AC$400,_xlfn.TEXTJOIN(",",TRUE,B297:E297),SF_Output!$Q$1:$Q$400,"One Time",SF_Output!$L$1:$L$400,"license fee")+SUMIFS(SF_Output!$S$1:$S$400,SF_Output!$AC$1:$AC$400,_xlfn.TEXTJOIN(",",TRUE,B297:E297),SF_Output!$Q$1:$Q$400,"One Time",SF_Output!$L$1:$L$400,"software license")+SUMIFS(SF_Output!$S$1:$S$400,SF_Output!$AC$1:$AC$400,_xlfn.TEXTJOIN(",",TRUE,B297:E297),SF_Output!$Q$1:$Q$400,"One Time",SF_Output!$L$1:$L$400,"hardware"))</f>
        <v/>
      </c>
      <c r="K297" s="112" t="str">
        <f>IF(OR(B297=0,B297="",G297="hardware",J297=0),"",IF(AF297&lt;&gt;"exclusion",MAX(K$9,-((SUMIFS(SF_Output!$T$1:$T$400,SF_Output!$AC$1:$AC$400,_xlfn.TEXTJOIN(",",TRUE,$B297:$E297),SF_Output!$Q$1:$Q$400,"One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license"))/J297)))</f>
        <v/>
      </c>
      <c r="L297" s="6" t="str">
        <f t="shared" si="73"/>
        <v/>
      </c>
      <c r="N297" s="6" t="str">
        <f>IF(B297="","",SUMIFS(SF_Output!$S$1:$S$400,SF_Output!$AC$1:$AC$400,_xlfn.TEXTJOIN(",",TRUE,B297:E297),SF_Output!$Q$1:$Q$400,"One Time",SF_Output!$L$1:$L$400,"professional service"))</f>
        <v/>
      </c>
      <c r="O297" s="112" t="str">
        <f>IF(OR(B297=0,B297="",N297=0),"",IF(AF297&lt;&gt;"exclusion",MAX(O$9,-(SUMIFS(SF_Output!$T$1:$T$400,SF_Output!$AC$1:$AC$400,_xlfn.TEXTJOIN(",",TRUE,$B297:$E297),SF_Output!$Q$1:$Q$400,"One Time",SF_Output!$L$1:$L$400,"professional service"))/N297),-((SUMIFS(SF_Output!$T$1:$T$400,SF_Output!$AC$1:$AC$400,_xlfn.TEXTJOIN(",",TRUE,$B297:$E297),SF_Output!$Q$1:$Q$400,"One Time",SF_Output!$L$1:$L$400,"professional service")/N297))))</f>
        <v/>
      </c>
      <c r="P297" s="6" t="str">
        <f t="shared" si="74"/>
        <v/>
      </c>
      <c r="R297" s="6" t="str">
        <f>IF(B297="","",SUMIFS(SF_Output!$S$1:$S$400,SF_Output!$AC$1:$AC$400,_xlfn.TEXTJOIN(",",TRUE,B297:E297),SF_Output!$Q$1:$Q$400,"yearly")+SUMIFS(SF_Output!$S$1:$S$400,SF_Output!$AC$1:$AC$400,_xlfn.TEXTJOIN(",",TRUE,B297:E297),SF_Output!$Q$1:$Q$400,"quarterly")*4)</f>
        <v/>
      </c>
      <c r="S297" s="112" t="str">
        <f>IF(OR(B297=0,B297="",G297="hardware",R297=0),"",IF(AF297&lt;&gt;"exclusion",MAX(S$9,-(SUMIFS(SF_Output!$T$1:$T$400,SF_Output!$AC$1:$AC$400,_xlfn.TEXTJOIN(",",TRUE,$B297:$E297),SF_Output!$Q$1:$Q$400,"yearly"))/R297),-((SUMIFS(SF_Output!$T$1:$T$400,SF_Output!$AC$1:$AC$400,_xlfn.TEXTJOIN(",",TRUE,$B297:$E297),SF_Output!$Q$1:$Q$400,"yearly")/R297))))</f>
        <v/>
      </c>
      <c r="T297" s="6" t="str">
        <f t="shared" si="75"/>
        <v/>
      </c>
      <c r="V297" s="6" t="str" cm="1">
        <f t="array" ref="V297">_xlfn.IFS(B297="","",AND(B297&lt;&gt;"",H297=SF_Output!$Y$2,SUMIFS(SF_Output!$T$1:$T$400,SF_Output!$AC$1:$AC$400,_xlfn.TEXTJOIN(",",TRUE,B297:E297),SF_Output!$Q$1:$Q$400,"monthly")=0),(SUMIFS(SF_Output!$F$1:$F$400,SF_Output!$AC$1:$AC$400,_xlfn.TEXTJOIN(",",TRUE,B297:E297),SF_Output!$Q$1:$Q$400,"monthly")+SUMIFS(SF_Output!$G$1:$G$400,SF_Output!$AC$1:$AC$400,_xlfn.TEXTJOIN(",",TRUE,B297:E297),SF_Output!$Q$1:$Q$400,"monthly"))*H297,AND(B297&lt;&gt;"",H297=SF_Output!$Y$2,SUMIFS(SF_Output!$T$1:$T$400,SF_Output!$AC$1:$AC$400,_xlfn.TEXTJOIN(",",TRUE,B297:E297),SF_Output!$Q$1:$Q$400,"monthly")&lt;&gt;0),SUMIFS(SF_Output!$S$1:$S$400,SF_Output!$AC$1:$AC$400,_xlfn.TEXTJOIN(",",TRUE,B297:E297),SF_Output!$Q$1:$Q$400,"monthly"),AND(B297&lt;&gt;"",H297&lt;&gt;SF_Output!$Y$2),SUMIFS(SF_Output!$S$1:$S$400,SF_Output!$AC$1:$AC$400,_xlfn.TEXTJOIN(",",TRUE,B297:E297),SF_Output!$Q$1:$Q$400,"monthly"))</f>
        <v/>
      </c>
      <c r="W297" s="112" t="str" cm="1">
        <f t="array" ref="W297">_xlfn.IFS(OR(B297=0,B297="",V297=0),"",AF297&lt;&gt;"exclusion",MAX($W$9,$W$7,(-(SUMIFS(SF_Output!$T$1:$T$400,SF_Output!$AC$1:$AC$400,_xlfn.TEXTJOIN(",",TRUE,$B297:$E297),SF_Output!$Q$1:$Q$400,"monthly"))/V297)),AF297="exclusion",-(SUMIFS(SF_Output!$T$1:$T$400,SF_Output!$AC$1:$AC$400,_xlfn.TEXTJOIN(",",TRUE,$B297:$E297),SF_Output!$Q$1:$Q$400,"monthly"))/V297)</f>
        <v/>
      </c>
      <c r="X297" s="6" t="str" cm="1">
        <f t="array" ref="X297">IFERROR(_xlfn.IFS(V297=0,0,V297="","",W297=0,V297,OR(V297&lt;&gt;0,V297&lt;&gt;""),H297*I297),V297*(1-W297))</f>
        <v/>
      </c>
      <c r="Z297" s="6" t="str">
        <f>IFERROR(IF(B297="","",SUMIFS(Billing_Fallout!H:H,Billing_Fallout!N:N,B297)),0)</f>
        <v/>
      </c>
      <c r="AA297" s="6" t="str">
        <f t="shared" si="76"/>
        <v/>
      </c>
      <c r="AB297" s="6" t="str">
        <f>IFERROR(IF(B297="","",SUMIFS(Billing_Fallout!J:J,Billing_Fallout!N:N,B297)),0)</f>
        <v/>
      </c>
      <c r="AD297" s="6" t="str">
        <f t="shared" si="77"/>
        <v/>
      </c>
      <c r="AF297" t="str">
        <f>IFERROR(INDEX(H_Tables!$B$1:$B$1500,MATCH(INDEX(SF_Output!$J$1:$J$400,MATCH(B297,SF_Output!$M$1:$M$400,0)),H_Tables!$A$1:$A$1500,0)),"")</f>
        <v/>
      </c>
      <c r="AI297" s="119" t="str">
        <f t="shared" si="78"/>
        <v/>
      </c>
      <c r="AJ297" s="121">
        <f>IFERROR(INDEX(SF_Output!AD:AD,MATCH(_xlfn.TEXTJOIN(",",TRUE,B297:E297),SF_Output!AC48:AC447,0)),0.05)</f>
        <v>194</v>
      </c>
      <c r="AK297" t="str">
        <f>IF(SUMIFS(SF_Output!$F$1:$F$400,SF_Output!$AC$1:$AC$400,_xlfn.TEXTJOIN(",",TRUE,B297:E297))+SUMIFS(SF_Output!$G$1:$G$400,SF_Output!$AC$1:$AC$400,_xlfn.TEXTJOIN(",",TRUE,B297:E297))=0,"","PAP")</f>
        <v/>
      </c>
      <c r="AL297" s="35" t="str">
        <f t="shared" si="79"/>
        <v/>
      </c>
      <c r="AQ297" s="35"/>
      <c r="AR297" s="35" t="str" cm="1">
        <f t="array" ref="AR297">IFERROR(_xlfn.IFS(AND(E297*1=1,F297="Included"),"Change to Included",AND(E297*1=0,F297="Optional"),"Change to Optional",OR(B297="",F297="replaced"),""),"")</f>
        <v/>
      </c>
      <c r="AS297" s="35" t="str">
        <f t="shared" si="80"/>
        <v/>
      </c>
      <c r="AT297" s="35" t="str">
        <f t="shared" si="81"/>
        <v/>
      </c>
      <c r="AU297" s="35" t="str">
        <f t="shared" si="82"/>
        <v/>
      </c>
      <c r="AV297" s="35" t="str">
        <f t="shared" si="83"/>
        <v/>
      </c>
      <c r="AW297" s="35" t="str">
        <f t="shared" si="84"/>
        <v/>
      </c>
      <c r="AX297" s="35" t="str">
        <f t="shared" si="85"/>
        <v/>
      </c>
      <c r="AY297" s="35" t="str">
        <f t="shared" si="86"/>
        <v/>
      </c>
      <c r="AZ297" s="35" t="str">
        <f t="shared" si="87"/>
        <v/>
      </c>
      <c r="BA297" s="35" t="str">
        <f t="shared" si="88"/>
        <v/>
      </c>
      <c r="BB297" s="35" t="str">
        <f t="shared" si="89"/>
        <v/>
      </c>
      <c r="BC297" s="35"/>
      <c r="BE297" s="35" t="e">
        <f>INDEX(SF_Output!$AA$2:$AA$400,MATCH($B297,SF_Output!$M$2:$M$400,0))</f>
        <v>#N/A</v>
      </c>
      <c r="BF297" s="35" t="e">
        <f>INDEX(SF_Output!$AB$2:$AB$400,MATCH($B297,SF_Output!$M$2:$M$400,0))</f>
        <v>#N/A</v>
      </c>
    </row>
    <row r="298" spans="6:58" x14ac:dyDescent="0.25">
      <c r="F298" s="116" t="str">
        <f t="shared" si="72"/>
        <v/>
      </c>
      <c r="G298" t="str">
        <f>IF(B298="","",INDEX(SF_Output!$K$1:$K$400,MATCH(B298,SF_Output!$M$1:$M$400,0)))</f>
        <v/>
      </c>
      <c r="H298" t="str" cm="1">
        <f t="array" ref="H298">_xlfn.IFS(B298="","",(SUMIFS(SF_Output!$F$1:$F$400,SF_Output!$AC$1:$AC$400,_xlfn.TEXTJOIN(",",TRUE,B298:E298))+SUMIFS(SF_Output!$G$1:$G$400,SF_Output!$AC$1:$AC$400,_xlfn.TEXTJOIN(",",TRUE,B298:E298)))&lt;&gt;0,SF_Output!$Y$2,INDEX(SF_Output!$F$1:$F$400,MATCH(_xlfn.TEXTJOIN(",",TRUE,B298:E298),SF_Output!$AC$1:$AC$400,0))=0,INDEX(SF_Output!$R$1:$R$400,MATCH(_xlfn.TEXTJOIN(",",TRUE,B298:E298),SF_Output!$AC$1:$AC$400,0)))</f>
        <v/>
      </c>
      <c r="I298" s="125" t="str">
        <f>IFERROR(IF(AND(H298&gt;1,H298&lt;&gt;""),ROUND(SUMIFS(SF_Output!$S$1:$S$400,SF_Output!$AC$1:$AC$400,_xlfn.TEXTJOIN(",",TRUE,B298:E298),SF_Output!$Q$1:$Q$400,"monthly")*(1-W298)/H298,4),""),"")</f>
        <v/>
      </c>
      <c r="J298" s="6" t="str">
        <f>IF(B298="","",SUMIFS(SF_Output!$S$1:$S$400,SF_Output!$AC$1:$AC$400,_xlfn.TEXTJOIN(",",TRUE,B298:E298),SF_Output!$Q$1:$Q$400,"One Time",SF_Output!$L$1:$L$400,"license fee")+SUMIFS(SF_Output!$S$1:$S$400,SF_Output!$AC$1:$AC$400,_xlfn.TEXTJOIN(",",TRUE,B298:E298),SF_Output!$Q$1:$Q$400,"One Time",SF_Output!$L$1:$L$400,"software license")+SUMIFS(SF_Output!$S$1:$S$400,SF_Output!$AC$1:$AC$400,_xlfn.TEXTJOIN(",",TRUE,B298:E298),SF_Output!$Q$1:$Q$400,"One Time",SF_Output!$L$1:$L$400,"hardware"))</f>
        <v/>
      </c>
      <c r="K298" s="112" t="str">
        <f>IF(OR(B298=0,B298="",G298="hardware",J298=0),"",IF(AF298&lt;&gt;"exclusion",MAX(K$9,-((SUMIFS(SF_Output!$T$1:$T$400,SF_Output!$AC$1:$AC$400,_xlfn.TEXTJOIN(",",TRUE,$B298:$E298),SF_Output!$Q$1:$Q$400,"One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license"))/J298)))</f>
        <v/>
      </c>
      <c r="L298" s="6" t="str">
        <f t="shared" si="73"/>
        <v/>
      </c>
      <c r="N298" s="6" t="str">
        <f>IF(B298="","",SUMIFS(SF_Output!$S$1:$S$400,SF_Output!$AC$1:$AC$400,_xlfn.TEXTJOIN(",",TRUE,B298:E298),SF_Output!$Q$1:$Q$400,"One Time",SF_Output!$L$1:$L$400,"professional service"))</f>
        <v/>
      </c>
      <c r="O298" s="112" t="str">
        <f>IF(OR(B298=0,B298="",N298=0),"",IF(AF298&lt;&gt;"exclusion",MAX(O$9,-(SUMIFS(SF_Output!$T$1:$T$400,SF_Output!$AC$1:$AC$400,_xlfn.TEXTJOIN(",",TRUE,$B298:$E298),SF_Output!$Q$1:$Q$400,"One Time",SF_Output!$L$1:$L$400,"professional service"))/N298),-((SUMIFS(SF_Output!$T$1:$T$400,SF_Output!$AC$1:$AC$400,_xlfn.TEXTJOIN(",",TRUE,$B298:$E298),SF_Output!$Q$1:$Q$400,"One Time",SF_Output!$L$1:$L$400,"professional service")/N298))))</f>
        <v/>
      </c>
      <c r="P298" s="6" t="str">
        <f t="shared" si="74"/>
        <v/>
      </c>
      <c r="R298" s="6" t="str">
        <f>IF(B298="","",SUMIFS(SF_Output!$S$1:$S$400,SF_Output!$AC$1:$AC$400,_xlfn.TEXTJOIN(",",TRUE,B298:E298),SF_Output!$Q$1:$Q$400,"yearly")+SUMIFS(SF_Output!$S$1:$S$400,SF_Output!$AC$1:$AC$400,_xlfn.TEXTJOIN(",",TRUE,B298:E298),SF_Output!$Q$1:$Q$400,"quarterly")*4)</f>
        <v/>
      </c>
      <c r="S298" s="112" t="str">
        <f>IF(OR(B298=0,B298="",G298="hardware",R298=0),"",IF(AF298&lt;&gt;"exclusion",MAX(S$9,-(SUMIFS(SF_Output!$T$1:$T$400,SF_Output!$AC$1:$AC$400,_xlfn.TEXTJOIN(",",TRUE,$B298:$E298),SF_Output!$Q$1:$Q$400,"yearly"))/R298),-((SUMIFS(SF_Output!$T$1:$T$400,SF_Output!$AC$1:$AC$400,_xlfn.TEXTJOIN(",",TRUE,$B298:$E298),SF_Output!$Q$1:$Q$400,"yearly")/R298))))</f>
        <v/>
      </c>
      <c r="T298" s="6" t="str">
        <f t="shared" si="75"/>
        <v/>
      </c>
      <c r="V298" s="6" t="str" cm="1">
        <f t="array" ref="V298">_xlfn.IFS(B298="","",AND(B298&lt;&gt;"",H298=SF_Output!$Y$2,SUMIFS(SF_Output!$T$1:$T$400,SF_Output!$AC$1:$AC$400,_xlfn.TEXTJOIN(",",TRUE,B298:E298),SF_Output!$Q$1:$Q$400,"monthly")=0),(SUMIFS(SF_Output!$F$1:$F$400,SF_Output!$AC$1:$AC$400,_xlfn.TEXTJOIN(",",TRUE,B298:E298),SF_Output!$Q$1:$Q$400,"monthly")+SUMIFS(SF_Output!$G$1:$G$400,SF_Output!$AC$1:$AC$400,_xlfn.TEXTJOIN(",",TRUE,B298:E298),SF_Output!$Q$1:$Q$400,"monthly"))*H298,AND(B298&lt;&gt;"",H298=SF_Output!$Y$2,SUMIFS(SF_Output!$T$1:$T$400,SF_Output!$AC$1:$AC$400,_xlfn.TEXTJOIN(",",TRUE,B298:E298),SF_Output!$Q$1:$Q$400,"monthly")&lt;&gt;0),SUMIFS(SF_Output!$S$1:$S$400,SF_Output!$AC$1:$AC$400,_xlfn.TEXTJOIN(",",TRUE,B298:E298),SF_Output!$Q$1:$Q$400,"monthly"),AND(B298&lt;&gt;"",H298&lt;&gt;SF_Output!$Y$2),SUMIFS(SF_Output!$S$1:$S$400,SF_Output!$AC$1:$AC$400,_xlfn.TEXTJOIN(",",TRUE,B298:E298),SF_Output!$Q$1:$Q$400,"monthly"))</f>
        <v/>
      </c>
      <c r="W298" s="112" t="str" cm="1">
        <f t="array" ref="W298">_xlfn.IFS(OR(B298=0,B298="",V298=0),"",AF298&lt;&gt;"exclusion",MAX($W$9,$W$7,(-(SUMIFS(SF_Output!$T$1:$T$400,SF_Output!$AC$1:$AC$400,_xlfn.TEXTJOIN(",",TRUE,$B298:$E298),SF_Output!$Q$1:$Q$400,"monthly"))/V298)),AF298="exclusion",-(SUMIFS(SF_Output!$T$1:$T$400,SF_Output!$AC$1:$AC$400,_xlfn.TEXTJOIN(",",TRUE,$B298:$E298),SF_Output!$Q$1:$Q$400,"monthly"))/V298)</f>
        <v/>
      </c>
      <c r="X298" s="6" t="str" cm="1">
        <f t="array" ref="X298">IFERROR(_xlfn.IFS(V298=0,0,V298="","",W298=0,V298,OR(V298&lt;&gt;0,V298&lt;&gt;""),H298*I298),V298*(1-W298))</f>
        <v/>
      </c>
      <c r="Z298" s="6" t="str">
        <f>IFERROR(IF(B298="","",SUMIFS(Billing_Fallout!H:H,Billing_Fallout!N:N,B298)),0)</f>
        <v/>
      </c>
      <c r="AA298" s="6" t="str">
        <f t="shared" si="76"/>
        <v/>
      </c>
      <c r="AB298" s="6" t="str">
        <f>IFERROR(IF(B298="","",SUMIFS(Billing_Fallout!J:J,Billing_Fallout!N:N,B298)),0)</f>
        <v/>
      </c>
      <c r="AD298" s="6" t="str">
        <f t="shared" si="77"/>
        <v/>
      </c>
      <c r="AF298" t="str">
        <f>IFERROR(INDEX(H_Tables!$B$1:$B$1500,MATCH(INDEX(SF_Output!$J$1:$J$400,MATCH(B298,SF_Output!$M$1:$M$400,0)),H_Tables!$A$1:$A$1500,0)),"")</f>
        <v/>
      </c>
      <c r="AI298" s="119" t="str">
        <f t="shared" si="78"/>
        <v/>
      </c>
      <c r="AJ298" s="121">
        <f>IFERROR(INDEX(SF_Output!AD:AD,MATCH(_xlfn.TEXTJOIN(",",TRUE,B298:E298),SF_Output!AC49:AC448,0)),0.05)</f>
        <v>193</v>
      </c>
      <c r="AK298" t="str">
        <f>IF(SUMIFS(SF_Output!$F$1:$F$400,SF_Output!$AC$1:$AC$400,_xlfn.TEXTJOIN(",",TRUE,B298:E298))+SUMIFS(SF_Output!$G$1:$G$400,SF_Output!$AC$1:$AC$400,_xlfn.TEXTJOIN(",",TRUE,B298:E298))=0,"","PAP")</f>
        <v/>
      </c>
      <c r="AL298" s="35" t="str">
        <f t="shared" si="79"/>
        <v/>
      </c>
      <c r="AQ298" s="35"/>
      <c r="AR298" s="35" t="str" cm="1">
        <f t="array" ref="AR298">IFERROR(_xlfn.IFS(AND(E298*1=1,F298="Included"),"Change to Included",AND(E298*1=0,F298="Optional"),"Change to Optional",OR(B298="",F298="replaced"),""),"")</f>
        <v/>
      </c>
      <c r="AS298" s="35" t="str">
        <f t="shared" si="80"/>
        <v/>
      </c>
      <c r="AT298" s="35" t="str">
        <f t="shared" si="81"/>
        <v/>
      </c>
      <c r="AU298" s="35" t="str">
        <f t="shared" si="82"/>
        <v/>
      </c>
      <c r="AV298" s="35" t="str">
        <f t="shared" si="83"/>
        <v/>
      </c>
      <c r="AW298" s="35" t="str">
        <f t="shared" si="84"/>
        <v/>
      </c>
      <c r="AX298" s="35" t="str">
        <f t="shared" si="85"/>
        <v/>
      </c>
      <c r="AY298" s="35" t="str">
        <f t="shared" si="86"/>
        <v/>
      </c>
      <c r="AZ298" s="35" t="str">
        <f t="shared" si="87"/>
        <v/>
      </c>
      <c r="BA298" s="35" t="str">
        <f t="shared" si="88"/>
        <v/>
      </c>
      <c r="BB298" s="35" t="str">
        <f t="shared" si="89"/>
        <v/>
      </c>
      <c r="BC298" s="35"/>
      <c r="BE298" s="35" t="e">
        <f>INDEX(SF_Output!$AA$2:$AA$400,MATCH($B298,SF_Output!$M$2:$M$400,0))</f>
        <v>#N/A</v>
      </c>
      <c r="BF298" s="35" t="e">
        <f>INDEX(SF_Output!$AB$2:$AB$400,MATCH($B298,SF_Output!$M$2:$M$400,0))</f>
        <v>#N/A</v>
      </c>
    </row>
    <row r="299" spans="6:58" x14ac:dyDescent="0.25">
      <c r="F299" s="116" t="str">
        <f t="shared" si="72"/>
        <v/>
      </c>
      <c r="G299" t="str">
        <f>IF(B299="","",INDEX(SF_Output!$K$1:$K$400,MATCH(B299,SF_Output!$M$1:$M$400,0)))</f>
        <v/>
      </c>
      <c r="H299" t="str" cm="1">
        <f t="array" ref="H299">_xlfn.IFS(B299="","",(SUMIFS(SF_Output!$F$1:$F$400,SF_Output!$AC$1:$AC$400,_xlfn.TEXTJOIN(",",TRUE,B299:E299))+SUMIFS(SF_Output!$G$1:$G$400,SF_Output!$AC$1:$AC$400,_xlfn.TEXTJOIN(",",TRUE,B299:E299)))&lt;&gt;0,SF_Output!$Y$2,INDEX(SF_Output!$F$1:$F$400,MATCH(_xlfn.TEXTJOIN(",",TRUE,B299:E299),SF_Output!$AC$1:$AC$400,0))=0,INDEX(SF_Output!$R$1:$R$400,MATCH(_xlfn.TEXTJOIN(",",TRUE,B299:E299),SF_Output!$AC$1:$AC$400,0)))</f>
        <v/>
      </c>
      <c r="I299" s="125" t="str">
        <f>IFERROR(IF(AND(H299&gt;1,H299&lt;&gt;""),ROUND(SUMIFS(SF_Output!$S$1:$S$400,SF_Output!$AC$1:$AC$400,_xlfn.TEXTJOIN(",",TRUE,B299:E299),SF_Output!$Q$1:$Q$400,"monthly")*(1-W299)/H299,4),""),"")</f>
        <v/>
      </c>
      <c r="J299" s="6" t="str">
        <f>IF(B299="","",SUMIFS(SF_Output!$S$1:$S$400,SF_Output!$AC$1:$AC$400,_xlfn.TEXTJOIN(",",TRUE,B299:E299),SF_Output!$Q$1:$Q$400,"One Time",SF_Output!$L$1:$L$400,"license fee")+SUMIFS(SF_Output!$S$1:$S$400,SF_Output!$AC$1:$AC$400,_xlfn.TEXTJOIN(",",TRUE,B299:E299),SF_Output!$Q$1:$Q$400,"One Time",SF_Output!$L$1:$L$400,"software license")+SUMIFS(SF_Output!$S$1:$S$400,SF_Output!$AC$1:$AC$400,_xlfn.TEXTJOIN(",",TRUE,B299:E299),SF_Output!$Q$1:$Q$400,"One Time",SF_Output!$L$1:$L$400,"hardware"))</f>
        <v/>
      </c>
      <c r="K299" s="112" t="str">
        <f>IF(OR(B299=0,B299="",G299="hardware",J299=0),"",IF(AF299&lt;&gt;"exclusion",MAX(K$9,-((SUMIFS(SF_Output!$T$1:$T$400,SF_Output!$AC$1:$AC$400,_xlfn.TEXTJOIN(",",TRUE,$B299:$E299),SF_Output!$Q$1:$Q$400,"One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license"))/J299)))</f>
        <v/>
      </c>
      <c r="L299" s="6" t="str">
        <f t="shared" si="73"/>
        <v/>
      </c>
      <c r="N299" s="6" t="str">
        <f>IF(B299="","",SUMIFS(SF_Output!$S$1:$S$400,SF_Output!$AC$1:$AC$400,_xlfn.TEXTJOIN(",",TRUE,B299:E299),SF_Output!$Q$1:$Q$400,"One Time",SF_Output!$L$1:$L$400,"professional service"))</f>
        <v/>
      </c>
      <c r="O299" s="112" t="str">
        <f>IF(OR(B299=0,B299="",N299=0),"",IF(AF299&lt;&gt;"exclusion",MAX(O$9,-(SUMIFS(SF_Output!$T$1:$T$400,SF_Output!$AC$1:$AC$400,_xlfn.TEXTJOIN(",",TRUE,$B299:$E299),SF_Output!$Q$1:$Q$400,"One Time",SF_Output!$L$1:$L$400,"professional service"))/N299),-((SUMIFS(SF_Output!$T$1:$T$400,SF_Output!$AC$1:$AC$400,_xlfn.TEXTJOIN(",",TRUE,$B299:$E299),SF_Output!$Q$1:$Q$400,"One Time",SF_Output!$L$1:$L$400,"professional service")/N299))))</f>
        <v/>
      </c>
      <c r="P299" s="6" t="str">
        <f t="shared" si="74"/>
        <v/>
      </c>
      <c r="R299" s="6" t="str">
        <f>IF(B299="","",SUMIFS(SF_Output!$S$1:$S$400,SF_Output!$AC$1:$AC$400,_xlfn.TEXTJOIN(",",TRUE,B299:E299),SF_Output!$Q$1:$Q$400,"yearly")+SUMIFS(SF_Output!$S$1:$S$400,SF_Output!$AC$1:$AC$400,_xlfn.TEXTJOIN(",",TRUE,B299:E299),SF_Output!$Q$1:$Q$400,"quarterly")*4)</f>
        <v/>
      </c>
      <c r="S299" s="112" t="str">
        <f>IF(OR(B299=0,B299="",G299="hardware",R299=0),"",IF(AF299&lt;&gt;"exclusion",MAX(S$9,-(SUMIFS(SF_Output!$T$1:$T$400,SF_Output!$AC$1:$AC$400,_xlfn.TEXTJOIN(",",TRUE,$B299:$E299),SF_Output!$Q$1:$Q$400,"yearly"))/R299),-((SUMIFS(SF_Output!$T$1:$T$400,SF_Output!$AC$1:$AC$400,_xlfn.TEXTJOIN(",",TRUE,$B299:$E299),SF_Output!$Q$1:$Q$400,"yearly")/R299))))</f>
        <v/>
      </c>
      <c r="T299" s="6" t="str">
        <f t="shared" si="75"/>
        <v/>
      </c>
      <c r="V299" s="6" t="str" cm="1">
        <f t="array" ref="V299">_xlfn.IFS(B299="","",AND(B299&lt;&gt;"",H299=SF_Output!$Y$2,SUMIFS(SF_Output!$T$1:$T$400,SF_Output!$AC$1:$AC$400,_xlfn.TEXTJOIN(",",TRUE,B299:E299),SF_Output!$Q$1:$Q$400,"monthly")=0),(SUMIFS(SF_Output!$F$1:$F$400,SF_Output!$AC$1:$AC$400,_xlfn.TEXTJOIN(",",TRUE,B299:E299),SF_Output!$Q$1:$Q$400,"monthly")+SUMIFS(SF_Output!$G$1:$G$400,SF_Output!$AC$1:$AC$400,_xlfn.TEXTJOIN(",",TRUE,B299:E299),SF_Output!$Q$1:$Q$400,"monthly"))*H299,AND(B299&lt;&gt;"",H299=SF_Output!$Y$2,SUMIFS(SF_Output!$T$1:$T$400,SF_Output!$AC$1:$AC$400,_xlfn.TEXTJOIN(",",TRUE,B299:E299),SF_Output!$Q$1:$Q$400,"monthly")&lt;&gt;0),SUMIFS(SF_Output!$S$1:$S$400,SF_Output!$AC$1:$AC$400,_xlfn.TEXTJOIN(",",TRUE,B299:E299),SF_Output!$Q$1:$Q$400,"monthly"),AND(B299&lt;&gt;"",H299&lt;&gt;SF_Output!$Y$2),SUMIFS(SF_Output!$S$1:$S$400,SF_Output!$AC$1:$AC$400,_xlfn.TEXTJOIN(",",TRUE,B299:E299),SF_Output!$Q$1:$Q$400,"monthly"))</f>
        <v/>
      </c>
      <c r="W299" s="112" t="str" cm="1">
        <f t="array" ref="W299">_xlfn.IFS(OR(B299=0,B299="",V299=0),"",AF299&lt;&gt;"exclusion",MAX($W$9,$W$7,(-(SUMIFS(SF_Output!$T$1:$T$400,SF_Output!$AC$1:$AC$400,_xlfn.TEXTJOIN(",",TRUE,$B299:$E299),SF_Output!$Q$1:$Q$400,"monthly"))/V299)),AF299="exclusion",-(SUMIFS(SF_Output!$T$1:$T$400,SF_Output!$AC$1:$AC$400,_xlfn.TEXTJOIN(",",TRUE,$B299:$E299),SF_Output!$Q$1:$Q$400,"monthly"))/V299)</f>
        <v/>
      </c>
      <c r="X299" s="6" t="str" cm="1">
        <f t="array" ref="X299">IFERROR(_xlfn.IFS(V299=0,0,V299="","",W299=0,V299,OR(V299&lt;&gt;0,V299&lt;&gt;""),H299*I299),V299*(1-W299))</f>
        <v/>
      </c>
      <c r="Z299" s="6" t="str">
        <f>IFERROR(IF(B299="","",SUMIFS(Billing_Fallout!H:H,Billing_Fallout!N:N,B299)),0)</f>
        <v/>
      </c>
      <c r="AA299" s="6" t="str">
        <f t="shared" si="76"/>
        <v/>
      </c>
      <c r="AB299" s="6" t="str">
        <f>IFERROR(IF(B299="","",SUMIFS(Billing_Fallout!J:J,Billing_Fallout!N:N,B299)),0)</f>
        <v/>
      </c>
      <c r="AD299" s="6" t="str">
        <f t="shared" si="77"/>
        <v/>
      </c>
      <c r="AF299" t="str">
        <f>IFERROR(INDEX(H_Tables!$B$1:$B$1500,MATCH(INDEX(SF_Output!$J$1:$J$400,MATCH(B299,SF_Output!$M$1:$M$400,0)),H_Tables!$A$1:$A$1500,0)),"")</f>
        <v/>
      </c>
      <c r="AI299" s="119" t="str">
        <f t="shared" si="78"/>
        <v/>
      </c>
      <c r="AJ299" s="121">
        <f>IFERROR(INDEX(SF_Output!AD:AD,MATCH(_xlfn.TEXTJOIN(",",TRUE,B299:E299),SF_Output!AC50:AC449,0)),0.05)</f>
        <v>192</v>
      </c>
      <c r="AK299" t="str">
        <f>IF(SUMIFS(SF_Output!$F$1:$F$400,SF_Output!$AC$1:$AC$400,_xlfn.TEXTJOIN(",",TRUE,B299:E299))+SUMIFS(SF_Output!$G$1:$G$400,SF_Output!$AC$1:$AC$400,_xlfn.TEXTJOIN(",",TRUE,B299:E299))=0,"","PAP")</f>
        <v/>
      </c>
      <c r="AL299" s="35" t="str">
        <f t="shared" si="79"/>
        <v/>
      </c>
      <c r="AQ299" s="35"/>
      <c r="AR299" s="35" t="str" cm="1">
        <f t="array" ref="AR299">IFERROR(_xlfn.IFS(AND(E299*1=1,F299="Included"),"Change to Included",AND(E299*1=0,F299="Optional"),"Change to Optional",OR(B299="",F299="replaced"),""),"")</f>
        <v/>
      </c>
      <c r="AS299" s="35" t="str">
        <f t="shared" si="80"/>
        <v/>
      </c>
      <c r="AT299" s="35" t="str">
        <f t="shared" si="81"/>
        <v/>
      </c>
      <c r="AU299" s="35" t="str">
        <f t="shared" si="82"/>
        <v/>
      </c>
      <c r="AV299" s="35" t="str">
        <f t="shared" si="83"/>
        <v/>
      </c>
      <c r="AW299" s="35" t="str">
        <f t="shared" si="84"/>
        <v/>
      </c>
      <c r="AX299" s="35" t="str">
        <f t="shared" si="85"/>
        <v/>
      </c>
      <c r="AY299" s="35" t="str">
        <f t="shared" si="86"/>
        <v/>
      </c>
      <c r="AZ299" s="35" t="str">
        <f t="shared" si="87"/>
        <v/>
      </c>
      <c r="BA299" s="35" t="str">
        <f t="shared" si="88"/>
        <v/>
      </c>
      <c r="BB299" s="35" t="str">
        <f t="shared" si="89"/>
        <v/>
      </c>
      <c r="BC299" s="35"/>
      <c r="BE299" s="35" t="e">
        <f>INDEX(SF_Output!$AA$2:$AA$400,MATCH($B299,SF_Output!$M$2:$M$400,0))</f>
        <v>#N/A</v>
      </c>
      <c r="BF299" s="35" t="e">
        <f>INDEX(SF_Output!$AB$2:$AB$400,MATCH($B299,SF_Output!$M$2:$M$400,0))</f>
        <v>#N/A</v>
      </c>
    </row>
    <row r="300" spans="6:58" x14ac:dyDescent="0.25">
      <c r="F300" s="116" t="str">
        <f t="shared" si="72"/>
        <v/>
      </c>
      <c r="G300" t="str">
        <f>IF(B300="","",INDEX(SF_Output!$K$1:$K$400,MATCH(B300,SF_Output!$M$1:$M$400,0)))</f>
        <v/>
      </c>
      <c r="H300" t="str" cm="1">
        <f t="array" ref="H300">_xlfn.IFS(B300="","",(SUMIFS(SF_Output!$F$1:$F$400,SF_Output!$AC$1:$AC$400,_xlfn.TEXTJOIN(",",TRUE,B300:E300))+SUMIFS(SF_Output!$G$1:$G$400,SF_Output!$AC$1:$AC$400,_xlfn.TEXTJOIN(",",TRUE,B300:E300)))&lt;&gt;0,SF_Output!$Y$2,INDEX(SF_Output!$F$1:$F$400,MATCH(_xlfn.TEXTJOIN(",",TRUE,B300:E300),SF_Output!$AC$1:$AC$400,0))=0,INDEX(SF_Output!$R$1:$R$400,MATCH(_xlfn.TEXTJOIN(",",TRUE,B300:E300),SF_Output!$AC$1:$AC$400,0)))</f>
        <v/>
      </c>
      <c r="I300" s="125" t="str">
        <f>IFERROR(IF(AND(H300&gt;1,H300&lt;&gt;""),ROUND(SUMIFS(SF_Output!$S$1:$S$400,SF_Output!$AC$1:$AC$400,_xlfn.TEXTJOIN(",",TRUE,B300:E300),SF_Output!$Q$1:$Q$400,"monthly")*(1-W300)/H300,4),""),"")</f>
        <v/>
      </c>
      <c r="J300" s="6" t="str">
        <f>IF(B300="","",SUMIFS(SF_Output!$S$1:$S$400,SF_Output!$AC$1:$AC$400,_xlfn.TEXTJOIN(",",TRUE,B300:E300),SF_Output!$Q$1:$Q$400,"One Time",SF_Output!$L$1:$L$400,"license fee")+SUMIFS(SF_Output!$S$1:$S$400,SF_Output!$AC$1:$AC$400,_xlfn.TEXTJOIN(",",TRUE,B300:E300),SF_Output!$Q$1:$Q$400,"One Time",SF_Output!$L$1:$L$400,"software license")+SUMIFS(SF_Output!$S$1:$S$400,SF_Output!$AC$1:$AC$400,_xlfn.TEXTJOIN(",",TRUE,B300:E300),SF_Output!$Q$1:$Q$400,"One Time",SF_Output!$L$1:$L$400,"hardware"))</f>
        <v/>
      </c>
      <c r="K300" s="112" t="str">
        <f>IF(OR(B300=0,B300="",G300="hardware",J300=0),"",IF(AF300&lt;&gt;"exclusion",MAX(K$9,-((SUMIFS(SF_Output!$T$1:$T$400,SF_Output!$AC$1:$AC$400,_xlfn.TEXTJOIN(",",TRUE,$B300:$E300),SF_Output!$Q$1:$Q$400,"One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license"))/J300)))</f>
        <v/>
      </c>
      <c r="L300" s="6" t="str">
        <f t="shared" si="73"/>
        <v/>
      </c>
      <c r="N300" s="6" t="str">
        <f>IF(B300="","",SUMIFS(SF_Output!$S$1:$S$400,SF_Output!$AC$1:$AC$400,_xlfn.TEXTJOIN(",",TRUE,B300:E300),SF_Output!$Q$1:$Q$400,"One Time",SF_Output!$L$1:$L$400,"professional service"))</f>
        <v/>
      </c>
      <c r="O300" s="112" t="str">
        <f>IF(OR(B300=0,B300="",N300=0),"",IF(AF300&lt;&gt;"exclusion",MAX(O$9,-(SUMIFS(SF_Output!$T$1:$T$400,SF_Output!$AC$1:$AC$400,_xlfn.TEXTJOIN(",",TRUE,$B300:$E300),SF_Output!$Q$1:$Q$400,"One Time",SF_Output!$L$1:$L$400,"professional service"))/N300),-((SUMIFS(SF_Output!$T$1:$T$400,SF_Output!$AC$1:$AC$400,_xlfn.TEXTJOIN(",",TRUE,$B300:$E300),SF_Output!$Q$1:$Q$400,"One Time",SF_Output!$L$1:$L$400,"professional service")/N300))))</f>
        <v/>
      </c>
      <c r="P300" s="6" t="str">
        <f t="shared" si="74"/>
        <v/>
      </c>
      <c r="R300" s="6" t="str">
        <f>IF(B300="","",SUMIFS(SF_Output!$S$1:$S$400,SF_Output!$AC$1:$AC$400,_xlfn.TEXTJOIN(",",TRUE,B300:E300),SF_Output!$Q$1:$Q$400,"yearly")+SUMIFS(SF_Output!$S$1:$S$400,SF_Output!$AC$1:$AC$400,_xlfn.TEXTJOIN(",",TRUE,B300:E300),SF_Output!$Q$1:$Q$400,"quarterly")*4)</f>
        <v/>
      </c>
      <c r="S300" s="112" t="str">
        <f>IF(OR(B300=0,B300="",G300="hardware",R300=0),"",IF(AF300&lt;&gt;"exclusion",MAX(S$9,-(SUMIFS(SF_Output!$T$1:$T$400,SF_Output!$AC$1:$AC$400,_xlfn.TEXTJOIN(",",TRUE,$B300:$E300),SF_Output!$Q$1:$Q$400,"yearly"))/R300),-((SUMIFS(SF_Output!$T$1:$T$400,SF_Output!$AC$1:$AC$400,_xlfn.TEXTJOIN(",",TRUE,$B300:$E300),SF_Output!$Q$1:$Q$400,"yearly")/R300))))</f>
        <v/>
      </c>
      <c r="T300" s="6" t="str">
        <f t="shared" si="75"/>
        <v/>
      </c>
      <c r="V300" s="6" t="str" cm="1">
        <f t="array" ref="V300">_xlfn.IFS(B300="","",AND(B300&lt;&gt;"",H300=SF_Output!$Y$2,SUMIFS(SF_Output!$T$1:$T$400,SF_Output!$AC$1:$AC$400,_xlfn.TEXTJOIN(",",TRUE,B300:E300),SF_Output!$Q$1:$Q$400,"monthly")=0),(SUMIFS(SF_Output!$F$1:$F$400,SF_Output!$AC$1:$AC$400,_xlfn.TEXTJOIN(",",TRUE,B300:E300),SF_Output!$Q$1:$Q$400,"monthly")+SUMIFS(SF_Output!$G$1:$G$400,SF_Output!$AC$1:$AC$400,_xlfn.TEXTJOIN(",",TRUE,B300:E300),SF_Output!$Q$1:$Q$400,"monthly"))*H300,AND(B300&lt;&gt;"",H300=SF_Output!$Y$2,SUMIFS(SF_Output!$T$1:$T$400,SF_Output!$AC$1:$AC$400,_xlfn.TEXTJOIN(",",TRUE,B300:E300),SF_Output!$Q$1:$Q$400,"monthly")&lt;&gt;0),SUMIFS(SF_Output!$S$1:$S$400,SF_Output!$AC$1:$AC$400,_xlfn.TEXTJOIN(",",TRUE,B300:E300),SF_Output!$Q$1:$Q$400,"monthly"),AND(B300&lt;&gt;"",H300&lt;&gt;SF_Output!$Y$2),SUMIFS(SF_Output!$S$1:$S$400,SF_Output!$AC$1:$AC$400,_xlfn.TEXTJOIN(",",TRUE,B300:E300),SF_Output!$Q$1:$Q$400,"monthly"))</f>
        <v/>
      </c>
      <c r="W300" s="112" t="str" cm="1">
        <f t="array" ref="W300">_xlfn.IFS(OR(B300=0,B300="",V300=0),"",AF300&lt;&gt;"exclusion",MAX($W$9,$W$7,(-(SUMIFS(SF_Output!$T$1:$T$400,SF_Output!$AC$1:$AC$400,_xlfn.TEXTJOIN(",",TRUE,$B300:$E300),SF_Output!$Q$1:$Q$400,"monthly"))/V300)),AF300="exclusion",-(SUMIFS(SF_Output!$T$1:$T$400,SF_Output!$AC$1:$AC$400,_xlfn.TEXTJOIN(",",TRUE,$B300:$E300),SF_Output!$Q$1:$Q$400,"monthly"))/V300)</f>
        <v/>
      </c>
      <c r="X300" s="6" t="str" cm="1">
        <f t="array" ref="X300">IFERROR(_xlfn.IFS(V300=0,0,V300="","",W300=0,V300,OR(V300&lt;&gt;0,V300&lt;&gt;""),H300*I300),V300*(1-W300))</f>
        <v/>
      </c>
      <c r="Z300" s="6" t="str">
        <f>IFERROR(IF(B300="","",SUMIFS(Billing_Fallout!H:H,Billing_Fallout!N:N,B300)),0)</f>
        <v/>
      </c>
      <c r="AA300" s="6" t="str">
        <f t="shared" si="76"/>
        <v/>
      </c>
      <c r="AB300" s="6" t="str">
        <f>IFERROR(IF(B300="","",SUMIFS(Billing_Fallout!J:J,Billing_Fallout!N:N,B300)),0)</f>
        <v/>
      </c>
      <c r="AD300" s="6" t="str">
        <f t="shared" si="77"/>
        <v/>
      </c>
      <c r="AF300" t="str">
        <f>IFERROR(INDEX(H_Tables!$B$1:$B$1500,MATCH(INDEX(SF_Output!$J$1:$J$400,MATCH(B300,SF_Output!$M$1:$M$400,0)),H_Tables!$A$1:$A$1500,0)),"")</f>
        <v/>
      </c>
      <c r="AI300" s="119" t="str">
        <f t="shared" si="78"/>
        <v/>
      </c>
      <c r="AJ300" s="121">
        <f>IFERROR(INDEX(SF_Output!AD:AD,MATCH(_xlfn.TEXTJOIN(",",TRUE,B300:E300),SF_Output!AC51:AC450,0)),0.05)</f>
        <v>191</v>
      </c>
      <c r="AK300" t="str">
        <f>IF(SUMIFS(SF_Output!$F$1:$F$400,SF_Output!$AC$1:$AC$400,_xlfn.TEXTJOIN(",",TRUE,B300:E300))+SUMIFS(SF_Output!$G$1:$G$400,SF_Output!$AC$1:$AC$400,_xlfn.TEXTJOIN(",",TRUE,B300:E300))=0,"","PAP")</f>
        <v/>
      </c>
      <c r="AL300" s="35" t="str">
        <f t="shared" si="79"/>
        <v/>
      </c>
      <c r="AQ300" s="35"/>
      <c r="AR300" s="35" t="str" cm="1">
        <f t="array" ref="AR300">IFERROR(_xlfn.IFS(AND(E300*1=1,F300="Included"),"Change to Included",AND(E300*1=0,F300="Optional"),"Change to Optional",OR(B300="",F300="replaced"),""),"")</f>
        <v/>
      </c>
      <c r="AS300" s="35" t="str">
        <f t="shared" si="80"/>
        <v/>
      </c>
      <c r="AT300" s="35" t="str">
        <f t="shared" si="81"/>
        <v/>
      </c>
      <c r="AU300" s="35" t="str">
        <f t="shared" si="82"/>
        <v/>
      </c>
      <c r="AV300" s="35" t="str">
        <f t="shared" si="83"/>
        <v/>
      </c>
      <c r="AW300" s="35" t="str">
        <f t="shared" si="84"/>
        <v/>
      </c>
      <c r="AX300" s="35" t="str">
        <f t="shared" si="85"/>
        <v/>
      </c>
      <c r="AY300" s="35" t="str">
        <f t="shared" si="86"/>
        <v/>
      </c>
      <c r="AZ300" s="35" t="str">
        <f t="shared" si="87"/>
        <v/>
      </c>
      <c r="BA300" s="35" t="str">
        <f t="shared" si="88"/>
        <v/>
      </c>
      <c r="BB300" s="35" t="str">
        <f t="shared" si="89"/>
        <v/>
      </c>
      <c r="BC300" s="35"/>
      <c r="BE300" s="35" t="e">
        <f>INDEX(SF_Output!$AA$2:$AA$400,MATCH($B300,SF_Output!$M$2:$M$400,0))</f>
        <v>#N/A</v>
      </c>
      <c r="BF300" s="35" t="e">
        <f>INDEX(SF_Output!$AB$2:$AB$400,MATCH($B300,SF_Output!$M$2:$M$400,0))</f>
        <v>#N/A</v>
      </c>
    </row>
  </sheetData>
  <autoFilter ref="B13:BF250" xr:uid="{4A03E35A-2400-47DE-9074-D62D3288DDD4}">
    <sortState xmlns:xlrd2="http://schemas.microsoft.com/office/spreadsheetml/2017/richdata2" ref="B14:BF250">
      <sortCondition ref="BD14:BD250"/>
    </sortState>
  </autoFilter>
  <conditionalFormatting sqref="F14:F300">
    <cfRule type="expression" dxfId="79" priority="58">
      <formula>NOT(_xlfn.ISFORMULA(F14:F250))</formula>
    </cfRule>
  </conditionalFormatting>
  <conditionalFormatting sqref="J14:L250 N14:P186 O187:P188 N189:P250 R14:T250">
    <cfRule type="expression" dxfId="78" priority="16">
      <formula>NOT(_xlfn.ISFORMULA(J14:L250))</formula>
    </cfRule>
  </conditionalFormatting>
  <conditionalFormatting sqref="J251:L300 N251:P300 R251:T300">
    <cfRule type="expression" dxfId="77" priority="3">
      <formula>NOT(_xlfn.ISFORMULA(J251:L487))</formula>
    </cfRule>
  </conditionalFormatting>
  <conditionalFormatting sqref="K14:K300">
    <cfRule type="expression" dxfId="76" priority="13">
      <formula>AND($K$9&lt;&gt;0,K14=$K$9)</formula>
    </cfRule>
  </conditionalFormatting>
  <conditionalFormatting sqref="N187:N188">
    <cfRule type="expression" dxfId="74" priority="1">
      <formula>NOT(_xlfn.ISFORMULA(N187:P423))</formula>
    </cfRule>
  </conditionalFormatting>
  <conditionalFormatting sqref="O14:O300">
    <cfRule type="expression" dxfId="73" priority="14">
      <formula>AND($O$9&lt;&gt;0,O14=$O$9)</formula>
    </cfRule>
  </conditionalFormatting>
  <conditionalFormatting sqref="S14:S300">
    <cfRule type="expression" dxfId="71" priority="15">
      <formula>AND($S$9&lt;&gt;0,S14=$S$9)</formula>
    </cfRule>
  </conditionalFormatting>
  <conditionalFormatting sqref="V14:X250">
    <cfRule type="expression" dxfId="69" priority="21">
      <formula>NOT(_xlfn.ISFORMULA(V14:X250))</formula>
    </cfRule>
  </conditionalFormatting>
  <conditionalFormatting sqref="V251:X300">
    <cfRule type="expression" dxfId="68" priority="4">
      <formula>NOT(_xlfn.ISFORMULA(V251:X487))</formula>
    </cfRule>
  </conditionalFormatting>
  <conditionalFormatting sqref="W7">
    <cfRule type="expression" dxfId="67" priority="22">
      <formula>$V$7=""</formula>
    </cfRule>
    <cfRule type="expression" dxfId="66" priority="27">
      <formula>V7&lt;&gt;""</formula>
    </cfRule>
  </conditionalFormatting>
  <conditionalFormatting sqref="W9">
    <cfRule type="expression" dxfId="65" priority="24">
      <formula>$V$9=""</formula>
    </cfRule>
    <cfRule type="expression" dxfId="64" priority="26">
      <formula>$V$9&lt;&gt;""</formula>
    </cfRule>
  </conditionalFormatting>
  <conditionalFormatting sqref="W14:W300">
    <cfRule type="expression" dxfId="63" priority="20">
      <formula>OR(AND($W$7&lt;&gt;0,W14&lt;&gt;0,W14-0.2=$W$7),AND($W$7=W14,W14&lt;&gt;0),AND($W$9&lt;&gt;0,W14&lt;&gt;0,W14=$W$9))</formula>
    </cfRule>
  </conditionalFormatting>
  <conditionalFormatting sqref="AH14:AI300">
    <cfRule type="expression" dxfId="61" priority="2">
      <formula>"ah14&lt;&gt;"""""</formula>
    </cfRule>
  </conditionalFormatting>
  <conditionalFormatting sqref="AP13">
    <cfRule type="expression" dxfId="60" priority="29">
      <formula>IF($AM$2="pap",TRUE())</formula>
    </cfRule>
  </conditionalFormatting>
  <dataValidations count="1">
    <dataValidation type="list" allowBlank="1" showInputMessage="1" showErrorMessage="1" sqref="F14:F300" xr:uid="{ED203A91-9973-407E-BD93-14A9F51A39CA}">
      <formula1>"Optional,Included,Remove,Replaced,Add"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1" id="{7737D77F-D3EC-4C28-98E2-87549610BB60}">
            <xm:f>AND(B14&lt;&gt;"",Balancing!$N3&lt;&gt;0)</xm:f>
            <x14:dxf>
              <fill>
                <patternFill>
                  <bgColor theme="8" tint="0.79998168889431442"/>
                </patternFill>
              </fill>
            </x14:dxf>
          </x14:cfRule>
          <xm:sqref>L14:L300</xm:sqref>
        </x14:conditionalFormatting>
        <x14:conditionalFormatting xmlns:xm="http://schemas.microsoft.com/office/excel/2006/main">
          <x14:cfRule type="expression" priority="10" id="{277027EA-6DCF-4B83-8B2C-6B14832A93C8}">
            <xm:f>AND(B14&lt;&gt;"",Balancing!$O3&lt;&gt;0)</xm:f>
            <x14:dxf>
              <fill>
                <patternFill>
                  <bgColor theme="8" tint="0.79998168889431442"/>
                </patternFill>
              </fill>
            </x14:dxf>
          </x14:cfRule>
          <xm:sqref>P14:P300</xm:sqref>
        </x14:conditionalFormatting>
        <x14:conditionalFormatting xmlns:xm="http://schemas.microsoft.com/office/excel/2006/main">
          <x14:cfRule type="expression" priority="9" id="{45756A11-4C4D-48CF-8ADE-45A186ADDF0D}">
            <xm:f>AND(B14&lt;&gt;"",Balancing!$P3&lt;&gt;0)</xm:f>
            <x14:dxf>
              <fill>
                <patternFill>
                  <bgColor theme="8" tint="0.79998168889431442"/>
                </patternFill>
              </fill>
            </x14:dxf>
          </x14:cfRule>
          <xm:sqref>T14:T300</xm:sqref>
        </x14:conditionalFormatting>
        <x14:conditionalFormatting xmlns:xm="http://schemas.microsoft.com/office/excel/2006/main">
          <x14:cfRule type="expression" priority="8" id="{A6D06D09-497C-4FDB-89B4-BAC083647E69}">
            <xm:f>AND(B14&lt;&gt;"",Balancing!$Q3&lt;&gt;0)</xm:f>
            <x14:dxf>
              <fill>
                <patternFill>
                  <bgColor theme="8" tint="0.79998168889431442"/>
                </patternFill>
              </fill>
            </x14:dxf>
          </x14:cfRule>
          <xm:sqref>X14:X300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6D291-9A6F-4B5B-831B-F8E9239C966E}">
  <sheetPr codeName="Sheet4"/>
  <dimension ref="B1:BF300"/>
  <sheetViews>
    <sheetView zoomScale="85" zoomScaleNormal="85" workbookViewId="0">
      <pane xSplit="2" ySplit="13" topLeftCell="C14" activePane="bottomRight" state="frozen"/>
      <selection pane="topRight" activeCell="C1" sqref="C1"/>
      <selection pane="bottomLeft" activeCell="A13" sqref="A13"/>
      <selection pane="bottomRight" activeCell="F11" sqref="F11"/>
    </sheetView>
  </sheetViews>
  <sheetFormatPr defaultColWidth="9.140625" defaultRowHeight="15" x14ac:dyDescent="0.25"/>
  <cols>
    <col min="1" max="1" width="3.42578125" customWidth="1"/>
    <col min="2" max="2" width="50.140625" customWidth="1"/>
    <col min="3" max="3" width="15.5703125" customWidth="1"/>
    <col min="4" max="4" width="27.140625" hidden="1" customWidth="1"/>
    <col min="5" max="5" width="11.85546875" hidden="1" customWidth="1"/>
    <col min="6" max="6" width="11.85546875" style="116" customWidth="1"/>
    <col min="7" max="7" width="32.42578125" customWidth="1"/>
    <col min="8" max="8" width="10.7109375" customWidth="1"/>
    <col min="9" max="9" width="11.7109375" style="122" customWidth="1"/>
    <col min="10" max="10" width="15.7109375" style="6" customWidth="1"/>
    <col min="11" max="11" width="15.7109375" style="4" customWidth="1"/>
    <col min="12" max="12" width="15.7109375" style="6" customWidth="1"/>
    <col min="13" max="13" width="3.28515625" style="6" customWidth="1"/>
    <col min="14" max="14" width="15.7109375" style="6" customWidth="1"/>
    <col min="15" max="15" width="15.7109375" style="4" customWidth="1"/>
    <col min="16" max="16" width="15.7109375" style="6" customWidth="1"/>
    <col min="17" max="17" width="3.28515625" style="6" customWidth="1"/>
    <col min="18" max="18" width="15.7109375" style="6" customWidth="1"/>
    <col min="19" max="19" width="15.7109375" style="4" customWidth="1"/>
    <col min="20" max="20" width="15.7109375" style="6" customWidth="1"/>
    <col min="21" max="21" width="3.28515625" style="6" customWidth="1"/>
    <col min="22" max="22" width="18.5703125" style="6" customWidth="1"/>
    <col min="23" max="23" width="15.7109375" style="4" customWidth="1"/>
    <col min="24" max="24" width="18.5703125" style="6" customWidth="1"/>
    <col min="25" max="25" width="3.42578125" style="6" customWidth="1"/>
    <col min="26" max="26" width="18.5703125" style="6" customWidth="1"/>
    <col min="27" max="27" width="13.42578125" style="4" customWidth="1"/>
    <col min="28" max="28" width="18.5703125" style="6" customWidth="1"/>
    <col min="29" max="29" width="3.140625" style="6" customWidth="1"/>
    <col min="30" max="30" width="16.5703125" style="6" customWidth="1"/>
    <col min="31" max="31" width="3.28515625" style="6" customWidth="1"/>
    <col min="32" max="32" width="11.28515625" customWidth="1"/>
    <col min="33" max="33" width="3.28515625" customWidth="1"/>
    <col min="34" max="34" width="48.28515625" customWidth="1"/>
    <col min="35" max="35" width="48" customWidth="1"/>
    <col min="36" max="36" width="9.140625" customWidth="1"/>
    <col min="37" max="37" width="11.85546875" customWidth="1"/>
    <col min="42" max="42" width="9.140625" style="35"/>
    <col min="44" max="44" width="8.140625" style="35" customWidth="1"/>
    <col min="45" max="54" width="9.140625" style="35"/>
    <col min="55" max="55" width="9.140625" style="119"/>
    <col min="56" max="58" width="9.140625" style="35"/>
  </cols>
  <sheetData>
    <row r="1" spans="2:58" x14ac:dyDescent="0.25">
      <c r="H1" t="str" cm="1">
        <f t="array" aca="1" ref="H1" ca="1">MID(CELL("filename",A1),FIND("]",CELL("filename",A1))+1,255)</f>
        <v>Proposal_2</v>
      </c>
      <c r="J1"/>
      <c r="K1" s="6"/>
      <c r="L1" s="4"/>
      <c r="M1" s="4"/>
      <c r="O1" s="6"/>
      <c r="P1" s="4"/>
      <c r="Q1" s="4"/>
      <c r="S1" s="6"/>
      <c r="T1" s="4"/>
      <c r="U1" s="4"/>
      <c r="W1" s="6"/>
      <c r="X1" s="4"/>
      <c r="AA1" s="6"/>
      <c r="AB1" s="4"/>
      <c r="AC1" s="4"/>
      <c r="AD1" s="4"/>
      <c r="AE1" s="4"/>
      <c r="AF1" s="6"/>
      <c r="AG1" s="6"/>
      <c r="AH1" s="6"/>
    </row>
    <row r="2" spans="2:58" x14ac:dyDescent="0.25">
      <c r="B2" s="9"/>
      <c r="C2" s="9"/>
      <c r="D2" s="9"/>
      <c r="E2" s="9"/>
      <c r="F2" s="117"/>
      <c r="G2" s="9"/>
      <c r="H2" s="9"/>
      <c r="I2" s="123"/>
      <c r="J2" s="9" t="s">
        <v>20</v>
      </c>
      <c r="K2" s="10" t="s">
        <v>21</v>
      </c>
      <c r="L2" s="9" t="s">
        <v>22</v>
      </c>
      <c r="M2" s="9"/>
      <c r="N2" s="9" t="s">
        <v>23</v>
      </c>
      <c r="O2" s="10" t="s">
        <v>21</v>
      </c>
      <c r="P2" s="9" t="s">
        <v>24</v>
      </c>
      <c r="Q2" s="9"/>
      <c r="R2" s="9" t="s">
        <v>25</v>
      </c>
      <c r="S2" s="10" t="s">
        <v>21</v>
      </c>
      <c r="T2" s="9" t="s">
        <v>26</v>
      </c>
      <c r="U2" s="9"/>
      <c r="V2" s="9" t="s">
        <v>27</v>
      </c>
      <c r="W2" s="10" t="s">
        <v>21</v>
      </c>
      <c r="X2" s="9" t="s">
        <v>28</v>
      </c>
      <c r="Y2" s="9"/>
      <c r="Z2" s="9" t="s">
        <v>29</v>
      </c>
      <c r="AA2" s="10" t="s">
        <v>21</v>
      </c>
      <c r="AB2" s="9" t="s">
        <v>30</v>
      </c>
      <c r="AC2" s="4"/>
      <c r="AD2" s="4"/>
      <c r="AE2" s="4"/>
    </row>
    <row r="3" spans="2:58" x14ac:dyDescent="0.25">
      <c r="B3" t="s">
        <v>32</v>
      </c>
      <c r="C3" s="11">
        <v>45896</v>
      </c>
      <c r="H3" s="12"/>
      <c r="I3" s="124" t="s">
        <v>33</v>
      </c>
      <c r="J3" s="6">
        <f>SUMIFS(J$14:J$350,$F$14:$F$350,"Included")+SUMIFS(J$14:J$350,$F$14:$F$350,"Add")-J6</f>
        <v>16545</v>
      </c>
      <c r="K3" s="6">
        <f>L3-J3</f>
        <v>0</v>
      </c>
      <c r="L3" s="6">
        <f>SUMIFS(L$14:L$350,$F$14:$F$350,"Included")+SUMIFS(L$14:L$350,$F$14:$F$350,"Add")-L6</f>
        <v>16545</v>
      </c>
      <c r="N3" s="6">
        <f>SUMIFS(N$14:N$350,$F$14:$F$350,"Included")+SUMIFS(N$14:N$350,$F$14:$F$350,"Add")</f>
        <v>733815</v>
      </c>
      <c r="O3" s="6">
        <f>P3-N3</f>
        <v>-585072.5</v>
      </c>
      <c r="P3" s="6">
        <f>SUMIFS(P$14:P$350,$F$14:$F$350,"Included")+SUMIFS(P$14:P$350,$F$14:$F$350,"Add")</f>
        <v>148742.5</v>
      </c>
      <c r="R3" s="6">
        <f>SUMIFS(R$14:R$350,$F$14:$F$350,"Included")+SUMIFS(R$14:R$350,$F$14:$F$350,"Add")</f>
        <v>17759</v>
      </c>
      <c r="S3" s="6">
        <f>T3-R3</f>
        <v>0</v>
      </c>
      <c r="T3" s="6">
        <f>SUMIFS(T$14:T$350,$F$14:$F$350,"Included")+SUMIFS(T$14:T$350,$F$14:$F$350,"Add")</f>
        <v>17759</v>
      </c>
      <c r="V3" s="6">
        <f>SUMIFS(V$14:V$350,$F$14:$F$350,"Included")+SUMIFS(V$14:V$350,$F$14:$F$350,"Add")</f>
        <v>41756.400000000001</v>
      </c>
      <c r="W3" s="6">
        <f>X3-V3</f>
        <v>-5396.1500000000015</v>
      </c>
      <c r="X3" s="6">
        <f>SUMIFS(X$14:X$350,$F$14:$F$350,"Included")+SUMIFS(X$14:X$350,$F$14:$F$350,"Add")</f>
        <v>36360.25</v>
      </c>
      <c r="Y3" s="4"/>
      <c r="Z3" s="6">
        <f>SUMIFS(Z$14:Z$350,$F$14:$F$350,"Included")+SUMIFS(Z$14:Z$350,$F$14:$F$350,"Add")</f>
        <v>0</v>
      </c>
      <c r="AA3" s="6">
        <f>AB3-Z3</f>
        <v>0</v>
      </c>
      <c r="AB3" s="6">
        <f>SUMIFS(AB$14:AB$350,$F$14:$F$350,"Included")+SUMIFS(AB$14:AB$350,$F$14:$F$350,"Add")</f>
        <v>0</v>
      </c>
      <c r="AC3" s="4"/>
      <c r="AD3" s="4"/>
      <c r="AE3" s="4"/>
    </row>
    <row r="4" spans="2:58" x14ac:dyDescent="0.25">
      <c r="B4" t="s">
        <v>34</v>
      </c>
      <c r="C4" s="13" t="s">
        <v>2117</v>
      </c>
      <c r="H4" s="12"/>
      <c r="I4" s="124" t="s">
        <v>35</v>
      </c>
      <c r="J4" s="6">
        <f>SUMIFS(J$14:J$350,$F$14:$F$350,"Optional")-J7</f>
        <v>0</v>
      </c>
      <c r="K4" s="6">
        <f>L4-J4</f>
        <v>0</v>
      </c>
      <c r="L4" s="6">
        <f>SUMIFS(L$14:L$350,$F$14:$F$350,"Optional")-L7</f>
        <v>0</v>
      </c>
      <c r="N4" s="6">
        <f>SUMIFS(N$14:N$350,$F$14:$F$350,"Optional")</f>
        <v>173320</v>
      </c>
      <c r="O4" s="6">
        <f>P4-N4</f>
        <v>-98620</v>
      </c>
      <c r="P4" s="6">
        <f>SUMIFS(P$14:P$350,$F$14:$F$350,"Optional")</f>
        <v>74700</v>
      </c>
      <c r="R4" s="6">
        <f>SUMIFS(R$14:R$350,$F$14:$F$350,"Optional")</f>
        <v>3500</v>
      </c>
      <c r="S4" s="6">
        <f>T4-R4</f>
        <v>0</v>
      </c>
      <c r="T4" s="6">
        <f>SUMIFS(T$14:T$350,$F$14:$F$350,"Optional")</f>
        <v>3500</v>
      </c>
      <c r="V4" s="6">
        <f>SUMIFS(V$14:V$350,$F$14:$F$350,"Optional")</f>
        <v>9255</v>
      </c>
      <c r="W4" s="6">
        <f>X4-V4</f>
        <v>-1155.5</v>
      </c>
      <c r="X4" s="6">
        <f>SUMIFS(X$14:X$350,$F$14:$F$350,"Optional")</f>
        <v>8099.5</v>
      </c>
      <c r="Y4" s="4"/>
      <c r="Z4" s="6">
        <f>SUMIFS(Z$14:Z$350,$F$14:$F$350,"Optional")</f>
        <v>0</v>
      </c>
      <c r="AA4" s="6">
        <f>AB4-Z4</f>
        <v>0</v>
      </c>
      <c r="AB4" s="6">
        <f>SUMIFS(AB$14:AB$350,$F$14:$F$350,"Optional")</f>
        <v>0</v>
      </c>
      <c r="AC4" s="4"/>
      <c r="AD4" s="4"/>
      <c r="AE4" s="4"/>
    </row>
    <row r="5" spans="2:58" x14ac:dyDescent="0.25">
      <c r="C5" s="13" t="s">
        <v>2120</v>
      </c>
      <c r="H5" s="12"/>
      <c r="I5" s="124" t="s">
        <v>36</v>
      </c>
      <c r="J5" s="6">
        <f>SUMIFS(J$14:J$350,$F$14:$F$350,"Replaced")</f>
        <v>0</v>
      </c>
      <c r="K5" s="6">
        <f>L5-J5</f>
        <v>0</v>
      </c>
      <c r="L5" s="6">
        <f>SUMIFS(L$14:L$350,$F$14:$F$350,"Replaced")</f>
        <v>0</v>
      </c>
      <c r="N5" s="6">
        <f>SUMIFS(N$14:N$350,$F$14:$F$350,"Replaced")</f>
        <v>0</v>
      </c>
      <c r="O5" s="6">
        <f>P5-N5</f>
        <v>0</v>
      </c>
      <c r="P5" s="6">
        <f>SUMIFS(P$14:P$350,$F$14:$F$350,"Replaced")</f>
        <v>0</v>
      </c>
      <c r="R5" s="6">
        <f>SUMIFS(R$14:R$350,$F$14:$F$350,"Replaced")</f>
        <v>0</v>
      </c>
      <c r="S5" s="6">
        <f>T5-R5</f>
        <v>0</v>
      </c>
      <c r="T5" s="6">
        <f>SUMIFS(T$14:T$350,$F$14:$F$350,"Replaced")</f>
        <v>0</v>
      </c>
      <c r="V5" s="6">
        <f>SUMIFS(V$14:V$350,$F$14:$F$350,"Replaced")</f>
        <v>0</v>
      </c>
      <c r="W5" s="6">
        <f>X5-V5</f>
        <v>0</v>
      </c>
      <c r="X5" s="6">
        <f>SUMIFS(X$14:X$350,$F$14:$F$350,"Replaced")</f>
        <v>0</v>
      </c>
      <c r="Z5" s="6">
        <f>SUMIFS(Z$14:Z$350,$F$14:$F$350,"Replaced")</f>
        <v>0</v>
      </c>
      <c r="AA5" s="6">
        <f>AB5-Z5</f>
        <v>0</v>
      </c>
      <c r="AB5" s="6">
        <f>SUMIFS(AB$14:AB$350,$F$14:$F$350,"Replaced")</f>
        <v>0</v>
      </c>
      <c r="AC5" s="4"/>
      <c r="AD5" s="4"/>
      <c r="AE5" s="4"/>
    </row>
    <row r="6" spans="2:58" x14ac:dyDescent="0.25">
      <c r="H6" s="12"/>
      <c r="I6" s="124" t="s">
        <v>37</v>
      </c>
      <c r="J6" s="6">
        <f>SUMIFS($J$14:$J$350,$C$14:$C$350,"",$F$14:$F$350,"Included")</f>
        <v>0</v>
      </c>
      <c r="K6" s="6">
        <f>L6-J6</f>
        <v>0</v>
      </c>
      <c r="L6" s="6">
        <f>SUMIFS($L$14:$L$350,$C$14:$C$350,"",$F$14:$F$350,"Included")</f>
        <v>0</v>
      </c>
      <c r="W6" s="114"/>
      <c r="AE6" s="4"/>
    </row>
    <row r="7" spans="2:58" x14ac:dyDescent="0.25">
      <c r="B7" s="12" t="s">
        <v>38</v>
      </c>
      <c r="C7" s="135">
        <v>116592</v>
      </c>
      <c r="H7" s="12"/>
      <c r="I7" s="124" t="s">
        <v>39</v>
      </c>
      <c r="J7" s="6">
        <f>SUMIFS($J$14:$J$350,$C$14:$C$350,"",$F$14:$F$350,"Optional")</f>
        <v>0</v>
      </c>
      <c r="K7" s="6">
        <f>L7-J7</f>
        <v>0</v>
      </c>
      <c r="L7" s="6">
        <f>SUMIFS($L$14:$L$350,$C$14:$C$350,"",$F$14:$F$350,"Optional")</f>
        <v>0</v>
      </c>
      <c r="V7" s="118" t="str">
        <f>IF(SUM(SF_Output!F:F)&gt;0,"PAP Discount (%)","")</f>
        <v>PAP Discount (%)</v>
      </c>
      <c r="W7" s="137">
        <v>0</v>
      </c>
      <c r="X7" s="131"/>
      <c r="AA7" s="6"/>
      <c r="AE7" s="4"/>
    </row>
    <row r="8" spans="2:58" x14ac:dyDescent="0.25">
      <c r="B8" s="12" t="s">
        <v>40</v>
      </c>
      <c r="C8" s="7">
        <v>0</v>
      </c>
      <c r="X8" s="118"/>
      <c r="AE8" s="4"/>
    </row>
    <row r="9" spans="2:58" x14ac:dyDescent="0.25">
      <c r="B9" s="12" t="s">
        <v>41</v>
      </c>
      <c r="C9" t="s">
        <v>2118</v>
      </c>
      <c r="J9" s="118" t="s">
        <v>42</v>
      </c>
      <c r="K9" s="5">
        <v>0</v>
      </c>
      <c r="N9" s="118" t="s">
        <v>42</v>
      </c>
      <c r="O9" s="5">
        <v>0</v>
      </c>
      <c r="R9" s="118" t="s">
        <v>42</v>
      </c>
      <c r="S9" s="5">
        <v>0</v>
      </c>
      <c r="V9" s="118" t="str">
        <f>IF(SUM(SF_Output!F:F)&gt;0,"","Global Discount")</f>
        <v/>
      </c>
      <c r="W9" s="132">
        <v>0</v>
      </c>
      <c r="AE9" s="4"/>
    </row>
    <row r="10" spans="2:58" x14ac:dyDescent="0.25">
      <c r="B10" s="12" t="s">
        <v>43</v>
      </c>
      <c r="C10" t="s">
        <v>2119</v>
      </c>
      <c r="AE10" s="4"/>
    </row>
    <row r="11" spans="2:58" x14ac:dyDescent="0.25">
      <c r="B11" t="s">
        <v>44</v>
      </c>
      <c r="C11" s="111" t="s">
        <v>2639</v>
      </c>
      <c r="J11" s="9"/>
      <c r="K11" s="10" t="s">
        <v>45</v>
      </c>
      <c r="L11" s="9"/>
      <c r="N11" s="9"/>
      <c r="O11" s="10" t="s">
        <v>46</v>
      </c>
      <c r="P11" s="9"/>
      <c r="R11" s="9"/>
      <c r="S11" s="10" t="s">
        <v>47</v>
      </c>
      <c r="T11" s="9"/>
      <c r="V11" s="9"/>
      <c r="W11" s="10" t="s">
        <v>48</v>
      </c>
      <c r="X11" s="9"/>
      <c r="Z11" s="9"/>
      <c r="AA11" s="10" t="s">
        <v>49</v>
      </c>
      <c r="AB11" s="9"/>
      <c r="AE11" s="4"/>
    </row>
    <row r="12" spans="2:58" x14ac:dyDescent="0.25">
      <c r="C12" s="35">
        <v>5000</v>
      </c>
      <c r="J12"/>
      <c r="K12" s="6"/>
      <c r="L12" s="4"/>
      <c r="M12" s="4"/>
      <c r="O12" s="6"/>
      <c r="P12" s="4"/>
      <c r="Q12" s="4"/>
      <c r="S12" s="6"/>
      <c r="T12" s="4"/>
      <c r="U12" s="4"/>
      <c r="W12" s="6"/>
      <c r="X12" s="4"/>
      <c r="AA12" s="6"/>
      <c r="AB12" s="4"/>
      <c r="AC12" s="4"/>
      <c r="AD12" s="4"/>
      <c r="AE12" s="4"/>
      <c r="AF12" s="6"/>
      <c r="AG12" s="6"/>
      <c r="AH12" s="6"/>
    </row>
    <row r="13" spans="2:58" x14ac:dyDescent="0.25">
      <c r="B13" s="8" t="s">
        <v>50</v>
      </c>
      <c r="C13" s="8" t="s">
        <v>51</v>
      </c>
      <c r="D13" s="8" t="s">
        <v>52</v>
      </c>
      <c r="E13" s="8" t="s">
        <v>53</v>
      </c>
      <c r="F13" s="115" t="s">
        <v>54</v>
      </c>
      <c r="G13" s="8" t="s">
        <v>55</v>
      </c>
      <c r="H13" s="120" t="s">
        <v>56</v>
      </c>
      <c r="I13" s="123" t="s">
        <v>57</v>
      </c>
      <c r="J13" s="9" t="str">
        <f>J2</f>
        <v>License List</v>
      </c>
      <c r="K13" s="10" t="s">
        <v>21</v>
      </c>
      <c r="L13" s="9" t="str">
        <f>L2</f>
        <v>License Net</v>
      </c>
      <c r="M13" s="9"/>
      <c r="N13" s="9" t="str">
        <f>N2</f>
        <v>Install List</v>
      </c>
      <c r="O13" s="10" t="s">
        <v>21</v>
      </c>
      <c r="P13" s="9" t="str">
        <f>P2</f>
        <v>Install Net</v>
      </c>
      <c r="Q13" s="9"/>
      <c r="R13" s="9" t="str">
        <f>R2</f>
        <v>Maintenance List</v>
      </c>
      <c r="S13" s="10" t="s">
        <v>21</v>
      </c>
      <c r="T13" s="9" t="str">
        <f>T2</f>
        <v>Maintenance Net</v>
      </c>
      <c r="U13" s="9"/>
      <c r="V13" s="9" t="str">
        <f>V2</f>
        <v>New Monthly List</v>
      </c>
      <c r="W13" s="10" t="s">
        <v>21</v>
      </c>
      <c r="X13" s="9" t="str">
        <f>X2</f>
        <v>New Monthly Net</v>
      </c>
      <c r="Y13" s="9"/>
      <c r="Z13" s="9" t="s">
        <v>29</v>
      </c>
      <c r="AA13" s="10" t="s">
        <v>21</v>
      </c>
      <c r="AB13" s="9" t="s">
        <v>30</v>
      </c>
      <c r="AC13" s="9"/>
      <c r="AD13" s="9" t="s">
        <v>31</v>
      </c>
      <c r="AE13" s="4"/>
      <c r="AF13" s="9" t="s">
        <v>58</v>
      </c>
      <c r="AH13" s="9" t="s">
        <v>59</v>
      </c>
      <c r="AI13" s="9" t="s">
        <v>60</v>
      </c>
      <c r="AJ13" s="9" t="s">
        <v>61</v>
      </c>
      <c r="AK13" s="8" t="s">
        <v>62</v>
      </c>
      <c r="AM13" s="129"/>
    </row>
    <row r="14" spans="2:58" x14ac:dyDescent="0.25">
      <c r="B14" t="s">
        <v>1794</v>
      </c>
      <c r="C14" t="s">
        <v>2122</v>
      </c>
      <c r="D14" t="s">
        <v>2123</v>
      </c>
      <c r="E14" t="s">
        <v>2124</v>
      </c>
      <c r="F14" s="116" t="str">
        <f t="shared" ref="F14:F77" si="0">IF(B14="","",IF(E14*1=0,"Included","Optional"))</f>
        <v>Included</v>
      </c>
      <c r="G14" t="str">
        <f>IF(B14="","",INDEX(SF_Output!$K$1:$K$400,MATCH(B14,SF_Output!$M$1:$M$400,0)))</f>
        <v>SilverLake</v>
      </c>
      <c r="H14" cm="1">
        <f t="array" ref="H14">_xlfn.IFS(B14="","",(SUMIFS(SF_Output!$F$1:$F$400,SF_Output!$AC$1:$AC$400,_xlfn.TEXTJOIN(",",TRUE,B14:E14))+SUMIFS(SF_Output!$G$1:$G$400,SF_Output!$AC$1:$AC$400,_xlfn.TEXTJOIN(",",TRUE,B14:E14)))&lt;&gt;0,SF_Output!$Y$2,INDEX(SF_Output!$F$1:$F$400,MATCH(_xlfn.TEXTJOIN(",",TRUE,B14:E14),SF_Output!$AC$1:$AC$400,0))=0,INDEX(SF_Output!$R$1:$R$400,MATCH(_xlfn.TEXTJOIN(",",TRUE,B14:E14),SF_Output!$AC$1:$AC$400,0)))</f>
        <v>5000</v>
      </c>
      <c r="I14" s="125">
        <f>IFERROR(IF(AND(H14&gt;1,H14&lt;&gt;""),ROUND(SUMIFS(SF_Output!$S$1:$S$400,SF_Output!$AC$1:$AC$400,_xlfn.TEXTJOIN(",",TRUE,B14:E14),SF_Output!$Q$1:$Q$400,"monthly")*(1-W14)/H14,4),""),"")</f>
        <v>1.2181</v>
      </c>
      <c r="J14" s="6">
        <f>IF(B14="","",SUMIFS(SF_Output!$S$1:$S$400,SF_Output!$AC$1:$AC$400,_xlfn.TEXTJOIN(",",TRUE,B14:E14),SF_Output!$Q$1:$Q$400,"One Time",SF_Output!$L$1:$L$400,"license fee")+SUMIFS(SF_Output!$S$1:$S$400,SF_Output!$AC$1:$AC$400,_xlfn.TEXTJOIN(",",TRUE,B14:E14),SF_Output!$Q$1:$Q$400,"One Time",SF_Output!$L$1:$L$400,"software license")+SUMIFS(SF_Output!$S$1:$S$400,SF_Output!$AC$1:$AC$400,_xlfn.TEXTJOIN(",",TRUE,B14:E14),SF_Output!$Q$1:$Q$400,"One Time",SF_Output!$L$1:$L$400,"hardware"))</f>
        <v>0</v>
      </c>
      <c r="K14" s="112" t="str">
        <f>IF(OR(B14=0,B14="",G14="hardware",J14=0),"",IF(AF14&lt;&gt;"exclusion",MAX(K$9,-((SUMIFS(SF_Output!$T$1:$T$400,SF_Output!$AC$1:$AC$400,_xlfn.TEXTJOIN(",",TRUE,$B14:$E14),SF_Output!$Q$1:$Q$400,"One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license"))/J14)))</f>
        <v/>
      </c>
      <c r="L14" s="6">
        <f t="shared" ref="L14:L77" si="1">IF(K14="",J14,J14*(1-K14))</f>
        <v>0</v>
      </c>
      <c r="N14" s="6">
        <f>IF(B14="","",SUMIFS(SF_Output!$S$1:$S$400,SF_Output!$AC$1:$AC$400,_xlfn.TEXTJOIN(",",TRUE,B14:E14),SF_Output!$Q$1:$Q$400,"One Time",SF_Output!$L$1:$L$400,"professional service"))</f>
        <v>78700</v>
      </c>
      <c r="O14" s="112">
        <f>IF(OR(B14=0,B14="",N14=0),"",IF(AF14&lt;&gt;"exclusion",MAX(O$9,-(SUMIFS(SF_Output!$T$1:$T$400,SF_Output!$AC$1:$AC$400,_xlfn.TEXTJOIN(",",TRUE,$B14:$E14),SF_Output!$Q$1:$Q$400,"One Time",SF_Output!$L$1:$L$400,"professional service"))/N14),-((SUMIFS(SF_Output!$T$1:$T$400,SF_Output!$AC$1:$AC$400,_xlfn.TEXTJOIN(",",TRUE,$B14:$E14),SF_Output!$Q$1:$Q$400,"One Time",SF_Output!$L$1:$L$400,"professional service")/N14))))</f>
        <v>1</v>
      </c>
      <c r="P14" s="6">
        <f t="shared" ref="P14:P77" si="2">IF(O14="",N14,N14*(1-O14))</f>
        <v>0</v>
      </c>
      <c r="R14" s="6">
        <f>IF(B14="","",SUMIFS(SF_Output!$S$1:$S$400,SF_Output!$AC$1:$AC$400,_xlfn.TEXTJOIN(",",TRUE,B14:E14),SF_Output!$Q$1:$Q$400,"yearly")+SUMIFS(SF_Output!$S$1:$S$400,SF_Output!$AC$1:$AC$400,_xlfn.TEXTJOIN(",",TRUE,B14:E14),SF_Output!$Q$1:$Q$400,"quarterly")*4)</f>
        <v>0</v>
      </c>
      <c r="S14" s="112" t="str">
        <f>IF(OR(B14=0,B14="",G14="hardware",R14=0),"",IF(AF14&lt;&gt;"exclusion",MAX(S$9,-(SUMIFS(SF_Output!$T$1:$T$400,SF_Output!$AC$1:$AC$400,_xlfn.TEXTJOIN(",",TRUE,$B14:$E14),SF_Output!$Q$1:$Q$400,"yearly"))/R14),-((SUMIFS(SF_Output!$T$1:$T$400,SF_Output!$AC$1:$AC$400,_xlfn.TEXTJOIN(",",TRUE,$B14:$E14),SF_Output!$Q$1:$Q$400,"yearly")/R14))))</f>
        <v/>
      </c>
      <c r="T14" s="6">
        <f t="shared" ref="T14:T77" si="3">IF(S14="",R14,R14*(1-S14))</f>
        <v>0</v>
      </c>
      <c r="V14" s="6" cm="1">
        <f t="array" ref="V14">_xlfn.IFS(B14="","",AND(B14&lt;&gt;"",H14=SF_Output!$Y$2,SUMIFS(SF_Output!$T$1:$T$400,SF_Output!$AC$1:$AC$400,_xlfn.TEXTJOIN(",",TRUE,B14:E14),SF_Output!$Q$1:$Q$400,"monthly")=0),(SUMIFS(SF_Output!$F$1:$F$400,SF_Output!$AC$1:$AC$400,_xlfn.TEXTJOIN(",",TRUE,B14:E14),SF_Output!$Q$1:$Q$400,"monthly")+SUMIFS(SF_Output!$G$1:$G$400,SF_Output!$AC$1:$AC$400,_xlfn.TEXTJOIN(",",TRUE,B14:E14),SF_Output!$Q$1:$Q$400,"monthly"))*H14,AND(B14&lt;&gt;"",H14=SF_Output!$Y$2,SUMIFS(SF_Output!$T$1:$T$400,SF_Output!$AC$1:$AC$400,_xlfn.TEXTJOIN(",",TRUE,B14:E14),SF_Output!$Q$1:$Q$400,"monthly")&lt;&gt;0),SUMIFS(SF_Output!$S$1:$S$400,SF_Output!$AC$1:$AC$400,_xlfn.TEXTJOIN(",",TRUE,B14:E14),SF_Output!$Q$1:$Q$400,"monthly"),AND(B14&lt;&gt;"",H14&lt;&gt;SF_Output!$Y$2),SUMIFS(SF_Output!$S$1:$S$400,SF_Output!$AC$1:$AC$400,_xlfn.TEXTJOIN(",",TRUE,B14:E14),SF_Output!$Q$1:$Q$400,"monthly"))</f>
        <v>6921.15</v>
      </c>
      <c r="W14" s="112" cm="1">
        <f t="array" ref="W14">_xlfn.IFS(OR(B14=0,B14="",V14=0),"",AF14&lt;&gt;"exclusion",MAX($W$9,$W$7,(-(SUMIFS(SF_Output!$T$1:$T$400,SF_Output!$AC$1:$AC$400,_xlfn.TEXTJOIN(",",TRUE,$B14:$E14),SF_Output!$Q$1:$Q$400,"monthly"))/V14)),AF14="exclusion",-(SUMIFS(SF_Output!$T$1:$T$400,SF_Output!$AC$1:$AC$400,_xlfn.TEXTJOIN(",",TRUE,$B14:$E14),SF_Output!$Q$1:$Q$400,"monthly"))/V14)</f>
        <v>0.12000028896931868</v>
      </c>
      <c r="X14" s="6" cm="1">
        <f t="array" ref="X14">IFERROR(_xlfn.IFS(V14=0,0,V14="","",W14=0,V14,OR(V14&lt;&gt;0,V14&lt;&gt;""),H14*I14),V14*(1-W14))</f>
        <v>6090.5</v>
      </c>
      <c r="Z14" s="6">
        <f>IFERROR(IF(B14="","",SUMIFS(Billing_Fallout!H:H,Billing_Fallout!N:N,B14)),0)</f>
        <v>0</v>
      </c>
      <c r="AA14" s="6">
        <f t="shared" ref="AA14:AA77" si="4">IF(Z14="","",AB14-Z14)</f>
        <v>0</v>
      </c>
      <c r="AB14" s="6">
        <f>IFERROR(IF(B14="","",SUMIFS(Billing_Fallout!J:J,Billing_Fallout!N:N,B14)),0)</f>
        <v>0</v>
      </c>
      <c r="AD14" s="6">
        <f t="shared" ref="AD14:AD77" si="5">IFERROR(X14-AB14,"")</f>
        <v>6090.5</v>
      </c>
      <c r="AF14" t="str">
        <f>IFERROR(INDEX(H_Tables!$B$1:$B$1500,MATCH(INDEX(SF_Output!$J$1:$J$400,MATCH(B14,SF_Output!$M$1:$M$400,0)),H_Tables!$A$1:$A$1500,0)),"")</f>
        <v>Exclusion</v>
      </c>
      <c r="AI14" s="119" t="str">
        <f t="shared" ref="AI14:AI77" si="6">IF(B14="","",IF(F14="remove","Remove Product",IF(F14="add","Add Product",_xlfn.TEXTJOIN(", ",TRUE,AQ14,AR14,AS14,AT14,AU14,AV14,AW14,AX14,AY14,AZ14,BA14,BB14,BC14))))</f>
        <v/>
      </c>
      <c r="AJ14" s="121">
        <f>IFERROR(INDEX(SF_Output!AD:AD,MATCH(_xlfn.TEXTJOIN(",",TRUE,B14:E14),SF_Output!AC1:AC400,0)),0.05)</f>
        <v>8</v>
      </c>
      <c r="AK14" t="str">
        <f>IF(SUMIFS(SF_Output!$F$1:$F$400,SF_Output!$AC$1:$AC$400,_xlfn.TEXTJOIN(",",TRUE,B14:E14))+SUMIFS(SF_Output!$G$1:$G$400,SF_Output!$AC$1:$AC$400,_xlfn.TEXTJOIN(",",TRUE,B14:E14))=0,"","PAP")</f>
        <v>PAP</v>
      </c>
      <c r="AQ14" s="35"/>
      <c r="AR14" s="35" t="str" cm="1">
        <f t="array" ref="AR14">IFERROR(_xlfn.IFS(AND(E14*1=1,F14="Included"),"Change to Included",AND(E14*1=0,F14="Optional"),"Change to Optional",OR(B14="",F14="replaced"),""),"")</f>
        <v/>
      </c>
      <c r="AS14" s="35" t="str">
        <f t="shared" ref="AS14:AS77" si="7">IF((OR(NOT(_xlfn.ISFORMULA(J14)),NOT(_xlfn.ISFORMULA(L14)))),"Check License Price Override","")</f>
        <v/>
      </c>
      <c r="AT14" s="35" t="str">
        <f t="shared" ref="AT14:AT77" si="8">IF(OR(AND(K14=$K$9,K14&lt;&gt;0),NOT(_xlfn.ISFORMULA(K14))),"License Discount "&amp;K14*100&amp;"%","")</f>
        <v/>
      </c>
      <c r="AU14" s="35" t="str">
        <f t="shared" ref="AU14:AU77" si="9">IF((OR(NOT(_xlfn.ISFORMULA(N14)),NOT(_xlfn.ISFORMULA(P14)))),"Check Install Price Override","")</f>
        <v/>
      </c>
      <c r="AV14" s="35" t="str">
        <f t="shared" ref="AV14:AV77" si="10">IF(OR(AND(O14=$O$9,O14&lt;&gt;0),NOT(_xlfn.ISFORMULA(O14))),"Install Discount "&amp;O14*100&amp;"%","")</f>
        <v/>
      </c>
      <c r="AW14" s="35" t="str">
        <f t="shared" ref="AW14:AW77" si="11">IF((OR(NOT(_xlfn.ISFORMULA(R14)),NOT(_xlfn.ISFORMULA(T14)))),"Check Maintenance Price Override","")</f>
        <v/>
      </c>
      <c r="AX14" s="35" t="str">
        <f t="shared" ref="AX14:AX77" si="12">IF(OR(AND(S14=$S$9,S14&lt;&gt;0),NOT(_xlfn.ISFORMULA(S14))),"Maintenance Discount "&amp;S14*100&amp;"%","")</f>
        <v/>
      </c>
      <c r="AY14" s="35" t="str">
        <f t="shared" ref="AY14:AY77" si="13">IF((OR(NOT(_xlfn.ISFORMULA(V14)),NOT(_xlfn.ISFORMULA(X14)))),"Check Monthly Price Override","")</f>
        <v/>
      </c>
      <c r="AZ14" s="35" t="str">
        <f t="shared" ref="AZ14:AZ77" si="14">IF(OR((AND(W14=$W$9,W14&lt;&gt;0)),(AND(W14=$W$7,W14&lt;&gt;0)),(NOT(_xlfn.ISFORMULA(W14))),AND($W$7+0.2=W14,$W$7&lt;&gt;0)),"Monthly Discount "&amp;W14*100&amp;"%","")</f>
        <v/>
      </c>
      <c r="BA14" s="35" t="str">
        <f t="shared" ref="BA14:BA77" si="15">IF(NOT(_xlfn.ISFORMULA(H14)),"Check Quantity","")</f>
        <v/>
      </c>
      <c r="BB14" s="35" t="str">
        <f t="shared" ref="BB14:BB77" si="16">IF(NOT(_xlfn.ISFORMULA(I14)),"Check Unit Price Override","")</f>
        <v/>
      </c>
      <c r="BC14" s="35"/>
      <c r="BE14" s="35">
        <f ca="1">INDEX(SF_Output!$AA$2:$AA$400,MATCH($B14,SF_Output!$M$2:$M$400,0))</f>
        <v>1</v>
      </c>
      <c r="BF14" s="35">
        <f ca="1">INDEX(SF_Output!$AB$2:$AB$400,MATCH($B14,SF_Output!$M$2:$M$400,0))</f>
        <v>1</v>
      </c>
    </row>
    <row r="15" spans="2:58" x14ac:dyDescent="0.25">
      <c r="B15" t="s">
        <v>2143</v>
      </c>
      <c r="C15" t="s">
        <v>2122</v>
      </c>
      <c r="D15" t="s">
        <v>2123</v>
      </c>
      <c r="E15" t="s">
        <v>2124</v>
      </c>
      <c r="F15" s="116" t="str">
        <f t="shared" si="0"/>
        <v>Included</v>
      </c>
      <c r="G15" t="str">
        <f>IF(B15="","",INDEX(SF_Output!$K$1:$K$400,MATCH(B15,SF_Output!$M$1:$M$400,0)))</f>
        <v>SilverLake</v>
      </c>
      <c r="H15" cm="1">
        <f t="array" ref="H15">_xlfn.IFS(B15="","",(SUMIFS(SF_Output!$F$1:$F$400,SF_Output!$AC$1:$AC$400,_xlfn.TEXTJOIN(",",TRUE,B15:E15))+SUMIFS(SF_Output!$G$1:$G$400,SF_Output!$AC$1:$AC$400,_xlfn.TEXTJOIN(",",TRUE,B15:E15)))&lt;&gt;0,SF_Output!$Y$2,INDEX(SF_Output!$F$1:$F$400,MATCH(_xlfn.TEXTJOIN(",",TRUE,B15:E15),SF_Output!$AC$1:$AC$400,0))=0,INDEX(SF_Output!$R$1:$R$400,MATCH(_xlfn.TEXTJOIN(",",TRUE,B15:E15),SF_Output!$AC$1:$AC$400,0)))</f>
        <v>1</v>
      </c>
      <c r="I15" s="125" t="str">
        <f>IFERROR(IF(AND(H15&gt;1,H15&lt;&gt;""),ROUND(SUMIFS(SF_Output!$S$1:$S$400,SF_Output!$AC$1:$AC$400,_xlfn.TEXTJOIN(",",TRUE,B15:E15),SF_Output!$Q$1:$Q$400,"monthly")*(1-W15)/H15,4),""),"")</f>
        <v/>
      </c>
      <c r="J15" s="6">
        <f>IF(B15="","",SUMIFS(SF_Output!$S$1:$S$400,SF_Output!$AC$1:$AC$400,_xlfn.TEXTJOIN(",",TRUE,B15:E15),SF_Output!$Q$1:$Q$400,"One Time",SF_Output!$L$1:$L$400,"license fee")+SUMIFS(SF_Output!$S$1:$S$400,SF_Output!$AC$1:$AC$400,_xlfn.TEXTJOIN(",",TRUE,B15:E15),SF_Output!$Q$1:$Q$400,"One Time",SF_Output!$L$1:$L$400,"software license")+SUMIFS(SF_Output!$S$1:$S$400,SF_Output!$AC$1:$AC$400,_xlfn.TEXTJOIN(",",TRUE,B15:E15),SF_Output!$Q$1:$Q$400,"One Time",SF_Output!$L$1:$L$400,"hardware"))</f>
        <v>0</v>
      </c>
      <c r="K15" s="112" t="str">
        <f>IF(OR(B15=0,B15="",G15="hardware",J15=0),"",IF(AF15&lt;&gt;"exclusion",MAX(K$9,-((SUMIFS(SF_Output!$T$1:$T$400,SF_Output!$AC$1:$AC$400,_xlfn.TEXTJOIN(",",TRUE,$B15:$E15),SF_Output!$Q$1:$Q$400,"One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license"))/J15)))</f>
        <v/>
      </c>
      <c r="L15" s="6">
        <f t="shared" si="1"/>
        <v>0</v>
      </c>
      <c r="N15" s="6">
        <f>IF(B15="","",SUMIFS(SF_Output!$S$1:$S$400,SF_Output!$AC$1:$AC$400,_xlfn.TEXTJOIN(",",TRUE,B15:E15),SF_Output!$Q$1:$Q$400,"One Time",SF_Output!$L$1:$L$400,"professional service"))</f>
        <v>125405</v>
      </c>
      <c r="O15" s="112">
        <f>IF(OR(B15=0,B15="",N15=0),"",IF(AF15&lt;&gt;"exclusion",MAX(O$9,-(SUMIFS(SF_Output!$T$1:$T$400,SF_Output!$AC$1:$AC$400,_xlfn.TEXTJOIN(",",TRUE,$B15:$E15),SF_Output!$Q$1:$Q$400,"One Time",SF_Output!$L$1:$L$400,"professional service"))/N15),-((SUMIFS(SF_Output!$T$1:$T$400,SF_Output!$AC$1:$AC$400,_xlfn.TEXTJOIN(",",TRUE,$B15:$E15),SF_Output!$Q$1:$Q$400,"One Time",SF_Output!$L$1:$L$400,"professional service")/N15))))</f>
        <v>1</v>
      </c>
      <c r="P15" s="6">
        <f t="shared" si="2"/>
        <v>0</v>
      </c>
      <c r="R15" s="6">
        <f>IF(B15="","",SUMIFS(SF_Output!$S$1:$S$400,SF_Output!$AC$1:$AC$400,_xlfn.TEXTJOIN(",",TRUE,B15:E15),SF_Output!$Q$1:$Q$400,"yearly")+SUMIFS(SF_Output!$S$1:$S$400,SF_Output!$AC$1:$AC$400,_xlfn.TEXTJOIN(",",TRUE,B15:E15),SF_Output!$Q$1:$Q$400,"quarterly")*4)</f>
        <v>0</v>
      </c>
      <c r="S15" s="112" t="str">
        <f>IF(OR(B15=0,B15="",G15="hardware",R15=0),"",IF(AF15&lt;&gt;"exclusion",MAX(S$9,-(SUMIFS(SF_Output!$T$1:$T$400,SF_Output!$AC$1:$AC$400,_xlfn.TEXTJOIN(",",TRUE,$B15:$E15),SF_Output!$Q$1:$Q$400,"yearly"))/R15),-((SUMIFS(SF_Output!$T$1:$T$400,SF_Output!$AC$1:$AC$400,_xlfn.TEXTJOIN(",",TRUE,$B15:$E15),SF_Output!$Q$1:$Q$400,"yearly")/R15))))</f>
        <v/>
      </c>
      <c r="T15" s="6">
        <f t="shared" si="3"/>
        <v>0</v>
      </c>
      <c r="V15" s="6" cm="1">
        <f t="array" ref="V15">_xlfn.IFS(B15="","",AND(B15&lt;&gt;"",H15=SF_Output!$Y$2,SUMIFS(SF_Output!$T$1:$T$400,SF_Output!$AC$1:$AC$400,_xlfn.TEXTJOIN(",",TRUE,B15:E15),SF_Output!$Q$1:$Q$400,"monthly")=0),(SUMIFS(SF_Output!$F$1:$F$400,SF_Output!$AC$1:$AC$400,_xlfn.TEXTJOIN(",",TRUE,B15:E15),SF_Output!$Q$1:$Q$400,"monthly")+SUMIFS(SF_Output!$G$1:$G$400,SF_Output!$AC$1:$AC$400,_xlfn.TEXTJOIN(",",TRUE,B15:E15),SF_Output!$Q$1:$Q$400,"monthly"))*H15,AND(B15&lt;&gt;"",H15=SF_Output!$Y$2,SUMIFS(SF_Output!$T$1:$T$400,SF_Output!$AC$1:$AC$400,_xlfn.TEXTJOIN(",",TRUE,B15:E15),SF_Output!$Q$1:$Q$400,"monthly")&lt;&gt;0),SUMIFS(SF_Output!$S$1:$S$400,SF_Output!$AC$1:$AC$400,_xlfn.TEXTJOIN(",",TRUE,B15:E15),SF_Output!$Q$1:$Q$400,"monthly"),AND(B15&lt;&gt;"",H15&lt;&gt;SF_Output!$Y$2),SUMIFS(SF_Output!$S$1:$S$400,SF_Output!$AC$1:$AC$400,_xlfn.TEXTJOIN(",",TRUE,B15:E15),SF_Output!$Q$1:$Q$400,"monthly"))</f>
        <v>0</v>
      </c>
      <c r="W15" s="112" t="str" cm="1">
        <f t="array" ref="W15">_xlfn.IFS(OR(B15=0,B15="",V15=0),"",AF15&lt;&gt;"exclusion",MAX($W$9,$W$7,(-(SUMIFS(SF_Output!$T$1:$T$400,SF_Output!$AC$1:$AC$400,_xlfn.TEXTJOIN(",",TRUE,$B15:$E15),SF_Output!$Q$1:$Q$400,"monthly"))/V15)),AF15="exclusion",-(SUMIFS(SF_Output!$T$1:$T$400,SF_Output!$AC$1:$AC$400,_xlfn.TEXTJOIN(",",TRUE,$B15:$E15),SF_Output!$Q$1:$Q$400,"monthly"))/V15)</f>
        <v/>
      </c>
      <c r="X15" s="6" cm="1">
        <f t="array" ref="X15">IFERROR(_xlfn.IFS(V15=0,0,V15="","",W15=0,V15,OR(V15&lt;&gt;0,V15&lt;&gt;""),H15*I15),V15*(1-W15))</f>
        <v>0</v>
      </c>
      <c r="Z15" s="6">
        <f>IFERROR(IF(B15="","",SUMIFS(Billing_Fallout!H:H,Billing_Fallout!N:N,B15)),0)</f>
        <v>0</v>
      </c>
      <c r="AA15" s="6">
        <f t="shared" si="4"/>
        <v>0</v>
      </c>
      <c r="AB15" s="6">
        <f>IFERROR(IF(B15="","",SUMIFS(Billing_Fallout!J:J,Billing_Fallout!N:N,B15)),0)</f>
        <v>0</v>
      </c>
      <c r="AD15" s="6">
        <f t="shared" si="5"/>
        <v>0</v>
      </c>
      <c r="AF15" t="str">
        <f>IFERROR(INDEX(H_Tables!$B$1:$B$1500,MATCH(INDEX(SF_Output!$J$1:$J$400,MATCH(B15,SF_Output!$M$1:$M$400,0)),H_Tables!$A$1:$A$1500,0)),"")</f>
        <v/>
      </c>
      <c r="AI15" s="119" t="str">
        <f t="shared" si="6"/>
        <v/>
      </c>
      <c r="AJ15" s="121">
        <f>IFERROR(INDEX(SF_Output!AD:AD,MATCH(_xlfn.TEXTJOIN(",",TRUE,B15:E15),SF_Output!AC1:AC400,0)),0.05)</f>
        <v>10</v>
      </c>
      <c r="AK15" t="str">
        <f>IF(SUMIFS(SF_Output!$F$1:$F$400,SF_Output!$AC$1:$AC$400,_xlfn.TEXTJOIN(",",TRUE,B15:E15))+SUMIFS(SF_Output!$G$1:$G$400,SF_Output!$AC$1:$AC$400,_xlfn.TEXTJOIN(",",TRUE,B15:E15))=0,"","PAP")</f>
        <v/>
      </c>
      <c r="AQ15" s="35"/>
      <c r="AR15" s="35" t="str" cm="1">
        <f t="array" ref="AR15">IFERROR(_xlfn.IFS(AND(E15*1=1,F15="Included"),"Change to Included",AND(E15*1=0,F15="Optional"),"Change to Optional",OR(B15="",F15="replaced"),""),"")</f>
        <v/>
      </c>
      <c r="AS15" s="35" t="str">
        <f t="shared" si="7"/>
        <v/>
      </c>
      <c r="AT15" s="35" t="str">
        <f t="shared" si="8"/>
        <v/>
      </c>
      <c r="AU15" s="35" t="str">
        <f t="shared" si="9"/>
        <v/>
      </c>
      <c r="AV15" s="35" t="str">
        <f t="shared" si="10"/>
        <v/>
      </c>
      <c r="AW15" s="35" t="str">
        <f t="shared" si="11"/>
        <v/>
      </c>
      <c r="AX15" s="35" t="str">
        <f t="shared" si="12"/>
        <v/>
      </c>
      <c r="AY15" s="35" t="str">
        <f t="shared" si="13"/>
        <v/>
      </c>
      <c r="AZ15" s="35" t="str">
        <f t="shared" si="14"/>
        <v/>
      </c>
      <c r="BA15" s="35" t="str">
        <f t="shared" si="15"/>
        <v/>
      </c>
      <c r="BB15" s="35" t="str">
        <f t="shared" si="16"/>
        <v/>
      </c>
      <c r="BC15" s="35"/>
      <c r="BE15" s="35">
        <f ca="1">INDEX(SF_Output!$AA$2:$AA$400,MATCH($B15,SF_Output!$M$2:$M$400,0))</f>
        <v>1</v>
      </c>
      <c r="BF15" s="35">
        <f ca="1">INDEX(SF_Output!$AB$2:$AB$400,MATCH($B15,SF_Output!$M$2:$M$400,0))</f>
        <v>1</v>
      </c>
    </row>
    <row r="16" spans="2:58" x14ac:dyDescent="0.25">
      <c r="B16" t="s">
        <v>1774</v>
      </c>
      <c r="C16" t="s">
        <v>2122</v>
      </c>
      <c r="D16" t="s">
        <v>2123</v>
      </c>
      <c r="E16" t="s">
        <v>2124</v>
      </c>
      <c r="F16" s="116" t="str">
        <f t="shared" si="0"/>
        <v>Included</v>
      </c>
      <c r="G16" t="str">
        <f>IF(B16="","",INDEX(SF_Output!$K$1:$K$400,MATCH(B16,SF_Output!$M$1:$M$400,0)))</f>
        <v>SilverLake</v>
      </c>
      <c r="H16" cm="1">
        <f t="array" ref="H16">_xlfn.IFS(B16="","",(SUMIFS(SF_Output!$F$1:$F$400,SF_Output!$AC$1:$AC$400,_xlfn.TEXTJOIN(",",TRUE,B16:E16))+SUMIFS(SF_Output!$G$1:$G$400,SF_Output!$AC$1:$AC$400,_xlfn.TEXTJOIN(",",TRUE,B16:E16)))&lt;&gt;0,SF_Output!$Y$2,INDEX(SF_Output!$F$1:$F$400,MATCH(_xlfn.TEXTJOIN(",",TRUE,B16:E16),SF_Output!$AC$1:$AC$400,0))=0,INDEX(SF_Output!$R$1:$R$400,MATCH(_xlfn.TEXTJOIN(",",TRUE,B16:E16),SF_Output!$AC$1:$AC$400,0)))</f>
        <v>1</v>
      </c>
      <c r="I16" s="125" t="str">
        <f>IFERROR(IF(AND(H16&gt;1,H16&lt;&gt;""),ROUND(SUMIFS(SF_Output!$S$1:$S$400,SF_Output!$AC$1:$AC$400,_xlfn.TEXTJOIN(",",TRUE,B16:E16),SF_Output!$Q$1:$Q$400,"monthly")*(1-W16)/H16,4),""),"")</f>
        <v/>
      </c>
      <c r="J16" s="6">
        <f>IF(B16="","",SUMIFS(SF_Output!$S$1:$S$400,SF_Output!$AC$1:$AC$400,_xlfn.TEXTJOIN(",",TRUE,B16:E16),SF_Output!$Q$1:$Q$400,"One Time",SF_Output!$L$1:$L$400,"license fee")+SUMIFS(SF_Output!$S$1:$S$400,SF_Output!$AC$1:$AC$400,_xlfn.TEXTJOIN(",",TRUE,B16:E16),SF_Output!$Q$1:$Q$400,"One Time",SF_Output!$L$1:$L$400,"software license")+SUMIFS(SF_Output!$S$1:$S$400,SF_Output!$AC$1:$AC$400,_xlfn.TEXTJOIN(",",TRUE,B16:E16),SF_Output!$Q$1:$Q$400,"One Time",SF_Output!$L$1:$L$400,"hardware"))</f>
        <v>0</v>
      </c>
      <c r="K16" s="112" t="str">
        <f>IF(OR(B16=0,B16="",G16="hardware",J16=0),"",IF(AF16&lt;&gt;"exclusion",MAX(K$9,-((SUMIFS(SF_Output!$T$1:$T$400,SF_Output!$AC$1:$AC$400,_xlfn.TEXTJOIN(",",TRUE,$B16:$E16),SF_Output!$Q$1:$Q$400,"One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license"))/J16)))</f>
        <v/>
      </c>
      <c r="L16" s="6">
        <f t="shared" si="1"/>
        <v>0</v>
      </c>
      <c r="N16" s="6">
        <f>IF(B16="","",SUMIFS(SF_Output!$S$1:$S$400,SF_Output!$AC$1:$AC$400,_xlfn.TEXTJOIN(",",TRUE,B16:E16),SF_Output!$Q$1:$Q$400,"One Time",SF_Output!$L$1:$L$400,"professional service"))</f>
        <v>0</v>
      </c>
      <c r="O16" s="112" t="str">
        <f>IF(OR(B16=0,B16="",N16=0),"",IF(AF16&lt;&gt;"exclusion",MAX(O$9,-(SUMIFS(SF_Output!$T$1:$T$400,SF_Output!$AC$1:$AC$400,_xlfn.TEXTJOIN(",",TRUE,$B16:$E16),SF_Output!$Q$1:$Q$400,"One Time",SF_Output!$L$1:$L$400,"professional service"))/N16),-((SUMIFS(SF_Output!$T$1:$T$400,SF_Output!$AC$1:$AC$400,_xlfn.TEXTJOIN(",",TRUE,$B16:$E16),SF_Output!$Q$1:$Q$400,"One Time",SF_Output!$L$1:$L$400,"professional service")/N16))))</f>
        <v/>
      </c>
      <c r="P16" s="6">
        <f t="shared" si="2"/>
        <v>0</v>
      </c>
      <c r="R16" s="6">
        <f>IF(B16="","",SUMIFS(SF_Output!$S$1:$S$400,SF_Output!$AC$1:$AC$400,_xlfn.TEXTJOIN(",",TRUE,B16:E16),SF_Output!$Q$1:$Q$400,"yearly")+SUMIFS(SF_Output!$S$1:$S$400,SF_Output!$AC$1:$AC$400,_xlfn.TEXTJOIN(",",TRUE,B16:E16),SF_Output!$Q$1:$Q$400,"quarterly")*4)</f>
        <v>0</v>
      </c>
      <c r="S16" s="112" t="str">
        <f>IF(OR(B16=0,B16="",G16="hardware",R16=0),"",IF(AF16&lt;&gt;"exclusion",MAX(S$9,-(SUMIFS(SF_Output!$T$1:$T$400,SF_Output!$AC$1:$AC$400,_xlfn.TEXTJOIN(",",TRUE,$B16:$E16),SF_Output!$Q$1:$Q$400,"yearly"))/R16),-((SUMIFS(SF_Output!$T$1:$T$400,SF_Output!$AC$1:$AC$400,_xlfn.TEXTJOIN(",",TRUE,$B16:$E16),SF_Output!$Q$1:$Q$400,"yearly")/R16))))</f>
        <v/>
      </c>
      <c r="T16" s="6">
        <f t="shared" si="3"/>
        <v>0</v>
      </c>
      <c r="V16" s="6" cm="1">
        <f t="array" ref="V16">_xlfn.IFS(B16="","",AND(B16&lt;&gt;"",H16=SF_Output!$Y$2,SUMIFS(SF_Output!$T$1:$T$400,SF_Output!$AC$1:$AC$400,_xlfn.TEXTJOIN(",",TRUE,B16:E16),SF_Output!$Q$1:$Q$400,"monthly")=0),(SUMIFS(SF_Output!$F$1:$F$400,SF_Output!$AC$1:$AC$400,_xlfn.TEXTJOIN(",",TRUE,B16:E16),SF_Output!$Q$1:$Q$400,"monthly")+SUMIFS(SF_Output!$G$1:$G$400,SF_Output!$AC$1:$AC$400,_xlfn.TEXTJOIN(",",TRUE,B16:E16),SF_Output!$Q$1:$Q$400,"monthly"))*H16,AND(B16&lt;&gt;"",H16=SF_Output!$Y$2,SUMIFS(SF_Output!$T$1:$T$400,SF_Output!$AC$1:$AC$400,_xlfn.TEXTJOIN(",",TRUE,B16:E16),SF_Output!$Q$1:$Q$400,"monthly")&lt;&gt;0),SUMIFS(SF_Output!$S$1:$S$400,SF_Output!$AC$1:$AC$400,_xlfn.TEXTJOIN(",",TRUE,B16:E16),SF_Output!$Q$1:$Q$400,"monthly"),AND(B16&lt;&gt;"",H16&lt;&gt;SF_Output!$Y$2),SUMIFS(SF_Output!$S$1:$S$400,SF_Output!$AC$1:$AC$400,_xlfn.TEXTJOIN(",",TRUE,B16:E16),SF_Output!$Q$1:$Q$400,"monthly"))</f>
        <v>0.25</v>
      </c>
      <c r="W16" s="112" cm="1">
        <f t="array" ref="W16">_xlfn.IFS(OR(B16=0,B16="",V16=0),"",AF16&lt;&gt;"exclusion",MAX($W$9,$W$7,(-(SUMIFS(SF_Output!$T$1:$T$400,SF_Output!$AC$1:$AC$400,_xlfn.TEXTJOIN(",",TRUE,$B16:$E16),SF_Output!$Q$1:$Q$400,"monthly"))/V16)),AF16="exclusion",-(SUMIFS(SF_Output!$T$1:$T$400,SF_Output!$AC$1:$AC$400,_xlfn.TEXTJOIN(",",TRUE,$B16:$E16),SF_Output!$Q$1:$Q$400,"monthly"))/V16)</f>
        <v>0</v>
      </c>
      <c r="X16" s="6" cm="1">
        <f t="array" ref="X16">IFERROR(_xlfn.IFS(V16=0,0,V16="","",W16=0,V16,OR(V16&lt;&gt;0,V16&lt;&gt;""),H16*I16),V16*(1-W16))</f>
        <v>0.25</v>
      </c>
      <c r="Z16" s="6">
        <f>IFERROR(IF(B16="","",SUMIFS(Billing_Fallout!H:H,Billing_Fallout!N:N,B16)),0)</f>
        <v>0</v>
      </c>
      <c r="AA16" s="6">
        <f t="shared" si="4"/>
        <v>0</v>
      </c>
      <c r="AB16" s="6">
        <f>IFERROR(IF(B16="","",SUMIFS(Billing_Fallout!J:J,Billing_Fallout!N:N,B16)),0)</f>
        <v>0</v>
      </c>
      <c r="AD16" s="6">
        <f t="shared" si="5"/>
        <v>0.25</v>
      </c>
      <c r="AF16" t="str">
        <f>IFERROR(INDEX(H_Tables!$B$1:$B$1500,MATCH(INDEX(SF_Output!$J$1:$J$400,MATCH(B16,SF_Output!$M$1:$M$400,0)),H_Tables!$A$1:$A$1500,0)),"")</f>
        <v>Exclusion</v>
      </c>
      <c r="AI16" s="119" t="str">
        <f t="shared" si="6"/>
        <v/>
      </c>
      <c r="AJ16" s="121">
        <f>IFERROR(INDEX(SF_Output!AD:AD,MATCH(_xlfn.TEXTJOIN(",",TRUE,B16:E16),SF_Output!AC1:AC400,0)),0.05)</f>
        <v>12</v>
      </c>
      <c r="AK16" t="str">
        <f>IF(SUMIFS(SF_Output!$F$1:$F$400,SF_Output!$AC$1:$AC$400,_xlfn.TEXTJOIN(",",TRUE,B16:E16))+SUMIFS(SF_Output!$G$1:$G$400,SF_Output!$AC$1:$AC$400,_xlfn.TEXTJOIN(",",TRUE,B16:E16))=0,"","PAP")</f>
        <v/>
      </c>
      <c r="AQ16" s="35"/>
      <c r="AR16" s="35" t="str" cm="1">
        <f t="array" ref="AR16">IFERROR(_xlfn.IFS(AND(E16*1=1,F16="Included"),"Change to Included",AND(E16*1=0,F16="Optional"),"Change to Optional",OR(B16="",F16="replaced"),""),"")</f>
        <v/>
      </c>
      <c r="AS16" s="35" t="str">
        <f t="shared" si="7"/>
        <v/>
      </c>
      <c r="AT16" s="35" t="str">
        <f t="shared" si="8"/>
        <v/>
      </c>
      <c r="AU16" s="35" t="str">
        <f t="shared" si="9"/>
        <v/>
      </c>
      <c r="AV16" s="35" t="str">
        <f t="shared" si="10"/>
        <v/>
      </c>
      <c r="AW16" s="35" t="str">
        <f t="shared" si="11"/>
        <v/>
      </c>
      <c r="AX16" s="35" t="str">
        <f t="shared" si="12"/>
        <v/>
      </c>
      <c r="AY16" s="35" t="str">
        <f t="shared" si="13"/>
        <v/>
      </c>
      <c r="AZ16" s="35" t="str">
        <f t="shared" si="14"/>
        <v/>
      </c>
      <c r="BA16" s="35" t="str">
        <f t="shared" si="15"/>
        <v/>
      </c>
      <c r="BB16" s="35" t="str">
        <f t="shared" si="16"/>
        <v/>
      </c>
      <c r="BC16" s="35"/>
      <c r="BE16" s="35">
        <f ca="1">INDEX(SF_Output!$AA$2:$AA$400,MATCH($B16,SF_Output!$M$2:$M$400,0))</f>
        <v>1</v>
      </c>
      <c r="BF16" s="35">
        <f ca="1">INDEX(SF_Output!$AB$2:$AB$400,MATCH($B16,SF_Output!$M$2:$M$400,0))</f>
        <v>1</v>
      </c>
    </row>
    <row r="17" spans="2:58" x14ac:dyDescent="0.25">
      <c r="B17" t="s">
        <v>2149</v>
      </c>
      <c r="C17" t="s">
        <v>2122</v>
      </c>
      <c r="D17" t="s">
        <v>2123</v>
      </c>
      <c r="E17" t="s">
        <v>2150</v>
      </c>
      <c r="F17" s="116" t="str">
        <f t="shared" si="0"/>
        <v>Optional</v>
      </c>
      <c r="G17" t="str">
        <f>IF(B17="","",INDEX(SF_Output!$K$1:$K$400,MATCH(B17,SF_Output!$M$1:$M$400,0)))</f>
        <v>SilverLake</v>
      </c>
      <c r="H17" cm="1">
        <f t="array" ref="H17">_xlfn.IFS(B17="","",(SUMIFS(SF_Output!$F$1:$F$400,SF_Output!$AC$1:$AC$400,_xlfn.TEXTJOIN(",",TRUE,B17:E17))+SUMIFS(SF_Output!$G$1:$G$400,SF_Output!$AC$1:$AC$400,_xlfn.TEXTJOIN(",",TRUE,B17:E17)))&lt;&gt;0,SF_Output!$Y$2,INDEX(SF_Output!$F$1:$F$400,MATCH(_xlfn.TEXTJOIN(",",TRUE,B17:E17),SF_Output!$AC$1:$AC$400,0))=0,INDEX(SF_Output!$R$1:$R$400,MATCH(_xlfn.TEXTJOIN(",",TRUE,B17:E17),SF_Output!$AC$1:$AC$400,0)))</f>
        <v>1</v>
      </c>
      <c r="I17" s="125" t="str">
        <f>IFERROR(IF(AND(H17&gt;1,H17&lt;&gt;""),ROUND(SUMIFS(SF_Output!$S$1:$S$400,SF_Output!$AC$1:$AC$400,_xlfn.TEXTJOIN(",",TRUE,B17:E17),SF_Output!$Q$1:$Q$400,"monthly")*(1-W17)/H17,4),""),"")</f>
        <v/>
      </c>
      <c r="J17" s="6">
        <f>IF(B17="","",SUMIFS(SF_Output!$S$1:$S$400,SF_Output!$AC$1:$AC$400,_xlfn.TEXTJOIN(",",TRUE,B17:E17),SF_Output!$Q$1:$Q$400,"One Time",SF_Output!$L$1:$L$400,"license fee")+SUMIFS(SF_Output!$S$1:$S$400,SF_Output!$AC$1:$AC$400,_xlfn.TEXTJOIN(",",TRUE,B17:E17),SF_Output!$Q$1:$Q$400,"One Time",SF_Output!$L$1:$L$400,"software license")+SUMIFS(SF_Output!$S$1:$S$400,SF_Output!$AC$1:$AC$400,_xlfn.TEXTJOIN(",",TRUE,B17:E17),SF_Output!$Q$1:$Q$400,"One Time",SF_Output!$L$1:$L$400,"hardware"))</f>
        <v>0</v>
      </c>
      <c r="K17" s="112" t="str">
        <f>IF(OR(B17=0,B17="",G17="hardware",J17=0),"",IF(AF17&lt;&gt;"exclusion",MAX(K$9,-((SUMIFS(SF_Output!$T$1:$T$400,SF_Output!$AC$1:$AC$400,_xlfn.TEXTJOIN(",",TRUE,$B17:$E17),SF_Output!$Q$1:$Q$400,"One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license"))/J17)))</f>
        <v/>
      </c>
      <c r="L17" s="6">
        <f t="shared" si="1"/>
        <v>0</v>
      </c>
      <c r="N17" s="6">
        <f>IF(B17="","",SUMIFS(SF_Output!$S$1:$S$400,SF_Output!$AC$1:$AC$400,_xlfn.TEXTJOIN(",",TRUE,B17:E17),SF_Output!$Q$1:$Q$400,"One Time",SF_Output!$L$1:$L$400,"professional service"))</f>
        <v>6000</v>
      </c>
      <c r="O17" s="112">
        <f>IF(OR(B17=0,B17="",N17=0),"",IF(AF17&lt;&gt;"exclusion",MAX(O$9,-(SUMIFS(SF_Output!$T$1:$T$400,SF_Output!$AC$1:$AC$400,_xlfn.TEXTJOIN(",",TRUE,$B17:$E17),SF_Output!$Q$1:$Q$400,"One Time",SF_Output!$L$1:$L$400,"professional service"))/N17),-((SUMIFS(SF_Output!$T$1:$T$400,SF_Output!$AC$1:$AC$400,_xlfn.TEXTJOIN(",",TRUE,$B17:$E17),SF_Output!$Q$1:$Q$400,"One Time",SF_Output!$L$1:$L$400,"professional service")/N17))))</f>
        <v>1</v>
      </c>
      <c r="P17" s="6">
        <f t="shared" si="2"/>
        <v>0</v>
      </c>
      <c r="R17" s="6">
        <f>IF(B17="","",SUMIFS(SF_Output!$S$1:$S$400,SF_Output!$AC$1:$AC$400,_xlfn.TEXTJOIN(",",TRUE,B17:E17),SF_Output!$Q$1:$Q$400,"yearly")+SUMIFS(SF_Output!$S$1:$S$400,SF_Output!$AC$1:$AC$400,_xlfn.TEXTJOIN(",",TRUE,B17:E17),SF_Output!$Q$1:$Q$400,"quarterly")*4)</f>
        <v>0</v>
      </c>
      <c r="S17" s="112" t="str">
        <f>IF(OR(B17=0,B17="",G17="hardware",R17=0),"",IF(AF17&lt;&gt;"exclusion",MAX(S$9,-(SUMIFS(SF_Output!$T$1:$T$400,SF_Output!$AC$1:$AC$400,_xlfn.TEXTJOIN(",",TRUE,$B17:$E17),SF_Output!$Q$1:$Q$400,"yearly"))/R17),-((SUMIFS(SF_Output!$T$1:$T$400,SF_Output!$AC$1:$AC$400,_xlfn.TEXTJOIN(",",TRUE,$B17:$E17),SF_Output!$Q$1:$Q$400,"yearly")/R17))))</f>
        <v/>
      </c>
      <c r="T17" s="6">
        <f t="shared" si="3"/>
        <v>0</v>
      </c>
      <c r="V17" s="6" cm="1">
        <f t="array" ref="V17">_xlfn.IFS(B17="","",AND(B17&lt;&gt;"",H17=SF_Output!$Y$2,SUMIFS(SF_Output!$T$1:$T$400,SF_Output!$AC$1:$AC$400,_xlfn.TEXTJOIN(",",TRUE,B17:E17),SF_Output!$Q$1:$Q$400,"monthly")=0),(SUMIFS(SF_Output!$F$1:$F$400,SF_Output!$AC$1:$AC$400,_xlfn.TEXTJOIN(",",TRUE,B17:E17),SF_Output!$Q$1:$Q$400,"monthly")+SUMIFS(SF_Output!$G$1:$G$400,SF_Output!$AC$1:$AC$400,_xlfn.TEXTJOIN(",",TRUE,B17:E17),SF_Output!$Q$1:$Q$400,"monthly"))*H17,AND(B17&lt;&gt;"",H17=SF_Output!$Y$2,SUMIFS(SF_Output!$T$1:$T$400,SF_Output!$AC$1:$AC$400,_xlfn.TEXTJOIN(",",TRUE,B17:E17),SF_Output!$Q$1:$Q$400,"monthly")&lt;&gt;0),SUMIFS(SF_Output!$S$1:$S$400,SF_Output!$AC$1:$AC$400,_xlfn.TEXTJOIN(",",TRUE,B17:E17),SF_Output!$Q$1:$Q$400,"monthly"),AND(B17&lt;&gt;"",H17&lt;&gt;SF_Output!$Y$2),SUMIFS(SF_Output!$S$1:$S$400,SF_Output!$AC$1:$AC$400,_xlfn.TEXTJOIN(",",TRUE,B17:E17),SF_Output!$Q$1:$Q$400,"monthly"))</f>
        <v>530</v>
      </c>
      <c r="W17" s="112" cm="1">
        <f t="array" ref="W17">_xlfn.IFS(OR(B17=0,B17="",V17=0),"",AF17&lt;&gt;"exclusion",MAX($W$9,$W$7,(-(SUMIFS(SF_Output!$T$1:$T$400,SF_Output!$AC$1:$AC$400,_xlfn.TEXTJOIN(",",TRUE,$B17:$E17),SF_Output!$Q$1:$Q$400,"monthly"))/V17)),AF17="exclusion",-(SUMIFS(SF_Output!$T$1:$T$400,SF_Output!$AC$1:$AC$400,_xlfn.TEXTJOIN(",",TRUE,$B17:$E17),SF_Output!$Q$1:$Q$400,"monthly"))/V17)</f>
        <v>0.25</v>
      </c>
      <c r="X17" s="6" cm="1">
        <f t="array" ref="X17">IFERROR(_xlfn.IFS(V17=0,0,V17="","",W17=0,V17,OR(V17&lt;&gt;0,V17&lt;&gt;""),H17*I17),V17*(1-W17))</f>
        <v>397.5</v>
      </c>
      <c r="Z17" s="6">
        <f>IFERROR(IF(B17="","",SUMIFS(Billing_Fallout!H:H,Billing_Fallout!N:N,B17)),0)</f>
        <v>0</v>
      </c>
      <c r="AA17" s="6">
        <f t="shared" si="4"/>
        <v>0</v>
      </c>
      <c r="AB17" s="6">
        <f>IFERROR(IF(B17="","",SUMIFS(Billing_Fallout!J:J,Billing_Fallout!N:N,B17)),0)</f>
        <v>0</v>
      </c>
      <c r="AD17" s="6">
        <f t="shared" si="5"/>
        <v>397.5</v>
      </c>
      <c r="AF17" t="str">
        <f>IFERROR(INDEX(H_Tables!$B$1:$B$1500,MATCH(INDEX(SF_Output!$J$1:$J$400,MATCH(B17,SF_Output!$M$1:$M$400,0)),H_Tables!$A$1:$A$1500,0)),"")</f>
        <v/>
      </c>
      <c r="AI17" s="119" t="str">
        <f t="shared" si="6"/>
        <v/>
      </c>
      <c r="AJ17" s="121">
        <f>IFERROR(INDEX(SF_Output!AD:AD,MATCH(_xlfn.TEXTJOIN(",",TRUE,B17:E17),SF_Output!AC1:AC400,0)),0.05)</f>
        <v>14</v>
      </c>
      <c r="AK17" t="str">
        <f>IF(SUMIFS(SF_Output!$F$1:$F$400,SF_Output!$AC$1:$AC$400,_xlfn.TEXTJOIN(",",TRUE,B17:E17))+SUMIFS(SF_Output!$G$1:$G$400,SF_Output!$AC$1:$AC$400,_xlfn.TEXTJOIN(",",TRUE,B17:E17))=0,"","PAP")</f>
        <v/>
      </c>
      <c r="AQ17" s="35"/>
      <c r="AR17" s="35" t="str" cm="1">
        <f t="array" ref="AR17">IFERROR(_xlfn.IFS(AND(E17*1=1,F17="Included"),"Change to Included",AND(E17*1=0,F17="Optional"),"Change to Optional",OR(B17="",F17="replaced"),""),"")</f>
        <v/>
      </c>
      <c r="AS17" s="35" t="str">
        <f t="shared" si="7"/>
        <v/>
      </c>
      <c r="AT17" s="35" t="str">
        <f t="shared" si="8"/>
        <v/>
      </c>
      <c r="AU17" s="35" t="str">
        <f t="shared" si="9"/>
        <v/>
      </c>
      <c r="AV17" s="35" t="str">
        <f t="shared" si="10"/>
        <v/>
      </c>
      <c r="AW17" s="35" t="str">
        <f t="shared" si="11"/>
        <v/>
      </c>
      <c r="AX17" s="35" t="str">
        <f t="shared" si="12"/>
        <v/>
      </c>
      <c r="AY17" s="35" t="str">
        <f t="shared" si="13"/>
        <v/>
      </c>
      <c r="AZ17" s="35" t="str">
        <f t="shared" si="14"/>
        <v/>
      </c>
      <c r="BA17" s="35" t="str">
        <f t="shared" si="15"/>
        <v/>
      </c>
      <c r="BB17" s="35" t="str">
        <f t="shared" si="16"/>
        <v/>
      </c>
      <c r="BC17" s="35"/>
      <c r="BE17" s="35">
        <f ca="1">INDEX(SF_Output!$AA$2:$AA$400,MATCH($B17,SF_Output!$M$2:$M$400,0))</f>
        <v>1</v>
      </c>
      <c r="BF17" s="35">
        <f ca="1">INDEX(SF_Output!$AB$2:$AB$400,MATCH($B17,SF_Output!$M$2:$M$400,0))</f>
        <v>1</v>
      </c>
    </row>
    <row r="18" spans="2:58" x14ac:dyDescent="0.25">
      <c r="B18" t="s">
        <v>2156</v>
      </c>
      <c r="C18" t="s">
        <v>2122</v>
      </c>
      <c r="D18" t="s">
        <v>2123</v>
      </c>
      <c r="E18" t="s">
        <v>2150</v>
      </c>
      <c r="F18" s="116" t="str">
        <f t="shared" si="0"/>
        <v>Optional</v>
      </c>
      <c r="G18" t="str">
        <f>IF(B18="","",INDEX(SF_Output!$K$1:$K$400,MATCH(B18,SF_Output!$M$1:$M$400,0)))</f>
        <v>SilverLake</v>
      </c>
      <c r="H18" cm="1">
        <f t="array" ref="H18">_xlfn.IFS(B18="","",(SUMIFS(SF_Output!$F$1:$F$400,SF_Output!$AC$1:$AC$400,_xlfn.TEXTJOIN(",",TRUE,B18:E18))+SUMIFS(SF_Output!$G$1:$G$400,SF_Output!$AC$1:$AC$400,_xlfn.TEXTJOIN(",",TRUE,B18:E18)))&lt;&gt;0,SF_Output!$Y$2,INDEX(SF_Output!$F$1:$F$400,MATCH(_xlfn.TEXTJOIN(",",TRUE,B18:E18),SF_Output!$AC$1:$AC$400,0))=0,INDEX(SF_Output!$R$1:$R$400,MATCH(_xlfn.TEXTJOIN(",",TRUE,B18:E18),SF_Output!$AC$1:$AC$400,0)))</f>
        <v>1</v>
      </c>
      <c r="I18" s="125" t="str">
        <f>IFERROR(IF(AND(H18&gt;1,H18&lt;&gt;""),ROUND(SUMIFS(SF_Output!$S$1:$S$400,SF_Output!$AC$1:$AC$400,_xlfn.TEXTJOIN(",",TRUE,B18:E18),SF_Output!$Q$1:$Q$400,"monthly")*(1-W18)/H18,4),""),"")</f>
        <v/>
      </c>
      <c r="J18" s="6">
        <f>IF(B18="","",SUMIFS(SF_Output!$S$1:$S$400,SF_Output!$AC$1:$AC$400,_xlfn.TEXTJOIN(",",TRUE,B18:E18),SF_Output!$Q$1:$Q$400,"One Time",SF_Output!$L$1:$L$400,"license fee")+SUMIFS(SF_Output!$S$1:$S$400,SF_Output!$AC$1:$AC$400,_xlfn.TEXTJOIN(",",TRUE,B18:E18),SF_Output!$Q$1:$Q$400,"One Time",SF_Output!$L$1:$L$400,"software license")+SUMIFS(SF_Output!$S$1:$S$400,SF_Output!$AC$1:$AC$400,_xlfn.TEXTJOIN(",",TRUE,B18:E18),SF_Output!$Q$1:$Q$400,"One Time",SF_Output!$L$1:$L$400,"hardware"))</f>
        <v>0</v>
      </c>
      <c r="K18" s="112" t="str">
        <f>IF(OR(B18=0,B18="",G18="hardware",J18=0),"",IF(AF18&lt;&gt;"exclusion",MAX(K$9,-((SUMIFS(SF_Output!$T$1:$T$400,SF_Output!$AC$1:$AC$400,_xlfn.TEXTJOIN(",",TRUE,$B18:$E18),SF_Output!$Q$1:$Q$400,"One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license"))/J18)))</f>
        <v/>
      </c>
      <c r="L18" s="6">
        <f t="shared" si="1"/>
        <v>0</v>
      </c>
      <c r="N18" s="6">
        <f>IF(B18="","",SUMIFS(SF_Output!$S$1:$S$400,SF_Output!$AC$1:$AC$400,_xlfn.TEXTJOIN(",",TRUE,B18:E18),SF_Output!$Q$1:$Q$400,"One Time",SF_Output!$L$1:$L$400,"professional service"))</f>
        <v>2340</v>
      </c>
      <c r="O18" s="112">
        <f>IF(OR(B18=0,B18="",N18=0),"",IF(AF18&lt;&gt;"exclusion",MAX(O$9,-(SUMIFS(SF_Output!$T$1:$T$400,SF_Output!$AC$1:$AC$400,_xlfn.TEXTJOIN(",",TRUE,$B18:$E18),SF_Output!$Q$1:$Q$400,"One Time",SF_Output!$L$1:$L$400,"professional service"))/N18),-((SUMIFS(SF_Output!$T$1:$T$400,SF_Output!$AC$1:$AC$400,_xlfn.TEXTJOIN(",",TRUE,$B18:$E18),SF_Output!$Q$1:$Q$400,"One Time",SF_Output!$L$1:$L$400,"professional service")/N18))))</f>
        <v>1</v>
      </c>
      <c r="P18" s="6">
        <f t="shared" si="2"/>
        <v>0</v>
      </c>
      <c r="R18" s="6">
        <f>IF(B18="","",SUMIFS(SF_Output!$S$1:$S$400,SF_Output!$AC$1:$AC$400,_xlfn.TEXTJOIN(",",TRUE,B18:E18),SF_Output!$Q$1:$Q$400,"yearly")+SUMIFS(SF_Output!$S$1:$S$400,SF_Output!$AC$1:$AC$400,_xlfn.TEXTJOIN(",",TRUE,B18:E18),SF_Output!$Q$1:$Q$400,"quarterly")*4)</f>
        <v>0</v>
      </c>
      <c r="S18" s="112" t="str">
        <f>IF(OR(B18=0,B18="",G18="hardware",R18=0),"",IF(AF18&lt;&gt;"exclusion",MAX(S$9,-(SUMIFS(SF_Output!$T$1:$T$400,SF_Output!$AC$1:$AC$400,_xlfn.TEXTJOIN(",",TRUE,$B18:$E18),SF_Output!$Q$1:$Q$400,"yearly"))/R18),-((SUMIFS(SF_Output!$T$1:$T$400,SF_Output!$AC$1:$AC$400,_xlfn.TEXTJOIN(",",TRUE,$B18:$E18),SF_Output!$Q$1:$Q$400,"yearly")/R18))))</f>
        <v/>
      </c>
      <c r="T18" s="6">
        <f t="shared" si="3"/>
        <v>0</v>
      </c>
      <c r="V18" s="6" cm="1">
        <f t="array" ref="V18">_xlfn.IFS(B18="","",AND(B18&lt;&gt;"",H18=SF_Output!$Y$2,SUMIFS(SF_Output!$T$1:$T$400,SF_Output!$AC$1:$AC$400,_xlfn.TEXTJOIN(",",TRUE,B18:E18),SF_Output!$Q$1:$Q$400,"monthly")=0),(SUMIFS(SF_Output!$F$1:$F$400,SF_Output!$AC$1:$AC$400,_xlfn.TEXTJOIN(",",TRUE,B18:E18),SF_Output!$Q$1:$Q$400,"monthly")+SUMIFS(SF_Output!$G$1:$G$400,SF_Output!$AC$1:$AC$400,_xlfn.TEXTJOIN(",",TRUE,B18:E18),SF_Output!$Q$1:$Q$400,"monthly"))*H18,AND(B18&lt;&gt;"",H18=SF_Output!$Y$2,SUMIFS(SF_Output!$T$1:$T$400,SF_Output!$AC$1:$AC$400,_xlfn.TEXTJOIN(",",TRUE,B18:E18),SF_Output!$Q$1:$Q$400,"monthly")&lt;&gt;0),SUMIFS(SF_Output!$S$1:$S$400,SF_Output!$AC$1:$AC$400,_xlfn.TEXTJOIN(",",TRUE,B18:E18),SF_Output!$Q$1:$Q$400,"monthly"),AND(B18&lt;&gt;"",H18&lt;&gt;SF_Output!$Y$2),SUMIFS(SF_Output!$S$1:$S$400,SF_Output!$AC$1:$AC$400,_xlfn.TEXTJOIN(",",TRUE,B18:E18),SF_Output!$Q$1:$Q$400,"monthly"))</f>
        <v>220</v>
      </c>
      <c r="W18" s="112" cm="1">
        <f t="array" ref="W18">_xlfn.IFS(OR(B18=0,B18="",V18=0),"",AF18&lt;&gt;"exclusion",MAX($W$9,$W$7,(-(SUMIFS(SF_Output!$T$1:$T$400,SF_Output!$AC$1:$AC$400,_xlfn.TEXTJOIN(",",TRUE,$B18:$E18),SF_Output!$Q$1:$Q$400,"monthly"))/V18)),AF18="exclusion",-(SUMIFS(SF_Output!$T$1:$T$400,SF_Output!$AC$1:$AC$400,_xlfn.TEXTJOIN(",",TRUE,$B18:$E18),SF_Output!$Q$1:$Q$400,"monthly"))/V18)</f>
        <v>0.25</v>
      </c>
      <c r="X18" s="6" cm="1">
        <f t="array" ref="X18">IFERROR(_xlfn.IFS(V18=0,0,V18="","",W18=0,V18,OR(V18&lt;&gt;0,V18&lt;&gt;""),H18*I18),V18*(1-W18))</f>
        <v>165</v>
      </c>
      <c r="Z18" s="6">
        <f>IFERROR(IF(B18="","",SUMIFS(Billing_Fallout!H:H,Billing_Fallout!N:N,B18)),0)</f>
        <v>0</v>
      </c>
      <c r="AA18" s="6">
        <f t="shared" si="4"/>
        <v>0</v>
      </c>
      <c r="AB18" s="6">
        <f>IFERROR(IF(B18="","",SUMIFS(Billing_Fallout!J:J,Billing_Fallout!N:N,B18)),0)</f>
        <v>0</v>
      </c>
      <c r="AD18" s="6">
        <f t="shared" si="5"/>
        <v>165</v>
      </c>
      <c r="AF18" t="str">
        <f>IFERROR(INDEX(H_Tables!$B$1:$B$1500,MATCH(INDEX(SF_Output!$J$1:$J$400,MATCH(B18,SF_Output!$M$1:$M$400,0)),H_Tables!$A$1:$A$1500,0)),"")</f>
        <v/>
      </c>
      <c r="AI18" s="119" t="str">
        <f t="shared" si="6"/>
        <v/>
      </c>
      <c r="AJ18" s="121">
        <f>IFERROR(INDEX(SF_Output!AD:AD,MATCH(_xlfn.TEXTJOIN(",",TRUE,B18:E18),SF_Output!AC1:AC400,0)),0.05)</f>
        <v>20</v>
      </c>
      <c r="AK18" t="str">
        <f>IF(SUMIFS(SF_Output!$F$1:$F$400,SF_Output!$AC$1:$AC$400,_xlfn.TEXTJOIN(",",TRUE,B18:E18))+SUMIFS(SF_Output!$G$1:$G$400,SF_Output!$AC$1:$AC$400,_xlfn.TEXTJOIN(",",TRUE,B18:E18))=0,"","PAP")</f>
        <v/>
      </c>
      <c r="AQ18" s="35"/>
      <c r="AR18" s="35" t="str" cm="1">
        <f t="array" ref="AR18">IFERROR(_xlfn.IFS(AND(E18*1=1,F18="Included"),"Change to Included",AND(E18*1=0,F18="Optional"),"Change to Optional",OR(B18="",F18="replaced"),""),"")</f>
        <v/>
      </c>
      <c r="AS18" s="35" t="str">
        <f t="shared" si="7"/>
        <v/>
      </c>
      <c r="AT18" s="35" t="str">
        <f t="shared" si="8"/>
        <v/>
      </c>
      <c r="AU18" s="35" t="str">
        <f t="shared" si="9"/>
        <v/>
      </c>
      <c r="AV18" s="35" t="str">
        <f t="shared" si="10"/>
        <v/>
      </c>
      <c r="AW18" s="35" t="str">
        <f t="shared" si="11"/>
        <v/>
      </c>
      <c r="AX18" s="35" t="str">
        <f t="shared" si="12"/>
        <v/>
      </c>
      <c r="AY18" s="35" t="str">
        <f t="shared" si="13"/>
        <v/>
      </c>
      <c r="AZ18" s="35" t="str">
        <f t="shared" si="14"/>
        <v/>
      </c>
      <c r="BA18" s="35" t="str">
        <f t="shared" si="15"/>
        <v/>
      </c>
      <c r="BB18" s="35" t="str">
        <f t="shared" si="16"/>
        <v/>
      </c>
      <c r="BC18" s="35"/>
      <c r="BE18" s="35">
        <f ca="1">INDEX(SF_Output!$AA$2:$AA$400,MATCH($B18,SF_Output!$M$2:$M$400,0))</f>
        <v>1</v>
      </c>
      <c r="BF18" s="35">
        <f ca="1">INDEX(SF_Output!$AB$2:$AB$400,MATCH($B18,SF_Output!$M$2:$M$400,0))</f>
        <v>1</v>
      </c>
    </row>
    <row r="19" spans="2:58" x14ac:dyDescent="0.25">
      <c r="B19" t="s">
        <v>2160</v>
      </c>
      <c r="C19" t="s">
        <v>2122</v>
      </c>
      <c r="D19" t="s">
        <v>2123</v>
      </c>
      <c r="E19" t="s">
        <v>2124</v>
      </c>
      <c r="F19" s="116" t="str">
        <f t="shared" si="0"/>
        <v>Included</v>
      </c>
      <c r="G19" t="str">
        <f>IF(B19="","",INDEX(SF_Output!$K$1:$K$400,MATCH(B19,SF_Output!$M$1:$M$400,0)))</f>
        <v>SilverLake</v>
      </c>
      <c r="H19" cm="1">
        <f t="array" ref="H19">_xlfn.IFS(B19="","",(SUMIFS(SF_Output!$F$1:$F$400,SF_Output!$AC$1:$AC$400,_xlfn.TEXTJOIN(",",TRUE,B19:E19))+SUMIFS(SF_Output!$G$1:$G$400,SF_Output!$AC$1:$AC$400,_xlfn.TEXTJOIN(",",TRUE,B19:E19)))&lt;&gt;0,SF_Output!$Y$2,INDEX(SF_Output!$F$1:$F$400,MATCH(_xlfn.TEXTJOIN(",",TRUE,B19:E19),SF_Output!$AC$1:$AC$400,0))=0,INDEX(SF_Output!$R$1:$R$400,MATCH(_xlfn.TEXTJOIN(",",TRUE,B19:E19),SF_Output!$AC$1:$AC$400,0)))</f>
        <v>1</v>
      </c>
      <c r="I19" s="125" t="str">
        <f>IFERROR(IF(AND(H19&gt;1,H19&lt;&gt;""),ROUND(SUMIFS(SF_Output!$S$1:$S$400,SF_Output!$AC$1:$AC$400,_xlfn.TEXTJOIN(",",TRUE,B19:E19),SF_Output!$Q$1:$Q$400,"monthly")*(1-W19)/H19,4),""),"")</f>
        <v/>
      </c>
      <c r="J19" s="6">
        <f>IF(B19="","",SUMIFS(SF_Output!$S$1:$S$400,SF_Output!$AC$1:$AC$400,_xlfn.TEXTJOIN(",",TRUE,B19:E19),SF_Output!$Q$1:$Q$400,"One Time",SF_Output!$L$1:$L$400,"license fee")+SUMIFS(SF_Output!$S$1:$S$400,SF_Output!$AC$1:$AC$400,_xlfn.TEXTJOIN(",",TRUE,B19:E19),SF_Output!$Q$1:$Q$400,"One Time",SF_Output!$L$1:$L$400,"software license")+SUMIFS(SF_Output!$S$1:$S$400,SF_Output!$AC$1:$AC$400,_xlfn.TEXTJOIN(",",TRUE,B19:E19),SF_Output!$Q$1:$Q$400,"One Time",SF_Output!$L$1:$L$400,"hardware"))</f>
        <v>0</v>
      </c>
      <c r="K19" s="112" t="str">
        <f>IF(OR(B19=0,B19="",G19="hardware",J19=0),"",IF(AF19&lt;&gt;"exclusion",MAX(K$9,-((SUMIFS(SF_Output!$T$1:$T$400,SF_Output!$AC$1:$AC$400,_xlfn.TEXTJOIN(",",TRUE,$B19:$E19),SF_Output!$Q$1:$Q$400,"One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license"))/J19)))</f>
        <v/>
      </c>
      <c r="L19" s="6">
        <f t="shared" si="1"/>
        <v>0</v>
      </c>
      <c r="N19" s="6">
        <f>IF(B19="","",SUMIFS(SF_Output!$S$1:$S$400,SF_Output!$AC$1:$AC$400,_xlfn.TEXTJOIN(",",TRUE,B19:E19),SF_Output!$Q$1:$Q$400,"One Time",SF_Output!$L$1:$L$400,"professional service"))</f>
        <v>0</v>
      </c>
      <c r="O19" s="112" t="str">
        <f>IF(OR(B19=0,B19="",N19=0),"",IF(AF19&lt;&gt;"exclusion",MAX(O$9,-(SUMIFS(SF_Output!$T$1:$T$400,SF_Output!$AC$1:$AC$400,_xlfn.TEXTJOIN(",",TRUE,$B19:$E19),SF_Output!$Q$1:$Q$400,"One Time",SF_Output!$L$1:$L$400,"professional service"))/N19),-((SUMIFS(SF_Output!$T$1:$T$400,SF_Output!$AC$1:$AC$400,_xlfn.TEXTJOIN(",",TRUE,$B19:$E19),SF_Output!$Q$1:$Q$400,"One Time",SF_Output!$L$1:$L$400,"professional service")/N19))))</f>
        <v/>
      </c>
      <c r="P19" s="6">
        <f t="shared" si="2"/>
        <v>0</v>
      </c>
      <c r="R19" s="6">
        <f>IF(B19="","",SUMIFS(SF_Output!$S$1:$S$400,SF_Output!$AC$1:$AC$400,_xlfn.TEXTJOIN(",",TRUE,B19:E19),SF_Output!$Q$1:$Q$400,"yearly")+SUMIFS(SF_Output!$S$1:$S$400,SF_Output!$AC$1:$AC$400,_xlfn.TEXTJOIN(",",TRUE,B19:E19),SF_Output!$Q$1:$Q$400,"quarterly")*4)</f>
        <v>0</v>
      </c>
      <c r="S19" s="112" t="str">
        <f>IF(OR(B19=0,B19="",G19="hardware",R19=0),"",IF(AF19&lt;&gt;"exclusion",MAX(S$9,-(SUMIFS(SF_Output!$T$1:$T$400,SF_Output!$AC$1:$AC$400,_xlfn.TEXTJOIN(",",TRUE,$B19:$E19),SF_Output!$Q$1:$Q$400,"yearly"))/R19),-((SUMIFS(SF_Output!$T$1:$T$400,SF_Output!$AC$1:$AC$400,_xlfn.TEXTJOIN(",",TRUE,$B19:$E19),SF_Output!$Q$1:$Q$400,"yearly")/R19))))</f>
        <v/>
      </c>
      <c r="T19" s="6">
        <f t="shared" si="3"/>
        <v>0</v>
      </c>
      <c r="V19" s="6" cm="1">
        <f t="array" ref="V19">_xlfn.IFS(B19="","",AND(B19&lt;&gt;"",H19=SF_Output!$Y$2,SUMIFS(SF_Output!$T$1:$T$400,SF_Output!$AC$1:$AC$400,_xlfn.TEXTJOIN(",",TRUE,B19:E19),SF_Output!$Q$1:$Q$400,"monthly")=0),(SUMIFS(SF_Output!$F$1:$F$400,SF_Output!$AC$1:$AC$400,_xlfn.TEXTJOIN(",",TRUE,B19:E19),SF_Output!$Q$1:$Q$400,"monthly")+SUMIFS(SF_Output!$G$1:$G$400,SF_Output!$AC$1:$AC$400,_xlfn.TEXTJOIN(",",TRUE,B19:E19),SF_Output!$Q$1:$Q$400,"monthly"))*H19,AND(B19&lt;&gt;"",H19=SF_Output!$Y$2,SUMIFS(SF_Output!$T$1:$T$400,SF_Output!$AC$1:$AC$400,_xlfn.TEXTJOIN(",",TRUE,B19:E19),SF_Output!$Q$1:$Q$400,"monthly")&lt;&gt;0),SUMIFS(SF_Output!$S$1:$S$400,SF_Output!$AC$1:$AC$400,_xlfn.TEXTJOIN(",",TRUE,B19:E19),SF_Output!$Q$1:$Q$400,"monthly"),AND(B19&lt;&gt;"",H19&lt;&gt;SF_Output!$Y$2),SUMIFS(SF_Output!$S$1:$S$400,SF_Output!$AC$1:$AC$400,_xlfn.TEXTJOIN(",",TRUE,B19:E19),SF_Output!$Q$1:$Q$400,"monthly"))</f>
        <v>0</v>
      </c>
      <c r="W19" s="112" t="str" cm="1">
        <f t="array" ref="W19">_xlfn.IFS(OR(B19=0,B19="",V19=0),"",AF19&lt;&gt;"exclusion",MAX($W$9,$W$7,(-(SUMIFS(SF_Output!$T$1:$T$400,SF_Output!$AC$1:$AC$400,_xlfn.TEXTJOIN(",",TRUE,$B19:$E19),SF_Output!$Q$1:$Q$400,"monthly"))/V19)),AF19="exclusion",-(SUMIFS(SF_Output!$T$1:$T$400,SF_Output!$AC$1:$AC$400,_xlfn.TEXTJOIN(",",TRUE,$B19:$E19),SF_Output!$Q$1:$Q$400,"monthly"))/V19)</f>
        <v/>
      </c>
      <c r="X19" s="6" cm="1">
        <f t="array" ref="X19">IFERROR(_xlfn.IFS(V19=0,0,V19="","",W19=0,V19,OR(V19&lt;&gt;0,V19&lt;&gt;""),H19*I19),V19*(1-W19))</f>
        <v>0</v>
      </c>
      <c r="Z19" s="6">
        <f>IFERROR(IF(B19="","",SUMIFS(Billing_Fallout!H:H,Billing_Fallout!N:N,B19)),0)</f>
        <v>0</v>
      </c>
      <c r="AA19" s="6">
        <f t="shared" si="4"/>
        <v>0</v>
      </c>
      <c r="AB19" s="6">
        <f>IFERROR(IF(B19="","",SUMIFS(Billing_Fallout!J:J,Billing_Fallout!N:N,B19)),0)</f>
        <v>0</v>
      </c>
      <c r="AD19" s="6">
        <f t="shared" si="5"/>
        <v>0</v>
      </c>
      <c r="AF19" t="str">
        <f>IFERROR(INDEX(H_Tables!$B$1:$B$1500,MATCH(INDEX(SF_Output!$J$1:$J$400,MATCH(B19,SF_Output!$M$1:$M$400,0)),H_Tables!$A$1:$A$1500,0)),"")</f>
        <v/>
      </c>
      <c r="AI19" s="119" t="str">
        <f t="shared" si="6"/>
        <v/>
      </c>
      <c r="AJ19" s="121">
        <f>IFERROR(INDEX(SF_Output!AD:AD,MATCH(_xlfn.TEXTJOIN(",",TRUE,B19:E19),SF_Output!AC1:AC400,0)),0.05)</f>
        <v>23</v>
      </c>
      <c r="AK19" t="str">
        <f>IF(SUMIFS(SF_Output!$F$1:$F$400,SF_Output!$AC$1:$AC$400,_xlfn.TEXTJOIN(",",TRUE,B19:E19))+SUMIFS(SF_Output!$G$1:$G$400,SF_Output!$AC$1:$AC$400,_xlfn.TEXTJOIN(",",TRUE,B19:E19))=0,"","PAP")</f>
        <v/>
      </c>
      <c r="AQ19" s="35"/>
      <c r="AR19" s="35" t="str" cm="1">
        <f t="array" ref="AR19">IFERROR(_xlfn.IFS(AND(E19*1=1,F19="Included"),"Change to Included",AND(E19*1=0,F19="Optional"),"Change to Optional",OR(B19="",F19="replaced"),""),"")</f>
        <v/>
      </c>
      <c r="AS19" s="35" t="str">
        <f t="shared" si="7"/>
        <v/>
      </c>
      <c r="AT19" s="35" t="str">
        <f t="shared" si="8"/>
        <v/>
      </c>
      <c r="AU19" s="35" t="str">
        <f t="shared" si="9"/>
        <v/>
      </c>
      <c r="AV19" s="35" t="str">
        <f t="shared" si="10"/>
        <v/>
      </c>
      <c r="AW19" s="35" t="str">
        <f t="shared" si="11"/>
        <v/>
      </c>
      <c r="AX19" s="35" t="str">
        <f t="shared" si="12"/>
        <v/>
      </c>
      <c r="AY19" s="35" t="str">
        <f t="shared" si="13"/>
        <v/>
      </c>
      <c r="AZ19" s="35" t="str">
        <f t="shared" si="14"/>
        <v/>
      </c>
      <c r="BA19" s="35" t="str">
        <f t="shared" si="15"/>
        <v/>
      </c>
      <c r="BB19" s="35" t="str">
        <f t="shared" si="16"/>
        <v/>
      </c>
      <c r="BC19" s="35"/>
      <c r="BE19" s="35">
        <f ca="1">INDEX(SF_Output!$AA$2:$AA$400,MATCH($B19,SF_Output!$M$2:$M$400,0))</f>
        <v>1</v>
      </c>
      <c r="BF19" s="35">
        <f ca="1">INDEX(SF_Output!$AB$2:$AB$400,MATCH($B19,SF_Output!$M$2:$M$400,0))</f>
        <v>1</v>
      </c>
    </row>
    <row r="20" spans="2:58" x14ac:dyDescent="0.25">
      <c r="B20" t="s">
        <v>2163</v>
      </c>
      <c r="C20" t="s">
        <v>2122</v>
      </c>
      <c r="D20" t="s">
        <v>2164</v>
      </c>
      <c r="E20" t="s">
        <v>2124</v>
      </c>
      <c r="F20" s="116" t="str">
        <f t="shared" si="0"/>
        <v>Included</v>
      </c>
      <c r="G20" t="str">
        <f>IF(B20="","",INDEX(SF_Output!$K$1:$K$400,MATCH(B20,SF_Output!$M$1:$M$400,0)))</f>
        <v>SilverLake</v>
      </c>
      <c r="H20" cm="1">
        <f t="array" ref="H20">_xlfn.IFS(B20="","",(SUMIFS(SF_Output!$F$1:$F$400,SF_Output!$AC$1:$AC$400,_xlfn.TEXTJOIN(",",TRUE,B20:E20))+SUMIFS(SF_Output!$G$1:$G$400,SF_Output!$AC$1:$AC$400,_xlfn.TEXTJOIN(",",TRUE,B20:E20)))&lt;&gt;0,SF_Output!$Y$2,INDEX(SF_Output!$F$1:$F$400,MATCH(_xlfn.TEXTJOIN(",",TRUE,B20:E20),SF_Output!$AC$1:$AC$400,0))=0,INDEX(SF_Output!$R$1:$R$400,MATCH(_xlfn.TEXTJOIN(",",TRUE,B20:E20),SF_Output!$AC$1:$AC$400,0)))</f>
        <v>1</v>
      </c>
      <c r="I20" s="125" t="str">
        <f>IFERROR(IF(AND(H20&gt;1,H20&lt;&gt;""),ROUND(SUMIFS(SF_Output!$S$1:$S$400,SF_Output!$AC$1:$AC$400,_xlfn.TEXTJOIN(",",TRUE,B20:E20),SF_Output!$Q$1:$Q$400,"monthly")*(1-W20)/H20,4),""),"")</f>
        <v/>
      </c>
      <c r="J20" s="6">
        <f>IF(B20="","",SUMIFS(SF_Output!$S$1:$S$400,SF_Output!$AC$1:$AC$400,_xlfn.TEXTJOIN(",",TRUE,B20:E20),SF_Output!$Q$1:$Q$400,"One Time",SF_Output!$L$1:$L$400,"license fee")+SUMIFS(SF_Output!$S$1:$S$400,SF_Output!$AC$1:$AC$400,_xlfn.TEXTJOIN(",",TRUE,B20:E20),SF_Output!$Q$1:$Q$400,"One Time",SF_Output!$L$1:$L$400,"software license")+SUMIFS(SF_Output!$S$1:$S$400,SF_Output!$AC$1:$AC$400,_xlfn.TEXTJOIN(",",TRUE,B20:E20),SF_Output!$Q$1:$Q$400,"One Time",SF_Output!$L$1:$L$400,"hardware"))</f>
        <v>9000</v>
      </c>
      <c r="K20" s="112">
        <f>IF(OR(B20=0,B20="",G20="hardware",J20=0),"",IF(AF20&lt;&gt;"exclusion",MAX(K$9,-((SUMIFS(SF_Output!$T$1:$T$400,SF_Output!$AC$1:$AC$400,_xlfn.TEXTJOIN(",",TRUE,$B20:$E20),SF_Output!$Q$1:$Q$400,"One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license"))/J20)))</f>
        <v>0</v>
      </c>
      <c r="L20" s="6">
        <f t="shared" si="1"/>
        <v>9000</v>
      </c>
      <c r="N20" s="6">
        <f>IF(B20="","",SUMIFS(SF_Output!$S$1:$S$400,SF_Output!$AC$1:$AC$400,_xlfn.TEXTJOIN(",",TRUE,B20:E20),SF_Output!$Q$1:$Q$400,"One Time",SF_Output!$L$1:$L$400,"professional service"))</f>
        <v>0</v>
      </c>
      <c r="O20" s="112" t="str">
        <f>IF(OR(B20=0,B20="",N20=0),"",IF(AF20&lt;&gt;"exclusion",MAX(O$9,-(SUMIFS(SF_Output!$T$1:$T$400,SF_Output!$AC$1:$AC$400,_xlfn.TEXTJOIN(",",TRUE,$B20:$E20),SF_Output!$Q$1:$Q$400,"One Time",SF_Output!$L$1:$L$400,"professional service"))/N20),-((SUMIFS(SF_Output!$T$1:$T$400,SF_Output!$AC$1:$AC$400,_xlfn.TEXTJOIN(",",TRUE,$B20:$E20),SF_Output!$Q$1:$Q$400,"One Time",SF_Output!$L$1:$L$400,"professional service")/N20))))</f>
        <v/>
      </c>
      <c r="P20" s="6">
        <f t="shared" si="2"/>
        <v>0</v>
      </c>
      <c r="R20" s="6">
        <f>IF(B20="","",SUMIFS(SF_Output!$S$1:$S$400,SF_Output!$AC$1:$AC$400,_xlfn.TEXTJOIN(",",TRUE,B20:E20),SF_Output!$Q$1:$Q$400,"yearly")+SUMIFS(SF_Output!$S$1:$S$400,SF_Output!$AC$1:$AC$400,_xlfn.TEXTJOIN(",",TRUE,B20:E20),SF_Output!$Q$1:$Q$400,"quarterly")*4)</f>
        <v>0</v>
      </c>
      <c r="S20" s="112" t="str">
        <f>IF(OR(B20=0,B20="",G20="hardware",R20=0),"",IF(AF20&lt;&gt;"exclusion",MAX(S$9,-(SUMIFS(SF_Output!$T$1:$T$400,SF_Output!$AC$1:$AC$400,_xlfn.TEXTJOIN(",",TRUE,$B20:$E20),SF_Output!$Q$1:$Q$400,"yearly"))/R20),-((SUMIFS(SF_Output!$T$1:$T$400,SF_Output!$AC$1:$AC$400,_xlfn.TEXTJOIN(",",TRUE,$B20:$E20),SF_Output!$Q$1:$Q$400,"yearly")/R20))))</f>
        <v/>
      </c>
      <c r="T20" s="6">
        <f t="shared" si="3"/>
        <v>0</v>
      </c>
      <c r="V20" s="6" cm="1">
        <f t="array" ref="V20">_xlfn.IFS(B20="","",AND(B20&lt;&gt;"",H20=SF_Output!$Y$2,SUMIFS(SF_Output!$T$1:$T$400,SF_Output!$AC$1:$AC$400,_xlfn.TEXTJOIN(",",TRUE,B20:E20),SF_Output!$Q$1:$Q$400,"monthly")=0),(SUMIFS(SF_Output!$F$1:$F$400,SF_Output!$AC$1:$AC$400,_xlfn.TEXTJOIN(",",TRUE,B20:E20),SF_Output!$Q$1:$Q$400,"monthly")+SUMIFS(SF_Output!$G$1:$G$400,SF_Output!$AC$1:$AC$400,_xlfn.TEXTJOIN(",",TRUE,B20:E20),SF_Output!$Q$1:$Q$400,"monthly"))*H20,AND(B20&lt;&gt;"",H20=SF_Output!$Y$2,SUMIFS(SF_Output!$T$1:$T$400,SF_Output!$AC$1:$AC$400,_xlfn.TEXTJOIN(",",TRUE,B20:E20),SF_Output!$Q$1:$Q$400,"monthly")&lt;&gt;0),SUMIFS(SF_Output!$S$1:$S$400,SF_Output!$AC$1:$AC$400,_xlfn.TEXTJOIN(",",TRUE,B20:E20),SF_Output!$Q$1:$Q$400,"monthly"),AND(B20&lt;&gt;"",H20&lt;&gt;SF_Output!$Y$2),SUMIFS(SF_Output!$S$1:$S$400,SF_Output!$AC$1:$AC$400,_xlfn.TEXTJOIN(",",TRUE,B20:E20),SF_Output!$Q$1:$Q$400,"monthly"))</f>
        <v>0</v>
      </c>
      <c r="W20" s="112" t="str" cm="1">
        <f t="array" ref="W20">_xlfn.IFS(OR(B20=0,B20="",V20=0),"",AF20&lt;&gt;"exclusion",MAX($W$9,$W$7,(-(SUMIFS(SF_Output!$T$1:$T$400,SF_Output!$AC$1:$AC$400,_xlfn.TEXTJOIN(",",TRUE,$B20:$E20),SF_Output!$Q$1:$Q$400,"monthly"))/V20)),AF20="exclusion",-(SUMIFS(SF_Output!$T$1:$T$400,SF_Output!$AC$1:$AC$400,_xlfn.TEXTJOIN(",",TRUE,$B20:$E20),SF_Output!$Q$1:$Q$400,"monthly"))/V20)</f>
        <v/>
      </c>
      <c r="X20" s="6" cm="1">
        <f t="array" ref="X20">IFERROR(_xlfn.IFS(V20=0,0,V20="","",W20=0,V20,OR(V20&lt;&gt;0,V20&lt;&gt;""),H20*I20),V20*(1-W20))</f>
        <v>0</v>
      </c>
      <c r="Z20" s="6">
        <f>IFERROR(IF(B20="","",SUMIFS(Billing_Fallout!H:H,Billing_Fallout!N:N,B20)),0)</f>
        <v>0</v>
      </c>
      <c r="AA20" s="6">
        <f t="shared" si="4"/>
        <v>0</v>
      </c>
      <c r="AB20" s="6">
        <f>IFERROR(IF(B20="","",SUMIFS(Billing_Fallout!J:J,Billing_Fallout!N:N,B20)),0)</f>
        <v>0</v>
      </c>
      <c r="AD20" s="6">
        <f t="shared" si="5"/>
        <v>0</v>
      </c>
      <c r="AF20" t="str">
        <f>IFERROR(INDEX(H_Tables!$B$1:$B$1500,MATCH(INDEX(SF_Output!$J$1:$J$400,MATCH(B20,SF_Output!$M$1:$M$400,0)),H_Tables!$A$1:$A$1500,0)),"")</f>
        <v/>
      </c>
      <c r="AI20" s="119" t="str">
        <f t="shared" si="6"/>
        <v/>
      </c>
      <c r="AJ20" s="121">
        <f>IFERROR(INDEX(SF_Output!AD:AD,MATCH(_xlfn.TEXTJOIN(",",TRUE,B20:E20),SF_Output!AC1:AC400,0)),0.05)</f>
        <v>24</v>
      </c>
      <c r="AK20" t="str">
        <f>IF(SUMIFS(SF_Output!$F$1:$F$400,SF_Output!$AC$1:$AC$400,_xlfn.TEXTJOIN(",",TRUE,B20:E20))+SUMIFS(SF_Output!$G$1:$G$400,SF_Output!$AC$1:$AC$400,_xlfn.TEXTJOIN(",",TRUE,B20:E20))=0,"","PAP")</f>
        <v/>
      </c>
      <c r="AQ20" s="35"/>
      <c r="AR20" s="35" t="str" cm="1">
        <f t="array" ref="AR20">IFERROR(_xlfn.IFS(AND(E20*1=1,F20="Included"),"Change to Included",AND(E20*1=0,F20="Optional"),"Change to Optional",OR(B20="",F20="replaced"),""),"")</f>
        <v/>
      </c>
      <c r="AS20" s="35" t="str">
        <f t="shared" si="7"/>
        <v/>
      </c>
      <c r="AT20" s="35" t="str">
        <f t="shared" si="8"/>
        <v/>
      </c>
      <c r="AU20" s="35" t="str">
        <f t="shared" si="9"/>
        <v/>
      </c>
      <c r="AV20" s="35" t="str">
        <f t="shared" si="10"/>
        <v/>
      </c>
      <c r="AW20" s="35" t="str">
        <f t="shared" si="11"/>
        <v/>
      </c>
      <c r="AX20" s="35" t="str">
        <f t="shared" si="12"/>
        <v/>
      </c>
      <c r="AY20" s="35" t="str">
        <f t="shared" si="13"/>
        <v/>
      </c>
      <c r="AZ20" s="35" t="str">
        <f t="shared" si="14"/>
        <v/>
      </c>
      <c r="BA20" s="35" t="str">
        <f t="shared" si="15"/>
        <v/>
      </c>
      <c r="BB20" s="35" t="str">
        <f t="shared" si="16"/>
        <v/>
      </c>
      <c r="BC20" s="35"/>
      <c r="BE20" s="35">
        <f ca="1">INDEX(SF_Output!$AA$2:$AA$400,MATCH($B20,SF_Output!$M$2:$M$400,0))</f>
        <v>1</v>
      </c>
      <c r="BF20" s="35">
        <f ca="1">INDEX(SF_Output!$AB$2:$AB$400,MATCH($B20,SF_Output!$M$2:$M$400,0))</f>
        <v>1</v>
      </c>
    </row>
    <row r="21" spans="2:58" x14ac:dyDescent="0.25">
      <c r="B21" t="s">
        <v>2170</v>
      </c>
      <c r="C21" t="s">
        <v>2122</v>
      </c>
      <c r="D21" t="s">
        <v>2123</v>
      </c>
      <c r="E21" t="s">
        <v>2124</v>
      </c>
      <c r="F21" s="116" t="str">
        <f t="shared" si="0"/>
        <v>Included</v>
      </c>
      <c r="G21" t="str">
        <f>IF(B21="","",INDEX(SF_Output!$K$1:$K$400,MATCH(B21,SF_Output!$M$1:$M$400,0)))</f>
        <v>SilverLake</v>
      </c>
      <c r="H21" cm="1">
        <f t="array" ref="H21">_xlfn.IFS(B21="","",(SUMIFS(SF_Output!$F$1:$F$400,SF_Output!$AC$1:$AC$400,_xlfn.TEXTJOIN(",",TRUE,B21:E21))+SUMIFS(SF_Output!$G$1:$G$400,SF_Output!$AC$1:$AC$400,_xlfn.TEXTJOIN(",",TRUE,B21:E21)))&lt;&gt;0,SF_Output!$Y$2,INDEX(SF_Output!$F$1:$F$400,MATCH(_xlfn.TEXTJOIN(",",TRUE,B21:E21),SF_Output!$AC$1:$AC$400,0))=0,INDEX(SF_Output!$R$1:$R$400,MATCH(_xlfn.TEXTJOIN(",",TRUE,B21:E21),SF_Output!$AC$1:$AC$400,0)))</f>
        <v>1</v>
      </c>
      <c r="I21" s="125" t="str">
        <f>IFERROR(IF(AND(H21&gt;1,H21&lt;&gt;""),ROUND(SUMIFS(SF_Output!$S$1:$S$400,SF_Output!$AC$1:$AC$400,_xlfn.TEXTJOIN(",",TRUE,B21:E21),SF_Output!$Q$1:$Q$400,"monthly")*(1-W21)/H21,4),""),"")</f>
        <v/>
      </c>
      <c r="J21" s="6">
        <f>IF(B21="","",SUMIFS(SF_Output!$S$1:$S$400,SF_Output!$AC$1:$AC$400,_xlfn.TEXTJOIN(",",TRUE,B21:E21),SF_Output!$Q$1:$Q$400,"One Time",SF_Output!$L$1:$L$400,"license fee")+SUMIFS(SF_Output!$S$1:$S$400,SF_Output!$AC$1:$AC$400,_xlfn.TEXTJOIN(",",TRUE,B21:E21),SF_Output!$Q$1:$Q$400,"One Time",SF_Output!$L$1:$L$400,"software license")+SUMIFS(SF_Output!$S$1:$S$400,SF_Output!$AC$1:$AC$400,_xlfn.TEXTJOIN(",",TRUE,B21:E21),SF_Output!$Q$1:$Q$400,"One Time",SF_Output!$L$1:$L$400,"hardware"))</f>
        <v>0</v>
      </c>
      <c r="K21" s="112" t="str">
        <f>IF(OR(B21=0,B21="",G21="hardware",J21=0),"",IF(AF21&lt;&gt;"exclusion",MAX(K$9,-((SUMIFS(SF_Output!$T$1:$T$400,SF_Output!$AC$1:$AC$400,_xlfn.TEXTJOIN(",",TRUE,$B21:$E21),SF_Output!$Q$1:$Q$400,"One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license"))/J21)))</f>
        <v/>
      </c>
      <c r="L21" s="6">
        <f t="shared" si="1"/>
        <v>0</v>
      </c>
      <c r="N21" s="6">
        <f>IF(B21="","",SUMIFS(SF_Output!$S$1:$S$400,SF_Output!$AC$1:$AC$400,_xlfn.TEXTJOIN(",",TRUE,B21:E21),SF_Output!$Q$1:$Q$400,"One Time",SF_Output!$L$1:$L$400,"professional service"))</f>
        <v>2500</v>
      </c>
      <c r="O21" s="112">
        <f>IF(OR(B21=0,B21="",N21=0),"",IF(AF21&lt;&gt;"exclusion",MAX(O$9,-(SUMIFS(SF_Output!$T$1:$T$400,SF_Output!$AC$1:$AC$400,_xlfn.TEXTJOIN(",",TRUE,$B21:$E21),SF_Output!$Q$1:$Q$400,"One Time",SF_Output!$L$1:$L$400,"professional service"))/N21),-((SUMIFS(SF_Output!$T$1:$T$400,SF_Output!$AC$1:$AC$400,_xlfn.TEXTJOIN(",",TRUE,$B21:$E21),SF_Output!$Q$1:$Q$400,"One Time",SF_Output!$L$1:$L$400,"professional service")/N21))))</f>
        <v>1</v>
      </c>
      <c r="P21" s="6">
        <f t="shared" si="2"/>
        <v>0</v>
      </c>
      <c r="R21" s="6">
        <f>IF(B21="","",SUMIFS(SF_Output!$S$1:$S$400,SF_Output!$AC$1:$AC$400,_xlfn.TEXTJOIN(",",TRUE,B21:E21),SF_Output!$Q$1:$Q$400,"yearly")+SUMIFS(SF_Output!$S$1:$S$400,SF_Output!$AC$1:$AC$400,_xlfn.TEXTJOIN(",",TRUE,B21:E21),SF_Output!$Q$1:$Q$400,"quarterly")*4)</f>
        <v>0</v>
      </c>
      <c r="S21" s="112" t="str">
        <f>IF(OR(B21=0,B21="",G21="hardware",R21=0),"",IF(AF21&lt;&gt;"exclusion",MAX(S$9,-(SUMIFS(SF_Output!$T$1:$T$400,SF_Output!$AC$1:$AC$400,_xlfn.TEXTJOIN(",",TRUE,$B21:$E21),SF_Output!$Q$1:$Q$400,"yearly"))/R21),-((SUMIFS(SF_Output!$T$1:$T$400,SF_Output!$AC$1:$AC$400,_xlfn.TEXTJOIN(",",TRUE,$B21:$E21),SF_Output!$Q$1:$Q$400,"yearly")/R21))))</f>
        <v/>
      </c>
      <c r="T21" s="6">
        <f t="shared" si="3"/>
        <v>0</v>
      </c>
      <c r="V21" s="6" cm="1">
        <f t="array" ref="V21">_xlfn.IFS(B21="","",AND(B21&lt;&gt;"",H21=SF_Output!$Y$2,SUMIFS(SF_Output!$T$1:$T$400,SF_Output!$AC$1:$AC$400,_xlfn.TEXTJOIN(",",TRUE,B21:E21),SF_Output!$Q$1:$Q$400,"monthly")=0),(SUMIFS(SF_Output!$F$1:$F$400,SF_Output!$AC$1:$AC$400,_xlfn.TEXTJOIN(",",TRUE,B21:E21),SF_Output!$Q$1:$Q$400,"monthly")+SUMIFS(SF_Output!$G$1:$G$400,SF_Output!$AC$1:$AC$400,_xlfn.TEXTJOIN(",",TRUE,B21:E21),SF_Output!$Q$1:$Q$400,"monthly"))*H21,AND(B21&lt;&gt;"",H21=SF_Output!$Y$2,SUMIFS(SF_Output!$T$1:$T$400,SF_Output!$AC$1:$AC$400,_xlfn.TEXTJOIN(",",TRUE,B21:E21),SF_Output!$Q$1:$Q$400,"monthly")&lt;&gt;0),SUMIFS(SF_Output!$S$1:$S$400,SF_Output!$AC$1:$AC$400,_xlfn.TEXTJOIN(",",TRUE,B21:E21),SF_Output!$Q$1:$Q$400,"monthly"),AND(B21&lt;&gt;"",H21&lt;&gt;SF_Output!$Y$2),SUMIFS(SF_Output!$S$1:$S$400,SF_Output!$AC$1:$AC$400,_xlfn.TEXTJOIN(",",TRUE,B21:E21),SF_Output!$Q$1:$Q$400,"monthly"))</f>
        <v>300</v>
      </c>
      <c r="W21" s="112" cm="1">
        <f t="array" ref="W21">_xlfn.IFS(OR(B21=0,B21="",V21=0),"",AF21&lt;&gt;"exclusion",MAX($W$9,$W$7,(-(SUMIFS(SF_Output!$T$1:$T$400,SF_Output!$AC$1:$AC$400,_xlfn.TEXTJOIN(",",TRUE,$B21:$E21),SF_Output!$Q$1:$Q$400,"monthly"))/V21)),AF21="exclusion",-(SUMIFS(SF_Output!$T$1:$T$400,SF_Output!$AC$1:$AC$400,_xlfn.TEXTJOIN(",",TRUE,$B21:$E21),SF_Output!$Q$1:$Q$400,"monthly"))/V21)</f>
        <v>0.25</v>
      </c>
      <c r="X21" s="6" cm="1">
        <f t="array" ref="X21">IFERROR(_xlfn.IFS(V21=0,0,V21="","",W21=0,V21,OR(V21&lt;&gt;0,V21&lt;&gt;""),H21*I21),V21*(1-W21))</f>
        <v>225</v>
      </c>
      <c r="Z21" s="6">
        <f>IFERROR(IF(B21="","",SUMIFS(Billing_Fallout!H:H,Billing_Fallout!N:N,B21)),0)</f>
        <v>0</v>
      </c>
      <c r="AA21" s="6">
        <f t="shared" si="4"/>
        <v>0</v>
      </c>
      <c r="AB21" s="6">
        <f>IFERROR(IF(B21="","",SUMIFS(Billing_Fallout!J:J,Billing_Fallout!N:N,B21)),0)</f>
        <v>0</v>
      </c>
      <c r="AD21" s="6">
        <f t="shared" si="5"/>
        <v>225</v>
      </c>
      <c r="AF21" t="str">
        <f>IFERROR(INDEX(H_Tables!$B$1:$B$1500,MATCH(INDEX(SF_Output!$J$1:$J$400,MATCH(B21,SF_Output!$M$1:$M$400,0)),H_Tables!$A$1:$A$1500,0)),"")</f>
        <v>Exclusion</v>
      </c>
      <c r="AI21" s="119" t="str">
        <f t="shared" si="6"/>
        <v/>
      </c>
      <c r="AJ21" s="121">
        <f>IFERROR(INDEX(SF_Output!AD:AD,MATCH(_xlfn.TEXTJOIN(",",TRUE,B21:E21),SF_Output!AC1:AC400,0)),0.05)</f>
        <v>27</v>
      </c>
      <c r="AK21" t="str">
        <f>IF(SUMIFS(SF_Output!$F$1:$F$400,SF_Output!$AC$1:$AC$400,_xlfn.TEXTJOIN(",",TRUE,B21:E21))+SUMIFS(SF_Output!$G$1:$G$400,SF_Output!$AC$1:$AC$400,_xlfn.TEXTJOIN(",",TRUE,B21:E21))=0,"","PAP")</f>
        <v/>
      </c>
      <c r="AQ21" s="35"/>
      <c r="AR21" s="35" t="str" cm="1">
        <f t="array" ref="AR21">IFERROR(_xlfn.IFS(AND(E21*1=1,F21="Included"),"Change to Included",AND(E21*1=0,F21="Optional"),"Change to Optional",OR(B21="",F21="replaced"),""),"")</f>
        <v/>
      </c>
      <c r="AS21" s="35" t="str">
        <f t="shared" si="7"/>
        <v/>
      </c>
      <c r="AT21" s="35" t="str">
        <f t="shared" si="8"/>
        <v/>
      </c>
      <c r="AU21" s="35" t="str">
        <f t="shared" si="9"/>
        <v/>
      </c>
      <c r="AV21" s="35" t="str">
        <f t="shared" si="10"/>
        <v/>
      </c>
      <c r="AW21" s="35" t="str">
        <f t="shared" si="11"/>
        <v/>
      </c>
      <c r="AX21" s="35" t="str">
        <f t="shared" si="12"/>
        <v/>
      </c>
      <c r="AY21" s="35" t="str">
        <f t="shared" si="13"/>
        <v/>
      </c>
      <c r="AZ21" s="35" t="str">
        <f t="shared" si="14"/>
        <v/>
      </c>
      <c r="BA21" s="35" t="str">
        <f t="shared" si="15"/>
        <v/>
      </c>
      <c r="BB21" s="35" t="str">
        <f t="shared" si="16"/>
        <v/>
      </c>
      <c r="BC21" s="35"/>
      <c r="BE21" s="35">
        <f ca="1">INDEX(SF_Output!$AA$2:$AA$400,MATCH($B21,SF_Output!$M$2:$M$400,0))</f>
        <v>1</v>
      </c>
      <c r="BF21" s="35">
        <f ca="1">INDEX(SF_Output!$AB$2:$AB$400,MATCH($B21,SF_Output!$M$2:$M$400,0))</f>
        <v>1</v>
      </c>
    </row>
    <row r="22" spans="2:58" x14ac:dyDescent="0.25">
      <c r="B22" t="s">
        <v>2322</v>
      </c>
      <c r="C22" t="s">
        <v>2122</v>
      </c>
      <c r="D22" t="s">
        <v>2123</v>
      </c>
      <c r="E22" t="s">
        <v>2124</v>
      </c>
      <c r="F22" s="116" t="str">
        <f t="shared" si="0"/>
        <v>Included</v>
      </c>
      <c r="G22" t="str">
        <f>IF(B22="","",INDEX(SF_Output!$K$1:$K$400,MATCH(B22,SF_Output!$M$1:$M$400,0)))</f>
        <v>Xperience</v>
      </c>
      <c r="H22" cm="1">
        <f t="array" ref="H22">_xlfn.IFS(B22="","",(SUMIFS(SF_Output!$F$1:$F$400,SF_Output!$AC$1:$AC$400,_xlfn.TEXTJOIN(",",TRUE,B22:E22))+SUMIFS(SF_Output!$G$1:$G$400,SF_Output!$AC$1:$AC$400,_xlfn.TEXTJOIN(",",TRUE,B22:E22)))&lt;&gt;0,SF_Output!$Y$2,INDEX(SF_Output!$F$1:$F$400,MATCH(_xlfn.TEXTJOIN(",",TRUE,B22:E22),SF_Output!$AC$1:$AC$400,0))=0,INDEX(SF_Output!$R$1:$R$400,MATCH(_xlfn.TEXTJOIN(",",TRUE,B22:E22),SF_Output!$AC$1:$AC$400,0)))</f>
        <v>5000</v>
      </c>
      <c r="I22" s="125">
        <f>IFERROR(IF(AND(H22&gt;1,H22&lt;&gt;""),ROUND(SUMIFS(SF_Output!$S$1:$S$400,SF_Output!$AC$1:$AC$400,_xlfn.TEXTJOIN(",",TRUE,B22:E22),SF_Output!$Q$1:$Q$400,"monthly")*(1-W22)/H22,4),""),"")</f>
        <v>2.2499999999999999E-2</v>
      </c>
      <c r="J22" s="6">
        <f>IF(B22="","",SUMIFS(SF_Output!$S$1:$S$400,SF_Output!$AC$1:$AC$400,_xlfn.TEXTJOIN(",",TRUE,B22:E22),SF_Output!$Q$1:$Q$400,"One Time",SF_Output!$L$1:$L$400,"license fee")+SUMIFS(SF_Output!$S$1:$S$400,SF_Output!$AC$1:$AC$400,_xlfn.TEXTJOIN(",",TRUE,B22:E22),SF_Output!$Q$1:$Q$400,"One Time",SF_Output!$L$1:$L$400,"software license")+SUMIFS(SF_Output!$S$1:$S$400,SF_Output!$AC$1:$AC$400,_xlfn.TEXTJOIN(",",TRUE,B22:E22),SF_Output!$Q$1:$Q$400,"One Time",SF_Output!$L$1:$L$400,"hardware"))</f>
        <v>0</v>
      </c>
      <c r="K22" s="112" t="str">
        <f>IF(OR(B22=0,B22="",G22="hardware",J22=0),"",IF(AF22&lt;&gt;"exclusion",MAX(K$9,-((SUMIFS(SF_Output!$T$1:$T$400,SF_Output!$AC$1:$AC$400,_xlfn.TEXTJOIN(",",TRUE,$B22:$E22),SF_Output!$Q$1:$Q$400,"One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license"))/J22)))</f>
        <v/>
      </c>
      <c r="L22" s="6">
        <f t="shared" si="1"/>
        <v>0</v>
      </c>
      <c r="N22" s="6">
        <f>IF(B22="","",SUMIFS(SF_Output!$S$1:$S$400,SF_Output!$AC$1:$AC$400,_xlfn.TEXTJOIN(",",TRUE,B22:E22),SF_Output!$Q$1:$Q$400,"One Time",SF_Output!$L$1:$L$400,"professional service"))</f>
        <v>0</v>
      </c>
      <c r="O22" s="112" t="str">
        <f>IF(OR(B22=0,B22="",N22=0),"",IF(AF22&lt;&gt;"exclusion",MAX(O$9,-(SUMIFS(SF_Output!$T$1:$T$400,SF_Output!$AC$1:$AC$400,_xlfn.TEXTJOIN(",",TRUE,$B22:$E22),SF_Output!$Q$1:$Q$400,"One Time",SF_Output!$L$1:$L$400,"professional service"))/N22),-((SUMIFS(SF_Output!$T$1:$T$400,SF_Output!$AC$1:$AC$400,_xlfn.TEXTJOIN(",",TRUE,$B22:$E22),SF_Output!$Q$1:$Q$400,"One Time",SF_Output!$L$1:$L$400,"professional service")/N22))))</f>
        <v/>
      </c>
      <c r="P22" s="6">
        <f t="shared" si="2"/>
        <v>0</v>
      </c>
      <c r="R22" s="6">
        <f>IF(B22="","",SUMIFS(SF_Output!$S$1:$S$400,SF_Output!$AC$1:$AC$400,_xlfn.TEXTJOIN(",",TRUE,B22:E22),SF_Output!$Q$1:$Q$400,"yearly")+SUMIFS(SF_Output!$S$1:$S$400,SF_Output!$AC$1:$AC$400,_xlfn.TEXTJOIN(",",TRUE,B22:E22),SF_Output!$Q$1:$Q$400,"quarterly")*4)</f>
        <v>0</v>
      </c>
      <c r="S22" s="112" t="str">
        <f>IF(OR(B22=0,B22="",G22="hardware",R22=0),"",IF(AF22&lt;&gt;"exclusion",MAX(S$9,-(SUMIFS(SF_Output!$T$1:$T$400,SF_Output!$AC$1:$AC$400,_xlfn.TEXTJOIN(",",TRUE,$B22:$E22),SF_Output!$Q$1:$Q$400,"yearly"))/R22),-((SUMIFS(SF_Output!$T$1:$T$400,SF_Output!$AC$1:$AC$400,_xlfn.TEXTJOIN(",",TRUE,$B22:$E22),SF_Output!$Q$1:$Q$400,"yearly")/R22))))</f>
        <v/>
      </c>
      <c r="T22" s="6">
        <f t="shared" si="3"/>
        <v>0</v>
      </c>
      <c r="V22" s="6" cm="1">
        <f t="array" ref="V22">_xlfn.IFS(B22="","",AND(B22&lt;&gt;"",H22=SF_Output!$Y$2,SUMIFS(SF_Output!$T$1:$T$400,SF_Output!$AC$1:$AC$400,_xlfn.TEXTJOIN(",",TRUE,B22:E22),SF_Output!$Q$1:$Q$400,"monthly")=0),(SUMIFS(SF_Output!$F$1:$F$400,SF_Output!$AC$1:$AC$400,_xlfn.TEXTJOIN(",",TRUE,B22:E22),SF_Output!$Q$1:$Q$400,"monthly")+SUMIFS(SF_Output!$G$1:$G$400,SF_Output!$AC$1:$AC$400,_xlfn.TEXTJOIN(",",TRUE,B22:E22),SF_Output!$Q$1:$Q$400,"monthly"))*H22,AND(B22&lt;&gt;"",H22=SF_Output!$Y$2,SUMIFS(SF_Output!$T$1:$T$400,SF_Output!$AC$1:$AC$400,_xlfn.TEXTJOIN(",",TRUE,B22:E22),SF_Output!$Q$1:$Q$400,"monthly")&lt;&gt;0),SUMIFS(SF_Output!$S$1:$S$400,SF_Output!$AC$1:$AC$400,_xlfn.TEXTJOIN(",",TRUE,B22:E22),SF_Output!$Q$1:$Q$400,"monthly"),AND(B22&lt;&gt;"",H22&lt;&gt;SF_Output!$Y$2),SUMIFS(SF_Output!$S$1:$S$400,SF_Output!$AC$1:$AC$400,_xlfn.TEXTJOIN(",",TRUE,B22:E22),SF_Output!$Q$1:$Q$400,"monthly"))</f>
        <v>150</v>
      </c>
      <c r="W22" s="112" cm="1">
        <f t="array" ref="W22">_xlfn.IFS(OR(B22=0,B22="",V22=0),"",AF22&lt;&gt;"exclusion",MAX($W$9,$W$7,(-(SUMIFS(SF_Output!$T$1:$T$400,SF_Output!$AC$1:$AC$400,_xlfn.TEXTJOIN(",",TRUE,$B22:$E22),SF_Output!$Q$1:$Q$400,"monthly"))/V22)),AF22="exclusion",-(SUMIFS(SF_Output!$T$1:$T$400,SF_Output!$AC$1:$AC$400,_xlfn.TEXTJOIN(",",TRUE,$B22:$E22),SF_Output!$Q$1:$Q$400,"monthly"))/V22)</f>
        <v>0.25</v>
      </c>
      <c r="X22" s="6" cm="1">
        <f t="array" ref="X22">IFERROR(_xlfn.IFS(V22=0,0,V22="","",W22=0,V22,OR(V22&lt;&gt;0,V22&lt;&gt;""),H22*I22),V22*(1-W22))</f>
        <v>112.5</v>
      </c>
      <c r="Z22" s="6">
        <f>IFERROR(IF(B22="","",SUMIFS(Billing_Fallout!H:H,Billing_Fallout!N:N,B22)),0)</f>
        <v>0</v>
      </c>
      <c r="AA22" s="6">
        <f t="shared" si="4"/>
        <v>0</v>
      </c>
      <c r="AB22" s="6">
        <f>IFERROR(IF(B22="","",SUMIFS(Billing_Fallout!J:J,Billing_Fallout!N:N,B22)),0)</f>
        <v>0</v>
      </c>
      <c r="AD22" s="6">
        <f t="shared" si="5"/>
        <v>112.5</v>
      </c>
      <c r="AF22" t="str">
        <f>IFERROR(INDEX(H_Tables!$B$1:$B$1500,MATCH(INDEX(SF_Output!$J$1:$J$400,MATCH(B22,SF_Output!$M$1:$M$400,0)),H_Tables!$A$1:$A$1500,0)),"")</f>
        <v/>
      </c>
      <c r="AI22" s="119" t="str">
        <f t="shared" si="6"/>
        <v/>
      </c>
      <c r="AJ22" s="121">
        <f>IFERROR(INDEX(SF_Output!AD:AD,MATCH(_xlfn.TEXTJOIN(",",TRUE,B22:E22),SF_Output!AC1:AC400,0)),0.05)</f>
        <v>143</v>
      </c>
      <c r="AK22" t="str">
        <f>IF(SUMIFS(SF_Output!$F$1:$F$400,SF_Output!$AC$1:$AC$400,_xlfn.TEXTJOIN(",",TRUE,B22:E22))+SUMIFS(SF_Output!$G$1:$G$400,SF_Output!$AC$1:$AC$400,_xlfn.TEXTJOIN(",",TRUE,B22:E22))=0,"","PAP")</f>
        <v>PAP</v>
      </c>
      <c r="AQ22" s="35"/>
      <c r="AR22" s="35" t="str" cm="1">
        <f t="array" ref="AR22">IFERROR(_xlfn.IFS(AND(E22*1=1,F22="Included"),"Change to Included",AND(E22*1=0,F22="Optional"),"Change to Optional",OR(B22="",F22="replaced"),""),"")</f>
        <v/>
      </c>
      <c r="AS22" s="35" t="str">
        <f t="shared" si="7"/>
        <v/>
      </c>
      <c r="AT22" s="35" t="str">
        <f t="shared" si="8"/>
        <v/>
      </c>
      <c r="AU22" s="35" t="str">
        <f t="shared" si="9"/>
        <v/>
      </c>
      <c r="AV22" s="35" t="str">
        <f t="shared" si="10"/>
        <v/>
      </c>
      <c r="AW22" s="35" t="str">
        <f t="shared" si="11"/>
        <v/>
      </c>
      <c r="AX22" s="35" t="str">
        <f t="shared" si="12"/>
        <v/>
      </c>
      <c r="AY22" s="35" t="str">
        <f t="shared" si="13"/>
        <v/>
      </c>
      <c r="AZ22" s="35" t="str">
        <f t="shared" si="14"/>
        <v/>
      </c>
      <c r="BA22" s="35" t="str">
        <f t="shared" si="15"/>
        <v/>
      </c>
      <c r="BB22" s="35" t="str">
        <f t="shared" si="16"/>
        <v/>
      </c>
      <c r="BC22" s="35"/>
      <c r="BE22" s="35">
        <f ca="1">INDEX(SF_Output!$AA$2:$AA$400,MATCH($B22,SF_Output!$M$2:$M$400,0))</f>
        <v>1</v>
      </c>
      <c r="BF22" s="35">
        <f ca="1">INDEX(SF_Output!$AB$2:$AB$400,MATCH($B22,SF_Output!$M$2:$M$400,0))</f>
        <v>4</v>
      </c>
    </row>
    <row r="23" spans="2:58" x14ac:dyDescent="0.25">
      <c r="B23" t="s">
        <v>2153</v>
      </c>
      <c r="C23" t="s">
        <v>2122</v>
      </c>
      <c r="D23" t="s">
        <v>2123</v>
      </c>
      <c r="E23" t="s">
        <v>2150</v>
      </c>
      <c r="F23" s="116" t="str">
        <f t="shared" si="0"/>
        <v>Optional</v>
      </c>
      <c r="G23" t="str">
        <f>IF(B23="","",INDEX(SF_Output!$K$1:$K$400,MATCH(B23,SF_Output!$M$1:$M$400,0)))</f>
        <v>SilverLake</v>
      </c>
      <c r="H23" cm="1">
        <f t="array" ref="H23">_xlfn.IFS(B23="","",(SUMIFS(SF_Output!$F$1:$F$400,SF_Output!$AC$1:$AC$400,_xlfn.TEXTJOIN(",",TRUE,B23:E23))+SUMIFS(SF_Output!$G$1:$G$400,SF_Output!$AC$1:$AC$400,_xlfn.TEXTJOIN(",",TRUE,B23:E23)))&lt;&gt;0,SF_Output!$Y$2,INDEX(SF_Output!$F$1:$F$400,MATCH(_xlfn.TEXTJOIN(",",TRUE,B23:E23),SF_Output!$AC$1:$AC$400,0))=0,INDEX(SF_Output!$R$1:$R$400,MATCH(_xlfn.TEXTJOIN(",",TRUE,B23:E23),SF_Output!$AC$1:$AC$400,0)))</f>
        <v>1</v>
      </c>
      <c r="I23" s="125" t="str">
        <f>IFERROR(IF(AND(H23&gt;1,H23&lt;&gt;""),ROUND(SUMIFS(SF_Output!$S$1:$S$400,SF_Output!$AC$1:$AC$400,_xlfn.TEXTJOIN(",",TRUE,B23:E23),SF_Output!$Q$1:$Q$400,"monthly")*(1-W23)/H23,4),""),"")</f>
        <v/>
      </c>
      <c r="J23" s="6">
        <f>IF(B23="","",SUMIFS(SF_Output!$S$1:$S$400,SF_Output!$AC$1:$AC$400,_xlfn.TEXTJOIN(",",TRUE,B23:E23),SF_Output!$Q$1:$Q$400,"One Time",SF_Output!$L$1:$L$400,"license fee")+SUMIFS(SF_Output!$S$1:$S$400,SF_Output!$AC$1:$AC$400,_xlfn.TEXTJOIN(",",TRUE,B23:E23),SF_Output!$Q$1:$Q$400,"One Time",SF_Output!$L$1:$L$400,"software license")+SUMIFS(SF_Output!$S$1:$S$400,SF_Output!$AC$1:$AC$400,_xlfn.TEXTJOIN(",",TRUE,B23:E23),SF_Output!$Q$1:$Q$400,"One Time",SF_Output!$L$1:$L$400,"hardware"))</f>
        <v>0</v>
      </c>
      <c r="K23" s="112" t="str">
        <f>IF(OR(B23=0,B23="",G23="hardware",J23=0),"",IF(AF23&lt;&gt;"exclusion",MAX(K$9,-((SUMIFS(SF_Output!$T$1:$T$400,SF_Output!$AC$1:$AC$400,_xlfn.TEXTJOIN(",",TRUE,$B23:$E23),SF_Output!$Q$1:$Q$400,"One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license"))/J23)))</f>
        <v/>
      </c>
      <c r="L23" s="6">
        <f t="shared" si="1"/>
        <v>0</v>
      </c>
      <c r="N23" s="6">
        <f>IF(B23="","",SUMIFS(SF_Output!$S$1:$S$400,SF_Output!$AC$1:$AC$400,_xlfn.TEXTJOIN(",",TRUE,B23:E23),SF_Output!$Q$1:$Q$400,"One Time",SF_Output!$L$1:$L$400,"professional service"))</f>
        <v>5000</v>
      </c>
      <c r="O23" s="112">
        <f>IF(OR(B23=0,B23="",N23=0),"",IF(AF23&lt;&gt;"exclusion",MAX(O$9,-(SUMIFS(SF_Output!$T$1:$T$400,SF_Output!$AC$1:$AC$400,_xlfn.TEXTJOIN(",",TRUE,$B23:$E23),SF_Output!$Q$1:$Q$400,"One Time",SF_Output!$L$1:$L$400,"professional service"))/N23),-((SUMIFS(SF_Output!$T$1:$T$400,SF_Output!$AC$1:$AC$400,_xlfn.TEXTJOIN(",",TRUE,$B23:$E23),SF_Output!$Q$1:$Q$400,"One Time",SF_Output!$L$1:$L$400,"professional service")/N23))))</f>
        <v>1</v>
      </c>
      <c r="P23" s="6">
        <f t="shared" si="2"/>
        <v>0</v>
      </c>
      <c r="R23" s="6">
        <f>IF(B23="","",SUMIFS(SF_Output!$S$1:$S$400,SF_Output!$AC$1:$AC$400,_xlfn.TEXTJOIN(",",TRUE,B23:E23),SF_Output!$Q$1:$Q$400,"yearly")+SUMIFS(SF_Output!$S$1:$S$400,SF_Output!$AC$1:$AC$400,_xlfn.TEXTJOIN(",",TRUE,B23:E23),SF_Output!$Q$1:$Q$400,"quarterly")*4)</f>
        <v>0</v>
      </c>
      <c r="S23" s="112" t="str">
        <f>IF(OR(B23=0,B23="",G23="hardware",R23=0),"",IF(AF23&lt;&gt;"exclusion",MAX(S$9,-(SUMIFS(SF_Output!$T$1:$T$400,SF_Output!$AC$1:$AC$400,_xlfn.TEXTJOIN(",",TRUE,$B23:$E23),SF_Output!$Q$1:$Q$400,"yearly"))/R23),-((SUMIFS(SF_Output!$T$1:$T$400,SF_Output!$AC$1:$AC$400,_xlfn.TEXTJOIN(",",TRUE,$B23:$E23),SF_Output!$Q$1:$Q$400,"yearly")/R23))))</f>
        <v/>
      </c>
      <c r="T23" s="6">
        <f t="shared" si="3"/>
        <v>0</v>
      </c>
      <c r="V23" s="6" cm="1">
        <f t="array" ref="V23">_xlfn.IFS(B23="","",AND(B23&lt;&gt;"",H23=SF_Output!$Y$2,SUMIFS(SF_Output!$T$1:$T$400,SF_Output!$AC$1:$AC$400,_xlfn.TEXTJOIN(",",TRUE,B23:E23),SF_Output!$Q$1:$Q$400,"monthly")=0),(SUMIFS(SF_Output!$F$1:$F$400,SF_Output!$AC$1:$AC$400,_xlfn.TEXTJOIN(",",TRUE,B23:E23),SF_Output!$Q$1:$Q$400,"monthly")+SUMIFS(SF_Output!$G$1:$G$400,SF_Output!$AC$1:$AC$400,_xlfn.TEXTJOIN(",",TRUE,B23:E23),SF_Output!$Q$1:$Q$400,"monthly"))*H23,AND(B23&lt;&gt;"",H23=SF_Output!$Y$2,SUMIFS(SF_Output!$T$1:$T$400,SF_Output!$AC$1:$AC$400,_xlfn.TEXTJOIN(",",TRUE,B23:E23),SF_Output!$Q$1:$Q$400,"monthly")&lt;&gt;0),SUMIFS(SF_Output!$S$1:$S$400,SF_Output!$AC$1:$AC$400,_xlfn.TEXTJOIN(",",TRUE,B23:E23),SF_Output!$Q$1:$Q$400,"monthly"),AND(B23&lt;&gt;"",H23&lt;&gt;SF_Output!$Y$2),SUMIFS(SF_Output!$S$1:$S$400,SF_Output!$AC$1:$AC$400,_xlfn.TEXTJOIN(",",TRUE,B23:E23),SF_Output!$Q$1:$Q$400,"monthly"))</f>
        <v>220</v>
      </c>
      <c r="W23" s="112" cm="1">
        <f t="array" ref="W23">_xlfn.IFS(OR(B23=0,B23="",V23=0),"",AF23&lt;&gt;"exclusion",MAX($W$9,$W$7,(-(SUMIFS(SF_Output!$T$1:$T$400,SF_Output!$AC$1:$AC$400,_xlfn.TEXTJOIN(",",TRUE,$B23:$E23),SF_Output!$Q$1:$Q$400,"monthly"))/V23)),AF23="exclusion",-(SUMIFS(SF_Output!$T$1:$T$400,SF_Output!$AC$1:$AC$400,_xlfn.TEXTJOIN(",",TRUE,$B23:$E23),SF_Output!$Q$1:$Q$400,"monthly"))/V23)</f>
        <v>0.25</v>
      </c>
      <c r="X23" s="6" cm="1">
        <f t="array" ref="X23">IFERROR(_xlfn.IFS(V23=0,0,V23="","",W23=0,V23,OR(V23&lt;&gt;0,V23&lt;&gt;""),H23*I23),V23*(1-W23))</f>
        <v>165</v>
      </c>
      <c r="Z23" s="6">
        <f>IFERROR(IF(B23="","",SUMIFS(Billing_Fallout!H:H,Billing_Fallout!N:N,B23)),0)</f>
        <v>0</v>
      </c>
      <c r="AA23" s="6">
        <f t="shared" si="4"/>
        <v>0</v>
      </c>
      <c r="AB23" s="6">
        <f>IFERROR(IF(B23="","",SUMIFS(Billing_Fallout!J:J,Billing_Fallout!N:N,B23)),0)</f>
        <v>0</v>
      </c>
      <c r="AD23" s="6">
        <f t="shared" si="5"/>
        <v>165</v>
      </c>
      <c r="AF23" t="str">
        <f>IFERROR(INDEX(H_Tables!$B$1:$B$1500,MATCH(INDEX(SF_Output!$J$1:$J$400,MATCH(B23,SF_Output!$M$1:$M$400,0)),H_Tables!$A$1:$A$1500,0)),"")</f>
        <v/>
      </c>
      <c r="AI23" s="119" t="str">
        <f t="shared" si="6"/>
        <v/>
      </c>
      <c r="AJ23" s="121">
        <f>IFERROR(INDEX(SF_Output!AD:AD,MATCH(_xlfn.TEXTJOIN(",",TRUE,B23:E23),SF_Output!AC1:AC400,0)),0.05)</f>
        <v>16</v>
      </c>
      <c r="AK23" t="str">
        <f>IF(SUMIFS(SF_Output!$F$1:$F$400,SF_Output!$AC$1:$AC$400,_xlfn.TEXTJOIN(",",TRUE,B23:E23))+SUMIFS(SF_Output!$G$1:$G$400,SF_Output!$AC$1:$AC$400,_xlfn.TEXTJOIN(",",TRUE,B23:E23))=0,"","PAP")</f>
        <v/>
      </c>
      <c r="AQ23" s="35"/>
      <c r="AR23" s="35" t="str" cm="1">
        <f t="array" ref="AR23">IFERROR(_xlfn.IFS(AND(E23*1=1,F23="Included"),"Change to Included",AND(E23*1=0,F23="Optional"),"Change to Optional",OR(B23="",F23="replaced"),""),"")</f>
        <v/>
      </c>
      <c r="AS23" s="35" t="str">
        <f t="shared" si="7"/>
        <v/>
      </c>
      <c r="AT23" s="35" t="str">
        <f t="shared" si="8"/>
        <v/>
      </c>
      <c r="AU23" s="35" t="str">
        <f t="shared" si="9"/>
        <v/>
      </c>
      <c r="AV23" s="35" t="str">
        <f t="shared" si="10"/>
        <v/>
      </c>
      <c r="AW23" s="35" t="str">
        <f t="shared" si="11"/>
        <v/>
      </c>
      <c r="AX23" s="35" t="str">
        <f t="shared" si="12"/>
        <v/>
      </c>
      <c r="AY23" s="35" t="str">
        <f t="shared" si="13"/>
        <v/>
      </c>
      <c r="AZ23" s="35" t="str">
        <f t="shared" si="14"/>
        <v/>
      </c>
      <c r="BA23" s="35" t="str">
        <f t="shared" si="15"/>
        <v/>
      </c>
      <c r="BB23" s="35" t="str">
        <f t="shared" si="16"/>
        <v/>
      </c>
      <c r="BC23" s="35"/>
      <c r="BE23" s="35">
        <f ca="1">INDEX(SF_Output!$AA$2:$AA$400,MATCH($B23,SF_Output!$M$2:$M$400,0))</f>
        <v>2</v>
      </c>
      <c r="BF23" s="35">
        <f ca="1">INDEX(SF_Output!$AB$2:$AB$400,MATCH($B23,SF_Output!$M$2:$M$400,0))</f>
        <v>1</v>
      </c>
    </row>
    <row r="24" spans="2:58" x14ac:dyDescent="0.25">
      <c r="B24" t="s">
        <v>2177</v>
      </c>
      <c r="C24" t="s">
        <v>2122</v>
      </c>
      <c r="D24" t="s">
        <v>2123</v>
      </c>
      <c r="E24" t="s">
        <v>2124</v>
      </c>
      <c r="F24" s="116" t="str">
        <f t="shared" si="0"/>
        <v>Included</v>
      </c>
      <c r="G24" t="str">
        <f>IF(B24="","",INDEX(SF_Output!$K$1:$K$400,MATCH(B24,SF_Output!$M$1:$M$400,0)))</f>
        <v>OnBoard</v>
      </c>
      <c r="H24" cm="1">
        <f t="array" ref="H24">_xlfn.IFS(B24="","",(SUMIFS(SF_Output!$F$1:$F$400,SF_Output!$AC$1:$AC$400,_xlfn.TEXTJOIN(",",TRUE,B24:E24))+SUMIFS(SF_Output!$G$1:$G$400,SF_Output!$AC$1:$AC$400,_xlfn.TEXTJOIN(",",TRUE,B24:E24)))&lt;&gt;0,SF_Output!$Y$2,INDEX(SF_Output!$F$1:$F$400,MATCH(_xlfn.TEXTJOIN(",",TRUE,B24:E24),SF_Output!$AC$1:$AC$400,0))=0,INDEX(SF_Output!$R$1:$R$400,MATCH(_xlfn.TEXTJOIN(",",TRUE,B24:E24),SF_Output!$AC$1:$AC$400,0)))</f>
        <v>5000</v>
      </c>
      <c r="I24" s="125">
        <f>IFERROR(IF(AND(H24&gt;1,H24&lt;&gt;""),ROUND(SUMIFS(SF_Output!$S$1:$S$400,SF_Output!$AC$1:$AC$400,_xlfn.TEXTJOIN(",",TRUE,B24:E24),SF_Output!$Q$1:$Q$400,"monthly")*(1-W24)/H24,4),""),"")</f>
        <v>0.17030000000000001</v>
      </c>
      <c r="J24" s="6">
        <f>IF(B24="","",SUMIFS(SF_Output!$S$1:$S$400,SF_Output!$AC$1:$AC$400,_xlfn.TEXTJOIN(",",TRUE,B24:E24),SF_Output!$Q$1:$Q$400,"One Time",SF_Output!$L$1:$L$400,"license fee")+SUMIFS(SF_Output!$S$1:$S$400,SF_Output!$AC$1:$AC$400,_xlfn.TEXTJOIN(",",TRUE,B24:E24),SF_Output!$Q$1:$Q$400,"One Time",SF_Output!$L$1:$L$400,"software license")+SUMIFS(SF_Output!$S$1:$S$400,SF_Output!$AC$1:$AC$400,_xlfn.TEXTJOIN(",",TRUE,B24:E24),SF_Output!$Q$1:$Q$400,"One Time",SF_Output!$L$1:$L$400,"hardware"))</f>
        <v>0</v>
      </c>
      <c r="K24" s="112" t="str">
        <f>IF(OR(B24=0,B24="",G24="hardware",J24=0),"",IF(AF24&lt;&gt;"exclusion",MAX(K$9,-((SUMIFS(SF_Output!$T$1:$T$400,SF_Output!$AC$1:$AC$400,_xlfn.TEXTJOIN(",",TRUE,$B24:$E24),SF_Output!$Q$1:$Q$400,"One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license"))/J24)))</f>
        <v/>
      </c>
      <c r="L24" s="6">
        <f t="shared" si="1"/>
        <v>0</v>
      </c>
      <c r="N24" s="6">
        <f>IF(B24="","",SUMIFS(SF_Output!$S$1:$S$400,SF_Output!$AC$1:$AC$400,_xlfn.TEXTJOIN(",",TRUE,B24:E24),SF_Output!$Q$1:$Q$400,"One Time",SF_Output!$L$1:$L$400,"professional service"))</f>
        <v>23180</v>
      </c>
      <c r="O24" s="112">
        <f>IF(OR(B24=0,B24="",N24=0),"",IF(AF24&lt;&gt;"exclusion",MAX(O$9,-(SUMIFS(SF_Output!$T$1:$T$400,SF_Output!$AC$1:$AC$400,_xlfn.TEXTJOIN(",",TRUE,$B24:$E24),SF_Output!$Q$1:$Q$400,"One Time",SF_Output!$L$1:$L$400,"professional service"))/N24),-((SUMIFS(SF_Output!$T$1:$T$400,SF_Output!$AC$1:$AC$400,_xlfn.TEXTJOIN(",",TRUE,$B24:$E24),SF_Output!$Q$1:$Q$400,"One Time",SF_Output!$L$1:$L$400,"professional service")/N24))))</f>
        <v>1</v>
      </c>
      <c r="P24" s="6">
        <f t="shared" si="2"/>
        <v>0</v>
      </c>
      <c r="R24" s="6">
        <f>IF(B24="","",SUMIFS(SF_Output!$S$1:$S$400,SF_Output!$AC$1:$AC$400,_xlfn.TEXTJOIN(",",TRUE,B24:E24),SF_Output!$Q$1:$Q$400,"yearly")+SUMIFS(SF_Output!$S$1:$S$400,SF_Output!$AC$1:$AC$400,_xlfn.TEXTJOIN(",",TRUE,B24:E24),SF_Output!$Q$1:$Q$400,"quarterly")*4)</f>
        <v>0</v>
      </c>
      <c r="S24" s="112" t="str">
        <f>IF(OR(B24=0,B24="",G24="hardware",R24=0),"",IF(AF24&lt;&gt;"exclusion",MAX(S$9,-(SUMIFS(SF_Output!$T$1:$T$400,SF_Output!$AC$1:$AC$400,_xlfn.TEXTJOIN(",",TRUE,$B24:$E24),SF_Output!$Q$1:$Q$400,"yearly"))/R24),-((SUMIFS(SF_Output!$T$1:$T$400,SF_Output!$AC$1:$AC$400,_xlfn.TEXTJOIN(",",TRUE,$B24:$E24),SF_Output!$Q$1:$Q$400,"yearly")/R24))))</f>
        <v/>
      </c>
      <c r="T24" s="6">
        <f t="shared" si="3"/>
        <v>0</v>
      </c>
      <c r="V24" s="6" cm="1">
        <f t="array" ref="V24">_xlfn.IFS(B24="","",AND(B24&lt;&gt;"",H24=SF_Output!$Y$2,SUMIFS(SF_Output!$T$1:$T$400,SF_Output!$AC$1:$AC$400,_xlfn.TEXTJOIN(",",TRUE,B24:E24),SF_Output!$Q$1:$Q$400,"monthly")=0),(SUMIFS(SF_Output!$F$1:$F$400,SF_Output!$AC$1:$AC$400,_xlfn.TEXTJOIN(",",TRUE,B24:E24),SF_Output!$Q$1:$Q$400,"monthly")+SUMIFS(SF_Output!$G$1:$G$400,SF_Output!$AC$1:$AC$400,_xlfn.TEXTJOIN(",",TRUE,B24:E24),SF_Output!$Q$1:$Q$400,"monthly"))*H24,AND(B24&lt;&gt;"",H24=SF_Output!$Y$2,SUMIFS(SF_Output!$T$1:$T$400,SF_Output!$AC$1:$AC$400,_xlfn.TEXTJOIN(",",TRUE,B24:E24),SF_Output!$Q$1:$Q$400,"monthly")&lt;&gt;0),SUMIFS(SF_Output!$S$1:$S$400,SF_Output!$AC$1:$AC$400,_xlfn.TEXTJOIN(",",TRUE,B24:E24),SF_Output!$Q$1:$Q$400,"monthly"),AND(B24&lt;&gt;"",H24&lt;&gt;SF_Output!$Y$2),SUMIFS(SF_Output!$S$1:$S$400,SF_Output!$AC$1:$AC$400,_xlfn.TEXTJOIN(",",TRUE,B24:E24),SF_Output!$Q$1:$Q$400,"monthly"))</f>
        <v>1135</v>
      </c>
      <c r="W24" s="112" cm="1">
        <f t="array" ref="W24">_xlfn.IFS(OR(B24=0,B24="",V24=0),"",AF24&lt;&gt;"exclusion",MAX($W$9,$W$7,(-(SUMIFS(SF_Output!$T$1:$T$400,SF_Output!$AC$1:$AC$400,_xlfn.TEXTJOIN(",",TRUE,$B24:$E24),SF_Output!$Q$1:$Q$400,"monthly"))/V24)),AF24="exclusion",-(SUMIFS(SF_Output!$T$1:$T$400,SF_Output!$AC$1:$AC$400,_xlfn.TEXTJOIN(",",TRUE,$B24:$E24),SF_Output!$Q$1:$Q$400,"monthly"))/V24)</f>
        <v>0.25</v>
      </c>
      <c r="X24" s="6" cm="1">
        <f t="array" ref="X24">IFERROR(_xlfn.IFS(V24=0,0,V24="","",W24=0,V24,OR(V24&lt;&gt;0,V24&lt;&gt;""),H24*I24),V24*(1-W24))</f>
        <v>851.5</v>
      </c>
      <c r="Z24" s="6">
        <f>IFERROR(IF(B24="","",SUMIFS(Billing_Fallout!H:H,Billing_Fallout!N:N,B24)),0)</f>
        <v>0</v>
      </c>
      <c r="AA24" s="6">
        <f t="shared" si="4"/>
        <v>0</v>
      </c>
      <c r="AB24" s="6">
        <f>IFERROR(IF(B24="","",SUMIFS(Billing_Fallout!J:J,Billing_Fallout!N:N,B24)),0)</f>
        <v>0</v>
      </c>
      <c r="AD24" s="6">
        <f t="shared" si="5"/>
        <v>851.5</v>
      </c>
      <c r="AF24" t="str">
        <f>IFERROR(INDEX(H_Tables!$B$1:$B$1500,MATCH(INDEX(SF_Output!$J$1:$J$400,MATCH(B24,SF_Output!$M$1:$M$400,0)),H_Tables!$A$1:$A$1500,0)),"")</f>
        <v/>
      </c>
      <c r="AI24" s="119" t="str">
        <f t="shared" si="6"/>
        <v/>
      </c>
      <c r="AJ24" s="121">
        <f>IFERROR(INDEX(SF_Output!AD:AD,MATCH(_xlfn.TEXTJOIN(",",TRUE,B24:E24),SF_Output!AC1:AC400,0)),0.05)</f>
        <v>33</v>
      </c>
      <c r="AK24" t="str">
        <f>IF(SUMIFS(SF_Output!$F$1:$F$400,SF_Output!$AC$1:$AC$400,_xlfn.TEXTJOIN(",",TRUE,B24:E24))+SUMIFS(SF_Output!$G$1:$G$400,SF_Output!$AC$1:$AC$400,_xlfn.TEXTJOIN(",",TRUE,B24:E24))=0,"","PAP")</f>
        <v>PAP</v>
      </c>
      <c r="AQ24" s="35"/>
      <c r="AR24" s="35" t="str" cm="1">
        <f t="array" ref="AR24">IFERROR(_xlfn.IFS(AND(E24*1=1,F24="Included"),"Change to Included",AND(E24*1=0,F24="Optional"),"Change to Optional",OR(B24="",F24="replaced"),""),"")</f>
        <v/>
      </c>
      <c r="AS24" s="35" t="str">
        <f t="shared" si="7"/>
        <v/>
      </c>
      <c r="AT24" s="35" t="str">
        <f t="shared" si="8"/>
        <v/>
      </c>
      <c r="AU24" s="35" t="str">
        <f t="shared" si="9"/>
        <v/>
      </c>
      <c r="AV24" s="35" t="str">
        <f t="shared" si="10"/>
        <v/>
      </c>
      <c r="AW24" s="35" t="str">
        <f t="shared" si="11"/>
        <v/>
      </c>
      <c r="AX24" s="35" t="str">
        <f t="shared" si="12"/>
        <v/>
      </c>
      <c r="AY24" s="35" t="str">
        <f t="shared" si="13"/>
        <v/>
      </c>
      <c r="AZ24" s="35" t="str">
        <f t="shared" si="14"/>
        <v/>
      </c>
      <c r="BA24" s="35" t="str">
        <f t="shared" si="15"/>
        <v/>
      </c>
      <c r="BB24" s="35" t="str">
        <f t="shared" si="16"/>
        <v/>
      </c>
      <c r="BC24" s="35"/>
      <c r="BE24" s="35">
        <f ca="1">INDEX(SF_Output!$AA$2:$AA$400,MATCH($B24,SF_Output!$M$2:$M$400,0))</f>
        <v>2</v>
      </c>
      <c r="BF24" s="35">
        <f ca="1">INDEX(SF_Output!$AB$2:$AB$400,MATCH($B24,SF_Output!$M$2:$M$400,0))</f>
        <v>1</v>
      </c>
    </row>
    <row r="25" spans="2:58" x14ac:dyDescent="0.25">
      <c r="B25" t="s">
        <v>2180</v>
      </c>
      <c r="C25" t="s">
        <v>2122</v>
      </c>
      <c r="D25" t="s">
        <v>2123</v>
      </c>
      <c r="E25" t="s">
        <v>2150</v>
      </c>
      <c r="F25" s="116" t="str">
        <f t="shared" si="0"/>
        <v>Optional</v>
      </c>
      <c r="G25" t="str">
        <f>IF(B25="","",INDEX(SF_Output!$K$1:$K$400,MATCH(B25,SF_Output!$M$1:$M$400,0)))</f>
        <v>OnBoard</v>
      </c>
      <c r="H25" cm="1">
        <f t="array" ref="H25">_xlfn.IFS(B25="","",(SUMIFS(SF_Output!$F$1:$F$400,SF_Output!$AC$1:$AC$400,_xlfn.TEXTJOIN(",",TRUE,B25:E25))+SUMIFS(SF_Output!$G$1:$G$400,SF_Output!$AC$1:$AC$400,_xlfn.TEXTJOIN(",",TRUE,B25:E25)))&lt;&gt;0,SF_Output!$Y$2,INDEX(SF_Output!$F$1:$F$400,MATCH(_xlfn.TEXTJOIN(",",TRUE,B25:E25),SF_Output!$AC$1:$AC$400,0))=0,INDEX(SF_Output!$R$1:$R$400,MATCH(_xlfn.TEXTJOIN(",",TRUE,B25:E25),SF_Output!$AC$1:$AC$400,0)))</f>
        <v>5000</v>
      </c>
      <c r="I25" s="125">
        <f>IFERROR(IF(AND(H25&gt;1,H25&lt;&gt;""),ROUND(SUMIFS(SF_Output!$S$1:$S$400,SF_Output!$AC$1:$AC$400,_xlfn.TEXTJOIN(",",TRUE,B25:E25),SF_Output!$Q$1:$Q$400,"monthly")*(1-W25)/H25,4),""),"")</f>
        <v>0.2273</v>
      </c>
      <c r="J25" s="6">
        <f>IF(B25="","",SUMIFS(SF_Output!$S$1:$S$400,SF_Output!$AC$1:$AC$400,_xlfn.TEXTJOIN(",",TRUE,B25:E25),SF_Output!$Q$1:$Q$400,"One Time",SF_Output!$L$1:$L$400,"license fee")+SUMIFS(SF_Output!$S$1:$S$400,SF_Output!$AC$1:$AC$400,_xlfn.TEXTJOIN(",",TRUE,B25:E25),SF_Output!$Q$1:$Q$400,"One Time",SF_Output!$L$1:$L$400,"software license")+SUMIFS(SF_Output!$S$1:$S$400,SF_Output!$AC$1:$AC$400,_xlfn.TEXTJOIN(",",TRUE,B25:E25),SF_Output!$Q$1:$Q$400,"One Time",SF_Output!$L$1:$L$400,"hardware"))</f>
        <v>0</v>
      </c>
      <c r="K25" s="112" t="str">
        <f>IF(OR(B25=0,B25="",G25="hardware",J25=0),"",IF(AF25&lt;&gt;"exclusion",MAX(K$9,-((SUMIFS(SF_Output!$T$1:$T$400,SF_Output!$AC$1:$AC$400,_xlfn.TEXTJOIN(",",TRUE,$B25:$E25),SF_Output!$Q$1:$Q$400,"One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license"))/J25)))</f>
        <v/>
      </c>
      <c r="L25" s="6">
        <f t="shared" si="1"/>
        <v>0</v>
      </c>
      <c r="N25" s="6">
        <f>IF(B25="","",SUMIFS(SF_Output!$S$1:$S$400,SF_Output!$AC$1:$AC$400,_xlfn.TEXTJOIN(",",TRUE,B25:E25),SF_Output!$Q$1:$Q$400,"One Time",SF_Output!$L$1:$L$400,"professional service"))</f>
        <v>42480</v>
      </c>
      <c r="O25" s="112">
        <f>IF(OR(B25=0,B25="",N25=0),"",IF(AF25&lt;&gt;"exclusion",MAX(O$9,-(SUMIFS(SF_Output!$T$1:$T$400,SF_Output!$AC$1:$AC$400,_xlfn.TEXTJOIN(",",TRUE,$B25:$E25),SF_Output!$Q$1:$Q$400,"One Time",SF_Output!$L$1:$L$400,"professional service"))/N25),-((SUMIFS(SF_Output!$T$1:$T$400,SF_Output!$AC$1:$AC$400,_xlfn.TEXTJOIN(",",TRUE,$B25:$E25),SF_Output!$Q$1:$Q$400,"One Time",SF_Output!$L$1:$L$400,"professional service")/N25))))</f>
        <v>1</v>
      </c>
      <c r="P25" s="6">
        <f t="shared" si="2"/>
        <v>0</v>
      </c>
      <c r="R25" s="6">
        <f>IF(B25="","",SUMIFS(SF_Output!$S$1:$S$400,SF_Output!$AC$1:$AC$400,_xlfn.TEXTJOIN(",",TRUE,B25:E25),SF_Output!$Q$1:$Q$400,"yearly")+SUMIFS(SF_Output!$S$1:$S$400,SF_Output!$AC$1:$AC$400,_xlfn.TEXTJOIN(",",TRUE,B25:E25),SF_Output!$Q$1:$Q$400,"quarterly")*4)</f>
        <v>0</v>
      </c>
      <c r="S25" s="112" t="str">
        <f>IF(OR(B25=0,B25="",G25="hardware",R25=0),"",IF(AF25&lt;&gt;"exclusion",MAX(S$9,-(SUMIFS(SF_Output!$T$1:$T$400,SF_Output!$AC$1:$AC$400,_xlfn.TEXTJOIN(",",TRUE,$B25:$E25),SF_Output!$Q$1:$Q$400,"yearly"))/R25),-((SUMIFS(SF_Output!$T$1:$T$400,SF_Output!$AC$1:$AC$400,_xlfn.TEXTJOIN(",",TRUE,$B25:$E25),SF_Output!$Q$1:$Q$400,"yearly")/R25))))</f>
        <v/>
      </c>
      <c r="T25" s="6">
        <f t="shared" si="3"/>
        <v>0</v>
      </c>
      <c r="V25" s="6" cm="1">
        <f t="array" ref="V25">_xlfn.IFS(B25="","",AND(B25&lt;&gt;"",H25=SF_Output!$Y$2,SUMIFS(SF_Output!$T$1:$T$400,SF_Output!$AC$1:$AC$400,_xlfn.TEXTJOIN(",",TRUE,B25:E25),SF_Output!$Q$1:$Q$400,"monthly")=0),(SUMIFS(SF_Output!$F$1:$F$400,SF_Output!$AC$1:$AC$400,_xlfn.TEXTJOIN(",",TRUE,B25:E25),SF_Output!$Q$1:$Q$400,"monthly")+SUMIFS(SF_Output!$G$1:$G$400,SF_Output!$AC$1:$AC$400,_xlfn.TEXTJOIN(",",TRUE,B25:E25),SF_Output!$Q$1:$Q$400,"monthly"))*H25,AND(B25&lt;&gt;"",H25=SF_Output!$Y$2,SUMIFS(SF_Output!$T$1:$T$400,SF_Output!$AC$1:$AC$400,_xlfn.TEXTJOIN(",",TRUE,B25:E25),SF_Output!$Q$1:$Q$400,"monthly")&lt;&gt;0),SUMIFS(SF_Output!$S$1:$S$400,SF_Output!$AC$1:$AC$400,_xlfn.TEXTJOIN(",",TRUE,B25:E25),SF_Output!$Q$1:$Q$400,"monthly"),AND(B25&lt;&gt;"",H25&lt;&gt;SF_Output!$Y$2),SUMIFS(SF_Output!$S$1:$S$400,SF_Output!$AC$1:$AC$400,_xlfn.TEXTJOIN(",",TRUE,B25:E25),SF_Output!$Q$1:$Q$400,"monthly"))</f>
        <v>1515</v>
      </c>
      <c r="W25" s="112" cm="1">
        <f t="array" ref="W25">_xlfn.IFS(OR(B25=0,B25="",V25=0),"",AF25&lt;&gt;"exclusion",MAX($W$9,$W$7,(-(SUMIFS(SF_Output!$T$1:$T$400,SF_Output!$AC$1:$AC$400,_xlfn.TEXTJOIN(",",TRUE,$B25:$E25),SF_Output!$Q$1:$Q$400,"monthly"))/V25)),AF25="exclusion",-(SUMIFS(SF_Output!$T$1:$T$400,SF_Output!$AC$1:$AC$400,_xlfn.TEXTJOIN(",",TRUE,$B25:$E25),SF_Output!$Q$1:$Q$400,"monthly"))/V25)</f>
        <v>0.25</v>
      </c>
      <c r="X25" s="6" cm="1">
        <f t="array" ref="X25">IFERROR(_xlfn.IFS(V25=0,0,V25="","",W25=0,V25,OR(V25&lt;&gt;0,V25&lt;&gt;""),H25*I25),V25*(1-W25))</f>
        <v>1136.5</v>
      </c>
      <c r="Z25" s="6">
        <f>IFERROR(IF(B25="","",SUMIFS(Billing_Fallout!H:H,Billing_Fallout!N:N,B25)),0)</f>
        <v>0</v>
      </c>
      <c r="AA25" s="6">
        <f t="shared" si="4"/>
        <v>0</v>
      </c>
      <c r="AB25" s="6">
        <f>IFERROR(IF(B25="","",SUMIFS(Billing_Fallout!J:J,Billing_Fallout!N:N,B25)),0)</f>
        <v>0</v>
      </c>
      <c r="AD25" s="6">
        <f t="shared" si="5"/>
        <v>1136.5</v>
      </c>
      <c r="AF25" t="str">
        <f>IFERROR(INDEX(H_Tables!$B$1:$B$1500,MATCH(INDEX(SF_Output!$J$1:$J$400,MATCH(B25,SF_Output!$M$1:$M$400,0)),H_Tables!$A$1:$A$1500,0)),"")</f>
        <v/>
      </c>
      <c r="AI25" s="119" t="str">
        <f t="shared" si="6"/>
        <v/>
      </c>
      <c r="AJ25" s="121">
        <f>IFERROR(INDEX(SF_Output!AD:AD,MATCH(_xlfn.TEXTJOIN(",",TRUE,B25:E25),SF_Output!AC1:AC400,0)),0.05)</f>
        <v>35</v>
      </c>
      <c r="AK25" t="str">
        <f>IF(SUMIFS(SF_Output!$F$1:$F$400,SF_Output!$AC$1:$AC$400,_xlfn.TEXTJOIN(",",TRUE,B25:E25))+SUMIFS(SF_Output!$G$1:$G$400,SF_Output!$AC$1:$AC$400,_xlfn.TEXTJOIN(",",TRUE,B25:E25))=0,"","PAP")</f>
        <v>PAP</v>
      </c>
      <c r="AQ25" s="35"/>
      <c r="AR25" s="35" t="str" cm="1">
        <f t="array" ref="AR25">IFERROR(_xlfn.IFS(AND(E25*1=1,F25="Included"),"Change to Included",AND(E25*1=0,F25="Optional"),"Change to Optional",OR(B25="",F25="replaced"),""),"")</f>
        <v/>
      </c>
      <c r="AS25" s="35" t="str">
        <f t="shared" si="7"/>
        <v/>
      </c>
      <c r="AT25" s="35" t="str">
        <f t="shared" si="8"/>
        <v/>
      </c>
      <c r="AU25" s="35" t="str">
        <f t="shared" si="9"/>
        <v/>
      </c>
      <c r="AV25" s="35" t="str">
        <f t="shared" si="10"/>
        <v/>
      </c>
      <c r="AW25" s="35" t="str">
        <f t="shared" si="11"/>
        <v/>
      </c>
      <c r="AX25" s="35" t="str">
        <f t="shared" si="12"/>
        <v/>
      </c>
      <c r="AY25" s="35" t="str">
        <f t="shared" si="13"/>
        <v/>
      </c>
      <c r="AZ25" s="35" t="str">
        <f t="shared" si="14"/>
        <v/>
      </c>
      <c r="BA25" s="35" t="str">
        <f t="shared" si="15"/>
        <v/>
      </c>
      <c r="BB25" s="35" t="str">
        <f t="shared" si="16"/>
        <v/>
      </c>
      <c r="BC25" s="35"/>
      <c r="BE25" s="35">
        <f ca="1">INDEX(SF_Output!$AA$2:$AA$400,MATCH($B25,SF_Output!$M$2:$M$400,0))</f>
        <v>2</v>
      </c>
      <c r="BF25" s="35">
        <f ca="1">INDEX(SF_Output!$AB$2:$AB$400,MATCH($B25,SF_Output!$M$2:$M$400,0))</f>
        <v>1</v>
      </c>
    </row>
    <row r="26" spans="2:58" x14ac:dyDescent="0.25">
      <c r="B26" t="s">
        <v>1436</v>
      </c>
      <c r="C26" t="s">
        <v>2122</v>
      </c>
      <c r="D26" t="s">
        <v>2123</v>
      </c>
      <c r="E26" t="s">
        <v>2150</v>
      </c>
      <c r="F26" s="116" t="str">
        <f t="shared" si="0"/>
        <v>Optional</v>
      </c>
      <c r="G26" t="str">
        <f>IF(B26="","",INDEX(SF_Output!$K$1:$K$400,MATCH(B26,SF_Output!$M$1:$M$400,0)))</f>
        <v>OnBoard</v>
      </c>
      <c r="H26" cm="1">
        <f t="array" ref="H26">_xlfn.IFS(B26="","",(SUMIFS(SF_Output!$F$1:$F$400,SF_Output!$AC$1:$AC$400,_xlfn.TEXTJOIN(",",TRUE,B26:E26))+SUMIFS(SF_Output!$G$1:$G$400,SF_Output!$AC$1:$AC$400,_xlfn.TEXTJOIN(",",TRUE,B26:E26)))&lt;&gt;0,SF_Output!$Y$2,INDEX(SF_Output!$F$1:$F$400,MATCH(_xlfn.TEXTJOIN(",",TRUE,B26:E26),SF_Output!$AC$1:$AC$400,0))=0,INDEX(SF_Output!$R$1:$R$400,MATCH(_xlfn.TEXTJOIN(",",TRUE,B26:E26),SF_Output!$AC$1:$AC$400,0)))</f>
        <v>1</v>
      </c>
      <c r="I26" s="125" t="str">
        <f>IFERROR(IF(AND(H26&gt;1,H26&lt;&gt;""),ROUND(SUMIFS(SF_Output!$S$1:$S$400,SF_Output!$AC$1:$AC$400,_xlfn.TEXTJOIN(",",TRUE,B26:E26),SF_Output!$Q$1:$Q$400,"monthly")*(1-W26)/H26,4),""),"")</f>
        <v/>
      </c>
      <c r="J26" s="6">
        <f>IF(B26="","",SUMIFS(SF_Output!$S$1:$S$400,SF_Output!$AC$1:$AC$400,_xlfn.TEXTJOIN(",",TRUE,B26:E26),SF_Output!$Q$1:$Q$400,"One Time",SF_Output!$L$1:$L$400,"license fee")+SUMIFS(SF_Output!$S$1:$S$400,SF_Output!$AC$1:$AC$400,_xlfn.TEXTJOIN(",",TRUE,B26:E26),SF_Output!$Q$1:$Q$400,"One Time",SF_Output!$L$1:$L$400,"software license")+SUMIFS(SF_Output!$S$1:$S$400,SF_Output!$AC$1:$AC$400,_xlfn.TEXTJOIN(",",TRUE,B26:E26),SF_Output!$Q$1:$Q$400,"One Time",SF_Output!$L$1:$L$400,"hardware"))</f>
        <v>0</v>
      </c>
      <c r="K26" s="112" t="str">
        <f>IF(OR(B26=0,B26="",G26="hardware",J26=0),"",IF(AF26&lt;&gt;"exclusion",MAX(K$9,-((SUMIFS(SF_Output!$T$1:$T$400,SF_Output!$AC$1:$AC$400,_xlfn.TEXTJOIN(",",TRUE,$B26:$E26),SF_Output!$Q$1:$Q$400,"One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license"))/J26)))</f>
        <v/>
      </c>
      <c r="L26" s="6">
        <f t="shared" si="1"/>
        <v>0</v>
      </c>
      <c r="N26" s="6">
        <f>IF(B26="","",SUMIFS(SF_Output!$S$1:$S$400,SF_Output!$AC$1:$AC$400,_xlfn.TEXTJOIN(",",TRUE,B26:E26),SF_Output!$Q$1:$Q$400,"One Time",SF_Output!$L$1:$L$400,"professional service"))</f>
        <v>1500</v>
      </c>
      <c r="O26" s="112">
        <f>IF(OR(B26=0,B26="",N26=0),"",IF(AF26&lt;&gt;"exclusion",MAX(O$9,-(SUMIFS(SF_Output!$T$1:$T$400,SF_Output!$AC$1:$AC$400,_xlfn.TEXTJOIN(",",TRUE,$B26:$E26),SF_Output!$Q$1:$Q$400,"One Time",SF_Output!$L$1:$L$400,"professional service"))/N26),-((SUMIFS(SF_Output!$T$1:$T$400,SF_Output!$AC$1:$AC$400,_xlfn.TEXTJOIN(",",TRUE,$B26:$E26),SF_Output!$Q$1:$Q$400,"One Time",SF_Output!$L$1:$L$400,"professional service")/N26))))</f>
        <v>0</v>
      </c>
      <c r="P26" s="6">
        <f t="shared" si="2"/>
        <v>1500</v>
      </c>
      <c r="R26" s="6">
        <f>IF(B26="","",SUMIFS(SF_Output!$S$1:$S$400,SF_Output!$AC$1:$AC$400,_xlfn.TEXTJOIN(",",TRUE,B26:E26),SF_Output!$Q$1:$Q$400,"yearly")+SUMIFS(SF_Output!$S$1:$S$400,SF_Output!$AC$1:$AC$400,_xlfn.TEXTJOIN(",",TRUE,B26:E26),SF_Output!$Q$1:$Q$400,"quarterly")*4)</f>
        <v>0</v>
      </c>
      <c r="S26" s="112" t="str">
        <f>IF(OR(B26=0,B26="",G26="hardware",R26=0),"",IF(AF26&lt;&gt;"exclusion",MAX(S$9,-(SUMIFS(SF_Output!$T$1:$T$400,SF_Output!$AC$1:$AC$400,_xlfn.TEXTJOIN(",",TRUE,$B26:$E26),SF_Output!$Q$1:$Q$400,"yearly"))/R26),-((SUMIFS(SF_Output!$T$1:$T$400,SF_Output!$AC$1:$AC$400,_xlfn.TEXTJOIN(",",TRUE,$B26:$E26),SF_Output!$Q$1:$Q$400,"yearly")/R26))))</f>
        <v/>
      </c>
      <c r="T26" s="6">
        <f t="shared" si="3"/>
        <v>0</v>
      </c>
      <c r="V26" s="6" cm="1">
        <f t="array" ref="V26">_xlfn.IFS(B26="","",AND(B26&lt;&gt;"",H26=SF_Output!$Y$2,SUMIFS(SF_Output!$T$1:$T$400,SF_Output!$AC$1:$AC$400,_xlfn.TEXTJOIN(",",TRUE,B26:E26),SF_Output!$Q$1:$Q$400,"monthly")=0),(SUMIFS(SF_Output!$F$1:$F$400,SF_Output!$AC$1:$AC$400,_xlfn.TEXTJOIN(",",TRUE,B26:E26),SF_Output!$Q$1:$Q$400,"monthly")+SUMIFS(SF_Output!$G$1:$G$400,SF_Output!$AC$1:$AC$400,_xlfn.TEXTJOIN(",",TRUE,B26:E26),SF_Output!$Q$1:$Q$400,"monthly"))*H26,AND(B26&lt;&gt;"",H26=SF_Output!$Y$2,SUMIFS(SF_Output!$T$1:$T$400,SF_Output!$AC$1:$AC$400,_xlfn.TEXTJOIN(",",TRUE,B26:E26),SF_Output!$Q$1:$Q$400,"monthly")&lt;&gt;0),SUMIFS(SF_Output!$S$1:$S$400,SF_Output!$AC$1:$AC$400,_xlfn.TEXTJOIN(",",TRUE,B26:E26),SF_Output!$Q$1:$Q$400,"monthly"),AND(B26&lt;&gt;"",H26&lt;&gt;SF_Output!$Y$2),SUMIFS(SF_Output!$S$1:$S$400,SF_Output!$AC$1:$AC$400,_xlfn.TEXTJOIN(",",TRUE,B26:E26),SF_Output!$Q$1:$Q$400,"monthly"))</f>
        <v>0</v>
      </c>
      <c r="W26" s="112" t="str" cm="1">
        <f t="array" ref="W26">_xlfn.IFS(OR(B26=0,B26="",V26=0),"",AF26&lt;&gt;"exclusion",MAX($W$9,$W$7,(-(SUMIFS(SF_Output!$T$1:$T$400,SF_Output!$AC$1:$AC$400,_xlfn.TEXTJOIN(",",TRUE,$B26:$E26),SF_Output!$Q$1:$Q$400,"monthly"))/V26)),AF26="exclusion",-(SUMIFS(SF_Output!$T$1:$T$400,SF_Output!$AC$1:$AC$400,_xlfn.TEXTJOIN(",",TRUE,$B26:$E26),SF_Output!$Q$1:$Q$400,"monthly"))/V26)</f>
        <v/>
      </c>
      <c r="X26" s="6" cm="1">
        <f t="array" ref="X26">IFERROR(_xlfn.IFS(V26=0,0,V26="","",W26=0,V26,OR(V26&lt;&gt;0,V26&lt;&gt;""),H26*I26),V26*(1-W26))</f>
        <v>0</v>
      </c>
      <c r="Z26" s="6">
        <f>IFERROR(IF(B26="","",SUMIFS(Billing_Fallout!H:H,Billing_Fallout!N:N,B26)),0)</f>
        <v>0</v>
      </c>
      <c r="AA26" s="6">
        <f t="shared" si="4"/>
        <v>0</v>
      </c>
      <c r="AB26" s="6">
        <f>IFERROR(IF(B26="","",SUMIFS(Billing_Fallout!J:J,Billing_Fallout!N:N,B26)),0)</f>
        <v>0</v>
      </c>
      <c r="AD26" s="6">
        <f t="shared" si="5"/>
        <v>0</v>
      </c>
      <c r="AF26" t="str">
        <f>IFERROR(INDEX(H_Tables!$B$1:$B$1500,MATCH(INDEX(SF_Output!$J$1:$J$400,MATCH(B26,SF_Output!$M$1:$M$400,0)),H_Tables!$A$1:$A$1500,0)),"")</f>
        <v>Exclusion</v>
      </c>
      <c r="AI26" s="119" t="str">
        <f t="shared" si="6"/>
        <v/>
      </c>
      <c r="AJ26" s="121">
        <f>IFERROR(INDEX(SF_Output!AD:AD,MATCH(_xlfn.TEXTJOIN(",",TRUE,B26:E26),SF_Output!AC1:AC400,0)),0.05)</f>
        <v>37</v>
      </c>
      <c r="AK26" t="str">
        <f>IF(SUMIFS(SF_Output!$F$1:$F$400,SF_Output!$AC$1:$AC$400,_xlfn.TEXTJOIN(",",TRUE,B26:E26))+SUMIFS(SF_Output!$G$1:$G$400,SF_Output!$AC$1:$AC$400,_xlfn.TEXTJOIN(",",TRUE,B26:E26))=0,"","PAP")</f>
        <v/>
      </c>
      <c r="AQ26" s="35"/>
      <c r="AR26" s="35" t="str" cm="1">
        <f t="array" ref="AR26">IFERROR(_xlfn.IFS(AND(E26*1=1,F26="Included"),"Change to Included",AND(E26*1=0,F26="Optional"),"Change to Optional",OR(B26="",F26="replaced"),""),"")</f>
        <v/>
      </c>
      <c r="AS26" s="35" t="str">
        <f t="shared" si="7"/>
        <v/>
      </c>
      <c r="AT26" s="35" t="str">
        <f t="shared" si="8"/>
        <v/>
      </c>
      <c r="AU26" s="35" t="str">
        <f t="shared" si="9"/>
        <v/>
      </c>
      <c r="AV26" s="35" t="str">
        <f t="shared" si="10"/>
        <v/>
      </c>
      <c r="AW26" s="35" t="str">
        <f t="shared" si="11"/>
        <v/>
      </c>
      <c r="AX26" s="35" t="str">
        <f t="shared" si="12"/>
        <v/>
      </c>
      <c r="AY26" s="35" t="str">
        <f t="shared" si="13"/>
        <v/>
      </c>
      <c r="AZ26" s="35" t="str">
        <f t="shared" si="14"/>
        <v/>
      </c>
      <c r="BA26" s="35" t="str">
        <f t="shared" si="15"/>
        <v/>
      </c>
      <c r="BB26" s="35" t="str">
        <f t="shared" si="16"/>
        <v/>
      </c>
      <c r="BC26" s="35"/>
      <c r="BE26" s="35">
        <f ca="1">INDEX(SF_Output!$AA$2:$AA$400,MATCH($B26,SF_Output!$M$2:$M$400,0))</f>
        <v>2</v>
      </c>
      <c r="BF26" s="35">
        <f ca="1">INDEX(SF_Output!$AB$2:$AB$400,MATCH($B26,SF_Output!$M$2:$M$400,0))</f>
        <v>1</v>
      </c>
    </row>
    <row r="27" spans="2:58" x14ac:dyDescent="0.25">
      <c r="B27" t="s">
        <v>2192</v>
      </c>
      <c r="C27" t="s">
        <v>2122</v>
      </c>
      <c r="D27" t="s">
        <v>2123</v>
      </c>
      <c r="E27" t="s">
        <v>2124</v>
      </c>
      <c r="F27" s="116" t="str">
        <f t="shared" si="0"/>
        <v>Included</v>
      </c>
      <c r="G27" t="str">
        <f>IF(B27="","",INDEX(SF_Output!$K$1:$K$400,MATCH(B27,SF_Output!$M$1:$M$400,0)))</f>
        <v>Teller</v>
      </c>
      <c r="H27" cm="1">
        <f t="array" ref="H27">_xlfn.IFS(B27="","",(SUMIFS(SF_Output!$F$1:$F$400,SF_Output!$AC$1:$AC$400,_xlfn.TEXTJOIN(",",TRUE,B27:E27))+SUMIFS(SF_Output!$G$1:$G$400,SF_Output!$AC$1:$AC$400,_xlfn.TEXTJOIN(",",TRUE,B27:E27)))&lt;&gt;0,SF_Output!$Y$2,INDEX(SF_Output!$F$1:$F$400,MATCH(_xlfn.TEXTJOIN(",",TRUE,B27:E27),SF_Output!$AC$1:$AC$400,0))=0,INDEX(SF_Output!$R$1:$R$400,MATCH(_xlfn.TEXTJOIN(",",TRUE,B27:E27),SF_Output!$AC$1:$AC$400,0)))</f>
        <v>5000</v>
      </c>
      <c r="I27" s="125">
        <f>IFERROR(IF(AND(H27&gt;1,H27&lt;&gt;""),ROUND(SUMIFS(SF_Output!$S$1:$S$400,SF_Output!$AC$1:$AC$400,_xlfn.TEXTJOIN(",",TRUE,B27:E27),SF_Output!$Q$1:$Q$400,"monthly")*(1-W27)/H27,4),""),"")</f>
        <v>0.03</v>
      </c>
      <c r="J27" s="6">
        <f>IF(B27="","",SUMIFS(SF_Output!$S$1:$S$400,SF_Output!$AC$1:$AC$400,_xlfn.TEXTJOIN(",",TRUE,B27:E27),SF_Output!$Q$1:$Q$400,"One Time",SF_Output!$L$1:$L$400,"license fee")+SUMIFS(SF_Output!$S$1:$S$400,SF_Output!$AC$1:$AC$400,_xlfn.TEXTJOIN(",",TRUE,B27:E27),SF_Output!$Q$1:$Q$400,"One Time",SF_Output!$L$1:$L$400,"software license")+SUMIFS(SF_Output!$S$1:$S$400,SF_Output!$AC$1:$AC$400,_xlfn.TEXTJOIN(",",TRUE,B27:E27),SF_Output!$Q$1:$Q$400,"One Time",SF_Output!$L$1:$L$400,"hardware"))</f>
        <v>0</v>
      </c>
      <c r="K27" s="112" t="str">
        <f>IF(OR(B27=0,B27="",G27="hardware",J27=0),"",IF(AF27&lt;&gt;"exclusion",MAX(K$9,-((SUMIFS(SF_Output!$T$1:$T$400,SF_Output!$AC$1:$AC$400,_xlfn.TEXTJOIN(",",TRUE,$B27:$E27),SF_Output!$Q$1:$Q$400,"One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license"))/J27)))</f>
        <v/>
      </c>
      <c r="L27" s="6">
        <f t="shared" si="1"/>
        <v>0</v>
      </c>
      <c r="N27" s="6">
        <f>IF(B27="","",SUMIFS(SF_Output!$S$1:$S$400,SF_Output!$AC$1:$AC$400,_xlfn.TEXTJOIN(",",TRUE,B27:E27),SF_Output!$Q$1:$Q$400,"One Time",SF_Output!$L$1:$L$400,"professional service"))</f>
        <v>855</v>
      </c>
      <c r="O27" s="112">
        <f>IF(OR(B27=0,B27="",N27=0),"",IF(AF27&lt;&gt;"exclusion",MAX(O$9,-(SUMIFS(SF_Output!$T$1:$T$400,SF_Output!$AC$1:$AC$400,_xlfn.TEXTJOIN(",",TRUE,$B27:$E27),SF_Output!$Q$1:$Q$400,"One Time",SF_Output!$L$1:$L$400,"professional service"))/N27),-((SUMIFS(SF_Output!$T$1:$T$400,SF_Output!$AC$1:$AC$400,_xlfn.TEXTJOIN(",",TRUE,$B27:$E27),SF_Output!$Q$1:$Q$400,"One Time",SF_Output!$L$1:$L$400,"professional service")/N27))))</f>
        <v>1</v>
      </c>
      <c r="P27" s="6">
        <f t="shared" si="2"/>
        <v>0</v>
      </c>
      <c r="R27" s="6">
        <f>IF(B27="","",SUMIFS(SF_Output!$S$1:$S$400,SF_Output!$AC$1:$AC$400,_xlfn.TEXTJOIN(",",TRUE,B27:E27),SF_Output!$Q$1:$Q$400,"yearly")+SUMIFS(SF_Output!$S$1:$S$400,SF_Output!$AC$1:$AC$400,_xlfn.TEXTJOIN(",",TRUE,B27:E27),SF_Output!$Q$1:$Q$400,"quarterly")*4)</f>
        <v>0</v>
      </c>
      <c r="S27" s="112" t="str">
        <f>IF(OR(B27=0,B27="",G27="hardware",R27=0),"",IF(AF27&lt;&gt;"exclusion",MAX(S$9,-(SUMIFS(SF_Output!$T$1:$T$400,SF_Output!$AC$1:$AC$400,_xlfn.TEXTJOIN(",",TRUE,$B27:$E27),SF_Output!$Q$1:$Q$400,"yearly"))/R27),-((SUMIFS(SF_Output!$T$1:$T$400,SF_Output!$AC$1:$AC$400,_xlfn.TEXTJOIN(",",TRUE,$B27:$E27),SF_Output!$Q$1:$Q$400,"yearly")/R27))))</f>
        <v/>
      </c>
      <c r="T27" s="6">
        <f t="shared" si="3"/>
        <v>0</v>
      </c>
      <c r="V27" s="6" cm="1">
        <f t="array" ref="V27">_xlfn.IFS(B27="","",AND(B27&lt;&gt;"",H27=SF_Output!$Y$2,SUMIFS(SF_Output!$T$1:$T$400,SF_Output!$AC$1:$AC$400,_xlfn.TEXTJOIN(",",TRUE,B27:E27),SF_Output!$Q$1:$Q$400,"monthly")=0),(SUMIFS(SF_Output!$F$1:$F$400,SF_Output!$AC$1:$AC$400,_xlfn.TEXTJOIN(",",TRUE,B27:E27),SF_Output!$Q$1:$Q$400,"monthly")+SUMIFS(SF_Output!$G$1:$G$400,SF_Output!$AC$1:$AC$400,_xlfn.TEXTJOIN(",",TRUE,B27:E27),SF_Output!$Q$1:$Q$400,"monthly"))*H27,AND(B27&lt;&gt;"",H27=SF_Output!$Y$2,SUMIFS(SF_Output!$T$1:$T$400,SF_Output!$AC$1:$AC$400,_xlfn.TEXTJOIN(",",TRUE,B27:E27),SF_Output!$Q$1:$Q$400,"monthly")&lt;&gt;0),SUMIFS(SF_Output!$S$1:$S$400,SF_Output!$AC$1:$AC$400,_xlfn.TEXTJOIN(",",TRUE,B27:E27),SF_Output!$Q$1:$Q$400,"monthly"),AND(B27&lt;&gt;"",H27&lt;&gt;SF_Output!$Y$2),SUMIFS(SF_Output!$S$1:$S$400,SF_Output!$AC$1:$AC$400,_xlfn.TEXTJOIN(",",TRUE,B27:E27),SF_Output!$Q$1:$Q$400,"monthly"))</f>
        <v>200</v>
      </c>
      <c r="W27" s="112" cm="1">
        <f t="array" ref="W27">_xlfn.IFS(OR(B27=0,B27="",V27=0),"",AF27&lt;&gt;"exclusion",MAX($W$9,$W$7,(-(SUMIFS(SF_Output!$T$1:$T$400,SF_Output!$AC$1:$AC$400,_xlfn.TEXTJOIN(",",TRUE,$B27:$E27),SF_Output!$Q$1:$Q$400,"monthly"))/V27)),AF27="exclusion",-(SUMIFS(SF_Output!$T$1:$T$400,SF_Output!$AC$1:$AC$400,_xlfn.TEXTJOIN(",",TRUE,$B27:$E27),SF_Output!$Q$1:$Q$400,"monthly"))/V27)</f>
        <v>0.25</v>
      </c>
      <c r="X27" s="6" cm="1">
        <f t="array" ref="X27">IFERROR(_xlfn.IFS(V27=0,0,V27="","",W27=0,V27,OR(V27&lt;&gt;0,V27&lt;&gt;""),H27*I27),V27*(1-W27))</f>
        <v>150</v>
      </c>
      <c r="Z27" s="6">
        <f>IFERROR(IF(B27="","",SUMIFS(Billing_Fallout!H:H,Billing_Fallout!N:N,B27)),0)</f>
        <v>0</v>
      </c>
      <c r="AA27" s="6">
        <f t="shared" si="4"/>
        <v>0</v>
      </c>
      <c r="AB27" s="6">
        <f>IFERROR(IF(B27="","",SUMIFS(Billing_Fallout!J:J,Billing_Fallout!N:N,B27)),0)</f>
        <v>0</v>
      </c>
      <c r="AD27" s="6">
        <f t="shared" si="5"/>
        <v>150</v>
      </c>
      <c r="AF27" t="str">
        <f>IFERROR(INDEX(H_Tables!$B$1:$B$1500,MATCH(INDEX(SF_Output!$J$1:$J$400,MATCH(B27,SF_Output!$M$1:$M$400,0)),H_Tables!$A$1:$A$1500,0)),"")</f>
        <v/>
      </c>
      <c r="AI27" s="119" t="str">
        <f t="shared" si="6"/>
        <v/>
      </c>
      <c r="AJ27" s="121">
        <f>IFERROR(INDEX(SF_Output!AD:AD,MATCH(_xlfn.TEXTJOIN(",",TRUE,B27:E27),SF_Output!AC1:AC400,0)),0.05)</f>
        <v>46</v>
      </c>
      <c r="AK27" t="str">
        <f>IF(SUMIFS(SF_Output!$F$1:$F$400,SF_Output!$AC$1:$AC$400,_xlfn.TEXTJOIN(",",TRUE,B27:E27))+SUMIFS(SF_Output!$G$1:$G$400,SF_Output!$AC$1:$AC$400,_xlfn.TEXTJOIN(",",TRUE,B27:E27))=0,"","PAP")</f>
        <v>PAP</v>
      </c>
      <c r="AQ27" s="35"/>
      <c r="AR27" s="35" t="str" cm="1">
        <f t="array" ref="AR27">IFERROR(_xlfn.IFS(AND(E27*1=1,F27="Included"),"Change to Included",AND(E27*1=0,F27="Optional"),"Change to Optional",OR(B27="",F27="replaced"),""),"")</f>
        <v/>
      </c>
      <c r="AS27" s="35" t="str">
        <f t="shared" si="7"/>
        <v/>
      </c>
      <c r="AT27" s="35" t="str">
        <f t="shared" si="8"/>
        <v/>
      </c>
      <c r="AU27" s="35" t="str">
        <f t="shared" si="9"/>
        <v/>
      </c>
      <c r="AV27" s="35" t="str">
        <f t="shared" si="10"/>
        <v/>
      </c>
      <c r="AW27" s="35" t="str">
        <f t="shared" si="11"/>
        <v/>
      </c>
      <c r="AX27" s="35" t="str">
        <f t="shared" si="12"/>
        <v/>
      </c>
      <c r="AY27" s="35" t="str">
        <f t="shared" si="13"/>
        <v/>
      </c>
      <c r="AZ27" s="35" t="str">
        <f t="shared" si="14"/>
        <v/>
      </c>
      <c r="BA27" s="35" t="str">
        <f t="shared" si="15"/>
        <v/>
      </c>
      <c r="BB27" s="35" t="str">
        <f t="shared" si="16"/>
        <v/>
      </c>
      <c r="BC27" s="35"/>
      <c r="BE27" s="35">
        <f ca="1">INDEX(SF_Output!$AA$2:$AA$400,MATCH($B27,SF_Output!$M$2:$M$400,0))</f>
        <v>2</v>
      </c>
      <c r="BF27" s="35">
        <f ca="1">INDEX(SF_Output!$AB$2:$AB$400,MATCH($B27,SF_Output!$M$2:$M$400,0))</f>
        <v>2</v>
      </c>
    </row>
    <row r="28" spans="2:58" x14ac:dyDescent="0.25">
      <c r="B28" t="s">
        <v>2195</v>
      </c>
      <c r="C28" t="s">
        <v>2122</v>
      </c>
      <c r="D28" t="s">
        <v>2123</v>
      </c>
      <c r="E28" t="s">
        <v>2124</v>
      </c>
      <c r="F28" s="116" t="str">
        <f t="shared" si="0"/>
        <v>Included</v>
      </c>
      <c r="G28" t="str">
        <f>IF(B28="","",INDEX(SF_Output!$K$1:$K$400,MATCH(B28,SF_Output!$M$1:$M$400,0)))</f>
        <v>Teller</v>
      </c>
      <c r="H28" cm="1">
        <f t="array" ref="H28">_xlfn.IFS(B28="","",(SUMIFS(SF_Output!$F$1:$F$400,SF_Output!$AC$1:$AC$400,_xlfn.TEXTJOIN(",",TRUE,B28:E28))+SUMIFS(SF_Output!$G$1:$G$400,SF_Output!$AC$1:$AC$400,_xlfn.TEXTJOIN(",",TRUE,B28:E28)))&lt;&gt;0,SF_Output!$Y$2,INDEX(SF_Output!$F$1:$F$400,MATCH(_xlfn.TEXTJOIN(",",TRUE,B28:E28),SF_Output!$AC$1:$AC$400,0))=0,INDEX(SF_Output!$R$1:$R$400,MATCH(_xlfn.TEXTJOIN(",",TRUE,B28:E28),SF_Output!$AC$1:$AC$400,0)))</f>
        <v>5000</v>
      </c>
      <c r="I28" s="125">
        <f>IFERROR(IF(AND(H28&gt;1,H28&lt;&gt;""),ROUND(SUMIFS(SF_Output!$S$1:$S$400,SF_Output!$AC$1:$AC$400,_xlfn.TEXTJOIN(",",TRUE,B28:E28),SF_Output!$Q$1:$Q$400,"monthly")*(1-W28)/H28,4),""),"")</f>
        <v>1.35E-2</v>
      </c>
      <c r="J28" s="6">
        <f>IF(B28="","",SUMIFS(SF_Output!$S$1:$S$400,SF_Output!$AC$1:$AC$400,_xlfn.TEXTJOIN(",",TRUE,B28:E28),SF_Output!$Q$1:$Q$400,"One Time",SF_Output!$L$1:$L$400,"license fee")+SUMIFS(SF_Output!$S$1:$S$400,SF_Output!$AC$1:$AC$400,_xlfn.TEXTJOIN(",",TRUE,B28:E28),SF_Output!$Q$1:$Q$400,"One Time",SF_Output!$L$1:$L$400,"software license")+SUMIFS(SF_Output!$S$1:$S$400,SF_Output!$AC$1:$AC$400,_xlfn.TEXTJOIN(",",TRUE,B28:E28),SF_Output!$Q$1:$Q$400,"One Time",SF_Output!$L$1:$L$400,"hardware"))</f>
        <v>0</v>
      </c>
      <c r="K28" s="112" t="str">
        <f>IF(OR(B28=0,B28="",G28="hardware",J28=0),"",IF(AF28&lt;&gt;"exclusion",MAX(K$9,-((SUMIFS(SF_Output!$T$1:$T$400,SF_Output!$AC$1:$AC$400,_xlfn.TEXTJOIN(",",TRUE,$B28:$E28),SF_Output!$Q$1:$Q$400,"One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license"))/J28)))</f>
        <v/>
      </c>
      <c r="L28" s="6">
        <f t="shared" si="1"/>
        <v>0</v>
      </c>
      <c r="N28" s="6">
        <f>IF(B28="","",SUMIFS(SF_Output!$S$1:$S$400,SF_Output!$AC$1:$AC$400,_xlfn.TEXTJOIN(",",TRUE,B28:E28),SF_Output!$Q$1:$Q$400,"One Time",SF_Output!$L$1:$L$400,"professional service"))</f>
        <v>390</v>
      </c>
      <c r="O28" s="112">
        <f>IF(OR(B28=0,B28="",N28=0),"",IF(AF28&lt;&gt;"exclusion",MAX(O$9,-(SUMIFS(SF_Output!$T$1:$T$400,SF_Output!$AC$1:$AC$400,_xlfn.TEXTJOIN(",",TRUE,$B28:$E28),SF_Output!$Q$1:$Q$400,"One Time",SF_Output!$L$1:$L$400,"professional service"))/N28),-((SUMIFS(SF_Output!$T$1:$T$400,SF_Output!$AC$1:$AC$400,_xlfn.TEXTJOIN(",",TRUE,$B28:$E28),SF_Output!$Q$1:$Q$400,"One Time",SF_Output!$L$1:$L$400,"professional service")/N28))))</f>
        <v>1</v>
      </c>
      <c r="P28" s="6">
        <f t="shared" si="2"/>
        <v>0</v>
      </c>
      <c r="R28" s="6">
        <f>IF(B28="","",SUMIFS(SF_Output!$S$1:$S$400,SF_Output!$AC$1:$AC$400,_xlfn.TEXTJOIN(",",TRUE,B28:E28),SF_Output!$Q$1:$Q$400,"yearly")+SUMIFS(SF_Output!$S$1:$S$400,SF_Output!$AC$1:$AC$400,_xlfn.TEXTJOIN(",",TRUE,B28:E28),SF_Output!$Q$1:$Q$400,"quarterly")*4)</f>
        <v>0</v>
      </c>
      <c r="S28" s="112" t="str">
        <f>IF(OR(B28=0,B28="",G28="hardware",R28=0),"",IF(AF28&lt;&gt;"exclusion",MAX(S$9,-(SUMIFS(SF_Output!$T$1:$T$400,SF_Output!$AC$1:$AC$400,_xlfn.TEXTJOIN(",",TRUE,$B28:$E28),SF_Output!$Q$1:$Q$400,"yearly"))/R28),-((SUMIFS(SF_Output!$T$1:$T$400,SF_Output!$AC$1:$AC$400,_xlfn.TEXTJOIN(",",TRUE,$B28:$E28),SF_Output!$Q$1:$Q$400,"yearly")/R28))))</f>
        <v/>
      </c>
      <c r="T28" s="6">
        <f t="shared" si="3"/>
        <v>0</v>
      </c>
      <c r="V28" s="6" cm="1">
        <f t="array" ref="V28">_xlfn.IFS(B28="","",AND(B28&lt;&gt;"",H28=SF_Output!$Y$2,SUMIFS(SF_Output!$T$1:$T$400,SF_Output!$AC$1:$AC$400,_xlfn.TEXTJOIN(",",TRUE,B28:E28),SF_Output!$Q$1:$Q$400,"monthly")=0),(SUMIFS(SF_Output!$F$1:$F$400,SF_Output!$AC$1:$AC$400,_xlfn.TEXTJOIN(",",TRUE,B28:E28),SF_Output!$Q$1:$Q$400,"monthly")+SUMIFS(SF_Output!$G$1:$G$400,SF_Output!$AC$1:$AC$400,_xlfn.TEXTJOIN(",",TRUE,B28:E28),SF_Output!$Q$1:$Q$400,"monthly"))*H28,AND(B28&lt;&gt;"",H28=SF_Output!$Y$2,SUMIFS(SF_Output!$T$1:$T$400,SF_Output!$AC$1:$AC$400,_xlfn.TEXTJOIN(",",TRUE,B28:E28),SF_Output!$Q$1:$Q$400,"monthly")&lt;&gt;0),SUMIFS(SF_Output!$S$1:$S$400,SF_Output!$AC$1:$AC$400,_xlfn.TEXTJOIN(",",TRUE,B28:E28),SF_Output!$Q$1:$Q$400,"monthly"),AND(B28&lt;&gt;"",H28&lt;&gt;SF_Output!$Y$2),SUMIFS(SF_Output!$S$1:$S$400,SF_Output!$AC$1:$AC$400,_xlfn.TEXTJOIN(",",TRUE,B28:E28),SF_Output!$Q$1:$Q$400,"monthly"))</f>
        <v>90</v>
      </c>
      <c r="W28" s="112" cm="1">
        <f t="array" ref="W28">_xlfn.IFS(OR(B28=0,B28="",V28=0),"",AF28&lt;&gt;"exclusion",MAX($W$9,$W$7,(-(SUMIFS(SF_Output!$T$1:$T$400,SF_Output!$AC$1:$AC$400,_xlfn.TEXTJOIN(",",TRUE,$B28:$E28),SF_Output!$Q$1:$Q$400,"monthly"))/V28)),AF28="exclusion",-(SUMIFS(SF_Output!$T$1:$T$400,SF_Output!$AC$1:$AC$400,_xlfn.TEXTJOIN(",",TRUE,$B28:$E28),SF_Output!$Q$1:$Q$400,"monthly"))/V28)</f>
        <v>0.25</v>
      </c>
      <c r="X28" s="6" cm="1">
        <f t="array" ref="X28">IFERROR(_xlfn.IFS(V28=0,0,V28="","",W28=0,V28,OR(V28&lt;&gt;0,V28&lt;&gt;""),H28*I28),V28*(1-W28))</f>
        <v>67.5</v>
      </c>
      <c r="Z28" s="6">
        <f>IFERROR(IF(B28="","",SUMIFS(Billing_Fallout!H:H,Billing_Fallout!N:N,B28)),0)</f>
        <v>0</v>
      </c>
      <c r="AA28" s="6">
        <f t="shared" si="4"/>
        <v>0</v>
      </c>
      <c r="AB28" s="6">
        <f>IFERROR(IF(B28="","",SUMIFS(Billing_Fallout!J:J,Billing_Fallout!N:N,B28)),0)</f>
        <v>0</v>
      </c>
      <c r="AD28" s="6">
        <f t="shared" si="5"/>
        <v>67.5</v>
      </c>
      <c r="AF28" t="str">
        <f>IFERROR(INDEX(H_Tables!$B$1:$B$1500,MATCH(INDEX(SF_Output!$J$1:$J$400,MATCH(B28,SF_Output!$M$1:$M$400,0)),H_Tables!$A$1:$A$1500,0)),"")</f>
        <v/>
      </c>
      <c r="AI28" s="119" t="str">
        <f t="shared" si="6"/>
        <v/>
      </c>
      <c r="AJ28" s="121">
        <f>IFERROR(INDEX(SF_Output!AD:AD,MATCH(_xlfn.TEXTJOIN(",",TRUE,B28:E28),SF_Output!AC1:AC400,0)),0.05)</f>
        <v>48</v>
      </c>
      <c r="AK28" t="str">
        <f>IF(SUMIFS(SF_Output!$F$1:$F$400,SF_Output!$AC$1:$AC$400,_xlfn.TEXTJOIN(",",TRUE,B28:E28))+SUMIFS(SF_Output!$G$1:$G$400,SF_Output!$AC$1:$AC$400,_xlfn.TEXTJOIN(",",TRUE,B28:E28))=0,"","PAP")</f>
        <v>PAP</v>
      </c>
      <c r="AQ28" s="35"/>
      <c r="AR28" s="35" t="str" cm="1">
        <f t="array" ref="AR28">IFERROR(_xlfn.IFS(AND(E28*1=1,F28="Included"),"Change to Included",AND(E28*1=0,F28="Optional"),"Change to Optional",OR(B28="",F28="replaced"),""),"")</f>
        <v/>
      </c>
      <c r="AS28" s="35" t="str">
        <f t="shared" si="7"/>
        <v/>
      </c>
      <c r="AT28" s="35" t="str">
        <f t="shared" si="8"/>
        <v/>
      </c>
      <c r="AU28" s="35" t="str">
        <f t="shared" si="9"/>
        <v/>
      </c>
      <c r="AV28" s="35" t="str">
        <f t="shared" si="10"/>
        <v/>
      </c>
      <c r="AW28" s="35" t="str">
        <f t="shared" si="11"/>
        <v/>
      </c>
      <c r="AX28" s="35" t="str">
        <f t="shared" si="12"/>
        <v/>
      </c>
      <c r="AY28" s="35" t="str">
        <f t="shared" si="13"/>
        <v/>
      </c>
      <c r="AZ28" s="35" t="str">
        <f t="shared" si="14"/>
        <v/>
      </c>
      <c r="BA28" s="35" t="str">
        <f t="shared" si="15"/>
        <v/>
      </c>
      <c r="BB28" s="35" t="str">
        <f t="shared" si="16"/>
        <v/>
      </c>
      <c r="BC28" s="35"/>
      <c r="BE28" s="35">
        <f ca="1">INDEX(SF_Output!$AA$2:$AA$400,MATCH($B28,SF_Output!$M$2:$M$400,0))</f>
        <v>2</v>
      </c>
      <c r="BF28" s="35">
        <f ca="1">INDEX(SF_Output!$AB$2:$AB$400,MATCH($B28,SF_Output!$M$2:$M$400,0))</f>
        <v>2</v>
      </c>
    </row>
    <row r="29" spans="2:58" x14ac:dyDescent="0.25">
      <c r="B29" t="s">
        <v>2199</v>
      </c>
      <c r="C29" t="s">
        <v>2122</v>
      </c>
      <c r="D29" t="s">
        <v>2123</v>
      </c>
      <c r="E29" t="s">
        <v>2124</v>
      </c>
      <c r="F29" s="116" t="str">
        <f t="shared" si="0"/>
        <v>Included</v>
      </c>
      <c r="G29" t="str">
        <f>IF(B29="","",INDEX(SF_Output!$K$1:$K$400,MATCH(B29,SF_Output!$M$1:$M$400,0)))</f>
        <v>Teller</v>
      </c>
      <c r="H29" cm="1">
        <f t="array" ref="H29">_xlfn.IFS(B29="","",(SUMIFS(SF_Output!$F$1:$F$400,SF_Output!$AC$1:$AC$400,_xlfn.TEXTJOIN(",",TRUE,B29:E29))+SUMIFS(SF_Output!$G$1:$G$400,SF_Output!$AC$1:$AC$400,_xlfn.TEXTJOIN(",",TRUE,B29:E29)))&lt;&gt;0,SF_Output!$Y$2,INDEX(SF_Output!$F$1:$F$400,MATCH(_xlfn.TEXTJOIN(",",TRUE,B29:E29),SF_Output!$AC$1:$AC$400,0))=0,INDEX(SF_Output!$R$1:$R$400,MATCH(_xlfn.TEXTJOIN(",",TRUE,B29:E29),SF_Output!$AC$1:$AC$400,0)))</f>
        <v>1</v>
      </c>
      <c r="I29" s="125" t="str">
        <f>IFERROR(IF(AND(H29&gt;1,H29&lt;&gt;""),ROUND(SUMIFS(SF_Output!$S$1:$S$400,SF_Output!$AC$1:$AC$400,_xlfn.TEXTJOIN(",",TRUE,B29:E29),SF_Output!$Q$1:$Q$400,"monthly")*(1-W29)/H29,4),""),"")</f>
        <v/>
      </c>
      <c r="J29" s="6">
        <f>IF(B29="","",SUMIFS(SF_Output!$S$1:$S$400,SF_Output!$AC$1:$AC$400,_xlfn.TEXTJOIN(",",TRUE,B29:E29),SF_Output!$Q$1:$Q$400,"One Time",SF_Output!$L$1:$L$400,"license fee")+SUMIFS(SF_Output!$S$1:$S$400,SF_Output!$AC$1:$AC$400,_xlfn.TEXTJOIN(",",TRUE,B29:E29),SF_Output!$Q$1:$Q$400,"One Time",SF_Output!$L$1:$L$400,"software license")+SUMIFS(SF_Output!$S$1:$S$400,SF_Output!$AC$1:$AC$400,_xlfn.TEXTJOIN(",",TRUE,B29:E29),SF_Output!$Q$1:$Q$400,"One Time",SF_Output!$L$1:$L$400,"hardware"))</f>
        <v>0</v>
      </c>
      <c r="K29" s="112" t="str">
        <f>IF(OR(B29=0,B29="",G29="hardware",J29=0),"",IF(AF29&lt;&gt;"exclusion",MAX(K$9,-((SUMIFS(SF_Output!$T$1:$T$400,SF_Output!$AC$1:$AC$400,_xlfn.TEXTJOIN(",",TRUE,$B29:$E29),SF_Output!$Q$1:$Q$400,"One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license"))/J29)))</f>
        <v/>
      </c>
      <c r="L29" s="6">
        <f t="shared" si="1"/>
        <v>0</v>
      </c>
      <c r="N29" s="6">
        <f>IF(B29="","",SUMIFS(SF_Output!$S$1:$S$400,SF_Output!$AC$1:$AC$400,_xlfn.TEXTJOIN(",",TRUE,B29:E29),SF_Output!$Q$1:$Q$400,"One Time",SF_Output!$L$1:$L$400,"professional service"))</f>
        <v>3750</v>
      </c>
      <c r="O29" s="112">
        <f>IF(OR(B29=0,B29="",N29=0),"",IF(AF29&lt;&gt;"exclusion",MAX(O$9,-(SUMIFS(SF_Output!$T$1:$T$400,SF_Output!$AC$1:$AC$400,_xlfn.TEXTJOIN(",",TRUE,$B29:$E29),SF_Output!$Q$1:$Q$400,"One Time",SF_Output!$L$1:$L$400,"professional service"))/N29),-((SUMIFS(SF_Output!$T$1:$T$400,SF_Output!$AC$1:$AC$400,_xlfn.TEXTJOIN(",",TRUE,$B29:$E29),SF_Output!$Q$1:$Q$400,"One Time",SF_Output!$L$1:$L$400,"professional service")/N29))))</f>
        <v>1</v>
      </c>
      <c r="P29" s="6">
        <f t="shared" si="2"/>
        <v>0</v>
      </c>
      <c r="R29" s="6">
        <f>IF(B29="","",SUMIFS(SF_Output!$S$1:$S$400,SF_Output!$AC$1:$AC$400,_xlfn.TEXTJOIN(",",TRUE,B29:E29),SF_Output!$Q$1:$Q$400,"yearly")+SUMIFS(SF_Output!$S$1:$S$400,SF_Output!$AC$1:$AC$400,_xlfn.TEXTJOIN(",",TRUE,B29:E29),SF_Output!$Q$1:$Q$400,"quarterly")*4)</f>
        <v>0</v>
      </c>
      <c r="S29" s="112" t="str">
        <f>IF(OR(B29=0,B29="",G29="hardware",R29=0),"",IF(AF29&lt;&gt;"exclusion",MAX(S$9,-(SUMIFS(SF_Output!$T$1:$T$400,SF_Output!$AC$1:$AC$400,_xlfn.TEXTJOIN(",",TRUE,$B29:$E29),SF_Output!$Q$1:$Q$400,"yearly"))/R29),-((SUMIFS(SF_Output!$T$1:$T$400,SF_Output!$AC$1:$AC$400,_xlfn.TEXTJOIN(",",TRUE,$B29:$E29),SF_Output!$Q$1:$Q$400,"yearly")/R29))))</f>
        <v/>
      </c>
      <c r="T29" s="6">
        <f t="shared" si="3"/>
        <v>0</v>
      </c>
      <c r="V29" s="6" cm="1">
        <f t="array" ref="V29">_xlfn.IFS(B29="","",AND(B29&lt;&gt;"",H29=SF_Output!$Y$2,SUMIFS(SF_Output!$T$1:$T$400,SF_Output!$AC$1:$AC$400,_xlfn.TEXTJOIN(",",TRUE,B29:E29),SF_Output!$Q$1:$Q$400,"monthly")=0),(SUMIFS(SF_Output!$F$1:$F$400,SF_Output!$AC$1:$AC$400,_xlfn.TEXTJOIN(",",TRUE,B29:E29),SF_Output!$Q$1:$Q$400,"monthly")+SUMIFS(SF_Output!$G$1:$G$400,SF_Output!$AC$1:$AC$400,_xlfn.TEXTJOIN(",",TRUE,B29:E29),SF_Output!$Q$1:$Q$400,"monthly"))*H29,AND(B29&lt;&gt;"",H29=SF_Output!$Y$2,SUMIFS(SF_Output!$T$1:$T$400,SF_Output!$AC$1:$AC$400,_xlfn.TEXTJOIN(",",TRUE,B29:E29),SF_Output!$Q$1:$Q$400,"monthly")&lt;&gt;0),SUMIFS(SF_Output!$S$1:$S$400,SF_Output!$AC$1:$AC$400,_xlfn.TEXTJOIN(",",TRUE,B29:E29),SF_Output!$Q$1:$Q$400,"monthly"),AND(B29&lt;&gt;"",H29&lt;&gt;SF_Output!$Y$2),SUMIFS(SF_Output!$S$1:$S$400,SF_Output!$AC$1:$AC$400,_xlfn.TEXTJOIN(",",TRUE,B29:E29),SF_Output!$Q$1:$Q$400,"monthly"))</f>
        <v>0</v>
      </c>
      <c r="W29" s="112" t="str" cm="1">
        <f t="array" ref="W29">_xlfn.IFS(OR(B29=0,B29="",V29=0),"",AF29&lt;&gt;"exclusion",MAX($W$9,$W$7,(-(SUMIFS(SF_Output!$T$1:$T$400,SF_Output!$AC$1:$AC$400,_xlfn.TEXTJOIN(",",TRUE,$B29:$E29),SF_Output!$Q$1:$Q$400,"monthly"))/V29)),AF29="exclusion",-(SUMIFS(SF_Output!$T$1:$T$400,SF_Output!$AC$1:$AC$400,_xlfn.TEXTJOIN(",",TRUE,$B29:$E29),SF_Output!$Q$1:$Q$400,"monthly"))/V29)</f>
        <v/>
      </c>
      <c r="X29" s="6" cm="1">
        <f t="array" ref="X29">IFERROR(_xlfn.IFS(V29=0,0,V29="","",W29=0,V29,OR(V29&lt;&gt;0,V29&lt;&gt;""),H29*I29),V29*(1-W29))</f>
        <v>0</v>
      </c>
      <c r="Z29" s="6">
        <f>IFERROR(IF(B29="","",SUMIFS(Billing_Fallout!H:H,Billing_Fallout!N:N,B29)),0)</f>
        <v>0</v>
      </c>
      <c r="AA29" s="6">
        <f t="shared" si="4"/>
        <v>0</v>
      </c>
      <c r="AB29" s="6">
        <f>IFERROR(IF(B29="","",SUMIFS(Billing_Fallout!J:J,Billing_Fallout!N:N,B29)),0)</f>
        <v>0</v>
      </c>
      <c r="AD29" s="6">
        <f t="shared" si="5"/>
        <v>0</v>
      </c>
      <c r="AF29" t="str">
        <f>IFERROR(INDEX(H_Tables!$B$1:$B$1500,MATCH(INDEX(SF_Output!$J$1:$J$400,MATCH(B29,SF_Output!$M$1:$M$400,0)),H_Tables!$A$1:$A$1500,0)),"")</f>
        <v/>
      </c>
      <c r="AI29" s="119" t="str">
        <f t="shared" si="6"/>
        <v/>
      </c>
      <c r="AJ29" s="121">
        <f>IFERROR(INDEX(SF_Output!AD:AD,MATCH(_xlfn.TEXTJOIN(",",TRUE,B29:E29),SF_Output!AC1:AC400,0)),0.05)</f>
        <v>50</v>
      </c>
      <c r="AK29" t="str">
        <f>IF(SUMIFS(SF_Output!$F$1:$F$400,SF_Output!$AC$1:$AC$400,_xlfn.TEXTJOIN(",",TRUE,B29:E29))+SUMIFS(SF_Output!$G$1:$G$400,SF_Output!$AC$1:$AC$400,_xlfn.TEXTJOIN(",",TRUE,B29:E29))=0,"","PAP")</f>
        <v/>
      </c>
      <c r="AQ29" s="35"/>
      <c r="AR29" s="35" t="str" cm="1">
        <f t="array" ref="AR29">IFERROR(_xlfn.IFS(AND(E29*1=1,F29="Included"),"Change to Included",AND(E29*1=0,F29="Optional"),"Change to Optional",OR(B29="",F29="replaced"),""),"")</f>
        <v/>
      </c>
      <c r="AS29" s="35" t="str">
        <f t="shared" si="7"/>
        <v/>
      </c>
      <c r="AT29" s="35" t="str">
        <f t="shared" si="8"/>
        <v/>
      </c>
      <c r="AU29" s="35" t="str">
        <f t="shared" si="9"/>
        <v/>
      </c>
      <c r="AV29" s="35" t="str">
        <f t="shared" si="10"/>
        <v/>
      </c>
      <c r="AW29" s="35" t="str">
        <f t="shared" si="11"/>
        <v/>
      </c>
      <c r="AX29" s="35" t="str">
        <f t="shared" si="12"/>
        <v/>
      </c>
      <c r="AY29" s="35" t="str">
        <f t="shared" si="13"/>
        <v/>
      </c>
      <c r="AZ29" s="35" t="str">
        <f t="shared" si="14"/>
        <v/>
      </c>
      <c r="BA29" s="35" t="str">
        <f t="shared" si="15"/>
        <v/>
      </c>
      <c r="BB29" s="35" t="str">
        <f t="shared" si="16"/>
        <v/>
      </c>
      <c r="BC29" s="35"/>
      <c r="BE29" s="35">
        <f ca="1">INDEX(SF_Output!$AA$2:$AA$400,MATCH($B29,SF_Output!$M$2:$M$400,0))</f>
        <v>2</v>
      </c>
      <c r="BF29" s="35">
        <f ca="1">INDEX(SF_Output!$AB$2:$AB$400,MATCH($B29,SF_Output!$M$2:$M$400,0))</f>
        <v>2</v>
      </c>
    </row>
    <row r="30" spans="2:58" x14ac:dyDescent="0.25">
      <c r="B30" t="s">
        <v>2201</v>
      </c>
      <c r="C30" t="s">
        <v>2122</v>
      </c>
      <c r="D30" t="s">
        <v>2164</v>
      </c>
      <c r="E30" t="s">
        <v>2124</v>
      </c>
      <c r="F30" s="116" t="str">
        <f t="shared" si="0"/>
        <v>Included</v>
      </c>
      <c r="G30" t="str">
        <f>IF(B30="","",INDEX(SF_Output!$K$1:$K$400,MATCH(B30,SF_Output!$M$1:$M$400,0)))</f>
        <v>Teller</v>
      </c>
      <c r="H30" cm="1">
        <f t="array" ref="H30">_xlfn.IFS(B30="","",(SUMIFS(SF_Output!$F$1:$F$400,SF_Output!$AC$1:$AC$400,_xlfn.TEXTJOIN(",",TRUE,B30:E30))+SUMIFS(SF_Output!$G$1:$G$400,SF_Output!$AC$1:$AC$400,_xlfn.TEXTJOIN(",",TRUE,B30:E30)))&lt;&gt;0,SF_Output!$Y$2,INDEX(SF_Output!$F$1:$F$400,MATCH(_xlfn.TEXTJOIN(",",TRUE,B30:E30),SF_Output!$AC$1:$AC$400,0))=0,INDEX(SF_Output!$R$1:$R$400,MATCH(_xlfn.TEXTJOIN(",",TRUE,B30:E30),SF_Output!$AC$1:$AC$400,0)))</f>
        <v>1</v>
      </c>
      <c r="I30" s="125" t="str">
        <f>IFERROR(IF(AND(H30&gt;1,H30&lt;&gt;""),ROUND(SUMIFS(SF_Output!$S$1:$S$400,SF_Output!$AC$1:$AC$400,_xlfn.TEXTJOIN(",",TRUE,B30:E30),SF_Output!$Q$1:$Q$400,"monthly")*(1-W30)/H30,4),""),"")</f>
        <v/>
      </c>
      <c r="J30" s="6">
        <f>IF(B30="","",SUMIFS(SF_Output!$S$1:$S$400,SF_Output!$AC$1:$AC$400,_xlfn.TEXTJOIN(",",TRUE,B30:E30),SF_Output!$Q$1:$Q$400,"One Time",SF_Output!$L$1:$L$400,"license fee")+SUMIFS(SF_Output!$S$1:$S$400,SF_Output!$AC$1:$AC$400,_xlfn.TEXTJOIN(",",TRUE,B30:E30),SF_Output!$Q$1:$Q$400,"One Time",SF_Output!$L$1:$L$400,"software license")+SUMIFS(SF_Output!$S$1:$S$400,SF_Output!$AC$1:$AC$400,_xlfn.TEXTJOIN(",",TRUE,B30:E30),SF_Output!$Q$1:$Q$400,"One Time",SF_Output!$L$1:$L$400,"hardware"))</f>
        <v>4909</v>
      </c>
      <c r="K30" s="112">
        <f>IF(OR(B30=0,B30="",G30="hardware",J30=0),"",IF(AF30&lt;&gt;"exclusion",MAX(K$9,-((SUMIFS(SF_Output!$T$1:$T$400,SF_Output!$AC$1:$AC$400,_xlfn.TEXTJOIN(",",TRUE,$B30:$E30),SF_Output!$Q$1:$Q$400,"One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license"))/J30)))</f>
        <v>0</v>
      </c>
      <c r="L30" s="6">
        <f t="shared" si="1"/>
        <v>4909</v>
      </c>
      <c r="N30" s="6">
        <f>IF(B30="","",SUMIFS(SF_Output!$S$1:$S$400,SF_Output!$AC$1:$AC$400,_xlfn.TEXTJOIN(",",TRUE,B30:E30),SF_Output!$Q$1:$Q$400,"One Time",SF_Output!$L$1:$L$400,"professional service"))</f>
        <v>0</v>
      </c>
      <c r="O30" s="112" t="str">
        <f>IF(OR(B30=0,B30="",N30=0),"",IF(AF30&lt;&gt;"exclusion",MAX(O$9,-(SUMIFS(SF_Output!$T$1:$T$400,SF_Output!$AC$1:$AC$400,_xlfn.TEXTJOIN(",",TRUE,$B30:$E30),SF_Output!$Q$1:$Q$400,"One Time",SF_Output!$L$1:$L$400,"professional service"))/N30),-((SUMIFS(SF_Output!$T$1:$T$400,SF_Output!$AC$1:$AC$400,_xlfn.TEXTJOIN(",",TRUE,$B30:$E30),SF_Output!$Q$1:$Q$400,"One Time",SF_Output!$L$1:$L$400,"professional service")/N30))))</f>
        <v/>
      </c>
      <c r="P30" s="6">
        <f t="shared" si="2"/>
        <v>0</v>
      </c>
      <c r="R30" s="6">
        <f>IF(B30="","",SUMIFS(SF_Output!$S$1:$S$400,SF_Output!$AC$1:$AC$400,_xlfn.TEXTJOIN(",",TRUE,B30:E30),SF_Output!$Q$1:$Q$400,"yearly")+SUMIFS(SF_Output!$S$1:$S$400,SF_Output!$AC$1:$AC$400,_xlfn.TEXTJOIN(",",TRUE,B30:E30),SF_Output!$Q$1:$Q$400,"quarterly")*4)</f>
        <v>982</v>
      </c>
      <c r="S30" s="112">
        <f>IF(OR(B30=0,B30="",G30="hardware",R30=0),"",IF(AF30&lt;&gt;"exclusion",MAX(S$9,-(SUMIFS(SF_Output!$T$1:$T$400,SF_Output!$AC$1:$AC$400,_xlfn.TEXTJOIN(",",TRUE,$B30:$E30),SF_Output!$Q$1:$Q$400,"yearly"))/R30),-((SUMIFS(SF_Output!$T$1:$T$400,SF_Output!$AC$1:$AC$400,_xlfn.TEXTJOIN(",",TRUE,$B30:$E30),SF_Output!$Q$1:$Q$400,"yearly")/R30))))</f>
        <v>0</v>
      </c>
      <c r="T30" s="6">
        <f t="shared" si="3"/>
        <v>982</v>
      </c>
      <c r="V30" s="6" cm="1">
        <f t="array" ref="V30">_xlfn.IFS(B30="","",AND(B30&lt;&gt;"",H30=SF_Output!$Y$2,SUMIFS(SF_Output!$T$1:$T$400,SF_Output!$AC$1:$AC$400,_xlfn.TEXTJOIN(",",TRUE,B30:E30),SF_Output!$Q$1:$Q$400,"monthly")=0),(SUMIFS(SF_Output!$F$1:$F$400,SF_Output!$AC$1:$AC$400,_xlfn.TEXTJOIN(",",TRUE,B30:E30),SF_Output!$Q$1:$Q$400,"monthly")+SUMIFS(SF_Output!$G$1:$G$400,SF_Output!$AC$1:$AC$400,_xlfn.TEXTJOIN(",",TRUE,B30:E30),SF_Output!$Q$1:$Q$400,"monthly"))*H30,AND(B30&lt;&gt;"",H30=SF_Output!$Y$2,SUMIFS(SF_Output!$T$1:$T$400,SF_Output!$AC$1:$AC$400,_xlfn.TEXTJOIN(",",TRUE,B30:E30),SF_Output!$Q$1:$Q$400,"monthly")&lt;&gt;0),SUMIFS(SF_Output!$S$1:$S$400,SF_Output!$AC$1:$AC$400,_xlfn.TEXTJOIN(",",TRUE,B30:E30),SF_Output!$Q$1:$Q$400,"monthly"),AND(B30&lt;&gt;"",H30&lt;&gt;SF_Output!$Y$2),SUMIFS(SF_Output!$S$1:$S$400,SF_Output!$AC$1:$AC$400,_xlfn.TEXTJOIN(",",TRUE,B30:E30),SF_Output!$Q$1:$Q$400,"monthly"))</f>
        <v>0</v>
      </c>
      <c r="W30" s="112" t="str" cm="1">
        <f t="array" ref="W30">_xlfn.IFS(OR(B30=0,B30="",V30=0),"",AF30&lt;&gt;"exclusion",MAX($W$9,$W$7,(-(SUMIFS(SF_Output!$T$1:$T$400,SF_Output!$AC$1:$AC$400,_xlfn.TEXTJOIN(",",TRUE,$B30:$E30),SF_Output!$Q$1:$Q$400,"monthly"))/V30)),AF30="exclusion",-(SUMIFS(SF_Output!$T$1:$T$400,SF_Output!$AC$1:$AC$400,_xlfn.TEXTJOIN(",",TRUE,$B30:$E30),SF_Output!$Q$1:$Q$400,"monthly"))/V30)</f>
        <v/>
      </c>
      <c r="X30" s="6" cm="1">
        <f t="array" ref="X30">IFERROR(_xlfn.IFS(V30=0,0,V30="","",W30=0,V30,OR(V30&lt;&gt;0,V30&lt;&gt;""),H30*I30),V30*(1-W30))</f>
        <v>0</v>
      </c>
      <c r="Z30" s="6">
        <f>IFERROR(IF(B30="","",SUMIFS(Billing_Fallout!H:H,Billing_Fallout!N:N,B30)),0)</f>
        <v>0</v>
      </c>
      <c r="AA30" s="6">
        <f t="shared" si="4"/>
        <v>0</v>
      </c>
      <c r="AB30" s="6">
        <f>IFERROR(IF(B30="","",SUMIFS(Billing_Fallout!J:J,Billing_Fallout!N:N,B30)),0)</f>
        <v>0</v>
      </c>
      <c r="AD30" s="6">
        <f t="shared" si="5"/>
        <v>0</v>
      </c>
      <c r="AF30" t="str">
        <f>IFERROR(INDEX(H_Tables!$B$1:$B$1500,MATCH(INDEX(SF_Output!$J$1:$J$400,MATCH(B30,SF_Output!$M$1:$M$400,0)),H_Tables!$A$1:$A$1500,0)),"")</f>
        <v>Exclusion</v>
      </c>
      <c r="AI30" s="119" t="str">
        <f t="shared" si="6"/>
        <v/>
      </c>
      <c r="AJ30" s="121">
        <f>IFERROR(INDEX(SF_Output!AD:AD,MATCH(_xlfn.TEXTJOIN(",",TRUE,B30:E30),SF_Output!AC1:AC400,0)),0.05)</f>
        <v>51</v>
      </c>
      <c r="AK30" t="str">
        <f>IF(SUMIFS(SF_Output!$F$1:$F$400,SF_Output!$AC$1:$AC$400,_xlfn.TEXTJOIN(",",TRUE,B30:E30))+SUMIFS(SF_Output!$G$1:$G$400,SF_Output!$AC$1:$AC$400,_xlfn.TEXTJOIN(",",TRUE,B30:E30))=0,"","PAP")</f>
        <v/>
      </c>
      <c r="AQ30" s="35"/>
      <c r="AR30" s="35" t="str" cm="1">
        <f t="array" ref="AR30">IFERROR(_xlfn.IFS(AND(E30*1=1,F30="Included"),"Change to Included",AND(E30*1=0,F30="Optional"),"Change to Optional",OR(B30="",F30="replaced"),""),"")</f>
        <v/>
      </c>
      <c r="AS30" s="35" t="str">
        <f t="shared" si="7"/>
        <v/>
      </c>
      <c r="AT30" s="35" t="str">
        <f t="shared" si="8"/>
        <v/>
      </c>
      <c r="AU30" s="35" t="str">
        <f t="shared" si="9"/>
        <v/>
      </c>
      <c r="AV30" s="35" t="str">
        <f t="shared" si="10"/>
        <v/>
      </c>
      <c r="AW30" s="35" t="str">
        <f t="shared" si="11"/>
        <v/>
      </c>
      <c r="AX30" s="35" t="str">
        <f t="shared" si="12"/>
        <v/>
      </c>
      <c r="AY30" s="35" t="str">
        <f t="shared" si="13"/>
        <v/>
      </c>
      <c r="AZ30" s="35" t="str">
        <f t="shared" si="14"/>
        <v/>
      </c>
      <c r="BA30" s="35" t="str">
        <f t="shared" si="15"/>
        <v/>
      </c>
      <c r="BB30" s="35" t="str">
        <f t="shared" si="16"/>
        <v/>
      </c>
      <c r="BC30" s="35"/>
      <c r="BE30" s="35">
        <f ca="1">INDEX(SF_Output!$AA$2:$AA$400,MATCH($B30,SF_Output!$M$2:$M$400,0))</f>
        <v>2</v>
      </c>
      <c r="BF30" s="35">
        <f ca="1">INDEX(SF_Output!$AB$2:$AB$400,MATCH($B30,SF_Output!$M$2:$M$400,0))</f>
        <v>2</v>
      </c>
    </row>
    <row r="31" spans="2:58" x14ac:dyDescent="0.25">
      <c r="B31" t="s">
        <v>2204</v>
      </c>
      <c r="C31" t="s">
        <v>2122</v>
      </c>
      <c r="D31" t="s">
        <v>2164</v>
      </c>
      <c r="E31" t="s">
        <v>2124</v>
      </c>
      <c r="F31" s="116" t="str">
        <f t="shared" si="0"/>
        <v>Included</v>
      </c>
      <c r="G31" t="str">
        <f>IF(B31="","",INDEX(SF_Output!$K$1:$K$400,MATCH(B31,SF_Output!$M$1:$M$400,0)))</f>
        <v>Teller</v>
      </c>
      <c r="H31" cm="1">
        <f t="array" ref="H31">_xlfn.IFS(B31="","",(SUMIFS(SF_Output!$F$1:$F$400,SF_Output!$AC$1:$AC$400,_xlfn.TEXTJOIN(",",TRUE,B31:E31))+SUMIFS(SF_Output!$G$1:$G$400,SF_Output!$AC$1:$AC$400,_xlfn.TEXTJOIN(",",TRUE,B31:E31)))&lt;&gt;0,SF_Output!$Y$2,INDEX(SF_Output!$F$1:$F$400,MATCH(_xlfn.TEXTJOIN(",",TRUE,B31:E31),SF_Output!$AC$1:$AC$400,0))=0,INDEX(SF_Output!$R$1:$R$400,MATCH(_xlfn.TEXTJOIN(",",TRUE,B31:E31),SF_Output!$AC$1:$AC$400,0)))</f>
        <v>1</v>
      </c>
      <c r="I31" s="125" t="str">
        <f>IFERROR(IF(AND(H31&gt;1,H31&lt;&gt;""),ROUND(SUMIFS(SF_Output!$S$1:$S$400,SF_Output!$AC$1:$AC$400,_xlfn.TEXTJOIN(",",TRUE,B31:E31),SF_Output!$Q$1:$Q$400,"monthly")*(1-W31)/H31,4),""),"")</f>
        <v/>
      </c>
      <c r="J31" s="6">
        <f>IF(B31="","",SUMIFS(SF_Output!$S$1:$S$400,SF_Output!$AC$1:$AC$400,_xlfn.TEXTJOIN(",",TRUE,B31:E31),SF_Output!$Q$1:$Q$400,"One Time",SF_Output!$L$1:$L$400,"license fee")+SUMIFS(SF_Output!$S$1:$S$400,SF_Output!$AC$1:$AC$400,_xlfn.TEXTJOIN(",",TRUE,B31:E31),SF_Output!$Q$1:$Q$400,"One Time",SF_Output!$L$1:$L$400,"software license")+SUMIFS(SF_Output!$S$1:$S$400,SF_Output!$AC$1:$AC$400,_xlfn.TEXTJOIN(",",TRUE,B31:E31),SF_Output!$Q$1:$Q$400,"One Time",SF_Output!$L$1:$L$400,"hardware"))</f>
        <v>1636</v>
      </c>
      <c r="K31" s="112">
        <f>IF(OR(B31=0,B31="",G31="hardware",J31=0),"",IF(AF31&lt;&gt;"exclusion",MAX(K$9,-((SUMIFS(SF_Output!$T$1:$T$400,SF_Output!$AC$1:$AC$400,_xlfn.TEXTJOIN(",",TRUE,$B31:$E31),SF_Output!$Q$1:$Q$400,"One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license"))/J31)))</f>
        <v>0</v>
      </c>
      <c r="L31" s="6">
        <f t="shared" si="1"/>
        <v>1636</v>
      </c>
      <c r="N31" s="6">
        <f>IF(B31="","",SUMIFS(SF_Output!$S$1:$S$400,SF_Output!$AC$1:$AC$400,_xlfn.TEXTJOIN(",",TRUE,B31:E31),SF_Output!$Q$1:$Q$400,"One Time",SF_Output!$L$1:$L$400,"professional service"))</f>
        <v>0</v>
      </c>
      <c r="O31" s="112" t="str">
        <f>IF(OR(B31=0,B31="",N31=0),"",IF(AF31&lt;&gt;"exclusion",MAX(O$9,-(SUMIFS(SF_Output!$T$1:$T$400,SF_Output!$AC$1:$AC$400,_xlfn.TEXTJOIN(",",TRUE,$B31:$E31),SF_Output!$Q$1:$Q$400,"One Time",SF_Output!$L$1:$L$400,"professional service"))/N31),-((SUMIFS(SF_Output!$T$1:$T$400,SF_Output!$AC$1:$AC$400,_xlfn.TEXTJOIN(",",TRUE,$B31:$E31),SF_Output!$Q$1:$Q$400,"One Time",SF_Output!$L$1:$L$400,"professional service")/N31))))</f>
        <v/>
      </c>
      <c r="P31" s="6">
        <f t="shared" si="2"/>
        <v>0</v>
      </c>
      <c r="R31" s="6">
        <f>IF(B31="","",SUMIFS(SF_Output!$S$1:$S$400,SF_Output!$AC$1:$AC$400,_xlfn.TEXTJOIN(",",TRUE,B31:E31),SF_Output!$Q$1:$Q$400,"yearly")+SUMIFS(SF_Output!$S$1:$S$400,SF_Output!$AC$1:$AC$400,_xlfn.TEXTJOIN(",",TRUE,B31:E31),SF_Output!$Q$1:$Q$400,"quarterly")*4)</f>
        <v>327</v>
      </c>
      <c r="S31" s="112">
        <f>IF(OR(B31=0,B31="",G31="hardware",R31=0),"",IF(AF31&lt;&gt;"exclusion",MAX(S$9,-(SUMIFS(SF_Output!$T$1:$T$400,SF_Output!$AC$1:$AC$400,_xlfn.TEXTJOIN(",",TRUE,$B31:$E31),SF_Output!$Q$1:$Q$400,"yearly"))/R31),-((SUMIFS(SF_Output!$T$1:$T$400,SF_Output!$AC$1:$AC$400,_xlfn.TEXTJOIN(",",TRUE,$B31:$E31),SF_Output!$Q$1:$Q$400,"yearly")/R31))))</f>
        <v>0</v>
      </c>
      <c r="T31" s="6">
        <f t="shared" si="3"/>
        <v>327</v>
      </c>
      <c r="V31" s="6" cm="1">
        <f t="array" ref="V31">_xlfn.IFS(B31="","",AND(B31&lt;&gt;"",H31=SF_Output!$Y$2,SUMIFS(SF_Output!$T$1:$T$400,SF_Output!$AC$1:$AC$400,_xlfn.TEXTJOIN(",",TRUE,B31:E31),SF_Output!$Q$1:$Q$400,"monthly")=0),(SUMIFS(SF_Output!$F$1:$F$400,SF_Output!$AC$1:$AC$400,_xlfn.TEXTJOIN(",",TRUE,B31:E31),SF_Output!$Q$1:$Q$400,"monthly")+SUMIFS(SF_Output!$G$1:$G$400,SF_Output!$AC$1:$AC$400,_xlfn.TEXTJOIN(",",TRUE,B31:E31),SF_Output!$Q$1:$Q$400,"monthly"))*H31,AND(B31&lt;&gt;"",H31=SF_Output!$Y$2,SUMIFS(SF_Output!$T$1:$T$400,SF_Output!$AC$1:$AC$400,_xlfn.TEXTJOIN(",",TRUE,B31:E31),SF_Output!$Q$1:$Q$400,"monthly")&lt;&gt;0),SUMIFS(SF_Output!$S$1:$S$400,SF_Output!$AC$1:$AC$400,_xlfn.TEXTJOIN(",",TRUE,B31:E31),SF_Output!$Q$1:$Q$400,"monthly"),AND(B31&lt;&gt;"",H31&lt;&gt;SF_Output!$Y$2),SUMIFS(SF_Output!$S$1:$S$400,SF_Output!$AC$1:$AC$400,_xlfn.TEXTJOIN(",",TRUE,B31:E31),SF_Output!$Q$1:$Q$400,"monthly"))</f>
        <v>0</v>
      </c>
      <c r="W31" s="112" t="str" cm="1">
        <f t="array" ref="W31">_xlfn.IFS(OR(B31=0,B31="",V31=0),"",AF31&lt;&gt;"exclusion",MAX($W$9,$W$7,(-(SUMIFS(SF_Output!$T$1:$T$400,SF_Output!$AC$1:$AC$400,_xlfn.TEXTJOIN(",",TRUE,$B31:$E31),SF_Output!$Q$1:$Q$400,"monthly"))/V31)),AF31="exclusion",-(SUMIFS(SF_Output!$T$1:$T$400,SF_Output!$AC$1:$AC$400,_xlfn.TEXTJOIN(",",TRUE,$B31:$E31),SF_Output!$Q$1:$Q$400,"monthly"))/V31)</f>
        <v/>
      </c>
      <c r="X31" s="6" cm="1">
        <f t="array" ref="X31">IFERROR(_xlfn.IFS(V31=0,0,V31="","",W31=0,V31,OR(V31&lt;&gt;0,V31&lt;&gt;""),H31*I31),V31*(1-W31))</f>
        <v>0</v>
      </c>
      <c r="Z31" s="6">
        <f>IFERROR(IF(B31="","",SUMIFS(Billing_Fallout!H:H,Billing_Fallout!N:N,B31)),0)</f>
        <v>0</v>
      </c>
      <c r="AA31" s="6">
        <f t="shared" si="4"/>
        <v>0</v>
      </c>
      <c r="AB31" s="6">
        <f>IFERROR(IF(B31="","",SUMIFS(Billing_Fallout!J:J,Billing_Fallout!N:N,B31)),0)</f>
        <v>0</v>
      </c>
      <c r="AD31" s="6">
        <f t="shared" si="5"/>
        <v>0</v>
      </c>
      <c r="AF31" t="str">
        <f>IFERROR(INDEX(H_Tables!$B$1:$B$1500,MATCH(INDEX(SF_Output!$J$1:$J$400,MATCH(B31,SF_Output!$M$1:$M$400,0)),H_Tables!$A$1:$A$1500,0)),"")</f>
        <v>Exclusion</v>
      </c>
      <c r="AI31" s="119" t="str">
        <f t="shared" si="6"/>
        <v/>
      </c>
      <c r="AJ31" s="121">
        <f>IFERROR(INDEX(SF_Output!AD:AD,MATCH(_xlfn.TEXTJOIN(",",TRUE,B31:E31),SF_Output!AC1:AC400,0)),0.05)</f>
        <v>53</v>
      </c>
      <c r="AK31" t="str">
        <f>IF(SUMIFS(SF_Output!$F$1:$F$400,SF_Output!$AC$1:$AC$400,_xlfn.TEXTJOIN(",",TRUE,B31:E31))+SUMIFS(SF_Output!$G$1:$G$400,SF_Output!$AC$1:$AC$400,_xlfn.TEXTJOIN(",",TRUE,B31:E31))=0,"","PAP")</f>
        <v/>
      </c>
      <c r="AQ31" s="35"/>
      <c r="AR31" s="35" t="str" cm="1">
        <f t="array" ref="AR31">IFERROR(_xlfn.IFS(AND(E31*1=1,F31="Included"),"Change to Included",AND(E31*1=0,F31="Optional"),"Change to Optional",OR(B31="",F31="replaced"),""),"")</f>
        <v/>
      </c>
      <c r="AS31" s="35" t="str">
        <f t="shared" si="7"/>
        <v/>
      </c>
      <c r="AT31" s="35" t="str">
        <f t="shared" si="8"/>
        <v/>
      </c>
      <c r="AU31" s="35" t="str">
        <f t="shared" si="9"/>
        <v/>
      </c>
      <c r="AV31" s="35" t="str">
        <f t="shared" si="10"/>
        <v/>
      </c>
      <c r="AW31" s="35" t="str">
        <f t="shared" si="11"/>
        <v/>
      </c>
      <c r="AX31" s="35" t="str">
        <f t="shared" si="12"/>
        <v/>
      </c>
      <c r="AY31" s="35" t="str">
        <f t="shared" si="13"/>
        <v/>
      </c>
      <c r="AZ31" s="35" t="str">
        <f t="shared" si="14"/>
        <v/>
      </c>
      <c r="BA31" s="35" t="str">
        <f t="shared" si="15"/>
        <v/>
      </c>
      <c r="BB31" s="35" t="str">
        <f t="shared" si="16"/>
        <v/>
      </c>
      <c r="BC31" s="35"/>
      <c r="BE31" s="35">
        <f ca="1">INDEX(SF_Output!$AA$2:$AA$400,MATCH($B31,SF_Output!$M$2:$M$400,0))</f>
        <v>2</v>
      </c>
      <c r="BF31" s="35">
        <f ca="1">INDEX(SF_Output!$AB$2:$AB$400,MATCH($B31,SF_Output!$M$2:$M$400,0))</f>
        <v>2</v>
      </c>
    </row>
    <row r="32" spans="2:58" x14ac:dyDescent="0.25">
      <c r="B32" t="s">
        <v>1687</v>
      </c>
      <c r="C32" t="s">
        <v>2122</v>
      </c>
      <c r="D32" t="s">
        <v>2123</v>
      </c>
      <c r="E32" t="s">
        <v>2150</v>
      </c>
      <c r="F32" s="116" t="str">
        <f t="shared" si="0"/>
        <v>Optional</v>
      </c>
      <c r="G32" t="str">
        <f>IF(B32="","",INDEX(SF_Output!$K$1:$K$400,MATCH(B32,SF_Output!$M$1:$M$400,0)))</f>
        <v>AlertCenter</v>
      </c>
      <c r="H32" cm="1">
        <f t="array" ref="H32">_xlfn.IFS(B32="","",(SUMIFS(SF_Output!$F$1:$F$400,SF_Output!$AC$1:$AC$400,_xlfn.TEXTJOIN(",",TRUE,B32:E32))+SUMIFS(SF_Output!$G$1:$G$400,SF_Output!$AC$1:$AC$400,_xlfn.TEXTJOIN(",",TRUE,B32:E32)))&lt;&gt;0,SF_Output!$Y$2,INDEX(SF_Output!$F$1:$F$400,MATCH(_xlfn.TEXTJOIN(",",TRUE,B32:E32),SF_Output!$AC$1:$AC$400,0))=0,INDEX(SF_Output!$R$1:$R$400,MATCH(_xlfn.TEXTJOIN(",",TRUE,B32:E32),SF_Output!$AC$1:$AC$400,0)))</f>
        <v>1</v>
      </c>
      <c r="I32" s="125" t="str">
        <f>IFERROR(IF(AND(H32&gt;1,H32&lt;&gt;""),ROUND(SUMIFS(SF_Output!$S$1:$S$400,SF_Output!$AC$1:$AC$400,_xlfn.TEXTJOIN(",",TRUE,B32:E32),SF_Output!$Q$1:$Q$400,"monthly")*(1-W32)/H32,4),""),"")</f>
        <v/>
      </c>
      <c r="J32" s="6">
        <f>IF(B32="","",SUMIFS(SF_Output!$S$1:$S$400,SF_Output!$AC$1:$AC$400,_xlfn.TEXTJOIN(",",TRUE,B32:E32),SF_Output!$Q$1:$Q$400,"One Time",SF_Output!$L$1:$L$400,"license fee")+SUMIFS(SF_Output!$S$1:$S$400,SF_Output!$AC$1:$AC$400,_xlfn.TEXTJOIN(",",TRUE,B32:E32),SF_Output!$Q$1:$Q$400,"One Time",SF_Output!$L$1:$L$400,"software license")+SUMIFS(SF_Output!$S$1:$S$400,SF_Output!$AC$1:$AC$400,_xlfn.TEXTJOIN(",",TRUE,B32:E32),SF_Output!$Q$1:$Q$400,"One Time",SF_Output!$L$1:$L$400,"hardware"))</f>
        <v>0</v>
      </c>
      <c r="K32" s="112" t="str">
        <f>IF(OR(B32=0,B32="",G32="hardware",J32=0),"",IF(AF32&lt;&gt;"exclusion",MAX(K$9,-((SUMIFS(SF_Output!$T$1:$T$400,SF_Output!$AC$1:$AC$400,_xlfn.TEXTJOIN(",",TRUE,$B32:$E32),SF_Output!$Q$1:$Q$400,"One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license"))/J32)))</f>
        <v/>
      </c>
      <c r="L32" s="6">
        <f t="shared" si="1"/>
        <v>0</v>
      </c>
      <c r="N32" s="6">
        <f>IF(B32="","",SUMIFS(SF_Output!$S$1:$S$400,SF_Output!$AC$1:$AC$400,_xlfn.TEXTJOIN(",",TRUE,B32:E32),SF_Output!$Q$1:$Q$400,"One Time",SF_Output!$L$1:$L$400,"professional service"))</f>
        <v>3750</v>
      </c>
      <c r="O32" s="112">
        <f>IF(OR(B32=0,B32="",N32=0),"",IF(AF32&lt;&gt;"exclusion",MAX(O$9,-(SUMIFS(SF_Output!$T$1:$T$400,SF_Output!$AC$1:$AC$400,_xlfn.TEXTJOIN(",",TRUE,$B32:$E32),SF_Output!$Q$1:$Q$400,"One Time",SF_Output!$L$1:$L$400,"professional service"))/N32),-((SUMIFS(SF_Output!$T$1:$T$400,SF_Output!$AC$1:$AC$400,_xlfn.TEXTJOIN(",",TRUE,$B32:$E32),SF_Output!$Q$1:$Q$400,"One Time",SF_Output!$L$1:$L$400,"professional service")/N32))))</f>
        <v>1</v>
      </c>
      <c r="P32" s="6">
        <f t="shared" si="2"/>
        <v>0</v>
      </c>
      <c r="R32" s="6">
        <f>IF(B32="","",SUMIFS(SF_Output!$S$1:$S$400,SF_Output!$AC$1:$AC$400,_xlfn.TEXTJOIN(",",TRUE,B32:E32),SF_Output!$Q$1:$Q$400,"yearly")+SUMIFS(SF_Output!$S$1:$S$400,SF_Output!$AC$1:$AC$400,_xlfn.TEXTJOIN(",",TRUE,B32:E32),SF_Output!$Q$1:$Q$400,"quarterly")*4)</f>
        <v>0</v>
      </c>
      <c r="S32" s="112" t="str">
        <f>IF(OR(B32=0,B32="",G32="hardware",R32=0),"",IF(AF32&lt;&gt;"exclusion",MAX(S$9,-(SUMIFS(SF_Output!$T$1:$T$400,SF_Output!$AC$1:$AC$400,_xlfn.TEXTJOIN(",",TRUE,$B32:$E32),SF_Output!$Q$1:$Q$400,"yearly"))/R32),-((SUMIFS(SF_Output!$T$1:$T$400,SF_Output!$AC$1:$AC$400,_xlfn.TEXTJOIN(",",TRUE,$B32:$E32),SF_Output!$Q$1:$Q$400,"yearly")/R32))))</f>
        <v/>
      </c>
      <c r="T32" s="6">
        <f t="shared" si="3"/>
        <v>0</v>
      </c>
      <c r="V32" s="6" cm="1">
        <f t="array" ref="V32">_xlfn.IFS(B32="","",AND(B32&lt;&gt;"",H32=SF_Output!$Y$2,SUMIFS(SF_Output!$T$1:$T$400,SF_Output!$AC$1:$AC$400,_xlfn.TEXTJOIN(",",TRUE,B32:E32),SF_Output!$Q$1:$Q$400,"monthly")=0),(SUMIFS(SF_Output!$F$1:$F$400,SF_Output!$AC$1:$AC$400,_xlfn.TEXTJOIN(",",TRUE,B32:E32),SF_Output!$Q$1:$Q$400,"monthly")+SUMIFS(SF_Output!$G$1:$G$400,SF_Output!$AC$1:$AC$400,_xlfn.TEXTJOIN(",",TRUE,B32:E32),SF_Output!$Q$1:$Q$400,"monthly"))*H32,AND(B32&lt;&gt;"",H32=SF_Output!$Y$2,SUMIFS(SF_Output!$T$1:$T$400,SF_Output!$AC$1:$AC$400,_xlfn.TEXTJOIN(",",TRUE,B32:E32),SF_Output!$Q$1:$Q$400,"monthly")&lt;&gt;0),SUMIFS(SF_Output!$S$1:$S$400,SF_Output!$AC$1:$AC$400,_xlfn.TEXTJOIN(",",TRUE,B32:E32),SF_Output!$Q$1:$Q$400,"monthly"),AND(B32&lt;&gt;"",H32&lt;&gt;SF_Output!$Y$2),SUMIFS(SF_Output!$S$1:$S$400,SF_Output!$AC$1:$AC$400,_xlfn.TEXTJOIN(",",TRUE,B32:E32),SF_Output!$Q$1:$Q$400,"monthly"))</f>
        <v>0</v>
      </c>
      <c r="W32" s="112" t="str" cm="1">
        <f t="array" ref="W32">_xlfn.IFS(OR(B32=0,B32="",V32=0),"",AF32&lt;&gt;"exclusion",MAX($W$9,$W$7,(-(SUMIFS(SF_Output!$T$1:$T$400,SF_Output!$AC$1:$AC$400,_xlfn.TEXTJOIN(",",TRUE,$B32:$E32),SF_Output!$Q$1:$Q$400,"monthly"))/V32)),AF32="exclusion",-(SUMIFS(SF_Output!$T$1:$T$400,SF_Output!$AC$1:$AC$400,_xlfn.TEXTJOIN(",",TRUE,$B32:$E32),SF_Output!$Q$1:$Q$400,"monthly"))/V32)</f>
        <v/>
      </c>
      <c r="X32" s="6" cm="1">
        <f t="array" ref="X32">IFERROR(_xlfn.IFS(V32=0,0,V32="","",W32=0,V32,OR(V32&lt;&gt;0,V32&lt;&gt;""),H32*I32),V32*(1-W32))</f>
        <v>0</v>
      </c>
      <c r="Z32" s="6">
        <f>IFERROR(IF(B32="","",SUMIFS(Billing_Fallout!H:H,Billing_Fallout!N:N,B32)),0)</f>
        <v>0</v>
      </c>
      <c r="AA32" s="6">
        <f t="shared" si="4"/>
        <v>0</v>
      </c>
      <c r="AB32" s="6">
        <f>IFERROR(IF(B32="","",SUMIFS(Billing_Fallout!J:J,Billing_Fallout!N:N,B32)),0)</f>
        <v>0</v>
      </c>
      <c r="AD32" s="6">
        <f t="shared" si="5"/>
        <v>0</v>
      </c>
      <c r="AF32" t="str">
        <f>IFERROR(INDEX(H_Tables!$B$1:$B$1500,MATCH(INDEX(SF_Output!$J$1:$J$400,MATCH(B32,SF_Output!$M$1:$M$400,0)),H_Tables!$A$1:$A$1500,0)),"")</f>
        <v>Exclusion</v>
      </c>
      <c r="AI32" s="119" t="str">
        <f t="shared" si="6"/>
        <v/>
      </c>
      <c r="AJ32" s="121">
        <f>IFERROR(INDEX(SF_Output!AD:AD,MATCH(_xlfn.TEXTJOIN(",",TRUE,B32:E32),SF_Output!AC1:AC400,0)),0.05)</f>
        <v>97</v>
      </c>
      <c r="AK32" t="str">
        <f>IF(SUMIFS(SF_Output!$F$1:$F$400,SF_Output!$AC$1:$AC$400,_xlfn.TEXTJOIN(",",TRUE,B32:E32))+SUMIFS(SF_Output!$G$1:$G$400,SF_Output!$AC$1:$AC$400,_xlfn.TEXTJOIN(",",TRUE,B32:E32))=0,"","PAP")</f>
        <v/>
      </c>
      <c r="AQ32" s="35"/>
      <c r="AR32" s="35" t="str" cm="1">
        <f t="array" ref="AR32">IFERROR(_xlfn.IFS(AND(E32*1=1,F32="Included"),"Change to Included",AND(E32*1=0,F32="Optional"),"Change to Optional",OR(B32="",F32="replaced"),""),"")</f>
        <v/>
      </c>
      <c r="AS32" s="35" t="str">
        <f t="shared" si="7"/>
        <v/>
      </c>
      <c r="AT32" s="35" t="str">
        <f t="shared" si="8"/>
        <v/>
      </c>
      <c r="AU32" s="35" t="str">
        <f t="shared" si="9"/>
        <v/>
      </c>
      <c r="AV32" s="35" t="str">
        <f t="shared" si="10"/>
        <v/>
      </c>
      <c r="AW32" s="35" t="str">
        <f t="shared" si="11"/>
        <v/>
      </c>
      <c r="AX32" s="35" t="str">
        <f t="shared" si="12"/>
        <v/>
      </c>
      <c r="AY32" s="35" t="str">
        <f t="shared" si="13"/>
        <v/>
      </c>
      <c r="AZ32" s="35" t="str">
        <f t="shared" si="14"/>
        <v/>
      </c>
      <c r="BA32" s="35" t="str">
        <f t="shared" si="15"/>
        <v/>
      </c>
      <c r="BB32" s="35" t="str">
        <f t="shared" si="16"/>
        <v/>
      </c>
      <c r="BC32" s="35"/>
      <c r="BE32" s="35">
        <f ca="1">INDEX(SF_Output!$AA$2:$AA$400,MATCH($B32,SF_Output!$M$2:$M$400,0))</f>
        <v>2</v>
      </c>
      <c r="BF32" s="35">
        <f ca="1">INDEX(SF_Output!$AB$2:$AB$400,MATCH($B32,SF_Output!$M$2:$M$400,0))</f>
        <v>4</v>
      </c>
    </row>
    <row r="33" spans="2:58" x14ac:dyDescent="0.25">
      <c r="B33" t="s">
        <v>2284</v>
      </c>
      <c r="C33" t="s">
        <v>2122</v>
      </c>
      <c r="D33" t="s">
        <v>2123</v>
      </c>
      <c r="E33" t="s">
        <v>2124</v>
      </c>
      <c r="F33" s="116" t="str">
        <f t="shared" si="0"/>
        <v>Included</v>
      </c>
      <c r="G33" t="str">
        <f>IF(B33="","",INDEX(SF_Output!$K$1:$K$400,MATCH(B33,SF_Output!$M$1:$M$400,0)))</f>
        <v>Synapsys</v>
      </c>
      <c r="H33" cm="1">
        <f t="array" ref="H33">_xlfn.IFS(B33="","",(SUMIFS(SF_Output!$F$1:$F$400,SF_Output!$AC$1:$AC$400,_xlfn.TEXTJOIN(",",TRUE,B33:E33))+SUMIFS(SF_Output!$G$1:$G$400,SF_Output!$AC$1:$AC$400,_xlfn.TEXTJOIN(",",TRUE,B33:E33)))&lt;&gt;0,SF_Output!$Y$2,INDEX(SF_Output!$F$1:$F$400,MATCH(_xlfn.TEXTJOIN(",",TRUE,B33:E33),SF_Output!$AC$1:$AC$400,0))=0,INDEX(SF_Output!$R$1:$R$400,MATCH(_xlfn.TEXTJOIN(",",TRUE,B33:E33),SF_Output!$AC$1:$AC$400,0)))</f>
        <v>5000</v>
      </c>
      <c r="I33" s="125">
        <f>IFERROR(IF(AND(H33&gt;1,H33&lt;&gt;""),ROUND(SUMIFS(SF_Output!$S$1:$S$400,SF_Output!$AC$1:$AC$400,_xlfn.TEXTJOIN(",",TRUE,B33:E33),SF_Output!$Q$1:$Q$400,"monthly")*(1-W33)/H33,4),""),"")</f>
        <v>0.1643</v>
      </c>
      <c r="J33" s="6">
        <f>IF(B33="","",SUMIFS(SF_Output!$S$1:$S$400,SF_Output!$AC$1:$AC$400,_xlfn.TEXTJOIN(",",TRUE,B33:E33),SF_Output!$Q$1:$Q$400,"One Time",SF_Output!$L$1:$L$400,"license fee")+SUMIFS(SF_Output!$S$1:$S$400,SF_Output!$AC$1:$AC$400,_xlfn.TEXTJOIN(",",TRUE,B33:E33),SF_Output!$Q$1:$Q$400,"One Time",SF_Output!$L$1:$L$400,"software license")+SUMIFS(SF_Output!$S$1:$S$400,SF_Output!$AC$1:$AC$400,_xlfn.TEXTJOIN(",",TRUE,B33:E33),SF_Output!$Q$1:$Q$400,"One Time",SF_Output!$L$1:$L$400,"hardware"))</f>
        <v>0</v>
      </c>
      <c r="K33" s="112" t="str">
        <f>IF(OR(B33=0,B33="",G33="hardware",J33=0),"",IF(AF33&lt;&gt;"exclusion",MAX(K$9,-((SUMIFS(SF_Output!$T$1:$T$400,SF_Output!$AC$1:$AC$400,_xlfn.TEXTJOIN(",",TRUE,$B33:$E33),SF_Output!$Q$1:$Q$400,"One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license"))/J33)))</f>
        <v/>
      </c>
      <c r="L33" s="6">
        <f t="shared" si="1"/>
        <v>0</v>
      </c>
      <c r="N33" s="6">
        <f>IF(B33="","",SUMIFS(SF_Output!$S$1:$S$400,SF_Output!$AC$1:$AC$400,_xlfn.TEXTJOIN(",",TRUE,B33:E33),SF_Output!$Q$1:$Q$400,"One Time",SF_Output!$L$1:$L$400,"professional service"))</f>
        <v>8500</v>
      </c>
      <c r="O33" s="112">
        <f>IF(OR(B33=0,B33="",N33=0),"",IF(AF33&lt;&gt;"exclusion",MAX(O$9,-(SUMIFS(SF_Output!$T$1:$T$400,SF_Output!$AC$1:$AC$400,_xlfn.TEXTJOIN(",",TRUE,$B33:$E33),SF_Output!$Q$1:$Q$400,"One Time",SF_Output!$L$1:$L$400,"professional service"))/N33),-((SUMIFS(SF_Output!$T$1:$T$400,SF_Output!$AC$1:$AC$400,_xlfn.TEXTJOIN(",",TRUE,$B33:$E33),SF_Output!$Q$1:$Q$400,"One Time",SF_Output!$L$1:$L$400,"professional service")/N33))))</f>
        <v>1</v>
      </c>
      <c r="P33" s="6">
        <f t="shared" si="2"/>
        <v>0</v>
      </c>
      <c r="R33" s="6">
        <f>IF(B33="","",SUMIFS(SF_Output!$S$1:$S$400,SF_Output!$AC$1:$AC$400,_xlfn.TEXTJOIN(",",TRUE,B33:E33),SF_Output!$Q$1:$Q$400,"yearly")+SUMIFS(SF_Output!$S$1:$S$400,SF_Output!$AC$1:$AC$400,_xlfn.TEXTJOIN(",",TRUE,B33:E33),SF_Output!$Q$1:$Q$400,"quarterly")*4)</f>
        <v>0</v>
      </c>
      <c r="S33" s="112" t="str">
        <f>IF(OR(B33=0,B33="",G33="hardware",R33=0),"",IF(AF33&lt;&gt;"exclusion",MAX(S$9,-(SUMIFS(SF_Output!$T$1:$T$400,SF_Output!$AC$1:$AC$400,_xlfn.TEXTJOIN(",",TRUE,$B33:$E33),SF_Output!$Q$1:$Q$400,"yearly"))/R33),-((SUMIFS(SF_Output!$T$1:$T$400,SF_Output!$AC$1:$AC$400,_xlfn.TEXTJOIN(",",TRUE,$B33:$E33),SF_Output!$Q$1:$Q$400,"yearly")/R33))))</f>
        <v/>
      </c>
      <c r="T33" s="6">
        <f t="shared" si="3"/>
        <v>0</v>
      </c>
      <c r="V33" s="6" cm="1">
        <f t="array" ref="V33">_xlfn.IFS(B33="","",AND(B33&lt;&gt;"",H33=SF_Output!$Y$2,SUMIFS(SF_Output!$T$1:$T$400,SF_Output!$AC$1:$AC$400,_xlfn.TEXTJOIN(",",TRUE,B33:E33),SF_Output!$Q$1:$Q$400,"monthly")=0),(SUMIFS(SF_Output!$F$1:$F$400,SF_Output!$AC$1:$AC$400,_xlfn.TEXTJOIN(",",TRUE,B33:E33),SF_Output!$Q$1:$Q$400,"monthly")+SUMIFS(SF_Output!$G$1:$G$400,SF_Output!$AC$1:$AC$400,_xlfn.TEXTJOIN(",",TRUE,B33:E33),SF_Output!$Q$1:$Q$400,"monthly"))*H33,AND(B33&lt;&gt;"",H33=SF_Output!$Y$2,SUMIFS(SF_Output!$T$1:$T$400,SF_Output!$AC$1:$AC$400,_xlfn.TEXTJOIN(",",TRUE,B33:E33),SF_Output!$Q$1:$Q$400,"monthly")&lt;&gt;0),SUMIFS(SF_Output!$S$1:$S$400,SF_Output!$AC$1:$AC$400,_xlfn.TEXTJOIN(",",TRUE,B33:E33),SF_Output!$Q$1:$Q$400,"monthly"),AND(B33&lt;&gt;"",H33&lt;&gt;SF_Output!$Y$2),SUMIFS(SF_Output!$S$1:$S$400,SF_Output!$AC$1:$AC$400,_xlfn.TEXTJOIN(",",TRUE,B33:E33),SF_Output!$Q$1:$Q$400,"monthly"))</f>
        <v>1095</v>
      </c>
      <c r="W33" s="112" cm="1">
        <f t="array" ref="W33">_xlfn.IFS(OR(B33=0,B33="",V33=0),"",AF33&lt;&gt;"exclusion",MAX($W$9,$W$7,(-(SUMIFS(SF_Output!$T$1:$T$400,SF_Output!$AC$1:$AC$400,_xlfn.TEXTJOIN(",",TRUE,$B33:$E33),SF_Output!$Q$1:$Q$400,"monthly"))/V33)),AF33="exclusion",-(SUMIFS(SF_Output!$T$1:$T$400,SF_Output!$AC$1:$AC$400,_xlfn.TEXTJOIN(",",TRUE,$B33:$E33),SF_Output!$Q$1:$Q$400,"monthly"))/V33)</f>
        <v>0.25</v>
      </c>
      <c r="X33" s="6" cm="1">
        <f t="array" ref="X33">IFERROR(_xlfn.IFS(V33=0,0,V33="","",W33=0,V33,OR(V33&lt;&gt;0,V33&lt;&gt;""),H33*I33),V33*(1-W33))</f>
        <v>821.5</v>
      </c>
      <c r="Z33" s="6">
        <f>IFERROR(IF(B33="","",SUMIFS(Billing_Fallout!H:H,Billing_Fallout!N:N,B33)),0)</f>
        <v>0</v>
      </c>
      <c r="AA33" s="6">
        <f t="shared" si="4"/>
        <v>0</v>
      </c>
      <c r="AB33" s="6">
        <f>IFERROR(IF(B33="","",SUMIFS(Billing_Fallout!J:J,Billing_Fallout!N:N,B33)),0)</f>
        <v>0</v>
      </c>
      <c r="AD33" s="6">
        <f t="shared" si="5"/>
        <v>821.5</v>
      </c>
      <c r="AF33" t="str">
        <f>IFERROR(INDEX(H_Tables!$B$1:$B$1500,MATCH(INDEX(SF_Output!$J$1:$J$400,MATCH(B33,SF_Output!$M$1:$M$400,0)),H_Tables!$A$1:$A$1500,0)),"")</f>
        <v/>
      </c>
      <c r="AI33" s="119" t="str">
        <f t="shared" si="6"/>
        <v/>
      </c>
      <c r="AJ33" s="121">
        <f>IFERROR(INDEX(SF_Output!AD:AD,MATCH(_xlfn.TEXTJOIN(",",TRUE,B33:E33),SF_Output!AC1:AC400,0)),0.05)</f>
        <v>113</v>
      </c>
      <c r="AK33" t="str">
        <f>IF(SUMIFS(SF_Output!$F$1:$F$400,SF_Output!$AC$1:$AC$400,_xlfn.TEXTJOIN(",",TRUE,B33:E33))+SUMIFS(SF_Output!$G$1:$G$400,SF_Output!$AC$1:$AC$400,_xlfn.TEXTJOIN(",",TRUE,B33:E33))=0,"","PAP")</f>
        <v>PAP</v>
      </c>
      <c r="AQ33" s="35"/>
      <c r="AR33" s="35" t="str" cm="1">
        <f t="array" ref="AR33">IFERROR(_xlfn.IFS(AND(E33*1=1,F33="Included"),"Change to Included",AND(E33*1=0,F33="Optional"),"Change to Optional",OR(B33="",F33="replaced"),""),"")</f>
        <v/>
      </c>
      <c r="AS33" s="35" t="str">
        <f t="shared" si="7"/>
        <v/>
      </c>
      <c r="AT33" s="35" t="str">
        <f t="shared" si="8"/>
        <v/>
      </c>
      <c r="AU33" s="35" t="str">
        <f t="shared" si="9"/>
        <v/>
      </c>
      <c r="AV33" s="35" t="str">
        <f t="shared" si="10"/>
        <v/>
      </c>
      <c r="AW33" s="35" t="str">
        <f t="shared" si="11"/>
        <v/>
      </c>
      <c r="AX33" s="35" t="str">
        <f t="shared" si="12"/>
        <v/>
      </c>
      <c r="AY33" s="35" t="str">
        <f t="shared" si="13"/>
        <v/>
      </c>
      <c r="AZ33" s="35" t="str">
        <f t="shared" si="14"/>
        <v/>
      </c>
      <c r="BA33" s="35" t="str">
        <f t="shared" si="15"/>
        <v/>
      </c>
      <c r="BB33" s="35" t="str">
        <f t="shared" si="16"/>
        <v/>
      </c>
      <c r="BC33" s="35"/>
      <c r="BE33" s="35">
        <f ca="1">INDEX(SF_Output!$AA$2:$AA$400,MATCH($B33,SF_Output!$M$2:$M$400,0))</f>
        <v>2</v>
      </c>
      <c r="BF33" s="35">
        <f ca="1">INDEX(SF_Output!$AB$2:$AB$400,MATCH($B33,SF_Output!$M$2:$M$400,0))</f>
        <v>3</v>
      </c>
    </row>
    <row r="34" spans="2:58" x14ac:dyDescent="0.25">
      <c r="B34" t="s">
        <v>1531</v>
      </c>
      <c r="C34" t="s">
        <v>2122</v>
      </c>
      <c r="D34" t="s">
        <v>2123</v>
      </c>
      <c r="E34" t="s">
        <v>2124</v>
      </c>
      <c r="F34" s="116" t="str">
        <f t="shared" si="0"/>
        <v>Included</v>
      </c>
      <c r="G34" t="str">
        <f>IF(B34="","",INDEX(SF_Output!$K$1:$K$400,MATCH(B34,SF_Output!$M$1:$M$400,0)))</f>
        <v>Synapsys</v>
      </c>
      <c r="H34" cm="1">
        <f t="array" ref="H34">_xlfn.IFS(B34="","",(SUMIFS(SF_Output!$F$1:$F$400,SF_Output!$AC$1:$AC$400,_xlfn.TEXTJOIN(",",TRUE,B34:E34))+SUMIFS(SF_Output!$G$1:$G$400,SF_Output!$AC$1:$AC$400,_xlfn.TEXTJOIN(",",TRUE,B34:E34)))&lt;&gt;0,SF_Output!$Y$2,INDEX(SF_Output!$F$1:$F$400,MATCH(_xlfn.TEXTJOIN(",",TRUE,B34:E34),SF_Output!$AC$1:$AC$400,0))=0,INDEX(SF_Output!$R$1:$R$400,MATCH(_xlfn.TEXTJOIN(",",TRUE,B34:E34),SF_Output!$AC$1:$AC$400,0)))</f>
        <v>1</v>
      </c>
      <c r="I34" s="125" t="str">
        <f>IFERROR(IF(AND(H34&gt;1,H34&lt;&gt;""),ROUND(SUMIFS(SF_Output!$S$1:$S$400,SF_Output!$AC$1:$AC$400,_xlfn.TEXTJOIN(",",TRUE,B34:E34),SF_Output!$Q$1:$Q$400,"monthly")*(1-W34)/H34,4),""),"")</f>
        <v/>
      </c>
      <c r="J34" s="6">
        <f>IF(B34="","",SUMIFS(SF_Output!$S$1:$S$400,SF_Output!$AC$1:$AC$400,_xlfn.TEXTJOIN(",",TRUE,B34:E34),SF_Output!$Q$1:$Q$400,"One Time",SF_Output!$L$1:$L$400,"license fee")+SUMIFS(SF_Output!$S$1:$S$400,SF_Output!$AC$1:$AC$400,_xlfn.TEXTJOIN(",",TRUE,B34:E34),SF_Output!$Q$1:$Q$400,"One Time",SF_Output!$L$1:$L$400,"software license")+SUMIFS(SF_Output!$S$1:$S$400,SF_Output!$AC$1:$AC$400,_xlfn.TEXTJOIN(",",TRUE,B34:E34),SF_Output!$Q$1:$Q$400,"One Time",SF_Output!$L$1:$L$400,"hardware"))</f>
        <v>0</v>
      </c>
      <c r="K34" s="112" t="str">
        <f>IF(OR(B34=0,B34="",G34="hardware",J34=0),"",IF(AF34&lt;&gt;"exclusion",MAX(K$9,-((SUMIFS(SF_Output!$T$1:$T$400,SF_Output!$AC$1:$AC$400,_xlfn.TEXTJOIN(",",TRUE,$B34:$E34),SF_Output!$Q$1:$Q$400,"One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license"))/J34)))</f>
        <v/>
      </c>
      <c r="L34" s="6">
        <f t="shared" si="1"/>
        <v>0</v>
      </c>
      <c r="N34" s="6">
        <f>IF(B34="","",SUMIFS(SF_Output!$S$1:$S$400,SF_Output!$AC$1:$AC$400,_xlfn.TEXTJOIN(",",TRUE,B34:E34),SF_Output!$Q$1:$Q$400,"One Time",SF_Output!$L$1:$L$400,"professional service"))</f>
        <v>0</v>
      </c>
      <c r="O34" s="112" t="str">
        <f>IF(OR(B34=0,B34="",N34=0),"",IF(AF34&lt;&gt;"exclusion",MAX(O$9,-(SUMIFS(SF_Output!$T$1:$T$400,SF_Output!$AC$1:$AC$400,_xlfn.TEXTJOIN(",",TRUE,$B34:$E34),SF_Output!$Q$1:$Q$400,"One Time",SF_Output!$L$1:$L$400,"professional service"))/N34),-((SUMIFS(SF_Output!$T$1:$T$400,SF_Output!$AC$1:$AC$400,_xlfn.TEXTJOIN(",",TRUE,$B34:$E34),SF_Output!$Q$1:$Q$400,"One Time",SF_Output!$L$1:$L$400,"professional service")/N34))))</f>
        <v/>
      </c>
      <c r="P34" s="6">
        <f t="shared" si="2"/>
        <v>0</v>
      </c>
      <c r="R34" s="6">
        <f>IF(B34="","",SUMIFS(SF_Output!$S$1:$S$400,SF_Output!$AC$1:$AC$400,_xlfn.TEXTJOIN(",",TRUE,B34:E34),SF_Output!$Q$1:$Q$400,"yearly")+SUMIFS(SF_Output!$S$1:$S$400,SF_Output!$AC$1:$AC$400,_xlfn.TEXTJOIN(",",TRUE,B34:E34),SF_Output!$Q$1:$Q$400,"quarterly")*4)</f>
        <v>5000</v>
      </c>
      <c r="S34" s="112">
        <f>IF(OR(B34=0,B34="",G34="hardware",R34=0),"",IF(AF34&lt;&gt;"exclusion",MAX(S$9,-(SUMIFS(SF_Output!$T$1:$T$400,SF_Output!$AC$1:$AC$400,_xlfn.TEXTJOIN(",",TRUE,$B34:$E34),SF_Output!$Q$1:$Q$400,"yearly"))/R34),-((SUMIFS(SF_Output!$T$1:$T$400,SF_Output!$AC$1:$AC$400,_xlfn.TEXTJOIN(",",TRUE,$B34:$E34),SF_Output!$Q$1:$Q$400,"yearly")/R34))))</f>
        <v>0</v>
      </c>
      <c r="T34" s="6">
        <f t="shared" si="3"/>
        <v>5000</v>
      </c>
      <c r="V34" s="6" cm="1">
        <f t="array" ref="V34">_xlfn.IFS(B34="","",AND(B34&lt;&gt;"",H34=SF_Output!$Y$2,SUMIFS(SF_Output!$T$1:$T$400,SF_Output!$AC$1:$AC$400,_xlfn.TEXTJOIN(",",TRUE,B34:E34),SF_Output!$Q$1:$Q$400,"monthly")=0),(SUMIFS(SF_Output!$F$1:$F$400,SF_Output!$AC$1:$AC$400,_xlfn.TEXTJOIN(",",TRUE,B34:E34),SF_Output!$Q$1:$Q$400,"monthly")+SUMIFS(SF_Output!$G$1:$G$400,SF_Output!$AC$1:$AC$400,_xlfn.TEXTJOIN(",",TRUE,B34:E34),SF_Output!$Q$1:$Q$400,"monthly"))*H34,AND(B34&lt;&gt;"",H34=SF_Output!$Y$2,SUMIFS(SF_Output!$T$1:$T$400,SF_Output!$AC$1:$AC$400,_xlfn.TEXTJOIN(",",TRUE,B34:E34),SF_Output!$Q$1:$Q$400,"monthly")&lt;&gt;0),SUMIFS(SF_Output!$S$1:$S$400,SF_Output!$AC$1:$AC$400,_xlfn.TEXTJOIN(",",TRUE,B34:E34),SF_Output!$Q$1:$Q$400,"monthly"),AND(B34&lt;&gt;"",H34&lt;&gt;SF_Output!$Y$2),SUMIFS(SF_Output!$S$1:$S$400,SF_Output!$AC$1:$AC$400,_xlfn.TEXTJOIN(",",TRUE,B34:E34),SF_Output!$Q$1:$Q$400,"monthly"))</f>
        <v>0</v>
      </c>
      <c r="W34" s="112" t="str" cm="1">
        <f t="array" ref="W34">_xlfn.IFS(OR(B34=0,B34="",V34=0),"",AF34&lt;&gt;"exclusion",MAX($W$9,$W$7,(-(SUMIFS(SF_Output!$T$1:$T$400,SF_Output!$AC$1:$AC$400,_xlfn.TEXTJOIN(",",TRUE,$B34:$E34),SF_Output!$Q$1:$Q$400,"monthly"))/V34)),AF34="exclusion",-(SUMIFS(SF_Output!$T$1:$T$400,SF_Output!$AC$1:$AC$400,_xlfn.TEXTJOIN(",",TRUE,$B34:$E34),SF_Output!$Q$1:$Q$400,"monthly"))/V34)</f>
        <v/>
      </c>
      <c r="X34" s="6" cm="1">
        <f t="array" ref="X34">IFERROR(_xlfn.IFS(V34=0,0,V34="","",W34=0,V34,OR(V34&lt;&gt;0,V34&lt;&gt;""),H34*I34),V34*(1-W34))</f>
        <v>0</v>
      </c>
      <c r="Z34" s="6">
        <f>IFERROR(IF(B34="","",SUMIFS(Billing_Fallout!H:H,Billing_Fallout!N:N,B34)),0)</f>
        <v>0</v>
      </c>
      <c r="AA34" s="6">
        <f t="shared" si="4"/>
        <v>0</v>
      </c>
      <c r="AB34" s="6">
        <f>IFERROR(IF(B34="","",SUMIFS(Billing_Fallout!J:J,Billing_Fallout!N:N,B34)),0)</f>
        <v>0</v>
      </c>
      <c r="AD34" s="6">
        <f t="shared" si="5"/>
        <v>0</v>
      </c>
      <c r="AF34" t="str">
        <f>IFERROR(INDEX(H_Tables!$B$1:$B$1500,MATCH(INDEX(SF_Output!$J$1:$J$400,MATCH(B34,SF_Output!$M$1:$M$400,0)),H_Tables!$A$1:$A$1500,0)),"")</f>
        <v>Exclusion</v>
      </c>
      <c r="AI34" s="119" t="str">
        <f t="shared" si="6"/>
        <v/>
      </c>
      <c r="AJ34" s="121">
        <f>IFERROR(INDEX(SF_Output!AD:AD,MATCH(_xlfn.TEXTJOIN(",",TRUE,B34:E34),SF_Output!AC1:AC400,0)),0.05)</f>
        <v>115</v>
      </c>
      <c r="AK34" t="str">
        <f>IF(SUMIFS(SF_Output!$F$1:$F$400,SF_Output!$AC$1:$AC$400,_xlfn.TEXTJOIN(",",TRUE,B34:E34))+SUMIFS(SF_Output!$G$1:$G$400,SF_Output!$AC$1:$AC$400,_xlfn.TEXTJOIN(",",TRUE,B34:E34))=0,"","PAP")</f>
        <v/>
      </c>
      <c r="AQ34" s="35"/>
      <c r="AR34" s="35" t="str" cm="1">
        <f t="array" ref="AR34">IFERROR(_xlfn.IFS(AND(E34*1=1,F34="Included"),"Change to Included",AND(E34*1=0,F34="Optional"),"Change to Optional",OR(B34="",F34="replaced"),""),"")</f>
        <v/>
      </c>
      <c r="AS34" s="35" t="str">
        <f t="shared" si="7"/>
        <v/>
      </c>
      <c r="AT34" s="35" t="str">
        <f t="shared" si="8"/>
        <v/>
      </c>
      <c r="AU34" s="35" t="str">
        <f t="shared" si="9"/>
        <v/>
      </c>
      <c r="AV34" s="35" t="str">
        <f t="shared" si="10"/>
        <v/>
      </c>
      <c r="AW34" s="35" t="str">
        <f t="shared" si="11"/>
        <v/>
      </c>
      <c r="AX34" s="35" t="str">
        <f t="shared" si="12"/>
        <v/>
      </c>
      <c r="AY34" s="35" t="str">
        <f t="shared" si="13"/>
        <v/>
      </c>
      <c r="AZ34" s="35" t="str">
        <f t="shared" si="14"/>
        <v/>
      </c>
      <c r="BA34" s="35" t="str">
        <f t="shared" si="15"/>
        <v/>
      </c>
      <c r="BB34" s="35" t="str">
        <f t="shared" si="16"/>
        <v/>
      </c>
      <c r="BC34" s="35"/>
      <c r="BE34" s="35">
        <f ca="1">INDEX(SF_Output!$AA$2:$AA$400,MATCH($B34,SF_Output!$M$2:$M$400,0))</f>
        <v>2</v>
      </c>
      <c r="BF34" s="35">
        <f ca="1">INDEX(SF_Output!$AB$2:$AB$400,MATCH($B34,SF_Output!$M$2:$M$400,0))</f>
        <v>3</v>
      </c>
    </row>
    <row r="35" spans="2:58" x14ac:dyDescent="0.25">
      <c r="B35" t="s">
        <v>614</v>
      </c>
      <c r="C35" t="s">
        <v>2122</v>
      </c>
      <c r="D35" t="s">
        <v>2123</v>
      </c>
      <c r="E35" t="s">
        <v>2124</v>
      </c>
      <c r="F35" s="116" t="str">
        <f t="shared" si="0"/>
        <v>Included</v>
      </c>
      <c r="G35" t="str">
        <f>IF(B35="","",INDEX(SF_Output!$K$1:$K$400,MATCH(B35,SF_Output!$M$1:$M$400,0)))</f>
        <v>JHA OpenAnywhere</v>
      </c>
      <c r="H35" cm="1">
        <f t="array" ref="H35">_xlfn.IFS(B35="","",(SUMIFS(SF_Output!$F$1:$F$400,SF_Output!$AC$1:$AC$400,_xlfn.TEXTJOIN(",",TRUE,B35:E35))+SUMIFS(SF_Output!$G$1:$G$400,SF_Output!$AC$1:$AC$400,_xlfn.TEXTJOIN(",",TRUE,B35:E35)))&lt;&gt;0,SF_Output!$Y$2,INDEX(SF_Output!$F$1:$F$400,MATCH(_xlfn.TEXTJOIN(",",TRUE,B35:E35),SF_Output!$AC$1:$AC$400,0))=0,INDEX(SF_Output!$R$1:$R$400,MATCH(_xlfn.TEXTJOIN(",",TRUE,B35:E35),SF_Output!$AC$1:$AC$400,0)))</f>
        <v>5000</v>
      </c>
      <c r="I35" s="125">
        <f>IFERROR(IF(AND(H35&gt;1,H35&lt;&gt;""),ROUND(SUMIFS(SF_Output!$S$1:$S$400,SF_Output!$AC$1:$AC$400,_xlfn.TEXTJOIN(",",TRUE,B35:E35),SF_Output!$Q$1:$Q$400,"monthly")*(1-W35)/H35,4),""),"")</f>
        <v>0.33229999999999998</v>
      </c>
      <c r="J35" s="6">
        <f>IF(B35="","",SUMIFS(SF_Output!$S$1:$S$400,SF_Output!$AC$1:$AC$400,_xlfn.TEXTJOIN(",",TRUE,B35:E35),SF_Output!$Q$1:$Q$400,"One Time",SF_Output!$L$1:$L$400,"license fee")+SUMIFS(SF_Output!$S$1:$S$400,SF_Output!$AC$1:$AC$400,_xlfn.TEXTJOIN(",",TRUE,B35:E35),SF_Output!$Q$1:$Q$400,"One Time",SF_Output!$L$1:$L$400,"software license")+SUMIFS(SF_Output!$S$1:$S$400,SF_Output!$AC$1:$AC$400,_xlfn.TEXTJOIN(",",TRUE,B35:E35),SF_Output!$Q$1:$Q$400,"One Time",SF_Output!$L$1:$L$400,"hardware"))</f>
        <v>0</v>
      </c>
      <c r="K35" s="112" t="str">
        <f>IF(OR(B35=0,B35="",G35="hardware",J35=0),"",IF(AF35&lt;&gt;"exclusion",MAX(K$9,-((SUMIFS(SF_Output!$T$1:$T$400,SF_Output!$AC$1:$AC$400,_xlfn.TEXTJOIN(",",TRUE,$B35:$E35),SF_Output!$Q$1:$Q$400,"One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license"))/J35)))</f>
        <v/>
      </c>
      <c r="L35" s="6">
        <f t="shared" si="1"/>
        <v>0</v>
      </c>
      <c r="N35" s="6">
        <f>IF(B35="","",SUMIFS(SF_Output!$S$1:$S$400,SF_Output!$AC$1:$AC$400,_xlfn.TEXTJOIN(",",TRUE,B35:E35),SF_Output!$Q$1:$Q$400,"One Time",SF_Output!$L$1:$L$400,"professional service"))</f>
        <v>20800</v>
      </c>
      <c r="O35" s="112">
        <f>IF(OR(B35=0,B35="",N35=0),"",IF(AF35&lt;&gt;"exclusion",MAX(O$9,-(SUMIFS(SF_Output!$T$1:$T$400,SF_Output!$AC$1:$AC$400,_xlfn.TEXTJOIN(",",TRUE,$B35:$E35),SF_Output!$Q$1:$Q$400,"One Time",SF_Output!$L$1:$L$400,"professional service"))/N35),-((SUMIFS(SF_Output!$T$1:$T$400,SF_Output!$AC$1:$AC$400,_xlfn.TEXTJOIN(",",TRUE,$B35:$E35),SF_Output!$Q$1:$Q$400,"One Time",SF_Output!$L$1:$L$400,"professional service")/N35))))</f>
        <v>1</v>
      </c>
      <c r="P35" s="6">
        <f t="shared" si="2"/>
        <v>0</v>
      </c>
      <c r="R35" s="6">
        <f>IF(B35="","",SUMIFS(SF_Output!$S$1:$S$400,SF_Output!$AC$1:$AC$400,_xlfn.TEXTJOIN(",",TRUE,B35:E35),SF_Output!$Q$1:$Q$400,"yearly")+SUMIFS(SF_Output!$S$1:$S$400,SF_Output!$AC$1:$AC$400,_xlfn.TEXTJOIN(",",TRUE,B35:E35),SF_Output!$Q$1:$Q$400,"quarterly")*4)</f>
        <v>0</v>
      </c>
      <c r="S35" s="112" t="str">
        <f>IF(OR(B35=0,B35="",G35="hardware",R35=0),"",IF(AF35&lt;&gt;"exclusion",MAX(S$9,-(SUMIFS(SF_Output!$T$1:$T$400,SF_Output!$AC$1:$AC$400,_xlfn.TEXTJOIN(",",TRUE,$B35:$E35),SF_Output!$Q$1:$Q$400,"yearly"))/R35),-((SUMIFS(SF_Output!$T$1:$T$400,SF_Output!$AC$1:$AC$400,_xlfn.TEXTJOIN(",",TRUE,$B35:$E35),SF_Output!$Q$1:$Q$400,"yearly")/R35))))</f>
        <v/>
      </c>
      <c r="T35" s="6">
        <f t="shared" si="3"/>
        <v>0</v>
      </c>
      <c r="V35" s="6" cm="1">
        <f t="array" ref="V35">_xlfn.IFS(B35="","",AND(B35&lt;&gt;"",H35=SF_Output!$Y$2,SUMIFS(SF_Output!$T$1:$T$400,SF_Output!$AC$1:$AC$400,_xlfn.TEXTJOIN(",",TRUE,B35:E35),SF_Output!$Q$1:$Q$400,"monthly")=0),(SUMIFS(SF_Output!$F$1:$F$400,SF_Output!$AC$1:$AC$400,_xlfn.TEXTJOIN(",",TRUE,B35:E35),SF_Output!$Q$1:$Q$400,"monthly")+SUMIFS(SF_Output!$G$1:$G$400,SF_Output!$AC$1:$AC$400,_xlfn.TEXTJOIN(",",TRUE,B35:E35),SF_Output!$Q$1:$Q$400,"monthly"))*H35,AND(B35&lt;&gt;"",H35=SF_Output!$Y$2,SUMIFS(SF_Output!$T$1:$T$400,SF_Output!$AC$1:$AC$400,_xlfn.TEXTJOIN(",",TRUE,B35:E35),SF_Output!$Q$1:$Q$400,"monthly")&lt;&gt;0),SUMIFS(SF_Output!$S$1:$S$400,SF_Output!$AC$1:$AC$400,_xlfn.TEXTJOIN(",",TRUE,B35:E35),SF_Output!$Q$1:$Q$400,"monthly"),AND(B35&lt;&gt;"",H35&lt;&gt;SF_Output!$Y$2),SUMIFS(SF_Output!$S$1:$S$400,SF_Output!$AC$1:$AC$400,_xlfn.TEXTJOIN(",",TRUE,B35:E35),SF_Output!$Q$1:$Q$400,"monthly"))</f>
        <v>2215</v>
      </c>
      <c r="W35" s="112" cm="1">
        <f t="array" ref="W35">_xlfn.IFS(OR(B35=0,B35="",V35=0),"",AF35&lt;&gt;"exclusion",MAX($W$9,$W$7,(-(SUMIFS(SF_Output!$T$1:$T$400,SF_Output!$AC$1:$AC$400,_xlfn.TEXTJOIN(",",TRUE,$B35:$E35),SF_Output!$Q$1:$Q$400,"monthly"))/V35)),AF35="exclusion",-(SUMIFS(SF_Output!$T$1:$T$400,SF_Output!$AC$1:$AC$400,_xlfn.TEXTJOIN(",",TRUE,$B35:$E35),SF_Output!$Q$1:$Q$400,"monthly"))/V35)</f>
        <v>0.25</v>
      </c>
      <c r="X35" s="6" cm="1">
        <f t="array" ref="X35">IFERROR(_xlfn.IFS(V35=0,0,V35="","",W35=0,V35,OR(V35&lt;&gt;0,V35&lt;&gt;""),H35*I35),V35*(1-W35))</f>
        <v>1661.5</v>
      </c>
      <c r="Z35" s="6">
        <f>IFERROR(IF(B35="","",SUMIFS(Billing_Fallout!H:H,Billing_Fallout!N:N,B35)),0)</f>
        <v>0</v>
      </c>
      <c r="AA35" s="6">
        <f t="shared" si="4"/>
        <v>0</v>
      </c>
      <c r="AB35" s="6">
        <f>IFERROR(IF(B35="","",SUMIFS(Billing_Fallout!J:J,Billing_Fallout!N:N,B35)),0)</f>
        <v>0</v>
      </c>
      <c r="AD35" s="6">
        <f t="shared" si="5"/>
        <v>1661.5</v>
      </c>
      <c r="AF35" t="str">
        <f>IFERROR(INDEX(H_Tables!$B$1:$B$1500,MATCH(INDEX(SF_Output!$J$1:$J$400,MATCH(B35,SF_Output!$M$1:$M$400,0)),H_Tables!$A$1:$A$1500,0)),"")</f>
        <v>Exclusion</v>
      </c>
      <c r="AI35" s="119" t="str">
        <f t="shared" si="6"/>
        <v/>
      </c>
      <c r="AJ35" s="121">
        <f>IFERROR(INDEX(SF_Output!AD:AD,MATCH(_xlfn.TEXTJOIN(",",TRUE,B35:E35),SF_Output!AC1:AC400,0)),0.05)</f>
        <v>38</v>
      </c>
      <c r="AK35" t="str">
        <f>IF(SUMIFS(SF_Output!$F$1:$F$400,SF_Output!$AC$1:$AC$400,_xlfn.TEXTJOIN(",",TRUE,B35:E35))+SUMIFS(SF_Output!$G$1:$G$400,SF_Output!$AC$1:$AC$400,_xlfn.TEXTJOIN(",",TRUE,B35:E35))=0,"","PAP")</f>
        <v>PAP</v>
      </c>
      <c r="AQ35" s="35"/>
      <c r="AR35" s="35" t="str" cm="1">
        <f t="array" ref="AR35">IFERROR(_xlfn.IFS(AND(E35*1=1,F35="Included"),"Change to Included",AND(E35*1=0,F35="Optional"),"Change to Optional",OR(B35="",F35="replaced"),""),"")</f>
        <v/>
      </c>
      <c r="AS35" s="35" t="str">
        <f t="shared" si="7"/>
        <v/>
      </c>
      <c r="AT35" s="35" t="str">
        <f t="shared" si="8"/>
        <v/>
      </c>
      <c r="AU35" s="35" t="str">
        <f t="shared" si="9"/>
        <v/>
      </c>
      <c r="AV35" s="35" t="str">
        <f t="shared" si="10"/>
        <v/>
      </c>
      <c r="AW35" s="35" t="str">
        <f t="shared" si="11"/>
        <v/>
      </c>
      <c r="AX35" s="35" t="str">
        <f t="shared" si="12"/>
        <v/>
      </c>
      <c r="AY35" s="35" t="str">
        <f t="shared" si="13"/>
        <v/>
      </c>
      <c r="AZ35" s="35" t="str">
        <f t="shared" si="14"/>
        <v/>
      </c>
      <c r="BA35" s="35" t="str">
        <f t="shared" si="15"/>
        <v/>
      </c>
      <c r="BB35" s="35" t="str">
        <f t="shared" si="16"/>
        <v/>
      </c>
      <c r="BC35" s="35"/>
      <c r="BE35" s="35">
        <f ca="1">INDEX(SF_Output!$AA$2:$AA$400,MATCH($B35,SF_Output!$M$2:$M$400,0))</f>
        <v>3</v>
      </c>
      <c r="BF35" s="35">
        <f ca="1">INDEX(SF_Output!$AB$2:$AB$400,MATCH($B35,SF_Output!$M$2:$M$400,0))</f>
        <v>2</v>
      </c>
    </row>
    <row r="36" spans="2:58" x14ac:dyDescent="0.25">
      <c r="B36" t="s">
        <v>1822</v>
      </c>
      <c r="C36" t="s">
        <v>2122</v>
      </c>
      <c r="D36" t="s">
        <v>2123</v>
      </c>
      <c r="E36" t="s">
        <v>2124</v>
      </c>
      <c r="F36" s="116" t="str">
        <f t="shared" si="0"/>
        <v>Included</v>
      </c>
      <c r="G36" t="str">
        <f>IF(B36="","",INDEX(SF_Output!$K$1:$K$400,MATCH(B36,SF_Output!$M$1:$M$400,0)))</f>
        <v>JHA OpenAnywhere</v>
      </c>
      <c r="H36" cm="1">
        <f t="array" ref="H36">_xlfn.IFS(B36="","",(SUMIFS(SF_Output!$F$1:$F$400,SF_Output!$AC$1:$AC$400,_xlfn.TEXTJOIN(",",TRUE,B36:E36))+SUMIFS(SF_Output!$G$1:$G$400,SF_Output!$AC$1:$AC$400,_xlfn.TEXTJOIN(",",TRUE,B36:E36)))&lt;&gt;0,SF_Output!$Y$2,INDEX(SF_Output!$F$1:$F$400,MATCH(_xlfn.TEXTJOIN(",",TRUE,B36:E36),SF_Output!$AC$1:$AC$400,0))=0,INDEX(SF_Output!$R$1:$R$400,MATCH(_xlfn.TEXTJOIN(",",TRUE,B36:E36),SF_Output!$AC$1:$AC$400,0)))</f>
        <v>1</v>
      </c>
      <c r="I36" s="125" t="str">
        <f>IFERROR(IF(AND(H36&gt;1,H36&lt;&gt;""),ROUND(SUMIFS(SF_Output!$S$1:$S$400,SF_Output!$AC$1:$AC$400,_xlfn.TEXTJOIN(",",TRUE,B36:E36),SF_Output!$Q$1:$Q$400,"monthly")*(1-W36)/H36,4),""),"")</f>
        <v/>
      </c>
      <c r="J36" s="6">
        <f>IF(B36="","",SUMIFS(SF_Output!$S$1:$S$400,SF_Output!$AC$1:$AC$400,_xlfn.TEXTJOIN(",",TRUE,B36:E36),SF_Output!$Q$1:$Q$400,"One Time",SF_Output!$L$1:$L$400,"license fee")+SUMIFS(SF_Output!$S$1:$S$400,SF_Output!$AC$1:$AC$400,_xlfn.TEXTJOIN(",",TRUE,B36:E36),SF_Output!$Q$1:$Q$400,"One Time",SF_Output!$L$1:$L$400,"software license")+SUMIFS(SF_Output!$S$1:$S$400,SF_Output!$AC$1:$AC$400,_xlfn.TEXTJOIN(",",TRUE,B36:E36),SF_Output!$Q$1:$Q$400,"One Time",SF_Output!$L$1:$L$400,"hardware"))</f>
        <v>0</v>
      </c>
      <c r="K36" s="112" t="str">
        <f>IF(OR(B36=0,B36="",G36="hardware",J36=0),"",IF(AF36&lt;&gt;"exclusion",MAX(K$9,-((SUMIFS(SF_Output!$T$1:$T$400,SF_Output!$AC$1:$AC$400,_xlfn.TEXTJOIN(",",TRUE,$B36:$E36),SF_Output!$Q$1:$Q$400,"One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license"))/J36)))</f>
        <v/>
      </c>
      <c r="L36" s="6">
        <f t="shared" si="1"/>
        <v>0</v>
      </c>
      <c r="N36" s="6">
        <f>IF(B36="","",SUMIFS(SF_Output!$S$1:$S$400,SF_Output!$AC$1:$AC$400,_xlfn.TEXTJOIN(",",TRUE,B36:E36),SF_Output!$Q$1:$Q$400,"One Time",SF_Output!$L$1:$L$400,"professional service"))</f>
        <v>2500</v>
      </c>
      <c r="O36" s="112">
        <f>IF(OR(B36=0,B36="",N36=0),"",IF(AF36&lt;&gt;"exclusion",MAX(O$9,-(SUMIFS(SF_Output!$T$1:$T$400,SF_Output!$AC$1:$AC$400,_xlfn.TEXTJOIN(",",TRUE,$B36:$E36),SF_Output!$Q$1:$Q$400,"One Time",SF_Output!$L$1:$L$400,"professional service"))/N36),-((SUMIFS(SF_Output!$T$1:$T$400,SF_Output!$AC$1:$AC$400,_xlfn.TEXTJOIN(",",TRUE,$B36:$E36),SF_Output!$Q$1:$Q$400,"One Time",SF_Output!$L$1:$L$400,"professional service")/N36))))</f>
        <v>1</v>
      </c>
      <c r="P36" s="6">
        <f t="shared" si="2"/>
        <v>0</v>
      </c>
      <c r="R36" s="6">
        <f>IF(B36="","",SUMIFS(SF_Output!$S$1:$S$400,SF_Output!$AC$1:$AC$400,_xlfn.TEXTJOIN(",",TRUE,B36:E36),SF_Output!$Q$1:$Q$400,"yearly")+SUMIFS(SF_Output!$S$1:$S$400,SF_Output!$AC$1:$AC$400,_xlfn.TEXTJOIN(",",TRUE,B36:E36),SF_Output!$Q$1:$Q$400,"quarterly")*4)</f>
        <v>0</v>
      </c>
      <c r="S36" s="112" t="str">
        <f>IF(OR(B36=0,B36="",G36="hardware",R36=0),"",IF(AF36&lt;&gt;"exclusion",MAX(S$9,-(SUMIFS(SF_Output!$T$1:$T$400,SF_Output!$AC$1:$AC$400,_xlfn.TEXTJOIN(",",TRUE,$B36:$E36),SF_Output!$Q$1:$Q$400,"yearly"))/R36),-((SUMIFS(SF_Output!$T$1:$T$400,SF_Output!$AC$1:$AC$400,_xlfn.TEXTJOIN(",",TRUE,$B36:$E36),SF_Output!$Q$1:$Q$400,"yearly")/R36))))</f>
        <v/>
      </c>
      <c r="T36" s="6">
        <f t="shared" si="3"/>
        <v>0</v>
      </c>
      <c r="V36" s="6" cm="1">
        <f t="array" ref="V36">_xlfn.IFS(B36="","",AND(B36&lt;&gt;"",H36=SF_Output!$Y$2,SUMIFS(SF_Output!$T$1:$T$400,SF_Output!$AC$1:$AC$400,_xlfn.TEXTJOIN(",",TRUE,B36:E36),SF_Output!$Q$1:$Q$400,"monthly")=0),(SUMIFS(SF_Output!$F$1:$F$400,SF_Output!$AC$1:$AC$400,_xlfn.TEXTJOIN(",",TRUE,B36:E36),SF_Output!$Q$1:$Q$400,"monthly")+SUMIFS(SF_Output!$G$1:$G$400,SF_Output!$AC$1:$AC$400,_xlfn.TEXTJOIN(",",TRUE,B36:E36),SF_Output!$Q$1:$Q$400,"monthly"))*H36,AND(B36&lt;&gt;"",H36=SF_Output!$Y$2,SUMIFS(SF_Output!$T$1:$T$400,SF_Output!$AC$1:$AC$400,_xlfn.TEXTJOIN(",",TRUE,B36:E36),SF_Output!$Q$1:$Q$400,"monthly")&lt;&gt;0),SUMIFS(SF_Output!$S$1:$S$400,SF_Output!$AC$1:$AC$400,_xlfn.TEXTJOIN(",",TRUE,B36:E36),SF_Output!$Q$1:$Q$400,"monthly"),AND(B36&lt;&gt;"",H36&lt;&gt;SF_Output!$Y$2),SUMIFS(SF_Output!$S$1:$S$400,SF_Output!$AC$1:$AC$400,_xlfn.TEXTJOIN(",",TRUE,B36:E36),SF_Output!$Q$1:$Q$400,"monthly"))</f>
        <v>0</v>
      </c>
      <c r="W36" s="112" t="str" cm="1">
        <f t="array" ref="W36">_xlfn.IFS(OR(B36=0,B36="",V36=0),"",AF36&lt;&gt;"exclusion",MAX($W$9,$W$7,(-(SUMIFS(SF_Output!$T$1:$T$400,SF_Output!$AC$1:$AC$400,_xlfn.TEXTJOIN(",",TRUE,$B36:$E36),SF_Output!$Q$1:$Q$400,"monthly"))/V36)),AF36="exclusion",-(SUMIFS(SF_Output!$T$1:$T$400,SF_Output!$AC$1:$AC$400,_xlfn.TEXTJOIN(",",TRUE,$B36:$E36),SF_Output!$Q$1:$Q$400,"monthly"))/V36)</f>
        <v/>
      </c>
      <c r="X36" s="6" cm="1">
        <f t="array" ref="X36">IFERROR(_xlfn.IFS(V36=0,0,V36="","",W36=0,V36,OR(V36&lt;&gt;0,V36&lt;&gt;""),H36*I36),V36*(1-W36))</f>
        <v>0</v>
      </c>
      <c r="Z36" s="6">
        <f>IFERROR(IF(B36="","",SUMIFS(Billing_Fallout!H:H,Billing_Fallout!N:N,B36)),0)</f>
        <v>0</v>
      </c>
      <c r="AA36" s="6">
        <f t="shared" si="4"/>
        <v>0</v>
      </c>
      <c r="AB36" s="6">
        <f>IFERROR(IF(B36="","",SUMIFS(Billing_Fallout!J:J,Billing_Fallout!N:N,B36)),0)</f>
        <v>0</v>
      </c>
      <c r="AD36" s="6">
        <f t="shared" si="5"/>
        <v>0</v>
      </c>
      <c r="AF36" t="str">
        <f>IFERROR(INDEX(H_Tables!$B$1:$B$1500,MATCH(INDEX(SF_Output!$J$1:$J$400,MATCH(B36,SF_Output!$M$1:$M$400,0)),H_Tables!$A$1:$A$1500,0)),"")</f>
        <v>Exclusion</v>
      </c>
      <c r="AI36" s="119" t="str">
        <f t="shared" si="6"/>
        <v/>
      </c>
      <c r="AJ36" s="121">
        <f>IFERROR(INDEX(SF_Output!AD:AD,MATCH(_xlfn.TEXTJOIN(",",TRUE,B36:E36),SF_Output!AC1:AC400,0)),0.05)</f>
        <v>40</v>
      </c>
      <c r="AK36" t="str">
        <f>IF(SUMIFS(SF_Output!$F$1:$F$400,SF_Output!$AC$1:$AC$400,_xlfn.TEXTJOIN(",",TRUE,B36:E36))+SUMIFS(SF_Output!$G$1:$G$400,SF_Output!$AC$1:$AC$400,_xlfn.TEXTJOIN(",",TRUE,B36:E36))=0,"","PAP")</f>
        <v/>
      </c>
      <c r="AQ36" s="35"/>
      <c r="AR36" s="35" t="str" cm="1">
        <f t="array" ref="AR36">IFERROR(_xlfn.IFS(AND(E36*1=1,F36="Included"),"Change to Included",AND(E36*1=0,F36="Optional"),"Change to Optional",OR(B36="",F36="replaced"),""),"")</f>
        <v/>
      </c>
      <c r="AS36" s="35" t="str">
        <f t="shared" si="7"/>
        <v/>
      </c>
      <c r="AT36" s="35" t="str">
        <f t="shared" si="8"/>
        <v/>
      </c>
      <c r="AU36" s="35" t="str">
        <f t="shared" si="9"/>
        <v/>
      </c>
      <c r="AV36" s="35" t="str">
        <f t="shared" si="10"/>
        <v/>
      </c>
      <c r="AW36" s="35" t="str">
        <f t="shared" si="11"/>
        <v/>
      </c>
      <c r="AX36" s="35" t="str">
        <f t="shared" si="12"/>
        <v/>
      </c>
      <c r="AY36" s="35" t="str">
        <f t="shared" si="13"/>
        <v/>
      </c>
      <c r="AZ36" s="35" t="str">
        <f t="shared" si="14"/>
        <v/>
      </c>
      <c r="BA36" s="35" t="str">
        <f t="shared" si="15"/>
        <v/>
      </c>
      <c r="BB36" s="35" t="str">
        <f t="shared" si="16"/>
        <v/>
      </c>
      <c r="BC36" s="35"/>
      <c r="BE36" s="35">
        <f ca="1">INDEX(SF_Output!$AA$2:$AA$400,MATCH($B36,SF_Output!$M$2:$M$400,0))</f>
        <v>3</v>
      </c>
      <c r="BF36" s="35">
        <f ca="1">INDEX(SF_Output!$AB$2:$AB$400,MATCH($B36,SF_Output!$M$2:$M$400,0))</f>
        <v>2</v>
      </c>
    </row>
    <row r="37" spans="2:58" x14ac:dyDescent="0.25">
      <c r="B37" t="s">
        <v>1441</v>
      </c>
      <c r="C37" t="s">
        <v>2122</v>
      </c>
      <c r="D37" t="s">
        <v>2123</v>
      </c>
      <c r="E37" t="s">
        <v>2150</v>
      </c>
      <c r="F37" s="116" t="str">
        <f t="shared" si="0"/>
        <v>Optional</v>
      </c>
      <c r="G37" t="str">
        <f>IF(B37="","",INDEX(SF_Output!$K$1:$K$400,MATCH(B37,SF_Output!$M$1:$M$400,0)))</f>
        <v>JHA OpenAnywhere</v>
      </c>
      <c r="H37" cm="1">
        <f t="array" ref="H37">_xlfn.IFS(B37="","",(SUMIFS(SF_Output!$F$1:$F$400,SF_Output!$AC$1:$AC$400,_xlfn.TEXTJOIN(",",TRUE,B37:E37))+SUMIFS(SF_Output!$G$1:$G$400,SF_Output!$AC$1:$AC$400,_xlfn.TEXTJOIN(",",TRUE,B37:E37)))&lt;&gt;0,SF_Output!$Y$2,INDEX(SF_Output!$F$1:$F$400,MATCH(_xlfn.TEXTJOIN(",",TRUE,B37:E37),SF_Output!$AC$1:$AC$400,0))=0,INDEX(SF_Output!$R$1:$R$400,MATCH(_xlfn.TEXTJOIN(",",TRUE,B37:E37),SF_Output!$AC$1:$AC$400,0)))</f>
        <v>1</v>
      </c>
      <c r="I37" s="125" t="str">
        <f>IFERROR(IF(AND(H37&gt;1,H37&lt;&gt;""),ROUND(SUMIFS(SF_Output!$S$1:$S$400,SF_Output!$AC$1:$AC$400,_xlfn.TEXTJOIN(",",TRUE,B37:E37),SF_Output!$Q$1:$Q$400,"monthly")*(1-W37)/H37,4),""),"")</f>
        <v/>
      </c>
      <c r="J37" s="6">
        <f>IF(B37="","",SUMIFS(SF_Output!$S$1:$S$400,SF_Output!$AC$1:$AC$400,_xlfn.TEXTJOIN(",",TRUE,B37:E37),SF_Output!$Q$1:$Q$400,"One Time",SF_Output!$L$1:$L$400,"license fee")+SUMIFS(SF_Output!$S$1:$S$400,SF_Output!$AC$1:$AC$400,_xlfn.TEXTJOIN(",",TRUE,B37:E37),SF_Output!$Q$1:$Q$400,"One Time",SF_Output!$L$1:$L$400,"software license")+SUMIFS(SF_Output!$S$1:$S$400,SF_Output!$AC$1:$AC$400,_xlfn.TEXTJOIN(",",TRUE,B37:E37),SF_Output!$Q$1:$Q$400,"One Time",SF_Output!$L$1:$L$400,"hardware"))</f>
        <v>0</v>
      </c>
      <c r="K37" s="112" t="str">
        <f>IF(OR(B37=0,B37="",G37="hardware",J37=0),"",IF(AF37&lt;&gt;"exclusion",MAX(K$9,-((SUMIFS(SF_Output!$T$1:$T$400,SF_Output!$AC$1:$AC$400,_xlfn.TEXTJOIN(",",TRUE,$B37:$E37),SF_Output!$Q$1:$Q$400,"One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license"))/J37)))</f>
        <v/>
      </c>
      <c r="L37" s="6">
        <f t="shared" si="1"/>
        <v>0</v>
      </c>
      <c r="N37" s="6">
        <f>IF(B37="","",SUMIFS(SF_Output!$S$1:$S$400,SF_Output!$AC$1:$AC$400,_xlfn.TEXTJOIN(",",TRUE,B37:E37),SF_Output!$Q$1:$Q$400,"One Time",SF_Output!$L$1:$L$400,"professional service"))</f>
        <v>0</v>
      </c>
      <c r="O37" s="112" t="str">
        <f>IF(OR(B37=0,B37="",N37=0),"",IF(AF37&lt;&gt;"exclusion",MAX(O$9,-(SUMIFS(SF_Output!$T$1:$T$400,SF_Output!$AC$1:$AC$400,_xlfn.TEXTJOIN(",",TRUE,$B37:$E37),SF_Output!$Q$1:$Q$400,"One Time",SF_Output!$L$1:$L$400,"professional service"))/N37),-((SUMIFS(SF_Output!$T$1:$T$400,SF_Output!$AC$1:$AC$400,_xlfn.TEXTJOIN(",",TRUE,$B37:$E37),SF_Output!$Q$1:$Q$400,"One Time",SF_Output!$L$1:$L$400,"professional service")/N37))))</f>
        <v/>
      </c>
      <c r="P37" s="6">
        <f t="shared" si="2"/>
        <v>0</v>
      </c>
      <c r="R37" s="6">
        <f>IF(B37="","",SUMIFS(SF_Output!$S$1:$S$400,SF_Output!$AC$1:$AC$400,_xlfn.TEXTJOIN(",",TRUE,B37:E37),SF_Output!$Q$1:$Q$400,"yearly")+SUMIFS(SF_Output!$S$1:$S$400,SF_Output!$AC$1:$AC$400,_xlfn.TEXTJOIN(",",TRUE,B37:E37),SF_Output!$Q$1:$Q$400,"quarterly")*4)</f>
        <v>0</v>
      </c>
      <c r="S37" s="112" t="str">
        <f>IF(OR(B37=0,B37="",G37="hardware",R37=0),"",IF(AF37&lt;&gt;"exclusion",MAX(S$9,-(SUMIFS(SF_Output!$T$1:$T$400,SF_Output!$AC$1:$AC$400,_xlfn.TEXTJOIN(",",TRUE,$B37:$E37),SF_Output!$Q$1:$Q$400,"yearly"))/R37),-((SUMIFS(SF_Output!$T$1:$T$400,SF_Output!$AC$1:$AC$400,_xlfn.TEXTJOIN(",",TRUE,$B37:$E37),SF_Output!$Q$1:$Q$400,"yearly")/R37))))</f>
        <v/>
      </c>
      <c r="T37" s="6">
        <f t="shared" si="3"/>
        <v>0</v>
      </c>
      <c r="V37" s="6" cm="1">
        <f t="array" ref="V37">_xlfn.IFS(B37="","",AND(B37&lt;&gt;"",H37=SF_Output!$Y$2,SUMIFS(SF_Output!$T$1:$T$400,SF_Output!$AC$1:$AC$400,_xlfn.TEXTJOIN(",",TRUE,B37:E37),SF_Output!$Q$1:$Q$400,"monthly")=0),(SUMIFS(SF_Output!$F$1:$F$400,SF_Output!$AC$1:$AC$400,_xlfn.TEXTJOIN(",",TRUE,B37:E37),SF_Output!$Q$1:$Q$400,"monthly")+SUMIFS(SF_Output!$G$1:$G$400,SF_Output!$AC$1:$AC$400,_xlfn.TEXTJOIN(",",TRUE,B37:E37),SF_Output!$Q$1:$Q$400,"monthly"))*H37,AND(B37&lt;&gt;"",H37=SF_Output!$Y$2,SUMIFS(SF_Output!$T$1:$T$400,SF_Output!$AC$1:$AC$400,_xlfn.TEXTJOIN(",",TRUE,B37:E37),SF_Output!$Q$1:$Q$400,"monthly")&lt;&gt;0),SUMIFS(SF_Output!$S$1:$S$400,SF_Output!$AC$1:$AC$400,_xlfn.TEXTJOIN(",",TRUE,B37:E37),SF_Output!$Q$1:$Q$400,"monthly"),AND(B37&lt;&gt;"",H37&lt;&gt;SF_Output!$Y$2),SUMIFS(SF_Output!$S$1:$S$400,SF_Output!$AC$1:$AC$400,_xlfn.TEXTJOIN(",",TRUE,B37:E37),SF_Output!$Q$1:$Q$400,"monthly"))</f>
        <v>375</v>
      </c>
      <c r="W37" s="112" cm="1">
        <f t="array" ref="W37">_xlfn.IFS(OR(B37=0,B37="",V37=0),"",AF37&lt;&gt;"exclusion",MAX($W$9,$W$7,(-(SUMIFS(SF_Output!$T$1:$T$400,SF_Output!$AC$1:$AC$400,_xlfn.TEXTJOIN(",",TRUE,$B37:$E37),SF_Output!$Q$1:$Q$400,"monthly"))/V37)),AF37="exclusion",-(SUMIFS(SF_Output!$T$1:$T$400,SF_Output!$AC$1:$AC$400,_xlfn.TEXTJOIN(",",TRUE,$B37:$E37),SF_Output!$Q$1:$Q$400,"monthly"))/V37)</f>
        <v>0</v>
      </c>
      <c r="X37" s="6" cm="1">
        <f t="array" ref="X37">IFERROR(_xlfn.IFS(V37=0,0,V37="","",W37=0,V37,OR(V37&lt;&gt;0,V37&lt;&gt;""),H37*I37),V37*(1-W37))</f>
        <v>375</v>
      </c>
      <c r="Z37" s="6">
        <f>IFERROR(IF(B37="","",SUMIFS(Billing_Fallout!H:H,Billing_Fallout!N:N,B37)),0)</f>
        <v>0</v>
      </c>
      <c r="AA37" s="6">
        <f t="shared" si="4"/>
        <v>0</v>
      </c>
      <c r="AB37" s="6">
        <f>IFERROR(IF(B37="","",SUMIFS(Billing_Fallout!J:J,Billing_Fallout!N:N,B37)),0)</f>
        <v>0</v>
      </c>
      <c r="AD37" s="6">
        <f t="shared" si="5"/>
        <v>375</v>
      </c>
      <c r="AF37" t="str">
        <f>IFERROR(INDEX(H_Tables!$B$1:$B$1500,MATCH(INDEX(SF_Output!$J$1:$J$400,MATCH(B37,SF_Output!$M$1:$M$400,0)),H_Tables!$A$1:$A$1500,0)),"")</f>
        <v>Exclusion</v>
      </c>
      <c r="AI37" s="119" t="str">
        <f t="shared" si="6"/>
        <v/>
      </c>
      <c r="AJ37" s="121">
        <f>IFERROR(INDEX(SF_Output!AD:AD,MATCH(_xlfn.TEXTJOIN(",",TRUE,B37:E37),SF_Output!AC1:AC400,0)),0.05)</f>
        <v>41</v>
      </c>
      <c r="AK37" t="str">
        <f>IF(SUMIFS(SF_Output!$F$1:$F$400,SF_Output!$AC$1:$AC$400,_xlfn.TEXTJOIN(",",TRUE,B37:E37))+SUMIFS(SF_Output!$G$1:$G$400,SF_Output!$AC$1:$AC$400,_xlfn.TEXTJOIN(",",TRUE,B37:E37))=0,"","PAP")</f>
        <v/>
      </c>
      <c r="AQ37" s="35"/>
      <c r="AR37" s="35" t="str" cm="1">
        <f t="array" ref="AR37">IFERROR(_xlfn.IFS(AND(E37*1=1,F37="Included"),"Change to Included",AND(E37*1=0,F37="Optional"),"Change to Optional",OR(B37="",F37="replaced"),""),"")</f>
        <v/>
      </c>
      <c r="AS37" s="35" t="str">
        <f t="shared" si="7"/>
        <v/>
      </c>
      <c r="AT37" s="35" t="str">
        <f t="shared" si="8"/>
        <v/>
      </c>
      <c r="AU37" s="35" t="str">
        <f t="shared" si="9"/>
        <v/>
      </c>
      <c r="AV37" s="35" t="str">
        <f t="shared" si="10"/>
        <v/>
      </c>
      <c r="AW37" s="35" t="str">
        <f t="shared" si="11"/>
        <v/>
      </c>
      <c r="AX37" s="35" t="str">
        <f t="shared" si="12"/>
        <v/>
      </c>
      <c r="AY37" s="35" t="str">
        <f t="shared" si="13"/>
        <v/>
      </c>
      <c r="AZ37" s="35" t="str">
        <f t="shared" si="14"/>
        <v/>
      </c>
      <c r="BA37" s="35" t="str">
        <f t="shared" si="15"/>
        <v/>
      </c>
      <c r="BB37" s="35" t="str">
        <f t="shared" si="16"/>
        <v/>
      </c>
      <c r="BC37" s="35"/>
      <c r="BE37" s="35">
        <f ca="1">INDEX(SF_Output!$AA$2:$AA$400,MATCH($B37,SF_Output!$M$2:$M$400,0))</f>
        <v>3</v>
      </c>
      <c r="BF37" s="35">
        <f ca="1">INDEX(SF_Output!$AB$2:$AB$400,MATCH($B37,SF_Output!$M$2:$M$400,0))</f>
        <v>2</v>
      </c>
    </row>
    <row r="38" spans="2:58" x14ac:dyDescent="0.25">
      <c r="B38" t="s">
        <v>1443</v>
      </c>
      <c r="C38" t="s">
        <v>2122</v>
      </c>
      <c r="D38" t="s">
        <v>2123</v>
      </c>
      <c r="E38" t="s">
        <v>2124</v>
      </c>
      <c r="F38" s="116" t="str">
        <f t="shared" si="0"/>
        <v>Included</v>
      </c>
      <c r="G38" t="str">
        <f>IF(B38="","",INDEX(SF_Output!$K$1:$K$400,MATCH(B38,SF_Output!$M$1:$M$400,0)))</f>
        <v>JHA OpenAnywhere</v>
      </c>
      <c r="H38" cm="1">
        <f t="array" ref="H38">_xlfn.IFS(B38="","",(SUMIFS(SF_Output!$F$1:$F$400,SF_Output!$AC$1:$AC$400,_xlfn.TEXTJOIN(",",TRUE,B38:E38))+SUMIFS(SF_Output!$G$1:$G$400,SF_Output!$AC$1:$AC$400,_xlfn.TEXTJOIN(",",TRUE,B38:E38)))&lt;&gt;0,SF_Output!$Y$2,INDEX(SF_Output!$F$1:$F$400,MATCH(_xlfn.TEXTJOIN(",",TRUE,B38:E38),SF_Output!$AC$1:$AC$400,0))=0,INDEX(SF_Output!$R$1:$R$400,MATCH(_xlfn.TEXTJOIN(",",TRUE,B38:E38),SF_Output!$AC$1:$AC$400,0)))</f>
        <v>1</v>
      </c>
      <c r="I38" s="125" t="str">
        <f>IFERROR(IF(AND(H38&gt;1,H38&lt;&gt;""),ROUND(SUMIFS(SF_Output!$S$1:$S$400,SF_Output!$AC$1:$AC$400,_xlfn.TEXTJOIN(",",TRUE,B38:E38),SF_Output!$Q$1:$Q$400,"monthly")*(1-W38)/H38,4),""),"")</f>
        <v/>
      </c>
      <c r="J38" s="6">
        <f>IF(B38="","",SUMIFS(SF_Output!$S$1:$S$400,SF_Output!$AC$1:$AC$400,_xlfn.TEXTJOIN(",",TRUE,B38:E38),SF_Output!$Q$1:$Q$400,"One Time",SF_Output!$L$1:$L$400,"license fee")+SUMIFS(SF_Output!$S$1:$S$400,SF_Output!$AC$1:$AC$400,_xlfn.TEXTJOIN(",",TRUE,B38:E38),SF_Output!$Q$1:$Q$400,"One Time",SF_Output!$L$1:$L$400,"software license")+SUMIFS(SF_Output!$S$1:$S$400,SF_Output!$AC$1:$AC$400,_xlfn.TEXTJOIN(",",TRUE,B38:E38),SF_Output!$Q$1:$Q$400,"One Time",SF_Output!$L$1:$L$400,"hardware"))</f>
        <v>0</v>
      </c>
      <c r="K38" s="112" t="str">
        <f>IF(OR(B38=0,B38="",G38="hardware",J38=0),"",IF(AF38&lt;&gt;"exclusion",MAX(K$9,-((SUMIFS(SF_Output!$T$1:$T$400,SF_Output!$AC$1:$AC$400,_xlfn.TEXTJOIN(",",TRUE,$B38:$E38),SF_Output!$Q$1:$Q$400,"One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license"))/J38)))</f>
        <v/>
      </c>
      <c r="L38" s="6">
        <f t="shared" si="1"/>
        <v>0</v>
      </c>
      <c r="N38" s="6">
        <f>IF(B38="","",SUMIFS(SF_Output!$S$1:$S$400,SF_Output!$AC$1:$AC$400,_xlfn.TEXTJOIN(",",TRUE,B38:E38),SF_Output!$Q$1:$Q$400,"One Time",SF_Output!$L$1:$L$400,"professional service"))</f>
        <v>0</v>
      </c>
      <c r="O38" s="112" t="str">
        <f>IF(OR(B38=0,B38="",N38=0),"",IF(AF38&lt;&gt;"exclusion",MAX(O$9,-(SUMIFS(SF_Output!$T$1:$T$400,SF_Output!$AC$1:$AC$400,_xlfn.TEXTJOIN(",",TRUE,$B38:$E38),SF_Output!$Q$1:$Q$400,"One Time",SF_Output!$L$1:$L$400,"professional service"))/N38),-((SUMIFS(SF_Output!$T$1:$T$400,SF_Output!$AC$1:$AC$400,_xlfn.TEXTJOIN(",",TRUE,$B38:$E38),SF_Output!$Q$1:$Q$400,"One Time",SF_Output!$L$1:$L$400,"professional service")/N38))))</f>
        <v/>
      </c>
      <c r="P38" s="6">
        <f t="shared" si="2"/>
        <v>0</v>
      </c>
      <c r="R38" s="6">
        <f>IF(B38="","",SUMIFS(SF_Output!$S$1:$S$400,SF_Output!$AC$1:$AC$400,_xlfn.TEXTJOIN(",",TRUE,B38:E38),SF_Output!$Q$1:$Q$400,"yearly")+SUMIFS(SF_Output!$S$1:$S$400,SF_Output!$AC$1:$AC$400,_xlfn.TEXTJOIN(",",TRUE,B38:E38),SF_Output!$Q$1:$Q$400,"quarterly")*4)</f>
        <v>0</v>
      </c>
      <c r="S38" s="112" t="str">
        <f>IF(OR(B38=0,B38="",G38="hardware",R38=0),"",IF(AF38&lt;&gt;"exclusion",MAX(S$9,-(SUMIFS(SF_Output!$T$1:$T$400,SF_Output!$AC$1:$AC$400,_xlfn.TEXTJOIN(",",TRUE,$B38:$E38),SF_Output!$Q$1:$Q$400,"yearly"))/R38),-((SUMIFS(SF_Output!$T$1:$T$400,SF_Output!$AC$1:$AC$400,_xlfn.TEXTJOIN(",",TRUE,$B38:$E38),SF_Output!$Q$1:$Q$400,"yearly")/R38))))</f>
        <v/>
      </c>
      <c r="T38" s="6">
        <f t="shared" si="3"/>
        <v>0</v>
      </c>
      <c r="V38" s="6" cm="1">
        <f t="array" ref="V38">_xlfn.IFS(B38="","",AND(B38&lt;&gt;"",H38=SF_Output!$Y$2,SUMIFS(SF_Output!$T$1:$T$400,SF_Output!$AC$1:$AC$400,_xlfn.TEXTJOIN(",",TRUE,B38:E38),SF_Output!$Q$1:$Q$400,"monthly")=0),(SUMIFS(SF_Output!$F$1:$F$400,SF_Output!$AC$1:$AC$400,_xlfn.TEXTJOIN(",",TRUE,B38:E38),SF_Output!$Q$1:$Q$400,"monthly")+SUMIFS(SF_Output!$G$1:$G$400,SF_Output!$AC$1:$AC$400,_xlfn.TEXTJOIN(",",TRUE,B38:E38),SF_Output!$Q$1:$Q$400,"monthly"))*H38,AND(B38&lt;&gt;"",H38=SF_Output!$Y$2,SUMIFS(SF_Output!$T$1:$T$400,SF_Output!$AC$1:$AC$400,_xlfn.TEXTJOIN(",",TRUE,B38:E38),SF_Output!$Q$1:$Q$400,"monthly")&lt;&gt;0),SUMIFS(SF_Output!$S$1:$S$400,SF_Output!$AC$1:$AC$400,_xlfn.TEXTJOIN(",",TRUE,B38:E38),SF_Output!$Q$1:$Q$400,"monthly"),AND(B38&lt;&gt;"",H38&lt;&gt;SF_Output!$Y$2),SUMIFS(SF_Output!$S$1:$S$400,SF_Output!$AC$1:$AC$400,_xlfn.TEXTJOIN(",",TRUE,B38:E38),SF_Output!$Q$1:$Q$400,"monthly"))</f>
        <v>400</v>
      </c>
      <c r="W38" s="112" cm="1">
        <f t="array" ref="W38">_xlfn.IFS(OR(B38=0,B38="",V38=0),"",AF38&lt;&gt;"exclusion",MAX($W$9,$W$7,(-(SUMIFS(SF_Output!$T$1:$T$400,SF_Output!$AC$1:$AC$400,_xlfn.TEXTJOIN(",",TRUE,$B38:$E38),SF_Output!$Q$1:$Q$400,"monthly"))/V38)),AF38="exclusion",-(SUMIFS(SF_Output!$T$1:$T$400,SF_Output!$AC$1:$AC$400,_xlfn.TEXTJOIN(",",TRUE,$B38:$E38),SF_Output!$Q$1:$Q$400,"monthly"))/V38)</f>
        <v>0</v>
      </c>
      <c r="X38" s="6" cm="1">
        <f t="array" ref="X38">IFERROR(_xlfn.IFS(V38=0,0,V38="","",W38=0,V38,OR(V38&lt;&gt;0,V38&lt;&gt;""),H38*I38),V38*(1-W38))</f>
        <v>400</v>
      </c>
      <c r="Z38" s="6">
        <f>IFERROR(IF(B38="","",SUMIFS(Billing_Fallout!H:H,Billing_Fallout!N:N,B38)),0)</f>
        <v>0</v>
      </c>
      <c r="AA38" s="6">
        <f t="shared" si="4"/>
        <v>0</v>
      </c>
      <c r="AB38" s="6">
        <f>IFERROR(IF(B38="","",SUMIFS(Billing_Fallout!J:J,Billing_Fallout!N:N,B38)),0)</f>
        <v>0</v>
      </c>
      <c r="AD38" s="6">
        <f t="shared" si="5"/>
        <v>400</v>
      </c>
      <c r="AF38" t="str">
        <f>IFERROR(INDEX(H_Tables!$B$1:$B$1500,MATCH(INDEX(SF_Output!$J$1:$J$400,MATCH(B38,SF_Output!$M$1:$M$400,0)),H_Tables!$A$1:$A$1500,0)),"")</f>
        <v>Exclusion</v>
      </c>
      <c r="AI38" s="119" t="str">
        <f t="shared" si="6"/>
        <v/>
      </c>
      <c r="AJ38" s="121">
        <f>IFERROR(INDEX(SF_Output!AD:AD,MATCH(_xlfn.TEXTJOIN(",",TRUE,B38:E38),SF_Output!AC1:AC400,0)),0.05)</f>
        <v>42</v>
      </c>
      <c r="AK38" t="str">
        <f>IF(SUMIFS(SF_Output!$F$1:$F$400,SF_Output!$AC$1:$AC$400,_xlfn.TEXTJOIN(",",TRUE,B38:E38))+SUMIFS(SF_Output!$G$1:$G$400,SF_Output!$AC$1:$AC$400,_xlfn.TEXTJOIN(",",TRUE,B38:E38))=0,"","PAP")</f>
        <v/>
      </c>
      <c r="AQ38" s="35"/>
      <c r="AR38" s="35" t="str" cm="1">
        <f t="array" ref="AR38">IFERROR(_xlfn.IFS(AND(E38*1=1,F38="Included"),"Change to Included",AND(E38*1=0,F38="Optional"),"Change to Optional",OR(B38="",F38="replaced"),""),"")</f>
        <v/>
      </c>
      <c r="AS38" s="35" t="str">
        <f t="shared" si="7"/>
        <v/>
      </c>
      <c r="AT38" s="35" t="str">
        <f t="shared" si="8"/>
        <v/>
      </c>
      <c r="AU38" s="35" t="str">
        <f t="shared" si="9"/>
        <v/>
      </c>
      <c r="AV38" s="35" t="str">
        <f t="shared" si="10"/>
        <v/>
      </c>
      <c r="AW38" s="35" t="str">
        <f t="shared" si="11"/>
        <v/>
      </c>
      <c r="AX38" s="35" t="str">
        <f t="shared" si="12"/>
        <v/>
      </c>
      <c r="AY38" s="35" t="str">
        <f t="shared" si="13"/>
        <v/>
      </c>
      <c r="AZ38" s="35" t="str">
        <f t="shared" si="14"/>
        <v/>
      </c>
      <c r="BA38" s="35" t="str">
        <f t="shared" si="15"/>
        <v/>
      </c>
      <c r="BB38" s="35" t="str">
        <f t="shared" si="16"/>
        <v/>
      </c>
      <c r="BC38" s="35"/>
      <c r="BE38" s="35">
        <f ca="1">INDEX(SF_Output!$AA$2:$AA$400,MATCH($B38,SF_Output!$M$2:$M$400,0))</f>
        <v>3</v>
      </c>
      <c r="BF38" s="35">
        <f ca="1">INDEX(SF_Output!$AB$2:$AB$400,MATCH($B38,SF_Output!$M$2:$M$400,0))</f>
        <v>2</v>
      </c>
    </row>
    <row r="39" spans="2:58" x14ac:dyDescent="0.25">
      <c r="B39" t="s">
        <v>1447</v>
      </c>
      <c r="C39" t="s">
        <v>2122</v>
      </c>
      <c r="D39" t="s">
        <v>2123</v>
      </c>
      <c r="E39" t="s">
        <v>2150</v>
      </c>
      <c r="F39" s="116" t="str">
        <f t="shared" si="0"/>
        <v>Optional</v>
      </c>
      <c r="G39" t="str">
        <f>IF(B39="","",INDEX(SF_Output!$K$1:$K$400,MATCH(B39,SF_Output!$M$1:$M$400,0)))</f>
        <v>JHA OpenAnywhere</v>
      </c>
      <c r="H39" cm="1">
        <f t="array" ref="H39">_xlfn.IFS(B39="","",(SUMIFS(SF_Output!$F$1:$F$400,SF_Output!$AC$1:$AC$400,_xlfn.TEXTJOIN(",",TRUE,B39:E39))+SUMIFS(SF_Output!$G$1:$G$400,SF_Output!$AC$1:$AC$400,_xlfn.TEXTJOIN(",",TRUE,B39:E39)))&lt;&gt;0,SF_Output!$Y$2,INDEX(SF_Output!$F$1:$F$400,MATCH(_xlfn.TEXTJOIN(",",TRUE,B39:E39),SF_Output!$AC$1:$AC$400,0))=0,INDEX(SF_Output!$R$1:$R$400,MATCH(_xlfn.TEXTJOIN(",",TRUE,B39:E39),SF_Output!$AC$1:$AC$400,0)))</f>
        <v>1</v>
      </c>
      <c r="I39" s="125" t="str">
        <f>IFERROR(IF(AND(H39&gt;1,H39&lt;&gt;""),ROUND(SUMIFS(SF_Output!$S$1:$S$400,SF_Output!$AC$1:$AC$400,_xlfn.TEXTJOIN(",",TRUE,B39:E39),SF_Output!$Q$1:$Q$400,"monthly")*(1-W39)/H39,4),""),"")</f>
        <v/>
      </c>
      <c r="J39" s="6">
        <f>IF(B39="","",SUMIFS(SF_Output!$S$1:$S$400,SF_Output!$AC$1:$AC$400,_xlfn.TEXTJOIN(",",TRUE,B39:E39),SF_Output!$Q$1:$Q$400,"One Time",SF_Output!$L$1:$L$400,"license fee")+SUMIFS(SF_Output!$S$1:$S$400,SF_Output!$AC$1:$AC$400,_xlfn.TEXTJOIN(",",TRUE,B39:E39),SF_Output!$Q$1:$Q$400,"One Time",SF_Output!$L$1:$L$400,"software license")+SUMIFS(SF_Output!$S$1:$S$400,SF_Output!$AC$1:$AC$400,_xlfn.TEXTJOIN(",",TRUE,B39:E39),SF_Output!$Q$1:$Q$400,"One Time",SF_Output!$L$1:$L$400,"hardware"))</f>
        <v>0</v>
      </c>
      <c r="K39" s="112" t="str">
        <f>IF(OR(B39=0,B39="",G39="hardware",J39=0),"",IF(AF39&lt;&gt;"exclusion",MAX(K$9,-((SUMIFS(SF_Output!$T$1:$T$400,SF_Output!$AC$1:$AC$400,_xlfn.TEXTJOIN(",",TRUE,$B39:$E39),SF_Output!$Q$1:$Q$400,"One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license"))/J39)))</f>
        <v/>
      </c>
      <c r="L39" s="6">
        <f t="shared" si="1"/>
        <v>0</v>
      </c>
      <c r="N39" s="6">
        <f>IF(B39="","",SUMIFS(SF_Output!$S$1:$S$400,SF_Output!$AC$1:$AC$400,_xlfn.TEXTJOIN(",",TRUE,B39:E39),SF_Output!$Q$1:$Q$400,"One Time",SF_Output!$L$1:$L$400,"professional service"))</f>
        <v>3500</v>
      </c>
      <c r="O39" s="112">
        <f>IF(OR(B39=0,B39="",N39=0),"",IF(AF39&lt;&gt;"exclusion",MAX(O$9,-(SUMIFS(SF_Output!$T$1:$T$400,SF_Output!$AC$1:$AC$400,_xlfn.TEXTJOIN(",",TRUE,$B39:$E39),SF_Output!$Q$1:$Q$400,"One Time",SF_Output!$L$1:$L$400,"professional service"))/N39),-((SUMIFS(SF_Output!$T$1:$T$400,SF_Output!$AC$1:$AC$400,_xlfn.TEXTJOIN(",",TRUE,$B39:$E39),SF_Output!$Q$1:$Q$400,"One Time",SF_Output!$L$1:$L$400,"professional service")/N39))))</f>
        <v>0</v>
      </c>
      <c r="P39" s="6">
        <f t="shared" si="2"/>
        <v>3500</v>
      </c>
      <c r="R39" s="6">
        <f>IF(B39="","",SUMIFS(SF_Output!$S$1:$S$400,SF_Output!$AC$1:$AC$400,_xlfn.TEXTJOIN(",",TRUE,B39:E39),SF_Output!$Q$1:$Q$400,"yearly")+SUMIFS(SF_Output!$S$1:$S$400,SF_Output!$AC$1:$AC$400,_xlfn.TEXTJOIN(",",TRUE,B39:E39),SF_Output!$Q$1:$Q$400,"quarterly")*4)</f>
        <v>0</v>
      </c>
      <c r="S39" s="112" t="str">
        <f>IF(OR(B39=0,B39="",G39="hardware",R39=0),"",IF(AF39&lt;&gt;"exclusion",MAX(S$9,-(SUMIFS(SF_Output!$T$1:$T$400,SF_Output!$AC$1:$AC$400,_xlfn.TEXTJOIN(",",TRUE,$B39:$E39),SF_Output!$Q$1:$Q$400,"yearly"))/R39),-((SUMIFS(SF_Output!$T$1:$T$400,SF_Output!$AC$1:$AC$400,_xlfn.TEXTJOIN(",",TRUE,$B39:$E39),SF_Output!$Q$1:$Q$400,"yearly")/R39))))</f>
        <v/>
      </c>
      <c r="T39" s="6">
        <f t="shared" si="3"/>
        <v>0</v>
      </c>
      <c r="V39" s="6" cm="1">
        <f t="array" ref="V39">_xlfn.IFS(B39="","",AND(B39&lt;&gt;"",H39=SF_Output!$Y$2,SUMIFS(SF_Output!$T$1:$T$400,SF_Output!$AC$1:$AC$400,_xlfn.TEXTJOIN(",",TRUE,B39:E39),SF_Output!$Q$1:$Q$400,"monthly")=0),(SUMIFS(SF_Output!$F$1:$F$400,SF_Output!$AC$1:$AC$400,_xlfn.TEXTJOIN(",",TRUE,B39:E39),SF_Output!$Q$1:$Q$400,"monthly")+SUMIFS(SF_Output!$G$1:$G$400,SF_Output!$AC$1:$AC$400,_xlfn.TEXTJOIN(",",TRUE,B39:E39),SF_Output!$Q$1:$Q$400,"monthly"))*H39,AND(B39&lt;&gt;"",H39=SF_Output!$Y$2,SUMIFS(SF_Output!$T$1:$T$400,SF_Output!$AC$1:$AC$400,_xlfn.TEXTJOIN(",",TRUE,B39:E39),SF_Output!$Q$1:$Q$400,"monthly")&lt;&gt;0),SUMIFS(SF_Output!$S$1:$S$400,SF_Output!$AC$1:$AC$400,_xlfn.TEXTJOIN(",",TRUE,B39:E39),SF_Output!$Q$1:$Q$400,"monthly"),AND(B39&lt;&gt;"",H39&lt;&gt;SF_Output!$Y$2),SUMIFS(SF_Output!$S$1:$S$400,SF_Output!$AC$1:$AC$400,_xlfn.TEXTJOIN(",",TRUE,B39:E39),SF_Output!$Q$1:$Q$400,"monthly"))</f>
        <v>2000</v>
      </c>
      <c r="W39" s="112" cm="1">
        <f t="array" ref="W39">_xlfn.IFS(OR(B39=0,B39="",V39=0),"",AF39&lt;&gt;"exclusion",MAX($W$9,$W$7,(-(SUMIFS(SF_Output!$T$1:$T$400,SF_Output!$AC$1:$AC$400,_xlfn.TEXTJOIN(",",TRUE,$B39:$E39),SF_Output!$Q$1:$Q$400,"monthly"))/V39)),AF39="exclusion",-(SUMIFS(SF_Output!$T$1:$T$400,SF_Output!$AC$1:$AC$400,_xlfn.TEXTJOIN(",",TRUE,$B39:$E39),SF_Output!$Q$1:$Q$400,"monthly"))/V39)</f>
        <v>0</v>
      </c>
      <c r="X39" s="6" cm="1">
        <f t="array" ref="X39">IFERROR(_xlfn.IFS(V39=0,0,V39="","",W39=0,V39,OR(V39&lt;&gt;0,V39&lt;&gt;""),H39*I39),V39*(1-W39))</f>
        <v>2000</v>
      </c>
      <c r="Z39" s="6">
        <f>IFERROR(IF(B39="","",SUMIFS(Billing_Fallout!H:H,Billing_Fallout!N:N,B39)),0)</f>
        <v>0</v>
      </c>
      <c r="AA39" s="6">
        <f t="shared" si="4"/>
        <v>0</v>
      </c>
      <c r="AB39" s="6">
        <f>IFERROR(IF(B39="","",SUMIFS(Billing_Fallout!J:J,Billing_Fallout!N:N,B39)),0)</f>
        <v>0</v>
      </c>
      <c r="AD39" s="6">
        <f t="shared" si="5"/>
        <v>2000</v>
      </c>
      <c r="AF39" t="str">
        <f>IFERROR(INDEX(H_Tables!$B$1:$B$1500,MATCH(INDEX(SF_Output!$J$1:$J$400,MATCH(B39,SF_Output!$M$1:$M$400,0)),H_Tables!$A$1:$A$1500,0)),"")</f>
        <v>Exclusion</v>
      </c>
      <c r="AI39" s="119" t="str">
        <f t="shared" si="6"/>
        <v/>
      </c>
      <c r="AJ39" s="121">
        <f>IFERROR(INDEX(SF_Output!AD:AD,MATCH(_xlfn.TEXTJOIN(",",TRUE,B39:E39),SF_Output!AC1:AC400,0)),0.05)</f>
        <v>43</v>
      </c>
      <c r="AK39" t="str">
        <f>IF(SUMIFS(SF_Output!$F$1:$F$400,SF_Output!$AC$1:$AC$400,_xlfn.TEXTJOIN(",",TRUE,B39:E39))+SUMIFS(SF_Output!$G$1:$G$400,SF_Output!$AC$1:$AC$400,_xlfn.TEXTJOIN(",",TRUE,B39:E39))=0,"","PAP")</f>
        <v/>
      </c>
      <c r="AQ39" s="35"/>
      <c r="AR39" s="35" t="str" cm="1">
        <f t="array" ref="AR39">IFERROR(_xlfn.IFS(AND(E39*1=1,F39="Included"),"Change to Included",AND(E39*1=0,F39="Optional"),"Change to Optional",OR(B39="",F39="replaced"),""),"")</f>
        <v/>
      </c>
      <c r="AS39" s="35" t="str">
        <f t="shared" si="7"/>
        <v/>
      </c>
      <c r="AT39" s="35" t="str">
        <f t="shared" si="8"/>
        <v/>
      </c>
      <c r="AU39" s="35" t="str">
        <f t="shared" si="9"/>
        <v/>
      </c>
      <c r="AV39" s="35" t="str">
        <f t="shared" si="10"/>
        <v/>
      </c>
      <c r="AW39" s="35" t="str">
        <f t="shared" si="11"/>
        <v/>
      </c>
      <c r="AX39" s="35" t="str">
        <f t="shared" si="12"/>
        <v/>
      </c>
      <c r="AY39" s="35" t="str">
        <f t="shared" si="13"/>
        <v/>
      </c>
      <c r="AZ39" s="35" t="str">
        <f t="shared" si="14"/>
        <v/>
      </c>
      <c r="BA39" s="35" t="str">
        <f t="shared" si="15"/>
        <v/>
      </c>
      <c r="BB39" s="35" t="str">
        <f t="shared" si="16"/>
        <v/>
      </c>
      <c r="BC39" s="35"/>
      <c r="BE39" s="35">
        <f ca="1">INDEX(SF_Output!$AA$2:$AA$400,MATCH($B39,SF_Output!$M$2:$M$400,0))</f>
        <v>3</v>
      </c>
      <c r="BF39" s="35">
        <f ca="1">INDEX(SF_Output!$AB$2:$AB$400,MATCH($B39,SF_Output!$M$2:$M$400,0))</f>
        <v>2</v>
      </c>
    </row>
    <row r="40" spans="2:58" x14ac:dyDescent="0.25">
      <c r="B40" t="s">
        <v>1818</v>
      </c>
      <c r="C40" t="s">
        <v>2122</v>
      </c>
      <c r="D40" t="s">
        <v>2123</v>
      </c>
      <c r="E40" t="s">
        <v>2124</v>
      </c>
      <c r="F40" s="116" t="str">
        <f t="shared" si="0"/>
        <v>Included</v>
      </c>
      <c r="G40" t="str">
        <f>IF(B40="","",INDEX(SF_Output!$K$1:$K$400,MATCH(B40,SF_Output!$M$1:$M$400,0)))</f>
        <v>JHA OpenAnywhere</v>
      </c>
      <c r="H40" cm="1">
        <f t="array" ref="H40">_xlfn.IFS(B40="","",(SUMIFS(SF_Output!$F$1:$F$400,SF_Output!$AC$1:$AC$400,_xlfn.TEXTJOIN(",",TRUE,B40:E40))+SUMIFS(SF_Output!$G$1:$G$400,SF_Output!$AC$1:$AC$400,_xlfn.TEXTJOIN(",",TRUE,B40:E40)))&lt;&gt;0,SF_Output!$Y$2,INDEX(SF_Output!$F$1:$F$400,MATCH(_xlfn.TEXTJOIN(",",TRUE,B40:E40),SF_Output!$AC$1:$AC$400,0))=0,INDEX(SF_Output!$R$1:$R$400,MATCH(_xlfn.TEXTJOIN(",",TRUE,B40:E40),SF_Output!$AC$1:$AC$400,0)))</f>
        <v>1</v>
      </c>
      <c r="I40" s="125" t="str">
        <f>IFERROR(IF(AND(H40&gt;1,H40&lt;&gt;""),ROUND(SUMIFS(SF_Output!$S$1:$S$400,SF_Output!$AC$1:$AC$400,_xlfn.TEXTJOIN(",",TRUE,B40:E40),SF_Output!$Q$1:$Q$400,"monthly")*(1-W40)/H40,4),""),"")</f>
        <v/>
      </c>
      <c r="J40" s="6">
        <f>IF(B40="","",SUMIFS(SF_Output!$S$1:$S$400,SF_Output!$AC$1:$AC$400,_xlfn.TEXTJOIN(",",TRUE,B40:E40),SF_Output!$Q$1:$Q$400,"One Time",SF_Output!$L$1:$L$400,"license fee")+SUMIFS(SF_Output!$S$1:$S$400,SF_Output!$AC$1:$AC$400,_xlfn.TEXTJOIN(",",TRUE,B40:E40),SF_Output!$Q$1:$Q$400,"One Time",SF_Output!$L$1:$L$400,"software license")+SUMIFS(SF_Output!$S$1:$S$400,SF_Output!$AC$1:$AC$400,_xlfn.TEXTJOIN(",",TRUE,B40:E40),SF_Output!$Q$1:$Q$400,"One Time",SF_Output!$L$1:$L$400,"hardware"))</f>
        <v>0</v>
      </c>
      <c r="K40" s="112" t="str">
        <f>IF(OR(B40=0,B40="",G40="hardware",J40=0),"",IF(AF40&lt;&gt;"exclusion",MAX(K$9,-((SUMIFS(SF_Output!$T$1:$T$400,SF_Output!$AC$1:$AC$400,_xlfn.TEXTJOIN(",",TRUE,$B40:$E40),SF_Output!$Q$1:$Q$400,"One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license"))/J40)))</f>
        <v/>
      </c>
      <c r="L40" s="6">
        <f t="shared" si="1"/>
        <v>0</v>
      </c>
      <c r="N40" s="6">
        <f>IF(B40="","",SUMIFS(SF_Output!$S$1:$S$400,SF_Output!$AC$1:$AC$400,_xlfn.TEXTJOIN(",",TRUE,B40:E40),SF_Output!$Q$1:$Q$400,"One Time",SF_Output!$L$1:$L$400,"professional service"))</f>
        <v>0</v>
      </c>
      <c r="O40" s="112" t="str">
        <f>IF(OR(B40=0,B40="",N40=0),"",IF(AF40&lt;&gt;"exclusion",MAX(O$9,-(SUMIFS(SF_Output!$T$1:$T$400,SF_Output!$AC$1:$AC$400,_xlfn.TEXTJOIN(",",TRUE,$B40:$E40),SF_Output!$Q$1:$Q$400,"One Time",SF_Output!$L$1:$L$400,"professional service"))/N40),-((SUMIFS(SF_Output!$T$1:$T$400,SF_Output!$AC$1:$AC$400,_xlfn.TEXTJOIN(",",TRUE,$B40:$E40),SF_Output!$Q$1:$Q$400,"One Time",SF_Output!$L$1:$L$400,"professional service")/N40))))</f>
        <v/>
      </c>
      <c r="P40" s="6">
        <f t="shared" si="2"/>
        <v>0</v>
      </c>
      <c r="R40" s="6">
        <f>IF(B40="","",SUMIFS(SF_Output!$S$1:$S$400,SF_Output!$AC$1:$AC$400,_xlfn.TEXTJOIN(",",TRUE,B40:E40),SF_Output!$Q$1:$Q$400,"yearly")+SUMIFS(SF_Output!$S$1:$S$400,SF_Output!$AC$1:$AC$400,_xlfn.TEXTJOIN(",",TRUE,B40:E40),SF_Output!$Q$1:$Q$400,"quarterly")*4)</f>
        <v>0</v>
      </c>
      <c r="S40" s="112" t="str">
        <f>IF(OR(B40=0,B40="",G40="hardware",R40=0),"",IF(AF40&lt;&gt;"exclusion",MAX(S$9,-(SUMIFS(SF_Output!$T$1:$T$400,SF_Output!$AC$1:$AC$400,_xlfn.TEXTJOIN(",",TRUE,$B40:$E40),SF_Output!$Q$1:$Q$400,"yearly"))/R40),-((SUMIFS(SF_Output!$T$1:$T$400,SF_Output!$AC$1:$AC$400,_xlfn.TEXTJOIN(",",TRUE,$B40:$E40),SF_Output!$Q$1:$Q$400,"yearly")/R40))))</f>
        <v/>
      </c>
      <c r="T40" s="6">
        <f t="shared" si="3"/>
        <v>0</v>
      </c>
      <c r="V40" s="6" cm="1">
        <f t="array" ref="V40">_xlfn.IFS(B40="","",AND(B40&lt;&gt;"",H40=SF_Output!$Y$2,SUMIFS(SF_Output!$T$1:$T$400,SF_Output!$AC$1:$AC$400,_xlfn.TEXTJOIN(",",TRUE,B40:E40),SF_Output!$Q$1:$Q$400,"monthly")=0),(SUMIFS(SF_Output!$F$1:$F$400,SF_Output!$AC$1:$AC$400,_xlfn.TEXTJOIN(",",TRUE,B40:E40),SF_Output!$Q$1:$Q$400,"monthly")+SUMIFS(SF_Output!$G$1:$G$400,SF_Output!$AC$1:$AC$400,_xlfn.TEXTJOIN(",",TRUE,B40:E40),SF_Output!$Q$1:$Q$400,"monthly"))*H40,AND(B40&lt;&gt;"",H40=SF_Output!$Y$2,SUMIFS(SF_Output!$T$1:$T$400,SF_Output!$AC$1:$AC$400,_xlfn.TEXTJOIN(",",TRUE,B40:E40),SF_Output!$Q$1:$Q$400,"monthly")&lt;&gt;0),SUMIFS(SF_Output!$S$1:$S$400,SF_Output!$AC$1:$AC$400,_xlfn.TEXTJOIN(",",TRUE,B40:E40),SF_Output!$Q$1:$Q$400,"monthly"),AND(B40&lt;&gt;"",H40&lt;&gt;SF_Output!$Y$2),SUMIFS(SF_Output!$S$1:$S$400,SF_Output!$AC$1:$AC$400,_xlfn.TEXTJOIN(",",TRUE,B40:E40),SF_Output!$Q$1:$Q$400,"monthly"))</f>
        <v>200</v>
      </c>
      <c r="W40" s="112" cm="1">
        <f t="array" ref="W40">_xlfn.IFS(OR(B40=0,B40="",V40=0),"",AF40&lt;&gt;"exclusion",MAX($W$9,$W$7,(-(SUMIFS(SF_Output!$T$1:$T$400,SF_Output!$AC$1:$AC$400,_xlfn.TEXTJOIN(",",TRUE,$B40:$E40),SF_Output!$Q$1:$Q$400,"monthly"))/V40)),AF40="exclusion",-(SUMIFS(SF_Output!$T$1:$T$400,SF_Output!$AC$1:$AC$400,_xlfn.TEXTJOIN(",",TRUE,$B40:$E40),SF_Output!$Q$1:$Q$400,"monthly"))/V40)</f>
        <v>0</v>
      </c>
      <c r="X40" s="6" cm="1">
        <f t="array" ref="X40">IFERROR(_xlfn.IFS(V40=0,0,V40="","",W40=0,V40,OR(V40&lt;&gt;0,V40&lt;&gt;""),H40*I40),V40*(1-W40))</f>
        <v>200</v>
      </c>
      <c r="Z40" s="6">
        <f>IFERROR(IF(B40="","",SUMIFS(Billing_Fallout!H:H,Billing_Fallout!N:N,B40)),0)</f>
        <v>0</v>
      </c>
      <c r="AA40" s="6">
        <f t="shared" si="4"/>
        <v>0</v>
      </c>
      <c r="AB40" s="6">
        <f>IFERROR(IF(B40="","",SUMIFS(Billing_Fallout!J:J,Billing_Fallout!N:N,B40)),0)</f>
        <v>0</v>
      </c>
      <c r="AD40" s="6">
        <f t="shared" si="5"/>
        <v>200</v>
      </c>
      <c r="AF40" t="str">
        <f>IFERROR(INDEX(H_Tables!$B$1:$B$1500,MATCH(INDEX(SF_Output!$J$1:$J$400,MATCH(B40,SF_Output!$M$1:$M$400,0)),H_Tables!$A$1:$A$1500,0)),"")</f>
        <v>Exclusion</v>
      </c>
      <c r="AI40" s="119" t="str">
        <f t="shared" si="6"/>
        <v/>
      </c>
      <c r="AJ40" s="121">
        <f>IFERROR(INDEX(SF_Output!AD:AD,MATCH(_xlfn.TEXTJOIN(",",TRUE,B40:E40),SF_Output!AC1:AC400,0)),0.05)</f>
        <v>45</v>
      </c>
      <c r="AK40" t="str">
        <f>IF(SUMIFS(SF_Output!$F$1:$F$400,SF_Output!$AC$1:$AC$400,_xlfn.TEXTJOIN(",",TRUE,B40:E40))+SUMIFS(SF_Output!$G$1:$G$400,SF_Output!$AC$1:$AC$400,_xlfn.TEXTJOIN(",",TRUE,B40:E40))=0,"","PAP")</f>
        <v/>
      </c>
      <c r="AQ40" s="35"/>
      <c r="AR40" s="35" t="str" cm="1">
        <f t="array" ref="AR40">IFERROR(_xlfn.IFS(AND(E40*1=1,F40="Included"),"Change to Included",AND(E40*1=0,F40="Optional"),"Change to Optional",OR(B40="",F40="replaced"),""),"")</f>
        <v/>
      </c>
      <c r="AS40" s="35" t="str">
        <f t="shared" si="7"/>
        <v/>
      </c>
      <c r="AT40" s="35" t="str">
        <f t="shared" si="8"/>
        <v/>
      </c>
      <c r="AU40" s="35" t="str">
        <f t="shared" si="9"/>
        <v/>
      </c>
      <c r="AV40" s="35" t="str">
        <f t="shared" si="10"/>
        <v/>
      </c>
      <c r="AW40" s="35" t="str">
        <f t="shared" si="11"/>
        <v/>
      </c>
      <c r="AX40" s="35" t="str">
        <f t="shared" si="12"/>
        <v/>
      </c>
      <c r="AY40" s="35" t="str">
        <f t="shared" si="13"/>
        <v/>
      </c>
      <c r="AZ40" s="35" t="str">
        <f t="shared" si="14"/>
        <v/>
      </c>
      <c r="BA40" s="35" t="str">
        <f t="shared" si="15"/>
        <v/>
      </c>
      <c r="BB40" s="35" t="str">
        <f t="shared" si="16"/>
        <v/>
      </c>
      <c r="BC40" s="35"/>
      <c r="BE40" s="35">
        <f ca="1">INDEX(SF_Output!$AA$2:$AA$400,MATCH($B40,SF_Output!$M$2:$M$400,0))</f>
        <v>3</v>
      </c>
      <c r="BF40" s="35">
        <f ca="1">INDEX(SF_Output!$AB$2:$AB$400,MATCH($B40,SF_Output!$M$2:$M$400,0))</f>
        <v>2</v>
      </c>
    </row>
    <row r="41" spans="2:58" x14ac:dyDescent="0.25">
      <c r="B41" t="s">
        <v>561</v>
      </c>
      <c r="C41" t="s">
        <v>2122</v>
      </c>
      <c r="D41" t="s">
        <v>2123</v>
      </c>
      <c r="E41" t="s">
        <v>2124</v>
      </c>
      <c r="F41" s="116" t="str">
        <f t="shared" si="0"/>
        <v>Included</v>
      </c>
      <c r="G41" t="str">
        <f>IF(B41="","",INDEX(SF_Output!$K$1:$K$400,MATCH(B41,SF_Output!$M$1:$M$400,0)))</f>
        <v>Banno</v>
      </c>
      <c r="H41" cm="1">
        <f t="array" ref="H41">_xlfn.IFS(B41="","",(SUMIFS(SF_Output!$F$1:$F$400,SF_Output!$AC$1:$AC$400,_xlfn.TEXTJOIN(",",TRUE,B41:E41))+SUMIFS(SF_Output!$G$1:$G$400,SF_Output!$AC$1:$AC$400,_xlfn.TEXTJOIN(",",TRUE,B41:E41)))&lt;&gt;0,SF_Output!$Y$2,INDEX(SF_Output!$F$1:$F$400,MATCH(_xlfn.TEXTJOIN(",",TRUE,B41:E41),SF_Output!$AC$1:$AC$400,0))=0,INDEX(SF_Output!$R$1:$R$400,MATCH(_xlfn.TEXTJOIN(",",TRUE,B41:E41),SF_Output!$AC$1:$AC$400,0)))</f>
        <v>1</v>
      </c>
      <c r="I41" s="125" t="str">
        <f>IFERROR(IF(AND(H41&gt;1,H41&lt;&gt;""),ROUND(SUMIFS(SF_Output!$S$1:$S$400,SF_Output!$AC$1:$AC$400,_xlfn.TEXTJOIN(",",TRUE,B41:E41),SF_Output!$Q$1:$Q$400,"monthly")*(1-W41)/H41,4),""),"")</f>
        <v/>
      </c>
      <c r="J41" s="6">
        <f>IF(B41="","",SUMIFS(SF_Output!$S$1:$S$400,SF_Output!$AC$1:$AC$400,_xlfn.TEXTJOIN(",",TRUE,B41:E41),SF_Output!$Q$1:$Q$400,"One Time",SF_Output!$L$1:$L$400,"license fee")+SUMIFS(SF_Output!$S$1:$S$400,SF_Output!$AC$1:$AC$400,_xlfn.TEXTJOIN(",",TRUE,B41:E41),SF_Output!$Q$1:$Q$400,"One Time",SF_Output!$L$1:$L$400,"software license")+SUMIFS(SF_Output!$S$1:$S$400,SF_Output!$AC$1:$AC$400,_xlfn.TEXTJOIN(",",TRUE,B41:E41),SF_Output!$Q$1:$Q$400,"One Time",SF_Output!$L$1:$L$400,"hardware"))</f>
        <v>0</v>
      </c>
      <c r="K41" s="112" t="str">
        <f>IF(OR(B41=0,B41="",G41="hardware",J41=0),"",IF(AF41&lt;&gt;"exclusion",MAX(K$9,-((SUMIFS(SF_Output!$T$1:$T$400,SF_Output!$AC$1:$AC$400,_xlfn.TEXTJOIN(",",TRUE,$B41:$E41),SF_Output!$Q$1:$Q$400,"One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license"))/J41)))</f>
        <v/>
      </c>
      <c r="L41" s="6">
        <f t="shared" si="1"/>
        <v>0</v>
      </c>
      <c r="N41" s="6">
        <f>IF(B41="","",SUMIFS(SF_Output!$S$1:$S$400,SF_Output!$AC$1:$AC$400,_xlfn.TEXTJOIN(",",TRUE,B41:E41),SF_Output!$Q$1:$Q$400,"One Time",SF_Output!$L$1:$L$400,"professional service"))</f>
        <v>65000</v>
      </c>
      <c r="O41" s="112">
        <f>IF(OR(B41=0,B41="",N41=0),"",IF(AF41&lt;&gt;"exclusion",MAX(O$9,-(SUMIFS(SF_Output!$T$1:$T$400,SF_Output!$AC$1:$AC$400,_xlfn.TEXTJOIN(",",TRUE,$B41:$E41),SF_Output!$Q$1:$Q$400,"One Time",SF_Output!$L$1:$L$400,"professional service"))/N41),-((SUMIFS(SF_Output!$T$1:$T$400,SF_Output!$AC$1:$AC$400,_xlfn.TEXTJOIN(",",TRUE,$B41:$E41),SF_Output!$Q$1:$Q$400,"One Time",SF_Output!$L$1:$L$400,"professional service")/N41))))</f>
        <v>1</v>
      </c>
      <c r="P41" s="6">
        <f t="shared" si="2"/>
        <v>0</v>
      </c>
      <c r="R41" s="6">
        <f>IF(B41="","",SUMIFS(SF_Output!$S$1:$S$400,SF_Output!$AC$1:$AC$400,_xlfn.TEXTJOIN(",",TRUE,B41:E41),SF_Output!$Q$1:$Q$400,"yearly")+SUMIFS(SF_Output!$S$1:$S$400,SF_Output!$AC$1:$AC$400,_xlfn.TEXTJOIN(",",TRUE,B41:E41),SF_Output!$Q$1:$Q$400,"quarterly")*4)</f>
        <v>0</v>
      </c>
      <c r="S41" s="112" t="str">
        <f>IF(OR(B41=0,B41="",G41="hardware",R41=0),"",IF(AF41&lt;&gt;"exclusion",MAX(S$9,-(SUMIFS(SF_Output!$T$1:$T$400,SF_Output!$AC$1:$AC$400,_xlfn.TEXTJOIN(",",TRUE,$B41:$E41),SF_Output!$Q$1:$Q$400,"yearly"))/R41),-((SUMIFS(SF_Output!$T$1:$T$400,SF_Output!$AC$1:$AC$400,_xlfn.TEXTJOIN(",",TRUE,$B41:$E41),SF_Output!$Q$1:$Q$400,"yearly")/R41))))</f>
        <v/>
      </c>
      <c r="T41" s="6">
        <f t="shared" si="3"/>
        <v>0</v>
      </c>
      <c r="V41" s="6" cm="1">
        <f t="array" ref="V41">_xlfn.IFS(B41="","",AND(B41&lt;&gt;"",H41=SF_Output!$Y$2,SUMIFS(SF_Output!$T$1:$T$400,SF_Output!$AC$1:$AC$400,_xlfn.TEXTJOIN(",",TRUE,B41:E41),SF_Output!$Q$1:$Q$400,"monthly")=0),(SUMIFS(SF_Output!$F$1:$F$400,SF_Output!$AC$1:$AC$400,_xlfn.TEXTJOIN(",",TRUE,B41:E41),SF_Output!$Q$1:$Q$400,"monthly")+SUMIFS(SF_Output!$G$1:$G$400,SF_Output!$AC$1:$AC$400,_xlfn.TEXTJOIN(",",TRUE,B41:E41),SF_Output!$Q$1:$Q$400,"monthly"))*H41,AND(B41&lt;&gt;"",H41=SF_Output!$Y$2,SUMIFS(SF_Output!$T$1:$T$400,SF_Output!$AC$1:$AC$400,_xlfn.TEXTJOIN(",",TRUE,B41:E41),SF_Output!$Q$1:$Q$400,"monthly")&lt;&gt;0),SUMIFS(SF_Output!$S$1:$S$400,SF_Output!$AC$1:$AC$400,_xlfn.TEXTJOIN(",",TRUE,B41:E41),SF_Output!$Q$1:$Q$400,"monthly"),AND(B41&lt;&gt;"",H41&lt;&gt;SF_Output!$Y$2),SUMIFS(SF_Output!$S$1:$S$400,SF_Output!$AC$1:$AC$400,_xlfn.TEXTJOIN(",",TRUE,B41:E41),SF_Output!$Q$1:$Q$400,"monthly"))</f>
        <v>500</v>
      </c>
      <c r="W41" s="112" cm="1">
        <f t="array" ref="W41">_xlfn.IFS(OR(B41=0,B41="",V41=0),"",AF41&lt;&gt;"exclusion",MAX($W$9,$W$7,(-(SUMIFS(SF_Output!$T$1:$T$400,SF_Output!$AC$1:$AC$400,_xlfn.TEXTJOIN(",",TRUE,$B41:$E41),SF_Output!$Q$1:$Q$400,"monthly"))/V41)),AF41="exclusion",-(SUMIFS(SF_Output!$T$1:$T$400,SF_Output!$AC$1:$AC$400,_xlfn.TEXTJOIN(",",TRUE,$B41:$E41),SF_Output!$Q$1:$Q$400,"monthly"))/V41)</f>
        <v>0</v>
      </c>
      <c r="X41" s="6" cm="1">
        <f t="array" ref="X41">IFERROR(_xlfn.IFS(V41=0,0,V41="","",W41=0,V41,OR(V41&lt;&gt;0,V41&lt;&gt;""),H41*I41),V41*(1-W41))</f>
        <v>500</v>
      </c>
      <c r="Z41" s="6">
        <f>IFERROR(IF(B41="","",SUMIFS(Billing_Fallout!H:H,Billing_Fallout!N:N,B41)),0)</f>
        <v>0</v>
      </c>
      <c r="AA41" s="6">
        <f t="shared" si="4"/>
        <v>0</v>
      </c>
      <c r="AB41" s="6">
        <f>IFERROR(IF(B41="","",SUMIFS(Billing_Fallout!J:J,Billing_Fallout!N:N,B41)),0)</f>
        <v>0</v>
      </c>
      <c r="AD41" s="6">
        <f t="shared" si="5"/>
        <v>500</v>
      </c>
      <c r="AF41" t="str">
        <f>IFERROR(INDEX(H_Tables!$B$1:$B$1500,MATCH(INDEX(SF_Output!$J$1:$J$400,MATCH(B41,SF_Output!$M$1:$M$400,0)),H_Tables!$A$1:$A$1500,0)),"")</f>
        <v>Exclusion</v>
      </c>
      <c r="AI41" s="119" t="str">
        <f t="shared" si="6"/>
        <v/>
      </c>
      <c r="AJ41" s="121">
        <f>IFERROR(INDEX(SF_Output!AD:AD,MATCH(_xlfn.TEXTJOIN(",",TRUE,B41:E41),SF_Output!AC1:AC400,0)),0.05)</f>
        <v>58</v>
      </c>
      <c r="AK41" t="str">
        <f>IF(SUMIFS(SF_Output!$F$1:$F$400,SF_Output!$AC$1:$AC$400,_xlfn.TEXTJOIN(",",TRUE,B41:E41))+SUMIFS(SF_Output!$G$1:$G$400,SF_Output!$AC$1:$AC$400,_xlfn.TEXTJOIN(",",TRUE,B41:E41))=0,"","PAP")</f>
        <v/>
      </c>
      <c r="AQ41" s="35"/>
      <c r="AR41" s="35" t="str" cm="1">
        <f t="array" ref="AR41">IFERROR(_xlfn.IFS(AND(E41*1=1,F41="Included"),"Change to Included",AND(E41*1=0,F41="Optional"),"Change to Optional",OR(B41="",F41="replaced"),""),"")</f>
        <v/>
      </c>
      <c r="AS41" s="35" t="str">
        <f t="shared" si="7"/>
        <v/>
      </c>
      <c r="AT41" s="35" t="str">
        <f t="shared" si="8"/>
        <v/>
      </c>
      <c r="AU41" s="35" t="str">
        <f t="shared" si="9"/>
        <v/>
      </c>
      <c r="AV41" s="35" t="str">
        <f t="shared" si="10"/>
        <v/>
      </c>
      <c r="AW41" s="35" t="str">
        <f t="shared" si="11"/>
        <v/>
      </c>
      <c r="AX41" s="35" t="str">
        <f t="shared" si="12"/>
        <v/>
      </c>
      <c r="AY41" s="35" t="str">
        <f t="shared" si="13"/>
        <v/>
      </c>
      <c r="AZ41" s="35" t="str">
        <f t="shared" si="14"/>
        <v/>
      </c>
      <c r="BA41" s="35" t="str">
        <f t="shared" si="15"/>
        <v/>
      </c>
      <c r="BB41" s="35" t="str">
        <f t="shared" si="16"/>
        <v/>
      </c>
      <c r="BC41" s="35"/>
      <c r="BE41" s="35">
        <f ca="1">INDEX(SF_Output!$AA$2:$AA$400,MATCH($B41,SF_Output!$M$2:$M$400,0))</f>
        <v>3</v>
      </c>
      <c r="BF41" s="35">
        <f ca="1">INDEX(SF_Output!$AB$2:$AB$400,MATCH($B41,SF_Output!$M$2:$M$400,0))</f>
        <v>1</v>
      </c>
    </row>
    <row r="42" spans="2:58" x14ac:dyDescent="0.25">
      <c r="B42" t="s">
        <v>600</v>
      </c>
      <c r="C42" t="s">
        <v>2122</v>
      </c>
      <c r="D42" t="s">
        <v>2123</v>
      </c>
      <c r="E42" t="s">
        <v>2124</v>
      </c>
      <c r="F42" s="116" t="str">
        <f t="shared" si="0"/>
        <v>Included</v>
      </c>
      <c r="G42" t="str">
        <f>IF(B42="","",INDEX(SF_Output!$K$1:$K$400,MATCH(B42,SF_Output!$M$1:$M$400,0)))</f>
        <v>Banno</v>
      </c>
      <c r="H42" cm="1">
        <f t="array" ref="H42">_xlfn.IFS(B42="","",(SUMIFS(SF_Output!$F$1:$F$400,SF_Output!$AC$1:$AC$400,_xlfn.TEXTJOIN(",",TRUE,B42:E42))+SUMIFS(SF_Output!$G$1:$G$400,SF_Output!$AC$1:$AC$400,_xlfn.TEXTJOIN(",",TRUE,B42:E42)))&lt;&gt;0,SF_Output!$Y$2,INDEX(SF_Output!$F$1:$F$400,MATCH(_xlfn.TEXTJOIN(",",TRUE,B42:E42),SF_Output!$AC$1:$AC$400,0))=0,INDEX(SF_Output!$R$1:$R$400,MATCH(_xlfn.TEXTJOIN(",",TRUE,B42:E42),SF_Output!$AC$1:$AC$400,0)))</f>
        <v>1</v>
      </c>
      <c r="I42" s="125" t="str">
        <f>IFERROR(IF(AND(H42&gt;1,H42&lt;&gt;""),ROUND(SUMIFS(SF_Output!$S$1:$S$400,SF_Output!$AC$1:$AC$400,_xlfn.TEXTJOIN(",",TRUE,B42:E42),SF_Output!$Q$1:$Q$400,"monthly")*(1-W42)/H42,4),""),"")</f>
        <v/>
      </c>
      <c r="J42" s="6">
        <f>IF(B42="","",SUMIFS(SF_Output!$S$1:$S$400,SF_Output!$AC$1:$AC$400,_xlfn.TEXTJOIN(",",TRUE,B42:E42),SF_Output!$Q$1:$Q$400,"One Time",SF_Output!$L$1:$L$400,"license fee")+SUMIFS(SF_Output!$S$1:$S$400,SF_Output!$AC$1:$AC$400,_xlfn.TEXTJOIN(",",TRUE,B42:E42),SF_Output!$Q$1:$Q$400,"One Time",SF_Output!$L$1:$L$400,"software license")+SUMIFS(SF_Output!$S$1:$S$400,SF_Output!$AC$1:$AC$400,_xlfn.TEXTJOIN(",",TRUE,B42:E42),SF_Output!$Q$1:$Q$400,"One Time",SF_Output!$L$1:$L$400,"hardware"))</f>
        <v>0</v>
      </c>
      <c r="K42" s="112" t="str">
        <f>IF(OR(B42=0,B42="",G42="hardware",J42=0),"",IF(AF42&lt;&gt;"exclusion",MAX(K$9,-((SUMIFS(SF_Output!$T$1:$T$400,SF_Output!$AC$1:$AC$400,_xlfn.TEXTJOIN(",",TRUE,$B42:$E42),SF_Output!$Q$1:$Q$400,"One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license"))/J42)))</f>
        <v/>
      </c>
      <c r="L42" s="6">
        <f t="shared" si="1"/>
        <v>0</v>
      </c>
      <c r="N42" s="6">
        <f>IF(B42="","",SUMIFS(SF_Output!$S$1:$S$400,SF_Output!$AC$1:$AC$400,_xlfn.TEXTJOIN(",",TRUE,B42:E42),SF_Output!$Q$1:$Q$400,"One Time",SF_Output!$L$1:$L$400,"professional service"))</f>
        <v>20000</v>
      </c>
      <c r="O42" s="112">
        <f>IF(OR(B42=0,B42="",N42=0),"",IF(AF42&lt;&gt;"exclusion",MAX(O$9,-(SUMIFS(SF_Output!$T$1:$T$400,SF_Output!$AC$1:$AC$400,_xlfn.TEXTJOIN(",",TRUE,$B42:$E42),SF_Output!$Q$1:$Q$400,"One Time",SF_Output!$L$1:$L$400,"professional service"))/N42),-((SUMIFS(SF_Output!$T$1:$T$400,SF_Output!$AC$1:$AC$400,_xlfn.TEXTJOIN(",",TRUE,$B42:$E42),SF_Output!$Q$1:$Q$400,"One Time",SF_Output!$L$1:$L$400,"professional service")/N42))))</f>
        <v>1</v>
      </c>
      <c r="P42" s="6">
        <f t="shared" si="2"/>
        <v>0</v>
      </c>
      <c r="R42" s="6">
        <f>IF(B42="","",SUMIFS(SF_Output!$S$1:$S$400,SF_Output!$AC$1:$AC$400,_xlfn.TEXTJOIN(",",TRUE,B42:E42),SF_Output!$Q$1:$Q$400,"yearly")+SUMIFS(SF_Output!$S$1:$S$400,SF_Output!$AC$1:$AC$400,_xlfn.TEXTJOIN(",",TRUE,B42:E42),SF_Output!$Q$1:$Q$400,"quarterly")*4)</f>
        <v>0</v>
      </c>
      <c r="S42" s="112" t="str">
        <f>IF(OR(B42=0,B42="",G42="hardware",R42=0),"",IF(AF42&lt;&gt;"exclusion",MAX(S$9,-(SUMIFS(SF_Output!$T$1:$T$400,SF_Output!$AC$1:$AC$400,_xlfn.TEXTJOIN(",",TRUE,$B42:$E42),SF_Output!$Q$1:$Q$400,"yearly"))/R42),-((SUMIFS(SF_Output!$T$1:$T$400,SF_Output!$AC$1:$AC$400,_xlfn.TEXTJOIN(",",TRUE,$B42:$E42),SF_Output!$Q$1:$Q$400,"yearly")/R42))))</f>
        <v/>
      </c>
      <c r="T42" s="6">
        <f t="shared" si="3"/>
        <v>0</v>
      </c>
      <c r="V42" s="6" cm="1">
        <f t="array" ref="V42">_xlfn.IFS(B42="","",AND(B42&lt;&gt;"",H42=SF_Output!$Y$2,SUMIFS(SF_Output!$T$1:$T$400,SF_Output!$AC$1:$AC$400,_xlfn.TEXTJOIN(",",TRUE,B42:E42),SF_Output!$Q$1:$Q$400,"monthly")=0),(SUMIFS(SF_Output!$F$1:$F$400,SF_Output!$AC$1:$AC$400,_xlfn.TEXTJOIN(",",TRUE,B42:E42),SF_Output!$Q$1:$Q$400,"monthly")+SUMIFS(SF_Output!$G$1:$G$400,SF_Output!$AC$1:$AC$400,_xlfn.TEXTJOIN(",",TRUE,B42:E42),SF_Output!$Q$1:$Q$400,"monthly"))*H42,AND(B42&lt;&gt;"",H42=SF_Output!$Y$2,SUMIFS(SF_Output!$T$1:$T$400,SF_Output!$AC$1:$AC$400,_xlfn.TEXTJOIN(",",TRUE,B42:E42),SF_Output!$Q$1:$Q$400,"monthly")&lt;&gt;0),SUMIFS(SF_Output!$S$1:$S$400,SF_Output!$AC$1:$AC$400,_xlfn.TEXTJOIN(",",TRUE,B42:E42),SF_Output!$Q$1:$Q$400,"monthly"),AND(B42&lt;&gt;"",H42&lt;&gt;SF_Output!$Y$2),SUMIFS(SF_Output!$S$1:$S$400,SF_Output!$AC$1:$AC$400,_xlfn.TEXTJOIN(",",TRUE,B42:E42),SF_Output!$Q$1:$Q$400,"monthly"))</f>
        <v>0</v>
      </c>
      <c r="W42" s="112" t="str" cm="1">
        <f t="array" ref="W42">_xlfn.IFS(OR(B42=0,B42="",V42=0),"",AF42&lt;&gt;"exclusion",MAX($W$9,$W$7,(-(SUMIFS(SF_Output!$T$1:$T$400,SF_Output!$AC$1:$AC$400,_xlfn.TEXTJOIN(",",TRUE,$B42:$E42),SF_Output!$Q$1:$Q$400,"monthly"))/V42)),AF42="exclusion",-(SUMIFS(SF_Output!$T$1:$T$400,SF_Output!$AC$1:$AC$400,_xlfn.TEXTJOIN(",",TRUE,$B42:$E42),SF_Output!$Q$1:$Q$400,"monthly"))/V42)</f>
        <v/>
      </c>
      <c r="X42" s="6" cm="1">
        <f t="array" ref="X42">IFERROR(_xlfn.IFS(V42=0,0,V42="","",W42=0,V42,OR(V42&lt;&gt;0,V42&lt;&gt;""),H42*I42),V42*(1-W42))</f>
        <v>0</v>
      </c>
      <c r="Z42" s="6">
        <f>IFERROR(IF(B42="","",SUMIFS(Billing_Fallout!H:H,Billing_Fallout!N:N,B42)),0)</f>
        <v>0</v>
      </c>
      <c r="AA42" s="6">
        <f t="shared" si="4"/>
        <v>0</v>
      </c>
      <c r="AB42" s="6">
        <f>IFERROR(IF(B42="","",SUMIFS(Billing_Fallout!J:J,Billing_Fallout!N:N,B42)),0)</f>
        <v>0</v>
      </c>
      <c r="AD42" s="6">
        <f t="shared" si="5"/>
        <v>0</v>
      </c>
      <c r="AF42" t="str">
        <f>IFERROR(INDEX(H_Tables!$B$1:$B$1500,MATCH(INDEX(SF_Output!$J$1:$J$400,MATCH(B42,SF_Output!$M$1:$M$400,0)),H_Tables!$A$1:$A$1500,0)),"")</f>
        <v>Exclusion</v>
      </c>
      <c r="AI42" s="119" t="str">
        <f t="shared" si="6"/>
        <v/>
      </c>
      <c r="AJ42" s="121">
        <f>IFERROR(INDEX(SF_Output!AD:AD,MATCH(_xlfn.TEXTJOIN(",",TRUE,B42:E42),SF_Output!AC1:AC400,0)),0.05)</f>
        <v>60</v>
      </c>
      <c r="AK42" t="str">
        <f>IF(SUMIFS(SF_Output!$F$1:$F$400,SF_Output!$AC$1:$AC$400,_xlfn.TEXTJOIN(",",TRUE,B42:E42))+SUMIFS(SF_Output!$G$1:$G$400,SF_Output!$AC$1:$AC$400,_xlfn.TEXTJOIN(",",TRUE,B42:E42))=0,"","PAP")</f>
        <v/>
      </c>
      <c r="AQ42" s="35"/>
      <c r="AR42" s="35" t="str" cm="1">
        <f t="array" ref="AR42">IFERROR(_xlfn.IFS(AND(E42*1=1,F42="Included"),"Change to Included",AND(E42*1=0,F42="Optional"),"Change to Optional",OR(B42="",F42="replaced"),""),"")</f>
        <v/>
      </c>
      <c r="AS42" s="35" t="str">
        <f t="shared" si="7"/>
        <v/>
      </c>
      <c r="AT42" s="35" t="str">
        <f t="shared" si="8"/>
        <v/>
      </c>
      <c r="AU42" s="35" t="str">
        <f t="shared" si="9"/>
        <v/>
      </c>
      <c r="AV42" s="35" t="str">
        <f t="shared" si="10"/>
        <v/>
      </c>
      <c r="AW42" s="35" t="str">
        <f t="shared" si="11"/>
        <v/>
      </c>
      <c r="AX42" s="35" t="str">
        <f t="shared" si="12"/>
        <v/>
      </c>
      <c r="AY42" s="35" t="str">
        <f t="shared" si="13"/>
        <v/>
      </c>
      <c r="AZ42" s="35" t="str">
        <f t="shared" si="14"/>
        <v/>
      </c>
      <c r="BA42" s="35" t="str">
        <f t="shared" si="15"/>
        <v/>
      </c>
      <c r="BB42" s="35" t="str">
        <f t="shared" si="16"/>
        <v/>
      </c>
      <c r="BC42" s="35"/>
      <c r="BE42" s="35">
        <f ca="1">INDEX(SF_Output!$AA$2:$AA$400,MATCH($B42,SF_Output!$M$2:$M$400,0))</f>
        <v>3</v>
      </c>
      <c r="BF42" s="35">
        <f ca="1">INDEX(SF_Output!$AB$2:$AB$400,MATCH($B42,SF_Output!$M$2:$M$400,0))</f>
        <v>1</v>
      </c>
    </row>
    <row r="43" spans="2:58" x14ac:dyDescent="0.25">
      <c r="B43" t="s">
        <v>1804</v>
      </c>
      <c r="C43" t="s">
        <v>2122</v>
      </c>
      <c r="D43" t="s">
        <v>2123</v>
      </c>
      <c r="E43" t="s">
        <v>2150</v>
      </c>
      <c r="F43" s="116" t="str">
        <f t="shared" si="0"/>
        <v>Optional</v>
      </c>
      <c r="G43" t="str">
        <f>IF(B43="","",INDEX(SF_Output!$K$1:$K$400,MATCH(B43,SF_Output!$M$1:$M$400,0)))</f>
        <v>Banno</v>
      </c>
      <c r="H43" cm="1">
        <f t="array" ref="H43">_xlfn.IFS(B43="","",(SUMIFS(SF_Output!$F$1:$F$400,SF_Output!$AC$1:$AC$400,_xlfn.TEXTJOIN(",",TRUE,B43:E43))+SUMIFS(SF_Output!$G$1:$G$400,SF_Output!$AC$1:$AC$400,_xlfn.TEXTJOIN(",",TRUE,B43:E43)))&lt;&gt;0,SF_Output!$Y$2,INDEX(SF_Output!$F$1:$F$400,MATCH(_xlfn.TEXTJOIN(",",TRUE,B43:E43),SF_Output!$AC$1:$AC$400,0))=0,INDEX(SF_Output!$R$1:$R$400,MATCH(_xlfn.TEXTJOIN(",",TRUE,B43:E43),SF_Output!$AC$1:$AC$400,0)))</f>
        <v>1</v>
      </c>
      <c r="I43" s="125" t="str">
        <f>IFERROR(IF(AND(H43&gt;1,H43&lt;&gt;""),ROUND(SUMIFS(SF_Output!$S$1:$S$400,SF_Output!$AC$1:$AC$400,_xlfn.TEXTJOIN(",",TRUE,B43:E43),SF_Output!$Q$1:$Q$400,"monthly")*(1-W43)/H43,4),""),"")</f>
        <v/>
      </c>
      <c r="J43" s="6">
        <f>IF(B43="","",SUMIFS(SF_Output!$S$1:$S$400,SF_Output!$AC$1:$AC$400,_xlfn.TEXTJOIN(",",TRUE,B43:E43),SF_Output!$Q$1:$Q$400,"One Time",SF_Output!$L$1:$L$400,"license fee")+SUMIFS(SF_Output!$S$1:$S$400,SF_Output!$AC$1:$AC$400,_xlfn.TEXTJOIN(",",TRUE,B43:E43),SF_Output!$Q$1:$Q$400,"One Time",SF_Output!$L$1:$L$400,"software license")+SUMIFS(SF_Output!$S$1:$S$400,SF_Output!$AC$1:$AC$400,_xlfn.TEXTJOIN(",",TRUE,B43:E43),SF_Output!$Q$1:$Q$400,"One Time",SF_Output!$L$1:$L$400,"hardware"))</f>
        <v>0</v>
      </c>
      <c r="K43" s="112" t="str">
        <f>IF(OR(B43=0,B43="",G43="hardware",J43=0),"",IF(AF43&lt;&gt;"exclusion",MAX(K$9,-((SUMIFS(SF_Output!$T$1:$T$400,SF_Output!$AC$1:$AC$400,_xlfn.TEXTJOIN(",",TRUE,$B43:$E43),SF_Output!$Q$1:$Q$400,"One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license"))/J43)))</f>
        <v/>
      </c>
      <c r="L43" s="6">
        <f t="shared" si="1"/>
        <v>0</v>
      </c>
      <c r="N43" s="6">
        <f>IF(B43="","",SUMIFS(SF_Output!$S$1:$S$400,SF_Output!$AC$1:$AC$400,_xlfn.TEXTJOIN(",",TRUE,B43:E43),SF_Output!$Q$1:$Q$400,"One Time",SF_Output!$L$1:$L$400,"professional service"))</f>
        <v>5000</v>
      </c>
      <c r="O43" s="112">
        <f>IF(OR(B43=0,B43="",N43=0),"",IF(AF43&lt;&gt;"exclusion",MAX(O$9,-(SUMIFS(SF_Output!$T$1:$T$400,SF_Output!$AC$1:$AC$400,_xlfn.TEXTJOIN(",",TRUE,$B43:$E43),SF_Output!$Q$1:$Q$400,"One Time",SF_Output!$L$1:$L$400,"professional service"))/N43),-((SUMIFS(SF_Output!$T$1:$T$400,SF_Output!$AC$1:$AC$400,_xlfn.TEXTJOIN(",",TRUE,$B43:$E43),SF_Output!$Q$1:$Q$400,"One Time",SF_Output!$L$1:$L$400,"professional service")/N43))))</f>
        <v>1</v>
      </c>
      <c r="P43" s="6">
        <f t="shared" si="2"/>
        <v>0</v>
      </c>
      <c r="R43" s="6">
        <f>IF(B43="","",SUMIFS(SF_Output!$S$1:$S$400,SF_Output!$AC$1:$AC$400,_xlfn.TEXTJOIN(",",TRUE,B43:E43),SF_Output!$Q$1:$Q$400,"yearly")+SUMIFS(SF_Output!$S$1:$S$400,SF_Output!$AC$1:$AC$400,_xlfn.TEXTJOIN(",",TRUE,B43:E43),SF_Output!$Q$1:$Q$400,"quarterly")*4)</f>
        <v>0</v>
      </c>
      <c r="S43" s="112" t="str">
        <f>IF(OR(B43=0,B43="",G43="hardware",R43=0),"",IF(AF43&lt;&gt;"exclusion",MAX(S$9,-(SUMIFS(SF_Output!$T$1:$T$400,SF_Output!$AC$1:$AC$400,_xlfn.TEXTJOIN(",",TRUE,$B43:$E43),SF_Output!$Q$1:$Q$400,"yearly"))/R43),-((SUMIFS(SF_Output!$T$1:$T$400,SF_Output!$AC$1:$AC$400,_xlfn.TEXTJOIN(",",TRUE,$B43:$E43),SF_Output!$Q$1:$Q$400,"yearly")/R43))))</f>
        <v/>
      </c>
      <c r="T43" s="6">
        <f t="shared" si="3"/>
        <v>0</v>
      </c>
      <c r="V43" s="6" cm="1">
        <f t="array" ref="V43">_xlfn.IFS(B43="","",AND(B43&lt;&gt;"",H43=SF_Output!$Y$2,SUMIFS(SF_Output!$T$1:$T$400,SF_Output!$AC$1:$AC$400,_xlfn.TEXTJOIN(",",TRUE,B43:E43),SF_Output!$Q$1:$Q$400,"monthly")=0),(SUMIFS(SF_Output!$F$1:$F$400,SF_Output!$AC$1:$AC$400,_xlfn.TEXTJOIN(",",TRUE,B43:E43),SF_Output!$Q$1:$Q$400,"monthly")+SUMIFS(SF_Output!$G$1:$G$400,SF_Output!$AC$1:$AC$400,_xlfn.TEXTJOIN(",",TRUE,B43:E43),SF_Output!$Q$1:$Q$400,"monthly"))*H43,AND(B43&lt;&gt;"",H43=SF_Output!$Y$2,SUMIFS(SF_Output!$T$1:$T$400,SF_Output!$AC$1:$AC$400,_xlfn.TEXTJOIN(",",TRUE,B43:E43),SF_Output!$Q$1:$Q$400,"monthly")&lt;&gt;0),SUMIFS(SF_Output!$S$1:$S$400,SF_Output!$AC$1:$AC$400,_xlfn.TEXTJOIN(",",TRUE,B43:E43),SF_Output!$Q$1:$Q$400,"monthly"),AND(B43&lt;&gt;"",H43&lt;&gt;SF_Output!$Y$2),SUMIFS(SF_Output!$S$1:$S$400,SF_Output!$AC$1:$AC$400,_xlfn.TEXTJOIN(",",TRUE,B43:E43),SF_Output!$Q$1:$Q$400,"monthly"))</f>
        <v>0</v>
      </c>
      <c r="W43" s="112" t="str" cm="1">
        <f t="array" ref="W43">_xlfn.IFS(OR(B43=0,B43="",V43=0),"",AF43&lt;&gt;"exclusion",MAX($W$9,$W$7,(-(SUMIFS(SF_Output!$T$1:$T$400,SF_Output!$AC$1:$AC$400,_xlfn.TEXTJOIN(",",TRUE,$B43:$E43),SF_Output!$Q$1:$Q$400,"monthly"))/V43)),AF43="exclusion",-(SUMIFS(SF_Output!$T$1:$T$400,SF_Output!$AC$1:$AC$400,_xlfn.TEXTJOIN(",",TRUE,$B43:$E43),SF_Output!$Q$1:$Q$400,"monthly"))/V43)</f>
        <v/>
      </c>
      <c r="X43" s="6" cm="1">
        <f t="array" ref="X43">IFERROR(_xlfn.IFS(V43=0,0,V43="","",W43=0,V43,OR(V43&lt;&gt;0,V43&lt;&gt;""),H43*I43),V43*(1-W43))</f>
        <v>0</v>
      </c>
      <c r="Z43" s="6">
        <f>IFERROR(IF(B43="","",SUMIFS(Billing_Fallout!H:H,Billing_Fallout!N:N,B43)),0)</f>
        <v>0</v>
      </c>
      <c r="AA43" s="6">
        <f t="shared" si="4"/>
        <v>0</v>
      </c>
      <c r="AB43" s="6">
        <f>IFERROR(IF(B43="","",SUMIFS(Billing_Fallout!J:J,Billing_Fallout!N:N,B43)),0)</f>
        <v>0</v>
      </c>
      <c r="AD43" s="6">
        <f t="shared" si="5"/>
        <v>0</v>
      </c>
      <c r="AF43" t="str">
        <f>IFERROR(INDEX(H_Tables!$B$1:$B$1500,MATCH(INDEX(SF_Output!$J$1:$J$400,MATCH(B43,SF_Output!$M$1:$M$400,0)),H_Tables!$A$1:$A$1500,0)),"")</f>
        <v>Exclusion</v>
      </c>
      <c r="AI43" s="119" t="str">
        <f t="shared" si="6"/>
        <v/>
      </c>
      <c r="AJ43" s="121">
        <f>IFERROR(INDEX(SF_Output!AD:AD,MATCH(_xlfn.TEXTJOIN(",",TRUE,B43:E43),SF_Output!AC1:AC400,0)),0.05)</f>
        <v>62</v>
      </c>
      <c r="AK43" t="str">
        <f>IF(SUMIFS(SF_Output!$F$1:$F$400,SF_Output!$AC$1:$AC$400,_xlfn.TEXTJOIN(",",TRUE,B43:E43))+SUMIFS(SF_Output!$G$1:$G$400,SF_Output!$AC$1:$AC$400,_xlfn.TEXTJOIN(",",TRUE,B43:E43))=0,"","PAP")</f>
        <v/>
      </c>
      <c r="AQ43" s="35"/>
      <c r="AR43" s="35" t="str" cm="1">
        <f t="array" ref="AR43">IFERROR(_xlfn.IFS(AND(E43*1=1,F43="Included"),"Change to Included",AND(E43*1=0,F43="Optional"),"Change to Optional",OR(B43="",F43="replaced"),""),"")</f>
        <v/>
      </c>
      <c r="AS43" s="35" t="str">
        <f t="shared" si="7"/>
        <v/>
      </c>
      <c r="AT43" s="35" t="str">
        <f t="shared" si="8"/>
        <v/>
      </c>
      <c r="AU43" s="35" t="str">
        <f t="shared" si="9"/>
        <v/>
      </c>
      <c r="AV43" s="35" t="str">
        <f t="shared" si="10"/>
        <v/>
      </c>
      <c r="AW43" s="35" t="str">
        <f t="shared" si="11"/>
        <v/>
      </c>
      <c r="AX43" s="35" t="str">
        <f t="shared" si="12"/>
        <v/>
      </c>
      <c r="AY43" s="35" t="str">
        <f t="shared" si="13"/>
        <v/>
      </c>
      <c r="AZ43" s="35" t="str">
        <f t="shared" si="14"/>
        <v/>
      </c>
      <c r="BA43" s="35" t="str">
        <f t="shared" si="15"/>
        <v/>
      </c>
      <c r="BB43" s="35" t="str">
        <f t="shared" si="16"/>
        <v/>
      </c>
      <c r="BC43" s="35"/>
      <c r="BE43" s="35">
        <f ca="1">INDEX(SF_Output!$AA$2:$AA$400,MATCH($B43,SF_Output!$M$2:$M$400,0))</f>
        <v>3</v>
      </c>
      <c r="BF43" s="35">
        <f ca="1">INDEX(SF_Output!$AB$2:$AB$400,MATCH($B43,SF_Output!$M$2:$M$400,0))</f>
        <v>1</v>
      </c>
    </row>
    <row r="44" spans="2:58" x14ac:dyDescent="0.25">
      <c r="B44" t="s">
        <v>1806</v>
      </c>
      <c r="C44" t="s">
        <v>2122</v>
      </c>
      <c r="D44" t="s">
        <v>2123</v>
      </c>
      <c r="E44" t="s">
        <v>2150</v>
      </c>
      <c r="F44" s="116" t="str">
        <f t="shared" si="0"/>
        <v>Optional</v>
      </c>
      <c r="G44" t="str">
        <f>IF(B44="","",INDEX(SF_Output!$K$1:$K$400,MATCH(B44,SF_Output!$M$1:$M$400,0)))</f>
        <v>Banno</v>
      </c>
      <c r="H44" cm="1">
        <f t="array" ref="H44">_xlfn.IFS(B44="","",(SUMIFS(SF_Output!$F$1:$F$400,SF_Output!$AC$1:$AC$400,_xlfn.TEXTJOIN(",",TRUE,B44:E44))+SUMIFS(SF_Output!$G$1:$G$400,SF_Output!$AC$1:$AC$400,_xlfn.TEXTJOIN(",",TRUE,B44:E44)))&lt;&gt;0,SF_Output!$Y$2,INDEX(SF_Output!$F$1:$F$400,MATCH(_xlfn.TEXTJOIN(",",TRUE,B44:E44),SF_Output!$AC$1:$AC$400,0))=0,INDEX(SF_Output!$R$1:$R$400,MATCH(_xlfn.TEXTJOIN(",",TRUE,B44:E44),SF_Output!$AC$1:$AC$400,0)))</f>
        <v>1</v>
      </c>
      <c r="I44" s="125" t="str">
        <f>IFERROR(IF(AND(H44&gt;1,H44&lt;&gt;""),ROUND(SUMIFS(SF_Output!$S$1:$S$400,SF_Output!$AC$1:$AC$400,_xlfn.TEXTJOIN(",",TRUE,B44:E44),SF_Output!$Q$1:$Q$400,"monthly")*(1-W44)/H44,4),""),"")</f>
        <v/>
      </c>
      <c r="J44" s="6">
        <f>IF(B44="","",SUMIFS(SF_Output!$S$1:$S$400,SF_Output!$AC$1:$AC$400,_xlfn.TEXTJOIN(",",TRUE,B44:E44),SF_Output!$Q$1:$Q$400,"One Time",SF_Output!$L$1:$L$400,"license fee")+SUMIFS(SF_Output!$S$1:$S$400,SF_Output!$AC$1:$AC$400,_xlfn.TEXTJOIN(",",TRUE,B44:E44),SF_Output!$Q$1:$Q$400,"One Time",SF_Output!$L$1:$L$400,"software license")+SUMIFS(SF_Output!$S$1:$S$400,SF_Output!$AC$1:$AC$400,_xlfn.TEXTJOIN(",",TRUE,B44:E44),SF_Output!$Q$1:$Q$400,"One Time",SF_Output!$L$1:$L$400,"hardware"))</f>
        <v>0</v>
      </c>
      <c r="K44" s="112" t="str">
        <f>IF(OR(B44=0,B44="",G44="hardware",J44=0),"",IF(AF44&lt;&gt;"exclusion",MAX(K$9,-((SUMIFS(SF_Output!$T$1:$T$400,SF_Output!$AC$1:$AC$400,_xlfn.TEXTJOIN(",",TRUE,$B44:$E44),SF_Output!$Q$1:$Q$400,"One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license"))/J44)))</f>
        <v/>
      </c>
      <c r="L44" s="6">
        <f t="shared" si="1"/>
        <v>0</v>
      </c>
      <c r="N44" s="6">
        <f>IF(B44="","",SUMIFS(SF_Output!$S$1:$S$400,SF_Output!$AC$1:$AC$400,_xlfn.TEXTJOIN(",",TRUE,B44:E44),SF_Output!$Q$1:$Q$400,"One Time",SF_Output!$L$1:$L$400,"professional service"))</f>
        <v>10000</v>
      </c>
      <c r="O44" s="112">
        <f>IF(OR(B44=0,B44="",N44=0),"",IF(AF44&lt;&gt;"exclusion",MAX(O$9,-(SUMIFS(SF_Output!$T$1:$T$400,SF_Output!$AC$1:$AC$400,_xlfn.TEXTJOIN(",",TRUE,$B44:$E44),SF_Output!$Q$1:$Q$400,"One Time",SF_Output!$L$1:$L$400,"professional service"))/N44),-((SUMIFS(SF_Output!$T$1:$T$400,SF_Output!$AC$1:$AC$400,_xlfn.TEXTJOIN(",",TRUE,$B44:$E44),SF_Output!$Q$1:$Q$400,"One Time",SF_Output!$L$1:$L$400,"professional service")/N44))))</f>
        <v>1</v>
      </c>
      <c r="P44" s="6">
        <f t="shared" si="2"/>
        <v>0</v>
      </c>
      <c r="R44" s="6">
        <f>IF(B44="","",SUMIFS(SF_Output!$S$1:$S$400,SF_Output!$AC$1:$AC$400,_xlfn.TEXTJOIN(",",TRUE,B44:E44),SF_Output!$Q$1:$Q$400,"yearly")+SUMIFS(SF_Output!$S$1:$S$400,SF_Output!$AC$1:$AC$400,_xlfn.TEXTJOIN(",",TRUE,B44:E44),SF_Output!$Q$1:$Q$400,"quarterly")*4)</f>
        <v>0</v>
      </c>
      <c r="S44" s="112" t="str">
        <f>IF(OR(B44=0,B44="",G44="hardware",R44=0),"",IF(AF44&lt;&gt;"exclusion",MAX(S$9,-(SUMIFS(SF_Output!$T$1:$T$400,SF_Output!$AC$1:$AC$400,_xlfn.TEXTJOIN(",",TRUE,$B44:$E44),SF_Output!$Q$1:$Q$400,"yearly"))/R44),-((SUMIFS(SF_Output!$T$1:$T$400,SF_Output!$AC$1:$AC$400,_xlfn.TEXTJOIN(",",TRUE,$B44:$E44),SF_Output!$Q$1:$Q$400,"yearly")/R44))))</f>
        <v/>
      </c>
      <c r="T44" s="6">
        <f t="shared" si="3"/>
        <v>0</v>
      </c>
      <c r="V44" s="6" cm="1">
        <f t="array" ref="V44">_xlfn.IFS(B44="","",AND(B44&lt;&gt;"",H44=SF_Output!$Y$2,SUMIFS(SF_Output!$T$1:$T$400,SF_Output!$AC$1:$AC$400,_xlfn.TEXTJOIN(",",TRUE,B44:E44),SF_Output!$Q$1:$Q$400,"monthly")=0),(SUMIFS(SF_Output!$F$1:$F$400,SF_Output!$AC$1:$AC$400,_xlfn.TEXTJOIN(",",TRUE,B44:E44),SF_Output!$Q$1:$Q$400,"monthly")+SUMIFS(SF_Output!$G$1:$G$400,SF_Output!$AC$1:$AC$400,_xlfn.TEXTJOIN(",",TRUE,B44:E44),SF_Output!$Q$1:$Q$400,"monthly"))*H44,AND(B44&lt;&gt;"",H44=SF_Output!$Y$2,SUMIFS(SF_Output!$T$1:$T$400,SF_Output!$AC$1:$AC$400,_xlfn.TEXTJOIN(",",TRUE,B44:E44),SF_Output!$Q$1:$Q$400,"monthly")&lt;&gt;0),SUMIFS(SF_Output!$S$1:$S$400,SF_Output!$AC$1:$AC$400,_xlfn.TEXTJOIN(",",TRUE,B44:E44),SF_Output!$Q$1:$Q$400,"monthly"),AND(B44&lt;&gt;"",H44&lt;&gt;SF_Output!$Y$2),SUMIFS(SF_Output!$S$1:$S$400,SF_Output!$AC$1:$AC$400,_xlfn.TEXTJOIN(",",TRUE,B44:E44),SF_Output!$Q$1:$Q$400,"monthly"))</f>
        <v>500</v>
      </c>
      <c r="W44" s="112" cm="1">
        <f t="array" ref="W44">_xlfn.IFS(OR(B44=0,B44="",V44=0),"",AF44&lt;&gt;"exclusion",MAX($W$9,$W$7,(-(SUMIFS(SF_Output!$T$1:$T$400,SF_Output!$AC$1:$AC$400,_xlfn.TEXTJOIN(",",TRUE,$B44:$E44),SF_Output!$Q$1:$Q$400,"monthly"))/V44)),AF44="exclusion",-(SUMIFS(SF_Output!$T$1:$T$400,SF_Output!$AC$1:$AC$400,_xlfn.TEXTJOIN(",",TRUE,$B44:$E44),SF_Output!$Q$1:$Q$400,"monthly"))/V44)</f>
        <v>0</v>
      </c>
      <c r="X44" s="6" cm="1">
        <f t="array" ref="X44">IFERROR(_xlfn.IFS(V44=0,0,V44="","",W44=0,V44,OR(V44&lt;&gt;0,V44&lt;&gt;""),H44*I44),V44*(1-W44))</f>
        <v>500</v>
      </c>
      <c r="Z44" s="6">
        <f>IFERROR(IF(B44="","",SUMIFS(Billing_Fallout!H:H,Billing_Fallout!N:N,B44)),0)</f>
        <v>0</v>
      </c>
      <c r="AA44" s="6">
        <f t="shared" si="4"/>
        <v>0</v>
      </c>
      <c r="AB44" s="6">
        <f>IFERROR(IF(B44="","",SUMIFS(Billing_Fallout!J:J,Billing_Fallout!N:N,B44)),0)</f>
        <v>0</v>
      </c>
      <c r="AD44" s="6">
        <f t="shared" si="5"/>
        <v>500</v>
      </c>
      <c r="AF44" t="str">
        <f>IFERROR(INDEX(H_Tables!$B$1:$B$1500,MATCH(INDEX(SF_Output!$J$1:$J$400,MATCH(B44,SF_Output!$M$1:$M$400,0)),H_Tables!$A$1:$A$1500,0)),"")</f>
        <v>Exclusion</v>
      </c>
      <c r="AI44" s="119" t="str">
        <f t="shared" si="6"/>
        <v/>
      </c>
      <c r="AJ44" s="121">
        <f>IFERROR(INDEX(SF_Output!AD:AD,MATCH(_xlfn.TEXTJOIN(",",TRUE,B44:E44),SF_Output!AC1:AC400,0)),0.05)</f>
        <v>64</v>
      </c>
      <c r="AK44" t="str">
        <f>IF(SUMIFS(SF_Output!$F$1:$F$400,SF_Output!$AC$1:$AC$400,_xlfn.TEXTJOIN(",",TRUE,B44:E44))+SUMIFS(SF_Output!$G$1:$G$400,SF_Output!$AC$1:$AC$400,_xlfn.TEXTJOIN(",",TRUE,B44:E44))=0,"","PAP")</f>
        <v/>
      </c>
      <c r="AQ44" s="35"/>
      <c r="AR44" s="35" t="str" cm="1">
        <f t="array" ref="AR44">IFERROR(_xlfn.IFS(AND(E44*1=1,F44="Included"),"Change to Included",AND(E44*1=0,F44="Optional"),"Change to Optional",OR(B44="",F44="replaced"),""),"")</f>
        <v/>
      </c>
      <c r="AS44" s="35" t="str">
        <f t="shared" si="7"/>
        <v/>
      </c>
      <c r="AT44" s="35" t="str">
        <f t="shared" si="8"/>
        <v/>
      </c>
      <c r="AU44" s="35" t="str">
        <f t="shared" si="9"/>
        <v/>
      </c>
      <c r="AV44" s="35" t="str">
        <f t="shared" si="10"/>
        <v/>
      </c>
      <c r="AW44" s="35" t="str">
        <f t="shared" si="11"/>
        <v/>
      </c>
      <c r="AX44" s="35" t="str">
        <f t="shared" si="12"/>
        <v/>
      </c>
      <c r="AY44" s="35" t="str">
        <f t="shared" si="13"/>
        <v/>
      </c>
      <c r="AZ44" s="35" t="str">
        <f t="shared" si="14"/>
        <v/>
      </c>
      <c r="BA44" s="35" t="str">
        <f t="shared" si="15"/>
        <v/>
      </c>
      <c r="BB44" s="35" t="str">
        <f t="shared" si="16"/>
        <v/>
      </c>
      <c r="BC44" s="35"/>
      <c r="BE44" s="35">
        <f ca="1">INDEX(SF_Output!$AA$2:$AA$400,MATCH($B44,SF_Output!$M$2:$M$400,0))</f>
        <v>3</v>
      </c>
      <c r="BF44" s="35">
        <f ca="1">INDEX(SF_Output!$AB$2:$AB$400,MATCH($B44,SF_Output!$M$2:$M$400,0))</f>
        <v>1</v>
      </c>
    </row>
    <row r="45" spans="2:58" x14ac:dyDescent="0.25">
      <c r="B45" t="s">
        <v>2226</v>
      </c>
      <c r="C45" t="s">
        <v>2122</v>
      </c>
      <c r="D45" t="s">
        <v>2207</v>
      </c>
      <c r="E45" t="s">
        <v>2124</v>
      </c>
      <c r="F45" s="116" t="str">
        <f t="shared" si="0"/>
        <v>Included</v>
      </c>
      <c r="G45" t="str">
        <f>IF(B45="","",INDEX(SF_Output!$K$1:$K$400,MATCH(B45,SF_Output!$M$1:$M$400,0)))</f>
        <v>Banno</v>
      </c>
      <c r="H45" cm="1">
        <f t="array" ref="H45">_xlfn.IFS(B45="","",(SUMIFS(SF_Output!$F$1:$F$400,SF_Output!$AC$1:$AC$400,_xlfn.TEXTJOIN(",",TRUE,B45:E45))+SUMIFS(SF_Output!$G$1:$G$400,SF_Output!$AC$1:$AC$400,_xlfn.TEXTJOIN(",",TRUE,B45:E45)))&lt;&gt;0,SF_Output!$Y$2,INDEX(SF_Output!$F$1:$F$400,MATCH(_xlfn.TEXTJOIN(",",TRUE,B45:E45),SF_Output!$AC$1:$AC$400,0))=0,INDEX(SF_Output!$R$1:$R$400,MATCH(_xlfn.TEXTJOIN(",",TRUE,B45:E45),SF_Output!$AC$1:$AC$400,0)))</f>
        <v>1</v>
      </c>
      <c r="I45" s="125" t="str">
        <f>IFERROR(IF(AND(H45&gt;1,H45&lt;&gt;""),ROUND(SUMIFS(SF_Output!$S$1:$S$400,SF_Output!$AC$1:$AC$400,_xlfn.TEXTJOIN(",",TRUE,B45:E45),SF_Output!$Q$1:$Q$400,"monthly")*(1-W45)/H45,4),""),"")</f>
        <v/>
      </c>
      <c r="J45" s="6">
        <f>IF(B45="","",SUMIFS(SF_Output!$S$1:$S$400,SF_Output!$AC$1:$AC$400,_xlfn.TEXTJOIN(",",TRUE,B45:E45),SF_Output!$Q$1:$Q$400,"One Time",SF_Output!$L$1:$L$400,"license fee")+SUMIFS(SF_Output!$S$1:$S$400,SF_Output!$AC$1:$AC$400,_xlfn.TEXTJOIN(",",TRUE,B45:E45),SF_Output!$Q$1:$Q$400,"One Time",SF_Output!$L$1:$L$400,"software license")+SUMIFS(SF_Output!$S$1:$S$400,SF_Output!$AC$1:$AC$400,_xlfn.TEXTJOIN(",",TRUE,B45:E45),SF_Output!$Q$1:$Q$400,"One Time",SF_Output!$L$1:$L$400,"hardware"))</f>
        <v>0</v>
      </c>
      <c r="K45" s="112" t="str">
        <f>IF(OR(B45=0,B45="",G45="hardware",J45=0),"",IF(AF45&lt;&gt;"exclusion",MAX(K$9,-((SUMIFS(SF_Output!$T$1:$T$400,SF_Output!$AC$1:$AC$400,_xlfn.TEXTJOIN(",",TRUE,$B45:$E45),SF_Output!$Q$1:$Q$400,"One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license"))/J45)))</f>
        <v/>
      </c>
      <c r="L45" s="6">
        <f t="shared" si="1"/>
        <v>0</v>
      </c>
      <c r="N45" s="6">
        <f>IF(B45="","",SUMIFS(SF_Output!$S$1:$S$400,SF_Output!$AC$1:$AC$400,_xlfn.TEXTJOIN(",",TRUE,B45:E45),SF_Output!$Q$1:$Q$400,"One Time",SF_Output!$L$1:$L$400,"professional service"))</f>
        <v>2000</v>
      </c>
      <c r="O45" s="112">
        <f>IF(OR(B45=0,B45="",N45=0),"",IF(AF45&lt;&gt;"exclusion",MAX(O$9,-(SUMIFS(SF_Output!$T$1:$T$400,SF_Output!$AC$1:$AC$400,_xlfn.TEXTJOIN(",",TRUE,$B45:$E45),SF_Output!$Q$1:$Q$400,"One Time",SF_Output!$L$1:$L$400,"professional service"))/N45),-((SUMIFS(SF_Output!$T$1:$T$400,SF_Output!$AC$1:$AC$400,_xlfn.TEXTJOIN(",",TRUE,$B45:$E45),SF_Output!$Q$1:$Q$400,"One Time",SF_Output!$L$1:$L$400,"professional service")/N45))))</f>
        <v>1</v>
      </c>
      <c r="P45" s="6">
        <f t="shared" si="2"/>
        <v>0</v>
      </c>
      <c r="R45" s="6">
        <f>IF(B45="","",SUMIFS(SF_Output!$S$1:$S$400,SF_Output!$AC$1:$AC$400,_xlfn.TEXTJOIN(",",TRUE,B45:E45),SF_Output!$Q$1:$Q$400,"yearly")+SUMIFS(SF_Output!$S$1:$S$400,SF_Output!$AC$1:$AC$400,_xlfn.TEXTJOIN(",",TRUE,B45:E45),SF_Output!$Q$1:$Q$400,"quarterly")*4)</f>
        <v>0</v>
      </c>
      <c r="S45" s="112" t="str">
        <f>IF(OR(B45=0,B45="",G45="hardware",R45=0),"",IF(AF45&lt;&gt;"exclusion",MAX(S$9,-(SUMIFS(SF_Output!$T$1:$T$400,SF_Output!$AC$1:$AC$400,_xlfn.TEXTJOIN(",",TRUE,$B45:$E45),SF_Output!$Q$1:$Q$400,"yearly"))/R45),-((SUMIFS(SF_Output!$T$1:$T$400,SF_Output!$AC$1:$AC$400,_xlfn.TEXTJOIN(",",TRUE,$B45:$E45),SF_Output!$Q$1:$Q$400,"yearly")/R45))))</f>
        <v/>
      </c>
      <c r="T45" s="6">
        <f t="shared" si="3"/>
        <v>0</v>
      </c>
      <c r="V45" s="6" cm="1">
        <f t="array" ref="V45">_xlfn.IFS(B45="","",AND(B45&lt;&gt;"",H45=SF_Output!$Y$2,SUMIFS(SF_Output!$T$1:$T$400,SF_Output!$AC$1:$AC$400,_xlfn.TEXTJOIN(",",TRUE,B45:E45),SF_Output!$Q$1:$Q$400,"monthly")=0),(SUMIFS(SF_Output!$F$1:$F$400,SF_Output!$AC$1:$AC$400,_xlfn.TEXTJOIN(",",TRUE,B45:E45),SF_Output!$Q$1:$Q$400,"monthly")+SUMIFS(SF_Output!$G$1:$G$400,SF_Output!$AC$1:$AC$400,_xlfn.TEXTJOIN(",",TRUE,B45:E45),SF_Output!$Q$1:$Q$400,"monthly"))*H45,AND(B45&lt;&gt;"",H45=SF_Output!$Y$2,SUMIFS(SF_Output!$T$1:$T$400,SF_Output!$AC$1:$AC$400,_xlfn.TEXTJOIN(",",TRUE,B45:E45),SF_Output!$Q$1:$Q$400,"monthly")&lt;&gt;0),SUMIFS(SF_Output!$S$1:$S$400,SF_Output!$AC$1:$AC$400,_xlfn.TEXTJOIN(",",TRUE,B45:E45),SF_Output!$Q$1:$Q$400,"monthly"),AND(B45&lt;&gt;"",H45&lt;&gt;SF_Output!$Y$2),SUMIFS(SF_Output!$S$1:$S$400,SF_Output!$AC$1:$AC$400,_xlfn.TEXTJOIN(",",TRUE,B45:E45),SF_Output!$Q$1:$Q$400,"monthly"))</f>
        <v>50</v>
      </c>
      <c r="W45" s="112" cm="1">
        <f t="array" ref="W45">_xlfn.IFS(OR(B45=0,B45="",V45=0),"",AF45&lt;&gt;"exclusion",MAX($W$9,$W$7,(-(SUMIFS(SF_Output!$T$1:$T$400,SF_Output!$AC$1:$AC$400,_xlfn.TEXTJOIN(",",TRUE,$B45:$E45),SF_Output!$Q$1:$Q$400,"monthly"))/V45)),AF45="exclusion",-(SUMIFS(SF_Output!$T$1:$T$400,SF_Output!$AC$1:$AC$400,_xlfn.TEXTJOIN(",",TRUE,$B45:$E45),SF_Output!$Q$1:$Q$400,"monthly"))/V45)</f>
        <v>0</v>
      </c>
      <c r="X45" s="6" cm="1">
        <f t="array" ref="X45">IFERROR(_xlfn.IFS(V45=0,0,V45="","",W45=0,V45,OR(V45&lt;&gt;0,V45&lt;&gt;""),H45*I45),V45*(1-W45))</f>
        <v>50</v>
      </c>
      <c r="Z45" s="6">
        <f>IFERROR(IF(B45="","",SUMIFS(Billing_Fallout!H:H,Billing_Fallout!N:N,B45)),0)</f>
        <v>0</v>
      </c>
      <c r="AA45" s="6">
        <f t="shared" si="4"/>
        <v>0</v>
      </c>
      <c r="AB45" s="6">
        <f>IFERROR(IF(B45="","",SUMIFS(Billing_Fallout!J:J,Billing_Fallout!N:N,B45)),0)</f>
        <v>0</v>
      </c>
      <c r="AD45" s="6">
        <f t="shared" si="5"/>
        <v>50</v>
      </c>
      <c r="AF45" t="str">
        <f>IFERROR(INDEX(H_Tables!$B$1:$B$1500,MATCH(INDEX(SF_Output!$J$1:$J$400,MATCH(B45,SF_Output!$M$1:$M$400,0)),H_Tables!$A$1:$A$1500,0)),"")</f>
        <v/>
      </c>
      <c r="AI45" s="119" t="str">
        <f t="shared" si="6"/>
        <v/>
      </c>
      <c r="AJ45" s="121">
        <f>IFERROR(INDEX(SF_Output!AD:AD,MATCH(_xlfn.TEXTJOIN(",",TRUE,B45:E45),SF_Output!AC1:AC400,0)),0.05)</f>
        <v>66</v>
      </c>
      <c r="AK45" t="str">
        <f>IF(SUMIFS(SF_Output!$F$1:$F$400,SF_Output!$AC$1:$AC$400,_xlfn.TEXTJOIN(",",TRUE,B45:E45))+SUMIFS(SF_Output!$G$1:$G$400,SF_Output!$AC$1:$AC$400,_xlfn.TEXTJOIN(",",TRUE,B45:E45))=0,"","PAP")</f>
        <v/>
      </c>
      <c r="AQ45" s="35"/>
      <c r="AR45" s="35" t="str" cm="1">
        <f t="array" ref="AR45">IFERROR(_xlfn.IFS(AND(E45*1=1,F45="Included"),"Change to Included",AND(E45*1=0,F45="Optional"),"Change to Optional",OR(B45="",F45="replaced"),""),"")</f>
        <v/>
      </c>
      <c r="AS45" s="35" t="str">
        <f t="shared" si="7"/>
        <v/>
      </c>
      <c r="AT45" s="35" t="str">
        <f t="shared" si="8"/>
        <v/>
      </c>
      <c r="AU45" s="35" t="str">
        <f t="shared" si="9"/>
        <v/>
      </c>
      <c r="AV45" s="35" t="str">
        <f t="shared" si="10"/>
        <v/>
      </c>
      <c r="AW45" s="35" t="str">
        <f t="shared" si="11"/>
        <v/>
      </c>
      <c r="AX45" s="35" t="str">
        <f t="shared" si="12"/>
        <v/>
      </c>
      <c r="AY45" s="35" t="str">
        <f t="shared" si="13"/>
        <v/>
      </c>
      <c r="AZ45" s="35" t="str">
        <f t="shared" si="14"/>
        <v/>
      </c>
      <c r="BA45" s="35" t="str">
        <f t="shared" si="15"/>
        <v/>
      </c>
      <c r="BB45" s="35" t="str">
        <f t="shared" si="16"/>
        <v/>
      </c>
      <c r="BC45" s="35"/>
      <c r="BE45" s="35">
        <f ca="1">INDEX(SF_Output!$AA$2:$AA$400,MATCH($B45,SF_Output!$M$2:$M$400,0))</f>
        <v>3</v>
      </c>
      <c r="BF45" s="35">
        <f ca="1">INDEX(SF_Output!$AB$2:$AB$400,MATCH($B45,SF_Output!$M$2:$M$400,0))</f>
        <v>1</v>
      </c>
    </row>
    <row r="46" spans="2:58" x14ac:dyDescent="0.25">
      <c r="B46" t="s">
        <v>589</v>
      </c>
      <c r="C46" t="s">
        <v>2122</v>
      </c>
      <c r="D46" t="s">
        <v>2123</v>
      </c>
      <c r="E46" t="s">
        <v>2150</v>
      </c>
      <c r="F46" s="116" t="str">
        <f t="shared" si="0"/>
        <v>Optional</v>
      </c>
      <c r="G46" t="str">
        <f>IF(B46="","",INDEX(SF_Output!$K$1:$K$400,MATCH(B46,SF_Output!$M$1:$M$400,0)))</f>
        <v>Banno</v>
      </c>
      <c r="H46" cm="1">
        <f t="array" ref="H46">_xlfn.IFS(B46="","",(SUMIFS(SF_Output!$F$1:$F$400,SF_Output!$AC$1:$AC$400,_xlfn.TEXTJOIN(",",TRUE,B46:E46))+SUMIFS(SF_Output!$G$1:$G$400,SF_Output!$AC$1:$AC$400,_xlfn.TEXTJOIN(",",TRUE,B46:E46)))&lt;&gt;0,SF_Output!$Y$2,INDEX(SF_Output!$F$1:$F$400,MATCH(_xlfn.TEXTJOIN(",",TRUE,B46:E46),SF_Output!$AC$1:$AC$400,0))=0,INDEX(SF_Output!$R$1:$R$400,MATCH(_xlfn.TEXTJOIN(",",TRUE,B46:E46),SF_Output!$AC$1:$AC$400,0)))</f>
        <v>1</v>
      </c>
      <c r="I46" s="125" t="str">
        <f>IFERROR(IF(AND(H46&gt;1,H46&lt;&gt;""),ROUND(SUMIFS(SF_Output!$S$1:$S$400,SF_Output!$AC$1:$AC$400,_xlfn.TEXTJOIN(",",TRUE,B46:E46),SF_Output!$Q$1:$Q$400,"monthly")*(1-W46)/H46,4),""),"")</f>
        <v/>
      </c>
      <c r="J46" s="6">
        <f>IF(B46="","",SUMIFS(SF_Output!$S$1:$S$400,SF_Output!$AC$1:$AC$400,_xlfn.TEXTJOIN(",",TRUE,B46:E46),SF_Output!$Q$1:$Q$400,"One Time",SF_Output!$L$1:$L$400,"license fee")+SUMIFS(SF_Output!$S$1:$S$400,SF_Output!$AC$1:$AC$400,_xlfn.TEXTJOIN(",",TRUE,B46:E46),SF_Output!$Q$1:$Q$400,"One Time",SF_Output!$L$1:$L$400,"software license")+SUMIFS(SF_Output!$S$1:$S$400,SF_Output!$AC$1:$AC$400,_xlfn.TEXTJOIN(",",TRUE,B46:E46),SF_Output!$Q$1:$Q$400,"One Time",SF_Output!$L$1:$L$400,"hardware"))</f>
        <v>0</v>
      </c>
      <c r="K46" s="112" t="str">
        <f>IF(OR(B46=0,B46="",G46="hardware",J46=0),"",IF(AF46&lt;&gt;"exclusion",MAX(K$9,-((SUMIFS(SF_Output!$T$1:$T$400,SF_Output!$AC$1:$AC$400,_xlfn.TEXTJOIN(",",TRUE,$B46:$E46),SF_Output!$Q$1:$Q$400,"One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license"))/J46)))</f>
        <v/>
      </c>
      <c r="L46" s="6">
        <f t="shared" si="1"/>
        <v>0</v>
      </c>
      <c r="N46" s="6">
        <f>IF(B46="","",SUMIFS(SF_Output!$S$1:$S$400,SF_Output!$AC$1:$AC$400,_xlfn.TEXTJOIN(",",TRUE,B46:E46),SF_Output!$Q$1:$Q$400,"One Time",SF_Output!$L$1:$L$400,"professional service"))</f>
        <v>5000</v>
      </c>
      <c r="O46" s="112">
        <f>IF(OR(B46=0,B46="",N46=0),"",IF(AF46&lt;&gt;"exclusion",MAX(O$9,-(SUMIFS(SF_Output!$T$1:$T$400,SF_Output!$AC$1:$AC$400,_xlfn.TEXTJOIN(",",TRUE,$B46:$E46),SF_Output!$Q$1:$Q$400,"One Time",SF_Output!$L$1:$L$400,"professional service"))/N46),-((SUMIFS(SF_Output!$T$1:$T$400,SF_Output!$AC$1:$AC$400,_xlfn.TEXTJOIN(",",TRUE,$B46:$E46),SF_Output!$Q$1:$Q$400,"One Time",SF_Output!$L$1:$L$400,"professional service")/N46))))</f>
        <v>1</v>
      </c>
      <c r="P46" s="6">
        <f t="shared" si="2"/>
        <v>0</v>
      </c>
      <c r="R46" s="6">
        <f>IF(B46="","",SUMIFS(SF_Output!$S$1:$S$400,SF_Output!$AC$1:$AC$400,_xlfn.TEXTJOIN(",",TRUE,B46:E46),SF_Output!$Q$1:$Q$400,"yearly")+SUMIFS(SF_Output!$S$1:$S$400,SF_Output!$AC$1:$AC$400,_xlfn.TEXTJOIN(",",TRUE,B46:E46),SF_Output!$Q$1:$Q$400,"quarterly")*4)</f>
        <v>0</v>
      </c>
      <c r="S46" s="112" t="str">
        <f>IF(OR(B46=0,B46="",G46="hardware",R46=0),"",IF(AF46&lt;&gt;"exclusion",MAX(S$9,-(SUMIFS(SF_Output!$T$1:$T$400,SF_Output!$AC$1:$AC$400,_xlfn.TEXTJOIN(",",TRUE,$B46:$E46),SF_Output!$Q$1:$Q$400,"yearly"))/R46),-((SUMIFS(SF_Output!$T$1:$T$400,SF_Output!$AC$1:$AC$400,_xlfn.TEXTJOIN(",",TRUE,$B46:$E46),SF_Output!$Q$1:$Q$400,"yearly")/R46))))</f>
        <v/>
      </c>
      <c r="T46" s="6">
        <f t="shared" si="3"/>
        <v>0</v>
      </c>
      <c r="V46" s="6" cm="1">
        <f t="array" ref="V46">_xlfn.IFS(B46="","",AND(B46&lt;&gt;"",H46=SF_Output!$Y$2,SUMIFS(SF_Output!$T$1:$T$400,SF_Output!$AC$1:$AC$400,_xlfn.TEXTJOIN(",",TRUE,B46:E46),SF_Output!$Q$1:$Q$400,"monthly")=0),(SUMIFS(SF_Output!$F$1:$F$400,SF_Output!$AC$1:$AC$400,_xlfn.TEXTJOIN(",",TRUE,B46:E46),SF_Output!$Q$1:$Q$400,"monthly")+SUMIFS(SF_Output!$G$1:$G$400,SF_Output!$AC$1:$AC$400,_xlfn.TEXTJOIN(",",TRUE,B46:E46),SF_Output!$Q$1:$Q$400,"monthly"))*H46,AND(B46&lt;&gt;"",H46=SF_Output!$Y$2,SUMIFS(SF_Output!$T$1:$T$400,SF_Output!$AC$1:$AC$400,_xlfn.TEXTJOIN(",",TRUE,B46:E46),SF_Output!$Q$1:$Q$400,"monthly")&lt;&gt;0),SUMIFS(SF_Output!$S$1:$S$400,SF_Output!$AC$1:$AC$400,_xlfn.TEXTJOIN(",",TRUE,B46:E46),SF_Output!$Q$1:$Q$400,"monthly"),AND(B46&lt;&gt;"",H46&lt;&gt;SF_Output!$Y$2),SUMIFS(SF_Output!$S$1:$S$400,SF_Output!$AC$1:$AC$400,_xlfn.TEXTJOIN(",",TRUE,B46:E46),SF_Output!$Q$1:$Q$400,"monthly"))</f>
        <v>0</v>
      </c>
      <c r="W46" s="112" t="str" cm="1">
        <f t="array" ref="W46">_xlfn.IFS(OR(B46=0,B46="",V46=0),"",AF46&lt;&gt;"exclusion",MAX($W$9,$W$7,(-(SUMIFS(SF_Output!$T$1:$T$400,SF_Output!$AC$1:$AC$400,_xlfn.TEXTJOIN(",",TRUE,$B46:$E46),SF_Output!$Q$1:$Q$400,"monthly"))/V46)),AF46="exclusion",-(SUMIFS(SF_Output!$T$1:$T$400,SF_Output!$AC$1:$AC$400,_xlfn.TEXTJOIN(",",TRUE,$B46:$E46),SF_Output!$Q$1:$Q$400,"monthly"))/V46)</f>
        <v/>
      </c>
      <c r="X46" s="6" cm="1">
        <f t="array" ref="X46">IFERROR(_xlfn.IFS(V46=0,0,V46="","",W46=0,V46,OR(V46&lt;&gt;0,V46&lt;&gt;""),H46*I46),V46*(1-W46))</f>
        <v>0</v>
      </c>
      <c r="Z46" s="6">
        <f>IFERROR(IF(B46="","",SUMIFS(Billing_Fallout!H:H,Billing_Fallout!N:N,B46)),0)</f>
        <v>0</v>
      </c>
      <c r="AA46" s="6">
        <f t="shared" si="4"/>
        <v>0</v>
      </c>
      <c r="AB46" s="6">
        <f>IFERROR(IF(B46="","",SUMIFS(Billing_Fallout!J:J,Billing_Fallout!N:N,B46)),0)</f>
        <v>0</v>
      </c>
      <c r="AD46" s="6">
        <f t="shared" si="5"/>
        <v>0</v>
      </c>
      <c r="AF46" t="str">
        <f>IFERROR(INDEX(H_Tables!$B$1:$B$1500,MATCH(INDEX(SF_Output!$J$1:$J$400,MATCH(B46,SF_Output!$M$1:$M$400,0)),H_Tables!$A$1:$A$1500,0)),"")</f>
        <v>Exclusion</v>
      </c>
      <c r="AI46" s="119" t="str">
        <f t="shared" si="6"/>
        <v/>
      </c>
      <c r="AJ46" s="121">
        <f>IFERROR(INDEX(SF_Output!AD:AD,MATCH(_xlfn.TEXTJOIN(",",TRUE,B46:E46),SF_Output!AC1:AC400,0)),0.05)</f>
        <v>68</v>
      </c>
      <c r="AK46" t="str">
        <f>IF(SUMIFS(SF_Output!$F$1:$F$400,SF_Output!$AC$1:$AC$400,_xlfn.TEXTJOIN(",",TRUE,B46:E46))+SUMIFS(SF_Output!$G$1:$G$400,SF_Output!$AC$1:$AC$400,_xlfn.TEXTJOIN(",",TRUE,B46:E46))=0,"","PAP")</f>
        <v/>
      </c>
      <c r="AQ46" s="35"/>
      <c r="AR46" s="35" t="str" cm="1">
        <f t="array" ref="AR46">IFERROR(_xlfn.IFS(AND(E46*1=1,F46="Included"),"Change to Included",AND(E46*1=0,F46="Optional"),"Change to Optional",OR(B46="",F46="replaced"),""),"")</f>
        <v/>
      </c>
      <c r="AS46" s="35" t="str">
        <f t="shared" si="7"/>
        <v/>
      </c>
      <c r="AT46" s="35" t="str">
        <f t="shared" si="8"/>
        <v/>
      </c>
      <c r="AU46" s="35" t="str">
        <f t="shared" si="9"/>
        <v/>
      </c>
      <c r="AV46" s="35" t="str">
        <f t="shared" si="10"/>
        <v/>
      </c>
      <c r="AW46" s="35" t="str">
        <f t="shared" si="11"/>
        <v/>
      </c>
      <c r="AX46" s="35" t="str">
        <f t="shared" si="12"/>
        <v/>
      </c>
      <c r="AY46" s="35" t="str">
        <f t="shared" si="13"/>
        <v/>
      </c>
      <c r="AZ46" s="35" t="str">
        <f t="shared" si="14"/>
        <v/>
      </c>
      <c r="BA46" s="35" t="str">
        <f t="shared" si="15"/>
        <v/>
      </c>
      <c r="BB46" s="35" t="str">
        <f t="shared" si="16"/>
        <v/>
      </c>
      <c r="BC46" s="35"/>
      <c r="BE46" s="35">
        <f ca="1">INDEX(SF_Output!$AA$2:$AA$400,MATCH($B46,SF_Output!$M$2:$M$400,0))</f>
        <v>3</v>
      </c>
      <c r="BF46" s="35">
        <f ca="1">INDEX(SF_Output!$AB$2:$AB$400,MATCH($B46,SF_Output!$M$2:$M$400,0))</f>
        <v>1</v>
      </c>
    </row>
    <row r="47" spans="2:58" x14ac:dyDescent="0.25">
      <c r="B47" t="s">
        <v>604</v>
      </c>
      <c r="C47" t="s">
        <v>2122</v>
      </c>
      <c r="D47" t="s">
        <v>2123</v>
      </c>
      <c r="E47" t="s">
        <v>2124</v>
      </c>
      <c r="F47" s="116" t="str">
        <f t="shared" si="0"/>
        <v>Included</v>
      </c>
      <c r="G47" t="str">
        <f>IF(B47="","",INDEX(SF_Output!$K$1:$K$400,MATCH(B47,SF_Output!$M$1:$M$400,0)))</f>
        <v>Electronic Statements Interactive(ESI)</v>
      </c>
      <c r="H47" cm="1">
        <f t="array" ref="H47">_xlfn.IFS(B47="","",(SUMIFS(SF_Output!$F$1:$F$400,SF_Output!$AC$1:$AC$400,_xlfn.TEXTJOIN(",",TRUE,B47:E47))+SUMIFS(SF_Output!$G$1:$G$400,SF_Output!$AC$1:$AC$400,_xlfn.TEXTJOIN(",",TRUE,B47:E47)))&lt;&gt;0,SF_Output!$Y$2,INDEX(SF_Output!$F$1:$F$400,MATCH(_xlfn.TEXTJOIN(",",TRUE,B47:E47),SF_Output!$AC$1:$AC$400,0))=0,INDEX(SF_Output!$R$1:$R$400,MATCH(_xlfn.TEXTJOIN(",",TRUE,B47:E47),SF_Output!$AC$1:$AC$400,0)))</f>
        <v>5000</v>
      </c>
      <c r="I47" s="125">
        <f>IFERROR(IF(AND(H47&gt;1,H47&lt;&gt;""),ROUND(SUMIFS(SF_Output!$S$1:$S$400,SF_Output!$AC$1:$AC$400,_xlfn.TEXTJOIN(",",TRUE,B47:E47),SF_Output!$Q$1:$Q$400,"monthly")*(1-W47)/H47,4),""),"")</f>
        <v>2.1000000000000001E-2</v>
      </c>
      <c r="J47" s="6">
        <f>IF(B47="","",SUMIFS(SF_Output!$S$1:$S$400,SF_Output!$AC$1:$AC$400,_xlfn.TEXTJOIN(",",TRUE,B47:E47),SF_Output!$Q$1:$Q$400,"One Time",SF_Output!$L$1:$L$400,"license fee")+SUMIFS(SF_Output!$S$1:$S$400,SF_Output!$AC$1:$AC$400,_xlfn.TEXTJOIN(",",TRUE,B47:E47),SF_Output!$Q$1:$Q$400,"One Time",SF_Output!$L$1:$L$400,"software license")+SUMIFS(SF_Output!$S$1:$S$400,SF_Output!$AC$1:$AC$400,_xlfn.TEXTJOIN(",",TRUE,B47:E47),SF_Output!$Q$1:$Q$400,"One Time",SF_Output!$L$1:$L$400,"hardware"))</f>
        <v>0</v>
      </c>
      <c r="K47" s="112" t="str">
        <f>IF(OR(B47=0,B47="",G47="hardware",J47=0),"",IF(AF47&lt;&gt;"exclusion",MAX(K$9,-((SUMIFS(SF_Output!$T$1:$T$400,SF_Output!$AC$1:$AC$400,_xlfn.TEXTJOIN(",",TRUE,$B47:$E47),SF_Output!$Q$1:$Q$400,"One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license"))/J47)))</f>
        <v/>
      </c>
      <c r="L47" s="6">
        <f t="shared" si="1"/>
        <v>0</v>
      </c>
      <c r="N47" s="6">
        <f>IF(B47="","",SUMIFS(SF_Output!$S$1:$S$400,SF_Output!$AC$1:$AC$400,_xlfn.TEXTJOIN(",",TRUE,B47:E47),SF_Output!$Q$1:$Q$400,"One Time",SF_Output!$L$1:$L$400,"professional service"))</f>
        <v>1750</v>
      </c>
      <c r="O47" s="112">
        <f>IF(OR(B47=0,B47="",N47=0),"",IF(AF47&lt;&gt;"exclusion",MAX(O$9,-(SUMIFS(SF_Output!$T$1:$T$400,SF_Output!$AC$1:$AC$400,_xlfn.TEXTJOIN(",",TRUE,$B47:$E47),SF_Output!$Q$1:$Q$400,"One Time",SF_Output!$L$1:$L$400,"professional service"))/N47),-((SUMIFS(SF_Output!$T$1:$T$400,SF_Output!$AC$1:$AC$400,_xlfn.TEXTJOIN(",",TRUE,$B47:$E47),SF_Output!$Q$1:$Q$400,"One Time",SF_Output!$L$1:$L$400,"professional service")/N47))))</f>
        <v>1</v>
      </c>
      <c r="P47" s="6">
        <f t="shared" si="2"/>
        <v>0</v>
      </c>
      <c r="R47" s="6">
        <f>IF(B47="","",SUMIFS(SF_Output!$S$1:$S$400,SF_Output!$AC$1:$AC$400,_xlfn.TEXTJOIN(",",TRUE,B47:E47),SF_Output!$Q$1:$Q$400,"yearly")+SUMIFS(SF_Output!$S$1:$S$400,SF_Output!$AC$1:$AC$400,_xlfn.TEXTJOIN(",",TRUE,B47:E47),SF_Output!$Q$1:$Q$400,"quarterly")*4)</f>
        <v>0</v>
      </c>
      <c r="S47" s="112" t="str">
        <f>IF(OR(B47=0,B47="",G47="hardware",R47=0),"",IF(AF47&lt;&gt;"exclusion",MAX(S$9,-(SUMIFS(SF_Output!$T$1:$T$400,SF_Output!$AC$1:$AC$400,_xlfn.TEXTJOIN(",",TRUE,$B47:$E47),SF_Output!$Q$1:$Q$400,"yearly"))/R47),-((SUMIFS(SF_Output!$T$1:$T$400,SF_Output!$AC$1:$AC$400,_xlfn.TEXTJOIN(",",TRUE,$B47:$E47),SF_Output!$Q$1:$Q$400,"yearly")/R47))))</f>
        <v/>
      </c>
      <c r="T47" s="6">
        <f t="shared" si="3"/>
        <v>0</v>
      </c>
      <c r="V47" s="6" cm="1">
        <f t="array" ref="V47">_xlfn.IFS(B47="","",AND(B47&lt;&gt;"",H47=SF_Output!$Y$2,SUMIFS(SF_Output!$T$1:$T$400,SF_Output!$AC$1:$AC$400,_xlfn.TEXTJOIN(",",TRUE,B47:E47),SF_Output!$Q$1:$Q$400,"monthly")=0),(SUMIFS(SF_Output!$F$1:$F$400,SF_Output!$AC$1:$AC$400,_xlfn.TEXTJOIN(",",TRUE,B47:E47),SF_Output!$Q$1:$Q$400,"monthly")+SUMIFS(SF_Output!$G$1:$G$400,SF_Output!$AC$1:$AC$400,_xlfn.TEXTJOIN(",",TRUE,B47:E47),SF_Output!$Q$1:$Q$400,"monthly"))*H47,AND(B47&lt;&gt;"",H47=SF_Output!$Y$2,SUMIFS(SF_Output!$T$1:$T$400,SF_Output!$AC$1:$AC$400,_xlfn.TEXTJOIN(",",TRUE,B47:E47),SF_Output!$Q$1:$Q$400,"monthly")&lt;&gt;0),SUMIFS(SF_Output!$S$1:$S$400,SF_Output!$AC$1:$AC$400,_xlfn.TEXTJOIN(",",TRUE,B47:E47),SF_Output!$Q$1:$Q$400,"monthly"),AND(B47&lt;&gt;"",H47&lt;&gt;SF_Output!$Y$2),SUMIFS(SF_Output!$S$1:$S$400,SF_Output!$AC$1:$AC$400,_xlfn.TEXTJOIN(",",TRUE,B47:E47),SF_Output!$Q$1:$Q$400,"monthly"))</f>
        <v>140</v>
      </c>
      <c r="W47" s="112" cm="1">
        <f t="array" ref="W47">_xlfn.IFS(OR(B47=0,B47="",V47=0),"",AF47&lt;&gt;"exclusion",MAX($W$9,$W$7,(-(SUMIFS(SF_Output!$T$1:$T$400,SF_Output!$AC$1:$AC$400,_xlfn.TEXTJOIN(",",TRUE,$B47:$E47),SF_Output!$Q$1:$Q$400,"monthly"))/V47)),AF47="exclusion",-(SUMIFS(SF_Output!$T$1:$T$400,SF_Output!$AC$1:$AC$400,_xlfn.TEXTJOIN(",",TRUE,$B47:$E47),SF_Output!$Q$1:$Q$400,"monthly"))/V47)</f>
        <v>0.25</v>
      </c>
      <c r="X47" s="6" cm="1">
        <f t="array" ref="X47">IFERROR(_xlfn.IFS(V47=0,0,V47="","",W47=0,V47,OR(V47&lt;&gt;0,V47&lt;&gt;""),H47*I47),V47*(1-W47))</f>
        <v>105</v>
      </c>
      <c r="Z47" s="6">
        <f>IFERROR(IF(B47="","",SUMIFS(Billing_Fallout!H:H,Billing_Fallout!N:N,B47)),0)</f>
        <v>0</v>
      </c>
      <c r="AA47" s="6">
        <f t="shared" si="4"/>
        <v>0</v>
      </c>
      <c r="AB47" s="6">
        <f>IFERROR(IF(B47="","",SUMIFS(Billing_Fallout!J:J,Billing_Fallout!N:N,B47)),0)</f>
        <v>0</v>
      </c>
      <c r="AD47" s="6">
        <f t="shared" si="5"/>
        <v>105</v>
      </c>
      <c r="AF47" t="str">
        <f>IFERROR(INDEX(H_Tables!$B$1:$B$1500,MATCH(INDEX(SF_Output!$J$1:$J$400,MATCH(B47,SF_Output!$M$1:$M$400,0)),H_Tables!$A$1:$A$1500,0)),"")</f>
        <v/>
      </c>
      <c r="AI47" s="119" t="str">
        <f t="shared" si="6"/>
        <v/>
      </c>
      <c r="AJ47" s="121">
        <f>IFERROR(INDEX(SF_Output!AD:AD,MATCH(_xlfn.TEXTJOIN(",",TRUE,B47:E47),SF_Output!AC1:AC400,0)),0.05)</f>
        <v>77</v>
      </c>
      <c r="AK47" t="str">
        <f>IF(SUMIFS(SF_Output!$F$1:$F$400,SF_Output!$AC$1:$AC$400,_xlfn.TEXTJOIN(",",TRUE,B47:E47))+SUMIFS(SF_Output!$G$1:$G$400,SF_Output!$AC$1:$AC$400,_xlfn.TEXTJOIN(",",TRUE,B47:E47))=0,"","PAP")</f>
        <v>PAP</v>
      </c>
      <c r="AQ47" s="35"/>
      <c r="AR47" s="35" t="str" cm="1">
        <f t="array" ref="AR47">IFERROR(_xlfn.IFS(AND(E47*1=1,F47="Included"),"Change to Included",AND(E47*1=0,F47="Optional"),"Change to Optional",OR(B47="",F47="replaced"),""),"")</f>
        <v/>
      </c>
      <c r="AS47" s="35" t="str">
        <f t="shared" si="7"/>
        <v/>
      </c>
      <c r="AT47" s="35" t="str">
        <f t="shared" si="8"/>
        <v/>
      </c>
      <c r="AU47" s="35" t="str">
        <f t="shared" si="9"/>
        <v/>
      </c>
      <c r="AV47" s="35" t="str">
        <f t="shared" si="10"/>
        <v/>
      </c>
      <c r="AW47" s="35" t="str">
        <f t="shared" si="11"/>
        <v/>
      </c>
      <c r="AX47" s="35" t="str">
        <f t="shared" si="12"/>
        <v/>
      </c>
      <c r="AY47" s="35" t="str">
        <f t="shared" si="13"/>
        <v/>
      </c>
      <c r="AZ47" s="35" t="str">
        <f t="shared" si="14"/>
        <v/>
      </c>
      <c r="BA47" s="35" t="str">
        <f t="shared" si="15"/>
        <v/>
      </c>
      <c r="BB47" s="35" t="str">
        <f t="shared" si="16"/>
        <v/>
      </c>
      <c r="BC47" s="35"/>
      <c r="BE47" s="35">
        <f ca="1">INDEX(SF_Output!$AA$2:$AA$400,MATCH($B47,SF_Output!$M$2:$M$400,0))</f>
        <v>3</v>
      </c>
      <c r="BF47" s="35">
        <f ca="1">INDEX(SF_Output!$AB$2:$AB$400,MATCH($B47,SF_Output!$M$2:$M$400,0))</f>
        <v>2</v>
      </c>
    </row>
    <row r="48" spans="2:58" x14ac:dyDescent="0.25">
      <c r="B48" t="s">
        <v>1150</v>
      </c>
      <c r="C48" t="s">
        <v>2122</v>
      </c>
      <c r="D48" t="s">
        <v>2164</v>
      </c>
      <c r="E48" t="s">
        <v>2124</v>
      </c>
      <c r="F48" s="116" t="str">
        <f t="shared" si="0"/>
        <v>Included</v>
      </c>
      <c r="G48" t="str">
        <f>IF(B48="","",INDEX(SF_Output!$K$1:$K$400,MATCH(B48,SF_Output!$M$1:$M$400,0)))</f>
        <v>Intuit</v>
      </c>
      <c r="H48" cm="1">
        <f t="array" ref="H48">_xlfn.IFS(B48="","",(SUMIFS(SF_Output!$F$1:$F$400,SF_Output!$AC$1:$AC$400,_xlfn.TEXTJOIN(",",TRUE,B48:E48))+SUMIFS(SF_Output!$G$1:$G$400,SF_Output!$AC$1:$AC$400,_xlfn.TEXTJOIN(",",TRUE,B48:E48)))&lt;&gt;0,SF_Output!$Y$2,INDEX(SF_Output!$F$1:$F$400,MATCH(_xlfn.TEXTJOIN(",",TRUE,B48:E48),SF_Output!$AC$1:$AC$400,0))=0,INDEX(SF_Output!$R$1:$R$400,MATCH(_xlfn.TEXTJOIN(",",TRUE,B48:E48),SF_Output!$AC$1:$AC$400,0)))</f>
        <v>1</v>
      </c>
      <c r="I48" s="125" t="str">
        <f>IFERROR(IF(AND(H48&gt;1,H48&lt;&gt;""),ROUND(SUMIFS(SF_Output!$S$1:$S$400,SF_Output!$AC$1:$AC$400,_xlfn.TEXTJOIN(",",TRUE,B48:E48),SF_Output!$Q$1:$Q$400,"monthly")*(1-W48)/H48,4),""),"")</f>
        <v/>
      </c>
      <c r="J48" s="6">
        <f>IF(B48="","",SUMIFS(SF_Output!$S$1:$S$400,SF_Output!$AC$1:$AC$400,_xlfn.TEXTJOIN(",",TRUE,B48:E48),SF_Output!$Q$1:$Q$400,"One Time",SF_Output!$L$1:$L$400,"license fee")+SUMIFS(SF_Output!$S$1:$S$400,SF_Output!$AC$1:$AC$400,_xlfn.TEXTJOIN(",",TRUE,B48:E48),SF_Output!$Q$1:$Q$400,"One Time",SF_Output!$L$1:$L$400,"software license")+SUMIFS(SF_Output!$S$1:$S$400,SF_Output!$AC$1:$AC$400,_xlfn.TEXTJOIN(",",TRUE,B48:E48),SF_Output!$Q$1:$Q$400,"One Time",SF_Output!$L$1:$L$400,"hardware"))</f>
        <v>0</v>
      </c>
      <c r="K48" s="112" t="str">
        <f>IF(OR(B48=0,B48="",G48="hardware",J48=0),"",IF(AF48&lt;&gt;"exclusion",MAX(K$9,-((SUMIFS(SF_Output!$T$1:$T$400,SF_Output!$AC$1:$AC$400,_xlfn.TEXTJOIN(",",TRUE,$B48:$E48),SF_Output!$Q$1:$Q$400,"One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license"))/J48)))</f>
        <v/>
      </c>
      <c r="L48" s="6">
        <f t="shared" si="1"/>
        <v>0</v>
      </c>
      <c r="N48" s="6">
        <f>IF(B48="","",SUMIFS(SF_Output!$S$1:$S$400,SF_Output!$AC$1:$AC$400,_xlfn.TEXTJOIN(",",TRUE,B48:E48),SF_Output!$Q$1:$Q$400,"One Time",SF_Output!$L$1:$L$400,"professional service"))</f>
        <v>0</v>
      </c>
      <c r="O48" s="112" t="str">
        <f>IF(OR(B48=0,B48="",N48=0),"",IF(AF48&lt;&gt;"exclusion",MAX(O$9,-(SUMIFS(SF_Output!$T$1:$T$400,SF_Output!$AC$1:$AC$400,_xlfn.TEXTJOIN(",",TRUE,$B48:$E48),SF_Output!$Q$1:$Q$400,"One Time",SF_Output!$L$1:$L$400,"professional service"))/N48),-((SUMIFS(SF_Output!$T$1:$T$400,SF_Output!$AC$1:$AC$400,_xlfn.TEXTJOIN(",",TRUE,$B48:$E48),SF_Output!$Q$1:$Q$400,"One Time",SF_Output!$L$1:$L$400,"professional service")/N48))))</f>
        <v/>
      </c>
      <c r="P48" s="6">
        <f t="shared" si="2"/>
        <v>0</v>
      </c>
      <c r="R48" s="6">
        <f>IF(B48="","",SUMIFS(SF_Output!$S$1:$S$400,SF_Output!$AC$1:$AC$400,_xlfn.TEXTJOIN(",",TRUE,B48:E48),SF_Output!$Q$1:$Q$400,"yearly")+SUMIFS(SF_Output!$S$1:$S$400,SF_Output!$AC$1:$AC$400,_xlfn.TEXTJOIN(",",TRUE,B48:E48),SF_Output!$Q$1:$Q$400,"quarterly")*4)</f>
        <v>0</v>
      </c>
      <c r="S48" s="112" t="str">
        <f>IF(OR(B48=0,B48="",G48="hardware",R48=0),"",IF(AF48&lt;&gt;"exclusion",MAX(S$9,-(SUMIFS(SF_Output!$T$1:$T$400,SF_Output!$AC$1:$AC$400,_xlfn.TEXTJOIN(",",TRUE,$B48:$E48),SF_Output!$Q$1:$Q$400,"yearly"))/R48),-((SUMIFS(SF_Output!$T$1:$T$400,SF_Output!$AC$1:$AC$400,_xlfn.TEXTJOIN(",",TRUE,$B48:$E48),SF_Output!$Q$1:$Q$400,"yearly")/R48))))</f>
        <v/>
      </c>
      <c r="T48" s="6">
        <f t="shared" si="3"/>
        <v>0</v>
      </c>
      <c r="V48" s="6" cm="1">
        <f t="array" ref="V48">_xlfn.IFS(B48="","",AND(B48&lt;&gt;"",H48=SF_Output!$Y$2,SUMIFS(SF_Output!$T$1:$T$400,SF_Output!$AC$1:$AC$400,_xlfn.TEXTJOIN(",",TRUE,B48:E48),SF_Output!$Q$1:$Q$400,"monthly")=0),(SUMIFS(SF_Output!$F$1:$F$400,SF_Output!$AC$1:$AC$400,_xlfn.TEXTJOIN(",",TRUE,B48:E48),SF_Output!$Q$1:$Q$400,"monthly")+SUMIFS(SF_Output!$G$1:$G$400,SF_Output!$AC$1:$AC$400,_xlfn.TEXTJOIN(",",TRUE,B48:E48),SF_Output!$Q$1:$Q$400,"monthly"))*H48,AND(B48&lt;&gt;"",H48=SF_Output!$Y$2,SUMIFS(SF_Output!$T$1:$T$400,SF_Output!$AC$1:$AC$400,_xlfn.TEXTJOIN(",",TRUE,B48:E48),SF_Output!$Q$1:$Q$400,"monthly")&lt;&gt;0),SUMIFS(SF_Output!$S$1:$S$400,SF_Output!$AC$1:$AC$400,_xlfn.TEXTJOIN(",",TRUE,B48:E48),SF_Output!$Q$1:$Q$400,"monthly"),AND(B48&lt;&gt;"",H48&lt;&gt;SF_Output!$Y$2),SUMIFS(SF_Output!$S$1:$S$400,SF_Output!$AC$1:$AC$400,_xlfn.TEXTJOIN(",",TRUE,B48:E48),SF_Output!$Q$1:$Q$400,"monthly"))</f>
        <v>0</v>
      </c>
      <c r="W48" s="112" t="str" cm="1">
        <f t="array" ref="W48">_xlfn.IFS(OR(B48=0,B48="",V48=0),"",AF48&lt;&gt;"exclusion",MAX($W$9,$W$7,(-(SUMIFS(SF_Output!$T$1:$T$400,SF_Output!$AC$1:$AC$400,_xlfn.TEXTJOIN(",",TRUE,$B48:$E48),SF_Output!$Q$1:$Q$400,"monthly"))/V48)),AF48="exclusion",-(SUMIFS(SF_Output!$T$1:$T$400,SF_Output!$AC$1:$AC$400,_xlfn.TEXTJOIN(",",TRUE,$B48:$E48),SF_Output!$Q$1:$Q$400,"monthly"))/V48)</f>
        <v/>
      </c>
      <c r="X48" s="6" cm="1">
        <f t="array" ref="X48">IFERROR(_xlfn.IFS(V48=0,0,V48="","",W48=0,V48,OR(V48&lt;&gt;0,V48&lt;&gt;""),H48*I48),V48*(1-W48))</f>
        <v>0</v>
      </c>
      <c r="Z48" s="6">
        <f>IFERROR(IF(B48="","",SUMIFS(Billing_Fallout!H:H,Billing_Fallout!N:N,B48)),0)</f>
        <v>0</v>
      </c>
      <c r="AA48" s="6">
        <f t="shared" si="4"/>
        <v>0</v>
      </c>
      <c r="AB48" s="6">
        <f>IFERROR(IF(B48="","",SUMIFS(Billing_Fallout!J:J,Billing_Fallout!N:N,B48)),0)</f>
        <v>0</v>
      </c>
      <c r="AD48" s="6">
        <f t="shared" si="5"/>
        <v>0</v>
      </c>
      <c r="AF48" t="str">
        <f>IFERROR(INDEX(H_Tables!$B$1:$B$1500,MATCH(INDEX(SF_Output!$J$1:$J$400,MATCH(B48,SF_Output!$M$1:$M$400,0)),H_Tables!$A$1:$A$1500,0)),"")</f>
        <v>Exclusion</v>
      </c>
      <c r="AI48" s="119" t="str">
        <f t="shared" si="6"/>
        <v/>
      </c>
      <c r="AJ48" s="121">
        <f>IFERROR(INDEX(SF_Output!AD:AD,MATCH(_xlfn.TEXTJOIN(",",TRUE,B48:E48),SF_Output!AC1:AC400,0)),0.05)</f>
        <v>79</v>
      </c>
      <c r="AK48" t="str">
        <f>IF(SUMIFS(SF_Output!$F$1:$F$400,SF_Output!$AC$1:$AC$400,_xlfn.TEXTJOIN(",",TRUE,B48:E48))+SUMIFS(SF_Output!$G$1:$G$400,SF_Output!$AC$1:$AC$400,_xlfn.TEXTJOIN(",",TRUE,B48:E48))=0,"","PAP")</f>
        <v/>
      </c>
      <c r="AQ48" s="35"/>
      <c r="AR48" s="35" t="str" cm="1">
        <f t="array" ref="AR48">IFERROR(_xlfn.IFS(AND(E48*1=1,F48="Included"),"Change to Included",AND(E48*1=0,F48="Optional"),"Change to Optional",OR(B48="",F48="replaced"),""),"")</f>
        <v/>
      </c>
      <c r="AS48" s="35" t="str">
        <f t="shared" si="7"/>
        <v/>
      </c>
      <c r="AT48" s="35" t="str">
        <f t="shared" si="8"/>
        <v/>
      </c>
      <c r="AU48" s="35" t="str">
        <f t="shared" si="9"/>
        <v/>
      </c>
      <c r="AV48" s="35" t="str">
        <f t="shared" si="10"/>
        <v/>
      </c>
      <c r="AW48" s="35" t="str">
        <f t="shared" si="11"/>
        <v/>
      </c>
      <c r="AX48" s="35" t="str">
        <f t="shared" si="12"/>
        <v/>
      </c>
      <c r="AY48" s="35" t="str">
        <f t="shared" si="13"/>
        <v/>
      </c>
      <c r="AZ48" s="35" t="str">
        <f t="shared" si="14"/>
        <v/>
      </c>
      <c r="BA48" s="35" t="str">
        <f t="shared" si="15"/>
        <v/>
      </c>
      <c r="BB48" s="35" t="str">
        <f t="shared" si="16"/>
        <v/>
      </c>
      <c r="BC48" s="35"/>
      <c r="BE48" s="35">
        <f ca="1">INDEX(SF_Output!$AA$2:$AA$400,MATCH($B48,SF_Output!$M$2:$M$400,0))</f>
        <v>3</v>
      </c>
      <c r="BF48" s="35">
        <f ca="1">INDEX(SF_Output!$AB$2:$AB$400,MATCH($B48,SF_Output!$M$2:$M$400,0))</f>
        <v>3</v>
      </c>
    </row>
    <row r="49" spans="2:58" x14ac:dyDescent="0.25">
      <c r="B49" t="s">
        <v>1154</v>
      </c>
      <c r="C49" t="s">
        <v>2122</v>
      </c>
      <c r="D49" t="s">
        <v>2164</v>
      </c>
      <c r="E49" t="s">
        <v>2124</v>
      </c>
      <c r="F49" s="116" t="str">
        <f t="shared" si="0"/>
        <v>Included</v>
      </c>
      <c r="G49" t="str">
        <f>IF(B49="","",INDEX(SF_Output!$K$1:$K$400,MATCH(B49,SF_Output!$M$1:$M$400,0)))</f>
        <v>Intuit</v>
      </c>
      <c r="H49" cm="1">
        <f t="array" ref="H49">_xlfn.IFS(B49="","",(SUMIFS(SF_Output!$F$1:$F$400,SF_Output!$AC$1:$AC$400,_xlfn.TEXTJOIN(",",TRUE,B49:E49))+SUMIFS(SF_Output!$G$1:$G$400,SF_Output!$AC$1:$AC$400,_xlfn.TEXTJOIN(",",TRUE,B49:E49)))&lt;&gt;0,SF_Output!$Y$2,INDEX(SF_Output!$F$1:$F$400,MATCH(_xlfn.TEXTJOIN(",",TRUE,B49:E49),SF_Output!$AC$1:$AC$400,0))=0,INDEX(SF_Output!$R$1:$R$400,MATCH(_xlfn.TEXTJOIN(",",TRUE,B49:E49),SF_Output!$AC$1:$AC$400,0)))</f>
        <v>1</v>
      </c>
      <c r="I49" s="125" t="str">
        <f>IFERROR(IF(AND(H49&gt;1,H49&lt;&gt;""),ROUND(SUMIFS(SF_Output!$S$1:$S$400,SF_Output!$AC$1:$AC$400,_xlfn.TEXTJOIN(",",TRUE,B49:E49),SF_Output!$Q$1:$Q$400,"monthly")*(1-W49)/H49,4),""),"")</f>
        <v/>
      </c>
      <c r="J49" s="6">
        <f>IF(B49="","",SUMIFS(SF_Output!$S$1:$S$400,SF_Output!$AC$1:$AC$400,_xlfn.TEXTJOIN(",",TRUE,B49:E49),SF_Output!$Q$1:$Q$400,"One Time",SF_Output!$L$1:$L$400,"license fee")+SUMIFS(SF_Output!$S$1:$S$400,SF_Output!$AC$1:$AC$400,_xlfn.TEXTJOIN(",",TRUE,B49:E49),SF_Output!$Q$1:$Q$400,"One Time",SF_Output!$L$1:$L$400,"software license")+SUMIFS(SF_Output!$S$1:$S$400,SF_Output!$AC$1:$AC$400,_xlfn.TEXTJOIN(",",TRUE,B49:E49),SF_Output!$Q$1:$Q$400,"One Time",SF_Output!$L$1:$L$400,"hardware"))</f>
        <v>0</v>
      </c>
      <c r="K49" s="112" t="str">
        <f>IF(OR(B49=0,B49="",G49="hardware",J49=0),"",IF(AF49&lt;&gt;"exclusion",MAX(K$9,-((SUMIFS(SF_Output!$T$1:$T$400,SF_Output!$AC$1:$AC$400,_xlfn.TEXTJOIN(",",TRUE,$B49:$E49),SF_Output!$Q$1:$Q$400,"One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license"))/J49)))</f>
        <v/>
      </c>
      <c r="L49" s="6">
        <f t="shared" si="1"/>
        <v>0</v>
      </c>
      <c r="N49" s="6">
        <f>IF(B49="","",SUMIFS(SF_Output!$S$1:$S$400,SF_Output!$AC$1:$AC$400,_xlfn.TEXTJOIN(",",TRUE,B49:E49),SF_Output!$Q$1:$Q$400,"One Time",SF_Output!$L$1:$L$400,"professional service"))</f>
        <v>0</v>
      </c>
      <c r="O49" s="112" t="str">
        <f>IF(OR(B49=0,B49="",N49=0),"",IF(AF49&lt;&gt;"exclusion",MAX(O$9,-(SUMIFS(SF_Output!$T$1:$T$400,SF_Output!$AC$1:$AC$400,_xlfn.TEXTJOIN(",",TRUE,$B49:$E49),SF_Output!$Q$1:$Q$400,"One Time",SF_Output!$L$1:$L$400,"professional service"))/N49),-((SUMIFS(SF_Output!$T$1:$T$400,SF_Output!$AC$1:$AC$400,_xlfn.TEXTJOIN(",",TRUE,$B49:$E49),SF_Output!$Q$1:$Q$400,"One Time",SF_Output!$L$1:$L$400,"professional service")/N49))))</f>
        <v/>
      </c>
      <c r="P49" s="6">
        <f t="shared" si="2"/>
        <v>0</v>
      </c>
      <c r="R49" s="6">
        <f>IF(B49="","",SUMIFS(SF_Output!$S$1:$S$400,SF_Output!$AC$1:$AC$400,_xlfn.TEXTJOIN(",",TRUE,B49:E49),SF_Output!$Q$1:$Q$400,"yearly")+SUMIFS(SF_Output!$S$1:$S$400,SF_Output!$AC$1:$AC$400,_xlfn.TEXTJOIN(",",TRUE,B49:E49),SF_Output!$Q$1:$Q$400,"quarterly")*4)</f>
        <v>500</v>
      </c>
      <c r="S49" s="112">
        <f>IF(OR(B49=0,B49="",G49="hardware",R49=0),"",IF(AF49&lt;&gt;"exclusion",MAX(S$9,-(SUMIFS(SF_Output!$T$1:$T$400,SF_Output!$AC$1:$AC$400,_xlfn.TEXTJOIN(",",TRUE,$B49:$E49),SF_Output!$Q$1:$Q$400,"yearly"))/R49),-((SUMIFS(SF_Output!$T$1:$T$400,SF_Output!$AC$1:$AC$400,_xlfn.TEXTJOIN(",",TRUE,$B49:$E49),SF_Output!$Q$1:$Q$400,"yearly")/R49))))</f>
        <v>0</v>
      </c>
      <c r="T49" s="6">
        <f t="shared" si="3"/>
        <v>500</v>
      </c>
      <c r="V49" s="6" cm="1">
        <f t="array" ref="V49">_xlfn.IFS(B49="","",AND(B49&lt;&gt;"",H49=SF_Output!$Y$2,SUMIFS(SF_Output!$T$1:$T$400,SF_Output!$AC$1:$AC$400,_xlfn.TEXTJOIN(",",TRUE,B49:E49),SF_Output!$Q$1:$Q$400,"monthly")=0),(SUMIFS(SF_Output!$F$1:$F$400,SF_Output!$AC$1:$AC$400,_xlfn.TEXTJOIN(",",TRUE,B49:E49),SF_Output!$Q$1:$Q$400,"monthly")+SUMIFS(SF_Output!$G$1:$G$400,SF_Output!$AC$1:$AC$400,_xlfn.TEXTJOIN(",",TRUE,B49:E49),SF_Output!$Q$1:$Q$400,"monthly"))*H49,AND(B49&lt;&gt;"",H49=SF_Output!$Y$2,SUMIFS(SF_Output!$T$1:$T$400,SF_Output!$AC$1:$AC$400,_xlfn.TEXTJOIN(",",TRUE,B49:E49),SF_Output!$Q$1:$Q$400,"monthly")&lt;&gt;0),SUMIFS(SF_Output!$S$1:$S$400,SF_Output!$AC$1:$AC$400,_xlfn.TEXTJOIN(",",TRUE,B49:E49),SF_Output!$Q$1:$Q$400,"monthly"),AND(B49&lt;&gt;"",H49&lt;&gt;SF_Output!$Y$2),SUMIFS(SF_Output!$S$1:$S$400,SF_Output!$AC$1:$AC$400,_xlfn.TEXTJOIN(",",TRUE,B49:E49),SF_Output!$Q$1:$Q$400,"monthly"))</f>
        <v>0</v>
      </c>
      <c r="W49" s="112" t="str" cm="1">
        <f t="array" ref="W49">_xlfn.IFS(OR(B49=0,B49="",V49=0),"",AF49&lt;&gt;"exclusion",MAX($W$9,$W$7,(-(SUMIFS(SF_Output!$T$1:$T$400,SF_Output!$AC$1:$AC$400,_xlfn.TEXTJOIN(",",TRUE,$B49:$E49),SF_Output!$Q$1:$Q$400,"monthly"))/V49)),AF49="exclusion",-(SUMIFS(SF_Output!$T$1:$T$400,SF_Output!$AC$1:$AC$400,_xlfn.TEXTJOIN(",",TRUE,$B49:$E49),SF_Output!$Q$1:$Q$400,"monthly"))/V49)</f>
        <v/>
      </c>
      <c r="X49" s="6" cm="1">
        <f t="array" ref="X49">IFERROR(_xlfn.IFS(V49=0,0,V49="","",W49=0,V49,OR(V49&lt;&gt;0,V49&lt;&gt;""),H49*I49),V49*(1-W49))</f>
        <v>0</v>
      </c>
      <c r="Z49" s="6">
        <f>IFERROR(IF(B49="","",SUMIFS(Billing_Fallout!H:H,Billing_Fallout!N:N,B49)),0)</f>
        <v>0</v>
      </c>
      <c r="AA49" s="6">
        <f t="shared" si="4"/>
        <v>0</v>
      </c>
      <c r="AB49" s="6">
        <f>IFERROR(IF(B49="","",SUMIFS(Billing_Fallout!J:J,Billing_Fallout!N:N,B49)),0)</f>
        <v>0</v>
      </c>
      <c r="AD49" s="6">
        <f t="shared" si="5"/>
        <v>0</v>
      </c>
      <c r="AF49" t="str">
        <f>IFERROR(INDEX(H_Tables!$B$1:$B$1500,MATCH(INDEX(SF_Output!$J$1:$J$400,MATCH(B49,SF_Output!$M$1:$M$400,0)),H_Tables!$A$1:$A$1500,0)),"")</f>
        <v>Exclusion</v>
      </c>
      <c r="AI49" s="119" t="str">
        <f t="shared" si="6"/>
        <v/>
      </c>
      <c r="AJ49" s="121">
        <f>IFERROR(INDEX(SF_Output!AD:AD,MATCH(_xlfn.TEXTJOIN(",",TRUE,B49:E49),SF_Output!AC1:AC400,0)),0.05)</f>
        <v>80</v>
      </c>
      <c r="AK49" t="str">
        <f>IF(SUMIFS(SF_Output!$F$1:$F$400,SF_Output!$AC$1:$AC$400,_xlfn.TEXTJOIN(",",TRUE,B49:E49))+SUMIFS(SF_Output!$G$1:$G$400,SF_Output!$AC$1:$AC$400,_xlfn.TEXTJOIN(",",TRUE,B49:E49))=0,"","PAP")</f>
        <v/>
      </c>
      <c r="AQ49" s="35"/>
      <c r="AR49" s="35" t="str" cm="1">
        <f t="array" ref="AR49">IFERROR(_xlfn.IFS(AND(E49*1=1,F49="Included"),"Change to Included",AND(E49*1=0,F49="Optional"),"Change to Optional",OR(B49="",F49="replaced"),""),"")</f>
        <v/>
      </c>
      <c r="AS49" s="35" t="str">
        <f t="shared" si="7"/>
        <v/>
      </c>
      <c r="AT49" s="35" t="str">
        <f t="shared" si="8"/>
        <v/>
      </c>
      <c r="AU49" s="35" t="str">
        <f t="shared" si="9"/>
        <v/>
      </c>
      <c r="AV49" s="35" t="str">
        <f t="shared" si="10"/>
        <v/>
      </c>
      <c r="AW49" s="35" t="str">
        <f t="shared" si="11"/>
        <v/>
      </c>
      <c r="AX49" s="35" t="str">
        <f t="shared" si="12"/>
        <v/>
      </c>
      <c r="AY49" s="35" t="str">
        <f t="shared" si="13"/>
        <v/>
      </c>
      <c r="AZ49" s="35" t="str">
        <f t="shared" si="14"/>
        <v/>
      </c>
      <c r="BA49" s="35" t="str">
        <f t="shared" si="15"/>
        <v/>
      </c>
      <c r="BB49" s="35" t="str">
        <f t="shared" si="16"/>
        <v/>
      </c>
      <c r="BC49" s="35"/>
      <c r="BE49" s="35">
        <f ca="1">INDEX(SF_Output!$AA$2:$AA$400,MATCH($B49,SF_Output!$M$2:$M$400,0))</f>
        <v>3</v>
      </c>
      <c r="BF49" s="35">
        <f ca="1">INDEX(SF_Output!$AB$2:$AB$400,MATCH($B49,SF_Output!$M$2:$M$400,0))</f>
        <v>3</v>
      </c>
    </row>
    <row r="50" spans="2:58" x14ac:dyDescent="0.25">
      <c r="B50" t="s">
        <v>1152</v>
      </c>
      <c r="C50" t="s">
        <v>2122</v>
      </c>
      <c r="D50" t="s">
        <v>2164</v>
      </c>
      <c r="E50" t="s">
        <v>2124</v>
      </c>
      <c r="F50" s="116" t="str">
        <f t="shared" si="0"/>
        <v>Included</v>
      </c>
      <c r="G50" t="str">
        <f>IF(B50="","",INDEX(SF_Output!$K$1:$K$400,MATCH(B50,SF_Output!$M$1:$M$400,0)))</f>
        <v>Intuit</v>
      </c>
      <c r="H50" cm="1">
        <f t="array" ref="H50">_xlfn.IFS(B50="","",(SUMIFS(SF_Output!$F$1:$F$400,SF_Output!$AC$1:$AC$400,_xlfn.TEXTJOIN(",",TRUE,B50:E50))+SUMIFS(SF_Output!$G$1:$G$400,SF_Output!$AC$1:$AC$400,_xlfn.TEXTJOIN(",",TRUE,B50:E50)))&lt;&gt;0,SF_Output!$Y$2,INDEX(SF_Output!$F$1:$F$400,MATCH(_xlfn.TEXTJOIN(",",TRUE,B50:E50),SF_Output!$AC$1:$AC$400,0))=0,INDEX(SF_Output!$R$1:$R$400,MATCH(_xlfn.TEXTJOIN(",",TRUE,B50:E50),SF_Output!$AC$1:$AC$400,0)))</f>
        <v>1</v>
      </c>
      <c r="I50" s="125" t="str">
        <f>IFERROR(IF(AND(H50&gt;1,H50&lt;&gt;""),ROUND(SUMIFS(SF_Output!$S$1:$S$400,SF_Output!$AC$1:$AC$400,_xlfn.TEXTJOIN(",",TRUE,B50:E50),SF_Output!$Q$1:$Q$400,"monthly")*(1-W50)/H50,4),""),"")</f>
        <v/>
      </c>
      <c r="J50" s="6">
        <f>IF(B50="","",SUMIFS(SF_Output!$S$1:$S$400,SF_Output!$AC$1:$AC$400,_xlfn.TEXTJOIN(",",TRUE,B50:E50),SF_Output!$Q$1:$Q$400,"One Time",SF_Output!$L$1:$L$400,"license fee")+SUMIFS(SF_Output!$S$1:$S$400,SF_Output!$AC$1:$AC$400,_xlfn.TEXTJOIN(",",TRUE,B50:E50),SF_Output!$Q$1:$Q$400,"One Time",SF_Output!$L$1:$L$400,"software license")+SUMIFS(SF_Output!$S$1:$S$400,SF_Output!$AC$1:$AC$400,_xlfn.TEXTJOIN(",",TRUE,B50:E50),SF_Output!$Q$1:$Q$400,"One Time",SF_Output!$L$1:$L$400,"hardware"))</f>
        <v>0</v>
      </c>
      <c r="K50" s="112" t="str">
        <f>IF(OR(B50=0,B50="",G50="hardware",J50=0),"",IF(AF50&lt;&gt;"exclusion",MAX(K$9,-((SUMIFS(SF_Output!$T$1:$T$400,SF_Output!$AC$1:$AC$400,_xlfn.TEXTJOIN(",",TRUE,$B50:$E50),SF_Output!$Q$1:$Q$400,"One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license"))/J50)))</f>
        <v/>
      </c>
      <c r="L50" s="6">
        <f t="shared" si="1"/>
        <v>0</v>
      </c>
      <c r="N50" s="6">
        <f>IF(B50="","",SUMIFS(SF_Output!$S$1:$S$400,SF_Output!$AC$1:$AC$400,_xlfn.TEXTJOIN(",",TRUE,B50:E50),SF_Output!$Q$1:$Q$400,"One Time",SF_Output!$L$1:$L$400,"professional service"))</f>
        <v>0</v>
      </c>
      <c r="O50" s="112" t="str">
        <f>IF(OR(B50=0,B50="",N50=0),"",IF(AF50&lt;&gt;"exclusion",MAX(O$9,-(SUMIFS(SF_Output!$T$1:$T$400,SF_Output!$AC$1:$AC$400,_xlfn.TEXTJOIN(",",TRUE,$B50:$E50),SF_Output!$Q$1:$Q$400,"One Time",SF_Output!$L$1:$L$400,"professional service"))/N50),-((SUMIFS(SF_Output!$T$1:$T$400,SF_Output!$AC$1:$AC$400,_xlfn.TEXTJOIN(",",TRUE,$B50:$E50),SF_Output!$Q$1:$Q$400,"One Time",SF_Output!$L$1:$L$400,"professional service")/N50))))</f>
        <v/>
      </c>
      <c r="P50" s="6">
        <f t="shared" si="2"/>
        <v>0</v>
      </c>
      <c r="R50" s="6">
        <f>IF(B50="","",SUMIFS(SF_Output!$S$1:$S$400,SF_Output!$AC$1:$AC$400,_xlfn.TEXTJOIN(",",TRUE,B50:E50),SF_Output!$Q$1:$Q$400,"yearly")+SUMIFS(SF_Output!$S$1:$S$400,SF_Output!$AC$1:$AC$400,_xlfn.TEXTJOIN(",",TRUE,B50:E50),SF_Output!$Q$1:$Q$400,"quarterly")*4)</f>
        <v>0</v>
      </c>
      <c r="S50" s="112" t="str">
        <f>IF(OR(B50=0,B50="",G50="hardware",R50=0),"",IF(AF50&lt;&gt;"exclusion",MAX(S$9,-(SUMIFS(SF_Output!$T$1:$T$400,SF_Output!$AC$1:$AC$400,_xlfn.TEXTJOIN(",",TRUE,$B50:$E50),SF_Output!$Q$1:$Q$400,"yearly"))/R50),-((SUMIFS(SF_Output!$T$1:$T$400,SF_Output!$AC$1:$AC$400,_xlfn.TEXTJOIN(",",TRUE,$B50:$E50),SF_Output!$Q$1:$Q$400,"yearly")/R50))))</f>
        <v/>
      </c>
      <c r="T50" s="6">
        <f t="shared" si="3"/>
        <v>0</v>
      </c>
      <c r="V50" s="6" cm="1">
        <f t="array" ref="V50">_xlfn.IFS(B50="","",AND(B50&lt;&gt;"",H50=SF_Output!$Y$2,SUMIFS(SF_Output!$T$1:$T$400,SF_Output!$AC$1:$AC$400,_xlfn.TEXTJOIN(",",TRUE,B50:E50),SF_Output!$Q$1:$Q$400,"monthly")=0),(SUMIFS(SF_Output!$F$1:$F$400,SF_Output!$AC$1:$AC$400,_xlfn.TEXTJOIN(",",TRUE,B50:E50),SF_Output!$Q$1:$Q$400,"monthly")+SUMIFS(SF_Output!$G$1:$G$400,SF_Output!$AC$1:$AC$400,_xlfn.TEXTJOIN(",",TRUE,B50:E50),SF_Output!$Q$1:$Q$400,"monthly"))*H50,AND(B50&lt;&gt;"",H50=SF_Output!$Y$2,SUMIFS(SF_Output!$T$1:$T$400,SF_Output!$AC$1:$AC$400,_xlfn.TEXTJOIN(",",TRUE,B50:E50),SF_Output!$Q$1:$Q$400,"monthly")&lt;&gt;0),SUMIFS(SF_Output!$S$1:$S$400,SF_Output!$AC$1:$AC$400,_xlfn.TEXTJOIN(",",TRUE,B50:E50),SF_Output!$Q$1:$Q$400,"monthly"),AND(B50&lt;&gt;"",H50&lt;&gt;SF_Output!$Y$2),SUMIFS(SF_Output!$S$1:$S$400,SF_Output!$AC$1:$AC$400,_xlfn.TEXTJOIN(",",TRUE,B50:E50),SF_Output!$Q$1:$Q$400,"monthly"))</f>
        <v>0</v>
      </c>
      <c r="W50" s="112" t="str" cm="1">
        <f t="array" ref="W50">_xlfn.IFS(OR(B50=0,B50="",V50=0),"",AF50&lt;&gt;"exclusion",MAX($W$9,$W$7,(-(SUMIFS(SF_Output!$T$1:$T$400,SF_Output!$AC$1:$AC$400,_xlfn.TEXTJOIN(",",TRUE,$B50:$E50),SF_Output!$Q$1:$Q$400,"monthly"))/V50)),AF50="exclusion",-(SUMIFS(SF_Output!$T$1:$T$400,SF_Output!$AC$1:$AC$400,_xlfn.TEXTJOIN(",",TRUE,$B50:$E50),SF_Output!$Q$1:$Q$400,"monthly"))/V50)</f>
        <v/>
      </c>
      <c r="X50" s="6" cm="1">
        <f t="array" ref="X50">IFERROR(_xlfn.IFS(V50=0,0,V50="","",W50=0,V50,OR(V50&lt;&gt;0,V50&lt;&gt;""),H50*I50),V50*(1-W50))</f>
        <v>0</v>
      </c>
      <c r="Z50" s="6">
        <f>IFERROR(IF(B50="","",SUMIFS(Billing_Fallout!H:H,Billing_Fallout!N:N,B50)),0)</f>
        <v>0</v>
      </c>
      <c r="AA50" s="6">
        <f t="shared" si="4"/>
        <v>0</v>
      </c>
      <c r="AB50" s="6">
        <f>IFERROR(IF(B50="","",SUMIFS(Billing_Fallout!J:J,Billing_Fallout!N:N,B50)),0)</f>
        <v>0</v>
      </c>
      <c r="AD50" s="6">
        <f t="shared" si="5"/>
        <v>0</v>
      </c>
      <c r="AF50" t="str">
        <f>IFERROR(INDEX(H_Tables!$B$1:$B$1500,MATCH(INDEX(SF_Output!$J$1:$J$400,MATCH(B50,SF_Output!$M$1:$M$400,0)),H_Tables!$A$1:$A$1500,0)),"")</f>
        <v>Exclusion</v>
      </c>
      <c r="AI50" s="119" t="str">
        <f t="shared" si="6"/>
        <v/>
      </c>
      <c r="AJ50" s="121">
        <f>IFERROR(INDEX(SF_Output!AD:AD,MATCH(_xlfn.TEXTJOIN(",",TRUE,B50:E50),SF_Output!AC1:AC400,0)),0.05)</f>
        <v>81</v>
      </c>
      <c r="AK50" t="str">
        <f>IF(SUMIFS(SF_Output!$F$1:$F$400,SF_Output!$AC$1:$AC$400,_xlfn.TEXTJOIN(",",TRUE,B50:E50))+SUMIFS(SF_Output!$G$1:$G$400,SF_Output!$AC$1:$AC$400,_xlfn.TEXTJOIN(",",TRUE,B50:E50))=0,"","PAP")</f>
        <v/>
      </c>
      <c r="AQ50" s="35"/>
      <c r="AR50" s="35" t="str" cm="1">
        <f t="array" ref="AR50">IFERROR(_xlfn.IFS(AND(E50*1=1,F50="Included"),"Change to Included",AND(E50*1=0,F50="Optional"),"Change to Optional",OR(B50="",F50="replaced"),""),"")</f>
        <v/>
      </c>
      <c r="AS50" s="35" t="str">
        <f t="shared" si="7"/>
        <v/>
      </c>
      <c r="AT50" s="35" t="str">
        <f t="shared" si="8"/>
        <v/>
      </c>
      <c r="AU50" s="35" t="str">
        <f t="shared" si="9"/>
        <v/>
      </c>
      <c r="AV50" s="35" t="str">
        <f t="shared" si="10"/>
        <v/>
      </c>
      <c r="AW50" s="35" t="str">
        <f t="shared" si="11"/>
        <v/>
      </c>
      <c r="AX50" s="35" t="str">
        <f t="shared" si="12"/>
        <v/>
      </c>
      <c r="AY50" s="35" t="str">
        <f t="shared" si="13"/>
        <v/>
      </c>
      <c r="AZ50" s="35" t="str">
        <f t="shared" si="14"/>
        <v/>
      </c>
      <c r="BA50" s="35" t="str">
        <f t="shared" si="15"/>
        <v/>
      </c>
      <c r="BB50" s="35" t="str">
        <f t="shared" si="16"/>
        <v/>
      </c>
      <c r="BC50" s="35"/>
      <c r="BE50" s="35">
        <f ca="1">INDEX(SF_Output!$AA$2:$AA$400,MATCH($B50,SF_Output!$M$2:$M$400,0))</f>
        <v>3</v>
      </c>
      <c r="BF50" s="35">
        <f ca="1">INDEX(SF_Output!$AB$2:$AB$400,MATCH($B50,SF_Output!$M$2:$M$400,0))</f>
        <v>3</v>
      </c>
    </row>
    <row r="51" spans="2:58" x14ac:dyDescent="0.25">
      <c r="B51" t="s">
        <v>2247</v>
      </c>
      <c r="C51" t="s">
        <v>2122</v>
      </c>
      <c r="D51" t="s">
        <v>2123</v>
      </c>
      <c r="E51" t="s">
        <v>2150</v>
      </c>
      <c r="F51" s="116" t="str">
        <f t="shared" si="0"/>
        <v>Optional</v>
      </c>
      <c r="G51" t="str">
        <f>IF(B51="","",INDEX(SF_Output!$K$1:$K$400,MATCH(B51,SF_Output!$M$1:$M$400,0)))</f>
        <v>Intuit</v>
      </c>
      <c r="H51" cm="1">
        <f t="array" ref="H51">_xlfn.IFS(B51="","",(SUMIFS(SF_Output!$F$1:$F$400,SF_Output!$AC$1:$AC$400,_xlfn.TEXTJOIN(",",TRUE,B51:E51))+SUMIFS(SF_Output!$G$1:$G$400,SF_Output!$AC$1:$AC$400,_xlfn.TEXTJOIN(",",TRUE,B51:E51)))&lt;&gt;0,SF_Output!$Y$2,INDEX(SF_Output!$F$1:$F$400,MATCH(_xlfn.TEXTJOIN(",",TRUE,B51:E51),SF_Output!$AC$1:$AC$400,0))=0,INDEX(SF_Output!$R$1:$R$400,MATCH(_xlfn.TEXTJOIN(",",TRUE,B51:E51),SF_Output!$AC$1:$AC$400,0)))</f>
        <v>5000</v>
      </c>
      <c r="I51" s="125">
        <f>IFERROR(IF(AND(H51&gt;1,H51&lt;&gt;""),ROUND(SUMIFS(SF_Output!$S$1:$S$400,SF_Output!$AC$1:$AC$400,_xlfn.TEXTJOIN(",",TRUE,B51:E51),SF_Output!$Q$1:$Q$400,"monthly")*(1-W51)/H51,4),""),"")</f>
        <v>4.0500000000000001E-2</v>
      </c>
      <c r="J51" s="6">
        <f>IF(B51="","",SUMIFS(SF_Output!$S$1:$S$400,SF_Output!$AC$1:$AC$400,_xlfn.TEXTJOIN(",",TRUE,B51:E51),SF_Output!$Q$1:$Q$400,"One Time",SF_Output!$L$1:$L$400,"license fee")+SUMIFS(SF_Output!$S$1:$S$400,SF_Output!$AC$1:$AC$400,_xlfn.TEXTJOIN(",",TRUE,B51:E51),SF_Output!$Q$1:$Q$400,"One Time",SF_Output!$L$1:$L$400,"software license")+SUMIFS(SF_Output!$S$1:$S$400,SF_Output!$AC$1:$AC$400,_xlfn.TEXTJOIN(",",TRUE,B51:E51),SF_Output!$Q$1:$Q$400,"One Time",SF_Output!$L$1:$L$400,"hardware"))</f>
        <v>0</v>
      </c>
      <c r="K51" s="112" t="str">
        <f>IF(OR(B51=0,B51="",G51="hardware",J51=0),"",IF(AF51&lt;&gt;"exclusion",MAX(K$9,-((SUMIFS(SF_Output!$T$1:$T$400,SF_Output!$AC$1:$AC$400,_xlfn.TEXTJOIN(",",TRUE,$B51:$E51),SF_Output!$Q$1:$Q$400,"One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license"))/J51)))</f>
        <v/>
      </c>
      <c r="L51" s="6">
        <f t="shared" si="1"/>
        <v>0</v>
      </c>
      <c r="N51" s="6">
        <f>IF(B51="","",SUMIFS(SF_Output!$S$1:$S$400,SF_Output!$AC$1:$AC$400,_xlfn.TEXTJOIN(",",TRUE,B51:E51),SF_Output!$Q$1:$Q$400,"One Time",SF_Output!$L$1:$L$400,"professional service"))</f>
        <v>2500</v>
      </c>
      <c r="O51" s="112">
        <f>IF(OR(B51=0,B51="",N51=0),"",IF(AF51&lt;&gt;"exclusion",MAX(O$9,-(SUMIFS(SF_Output!$T$1:$T$400,SF_Output!$AC$1:$AC$400,_xlfn.TEXTJOIN(",",TRUE,$B51:$E51),SF_Output!$Q$1:$Q$400,"One Time",SF_Output!$L$1:$L$400,"professional service"))/N51),-((SUMIFS(SF_Output!$T$1:$T$400,SF_Output!$AC$1:$AC$400,_xlfn.TEXTJOIN(",",TRUE,$B51:$E51),SF_Output!$Q$1:$Q$400,"One Time",SF_Output!$L$1:$L$400,"professional service")/N51))))</f>
        <v>1</v>
      </c>
      <c r="P51" s="6">
        <f t="shared" si="2"/>
        <v>0</v>
      </c>
      <c r="R51" s="6">
        <f>IF(B51="","",SUMIFS(SF_Output!$S$1:$S$400,SF_Output!$AC$1:$AC$400,_xlfn.TEXTJOIN(",",TRUE,B51:E51),SF_Output!$Q$1:$Q$400,"yearly")+SUMIFS(SF_Output!$S$1:$S$400,SF_Output!$AC$1:$AC$400,_xlfn.TEXTJOIN(",",TRUE,B51:E51),SF_Output!$Q$1:$Q$400,"quarterly")*4)</f>
        <v>0</v>
      </c>
      <c r="S51" s="112" t="str">
        <f>IF(OR(B51=0,B51="",G51="hardware",R51=0),"",IF(AF51&lt;&gt;"exclusion",MAX(S$9,-(SUMIFS(SF_Output!$T$1:$T$400,SF_Output!$AC$1:$AC$400,_xlfn.TEXTJOIN(",",TRUE,$B51:$E51),SF_Output!$Q$1:$Q$400,"yearly"))/R51),-((SUMIFS(SF_Output!$T$1:$T$400,SF_Output!$AC$1:$AC$400,_xlfn.TEXTJOIN(",",TRUE,$B51:$E51),SF_Output!$Q$1:$Q$400,"yearly")/R51))))</f>
        <v/>
      </c>
      <c r="T51" s="6">
        <f t="shared" si="3"/>
        <v>0</v>
      </c>
      <c r="V51" s="6" cm="1">
        <f t="array" ref="V51">_xlfn.IFS(B51="","",AND(B51&lt;&gt;"",H51=SF_Output!$Y$2,SUMIFS(SF_Output!$T$1:$T$400,SF_Output!$AC$1:$AC$400,_xlfn.TEXTJOIN(",",TRUE,B51:E51),SF_Output!$Q$1:$Q$400,"monthly")=0),(SUMIFS(SF_Output!$F$1:$F$400,SF_Output!$AC$1:$AC$400,_xlfn.TEXTJOIN(",",TRUE,B51:E51),SF_Output!$Q$1:$Q$400,"monthly")+SUMIFS(SF_Output!$G$1:$G$400,SF_Output!$AC$1:$AC$400,_xlfn.TEXTJOIN(",",TRUE,B51:E51),SF_Output!$Q$1:$Q$400,"monthly"))*H51,AND(B51&lt;&gt;"",H51=SF_Output!$Y$2,SUMIFS(SF_Output!$T$1:$T$400,SF_Output!$AC$1:$AC$400,_xlfn.TEXTJOIN(",",TRUE,B51:E51),SF_Output!$Q$1:$Q$400,"monthly")&lt;&gt;0),SUMIFS(SF_Output!$S$1:$S$400,SF_Output!$AC$1:$AC$400,_xlfn.TEXTJOIN(",",TRUE,B51:E51),SF_Output!$Q$1:$Q$400,"monthly"),AND(B51&lt;&gt;"",H51&lt;&gt;SF_Output!$Y$2),SUMIFS(SF_Output!$S$1:$S$400,SF_Output!$AC$1:$AC$400,_xlfn.TEXTJOIN(",",TRUE,B51:E51),SF_Output!$Q$1:$Q$400,"monthly"))</f>
        <v>270</v>
      </c>
      <c r="W51" s="112" cm="1">
        <f t="array" ref="W51">_xlfn.IFS(OR(B51=0,B51="",V51=0),"",AF51&lt;&gt;"exclusion",MAX($W$9,$W$7,(-(SUMIFS(SF_Output!$T$1:$T$400,SF_Output!$AC$1:$AC$400,_xlfn.TEXTJOIN(",",TRUE,$B51:$E51),SF_Output!$Q$1:$Q$400,"monthly"))/V51)),AF51="exclusion",-(SUMIFS(SF_Output!$T$1:$T$400,SF_Output!$AC$1:$AC$400,_xlfn.TEXTJOIN(",",TRUE,$B51:$E51),SF_Output!$Q$1:$Q$400,"monthly"))/V51)</f>
        <v>0.25</v>
      </c>
      <c r="X51" s="6" cm="1">
        <f t="array" ref="X51">IFERROR(_xlfn.IFS(V51=0,0,V51="","",W51=0,V51,OR(V51&lt;&gt;0,V51&lt;&gt;""),H51*I51),V51*(1-W51))</f>
        <v>202.5</v>
      </c>
      <c r="Z51" s="6">
        <f>IFERROR(IF(B51="","",SUMIFS(Billing_Fallout!H:H,Billing_Fallout!N:N,B51)),0)</f>
        <v>0</v>
      </c>
      <c r="AA51" s="6">
        <f t="shared" si="4"/>
        <v>0</v>
      </c>
      <c r="AB51" s="6">
        <f>IFERROR(IF(B51="","",SUMIFS(Billing_Fallout!J:J,Billing_Fallout!N:N,B51)),0)</f>
        <v>0</v>
      </c>
      <c r="AD51" s="6">
        <f t="shared" si="5"/>
        <v>202.5</v>
      </c>
      <c r="AF51" t="str">
        <f>IFERROR(INDEX(H_Tables!$B$1:$B$1500,MATCH(INDEX(SF_Output!$J$1:$J$400,MATCH(B51,SF_Output!$M$1:$M$400,0)),H_Tables!$A$1:$A$1500,0)),"")</f>
        <v/>
      </c>
      <c r="AI51" s="119" t="str">
        <f t="shared" si="6"/>
        <v/>
      </c>
      <c r="AJ51" s="121">
        <f>IFERROR(INDEX(SF_Output!AD:AD,MATCH(_xlfn.TEXTJOIN(",",TRUE,B51:E51),SF_Output!AC1:AC400,0)),0.05)</f>
        <v>82</v>
      </c>
      <c r="AK51" t="str">
        <f>IF(SUMIFS(SF_Output!$F$1:$F$400,SF_Output!$AC$1:$AC$400,_xlfn.TEXTJOIN(",",TRUE,B51:E51))+SUMIFS(SF_Output!$G$1:$G$400,SF_Output!$AC$1:$AC$400,_xlfn.TEXTJOIN(",",TRUE,B51:E51))=0,"","PAP")</f>
        <v>PAP</v>
      </c>
      <c r="AQ51" s="35"/>
      <c r="AR51" s="35" t="str" cm="1">
        <f t="array" ref="AR51">IFERROR(_xlfn.IFS(AND(E51*1=1,F51="Included"),"Change to Included",AND(E51*1=0,F51="Optional"),"Change to Optional",OR(B51="",F51="replaced"),""),"")</f>
        <v/>
      </c>
      <c r="AS51" s="35" t="str">
        <f t="shared" si="7"/>
        <v/>
      </c>
      <c r="AT51" s="35" t="str">
        <f t="shared" si="8"/>
        <v/>
      </c>
      <c r="AU51" s="35" t="str">
        <f t="shared" si="9"/>
        <v/>
      </c>
      <c r="AV51" s="35" t="str">
        <f t="shared" si="10"/>
        <v/>
      </c>
      <c r="AW51" s="35" t="str">
        <f t="shared" si="11"/>
        <v/>
      </c>
      <c r="AX51" s="35" t="str">
        <f t="shared" si="12"/>
        <v/>
      </c>
      <c r="AY51" s="35" t="str">
        <f t="shared" si="13"/>
        <v/>
      </c>
      <c r="AZ51" s="35" t="str">
        <f t="shared" si="14"/>
        <v/>
      </c>
      <c r="BA51" s="35" t="str">
        <f t="shared" si="15"/>
        <v/>
      </c>
      <c r="BB51" s="35" t="str">
        <f t="shared" si="16"/>
        <v/>
      </c>
      <c r="BC51" s="35"/>
      <c r="BE51" s="35">
        <f ca="1">INDEX(SF_Output!$AA$2:$AA$400,MATCH($B51,SF_Output!$M$2:$M$400,0))</f>
        <v>3</v>
      </c>
      <c r="BF51" s="35">
        <f ca="1">INDEX(SF_Output!$AB$2:$AB$400,MATCH($B51,SF_Output!$M$2:$M$400,0))</f>
        <v>3</v>
      </c>
    </row>
    <row r="52" spans="2:58" x14ac:dyDescent="0.25">
      <c r="B52" t="s">
        <v>2250</v>
      </c>
      <c r="C52" t="s">
        <v>2122</v>
      </c>
      <c r="D52" t="s">
        <v>2123</v>
      </c>
      <c r="E52" t="s">
        <v>2150</v>
      </c>
      <c r="F52" s="116" t="str">
        <f t="shared" si="0"/>
        <v>Optional</v>
      </c>
      <c r="G52" t="str">
        <f>IF(B52="","",INDEX(SF_Output!$K$1:$K$400,MATCH(B52,SF_Output!$M$1:$M$400,0)))</f>
        <v>Intuit</v>
      </c>
      <c r="H52" cm="1">
        <f t="array" ref="H52">_xlfn.IFS(B52="","",(SUMIFS(SF_Output!$F$1:$F$400,SF_Output!$AC$1:$AC$400,_xlfn.TEXTJOIN(",",TRUE,B52:E52))+SUMIFS(SF_Output!$G$1:$G$400,SF_Output!$AC$1:$AC$400,_xlfn.TEXTJOIN(",",TRUE,B52:E52)))&lt;&gt;0,SF_Output!$Y$2,INDEX(SF_Output!$F$1:$F$400,MATCH(_xlfn.TEXTJOIN(",",TRUE,B52:E52),SF_Output!$AC$1:$AC$400,0))=0,INDEX(SF_Output!$R$1:$R$400,MATCH(_xlfn.TEXTJOIN(",",TRUE,B52:E52),SF_Output!$AC$1:$AC$400,0)))</f>
        <v>5000</v>
      </c>
      <c r="I52" s="125">
        <f>IFERROR(IF(AND(H52&gt;1,H52&lt;&gt;""),ROUND(SUMIFS(SF_Output!$S$1:$S$400,SF_Output!$AC$1:$AC$400,_xlfn.TEXTJOIN(",",TRUE,B52:E52),SF_Output!$Q$1:$Q$400,"monthly")*(1-W52)/H52,4),""),"")</f>
        <v>3.0800000000000001E-2</v>
      </c>
      <c r="J52" s="6">
        <f>IF(B52="","",SUMIFS(SF_Output!$S$1:$S$400,SF_Output!$AC$1:$AC$400,_xlfn.TEXTJOIN(",",TRUE,B52:E52),SF_Output!$Q$1:$Q$400,"One Time",SF_Output!$L$1:$L$400,"license fee")+SUMIFS(SF_Output!$S$1:$S$400,SF_Output!$AC$1:$AC$400,_xlfn.TEXTJOIN(",",TRUE,B52:E52),SF_Output!$Q$1:$Q$400,"One Time",SF_Output!$L$1:$L$400,"software license")+SUMIFS(SF_Output!$S$1:$S$400,SF_Output!$AC$1:$AC$400,_xlfn.TEXTJOIN(",",TRUE,B52:E52),SF_Output!$Q$1:$Q$400,"One Time",SF_Output!$L$1:$L$400,"hardware"))</f>
        <v>0</v>
      </c>
      <c r="K52" s="112" t="str">
        <f>IF(OR(B52=0,B52="",G52="hardware",J52=0),"",IF(AF52&lt;&gt;"exclusion",MAX(K$9,-((SUMIFS(SF_Output!$T$1:$T$400,SF_Output!$AC$1:$AC$400,_xlfn.TEXTJOIN(",",TRUE,$B52:$E52),SF_Output!$Q$1:$Q$400,"One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license"))/J52)))</f>
        <v/>
      </c>
      <c r="L52" s="6">
        <f t="shared" si="1"/>
        <v>0</v>
      </c>
      <c r="N52" s="6">
        <f>IF(B52="","",SUMIFS(SF_Output!$S$1:$S$400,SF_Output!$AC$1:$AC$400,_xlfn.TEXTJOIN(",",TRUE,B52:E52),SF_Output!$Q$1:$Q$400,"One Time",SF_Output!$L$1:$L$400,"professional service"))</f>
        <v>2500</v>
      </c>
      <c r="O52" s="112">
        <f>IF(OR(B52=0,B52="",N52=0),"",IF(AF52&lt;&gt;"exclusion",MAX(O$9,-(SUMIFS(SF_Output!$T$1:$T$400,SF_Output!$AC$1:$AC$400,_xlfn.TEXTJOIN(",",TRUE,$B52:$E52),SF_Output!$Q$1:$Q$400,"One Time",SF_Output!$L$1:$L$400,"professional service"))/N52),-((SUMIFS(SF_Output!$T$1:$T$400,SF_Output!$AC$1:$AC$400,_xlfn.TEXTJOIN(",",TRUE,$B52:$E52),SF_Output!$Q$1:$Q$400,"One Time",SF_Output!$L$1:$L$400,"professional service")/N52))))</f>
        <v>1</v>
      </c>
      <c r="P52" s="6">
        <f t="shared" si="2"/>
        <v>0</v>
      </c>
      <c r="R52" s="6">
        <f>IF(B52="","",SUMIFS(SF_Output!$S$1:$S$400,SF_Output!$AC$1:$AC$400,_xlfn.TEXTJOIN(",",TRUE,B52:E52),SF_Output!$Q$1:$Q$400,"yearly")+SUMIFS(SF_Output!$S$1:$S$400,SF_Output!$AC$1:$AC$400,_xlfn.TEXTJOIN(",",TRUE,B52:E52),SF_Output!$Q$1:$Q$400,"quarterly")*4)</f>
        <v>0</v>
      </c>
      <c r="S52" s="112" t="str">
        <f>IF(OR(B52=0,B52="",G52="hardware",R52=0),"",IF(AF52&lt;&gt;"exclusion",MAX(S$9,-(SUMIFS(SF_Output!$T$1:$T$400,SF_Output!$AC$1:$AC$400,_xlfn.TEXTJOIN(",",TRUE,$B52:$E52),SF_Output!$Q$1:$Q$400,"yearly"))/R52),-((SUMIFS(SF_Output!$T$1:$T$400,SF_Output!$AC$1:$AC$400,_xlfn.TEXTJOIN(",",TRUE,$B52:$E52),SF_Output!$Q$1:$Q$400,"yearly")/R52))))</f>
        <v/>
      </c>
      <c r="T52" s="6">
        <f t="shared" si="3"/>
        <v>0</v>
      </c>
      <c r="V52" s="6" cm="1">
        <f t="array" ref="V52">_xlfn.IFS(B52="","",AND(B52&lt;&gt;"",H52=SF_Output!$Y$2,SUMIFS(SF_Output!$T$1:$T$400,SF_Output!$AC$1:$AC$400,_xlfn.TEXTJOIN(",",TRUE,B52:E52),SF_Output!$Q$1:$Q$400,"monthly")=0),(SUMIFS(SF_Output!$F$1:$F$400,SF_Output!$AC$1:$AC$400,_xlfn.TEXTJOIN(",",TRUE,B52:E52),SF_Output!$Q$1:$Q$400,"monthly")+SUMIFS(SF_Output!$G$1:$G$400,SF_Output!$AC$1:$AC$400,_xlfn.TEXTJOIN(",",TRUE,B52:E52),SF_Output!$Q$1:$Q$400,"monthly"))*H52,AND(B52&lt;&gt;"",H52=SF_Output!$Y$2,SUMIFS(SF_Output!$T$1:$T$400,SF_Output!$AC$1:$AC$400,_xlfn.TEXTJOIN(",",TRUE,B52:E52),SF_Output!$Q$1:$Q$400,"monthly")&lt;&gt;0),SUMIFS(SF_Output!$S$1:$S$400,SF_Output!$AC$1:$AC$400,_xlfn.TEXTJOIN(",",TRUE,B52:E52),SF_Output!$Q$1:$Q$400,"monthly"),AND(B52&lt;&gt;"",H52&lt;&gt;SF_Output!$Y$2),SUMIFS(SF_Output!$S$1:$S$400,SF_Output!$AC$1:$AC$400,_xlfn.TEXTJOIN(",",TRUE,B52:E52),SF_Output!$Q$1:$Q$400,"monthly"))</f>
        <v>205</v>
      </c>
      <c r="W52" s="112" cm="1">
        <f t="array" ref="W52">_xlfn.IFS(OR(B52=0,B52="",V52=0),"",AF52&lt;&gt;"exclusion",MAX($W$9,$W$7,(-(SUMIFS(SF_Output!$T$1:$T$400,SF_Output!$AC$1:$AC$400,_xlfn.TEXTJOIN(",",TRUE,$B52:$E52),SF_Output!$Q$1:$Q$400,"monthly"))/V52)),AF52="exclusion",-(SUMIFS(SF_Output!$T$1:$T$400,SF_Output!$AC$1:$AC$400,_xlfn.TEXTJOIN(",",TRUE,$B52:$E52),SF_Output!$Q$1:$Q$400,"monthly"))/V52)</f>
        <v>0.25</v>
      </c>
      <c r="X52" s="6" cm="1">
        <f t="array" ref="X52">IFERROR(_xlfn.IFS(V52=0,0,V52="","",W52=0,V52,OR(V52&lt;&gt;0,V52&lt;&gt;""),H52*I52),V52*(1-W52))</f>
        <v>154</v>
      </c>
      <c r="Z52" s="6">
        <f>IFERROR(IF(B52="","",SUMIFS(Billing_Fallout!H:H,Billing_Fallout!N:N,B52)),0)</f>
        <v>0</v>
      </c>
      <c r="AA52" s="6">
        <f t="shared" si="4"/>
        <v>0</v>
      </c>
      <c r="AB52" s="6">
        <f>IFERROR(IF(B52="","",SUMIFS(Billing_Fallout!J:J,Billing_Fallout!N:N,B52)),0)</f>
        <v>0</v>
      </c>
      <c r="AD52" s="6">
        <f t="shared" si="5"/>
        <v>154</v>
      </c>
      <c r="AF52" t="str">
        <f>IFERROR(INDEX(H_Tables!$B$1:$B$1500,MATCH(INDEX(SF_Output!$J$1:$J$400,MATCH(B52,SF_Output!$M$1:$M$400,0)),H_Tables!$A$1:$A$1500,0)),"")</f>
        <v/>
      </c>
      <c r="AI52" s="119" t="str">
        <f t="shared" si="6"/>
        <v/>
      </c>
      <c r="AJ52" s="121">
        <f>IFERROR(INDEX(SF_Output!AD:AD,MATCH(_xlfn.TEXTJOIN(",",TRUE,B52:E52),SF_Output!AC1:AC400,0)),0.05)</f>
        <v>84</v>
      </c>
      <c r="AK52" t="str">
        <f>IF(SUMIFS(SF_Output!$F$1:$F$400,SF_Output!$AC$1:$AC$400,_xlfn.TEXTJOIN(",",TRUE,B52:E52))+SUMIFS(SF_Output!$G$1:$G$400,SF_Output!$AC$1:$AC$400,_xlfn.TEXTJOIN(",",TRUE,B52:E52))=0,"","PAP")</f>
        <v>PAP</v>
      </c>
      <c r="AQ52" s="35"/>
      <c r="AR52" s="35" t="str" cm="1">
        <f t="array" ref="AR52">IFERROR(_xlfn.IFS(AND(E52*1=1,F52="Included"),"Change to Included",AND(E52*1=0,F52="Optional"),"Change to Optional",OR(B52="",F52="replaced"),""),"")</f>
        <v/>
      </c>
      <c r="AS52" s="35" t="str">
        <f t="shared" si="7"/>
        <v/>
      </c>
      <c r="AT52" s="35" t="str">
        <f t="shared" si="8"/>
        <v/>
      </c>
      <c r="AU52" s="35" t="str">
        <f t="shared" si="9"/>
        <v/>
      </c>
      <c r="AV52" s="35" t="str">
        <f t="shared" si="10"/>
        <v/>
      </c>
      <c r="AW52" s="35" t="str">
        <f t="shared" si="11"/>
        <v/>
      </c>
      <c r="AX52" s="35" t="str">
        <f t="shared" si="12"/>
        <v/>
      </c>
      <c r="AY52" s="35" t="str">
        <f t="shared" si="13"/>
        <v/>
      </c>
      <c r="AZ52" s="35" t="str">
        <f t="shared" si="14"/>
        <v/>
      </c>
      <c r="BA52" s="35" t="str">
        <f t="shared" si="15"/>
        <v/>
      </c>
      <c r="BB52" s="35" t="str">
        <f t="shared" si="16"/>
        <v/>
      </c>
      <c r="BC52" s="35"/>
      <c r="BE52" s="35">
        <f ca="1">INDEX(SF_Output!$AA$2:$AA$400,MATCH($B52,SF_Output!$M$2:$M$400,0))</f>
        <v>3</v>
      </c>
      <c r="BF52" s="35">
        <f ca="1">INDEX(SF_Output!$AB$2:$AB$400,MATCH($B52,SF_Output!$M$2:$M$400,0))</f>
        <v>3</v>
      </c>
    </row>
    <row r="53" spans="2:58" x14ac:dyDescent="0.25">
      <c r="B53" t="s">
        <v>2253</v>
      </c>
      <c r="C53" t="s">
        <v>2122</v>
      </c>
      <c r="D53" t="s">
        <v>2123</v>
      </c>
      <c r="E53" t="s">
        <v>2150</v>
      </c>
      <c r="F53" s="116" t="str">
        <f t="shared" si="0"/>
        <v>Optional</v>
      </c>
      <c r="G53" t="str">
        <f>IF(B53="","",INDEX(SF_Output!$K$1:$K$400,MATCH(B53,SF_Output!$M$1:$M$400,0)))</f>
        <v>OutLink Item Processing</v>
      </c>
      <c r="H53" cm="1">
        <f t="array" ref="H53">_xlfn.IFS(B53="","",(SUMIFS(SF_Output!$F$1:$F$400,SF_Output!$AC$1:$AC$400,_xlfn.TEXTJOIN(",",TRUE,B53:E53))+SUMIFS(SF_Output!$G$1:$G$400,SF_Output!$AC$1:$AC$400,_xlfn.TEXTJOIN(",",TRUE,B53:E53)))&lt;&gt;0,SF_Output!$Y$2,INDEX(SF_Output!$F$1:$F$400,MATCH(_xlfn.TEXTJOIN(",",TRUE,B53:E53),SF_Output!$AC$1:$AC$400,0))=0,INDEX(SF_Output!$R$1:$R$400,MATCH(_xlfn.TEXTJOIN(",",TRUE,B53:E53),SF_Output!$AC$1:$AC$400,0)))</f>
        <v>1</v>
      </c>
      <c r="I53" s="125" t="str">
        <f>IFERROR(IF(AND(H53&gt;1,H53&lt;&gt;""),ROUND(SUMIFS(SF_Output!$S$1:$S$400,SF_Output!$AC$1:$AC$400,_xlfn.TEXTJOIN(",",TRUE,B53:E53),SF_Output!$Q$1:$Q$400,"monthly")*(1-W53)/H53,4),""),"")</f>
        <v/>
      </c>
      <c r="J53" s="6">
        <f>IF(B53="","",SUMIFS(SF_Output!$S$1:$S$400,SF_Output!$AC$1:$AC$400,_xlfn.TEXTJOIN(",",TRUE,B53:E53),SF_Output!$Q$1:$Q$400,"One Time",SF_Output!$L$1:$L$400,"license fee")+SUMIFS(SF_Output!$S$1:$S$400,SF_Output!$AC$1:$AC$400,_xlfn.TEXTJOIN(",",TRUE,B53:E53),SF_Output!$Q$1:$Q$400,"One Time",SF_Output!$L$1:$L$400,"software license")+SUMIFS(SF_Output!$S$1:$S$400,SF_Output!$AC$1:$AC$400,_xlfn.TEXTJOIN(",",TRUE,B53:E53),SF_Output!$Q$1:$Q$400,"One Time",SF_Output!$L$1:$L$400,"hardware"))</f>
        <v>0</v>
      </c>
      <c r="K53" s="112" t="str">
        <f>IF(OR(B53=0,B53="",G53="hardware",J53=0),"",IF(AF53&lt;&gt;"exclusion",MAX(K$9,-((SUMIFS(SF_Output!$T$1:$T$400,SF_Output!$AC$1:$AC$400,_xlfn.TEXTJOIN(",",TRUE,$B53:$E53),SF_Output!$Q$1:$Q$400,"One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license"))/J53)))</f>
        <v/>
      </c>
      <c r="L53" s="6">
        <f t="shared" si="1"/>
        <v>0</v>
      </c>
      <c r="N53" s="6">
        <f>IF(B53="","",SUMIFS(SF_Output!$S$1:$S$400,SF_Output!$AC$1:$AC$400,_xlfn.TEXTJOIN(",",TRUE,B53:E53),SF_Output!$Q$1:$Q$400,"One Time",SF_Output!$L$1:$L$400,"professional service"))</f>
        <v>7425</v>
      </c>
      <c r="O53" s="112">
        <f>IF(OR(B53=0,B53="",N53=0),"",IF(AF53&lt;&gt;"exclusion",MAX(O$9,-(SUMIFS(SF_Output!$T$1:$T$400,SF_Output!$AC$1:$AC$400,_xlfn.TEXTJOIN(",",TRUE,$B53:$E53),SF_Output!$Q$1:$Q$400,"One Time",SF_Output!$L$1:$L$400,"professional service"))/N53),-((SUMIFS(SF_Output!$T$1:$T$400,SF_Output!$AC$1:$AC$400,_xlfn.TEXTJOIN(",",TRUE,$B53:$E53),SF_Output!$Q$1:$Q$400,"One Time",SF_Output!$L$1:$L$400,"professional service")/N53))))</f>
        <v>0</v>
      </c>
      <c r="P53" s="6">
        <f t="shared" si="2"/>
        <v>7425</v>
      </c>
      <c r="R53" s="6">
        <f>IF(B53="","",SUMIFS(SF_Output!$S$1:$S$400,SF_Output!$AC$1:$AC$400,_xlfn.TEXTJOIN(",",TRUE,B53:E53),SF_Output!$Q$1:$Q$400,"yearly")+SUMIFS(SF_Output!$S$1:$S$400,SF_Output!$AC$1:$AC$400,_xlfn.TEXTJOIN(",",TRUE,B53:E53),SF_Output!$Q$1:$Q$400,"quarterly")*4)</f>
        <v>0</v>
      </c>
      <c r="S53" s="112" t="str">
        <f>IF(OR(B53=0,B53="",G53="hardware",R53=0),"",IF(AF53&lt;&gt;"exclusion",MAX(S$9,-(SUMIFS(SF_Output!$T$1:$T$400,SF_Output!$AC$1:$AC$400,_xlfn.TEXTJOIN(",",TRUE,$B53:$E53),SF_Output!$Q$1:$Q$400,"yearly"))/R53),-((SUMIFS(SF_Output!$T$1:$T$400,SF_Output!$AC$1:$AC$400,_xlfn.TEXTJOIN(",",TRUE,$B53:$E53),SF_Output!$Q$1:$Q$400,"yearly")/R53))))</f>
        <v/>
      </c>
      <c r="T53" s="6">
        <f t="shared" si="3"/>
        <v>0</v>
      </c>
      <c r="V53" s="6" cm="1">
        <f t="array" ref="V53">_xlfn.IFS(B53="","",AND(B53&lt;&gt;"",H53=SF_Output!$Y$2,SUMIFS(SF_Output!$T$1:$T$400,SF_Output!$AC$1:$AC$400,_xlfn.TEXTJOIN(",",TRUE,B53:E53),SF_Output!$Q$1:$Q$400,"monthly")=0),(SUMIFS(SF_Output!$F$1:$F$400,SF_Output!$AC$1:$AC$400,_xlfn.TEXTJOIN(",",TRUE,B53:E53),SF_Output!$Q$1:$Q$400,"monthly")+SUMIFS(SF_Output!$G$1:$G$400,SF_Output!$AC$1:$AC$400,_xlfn.TEXTJOIN(",",TRUE,B53:E53),SF_Output!$Q$1:$Q$400,"monthly"))*H53,AND(B53&lt;&gt;"",H53=SF_Output!$Y$2,SUMIFS(SF_Output!$T$1:$T$400,SF_Output!$AC$1:$AC$400,_xlfn.TEXTJOIN(",",TRUE,B53:E53),SF_Output!$Q$1:$Q$400,"monthly")&lt;&gt;0),SUMIFS(SF_Output!$S$1:$S$400,SF_Output!$AC$1:$AC$400,_xlfn.TEXTJOIN(",",TRUE,B53:E53),SF_Output!$Q$1:$Q$400,"monthly"),AND(B53&lt;&gt;"",H53&lt;&gt;SF_Output!$Y$2),SUMIFS(SF_Output!$S$1:$S$400,SF_Output!$AC$1:$AC$400,_xlfn.TEXTJOIN(",",TRUE,B53:E53),SF_Output!$Q$1:$Q$400,"monthly"))</f>
        <v>760</v>
      </c>
      <c r="W53" s="112" cm="1">
        <f t="array" ref="W53">_xlfn.IFS(OR(B53=0,B53="",V53=0),"",AF53&lt;&gt;"exclusion",MAX($W$9,$W$7,(-(SUMIFS(SF_Output!$T$1:$T$400,SF_Output!$AC$1:$AC$400,_xlfn.TEXTJOIN(",",TRUE,$B53:$E53),SF_Output!$Q$1:$Q$400,"monthly"))/V53)),AF53="exclusion",-(SUMIFS(SF_Output!$T$1:$T$400,SF_Output!$AC$1:$AC$400,_xlfn.TEXTJOIN(",",TRUE,$B53:$E53),SF_Output!$Q$1:$Q$400,"monthly"))/V53)</f>
        <v>0</v>
      </c>
      <c r="X53" s="6" cm="1">
        <f t="array" ref="X53">IFERROR(_xlfn.IFS(V53=0,0,V53="","",W53=0,V53,OR(V53&lt;&gt;0,V53&lt;&gt;""),H53*I53),V53*(1-W53))</f>
        <v>760</v>
      </c>
      <c r="Z53" s="6">
        <f>IFERROR(IF(B53="","",SUMIFS(Billing_Fallout!H:H,Billing_Fallout!N:N,B53)),0)</f>
        <v>0</v>
      </c>
      <c r="AA53" s="6">
        <f t="shared" si="4"/>
        <v>0</v>
      </c>
      <c r="AB53" s="6">
        <f>IFERROR(IF(B53="","",SUMIFS(Billing_Fallout!J:J,Billing_Fallout!N:N,B53)),0)</f>
        <v>0</v>
      </c>
      <c r="AD53" s="6">
        <f t="shared" si="5"/>
        <v>760</v>
      </c>
      <c r="AF53" t="str">
        <f>IFERROR(INDEX(H_Tables!$B$1:$B$1500,MATCH(INDEX(SF_Output!$J$1:$J$400,MATCH(B53,SF_Output!$M$1:$M$400,0)),H_Tables!$A$1:$A$1500,0)),"")</f>
        <v>Exclusion</v>
      </c>
      <c r="AI53" s="119" t="str">
        <f t="shared" si="6"/>
        <v/>
      </c>
      <c r="AJ53" s="121">
        <f>IFERROR(INDEX(SF_Output!AD:AD,MATCH(_xlfn.TEXTJOIN(",",TRUE,B53:E53),SF_Output!AC1:AC400,0)),0.05)</f>
        <v>86</v>
      </c>
      <c r="AK53" t="str">
        <f>IF(SUMIFS(SF_Output!$F$1:$F$400,SF_Output!$AC$1:$AC$400,_xlfn.TEXTJOIN(",",TRUE,B53:E53))+SUMIFS(SF_Output!$G$1:$G$400,SF_Output!$AC$1:$AC$400,_xlfn.TEXTJOIN(",",TRUE,B53:E53))=0,"","PAP")</f>
        <v/>
      </c>
      <c r="AQ53" s="35"/>
      <c r="AR53" s="35" t="str" cm="1">
        <f t="array" ref="AR53">IFERROR(_xlfn.IFS(AND(E53*1=1,F53="Included"),"Change to Included",AND(E53*1=0,F53="Optional"),"Change to Optional",OR(B53="",F53="replaced"),""),"")</f>
        <v/>
      </c>
      <c r="AS53" s="35" t="str">
        <f t="shared" si="7"/>
        <v/>
      </c>
      <c r="AT53" s="35" t="str">
        <f t="shared" si="8"/>
        <v/>
      </c>
      <c r="AU53" s="35" t="str">
        <f t="shared" si="9"/>
        <v/>
      </c>
      <c r="AV53" s="35" t="str">
        <f t="shared" si="10"/>
        <v/>
      </c>
      <c r="AW53" s="35" t="str">
        <f t="shared" si="11"/>
        <v/>
      </c>
      <c r="AX53" s="35" t="str">
        <f t="shared" si="12"/>
        <v/>
      </c>
      <c r="AY53" s="35" t="str">
        <f t="shared" si="13"/>
        <v/>
      </c>
      <c r="AZ53" s="35" t="str">
        <f t="shared" si="14"/>
        <v/>
      </c>
      <c r="BA53" s="35" t="str">
        <f t="shared" si="15"/>
        <v/>
      </c>
      <c r="BB53" s="35" t="str">
        <f t="shared" si="16"/>
        <v/>
      </c>
      <c r="BC53" s="35"/>
      <c r="BE53" s="35">
        <f ca="1">INDEX(SF_Output!$AA$2:$AA$400,MATCH($B53,SF_Output!$M$2:$M$400,0))</f>
        <v>4</v>
      </c>
      <c r="BF53" s="35">
        <f ca="1">INDEX(SF_Output!$AB$2:$AB$400,MATCH($B53,SF_Output!$M$2:$M$400,0))</f>
        <v>2</v>
      </c>
    </row>
    <row r="54" spans="2:58" x14ac:dyDescent="0.25">
      <c r="B54" t="s">
        <v>2081</v>
      </c>
      <c r="C54" t="s">
        <v>2122</v>
      </c>
      <c r="D54" t="s">
        <v>2123</v>
      </c>
      <c r="E54" t="s">
        <v>2124</v>
      </c>
      <c r="F54" s="116" t="str">
        <f t="shared" si="0"/>
        <v>Included</v>
      </c>
      <c r="G54" t="str">
        <f>IF(B54="","",INDEX(SF_Output!$K$1:$K$400,MATCH(B54,SF_Output!$M$1:$M$400,0)))</f>
        <v>OutLink Item Processing</v>
      </c>
      <c r="H54" cm="1">
        <f t="array" ref="H54">_xlfn.IFS(B54="","",(SUMIFS(SF_Output!$F$1:$F$400,SF_Output!$AC$1:$AC$400,_xlfn.TEXTJOIN(",",TRUE,B54:E54))+SUMIFS(SF_Output!$G$1:$G$400,SF_Output!$AC$1:$AC$400,_xlfn.TEXTJOIN(",",TRUE,B54:E54)))&lt;&gt;0,SF_Output!$Y$2,INDEX(SF_Output!$F$1:$F$400,MATCH(_xlfn.TEXTJOIN(",",TRUE,B54:E54),SF_Output!$AC$1:$AC$400,0))=0,INDEX(SF_Output!$R$1:$R$400,MATCH(_xlfn.TEXTJOIN(",",TRUE,B54:E54),SF_Output!$AC$1:$AC$400,0)))</f>
        <v>5000</v>
      </c>
      <c r="I54" s="125">
        <f>IFERROR(IF(AND(H54&gt;1,H54&lt;&gt;""),ROUND(SUMIFS(SF_Output!$S$1:$S$400,SF_Output!$AC$1:$AC$400,_xlfn.TEXTJOIN(",",TRUE,B54:E54),SF_Output!$Q$1:$Q$400,"monthly")*(1-W54)/H54,4),""),"")</f>
        <v>0.33379999999999999</v>
      </c>
      <c r="J54" s="6">
        <f>IF(B54="","",SUMIFS(SF_Output!$S$1:$S$400,SF_Output!$AC$1:$AC$400,_xlfn.TEXTJOIN(",",TRUE,B54:E54),SF_Output!$Q$1:$Q$400,"One Time",SF_Output!$L$1:$L$400,"license fee")+SUMIFS(SF_Output!$S$1:$S$400,SF_Output!$AC$1:$AC$400,_xlfn.TEXTJOIN(",",TRUE,B54:E54),SF_Output!$Q$1:$Q$400,"One Time",SF_Output!$L$1:$L$400,"software license")+SUMIFS(SF_Output!$S$1:$S$400,SF_Output!$AC$1:$AC$400,_xlfn.TEXTJOIN(",",TRUE,B54:E54),SF_Output!$Q$1:$Q$400,"One Time",SF_Output!$L$1:$L$400,"hardware"))</f>
        <v>0</v>
      </c>
      <c r="K54" s="112" t="str">
        <f>IF(OR(B54=0,B54="",G54="hardware",J54=0),"",IF(AF54&lt;&gt;"exclusion",MAX(K$9,-((SUMIFS(SF_Output!$T$1:$T$400,SF_Output!$AC$1:$AC$400,_xlfn.TEXTJOIN(",",TRUE,$B54:$E54),SF_Output!$Q$1:$Q$400,"One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license"))/J54)))</f>
        <v/>
      </c>
      <c r="L54" s="6">
        <f t="shared" si="1"/>
        <v>0</v>
      </c>
      <c r="N54" s="6">
        <f>IF(B54="","",SUMIFS(SF_Output!$S$1:$S$400,SF_Output!$AC$1:$AC$400,_xlfn.TEXTJOIN(",",TRUE,B54:E54),SF_Output!$Q$1:$Q$400,"One Time",SF_Output!$L$1:$L$400,"professional service"))</f>
        <v>33900</v>
      </c>
      <c r="O54" s="112">
        <f>IF(OR(B54=0,B54="",N54=0),"",IF(AF54&lt;&gt;"exclusion",MAX(O$9,-(SUMIFS(SF_Output!$T$1:$T$400,SF_Output!$AC$1:$AC$400,_xlfn.TEXTJOIN(",",TRUE,$B54:$E54),SF_Output!$Q$1:$Q$400,"One Time",SF_Output!$L$1:$L$400,"professional service"))/N54),-((SUMIFS(SF_Output!$T$1:$T$400,SF_Output!$AC$1:$AC$400,_xlfn.TEXTJOIN(",",TRUE,$B54:$E54),SF_Output!$Q$1:$Q$400,"One Time",SF_Output!$L$1:$L$400,"professional service")/N54))))</f>
        <v>1</v>
      </c>
      <c r="P54" s="6">
        <f t="shared" si="2"/>
        <v>0</v>
      </c>
      <c r="R54" s="6">
        <f>IF(B54="","",SUMIFS(SF_Output!$S$1:$S$400,SF_Output!$AC$1:$AC$400,_xlfn.TEXTJOIN(",",TRUE,B54:E54),SF_Output!$Q$1:$Q$400,"yearly")+SUMIFS(SF_Output!$S$1:$S$400,SF_Output!$AC$1:$AC$400,_xlfn.TEXTJOIN(",",TRUE,B54:E54),SF_Output!$Q$1:$Q$400,"quarterly")*4)</f>
        <v>0</v>
      </c>
      <c r="S54" s="112" t="str">
        <f>IF(OR(B54=0,B54="",G54="hardware",R54=0),"",IF(AF54&lt;&gt;"exclusion",MAX(S$9,-(SUMIFS(SF_Output!$T$1:$T$400,SF_Output!$AC$1:$AC$400,_xlfn.TEXTJOIN(",",TRUE,$B54:$E54),SF_Output!$Q$1:$Q$400,"yearly"))/R54),-((SUMIFS(SF_Output!$T$1:$T$400,SF_Output!$AC$1:$AC$400,_xlfn.TEXTJOIN(",",TRUE,$B54:$E54),SF_Output!$Q$1:$Q$400,"yearly")/R54))))</f>
        <v/>
      </c>
      <c r="T54" s="6">
        <f t="shared" si="3"/>
        <v>0</v>
      </c>
      <c r="V54" s="6" cm="1">
        <f t="array" ref="V54">_xlfn.IFS(B54="","",AND(B54&lt;&gt;"",H54=SF_Output!$Y$2,SUMIFS(SF_Output!$T$1:$T$400,SF_Output!$AC$1:$AC$400,_xlfn.TEXTJOIN(",",TRUE,B54:E54),SF_Output!$Q$1:$Q$400,"monthly")=0),(SUMIFS(SF_Output!$F$1:$F$400,SF_Output!$AC$1:$AC$400,_xlfn.TEXTJOIN(",",TRUE,B54:E54),SF_Output!$Q$1:$Q$400,"monthly")+SUMIFS(SF_Output!$G$1:$G$400,SF_Output!$AC$1:$AC$400,_xlfn.TEXTJOIN(",",TRUE,B54:E54),SF_Output!$Q$1:$Q$400,"monthly"))*H54,AND(B54&lt;&gt;"",H54=SF_Output!$Y$2,SUMIFS(SF_Output!$T$1:$T$400,SF_Output!$AC$1:$AC$400,_xlfn.TEXTJOIN(",",TRUE,B54:E54),SF_Output!$Q$1:$Q$400,"monthly")&lt;&gt;0),SUMIFS(SF_Output!$S$1:$S$400,SF_Output!$AC$1:$AC$400,_xlfn.TEXTJOIN(",",TRUE,B54:E54),SF_Output!$Q$1:$Q$400,"monthly"),AND(B54&lt;&gt;"",H54&lt;&gt;SF_Output!$Y$2),SUMIFS(SF_Output!$S$1:$S$400,SF_Output!$AC$1:$AC$400,_xlfn.TEXTJOIN(",",TRUE,B54:E54),SF_Output!$Q$1:$Q$400,"monthly"))</f>
        <v>2225</v>
      </c>
      <c r="W54" s="112" cm="1">
        <f t="array" ref="W54">_xlfn.IFS(OR(B54=0,B54="",V54=0),"",AF54&lt;&gt;"exclusion",MAX($W$9,$W$7,(-(SUMIFS(SF_Output!$T$1:$T$400,SF_Output!$AC$1:$AC$400,_xlfn.TEXTJOIN(",",TRUE,$B54:$E54),SF_Output!$Q$1:$Q$400,"monthly"))/V54)),AF54="exclusion",-(SUMIFS(SF_Output!$T$1:$T$400,SF_Output!$AC$1:$AC$400,_xlfn.TEXTJOIN(",",TRUE,$B54:$E54),SF_Output!$Q$1:$Q$400,"monthly"))/V54)</f>
        <v>0.25</v>
      </c>
      <c r="X54" s="6" cm="1">
        <f t="array" ref="X54">IFERROR(_xlfn.IFS(V54=0,0,V54="","",W54=0,V54,OR(V54&lt;&gt;0,V54&lt;&gt;""),H54*I54),V54*(1-W54))</f>
        <v>1669</v>
      </c>
      <c r="Z54" s="6">
        <f>IFERROR(IF(B54="","",SUMIFS(Billing_Fallout!H:H,Billing_Fallout!N:N,B54)),0)</f>
        <v>0</v>
      </c>
      <c r="AA54" s="6">
        <f t="shared" si="4"/>
        <v>0</v>
      </c>
      <c r="AB54" s="6">
        <f>IFERROR(IF(B54="","",SUMIFS(Billing_Fallout!J:J,Billing_Fallout!N:N,B54)),0)</f>
        <v>0</v>
      </c>
      <c r="AD54" s="6">
        <f t="shared" si="5"/>
        <v>1669</v>
      </c>
      <c r="AF54" t="str">
        <f>IFERROR(INDEX(H_Tables!$B$1:$B$1500,MATCH(INDEX(SF_Output!$J$1:$J$400,MATCH(B54,SF_Output!$M$1:$M$400,0)),H_Tables!$A$1:$A$1500,0)),"")</f>
        <v>Exclusion</v>
      </c>
      <c r="AI54" s="119" t="str">
        <f t="shared" si="6"/>
        <v/>
      </c>
      <c r="AJ54" s="121">
        <f>IFERROR(INDEX(SF_Output!AD:AD,MATCH(_xlfn.TEXTJOIN(",",TRUE,B54:E54),SF_Output!AC1:AC400,0)),0.05)</f>
        <v>88</v>
      </c>
      <c r="AK54" t="str">
        <f>IF(SUMIFS(SF_Output!$F$1:$F$400,SF_Output!$AC$1:$AC$400,_xlfn.TEXTJOIN(",",TRUE,B54:E54))+SUMIFS(SF_Output!$G$1:$G$400,SF_Output!$AC$1:$AC$400,_xlfn.TEXTJOIN(",",TRUE,B54:E54))=0,"","PAP")</f>
        <v>PAP</v>
      </c>
      <c r="AQ54" s="35"/>
      <c r="AR54" s="35" t="str" cm="1">
        <f t="array" ref="AR54">IFERROR(_xlfn.IFS(AND(E54*1=1,F54="Included"),"Change to Included",AND(E54*1=0,F54="Optional"),"Change to Optional",OR(B54="",F54="replaced"),""),"")</f>
        <v/>
      </c>
      <c r="AS54" s="35" t="str">
        <f t="shared" si="7"/>
        <v/>
      </c>
      <c r="AT54" s="35" t="str">
        <f t="shared" si="8"/>
        <v/>
      </c>
      <c r="AU54" s="35" t="str">
        <f t="shared" si="9"/>
        <v/>
      </c>
      <c r="AV54" s="35" t="str">
        <f t="shared" si="10"/>
        <v/>
      </c>
      <c r="AW54" s="35" t="str">
        <f t="shared" si="11"/>
        <v/>
      </c>
      <c r="AX54" s="35" t="str">
        <f t="shared" si="12"/>
        <v/>
      </c>
      <c r="AY54" s="35" t="str">
        <f t="shared" si="13"/>
        <v/>
      </c>
      <c r="AZ54" s="35" t="str">
        <f t="shared" si="14"/>
        <v/>
      </c>
      <c r="BA54" s="35" t="str">
        <f t="shared" si="15"/>
        <v/>
      </c>
      <c r="BB54" s="35" t="str">
        <f t="shared" si="16"/>
        <v/>
      </c>
      <c r="BC54" s="35"/>
      <c r="BE54" s="35">
        <f ca="1">INDEX(SF_Output!$AA$2:$AA$400,MATCH($B54,SF_Output!$M$2:$M$400,0))</f>
        <v>4</v>
      </c>
      <c r="BF54" s="35">
        <f ca="1">INDEX(SF_Output!$AB$2:$AB$400,MATCH($B54,SF_Output!$M$2:$M$400,0))</f>
        <v>2</v>
      </c>
    </row>
    <row r="55" spans="2:58" x14ac:dyDescent="0.25">
      <c r="B55" t="s">
        <v>1354</v>
      </c>
      <c r="C55" t="s">
        <v>2122</v>
      </c>
      <c r="D55" t="s">
        <v>2123</v>
      </c>
      <c r="E55" t="s">
        <v>2124</v>
      </c>
      <c r="F55" s="116" t="str">
        <f t="shared" si="0"/>
        <v>Included</v>
      </c>
      <c r="G55" t="str">
        <f>IF(B55="","",INDEX(SF_Output!$K$1:$K$400,MATCH(B55,SF_Output!$M$1:$M$400,0)))</f>
        <v>OutLink Item Processing</v>
      </c>
      <c r="H55" cm="1">
        <f t="array" ref="H55">_xlfn.IFS(B55="","",(SUMIFS(SF_Output!$F$1:$F$400,SF_Output!$AC$1:$AC$400,_xlfn.TEXTJOIN(",",TRUE,B55:E55))+SUMIFS(SF_Output!$G$1:$G$400,SF_Output!$AC$1:$AC$400,_xlfn.TEXTJOIN(",",TRUE,B55:E55)))&lt;&gt;0,SF_Output!$Y$2,INDEX(SF_Output!$F$1:$F$400,MATCH(_xlfn.TEXTJOIN(",",TRUE,B55:E55),SF_Output!$AC$1:$AC$400,0))=0,INDEX(SF_Output!$R$1:$R$400,MATCH(_xlfn.TEXTJOIN(",",TRUE,B55:E55),SF_Output!$AC$1:$AC$400,0)))</f>
        <v>1</v>
      </c>
      <c r="I55" s="125" t="str">
        <f>IFERROR(IF(AND(H55&gt;1,H55&lt;&gt;""),ROUND(SUMIFS(SF_Output!$S$1:$S$400,SF_Output!$AC$1:$AC$400,_xlfn.TEXTJOIN(",",TRUE,B55:E55),SF_Output!$Q$1:$Q$400,"monthly")*(1-W55)/H55,4),""),"")</f>
        <v/>
      </c>
      <c r="J55" s="6">
        <f>IF(B55="","",SUMIFS(SF_Output!$S$1:$S$400,SF_Output!$AC$1:$AC$400,_xlfn.TEXTJOIN(",",TRUE,B55:E55),SF_Output!$Q$1:$Q$400,"One Time",SF_Output!$L$1:$L$400,"license fee")+SUMIFS(SF_Output!$S$1:$S$400,SF_Output!$AC$1:$AC$400,_xlfn.TEXTJOIN(",",TRUE,B55:E55),SF_Output!$Q$1:$Q$400,"One Time",SF_Output!$L$1:$L$400,"software license")+SUMIFS(SF_Output!$S$1:$S$400,SF_Output!$AC$1:$AC$400,_xlfn.TEXTJOIN(",",TRUE,B55:E55),SF_Output!$Q$1:$Q$400,"One Time",SF_Output!$L$1:$L$400,"hardware"))</f>
        <v>0</v>
      </c>
      <c r="K55" s="112" t="str">
        <f>IF(OR(B55=0,B55="",G55="hardware",J55=0),"",IF(AF55&lt;&gt;"exclusion",MAX(K$9,-((SUMIFS(SF_Output!$T$1:$T$400,SF_Output!$AC$1:$AC$400,_xlfn.TEXTJOIN(",",TRUE,$B55:$E55),SF_Output!$Q$1:$Q$400,"One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license"))/J55)))</f>
        <v/>
      </c>
      <c r="L55" s="6">
        <f t="shared" si="1"/>
        <v>0</v>
      </c>
      <c r="N55" s="6">
        <f>IF(B55="","",SUMIFS(SF_Output!$S$1:$S$400,SF_Output!$AC$1:$AC$400,_xlfn.TEXTJOIN(",",TRUE,B55:E55),SF_Output!$Q$1:$Q$400,"One Time",SF_Output!$L$1:$L$400,"professional service"))</f>
        <v>1125</v>
      </c>
      <c r="O55" s="112">
        <f>IF(OR(B55=0,B55="",N55=0),"",IF(AF55&lt;&gt;"exclusion",MAX(O$9,-(SUMIFS(SF_Output!$T$1:$T$400,SF_Output!$AC$1:$AC$400,_xlfn.TEXTJOIN(",",TRUE,$B55:$E55),SF_Output!$Q$1:$Q$400,"One Time",SF_Output!$L$1:$L$400,"professional service"))/N55),-((SUMIFS(SF_Output!$T$1:$T$400,SF_Output!$AC$1:$AC$400,_xlfn.TEXTJOIN(",",TRUE,$B55:$E55),SF_Output!$Q$1:$Q$400,"One Time",SF_Output!$L$1:$L$400,"professional service")/N55))))</f>
        <v>0</v>
      </c>
      <c r="P55" s="6">
        <f t="shared" si="2"/>
        <v>1125</v>
      </c>
      <c r="R55" s="6">
        <f>IF(B55="","",SUMIFS(SF_Output!$S$1:$S$400,SF_Output!$AC$1:$AC$400,_xlfn.TEXTJOIN(",",TRUE,B55:E55),SF_Output!$Q$1:$Q$400,"yearly")+SUMIFS(SF_Output!$S$1:$S$400,SF_Output!$AC$1:$AC$400,_xlfn.TEXTJOIN(",",TRUE,B55:E55),SF_Output!$Q$1:$Q$400,"quarterly")*4)</f>
        <v>0</v>
      </c>
      <c r="S55" s="112" t="str">
        <f>IF(OR(B55=0,B55="",G55="hardware",R55=0),"",IF(AF55&lt;&gt;"exclusion",MAX(S$9,-(SUMIFS(SF_Output!$T$1:$T$400,SF_Output!$AC$1:$AC$400,_xlfn.TEXTJOIN(",",TRUE,$B55:$E55),SF_Output!$Q$1:$Q$400,"yearly"))/R55),-((SUMIFS(SF_Output!$T$1:$T$400,SF_Output!$AC$1:$AC$400,_xlfn.TEXTJOIN(",",TRUE,$B55:$E55),SF_Output!$Q$1:$Q$400,"yearly")/R55))))</f>
        <v/>
      </c>
      <c r="T55" s="6">
        <f t="shared" si="3"/>
        <v>0</v>
      </c>
      <c r="V55" s="6" cm="1">
        <f t="array" ref="V55">_xlfn.IFS(B55="","",AND(B55&lt;&gt;"",H55=SF_Output!$Y$2,SUMIFS(SF_Output!$T$1:$T$400,SF_Output!$AC$1:$AC$400,_xlfn.TEXTJOIN(",",TRUE,B55:E55),SF_Output!$Q$1:$Q$400,"monthly")=0),(SUMIFS(SF_Output!$F$1:$F$400,SF_Output!$AC$1:$AC$400,_xlfn.TEXTJOIN(",",TRUE,B55:E55),SF_Output!$Q$1:$Q$400,"monthly")+SUMIFS(SF_Output!$G$1:$G$400,SF_Output!$AC$1:$AC$400,_xlfn.TEXTJOIN(",",TRUE,B55:E55),SF_Output!$Q$1:$Q$400,"monthly"))*H55,AND(B55&lt;&gt;"",H55=SF_Output!$Y$2,SUMIFS(SF_Output!$T$1:$T$400,SF_Output!$AC$1:$AC$400,_xlfn.TEXTJOIN(",",TRUE,B55:E55),SF_Output!$Q$1:$Q$400,"monthly")&lt;&gt;0),SUMIFS(SF_Output!$S$1:$S$400,SF_Output!$AC$1:$AC$400,_xlfn.TEXTJOIN(",",TRUE,B55:E55),SF_Output!$Q$1:$Q$400,"monthly"),AND(B55&lt;&gt;"",H55&lt;&gt;SF_Output!$Y$2),SUMIFS(SF_Output!$S$1:$S$400,SF_Output!$AC$1:$AC$400,_xlfn.TEXTJOIN(",",TRUE,B55:E55),SF_Output!$Q$1:$Q$400,"monthly"))</f>
        <v>0</v>
      </c>
      <c r="W55" s="112" t="str" cm="1">
        <f t="array" ref="W55">_xlfn.IFS(OR(B55=0,B55="",V55=0),"",AF55&lt;&gt;"exclusion",MAX($W$9,$W$7,(-(SUMIFS(SF_Output!$T$1:$T$400,SF_Output!$AC$1:$AC$400,_xlfn.TEXTJOIN(",",TRUE,$B55:$E55),SF_Output!$Q$1:$Q$400,"monthly"))/V55)),AF55="exclusion",-(SUMIFS(SF_Output!$T$1:$T$400,SF_Output!$AC$1:$AC$400,_xlfn.TEXTJOIN(",",TRUE,$B55:$E55),SF_Output!$Q$1:$Q$400,"monthly"))/V55)</f>
        <v/>
      </c>
      <c r="X55" s="6" cm="1">
        <f t="array" ref="X55">IFERROR(_xlfn.IFS(V55=0,0,V55="","",W55=0,V55,OR(V55&lt;&gt;0,V55&lt;&gt;""),H55*I55),V55*(1-W55))</f>
        <v>0</v>
      </c>
      <c r="Z55" s="6">
        <f>IFERROR(IF(B55="","",SUMIFS(Billing_Fallout!H:H,Billing_Fallout!N:N,B55)),0)</f>
        <v>0</v>
      </c>
      <c r="AA55" s="6">
        <f t="shared" si="4"/>
        <v>0</v>
      </c>
      <c r="AB55" s="6">
        <f>IFERROR(IF(B55="","",SUMIFS(Billing_Fallout!J:J,Billing_Fallout!N:N,B55)),0)</f>
        <v>0</v>
      </c>
      <c r="AD55" s="6">
        <f t="shared" si="5"/>
        <v>0</v>
      </c>
      <c r="AF55" t="str">
        <f>IFERROR(INDEX(H_Tables!$B$1:$B$1500,MATCH(INDEX(SF_Output!$J$1:$J$400,MATCH(B55,SF_Output!$M$1:$M$400,0)),H_Tables!$A$1:$A$1500,0)),"")</f>
        <v>Exclusion</v>
      </c>
      <c r="AI55" s="119" t="str">
        <f t="shared" si="6"/>
        <v/>
      </c>
      <c r="AJ55" s="121">
        <f>IFERROR(INDEX(SF_Output!AD:AD,MATCH(_xlfn.TEXTJOIN(",",TRUE,B55:E55),SF_Output!AC1:AC400,0)),0.05)</f>
        <v>90</v>
      </c>
      <c r="AK55" t="str">
        <f>IF(SUMIFS(SF_Output!$F$1:$F$400,SF_Output!$AC$1:$AC$400,_xlfn.TEXTJOIN(",",TRUE,B55:E55))+SUMIFS(SF_Output!$G$1:$G$400,SF_Output!$AC$1:$AC$400,_xlfn.TEXTJOIN(",",TRUE,B55:E55))=0,"","PAP")</f>
        <v/>
      </c>
      <c r="AQ55" s="35"/>
      <c r="AR55" s="35" t="str" cm="1">
        <f t="array" ref="AR55">IFERROR(_xlfn.IFS(AND(E55*1=1,F55="Included"),"Change to Included",AND(E55*1=0,F55="Optional"),"Change to Optional",OR(B55="",F55="replaced"),""),"")</f>
        <v/>
      </c>
      <c r="AS55" s="35" t="str">
        <f t="shared" si="7"/>
        <v/>
      </c>
      <c r="AT55" s="35" t="str">
        <f t="shared" si="8"/>
        <v/>
      </c>
      <c r="AU55" s="35" t="str">
        <f t="shared" si="9"/>
        <v/>
      </c>
      <c r="AV55" s="35" t="str">
        <f t="shared" si="10"/>
        <v/>
      </c>
      <c r="AW55" s="35" t="str">
        <f t="shared" si="11"/>
        <v/>
      </c>
      <c r="AX55" s="35" t="str">
        <f t="shared" si="12"/>
        <v/>
      </c>
      <c r="AY55" s="35" t="str">
        <f t="shared" si="13"/>
        <v/>
      </c>
      <c r="AZ55" s="35" t="str">
        <f t="shared" si="14"/>
        <v/>
      </c>
      <c r="BA55" s="35" t="str">
        <f t="shared" si="15"/>
        <v/>
      </c>
      <c r="BB55" s="35" t="str">
        <f t="shared" si="16"/>
        <v/>
      </c>
      <c r="BC55" s="35"/>
      <c r="BE55" s="35">
        <f ca="1">INDEX(SF_Output!$AA$2:$AA$400,MATCH($B55,SF_Output!$M$2:$M$400,0))</f>
        <v>4</v>
      </c>
      <c r="BF55" s="35">
        <f ca="1">INDEX(SF_Output!$AB$2:$AB$400,MATCH($B55,SF_Output!$M$2:$M$400,0))</f>
        <v>2</v>
      </c>
    </row>
    <row r="56" spans="2:58" x14ac:dyDescent="0.25">
      <c r="B56" t="s">
        <v>2259</v>
      </c>
      <c r="C56" t="s">
        <v>2122</v>
      </c>
      <c r="D56" t="s">
        <v>2123</v>
      </c>
      <c r="E56" t="s">
        <v>2124</v>
      </c>
      <c r="F56" s="116" t="str">
        <f t="shared" si="0"/>
        <v>Included</v>
      </c>
      <c r="G56" t="str">
        <f>IF(B56="","",INDEX(SF_Output!$K$1:$K$400,MATCH(B56,SF_Output!$M$1:$M$400,0)))</f>
        <v>OutLink Item Processing</v>
      </c>
      <c r="H56" cm="1">
        <f t="array" ref="H56">_xlfn.IFS(B56="","",(SUMIFS(SF_Output!$F$1:$F$400,SF_Output!$AC$1:$AC$400,_xlfn.TEXTJOIN(",",TRUE,B56:E56))+SUMIFS(SF_Output!$G$1:$G$400,SF_Output!$AC$1:$AC$400,_xlfn.TEXTJOIN(",",TRUE,B56:E56)))&lt;&gt;0,SF_Output!$Y$2,INDEX(SF_Output!$F$1:$F$400,MATCH(_xlfn.TEXTJOIN(",",TRUE,B56:E56),SF_Output!$AC$1:$AC$400,0))=0,INDEX(SF_Output!$R$1:$R$400,MATCH(_xlfn.TEXTJOIN(",",TRUE,B56:E56),SF_Output!$AC$1:$AC$400,0)))</f>
        <v>1</v>
      </c>
      <c r="I56" s="125" t="str">
        <f>IFERROR(IF(AND(H56&gt;1,H56&lt;&gt;""),ROUND(SUMIFS(SF_Output!$S$1:$S$400,SF_Output!$AC$1:$AC$400,_xlfn.TEXTJOIN(",",TRUE,B56:E56),SF_Output!$Q$1:$Q$400,"monthly")*(1-W56)/H56,4),""),"")</f>
        <v/>
      </c>
      <c r="J56" s="6">
        <f>IF(B56="","",SUMIFS(SF_Output!$S$1:$S$400,SF_Output!$AC$1:$AC$400,_xlfn.TEXTJOIN(",",TRUE,B56:E56),SF_Output!$Q$1:$Q$400,"One Time",SF_Output!$L$1:$L$400,"license fee")+SUMIFS(SF_Output!$S$1:$S$400,SF_Output!$AC$1:$AC$400,_xlfn.TEXTJOIN(",",TRUE,B56:E56),SF_Output!$Q$1:$Q$400,"One Time",SF_Output!$L$1:$L$400,"software license")+SUMIFS(SF_Output!$S$1:$S$400,SF_Output!$AC$1:$AC$400,_xlfn.TEXTJOIN(",",TRUE,B56:E56),SF_Output!$Q$1:$Q$400,"One Time",SF_Output!$L$1:$L$400,"hardware"))</f>
        <v>0</v>
      </c>
      <c r="K56" s="112" t="str">
        <f>IF(OR(B56=0,B56="",G56="hardware",J56=0),"",IF(AF56&lt;&gt;"exclusion",MAX(K$9,-((SUMIFS(SF_Output!$T$1:$T$400,SF_Output!$AC$1:$AC$400,_xlfn.TEXTJOIN(",",TRUE,$B56:$E56),SF_Output!$Q$1:$Q$400,"One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license"))/J56)))</f>
        <v/>
      </c>
      <c r="L56" s="6">
        <f t="shared" si="1"/>
        <v>0</v>
      </c>
      <c r="N56" s="6">
        <f>IF(B56="","",SUMIFS(SF_Output!$S$1:$S$400,SF_Output!$AC$1:$AC$400,_xlfn.TEXTJOIN(",",TRUE,B56:E56),SF_Output!$Q$1:$Q$400,"One Time",SF_Output!$L$1:$L$400,"professional service"))</f>
        <v>0</v>
      </c>
      <c r="O56" s="112" t="str">
        <f>IF(OR(B56=0,B56="",N56=0),"",IF(AF56&lt;&gt;"exclusion",MAX(O$9,-(SUMIFS(SF_Output!$T$1:$T$400,SF_Output!$AC$1:$AC$400,_xlfn.TEXTJOIN(",",TRUE,$B56:$E56),SF_Output!$Q$1:$Q$400,"One Time",SF_Output!$L$1:$L$400,"professional service"))/N56),-((SUMIFS(SF_Output!$T$1:$T$400,SF_Output!$AC$1:$AC$400,_xlfn.TEXTJOIN(",",TRUE,$B56:$E56),SF_Output!$Q$1:$Q$400,"One Time",SF_Output!$L$1:$L$400,"professional service")/N56))))</f>
        <v/>
      </c>
      <c r="P56" s="6">
        <f t="shared" si="2"/>
        <v>0</v>
      </c>
      <c r="R56" s="6">
        <f>IF(B56="","",SUMIFS(SF_Output!$S$1:$S$400,SF_Output!$AC$1:$AC$400,_xlfn.TEXTJOIN(",",TRUE,B56:E56),SF_Output!$Q$1:$Q$400,"yearly")+SUMIFS(SF_Output!$S$1:$S$400,SF_Output!$AC$1:$AC$400,_xlfn.TEXTJOIN(",",TRUE,B56:E56),SF_Output!$Q$1:$Q$400,"quarterly")*4)</f>
        <v>0</v>
      </c>
      <c r="S56" s="112" t="str">
        <f>IF(OR(B56=0,B56="",G56="hardware",R56=0),"",IF(AF56&lt;&gt;"exclusion",MAX(S$9,-(SUMIFS(SF_Output!$T$1:$T$400,SF_Output!$AC$1:$AC$400,_xlfn.TEXTJOIN(",",TRUE,$B56:$E56),SF_Output!$Q$1:$Q$400,"yearly"))/R56),-((SUMIFS(SF_Output!$T$1:$T$400,SF_Output!$AC$1:$AC$400,_xlfn.TEXTJOIN(",",TRUE,$B56:$E56),SF_Output!$Q$1:$Q$400,"yearly")/R56))))</f>
        <v/>
      </c>
      <c r="T56" s="6">
        <f t="shared" si="3"/>
        <v>0</v>
      </c>
      <c r="V56" s="6" cm="1">
        <f t="array" ref="V56">_xlfn.IFS(B56="","",AND(B56&lt;&gt;"",H56=SF_Output!$Y$2,SUMIFS(SF_Output!$T$1:$T$400,SF_Output!$AC$1:$AC$400,_xlfn.TEXTJOIN(",",TRUE,B56:E56),SF_Output!$Q$1:$Q$400,"monthly")=0),(SUMIFS(SF_Output!$F$1:$F$400,SF_Output!$AC$1:$AC$400,_xlfn.TEXTJOIN(",",TRUE,B56:E56),SF_Output!$Q$1:$Q$400,"monthly")+SUMIFS(SF_Output!$G$1:$G$400,SF_Output!$AC$1:$AC$400,_xlfn.TEXTJOIN(",",TRUE,B56:E56),SF_Output!$Q$1:$Q$400,"monthly"))*H56,AND(B56&lt;&gt;"",H56=SF_Output!$Y$2,SUMIFS(SF_Output!$T$1:$T$400,SF_Output!$AC$1:$AC$400,_xlfn.TEXTJOIN(",",TRUE,B56:E56),SF_Output!$Q$1:$Q$400,"monthly")&lt;&gt;0),SUMIFS(SF_Output!$S$1:$S$400,SF_Output!$AC$1:$AC$400,_xlfn.TEXTJOIN(",",TRUE,B56:E56),SF_Output!$Q$1:$Q$400,"monthly"),AND(B56&lt;&gt;"",H56&lt;&gt;SF_Output!$Y$2),SUMIFS(SF_Output!$S$1:$S$400,SF_Output!$AC$1:$AC$400,_xlfn.TEXTJOIN(",",TRUE,B56:E56),SF_Output!$Q$1:$Q$400,"monthly"))</f>
        <v>900</v>
      </c>
      <c r="W56" s="112" cm="1">
        <f t="array" ref="W56">_xlfn.IFS(OR(B56=0,B56="",V56=0),"",AF56&lt;&gt;"exclusion",MAX($W$9,$W$7,(-(SUMIFS(SF_Output!$T$1:$T$400,SF_Output!$AC$1:$AC$400,_xlfn.TEXTJOIN(",",TRUE,$B56:$E56),SF_Output!$Q$1:$Q$400,"monthly"))/V56)),AF56="exclusion",-(SUMIFS(SF_Output!$T$1:$T$400,SF_Output!$AC$1:$AC$400,_xlfn.TEXTJOIN(",",TRUE,$B56:$E56),SF_Output!$Q$1:$Q$400,"monthly"))/V56)</f>
        <v>0</v>
      </c>
      <c r="X56" s="6" cm="1">
        <f t="array" ref="X56">IFERROR(_xlfn.IFS(V56=0,0,V56="","",W56=0,V56,OR(V56&lt;&gt;0,V56&lt;&gt;""),H56*I56),V56*(1-W56))</f>
        <v>900</v>
      </c>
      <c r="Z56" s="6">
        <f>IFERROR(IF(B56="","",SUMIFS(Billing_Fallout!H:H,Billing_Fallout!N:N,B56)),0)</f>
        <v>0</v>
      </c>
      <c r="AA56" s="6">
        <f t="shared" si="4"/>
        <v>0</v>
      </c>
      <c r="AB56" s="6">
        <f>IFERROR(IF(B56="","",SUMIFS(Billing_Fallout!J:J,Billing_Fallout!N:N,B56)),0)</f>
        <v>0</v>
      </c>
      <c r="AD56" s="6">
        <f t="shared" si="5"/>
        <v>900</v>
      </c>
      <c r="AF56" t="str">
        <f>IFERROR(INDEX(H_Tables!$B$1:$B$1500,MATCH(INDEX(SF_Output!$J$1:$J$400,MATCH(B56,SF_Output!$M$1:$M$400,0)),H_Tables!$A$1:$A$1500,0)),"")</f>
        <v>Exclusion</v>
      </c>
      <c r="AI56" s="119" t="str">
        <f t="shared" si="6"/>
        <v/>
      </c>
      <c r="AJ56" s="121">
        <f>IFERROR(INDEX(SF_Output!AD:AD,MATCH(_xlfn.TEXTJOIN(",",TRUE,B56:E56),SF_Output!AC1:AC400,0)),0.05)</f>
        <v>91</v>
      </c>
      <c r="AK56" t="str">
        <f>IF(SUMIFS(SF_Output!$F$1:$F$400,SF_Output!$AC$1:$AC$400,_xlfn.TEXTJOIN(",",TRUE,B56:E56))+SUMIFS(SF_Output!$G$1:$G$400,SF_Output!$AC$1:$AC$400,_xlfn.TEXTJOIN(",",TRUE,B56:E56))=0,"","PAP")</f>
        <v/>
      </c>
      <c r="AQ56" s="35"/>
      <c r="AR56" s="35" t="str" cm="1">
        <f t="array" ref="AR56">IFERROR(_xlfn.IFS(AND(E56*1=1,F56="Included"),"Change to Included",AND(E56*1=0,F56="Optional"),"Change to Optional",OR(B56="",F56="replaced"),""),"")</f>
        <v/>
      </c>
      <c r="AS56" s="35" t="str">
        <f t="shared" si="7"/>
        <v/>
      </c>
      <c r="AT56" s="35" t="str">
        <f t="shared" si="8"/>
        <v/>
      </c>
      <c r="AU56" s="35" t="str">
        <f t="shared" si="9"/>
        <v/>
      </c>
      <c r="AV56" s="35" t="str">
        <f t="shared" si="10"/>
        <v/>
      </c>
      <c r="AW56" s="35" t="str">
        <f t="shared" si="11"/>
        <v/>
      </c>
      <c r="AX56" s="35" t="str">
        <f t="shared" si="12"/>
        <v/>
      </c>
      <c r="AY56" s="35" t="str">
        <f t="shared" si="13"/>
        <v/>
      </c>
      <c r="AZ56" s="35" t="str">
        <f t="shared" si="14"/>
        <v/>
      </c>
      <c r="BA56" s="35" t="str">
        <f t="shared" si="15"/>
        <v/>
      </c>
      <c r="BB56" s="35" t="str">
        <f t="shared" si="16"/>
        <v/>
      </c>
      <c r="BC56" s="35"/>
      <c r="BE56" s="35">
        <f ca="1">INDEX(SF_Output!$AA$2:$AA$400,MATCH($B56,SF_Output!$M$2:$M$400,0))</f>
        <v>4</v>
      </c>
      <c r="BF56" s="35">
        <f ca="1">INDEX(SF_Output!$AB$2:$AB$400,MATCH($B56,SF_Output!$M$2:$M$400,0))</f>
        <v>2</v>
      </c>
    </row>
    <row r="57" spans="2:58" x14ac:dyDescent="0.25">
      <c r="B57" t="s">
        <v>1378</v>
      </c>
      <c r="C57" t="s">
        <v>2122</v>
      </c>
      <c r="D57" t="s">
        <v>2123</v>
      </c>
      <c r="E57" t="s">
        <v>2124</v>
      </c>
      <c r="F57" s="116" t="str">
        <f t="shared" si="0"/>
        <v>Included</v>
      </c>
      <c r="G57" t="str">
        <f>IF(B57="","",INDEX(SF_Output!$K$1:$K$400,MATCH(B57,SF_Output!$M$1:$M$400,0)))</f>
        <v>OutLink Item Processing</v>
      </c>
      <c r="H57" cm="1">
        <f t="array" ref="H57">_xlfn.IFS(B57="","",(SUMIFS(SF_Output!$F$1:$F$400,SF_Output!$AC$1:$AC$400,_xlfn.TEXTJOIN(",",TRUE,B57:E57))+SUMIFS(SF_Output!$G$1:$G$400,SF_Output!$AC$1:$AC$400,_xlfn.TEXTJOIN(",",TRUE,B57:E57)))&lt;&gt;0,SF_Output!$Y$2,INDEX(SF_Output!$F$1:$F$400,MATCH(_xlfn.TEXTJOIN(",",TRUE,B57:E57),SF_Output!$AC$1:$AC$400,0))=0,INDEX(SF_Output!$R$1:$R$400,MATCH(_xlfn.TEXTJOIN(",",TRUE,B57:E57),SF_Output!$AC$1:$AC$400,0)))</f>
        <v>1</v>
      </c>
      <c r="I57" s="125" t="str">
        <f>IFERROR(IF(AND(H57&gt;1,H57&lt;&gt;""),ROUND(SUMIFS(SF_Output!$S$1:$S$400,SF_Output!$AC$1:$AC$400,_xlfn.TEXTJOIN(",",TRUE,B57:E57),SF_Output!$Q$1:$Q$400,"monthly")*(1-W57)/H57,4),""),"")</f>
        <v/>
      </c>
      <c r="J57" s="6">
        <f>IF(B57="","",SUMIFS(SF_Output!$S$1:$S$400,SF_Output!$AC$1:$AC$400,_xlfn.TEXTJOIN(",",TRUE,B57:E57),SF_Output!$Q$1:$Q$400,"One Time",SF_Output!$L$1:$L$400,"license fee")+SUMIFS(SF_Output!$S$1:$S$400,SF_Output!$AC$1:$AC$400,_xlfn.TEXTJOIN(",",TRUE,B57:E57),SF_Output!$Q$1:$Q$400,"One Time",SF_Output!$L$1:$L$400,"software license")+SUMIFS(SF_Output!$S$1:$S$400,SF_Output!$AC$1:$AC$400,_xlfn.TEXTJOIN(",",TRUE,B57:E57),SF_Output!$Q$1:$Q$400,"One Time",SF_Output!$L$1:$L$400,"hardware"))</f>
        <v>0</v>
      </c>
      <c r="K57" s="112" t="str">
        <f>IF(OR(B57=0,B57="",G57="hardware",J57=0),"",IF(AF57&lt;&gt;"exclusion",MAX(K$9,-((SUMIFS(SF_Output!$T$1:$T$400,SF_Output!$AC$1:$AC$400,_xlfn.TEXTJOIN(",",TRUE,$B57:$E57),SF_Output!$Q$1:$Q$400,"One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license"))/J57)))</f>
        <v/>
      </c>
      <c r="L57" s="6">
        <f t="shared" si="1"/>
        <v>0</v>
      </c>
      <c r="N57" s="6">
        <f>IF(B57="","",SUMIFS(SF_Output!$S$1:$S$400,SF_Output!$AC$1:$AC$400,_xlfn.TEXTJOIN(",",TRUE,B57:E57),SF_Output!$Q$1:$Q$400,"One Time",SF_Output!$L$1:$L$400,"professional service"))</f>
        <v>500</v>
      </c>
      <c r="O57" s="112">
        <f>IF(OR(B57=0,B57="",N57=0),"",IF(AF57&lt;&gt;"exclusion",MAX(O$9,-(SUMIFS(SF_Output!$T$1:$T$400,SF_Output!$AC$1:$AC$400,_xlfn.TEXTJOIN(",",TRUE,$B57:$E57),SF_Output!$Q$1:$Q$400,"One Time",SF_Output!$L$1:$L$400,"professional service"))/N57),-((SUMIFS(SF_Output!$T$1:$T$400,SF_Output!$AC$1:$AC$400,_xlfn.TEXTJOIN(",",TRUE,$B57:$E57),SF_Output!$Q$1:$Q$400,"One Time",SF_Output!$L$1:$L$400,"professional service")/N57))))</f>
        <v>1</v>
      </c>
      <c r="P57" s="6">
        <f t="shared" si="2"/>
        <v>0</v>
      </c>
      <c r="R57" s="6">
        <f>IF(B57="","",SUMIFS(SF_Output!$S$1:$S$400,SF_Output!$AC$1:$AC$400,_xlfn.TEXTJOIN(",",TRUE,B57:E57),SF_Output!$Q$1:$Q$400,"yearly")+SUMIFS(SF_Output!$S$1:$S$400,SF_Output!$AC$1:$AC$400,_xlfn.TEXTJOIN(",",TRUE,B57:E57),SF_Output!$Q$1:$Q$400,"quarterly")*4)</f>
        <v>0</v>
      </c>
      <c r="S57" s="112" t="str">
        <f>IF(OR(B57=0,B57="",G57="hardware",R57=0),"",IF(AF57&lt;&gt;"exclusion",MAX(S$9,-(SUMIFS(SF_Output!$T$1:$T$400,SF_Output!$AC$1:$AC$400,_xlfn.TEXTJOIN(",",TRUE,$B57:$E57),SF_Output!$Q$1:$Q$400,"yearly"))/R57),-((SUMIFS(SF_Output!$T$1:$T$400,SF_Output!$AC$1:$AC$400,_xlfn.TEXTJOIN(",",TRUE,$B57:$E57),SF_Output!$Q$1:$Q$400,"yearly")/R57))))</f>
        <v/>
      </c>
      <c r="T57" s="6">
        <f t="shared" si="3"/>
        <v>0</v>
      </c>
      <c r="V57" s="6" cm="1">
        <f t="array" ref="V57">_xlfn.IFS(B57="","",AND(B57&lt;&gt;"",H57=SF_Output!$Y$2,SUMIFS(SF_Output!$T$1:$T$400,SF_Output!$AC$1:$AC$400,_xlfn.TEXTJOIN(",",TRUE,B57:E57),SF_Output!$Q$1:$Q$400,"monthly")=0),(SUMIFS(SF_Output!$F$1:$F$400,SF_Output!$AC$1:$AC$400,_xlfn.TEXTJOIN(",",TRUE,B57:E57),SF_Output!$Q$1:$Q$400,"monthly")+SUMIFS(SF_Output!$G$1:$G$400,SF_Output!$AC$1:$AC$400,_xlfn.TEXTJOIN(",",TRUE,B57:E57),SF_Output!$Q$1:$Q$400,"monthly"))*H57,AND(B57&lt;&gt;"",H57=SF_Output!$Y$2,SUMIFS(SF_Output!$T$1:$T$400,SF_Output!$AC$1:$AC$400,_xlfn.TEXTJOIN(",",TRUE,B57:E57),SF_Output!$Q$1:$Q$400,"monthly")&lt;&gt;0),SUMIFS(SF_Output!$S$1:$S$400,SF_Output!$AC$1:$AC$400,_xlfn.TEXTJOIN(",",TRUE,B57:E57),SF_Output!$Q$1:$Q$400,"monthly"),AND(B57&lt;&gt;"",H57&lt;&gt;SF_Output!$Y$2),SUMIFS(SF_Output!$S$1:$S$400,SF_Output!$AC$1:$AC$400,_xlfn.TEXTJOIN(",",TRUE,B57:E57),SF_Output!$Q$1:$Q$400,"monthly"))</f>
        <v>0</v>
      </c>
      <c r="W57" s="112" t="str" cm="1">
        <f t="array" ref="W57">_xlfn.IFS(OR(B57=0,B57="",V57=0),"",AF57&lt;&gt;"exclusion",MAX($W$9,$W$7,(-(SUMIFS(SF_Output!$T$1:$T$400,SF_Output!$AC$1:$AC$400,_xlfn.TEXTJOIN(",",TRUE,$B57:$E57),SF_Output!$Q$1:$Q$400,"monthly"))/V57)),AF57="exclusion",-(SUMIFS(SF_Output!$T$1:$T$400,SF_Output!$AC$1:$AC$400,_xlfn.TEXTJOIN(",",TRUE,$B57:$E57),SF_Output!$Q$1:$Q$400,"monthly"))/V57)</f>
        <v/>
      </c>
      <c r="X57" s="6" cm="1">
        <f t="array" ref="X57">IFERROR(_xlfn.IFS(V57=0,0,V57="","",W57=0,V57,OR(V57&lt;&gt;0,V57&lt;&gt;""),H57*I57),V57*(1-W57))</f>
        <v>0</v>
      </c>
      <c r="Z57" s="6">
        <f>IFERROR(IF(B57="","",SUMIFS(Billing_Fallout!H:H,Billing_Fallout!N:N,B57)),0)</f>
        <v>0</v>
      </c>
      <c r="AA57" s="6">
        <f t="shared" si="4"/>
        <v>0</v>
      </c>
      <c r="AB57" s="6">
        <f>IFERROR(IF(B57="","",SUMIFS(Billing_Fallout!J:J,Billing_Fallout!N:N,B57)),0)</f>
        <v>0</v>
      </c>
      <c r="AD57" s="6">
        <f t="shared" si="5"/>
        <v>0</v>
      </c>
      <c r="AF57" t="str">
        <f>IFERROR(INDEX(H_Tables!$B$1:$B$1500,MATCH(INDEX(SF_Output!$J$1:$J$400,MATCH(B57,SF_Output!$M$1:$M$400,0)),H_Tables!$A$1:$A$1500,0)),"")</f>
        <v>Exclusion</v>
      </c>
      <c r="AI57" s="119" t="str">
        <f t="shared" si="6"/>
        <v/>
      </c>
      <c r="AJ57" s="121">
        <f>IFERROR(INDEX(SF_Output!AD:AD,MATCH(_xlfn.TEXTJOIN(",",TRUE,B57:E57),SF_Output!AC1:AC400,0)),0.05)</f>
        <v>92</v>
      </c>
      <c r="AK57" t="str">
        <f>IF(SUMIFS(SF_Output!$F$1:$F$400,SF_Output!$AC$1:$AC$400,_xlfn.TEXTJOIN(",",TRUE,B57:E57))+SUMIFS(SF_Output!$G$1:$G$400,SF_Output!$AC$1:$AC$400,_xlfn.TEXTJOIN(",",TRUE,B57:E57))=0,"","PAP")</f>
        <v/>
      </c>
      <c r="AQ57" s="35"/>
      <c r="AR57" s="35" t="str" cm="1">
        <f t="array" ref="AR57">IFERROR(_xlfn.IFS(AND(E57*1=1,F57="Included"),"Change to Included",AND(E57*1=0,F57="Optional"),"Change to Optional",OR(B57="",F57="replaced"),""),"")</f>
        <v/>
      </c>
      <c r="AS57" s="35" t="str">
        <f t="shared" si="7"/>
        <v/>
      </c>
      <c r="AT57" s="35" t="str">
        <f t="shared" si="8"/>
        <v/>
      </c>
      <c r="AU57" s="35" t="str">
        <f t="shared" si="9"/>
        <v/>
      </c>
      <c r="AV57" s="35" t="str">
        <f t="shared" si="10"/>
        <v/>
      </c>
      <c r="AW57" s="35" t="str">
        <f t="shared" si="11"/>
        <v/>
      </c>
      <c r="AX57" s="35" t="str">
        <f t="shared" si="12"/>
        <v/>
      </c>
      <c r="AY57" s="35" t="str">
        <f t="shared" si="13"/>
        <v/>
      </c>
      <c r="AZ57" s="35" t="str">
        <f t="shared" si="14"/>
        <v/>
      </c>
      <c r="BA57" s="35" t="str">
        <f t="shared" si="15"/>
        <v/>
      </c>
      <c r="BB57" s="35" t="str">
        <f t="shared" si="16"/>
        <v/>
      </c>
      <c r="BC57" s="35"/>
      <c r="BE57" s="35">
        <f ca="1">INDEX(SF_Output!$AA$2:$AA$400,MATCH($B57,SF_Output!$M$2:$M$400,0))</f>
        <v>4</v>
      </c>
      <c r="BF57" s="35">
        <f ca="1">INDEX(SF_Output!$AB$2:$AB$400,MATCH($B57,SF_Output!$M$2:$M$400,0))</f>
        <v>2</v>
      </c>
    </row>
    <row r="58" spans="2:58" x14ac:dyDescent="0.25">
      <c r="B58" t="s">
        <v>1407</v>
      </c>
      <c r="C58" t="s">
        <v>2122</v>
      </c>
      <c r="D58" t="s">
        <v>2207</v>
      </c>
      <c r="E58" t="s">
        <v>2150</v>
      </c>
      <c r="F58" s="116" t="str">
        <f t="shared" si="0"/>
        <v>Optional</v>
      </c>
      <c r="G58" t="str">
        <f>IF(B58="","",INDEX(SF_Output!$K$1:$K$400,MATCH(B58,SF_Output!$M$1:$M$400,0)))</f>
        <v>AlertCenter</v>
      </c>
      <c r="H58" cm="1">
        <f t="array" ref="H58">_xlfn.IFS(B58="","",(SUMIFS(SF_Output!$F$1:$F$400,SF_Output!$AC$1:$AC$400,_xlfn.TEXTJOIN(",",TRUE,B58:E58))+SUMIFS(SF_Output!$G$1:$G$400,SF_Output!$AC$1:$AC$400,_xlfn.TEXTJOIN(",",TRUE,B58:E58)))&lt;&gt;0,SF_Output!$Y$2,INDEX(SF_Output!$F$1:$F$400,MATCH(_xlfn.TEXTJOIN(",",TRUE,B58:E58),SF_Output!$AC$1:$AC$400,0))=0,INDEX(SF_Output!$R$1:$R$400,MATCH(_xlfn.TEXTJOIN(",",TRUE,B58:E58),SF_Output!$AC$1:$AC$400,0)))</f>
        <v>1</v>
      </c>
      <c r="I58" s="125" t="str">
        <f>IFERROR(IF(AND(H58&gt;1,H58&lt;&gt;""),ROUND(SUMIFS(SF_Output!$S$1:$S$400,SF_Output!$AC$1:$AC$400,_xlfn.TEXTJOIN(",",TRUE,B58:E58),SF_Output!$Q$1:$Q$400,"monthly")*(1-W58)/H58,4),""),"")</f>
        <v/>
      </c>
      <c r="J58" s="6">
        <f>IF(B58="","",SUMIFS(SF_Output!$S$1:$S$400,SF_Output!$AC$1:$AC$400,_xlfn.TEXTJOIN(",",TRUE,B58:E58),SF_Output!$Q$1:$Q$400,"One Time",SF_Output!$L$1:$L$400,"license fee")+SUMIFS(SF_Output!$S$1:$S$400,SF_Output!$AC$1:$AC$400,_xlfn.TEXTJOIN(",",TRUE,B58:E58),SF_Output!$Q$1:$Q$400,"One Time",SF_Output!$L$1:$L$400,"software license")+SUMIFS(SF_Output!$S$1:$S$400,SF_Output!$AC$1:$AC$400,_xlfn.TEXTJOIN(",",TRUE,B58:E58),SF_Output!$Q$1:$Q$400,"One Time",SF_Output!$L$1:$L$400,"hardware"))</f>
        <v>0</v>
      </c>
      <c r="K58" s="112" t="str">
        <f>IF(OR(B58=0,B58="",G58="hardware",J58=0),"",IF(AF58&lt;&gt;"exclusion",MAX(K$9,-((SUMIFS(SF_Output!$T$1:$T$400,SF_Output!$AC$1:$AC$400,_xlfn.TEXTJOIN(",",TRUE,$B58:$E58),SF_Output!$Q$1:$Q$400,"One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license"))/J58)))</f>
        <v/>
      </c>
      <c r="L58" s="6">
        <f t="shared" si="1"/>
        <v>0</v>
      </c>
      <c r="N58" s="6">
        <f>IF(B58="","",SUMIFS(SF_Output!$S$1:$S$400,SF_Output!$AC$1:$AC$400,_xlfn.TEXTJOIN(",",TRUE,B58:E58),SF_Output!$Q$1:$Q$400,"One Time",SF_Output!$L$1:$L$400,"professional service"))</f>
        <v>0</v>
      </c>
      <c r="O58" s="112" t="str">
        <f>IF(OR(B58=0,B58="",N58=0),"",IF(AF58&lt;&gt;"exclusion",MAX(O$9,-(SUMIFS(SF_Output!$T$1:$T$400,SF_Output!$AC$1:$AC$400,_xlfn.TEXTJOIN(",",TRUE,$B58:$E58),SF_Output!$Q$1:$Q$400,"One Time",SF_Output!$L$1:$L$400,"professional service"))/N58),-((SUMIFS(SF_Output!$T$1:$T$400,SF_Output!$AC$1:$AC$400,_xlfn.TEXTJOIN(",",TRUE,$B58:$E58),SF_Output!$Q$1:$Q$400,"One Time",SF_Output!$L$1:$L$400,"professional service")/N58))))</f>
        <v/>
      </c>
      <c r="P58" s="6">
        <f t="shared" si="2"/>
        <v>0</v>
      </c>
      <c r="R58" s="6">
        <f>IF(B58="","",SUMIFS(SF_Output!$S$1:$S$400,SF_Output!$AC$1:$AC$400,_xlfn.TEXTJOIN(",",TRUE,B58:E58),SF_Output!$Q$1:$Q$400,"yearly")+SUMIFS(SF_Output!$S$1:$S$400,SF_Output!$AC$1:$AC$400,_xlfn.TEXTJOIN(",",TRUE,B58:E58),SF_Output!$Q$1:$Q$400,"quarterly")*4)</f>
        <v>0</v>
      </c>
      <c r="S58" s="112" t="str">
        <f>IF(OR(B58=0,B58="",G58="hardware",R58=0),"",IF(AF58&lt;&gt;"exclusion",MAX(S$9,-(SUMIFS(SF_Output!$T$1:$T$400,SF_Output!$AC$1:$AC$400,_xlfn.TEXTJOIN(",",TRUE,$B58:$E58),SF_Output!$Q$1:$Q$400,"yearly"))/R58),-((SUMIFS(SF_Output!$T$1:$T$400,SF_Output!$AC$1:$AC$400,_xlfn.TEXTJOIN(",",TRUE,$B58:$E58),SF_Output!$Q$1:$Q$400,"yearly")/R58))))</f>
        <v/>
      </c>
      <c r="T58" s="6">
        <f t="shared" si="3"/>
        <v>0</v>
      </c>
      <c r="V58" s="6" cm="1">
        <f t="array" ref="V58">_xlfn.IFS(B58="","",AND(B58&lt;&gt;"",H58=SF_Output!$Y$2,SUMIFS(SF_Output!$T$1:$T$400,SF_Output!$AC$1:$AC$400,_xlfn.TEXTJOIN(",",TRUE,B58:E58),SF_Output!$Q$1:$Q$400,"monthly")=0),(SUMIFS(SF_Output!$F$1:$F$400,SF_Output!$AC$1:$AC$400,_xlfn.TEXTJOIN(",",TRUE,B58:E58),SF_Output!$Q$1:$Q$400,"monthly")+SUMIFS(SF_Output!$G$1:$G$400,SF_Output!$AC$1:$AC$400,_xlfn.TEXTJOIN(",",TRUE,B58:E58),SF_Output!$Q$1:$Q$400,"monthly"))*H58,AND(B58&lt;&gt;"",H58=SF_Output!$Y$2,SUMIFS(SF_Output!$T$1:$T$400,SF_Output!$AC$1:$AC$400,_xlfn.TEXTJOIN(",",TRUE,B58:E58),SF_Output!$Q$1:$Q$400,"monthly")&lt;&gt;0),SUMIFS(SF_Output!$S$1:$S$400,SF_Output!$AC$1:$AC$400,_xlfn.TEXTJOIN(",",TRUE,B58:E58),SF_Output!$Q$1:$Q$400,"monthly"),AND(B58&lt;&gt;"",H58&lt;&gt;SF_Output!$Y$2),SUMIFS(SF_Output!$S$1:$S$400,SF_Output!$AC$1:$AC$400,_xlfn.TEXTJOIN(",",TRUE,B58:E58),SF_Output!$Q$1:$Q$400,"monthly"))</f>
        <v>420</v>
      </c>
      <c r="W58" s="112" cm="1">
        <f t="array" ref="W58">_xlfn.IFS(OR(B58=0,B58="",V58=0),"",AF58&lt;&gt;"exclusion",MAX($W$9,$W$7,(-(SUMIFS(SF_Output!$T$1:$T$400,SF_Output!$AC$1:$AC$400,_xlfn.TEXTJOIN(",",TRUE,$B58:$E58),SF_Output!$Q$1:$Q$400,"monthly"))/V58)),AF58="exclusion",-(SUMIFS(SF_Output!$T$1:$T$400,SF_Output!$AC$1:$AC$400,_xlfn.TEXTJOIN(",",TRUE,$B58:$E58),SF_Output!$Q$1:$Q$400,"monthly"))/V58)</f>
        <v>0</v>
      </c>
      <c r="X58" s="6" cm="1">
        <f t="array" ref="X58">IFERROR(_xlfn.IFS(V58=0,0,V58="","",W58=0,V58,OR(V58&lt;&gt;0,V58&lt;&gt;""),H58*I58),V58*(1-W58))</f>
        <v>420</v>
      </c>
      <c r="Z58" s="6">
        <f>IFERROR(IF(B58="","",SUMIFS(Billing_Fallout!H:H,Billing_Fallout!N:N,B58)),0)</f>
        <v>0</v>
      </c>
      <c r="AA58" s="6">
        <f t="shared" si="4"/>
        <v>0</v>
      </c>
      <c r="AB58" s="6">
        <f>IFERROR(IF(B58="","",SUMIFS(Billing_Fallout!J:J,Billing_Fallout!N:N,B58)),0)</f>
        <v>0</v>
      </c>
      <c r="AD58" s="6">
        <f t="shared" si="5"/>
        <v>420</v>
      </c>
      <c r="AF58" t="str">
        <f>IFERROR(INDEX(H_Tables!$B$1:$B$1500,MATCH(INDEX(SF_Output!$J$1:$J$400,MATCH(B58,SF_Output!$M$1:$M$400,0)),H_Tables!$A$1:$A$1500,0)),"")</f>
        <v>Exclusion</v>
      </c>
      <c r="AI58" s="119" t="str">
        <f t="shared" si="6"/>
        <v/>
      </c>
      <c r="AJ58" s="121">
        <f>IFERROR(INDEX(SF_Output!AD:AD,MATCH(_xlfn.TEXTJOIN(",",TRUE,B58:E58),SF_Output!AC1:AC400,0)),0.05)</f>
        <v>93</v>
      </c>
      <c r="AK58" t="str">
        <f>IF(SUMIFS(SF_Output!$F$1:$F$400,SF_Output!$AC$1:$AC$400,_xlfn.TEXTJOIN(",",TRUE,B58:E58))+SUMIFS(SF_Output!$G$1:$G$400,SF_Output!$AC$1:$AC$400,_xlfn.TEXTJOIN(",",TRUE,B58:E58))=0,"","PAP")</f>
        <v/>
      </c>
      <c r="AQ58" s="35"/>
      <c r="AR58" s="35" t="str" cm="1">
        <f t="array" ref="AR58">IFERROR(_xlfn.IFS(AND(E58*1=1,F58="Included"),"Change to Included",AND(E58*1=0,F58="Optional"),"Change to Optional",OR(B58="",F58="replaced"),""),"")</f>
        <v/>
      </c>
      <c r="AS58" s="35" t="str">
        <f t="shared" si="7"/>
        <v/>
      </c>
      <c r="AT58" s="35" t="str">
        <f t="shared" si="8"/>
        <v/>
      </c>
      <c r="AU58" s="35" t="str">
        <f t="shared" si="9"/>
        <v/>
      </c>
      <c r="AV58" s="35" t="str">
        <f t="shared" si="10"/>
        <v/>
      </c>
      <c r="AW58" s="35" t="str">
        <f t="shared" si="11"/>
        <v/>
      </c>
      <c r="AX58" s="35" t="str">
        <f t="shared" si="12"/>
        <v/>
      </c>
      <c r="AY58" s="35" t="str">
        <f t="shared" si="13"/>
        <v/>
      </c>
      <c r="AZ58" s="35" t="str">
        <f t="shared" si="14"/>
        <v/>
      </c>
      <c r="BA58" s="35" t="str">
        <f t="shared" si="15"/>
        <v/>
      </c>
      <c r="BB58" s="35" t="str">
        <f t="shared" si="16"/>
        <v/>
      </c>
      <c r="BC58" s="35"/>
      <c r="BE58" s="35">
        <f ca="1">INDEX(SF_Output!$AA$2:$AA$400,MATCH($B58,SF_Output!$M$2:$M$400,0))</f>
        <v>4</v>
      </c>
      <c r="BF58" s="35">
        <f ca="1">INDEX(SF_Output!$AB$2:$AB$400,MATCH($B58,SF_Output!$M$2:$M$400,0))</f>
        <v>4</v>
      </c>
    </row>
    <row r="59" spans="2:58" x14ac:dyDescent="0.25">
      <c r="B59" t="s">
        <v>1409</v>
      </c>
      <c r="C59" t="s">
        <v>2122</v>
      </c>
      <c r="D59" t="s">
        <v>2207</v>
      </c>
      <c r="E59" t="s">
        <v>2150</v>
      </c>
      <c r="F59" s="116" t="str">
        <f t="shared" si="0"/>
        <v>Optional</v>
      </c>
      <c r="G59" t="str">
        <f>IF(B59="","",INDEX(SF_Output!$K$1:$K$400,MATCH(B59,SF_Output!$M$1:$M$400,0)))</f>
        <v>AlertCenter</v>
      </c>
      <c r="H59" cm="1">
        <f t="array" ref="H59">_xlfn.IFS(B59="","",(SUMIFS(SF_Output!$F$1:$F$400,SF_Output!$AC$1:$AC$400,_xlfn.TEXTJOIN(",",TRUE,B59:E59))+SUMIFS(SF_Output!$G$1:$G$400,SF_Output!$AC$1:$AC$400,_xlfn.TEXTJOIN(",",TRUE,B59:E59)))&lt;&gt;0,SF_Output!$Y$2,INDEX(SF_Output!$F$1:$F$400,MATCH(_xlfn.TEXTJOIN(",",TRUE,B59:E59),SF_Output!$AC$1:$AC$400,0))=0,INDEX(SF_Output!$R$1:$R$400,MATCH(_xlfn.TEXTJOIN(",",TRUE,B59:E59),SF_Output!$AC$1:$AC$400,0)))</f>
        <v>1</v>
      </c>
      <c r="I59" s="125" t="str">
        <f>IFERROR(IF(AND(H59&gt;1,H59&lt;&gt;""),ROUND(SUMIFS(SF_Output!$S$1:$S$400,SF_Output!$AC$1:$AC$400,_xlfn.TEXTJOIN(",",TRUE,B59:E59),SF_Output!$Q$1:$Q$400,"monthly")*(1-W59)/H59,4),""),"")</f>
        <v/>
      </c>
      <c r="J59" s="6">
        <f>IF(B59="","",SUMIFS(SF_Output!$S$1:$S$400,SF_Output!$AC$1:$AC$400,_xlfn.TEXTJOIN(",",TRUE,B59:E59),SF_Output!$Q$1:$Q$400,"One Time",SF_Output!$L$1:$L$400,"license fee")+SUMIFS(SF_Output!$S$1:$S$400,SF_Output!$AC$1:$AC$400,_xlfn.TEXTJOIN(",",TRUE,B59:E59),SF_Output!$Q$1:$Q$400,"One Time",SF_Output!$L$1:$L$400,"software license")+SUMIFS(SF_Output!$S$1:$S$400,SF_Output!$AC$1:$AC$400,_xlfn.TEXTJOIN(",",TRUE,B59:E59),SF_Output!$Q$1:$Q$400,"One Time",SF_Output!$L$1:$L$400,"hardware"))</f>
        <v>0</v>
      </c>
      <c r="K59" s="112" t="str">
        <f>IF(OR(B59=0,B59="",G59="hardware",J59=0),"",IF(AF59&lt;&gt;"exclusion",MAX(K$9,-((SUMIFS(SF_Output!$T$1:$T$400,SF_Output!$AC$1:$AC$400,_xlfn.TEXTJOIN(",",TRUE,$B59:$E59),SF_Output!$Q$1:$Q$400,"One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license"))/J59)))</f>
        <v/>
      </c>
      <c r="L59" s="6">
        <f t="shared" si="1"/>
        <v>0</v>
      </c>
      <c r="N59" s="6">
        <f>IF(B59="","",SUMIFS(SF_Output!$S$1:$S$400,SF_Output!$AC$1:$AC$400,_xlfn.TEXTJOIN(",",TRUE,B59:E59),SF_Output!$Q$1:$Q$400,"One Time",SF_Output!$L$1:$L$400,"professional service"))</f>
        <v>825</v>
      </c>
      <c r="O59" s="112">
        <f>IF(OR(B59=0,B59="",N59=0),"",IF(AF59&lt;&gt;"exclusion",MAX(O$9,-(SUMIFS(SF_Output!$T$1:$T$400,SF_Output!$AC$1:$AC$400,_xlfn.TEXTJOIN(",",TRUE,$B59:$E59),SF_Output!$Q$1:$Q$400,"One Time",SF_Output!$L$1:$L$400,"professional service"))/N59),-((SUMIFS(SF_Output!$T$1:$T$400,SF_Output!$AC$1:$AC$400,_xlfn.TEXTJOIN(",",TRUE,$B59:$E59),SF_Output!$Q$1:$Q$400,"One Time",SF_Output!$L$1:$L$400,"professional service")/N59))))</f>
        <v>0</v>
      </c>
      <c r="P59" s="6">
        <f t="shared" si="2"/>
        <v>825</v>
      </c>
      <c r="R59" s="6">
        <f>IF(B59="","",SUMIFS(SF_Output!$S$1:$S$400,SF_Output!$AC$1:$AC$400,_xlfn.TEXTJOIN(",",TRUE,B59:E59),SF_Output!$Q$1:$Q$400,"yearly")+SUMIFS(SF_Output!$S$1:$S$400,SF_Output!$AC$1:$AC$400,_xlfn.TEXTJOIN(",",TRUE,B59:E59),SF_Output!$Q$1:$Q$400,"quarterly")*4)</f>
        <v>0</v>
      </c>
      <c r="S59" s="112" t="str">
        <f>IF(OR(B59=0,B59="",G59="hardware",R59=0),"",IF(AF59&lt;&gt;"exclusion",MAX(S$9,-(SUMIFS(SF_Output!$T$1:$T$400,SF_Output!$AC$1:$AC$400,_xlfn.TEXTJOIN(",",TRUE,$B59:$E59),SF_Output!$Q$1:$Q$400,"yearly"))/R59),-((SUMIFS(SF_Output!$T$1:$T$400,SF_Output!$AC$1:$AC$400,_xlfn.TEXTJOIN(",",TRUE,$B59:$E59),SF_Output!$Q$1:$Q$400,"yearly")/R59))))</f>
        <v/>
      </c>
      <c r="T59" s="6">
        <f t="shared" si="3"/>
        <v>0</v>
      </c>
      <c r="V59" s="6" cm="1">
        <f t="array" ref="V59">_xlfn.IFS(B59="","",AND(B59&lt;&gt;"",H59=SF_Output!$Y$2,SUMIFS(SF_Output!$T$1:$T$400,SF_Output!$AC$1:$AC$400,_xlfn.TEXTJOIN(",",TRUE,B59:E59),SF_Output!$Q$1:$Q$400,"monthly")=0),(SUMIFS(SF_Output!$F$1:$F$400,SF_Output!$AC$1:$AC$400,_xlfn.TEXTJOIN(",",TRUE,B59:E59),SF_Output!$Q$1:$Q$400,"monthly")+SUMIFS(SF_Output!$G$1:$G$400,SF_Output!$AC$1:$AC$400,_xlfn.TEXTJOIN(",",TRUE,B59:E59),SF_Output!$Q$1:$Q$400,"monthly"))*H59,AND(B59&lt;&gt;"",H59=SF_Output!$Y$2,SUMIFS(SF_Output!$T$1:$T$400,SF_Output!$AC$1:$AC$400,_xlfn.TEXTJOIN(",",TRUE,B59:E59),SF_Output!$Q$1:$Q$400,"monthly")&lt;&gt;0),SUMIFS(SF_Output!$S$1:$S$400,SF_Output!$AC$1:$AC$400,_xlfn.TEXTJOIN(",",TRUE,B59:E59),SF_Output!$Q$1:$Q$400,"monthly"),AND(B59&lt;&gt;"",H59&lt;&gt;SF_Output!$Y$2),SUMIFS(SF_Output!$S$1:$S$400,SF_Output!$AC$1:$AC$400,_xlfn.TEXTJOIN(",",TRUE,B59:E59),SF_Output!$Q$1:$Q$400,"monthly"))</f>
        <v>0</v>
      </c>
      <c r="W59" s="112" t="str" cm="1">
        <f t="array" ref="W59">_xlfn.IFS(OR(B59=0,B59="",V59=0),"",AF59&lt;&gt;"exclusion",MAX($W$9,$W$7,(-(SUMIFS(SF_Output!$T$1:$T$400,SF_Output!$AC$1:$AC$400,_xlfn.TEXTJOIN(",",TRUE,$B59:$E59),SF_Output!$Q$1:$Q$400,"monthly"))/V59)),AF59="exclusion",-(SUMIFS(SF_Output!$T$1:$T$400,SF_Output!$AC$1:$AC$400,_xlfn.TEXTJOIN(",",TRUE,$B59:$E59),SF_Output!$Q$1:$Q$400,"monthly"))/V59)</f>
        <v/>
      </c>
      <c r="X59" s="6" cm="1">
        <f t="array" ref="X59">IFERROR(_xlfn.IFS(V59=0,0,V59="","",W59=0,V59,OR(V59&lt;&gt;0,V59&lt;&gt;""),H59*I59),V59*(1-W59))</f>
        <v>0</v>
      </c>
      <c r="Z59" s="6">
        <f>IFERROR(IF(B59="","",SUMIFS(Billing_Fallout!H:H,Billing_Fallout!N:N,B59)),0)</f>
        <v>0</v>
      </c>
      <c r="AA59" s="6">
        <f t="shared" si="4"/>
        <v>0</v>
      </c>
      <c r="AB59" s="6">
        <f>IFERROR(IF(B59="","",SUMIFS(Billing_Fallout!J:J,Billing_Fallout!N:N,B59)),0)</f>
        <v>0</v>
      </c>
      <c r="AD59" s="6">
        <f t="shared" si="5"/>
        <v>0</v>
      </c>
      <c r="AF59" t="str">
        <f>IFERROR(INDEX(H_Tables!$B$1:$B$1500,MATCH(INDEX(SF_Output!$J$1:$J$400,MATCH(B59,SF_Output!$M$1:$M$400,0)),H_Tables!$A$1:$A$1500,0)),"")</f>
        <v>Exclusion</v>
      </c>
      <c r="AI59" s="119" t="str">
        <f t="shared" si="6"/>
        <v/>
      </c>
      <c r="AJ59" s="121">
        <f>IFERROR(INDEX(SF_Output!AD:AD,MATCH(_xlfn.TEXTJOIN(",",TRUE,B59:E59),SF_Output!AC1:AC400,0)),0.05)</f>
        <v>94</v>
      </c>
      <c r="AK59" t="str">
        <f>IF(SUMIFS(SF_Output!$F$1:$F$400,SF_Output!$AC$1:$AC$400,_xlfn.TEXTJOIN(",",TRUE,B59:E59))+SUMIFS(SF_Output!$G$1:$G$400,SF_Output!$AC$1:$AC$400,_xlfn.TEXTJOIN(",",TRUE,B59:E59))=0,"","PAP")</f>
        <v/>
      </c>
      <c r="AQ59" s="35"/>
      <c r="AR59" s="35" t="str" cm="1">
        <f t="array" ref="AR59">IFERROR(_xlfn.IFS(AND(E59*1=1,F59="Included"),"Change to Included",AND(E59*1=0,F59="Optional"),"Change to Optional",OR(B59="",F59="replaced"),""),"")</f>
        <v/>
      </c>
      <c r="AS59" s="35" t="str">
        <f t="shared" si="7"/>
        <v/>
      </c>
      <c r="AT59" s="35" t="str">
        <f t="shared" si="8"/>
        <v/>
      </c>
      <c r="AU59" s="35" t="str">
        <f t="shared" si="9"/>
        <v/>
      </c>
      <c r="AV59" s="35" t="str">
        <f t="shared" si="10"/>
        <v/>
      </c>
      <c r="AW59" s="35" t="str">
        <f t="shared" si="11"/>
        <v/>
      </c>
      <c r="AX59" s="35" t="str">
        <f t="shared" si="12"/>
        <v/>
      </c>
      <c r="AY59" s="35" t="str">
        <f t="shared" si="13"/>
        <v/>
      </c>
      <c r="AZ59" s="35" t="str">
        <f t="shared" si="14"/>
        <v/>
      </c>
      <c r="BA59" s="35" t="str">
        <f t="shared" si="15"/>
        <v/>
      </c>
      <c r="BB59" s="35" t="str">
        <f t="shared" si="16"/>
        <v/>
      </c>
      <c r="BC59" s="35"/>
      <c r="BE59" s="35">
        <f ca="1">INDEX(SF_Output!$AA$2:$AA$400,MATCH($B59,SF_Output!$M$2:$M$400,0))</f>
        <v>4</v>
      </c>
      <c r="BF59" s="35">
        <f ca="1">INDEX(SF_Output!$AB$2:$AB$400,MATCH($B59,SF_Output!$M$2:$M$400,0))</f>
        <v>4</v>
      </c>
    </row>
    <row r="60" spans="2:58" x14ac:dyDescent="0.25">
      <c r="B60" t="s">
        <v>1411</v>
      </c>
      <c r="C60" t="s">
        <v>2122</v>
      </c>
      <c r="D60" t="s">
        <v>2207</v>
      </c>
      <c r="E60" t="s">
        <v>2150</v>
      </c>
      <c r="F60" s="116" t="str">
        <f t="shared" si="0"/>
        <v>Optional</v>
      </c>
      <c r="G60" t="str">
        <f>IF(B60="","",INDEX(SF_Output!$K$1:$K$400,MATCH(B60,SF_Output!$M$1:$M$400,0)))</f>
        <v>AlertCenter</v>
      </c>
      <c r="H60" cm="1">
        <f t="array" ref="H60">_xlfn.IFS(B60="","",(SUMIFS(SF_Output!$F$1:$F$400,SF_Output!$AC$1:$AC$400,_xlfn.TEXTJOIN(",",TRUE,B60:E60))+SUMIFS(SF_Output!$G$1:$G$400,SF_Output!$AC$1:$AC$400,_xlfn.TEXTJOIN(",",TRUE,B60:E60)))&lt;&gt;0,SF_Output!$Y$2,INDEX(SF_Output!$F$1:$F$400,MATCH(_xlfn.TEXTJOIN(",",TRUE,B60:E60),SF_Output!$AC$1:$AC$400,0))=0,INDEX(SF_Output!$R$1:$R$400,MATCH(_xlfn.TEXTJOIN(",",TRUE,B60:E60),SF_Output!$AC$1:$AC$400,0)))</f>
        <v>1</v>
      </c>
      <c r="I60" s="125" t="str">
        <f>IFERROR(IF(AND(H60&gt;1,H60&lt;&gt;""),ROUND(SUMIFS(SF_Output!$S$1:$S$400,SF_Output!$AC$1:$AC$400,_xlfn.TEXTJOIN(",",TRUE,B60:E60),SF_Output!$Q$1:$Q$400,"monthly")*(1-W60)/H60,4),""),"")</f>
        <v/>
      </c>
      <c r="J60" s="6">
        <f>IF(B60="","",SUMIFS(SF_Output!$S$1:$S$400,SF_Output!$AC$1:$AC$400,_xlfn.TEXTJOIN(",",TRUE,B60:E60),SF_Output!$Q$1:$Q$400,"One Time",SF_Output!$L$1:$L$400,"license fee")+SUMIFS(SF_Output!$S$1:$S$400,SF_Output!$AC$1:$AC$400,_xlfn.TEXTJOIN(",",TRUE,B60:E60),SF_Output!$Q$1:$Q$400,"One Time",SF_Output!$L$1:$L$400,"software license")+SUMIFS(SF_Output!$S$1:$S$400,SF_Output!$AC$1:$AC$400,_xlfn.TEXTJOIN(",",TRUE,B60:E60),SF_Output!$Q$1:$Q$400,"One Time",SF_Output!$L$1:$L$400,"hardware"))</f>
        <v>0</v>
      </c>
      <c r="K60" s="112" t="str">
        <f>IF(OR(B60=0,B60="",G60="hardware",J60=0),"",IF(AF60&lt;&gt;"exclusion",MAX(K$9,-((SUMIFS(SF_Output!$T$1:$T$400,SF_Output!$AC$1:$AC$400,_xlfn.TEXTJOIN(",",TRUE,$B60:$E60),SF_Output!$Q$1:$Q$400,"One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license"))/J60)))</f>
        <v/>
      </c>
      <c r="L60" s="6">
        <f t="shared" si="1"/>
        <v>0</v>
      </c>
      <c r="N60" s="6">
        <f>IF(B60="","",SUMIFS(SF_Output!$S$1:$S$400,SF_Output!$AC$1:$AC$400,_xlfn.TEXTJOIN(",",TRUE,B60:E60),SF_Output!$Q$1:$Q$400,"One Time",SF_Output!$L$1:$L$400,"professional service"))</f>
        <v>0</v>
      </c>
      <c r="O60" s="112" t="str">
        <f>IF(OR(B60=0,B60="",N60=0),"",IF(AF60&lt;&gt;"exclusion",MAX(O$9,-(SUMIFS(SF_Output!$T$1:$T$400,SF_Output!$AC$1:$AC$400,_xlfn.TEXTJOIN(",",TRUE,$B60:$E60),SF_Output!$Q$1:$Q$400,"One Time",SF_Output!$L$1:$L$400,"professional service"))/N60),-((SUMIFS(SF_Output!$T$1:$T$400,SF_Output!$AC$1:$AC$400,_xlfn.TEXTJOIN(",",TRUE,$B60:$E60),SF_Output!$Q$1:$Q$400,"One Time",SF_Output!$L$1:$L$400,"professional service")/N60))))</f>
        <v/>
      </c>
      <c r="P60" s="6">
        <f t="shared" si="2"/>
        <v>0</v>
      </c>
      <c r="R60" s="6">
        <f>IF(B60="","",SUMIFS(SF_Output!$S$1:$S$400,SF_Output!$AC$1:$AC$400,_xlfn.TEXTJOIN(",",TRUE,B60:E60),SF_Output!$Q$1:$Q$400,"yearly")+SUMIFS(SF_Output!$S$1:$S$400,SF_Output!$AC$1:$AC$400,_xlfn.TEXTJOIN(",",TRUE,B60:E60),SF_Output!$Q$1:$Q$400,"quarterly")*4)</f>
        <v>0</v>
      </c>
      <c r="S60" s="112" t="str">
        <f>IF(OR(B60=0,B60="",G60="hardware",R60=0),"",IF(AF60&lt;&gt;"exclusion",MAX(S$9,-(SUMIFS(SF_Output!$T$1:$T$400,SF_Output!$AC$1:$AC$400,_xlfn.TEXTJOIN(",",TRUE,$B60:$E60),SF_Output!$Q$1:$Q$400,"yearly"))/R60),-((SUMIFS(SF_Output!$T$1:$T$400,SF_Output!$AC$1:$AC$400,_xlfn.TEXTJOIN(",",TRUE,$B60:$E60),SF_Output!$Q$1:$Q$400,"yearly")/R60))))</f>
        <v/>
      </c>
      <c r="T60" s="6">
        <f t="shared" si="3"/>
        <v>0</v>
      </c>
      <c r="V60" s="6" cm="1">
        <f t="array" ref="V60">_xlfn.IFS(B60="","",AND(B60&lt;&gt;"",H60=SF_Output!$Y$2,SUMIFS(SF_Output!$T$1:$T$400,SF_Output!$AC$1:$AC$400,_xlfn.TEXTJOIN(",",TRUE,B60:E60),SF_Output!$Q$1:$Q$400,"monthly")=0),(SUMIFS(SF_Output!$F$1:$F$400,SF_Output!$AC$1:$AC$400,_xlfn.TEXTJOIN(",",TRUE,B60:E60),SF_Output!$Q$1:$Q$400,"monthly")+SUMIFS(SF_Output!$G$1:$G$400,SF_Output!$AC$1:$AC$400,_xlfn.TEXTJOIN(",",TRUE,B60:E60),SF_Output!$Q$1:$Q$400,"monthly"))*H60,AND(B60&lt;&gt;"",H60=SF_Output!$Y$2,SUMIFS(SF_Output!$T$1:$T$400,SF_Output!$AC$1:$AC$400,_xlfn.TEXTJOIN(",",TRUE,B60:E60),SF_Output!$Q$1:$Q$400,"monthly")&lt;&gt;0),SUMIFS(SF_Output!$S$1:$S$400,SF_Output!$AC$1:$AC$400,_xlfn.TEXTJOIN(",",TRUE,B60:E60),SF_Output!$Q$1:$Q$400,"monthly"),AND(B60&lt;&gt;"",H60&lt;&gt;SF_Output!$Y$2),SUMIFS(SF_Output!$S$1:$S$400,SF_Output!$AC$1:$AC$400,_xlfn.TEXTJOIN(",",TRUE,B60:E60),SF_Output!$Q$1:$Q$400,"monthly"))</f>
        <v>75</v>
      </c>
      <c r="W60" s="112" cm="1">
        <f t="array" ref="W60">_xlfn.IFS(OR(B60=0,B60="",V60=0),"",AF60&lt;&gt;"exclusion",MAX($W$9,$W$7,(-(SUMIFS(SF_Output!$T$1:$T$400,SF_Output!$AC$1:$AC$400,_xlfn.TEXTJOIN(",",TRUE,$B60:$E60),SF_Output!$Q$1:$Q$400,"monthly"))/V60)),AF60="exclusion",-(SUMIFS(SF_Output!$T$1:$T$400,SF_Output!$AC$1:$AC$400,_xlfn.TEXTJOIN(",",TRUE,$B60:$E60),SF_Output!$Q$1:$Q$400,"monthly"))/V60)</f>
        <v>0</v>
      </c>
      <c r="X60" s="6" cm="1">
        <f t="array" ref="X60">IFERROR(_xlfn.IFS(V60=0,0,V60="","",W60=0,V60,OR(V60&lt;&gt;0,V60&lt;&gt;""),H60*I60),V60*(1-W60))</f>
        <v>75</v>
      </c>
      <c r="Z60" s="6">
        <f>IFERROR(IF(B60="","",SUMIFS(Billing_Fallout!H:H,Billing_Fallout!N:N,B60)),0)</f>
        <v>0</v>
      </c>
      <c r="AA60" s="6">
        <f t="shared" si="4"/>
        <v>0</v>
      </c>
      <c r="AB60" s="6">
        <f>IFERROR(IF(B60="","",SUMIFS(Billing_Fallout!J:J,Billing_Fallout!N:N,B60)),0)</f>
        <v>0</v>
      </c>
      <c r="AD60" s="6">
        <f t="shared" si="5"/>
        <v>75</v>
      </c>
      <c r="AF60" t="str">
        <f>IFERROR(INDEX(H_Tables!$B$1:$B$1500,MATCH(INDEX(SF_Output!$J$1:$J$400,MATCH(B60,SF_Output!$M$1:$M$400,0)),H_Tables!$A$1:$A$1500,0)),"")</f>
        <v>Exclusion</v>
      </c>
      <c r="AI60" s="119" t="str">
        <f t="shared" si="6"/>
        <v/>
      </c>
      <c r="AJ60" s="121">
        <f>IFERROR(INDEX(SF_Output!AD:AD,MATCH(_xlfn.TEXTJOIN(",",TRUE,B60:E60),SF_Output!AC1:AC400,0)),0.05)</f>
        <v>95</v>
      </c>
      <c r="AK60" t="str">
        <f>IF(SUMIFS(SF_Output!$F$1:$F$400,SF_Output!$AC$1:$AC$400,_xlfn.TEXTJOIN(",",TRUE,B60:E60))+SUMIFS(SF_Output!$G$1:$G$400,SF_Output!$AC$1:$AC$400,_xlfn.TEXTJOIN(",",TRUE,B60:E60))=0,"","PAP")</f>
        <v/>
      </c>
      <c r="AQ60" s="35"/>
      <c r="AR60" s="35" t="str" cm="1">
        <f t="array" ref="AR60">IFERROR(_xlfn.IFS(AND(E60*1=1,F60="Included"),"Change to Included",AND(E60*1=0,F60="Optional"),"Change to Optional",OR(B60="",F60="replaced"),""),"")</f>
        <v/>
      </c>
      <c r="AS60" s="35" t="str">
        <f t="shared" si="7"/>
        <v/>
      </c>
      <c r="AT60" s="35" t="str">
        <f t="shared" si="8"/>
        <v/>
      </c>
      <c r="AU60" s="35" t="str">
        <f t="shared" si="9"/>
        <v/>
      </c>
      <c r="AV60" s="35" t="str">
        <f t="shared" si="10"/>
        <v/>
      </c>
      <c r="AW60" s="35" t="str">
        <f t="shared" si="11"/>
        <v/>
      </c>
      <c r="AX60" s="35" t="str">
        <f t="shared" si="12"/>
        <v/>
      </c>
      <c r="AY60" s="35" t="str">
        <f t="shared" si="13"/>
        <v/>
      </c>
      <c r="AZ60" s="35" t="str">
        <f t="shared" si="14"/>
        <v/>
      </c>
      <c r="BA60" s="35" t="str">
        <f t="shared" si="15"/>
        <v/>
      </c>
      <c r="BB60" s="35" t="str">
        <f t="shared" si="16"/>
        <v/>
      </c>
      <c r="BC60" s="35"/>
      <c r="BE60" s="35">
        <f ca="1">INDEX(SF_Output!$AA$2:$AA$400,MATCH($B60,SF_Output!$M$2:$M$400,0))</f>
        <v>4</v>
      </c>
      <c r="BF60" s="35">
        <f ca="1">INDEX(SF_Output!$AB$2:$AB$400,MATCH($B60,SF_Output!$M$2:$M$400,0))</f>
        <v>4</v>
      </c>
    </row>
    <row r="61" spans="2:58" x14ac:dyDescent="0.25">
      <c r="B61" t="s">
        <v>1413</v>
      </c>
      <c r="C61" t="s">
        <v>2122</v>
      </c>
      <c r="D61" t="s">
        <v>2123</v>
      </c>
      <c r="E61" t="s">
        <v>2150</v>
      </c>
      <c r="F61" s="116" t="str">
        <f t="shared" si="0"/>
        <v>Optional</v>
      </c>
      <c r="G61" t="str">
        <f>IF(B61="","",INDEX(SF_Output!$K$1:$K$400,MATCH(B61,SF_Output!$M$1:$M$400,0)))</f>
        <v>AlertCenter</v>
      </c>
      <c r="H61" cm="1">
        <f t="array" ref="H61">_xlfn.IFS(B61="","",(SUMIFS(SF_Output!$F$1:$F$400,SF_Output!$AC$1:$AC$400,_xlfn.TEXTJOIN(",",TRUE,B61:E61))+SUMIFS(SF_Output!$G$1:$G$400,SF_Output!$AC$1:$AC$400,_xlfn.TEXTJOIN(",",TRUE,B61:E61)))&lt;&gt;0,SF_Output!$Y$2,INDEX(SF_Output!$F$1:$F$400,MATCH(_xlfn.TEXTJOIN(",",TRUE,B61:E61),SF_Output!$AC$1:$AC$400,0))=0,INDEX(SF_Output!$R$1:$R$400,MATCH(_xlfn.TEXTJOIN(",",TRUE,B61:E61),SF_Output!$AC$1:$AC$400,0)))</f>
        <v>1</v>
      </c>
      <c r="I61" s="125" t="str">
        <f>IFERROR(IF(AND(H61&gt;1,H61&lt;&gt;""),ROUND(SUMIFS(SF_Output!$S$1:$S$400,SF_Output!$AC$1:$AC$400,_xlfn.TEXTJOIN(",",TRUE,B61:E61),SF_Output!$Q$1:$Q$400,"monthly")*(1-W61)/H61,4),""),"")</f>
        <v/>
      </c>
      <c r="J61" s="6">
        <f>IF(B61="","",SUMIFS(SF_Output!$S$1:$S$400,SF_Output!$AC$1:$AC$400,_xlfn.TEXTJOIN(",",TRUE,B61:E61),SF_Output!$Q$1:$Q$400,"One Time",SF_Output!$L$1:$L$400,"license fee")+SUMIFS(SF_Output!$S$1:$S$400,SF_Output!$AC$1:$AC$400,_xlfn.TEXTJOIN(",",TRUE,B61:E61),SF_Output!$Q$1:$Q$400,"One Time",SF_Output!$L$1:$L$400,"software license")+SUMIFS(SF_Output!$S$1:$S$400,SF_Output!$AC$1:$AC$400,_xlfn.TEXTJOIN(",",TRUE,B61:E61),SF_Output!$Q$1:$Q$400,"One Time",SF_Output!$L$1:$L$400,"hardware"))</f>
        <v>0</v>
      </c>
      <c r="K61" s="112" t="str">
        <f>IF(OR(B61=0,B61="",G61="hardware",J61=0),"",IF(AF61&lt;&gt;"exclusion",MAX(K$9,-((SUMIFS(SF_Output!$T$1:$T$400,SF_Output!$AC$1:$AC$400,_xlfn.TEXTJOIN(",",TRUE,$B61:$E61),SF_Output!$Q$1:$Q$400,"One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license"))/J61)))</f>
        <v/>
      </c>
      <c r="L61" s="6">
        <f t="shared" si="1"/>
        <v>0</v>
      </c>
      <c r="N61" s="6">
        <f>IF(B61="","",SUMIFS(SF_Output!$S$1:$S$400,SF_Output!$AC$1:$AC$400,_xlfn.TEXTJOIN(",",TRUE,B61:E61),SF_Output!$Q$1:$Q$400,"One Time",SF_Output!$L$1:$L$400,"professional service"))</f>
        <v>3750</v>
      </c>
      <c r="O61" s="112">
        <f>IF(OR(B61=0,B61="",N61=0),"",IF(AF61&lt;&gt;"exclusion",MAX(O$9,-(SUMIFS(SF_Output!$T$1:$T$400,SF_Output!$AC$1:$AC$400,_xlfn.TEXTJOIN(",",TRUE,$B61:$E61),SF_Output!$Q$1:$Q$400,"One Time",SF_Output!$L$1:$L$400,"professional service"))/N61),-((SUMIFS(SF_Output!$T$1:$T$400,SF_Output!$AC$1:$AC$400,_xlfn.TEXTJOIN(",",TRUE,$B61:$E61),SF_Output!$Q$1:$Q$400,"One Time",SF_Output!$L$1:$L$400,"professional service")/N61))))</f>
        <v>1</v>
      </c>
      <c r="P61" s="6">
        <f t="shared" si="2"/>
        <v>0</v>
      </c>
      <c r="R61" s="6">
        <f>IF(B61="","",SUMIFS(SF_Output!$S$1:$S$400,SF_Output!$AC$1:$AC$400,_xlfn.TEXTJOIN(",",TRUE,B61:E61),SF_Output!$Q$1:$Q$400,"yearly")+SUMIFS(SF_Output!$S$1:$S$400,SF_Output!$AC$1:$AC$400,_xlfn.TEXTJOIN(",",TRUE,B61:E61),SF_Output!$Q$1:$Q$400,"quarterly")*4)</f>
        <v>0</v>
      </c>
      <c r="S61" s="112" t="str">
        <f>IF(OR(B61=0,B61="",G61="hardware",R61=0),"",IF(AF61&lt;&gt;"exclusion",MAX(S$9,-(SUMIFS(SF_Output!$T$1:$T$400,SF_Output!$AC$1:$AC$400,_xlfn.TEXTJOIN(",",TRUE,$B61:$E61),SF_Output!$Q$1:$Q$400,"yearly"))/R61),-((SUMIFS(SF_Output!$T$1:$T$400,SF_Output!$AC$1:$AC$400,_xlfn.TEXTJOIN(",",TRUE,$B61:$E61),SF_Output!$Q$1:$Q$400,"yearly")/R61))))</f>
        <v/>
      </c>
      <c r="T61" s="6">
        <f t="shared" si="3"/>
        <v>0</v>
      </c>
      <c r="V61" s="6" cm="1">
        <f t="array" ref="V61">_xlfn.IFS(B61="","",AND(B61&lt;&gt;"",H61=SF_Output!$Y$2,SUMIFS(SF_Output!$T$1:$T$400,SF_Output!$AC$1:$AC$400,_xlfn.TEXTJOIN(",",TRUE,B61:E61),SF_Output!$Q$1:$Q$400,"monthly")=0),(SUMIFS(SF_Output!$F$1:$F$400,SF_Output!$AC$1:$AC$400,_xlfn.TEXTJOIN(",",TRUE,B61:E61),SF_Output!$Q$1:$Q$400,"monthly")+SUMIFS(SF_Output!$G$1:$G$400,SF_Output!$AC$1:$AC$400,_xlfn.TEXTJOIN(",",TRUE,B61:E61),SF_Output!$Q$1:$Q$400,"monthly"))*H61,AND(B61&lt;&gt;"",H61=SF_Output!$Y$2,SUMIFS(SF_Output!$T$1:$T$400,SF_Output!$AC$1:$AC$400,_xlfn.TEXTJOIN(",",TRUE,B61:E61),SF_Output!$Q$1:$Q$400,"monthly")&lt;&gt;0),SUMIFS(SF_Output!$S$1:$S$400,SF_Output!$AC$1:$AC$400,_xlfn.TEXTJOIN(",",TRUE,B61:E61),SF_Output!$Q$1:$Q$400,"monthly"),AND(B61&lt;&gt;"",H61&lt;&gt;SF_Output!$Y$2),SUMIFS(SF_Output!$S$1:$S$400,SF_Output!$AC$1:$AC$400,_xlfn.TEXTJOIN(",",TRUE,B61:E61),SF_Output!$Q$1:$Q$400,"monthly"))</f>
        <v>0</v>
      </c>
      <c r="W61" s="112" t="str" cm="1">
        <f t="array" ref="W61">_xlfn.IFS(OR(B61=0,B61="",V61=0),"",AF61&lt;&gt;"exclusion",MAX($W$9,$W$7,(-(SUMIFS(SF_Output!$T$1:$T$400,SF_Output!$AC$1:$AC$400,_xlfn.TEXTJOIN(",",TRUE,$B61:$E61),SF_Output!$Q$1:$Q$400,"monthly"))/V61)),AF61="exclusion",-(SUMIFS(SF_Output!$T$1:$T$400,SF_Output!$AC$1:$AC$400,_xlfn.TEXTJOIN(",",TRUE,$B61:$E61),SF_Output!$Q$1:$Q$400,"monthly"))/V61)</f>
        <v/>
      </c>
      <c r="X61" s="6" cm="1">
        <f t="array" ref="X61">IFERROR(_xlfn.IFS(V61=0,0,V61="","",W61=0,V61,OR(V61&lt;&gt;0,V61&lt;&gt;""),H61*I61),V61*(1-W61))</f>
        <v>0</v>
      </c>
      <c r="Z61" s="6">
        <f>IFERROR(IF(B61="","",SUMIFS(Billing_Fallout!H:H,Billing_Fallout!N:N,B61)),0)</f>
        <v>0</v>
      </c>
      <c r="AA61" s="6">
        <f t="shared" si="4"/>
        <v>0</v>
      </c>
      <c r="AB61" s="6">
        <f>IFERROR(IF(B61="","",SUMIFS(Billing_Fallout!J:J,Billing_Fallout!N:N,B61)),0)</f>
        <v>0</v>
      </c>
      <c r="AD61" s="6">
        <f t="shared" si="5"/>
        <v>0</v>
      </c>
      <c r="AF61" t="str">
        <f>IFERROR(INDEX(H_Tables!$B$1:$B$1500,MATCH(INDEX(SF_Output!$J$1:$J$400,MATCH(B61,SF_Output!$M$1:$M$400,0)),H_Tables!$A$1:$A$1500,0)),"")</f>
        <v>Exclusion</v>
      </c>
      <c r="AI61" s="119" t="str">
        <f t="shared" si="6"/>
        <v/>
      </c>
      <c r="AJ61" s="121">
        <f>IFERROR(INDEX(SF_Output!AD:AD,MATCH(_xlfn.TEXTJOIN(",",TRUE,B61:E61),SF_Output!AC1:AC400,0)),0.05)</f>
        <v>96</v>
      </c>
      <c r="AK61" t="str">
        <f>IF(SUMIFS(SF_Output!$F$1:$F$400,SF_Output!$AC$1:$AC$400,_xlfn.TEXTJOIN(",",TRUE,B61:E61))+SUMIFS(SF_Output!$G$1:$G$400,SF_Output!$AC$1:$AC$400,_xlfn.TEXTJOIN(",",TRUE,B61:E61))=0,"","PAP")</f>
        <v/>
      </c>
      <c r="AQ61" s="35"/>
      <c r="AR61" s="35" t="str" cm="1">
        <f t="array" ref="AR61">IFERROR(_xlfn.IFS(AND(E61*1=1,F61="Included"),"Change to Included",AND(E61*1=0,F61="Optional"),"Change to Optional",OR(B61="",F61="replaced"),""),"")</f>
        <v/>
      </c>
      <c r="AS61" s="35" t="str">
        <f t="shared" si="7"/>
        <v/>
      </c>
      <c r="AT61" s="35" t="str">
        <f t="shared" si="8"/>
        <v/>
      </c>
      <c r="AU61" s="35" t="str">
        <f t="shared" si="9"/>
        <v/>
      </c>
      <c r="AV61" s="35" t="str">
        <f t="shared" si="10"/>
        <v/>
      </c>
      <c r="AW61" s="35" t="str">
        <f t="shared" si="11"/>
        <v/>
      </c>
      <c r="AX61" s="35" t="str">
        <f t="shared" si="12"/>
        <v/>
      </c>
      <c r="AY61" s="35" t="str">
        <f t="shared" si="13"/>
        <v/>
      </c>
      <c r="AZ61" s="35" t="str">
        <f t="shared" si="14"/>
        <v/>
      </c>
      <c r="BA61" s="35" t="str">
        <f t="shared" si="15"/>
        <v/>
      </c>
      <c r="BB61" s="35" t="str">
        <f t="shared" si="16"/>
        <v/>
      </c>
      <c r="BC61" s="35"/>
      <c r="BE61" s="35">
        <f ca="1">INDEX(SF_Output!$AA$2:$AA$400,MATCH($B61,SF_Output!$M$2:$M$400,0))</f>
        <v>4</v>
      </c>
      <c r="BF61" s="35">
        <f ca="1">INDEX(SF_Output!$AB$2:$AB$400,MATCH($B61,SF_Output!$M$2:$M$400,0))</f>
        <v>4</v>
      </c>
    </row>
    <row r="62" spans="2:58" x14ac:dyDescent="0.25">
      <c r="B62" t="s">
        <v>2267</v>
      </c>
      <c r="C62" t="s">
        <v>2122</v>
      </c>
      <c r="D62" t="s">
        <v>2123</v>
      </c>
      <c r="E62" t="s">
        <v>2124</v>
      </c>
      <c r="F62" s="116" t="str">
        <f t="shared" si="0"/>
        <v>Included</v>
      </c>
      <c r="G62" t="str">
        <f>IF(B62="","",INDEX(SF_Output!$K$1:$K$400,MATCH(B62,SF_Output!$M$1:$M$400,0)))</f>
        <v>Synergy</v>
      </c>
      <c r="H62" cm="1">
        <f t="array" ref="H62">_xlfn.IFS(B62="","",(SUMIFS(SF_Output!$F$1:$F$400,SF_Output!$AC$1:$AC$400,_xlfn.TEXTJOIN(",",TRUE,B62:E62))+SUMIFS(SF_Output!$G$1:$G$400,SF_Output!$AC$1:$AC$400,_xlfn.TEXTJOIN(",",TRUE,B62:E62)))&lt;&gt;0,SF_Output!$Y$2,INDEX(SF_Output!$F$1:$F$400,MATCH(_xlfn.TEXTJOIN(",",TRUE,B62:E62),SF_Output!$AC$1:$AC$400,0))=0,INDEX(SF_Output!$R$1:$R$400,MATCH(_xlfn.TEXTJOIN(",",TRUE,B62:E62),SF_Output!$AC$1:$AC$400,0)))</f>
        <v>5000</v>
      </c>
      <c r="I62" s="125">
        <f>IFERROR(IF(AND(H62&gt;1,H62&lt;&gt;""),ROUND(SUMIFS(SF_Output!$S$1:$S$400,SF_Output!$AC$1:$AC$400,_xlfn.TEXTJOIN(",",TRUE,B62:E62),SF_Output!$Q$1:$Q$400,"monthly")*(1-W62)/H62,4),""),"")</f>
        <v>0.20549999999999999</v>
      </c>
      <c r="J62" s="6">
        <f>IF(B62="","",SUMIFS(SF_Output!$S$1:$S$400,SF_Output!$AC$1:$AC$400,_xlfn.TEXTJOIN(",",TRUE,B62:E62),SF_Output!$Q$1:$Q$400,"One Time",SF_Output!$L$1:$L$400,"license fee")+SUMIFS(SF_Output!$S$1:$S$400,SF_Output!$AC$1:$AC$400,_xlfn.TEXTJOIN(",",TRUE,B62:E62),SF_Output!$Q$1:$Q$400,"One Time",SF_Output!$L$1:$L$400,"software license")+SUMIFS(SF_Output!$S$1:$S$400,SF_Output!$AC$1:$AC$400,_xlfn.TEXTJOIN(",",TRUE,B62:E62),SF_Output!$Q$1:$Q$400,"One Time",SF_Output!$L$1:$L$400,"hardware"))</f>
        <v>0</v>
      </c>
      <c r="K62" s="112" t="str">
        <f>IF(OR(B62=0,B62="",G62="hardware",J62=0),"",IF(AF62&lt;&gt;"exclusion",MAX(K$9,-((SUMIFS(SF_Output!$T$1:$T$400,SF_Output!$AC$1:$AC$400,_xlfn.TEXTJOIN(",",TRUE,$B62:$E62),SF_Output!$Q$1:$Q$400,"One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license"))/J62)))</f>
        <v/>
      </c>
      <c r="L62" s="6">
        <f t="shared" si="1"/>
        <v>0</v>
      </c>
      <c r="N62" s="6">
        <f>IF(B62="","",SUMIFS(SF_Output!$S$1:$S$400,SF_Output!$AC$1:$AC$400,_xlfn.TEXTJOIN(",",TRUE,B62:E62),SF_Output!$Q$1:$Q$400,"One Time",SF_Output!$L$1:$L$400,"professional service"))</f>
        <v>19150</v>
      </c>
      <c r="O62" s="112">
        <f>IF(OR(B62=0,B62="",N62=0),"",IF(AF62&lt;&gt;"exclusion",MAX(O$9,-(SUMIFS(SF_Output!$T$1:$T$400,SF_Output!$AC$1:$AC$400,_xlfn.TEXTJOIN(",",TRUE,$B62:$E62),SF_Output!$Q$1:$Q$400,"One Time",SF_Output!$L$1:$L$400,"professional service"))/N62),-((SUMIFS(SF_Output!$T$1:$T$400,SF_Output!$AC$1:$AC$400,_xlfn.TEXTJOIN(",",TRUE,$B62:$E62),SF_Output!$Q$1:$Q$400,"One Time",SF_Output!$L$1:$L$400,"professional service")/N62))))</f>
        <v>1</v>
      </c>
      <c r="P62" s="6">
        <f t="shared" si="2"/>
        <v>0</v>
      </c>
      <c r="R62" s="6">
        <f>IF(B62="","",SUMIFS(SF_Output!$S$1:$S$400,SF_Output!$AC$1:$AC$400,_xlfn.TEXTJOIN(",",TRUE,B62:E62),SF_Output!$Q$1:$Q$400,"yearly")+SUMIFS(SF_Output!$S$1:$S$400,SF_Output!$AC$1:$AC$400,_xlfn.TEXTJOIN(",",TRUE,B62:E62),SF_Output!$Q$1:$Q$400,"quarterly")*4)</f>
        <v>0</v>
      </c>
      <c r="S62" s="112" t="str">
        <f>IF(OR(B62=0,B62="",G62="hardware",R62=0),"",IF(AF62&lt;&gt;"exclusion",MAX(S$9,-(SUMIFS(SF_Output!$T$1:$T$400,SF_Output!$AC$1:$AC$400,_xlfn.TEXTJOIN(",",TRUE,$B62:$E62),SF_Output!$Q$1:$Q$400,"yearly"))/R62),-((SUMIFS(SF_Output!$T$1:$T$400,SF_Output!$AC$1:$AC$400,_xlfn.TEXTJOIN(",",TRUE,$B62:$E62),SF_Output!$Q$1:$Q$400,"yearly")/R62))))</f>
        <v/>
      </c>
      <c r="T62" s="6">
        <f t="shared" si="3"/>
        <v>0</v>
      </c>
      <c r="V62" s="6" cm="1">
        <f t="array" ref="V62">_xlfn.IFS(B62="","",AND(B62&lt;&gt;"",H62=SF_Output!$Y$2,SUMIFS(SF_Output!$T$1:$T$400,SF_Output!$AC$1:$AC$400,_xlfn.TEXTJOIN(",",TRUE,B62:E62),SF_Output!$Q$1:$Q$400,"monthly")=0),(SUMIFS(SF_Output!$F$1:$F$400,SF_Output!$AC$1:$AC$400,_xlfn.TEXTJOIN(",",TRUE,B62:E62),SF_Output!$Q$1:$Q$400,"monthly")+SUMIFS(SF_Output!$G$1:$G$400,SF_Output!$AC$1:$AC$400,_xlfn.TEXTJOIN(",",TRUE,B62:E62),SF_Output!$Q$1:$Q$400,"monthly"))*H62,AND(B62&lt;&gt;"",H62=SF_Output!$Y$2,SUMIFS(SF_Output!$T$1:$T$400,SF_Output!$AC$1:$AC$400,_xlfn.TEXTJOIN(",",TRUE,B62:E62),SF_Output!$Q$1:$Q$400,"monthly")&lt;&gt;0),SUMIFS(SF_Output!$S$1:$S$400,SF_Output!$AC$1:$AC$400,_xlfn.TEXTJOIN(",",TRUE,B62:E62),SF_Output!$Q$1:$Q$400,"monthly"),AND(B62&lt;&gt;"",H62&lt;&gt;SF_Output!$Y$2),SUMIFS(SF_Output!$S$1:$S$400,SF_Output!$AC$1:$AC$400,_xlfn.TEXTJOIN(",",TRUE,B62:E62),SF_Output!$Q$1:$Q$400,"monthly"))</f>
        <v>1370</v>
      </c>
      <c r="W62" s="112" cm="1">
        <f t="array" ref="W62">_xlfn.IFS(OR(B62=0,B62="",V62=0),"",AF62&lt;&gt;"exclusion",MAX($W$9,$W$7,(-(SUMIFS(SF_Output!$T$1:$T$400,SF_Output!$AC$1:$AC$400,_xlfn.TEXTJOIN(",",TRUE,$B62:$E62),SF_Output!$Q$1:$Q$400,"monthly"))/V62)),AF62="exclusion",-(SUMIFS(SF_Output!$T$1:$T$400,SF_Output!$AC$1:$AC$400,_xlfn.TEXTJOIN(",",TRUE,$B62:$E62),SF_Output!$Q$1:$Q$400,"monthly"))/V62)</f>
        <v>0.25</v>
      </c>
      <c r="X62" s="6" cm="1">
        <f t="array" ref="X62">IFERROR(_xlfn.IFS(V62=0,0,V62="","",W62=0,V62,OR(V62&lt;&gt;0,V62&lt;&gt;""),H62*I62),V62*(1-W62))</f>
        <v>1027.5</v>
      </c>
      <c r="Z62" s="6">
        <f>IFERROR(IF(B62="","",SUMIFS(Billing_Fallout!H:H,Billing_Fallout!N:N,B62)),0)</f>
        <v>0</v>
      </c>
      <c r="AA62" s="6">
        <f t="shared" si="4"/>
        <v>0</v>
      </c>
      <c r="AB62" s="6">
        <f>IFERROR(IF(B62="","",SUMIFS(Billing_Fallout!J:J,Billing_Fallout!N:N,B62)),0)</f>
        <v>0</v>
      </c>
      <c r="AD62" s="6">
        <f t="shared" si="5"/>
        <v>1027.5</v>
      </c>
      <c r="AF62" t="str">
        <f>IFERROR(INDEX(H_Tables!$B$1:$B$1500,MATCH(INDEX(SF_Output!$J$1:$J$400,MATCH(B62,SF_Output!$M$1:$M$400,0)),H_Tables!$A$1:$A$1500,0)),"")</f>
        <v/>
      </c>
      <c r="AI62" s="119" t="str">
        <f t="shared" si="6"/>
        <v/>
      </c>
      <c r="AJ62" s="121">
        <f>IFERROR(INDEX(SF_Output!AD:AD,MATCH(_xlfn.TEXTJOIN(",",TRUE,B62:E62),SF_Output!AC1:AC400,0)),0.05)</f>
        <v>98</v>
      </c>
      <c r="AK62" t="str">
        <f>IF(SUMIFS(SF_Output!$F$1:$F$400,SF_Output!$AC$1:$AC$400,_xlfn.TEXTJOIN(",",TRUE,B62:E62))+SUMIFS(SF_Output!$G$1:$G$400,SF_Output!$AC$1:$AC$400,_xlfn.TEXTJOIN(",",TRUE,B62:E62))=0,"","PAP")</f>
        <v>PAP</v>
      </c>
      <c r="AQ62" s="35"/>
      <c r="AR62" s="35" t="str" cm="1">
        <f t="array" ref="AR62">IFERROR(_xlfn.IFS(AND(E62*1=1,F62="Included"),"Change to Included",AND(E62*1=0,F62="Optional"),"Change to Optional",OR(B62="",F62="replaced"),""),"")</f>
        <v/>
      </c>
      <c r="AS62" s="35" t="str">
        <f t="shared" si="7"/>
        <v/>
      </c>
      <c r="AT62" s="35" t="str">
        <f t="shared" si="8"/>
        <v/>
      </c>
      <c r="AU62" s="35" t="str">
        <f t="shared" si="9"/>
        <v/>
      </c>
      <c r="AV62" s="35" t="str">
        <f t="shared" si="10"/>
        <v/>
      </c>
      <c r="AW62" s="35" t="str">
        <f t="shared" si="11"/>
        <v/>
      </c>
      <c r="AX62" s="35" t="str">
        <f t="shared" si="12"/>
        <v/>
      </c>
      <c r="AY62" s="35" t="str">
        <f t="shared" si="13"/>
        <v/>
      </c>
      <c r="AZ62" s="35" t="str">
        <f t="shared" si="14"/>
        <v/>
      </c>
      <c r="BA62" s="35" t="str">
        <f t="shared" si="15"/>
        <v/>
      </c>
      <c r="BB62" s="35" t="str">
        <f t="shared" si="16"/>
        <v/>
      </c>
      <c r="BC62" s="35"/>
      <c r="BE62" s="35">
        <f ca="1">INDEX(SF_Output!$AA$2:$AA$400,MATCH($B62,SF_Output!$M$2:$M$400,0))</f>
        <v>4</v>
      </c>
      <c r="BF62" s="35">
        <f ca="1">INDEX(SF_Output!$AB$2:$AB$400,MATCH($B62,SF_Output!$M$2:$M$400,0))</f>
        <v>2</v>
      </c>
    </row>
    <row r="63" spans="2:58" x14ac:dyDescent="0.25">
      <c r="B63" t="s">
        <v>2270</v>
      </c>
      <c r="C63" t="s">
        <v>2122</v>
      </c>
      <c r="D63" t="s">
        <v>2123</v>
      </c>
      <c r="E63" t="s">
        <v>2124</v>
      </c>
      <c r="F63" s="116" t="str">
        <f t="shared" si="0"/>
        <v>Included</v>
      </c>
      <c r="G63" t="str">
        <f>IF(B63="","",INDEX(SF_Output!$K$1:$K$400,MATCH(B63,SF_Output!$M$1:$M$400,0)))</f>
        <v>Synergy</v>
      </c>
      <c r="H63" cm="1">
        <f t="array" ref="H63">_xlfn.IFS(B63="","",(SUMIFS(SF_Output!$F$1:$F$400,SF_Output!$AC$1:$AC$400,_xlfn.TEXTJOIN(",",TRUE,B63:E63))+SUMIFS(SF_Output!$G$1:$G$400,SF_Output!$AC$1:$AC$400,_xlfn.TEXTJOIN(",",TRUE,B63:E63)))&lt;&gt;0,SF_Output!$Y$2,INDEX(SF_Output!$F$1:$F$400,MATCH(_xlfn.TEXTJOIN(",",TRUE,B63:E63),SF_Output!$AC$1:$AC$400,0))=0,INDEX(SF_Output!$R$1:$R$400,MATCH(_xlfn.TEXTJOIN(",",TRUE,B63:E63),SF_Output!$AC$1:$AC$400,0)))</f>
        <v>5000</v>
      </c>
      <c r="I63" s="125">
        <f>IFERROR(IF(AND(H63&gt;1,H63&lt;&gt;""),ROUND(SUMIFS(SF_Output!$S$1:$S$400,SF_Output!$AC$1:$AC$400,_xlfn.TEXTJOIN(",",TRUE,B63:E63),SF_Output!$Q$1:$Q$400,"monthly")*(1-W63)/H63,4),""),"")</f>
        <v>7.6499999999999999E-2</v>
      </c>
      <c r="J63" s="6">
        <f>IF(B63="","",SUMIFS(SF_Output!$S$1:$S$400,SF_Output!$AC$1:$AC$400,_xlfn.TEXTJOIN(",",TRUE,B63:E63),SF_Output!$Q$1:$Q$400,"One Time",SF_Output!$L$1:$L$400,"license fee")+SUMIFS(SF_Output!$S$1:$S$400,SF_Output!$AC$1:$AC$400,_xlfn.TEXTJOIN(",",TRUE,B63:E63),SF_Output!$Q$1:$Q$400,"One Time",SF_Output!$L$1:$L$400,"software license")+SUMIFS(SF_Output!$S$1:$S$400,SF_Output!$AC$1:$AC$400,_xlfn.TEXTJOIN(",",TRUE,B63:E63),SF_Output!$Q$1:$Q$400,"One Time",SF_Output!$L$1:$L$400,"hardware"))</f>
        <v>0</v>
      </c>
      <c r="K63" s="112" t="str">
        <f>IF(OR(B63=0,B63="",G63="hardware",J63=0),"",IF(AF63&lt;&gt;"exclusion",MAX(K$9,-((SUMIFS(SF_Output!$T$1:$T$400,SF_Output!$AC$1:$AC$400,_xlfn.TEXTJOIN(",",TRUE,$B63:$E63),SF_Output!$Q$1:$Q$400,"One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license"))/J63)))</f>
        <v/>
      </c>
      <c r="L63" s="6">
        <f t="shared" si="1"/>
        <v>0</v>
      </c>
      <c r="N63" s="6">
        <f>IF(B63="","",SUMIFS(SF_Output!$S$1:$S$400,SF_Output!$AC$1:$AC$400,_xlfn.TEXTJOIN(",",TRUE,B63:E63),SF_Output!$Q$1:$Q$400,"One Time",SF_Output!$L$1:$L$400,"professional service"))</f>
        <v>4800</v>
      </c>
      <c r="O63" s="112">
        <f>IF(OR(B63=0,B63="",N63=0),"",IF(AF63&lt;&gt;"exclusion",MAX(O$9,-(SUMIFS(SF_Output!$T$1:$T$400,SF_Output!$AC$1:$AC$400,_xlfn.TEXTJOIN(",",TRUE,$B63:$E63),SF_Output!$Q$1:$Q$400,"One Time",SF_Output!$L$1:$L$400,"professional service"))/N63),-((SUMIFS(SF_Output!$T$1:$T$400,SF_Output!$AC$1:$AC$400,_xlfn.TEXTJOIN(",",TRUE,$B63:$E63),SF_Output!$Q$1:$Q$400,"One Time",SF_Output!$L$1:$L$400,"professional service")/N63))))</f>
        <v>1</v>
      </c>
      <c r="P63" s="6">
        <f t="shared" si="2"/>
        <v>0</v>
      </c>
      <c r="R63" s="6">
        <f>IF(B63="","",SUMIFS(SF_Output!$S$1:$S$400,SF_Output!$AC$1:$AC$400,_xlfn.TEXTJOIN(",",TRUE,B63:E63),SF_Output!$Q$1:$Q$400,"yearly")+SUMIFS(SF_Output!$S$1:$S$400,SF_Output!$AC$1:$AC$400,_xlfn.TEXTJOIN(",",TRUE,B63:E63),SF_Output!$Q$1:$Q$400,"quarterly")*4)</f>
        <v>0</v>
      </c>
      <c r="S63" s="112" t="str">
        <f>IF(OR(B63=0,B63="",G63="hardware",R63=0),"",IF(AF63&lt;&gt;"exclusion",MAX(S$9,-(SUMIFS(SF_Output!$T$1:$T$400,SF_Output!$AC$1:$AC$400,_xlfn.TEXTJOIN(",",TRUE,$B63:$E63),SF_Output!$Q$1:$Q$400,"yearly"))/R63),-((SUMIFS(SF_Output!$T$1:$T$400,SF_Output!$AC$1:$AC$400,_xlfn.TEXTJOIN(",",TRUE,$B63:$E63),SF_Output!$Q$1:$Q$400,"yearly")/R63))))</f>
        <v/>
      </c>
      <c r="T63" s="6">
        <f t="shared" si="3"/>
        <v>0</v>
      </c>
      <c r="V63" s="6" cm="1">
        <f t="array" ref="V63">_xlfn.IFS(B63="","",AND(B63&lt;&gt;"",H63=SF_Output!$Y$2,SUMIFS(SF_Output!$T$1:$T$400,SF_Output!$AC$1:$AC$400,_xlfn.TEXTJOIN(",",TRUE,B63:E63),SF_Output!$Q$1:$Q$400,"monthly")=0),(SUMIFS(SF_Output!$F$1:$F$400,SF_Output!$AC$1:$AC$400,_xlfn.TEXTJOIN(",",TRUE,B63:E63),SF_Output!$Q$1:$Q$400,"monthly")+SUMIFS(SF_Output!$G$1:$G$400,SF_Output!$AC$1:$AC$400,_xlfn.TEXTJOIN(",",TRUE,B63:E63),SF_Output!$Q$1:$Q$400,"monthly"))*H63,AND(B63&lt;&gt;"",H63=SF_Output!$Y$2,SUMIFS(SF_Output!$T$1:$T$400,SF_Output!$AC$1:$AC$400,_xlfn.TEXTJOIN(",",TRUE,B63:E63),SF_Output!$Q$1:$Q$400,"monthly")&lt;&gt;0),SUMIFS(SF_Output!$S$1:$S$400,SF_Output!$AC$1:$AC$400,_xlfn.TEXTJOIN(",",TRUE,B63:E63),SF_Output!$Q$1:$Q$400,"monthly"),AND(B63&lt;&gt;"",H63&lt;&gt;SF_Output!$Y$2),SUMIFS(SF_Output!$S$1:$S$400,SF_Output!$AC$1:$AC$400,_xlfn.TEXTJOIN(",",TRUE,B63:E63),SF_Output!$Q$1:$Q$400,"monthly"))</f>
        <v>510</v>
      </c>
      <c r="W63" s="112" cm="1">
        <f t="array" ref="W63">_xlfn.IFS(OR(B63=0,B63="",V63=0),"",AF63&lt;&gt;"exclusion",MAX($W$9,$W$7,(-(SUMIFS(SF_Output!$T$1:$T$400,SF_Output!$AC$1:$AC$400,_xlfn.TEXTJOIN(",",TRUE,$B63:$E63),SF_Output!$Q$1:$Q$400,"monthly"))/V63)),AF63="exclusion",-(SUMIFS(SF_Output!$T$1:$T$400,SF_Output!$AC$1:$AC$400,_xlfn.TEXTJOIN(",",TRUE,$B63:$E63),SF_Output!$Q$1:$Q$400,"monthly"))/V63)</f>
        <v>0.25</v>
      </c>
      <c r="X63" s="6" cm="1">
        <f t="array" ref="X63">IFERROR(_xlfn.IFS(V63=0,0,V63="","",W63=0,V63,OR(V63&lt;&gt;0,V63&lt;&gt;""),H63*I63),V63*(1-W63))</f>
        <v>382.5</v>
      </c>
      <c r="Z63" s="6">
        <f>IFERROR(IF(B63="","",SUMIFS(Billing_Fallout!H:H,Billing_Fallout!N:N,B63)),0)</f>
        <v>0</v>
      </c>
      <c r="AA63" s="6">
        <f t="shared" si="4"/>
        <v>0</v>
      </c>
      <c r="AB63" s="6">
        <f>IFERROR(IF(B63="","",SUMIFS(Billing_Fallout!J:J,Billing_Fallout!N:N,B63)),0)</f>
        <v>0</v>
      </c>
      <c r="AD63" s="6">
        <f t="shared" si="5"/>
        <v>382.5</v>
      </c>
      <c r="AF63" t="str">
        <f>IFERROR(INDEX(H_Tables!$B$1:$B$1500,MATCH(INDEX(SF_Output!$J$1:$J$400,MATCH(B63,SF_Output!$M$1:$M$400,0)),H_Tables!$A$1:$A$1500,0)),"")</f>
        <v/>
      </c>
      <c r="AI63" s="119" t="str">
        <f t="shared" si="6"/>
        <v/>
      </c>
      <c r="AJ63" s="121">
        <f>IFERROR(INDEX(SF_Output!AD:AD,MATCH(_xlfn.TEXTJOIN(",",TRUE,B63:E63),SF_Output!AC1:AC400,0)),0.05)</f>
        <v>100</v>
      </c>
      <c r="AK63" t="str">
        <f>IF(SUMIFS(SF_Output!$F$1:$F$400,SF_Output!$AC$1:$AC$400,_xlfn.TEXTJOIN(",",TRUE,B63:E63))+SUMIFS(SF_Output!$G$1:$G$400,SF_Output!$AC$1:$AC$400,_xlfn.TEXTJOIN(",",TRUE,B63:E63))=0,"","PAP")</f>
        <v>PAP</v>
      </c>
      <c r="AQ63" s="35"/>
      <c r="AR63" s="35" t="str" cm="1">
        <f t="array" ref="AR63">IFERROR(_xlfn.IFS(AND(E63*1=1,F63="Included"),"Change to Included",AND(E63*1=0,F63="Optional"),"Change to Optional",OR(B63="",F63="replaced"),""),"")</f>
        <v/>
      </c>
      <c r="AS63" s="35" t="str">
        <f t="shared" si="7"/>
        <v/>
      </c>
      <c r="AT63" s="35" t="str">
        <f t="shared" si="8"/>
        <v/>
      </c>
      <c r="AU63" s="35" t="str">
        <f t="shared" si="9"/>
        <v/>
      </c>
      <c r="AV63" s="35" t="str">
        <f t="shared" si="10"/>
        <v/>
      </c>
      <c r="AW63" s="35" t="str">
        <f t="shared" si="11"/>
        <v/>
      </c>
      <c r="AX63" s="35" t="str">
        <f t="shared" si="12"/>
        <v/>
      </c>
      <c r="AY63" s="35" t="str">
        <f t="shared" si="13"/>
        <v/>
      </c>
      <c r="AZ63" s="35" t="str">
        <f t="shared" si="14"/>
        <v/>
      </c>
      <c r="BA63" s="35" t="str">
        <f t="shared" si="15"/>
        <v/>
      </c>
      <c r="BB63" s="35" t="str">
        <f t="shared" si="16"/>
        <v/>
      </c>
      <c r="BC63" s="35"/>
      <c r="BE63" s="35">
        <f ca="1">INDEX(SF_Output!$AA$2:$AA$400,MATCH($B63,SF_Output!$M$2:$M$400,0))</f>
        <v>4</v>
      </c>
      <c r="BF63" s="35">
        <f ca="1">INDEX(SF_Output!$AB$2:$AB$400,MATCH($B63,SF_Output!$M$2:$M$400,0))</f>
        <v>2</v>
      </c>
    </row>
    <row r="64" spans="2:58" x14ac:dyDescent="0.25">
      <c r="B64" t="s">
        <v>1598</v>
      </c>
      <c r="C64" t="s">
        <v>2122</v>
      </c>
      <c r="D64" t="s">
        <v>2164</v>
      </c>
      <c r="E64" t="s">
        <v>2124</v>
      </c>
      <c r="F64" s="116" t="str">
        <f t="shared" si="0"/>
        <v>Included</v>
      </c>
      <c r="G64" t="str">
        <f>IF(B64="","",INDEX(SF_Output!$K$1:$K$400,MATCH(B64,SF_Output!$M$1:$M$400,0)))</f>
        <v>Synergy</v>
      </c>
      <c r="H64" cm="1">
        <f t="array" ref="H64">_xlfn.IFS(B64="","",(SUMIFS(SF_Output!$F$1:$F$400,SF_Output!$AC$1:$AC$400,_xlfn.TEXTJOIN(",",TRUE,B64:E64))+SUMIFS(SF_Output!$G$1:$G$400,SF_Output!$AC$1:$AC$400,_xlfn.TEXTJOIN(",",TRUE,B64:E64)))&lt;&gt;0,SF_Output!$Y$2,INDEX(SF_Output!$F$1:$F$400,MATCH(_xlfn.TEXTJOIN(",",TRUE,B64:E64),SF_Output!$AC$1:$AC$400,0))=0,INDEX(SF_Output!$R$1:$R$400,MATCH(_xlfn.TEXTJOIN(",",TRUE,B64:E64),SF_Output!$AC$1:$AC$400,0)))</f>
        <v>2</v>
      </c>
      <c r="I64" s="125" t="str">
        <f>IFERROR(IF(AND(H64&gt;1,H64&lt;&gt;""),ROUND(SUMIFS(SF_Output!$S$1:$S$400,SF_Output!$AC$1:$AC$400,_xlfn.TEXTJOIN(",",TRUE,B64:E64),SF_Output!$Q$1:$Q$400,"monthly")*(1-W64)/H64,4),""),"")</f>
        <v/>
      </c>
      <c r="J64" s="6">
        <f>IF(B64="","",SUMIFS(SF_Output!$S$1:$S$400,SF_Output!$AC$1:$AC$400,_xlfn.TEXTJOIN(",",TRUE,B64:E64),SF_Output!$Q$1:$Q$400,"One Time",SF_Output!$L$1:$L$400,"license fee")+SUMIFS(SF_Output!$S$1:$S$400,SF_Output!$AC$1:$AC$400,_xlfn.TEXTJOIN(",",TRUE,B64:E64),SF_Output!$Q$1:$Q$400,"One Time",SF_Output!$L$1:$L$400,"software license")+SUMIFS(SF_Output!$S$1:$S$400,SF_Output!$AC$1:$AC$400,_xlfn.TEXTJOIN(",",TRUE,B64:E64),SF_Output!$Q$1:$Q$400,"One Time",SF_Output!$L$1:$L$400,"hardware"))</f>
        <v>1000</v>
      </c>
      <c r="K64" s="112">
        <f>IF(OR(B64=0,B64="",G64="hardware",J64=0),"",IF(AF64&lt;&gt;"exclusion",MAX(K$9,-((SUMIFS(SF_Output!$T$1:$T$400,SF_Output!$AC$1:$AC$400,_xlfn.TEXTJOIN(",",TRUE,$B64:$E64),SF_Output!$Q$1:$Q$400,"One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license"))/J64)))</f>
        <v>0</v>
      </c>
      <c r="L64" s="6">
        <f t="shared" si="1"/>
        <v>1000</v>
      </c>
      <c r="N64" s="6">
        <f>IF(B64="","",SUMIFS(SF_Output!$S$1:$S$400,SF_Output!$AC$1:$AC$400,_xlfn.TEXTJOIN(",",TRUE,B64:E64),SF_Output!$Q$1:$Q$400,"One Time",SF_Output!$L$1:$L$400,"professional service"))</f>
        <v>0</v>
      </c>
      <c r="O64" s="112" t="str">
        <f>IF(OR(B64=0,B64="",N64=0),"",IF(AF64&lt;&gt;"exclusion",MAX(O$9,-(SUMIFS(SF_Output!$T$1:$T$400,SF_Output!$AC$1:$AC$400,_xlfn.TEXTJOIN(",",TRUE,$B64:$E64),SF_Output!$Q$1:$Q$400,"One Time",SF_Output!$L$1:$L$400,"professional service"))/N64),-((SUMIFS(SF_Output!$T$1:$T$400,SF_Output!$AC$1:$AC$400,_xlfn.TEXTJOIN(",",TRUE,$B64:$E64),SF_Output!$Q$1:$Q$400,"One Time",SF_Output!$L$1:$L$400,"professional service")/N64))))</f>
        <v/>
      </c>
      <c r="P64" s="6">
        <f t="shared" si="2"/>
        <v>0</v>
      </c>
      <c r="R64" s="6">
        <f>IF(B64="","",SUMIFS(SF_Output!$S$1:$S$400,SF_Output!$AC$1:$AC$400,_xlfn.TEXTJOIN(",",TRUE,B64:E64),SF_Output!$Q$1:$Q$400,"yearly")+SUMIFS(SF_Output!$S$1:$S$400,SF_Output!$AC$1:$AC$400,_xlfn.TEXTJOIN(",",TRUE,B64:E64),SF_Output!$Q$1:$Q$400,"quarterly")*4)</f>
        <v>0</v>
      </c>
      <c r="S64" s="112" t="str">
        <f>IF(OR(B64=0,B64="",G64="hardware",R64=0),"",IF(AF64&lt;&gt;"exclusion",MAX(S$9,-(SUMIFS(SF_Output!$T$1:$T$400,SF_Output!$AC$1:$AC$400,_xlfn.TEXTJOIN(",",TRUE,$B64:$E64),SF_Output!$Q$1:$Q$400,"yearly"))/R64),-((SUMIFS(SF_Output!$T$1:$T$400,SF_Output!$AC$1:$AC$400,_xlfn.TEXTJOIN(",",TRUE,$B64:$E64),SF_Output!$Q$1:$Q$400,"yearly")/R64))))</f>
        <v/>
      </c>
      <c r="T64" s="6">
        <f t="shared" si="3"/>
        <v>0</v>
      </c>
      <c r="V64" s="6" cm="1">
        <f t="array" ref="V64">_xlfn.IFS(B64="","",AND(B64&lt;&gt;"",H64=SF_Output!$Y$2,SUMIFS(SF_Output!$T$1:$T$400,SF_Output!$AC$1:$AC$400,_xlfn.TEXTJOIN(",",TRUE,B64:E64),SF_Output!$Q$1:$Q$400,"monthly")=0),(SUMIFS(SF_Output!$F$1:$F$400,SF_Output!$AC$1:$AC$400,_xlfn.TEXTJOIN(",",TRUE,B64:E64),SF_Output!$Q$1:$Q$400,"monthly")+SUMIFS(SF_Output!$G$1:$G$400,SF_Output!$AC$1:$AC$400,_xlfn.TEXTJOIN(",",TRUE,B64:E64),SF_Output!$Q$1:$Q$400,"monthly"))*H64,AND(B64&lt;&gt;"",H64=SF_Output!$Y$2,SUMIFS(SF_Output!$T$1:$T$400,SF_Output!$AC$1:$AC$400,_xlfn.TEXTJOIN(",",TRUE,B64:E64),SF_Output!$Q$1:$Q$400,"monthly")&lt;&gt;0),SUMIFS(SF_Output!$S$1:$S$400,SF_Output!$AC$1:$AC$400,_xlfn.TEXTJOIN(",",TRUE,B64:E64),SF_Output!$Q$1:$Q$400,"monthly"),AND(B64&lt;&gt;"",H64&lt;&gt;SF_Output!$Y$2),SUMIFS(SF_Output!$S$1:$S$400,SF_Output!$AC$1:$AC$400,_xlfn.TEXTJOIN(",",TRUE,B64:E64),SF_Output!$Q$1:$Q$400,"monthly"))</f>
        <v>0</v>
      </c>
      <c r="W64" s="112" t="str" cm="1">
        <f t="array" ref="W64">_xlfn.IFS(OR(B64=0,B64="",V64=0),"",AF64&lt;&gt;"exclusion",MAX($W$9,$W$7,(-(SUMIFS(SF_Output!$T$1:$T$400,SF_Output!$AC$1:$AC$400,_xlfn.TEXTJOIN(",",TRUE,$B64:$E64),SF_Output!$Q$1:$Q$400,"monthly"))/V64)),AF64="exclusion",-(SUMIFS(SF_Output!$T$1:$T$400,SF_Output!$AC$1:$AC$400,_xlfn.TEXTJOIN(",",TRUE,$B64:$E64),SF_Output!$Q$1:$Q$400,"monthly"))/V64)</f>
        <v/>
      </c>
      <c r="X64" s="6" cm="1">
        <f t="array" ref="X64">IFERROR(_xlfn.IFS(V64=0,0,V64="","",W64=0,V64,OR(V64&lt;&gt;0,V64&lt;&gt;""),H64*I64),V64*(1-W64))</f>
        <v>0</v>
      </c>
      <c r="Z64" s="6">
        <f>IFERROR(IF(B64="","",SUMIFS(Billing_Fallout!H:H,Billing_Fallout!N:N,B64)),0)</f>
        <v>0</v>
      </c>
      <c r="AA64" s="6">
        <f t="shared" si="4"/>
        <v>0</v>
      </c>
      <c r="AB64" s="6">
        <f>IFERROR(IF(B64="","",SUMIFS(Billing_Fallout!J:J,Billing_Fallout!N:N,B64)),0)</f>
        <v>0</v>
      </c>
      <c r="AD64" s="6">
        <f t="shared" si="5"/>
        <v>0</v>
      </c>
      <c r="AF64" t="str">
        <f>IFERROR(INDEX(H_Tables!$B$1:$B$1500,MATCH(INDEX(SF_Output!$J$1:$J$400,MATCH(B64,SF_Output!$M$1:$M$400,0)),H_Tables!$A$1:$A$1500,0)),"")</f>
        <v>Exclusion</v>
      </c>
      <c r="AI64" s="119" t="str">
        <f t="shared" si="6"/>
        <v/>
      </c>
      <c r="AJ64" s="121">
        <f>IFERROR(INDEX(SF_Output!AD:AD,MATCH(_xlfn.TEXTJOIN(",",TRUE,B64:E64),SF_Output!AC1:AC400,0)),0.05)</f>
        <v>102</v>
      </c>
      <c r="AK64" t="str">
        <f>IF(SUMIFS(SF_Output!$F$1:$F$400,SF_Output!$AC$1:$AC$400,_xlfn.TEXTJOIN(",",TRUE,B64:E64))+SUMIFS(SF_Output!$G$1:$G$400,SF_Output!$AC$1:$AC$400,_xlfn.TEXTJOIN(",",TRUE,B64:E64))=0,"","PAP")</f>
        <v/>
      </c>
      <c r="AQ64" s="35"/>
      <c r="AR64" s="35" t="str" cm="1">
        <f t="array" ref="AR64">IFERROR(_xlfn.IFS(AND(E64*1=1,F64="Included"),"Change to Included",AND(E64*1=0,F64="Optional"),"Change to Optional",OR(B64="",F64="replaced"),""),"")</f>
        <v/>
      </c>
      <c r="AS64" s="35" t="str">
        <f t="shared" si="7"/>
        <v/>
      </c>
      <c r="AT64" s="35" t="str">
        <f t="shared" si="8"/>
        <v/>
      </c>
      <c r="AU64" s="35" t="str">
        <f t="shared" si="9"/>
        <v/>
      </c>
      <c r="AV64" s="35" t="str">
        <f t="shared" si="10"/>
        <v/>
      </c>
      <c r="AW64" s="35" t="str">
        <f t="shared" si="11"/>
        <v/>
      </c>
      <c r="AX64" s="35" t="str">
        <f t="shared" si="12"/>
        <v/>
      </c>
      <c r="AY64" s="35" t="str">
        <f t="shared" si="13"/>
        <v/>
      </c>
      <c r="AZ64" s="35" t="str">
        <f t="shared" si="14"/>
        <v/>
      </c>
      <c r="BA64" s="35" t="str">
        <f t="shared" si="15"/>
        <v/>
      </c>
      <c r="BB64" s="35" t="str">
        <f t="shared" si="16"/>
        <v/>
      </c>
      <c r="BC64" s="35"/>
      <c r="BE64" s="35">
        <f ca="1">INDEX(SF_Output!$AA$2:$AA$400,MATCH($B64,SF_Output!$M$2:$M$400,0))</f>
        <v>4</v>
      </c>
      <c r="BF64" s="35">
        <f ca="1">INDEX(SF_Output!$AB$2:$AB$400,MATCH($B64,SF_Output!$M$2:$M$400,0))</f>
        <v>2</v>
      </c>
    </row>
    <row r="65" spans="2:58" x14ac:dyDescent="0.25">
      <c r="B65" t="s">
        <v>1572</v>
      </c>
      <c r="C65" t="s">
        <v>2122</v>
      </c>
      <c r="D65" t="s">
        <v>2123</v>
      </c>
      <c r="E65" t="s">
        <v>2150</v>
      </c>
      <c r="F65" s="116" t="str">
        <f t="shared" si="0"/>
        <v>Optional</v>
      </c>
      <c r="G65" t="str">
        <f>IF(B65="","",INDEX(SF_Output!$K$1:$K$400,MATCH(B65,SF_Output!$M$1:$M$400,0)))</f>
        <v>Synergy</v>
      </c>
      <c r="H65" cm="1">
        <f t="array" ref="H65">_xlfn.IFS(B65="","",(SUMIFS(SF_Output!$F$1:$F$400,SF_Output!$AC$1:$AC$400,_xlfn.TEXTJOIN(",",TRUE,B65:E65))+SUMIFS(SF_Output!$G$1:$G$400,SF_Output!$AC$1:$AC$400,_xlfn.TEXTJOIN(",",TRUE,B65:E65)))&lt;&gt;0,SF_Output!$Y$2,INDEX(SF_Output!$F$1:$F$400,MATCH(_xlfn.TEXTJOIN(",",TRUE,B65:E65),SF_Output!$AC$1:$AC$400,0))=0,INDEX(SF_Output!$R$1:$R$400,MATCH(_xlfn.TEXTJOIN(",",TRUE,B65:E65),SF_Output!$AC$1:$AC$400,0)))</f>
        <v>5000</v>
      </c>
      <c r="I65" s="125">
        <f>IFERROR(IF(AND(H65&gt;1,H65&lt;&gt;""),ROUND(SUMIFS(SF_Output!$S$1:$S$400,SF_Output!$AC$1:$AC$400,_xlfn.TEXTJOIN(",",TRUE,B65:E65),SF_Output!$Q$1:$Q$400,"monthly")*(1-W65)/H65,4),""),"")</f>
        <v>0.08</v>
      </c>
      <c r="J65" s="6">
        <f>IF(B65="","",SUMIFS(SF_Output!$S$1:$S$400,SF_Output!$AC$1:$AC$400,_xlfn.TEXTJOIN(",",TRUE,B65:E65),SF_Output!$Q$1:$Q$400,"One Time",SF_Output!$L$1:$L$400,"license fee")+SUMIFS(SF_Output!$S$1:$S$400,SF_Output!$AC$1:$AC$400,_xlfn.TEXTJOIN(",",TRUE,B65:E65),SF_Output!$Q$1:$Q$400,"One Time",SF_Output!$L$1:$L$400,"software license")+SUMIFS(SF_Output!$S$1:$S$400,SF_Output!$AC$1:$AC$400,_xlfn.TEXTJOIN(",",TRUE,B65:E65),SF_Output!$Q$1:$Q$400,"One Time",SF_Output!$L$1:$L$400,"hardware"))</f>
        <v>0</v>
      </c>
      <c r="K65" s="112" t="str">
        <f>IF(OR(B65=0,B65="",G65="hardware",J65=0),"",IF(AF65&lt;&gt;"exclusion",MAX(K$9,-((SUMIFS(SF_Output!$T$1:$T$400,SF_Output!$AC$1:$AC$400,_xlfn.TEXTJOIN(",",TRUE,$B65:$E65),SF_Output!$Q$1:$Q$400,"One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license"))/J65)))</f>
        <v/>
      </c>
      <c r="L65" s="6">
        <f t="shared" si="1"/>
        <v>0</v>
      </c>
      <c r="N65" s="6">
        <f>IF(B65="","",SUMIFS(SF_Output!$S$1:$S$400,SF_Output!$AC$1:$AC$400,_xlfn.TEXTJOIN(",",TRUE,B65:E65),SF_Output!$Q$1:$Q$400,"One Time",SF_Output!$L$1:$L$400,"professional service"))</f>
        <v>2800</v>
      </c>
      <c r="O65" s="112">
        <f>IF(OR(B65=0,B65="",N65=0),"",IF(AF65&lt;&gt;"exclusion",MAX(O$9,-(SUMIFS(SF_Output!$T$1:$T$400,SF_Output!$AC$1:$AC$400,_xlfn.TEXTJOIN(",",TRUE,$B65:$E65),SF_Output!$Q$1:$Q$400,"One Time",SF_Output!$L$1:$L$400,"professional service"))/N65),-((SUMIFS(SF_Output!$T$1:$T$400,SF_Output!$AC$1:$AC$400,_xlfn.TEXTJOIN(",",TRUE,$B65:$E65),SF_Output!$Q$1:$Q$400,"One Time",SF_Output!$L$1:$L$400,"professional service")/N65))))</f>
        <v>1</v>
      </c>
      <c r="P65" s="6">
        <f t="shared" si="2"/>
        <v>0</v>
      </c>
      <c r="R65" s="6">
        <f>IF(B65="","",SUMIFS(SF_Output!$S$1:$S$400,SF_Output!$AC$1:$AC$400,_xlfn.TEXTJOIN(",",TRUE,B65:E65),SF_Output!$Q$1:$Q$400,"yearly")+SUMIFS(SF_Output!$S$1:$S$400,SF_Output!$AC$1:$AC$400,_xlfn.TEXTJOIN(",",TRUE,B65:E65),SF_Output!$Q$1:$Q$400,"quarterly")*4)</f>
        <v>0</v>
      </c>
      <c r="S65" s="112" t="str">
        <f>IF(OR(B65=0,B65="",G65="hardware",R65=0),"",IF(AF65&lt;&gt;"exclusion",MAX(S$9,-(SUMIFS(SF_Output!$T$1:$T$400,SF_Output!$AC$1:$AC$400,_xlfn.TEXTJOIN(",",TRUE,$B65:$E65),SF_Output!$Q$1:$Q$400,"yearly"))/R65),-((SUMIFS(SF_Output!$T$1:$T$400,SF_Output!$AC$1:$AC$400,_xlfn.TEXTJOIN(",",TRUE,$B65:$E65),SF_Output!$Q$1:$Q$400,"yearly")/R65))))</f>
        <v/>
      </c>
      <c r="T65" s="6">
        <f t="shared" si="3"/>
        <v>0</v>
      </c>
      <c r="V65" s="6" cm="1">
        <f t="array" ref="V65">_xlfn.IFS(B65="","",AND(B65&lt;&gt;"",H65=SF_Output!$Y$2,SUMIFS(SF_Output!$T$1:$T$400,SF_Output!$AC$1:$AC$400,_xlfn.TEXTJOIN(",",TRUE,B65:E65),SF_Output!$Q$1:$Q$400,"monthly")=0),(SUMIFS(SF_Output!$F$1:$F$400,SF_Output!$AC$1:$AC$400,_xlfn.TEXTJOIN(",",TRUE,B65:E65),SF_Output!$Q$1:$Q$400,"monthly")+SUMIFS(SF_Output!$G$1:$G$400,SF_Output!$AC$1:$AC$400,_xlfn.TEXTJOIN(",",TRUE,B65:E65),SF_Output!$Q$1:$Q$400,"monthly"))*H65,AND(B65&lt;&gt;"",H65=SF_Output!$Y$2,SUMIFS(SF_Output!$T$1:$T$400,SF_Output!$AC$1:$AC$400,_xlfn.TEXTJOIN(",",TRUE,B65:E65),SF_Output!$Q$1:$Q$400,"monthly")&lt;&gt;0),SUMIFS(SF_Output!$S$1:$S$400,SF_Output!$AC$1:$AC$400,_xlfn.TEXTJOIN(",",TRUE,B65:E65),SF_Output!$Q$1:$Q$400,"monthly"),AND(B65&lt;&gt;"",H65&lt;&gt;SF_Output!$Y$2),SUMIFS(SF_Output!$S$1:$S$400,SF_Output!$AC$1:$AC$400,_xlfn.TEXTJOIN(",",TRUE,B65:E65),SF_Output!$Q$1:$Q$400,"monthly"))</f>
        <v>400</v>
      </c>
      <c r="W65" s="112" cm="1">
        <f t="array" ref="W65">_xlfn.IFS(OR(B65=0,B65="",V65=0),"",AF65&lt;&gt;"exclusion",MAX($W$9,$W$7,(-(SUMIFS(SF_Output!$T$1:$T$400,SF_Output!$AC$1:$AC$400,_xlfn.TEXTJOIN(",",TRUE,$B65:$E65),SF_Output!$Q$1:$Q$400,"monthly"))/V65)),AF65="exclusion",-(SUMIFS(SF_Output!$T$1:$T$400,SF_Output!$AC$1:$AC$400,_xlfn.TEXTJOIN(",",TRUE,$B65:$E65),SF_Output!$Q$1:$Q$400,"monthly"))/V65)</f>
        <v>0</v>
      </c>
      <c r="X65" s="6" cm="1">
        <f t="array" ref="X65">IFERROR(_xlfn.IFS(V65=0,0,V65="","",W65=0,V65,OR(V65&lt;&gt;0,V65&lt;&gt;""),H65*I65),V65*(1-W65))</f>
        <v>400</v>
      </c>
      <c r="Z65" s="6">
        <f>IFERROR(IF(B65="","",SUMIFS(Billing_Fallout!H:H,Billing_Fallout!N:N,B65)),0)</f>
        <v>0</v>
      </c>
      <c r="AA65" s="6">
        <f t="shared" si="4"/>
        <v>0</v>
      </c>
      <c r="AB65" s="6">
        <f>IFERROR(IF(B65="","",SUMIFS(Billing_Fallout!J:J,Billing_Fallout!N:N,B65)),0)</f>
        <v>0</v>
      </c>
      <c r="AD65" s="6">
        <f t="shared" si="5"/>
        <v>400</v>
      </c>
      <c r="AF65" t="str">
        <f>IFERROR(INDEX(H_Tables!$B$1:$B$1500,MATCH(INDEX(SF_Output!$J$1:$J$400,MATCH(B65,SF_Output!$M$1:$M$400,0)),H_Tables!$A$1:$A$1500,0)),"")</f>
        <v>Exclusion</v>
      </c>
      <c r="AI65" s="119" t="str">
        <f t="shared" si="6"/>
        <v/>
      </c>
      <c r="AJ65" s="121">
        <f>IFERROR(INDEX(SF_Output!AD:AD,MATCH(_xlfn.TEXTJOIN(",",TRUE,B65:E65),SF_Output!AC1:AC400,0)),0.05)</f>
        <v>103</v>
      </c>
      <c r="AK65" t="str">
        <f>IF(SUMIFS(SF_Output!$F$1:$F$400,SF_Output!$AC$1:$AC$400,_xlfn.TEXTJOIN(",",TRUE,B65:E65))+SUMIFS(SF_Output!$G$1:$G$400,SF_Output!$AC$1:$AC$400,_xlfn.TEXTJOIN(",",TRUE,B65:E65))=0,"","PAP")</f>
        <v>PAP</v>
      </c>
      <c r="AQ65" s="35"/>
      <c r="AR65" s="35" t="str" cm="1">
        <f t="array" ref="AR65">IFERROR(_xlfn.IFS(AND(E65*1=1,F65="Included"),"Change to Included",AND(E65*1=0,F65="Optional"),"Change to Optional",OR(B65="",F65="replaced"),""),"")</f>
        <v/>
      </c>
      <c r="AS65" s="35" t="str">
        <f t="shared" si="7"/>
        <v/>
      </c>
      <c r="AT65" s="35" t="str">
        <f t="shared" si="8"/>
        <v/>
      </c>
      <c r="AU65" s="35" t="str">
        <f t="shared" si="9"/>
        <v/>
      </c>
      <c r="AV65" s="35" t="str">
        <f t="shared" si="10"/>
        <v/>
      </c>
      <c r="AW65" s="35" t="str">
        <f t="shared" si="11"/>
        <v/>
      </c>
      <c r="AX65" s="35" t="str">
        <f t="shared" si="12"/>
        <v/>
      </c>
      <c r="AY65" s="35" t="str">
        <f t="shared" si="13"/>
        <v/>
      </c>
      <c r="AZ65" s="35" t="str">
        <f t="shared" si="14"/>
        <v/>
      </c>
      <c r="BA65" s="35" t="str">
        <f t="shared" si="15"/>
        <v/>
      </c>
      <c r="BB65" s="35" t="str">
        <f t="shared" si="16"/>
        <v/>
      </c>
      <c r="BC65" s="35"/>
      <c r="BE65" s="35">
        <f ca="1">INDEX(SF_Output!$AA$2:$AA$400,MATCH($B65,SF_Output!$M$2:$M$400,0))</f>
        <v>4</v>
      </c>
      <c r="BF65" s="35">
        <f ca="1">INDEX(SF_Output!$AB$2:$AB$400,MATCH($B65,SF_Output!$M$2:$M$400,0))</f>
        <v>2</v>
      </c>
    </row>
    <row r="66" spans="2:58" x14ac:dyDescent="0.25">
      <c r="B66" t="s">
        <v>877</v>
      </c>
      <c r="C66" t="s">
        <v>2122</v>
      </c>
      <c r="D66" t="s">
        <v>2123</v>
      </c>
      <c r="E66" t="s">
        <v>2124</v>
      </c>
      <c r="F66" s="116" t="str">
        <f t="shared" si="0"/>
        <v>Included</v>
      </c>
      <c r="G66" t="str">
        <f>IF(B66="","",INDEX(SF_Output!$K$1:$K$400,MATCH(B66,SF_Output!$M$1:$M$400,0)))</f>
        <v>Synergy</v>
      </c>
      <c r="H66" cm="1">
        <f t="array" ref="H66">_xlfn.IFS(B66="","",(SUMIFS(SF_Output!$F$1:$F$400,SF_Output!$AC$1:$AC$400,_xlfn.TEXTJOIN(",",TRUE,B66:E66))+SUMIFS(SF_Output!$G$1:$G$400,SF_Output!$AC$1:$AC$400,_xlfn.TEXTJOIN(",",TRUE,B66:E66)))&lt;&gt;0,SF_Output!$Y$2,INDEX(SF_Output!$F$1:$F$400,MATCH(_xlfn.TEXTJOIN(",",TRUE,B66:E66),SF_Output!$AC$1:$AC$400,0))=0,INDEX(SF_Output!$R$1:$R$400,MATCH(_xlfn.TEXTJOIN(",",TRUE,B66:E66),SF_Output!$AC$1:$AC$400,0)))</f>
        <v>5000</v>
      </c>
      <c r="I66" s="125">
        <f>IFERROR(IF(AND(H66&gt;1,H66&lt;&gt;""),ROUND(SUMIFS(SF_Output!$S$1:$S$400,SF_Output!$AC$1:$AC$400,_xlfn.TEXTJOIN(",",TRUE,B66:E66),SF_Output!$Q$1:$Q$400,"monthly")*(1-W66)/H66,4),""),"")</f>
        <v>0.184</v>
      </c>
      <c r="J66" s="6">
        <f>IF(B66="","",SUMIFS(SF_Output!$S$1:$S$400,SF_Output!$AC$1:$AC$400,_xlfn.TEXTJOIN(",",TRUE,B66:E66),SF_Output!$Q$1:$Q$400,"One Time",SF_Output!$L$1:$L$400,"license fee")+SUMIFS(SF_Output!$S$1:$S$400,SF_Output!$AC$1:$AC$400,_xlfn.TEXTJOIN(",",TRUE,B66:E66),SF_Output!$Q$1:$Q$400,"One Time",SF_Output!$L$1:$L$400,"software license")+SUMIFS(SF_Output!$S$1:$S$400,SF_Output!$AC$1:$AC$400,_xlfn.TEXTJOIN(",",TRUE,B66:E66),SF_Output!$Q$1:$Q$400,"One Time",SF_Output!$L$1:$L$400,"hardware"))</f>
        <v>0</v>
      </c>
      <c r="K66" s="112" t="str">
        <f>IF(OR(B66=0,B66="",G66="hardware",J66=0),"",IF(AF66&lt;&gt;"exclusion",MAX(K$9,-((SUMIFS(SF_Output!$T$1:$T$400,SF_Output!$AC$1:$AC$400,_xlfn.TEXTJOIN(",",TRUE,$B66:$E66),SF_Output!$Q$1:$Q$400,"One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license"))/J66)))</f>
        <v/>
      </c>
      <c r="L66" s="6">
        <f t="shared" si="1"/>
        <v>0</v>
      </c>
      <c r="N66" s="6">
        <f>IF(B66="","",SUMIFS(SF_Output!$S$1:$S$400,SF_Output!$AC$1:$AC$400,_xlfn.TEXTJOIN(",",TRUE,B66:E66),SF_Output!$Q$1:$Q$400,"One Time",SF_Output!$L$1:$L$400,"professional service"))</f>
        <v>15750</v>
      </c>
      <c r="O66" s="112">
        <f>IF(OR(B66=0,B66="",N66=0),"",IF(AF66&lt;&gt;"exclusion",MAX(O$9,-(SUMIFS(SF_Output!$T$1:$T$400,SF_Output!$AC$1:$AC$400,_xlfn.TEXTJOIN(",",TRUE,$B66:$E66),SF_Output!$Q$1:$Q$400,"One Time",SF_Output!$L$1:$L$400,"professional service"))/N66),-((SUMIFS(SF_Output!$T$1:$T$400,SF_Output!$AC$1:$AC$400,_xlfn.TEXTJOIN(",",TRUE,$B66:$E66),SF_Output!$Q$1:$Q$400,"One Time",SF_Output!$L$1:$L$400,"professional service")/N66))))</f>
        <v>0</v>
      </c>
      <c r="P66" s="6">
        <f t="shared" si="2"/>
        <v>15750</v>
      </c>
      <c r="R66" s="6">
        <f>IF(B66="","",SUMIFS(SF_Output!$S$1:$S$400,SF_Output!$AC$1:$AC$400,_xlfn.TEXTJOIN(",",TRUE,B66:E66),SF_Output!$Q$1:$Q$400,"yearly")+SUMIFS(SF_Output!$S$1:$S$400,SF_Output!$AC$1:$AC$400,_xlfn.TEXTJOIN(",",TRUE,B66:E66),SF_Output!$Q$1:$Q$400,"quarterly")*4)</f>
        <v>0</v>
      </c>
      <c r="S66" s="112" t="str">
        <f>IF(OR(B66=0,B66="",G66="hardware",R66=0),"",IF(AF66&lt;&gt;"exclusion",MAX(S$9,-(SUMIFS(SF_Output!$T$1:$T$400,SF_Output!$AC$1:$AC$400,_xlfn.TEXTJOIN(",",TRUE,$B66:$E66),SF_Output!$Q$1:$Q$400,"yearly"))/R66),-((SUMIFS(SF_Output!$T$1:$T$400,SF_Output!$AC$1:$AC$400,_xlfn.TEXTJOIN(",",TRUE,$B66:$E66),SF_Output!$Q$1:$Q$400,"yearly")/R66))))</f>
        <v/>
      </c>
      <c r="T66" s="6">
        <f t="shared" si="3"/>
        <v>0</v>
      </c>
      <c r="V66" s="6" cm="1">
        <f t="array" ref="V66">_xlfn.IFS(B66="","",AND(B66&lt;&gt;"",H66=SF_Output!$Y$2,SUMIFS(SF_Output!$T$1:$T$400,SF_Output!$AC$1:$AC$400,_xlfn.TEXTJOIN(",",TRUE,B66:E66),SF_Output!$Q$1:$Q$400,"monthly")=0),(SUMIFS(SF_Output!$F$1:$F$400,SF_Output!$AC$1:$AC$400,_xlfn.TEXTJOIN(",",TRUE,B66:E66),SF_Output!$Q$1:$Q$400,"monthly")+SUMIFS(SF_Output!$G$1:$G$400,SF_Output!$AC$1:$AC$400,_xlfn.TEXTJOIN(",",TRUE,B66:E66),SF_Output!$Q$1:$Q$400,"monthly"))*H66,AND(B66&lt;&gt;"",H66=SF_Output!$Y$2,SUMIFS(SF_Output!$T$1:$T$400,SF_Output!$AC$1:$AC$400,_xlfn.TEXTJOIN(",",TRUE,B66:E66),SF_Output!$Q$1:$Q$400,"monthly")&lt;&gt;0),SUMIFS(SF_Output!$S$1:$S$400,SF_Output!$AC$1:$AC$400,_xlfn.TEXTJOIN(",",TRUE,B66:E66),SF_Output!$Q$1:$Q$400,"monthly"),AND(B66&lt;&gt;"",H66&lt;&gt;SF_Output!$Y$2),SUMIFS(SF_Output!$S$1:$S$400,SF_Output!$AC$1:$AC$400,_xlfn.TEXTJOIN(",",TRUE,B66:E66),SF_Output!$Q$1:$Q$400,"monthly"))</f>
        <v>920</v>
      </c>
      <c r="W66" s="112" cm="1">
        <f t="array" ref="W66">_xlfn.IFS(OR(B66=0,B66="",V66=0),"",AF66&lt;&gt;"exclusion",MAX($W$9,$W$7,(-(SUMIFS(SF_Output!$T$1:$T$400,SF_Output!$AC$1:$AC$400,_xlfn.TEXTJOIN(",",TRUE,$B66:$E66),SF_Output!$Q$1:$Q$400,"monthly"))/V66)),AF66="exclusion",-(SUMIFS(SF_Output!$T$1:$T$400,SF_Output!$AC$1:$AC$400,_xlfn.TEXTJOIN(",",TRUE,$B66:$E66),SF_Output!$Q$1:$Q$400,"monthly"))/V66)</f>
        <v>0</v>
      </c>
      <c r="X66" s="6" cm="1">
        <f t="array" ref="X66">IFERROR(_xlfn.IFS(V66=0,0,V66="","",W66=0,V66,OR(V66&lt;&gt;0,V66&lt;&gt;""),H66*I66),V66*(1-W66))</f>
        <v>920</v>
      </c>
      <c r="Z66" s="6">
        <f>IFERROR(IF(B66="","",SUMIFS(Billing_Fallout!H:H,Billing_Fallout!N:N,B66)),0)</f>
        <v>0</v>
      </c>
      <c r="AA66" s="6">
        <f t="shared" si="4"/>
        <v>0</v>
      </c>
      <c r="AB66" s="6">
        <f>IFERROR(IF(B66="","",SUMIFS(Billing_Fallout!J:J,Billing_Fallout!N:N,B66)),0)</f>
        <v>0</v>
      </c>
      <c r="AD66" s="6">
        <f t="shared" si="5"/>
        <v>920</v>
      </c>
      <c r="AF66" t="str">
        <f>IFERROR(INDEX(H_Tables!$B$1:$B$1500,MATCH(INDEX(SF_Output!$J$1:$J$400,MATCH(B66,SF_Output!$M$1:$M$400,0)),H_Tables!$A$1:$A$1500,0)),"")</f>
        <v>Exclusion</v>
      </c>
      <c r="AI66" s="119" t="str">
        <f t="shared" si="6"/>
        <v/>
      </c>
      <c r="AJ66" s="121">
        <f>IFERROR(INDEX(SF_Output!AD:AD,MATCH(_xlfn.TEXTJOIN(",",TRUE,B66:E66),SF_Output!AC1:AC400,0)),0.05)</f>
        <v>105</v>
      </c>
      <c r="AK66" t="str">
        <f>IF(SUMIFS(SF_Output!$F$1:$F$400,SF_Output!$AC$1:$AC$400,_xlfn.TEXTJOIN(",",TRUE,B66:E66))+SUMIFS(SF_Output!$G$1:$G$400,SF_Output!$AC$1:$AC$400,_xlfn.TEXTJOIN(",",TRUE,B66:E66))=0,"","PAP")</f>
        <v>PAP</v>
      </c>
      <c r="AQ66" s="35"/>
      <c r="AR66" s="35" t="str" cm="1">
        <f t="array" ref="AR66">IFERROR(_xlfn.IFS(AND(E66*1=1,F66="Included"),"Change to Included",AND(E66*1=0,F66="Optional"),"Change to Optional",OR(B66="",F66="replaced"),""),"")</f>
        <v/>
      </c>
      <c r="AS66" s="35" t="str">
        <f t="shared" si="7"/>
        <v/>
      </c>
      <c r="AT66" s="35" t="str">
        <f t="shared" si="8"/>
        <v/>
      </c>
      <c r="AU66" s="35" t="str">
        <f t="shared" si="9"/>
        <v/>
      </c>
      <c r="AV66" s="35" t="str">
        <f t="shared" si="10"/>
        <v/>
      </c>
      <c r="AW66" s="35" t="str">
        <f t="shared" si="11"/>
        <v/>
      </c>
      <c r="AX66" s="35" t="str">
        <f t="shared" si="12"/>
        <v/>
      </c>
      <c r="AY66" s="35" t="str">
        <f t="shared" si="13"/>
        <v/>
      </c>
      <c r="AZ66" s="35" t="str">
        <f t="shared" si="14"/>
        <v/>
      </c>
      <c r="BA66" s="35" t="str">
        <f t="shared" si="15"/>
        <v/>
      </c>
      <c r="BB66" s="35" t="str">
        <f t="shared" si="16"/>
        <v/>
      </c>
      <c r="BC66" s="35"/>
      <c r="BE66" s="35">
        <f ca="1">INDEX(SF_Output!$AA$2:$AA$400,MATCH($B66,SF_Output!$M$2:$M$400,0))</f>
        <v>4</v>
      </c>
      <c r="BF66" s="35">
        <f ca="1">INDEX(SF_Output!$AB$2:$AB$400,MATCH($B66,SF_Output!$M$2:$M$400,0))</f>
        <v>2</v>
      </c>
    </row>
    <row r="67" spans="2:58" x14ac:dyDescent="0.25">
      <c r="B67" t="s">
        <v>1496</v>
      </c>
      <c r="C67" t="s">
        <v>2122</v>
      </c>
      <c r="D67" t="s">
        <v>2123</v>
      </c>
      <c r="E67" t="s">
        <v>2124</v>
      </c>
      <c r="F67" s="116" t="str">
        <f t="shared" si="0"/>
        <v>Included</v>
      </c>
      <c r="G67" t="str">
        <f>IF(B67="","",INDEX(SF_Output!$K$1:$K$400,MATCH(B67,SF_Output!$M$1:$M$400,0)))</f>
        <v>Synergy</v>
      </c>
      <c r="H67" cm="1">
        <f t="array" ref="H67">_xlfn.IFS(B67="","",(SUMIFS(SF_Output!$F$1:$F$400,SF_Output!$AC$1:$AC$400,_xlfn.TEXTJOIN(",",TRUE,B67:E67))+SUMIFS(SF_Output!$G$1:$G$400,SF_Output!$AC$1:$AC$400,_xlfn.TEXTJOIN(",",TRUE,B67:E67)))&lt;&gt;0,SF_Output!$Y$2,INDEX(SF_Output!$F$1:$F$400,MATCH(_xlfn.TEXTJOIN(",",TRUE,B67:E67),SF_Output!$AC$1:$AC$400,0))=0,INDEX(SF_Output!$R$1:$R$400,MATCH(_xlfn.TEXTJOIN(",",TRUE,B67:E67),SF_Output!$AC$1:$AC$400,0)))</f>
        <v>1</v>
      </c>
      <c r="I67" s="125" t="str">
        <f>IFERROR(IF(AND(H67&gt;1,H67&lt;&gt;""),ROUND(SUMIFS(SF_Output!$S$1:$S$400,SF_Output!$AC$1:$AC$400,_xlfn.TEXTJOIN(",",TRUE,B67:E67),SF_Output!$Q$1:$Q$400,"monthly")*(1-W67)/H67,4),""),"")</f>
        <v/>
      </c>
      <c r="J67" s="6">
        <f>IF(B67="","",SUMIFS(SF_Output!$S$1:$S$400,SF_Output!$AC$1:$AC$400,_xlfn.TEXTJOIN(",",TRUE,B67:E67),SF_Output!$Q$1:$Q$400,"One Time",SF_Output!$L$1:$L$400,"license fee")+SUMIFS(SF_Output!$S$1:$S$400,SF_Output!$AC$1:$AC$400,_xlfn.TEXTJOIN(",",TRUE,B67:E67),SF_Output!$Q$1:$Q$400,"One Time",SF_Output!$L$1:$L$400,"software license")+SUMIFS(SF_Output!$S$1:$S$400,SF_Output!$AC$1:$AC$400,_xlfn.TEXTJOIN(",",TRUE,B67:E67),SF_Output!$Q$1:$Q$400,"One Time",SF_Output!$L$1:$L$400,"hardware"))</f>
        <v>0</v>
      </c>
      <c r="K67" s="112" t="str">
        <f>IF(OR(B67=0,B67="",G67="hardware",J67=0),"",IF(AF67&lt;&gt;"exclusion",MAX(K$9,-((SUMIFS(SF_Output!$T$1:$T$400,SF_Output!$AC$1:$AC$400,_xlfn.TEXTJOIN(",",TRUE,$B67:$E67),SF_Output!$Q$1:$Q$400,"One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license"))/J67)))</f>
        <v/>
      </c>
      <c r="L67" s="6">
        <f t="shared" si="1"/>
        <v>0</v>
      </c>
      <c r="N67" s="6">
        <f>IF(B67="","",SUMIFS(SF_Output!$S$1:$S$400,SF_Output!$AC$1:$AC$400,_xlfn.TEXTJOIN(",",TRUE,B67:E67),SF_Output!$Q$1:$Q$400,"One Time",SF_Output!$L$1:$L$400,"professional service"))</f>
        <v>2600</v>
      </c>
      <c r="O67" s="112">
        <f>IF(OR(B67=0,B67="",N67=0),"",IF(AF67&lt;&gt;"exclusion",MAX(O$9,-(SUMIFS(SF_Output!$T$1:$T$400,SF_Output!$AC$1:$AC$400,_xlfn.TEXTJOIN(",",TRUE,$B67:$E67),SF_Output!$Q$1:$Q$400,"One Time",SF_Output!$L$1:$L$400,"professional service"))/N67),-((SUMIFS(SF_Output!$T$1:$T$400,SF_Output!$AC$1:$AC$400,_xlfn.TEXTJOIN(",",TRUE,$B67:$E67),SF_Output!$Q$1:$Q$400,"One Time",SF_Output!$L$1:$L$400,"professional service")/N67))))</f>
        <v>0</v>
      </c>
      <c r="P67" s="6">
        <f t="shared" si="2"/>
        <v>2600</v>
      </c>
      <c r="R67" s="6">
        <f>IF(B67="","",SUMIFS(SF_Output!$S$1:$S$400,SF_Output!$AC$1:$AC$400,_xlfn.TEXTJOIN(",",TRUE,B67:E67),SF_Output!$Q$1:$Q$400,"yearly")+SUMIFS(SF_Output!$S$1:$S$400,SF_Output!$AC$1:$AC$400,_xlfn.TEXTJOIN(",",TRUE,B67:E67),SF_Output!$Q$1:$Q$400,"quarterly")*4)</f>
        <v>0</v>
      </c>
      <c r="S67" s="112" t="str">
        <f>IF(OR(B67=0,B67="",G67="hardware",R67=0),"",IF(AF67&lt;&gt;"exclusion",MAX(S$9,-(SUMIFS(SF_Output!$T$1:$T$400,SF_Output!$AC$1:$AC$400,_xlfn.TEXTJOIN(",",TRUE,$B67:$E67),SF_Output!$Q$1:$Q$400,"yearly"))/R67),-((SUMIFS(SF_Output!$T$1:$T$400,SF_Output!$AC$1:$AC$400,_xlfn.TEXTJOIN(",",TRUE,$B67:$E67),SF_Output!$Q$1:$Q$400,"yearly")/R67))))</f>
        <v/>
      </c>
      <c r="T67" s="6">
        <f t="shared" si="3"/>
        <v>0</v>
      </c>
      <c r="V67" s="6" cm="1">
        <f t="array" ref="V67">_xlfn.IFS(B67="","",AND(B67&lt;&gt;"",H67=SF_Output!$Y$2,SUMIFS(SF_Output!$T$1:$T$400,SF_Output!$AC$1:$AC$400,_xlfn.TEXTJOIN(",",TRUE,B67:E67),SF_Output!$Q$1:$Q$400,"monthly")=0),(SUMIFS(SF_Output!$F$1:$F$400,SF_Output!$AC$1:$AC$400,_xlfn.TEXTJOIN(",",TRUE,B67:E67),SF_Output!$Q$1:$Q$400,"monthly")+SUMIFS(SF_Output!$G$1:$G$400,SF_Output!$AC$1:$AC$400,_xlfn.TEXTJOIN(",",TRUE,B67:E67),SF_Output!$Q$1:$Q$400,"monthly"))*H67,AND(B67&lt;&gt;"",H67=SF_Output!$Y$2,SUMIFS(SF_Output!$T$1:$T$400,SF_Output!$AC$1:$AC$400,_xlfn.TEXTJOIN(",",TRUE,B67:E67),SF_Output!$Q$1:$Q$400,"monthly")&lt;&gt;0),SUMIFS(SF_Output!$S$1:$S$400,SF_Output!$AC$1:$AC$400,_xlfn.TEXTJOIN(",",TRUE,B67:E67),SF_Output!$Q$1:$Q$400,"monthly"),AND(B67&lt;&gt;"",H67&lt;&gt;SF_Output!$Y$2),SUMIFS(SF_Output!$S$1:$S$400,SF_Output!$AC$1:$AC$400,_xlfn.TEXTJOIN(",",TRUE,B67:E67),SF_Output!$Q$1:$Q$400,"monthly"))</f>
        <v>0</v>
      </c>
      <c r="W67" s="112" t="str" cm="1">
        <f t="array" ref="W67">_xlfn.IFS(OR(B67=0,B67="",V67=0),"",AF67&lt;&gt;"exclusion",MAX($W$9,$W$7,(-(SUMIFS(SF_Output!$T$1:$T$400,SF_Output!$AC$1:$AC$400,_xlfn.TEXTJOIN(",",TRUE,$B67:$E67),SF_Output!$Q$1:$Q$400,"monthly"))/V67)),AF67="exclusion",-(SUMIFS(SF_Output!$T$1:$T$400,SF_Output!$AC$1:$AC$400,_xlfn.TEXTJOIN(",",TRUE,$B67:$E67),SF_Output!$Q$1:$Q$400,"monthly"))/V67)</f>
        <v/>
      </c>
      <c r="X67" s="6" cm="1">
        <f t="array" ref="X67">IFERROR(_xlfn.IFS(V67=0,0,V67="","",W67=0,V67,OR(V67&lt;&gt;0,V67&lt;&gt;""),H67*I67),V67*(1-W67))</f>
        <v>0</v>
      </c>
      <c r="Z67" s="6">
        <f>IFERROR(IF(B67="","",SUMIFS(Billing_Fallout!H:H,Billing_Fallout!N:N,B67)),0)</f>
        <v>0</v>
      </c>
      <c r="AA67" s="6">
        <f t="shared" si="4"/>
        <v>0</v>
      </c>
      <c r="AB67" s="6">
        <f>IFERROR(IF(B67="","",SUMIFS(Billing_Fallout!J:J,Billing_Fallout!N:N,B67)),0)</f>
        <v>0</v>
      </c>
      <c r="AD67" s="6">
        <f t="shared" si="5"/>
        <v>0</v>
      </c>
      <c r="AF67" t="str">
        <f>IFERROR(INDEX(H_Tables!$B$1:$B$1500,MATCH(INDEX(SF_Output!$J$1:$J$400,MATCH(B67,SF_Output!$M$1:$M$400,0)),H_Tables!$A$1:$A$1500,0)),"")</f>
        <v>Exclusion</v>
      </c>
      <c r="AI67" s="119" t="str">
        <f t="shared" si="6"/>
        <v/>
      </c>
      <c r="AJ67" s="121">
        <f>IFERROR(INDEX(SF_Output!AD:AD,MATCH(_xlfn.TEXTJOIN(",",TRUE,B67:E67),SF_Output!AC1:AC400,0)),0.05)</f>
        <v>107</v>
      </c>
      <c r="AK67" t="str">
        <f>IF(SUMIFS(SF_Output!$F$1:$F$400,SF_Output!$AC$1:$AC$400,_xlfn.TEXTJOIN(",",TRUE,B67:E67))+SUMIFS(SF_Output!$G$1:$G$400,SF_Output!$AC$1:$AC$400,_xlfn.TEXTJOIN(",",TRUE,B67:E67))=0,"","PAP")</f>
        <v/>
      </c>
      <c r="AQ67" s="35"/>
      <c r="AR67" s="35" t="str" cm="1">
        <f t="array" ref="AR67">IFERROR(_xlfn.IFS(AND(E67*1=1,F67="Included"),"Change to Included",AND(E67*1=0,F67="Optional"),"Change to Optional",OR(B67="",F67="replaced"),""),"")</f>
        <v/>
      </c>
      <c r="AS67" s="35" t="str">
        <f t="shared" si="7"/>
        <v/>
      </c>
      <c r="AT67" s="35" t="str">
        <f t="shared" si="8"/>
        <v/>
      </c>
      <c r="AU67" s="35" t="str">
        <f t="shared" si="9"/>
        <v/>
      </c>
      <c r="AV67" s="35" t="str">
        <f t="shared" si="10"/>
        <v/>
      </c>
      <c r="AW67" s="35" t="str">
        <f t="shared" si="11"/>
        <v/>
      </c>
      <c r="AX67" s="35" t="str">
        <f t="shared" si="12"/>
        <v/>
      </c>
      <c r="AY67" s="35" t="str">
        <f t="shared" si="13"/>
        <v/>
      </c>
      <c r="AZ67" s="35" t="str">
        <f t="shared" si="14"/>
        <v/>
      </c>
      <c r="BA67" s="35" t="str">
        <f t="shared" si="15"/>
        <v/>
      </c>
      <c r="BB67" s="35" t="str">
        <f t="shared" si="16"/>
        <v/>
      </c>
      <c r="BC67" s="35"/>
      <c r="BE67" s="35">
        <f ca="1">INDEX(SF_Output!$AA$2:$AA$400,MATCH($B67,SF_Output!$M$2:$M$400,0))</f>
        <v>4</v>
      </c>
      <c r="BF67" s="35">
        <f ca="1">INDEX(SF_Output!$AB$2:$AB$400,MATCH($B67,SF_Output!$M$2:$M$400,0))</f>
        <v>2</v>
      </c>
    </row>
    <row r="68" spans="2:58" x14ac:dyDescent="0.25">
      <c r="B68" t="s">
        <v>1500</v>
      </c>
      <c r="C68" t="s">
        <v>2122</v>
      </c>
      <c r="D68" t="s">
        <v>2123</v>
      </c>
      <c r="E68" t="s">
        <v>2124</v>
      </c>
      <c r="F68" s="116" t="str">
        <f t="shared" si="0"/>
        <v>Included</v>
      </c>
      <c r="G68" t="str">
        <f>IF(B68="","",INDEX(SF_Output!$K$1:$K$400,MATCH(B68,SF_Output!$M$1:$M$400,0)))</f>
        <v>Synergy</v>
      </c>
      <c r="H68" cm="1">
        <f t="array" ref="H68">_xlfn.IFS(B68="","",(SUMIFS(SF_Output!$F$1:$F$400,SF_Output!$AC$1:$AC$400,_xlfn.TEXTJOIN(",",TRUE,B68:E68))+SUMIFS(SF_Output!$G$1:$G$400,SF_Output!$AC$1:$AC$400,_xlfn.TEXTJOIN(",",TRUE,B68:E68)))&lt;&gt;0,SF_Output!$Y$2,INDEX(SF_Output!$F$1:$F$400,MATCH(_xlfn.TEXTJOIN(",",TRUE,B68:E68),SF_Output!$AC$1:$AC$400,0))=0,INDEX(SF_Output!$R$1:$R$400,MATCH(_xlfn.TEXTJOIN(",",TRUE,B68:E68),SF_Output!$AC$1:$AC$400,0)))</f>
        <v>1</v>
      </c>
      <c r="I68" s="125" t="str">
        <f>IFERROR(IF(AND(H68&gt;1,H68&lt;&gt;""),ROUND(SUMIFS(SF_Output!$S$1:$S$400,SF_Output!$AC$1:$AC$400,_xlfn.TEXTJOIN(",",TRUE,B68:E68),SF_Output!$Q$1:$Q$400,"monthly")*(1-W68)/H68,4),""),"")</f>
        <v/>
      </c>
      <c r="J68" s="6">
        <f>IF(B68="","",SUMIFS(SF_Output!$S$1:$S$400,SF_Output!$AC$1:$AC$400,_xlfn.TEXTJOIN(",",TRUE,B68:E68),SF_Output!$Q$1:$Q$400,"One Time",SF_Output!$L$1:$L$400,"license fee")+SUMIFS(SF_Output!$S$1:$S$400,SF_Output!$AC$1:$AC$400,_xlfn.TEXTJOIN(",",TRUE,B68:E68),SF_Output!$Q$1:$Q$400,"One Time",SF_Output!$L$1:$L$400,"software license")+SUMIFS(SF_Output!$S$1:$S$400,SF_Output!$AC$1:$AC$400,_xlfn.TEXTJOIN(",",TRUE,B68:E68),SF_Output!$Q$1:$Q$400,"One Time",SF_Output!$L$1:$L$400,"hardware"))</f>
        <v>0</v>
      </c>
      <c r="K68" s="112" t="str">
        <f>IF(OR(B68=0,B68="",G68="hardware",J68=0),"",IF(AF68&lt;&gt;"exclusion",MAX(K$9,-((SUMIFS(SF_Output!$T$1:$T$400,SF_Output!$AC$1:$AC$400,_xlfn.TEXTJOIN(",",TRUE,$B68:$E68),SF_Output!$Q$1:$Q$400,"One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license"))/J68)))</f>
        <v/>
      </c>
      <c r="L68" s="6">
        <f t="shared" si="1"/>
        <v>0</v>
      </c>
      <c r="N68" s="6">
        <f>IF(B68="","",SUMIFS(SF_Output!$S$1:$S$400,SF_Output!$AC$1:$AC$400,_xlfn.TEXTJOIN(",",TRUE,B68:E68),SF_Output!$Q$1:$Q$400,"One Time",SF_Output!$L$1:$L$400,"professional service"))</f>
        <v>3250</v>
      </c>
      <c r="O68" s="112">
        <f>IF(OR(B68=0,B68="",N68=0),"",IF(AF68&lt;&gt;"exclusion",MAX(O$9,-(SUMIFS(SF_Output!$T$1:$T$400,SF_Output!$AC$1:$AC$400,_xlfn.TEXTJOIN(",",TRUE,$B68:$E68),SF_Output!$Q$1:$Q$400,"One Time",SF_Output!$L$1:$L$400,"professional service"))/N68),-((SUMIFS(SF_Output!$T$1:$T$400,SF_Output!$AC$1:$AC$400,_xlfn.TEXTJOIN(",",TRUE,$B68:$E68),SF_Output!$Q$1:$Q$400,"One Time",SF_Output!$L$1:$L$400,"professional service")/N68))))</f>
        <v>0</v>
      </c>
      <c r="P68" s="6">
        <f t="shared" si="2"/>
        <v>3250</v>
      </c>
      <c r="R68" s="6">
        <f>IF(B68="","",SUMIFS(SF_Output!$S$1:$S$400,SF_Output!$AC$1:$AC$400,_xlfn.TEXTJOIN(",",TRUE,B68:E68),SF_Output!$Q$1:$Q$400,"yearly")+SUMIFS(SF_Output!$S$1:$S$400,SF_Output!$AC$1:$AC$400,_xlfn.TEXTJOIN(",",TRUE,B68:E68),SF_Output!$Q$1:$Q$400,"quarterly")*4)</f>
        <v>0</v>
      </c>
      <c r="S68" s="112" t="str">
        <f>IF(OR(B68=0,B68="",G68="hardware",R68=0),"",IF(AF68&lt;&gt;"exclusion",MAX(S$9,-(SUMIFS(SF_Output!$T$1:$T$400,SF_Output!$AC$1:$AC$400,_xlfn.TEXTJOIN(",",TRUE,$B68:$E68),SF_Output!$Q$1:$Q$400,"yearly"))/R68),-((SUMIFS(SF_Output!$T$1:$T$400,SF_Output!$AC$1:$AC$400,_xlfn.TEXTJOIN(",",TRUE,$B68:$E68),SF_Output!$Q$1:$Q$400,"yearly")/R68))))</f>
        <v/>
      </c>
      <c r="T68" s="6">
        <f t="shared" si="3"/>
        <v>0</v>
      </c>
      <c r="V68" s="6" cm="1">
        <f t="array" ref="V68">_xlfn.IFS(B68="","",AND(B68&lt;&gt;"",H68=SF_Output!$Y$2,SUMIFS(SF_Output!$T$1:$T$400,SF_Output!$AC$1:$AC$400,_xlfn.TEXTJOIN(",",TRUE,B68:E68),SF_Output!$Q$1:$Q$400,"monthly")=0),(SUMIFS(SF_Output!$F$1:$F$400,SF_Output!$AC$1:$AC$400,_xlfn.TEXTJOIN(",",TRUE,B68:E68),SF_Output!$Q$1:$Q$400,"monthly")+SUMIFS(SF_Output!$G$1:$G$400,SF_Output!$AC$1:$AC$400,_xlfn.TEXTJOIN(",",TRUE,B68:E68),SF_Output!$Q$1:$Q$400,"monthly"))*H68,AND(B68&lt;&gt;"",H68=SF_Output!$Y$2,SUMIFS(SF_Output!$T$1:$T$400,SF_Output!$AC$1:$AC$400,_xlfn.TEXTJOIN(",",TRUE,B68:E68),SF_Output!$Q$1:$Q$400,"monthly")&lt;&gt;0),SUMIFS(SF_Output!$S$1:$S$400,SF_Output!$AC$1:$AC$400,_xlfn.TEXTJOIN(",",TRUE,B68:E68),SF_Output!$Q$1:$Q$400,"monthly"),AND(B68&lt;&gt;"",H68&lt;&gt;SF_Output!$Y$2),SUMIFS(SF_Output!$S$1:$S$400,SF_Output!$AC$1:$AC$400,_xlfn.TEXTJOIN(",",TRUE,B68:E68),SF_Output!$Q$1:$Q$400,"monthly"))</f>
        <v>0</v>
      </c>
      <c r="W68" s="112" t="str" cm="1">
        <f t="array" ref="W68">_xlfn.IFS(OR(B68=0,B68="",V68=0),"",AF68&lt;&gt;"exclusion",MAX($W$9,$W$7,(-(SUMIFS(SF_Output!$T$1:$T$400,SF_Output!$AC$1:$AC$400,_xlfn.TEXTJOIN(",",TRUE,$B68:$E68),SF_Output!$Q$1:$Q$400,"monthly"))/V68)),AF68="exclusion",-(SUMIFS(SF_Output!$T$1:$T$400,SF_Output!$AC$1:$AC$400,_xlfn.TEXTJOIN(",",TRUE,$B68:$E68),SF_Output!$Q$1:$Q$400,"monthly"))/V68)</f>
        <v/>
      </c>
      <c r="X68" s="6" cm="1">
        <f t="array" ref="X68">IFERROR(_xlfn.IFS(V68=0,0,V68="","",W68=0,V68,OR(V68&lt;&gt;0,V68&lt;&gt;""),H68*I68),V68*(1-W68))</f>
        <v>0</v>
      </c>
      <c r="Z68" s="6">
        <f>IFERROR(IF(B68="","",SUMIFS(Billing_Fallout!H:H,Billing_Fallout!N:N,B68)),0)</f>
        <v>0</v>
      </c>
      <c r="AA68" s="6">
        <f t="shared" si="4"/>
        <v>0</v>
      </c>
      <c r="AB68" s="6">
        <f>IFERROR(IF(B68="","",SUMIFS(Billing_Fallout!J:J,Billing_Fallout!N:N,B68)),0)</f>
        <v>0</v>
      </c>
      <c r="AD68" s="6">
        <f t="shared" si="5"/>
        <v>0</v>
      </c>
      <c r="AF68" t="str">
        <f>IFERROR(INDEX(H_Tables!$B$1:$B$1500,MATCH(INDEX(SF_Output!$J$1:$J$400,MATCH(B68,SF_Output!$M$1:$M$400,0)),H_Tables!$A$1:$A$1500,0)),"")</f>
        <v>Exclusion</v>
      </c>
      <c r="AI68" s="119" t="str">
        <f t="shared" si="6"/>
        <v/>
      </c>
      <c r="AJ68" s="121">
        <f>IFERROR(INDEX(SF_Output!AD:AD,MATCH(_xlfn.TEXTJOIN(",",TRUE,B68:E68),SF_Output!AC1:AC400,0)),0.05)</f>
        <v>108</v>
      </c>
      <c r="AK68" t="str">
        <f>IF(SUMIFS(SF_Output!$F$1:$F$400,SF_Output!$AC$1:$AC$400,_xlfn.TEXTJOIN(",",TRUE,B68:E68))+SUMIFS(SF_Output!$G$1:$G$400,SF_Output!$AC$1:$AC$400,_xlfn.TEXTJOIN(",",TRUE,B68:E68))=0,"","PAP")</f>
        <v/>
      </c>
      <c r="AQ68" s="35"/>
      <c r="AR68" s="35" t="str" cm="1">
        <f t="array" ref="AR68">IFERROR(_xlfn.IFS(AND(E68*1=1,F68="Included"),"Change to Included",AND(E68*1=0,F68="Optional"),"Change to Optional",OR(B68="",F68="replaced"),""),"")</f>
        <v/>
      </c>
      <c r="AS68" s="35" t="str">
        <f t="shared" si="7"/>
        <v/>
      </c>
      <c r="AT68" s="35" t="str">
        <f t="shared" si="8"/>
        <v/>
      </c>
      <c r="AU68" s="35" t="str">
        <f t="shared" si="9"/>
        <v/>
      </c>
      <c r="AV68" s="35" t="str">
        <f t="shared" si="10"/>
        <v/>
      </c>
      <c r="AW68" s="35" t="str">
        <f t="shared" si="11"/>
        <v/>
      </c>
      <c r="AX68" s="35" t="str">
        <f t="shared" si="12"/>
        <v/>
      </c>
      <c r="AY68" s="35" t="str">
        <f t="shared" si="13"/>
        <v/>
      </c>
      <c r="AZ68" s="35" t="str">
        <f t="shared" si="14"/>
        <v/>
      </c>
      <c r="BA68" s="35" t="str">
        <f t="shared" si="15"/>
        <v/>
      </c>
      <c r="BB68" s="35" t="str">
        <f t="shared" si="16"/>
        <v/>
      </c>
      <c r="BC68" s="35"/>
      <c r="BE68" s="35">
        <f ca="1">INDEX(SF_Output!$AA$2:$AA$400,MATCH($B68,SF_Output!$M$2:$M$400,0))</f>
        <v>4</v>
      </c>
      <c r="BF68" s="35">
        <f ca="1">INDEX(SF_Output!$AB$2:$AB$400,MATCH($B68,SF_Output!$M$2:$M$400,0))</f>
        <v>2</v>
      </c>
    </row>
    <row r="69" spans="2:58" x14ac:dyDescent="0.25">
      <c r="B69" t="s">
        <v>1506</v>
      </c>
      <c r="C69" t="s">
        <v>2122</v>
      </c>
      <c r="D69" t="s">
        <v>2123</v>
      </c>
      <c r="E69" t="s">
        <v>2124</v>
      </c>
      <c r="F69" s="116" t="str">
        <f t="shared" si="0"/>
        <v>Included</v>
      </c>
      <c r="G69" t="str">
        <f>IF(B69="","",INDEX(SF_Output!$K$1:$K$400,MATCH(B69,SF_Output!$M$1:$M$400,0)))</f>
        <v>Synergy</v>
      </c>
      <c r="H69" cm="1">
        <f t="array" ref="H69">_xlfn.IFS(B69="","",(SUMIFS(SF_Output!$F$1:$F$400,SF_Output!$AC$1:$AC$400,_xlfn.TEXTJOIN(",",TRUE,B69:E69))+SUMIFS(SF_Output!$G$1:$G$400,SF_Output!$AC$1:$AC$400,_xlfn.TEXTJOIN(",",TRUE,B69:E69)))&lt;&gt;0,SF_Output!$Y$2,INDEX(SF_Output!$F$1:$F$400,MATCH(_xlfn.TEXTJOIN(",",TRUE,B69:E69),SF_Output!$AC$1:$AC$400,0))=0,INDEX(SF_Output!$R$1:$R$400,MATCH(_xlfn.TEXTJOIN(",",TRUE,B69:E69),SF_Output!$AC$1:$AC$400,0)))</f>
        <v>1</v>
      </c>
      <c r="I69" s="125" t="str">
        <f>IFERROR(IF(AND(H69&gt;1,H69&lt;&gt;""),ROUND(SUMIFS(SF_Output!$S$1:$S$400,SF_Output!$AC$1:$AC$400,_xlfn.TEXTJOIN(",",TRUE,B69:E69),SF_Output!$Q$1:$Q$400,"monthly")*(1-W69)/H69,4),""),"")</f>
        <v/>
      </c>
      <c r="J69" s="6">
        <f>IF(B69="","",SUMIFS(SF_Output!$S$1:$S$400,SF_Output!$AC$1:$AC$400,_xlfn.TEXTJOIN(",",TRUE,B69:E69),SF_Output!$Q$1:$Q$400,"One Time",SF_Output!$L$1:$L$400,"license fee")+SUMIFS(SF_Output!$S$1:$S$400,SF_Output!$AC$1:$AC$400,_xlfn.TEXTJOIN(",",TRUE,B69:E69),SF_Output!$Q$1:$Q$400,"One Time",SF_Output!$L$1:$L$400,"software license")+SUMIFS(SF_Output!$S$1:$S$400,SF_Output!$AC$1:$AC$400,_xlfn.TEXTJOIN(",",TRUE,B69:E69),SF_Output!$Q$1:$Q$400,"One Time",SF_Output!$L$1:$L$400,"hardware"))</f>
        <v>0</v>
      </c>
      <c r="K69" s="112" t="str">
        <f>IF(OR(B69=0,B69="",G69="hardware",J69=0),"",IF(AF69&lt;&gt;"exclusion",MAX(K$9,-((SUMIFS(SF_Output!$T$1:$T$400,SF_Output!$AC$1:$AC$400,_xlfn.TEXTJOIN(",",TRUE,$B69:$E69),SF_Output!$Q$1:$Q$400,"One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license"))/J69)))</f>
        <v/>
      </c>
      <c r="L69" s="6">
        <f t="shared" si="1"/>
        <v>0</v>
      </c>
      <c r="N69" s="6">
        <f>IF(B69="","",SUMIFS(SF_Output!$S$1:$S$400,SF_Output!$AC$1:$AC$400,_xlfn.TEXTJOIN(",",TRUE,B69:E69),SF_Output!$Q$1:$Q$400,"One Time",SF_Output!$L$1:$L$400,"professional service"))</f>
        <v>1150</v>
      </c>
      <c r="O69" s="112">
        <f>IF(OR(B69=0,B69="",N69=0),"",IF(AF69&lt;&gt;"exclusion",MAX(O$9,-(SUMIFS(SF_Output!$T$1:$T$400,SF_Output!$AC$1:$AC$400,_xlfn.TEXTJOIN(",",TRUE,$B69:$E69),SF_Output!$Q$1:$Q$400,"One Time",SF_Output!$L$1:$L$400,"professional service"))/N69),-((SUMIFS(SF_Output!$T$1:$T$400,SF_Output!$AC$1:$AC$400,_xlfn.TEXTJOIN(",",TRUE,$B69:$E69),SF_Output!$Q$1:$Q$400,"One Time",SF_Output!$L$1:$L$400,"professional service")/N69))))</f>
        <v>0</v>
      </c>
      <c r="P69" s="6">
        <f t="shared" si="2"/>
        <v>1150</v>
      </c>
      <c r="R69" s="6">
        <f>IF(B69="","",SUMIFS(SF_Output!$S$1:$S$400,SF_Output!$AC$1:$AC$400,_xlfn.TEXTJOIN(",",TRUE,B69:E69),SF_Output!$Q$1:$Q$400,"yearly")+SUMIFS(SF_Output!$S$1:$S$400,SF_Output!$AC$1:$AC$400,_xlfn.TEXTJOIN(",",TRUE,B69:E69),SF_Output!$Q$1:$Q$400,"quarterly")*4)</f>
        <v>0</v>
      </c>
      <c r="S69" s="112" t="str">
        <f>IF(OR(B69=0,B69="",G69="hardware",R69=0),"",IF(AF69&lt;&gt;"exclusion",MAX(S$9,-(SUMIFS(SF_Output!$T$1:$T$400,SF_Output!$AC$1:$AC$400,_xlfn.TEXTJOIN(",",TRUE,$B69:$E69),SF_Output!$Q$1:$Q$400,"yearly"))/R69),-((SUMIFS(SF_Output!$T$1:$T$400,SF_Output!$AC$1:$AC$400,_xlfn.TEXTJOIN(",",TRUE,$B69:$E69),SF_Output!$Q$1:$Q$400,"yearly")/R69))))</f>
        <v/>
      </c>
      <c r="T69" s="6">
        <f t="shared" si="3"/>
        <v>0</v>
      </c>
      <c r="V69" s="6" cm="1">
        <f t="array" ref="V69">_xlfn.IFS(B69="","",AND(B69&lt;&gt;"",H69=SF_Output!$Y$2,SUMIFS(SF_Output!$T$1:$T$400,SF_Output!$AC$1:$AC$400,_xlfn.TEXTJOIN(",",TRUE,B69:E69),SF_Output!$Q$1:$Q$400,"monthly")=0),(SUMIFS(SF_Output!$F$1:$F$400,SF_Output!$AC$1:$AC$400,_xlfn.TEXTJOIN(",",TRUE,B69:E69),SF_Output!$Q$1:$Q$400,"monthly")+SUMIFS(SF_Output!$G$1:$G$400,SF_Output!$AC$1:$AC$400,_xlfn.TEXTJOIN(",",TRUE,B69:E69),SF_Output!$Q$1:$Q$400,"monthly"))*H69,AND(B69&lt;&gt;"",H69=SF_Output!$Y$2,SUMIFS(SF_Output!$T$1:$T$400,SF_Output!$AC$1:$AC$400,_xlfn.TEXTJOIN(",",TRUE,B69:E69),SF_Output!$Q$1:$Q$400,"monthly")&lt;&gt;0),SUMIFS(SF_Output!$S$1:$S$400,SF_Output!$AC$1:$AC$400,_xlfn.TEXTJOIN(",",TRUE,B69:E69),SF_Output!$Q$1:$Q$400,"monthly"),AND(B69&lt;&gt;"",H69&lt;&gt;SF_Output!$Y$2),SUMIFS(SF_Output!$S$1:$S$400,SF_Output!$AC$1:$AC$400,_xlfn.TEXTJOIN(",",TRUE,B69:E69),SF_Output!$Q$1:$Q$400,"monthly"))</f>
        <v>0</v>
      </c>
      <c r="W69" s="112" t="str" cm="1">
        <f t="array" ref="W69">_xlfn.IFS(OR(B69=0,B69="",V69=0),"",AF69&lt;&gt;"exclusion",MAX($W$9,$W$7,(-(SUMIFS(SF_Output!$T$1:$T$400,SF_Output!$AC$1:$AC$400,_xlfn.TEXTJOIN(",",TRUE,$B69:$E69),SF_Output!$Q$1:$Q$400,"monthly"))/V69)),AF69="exclusion",-(SUMIFS(SF_Output!$T$1:$T$400,SF_Output!$AC$1:$AC$400,_xlfn.TEXTJOIN(",",TRUE,$B69:$E69),SF_Output!$Q$1:$Q$400,"monthly"))/V69)</f>
        <v/>
      </c>
      <c r="X69" s="6" cm="1">
        <f t="array" ref="X69">IFERROR(_xlfn.IFS(V69=0,0,V69="","",W69=0,V69,OR(V69&lt;&gt;0,V69&lt;&gt;""),H69*I69),V69*(1-W69))</f>
        <v>0</v>
      </c>
      <c r="Z69" s="6">
        <f>IFERROR(IF(B69="","",SUMIFS(Billing_Fallout!H:H,Billing_Fallout!N:N,B69)),0)</f>
        <v>0</v>
      </c>
      <c r="AA69" s="6">
        <f t="shared" si="4"/>
        <v>0</v>
      </c>
      <c r="AB69" s="6">
        <f>IFERROR(IF(B69="","",SUMIFS(Billing_Fallout!J:J,Billing_Fallout!N:N,B69)),0)</f>
        <v>0</v>
      </c>
      <c r="AD69" s="6">
        <f t="shared" si="5"/>
        <v>0</v>
      </c>
      <c r="AF69" t="str">
        <f>IFERROR(INDEX(H_Tables!$B$1:$B$1500,MATCH(INDEX(SF_Output!$J$1:$J$400,MATCH(B69,SF_Output!$M$1:$M$400,0)),H_Tables!$A$1:$A$1500,0)),"")</f>
        <v>Exclusion</v>
      </c>
      <c r="AI69" s="119" t="str">
        <f t="shared" si="6"/>
        <v/>
      </c>
      <c r="AJ69" s="121">
        <f>IFERROR(INDEX(SF_Output!AD:AD,MATCH(_xlfn.TEXTJOIN(",",TRUE,B69:E69),SF_Output!AC1:AC400,0)),0.05)</f>
        <v>109</v>
      </c>
      <c r="AK69" t="str">
        <f>IF(SUMIFS(SF_Output!$F$1:$F$400,SF_Output!$AC$1:$AC$400,_xlfn.TEXTJOIN(",",TRUE,B69:E69))+SUMIFS(SF_Output!$G$1:$G$400,SF_Output!$AC$1:$AC$400,_xlfn.TEXTJOIN(",",TRUE,B69:E69))=0,"","PAP")</f>
        <v/>
      </c>
      <c r="AQ69" s="35"/>
      <c r="AR69" s="35" t="str" cm="1">
        <f t="array" ref="AR69">IFERROR(_xlfn.IFS(AND(E69*1=1,F69="Included"),"Change to Included",AND(E69*1=0,F69="Optional"),"Change to Optional",OR(B69="",F69="replaced"),""),"")</f>
        <v/>
      </c>
      <c r="AS69" s="35" t="str">
        <f t="shared" si="7"/>
        <v/>
      </c>
      <c r="AT69" s="35" t="str">
        <f t="shared" si="8"/>
        <v/>
      </c>
      <c r="AU69" s="35" t="str">
        <f t="shared" si="9"/>
        <v/>
      </c>
      <c r="AV69" s="35" t="str">
        <f t="shared" si="10"/>
        <v/>
      </c>
      <c r="AW69" s="35" t="str">
        <f t="shared" si="11"/>
        <v/>
      </c>
      <c r="AX69" s="35" t="str">
        <f t="shared" si="12"/>
        <v/>
      </c>
      <c r="AY69" s="35" t="str">
        <f t="shared" si="13"/>
        <v/>
      </c>
      <c r="AZ69" s="35" t="str">
        <f t="shared" si="14"/>
        <v/>
      </c>
      <c r="BA69" s="35" t="str">
        <f t="shared" si="15"/>
        <v/>
      </c>
      <c r="BB69" s="35" t="str">
        <f t="shared" si="16"/>
        <v/>
      </c>
      <c r="BC69" s="35"/>
      <c r="BE69" s="35">
        <f ca="1">INDEX(SF_Output!$AA$2:$AA$400,MATCH($B69,SF_Output!$M$2:$M$400,0))</f>
        <v>4</v>
      </c>
      <c r="BF69" s="35">
        <f ca="1">INDEX(SF_Output!$AB$2:$AB$400,MATCH($B69,SF_Output!$M$2:$M$400,0))</f>
        <v>2</v>
      </c>
    </row>
    <row r="70" spans="2:58" x14ac:dyDescent="0.25">
      <c r="B70" t="s">
        <v>1510</v>
      </c>
      <c r="C70" t="s">
        <v>2122</v>
      </c>
      <c r="D70" t="s">
        <v>2123</v>
      </c>
      <c r="E70" t="s">
        <v>2150</v>
      </c>
      <c r="F70" s="116" t="str">
        <f t="shared" si="0"/>
        <v>Optional</v>
      </c>
      <c r="G70" t="str">
        <f>IF(B70="","",INDEX(SF_Output!$K$1:$K$400,MATCH(B70,SF_Output!$M$1:$M$400,0)))</f>
        <v>Synergy</v>
      </c>
      <c r="H70" cm="1">
        <f t="array" ref="H70">_xlfn.IFS(B70="","",(SUMIFS(SF_Output!$F$1:$F$400,SF_Output!$AC$1:$AC$400,_xlfn.TEXTJOIN(",",TRUE,B70:E70))+SUMIFS(SF_Output!$G$1:$G$400,SF_Output!$AC$1:$AC$400,_xlfn.TEXTJOIN(",",TRUE,B70:E70)))&lt;&gt;0,SF_Output!$Y$2,INDEX(SF_Output!$F$1:$F$400,MATCH(_xlfn.TEXTJOIN(",",TRUE,B70:E70),SF_Output!$AC$1:$AC$400,0))=0,INDEX(SF_Output!$R$1:$R$400,MATCH(_xlfn.TEXTJOIN(",",TRUE,B70:E70),SF_Output!$AC$1:$AC$400,0)))</f>
        <v>1</v>
      </c>
      <c r="I70" s="125" t="str">
        <f>IFERROR(IF(AND(H70&gt;1,H70&lt;&gt;""),ROUND(SUMIFS(SF_Output!$S$1:$S$400,SF_Output!$AC$1:$AC$400,_xlfn.TEXTJOIN(",",TRUE,B70:E70),SF_Output!$Q$1:$Q$400,"monthly")*(1-W70)/H70,4),""),"")</f>
        <v/>
      </c>
      <c r="J70" s="6">
        <f>IF(B70="","",SUMIFS(SF_Output!$S$1:$S$400,SF_Output!$AC$1:$AC$400,_xlfn.TEXTJOIN(",",TRUE,B70:E70),SF_Output!$Q$1:$Q$400,"One Time",SF_Output!$L$1:$L$400,"license fee")+SUMIFS(SF_Output!$S$1:$S$400,SF_Output!$AC$1:$AC$400,_xlfn.TEXTJOIN(",",TRUE,B70:E70),SF_Output!$Q$1:$Q$400,"One Time",SF_Output!$L$1:$L$400,"software license")+SUMIFS(SF_Output!$S$1:$S$400,SF_Output!$AC$1:$AC$400,_xlfn.TEXTJOIN(",",TRUE,B70:E70),SF_Output!$Q$1:$Q$400,"One Time",SF_Output!$L$1:$L$400,"hardware"))</f>
        <v>0</v>
      </c>
      <c r="K70" s="112" t="str">
        <f>IF(OR(B70=0,B70="",G70="hardware",J70=0),"",IF(AF70&lt;&gt;"exclusion",MAX(K$9,-((SUMIFS(SF_Output!$T$1:$T$400,SF_Output!$AC$1:$AC$400,_xlfn.TEXTJOIN(",",TRUE,$B70:$E70),SF_Output!$Q$1:$Q$400,"One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license"))/J70)))</f>
        <v/>
      </c>
      <c r="L70" s="6">
        <f t="shared" si="1"/>
        <v>0</v>
      </c>
      <c r="N70" s="6">
        <f>IF(B70="","",SUMIFS(SF_Output!$S$1:$S$400,SF_Output!$AC$1:$AC$400,_xlfn.TEXTJOIN(",",TRUE,B70:E70),SF_Output!$Q$1:$Q$400,"One Time",SF_Output!$L$1:$L$400,"professional service"))</f>
        <v>450</v>
      </c>
      <c r="O70" s="112">
        <f>IF(OR(B70=0,B70="",N70=0),"",IF(AF70&lt;&gt;"exclusion",MAX(O$9,-(SUMIFS(SF_Output!$T$1:$T$400,SF_Output!$AC$1:$AC$400,_xlfn.TEXTJOIN(",",TRUE,$B70:$E70),SF_Output!$Q$1:$Q$400,"One Time",SF_Output!$L$1:$L$400,"professional service"))/N70),-((SUMIFS(SF_Output!$T$1:$T$400,SF_Output!$AC$1:$AC$400,_xlfn.TEXTJOIN(",",TRUE,$B70:$E70),SF_Output!$Q$1:$Q$400,"One Time",SF_Output!$L$1:$L$400,"professional service")/N70))))</f>
        <v>0</v>
      </c>
      <c r="P70" s="6">
        <f t="shared" si="2"/>
        <v>450</v>
      </c>
      <c r="R70" s="6">
        <f>IF(B70="","",SUMIFS(SF_Output!$S$1:$S$400,SF_Output!$AC$1:$AC$400,_xlfn.TEXTJOIN(",",TRUE,B70:E70),SF_Output!$Q$1:$Q$400,"yearly")+SUMIFS(SF_Output!$S$1:$S$400,SF_Output!$AC$1:$AC$400,_xlfn.TEXTJOIN(",",TRUE,B70:E70),SF_Output!$Q$1:$Q$400,"quarterly")*4)</f>
        <v>0</v>
      </c>
      <c r="S70" s="112" t="str">
        <f>IF(OR(B70=0,B70="",G70="hardware",R70=0),"",IF(AF70&lt;&gt;"exclusion",MAX(S$9,-(SUMIFS(SF_Output!$T$1:$T$400,SF_Output!$AC$1:$AC$400,_xlfn.TEXTJOIN(",",TRUE,$B70:$E70),SF_Output!$Q$1:$Q$400,"yearly"))/R70),-((SUMIFS(SF_Output!$T$1:$T$400,SF_Output!$AC$1:$AC$400,_xlfn.TEXTJOIN(",",TRUE,$B70:$E70),SF_Output!$Q$1:$Q$400,"yearly")/R70))))</f>
        <v/>
      </c>
      <c r="T70" s="6">
        <f t="shared" si="3"/>
        <v>0</v>
      </c>
      <c r="V70" s="6" cm="1">
        <f t="array" ref="V70">_xlfn.IFS(B70="","",AND(B70&lt;&gt;"",H70=SF_Output!$Y$2,SUMIFS(SF_Output!$T$1:$T$400,SF_Output!$AC$1:$AC$400,_xlfn.TEXTJOIN(",",TRUE,B70:E70),SF_Output!$Q$1:$Q$400,"monthly")=0),(SUMIFS(SF_Output!$F$1:$F$400,SF_Output!$AC$1:$AC$400,_xlfn.TEXTJOIN(",",TRUE,B70:E70),SF_Output!$Q$1:$Q$400,"monthly")+SUMIFS(SF_Output!$G$1:$G$400,SF_Output!$AC$1:$AC$400,_xlfn.TEXTJOIN(",",TRUE,B70:E70),SF_Output!$Q$1:$Q$400,"monthly"))*H70,AND(B70&lt;&gt;"",H70=SF_Output!$Y$2,SUMIFS(SF_Output!$T$1:$T$400,SF_Output!$AC$1:$AC$400,_xlfn.TEXTJOIN(",",TRUE,B70:E70),SF_Output!$Q$1:$Q$400,"monthly")&lt;&gt;0),SUMIFS(SF_Output!$S$1:$S$400,SF_Output!$AC$1:$AC$400,_xlfn.TEXTJOIN(",",TRUE,B70:E70),SF_Output!$Q$1:$Q$400,"monthly"),AND(B70&lt;&gt;"",H70&lt;&gt;SF_Output!$Y$2),SUMIFS(SF_Output!$S$1:$S$400,SF_Output!$AC$1:$AC$400,_xlfn.TEXTJOIN(",",TRUE,B70:E70),SF_Output!$Q$1:$Q$400,"monthly"))</f>
        <v>0</v>
      </c>
      <c r="W70" s="112" t="str" cm="1">
        <f t="array" ref="W70">_xlfn.IFS(OR(B70=0,B70="",V70=0),"",AF70&lt;&gt;"exclusion",MAX($W$9,$W$7,(-(SUMIFS(SF_Output!$T$1:$T$400,SF_Output!$AC$1:$AC$400,_xlfn.TEXTJOIN(",",TRUE,$B70:$E70),SF_Output!$Q$1:$Q$400,"monthly"))/V70)),AF70="exclusion",-(SUMIFS(SF_Output!$T$1:$T$400,SF_Output!$AC$1:$AC$400,_xlfn.TEXTJOIN(",",TRUE,$B70:$E70),SF_Output!$Q$1:$Q$400,"monthly"))/V70)</f>
        <v/>
      </c>
      <c r="X70" s="6" cm="1">
        <f t="array" ref="X70">IFERROR(_xlfn.IFS(V70=0,0,V70="","",W70=0,V70,OR(V70&lt;&gt;0,V70&lt;&gt;""),H70*I70),V70*(1-W70))</f>
        <v>0</v>
      </c>
      <c r="Z70" s="6">
        <f>IFERROR(IF(B70="","",SUMIFS(Billing_Fallout!H:H,Billing_Fallout!N:N,B70)),0)</f>
        <v>0</v>
      </c>
      <c r="AA70" s="6">
        <f t="shared" si="4"/>
        <v>0</v>
      </c>
      <c r="AB70" s="6">
        <f>IFERROR(IF(B70="","",SUMIFS(Billing_Fallout!J:J,Billing_Fallout!N:N,B70)),0)</f>
        <v>0</v>
      </c>
      <c r="AD70" s="6">
        <f t="shared" si="5"/>
        <v>0</v>
      </c>
      <c r="AF70" t="str">
        <f>IFERROR(INDEX(H_Tables!$B$1:$B$1500,MATCH(INDEX(SF_Output!$J$1:$J$400,MATCH(B70,SF_Output!$M$1:$M$400,0)),H_Tables!$A$1:$A$1500,0)),"")</f>
        <v>Exclusion</v>
      </c>
      <c r="AI70" s="119" t="str">
        <f t="shared" si="6"/>
        <v/>
      </c>
      <c r="AJ70" s="121">
        <f>IFERROR(INDEX(SF_Output!AD:AD,MATCH(_xlfn.TEXTJOIN(",",TRUE,B70:E70),SF_Output!AC1:AC400,0)),0.05)</f>
        <v>110</v>
      </c>
      <c r="AK70" t="str">
        <f>IF(SUMIFS(SF_Output!$F$1:$F$400,SF_Output!$AC$1:$AC$400,_xlfn.TEXTJOIN(",",TRUE,B70:E70))+SUMIFS(SF_Output!$G$1:$G$400,SF_Output!$AC$1:$AC$400,_xlfn.TEXTJOIN(",",TRUE,B70:E70))=0,"","PAP")</f>
        <v/>
      </c>
      <c r="AQ70" s="35"/>
      <c r="AR70" s="35" t="str" cm="1">
        <f t="array" ref="AR70">IFERROR(_xlfn.IFS(AND(E70*1=1,F70="Included"),"Change to Included",AND(E70*1=0,F70="Optional"),"Change to Optional",OR(B70="",F70="replaced"),""),"")</f>
        <v/>
      </c>
      <c r="AS70" s="35" t="str">
        <f t="shared" si="7"/>
        <v/>
      </c>
      <c r="AT70" s="35" t="str">
        <f t="shared" si="8"/>
        <v/>
      </c>
      <c r="AU70" s="35" t="str">
        <f t="shared" si="9"/>
        <v/>
      </c>
      <c r="AV70" s="35" t="str">
        <f t="shared" si="10"/>
        <v/>
      </c>
      <c r="AW70" s="35" t="str">
        <f t="shared" si="11"/>
        <v/>
      </c>
      <c r="AX70" s="35" t="str">
        <f t="shared" si="12"/>
        <v/>
      </c>
      <c r="AY70" s="35" t="str">
        <f t="shared" si="13"/>
        <v/>
      </c>
      <c r="AZ70" s="35" t="str">
        <f t="shared" si="14"/>
        <v/>
      </c>
      <c r="BA70" s="35" t="str">
        <f t="shared" si="15"/>
        <v/>
      </c>
      <c r="BB70" s="35" t="str">
        <f t="shared" si="16"/>
        <v/>
      </c>
      <c r="BC70" s="35"/>
      <c r="BE70" s="35">
        <f ca="1">INDEX(SF_Output!$AA$2:$AA$400,MATCH($B70,SF_Output!$M$2:$M$400,0))</f>
        <v>4</v>
      </c>
      <c r="BF70" s="35">
        <f ca="1">INDEX(SF_Output!$AB$2:$AB$400,MATCH($B70,SF_Output!$M$2:$M$400,0))</f>
        <v>2</v>
      </c>
    </row>
    <row r="71" spans="2:58" x14ac:dyDescent="0.25">
      <c r="B71" t="s">
        <v>1516</v>
      </c>
      <c r="C71" t="s">
        <v>2122</v>
      </c>
      <c r="D71" t="s">
        <v>2123</v>
      </c>
      <c r="E71" t="s">
        <v>2124</v>
      </c>
      <c r="F71" s="116" t="str">
        <f t="shared" si="0"/>
        <v>Included</v>
      </c>
      <c r="G71" t="str">
        <f>IF(B71="","",INDEX(SF_Output!$K$1:$K$400,MATCH(B71,SF_Output!$M$1:$M$400,0)))</f>
        <v>Synergy</v>
      </c>
      <c r="H71" cm="1">
        <f t="array" ref="H71">_xlfn.IFS(B71="","",(SUMIFS(SF_Output!$F$1:$F$400,SF_Output!$AC$1:$AC$400,_xlfn.TEXTJOIN(",",TRUE,B71:E71))+SUMIFS(SF_Output!$G$1:$G$400,SF_Output!$AC$1:$AC$400,_xlfn.TEXTJOIN(",",TRUE,B71:E71)))&lt;&gt;0,SF_Output!$Y$2,INDEX(SF_Output!$F$1:$F$400,MATCH(_xlfn.TEXTJOIN(",",TRUE,B71:E71),SF_Output!$AC$1:$AC$400,0))=0,INDEX(SF_Output!$R$1:$R$400,MATCH(_xlfn.TEXTJOIN(",",TRUE,B71:E71),SF_Output!$AC$1:$AC$400,0)))</f>
        <v>1</v>
      </c>
      <c r="I71" s="125" t="str">
        <f>IFERROR(IF(AND(H71&gt;1,H71&lt;&gt;""),ROUND(SUMIFS(SF_Output!$S$1:$S$400,SF_Output!$AC$1:$AC$400,_xlfn.TEXTJOIN(",",TRUE,B71:E71),SF_Output!$Q$1:$Q$400,"monthly")*(1-W71)/H71,4),""),"")</f>
        <v/>
      </c>
      <c r="J71" s="6">
        <f>IF(B71="","",SUMIFS(SF_Output!$S$1:$S$400,SF_Output!$AC$1:$AC$400,_xlfn.TEXTJOIN(",",TRUE,B71:E71),SF_Output!$Q$1:$Q$400,"One Time",SF_Output!$L$1:$L$400,"license fee")+SUMIFS(SF_Output!$S$1:$S$400,SF_Output!$AC$1:$AC$400,_xlfn.TEXTJOIN(",",TRUE,B71:E71),SF_Output!$Q$1:$Q$400,"One Time",SF_Output!$L$1:$L$400,"software license")+SUMIFS(SF_Output!$S$1:$S$400,SF_Output!$AC$1:$AC$400,_xlfn.TEXTJOIN(",",TRUE,B71:E71),SF_Output!$Q$1:$Q$400,"One Time",SF_Output!$L$1:$L$400,"hardware"))</f>
        <v>0</v>
      </c>
      <c r="K71" s="112" t="str">
        <f>IF(OR(B71=0,B71="",G71="hardware",J71=0),"",IF(AF71&lt;&gt;"exclusion",MAX(K$9,-((SUMIFS(SF_Output!$T$1:$T$400,SF_Output!$AC$1:$AC$400,_xlfn.TEXTJOIN(",",TRUE,$B71:$E71),SF_Output!$Q$1:$Q$400,"One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license"))/J71)))</f>
        <v/>
      </c>
      <c r="L71" s="6">
        <f t="shared" si="1"/>
        <v>0</v>
      </c>
      <c r="N71" s="6">
        <f>IF(B71="","",SUMIFS(SF_Output!$S$1:$S$400,SF_Output!$AC$1:$AC$400,_xlfn.TEXTJOIN(",",TRUE,B71:E71),SF_Output!$Q$1:$Q$400,"One Time",SF_Output!$L$1:$L$400,"professional service"))</f>
        <v>1900</v>
      </c>
      <c r="O71" s="112">
        <f>IF(OR(B71=0,B71="",N71=0),"",IF(AF71&lt;&gt;"exclusion",MAX(O$9,-(SUMIFS(SF_Output!$T$1:$T$400,SF_Output!$AC$1:$AC$400,_xlfn.TEXTJOIN(",",TRUE,$B71:$E71),SF_Output!$Q$1:$Q$400,"One Time",SF_Output!$L$1:$L$400,"professional service"))/N71),-((SUMIFS(SF_Output!$T$1:$T$400,SF_Output!$AC$1:$AC$400,_xlfn.TEXTJOIN(",",TRUE,$B71:$E71),SF_Output!$Q$1:$Q$400,"One Time",SF_Output!$L$1:$L$400,"professional service")/N71))))</f>
        <v>0</v>
      </c>
      <c r="P71" s="6">
        <f t="shared" si="2"/>
        <v>1900</v>
      </c>
      <c r="R71" s="6">
        <f>IF(B71="","",SUMIFS(SF_Output!$S$1:$S$400,SF_Output!$AC$1:$AC$400,_xlfn.TEXTJOIN(",",TRUE,B71:E71),SF_Output!$Q$1:$Q$400,"yearly")+SUMIFS(SF_Output!$S$1:$S$400,SF_Output!$AC$1:$AC$400,_xlfn.TEXTJOIN(",",TRUE,B71:E71),SF_Output!$Q$1:$Q$400,"quarterly")*4)</f>
        <v>0</v>
      </c>
      <c r="S71" s="112" t="str">
        <f>IF(OR(B71=0,B71="",G71="hardware",R71=0),"",IF(AF71&lt;&gt;"exclusion",MAX(S$9,-(SUMIFS(SF_Output!$T$1:$T$400,SF_Output!$AC$1:$AC$400,_xlfn.TEXTJOIN(",",TRUE,$B71:$E71),SF_Output!$Q$1:$Q$400,"yearly"))/R71),-((SUMIFS(SF_Output!$T$1:$T$400,SF_Output!$AC$1:$AC$400,_xlfn.TEXTJOIN(",",TRUE,$B71:$E71),SF_Output!$Q$1:$Q$400,"yearly")/R71))))</f>
        <v/>
      </c>
      <c r="T71" s="6">
        <f t="shared" si="3"/>
        <v>0</v>
      </c>
      <c r="V71" s="6" cm="1">
        <f t="array" ref="V71">_xlfn.IFS(B71="","",AND(B71&lt;&gt;"",H71=SF_Output!$Y$2,SUMIFS(SF_Output!$T$1:$T$400,SF_Output!$AC$1:$AC$400,_xlfn.TEXTJOIN(",",TRUE,B71:E71),SF_Output!$Q$1:$Q$400,"monthly")=0),(SUMIFS(SF_Output!$F$1:$F$400,SF_Output!$AC$1:$AC$400,_xlfn.TEXTJOIN(",",TRUE,B71:E71),SF_Output!$Q$1:$Q$400,"monthly")+SUMIFS(SF_Output!$G$1:$G$400,SF_Output!$AC$1:$AC$400,_xlfn.TEXTJOIN(",",TRUE,B71:E71),SF_Output!$Q$1:$Q$400,"monthly"))*H71,AND(B71&lt;&gt;"",H71=SF_Output!$Y$2,SUMIFS(SF_Output!$T$1:$T$400,SF_Output!$AC$1:$AC$400,_xlfn.TEXTJOIN(",",TRUE,B71:E71),SF_Output!$Q$1:$Q$400,"monthly")&lt;&gt;0),SUMIFS(SF_Output!$S$1:$S$400,SF_Output!$AC$1:$AC$400,_xlfn.TEXTJOIN(",",TRUE,B71:E71),SF_Output!$Q$1:$Q$400,"monthly"),AND(B71&lt;&gt;"",H71&lt;&gt;SF_Output!$Y$2),SUMIFS(SF_Output!$S$1:$S$400,SF_Output!$AC$1:$AC$400,_xlfn.TEXTJOIN(",",TRUE,B71:E71),SF_Output!$Q$1:$Q$400,"monthly"))</f>
        <v>0</v>
      </c>
      <c r="W71" s="112" t="str" cm="1">
        <f t="array" ref="W71">_xlfn.IFS(OR(B71=0,B71="",V71=0),"",AF71&lt;&gt;"exclusion",MAX($W$9,$W$7,(-(SUMIFS(SF_Output!$T$1:$T$400,SF_Output!$AC$1:$AC$400,_xlfn.TEXTJOIN(",",TRUE,$B71:$E71),SF_Output!$Q$1:$Q$400,"monthly"))/V71)),AF71="exclusion",-(SUMIFS(SF_Output!$T$1:$T$400,SF_Output!$AC$1:$AC$400,_xlfn.TEXTJOIN(",",TRUE,$B71:$E71),SF_Output!$Q$1:$Q$400,"monthly"))/V71)</f>
        <v/>
      </c>
      <c r="X71" s="6" cm="1">
        <f t="array" ref="X71">IFERROR(_xlfn.IFS(V71=0,0,V71="","",W71=0,V71,OR(V71&lt;&gt;0,V71&lt;&gt;""),H71*I71),V71*(1-W71))</f>
        <v>0</v>
      </c>
      <c r="Z71" s="6">
        <f>IFERROR(IF(B71="","",SUMIFS(Billing_Fallout!H:H,Billing_Fallout!N:N,B71)),0)</f>
        <v>0</v>
      </c>
      <c r="AA71" s="6">
        <f t="shared" si="4"/>
        <v>0</v>
      </c>
      <c r="AB71" s="6">
        <f>IFERROR(IF(B71="","",SUMIFS(Billing_Fallout!J:J,Billing_Fallout!N:N,B71)),0)</f>
        <v>0</v>
      </c>
      <c r="AD71" s="6">
        <f t="shared" si="5"/>
        <v>0</v>
      </c>
      <c r="AF71" t="str">
        <f>IFERROR(INDEX(H_Tables!$B$1:$B$1500,MATCH(INDEX(SF_Output!$J$1:$J$400,MATCH(B71,SF_Output!$M$1:$M$400,0)),H_Tables!$A$1:$A$1500,0)),"")</f>
        <v>Exclusion</v>
      </c>
      <c r="AI71" s="119" t="str">
        <f t="shared" si="6"/>
        <v/>
      </c>
      <c r="AJ71" s="121">
        <f>IFERROR(INDEX(SF_Output!AD:AD,MATCH(_xlfn.TEXTJOIN(",",TRUE,B71:E71),SF_Output!AC1:AC400,0)),0.05)</f>
        <v>111</v>
      </c>
      <c r="AK71" t="str">
        <f>IF(SUMIFS(SF_Output!$F$1:$F$400,SF_Output!$AC$1:$AC$400,_xlfn.TEXTJOIN(",",TRUE,B71:E71))+SUMIFS(SF_Output!$G$1:$G$400,SF_Output!$AC$1:$AC$400,_xlfn.TEXTJOIN(",",TRUE,B71:E71))=0,"","PAP")</f>
        <v/>
      </c>
      <c r="AQ71" s="35"/>
      <c r="AR71" s="35" t="str" cm="1">
        <f t="array" ref="AR71">IFERROR(_xlfn.IFS(AND(E71*1=1,F71="Included"),"Change to Included",AND(E71*1=0,F71="Optional"),"Change to Optional",OR(B71="",F71="replaced"),""),"")</f>
        <v/>
      </c>
      <c r="AS71" s="35" t="str">
        <f t="shared" si="7"/>
        <v/>
      </c>
      <c r="AT71" s="35" t="str">
        <f t="shared" si="8"/>
        <v/>
      </c>
      <c r="AU71" s="35" t="str">
        <f t="shared" si="9"/>
        <v/>
      </c>
      <c r="AV71" s="35" t="str">
        <f t="shared" si="10"/>
        <v/>
      </c>
      <c r="AW71" s="35" t="str">
        <f t="shared" si="11"/>
        <v/>
      </c>
      <c r="AX71" s="35" t="str">
        <f t="shared" si="12"/>
        <v/>
      </c>
      <c r="AY71" s="35" t="str">
        <f t="shared" si="13"/>
        <v/>
      </c>
      <c r="AZ71" s="35" t="str">
        <f t="shared" si="14"/>
        <v/>
      </c>
      <c r="BA71" s="35" t="str">
        <f t="shared" si="15"/>
        <v/>
      </c>
      <c r="BB71" s="35" t="str">
        <f t="shared" si="16"/>
        <v/>
      </c>
      <c r="BC71" s="35"/>
      <c r="BE71" s="35">
        <f ca="1">INDEX(SF_Output!$AA$2:$AA$400,MATCH($B71,SF_Output!$M$2:$M$400,0))</f>
        <v>4</v>
      </c>
      <c r="BF71" s="35">
        <f ca="1">INDEX(SF_Output!$AB$2:$AB$400,MATCH($B71,SF_Output!$M$2:$M$400,0))</f>
        <v>2</v>
      </c>
    </row>
    <row r="72" spans="2:58" x14ac:dyDescent="0.25">
      <c r="B72" t="s">
        <v>1853</v>
      </c>
      <c r="C72" t="s">
        <v>2122</v>
      </c>
      <c r="D72" t="s">
        <v>2123</v>
      </c>
      <c r="E72" t="s">
        <v>2124</v>
      </c>
      <c r="F72" s="116" t="str">
        <f t="shared" si="0"/>
        <v>Included</v>
      </c>
      <c r="G72" t="str">
        <f>IF(B72="","",INDEX(SF_Output!$K$1:$K$400,MATCH(B72,SF_Output!$M$1:$M$400,0)))</f>
        <v>Synergy</v>
      </c>
      <c r="H72" cm="1">
        <f t="array" ref="H72">_xlfn.IFS(B72="","",(SUMIFS(SF_Output!$F$1:$F$400,SF_Output!$AC$1:$AC$400,_xlfn.TEXTJOIN(",",TRUE,B72:E72))+SUMIFS(SF_Output!$G$1:$G$400,SF_Output!$AC$1:$AC$400,_xlfn.TEXTJOIN(",",TRUE,B72:E72)))&lt;&gt;0,SF_Output!$Y$2,INDEX(SF_Output!$F$1:$F$400,MATCH(_xlfn.TEXTJOIN(",",TRUE,B72:E72),SF_Output!$AC$1:$AC$400,0))=0,INDEX(SF_Output!$R$1:$R$400,MATCH(_xlfn.TEXTJOIN(",",TRUE,B72:E72),SF_Output!$AC$1:$AC$400,0)))</f>
        <v>1</v>
      </c>
      <c r="I72" s="125" t="str">
        <f>IFERROR(IF(AND(H72&gt;1,H72&lt;&gt;""),ROUND(SUMIFS(SF_Output!$S$1:$S$400,SF_Output!$AC$1:$AC$400,_xlfn.TEXTJOIN(",",TRUE,B72:E72),SF_Output!$Q$1:$Q$400,"monthly")*(1-W72)/H72,4),""),"")</f>
        <v/>
      </c>
      <c r="J72" s="6">
        <f>IF(B72="","",SUMIFS(SF_Output!$S$1:$S$400,SF_Output!$AC$1:$AC$400,_xlfn.TEXTJOIN(",",TRUE,B72:E72),SF_Output!$Q$1:$Q$400,"One Time",SF_Output!$L$1:$L$400,"license fee")+SUMIFS(SF_Output!$S$1:$S$400,SF_Output!$AC$1:$AC$400,_xlfn.TEXTJOIN(",",TRUE,B72:E72),SF_Output!$Q$1:$Q$400,"One Time",SF_Output!$L$1:$L$400,"software license")+SUMIFS(SF_Output!$S$1:$S$400,SF_Output!$AC$1:$AC$400,_xlfn.TEXTJOIN(",",TRUE,B72:E72),SF_Output!$Q$1:$Q$400,"One Time",SF_Output!$L$1:$L$400,"hardware"))</f>
        <v>0</v>
      </c>
      <c r="K72" s="112" t="str">
        <f>IF(OR(B72=0,B72="",G72="hardware",J72=0),"",IF(AF72&lt;&gt;"exclusion",MAX(K$9,-((SUMIFS(SF_Output!$T$1:$T$400,SF_Output!$AC$1:$AC$400,_xlfn.TEXTJOIN(",",TRUE,$B72:$E72),SF_Output!$Q$1:$Q$400,"One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license"))/J72)))</f>
        <v/>
      </c>
      <c r="L72" s="6">
        <f t="shared" si="1"/>
        <v>0</v>
      </c>
      <c r="N72" s="6">
        <f>IF(B72="","",SUMIFS(SF_Output!$S$1:$S$400,SF_Output!$AC$1:$AC$400,_xlfn.TEXTJOIN(",",TRUE,B72:E72),SF_Output!$Q$1:$Q$400,"One Time",SF_Output!$L$1:$L$400,"professional service"))</f>
        <v>5200</v>
      </c>
      <c r="O72" s="112">
        <f>IF(OR(B72=0,B72="",N72=0),"",IF(AF72&lt;&gt;"exclusion",MAX(O$9,-(SUMIFS(SF_Output!$T$1:$T$400,SF_Output!$AC$1:$AC$400,_xlfn.TEXTJOIN(",",TRUE,$B72:$E72),SF_Output!$Q$1:$Q$400,"One Time",SF_Output!$L$1:$L$400,"professional service"))/N72),-((SUMIFS(SF_Output!$T$1:$T$400,SF_Output!$AC$1:$AC$400,_xlfn.TEXTJOIN(",",TRUE,$B72:$E72),SF_Output!$Q$1:$Q$400,"One Time",SF_Output!$L$1:$L$400,"professional service")/N72))))</f>
        <v>0</v>
      </c>
      <c r="P72" s="6">
        <f t="shared" si="2"/>
        <v>5200</v>
      </c>
      <c r="R72" s="6">
        <f>IF(B72="","",SUMIFS(SF_Output!$S$1:$S$400,SF_Output!$AC$1:$AC$400,_xlfn.TEXTJOIN(",",TRUE,B72:E72),SF_Output!$Q$1:$Q$400,"yearly")+SUMIFS(SF_Output!$S$1:$S$400,SF_Output!$AC$1:$AC$400,_xlfn.TEXTJOIN(",",TRUE,B72:E72),SF_Output!$Q$1:$Q$400,"quarterly")*4)</f>
        <v>0</v>
      </c>
      <c r="S72" s="112" t="str">
        <f>IF(OR(B72=0,B72="",G72="hardware",R72=0),"",IF(AF72&lt;&gt;"exclusion",MAX(S$9,-(SUMIFS(SF_Output!$T$1:$T$400,SF_Output!$AC$1:$AC$400,_xlfn.TEXTJOIN(",",TRUE,$B72:$E72),SF_Output!$Q$1:$Q$400,"yearly"))/R72),-((SUMIFS(SF_Output!$T$1:$T$400,SF_Output!$AC$1:$AC$400,_xlfn.TEXTJOIN(",",TRUE,$B72:$E72),SF_Output!$Q$1:$Q$400,"yearly")/R72))))</f>
        <v/>
      </c>
      <c r="T72" s="6">
        <f t="shared" si="3"/>
        <v>0</v>
      </c>
      <c r="V72" s="6" cm="1">
        <f t="array" ref="V72">_xlfn.IFS(B72="","",AND(B72&lt;&gt;"",H72=SF_Output!$Y$2,SUMIFS(SF_Output!$T$1:$T$400,SF_Output!$AC$1:$AC$400,_xlfn.TEXTJOIN(",",TRUE,B72:E72),SF_Output!$Q$1:$Q$400,"monthly")=0),(SUMIFS(SF_Output!$F$1:$F$400,SF_Output!$AC$1:$AC$400,_xlfn.TEXTJOIN(",",TRUE,B72:E72),SF_Output!$Q$1:$Q$400,"monthly")+SUMIFS(SF_Output!$G$1:$G$400,SF_Output!$AC$1:$AC$400,_xlfn.TEXTJOIN(",",TRUE,B72:E72),SF_Output!$Q$1:$Q$400,"monthly"))*H72,AND(B72&lt;&gt;"",H72=SF_Output!$Y$2,SUMIFS(SF_Output!$T$1:$T$400,SF_Output!$AC$1:$AC$400,_xlfn.TEXTJOIN(",",TRUE,B72:E72),SF_Output!$Q$1:$Q$400,"monthly")&lt;&gt;0),SUMIFS(SF_Output!$S$1:$S$400,SF_Output!$AC$1:$AC$400,_xlfn.TEXTJOIN(",",TRUE,B72:E72),SF_Output!$Q$1:$Q$400,"monthly"),AND(B72&lt;&gt;"",H72&lt;&gt;SF_Output!$Y$2),SUMIFS(SF_Output!$S$1:$S$400,SF_Output!$AC$1:$AC$400,_xlfn.TEXTJOIN(",",TRUE,B72:E72),SF_Output!$Q$1:$Q$400,"monthly"))</f>
        <v>0</v>
      </c>
      <c r="W72" s="112" t="str" cm="1">
        <f t="array" ref="W72">_xlfn.IFS(OR(B72=0,B72="",V72=0),"",AF72&lt;&gt;"exclusion",MAX($W$9,$W$7,(-(SUMIFS(SF_Output!$T$1:$T$400,SF_Output!$AC$1:$AC$400,_xlfn.TEXTJOIN(",",TRUE,$B72:$E72),SF_Output!$Q$1:$Q$400,"monthly"))/V72)),AF72="exclusion",-(SUMIFS(SF_Output!$T$1:$T$400,SF_Output!$AC$1:$AC$400,_xlfn.TEXTJOIN(",",TRUE,$B72:$E72),SF_Output!$Q$1:$Q$400,"monthly"))/V72)</f>
        <v/>
      </c>
      <c r="X72" s="6" cm="1">
        <f t="array" ref="X72">IFERROR(_xlfn.IFS(V72=0,0,V72="","",W72=0,V72,OR(V72&lt;&gt;0,V72&lt;&gt;""),H72*I72),V72*(1-W72))</f>
        <v>0</v>
      </c>
      <c r="Z72" s="6">
        <f>IFERROR(IF(B72="","",SUMIFS(Billing_Fallout!H:H,Billing_Fallout!N:N,B72)),0)</f>
        <v>0</v>
      </c>
      <c r="AA72" s="6">
        <f t="shared" si="4"/>
        <v>0</v>
      </c>
      <c r="AB72" s="6">
        <f>IFERROR(IF(B72="","",SUMIFS(Billing_Fallout!J:J,Billing_Fallout!N:N,B72)),0)</f>
        <v>0</v>
      </c>
      <c r="AD72" s="6">
        <f t="shared" si="5"/>
        <v>0</v>
      </c>
      <c r="AF72" t="str">
        <f>IFERROR(INDEX(H_Tables!$B$1:$B$1500,MATCH(INDEX(SF_Output!$J$1:$J$400,MATCH(B72,SF_Output!$M$1:$M$400,0)),H_Tables!$A$1:$A$1500,0)),"")</f>
        <v>Exclusion</v>
      </c>
      <c r="AI72" s="119" t="str">
        <f t="shared" si="6"/>
        <v/>
      </c>
      <c r="AJ72" s="121">
        <f>IFERROR(INDEX(SF_Output!AD:AD,MATCH(_xlfn.TEXTJOIN(",",TRUE,B72:E72),SF_Output!AC1:AC400,0)),0.05)</f>
        <v>112</v>
      </c>
      <c r="AK72" t="str">
        <f>IF(SUMIFS(SF_Output!$F$1:$F$400,SF_Output!$AC$1:$AC$400,_xlfn.TEXTJOIN(",",TRUE,B72:E72))+SUMIFS(SF_Output!$G$1:$G$400,SF_Output!$AC$1:$AC$400,_xlfn.TEXTJOIN(",",TRUE,B72:E72))=0,"","PAP")</f>
        <v/>
      </c>
      <c r="AQ72" s="35"/>
      <c r="AR72" s="35" t="str" cm="1">
        <f t="array" ref="AR72">IFERROR(_xlfn.IFS(AND(E72*1=1,F72="Included"),"Change to Included",AND(E72*1=0,F72="Optional"),"Change to Optional",OR(B72="",F72="replaced"),""),"")</f>
        <v/>
      </c>
      <c r="AS72" s="35" t="str">
        <f t="shared" si="7"/>
        <v/>
      </c>
      <c r="AT72" s="35" t="str">
        <f t="shared" si="8"/>
        <v/>
      </c>
      <c r="AU72" s="35" t="str">
        <f t="shared" si="9"/>
        <v/>
      </c>
      <c r="AV72" s="35" t="str">
        <f t="shared" si="10"/>
        <v/>
      </c>
      <c r="AW72" s="35" t="str">
        <f t="shared" si="11"/>
        <v/>
      </c>
      <c r="AX72" s="35" t="str">
        <f t="shared" si="12"/>
        <v/>
      </c>
      <c r="AY72" s="35" t="str">
        <f t="shared" si="13"/>
        <v/>
      </c>
      <c r="AZ72" s="35" t="str">
        <f t="shared" si="14"/>
        <v/>
      </c>
      <c r="BA72" s="35" t="str">
        <f t="shared" si="15"/>
        <v/>
      </c>
      <c r="BB72" s="35" t="str">
        <f t="shared" si="16"/>
        <v/>
      </c>
      <c r="BC72" s="35"/>
      <c r="BE72" s="35">
        <f ca="1">INDEX(SF_Output!$AA$2:$AA$400,MATCH($B72,SF_Output!$M$2:$M$400,0))</f>
        <v>4</v>
      </c>
      <c r="BF72" s="35">
        <f ca="1">INDEX(SF_Output!$AB$2:$AB$400,MATCH($B72,SF_Output!$M$2:$M$400,0))</f>
        <v>2</v>
      </c>
    </row>
    <row r="73" spans="2:58" x14ac:dyDescent="0.25">
      <c r="B73" t="s">
        <v>2130</v>
      </c>
      <c r="C73" t="s">
        <v>2122</v>
      </c>
      <c r="D73" t="s">
        <v>2123</v>
      </c>
      <c r="E73" t="s">
        <v>2124</v>
      </c>
      <c r="F73" s="116" t="str">
        <f t="shared" si="0"/>
        <v>Included</v>
      </c>
      <c r="G73" t="str">
        <f>IF(B73="","",INDEX(SF_Output!$K$1:$K$400,MATCH(B73,SF_Output!$M$1:$M$400,0)))</f>
        <v>iPay</v>
      </c>
      <c r="H73" cm="1">
        <f t="array" ref="H73">_xlfn.IFS(B73="","",(SUMIFS(SF_Output!$F$1:$F$400,SF_Output!$AC$1:$AC$400,_xlfn.TEXTJOIN(",",TRUE,B73:E73))+SUMIFS(SF_Output!$G$1:$G$400,SF_Output!$AC$1:$AC$400,_xlfn.TEXTJOIN(",",TRUE,B73:E73)))&lt;&gt;0,SF_Output!$Y$2,INDEX(SF_Output!$F$1:$F$400,MATCH(_xlfn.TEXTJOIN(",",TRUE,B73:E73),SF_Output!$AC$1:$AC$400,0))=0,INDEX(SF_Output!$R$1:$R$400,MATCH(_xlfn.TEXTJOIN(",",TRUE,B73:E73),SF_Output!$AC$1:$AC$400,0)))</f>
        <v>1</v>
      </c>
      <c r="I73" s="125" t="str">
        <f>IFERROR(IF(AND(H73&gt;1,H73&lt;&gt;""),ROUND(SUMIFS(SF_Output!$S$1:$S$400,SF_Output!$AC$1:$AC$400,_xlfn.TEXTJOIN(",",TRUE,B73:E73),SF_Output!$Q$1:$Q$400,"monthly")*(1-W73)/H73,4),""),"")</f>
        <v/>
      </c>
      <c r="J73" s="6">
        <f>IF(B73="","",SUMIFS(SF_Output!$S$1:$S$400,SF_Output!$AC$1:$AC$400,_xlfn.TEXTJOIN(",",TRUE,B73:E73),SF_Output!$Q$1:$Q$400,"One Time",SF_Output!$L$1:$L$400,"license fee")+SUMIFS(SF_Output!$S$1:$S$400,SF_Output!$AC$1:$AC$400,_xlfn.TEXTJOIN(",",TRUE,B73:E73),SF_Output!$Q$1:$Q$400,"One Time",SF_Output!$L$1:$L$400,"software license")+SUMIFS(SF_Output!$S$1:$S$400,SF_Output!$AC$1:$AC$400,_xlfn.TEXTJOIN(",",TRUE,B73:E73),SF_Output!$Q$1:$Q$400,"One Time",SF_Output!$L$1:$L$400,"hardware"))</f>
        <v>0</v>
      </c>
      <c r="K73" s="112" t="str">
        <f>IF(OR(B73=0,B73="",G73="hardware",J73=0),"",IF(AF73&lt;&gt;"exclusion",MAX(K$9,-((SUMIFS(SF_Output!$T$1:$T$400,SF_Output!$AC$1:$AC$400,_xlfn.TEXTJOIN(",",TRUE,$B73:$E73),SF_Output!$Q$1:$Q$400,"One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license"))/J73)))</f>
        <v/>
      </c>
      <c r="L73" s="6">
        <f t="shared" si="1"/>
        <v>0</v>
      </c>
      <c r="N73" s="6">
        <f>IF(B73="","",SUMIFS(SF_Output!$S$1:$S$400,SF_Output!$AC$1:$AC$400,_xlfn.TEXTJOIN(",",TRUE,B73:E73),SF_Output!$Q$1:$Q$400,"One Time",SF_Output!$L$1:$L$400,"professional service"))</f>
        <v>2500</v>
      </c>
      <c r="O73" s="112">
        <f>IF(OR(B73=0,B73="",N73=0),"",IF(AF73&lt;&gt;"exclusion",MAX(O$9,-(SUMIFS(SF_Output!$T$1:$T$400,SF_Output!$AC$1:$AC$400,_xlfn.TEXTJOIN(",",TRUE,$B73:$E73),SF_Output!$Q$1:$Q$400,"One Time",SF_Output!$L$1:$L$400,"professional service"))/N73),-((SUMIFS(SF_Output!$T$1:$T$400,SF_Output!$AC$1:$AC$400,_xlfn.TEXTJOIN(",",TRUE,$B73:$E73),SF_Output!$Q$1:$Q$400,"One Time",SF_Output!$L$1:$L$400,"professional service")/N73))))</f>
        <v>1</v>
      </c>
      <c r="P73" s="6">
        <f t="shared" si="2"/>
        <v>0</v>
      </c>
      <c r="R73" s="6">
        <f>IF(B73="","",SUMIFS(SF_Output!$S$1:$S$400,SF_Output!$AC$1:$AC$400,_xlfn.TEXTJOIN(",",TRUE,B73:E73),SF_Output!$Q$1:$Q$400,"yearly")+SUMIFS(SF_Output!$S$1:$S$400,SF_Output!$AC$1:$AC$400,_xlfn.TEXTJOIN(",",TRUE,B73:E73),SF_Output!$Q$1:$Q$400,"quarterly")*4)</f>
        <v>0</v>
      </c>
      <c r="S73" s="112" t="str">
        <f>IF(OR(B73=0,B73="",G73="hardware",R73=0),"",IF(AF73&lt;&gt;"exclusion",MAX(S$9,-(SUMIFS(SF_Output!$T$1:$T$400,SF_Output!$AC$1:$AC$400,_xlfn.TEXTJOIN(",",TRUE,$B73:$E73),SF_Output!$Q$1:$Q$400,"yearly"))/R73),-((SUMIFS(SF_Output!$T$1:$T$400,SF_Output!$AC$1:$AC$400,_xlfn.TEXTJOIN(",",TRUE,$B73:$E73),SF_Output!$Q$1:$Q$400,"yearly")/R73))))</f>
        <v/>
      </c>
      <c r="T73" s="6">
        <f t="shared" si="3"/>
        <v>0</v>
      </c>
      <c r="V73" s="6" cm="1">
        <f t="array" ref="V73">_xlfn.IFS(B73="","",AND(B73&lt;&gt;"",H73=SF_Output!$Y$2,SUMIFS(SF_Output!$T$1:$T$400,SF_Output!$AC$1:$AC$400,_xlfn.TEXTJOIN(",",TRUE,B73:E73),SF_Output!$Q$1:$Q$400,"monthly")=0),(SUMIFS(SF_Output!$F$1:$F$400,SF_Output!$AC$1:$AC$400,_xlfn.TEXTJOIN(",",TRUE,B73:E73),SF_Output!$Q$1:$Q$400,"monthly")+SUMIFS(SF_Output!$G$1:$G$400,SF_Output!$AC$1:$AC$400,_xlfn.TEXTJOIN(",",TRUE,B73:E73),SF_Output!$Q$1:$Q$400,"monthly"))*H73,AND(B73&lt;&gt;"",H73=SF_Output!$Y$2,SUMIFS(SF_Output!$T$1:$T$400,SF_Output!$AC$1:$AC$400,_xlfn.TEXTJOIN(",",TRUE,B73:E73),SF_Output!$Q$1:$Q$400,"monthly")&lt;&gt;0),SUMIFS(SF_Output!$S$1:$S$400,SF_Output!$AC$1:$AC$400,_xlfn.TEXTJOIN(",",TRUE,B73:E73),SF_Output!$Q$1:$Q$400,"monthly"),AND(B73&lt;&gt;"",H73&lt;&gt;SF_Output!$Y$2),SUMIFS(SF_Output!$S$1:$S$400,SF_Output!$AC$1:$AC$400,_xlfn.TEXTJOIN(",",TRUE,B73:E73),SF_Output!$Q$1:$Q$400,"monthly"))</f>
        <v>400</v>
      </c>
      <c r="W73" s="112" cm="1">
        <f t="array" ref="W73">_xlfn.IFS(OR(B73=0,B73="",V73=0),"",AF73&lt;&gt;"exclusion",MAX($W$9,$W$7,(-(SUMIFS(SF_Output!$T$1:$T$400,SF_Output!$AC$1:$AC$400,_xlfn.TEXTJOIN(",",TRUE,$B73:$E73),SF_Output!$Q$1:$Q$400,"monthly"))/V73)),AF73="exclusion",-(SUMIFS(SF_Output!$T$1:$T$400,SF_Output!$AC$1:$AC$400,_xlfn.TEXTJOIN(",",TRUE,$B73:$E73),SF_Output!$Q$1:$Q$400,"monthly"))/V73)</f>
        <v>0</v>
      </c>
      <c r="X73" s="6" cm="1">
        <f t="array" ref="X73">IFERROR(_xlfn.IFS(V73=0,0,V73="","",W73=0,V73,OR(V73&lt;&gt;0,V73&lt;&gt;""),H73*I73),V73*(1-W73))</f>
        <v>400</v>
      </c>
      <c r="Z73" s="6">
        <f>IFERROR(IF(B73="","",SUMIFS(Billing_Fallout!H:H,Billing_Fallout!N:N,B73)),0)</f>
        <v>0</v>
      </c>
      <c r="AA73" s="6">
        <f t="shared" si="4"/>
        <v>0</v>
      </c>
      <c r="AB73" s="6">
        <f>IFERROR(IF(B73="","",SUMIFS(Billing_Fallout!J:J,Billing_Fallout!N:N,B73)),0)</f>
        <v>0</v>
      </c>
      <c r="AD73" s="6">
        <f t="shared" si="5"/>
        <v>400</v>
      </c>
      <c r="AF73" t="str">
        <f>IFERROR(INDEX(H_Tables!$B$1:$B$1500,MATCH(INDEX(SF_Output!$J$1:$J$400,MATCH(B73,SF_Output!$M$1:$M$400,0)),H_Tables!$A$1:$A$1500,0)),"")</f>
        <v>Exclusion</v>
      </c>
      <c r="AI73" s="119" t="str">
        <f t="shared" si="6"/>
        <v/>
      </c>
      <c r="AJ73" s="121">
        <f>IFERROR(INDEX(SF_Output!AD:AD,MATCH(_xlfn.TEXTJOIN(",",TRUE,B73:E73),SF_Output!AC1:AC400,0)),0.05)</f>
        <v>3</v>
      </c>
      <c r="AK73" t="str">
        <f>IF(SUMIFS(SF_Output!$F$1:$F$400,SF_Output!$AC$1:$AC$400,_xlfn.TEXTJOIN(",",TRUE,B73:E73))+SUMIFS(SF_Output!$G$1:$G$400,SF_Output!$AC$1:$AC$400,_xlfn.TEXTJOIN(",",TRUE,B73:E73))=0,"","PAP")</f>
        <v/>
      </c>
      <c r="AQ73" s="35"/>
      <c r="AR73" s="35" t="str" cm="1">
        <f t="array" ref="AR73">IFERROR(_xlfn.IFS(AND(E73*1=1,F73="Included"),"Change to Included",AND(E73*1=0,F73="Optional"),"Change to Optional",OR(B73="",F73="replaced"),""),"")</f>
        <v/>
      </c>
      <c r="AS73" s="35" t="str">
        <f t="shared" si="7"/>
        <v/>
      </c>
      <c r="AT73" s="35" t="str">
        <f t="shared" si="8"/>
        <v/>
      </c>
      <c r="AU73" s="35" t="str">
        <f t="shared" si="9"/>
        <v/>
      </c>
      <c r="AV73" s="35" t="str">
        <f t="shared" si="10"/>
        <v/>
      </c>
      <c r="AW73" s="35" t="str">
        <f t="shared" si="11"/>
        <v/>
      </c>
      <c r="AX73" s="35" t="str">
        <f t="shared" si="12"/>
        <v/>
      </c>
      <c r="AY73" s="35" t="str">
        <f t="shared" si="13"/>
        <v/>
      </c>
      <c r="AZ73" s="35" t="str">
        <f t="shared" si="14"/>
        <v/>
      </c>
      <c r="BA73" s="35" t="str">
        <f t="shared" si="15"/>
        <v/>
      </c>
      <c r="BB73" s="35" t="str">
        <f t="shared" si="16"/>
        <v/>
      </c>
      <c r="BC73" s="35"/>
      <c r="BE73" s="35">
        <f ca="1">INDEX(SF_Output!$AA$2:$AA$400,MATCH($B73,SF_Output!$M$2:$M$400,0))</f>
        <v>6</v>
      </c>
      <c r="BF73" s="35">
        <f ca="1">INDEX(SF_Output!$AB$2:$AB$400,MATCH($B73,SF_Output!$M$2:$M$400,0))</f>
        <v>3</v>
      </c>
    </row>
    <row r="74" spans="2:58" x14ac:dyDescent="0.25">
      <c r="B74" t="s">
        <v>2134</v>
      </c>
      <c r="C74" t="s">
        <v>2122</v>
      </c>
      <c r="D74" t="s">
        <v>2123</v>
      </c>
      <c r="E74" t="s">
        <v>2124</v>
      </c>
      <c r="F74" s="116" t="str">
        <f t="shared" si="0"/>
        <v>Included</v>
      </c>
      <c r="G74" t="str">
        <f>IF(B74="","",INDEX(SF_Output!$K$1:$K$400,MATCH(B74,SF_Output!$M$1:$M$400,0)))</f>
        <v>iPay</v>
      </c>
      <c r="H74" cm="1">
        <f t="array" ref="H74">_xlfn.IFS(B74="","",(SUMIFS(SF_Output!$F$1:$F$400,SF_Output!$AC$1:$AC$400,_xlfn.TEXTJOIN(",",TRUE,B74:E74))+SUMIFS(SF_Output!$G$1:$G$400,SF_Output!$AC$1:$AC$400,_xlfn.TEXTJOIN(",",TRUE,B74:E74)))&lt;&gt;0,SF_Output!$Y$2,INDEX(SF_Output!$F$1:$F$400,MATCH(_xlfn.TEXTJOIN(",",TRUE,B74:E74),SF_Output!$AC$1:$AC$400,0))=0,INDEX(SF_Output!$R$1:$R$400,MATCH(_xlfn.TEXTJOIN(",",TRUE,B74:E74),SF_Output!$AC$1:$AC$400,0)))</f>
        <v>1</v>
      </c>
      <c r="I74" s="125" t="str">
        <f>IFERROR(IF(AND(H74&gt;1,H74&lt;&gt;""),ROUND(SUMIFS(SF_Output!$S$1:$S$400,SF_Output!$AC$1:$AC$400,_xlfn.TEXTJOIN(",",TRUE,B74:E74),SF_Output!$Q$1:$Q$400,"monthly")*(1-W74)/H74,4),""),"")</f>
        <v/>
      </c>
      <c r="J74" s="6">
        <f>IF(B74="","",SUMIFS(SF_Output!$S$1:$S$400,SF_Output!$AC$1:$AC$400,_xlfn.TEXTJOIN(",",TRUE,B74:E74),SF_Output!$Q$1:$Q$400,"One Time",SF_Output!$L$1:$L$400,"license fee")+SUMIFS(SF_Output!$S$1:$S$400,SF_Output!$AC$1:$AC$400,_xlfn.TEXTJOIN(",",TRUE,B74:E74),SF_Output!$Q$1:$Q$400,"One Time",SF_Output!$L$1:$L$400,"software license")+SUMIFS(SF_Output!$S$1:$S$400,SF_Output!$AC$1:$AC$400,_xlfn.TEXTJOIN(",",TRUE,B74:E74),SF_Output!$Q$1:$Q$400,"One Time",SF_Output!$L$1:$L$400,"hardware"))</f>
        <v>0</v>
      </c>
      <c r="K74" s="112" t="str">
        <f>IF(OR(B74=0,B74="",G74="hardware",J74=0),"",IF(AF74&lt;&gt;"exclusion",MAX(K$9,-((SUMIFS(SF_Output!$T$1:$T$400,SF_Output!$AC$1:$AC$400,_xlfn.TEXTJOIN(",",TRUE,$B74:$E74),SF_Output!$Q$1:$Q$400,"One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license"))/J74)))</f>
        <v/>
      </c>
      <c r="L74" s="6">
        <f t="shared" si="1"/>
        <v>0</v>
      </c>
      <c r="N74" s="6">
        <f>IF(B74="","",SUMIFS(SF_Output!$S$1:$S$400,SF_Output!$AC$1:$AC$400,_xlfn.TEXTJOIN(",",TRUE,B74:E74),SF_Output!$Q$1:$Q$400,"One Time",SF_Output!$L$1:$L$400,"professional service"))</f>
        <v>0</v>
      </c>
      <c r="O74" s="112" t="str">
        <f>IF(OR(B74=0,B74="",N74=0),"",IF(AF74&lt;&gt;"exclusion",MAX(O$9,-(SUMIFS(SF_Output!$T$1:$T$400,SF_Output!$AC$1:$AC$400,_xlfn.TEXTJOIN(",",TRUE,$B74:$E74),SF_Output!$Q$1:$Q$400,"One Time",SF_Output!$L$1:$L$400,"professional service"))/N74),-((SUMIFS(SF_Output!$T$1:$T$400,SF_Output!$AC$1:$AC$400,_xlfn.TEXTJOIN(",",TRUE,$B74:$E74),SF_Output!$Q$1:$Q$400,"One Time",SF_Output!$L$1:$L$400,"professional service")/N74))))</f>
        <v/>
      </c>
      <c r="P74" s="6">
        <f t="shared" si="2"/>
        <v>0</v>
      </c>
      <c r="R74" s="6">
        <f>IF(B74="","",SUMIFS(SF_Output!$S$1:$S$400,SF_Output!$AC$1:$AC$400,_xlfn.TEXTJOIN(",",TRUE,B74:E74),SF_Output!$Q$1:$Q$400,"yearly")+SUMIFS(SF_Output!$S$1:$S$400,SF_Output!$AC$1:$AC$400,_xlfn.TEXTJOIN(",",TRUE,B74:E74),SF_Output!$Q$1:$Q$400,"quarterly")*4)</f>
        <v>630</v>
      </c>
      <c r="S74" s="112">
        <f>IF(OR(B74=0,B74="",G74="hardware",R74=0),"",IF(AF74&lt;&gt;"exclusion",MAX(S$9,-(SUMIFS(SF_Output!$T$1:$T$400,SF_Output!$AC$1:$AC$400,_xlfn.TEXTJOIN(",",TRUE,$B74:$E74),SF_Output!$Q$1:$Q$400,"yearly"))/R74),-((SUMIFS(SF_Output!$T$1:$T$400,SF_Output!$AC$1:$AC$400,_xlfn.TEXTJOIN(",",TRUE,$B74:$E74),SF_Output!$Q$1:$Q$400,"yearly")/R74))))</f>
        <v>0</v>
      </c>
      <c r="T74" s="6">
        <f t="shared" si="3"/>
        <v>630</v>
      </c>
      <c r="V74" s="6" cm="1">
        <f t="array" ref="V74">_xlfn.IFS(B74="","",AND(B74&lt;&gt;"",H74=SF_Output!$Y$2,SUMIFS(SF_Output!$T$1:$T$400,SF_Output!$AC$1:$AC$400,_xlfn.TEXTJOIN(",",TRUE,B74:E74),SF_Output!$Q$1:$Q$400,"monthly")=0),(SUMIFS(SF_Output!$F$1:$F$400,SF_Output!$AC$1:$AC$400,_xlfn.TEXTJOIN(",",TRUE,B74:E74),SF_Output!$Q$1:$Q$400,"monthly")+SUMIFS(SF_Output!$G$1:$G$400,SF_Output!$AC$1:$AC$400,_xlfn.TEXTJOIN(",",TRUE,B74:E74),SF_Output!$Q$1:$Q$400,"monthly"))*H74,AND(B74&lt;&gt;"",H74=SF_Output!$Y$2,SUMIFS(SF_Output!$T$1:$T$400,SF_Output!$AC$1:$AC$400,_xlfn.TEXTJOIN(",",TRUE,B74:E74),SF_Output!$Q$1:$Q$400,"monthly")&lt;&gt;0),SUMIFS(SF_Output!$S$1:$S$400,SF_Output!$AC$1:$AC$400,_xlfn.TEXTJOIN(",",TRUE,B74:E74),SF_Output!$Q$1:$Q$400,"monthly"),AND(B74&lt;&gt;"",H74&lt;&gt;SF_Output!$Y$2),SUMIFS(SF_Output!$S$1:$S$400,SF_Output!$AC$1:$AC$400,_xlfn.TEXTJOIN(",",TRUE,B74:E74),SF_Output!$Q$1:$Q$400,"monthly"))</f>
        <v>0</v>
      </c>
      <c r="W74" s="112" t="str" cm="1">
        <f t="array" ref="W74">_xlfn.IFS(OR(B74=0,B74="",V74=0),"",AF74&lt;&gt;"exclusion",MAX($W$9,$W$7,(-(SUMIFS(SF_Output!$T$1:$T$400,SF_Output!$AC$1:$AC$400,_xlfn.TEXTJOIN(",",TRUE,$B74:$E74),SF_Output!$Q$1:$Q$400,"monthly"))/V74)),AF74="exclusion",-(SUMIFS(SF_Output!$T$1:$T$400,SF_Output!$AC$1:$AC$400,_xlfn.TEXTJOIN(",",TRUE,$B74:$E74),SF_Output!$Q$1:$Q$400,"monthly"))/V74)</f>
        <v/>
      </c>
      <c r="X74" s="6" cm="1">
        <f t="array" ref="X74">IFERROR(_xlfn.IFS(V74=0,0,V74="","",W74=0,V74,OR(V74&lt;&gt;0,V74&lt;&gt;""),H74*I74),V74*(1-W74))</f>
        <v>0</v>
      </c>
      <c r="Z74" s="6">
        <f>IFERROR(IF(B74="","",SUMIFS(Billing_Fallout!H:H,Billing_Fallout!N:N,B74)),0)</f>
        <v>0</v>
      </c>
      <c r="AA74" s="6">
        <f t="shared" si="4"/>
        <v>0</v>
      </c>
      <c r="AB74" s="6">
        <f>IFERROR(IF(B74="","",SUMIFS(Billing_Fallout!J:J,Billing_Fallout!N:N,B74)),0)</f>
        <v>0</v>
      </c>
      <c r="AD74" s="6">
        <f t="shared" si="5"/>
        <v>0</v>
      </c>
      <c r="AF74" t="str">
        <f>IFERROR(INDEX(H_Tables!$B$1:$B$1500,MATCH(INDEX(SF_Output!$J$1:$J$400,MATCH(B74,SF_Output!$M$1:$M$400,0)),H_Tables!$A$1:$A$1500,0)),"")</f>
        <v>Exclusion</v>
      </c>
      <c r="AI74" s="119" t="str">
        <f t="shared" si="6"/>
        <v/>
      </c>
      <c r="AJ74" s="121">
        <f>IFERROR(INDEX(SF_Output!AD:AD,MATCH(_xlfn.TEXTJOIN(",",TRUE,B74:E74),SF_Output!AC1:AC400,0)),0.05)</f>
        <v>5</v>
      </c>
      <c r="AK74" t="str">
        <f>IF(SUMIFS(SF_Output!$F$1:$F$400,SF_Output!$AC$1:$AC$400,_xlfn.TEXTJOIN(",",TRUE,B74:E74))+SUMIFS(SF_Output!$G$1:$G$400,SF_Output!$AC$1:$AC$400,_xlfn.TEXTJOIN(",",TRUE,B74:E74))=0,"","PAP")</f>
        <v/>
      </c>
      <c r="AQ74" s="35"/>
      <c r="AR74" s="35" t="str" cm="1">
        <f t="array" ref="AR74">IFERROR(_xlfn.IFS(AND(E74*1=1,F74="Included"),"Change to Included",AND(E74*1=0,F74="Optional"),"Change to Optional",OR(B74="",F74="replaced"),""),"")</f>
        <v/>
      </c>
      <c r="AS74" s="35" t="str">
        <f t="shared" si="7"/>
        <v/>
      </c>
      <c r="AT74" s="35" t="str">
        <f t="shared" si="8"/>
        <v/>
      </c>
      <c r="AU74" s="35" t="str">
        <f t="shared" si="9"/>
        <v/>
      </c>
      <c r="AV74" s="35" t="str">
        <f t="shared" si="10"/>
        <v/>
      </c>
      <c r="AW74" s="35" t="str">
        <f t="shared" si="11"/>
        <v/>
      </c>
      <c r="AX74" s="35" t="str">
        <f t="shared" si="12"/>
        <v/>
      </c>
      <c r="AY74" s="35" t="str">
        <f t="shared" si="13"/>
        <v/>
      </c>
      <c r="AZ74" s="35" t="str">
        <f t="shared" si="14"/>
        <v/>
      </c>
      <c r="BA74" s="35" t="str">
        <f t="shared" si="15"/>
        <v/>
      </c>
      <c r="BB74" s="35" t="str">
        <f t="shared" si="16"/>
        <v/>
      </c>
      <c r="BC74" s="35"/>
      <c r="BE74" s="35">
        <f ca="1">INDEX(SF_Output!$AA$2:$AA$400,MATCH($B74,SF_Output!$M$2:$M$400,0))</f>
        <v>6</v>
      </c>
      <c r="BF74" s="35">
        <f ca="1">INDEX(SF_Output!$AB$2:$AB$400,MATCH($B74,SF_Output!$M$2:$M$400,0))</f>
        <v>3</v>
      </c>
    </row>
    <row r="75" spans="2:58" x14ac:dyDescent="0.25">
      <c r="B75" t="s">
        <v>1161</v>
      </c>
      <c r="C75" t="s">
        <v>2122</v>
      </c>
      <c r="D75" t="s">
        <v>2123</v>
      </c>
      <c r="E75" t="s">
        <v>2124</v>
      </c>
      <c r="F75" s="116" t="str">
        <f t="shared" si="0"/>
        <v>Included</v>
      </c>
      <c r="G75" t="str">
        <f>IF(B75="","",INDEX(SF_Output!$K$1:$K$400,MATCH(B75,SF_Output!$M$1:$M$400,0)))</f>
        <v>iPay</v>
      </c>
      <c r="H75" cm="1">
        <f t="array" ref="H75">_xlfn.IFS(B75="","",(SUMIFS(SF_Output!$F$1:$F$400,SF_Output!$AC$1:$AC$400,_xlfn.TEXTJOIN(",",TRUE,B75:E75))+SUMIFS(SF_Output!$G$1:$G$400,SF_Output!$AC$1:$AC$400,_xlfn.TEXTJOIN(",",TRUE,B75:E75)))&lt;&gt;0,SF_Output!$Y$2,INDEX(SF_Output!$F$1:$F$400,MATCH(_xlfn.TEXTJOIN(",",TRUE,B75:E75),SF_Output!$AC$1:$AC$400,0))=0,INDEX(SF_Output!$R$1:$R$400,MATCH(_xlfn.TEXTJOIN(",",TRUE,B75:E75),SF_Output!$AC$1:$AC$400,0)))</f>
        <v>1</v>
      </c>
      <c r="I75" s="125" t="str">
        <f>IFERROR(IF(AND(H75&gt;1,H75&lt;&gt;""),ROUND(SUMIFS(SF_Output!$S$1:$S$400,SF_Output!$AC$1:$AC$400,_xlfn.TEXTJOIN(",",TRUE,B75:E75),SF_Output!$Q$1:$Q$400,"monthly")*(1-W75)/H75,4),""),"")</f>
        <v/>
      </c>
      <c r="J75" s="6">
        <f>IF(B75="","",SUMIFS(SF_Output!$S$1:$S$400,SF_Output!$AC$1:$AC$400,_xlfn.TEXTJOIN(",",TRUE,B75:E75),SF_Output!$Q$1:$Q$400,"One Time",SF_Output!$L$1:$L$400,"license fee")+SUMIFS(SF_Output!$S$1:$S$400,SF_Output!$AC$1:$AC$400,_xlfn.TEXTJOIN(",",TRUE,B75:E75),SF_Output!$Q$1:$Q$400,"One Time",SF_Output!$L$1:$L$400,"software license")+SUMIFS(SF_Output!$S$1:$S$400,SF_Output!$AC$1:$AC$400,_xlfn.TEXTJOIN(",",TRUE,B75:E75),SF_Output!$Q$1:$Q$400,"One Time",SF_Output!$L$1:$L$400,"hardware"))</f>
        <v>0</v>
      </c>
      <c r="K75" s="112" t="str">
        <f>IF(OR(B75=0,B75="",G75="hardware",J75=0),"",IF(AF75&lt;&gt;"exclusion",MAX(K$9,-((SUMIFS(SF_Output!$T$1:$T$400,SF_Output!$AC$1:$AC$400,_xlfn.TEXTJOIN(",",TRUE,$B75:$E75),SF_Output!$Q$1:$Q$400,"One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license"))/J75)))</f>
        <v/>
      </c>
      <c r="L75" s="6">
        <f t="shared" si="1"/>
        <v>0</v>
      </c>
      <c r="N75" s="6">
        <f>IF(B75="","",SUMIFS(SF_Output!$S$1:$S$400,SF_Output!$AC$1:$AC$400,_xlfn.TEXTJOIN(",",TRUE,B75:E75),SF_Output!$Q$1:$Q$400,"One Time",SF_Output!$L$1:$L$400,"professional service"))</f>
        <v>0</v>
      </c>
      <c r="O75" s="112" t="str">
        <f>IF(OR(B75=0,B75="",N75=0),"",IF(AF75&lt;&gt;"exclusion",MAX(O$9,-(SUMIFS(SF_Output!$T$1:$T$400,SF_Output!$AC$1:$AC$400,_xlfn.TEXTJOIN(",",TRUE,$B75:$E75),SF_Output!$Q$1:$Q$400,"One Time",SF_Output!$L$1:$L$400,"professional service"))/N75),-((SUMIFS(SF_Output!$T$1:$T$400,SF_Output!$AC$1:$AC$400,_xlfn.TEXTJOIN(",",TRUE,$B75:$E75),SF_Output!$Q$1:$Q$400,"One Time",SF_Output!$L$1:$L$400,"professional service")/N75))))</f>
        <v/>
      </c>
      <c r="P75" s="6">
        <f t="shared" si="2"/>
        <v>0</v>
      </c>
      <c r="R75" s="6">
        <f>IF(B75="","",SUMIFS(SF_Output!$S$1:$S$400,SF_Output!$AC$1:$AC$400,_xlfn.TEXTJOIN(",",TRUE,B75:E75),SF_Output!$Q$1:$Q$400,"yearly")+SUMIFS(SF_Output!$S$1:$S$400,SF_Output!$AC$1:$AC$400,_xlfn.TEXTJOIN(",",TRUE,B75:E75),SF_Output!$Q$1:$Q$400,"quarterly")*4)</f>
        <v>0</v>
      </c>
      <c r="S75" s="112" t="str">
        <f>IF(OR(B75=0,B75="",G75="hardware",R75=0),"",IF(AF75&lt;&gt;"exclusion",MAX(S$9,-(SUMIFS(SF_Output!$T$1:$T$400,SF_Output!$AC$1:$AC$400,_xlfn.TEXTJOIN(",",TRUE,$B75:$E75),SF_Output!$Q$1:$Q$400,"yearly"))/R75),-((SUMIFS(SF_Output!$T$1:$T$400,SF_Output!$AC$1:$AC$400,_xlfn.TEXTJOIN(",",TRUE,$B75:$E75),SF_Output!$Q$1:$Q$400,"yearly")/R75))))</f>
        <v/>
      </c>
      <c r="T75" s="6">
        <f t="shared" si="3"/>
        <v>0</v>
      </c>
      <c r="V75" s="6" cm="1">
        <f t="array" ref="V75">_xlfn.IFS(B75="","",AND(B75&lt;&gt;"",H75=SF_Output!$Y$2,SUMIFS(SF_Output!$T$1:$T$400,SF_Output!$AC$1:$AC$400,_xlfn.TEXTJOIN(",",TRUE,B75:E75),SF_Output!$Q$1:$Q$400,"monthly")=0),(SUMIFS(SF_Output!$F$1:$F$400,SF_Output!$AC$1:$AC$400,_xlfn.TEXTJOIN(",",TRUE,B75:E75),SF_Output!$Q$1:$Q$400,"monthly")+SUMIFS(SF_Output!$G$1:$G$400,SF_Output!$AC$1:$AC$400,_xlfn.TEXTJOIN(",",TRUE,B75:E75),SF_Output!$Q$1:$Q$400,"monthly"))*H75,AND(B75&lt;&gt;"",H75=SF_Output!$Y$2,SUMIFS(SF_Output!$T$1:$T$400,SF_Output!$AC$1:$AC$400,_xlfn.TEXTJOIN(",",TRUE,B75:E75),SF_Output!$Q$1:$Q$400,"monthly")&lt;&gt;0),SUMIFS(SF_Output!$S$1:$S$400,SF_Output!$AC$1:$AC$400,_xlfn.TEXTJOIN(",",TRUE,B75:E75),SF_Output!$Q$1:$Q$400,"monthly"),AND(B75&lt;&gt;"",H75&lt;&gt;SF_Output!$Y$2),SUMIFS(SF_Output!$S$1:$S$400,SF_Output!$AC$1:$AC$400,_xlfn.TEXTJOIN(",",TRUE,B75:E75),SF_Output!$Q$1:$Q$400,"monthly"))</f>
        <v>0</v>
      </c>
      <c r="W75" s="112" t="str" cm="1">
        <f t="array" ref="W75">_xlfn.IFS(OR(B75=0,B75="",V75=0),"",AF75&lt;&gt;"exclusion",MAX($W$9,$W$7,(-(SUMIFS(SF_Output!$T$1:$T$400,SF_Output!$AC$1:$AC$400,_xlfn.TEXTJOIN(",",TRUE,$B75:$E75),SF_Output!$Q$1:$Q$400,"monthly"))/V75)),AF75="exclusion",-(SUMIFS(SF_Output!$T$1:$T$400,SF_Output!$AC$1:$AC$400,_xlfn.TEXTJOIN(",",TRUE,$B75:$E75),SF_Output!$Q$1:$Q$400,"monthly"))/V75)</f>
        <v/>
      </c>
      <c r="X75" s="6" cm="1">
        <f t="array" ref="X75">IFERROR(_xlfn.IFS(V75=0,0,V75="","",W75=0,V75,OR(V75&lt;&gt;0,V75&lt;&gt;""),H75*I75),V75*(1-W75))</f>
        <v>0</v>
      </c>
      <c r="Z75" s="6">
        <f>IFERROR(IF(B75="","",SUMIFS(Billing_Fallout!H:H,Billing_Fallout!N:N,B75)),0)</f>
        <v>0</v>
      </c>
      <c r="AA75" s="6">
        <f t="shared" si="4"/>
        <v>0</v>
      </c>
      <c r="AB75" s="6">
        <f>IFERROR(IF(B75="","",SUMIFS(Billing_Fallout!J:J,Billing_Fallout!N:N,B75)),0)</f>
        <v>0</v>
      </c>
      <c r="AD75" s="6">
        <f t="shared" si="5"/>
        <v>0</v>
      </c>
      <c r="AF75" t="str">
        <f>IFERROR(INDEX(H_Tables!$B$1:$B$1500,MATCH(INDEX(SF_Output!$J$1:$J$400,MATCH(B75,SF_Output!$M$1:$M$400,0)),H_Tables!$A$1:$A$1500,0)),"")</f>
        <v>Exclusion</v>
      </c>
      <c r="AI75" s="119" t="str">
        <f t="shared" si="6"/>
        <v/>
      </c>
      <c r="AJ75" s="121">
        <f>IFERROR(INDEX(SF_Output!AD:AD,MATCH(_xlfn.TEXTJOIN(",",TRUE,B75:E75),SF_Output!AC1:AC400,0)),0.05)</f>
        <v>6</v>
      </c>
      <c r="AK75" t="str">
        <f>IF(SUMIFS(SF_Output!$F$1:$F$400,SF_Output!$AC$1:$AC$400,_xlfn.TEXTJOIN(",",TRUE,B75:E75))+SUMIFS(SF_Output!$G$1:$G$400,SF_Output!$AC$1:$AC$400,_xlfn.TEXTJOIN(",",TRUE,B75:E75))=0,"","PAP")</f>
        <v/>
      </c>
      <c r="AQ75" s="35"/>
      <c r="AR75" s="35" t="str" cm="1">
        <f t="array" ref="AR75">IFERROR(_xlfn.IFS(AND(E75*1=1,F75="Included"),"Change to Included",AND(E75*1=0,F75="Optional"),"Change to Optional",OR(B75="",F75="replaced"),""),"")</f>
        <v/>
      </c>
      <c r="AS75" s="35" t="str">
        <f t="shared" si="7"/>
        <v/>
      </c>
      <c r="AT75" s="35" t="str">
        <f t="shared" si="8"/>
        <v/>
      </c>
      <c r="AU75" s="35" t="str">
        <f t="shared" si="9"/>
        <v/>
      </c>
      <c r="AV75" s="35" t="str">
        <f t="shared" si="10"/>
        <v/>
      </c>
      <c r="AW75" s="35" t="str">
        <f t="shared" si="11"/>
        <v/>
      </c>
      <c r="AX75" s="35" t="str">
        <f t="shared" si="12"/>
        <v/>
      </c>
      <c r="AY75" s="35" t="str">
        <f t="shared" si="13"/>
        <v/>
      </c>
      <c r="AZ75" s="35" t="str">
        <f t="shared" si="14"/>
        <v/>
      </c>
      <c r="BA75" s="35" t="str">
        <f t="shared" si="15"/>
        <v/>
      </c>
      <c r="BB75" s="35" t="str">
        <f t="shared" si="16"/>
        <v/>
      </c>
      <c r="BC75" s="35"/>
      <c r="BE75" s="35">
        <f ca="1">INDEX(SF_Output!$AA$2:$AA$400,MATCH($B75,SF_Output!$M$2:$M$400,0))</f>
        <v>6</v>
      </c>
      <c r="BF75" s="35">
        <f ca="1">INDEX(SF_Output!$AB$2:$AB$400,MATCH($B75,SF_Output!$M$2:$M$400,0))</f>
        <v>3</v>
      </c>
    </row>
    <row r="76" spans="2:58" x14ac:dyDescent="0.25">
      <c r="B76" t="s">
        <v>2138</v>
      </c>
      <c r="C76" t="s">
        <v>2122</v>
      </c>
      <c r="D76" t="s">
        <v>2123</v>
      </c>
      <c r="E76" t="s">
        <v>2124</v>
      </c>
      <c r="F76" s="116" t="str">
        <f t="shared" si="0"/>
        <v>Included</v>
      </c>
      <c r="G76" t="str">
        <f>IF(B76="","",INDEX(SF_Output!$K$1:$K$400,MATCH(B76,SF_Output!$M$1:$M$400,0)))</f>
        <v>iPay</v>
      </c>
      <c r="H76" cm="1">
        <f t="array" ref="H76">_xlfn.IFS(B76="","",(SUMIFS(SF_Output!$F$1:$F$400,SF_Output!$AC$1:$AC$400,_xlfn.TEXTJOIN(",",TRUE,B76:E76))+SUMIFS(SF_Output!$G$1:$G$400,SF_Output!$AC$1:$AC$400,_xlfn.TEXTJOIN(",",TRUE,B76:E76)))&lt;&gt;0,SF_Output!$Y$2,INDEX(SF_Output!$F$1:$F$400,MATCH(_xlfn.TEXTJOIN(",",TRUE,B76:E76),SF_Output!$AC$1:$AC$400,0))=0,INDEX(SF_Output!$R$1:$R$400,MATCH(_xlfn.TEXTJOIN(",",TRUE,B76:E76),SF_Output!$AC$1:$AC$400,0)))</f>
        <v>1</v>
      </c>
      <c r="I76" s="125" t="str">
        <f>IFERROR(IF(AND(H76&gt;1,H76&lt;&gt;""),ROUND(SUMIFS(SF_Output!$S$1:$S$400,SF_Output!$AC$1:$AC$400,_xlfn.TEXTJOIN(",",TRUE,B76:E76),SF_Output!$Q$1:$Q$400,"monthly")*(1-W76)/H76,4),""),"")</f>
        <v/>
      </c>
      <c r="J76" s="6">
        <f>IF(B76="","",SUMIFS(SF_Output!$S$1:$S$400,SF_Output!$AC$1:$AC$400,_xlfn.TEXTJOIN(",",TRUE,B76:E76),SF_Output!$Q$1:$Q$400,"One Time",SF_Output!$L$1:$L$400,"license fee")+SUMIFS(SF_Output!$S$1:$S$400,SF_Output!$AC$1:$AC$400,_xlfn.TEXTJOIN(",",TRUE,B76:E76),SF_Output!$Q$1:$Q$400,"One Time",SF_Output!$L$1:$L$400,"software license")+SUMIFS(SF_Output!$S$1:$S$400,SF_Output!$AC$1:$AC$400,_xlfn.TEXTJOIN(",",TRUE,B76:E76),SF_Output!$Q$1:$Q$400,"One Time",SF_Output!$L$1:$L$400,"hardware"))</f>
        <v>0</v>
      </c>
      <c r="K76" s="112" t="str">
        <f>IF(OR(B76=0,B76="",G76="hardware",J76=0),"",IF(AF76&lt;&gt;"exclusion",MAX(K$9,-((SUMIFS(SF_Output!$T$1:$T$400,SF_Output!$AC$1:$AC$400,_xlfn.TEXTJOIN(",",TRUE,$B76:$E76),SF_Output!$Q$1:$Q$400,"One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license"))/J76)))</f>
        <v/>
      </c>
      <c r="L76" s="6">
        <f t="shared" si="1"/>
        <v>0</v>
      </c>
      <c r="N76" s="6">
        <f>IF(B76="","",SUMIFS(SF_Output!$S$1:$S$400,SF_Output!$AC$1:$AC$400,_xlfn.TEXTJOIN(",",TRUE,B76:E76),SF_Output!$Q$1:$Q$400,"One Time",SF_Output!$L$1:$L$400,"professional service"))</f>
        <v>10000</v>
      </c>
      <c r="O76" s="112">
        <f>IF(OR(B76=0,B76="",N76=0),"",IF(AF76&lt;&gt;"exclusion",MAX(O$9,-(SUMIFS(SF_Output!$T$1:$T$400,SF_Output!$AC$1:$AC$400,_xlfn.TEXTJOIN(",",TRUE,$B76:$E76),SF_Output!$Q$1:$Q$400,"One Time",SF_Output!$L$1:$L$400,"professional service"))/N76),-((SUMIFS(SF_Output!$T$1:$T$400,SF_Output!$AC$1:$AC$400,_xlfn.TEXTJOIN(",",TRUE,$B76:$E76),SF_Output!$Q$1:$Q$400,"One Time",SF_Output!$L$1:$L$400,"professional service")/N76))))</f>
        <v>1</v>
      </c>
      <c r="P76" s="6">
        <f t="shared" si="2"/>
        <v>0</v>
      </c>
      <c r="R76" s="6">
        <f>IF(B76="","",SUMIFS(SF_Output!$S$1:$S$400,SF_Output!$AC$1:$AC$400,_xlfn.TEXTJOIN(",",TRUE,B76:E76),SF_Output!$Q$1:$Q$400,"yearly")+SUMIFS(SF_Output!$S$1:$S$400,SF_Output!$AC$1:$AC$400,_xlfn.TEXTJOIN(",",TRUE,B76:E76),SF_Output!$Q$1:$Q$400,"quarterly")*4)</f>
        <v>0</v>
      </c>
      <c r="S76" s="112" t="str">
        <f>IF(OR(B76=0,B76="",G76="hardware",R76=0),"",IF(AF76&lt;&gt;"exclusion",MAX(S$9,-(SUMIFS(SF_Output!$T$1:$T$400,SF_Output!$AC$1:$AC$400,_xlfn.TEXTJOIN(",",TRUE,$B76:$E76),SF_Output!$Q$1:$Q$400,"yearly"))/R76),-((SUMIFS(SF_Output!$T$1:$T$400,SF_Output!$AC$1:$AC$400,_xlfn.TEXTJOIN(",",TRUE,$B76:$E76),SF_Output!$Q$1:$Q$400,"yearly")/R76))))</f>
        <v/>
      </c>
      <c r="T76" s="6">
        <f t="shared" si="3"/>
        <v>0</v>
      </c>
      <c r="V76" s="6" cm="1">
        <f t="array" ref="V76">_xlfn.IFS(B76="","",AND(B76&lt;&gt;"",H76=SF_Output!$Y$2,SUMIFS(SF_Output!$T$1:$T$400,SF_Output!$AC$1:$AC$400,_xlfn.TEXTJOIN(",",TRUE,B76:E76),SF_Output!$Q$1:$Q$400,"monthly")=0),(SUMIFS(SF_Output!$F$1:$F$400,SF_Output!$AC$1:$AC$400,_xlfn.TEXTJOIN(",",TRUE,B76:E76),SF_Output!$Q$1:$Q$400,"monthly")+SUMIFS(SF_Output!$G$1:$G$400,SF_Output!$AC$1:$AC$400,_xlfn.TEXTJOIN(",",TRUE,B76:E76),SF_Output!$Q$1:$Q$400,"monthly"))*H76,AND(B76&lt;&gt;"",H76=SF_Output!$Y$2,SUMIFS(SF_Output!$T$1:$T$400,SF_Output!$AC$1:$AC$400,_xlfn.TEXTJOIN(",",TRUE,B76:E76),SF_Output!$Q$1:$Q$400,"monthly")&lt;&gt;0),SUMIFS(SF_Output!$S$1:$S$400,SF_Output!$AC$1:$AC$400,_xlfn.TEXTJOIN(",",TRUE,B76:E76),SF_Output!$Q$1:$Q$400,"monthly"),AND(B76&lt;&gt;"",H76&lt;&gt;SF_Output!$Y$2),SUMIFS(SF_Output!$S$1:$S$400,SF_Output!$AC$1:$AC$400,_xlfn.TEXTJOIN(",",TRUE,B76:E76),SF_Output!$Q$1:$Q$400,"monthly"))</f>
        <v>0</v>
      </c>
      <c r="W76" s="112" t="str" cm="1">
        <f t="array" ref="W76">_xlfn.IFS(OR(B76=0,B76="",V76=0),"",AF76&lt;&gt;"exclusion",MAX($W$9,$W$7,(-(SUMIFS(SF_Output!$T$1:$T$400,SF_Output!$AC$1:$AC$400,_xlfn.TEXTJOIN(",",TRUE,$B76:$E76),SF_Output!$Q$1:$Q$400,"monthly"))/V76)),AF76="exclusion",-(SUMIFS(SF_Output!$T$1:$T$400,SF_Output!$AC$1:$AC$400,_xlfn.TEXTJOIN(",",TRUE,$B76:$E76),SF_Output!$Q$1:$Q$400,"monthly"))/V76)</f>
        <v/>
      </c>
      <c r="X76" s="6" cm="1">
        <f t="array" ref="X76">IFERROR(_xlfn.IFS(V76=0,0,V76="","",W76=0,V76,OR(V76&lt;&gt;0,V76&lt;&gt;""),H76*I76),V76*(1-W76))</f>
        <v>0</v>
      </c>
      <c r="Z76" s="6">
        <f>IFERROR(IF(B76="","",SUMIFS(Billing_Fallout!H:H,Billing_Fallout!N:N,B76)),0)</f>
        <v>0</v>
      </c>
      <c r="AA76" s="6">
        <f t="shared" si="4"/>
        <v>0</v>
      </c>
      <c r="AB76" s="6">
        <f>IFERROR(IF(B76="","",SUMIFS(Billing_Fallout!J:J,Billing_Fallout!N:N,B76)),0)</f>
        <v>0</v>
      </c>
      <c r="AD76" s="6">
        <f t="shared" si="5"/>
        <v>0</v>
      </c>
      <c r="AF76" t="str">
        <f>IFERROR(INDEX(H_Tables!$B$1:$B$1500,MATCH(INDEX(SF_Output!$J$1:$J$400,MATCH(B76,SF_Output!$M$1:$M$400,0)),H_Tables!$A$1:$A$1500,0)),"")</f>
        <v/>
      </c>
      <c r="AI76" s="119" t="str">
        <f t="shared" si="6"/>
        <v/>
      </c>
      <c r="AJ76" s="121">
        <f>IFERROR(INDEX(SF_Output!AD:AD,MATCH(_xlfn.TEXTJOIN(",",TRUE,B76:E76),SF_Output!AC1:AC400,0)),0.05)</f>
        <v>7</v>
      </c>
      <c r="AK76" t="str">
        <f>IF(SUMIFS(SF_Output!$F$1:$F$400,SF_Output!$AC$1:$AC$400,_xlfn.TEXTJOIN(",",TRUE,B76:E76))+SUMIFS(SF_Output!$G$1:$G$400,SF_Output!$AC$1:$AC$400,_xlfn.TEXTJOIN(",",TRUE,B76:E76))=0,"","PAP")</f>
        <v/>
      </c>
      <c r="AQ76" s="35"/>
      <c r="AR76" s="35" t="str" cm="1">
        <f t="array" ref="AR76">IFERROR(_xlfn.IFS(AND(E76*1=1,F76="Included"),"Change to Included",AND(E76*1=0,F76="Optional"),"Change to Optional",OR(B76="",F76="replaced"),""),"")</f>
        <v/>
      </c>
      <c r="AS76" s="35" t="str">
        <f t="shared" si="7"/>
        <v/>
      </c>
      <c r="AT76" s="35" t="str">
        <f t="shared" si="8"/>
        <v/>
      </c>
      <c r="AU76" s="35" t="str">
        <f t="shared" si="9"/>
        <v/>
      </c>
      <c r="AV76" s="35" t="str">
        <f t="shared" si="10"/>
        <v/>
      </c>
      <c r="AW76" s="35" t="str">
        <f t="shared" si="11"/>
        <v/>
      </c>
      <c r="AX76" s="35" t="str">
        <f t="shared" si="12"/>
        <v/>
      </c>
      <c r="AY76" s="35" t="str">
        <f t="shared" si="13"/>
        <v/>
      </c>
      <c r="AZ76" s="35" t="str">
        <f t="shared" si="14"/>
        <v/>
      </c>
      <c r="BA76" s="35" t="str">
        <f t="shared" si="15"/>
        <v/>
      </c>
      <c r="BB76" s="35" t="str">
        <f t="shared" si="16"/>
        <v/>
      </c>
      <c r="BC76" s="35"/>
      <c r="BE76" s="35">
        <f ca="1">INDEX(SF_Output!$AA$2:$AA$400,MATCH($B76,SF_Output!$M$2:$M$400,0))</f>
        <v>6</v>
      </c>
      <c r="BF76" s="35">
        <f ca="1">INDEX(SF_Output!$AB$2:$AB$400,MATCH($B76,SF_Output!$M$2:$M$400,0))</f>
        <v>3</v>
      </c>
    </row>
    <row r="77" spans="2:58" x14ac:dyDescent="0.25">
      <c r="B77" t="s">
        <v>1001</v>
      </c>
      <c r="C77" t="s">
        <v>2122</v>
      </c>
      <c r="D77" t="s">
        <v>2123</v>
      </c>
      <c r="E77" t="s">
        <v>2124</v>
      </c>
      <c r="F77" s="116" t="str">
        <f t="shared" si="0"/>
        <v>Included</v>
      </c>
      <c r="G77" t="str">
        <f>IF(B77="","",INDEX(SF_Output!$K$1:$K$400,MATCH(B77,SF_Output!$M$1:$M$400,0)))</f>
        <v>DirectLine</v>
      </c>
      <c r="H77" cm="1">
        <f t="array" ref="H77">_xlfn.IFS(B77="","",(SUMIFS(SF_Output!$F$1:$F$400,SF_Output!$AC$1:$AC$400,_xlfn.TEXTJOIN(",",TRUE,B77:E77))+SUMIFS(SF_Output!$G$1:$G$400,SF_Output!$AC$1:$AC$400,_xlfn.TEXTJOIN(",",TRUE,B77:E77)))&lt;&gt;0,SF_Output!$Y$2,INDEX(SF_Output!$F$1:$F$400,MATCH(_xlfn.TEXTJOIN(",",TRUE,B77:E77),SF_Output!$AC$1:$AC$400,0))=0,INDEX(SF_Output!$R$1:$R$400,MATCH(_xlfn.TEXTJOIN(",",TRUE,B77:E77),SF_Output!$AC$1:$AC$400,0)))</f>
        <v>1</v>
      </c>
      <c r="I77" s="125" t="str">
        <f>IFERROR(IF(AND(H77&gt;1,H77&lt;&gt;""),ROUND(SUMIFS(SF_Output!$S$1:$S$400,SF_Output!$AC$1:$AC$400,_xlfn.TEXTJOIN(",",TRUE,B77:E77),SF_Output!$Q$1:$Q$400,"monthly")*(1-W77)/H77,4),""),"")</f>
        <v/>
      </c>
      <c r="J77" s="6">
        <f>IF(B77="","",SUMIFS(SF_Output!$S$1:$S$400,SF_Output!$AC$1:$AC$400,_xlfn.TEXTJOIN(",",TRUE,B77:E77),SF_Output!$Q$1:$Q$400,"One Time",SF_Output!$L$1:$L$400,"license fee")+SUMIFS(SF_Output!$S$1:$S$400,SF_Output!$AC$1:$AC$400,_xlfn.TEXTJOIN(",",TRUE,B77:E77),SF_Output!$Q$1:$Q$400,"One Time",SF_Output!$L$1:$L$400,"software license")+SUMIFS(SF_Output!$S$1:$S$400,SF_Output!$AC$1:$AC$400,_xlfn.TEXTJOIN(",",TRUE,B77:E77),SF_Output!$Q$1:$Q$400,"One Time",SF_Output!$L$1:$L$400,"hardware"))</f>
        <v>0</v>
      </c>
      <c r="K77" s="112" t="str">
        <f>IF(OR(B77=0,B77="",G77="hardware",J77=0),"",IF(AF77&lt;&gt;"exclusion",MAX(K$9,-((SUMIFS(SF_Output!$T$1:$T$400,SF_Output!$AC$1:$AC$400,_xlfn.TEXTJOIN(",",TRUE,$B77:$E77),SF_Output!$Q$1:$Q$400,"One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license"))/J77)))</f>
        <v/>
      </c>
      <c r="L77" s="6">
        <f t="shared" si="1"/>
        <v>0</v>
      </c>
      <c r="N77" s="6">
        <f>IF(B77="","",SUMIFS(SF_Output!$S$1:$S$400,SF_Output!$AC$1:$AC$400,_xlfn.TEXTJOIN(",",TRUE,B77:E77),SF_Output!$Q$1:$Q$400,"One Time",SF_Output!$L$1:$L$400,"professional service"))</f>
        <v>7500</v>
      </c>
      <c r="O77" s="112">
        <f>IF(OR(B77=0,B77="",N77=0),"",IF(AF77&lt;&gt;"exclusion",MAX(O$9,-(SUMIFS(SF_Output!$T$1:$T$400,SF_Output!$AC$1:$AC$400,_xlfn.TEXTJOIN(",",TRUE,$B77:$E77),SF_Output!$Q$1:$Q$400,"One Time",SF_Output!$L$1:$L$400,"professional service"))/N77),-((SUMIFS(SF_Output!$T$1:$T$400,SF_Output!$AC$1:$AC$400,_xlfn.TEXTJOIN(",",TRUE,$B77:$E77),SF_Output!$Q$1:$Q$400,"One Time",SF_Output!$L$1:$L$400,"professional service")/N77))))</f>
        <v>1</v>
      </c>
      <c r="P77" s="6">
        <f t="shared" si="2"/>
        <v>0</v>
      </c>
      <c r="R77" s="6">
        <f>IF(B77="","",SUMIFS(SF_Output!$S$1:$S$400,SF_Output!$AC$1:$AC$400,_xlfn.TEXTJOIN(",",TRUE,B77:E77),SF_Output!$Q$1:$Q$400,"yearly")+SUMIFS(SF_Output!$S$1:$S$400,SF_Output!$AC$1:$AC$400,_xlfn.TEXTJOIN(",",TRUE,B77:E77),SF_Output!$Q$1:$Q$400,"quarterly")*4)</f>
        <v>0</v>
      </c>
      <c r="S77" s="112" t="str">
        <f>IF(OR(B77=0,B77="",G77="hardware",R77=0),"",IF(AF77&lt;&gt;"exclusion",MAX(S$9,-(SUMIFS(SF_Output!$T$1:$T$400,SF_Output!$AC$1:$AC$400,_xlfn.TEXTJOIN(",",TRUE,$B77:$E77),SF_Output!$Q$1:$Q$400,"yearly"))/R77),-((SUMIFS(SF_Output!$T$1:$T$400,SF_Output!$AC$1:$AC$400,_xlfn.TEXTJOIN(",",TRUE,$B77:$E77),SF_Output!$Q$1:$Q$400,"yearly")/R77))))</f>
        <v/>
      </c>
      <c r="T77" s="6">
        <f t="shared" si="3"/>
        <v>0</v>
      </c>
      <c r="V77" s="6" cm="1">
        <f t="array" ref="V77">_xlfn.IFS(B77="","",AND(B77&lt;&gt;"",H77=SF_Output!$Y$2,SUMIFS(SF_Output!$T$1:$T$400,SF_Output!$AC$1:$AC$400,_xlfn.TEXTJOIN(",",TRUE,B77:E77),SF_Output!$Q$1:$Q$400,"monthly")=0),(SUMIFS(SF_Output!$F$1:$F$400,SF_Output!$AC$1:$AC$400,_xlfn.TEXTJOIN(",",TRUE,B77:E77),SF_Output!$Q$1:$Q$400,"monthly")+SUMIFS(SF_Output!$G$1:$G$400,SF_Output!$AC$1:$AC$400,_xlfn.TEXTJOIN(",",TRUE,B77:E77),SF_Output!$Q$1:$Q$400,"monthly"))*H77,AND(B77&lt;&gt;"",H77=SF_Output!$Y$2,SUMIFS(SF_Output!$T$1:$T$400,SF_Output!$AC$1:$AC$400,_xlfn.TEXTJOIN(",",TRUE,B77:E77),SF_Output!$Q$1:$Q$400,"monthly")&lt;&gt;0),SUMIFS(SF_Output!$S$1:$S$400,SF_Output!$AC$1:$AC$400,_xlfn.TEXTJOIN(",",TRUE,B77:E77),SF_Output!$Q$1:$Q$400,"monthly"),AND(B77&lt;&gt;"",H77&lt;&gt;SF_Output!$Y$2),SUMIFS(SF_Output!$S$1:$S$400,SF_Output!$AC$1:$AC$400,_xlfn.TEXTJOIN(",",TRUE,B77:E77),SF_Output!$Q$1:$Q$400,"monthly"))</f>
        <v>450</v>
      </c>
      <c r="W77" s="112" cm="1">
        <f t="array" ref="W77">_xlfn.IFS(OR(B77=0,B77="",V77=0),"",AF77&lt;&gt;"exclusion",MAX($W$9,$W$7,(-(SUMIFS(SF_Output!$T$1:$T$400,SF_Output!$AC$1:$AC$400,_xlfn.TEXTJOIN(",",TRUE,$B77:$E77),SF_Output!$Q$1:$Q$400,"monthly"))/V77)),AF77="exclusion",-(SUMIFS(SF_Output!$T$1:$T$400,SF_Output!$AC$1:$AC$400,_xlfn.TEXTJOIN(",",TRUE,$B77:$E77),SF_Output!$Q$1:$Q$400,"monthly"))/V77)</f>
        <v>0</v>
      </c>
      <c r="X77" s="6" cm="1">
        <f t="array" ref="X77">IFERROR(_xlfn.IFS(V77=0,0,V77="","",W77=0,V77,OR(V77&lt;&gt;0,V77&lt;&gt;""),H77*I77),V77*(1-W77))</f>
        <v>450</v>
      </c>
      <c r="Z77" s="6">
        <f>IFERROR(IF(B77="","",SUMIFS(Billing_Fallout!H:H,Billing_Fallout!N:N,B77)),0)</f>
        <v>0</v>
      </c>
      <c r="AA77" s="6">
        <f t="shared" si="4"/>
        <v>0</v>
      </c>
      <c r="AB77" s="6">
        <f>IFERROR(IF(B77="","",SUMIFS(Billing_Fallout!J:J,Billing_Fallout!N:N,B77)),0)</f>
        <v>0</v>
      </c>
      <c r="AD77" s="6">
        <f t="shared" si="5"/>
        <v>450</v>
      </c>
      <c r="AF77" t="str">
        <f>IFERROR(INDEX(H_Tables!$B$1:$B$1500,MATCH(INDEX(SF_Output!$J$1:$J$400,MATCH(B77,SF_Output!$M$1:$M$400,0)),H_Tables!$A$1:$A$1500,0)),"")</f>
        <v>Exclusion</v>
      </c>
      <c r="AI77" s="119" t="str">
        <f t="shared" si="6"/>
        <v/>
      </c>
      <c r="AJ77" s="121">
        <f>IFERROR(INDEX(SF_Output!AD:AD,MATCH(_xlfn.TEXTJOIN(",",TRUE,B77:E77),SF_Output!AC1:AC400,0)),0.05)</f>
        <v>29</v>
      </c>
      <c r="AK77" t="str">
        <f>IF(SUMIFS(SF_Output!$F$1:$F$400,SF_Output!$AC$1:$AC$400,_xlfn.TEXTJOIN(",",TRUE,B77:E77))+SUMIFS(SF_Output!$G$1:$G$400,SF_Output!$AC$1:$AC$400,_xlfn.TEXTJOIN(",",TRUE,B77:E77))=0,"","PAP")</f>
        <v/>
      </c>
      <c r="AQ77" s="35"/>
      <c r="AR77" s="35" t="str" cm="1">
        <f t="array" ref="AR77">IFERROR(_xlfn.IFS(AND(E77*1=1,F77="Included"),"Change to Included",AND(E77*1=0,F77="Optional"),"Change to Optional",OR(B77="",F77="replaced"),""),"")</f>
        <v/>
      </c>
      <c r="AS77" s="35" t="str">
        <f t="shared" si="7"/>
        <v/>
      </c>
      <c r="AT77" s="35" t="str">
        <f t="shared" si="8"/>
        <v/>
      </c>
      <c r="AU77" s="35" t="str">
        <f t="shared" si="9"/>
        <v/>
      </c>
      <c r="AV77" s="35" t="str">
        <f t="shared" si="10"/>
        <v/>
      </c>
      <c r="AW77" s="35" t="str">
        <f t="shared" si="11"/>
        <v/>
      </c>
      <c r="AX77" s="35" t="str">
        <f t="shared" si="12"/>
        <v/>
      </c>
      <c r="AY77" s="35" t="str">
        <f t="shared" si="13"/>
        <v/>
      </c>
      <c r="AZ77" s="35" t="str">
        <f t="shared" si="14"/>
        <v/>
      </c>
      <c r="BA77" s="35" t="str">
        <f t="shared" si="15"/>
        <v/>
      </c>
      <c r="BB77" s="35" t="str">
        <f t="shared" si="16"/>
        <v/>
      </c>
      <c r="BC77" s="35"/>
      <c r="BE77" s="35">
        <f ca="1">INDEX(SF_Output!$AA$2:$AA$400,MATCH($B77,SF_Output!$M$2:$M$400,0))</f>
        <v>6</v>
      </c>
      <c r="BF77" s="35">
        <f ca="1">INDEX(SF_Output!$AB$2:$AB$400,MATCH($B77,SF_Output!$M$2:$M$400,0))</f>
        <v>3</v>
      </c>
    </row>
    <row r="78" spans="2:58" x14ac:dyDescent="0.25">
      <c r="B78" t="s">
        <v>1837</v>
      </c>
      <c r="C78" t="s">
        <v>2122</v>
      </c>
      <c r="D78" t="s">
        <v>2123</v>
      </c>
      <c r="E78" t="s">
        <v>2124</v>
      </c>
      <c r="F78" s="116" t="str">
        <f t="shared" ref="F78:F141" si="17">IF(B78="","",IF(E78*1=0,"Included","Optional"))</f>
        <v>Included</v>
      </c>
      <c r="G78" t="str">
        <f>IF(B78="","",INDEX(SF_Output!$K$1:$K$400,MATCH(B78,SF_Output!$M$1:$M$400,0)))</f>
        <v>DirectLine</v>
      </c>
      <c r="H78" cm="1">
        <f t="array" ref="H78">_xlfn.IFS(B78="","",(SUMIFS(SF_Output!$F$1:$F$400,SF_Output!$AC$1:$AC$400,_xlfn.TEXTJOIN(",",TRUE,B78:E78))+SUMIFS(SF_Output!$G$1:$G$400,SF_Output!$AC$1:$AC$400,_xlfn.TEXTJOIN(",",TRUE,B78:E78)))&lt;&gt;0,SF_Output!$Y$2,INDEX(SF_Output!$F$1:$F$400,MATCH(_xlfn.TEXTJOIN(",",TRUE,B78:E78),SF_Output!$AC$1:$AC$400,0))=0,INDEX(SF_Output!$R$1:$R$400,MATCH(_xlfn.TEXTJOIN(",",TRUE,B78:E78),SF_Output!$AC$1:$AC$400,0)))</f>
        <v>1</v>
      </c>
      <c r="I78" s="125" t="str">
        <f>IFERROR(IF(AND(H78&gt;1,H78&lt;&gt;""),ROUND(SUMIFS(SF_Output!$S$1:$S$400,SF_Output!$AC$1:$AC$400,_xlfn.TEXTJOIN(",",TRUE,B78:E78),SF_Output!$Q$1:$Q$400,"monthly")*(1-W78)/H78,4),""),"")</f>
        <v/>
      </c>
      <c r="J78" s="6">
        <f>IF(B78="","",SUMIFS(SF_Output!$S$1:$S$400,SF_Output!$AC$1:$AC$400,_xlfn.TEXTJOIN(",",TRUE,B78:E78),SF_Output!$Q$1:$Q$400,"One Time",SF_Output!$L$1:$L$400,"license fee")+SUMIFS(SF_Output!$S$1:$S$400,SF_Output!$AC$1:$AC$400,_xlfn.TEXTJOIN(",",TRUE,B78:E78),SF_Output!$Q$1:$Q$400,"One Time",SF_Output!$L$1:$L$400,"software license")+SUMIFS(SF_Output!$S$1:$S$400,SF_Output!$AC$1:$AC$400,_xlfn.TEXTJOIN(",",TRUE,B78:E78),SF_Output!$Q$1:$Q$400,"One Time",SF_Output!$L$1:$L$400,"hardware"))</f>
        <v>0</v>
      </c>
      <c r="K78" s="112" t="str">
        <f>IF(OR(B78=0,B78="",G78="hardware",J78=0),"",IF(AF78&lt;&gt;"exclusion",MAX(K$9,-((SUMIFS(SF_Output!$T$1:$T$400,SF_Output!$AC$1:$AC$400,_xlfn.TEXTJOIN(",",TRUE,$B78:$E78),SF_Output!$Q$1:$Q$400,"One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license"))/J78)))</f>
        <v/>
      </c>
      <c r="L78" s="6">
        <f t="shared" ref="L78:L141" si="18">IF(K78="",J78,J78*(1-K78))</f>
        <v>0</v>
      </c>
      <c r="N78" s="6">
        <f>IF(B78="","",SUMIFS(SF_Output!$S$1:$S$400,SF_Output!$AC$1:$AC$400,_xlfn.TEXTJOIN(",",TRUE,B78:E78),SF_Output!$Q$1:$Q$400,"One Time",SF_Output!$L$1:$L$400,"professional service"))</f>
        <v>2500</v>
      </c>
      <c r="O78" s="112">
        <f>IF(OR(B78=0,B78="",N78=0),"",IF(AF78&lt;&gt;"exclusion",MAX(O$9,-(SUMIFS(SF_Output!$T$1:$T$400,SF_Output!$AC$1:$AC$400,_xlfn.TEXTJOIN(",",TRUE,$B78:$E78),SF_Output!$Q$1:$Q$400,"One Time",SF_Output!$L$1:$L$400,"professional service"))/N78),-((SUMIFS(SF_Output!$T$1:$T$400,SF_Output!$AC$1:$AC$400,_xlfn.TEXTJOIN(",",TRUE,$B78:$E78),SF_Output!$Q$1:$Q$400,"One Time",SF_Output!$L$1:$L$400,"professional service")/N78))))</f>
        <v>0</v>
      </c>
      <c r="P78" s="6">
        <f t="shared" ref="P78:P141" si="19">IF(O78="",N78,N78*(1-O78))</f>
        <v>2500</v>
      </c>
      <c r="R78" s="6">
        <f>IF(B78="","",SUMIFS(SF_Output!$S$1:$S$400,SF_Output!$AC$1:$AC$400,_xlfn.TEXTJOIN(",",TRUE,B78:E78),SF_Output!$Q$1:$Q$400,"yearly")+SUMIFS(SF_Output!$S$1:$S$400,SF_Output!$AC$1:$AC$400,_xlfn.TEXTJOIN(",",TRUE,B78:E78),SF_Output!$Q$1:$Q$400,"quarterly")*4)</f>
        <v>0</v>
      </c>
      <c r="S78" s="112" t="str">
        <f>IF(OR(B78=0,B78="",G78="hardware",R78=0),"",IF(AF78&lt;&gt;"exclusion",MAX(S$9,-(SUMIFS(SF_Output!$T$1:$T$400,SF_Output!$AC$1:$AC$400,_xlfn.TEXTJOIN(",",TRUE,$B78:$E78),SF_Output!$Q$1:$Q$400,"yearly"))/R78),-((SUMIFS(SF_Output!$T$1:$T$400,SF_Output!$AC$1:$AC$400,_xlfn.TEXTJOIN(",",TRUE,$B78:$E78),SF_Output!$Q$1:$Q$400,"yearly")/R78))))</f>
        <v/>
      </c>
      <c r="T78" s="6">
        <f t="shared" ref="T78:T141" si="20">IF(S78="",R78,R78*(1-S78))</f>
        <v>0</v>
      </c>
      <c r="V78" s="6" cm="1">
        <f t="array" ref="V78">_xlfn.IFS(B78="","",AND(B78&lt;&gt;"",H78=SF_Output!$Y$2,SUMIFS(SF_Output!$T$1:$T$400,SF_Output!$AC$1:$AC$400,_xlfn.TEXTJOIN(",",TRUE,B78:E78),SF_Output!$Q$1:$Q$400,"monthly")=0),(SUMIFS(SF_Output!$F$1:$F$400,SF_Output!$AC$1:$AC$400,_xlfn.TEXTJOIN(",",TRUE,B78:E78),SF_Output!$Q$1:$Q$400,"monthly")+SUMIFS(SF_Output!$G$1:$G$400,SF_Output!$AC$1:$AC$400,_xlfn.TEXTJOIN(",",TRUE,B78:E78),SF_Output!$Q$1:$Q$400,"monthly"))*H78,AND(B78&lt;&gt;"",H78=SF_Output!$Y$2,SUMIFS(SF_Output!$T$1:$T$400,SF_Output!$AC$1:$AC$400,_xlfn.TEXTJOIN(",",TRUE,B78:E78),SF_Output!$Q$1:$Q$400,"monthly")&lt;&gt;0),SUMIFS(SF_Output!$S$1:$S$400,SF_Output!$AC$1:$AC$400,_xlfn.TEXTJOIN(",",TRUE,B78:E78),SF_Output!$Q$1:$Q$400,"monthly"),AND(B78&lt;&gt;"",H78&lt;&gt;SF_Output!$Y$2),SUMIFS(SF_Output!$S$1:$S$400,SF_Output!$AC$1:$AC$400,_xlfn.TEXTJOIN(",",TRUE,B78:E78),SF_Output!$Q$1:$Q$400,"monthly"))</f>
        <v>300</v>
      </c>
      <c r="W78" s="112" cm="1">
        <f t="array" ref="W78">_xlfn.IFS(OR(B78=0,B78="",V78=0),"",AF78&lt;&gt;"exclusion",MAX($W$9,$W$7,(-(SUMIFS(SF_Output!$T$1:$T$400,SF_Output!$AC$1:$AC$400,_xlfn.TEXTJOIN(",",TRUE,$B78:$E78),SF_Output!$Q$1:$Q$400,"monthly"))/V78)),AF78="exclusion",-(SUMIFS(SF_Output!$T$1:$T$400,SF_Output!$AC$1:$AC$400,_xlfn.TEXTJOIN(",",TRUE,$B78:$E78),SF_Output!$Q$1:$Q$400,"monthly"))/V78)</f>
        <v>0</v>
      </c>
      <c r="X78" s="6" cm="1">
        <f t="array" ref="X78">IFERROR(_xlfn.IFS(V78=0,0,V78="","",W78=0,V78,OR(V78&lt;&gt;0,V78&lt;&gt;""),H78*I78),V78*(1-W78))</f>
        <v>300</v>
      </c>
      <c r="Z78" s="6">
        <f>IFERROR(IF(B78="","",SUMIFS(Billing_Fallout!H:H,Billing_Fallout!N:N,B78)),0)</f>
        <v>0</v>
      </c>
      <c r="AA78" s="6">
        <f t="shared" ref="AA78:AA141" si="21">IF(Z78="","",AB78-Z78)</f>
        <v>0</v>
      </c>
      <c r="AB78" s="6">
        <f>IFERROR(IF(B78="","",SUMIFS(Billing_Fallout!J:J,Billing_Fallout!N:N,B78)),0)</f>
        <v>0</v>
      </c>
      <c r="AD78" s="6">
        <f t="shared" ref="AD78:AD141" si="22">IFERROR(X78-AB78,"")</f>
        <v>300</v>
      </c>
      <c r="AF78" t="str">
        <f>IFERROR(INDEX(H_Tables!$B$1:$B$1500,MATCH(INDEX(SF_Output!$J$1:$J$400,MATCH(B78,SF_Output!$M$1:$M$400,0)),H_Tables!$A$1:$A$1500,0)),"")</f>
        <v>Exclusion</v>
      </c>
      <c r="AI78" s="119" t="str">
        <f t="shared" ref="AI78:AI141" si="23">IF(B78="","",IF(F78="remove","Remove Product",IF(F78="add","Add Product",_xlfn.TEXTJOIN(", ",TRUE,AQ78,AR78,AS78,AT78,AU78,AV78,AW78,AX78,AY78,AZ78,BA78,BB78,BC78))))</f>
        <v/>
      </c>
      <c r="AJ78" s="121">
        <f>IFERROR(INDEX(SF_Output!AD:AD,MATCH(_xlfn.TEXTJOIN(",",TRUE,B78:E78),SF_Output!AC1:AC400,0)),0.05)</f>
        <v>31</v>
      </c>
      <c r="AK78" t="str">
        <f>IF(SUMIFS(SF_Output!$F$1:$F$400,SF_Output!$AC$1:$AC$400,_xlfn.TEXTJOIN(",",TRUE,B78:E78))+SUMIFS(SF_Output!$G$1:$G$400,SF_Output!$AC$1:$AC$400,_xlfn.TEXTJOIN(",",TRUE,B78:E78))=0,"","PAP")</f>
        <v/>
      </c>
      <c r="AQ78" s="35"/>
      <c r="AR78" s="35" t="str" cm="1">
        <f t="array" ref="AR78">IFERROR(_xlfn.IFS(AND(E78*1=1,F78="Included"),"Change to Included",AND(E78*1=0,F78="Optional"),"Change to Optional",OR(B78="",F78="replaced"),""),"")</f>
        <v/>
      </c>
      <c r="AS78" s="35" t="str">
        <f t="shared" ref="AS78:AS141" si="24">IF((OR(NOT(_xlfn.ISFORMULA(J78)),NOT(_xlfn.ISFORMULA(L78)))),"Check License Price Override","")</f>
        <v/>
      </c>
      <c r="AT78" s="35" t="str">
        <f t="shared" ref="AT78:AT141" si="25">IF(OR(AND(K78=$K$9,K78&lt;&gt;0),NOT(_xlfn.ISFORMULA(K78))),"License Discount "&amp;K78*100&amp;"%","")</f>
        <v/>
      </c>
      <c r="AU78" s="35" t="str">
        <f t="shared" ref="AU78:AU141" si="26">IF((OR(NOT(_xlfn.ISFORMULA(N78)),NOT(_xlfn.ISFORMULA(P78)))),"Check Install Price Override","")</f>
        <v/>
      </c>
      <c r="AV78" s="35" t="str">
        <f t="shared" ref="AV78:AV141" si="27">IF(OR(AND(O78=$O$9,O78&lt;&gt;0),NOT(_xlfn.ISFORMULA(O78))),"Install Discount "&amp;O78*100&amp;"%","")</f>
        <v/>
      </c>
      <c r="AW78" s="35" t="str">
        <f t="shared" ref="AW78:AW141" si="28">IF((OR(NOT(_xlfn.ISFORMULA(R78)),NOT(_xlfn.ISFORMULA(T78)))),"Check Maintenance Price Override","")</f>
        <v/>
      </c>
      <c r="AX78" s="35" t="str">
        <f t="shared" ref="AX78:AX141" si="29">IF(OR(AND(S78=$S$9,S78&lt;&gt;0),NOT(_xlfn.ISFORMULA(S78))),"Maintenance Discount "&amp;S78*100&amp;"%","")</f>
        <v/>
      </c>
      <c r="AY78" s="35" t="str">
        <f t="shared" ref="AY78:AY141" si="30">IF((OR(NOT(_xlfn.ISFORMULA(V78)),NOT(_xlfn.ISFORMULA(X78)))),"Check Monthly Price Override","")</f>
        <v/>
      </c>
      <c r="AZ78" s="35" t="str">
        <f t="shared" ref="AZ78:AZ141" si="31">IF(OR((AND(W78=$W$9,W78&lt;&gt;0)),(AND(W78=$W$7,W78&lt;&gt;0)),(NOT(_xlfn.ISFORMULA(W78))),AND($W$7+0.2=W78,$W$7&lt;&gt;0)),"Monthly Discount "&amp;W78*100&amp;"%","")</f>
        <v/>
      </c>
      <c r="BA78" s="35" t="str">
        <f t="shared" ref="BA78:BA141" si="32">IF(NOT(_xlfn.ISFORMULA(H78)),"Check Quantity","")</f>
        <v/>
      </c>
      <c r="BB78" s="35" t="str">
        <f t="shared" ref="BB78:BB141" si="33">IF(NOT(_xlfn.ISFORMULA(I78)),"Check Unit Price Override","")</f>
        <v/>
      </c>
      <c r="BC78" s="35"/>
      <c r="BE78" s="35">
        <f ca="1">INDEX(SF_Output!$AA$2:$AA$400,MATCH($B78,SF_Output!$M$2:$M$400,0))</f>
        <v>6</v>
      </c>
      <c r="BF78" s="35">
        <f ca="1">INDEX(SF_Output!$AB$2:$AB$400,MATCH($B78,SF_Output!$M$2:$M$400,0))</f>
        <v>3</v>
      </c>
    </row>
    <row r="79" spans="2:58" x14ac:dyDescent="0.25">
      <c r="B79" t="s">
        <v>2231</v>
      </c>
      <c r="C79" t="s">
        <v>2122</v>
      </c>
      <c r="D79" t="s">
        <v>2123</v>
      </c>
      <c r="E79" t="s">
        <v>2124</v>
      </c>
      <c r="F79" s="116" t="str">
        <f t="shared" si="17"/>
        <v>Included</v>
      </c>
      <c r="G79" t="str">
        <f>IF(B79="","",INDEX(SF_Output!$K$1:$K$400,MATCH(B79,SF_Output!$M$1:$M$400,0)))</f>
        <v>JHA Payment Center</v>
      </c>
      <c r="H79" cm="1">
        <f t="array" ref="H79">_xlfn.IFS(B79="","",(SUMIFS(SF_Output!$F$1:$F$400,SF_Output!$AC$1:$AC$400,_xlfn.TEXTJOIN(",",TRUE,B79:E79))+SUMIFS(SF_Output!$G$1:$G$400,SF_Output!$AC$1:$AC$400,_xlfn.TEXTJOIN(",",TRUE,B79:E79)))&lt;&gt;0,SF_Output!$Y$2,INDEX(SF_Output!$F$1:$F$400,MATCH(_xlfn.TEXTJOIN(",",TRUE,B79:E79),SF_Output!$AC$1:$AC$400,0))=0,INDEX(SF_Output!$R$1:$R$400,MATCH(_xlfn.TEXTJOIN(",",TRUE,B79:E79),SF_Output!$AC$1:$AC$400,0)))</f>
        <v>1</v>
      </c>
      <c r="I79" s="125" t="str">
        <f>IFERROR(IF(AND(H79&gt;1,H79&lt;&gt;""),ROUND(SUMIFS(SF_Output!$S$1:$S$400,SF_Output!$AC$1:$AC$400,_xlfn.TEXTJOIN(",",TRUE,B79:E79),SF_Output!$Q$1:$Q$400,"monthly")*(1-W79)/H79,4),""),"")</f>
        <v/>
      </c>
      <c r="J79" s="6">
        <f>IF(B79="","",SUMIFS(SF_Output!$S$1:$S$400,SF_Output!$AC$1:$AC$400,_xlfn.TEXTJOIN(",",TRUE,B79:E79),SF_Output!$Q$1:$Q$400,"One Time",SF_Output!$L$1:$L$400,"license fee")+SUMIFS(SF_Output!$S$1:$S$400,SF_Output!$AC$1:$AC$400,_xlfn.TEXTJOIN(",",TRUE,B79:E79),SF_Output!$Q$1:$Q$400,"One Time",SF_Output!$L$1:$L$400,"software license")+SUMIFS(SF_Output!$S$1:$S$400,SF_Output!$AC$1:$AC$400,_xlfn.TEXTJOIN(",",TRUE,B79:E79),SF_Output!$Q$1:$Q$400,"One Time",SF_Output!$L$1:$L$400,"hardware"))</f>
        <v>0</v>
      </c>
      <c r="K79" s="112" t="str">
        <f>IF(OR(B79=0,B79="",G79="hardware",J79=0),"",IF(AF79&lt;&gt;"exclusion",MAX(K$9,-((SUMIFS(SF_Output!$T$1:$T$400,SF_Output!$AC$1:$AC$400,_xlfn.TEXTJOIN(",",TRUE,$B79:$E79),SF_Output!$Q$1:$Q$400,"One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license"))/J79)))</f>
        <v/>
      </c>
      <c r="L79" s="6">
        <f t="shared" si="18"/>
        <v>0</v>
      </c>
      <c r="N79" s="6">
        <f>IF(B79="","",SUMIFS(SF_Output!$S$1:$S$400,SF_Output!$AC$1:$AC$400,_xlfn.TEXTJOIN(",",TRUE,B79:E79),SF_Output!$Q$1:$Q$400,"One Time",SF_Output!$L$1:$L$400,"professional service"))</f>
        <v>5000</v>
      </c>
      <c r="O79" s="112">
        <f>IF(OR(B79=0,B79="",N79=0),"",IF(AF79&lt;&gt;"exclusion",MAX(O$9,-(SUMIFS(SF_Output!$T$1:$T$400,SF_Output!$AC$1:$AC$400,_xlfn.TEXTJOIN(",",TRUE,$B79:$E79),SF_Output!$Q$1:$Q$400,"One Time",SF_Output!$L$1:$L$400,"professional service"))/N79),-((SUMIFS(SF_Output!$T$1:$T$400,SF_Output!$AC$1:$AC$400,_xlfn.TEXTJOIN(",",TRUE,$B79:$E79),SF_Output!$Q$1:$Q$400,"One Time",SF_Output!$L$1:$L$400,"professional service")/N79))))</f>
        <v>1</v>
      </c>
      <c r="P79" s="6">
        <f t="shared" si="19"/>
        <v>0</v>
      </c>
      <c r="R79" s="6">
        <f>IF(B79="","",SUMIFS(SF_Output!$S$1:$S$400,SF_Output!$AC$1:$AC$400,_xlfn.TEXTJOIN(",",TRUE,B79:E79),SF_Output!$Q$1:$Q$400,"yearly")+SUMIFS(SF_Output!$S$1:$S$400,SF_Output!$AC$1:$AC$400,_xlfn.TEXTJOIN(",",TRUE,B79:E79),SF_Output!$Q$1:$Q$400,"quarterly")*4)</f>
        <v>0</v>
      </c>
      <c r="S79" s="112" t="str">
        <f>IF(OR(B79=0,B79="",G79="hardware",R79=0),"",IF(AF79&lt;&gt;"exclusion",MAX(S$9,-(SUMIFS(SF_Output!$T$1:$T$400,SF_Output!$AC$1:$AC$400,_xlfn.TEXTJOIN(",",TRUE,$B79:$E79),SF_Output!$Q$1:$Q$400,"yearly"))/R79),-((SUMIFS(SF_Output!$T$1:$T$400,SF_Output!$AC$1:$AC$400,_xlfn.TEXTJOIN(",",TRUE,$B79:$E79),SF_Output!$Q$1:$Q$400,"yearly")/R79))))</f>
        <v/>
      </c>
      <c r="T79" s="6">
        <f t="shared" si="20"/>
        <v>0</v>
      </c>
      <c r="V79" s="6" cm="1">
        <f t="array" ref="V79">_xlfn.IFS(B79="","",AND(B79&lt;&gt;"",H79=SF_Output!$Y$2,SUMIFS(SF_Output!$T$1:$T$400,SF_Output!$AC$1:$AC$400,_xlfn.TEXTJOIN(",",TRUE,B79:E79),SF_Output!$Q$1:$Q$400,"monthly")=0),(SUMIFS(SF_Output!$F$1:$F$400,SF_Output!$AC$1:$AC$400,_xlfn.TEXTJOIN(",",TRUE,B79:E79),SF_Output!$Q$1:$Q$400,"monthly")+SUMIFS(SF_Output!$G$1:$G$400,SF_Output!$AC$1:$AC$400,_xlfn.TEXTJOIN(",",TRUE,B79:E79),SF_Output!$Q$1:$Q$400,"monthly"))*H79,AND(B79&lt;&gt;"",H79=SF_Output!$Y$2,SUMIFS(SF_Output!$T$1:$T$400,SF_Output!$AC$1:$AC$400,_xlfn.TEXTJOIN(",",TRUE,B79:E79),SF_Output!$Q$1:$Q$400,"monthly")&lt;&gt;0),SUMIFS(SF_Output!$S$1:$S$400,SF_Output!$AC$1:$AC$400,_xlfn.TEXTJOIN(",",TRUE,B79:E79),SF_Output!$Q$1:$Q$400,"monthly"),AND(B79&lt;&gt;"",H79&lt;&gt;SF_Output!$Y$2),SUMIFS(SF_Output!$S$1:$S$400,SF_Output!$AC$1:$AC$400,_xlfn.TEXTJOIN(",",TRUE,B79:E79),SF_Output!$Q$1:$Q$400,"monthly"))</f>
        <v>0</v>
      </c>
      <c r="W79" s="112" t="str" cm="1">
        <f t="array" ref="W79">_xlfn.IFS(OR(B79=0,B79="",V79=0),"",AF79&lt;&gt;"exclusion",MAX($W$9,$W$7,(-(SUMIFS(SF_Output!$T$1:$T$400,SF_Output!$AC$1:$AC$400,_xlfn.TEXTJOIN(",",TRUE,$B79:$E79),SF_Output!$Q$1:$Q$400,"monthly"))/V79)),AF79="exclusion",-(SUMIFS(SF_Output!$T$1:$T$400,SF_Output!$AC$1:$AC$400,_xlfn.TEXTJOIN(",",TRUE,$B79:$E79),SF_Output!$Q$1:$Q$400,"monthly"))/V79)</f>
        <v/>
      </c>
      <c r="X79" s="6" cm="1">
        <f t="array" ref="X79">IFERROR(_xlfn.IFS(V79=0,0,V79="","",W79=0,V79,OR(V79&lt;&gt;0,V79&lt;&gt;""),H79*I79),V79*(1-W79))</f>
        <v>0</v>
      </c>
      <c r="Z79" s="6">
        <f>IFERROR(IF(B79="","",SUMIFS(Billing_Fallout!H:H,Billing_Fallout!N:N,B79)),0)</f>
        <v>0</v>
      </c>
      <c r="AA79" s="6">
        <f t="shared" si="21"/>
        <v>0</v>
      </c>
      <c r="AB79" s="6">
        <f>IFERROR(IF(B79="","",SUMIFS(Billing_Fallout!J:J,Billing_Fallout!N:N,B79)),0)</f>
        <v>0</v>
      </c>
      <c r="AD79" s="6">
        <f t="shared" si="22"/>
        <v>0</v>
      </c>
      <c r="AF79" t="str">
        <f>IFERROR(INDEX(H_Tables!$B$1:$B$1500,MATCH(INDEX(SF_Output!$J$1:$J$400,MATCH(B79,SF_Output!$M$1:$M$400,0)),H_Tables!$A$1:$A$1500,0)),"")</f>
        <v/>
      </c>
      <c r="AI79" s="119" t="str">
        <f t="shared" si="23"/>
        <v/>
      </c>
      <c r="AJ79" s="121">
        <f>IFERROR(INDEX(SF_Output!AD:AD,MATCH(_xlfn.TEXTJOIN(",",TRUE,B79:E79),SF_Output!AC1:AC400,0)),0.05)</f>
        <v>70</v>
      </c>
      <c r="AK79" t="str">
        <f>IF(SUMIFS(SF_Output!$F$1:$F$400,SF_Output!$AC$1:$AC$400,_xlfn.TEXTJOIN(",",TRUE,B79:E79))+SUMIFS(SF_Output!$G$1:$G$400,SF_Output!$AC$1:$AC$400,_xlfn.TEXTJOIN(",",TRUE,B79:E79))=0,"","PAP")</f>
        <v/>
      </c>
      <c r="AQ79" s="35"/>
      <c r="AR79" s="35" t="str" cm="1">
        <f t="array" ref="AR79">IFERROR(_xlfn.IFS(AND(E79*1=1,F79="Included"),"Change to Included",AND(E79*1=0,F79="Optional"),"Change to Optional",OR(B79="",F79="replaced"),""),"")</f>
        <v/>
      </c>
      <c r="AS79" s="35" t="str">
        <f t="shared" si="24"/>
        <v/>
      </c>
      <c r="AT79" s="35" t="str">
        <f t="shared" si="25"/>
        <v/>
      </c>
      <c r="AU79" s="35" t="str">
        <f t="shared" si="26"/>
        <v/>
      </c>
      <c r="AV79" s="35" t="str">
        <f t="shared" si="27"/>
        <v/>
      </c>
      <c r="AW79" s="35" t="str">
        <f t="shared" si="28"/>
        <v/>
      </c>
      <c r="AX79" s="35" t="str">
        <f t="shared" si="29"/>
        <v/>
      </c>
      <c r="AY79" s="35" t="str">
        <f t="shared" si="30"/>
        <v/>
      </c>
      <c r="AZ79" s="35" t="str">
        <f t="shared" si="31"/>
        <v/>
      </c>
      <c r="BA79" s="35" t="str">
        <f t="shared" si="32"/>
        <v/>
      </c>
      <c r="BB79" s="35" t="str">
        <f t="shared" si="33"/>
        <v/>
      </c>
      <c r="BC79" s="35"/>
      <c r="BE79" s="35">
        <f ca="1">INDEX(SF_Output!$AA$2:$AA$400,MATCH($B79,SF_Output!$M$2:$M$400,0))</f>
        <v>6</v>
      </c>
      <c r="BF79" s="35">
        <f ca="1">INDEX(SF_Output!$AB$2:$AB$400,MATCH($B79,SF_Output!$M$2:$M$400,0))</f>
        <v>4</v>
      </c>
    </row>
    <row r="80" spans="2:58" x14ac:dyDescent="0.25">
      <c r="B80" t="s">
        <v>1322</v>
      </c>
      <c r="C80" t="s">
        <v>2122</v>
      </c>
      <c r="D80" t="s">
        <v>2123</v>
      </c>
      <c r="E80" t="s">
        <v>2124</v>
      </c>
      <c r="F80" s="116" t="str">
        <f t="shared" si="17"/>
        <v>Included</v>
      </c>
      <c r="G80" t="str">
        <f>IF(B80="","",INDEX(SF_Output!$K$1:$K$400,MATCH(B80,SF_Output!$M$1:$M$400,0)))</f>
        <v>JHA Payment Center</v>
      </c>
      <c r="H80" cm="1">
        <f t="array" ref="H80">_xlfn.IFS(B80="","",(SUMIFS(SF_Output!$F$1:$F$400,SF_Output!$AC$1:$AC$400,_xlfn.TEXTJOIN(",",TRUE,B80:E80))+SUMIFS(SF_Output!$G$1:$G$400,SF_Output!$AC$1:$AC$400,_xlfn.TEXTJOIN(",",TRUE,B80:E80)))&lt;&gt;0,SF_Output!$Y$2,INDEX(SF_Output!$F$1:$F$400,MATCH(_xlfn.TEXTJOIN(",",TRUE,B80:E80),SF_Output!$AC$1:$AC$400,0))=0,INDEX(SF_Output!$R$1:$R$400,MATCH(_xlfn.TEXTJOIN(",",TRUE,B80:E80),SF_Output!$AC$1:$AC$400,0)))</f>
        <v>1</v>
      </c>
      <c r="I80" s="125" t="str">
        <f>IFERROR(IF(AND(H80&gt;1,H80&lt;&gt;""),ROUND(SUMIFS(SF_Output!$S$1:$S$400,SF_Output!$AC$1:$AC$400,_xlfn.TEXTJOIN(",",TRUE,B80:E80),SF_Output!$Q$1:$Q$400,"monthly")*(1-W80)/H80,4),""),"")</f>
        <v/>
      </c>
      <c r="J80" s="6">
        <f>IF(B80="","",SUMIFS(SF_Output!$S$1:$S$400,SF_Output!$AC$1:$AC$400,_xlfn.TEXTJOIN(",",TRUE,B80:E80),SF_Output!$Q$1:$Q$400,"One Time",SF_Output!$L$1:$L$400,"license fee")+SUMIFS(SF_Output!$S$1:$S$400,SF_Output!$AC$1:$AC$400,_xlfn.TEXTJOIN(",",TRUE,B80:E80),SF_Output!$Q$1:$Q$400,"One Time",SF_Output!$L$1:$L$400,"software license")+SUMIFS(SF_Output!$S$1:$S$400,SF_Output!$AC$1:$AC$400,_xlfn.TEXTJOIN(",",TRUE,B80:E80),SF_Output!$Q$1:$Q$400,"One Time",SF_Output!$L$1:$L$400,"hardware"))</f>
        <v>0</v>
      </c>
      <c r="K80" s="112" t="str">
        <f>IF(OR(B80=0,B80="",G80="hardware",J80=0),"",IF(AF80&lt;&gt;"exclusion",MAX(K$9,-((SUMIFS(SF_Output!$T$1:$T$400,SF_Output!$AC$1:$AC$400,_xlfn.TEXTJOIN(",",TRUE,$B80:$E80),SF_Output!$Q$1:$Q$400,"One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license"))/J80)))</f>
        <v/>
      </c>
      <c r="L80" s="6">
        <f t="shared" si="18"/>
        <v>0</v>
      </c>
      <c r="N80" s="6">
        <f>IF(B80="","",SUMIFS(SF_Output!$S$1:$S$400,SF_Output!$AC$1:$AC$400,_xlfn.TEXTJOIN(",",TRUE,B80:E80),SF_Output!$Q$1:$Q$400,"One Time",SF_Output!$L$1:$L$400,"professional service"))</f>
        <v>3000</v>
      </c>
      <c r="O80" s="112">
        <f>IF(OR(B80=0,B80="",N80=0),"",IF(AF80&lt;&gt;"exclusion",MAX(O$9,-(SUMIFS(SF_Output!$T$1:$T$400,SF_Output!$AC$1:$AC$400,_xlfn.TEXTJOIN(",",TRUE,$B80:$E80),SF_Output!$Q$1:$Q$400,"One Time",SF_Output!$L$1:$L$400,"professional service"))/N80),-((SUMIFS(SF_Output!$T$1:$T$400,SF_Output!$AC$1:$AC$400,_xlfn.TEXTJOIN(",",TRUE,$B80:$E80),SF_Output!$Q$1:$Q$400,"One Time",SF_Output!$L$1:$L$400,"professional service")/N80))))</f>
        <v>1</v>
      </c>
      <c r="P80" s="6">
        <f t="shared" si="19"/>
        <v>0</v>
      </c>
      <c r="R80" s="6">
        <f>IF(B80="","",SUMIFS(SF_Output!$S$1:$S$400,SF_Output!$AC$1:$AC$400,_xlfn.TEXTJOIN(",",TRUE,B80:E80),SF_Output!$Q$1:$Q$400,"yearly")+SUMIFS(SF_Output!$S$1:$S$400,SF_Output!$AC$1:$AC$400,_xlfn.TEXTJOIN(",",TRUE,B80:E80),SF_Output!$Q$1:$Q$400,"quarterly")*4)</f>
        <v>0</v>
      </c>
      <c r="S80" s="112" t="str">
        <f>IF(OR(B80=0,B80="",G80="hardware",R80=0),"",IF(AF80&lt;&gt;"exclusion",MAX(S$9,-(SUMIFS(SF_Output!$T$1:$T$400,SF_Output!$AC$1:$AC$400,_xlfn.TEXTJOIN(",",TRUE,$B80:$E80),SF_Output!$Q$1:$Q$400,"yearly"))/R80),-((SUMIFS(SF_Output!$T$1:$T$400,SF_Output!$AC$1:$AC$400,_xlfn.TEXTJOIN(",",TRUE,$B80:$E80),SF_Output!$Q$1:$Q$400,"yearly")/R80))))</f>
        <v/>
      </c>
      <c r="T80" s="6">
        <f t="shared" si="20"/>
        <v>0</v>
      </c>
      <c r="V80" s="6" cm="1">
        <f t="array" ref="V80">_xlfn.IFS(B80="","",AND(B80&lt;&gt;"",H80=SF_Output!$Y$2,SUMIFS(SF_Output!$T$1:$T$400,SF_Output!$AC$1:$AC$400,_xlfn.TEXTJOIN(",",TRUE,B80:E80),SF_Output!$Q$1:$Q$400,"monthly")=0),(SUMIFS(SF_Output!$F$1:$F$400,SF_Output!$AC$1:$AC$400,_xlfn.TEXTJOIN(",",TRUE,B80:E80),SF_Output!$Q$1:$Q$400,"monthly")+SUMIFS(SF_Output!$G$1:$G$400,SF_Output!$AC$1:$AC$400,_xlfn.TEXTJOIN(",",TRUE,B80:E80),SF_Output!$Q$1:$Q$400,"monthly"))*H80,AND(B80&lt;&gt;"",H80=SF_Output!$Y$2,SUMIFS(SF_Output!$T$1:$T$400,SF_Output!$AC$1:$AC$400,_xlfn.TEXTJOIN(",",TRUE,B80:E80),SF_Output!$Q$1:$Q$400,"monthly")&lt;&gt;0),SUMIFS(SF_Output!$S$1:$S$400,SF_Output!$AC$1:$AC$400,_xlfn.TEXTJOIN(",",TRUE,B80:E80),SF_Output!$Q$1:$Q$400,"monthly"),AND(B80&lt;&gt;"",H80&lt;&gt;SF_Output!$Y$2),SUMIFS(SF_Output!$S$1:$S$400,SF_Output!$AC$1:$AC$400,_xlfn.TEXTJOIN(",",TRUE,B80:E80),SF_Output!$Q$1:$Q$400,"monthly"))</f>
        <v>600</v>
      </c>
      <c r="W80" s="112" cm="1">
        <f t="array" ref="W80">_xlfn.IFS(OR(B80=0,B80="",V80=0),"",AF80&lt;&gt;"exclusion",MAX($W$9,$W$7,(-(SUMIFS(SF_Output!$T$1:$T$400,SF_Output!$AC$1:$AC$400,_xlfn.TEXTJOIN(",",TRUE,$B80:$E80),SF_Output!$Q$1:$Q$400,"monthly"))/V80)),AF80="exclusion",-(SUMIFS(SF_Output!$T$1:$T$400,SF_Output!$AC$1:$AC$400,_xlfn.TEXTJOIN(",",TRUE,$B80:$E80),SF_Output!$Q$1:$Q$400,"monthly"))/V80)</f>
        <v>0</v>
      </c>
      <c r="X80" s="6" cm="1">
        <f t="array" ref="X80">IFERROR(_xlfn.IFS(V80=0,0,V80="","",W80=0,V80,OR(V80&lt;&gt;0,V80&lt;&gt;""),H80*I80),V80*(1-W80))</f>
        <v>600</v>
      </c>
      <c r="Z80" s="6">
        <f>IFERROR(IF(B80="","",SUMIFS(Billing_Fallout!H:H,Billing_Fallout!N:N,B80)),0)</f>
        <v>0</v>
      </c>
      <c r="AA80" s="6">
        <f t="shared" si="21"/>
        <v>0</v>
      </c>
      <c r="AB80" s="6">
        <f>IFERROR(IF(B80="","",SUMIFS(Billing_Fallout!J:J,Billing_Fallout!N:N,B80)),0)</f>
        <v>0</v>
      </c>
      <c r="AD80" s="6">
        <f t="shared" si="22"/>
        <v>600</v>
      </c>
      <c r="AF80" t="str">
        <f>IFERROR(INDEX(H_Tables!$B$1:$B$1500,MATCH(INDEX(SF_Output!$J$1:$J$400,MATCH(B80,SF_Output!$M$1:$M$400,0)),H_Tables!$A$1:$A$1500,0)),"")</f>
        <v>Exclusion</v>
      </c>
      <c r="AI80" s="119" t="str">
        <f t="shared" si="23"/>
        <v/>
      </c>
      <c r="AJ80" s="121">
        <f>IFERROR(INDEX(SF_Output!AD:AD,MATCH(_xlfn.TEXTJOIN(",",TRUE,B80:E80),SF_Output!AC1:AC400,0)),0.05)</f>
        <v>71</v>
      </c>
      <c r="AK80" t="str">
        <f>IF(SUMIFS(SF_Output!$F$1:$F$400,SF_Output!$AC$1:$AC$400,_xlfn.TEXTJOIN(",",TRUE,B80:E80))+SUMIFS(SF_Output!$G$1:$G$400,SF_Output!$AC$1:$AC$400,_xlfn.TEXTJOIN(",",TRUE,B80:E80))=0,"","PAP")</f>
        <v/>
      </c>
      <c r="AQ80" s="35"/>
      <c r="AR80" s="35" t="str" cm="1">
        <f t="array" ref="AR80">IFERROR(_xlfn.IFS(AND(E80*1=1,F80="Included"),"Change to Included",AND(E80*1=0,F80="Optional"),"Change to Optional",OR(B80="",F80="replaced"),""),"")</f>
        <v/>
      </c>
      <c r="AS80" s="35" t="str">
        <f t="shared" si="24"/>
        <v/>
      </c>
      <c r="AT80" s="35" t="str">
        <f t="shared" si="25"/>
        <v/>
      </c>
      <c r="AU80" s="35" t="str">
        <f t="shared" si="26"/>
        <v/>
      </c>
      <c r="AV80" s="35" t="str">
        <f t="shared" si="27"/>
        <v/>
      </c>
      <c r="AW80" s="35" t="str">
        <f t="shared" si="28"/>
        <v/>
      </c>
      <c r="AX80" s="35" t="str">
        <f t="shared" si="29"/>
        <v/>
      </c>
      <c r="AY80" s="35" t="str">
        <f t="shared" si="30"/>
        <v/>
      </c>
      <c r="AZ80" s="35" t="str">
        <f t="shared" si="31"/>
        <v/>
      </c>
      <c r="BA80" s="35" t="str">
        <f t="shared" si="32"/>
        <v/>
      </c>
      <c r="BB80" s="35" t="str">
        <f t="shared" si="33"/>
        <v/>
      </c>
      <c r="BC80" s="35"/>
      <c r="BE80" s="35">
        <f ca="1">INDEX(SF_Output!$AA$2:$AA$400,MATCH($B80,SF_Output!$M$2:$M$400,0))</f>
        <v>6</v>
      </c>
      <c r="BF80" s="35">
        <f ca="1">INDEX(SF_Output!$AB$2:$AB$400,MATCH($B80,SF_Output!$M$2:$M$400,0))</f>
        <v>4</v>
      </c>
    </row>
    <row r="81" spans="2:58" x14ac:dyDescent="0.25">
      <c r="B81" t="s">
        <v>2235</v>
      </c>
      <c r="C81" t="s">
        <v>2122</v>
      </c>
      <c r="D81" t="s">
        <v>2123</v>
      </c>
      <c r="E81" t="s">
        <v>2124</v>
      </c>
      <c r="F81" s="116" t="str">
        <f t="shared" si="17"/>
        <v>Included</v>
      </c>
      <c r="G81" t="str">
        <f>IF(B81="","",INDEX(SF_Output!$K$1:$K$400,MATCH(B81,SF_Output!$M$1:$M$400,0)))</f>
        <v>JHA Payment Center</v>
      </c>
      <c r="H81" cm="1">
        <f t="array" ref="H81">_xlfn.IFS(B81="","",(SUMIFS(SF_Output!$F$1:$F$400,SF_Output!$AC$1:$AC$400,_xlfn.TEXTJOIN(",",TRUE,B81:E81))+SUMIFS(SF_Output!$G$1:$G$400,SF_Output!$AC$1:$AC$400,_xlfn.TEXTJOIN(",",TRUE,B81:E81)))&lt;&gt;0,SF_Output!$Y$2,INDEX(SF_Output!$F$1:$F$400,MATCH(_xlfn.TEXTJOIN(",",TRUE,B81:E81),SF_Output!$AC$1:$AC$400,0))=0,INDEX(SF_Output!$R$1:$R$400,MATCH(_xlfn.TEXTJOIN(",",TRUE,B81:E81),SF_Output!$AC$1:$AC$400,0)))</f>
        <v>1</v>
      </c>
      <c r="I81" s="125" t="str">
        <f>IFERROR(IF(AND(H81&gt;1,H81&lt;&gt;""),ROUND(SUMIFS(SF_Output!$S$1:$S$400,SF_Output!$AC$1:$AC$400,_xlfn.TEXTJOIN(",",TRUE,B81:E81),SF_Output!$Q$1:$Q$400,"monthly")*(1-W81)/H81,4),""),"")</f>
        <v/>
      </c>
      <c r="J81" s="6">
        <f>IF(B81="","",SUMIFS(SF_Output!$S$1:$S$400,SF_Output!$AC$1:$AC$400,_xlfn.TEXTJOIN(",",TRUE,B81:E81),SF_Output!$Q$1:$Q$400,"One Time",SF_Output!$L$1:$L$400,"license fee")+SUMIFS(SF_Output!$S$1:$S$400,SF_Output!$AC$1:$AC$400,_xlfn.TEXTJOIN(",",TRUE,B81:E81),SF_Output!$Q$1:$Q$400,"One Time",SF_Output!$L$1:$L$400,"software license")+SUMIFS(SF_Output!$S$1:$S$400,SF_Output!$AC$1:$AC$400,_xlfn.TEXTJOIN(",",TRUE,B81:E81),SF_Output!$Q$1:$Q$400,"One Time",SF_Output!$L$1:$L$400,"hardware"))</f>
        <v>0</v>
      </c>
      <c r="K81" s="112" t="str">
        <f>IF(OR(B81=0,B81="",G81="hardware",J81=0),"",IF(AF81&lt;&gt;"exclusion",MAX(K$9,-((SUMIFS(SF_Output!$T$1:$T$400,SF_Output!$AC$1:$AC$400,_xlfn.TEXTJOIN(",",TRUE,$B81:$E81),SF_Output!$Q$1:$Q$400,"One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license"))/J81)))</f>
        <v/>
      </c>
      <c r="L81" s="6">
        <f t="shared" si="18"/>
        <v>0</v>
      </c>
      <c r="N81" s="6">
        <f>IF(B81="","",SUMIFS(SF_Output!$S$1:$S$400,SF_Output!$AC$1:$AC$400,_xlfn.TEXTJOIN(",",TRUE,B81:E81),SF_Output!$Q$1:$Q$400,"One Time",SF_Output!$L$1:$L$400,"professional service"))</f>
        <v>1000</v>
      </c>
      <c r="O81" s="112">
        <f>IF(OR(B81=0,B81="",N81=0),"",IF(AF81&lt;&gt;"exclusion",MAX(O$9,-(SUMIFS(SF_Output!$T$1:$T$400,SF_Output!$AC$1:$AC$400,_xlfn.TEXTJOIN(",",TRUE,$B81:$E81),SF_Output!$Q$1:$Q$400,"One Time",SF_Output!$L$1:$L$400,"professional service"))/N81),-((SUMIFS(SF_Output!$T$1:$T$400,SF_Output!$AC$1:$AC$400,_xlfn.TEXTJOIN(",",TRUE,$B81:$E81),SF_Output!$Q$1:$Q$400,"One Time",SF_Output!$L$1:$L$400,"professional service")/N81))))</f>
        <v>1</v>
      </c>
      <c r="P81" s="6">
        <f t="shared" si="19"/>
        <v>0</v>
      </c>
      <c r="R81" s="6">
        <f>IF(B81="","",SUMIFS(SF_Output!$S$1:$S$400,SF_Output!$AC$1:$AC$400,_xlfn.TEXTJOIN(",",TRUE,B81:E81),SF_Output!$Q$1:$Q$400,"yearly")+SUMIFS(SF_Output!$S$1:$S$400,SF_Output!$AC$1:$AC$400,_xlfn.TEXTJOIN(",",TRUE,B81:E81),SF_Output!$Q$1:$Q$400,"quarterly")*4)</f>
        <v>0</v>
      </c>
      <c r="S81" s="112" t="str">
        <f>IF(OR(B81=0,B81="",G81="hardware",R81=0),"",IF(AF81&lt;&gt;"exclusion",MAX(S$9,-(SUMIFS(SF_Output!$T$1:$T$400,SF_Output!$AC$1:$AC$400,_xlfn.TEXTJOIN(",",TRUE,$B81:$E81),SF_Output!$Q$1:$Q$400,"yearly"))/R81),-((SUMIFS(SF_Output!$T$1:$T$400,SF_Output!$AC$1:$AC$400,_xlfn.TEXTJOIN(",",TRUE,$B81:$E81),SF_Output!$Q$1:$Q$400,"yearly")/R81))))</f>
        <v/>
      </c>
      <c r="T81" s="6">
        <f t="shared" si="20"/>
        <v>0</v>
      </c>
      <c r="V81" s="6" cm="1">
        <f t="array" ref="V81">_xlfn.IFS(B81="","",AND(B81&lt;&gt;"",H81=SF_Output!$Y$2,SUMIFS(SF_Output!$T$1:$T$400,SF_Output!$AC$1:$AC$400,_xlfn.TEXTJOIN(",",TRUE,B81:E81),SF_Output!$Q$1:$Q$400,"monthly")=0),(SUMIFS(SF_Output!$F$1:$F$400,SF_Output!$AC$1:$AC$400,_xlfn.TEXTJOIN(",",TRUE,B81:E81),SF_Output!$Q$1:$Q$400,"monthly")+SUMIFS(SF_Output!$G$1:$G$400,SF_Output!$AC$1:$AC$400,_xlfn.TEXTJOIN(",",TRUE,B81:E81),SF_Output!$Q$1:$Q$400,"monthly"))*H81,AND(B81&lt;&gt;"",H81=SF_Output!$Y$2,SUMIFS(SF_Output!$T$1:$T$400,SF_Output!$AC$1:$AC$400,_xlfn.TEXTJOIN(",",TRUE,B81:E81),SF_Output!$Q$1:$Q$400,"monthly")&lt;&gt;0),SUMIFS(SF_Output!$S$1:$S$400,SF_Output!$AC$1:$AC$400,_xlfn.TEXTJOIN(",",TRUE,B81:E81),SF_Output!$Q$1:$Q$400,"monthly"),AND(B81&lt;&gt;"",H81&lt;&gt;SF_Output!$Y$2),SUMIFS(SF_Output!$S$1:$S$400,SF_Output!$AC$1:$AC$400,_xlfn.TEXTJOIN(",",TRUE,B81:E81),SF_Output!$Q$1:$Q$400,"monthly"))</f>
        <v>400</v>
      </c>
      <c r="W81" s="112" cm="1">
        <f t="array" ref="W81">_xlfn.IFS(OR(B81=0,B81="",V81=0),"",AF81&lt;&gt;"exclusion",MAX($W$9,$W$7,(-(SUMIFS(SF_Output!$T$1:$T$400,SF_Output!$AC$1:$AC$400,_xlfn.TEXTJOIN(",",TRUE,$B81:$E81),SF_Output!$Q$1:$Q$400,"monthly"))/V81)),AF81="exclusion",-(SUMIFS(SF_Output!$T$1:$T$400,SF_Output!$AC$1:$AC$400,_xlfn.TEXTJOIN(",",TRUE,$B81:$E81),SF_Output!$Q$1:$Q$400,"monthly"))/V81)</f>
        <v>0</v>
      </c>
      <c r="X81" s="6" cm="1">
        <f t="array" ref="X81">IFERROR(_xlfn.IFS(V81=0,0,V81="","",W81=0,V81,OR(V81&lt;&gt;0,V81&lt;&gt;""),H81*I81),V81*(1-W81))</f>
        <v>400</v>
      </c>
      <c r="Z81" s="6">
        <f>IFERROR(IF(B81="","",SUMIFS(Billing_Fallout!H:H,Billing_Fallout!N:N,B81)),0)</f>
        <v>0</v>
      </c>
      <c r="AA81" s="6">
        <f t="shared" si="21"/>
        <v>0</v>
      </c>
      <c r="AB81" s="6">
        <f>IFERROR(IF(B81="","",SUMIFS(Billing_Fallout!J:J,Billing_Fallout!N:N,B81)),0)</f>
        <v>0</v>
      </c>
      <c r="AD81" s="6">
        <f t="shared" si="22"/>
        <v>400</v>
      </c>
      <c r="AF81" t="str">
        <f>IFERROR(INDEX(H_Tables!$B$1:$B$1500,MATCH(INDEX(SF_Output!$J$1:$J$400,MATCH(B81,SF_Output!$M$1:$M$400,0)),H_Tables!$A$1:$A$1500,0)),"")</f>
        <v>Exclusion</v>
      </c>
      <c r="AI81" s="119" t="str">
        <f t="shared" si="23"/>
        <v/>
      </c>
      <c r="AJ81" s="121">
        <f>IFERROR(INDEX(SF_Output!AD:AD,MATCH(_xlfn.TEXTJOIN(",",TRUE,B81:E81),SF_Output!AC1:AC400,0)),0.05)</f>
        <v>73</v>
      </c>
      <c r="AK81" t="str">
        <f>IF(SUMIFS(SF_Output!$F$1:$F$400,SF_Output!$AC$1:$AC$400,_xlfn.TEXTJOIN(",",TRUE,B81:E81))+SUMIFS(SF_Output!$G$1:$G$400,SF_Output!$AC$1:$AC$400,_xlfn.TEXTJOIN(",",TRUE,B81:E81))=0,"","PAP")</f>
        <v/>
      </c>
      <c r="AQ81" s="35"/>
      <c r="AR81" s="35" t="str" cm="1">
        <f t="array" ref="AR81">IFERROR(_xlfn.IFS(AND(E81*1=1,F81="Included"),"Change to Included",AND(E81*1=0,F81="Optional"),"Change to Optional",OR(B81="",F81="replaced"),""),"")</f>
        <v/>
      </c>
      <c r="AS81" s="35" t="str">
        <f t="shared" si="24"/>
        <v/>
      </c>
      <c r="AT81" s="35" t="str">
        <f t="shared" si="25"/>
        <v/>
      </c>
      <c r="AU81" s="35" t="str">
        <f t="shared" si="26"/>
        <v/>
      </c>
      <c r="AV81" s="35" t="str">
        <f t="shared" si="27"/>
        <v/>
      </c>
      <c r="AW81" s="35" t="str">
        <f t="shared" si="28"/>
        <v/>
      </c>
      <c r="AX81" s="35" t="str">
        <f t="shared" si="29"/>
        <v/>
      </c>
      <c r="AY81" s="35" t="str">
        <f t="shared" si="30"/>
        <v/>
      </c>
      <c r="AZ81" s="35" t="str">
        <f t="shared" si="31"/>
        <v/>
      </c>
      <c r="BA81" s="35" t="str">
        <f t="shared" si="32"/>
        <v/>
      </c>
      <c r="BB81" s="35" t="str">
        <f t="shared" si="33"/>
        <v/>
      </c>
      <c r="BC81" s="35"/>
      <c r="BE81" s="35">
        <f ca="1">INDEX(SF_Output!$AA$2:$AA$400,MATCH($B81,SF_Output!$M$2:$M$400,0))</f>
        <v>6</v>
      </c>
      <c r="BF81" s="35">
        <f ca="1">INDEX(SF_Output!$AB$2:$AB$400,MATCH($B81,SF_Output!$M$2:$M$400,0))</f>
        <v>4</v>
      </c>
    </row>
    <row r="82" spans="2:58" x14ac:dyDescent="0.25">
      <c r="B82" t="s">
        <v>2238</v>
      </c>
      <c r="C82" t="s">
        <v>2122</v>
      </c>
      <c r="D82" t="s">
        <v>2123</v>
      </c>
      <c r="E82" t="s">
        <v>2124</v>
      </c>
      <c r="F82" s="116" t="str">
        <f t="shared" si="17"/>
        <v>Included</v>
      </c>
      <c r="G82" t="str">
        <f>IF(B82="","",INDEX(SF_Output!$K$1:$K$400,MATCH(B82,SF_Output!$M$1:$M$400,0)))</f>
        <v>JHA Payment Center</v>
      </c>
      <c r="H82" cm="1">
        <f t="array" ref="H82">_xlfn.IFS(B82="","",(SUMIFS(SF_Output!$F$1:$F$400,SF_Output!$AC$1:$AC$400,_xlfn.TEXTJOIN(",",TRUE,B82:E82))+SUMIFS(SF_Output!$G$1:$G$400,SF_Output!$AC$1:$AC$400,_xlfn.TEXTJOIN(",",TRUE,B82:E82)))&lt;&gt;0,SF_Output!$Y$2,INDEX(SF_Output!$F$1:$F$400,MATCH(_xlfn.TEXTJOIN(",",TRUE,B82:E82),SF_Output!$AC$1:$AC$400,0))=0,INDEX(SF_Output!$R$1:$R$400,MATCH(_xlfn.TEXTJOIN(",",TRUE,B82:E82),SF_Output!$AC$1:$AC$400,0)))</f>
        <v>1</v>
      </c>
      <c r="I82" s="125" t="str">
        <f>IFERROR(IF(AND(H82&gt;1,H82&lt;&gt;""),ROUND(SUMIFS(SF_Output!$S$1:$S$400,SF_Output!$AC$1:$AC$400,_xlfn.TEXTJOIN(",",TRUE,B82:E82),SF_Output!$Q$1:$Q$400,"monthly")*(1-W82)/H82,4),""),"")</f>
        <v/>
      </c>
      <c r="J82" s="6">
        <f>IF(B82="","",SUMIFS(SF_Output!$S$1:$S$400,SF_Output!$AC$1:$AC$400,_xlfn.TEXTJOIN(",",TRUE,B82:E82),SF_Output!$Q$1:$Q$400,"One Time",SF_Output!$L$1:$L$400,"license fee")+SUMIFS(SF_Output!$S$1:$S$400,SF_Output!$AC$1:$AC$400,_xlfn.TEXTJOIN(",",TRUE,B82:E82),SF_Output!$Q$1:$Q$400,"One Time",SF_Output!$L$1:$L$400,"software license")+SUMIFS(SF_Output!$S$1:$S$400,SF_Output!$AC$1:$AC$400,_xlfn.TEXTJOIN(",",TRUE,B82:E82),SF_Output!$Q$1:$Q$400,"One Time",SF_Output!$L$1:$L$400,"hardware"))</f>
        <v>0</v>
      </c>
      <c r="K82" s="112" t="str">
        <f>IF(OR(B82=0,B82="",G82="hardware",J82=0),"",IF(AF82&lt;&gt;"exclusion",MAX(K$9,-((SUMIFS(SF_Output!$T$1:$T$400,SF_Output!$AC$1:$AC$400,_xlfn.TEXTJOIN(",",TRUE,$B82:$E82),SF_Output!$Q$1:$Q$400,"One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license"))/J82)))</f>
        <v/>
      </c>
      <c r="L82" s="6">
        <f t="shared" si="18"/>
        <v>0</v>
      </c>
      <c r="N82" s="6">
        <f>IF(B82="","",SUMIFS(SF_Output!$S$1:$S$400,SF_Output!$AC$1:$AC$400,_xlfn.TEXTJOIN(",",TRUE,B82:E82),SF_Output!$Q$1:$Q$400,"One Time",SF_Output!$L$1:$L$400,"professional service"))</f>
        <v>1000</v>
      </c>
      <c r="O82" s="112">
        <f>IF(OR(B82=0,B82="",N82=0),"",IF(AF82&lt;&gt;"exclusion",MAX(O$9,-(SUMIFS(SF_Output!$T$1:$T$400,SF_Output!$AC$1:$AC$400,_xlfn.TEXTJOIN(",",TRUE,$B82:$E82),SF_Output!$Q$1:$Q$400,"One Time",SF_Output!$L$1:$L$400,"professional service"))/N82),-((SUMIFS(SF_Output!$T$1:$T$400,SF_Output!$AC$1:$AC$400,_xlfn.TEXTJOIN(",",TRUE,$B82:$E82),SF_Output!$Q$1:$Q$400,"One Time",SF_Output!$L$1:$L$400,"professional service")/N82))))</f>
        <v>1</v>
      </c>
      <c r="P82" s="6">
        <f t="shared" si="19"/>
        <v>0</v>
      </c>
      <c r="R82" s="6">
        <f>IF(B82="","",SUMIFS(SF_Output!$S$1:$S$400,SF_Output!$AC$1:$AC$400,_xlfn.TEXTJOIN(",",TRUE,B82:E82),SF_Output!$Q$1:$Q$400,"yearly")+SUMIFS(SF_Output!$S$1:$S$400,SF_Output!$AC$1:$AC$400,_xlfn.TEXTJOIN(",",TRUE,B82:E82),SF_Output!$Q$1:$Q$400,"quarterly")*4)</f>
        <v>0</v>
      </c>
      <c r="S82" s="112" t="str">
        <f>IF(OR(B82=0,B82="",G82="hardware",R82=0),"",IF(AF82&lt;&gt;"exclusion",MAX(S$9,-(SUMIFS(SF_Output!$T$1:$T$400,SF_Output!$AC$1:$AC$400,_xlfn.TEXTJOIN(",",TRUE,$B82:$E82),SF_Output!$Q$1:$Q$400,"yearly"))/R82),-((SUMIFS(SF_Output!$T$1:$T$400,SF_Output!$AC$1:$AC$400,_xlfn.TEXTJOIN(",",TRUE,$B82:$E82),SF_Output!$Q$1:$Q$400,"yearly")/R82))))</f>
        <v/>
      </c>
      <c r="T82" s="6">
        <f t="shared" si="20"/>
        <v>0</v>
      </c>
      <c r="V82" s="6" cm="1">
        <f t="array" ref="V82">_xlfn.IFS(B82="","",AND(B82&lt;&gt;"",H82=SF_Output!$Y$2,SUMIFS(SF_Output!$T$1:$T$400,SF_Output!$AC$1:$AC$400,_xlfn.TEXTJOIN(",",TRUE,B82:E82),SF_Output!$Q$1:$Q$400,"monthly")=0),(SUMIFS(SF_Output!$F$1:$F$400,SF_Output!$AC$1:$AC$400,_xlfn.TEXTJOIN(",",TRUE,B82:E82),SF_Output!$Q$1:$Q$400,"monthly")+SUMIFS(SF_Output!$G$1:$G$400,SF_Output!$AC$1:$AC$400,_xlfn.TEXTJOIN(",",TRUE,B82:E82),SF_Output!$Q$1:$Q$400,"monthly"))*H82,AND(B82&lt;&gt;"",H82=SF_Output!$Y$2,SUMIFS(SF_Output!$T$1:$T$400,SF_Output!$AC$1:$AC$400,_xlfn.TEXTJOIN(",",TRUE,B82:E82),SF_Output!$Q$1:$Q$400,"monthly")&lt;&gt;0),SUMIFS(SF_Output!$S$1:$S$400,SF_Output!$AC$1:$AC$400,_xlfn.TEXTJOIN(",",TRUE,B82:E82),SF_Output!$Q$1:$Q$400,"monthly"),AND(B82&lt;&gt;"",H82&lt;&gt;SF_Output!$Y$2),SUMIFS(SF_Output!$S$1:$S$400,SF_Output!$AC$1:$AC$400,_xlfn.TEXTJOIN(",",TRUE,B82:E82),SF_Output!$Q$1:$Q$400,"monthly"))</f>
        <v>400</v>
      </c>
      <c r="W82" s="112" cm="1">
        <f t="array" ref="W82">_xlfn.IFS(OR(B82=0,B82="",V82=0),"",AF82&lt;&gt;"exclusion",MAX($W$9,$W$7,(-(SUMIFS(SF_Output!$T$1:$T$400,SF_Output!$AC$1:$AC$400,_xlfn.TEXTJOIN(",",TRUE,$B82:$E82),SF_Output!$Q$1:$Q$400,"monthly"))/V82)),AF82="exclusion",-(SUMIFS(SF_Output!$T$1:$T$400,SF_Output!$AC$1:$AC$400,_xlfn.TEXTJOIN(",",TRUE,$B82:$E82),SF_Output!$Q$1:$Q$400,"monthly"))/V82)</f>
        <v>0</v>
      </c>
      <c r="X82" s="6" cm="1">
        <f t="array" ref="X82">IFERROR(_xlfn.IFS(V82=0,0,V82="","",W82=0,V82,OR(V82&lt;&gt;0,V82&lt;&gt;""),H82*I82),V82*(1-W82))</f>
        <v>400</v>
      </c>
      <c r="Z82" s="6">
        <f>IFERROR(IF(B82="","",SUMIFS(Billing_Fallout!H:H,Billing_Fallout!N:N,B82)),0)</f>
        <v>0</v>
      </c>
      <c r="AA82" s="6">
        <f t="shared" si="21"/>
        <v>0</v>
      </c>
      <c r="AB82" s="6">
        <f>IFERROR(IF(B82="","",SUMIFS(Billing_Fallout!J:J,Billing_Fallout!N:N,B82)),0)</f>
        <v>0</v>
      </c>
      <c r="AD82" s="6">
        <f t="shared" si="22"/>
        <v>400</v>
      </c>
      <c r="AF82" t="str">
        <f>IFERROR(INDEX(H_Tables!$B$1:$B$1500,MATCH(INDEX(SF_Output!$J$1:$J$400,MATCH(B82,SF_Output!$M$1:$M$400,0)),H_Tables!$A$1:$A$1500,0)),"")</f>
        <v>Exclusion</v>
      </c>
      <c r="AI82" s="119" t="str">
        <f t="shared" si="23"/>
        <v/>
      </c>
      <c r="AJ82" s="121">
        <f>IFERROR(INDEX(SF_Output!AD:AD,MATCH(_xlfn.TEXTJOIN(",",TRUE,B82:E82),SF_Output!AC1:AC400,0)),0.05)</f>
        <v>75</v>
      </c>
      <c r="AK82" t="str">
        <f>IF(SUMIFS(SF_Output!$F$1:$F$400,SF_Output!$AC$1:$AC$400,_xlfn.TEXTJOIN(",",TRUE,B82:E82))+SUMIFS(SF_Output!$G$1:$G$400,SF_Output!$AC$1:$AC$400,_xlfn.TEXTJOIN(",",TRUE,B82:E82))=0,"","PAP")</f>
        <v/>
      </c>
      <c r="AQ82" s="35"/>
      <c r="AR82" s="35" t="str" cm="1">
        <f t="array" ref="AR82">IFERROR(_xlfn.IFS(AND(E82*1=1,F82="Included"),"Change to Included",AND(E82*1=0,F82="Optional"),"Change to Optional",OR(B82="",F82="replaced"),""),"")</f>
        <v/>
      </c>
      <c r="AS82" s="35" t="str">
        <f t="shared" si="24"/>
        <v/>
      </c>
      <c r="AT82" s="35" t="str">
        <f t="shared" si="25"/>
        <v/>
      </c>
      <c r="AU82" s="35" t="str">
        <f t="shared" si="26"/>
        <v/>
      </c>
      <c r="AV82" s="35" t="str">
        <f t="shared" si="27"/>
        <v/>
      </c>
      <c r="AW82" s="35" t="str">
        <f t="shared" si="28"/>
        <v/>
      </c>
      <c r="AX82" s="35" t="str">
        <f t="shared" si="29"/>
        <v/>
      </c>
      <c r="AY82" s="35" t="str">
        <f t="shared" si="30"/>
        <v/>
      </c>
      <c r="AZ82" s="35" t="str">
        <f t="shared" si="31"/>
        <v/>
      </c>
      <c r="BA82" s="35" t="str">
        <f t="shared" si="32"/>
        <v/>
      </c>
      <c r="BB82" s="35" t="str">
        <f t="shared" si="33"/>
        <v/>
      </c>
      <c r="BC82" s="35"/>
      <c r="BE82" s="35">
        <f ca="1">INDEX(SF_Output!$AA$2:$AA$400,MATCH($B82,SF_Output!$M$2:$M$400,0))</f>
        <v>6</v>
      </c>
      <c r="BF82" s="35">
        <f ca="1">INDEX(SF_Output!$AB$2:$AB$400,MATCH($B82,SF_Output!$M$2:$M$400,0))</f>
        <v>4</v>
      </c>
    </row>
    <row r="83" spans="2:58" x14ac:dyDescent="0.25">
      <c r="B83" t="s">
        <v>1122</v>
      </c>
      <c r="C83" t="s">
        <v>2122</v>
      </c>
      <c r="D83" t="s">
        <v>2123</v>
      </c>
      <c r="E83" t="s">
        <v>2124</v>
      </c>
      <c r="F83" s="116" t="str">
        <f t="shared" si="17"/>
        <v>Included</v>
      </c>
      <c r="G83" t="str">
        <f>IF(B83="","",INDEX(SF_Output!$K$1:$K$400,MATCH(B83,SF_Output!$M$1:$M$400,0)))</f>
        <v>Enterprise Payment Solutions (EPS)</v>
      </c>
      <c r="H83" cm="1">
        <f t="array" ref="H83">_xlfn.IFS(B83="","",(SUMIFS(SF_Output!$F$1:$F$400,SF_Output!$AC$1:$AC$400,_xlfn.TEXTJOIN(",",TRUE,B83:E83))+SUMIFS(SF_Output!$G$1:$G$400,SF_Output!$AC$1:$AC$400,_xlfn.TEXTJOIN(",",TRUE,B83:E83)))&lt;&gt;0,SF_Output!$Y$2,INDEX(SF_Output!$F$1:$F$400,MATCH(_xlfn.TEXTJOIN(",",TRUE,B83:E83),SF_Output!$AC$1:$AC$400,0))=0,INDEX(SF_Output!$R$1:$R$400,MATCH(_xlfn.TEXTJOIN(",",TRUE,B83:E83),SF_Output!$AC$1:$AC$400,0)))</f>
        <v>1</v>
      </c>
      <c r="I83" s="125" t="str">
        <f>IFERROR(IF(AND(H83&gt;1,H83&lt;&gt;""),ROUND(SUMIFS(SF_Output!$S$1:$S$400,SF_Output!$AC$1:$AC$400,_xlfn.TEXTJOIN(",",TRUE,B83:E83),SF_Output!$Q$1:$Q$400,"monthly")*(1-W83)/H83,4),""),"")</f>
        <v/>
      </c>
      <c r="J83" s="6">
        <f>IF(B83="","",SUMIFS(SF_Output!$S$1:$S$400,SF_Output!$AC$1:$AC$400,_xlfn.TEXTJOIN(",",TRUE,B83:E83),SF_Output!$Q$1:$Q$400,"One Time",SF_Output!$L$1:$L$400,"license fee")+SUMIFS(SF_Output!$S$1:$S$400,SF_Output!$AC$1:$AC$400,_xlfn.TEXTJOIN(",",TRUE,B83:E83),SF_Output!$Q$1:$Q$400,"One Time",SF_Output!$L$1:$L$400,"software license")+SUMIFS(SF_Output!$S$1:$S$400,SF_Output!$AC$1:$AC$400,_xlfn.TEXTJOIN(",",TRUE,B83:E83),SF_Output!$Q$1:$Q$400,"One Time",SF_Output!$L$1:$L$400,"hardware"))</f>
        <v>0</v>
      </c>
      <c r="K83" s="112" t="str">
        <f>IF(OR(B83=0,B83="",G83="hardware",J83=0),"",IF(AF83&lt;&gt;"exclusion",MAX(K$9,-((SUMIFS(SF_Output!$T$1:$T$400,SF_Output!$AC$1:$AC$400,_xlfn.TEXTJOIN(",",TRUE,$B83:$E83),SF_Output!$Q$1:$Q$400,"One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license"))/J83)))</f>
        <v/>
      </c>
      <c r="L83" s="6">
        <f t="shared" si="18"/>
        <v>0</v>
      </c>
      <c r="N83" s="6">
        <f>IF(B83="","",SUMIFS(SF_Output!$S$1:$S$400,SF_Output!$AC$1:$AC$400,_xlfn.TEXTJOIN(",",TRUE,B83:E83),SF_Output!$Q$1:$Q$400,"One Time",SF_Output!$L$1:$L$400,"professional service"))</f>
        <v>2500</v>
      </c>
      <c r="O83" s="112">
        <f>IF(OR(B83=0,B83="",N83=0),"",IF(AF83&lt;&gt;"exclusion",MAX(O$9,-(SUMIFS(SF_Output!$T$1:$T$400,SF_Output!$AC$1:$AC$400,_xlfn.TEXTJOIN(",",TRUE,$B83:$E83),SF_Output!$Q$1:$Q$400,"One Time",SF_Output!$L$1:$L$400,"professional service"))/N83),-((SUMIFS(SF_Output!$T$1:$T$400,SF_Output!$AC$1:$AC$400,_xlfn.TEXTJOIN(",",TRUE,$B83:$E83),SF_Output!$Q$1:$Q$400,"One Time",SF_Output!$L$1:$L$400,"professional service")/N83))))</f>
        <v>1</v>
      </c>
      <c r="P83" s="6">
        <f t="shared" si="19"/>
        <v>0</v>
      </c>
      <c r="R83" s="6">
        <f>IF(B83="","",SUMIFS(SF_Output!$S$1:$S$400,SF_Output!$AC$1:$AC$400,_xlfn.TEXTJOIN(",",TRUE,B83:E83),SF_Output!$Q$1:$Q$400,"yearly")+SUMIFS(SF_Output!$S$1:$S$400,SF_Output!$AC$1:$AC$400,_xlfn.TEXTJOIN(",",TRUE,B83:E83),SF_Output!$Q$1:$Q$400,"quarterly")*4)</f>
        <v>0</v>
      </c>
      <c r="S83" s="112" t="str">
        <f>IF(OR(B83=0,B83="",G83="hardware",R83=0),"",IF(AF83&lt;&gt;"exclusion",MAX(S$9,-(SUMIFS(SF_Output!$T$1:$T$400,SF_Output!$AC$1:$AC$400,_xlfn.TEXTJOIN(",",TRUE,$B83:$E83),SF_Output!$Q$1:$Q$400,"yearly"))/R83),-((SUMIFS(SF_Output!$T$1:$T$400,SF_Output!$AC$1:$AC$400,_xlfn.TEXTJOIN(",",TRUE,$B83:$E83),SF_Output!$Q$1:$Q$400,"yearly")/R83))))</f>
        <v/>
      </c>
      <c r="T83" s="6">
        <f t="shared" si="20"/>
        <v>0</v>
      </c>
      <c r="V83" s="6" cm="1">
        <f t="array" ref="V83">_xlfn.IFS(B83="","",AND(B83&lt;&gt;"",H83=SF_Output!$Y$2,SUMIFS(SF_Output!$T$1:$T$400,SF_Output!$AC$1:$AC$400,_xlfn.TEXTJOIN(",",TRUE,B83:E83),SF_Output!$Q$1:$Q$400,"monthly")=0),(SUMIFS(SF_Output!$F$1:$F$400,SF_Output!$AC$1:$AC$400,_xlfn.TEXTJOIN(",",TRUE,B83:E83),SF_Output!$Q$1:$Q$400,"monthly")+SUMIFS(SF_Output!$G$1:$G$400,SF_Output!$AC$1:$AC$400,_xlfn.TEXTJOIN(",",TRUE,B83:E83),SF_Output!$Q$1:$Q$400,"monthly"))*H83,AND(B83&lt;&gt;"",H83=SF_Output!$Y$2,SUMIFS(SF_Output!$T$1:$T$400,SF_Output!$AC$1:$AC$400,_xlfn.TEXTJOIN(",",TRUE,B83:E83),SF_Output!$Q$1:$Q$400,"monthly")&lt;&gt;0),SUMIFS(SF_Output!$S$1:$S$400,SF_Output!$AC$1:$AC$400,_xlfn.TEXTJOIN(",",TRUE,B83:E83),SF_Output!$Q$1:$Q$400,"monthly"),AND(B83&lt;&gt;"",H83&lt;&gt;SF_Output!$Y$2),SUMIFS(SF_Output!$S$1:$S$400,SF_Output!$AC$1:$AC$400,_xlfn.TEXTJOIN(",",TRUE,B83:E83),SF_Output!$Q$1:$Q$400,"monthly"))</f>
        <v>0</v>
      </c>
      <c r="W83" s="112" t="str" cm="1">
        <f t="array" ref="W83">_xlfn.IFS(OR(B83=0,B83="",V83=0),"",AF83&lt;&gt;"exclusion",MAX($W$9,$W$7,(-(SUMIFS(SF_Output!$T$1:$T$400,SF_Output!$AC$1:$AC$400,_xlfn.TEXTJOIN(",",TRUE,$B83:$E83),SF_Output!$Q$1:$Q$400,"monthly"))/V83)),AF83="exclusion",-(SUMIFS(SF_Output!$T$1:$T$400,SF_Output!$AC$1:$AC$400,_xlfn.TEXTJOIN(",",TRUE,$B83:$E83),SF_Output!$Q$1:$Q$400,"monthly"))/V83)</f>
        <v/>
      </c>
      <c r="X83" s="6" cm="1">
        <f t="array" ref="X83">IFERROR(_xlfn.IFS(V83=0,0,V83="","",W83=0,V83,OR(V83&lt;&gt;0,V83&lt;&gt;""),H83*I83),V83*(1-W83))</f>
        <v>0</v>
      </c>
      <c r="Z83" s="6">
        <f>IFERROR(IF(B83="","",SUMIFS(Billing_Fallout!H:H,Billing_Fallout!N:N,B83)),0)</f>
        <v>0</v>
      </c>
      <c r="AA83" s="6">
        <f t="shared" si="21"/>
        <v>0</v>
      </c>
      <c r="AB83" s="6">
        <f>IFERROR(IF(B83="","",SUMIFS(Billing_Fallout!J:J,Billing_Fallout!N:N,B83)),0)</f>
        <v>0</v>
      </c>
      <c r="AD83" s="6">
        <f t="shared" si="22"/>
        <v>0</v>
      </c>
      <c r="AF83" t="str">
        <f>IFERROR(INDEX(H_Tables!$B$1:$B$1500,MATCH(INDEX(SF_Output!$J$1:$J$400,MATCH(B83,SF_Output!$M$1:$M$400,0)),H_Tables!$A$1:$A$1500,0)),"")</f>
        <v>Exclusion</v>
      </c>
      <c r="AI83" s="119" t="str">
        <f t="shared" si="23"/>
        <v/>
      </c>
      <c r="AJ83" s="121">
        <f>IFERROR(INDEX(SF_Output!AD:AD,MATCH(_xlfn.TEXTJOIN(",",TRUE,B83:E83),SF_Output!AC1:AC400,0)),0.05)</f>
        <v>144</v>
      </c>
      <c r="AK83" t="str">
        <f>IF(SUMIFS(SF_Output!$F$1:$F$400,SF_Output!$AC$1:$AC$400,_xlfn.TEXTJOIN(",",TRUE,B83:E83))+SUMIFS(SF_Output!$G$1:$G$400,SF_Output!$AC$1:$AC$400,_xlfn.TEXTJOIN(",",TRUE,B83:E83))=0,"","PAP")</f>
        <v/>
      </c>
      <c r="AQ83" s="35"/>
      <c r="AR83" s="35" t="str" cm="1">
        <f t="array" ref="AR83">IFERROR(_xlfn.IFS(AND(E83*1=1,F83="Included"),"Change to Included",AND(E83*1=0,F83="Optional"),"Change to Optional",OR(B83="",F83="replaced"),""),"")</f>
        <v/>
      </c>
      <c r="AS83" s="35" t="str">
        <f t="shared" si="24"/>
        <v/>
      </c>
      <c r="AT83" s="35" t="str">
        <f t="shared" si="25"/>
        <v/>
      </c>
      <c r="AU83" s="35" t="str">
        <f t="shared" si="26"/>
        <v/>
      </c>
      <c r="AV83" s="35" t="str">
        <f t="shared" si="27"/>
        <v/>
      </c>
      <c r="AW83" s="35" t="str">
        <f t="shared" si="28"/>
        <v/>
      </c>
      <c r="AX83" s="35" t="str">
        <f t="shared" si="29"/>
        <v/>
      </c>
      <c r="AY83" s="35" t="str">
        <f t="shared" si="30"/>
        <v/>
      </c>
      <c r="AZ83" s="35" t="str">
        <f t="shared" si="31"/>
        <v/>
      </c>
      <c r="BA83" s="35" t="str">
        <f t="shared" si="32"/>
        <v/>
      </c>
      <c r="BB83" s="35" t="str">
        <f t="shared" si="33"/>
        <v/>
      </c>
      <c r="BC83" s="35"/>
      <c r="BE83" s="35">
        <f ca="1">INDEX(SF_Output!$AA$2:$AA$400,MATCH($B83,SF_Output!$M$2:$M$400,0))</f>
        <v>6</v>
      </c>
      <c r="BF83" s="35">
        <f ca="1">INDEX(SF_Output!$AB$2:$AB$400,MATCH($B83,SF_Output!$M$2:$M$400,0))</f>
        <v>4</v>
      </c>
    </row>
    <row r="84" spans="2:58" x14ac:dyDescent="0.25">
      <c r="B84" t="s">
        <v>1479</v>
      </c>
      <c r="C84" t="s">
        <v>2122</v>
      </c>
      <c r="D84" t="s">
        <v>2123</v>
      </c>
      <c r="E84" t="s">
        <v>2124</v>
      </c>
      <c r="F84" s="116" t="str">
        <f t="shared" si="17"/>
        <v>Included</v>
      </c>
      <c r="G84" t="str">
        <f>IF(B84="","",INDEX(SF_Output!$K$1:$K$400,MATCH(B84,SF_Output!$M$1:$M$400,0)))</f>
        <v>Enterprise Payment Solutions (EPS)</v>
      </c>
      <c r="H84" cm="1">
        <f t="array" ref="H84">_xlfn.IFS(B84="","",(SUMIFS(SF_Output!$F$1:$F$400,SF_Output!$AC$1:$AC$400,_xlfn.TEXTJOIN(",",TRUE,B84:E84))+SUMIFS(SF_Output!$G$1:$G$400,SF_Output!$AC$1:$AC$400,_xlfn.TEXTJOIN(",",TRUE,B84:E84)))&lt;&gt;0,SF_Output!$Y$2,INDEX(SF_Output!$F$1:$F$400,MATCH(_xlfn.TEXTJOIN(",",TRUE,B84:E84),SF_Output!$AC$1:$AC$400,0))=0,INDEX(SF_Output!$R$1:$R$400,MATCH(_xlfn.TEXTJOIN(",",TRUE,B84:E84),SF_Output!$AC$1:$AC$400,0)))</f>
        <v>1</v>
      </c>
      <c r="I84" s="125" t="str">
        <f>IFERROR(IF(AND(H84&gt;1,H84&lt;&gt;""),ROUND(SUMIFS(SF_Output!$S$1:$S$400,SF_Output!$AC$1:$AC$400,_xlfn.TEXTJOIN(",",TRUE,B84:E84),SF_Output!$Q$1:$Q$400,"monthly")*(1-W84)/H84,4),""),"")</f>
        <v/>
      </c>
      <c r="J84" s="6">
        <f>IF(B84="","",SUMIFS(SF_Output!$S$1:$S$400,SF_Output!$AC$1:$AC$400,_xlfn.TEXTJOIN(",",TRUE,B84:E84),SF_Output!$Q$1:$Q$400,"One Time",SF_Output!$L$1:$L$400,"license fee")+SUMIFS(SF_Output!$S$1:$S$400,SF_Output!$AC$1:$AC$400,_xlfn.TEXTJOIN(",",TRUE,B84:E84),SF_Output!$Q$1:$Q$400,"One Time",SF_Output!$L$1:$L$400,"software license")+SUMIFS(SF_Output!$S$1:$S$400,SF_Output!$AC$1:$AC$400,_xlfn.TEXTJOIN(",",TRUE,B84:E84),SF_Output!$Q$1:$Q$400,"One Time",SF_Output!$L$1:$L$400,"hardware"))</f>
        <v>0</v>
      </c>
      <c r="K84" s="112" t="str">
        <f>IF(OR(B84=0,B84="",G84="hardware",J84=0),"",IF(AF84&lt;&gt;"exclusion",MAX(K$9,-((SUMIFS(SF_Output!$T$1:$T$400,SF_Output!$AC$1:$AC$400,_xlfn.TEXTJOIN(",",TRUE,$B84:$E84),SF_Output!$Q$1:$Q$400,"One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license"))/J84)))</f>
        <v/>
      </c>
      <c r="L84" s="6">
        <f t="shared" si="18"/>
        <v>0</v>
      </c>
      <c r="N84" s="6">
        <f>IF(B84="","",SUMIFS(SF_Output!$S$1:$S$400,SF_Output!$AC$1:$AC$400,_xlfn.TEXTJOIN(",",TRUE,B84:E84),SF_Output!$Q$1:$Q$400,"One Time",SF_Output!$L$1:$L$400,"professional service"))</f>
        <v>1000</v>
      </c>
      <c r="O84" s="112">
        <f>IF(OR(B84=0,B84="",N84=0),"",IF(AF84&lt;&gt;"exclusion",MAX(O$9,-(SUMIFS(SF_Output!$T$1:$T$400,SF_Output!$AC$1:$AC$400,_xlfn.TEXTJOIN(",",TRUE,$B84:$E84),SF_Output!$Q$1:$Q$400,"One Time",SF_Output!$L$1:$L$400,"professional service"))/N84),-((SUMIFS(SF_Output!$T$1:$T$400,SF_Output!$AC$1:$AC$400,_xlfn.TEXTJOIN(",",TRUE,$B84:$E84),SF_Output!$Q$1:$Q$400,"One Time",SF_Output!$L$1:$L$400,"professional service")/N84))))</f>
        <v>1</v>
      </c>
      <c r="P84" s="6">
        <f t="shared" si="19"/>
        <v>0</v>
      </c>
      <c r="R84" s="6">
        <f>IF(B84="","",SUMIFS(SF_Output!$S$1:$S$400,SF_Output!$AC$1:$AC$400,_xlfn.TEXTJOIN(",",TRUE,B84:E84),SF_Output!$Q$1:$Q$400,"yearly")+SUMIFS(SF_Output!$S$1:$S$400,SF_Output!$AC$1:$AC$400,_xlfn.TEXTJOIN(",",TRUE,B84:E84),SF_Output!$Q$1:$Q$400,"quarterly")*4)</f>
        <v>0</v>
      </c>
      <c r="S84" s="112" t="str">
        <f>IF(OR(B84=0,B84="",G84="hardware",R84=0),"",IF(AF84&lt;&gt;"exclusion",MAX(S$9,-(SUMIFS(SF_Output!$T$1:$T$400,SF_Output!$AC$1:$AC$400,_xlfn.TEXTJOIN(",",TRUE,$B84:$E84),SF_Output!$Q$1:$Q$400,"yearly"))/R84),-((SUMIFS(SF_Output!$T$1:$T$400,SF_Output!$AC$1:$AC$400,_xlfn.TEXTJOIN(",",TRUE,$B84:$E84),SF_Output!$Q$1:$Q$400,"yearly")/R84))))</f>
        <v/>
      </c>
      <c r="T84" s="6">
        <f t="shared" si="20"/>
        <v>0</v>
      </c>
      <c r="V84" s="6" cm="1">
        <f t="array" ref="V84">_xlfn.IFS(B84="","",AND(B84&lt;&gt;"",H84=SF_Output!$Y$2,SUMIFS(SF_Output!$T$1:$T$400,SF_Output!$AC$1:$AC$400,_xlfn.TEXTJOIN(",",TRUE,B84:E84),SF_Output!$Q$1:$Q$400,"monthly")=0),(SUMIFS(SF_Output!$F$1:$F$400,SF_Output!$AC$1:$AC$400,_xlfn.TEXTJOIN(",",TRUE,B84:E84),SF_Output!$Q$1:$Q$400,"monthly")+SUMIFS(SF_Output!$G$1:$G$400,SF_Output!$AC$1:$AC$400,_xlfn.TEXTJOIN(",",TRUE,B84:E84),SF_Output!$Q$1:$Q$400,"monthly"))*H84,AND(B84&lt;&gt;"",H84=SF_Output!$Y$2,SUMIFS(SF_Output!$T$1:$T$400,SF_Output!$AC$1:$AC$400,_xlfn.TEXTJOIN(",",TRUE,B84:E84),SF_Output!$Q$1:$Q$400,"monthly")&lt;&gt;0),SUMIFS(SF_Output!$S$1:$S$400,SF_Output!$AC$1:$AC$400,_xlfn.TEXTJOIN(",",TRUE,B84:E84),SF_Output!$Q$1:$Q$400,"monthly"),AND(B84&lt;&gt;"",H84&lt;&gt;SF_Output!$Y$2),SUMIFS(SF_Output!$S$1:$S$400,SF_Output!$AC$1:$AC$400,_xlfn.TEXTJOIN(",",TRUE,B84:E84),SF_Output!$Q$1:$Q$400,"monthly"))</f>
        <v>350</v>
      </c>
      <c r="W84" s="112" cm="1">
        <f t="array" ref="W84">_xlfn.IFS(OR(B84=0,B84="",V84=0),"",AF84&lt;&gt;"exclusion",MAX($W$9,$W$7,(-(SUMIFS(SF_Output!$T$1:$T$400,SF_Output!$AC$1:$AC$400,_xlfn.TEXTJOIN(",",TRUE,$B84:$E84),SF_Output!$Q$1:$Q$400,"monthly"))/V84)),AF84="exclusion",-(SUMIFS(SF_Output!$T$1:$T$400,SF_Output!$AC$1:$AC$400,_xlfn.TEXTJOIN(",",TRUE,$B84:$E84),SF_Output!$Q$1:$Q$400,"monthly"))/V84)</f>
        <v>0</v>
      </c>
      <c r="X84" s="6" cm="1">
        <f t="array" ref="X84">IFERROR(_xlfn.IFS(V84=0,0,V84="","",W84=0,V84,OR(V84&lt;&gt;0,V84&lt;&gt;""),H84*I84),V84*(1-W84))</f>
        <v>350</v>
      </c>
      <c r="Z84" s="6">
        <f>IFERROR(IF(B84="","",SUMIFS(Billing_Fallout!H:H,Billing_Fallout!N:N,B84)),0)</f>
        <v>0</v>
      </c>
      <c r="AA84" s="6">
        <f t="shared" si="21"/>
        <v>0</v>
      </c>
      <c r="AB84" s="6">
        <f>IFERROR(IF(B84="","",SUMIFS(Billing_Fallout!J:J,Billing_Fallout!N:N,B84)),0)</f>
        <v>0</v>
      </c>
      <c r="AD84" s="6">
        <f t="shared" si="22"/>
        <v>350</v>
      </c>
      <c r="AF84" t="str">
        <f>IFERROR(INDEX(H_Tables!$B$1:$B$1500,MATCH(INDEX(SF_Output!$J$1:$J$400,MATCH(B84,SF_Output!$M$1:$M$400,0)),H_Tables!$A$1:$A$1500,0)),"")</f>
        <v>Exclusion</v>
      </c>
      <c r="AI84" s="119" t="str">
        <f t="shared" si="23"/>
        <v/>
      </c>
      <c r="AJ84" s="121">
        <f>IFERROR(INDEX(SF_Output!AD:AD,MATCH(_xlfn.TEXTJOIN(",",TRUE,B84:E84),SF_Output!AC1:AC400,0)),0.05)</f>
        <v>145</v>
      </c>
      <c r="AK84" t="str">
        <f>IF(SUMIFS(SF_Output!$F$1:$F$400,SF_Output!$AC$1:$AC$400,_xlfn.TEXTJOIN(",",TRUE,B84:E84))+SUMIFS(SF_Output!$G$1:$G$400,SF_Output!$AC$1:$AC$400,_xlfn.TEXTJOIN(",",TRUE,B84:E84))=0,"","PAP")</f>
        <v/>
      </c>
      <c r="AQ84" s="35"/>
      <c r="AR84" s="35" t="str" cm="1">
        <f t="array" ref="AR84">IFERROR(_xlfn.IFS(AND(E84*1=1,F84="Included"),"Change to Included",AND(E84*1=0,F84="Optional"),"Change to Optional",OR(B84="",F84="replaced"),""),"")</f>
        <v/>
      </c>
      <c r="AS84" s="35" t="str">
        <f t="shared" si="24"/>
        <v/>
      </c>
      <c r="AT84" s="35" t="str">
        <f t="shared" si="25"/>
        <v/>
      </c>
      <c r="AU84" s="35" t="str">
        <f t="shared" si="26"/>
        <v/>
      </c>
      <c r="AV84" s="35" t="str">
        <f t="shared" si="27"/>
        <v/>
      </c>
      <c r="AW84" s="35" t="str">
        <f t="shared" si="28"/>
        <v/>
      </c>
      <c r="AX84" s="35" t="str">
        <f t="shared" si="29"/>
        <v/>
      </c>
      <c r="AY84" s="35" t="str">
        <f t="shared" si="30"/>
        <v/>
      </c>
      <c r="AZ84" s="35" t="str">
        <f t="shared" si="31"/>
        <v/>
      </c>
      <c r="BA84" s="35" t="str">
        <f t="shared" si="32"/>
        <v/>
      </c>
      <c r="BB84" s="35" t="str">
        <f t="shared" si="33"/>
        <v/>
      </c>
      <c r="BC84" s="35"/>
      <c r="BE84" s="35">
        <f ca="1">INDEX(SF_Output!$AA$2:$AA$400,MATCH($B84,SF_Output!$M$2:$M$400,0))</f>
        <v>6</v>
      </c>
      <c r="BF84" s="35">
        <f ca="1">INDEX(SF_Output!$AB$2:$AB$400,MATCH($B84,SF_Output!$M$2:$M$400,0))</f>
        <v>4</v>
      </c>
    </row>
    <row r="85" spans="2:58" x14ac:dyDescent="0.25">
      <c r="B85" t="s">
        <v>1476</v>
      </c>
      <c r="C85" t="s">
        <v>2122</v>
      </c>
      <c r="D85" t="s">
        <v>2123</v>
      </c>
      <c r="E85" t="s">
        <v>2124</v>
      </c>
      <c r="F85" s="116" t="str">
        <f t="shared" si="17"/>
        <v>Included</v>
      </c>
      <c r="G85" t="str">
        <f>IF(B85="","",INDEX(SF_Output!$K$1:$K$400,MATCH(B85,SF_Output!$M$1:$M$400,0)))</f>
        <v>Enterprise Payment Solutions (EPS)</v>
      </c>
      <c r="H85" cm="1">
        <f t="array" ref="H85">_xlfn.IFS(B85="","",(SUMIFS(SF_Output!$F$1:$F$400,SF_Output!$AC$1:$AC$400,_xlfn.TEXTJOIN(",",TRUE,B85:E85))+SUMIFS(SF_Output!$G$1:$G$400,SF_Output!$AC$1:$AC$400,_xlfn.TEXTJOIN(",",TRUE,B85:E85)))&lt;&gt;0,SF_Output!$Y$2,INDEX(SF_Output!$F$1:$F$400,MATCH(_xlfn.TEXTJOIN(",",TRUE,B85:E85),SF_Output!$AC$1:$AC$400,0))=0,INDEX(SF_Output!$R$1:$R$400,MATCH(_xlfn.TEXTJOIN(",",TRUE,B85:E85),SF_Output!$AC$1:$AC$400,0)))</f>
        <v>1</v>
      </c>
      <c r="I85" s="125" t="str">
        <f>IFERROR(IF(AND(H85&gt;1,H85&lt;&gt;""),ROUND(SUMIFS(SF_Output!$S$1:$S$400,SF_Output!$AC$1:$AC$400,_xlfn.TEXTJOIN(",",TRUE,B85:E85),SF_Output!$Q$1:$Q$400,"monthly")*(1-W85)/H85,4),""),"")</f>
        <v/>
      </c>
      <c r="J85" s="6">
        <f>IF(B85="","",SUMIFS(SF_Output!$S$1:$S$400,SF_Output!$AC$1:$AC$400,_xlfn.TEXTJOIN(",",TRUE,B85:E85),SF_Output!$Q$1:$Q$400,"One Time",SF_Output!$L$1:$L$400,"license fee")+SUMIFS(SF_Output!$S$1:$S$400,SF_Output!$AC$1:$AC$400,_xlfn.TEXTJOIN(",",TRUE,B85:E85),SF_Output!$Q$1:$Q$400,"One Time",SF_Output!$L$1:$L$400,"software license")+SUMIFS(SF_Output!$S$1:$S$400,SF_Output!$AC$1:$AC$400,_xlfn.TEXTJOIN(",",TRUE,B85:E85),SF_Output!$Q$1:$Q$400,"One Time",SF_Output!$L$1:$L$400,"hardware"))</f>
        <v>0</v>
      </c>
      <c r="K85" s="112" t="str">
        <f>IF(OR(B85=0,B85="",G85="hardware",J85=0),"",IF(AF85&lt;&gt;"exclusion",MAX(K$9,-((SUMIFS(SF_Output!$T$1:$T$400,SF_Output!$AC$1:$AC$400,_xlfn.TEXTJOIN(",",TRUE,$B85:$E85),SF_Output!$Q$1:$Q$400,"One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license"))/J85)))</f>
        <v/>
      </c>
      <c r="L85" s="6">
        <f t="shared" si="18"/>
        <v>0</v>
      </c>
      <c r="N85" s="6">
        <f>IF(B85="","",SUMIFS(SF_Output!$S$1:$S$400,SF_Output!$AC$1:$AC$400,_xlfn.TEXTJOIN(",",TRUE,B85:E85),SF_Output!$Q$1:$Q$400,"One Time",SF_Output!$L$1:$L$400,"professional service"))</f>
        <v>2500</v>
      </c>
      <c r="O85" s="112">
        <f>IF(OR(B85=0,B85="",N85=0),"",IF(AF85&lt;&gt;"exclusion",MAX(O$9,-(SUMIFS(SF_Output!$T$1:$T$400,SF_Output!$AC$1:$AC$400,_xlfn.TEXTJOIN(",",TRUE,$B85:$E85),SF_Output!$Q$1:$Q$400,"One Time",SF_Output!$L$1:$L$400,"professional service"))/N85),-((SUMIFS(SF_Output!$T$1:$T$400,SF_Output!$AC$1:$AC$400,_xlfn.TEXTJOIN(",",TRUE,$B85:$E85),SF_Output!$Q$1:$Q$400,"One Time",SF_Output!$L$1:$L$400,"professional service")/N85))))</f>
        <v>1</v>
      </c>
      <c r="P85" s="6">
        <f t="shared" si="19"/>
        <v>0</v>
      </c>
      <c r="R85" s="6">
        <f>IF(B85="","",SUMIFS(SF_Output!$S$1:$S$400,SF_Output!$AC$1:$AC$400,_xlfn.TEXTJOIN(",",TRUE,B85:E85),SF_Output!$Q$1:$Q$400,"yearly")+SUMIFS(SF_Output!$S$1:$S$400,SF_Output!$AC$1:$AC$400,_xlfn.TEXTJOIN(",",TRUE,B85:E85),SF_Output!$Q$1:$Q$400,"quarterly")*4)</f>
        <v>0</v>
      </c>
      <c r="S85" s="112" t="str">
        <f>IF(OR(B85=0,B85="",G85="hardware",R85=0),"",IF(AF85&lt;&gt;"exclusion",MAX(S$9,-(SUMIFS(SF_Output!$T$1:$T$400,SF_Output!$AC$1:$AC$400,_xlfn.TEXTJOIN(",",TRUE,$B85:$E85),SF_Output!$Q$1:$Q$400,"yearly"))/R85),-((SUMIFS(SF_Output!$T$1:$T$400,SF_Output!$AC$1:$AC$400,_xlfn.TEXTJOIN(",",TRUE,$B85:$E85),SF_Output!$Q$1:$Q$400,"yearly")/R85))))</f>
        <v/>
      </c>
      <c r="T85" s="6">
        <f t="shared" si="20"/>
        <v>0</v>
      </c>
      <c r="V85" s="6" cm="1">
        <f t="array" ref="V85">_xlfn.IFS(B85="","",AND(B85&lt;&gt;"",H85=SF_Output!$Y$2,SUMIFS(SF_Output!$T$1:$T$400,SF_Output!$AC$1:$AC$400,_xlfn.TEXTJOIN(",",TRUE,B85:E85),SF_Output!$Q$1:$Q$400,"monthly")=0),(SUMIFS(SF_Output!$F$1:$F$400,SF_Output!$AC$1:$AC$400,_xlfn.TEXTJOIN(",",TRUE,B85:E85),SF_Output!$Q$1:$Q$400,"monthly")+SUMIFS(SF_Output!$G$1:$G$400,SF_Output!$AC$1:$AC$400,_xlfn.TEXTJOIN(",",TRUE,B85:E85),SF_Output!$Q$1:$Q$400,"monthly"))*H85,AND(B85&lt;&gt;"",H85=SF_Output!$Y$2,SUMIFS(SF_Output!$T$1:$T$400,SF_Output!$AC$1:$AC$400,_xlfn.TEXTJOIN(",",TRUE,B85:E85),SF_Output!$Q$1:$Q$400,"monthly")&lt;&gt;0),SUMIFS(SF_Output!$S$1:$S$400,SF_Output!$AC$1:$AC$400,_xlfn.TEXTJOIN(",",TRUE,B85:E85),SF_Output!$Q$1:$Q$400,"monthly"),AND(B85&lt;&gt;"",H85&lt;&gt;SF_Output!$Y$2),SUMIFS(SF_Output!$S$1:$S$400,SF_Output!$AC$1:$AC$400,_xlfn.TEXTJOIN(",",TRUE,B85:E85),SF_Output!$Q$1:$Q$400,"monthly"))</f>
        <v>500</v>
      </c>
      <c r="W85" s="112" cm="1">
        <f t="array" ref="W85">_xlfn.IFS(OR(B85=0,B85="",V85=0),"",AF85&lt;&gt;"exclusion",MAX($W$9,$W$7,(-(SUMIFS(SF_Output!$T$1:$T$400,SF_Output!$AC$1:$AC$400,_xlfn.TEXTJOIN(",",TRUE,$B85:$E85),SF_Output!$Q$1:$Q$400,"monthly"))/V85)),AF85="exclusion",-(SUMIFS(SF_Output!$T$1:$T$400,SF_Output!$AC$1:$AC$400,_xlfn.TEXTJOIN(",",TRUE,$B85:$E85),SF_Output!$Q$1:$Q$400,"monthly"))/V85)</f>
        <v>0</v>
      </c>
      <c r="X85" s="6" cm="1">
        <f t="array" ref="X85">IFERROR(_xlfn.IFS(V85=0,0,V85="","",W85=0,V85,OR(V85&lt;&gt;0,V85&lt;&gt;""),H85*I85),V85*(1-W85))</f>
        <v>500</v>
      </c>
      <c r="Z85" s="6">
        <f>IFERROR(IF(B85="","",SUMIFS(Billing_Fallout!H:H,Billing_Fallout!N:N,B85)),0)</f>
        <v>0</v>
      </c>
      <c r="AA85" s="6">
        <f t="shared" si="21"/>
        <v>0</v>
      </c>
      <c r="AB85" s="6">
        <f>IFERROR(IF(B85="","",SUMIFS(Billing_Fallout!J:J,Billing_Fallout!N:N,B85)),0)</f>
        <v>0</v>
      </c>
      <c r="AD85" s="6">
        <f t="shared" si="22"/>
        <v>500</v>
      </c>
      <c r="AF85" t="str">
        <f>IFERROR(INDEX(H_Tables!$B$1:$B$1500,MATCH(INDEX(SF_Output!$J$1:$J$400,MATCH(B85,SF_Output!$M$1:$M$400,0)),H_Tables!$A$1:$A$1500,0)),"")</f>
        <v>Exclusion</v>
      </c>
      <c r="AI85" s="119" t="str">
        <f t="shared" si="23"/>
        <v/>
      </c>
      <c r="AJ85" s="121">
        <f>IFERROR(INDEX(SF_Output!AD:AD,MATCH(_xlfn.TEXTJOIN(",",TRUE,B85:E85),SF_Output!AC1:AC400,0)),0.05)</f>
        <v>147</v>
      </c>
      <c r="AK85" t="str">
        <f>IF(SUMIFS(SF_Output!$F$1:$F$400,SF_Output!$AC$1:$AC$400,_xlfn.TEXTJOIN(",",TRUE,B85:E85))+SUMIFS(SF_Output!$G$1:$G$400,SF_Output!$AC$1:$AC$400,_xlfn.TEXTJOIN(",",TRUE,B85:E85))=0,"","PAP")</f>
        <v/>
      </c>
      <c r="AQ85" s="35"/>
      <c r="AR85" s="35" t="str" cm="1">
        <f t="array" ref="AR85">IFERROR(_xlfn.IFS(AND(E85*1=1,F85="Included"),"Change to Included",AND(E85*1=0,F85="Optional"),"Change to Optional",OR(B85="",F85="replaced"),""),"")</f>
        <v/>
      </c>
      <c r="AS85" s="35" t="str">
        <f t="shared" si="24"/>
        <v/>
      </c>
      <c r="AT85" s="35" t="str">
        <f t="shared" si="25"/>
        <v/>
      </c>
      <c r="AU85" s="35" t="str">
        <f t="shared" si="26"/>
        <v/>
      </c>
      <c r="AV85" s="35" t="str">
        <f t="shared" si="27"/>
        <v/>
      </c>
      <c r="AW85" s="35" t="str">
        <f t="shared" si="28"/>
        <v/>
      </c>
      <c r="AX85" s="35" t="str">
        <f t="shared" si="29"/>
        <v/>
      </c>
      <c r="AY85" s="35" t="str">
        <f t="shared" si="30"/>
        <v/>
      </c>
      <c r="AZ85" s="35" t="str">
        <f t="shared" si="31"/>
        <v/>
      </c>
      <c r="BA85" s="35" t="str">
        <f t="shared" si="32"/>
        <v/>
      </c>
      <c r="BB85" s="35" t="str">
        <f t="shared" si="33"/>
        <v/>
      </c>
      <c r="BC85" s="35"/>
      <c r="BE85" s="35">
        <f ca="1">INDEX(SF_Output!$AA$2:$AA$400,MATCH($B85,SF_Output!$M$2:$M$400,0))</f>
        <v>6</v>
      </c>
      <c r="BF85" s="35">
        <f ca="1">INDEX(SF_Output!$AB$2:$AB$400,MATCH($B85,SF_Output!$M$2:$M$400,0))</f>
        <v>4</v>
      </c>
    </row>
    <row r="86" spans="2:58" x14ac:dyDescent="0.25">
      <c r="B86" t="s">
        <v>1306</v>
      </c>
      <c r="C86" t="s">
        <v>2122</v>
      </c>
      <c r="D86" t="s">
        <v>2123</v>
      </c>
      <c r="E86" t="s">
        <v>2124</v>
      </c>
      <c r="F86" s="116" t="str">
        <f t="shared" si="17"/>
        <v>Included</v>
      </c>
      <c r="G86" t="str">
        <f>IF(B86="","",INDEX(SF_Output!$K$1:$K$400,MATCH(B86,SF_Output!$M$1:$M$400,0)))</f>
        <v>Enterprise Payment Solutions (EPS)</v>
      </c>
      <c r="H86" cm="1">
        <f t="array" ref="H86">_xlfn.IFS(B86="","",(SUMIFS(SF_Output!$F$1:$F$400,SF_Output!$AC$1:$AC$400,_xlfn.TEXTJOIN(",",TRUE,B86:E86))+SUMIFS(SF_Output!$G$1:$G$400,SF_Output!$AC$1:$AC$400,_xlfn.TEXTJOIN(",",TRUE,B86:E86)))&lt;&gt;0,SF_Output!$Y$2,INDEX(SF_Output!$F$1:$F$400,MATCH(_xlfn.TEXTJOIN(",",TRUE,B86:E86),SF_Output!$AC$1:$AC$400,0))=0,INDEX(SF_Output!$R$1:$R$400,MATCH(_xlfn.TEXTJOIN(",",TRUE,B86:E86),SF_Output!$AC$1:$AC$400,0)))</f>
        <v>1</v>
      </c>
      <c r="I86" s="125" t="str">
        <f>IFERROR(IF(AND(H86&gt;1,H86&lt;&gt;""),ROUND(SUMIFS(SF_Output!$S$1:$S$400,SF_Output!$AC$1:$AC$400,_xlfn.TEXTJOIN(",",TRUE,B86:E86),SF_Output!$Q$1:$Q$400,"monthly")*(1-W86)/H86,4),""),"")</f>
        <v/>
      </c>
      <c r="J86" s="6">
        <f>IF(B86="","",SUMIFS(SF_Output!$S$1:$S$400,SF_Output!$AC$1:$AC$400,_xlfn.TEXTJOIN(",",TRUE,B86:E86),SF_Output!$Q$1:$Q$400,"One Time",SF_Output!$L$1:$L$400,"license fee")+SUMIFS(SF_Output!$S$1:$S$400,SF_Output!$AC$1:$AC$400,_xlfn.TEXTJOIN(",",TRUE,B86:E86),SF_Output!$Q$1:$Q$400,"One Time",SF_Output!$L$1:$L$400,"software license")+SUMIFS(SF_Output!$S$1:$S$400,SF_Output!$AC$1:$AC$400,_xlfn.TEXTJOIN(",",TRUE,B86:E86),SF_Output!$Q$1:$Q$400,"One Time",SF_Output!$L$1:$L$400,"hardware"))</f>
        <v>0</v>
      </c>
      <c r="K86" s="112" t="str">
        <f>IF(OR(B86=0,B86="",G86="hardware",J86=0),"",IF(AF86&lt;&gt;"exclusion",MAX(K$9,-((SUMIFS(SF_Output!$T$1:$T$400,SF_Output!$AC$1:$AC$400,_xlfn.TEXTJOIN(",",TRUE,$B86:$E86),SF_Output!$Q$1:$Q$400,"One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license"))/J86)))</f>
        <v/>
      </c>
      <c r="L86" s="6">
        <f t="shared" si="18"/>
        <v>0</v>
      </c>
      <c r="N86" s="6">
        <f>IF(B86="","",SUMIFS(SF_Output!$S$1:$S$400,SF_Output!$AC$1:$AC$400,_xlfn.TEXTJOIN(",",TRUE,B86:E86),SF_Output!$Q$1:$Q$400,"One Time",SF_Output!$L$1:$L$400,"professional service"))</f>
        <v>1000</v>
      </c>
      <c r="O86" s="112">
        <f>IF(OR(B86=0,B86="",N86=0),"",IF(AF86&lt;&gt;"exclusion",MAX(O$9,-(SUMIFS(SF_Output!$T$1:$T$400,SF_Output!$AC$1:$AC$400,_xlfn.TEXTJOIN(",",TRUE,$B86:$E86),SF_Output!$Q$1:$Q$400,"One Time",SF_Output!$L$1:$L$400,"professional service"))/N86),-((SUMIFS(SF_Output!$T$1:$T$400,SF_Output!$AC$1:$AC$400,_xlfn.TEXTJOIN(",",TRUE,$B86:$E86),SF_Output!$Q$1:$Q$400,"One Time",SF_Output!$L$1:$L$400,"professional service")/N86))))</f>
        <v>1</v>
      </c>
      <c r="P86" s="6">
        <f t="shared" si="19"/>
        <v>0</v>
      </c>
      <c r="R86" s="6">
        <f>IF(B86="","",SUMIFS(SF_Output!$S$1:$S$400,SF_Output!$AC$1:$AC$400,_xlfn.TEXTJOIN(",",TRUE,B86:E86),SF_Output!$Q$1:$Q$400,"yearly")+SUMIFS(SF_Output!$S$1:$S$400,SF_Output!$AC$1:$AC$400,_xlfn.TEXTJOIN(",",TRUE,B86:E86),SF_Output!$Q$1:$Q$400,"quarterly")*4)</f>
        <v>0</v>
      </c>
      <c r="S86" s="112" t="str">
        <f>IF(OR(B86=0,B86="",G86="hardware",R86=0),"",IF(AF86&lt;&gt;"exclusion",MAX(S$9,-(SUMIFS(SF_Output!$T$1:$T$400,SF_Output!$AC$1:$AC$400,_xlfn.TEXTJOIN(",",TRUE,$B86:$E86),SF_Output!$Q$1:$Q$400,"yearly"))/R86),-((SUMIFS(SF_Output!$T$1:$T$400,SF_Output!$AC$1:$AC$400,_xlfn.TEXTJOIN(",",TRUE,$B86:$E86),SF_Output!$Q$1:$Q$400,"yearly")/R86))))</f>
        <v/>
      </c>
      <c r="T86" s="6">
        <f t="shared" si="20"/>
        <v>0</v>
      </c>
      <c r="V86" s="6" cm="1">
        <f t="array" ref="V86">_xlfn.IFS(B86="","",AND(B86&lt;&gt;"",H86=SF_Output!$Y$2,SUMIFS(SF_Output!$T$1:$T$400,SF_Output!$AC$1:$AC$400,_xlfn.TEXTJOIN(",",TRUE,B86:E86),SF_Output!$Q$1:$Q$400,"monthly")=0),(SUMIFS(SF_Output!$F$1:$F$400,SF_Output!$AC$1:$AC$400,_xlfn.TEXTJOIN(",",TRUE,B86:E86),SF_Output!$Q$1:$Q$400,"monthly")+SUMIFS(SF_Output!$G$1:$G$400,SF_Output!$AC$1:$AC$400,_xlfn.TEXTJOIN(",",TRUE,B86:E86),SF_Output!$Q$1:$Q$400,"monthly"))*H86,AND(B86&lt;&gt;"",H86=SF_Output!$Y$2,SUMIFS(SF_Output!$T$1:$T$400,SF_Output!$AC$1:$AC$400,_xlfn.TEXTJOIN(",",TRUE,B86:E86),SF_Output!$Q$1:$Q$400,"monthly")&lt;&gt;0),SUMIFS(SF_Output!$S$1:$S$400,SF_Output!$AC$1:$AC$400,_xlfn.TEXTJOIN(",",TRUE,B86:E86),SF_Output!$Q$1:$Q$400,"monthly"),AND(B86&lt;&gt;"",H86&lt;&gt;SF_Output!$Y$2),SUMIFS(SF_Output!$S$1:$S$400,SF_Output!$AC$1:$AC$400,_xlfn.TEXTJOIN(",",TRUE,B86:E86),SF_Output!$Q$1:$Q$400,"monthly"))</f>
        <v>350</v>
      </c>
      <c r="W86" s="112" cm="1">
        <f t="array" ref="W86">_xlfn.IFS(OR(B86=0,B86="",V86=0),"",AF86&lt;&gt;"exclusion",MAX($W$9,$W$7,(-(SUMIFS(SF_Output!$T$1:$T$400,SF_Output!$AC$1:$AC$400,_xlfn.TEXTJOIN(",",TRUE,$B86:$E86),SF_Output!$Q$1:$Q$400,"monthly"))/V86)),AF86="exclusion",-(SUMIFS(SF_Output!$T$1:$T$400,SF_Output!$AC$1:$AC$400,_xlfn.TEXTJOIN(",",TRUE,$B86:$E86),SF_Output!$Q$1:$Q$400,"monthly"))/V86)</f>
        <v>0.5</v>
      </c>
      <c r="X86" s="6" cm="1">
        <f t="array" ref="X86">IFERROR(_xlfn.IFS(V86=0,0,V86="","",W86=0,V86,OR(V86&lt;&gt;0,V86&lt;&gt;""),H86*I86),V86*(1-W86))</f>
        <v>175</v>
      </c>
      <c r="Z86" s="6">
        <f>IFERROR(IF(B86="","",SUMIFS(Billing_Fallout!H:H,Billing_Fallout!N:N,B86)),0)</f>
        <v>0</v>
      </c>
      <c r="AA86" s="6">
        <f t="shared" si="21"/>
        <v>0</v>
      </c>
      <c r="AB86" s="6">
        <f>IFERROR(IF(B86="","",SUMIFS(Billing_Fallout!J:J,Billing_Fallout!N:N,B86)),0)</f>
        <v>0</v>
      </c>
      <c r="AD86" s="6">
        <f t="shared" si="22"/>
        <v>175</v>
      </c>
      <c r="AF86" t="str">
        <f>IFERROR(INDEX(H_Tables!$B$1:$B$1500,MATCH(INDEX(SF_Output!$J$1:$J$400,MATCH(B86,SF_Output!$M$1:$M$400,0)),H_Tables!$A$1:$A$1500,0)),"")</f>
        <v>Exclusion</v>
      </c>
      <c r="AI86" s="119" t="str">
        <f t="shared" si="23"/>
        <v/>
      </c>
      <c r="AJ86" s="121">
        <f>IFERROR(INDEX(SF_Output!AD:AD,MATCH(_xlfn.TEXTJOIN(",",TRUE,B86:E86),SF_Output!AC1:AC400,0)),0.05)</f>
        <v>149</v>
      </c>
      <c r="AK86" t="str">
        <f>IF(SUMIFS(SF_Output!$F$1:$F$400,SF_Output!$AC$1:$AC$400,_xlfn.TEXTJOIN(",",TRUE,B86:E86))+SUMIFS(SF_Output!$G$1:$G$400,SF_Output!$AC$1:$AC$400,_xlfn.TEXTJOIN(",",TRUE,B86:E86))=0,"","PAP")</f>
        <v/>
      </c>
      <c r="AQ86" s="35"/>
      <c r="AR86" s="35" t="str" cm="1">
        <f t="array" ref="AR86">IFERROR(_xlfn.IFS(AND(E86*1=1,F86="Included"),"Change to Included",AND(E86*1=0,F86="Optional"),"Change to Optional",OR(B86="",F86="replaced"),""),"")</f>
        <v/>
      </c>
      <c r="AS86" s="35" t="str">
        <f t="shared" si="24"/>
        <v/>
      </c>
      <c r="AT86" s="35" t="str">
        <f t="shared" si="25"/>
        <v/>
      </c>
      <c r="AU86" s="35" t="str">
        <f t="shared" si="26"/>
        <v/>
      </c>
      <c r="AV86" s="35" t="str">
        <f t="shared" si="27"/>
        <v/>
      </c>
      <c r="AW86" s="35" t="str">
        <f t="shared" si="28"/>
        <v/>
      </c>
      <c r="AX86" s="35" t="str">
        <f t="shared" si="29"/>
        <v/>
      </c>
      <c r="AY86" s="35" t="str">
        <f t="shared" si="30"/>
        <v/>
      </c>
      <c r="AZ86" s="35" t="str">
        <f t="shared" si="31"/>
        <v/>
      </c>
      <c r="BA86" s="35" t="str">
        <f t="shared" si="32"/>
        <v/>
      </c>
      <c r="BB86" s="35" t="str">
        <f t="shared" si="33"/>
        <v/>
      </c>
      <c r="BC86" s="35"/>
      <c r="BE86" s="35">
        <f ca="1">INDEX(SF_Output!$AA$2:$AA$400,MATCH($B86,SF_Output!$M$2:$M$400,0))</f>
        <v>6</v>
      </c>
      <c r="BF86" s="35">
        <f ca="1">INDEX(SF_Output!$AB$2:$AB$400,MATCH($B86,SF_Output!$M$2:$M$400,0))</f>
        <v>4</v>
      </c>
    </row>
    <row r="87" spans="2:58" x14ac:dyDescent="0.25">
      <c r="B87" t="s">
        <v>1109</v>
      </c>
      <c r="C87" t="s">
        <v>2122</v>
      </c>
      <c r="D87" t="s">
        <v>2123</v>
      </c>
      <c r="E87" t="s">
        <v>2124</v>
      </c>
      <c r="F87" s="116" t="str">
        <f t="shared" si="17"/>
        <v>Included</v>
      </c>
      <c r="G87" t="str">
        <f>IF(B87="","",INDEX(SF_Output!$K$1:$K$400,MATCH(B87,SF_Output!$M$1:$M$400,0)))</f>
        <v>Enterprise Payment Solutions (EPS)</v>
      </c>
      <c r="H87" cm="1">
        <f t="array" ref="H87">_xlfn.IFS(B87="","",(SUMIFS(SF_Output!$F$1:$F$400,SF_Output!$AC$1:$AC$400,_xlfn.TEXTJOIN(",",TRUE,B87:E87))+SUMIFS(SF_Output!$G$1:$G$400,SF_Output!$AC$1:$AC$400,_xlfn.TEXTJOIN(",",TRUE,B87:E87)))&lt;&gt;0,SF_Output!$Y$2,INDEX(SF_Output!$F$1:$F$400,MATCH(_xlfn.TEXTJOIN(",",TRUE,B87:E87),SF_Output!$AC$1:$AC$400,0))=0,INDEX(SF_Output!$R$1:$R$400,MATCH(_xlfn.TEXTJOIN(",",TRUE,B87:E87),SF_Output!$AC$1:$AC$400,0)))</f>
        <v>1</v>
      </c>
      <c r="I87" s="125" t="str">
        <f>IFERROR(IF(AND(H87&gt;1,H87&lt;&gt;""),ROUND(SUMIFS(SF_Output!$S$1:$S$400,SF_Output!$AC$1:$AC$400,_xlfn.TEXTJOIN(",",TRUE,B87:E87),SF_Output!$Q$1:$Q$400,"monthly")*(1-W87)/H87,4),""),"")</f>
        <v/>
      </c>
      <c r="J87" s="6">
        <f>IF(B87="","",SUMIFS(SF_Output!$S$1:$S$400,SF_Output!$AC$1:$AC$400,_xlfn.TEXTJOIN(",",TRUE,B87:E87),SF_Output!$Q$1:$Q$400,"One Time",SF_Output!$L$1:$L$400,"license fee")+SUMIFS(SF_Output!$S$1:$S$400,SF_Output!$AC$1:$AC$400,_xlfn.TEXTJOIN(",",TRUE,B87:E87),SF_Output!$Q$1:$Q$400,"One Time",SF_Output!$L$1:$L$400,"software license")+SUMIFS(SF_Output!$S$1:$S$400,SF_Output!$AC$1:$AC$400,_xlfn.TEXTJOIN(",",TRUE,B87:E87),SF_Output!$Q$1:$Q$400,"One Time",SF_Output!$L$1:$L$400,"hardware"))</f>
        <v>0</v>
      </c>
      <c r="K87" s="112" t="str">
        <f>IF(OR(B87=0,B87="",G87="hardware",J87=0),"",IF(AF87&lt;&gt;"exclusion",MAX(K$9,-((SUMIFS(SF_Output!$T$1:$T$400,SF_Output!$AC$1:$AC$400,_xlfn.TEXTJOIN(",",TRUE,$B87:$E87),SF_Output!$Q$1:$Q$400,"One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license"))/J87)))</f>
        <v/>
      </c>
      <c r="L87" s="6">
        <f t="shared" si="18"/>
        <v>0</v>
      </c>
      <c r="N87" s="6">
        <f>IF(B87="","",SUMIFS(SF_Output!$S$1:$S$400,SF_Output!$AC$1:$AC$400,_xlfn.TEXTJOIN(",",TRUE,B87:E87),SF_Output!$Q$1:$Q$400,"One Time",SF_Output!$L$1:$L$400,"professional service"))</f>
        <v>1500</v>
      </c>
      <c r="O87" s="112">
        <f>IF(OR(B87=0,B87="",N87=0),"",IF(AF87&lt;&gt;"exclusion",MAX(O$9,-(SUMIFS(SF_Output!$T$1:$T$400,SF_Output!$AC$1:$AC$400,_xlfn.TEXTJOIN(",",TRUE,$B87:$E87),SF_Output!$Q$1:$Q$400,"One Time",SF_Output!$L$1:$L$400,"professional service"))/N87),-((SUMIFS(SF_Output!$T$1:$T$400,SF_Output!$AC$1:$AC$400,_xlfn.TEXTJOIN(",",TRUE,$B87:$E87),SF_Output!$Q$1:$Q$400,"One Time",SF_Output!$L$1:$L$400,"professional service")/N87))))</f>
        <v>1</v>
      </c>
      <c r="P87" s="6">
        <f t="shared" si="19"/>
        <v>0</v>
      </c>
      <c r="R87" s="6">
        <f>IF(B87="","",SUMIFS(SF_Output!$S$1:$S$400,SF_Output!$AC$1:$AC$400,_xlfn.TEXTJOIN(",",TRUE,B87:E87),SF_Output!$Q$1:$Q$400,"yearly")+SUMIFS(SF_Output!$S$1:$S$400,SF_Output!$AC$1:$AC$400,_xlfn.TEXTJOIN(",",TRUE,B87:E87),SF_Output!$Q$1:$Q$400,"quarterly")*4)</f>
        <v>0</v>
      </c>
      <c r="S87" s="112" t="str">
        <f>IF(OR(B87=0,B87="",G87="hardware",R87=0),"",IF(AF87&lt;&gt;"exclusion",MAX(S$9,-(SUMIFS(SF_Output!$T$1:$T$400,SF_Output!$AC$1:$AC$400,_xlfn.TEXTJOIN(",",TRUE,$B87:$E87),SF_Output!$Q$1:$Q$400,"yearly"))/R87),-((SUMIFS(SF_Output!$T$1:$T$400,SF_Output!$AC$1:$AC$400,_xlfn.TEXTJOIN(",",TRUE,$B87:$E87),SF_Output!$Q$1:$Q$400,"yearly")/R87))))</f>
        <v/>
      </c>
      <c r="T87" s="6">
        <f t="shared" si="20"/>
        <v>0</v>
      </c>
      <c r="V87" s="6" cm="1">
        <f t="array" ref="V87">_xlfn.IFS(B87="","",AND(B87&lt;&gt;"",H87=SF_Output!$Y$2,SUMIFS(SF_Output!$T$1:$T$400,SF_Output!$AC$1:$AC$400,_xlfn.TEXTJOIN(",",TRUE,B87:E87),SF_Output!$Q$1:$Q$400,"monthly")=0),(SUMIFS(SF_Output!$F$1:$F$400,SF_Output!$AC$1:$AC$400,_xlfn.TEXTJOIN(",",TRUE,B87:E87),SF_Output!$Q$1:$Q$400,"monthly")+SUMIFS(SF_Output!$G$1:$G$400,SF_Output!$AC$1:$AC$400,_xlfn.TEXTJOIN(",",TRUE,B87:E87),SF_Output!$Q$1:$Q$400,"monthly"))*H87,AND(B87&lt;&gt;"",H87=SF_Output!$Y$2,SUMIFS(SF_Output!$T$1:$T$400,SF_Output!$AC$1:$AC$400,_xlfn.TEXTJOIN(",",TRUE,B87:E87),SF_Output!$Q$1:$Q$400,"monthly")&lt;&gt;0),SUMIFS(SF_Output!$S$1:$S$400,SF_Output!$AC$1:$AC$400,_xlfn.TEXTJOIN(",",TRUE,B87:E87),SF_Output!$Q$1:$Q$400,"monthly"),AND(B87&lt;&gt;"",H87&lt;&gt;SF_Output!$Y$2),SUMIFS(SF_Output!$S$1:$S$400,SF_Output!$AC$1:$AC$400,_xlfn.TEXTJOIN(",",TRUE,B87:E87),SF_Output!$Q$1:$Q$400,"monthly"))</f>
        <v>300</v>
      </c>
      <c r="W87" s="112" cm="1">
        <f t="array" ref="W87">_xlfn.IFS(OR(B87=0,B87="",V87=0),"",AF87&lt;&gt;"exclusion",MAX($W$9,$W$7,(-(SUMIFS(SF_Output!$T$1:$T$400,SF_Output!$AC$1:$AC$400,_xlfn.TEXTJOIN(",",TRUE,$B87:$E87),SF_Output!$Q$1:$Q$400,"monthly"))/V87)),AF87="exclusion",-(SUMIFS(SF_Output!$T$1:$T$400,SF_Output!$AC$1:$AC$400,_xlfn.TEXTJOIN(",",TRUE,$B87:$E87),SF_Output!$Q$1:$Q$400,"monthly"))/V87)</f>
        <v>0</v>
      </c>
      <c r="X87" s="6" cm="1">
        <f t="array" ref="X87">IFERROR(_xlfn.IFS(V87=0,0,V87="","",W87=0,V87,OR(V87&lt;&gt;0,V87&lt;&gt;""),H87*I87),V87*(1-W87))</f>
        <v>300</v>
      </c>
      <c r="Z87" s="6">
        <f>IFERROR(IF(B87="","",SUMIFS(Billing_Fallout!H:H,Billing_Fallout!N:N,B87)),0)</f>
        <v>0</v>
      </c>
      <c r="AA87" s="6">
        <f t="shared" si="21"/>
        <v>0</v>
      </c>
      <c r="AB87" s="6">
        <f>IFERROR(IF(B87="","",SUMIFS(Billing_Fallout!J:J,Billing_Fallout!N:N,B87)),0)</f>
        <v>0</v>
      </c>
      <c r="AD87" s="6">
        <f t="shared" si="22"/>
        <v>300</v>
      </c>
      <c r="AF87" t="str">
        <f>IFERROR(INDEX(H_Tables!$B$1:$B$1500,MATCH(INDEX(SF_Output!$J$1:$J$400,MATCH(B87,SF_Output!$M$1:$M$400,0)),H_Tables!$A$1:$A$1500,0)),"")</f>
        <v>Exclusion</v>
      </c>
      <c r="AI87" s="119" t="str">
        <f t="shared" si="23"/>
        <v/>
      </c>
      <c r="AJ87" s="121">
        <f>IFERROR(INDEX(SF_Output!AD:AD,MATCH(_xlfn.TEXTJOIN(",",TRUE,B87:E87),SF_Output!AC1:AC400,0)),0.05)</f>
        <v>151</v>
      </c>
      <c r="AK87" t="str">
        <f>IF(SUMIFS(SF_Output!$F$1:$F$400,SF_Output!$AC$1:$AC$400,_xlfn.TEXTJOIN(",",TRUE,B87:E87))+SUMIFS(SF_Output!$G$1:$G$400,SF_Output!$AC$1:$AC$400,_xlfn.TEXTJOIN(",",TRUE,B87:E87))=0,"","PAP")</f>
        <v/>
      </c>
      <c r="AQ87" s="35"/>
      <c r="AR87" s="35" t="str" cm="1">
        <f t="array" ref="AR87">IFERROR(_xlfn.IFS(AND(E87*1=1,F87="Included"),"Change to Included",AND(E87*1=0,F87="Optional"),"Change to Optional",OR(B87="",F87="replaced"),""),"")</f>
        <v/>
      </c>
      <c r="AS87" s="35" t="str">
        <f t="shared" si="24"/>
        <v/>
      </c>
      <c r="AT87" s="35" t="str">
        <f t="shared" si="25"/>
        <v/>
      </c>
      <c r="AU87" s="35" t="str">
        <f t="shared" si="26"/>
        <v/>
      </c>
      <c r="AV87" s="35" t="str">
        <f t="shared" si="27"/>
        <v/>
      </c>
      <c r="AW87" s="35" t="str">
        <f t="shared" si="28"/>
        <v/>
      </c>
      <c r="AX87" s="35" t="str">
        <f t="shared" si="29"/>
        <v/>
      </c>
      <c r="AY87" s="35" t="str">
        <f t="shared" si="30"/>
        <v/>
      </c>
      <c r="AZ87" s="35" t="str">
        <f t="shared" si="31"/>
        <v/>
      </c>
      <c r="BA87" s="35" t="str">
        <f t="shared" si="32"/>
        <v/>
      </c>
      <c r="BB87" s="35" t="str">
        <f t="shared" si="33"/>
        <v/>
      </c>
      <c r="BC87" s="35"/>
      <c r="BE87" s="35">
        <f ca="1">INDEX(SF_Output!$AA$2:$AA$400,MATCH($B87,SF_Output!$M$2:$M$400,0))</f>
        <v>6</v>
      </c>
      <c r="BF87" s="35">
        <f ca="1">INDEX(SF_Output!$AB$2:$AB$400,MATCH($B87,SF_Output!$M$2:$M$400,0))</f>
        <v>4</v>
      </c>
    </row>
    <row r="88" spans="2:58" x14ac:dyDescent="0.25">
      <c r="B88" t="s">
        <v>1451</v>
      </c>
      <c r="C88" t="s">
        <v>2122</v>
      </c>
      <c r="D88" t="s">
        <v>2123</v>
      </c>
      <c r="E88" t="s">
        <v>2124</v>
      </c>
      <c r="F88" s="116" t="str">
        <f t="shared" si="17"/>
        <v>Included</v>
      </c>
      <c r="G88" t="str">
        <f>IF(B88="","",INDEX(SF_Output!$K$1:$K$400,MATCH(B88,SF_Output!$M$1:$M$400,0)))</f>
        <v>Enterprise Payment Solutions (EPS)</v>
      </c>
      <c r="H88" cm="1">
        <f t="array" ref="H88">_xlfn.IFS(B88="","",(SUMIFS(SF_Output!$F$1:$F$400,SF_Output!$AC$1:$AC$400,_xlfn.TEXTJOIN(",",TRUE,B88:E88))+SUMIFS(SF_Output!$G$1:$G$400,SF_Output!$AC$1:$AC$400,_xlfn.TEXTJOIN(",",TRUE,B88:E88)))&lt;&gt;0,SF_Output!$Y$2,INDEX(SF_Output!$F$1:$F$400,MATCH(_xlfn.TEXTJOIN(",",TRUE,B88:E88),SF_Output!$AC$1:$AC$400,0))=0,INDEX(SF_Output!$R$1:$R$400,MATCH(_xlfn.TEXTJOIN(",",TRUE,B88:E88),SF_Output!$AC$1:$AC$400,0)))</f>
        <v>1</v>
      </c>
      <c r="I88" s="125" t="str">
        <f>IFERROR(IF(AND(H88&gt;1,H88&lt;&gt;""),ROUND(SUMIFS(SF_Output!$S$1:$S$400,SF_Output!$AC$1:$AC$400,_xlfn.TEXTJOIN(",",TRUE,B88:E88),SF_Output!$Q$1:$Q$400,"monthly")*(1-W88)/H88,4),""),"")</f>
        <v/>
      </c>
      <c r="J88" s="6">
        <f>IF(B88="","",SUMIFS(SF_Output!$S$1:$S$400,SF_Output!$AC$1:$AC$400,_xlfn.TEXTJOIN(",",TRUE,B88:E88),SF_Output!$Q$1:$Q$400,"One Time",SF_Output!$L$1:$L$400,"license fee")+SUMIFS(SF_Output!$S$1:$S$400,SF_Output!$AC$1:$AC$400,_xlfn.TEXTJOIN(",",TRUE,B88:E88),SF_Output!$Q$1:$Q$400,"One Time",SF_Output!$L$1:$L$400,"software license")+SUMIFS(SF_Output!$S$1:$S$400,SF_Output!$AC$1:$AC$400,_xlfn.TEXTJOIN(",",TRUE,B88:E88),SF_Output!$Q$1:$Q$400,"One Time",SF_Output!$L$1:$L$400,"hardware"))</f>
        <v>0</v>
      </c>
      <c r="K88" s="112" t="str">
        <f>IF(OR(B88=0,B88="",G88="hardware",J88=0),"",IF(AF88&lt;&gt;"exclusion",MAX(K$9,-((SUMIFS(SF_Output!$T$1:$T$400,SF_Output!$AC$1:$AC$400,_xlfn.TEXTJOIN(",",TRUE,$B88:$E88),SF_Output!$Q$1:$Q$400,"One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license"))/J88)))</f>
        <v/>
      </c>
      <c r="L88" s="6">
        <f t="shared" si="18"/>
        <v>0</v>
      </c>
      <c r="N88" s="6">
        <f>IF(B88="","",SUMIFS(SF_Output!$S$1:$S$400,SF_Output!$AC$1:$AC$400,_xlfn.TEXTJOIN(",",TRUE,B88:E88),SF_Output!$Q$1:$Q$400,"One Time",SF_Output!$L$1:$L$400,"professional service"))</f>
        <v>0</v>
      </c>
      <c r="O88" s="112" t="str">
        <f>IF(OR(B88=0,B88="",N88=0),"",IF(AF88&lt;&gt;"exclusion",MAX(O$9,-(SUMIFS(SF_Output!$T$1:$T$400,SF_Output!$AC$1:$AC$400,_xlfn.TEXTJOIN(",",TRUE,$B88:$E88),SF_Output!$Q$1:$Q$400,"One Time",SF_Output!$L$1:$L$400,"professional service"))/N88),-((SUMIFS(SF_Output!$T$1:$T$400,SF_Output!$AC$1:$AC$400,_xlfn.TEXTJOIN(",",TRUE,$B88:$E88),SF_Output!$Q$1:$Q$400,"One Time",SF_Output!$L$1:$L$400,"professional service")/N88))))</f>
        <v/>
      </c>
      <c r="P88" s="6">
        <f t="shared" si="19"/>
        <v>0</v>
      </c>
      <c r="R88" s="6">
        <f>IF(B88="","",SUMIFS(SF_Output!$S$1:$S$400,SF_Output!$AC$1:$AC$400,_xlfn.TEXTJOIN(",",TRUE,B88:E88),SF_Output!$Q$1:$Q$400,"yearly")+SUMIFS(SF_Output!$S$1:$S$400,SF_Output!$AC$1:$AC$400,_xlfn.TEXTJOIN(",",TRUE,B88:E88),SF_Output!$Q$1:$Q$400,"quarterly")*4)</f>
        <v>0</v>
      </c>
      <c r="S88" s="112" t="str">
        <f>IF(OR(B88=0,B88="",G88="hardware",R88=0),"",IF(AF88&lt;&gt;"exclusion",MAX(S$9,-(SUMIFS(SF_Output!$T$1:$T$400,SF_Output!$AC$1:$AC$400,_xlfn.TEXTJOIN(",",TRUE,$B88:$E88),SF_Output!$Q$1:$Q$400,"yearly"))/R88),-((SUMIFS(SF_Output!$T$1:$T$400,SF_Output!$AC$1:$AC$400,_xlfn.TEXTJOIN(",",TRUE,$B88:$E88),SF_Output!$Q$1:$Q$400,"yearly")/R88))))</f>
        <v/>
      </c>
      <c r="T88" s="6">
        <f t="shared" si="20"/>
        <v>0</v>
      </c>
      <c r="V88" s="6" cm="1">
        <f t="array" ref="V88">_xlfn.IFS(B88="","",AND(B88&lt;&gt;"",H88=SF_Output!$Y$2,SUMIFS(SF_Output!$T$1:$T$400,SF_Output!$AC$1:$AC$400,_xlfn.TEXTJOIN(",",TRUE,B88:E88),SF_Output!$Q$1:$Q$400,"monthly")=0),(SUMIFS(SF_Output!$F$1:$F$400,SF_Output!$AC$1:$AC$400,_xlfn.TEXTJOIN(",",TRUE,B88:E88),SF_Output!$Q$1:$Q$400,"monthly")+SUMIFS(SF_Output!$G$1:$G$400,SF_Output!$AC$1:$AC$400,_xlfn.TEXTJOIN(",",TRUE,B88:E88),SF_Output!$Q$1:$Q$400,"monthly"))*H88,AND(B88&lt;&gt;"",H88=SF_Output!$Y$2,SUMIFS(SF_Output!$T$1:$T$400,SF_Output!$AC$1:$AC$400,_xlfn.TEXTJOIN(",",TRUE,B88:E88),SF_Output!$Q$1:$Q$400,"monthly")&lt;&gt;0),SUMIFS(SF_Output!$S$1:$S$400,SF_Output!$AC$1:$AC$400,_xlfn.TEXTJOIN(",",TRUE,B88:E88),SF_Output!$Q$1:$Q$400,"monthly"),AND(B88&lt;&gt;"",H88&lt;&gt;SF_Output!$Y$2),SUMIFS(SF_Output!$S$1:$S$400,SF_Output!$AC$1:$AC$400,_xlfn.TEXTJOIN(",",TRUE,B88:E88),SF_Output!$Q$1:$Q$400,"monthly"))</f>
        <v>100</v>
      </c>
      <c r="W88" s="112" cm="1">
        <f t="array" ref="W88">_xlfn.IFS(OR(B88=0,B88="",V88=0),"",AF88&lt;&gt;"exclusion",MAX($W$9,$W$7,(-(SUMIFS(SF_Output!$T$1:$T$400,SF_Output!$AC$1:$AC$400,_xlfn.TEXTJOIN(",",TRUE,$B88:$E88),SF_Output!$Q$1:$Q$400,"monthly"))/V88)),AF88="exclusion",-(SUMIFS(SF_Output!$T$1:$T$400,SF_Output!$AC$1:$AC$400,_xlfn.TEXTJOIN(",",TRUE,$B88:$E88),SF_Output!$Q$1:$Q$400,"monthly"))/V88)</f>
        <v>0</v>
      </c>
      <c r="X88" s="6" cm="1">
        <f t="array" ref="X88">IFERROR(_xlfn.IFS(V88=0,0,V88="","",W88=0,V88,OR(V88&lt;&gt;0,V88&lt;&gt;""),H88*I88),V88*(1-W88))</f>
        <v>100</v>
      </c>
      <c r="Z88" s="6">
        <f>IFERROR(IF(B88="","",SUMIFS(Billing_Fallout!H:H,Billing_Fallout!N:N,B88)),0)</f>
        <v>0</v>
      </c>
      <c r="AA88" s="6">
        <f t="shared" si="21"/>
        <v>0</v>
      </c>
      <c r="AB88" s="6">
        <f>IFERROR(IF(B88="","",SUMIFS(Billing_Fallout!J:J,Billing_Fallout!N:N,B88)),0)</f>
        <v>0</v>
      </c>
      <c r="AD88" s="6">
        <f t="shared" si="22"/>
        <v>100</v>
      </c>
      <c r="AF88" t="str">
        <f>IFERROR(INDEX(H_Tables!$B$1:$B$1500,MATCH(INDEX(SF_Output!$J$1:$J$400,MATCH(B88,SF_Output!$M$1:$M$400,0)),H_Tables!$A$1:$A$1500,0)),"")</f>
        <v>Exclusion</v>
      </c>
      <c r="AI88" s="119" t="str">
        <f t="shared" si="23"/>
        <v/>
      </c>
      <c r="AJ88" s="121">
        <f>IFERROR(INDEX(SF_Output!AD:AD,MATCH(_xlfn.TEXTJOIN(",",TRUE,B88:E88),SF_Output!AC1:AC400,0)),0.05)</f>
        <v>153</v>
      </c>
      <c r="AK88" t="str">
        <f>IF(SUMIFS(SF_Output!$F$1:$F$400,SF_Output!$AC$1:$AC$400,_xlfn.TEXTJOIN(",",TRUE,B88:E88))+SUMIFS(SF_Output!$G$1:$G$400,SF_Output!$AC$1:$AC$400,_xlfn.TEXTJOIN(",",TRUE,B88:E88))=0,"","PAP")</f>
        <v/>
      </c>
      <c r="AQ88" s="35"/>
      <c r="AR88" s="35" t="str" cm="1">
        <f t="array" ref="AR88">IFERROR(_xlfn.IFS(AND(E88*1=1,F88="Included"),"Change to Included",AND(E88*1=0,F88="Optional"),"Change to Optional",OR(B88="",F88="replaced"),""),"")</f>
        <v/>
      </c>
      <c r="AS88" s="35" t="str">
        <f t="shared" si="24"/>
        <v/>
      </c>
      <c r="AT88" s="35" t="str">
        <f t="shared" si="25"/>
        <v/>
      </c>
      <c r="AU88" s="35" t="str">
        <f t="shared" si="26"/>
        <v/>
      </c>
      <c r="AV88" s="35" t="str">
        <f t="shared" si="27"/>
        <v/>
      </c>
      <c r="AW88" s="35" t="str">
        <f t="shared" si="28"/>
        <v/>
      </c>
      <c r="AX88" s="35" t="str">
        <f t="shared" si="29"/>
        <v/>
      </c>
      <c r="AY88" s="35" t="str">
        <f t="shared" si="30"/>
        <v/>
      </c>
      <c r="AZ88" s="35" t="str">
        <f t="shared" si="31"/>
        <v/>
      </c>
      <c r="BA88" s="35" t="str">
        <f t="shared" si="32"/>
        <v/>
      </c>
      <c r="BB88" s="35" t="str">
        <f t="shared" si="33"/>
        <v/>
      </c>
      <c r="BC88" s="35"/>
      <c r="BE88" s="35">
        <f ca="1">INDEX(SF_Output!$AA$2:$AA$400,MATCH($B88,SF_Output!$M$2:$M$400,0))</f>
        <v>6</v>
      </c>
      <c r="BF88" s="35">
        <f ca="1">INDEX(SF_Output!$AB$2:$AB$400,MATCH($B88,SF_Output!$M$2:$M$400,0))</f>
        <v>4</v>
      </c>
    </row>
    <row r="89" spans="2:58" x14ac:dyDescent="0.25">
      <c r="B89" t="s">
        <v>673</v>
      </c>
      <c r="C89" t="s">
        <v>2122</v>
      </c>
      <c r="D89" t="s">
        <v>2207</v>
      </c>
      <c r="E89" t="s">
        <v>2124</v>
      </c>
      <c r="F89" s="116" t="str">
        <f t="shared" si="17"/>
        <v>Included</v>
      </c>
      <c r="G89" t="str">
        <f>IF(B89="","",INDEX(SF_Output!$K$1:$K$400,MATCH(B89,SF_Output!$M$1:$M$400,0)))</f>
        <v>Card Processing Solutions (CPS)</v>
      </c>
      <c r="H89" cm="1">
        <f t="array" ref="H89">_xlfn.IFS(B89="","",(SUMIFS(SF_Output!$F$1:$F$400,SF_Output!$AC$1:$AC$400,_xlfn.TEXTJOIN(",",TRUE,B89:E89))+SUMIFS(SF_Output!$G$1:$G$400,SF_Output!$AC$1:$AC$400,_xlfn.TEXTJOIN(",",TRUE,B89:E89)))&lt;&gt;0,SF_Output!$Y$2,INDEX(SF_Output!$F$1:$F$400,MATCH(_xlfn.TEXTJOIN(",",TRUE,B89:E89),SF_Output!$AC$1:$AC$400,0))=0,INDEX(SF_Output!$R$1:$R$400,MATCH(_xlfn.TEXTJOIN(",",TRUE,B89:E89),SF_Output!$AC$1:$AC$400,0)))</f>
        <v>1</v>
      </c>
      <c r="I89" s="125" t="str">
        <f>IFERROR(IF(AND(H89&gt;1,H89&lt;&gt;""),ROUND(SUMIFS(SF_Output!$S$1:$S$400,SF_Output!$AC$1:$AC$400,_xlfn.TEXTJOIN(",",TRUE,B89:E89),SF_Output!$Q$1:$Q$400,"monthly")*(1-W89)/H89,4),""),"")</f>
        <v/>
      </c>
      <c r="J89" s="6">
        <f>IF(B89="","",SUMIFS(SF_Output!$S$1:$S$400,SF_Output!$AC$1:$AC$400,_xlfn.TEXTJOIN(",",TRUE,B89:E89),SF_Output!$Q$1:$Q$400,"One Time",SF_Output!$L$1:$L$400,"license fee")+SUMIFS(SF_Output!$S$1:$S$400,SF_Output!$AC$1:$AC$400,_xlfn.TEXTJOIN(",",TRUE,B89:E89),SF_Output!$Q$1:$Q$400,"One Time",SF_Output!$L$1:$L$400,"software license")+SUMIFS(SF_Output!$S$1:$S$400,SF_Output!$AC$1:$AC$400,_xlfn.TEXTJOIN(",",TRUE,B89:E89),SF_Output!$Q$1:$Q$400,"One Time",SF_Output!$L$1:$L$400,"hardware"))</f>
        <v>0</v>
      </c>
      <c r="K89" s="112" t="str">
        <f>IF(OR(B89=0,B89="",G89="hardware",J89=0),"",IF(AF89&lt;&gt;"exclusion",MAX(K$9,-((SUMIFS(SF_Output!$T$1:$T$400,SF_Output!$AC$1:$AC$400,_xlfn.TEXTJOIN(",",TRUE,$B89:$E89),SF_Output!$Q$1:$Q$400,"One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license"))/J89)))</f>
        <v/>
      </c>
      <c r="L89" s="6">
        <f t="shared" si="18"/>
        <v>0</v>
      </c>
      <c r="N89" s="6">
        <f>IF(B89="","",SUMIFS(SF_Output!$S$1:$S$400,SF_Output!$AC$1:$AC$400,_xlfn.TEXTJOIN(",",TRUE,B89:E89),SF_Output!$Q$1:$Q$400,"One Time",SF_Output!$L$1:$L$400,"professional service"))</f>
        <v>12500</v>
      </c>
      <c r="O89" s="112">
        <f>IF(OR(B89=0,B89="",N89=0),"",IF(AF89&lt;&gt;"exclusion",MAX(O$9,-(SUMIFS(SF_Output!$T$1:$T$400,SF_Output!$AC$1:$AC$400,_xlfn.TEXTJOIN(",",TRUE,$B89:$E89),SF_Output!$Q$1:$Q$400,"One Time",SF_Output!$L$1:$L$400,"professional service"))/N89),-((SUMIFS(SF_Output!$T$1:$T$400,SF_Output!$AC$1:$AC$400,_xlfn.TEXTJOIN(",",TRUE,$B89:$E89),SF_Output!$Q$1:$Q$400,"One Time",SF_Output!$L$1:$L$400,"professional service")/N89))))</f>
        <v>1</v>
      </c>
      <c r="P89" s="6">
        <f t="shared" si="19"/>
        <v>0</v>
      </c>
      <c r="R89" s="6">
        <f>IF(B89="","",SUMIFS(SF_Output!$S$1:$S$400,SF_Output!$AC$1:$AC$400,_xlfn.TEXTJOIN(",",TRUE,B89:E89),SF_Output!$Q$1:$Q$400,"yearly")+SUMIFS(SF_Output!$S$1:$S$400,SF_Output!$AC$1:$AC$400,_xlfn.TEXTJOIN(",",TRUE,B89:E89),SF_Output!$Q$1:$Q$400,"quarterly")*4)</f>
        <v>0</v>
      </c>
      <c r="S89" s="112" t="str">
        <f>IF(OR(B89=0,B89="",G89="hardware",R89=0),"",IF(AF89&lt;&gt;"exclusion",MAX(S$9,-(SUMIFS(SF_Output!$T$1:$T$400,SF_Output!$AC$1:$AC$400,_xlfn.TEXTJOIN(",",TRUE,$B89:$E89),SF_Output!$Q$1:$Q$400,"yearly"))/R89),-((SUMIFS(SF_Output!$T$1:$T$400,SF_Output!$AC$1:$AC$400,_xlfn.TEXTJOIN(",",TRUE,$B89:$E89),SF_Output!$Q$1:$Q$400,"yearly")/R89))))</f>
        <v/>
      </c>
      <c r="T89" s="6">
        <f t="shared" si="20"/>
        <v>0</v>
      </c>
      <c r="V89" s="6" cm="1">
        <f t="array" ref="V89">_xlfn.IFS(B89="","",AND(B89&lt;&gt;"",H89=SF_Output!$Y$2,SUMIFS(SF_Output!$T$1:$T$400,SF_Output!$AC$1:$AC$400,_xlfn.TEXTJOIN(",",TRUE,B89:E89),SF_Output!$Q$1:$Q$400,"monthly")=0),(SUMIFS(SF_Output!$F$1:$F$400,SF_Output!$AC$1:$AC$400,_xlfn.TEXTJOIN(",",TRUE,B89:E89),SF_Output!$Q$1:$Q$400,"monthly")+SUMIFS(SF_Output!$G$1:$G$400,SF_Output!$AC$1:$AC$400,_xlfn.TEXTJOIN(",",TRUE,B89:E89),SF_Output!$Q$1:$Q$400,"monthly"))*H89,AND(B89&lt;&gt;"",H89=SF_Output!$Y$2,SUMIFS(SF_Output!$T$1:$T$400,SF_Output!$AC$1:$AC$400,_xlfn.TEXTJOIN(",",TRUE,B89:E89),SF_Output!$Q$1:$Q$400,"monthly")&lt;&gt;0),SUMIFS(SF_Output!$S$1:$S$400,SF_Output!$AC$1:$AC$400,_xlfn.TEXTJOIN(",",TRUE,B89:E89),SF_Output!$Q$1:$Q$400,"monthly"),AND(B89&lt;&gt;"",H89&lt;&gt;SF_Output!$Y$2),SUMIFS(SF_Output!$S$1:$S$400,SF_Output!$AC$1:$AC$400,_xlfn.TEXTJOIN(",",TRUE,B89:E89),SF_Output!$Q$1:$Q$400,"monthly"))</f>
        <v>650</v>
      </c>
      <c r="W89" s="112" cm="1">
        <f t="array" ref="W89">_xlfn.IFS(OR(B89=0,B89="",V89=0),"",AF89&lt;&gt;"exclusion",MAX($W$9,$W$7,(-(SUMIFS(SF_Output!$T$1:$T$400,SF_Output!$AC$1:$AC$400,_xlfn.TEXTJOIN(",",TRUE,$B89:$E89),SF_Output!$Q$1:$Q$400,"monthly"))/V89)),AF89="exclusion",-(SUMIFS(SF_Output!$T$1:$T$400,SF_Output!$AC$1:$AC$400,_xlfn.TEXTJOIN(",",TRUE,$B89:$E89),SF_Output!$Q$1:$Q$400,"monthly"))/V89)</f>
        <v>0</v>
      </c>
      <c r="X89" s="6" cm="1">
        <f t="array" ref="X89">IFERROR(_xlfn.IFS(V89=0,0,V89="","",W89=0,V89,OR(V89&lt;&gt;0,V89&lt;&gt;""),H89*I89),V89*(1-W89))</f>
        <v>650</v>
      </c>
      <c r="Z89" s="6">
        <f>IFERROR(IF(B89="","",SUMIFS(Billing_Fallout!H:H,Billing_Fallout!N:N,B89)),0)</f>
        <v>0</v>
      </c>
      <c r="AA89" s="6">
        <f t="shared" si="21"/>
        <v>0</v>
      </c>
      <c r="AB89" s="6">
        <f>IFERROR(IF(B89="","",SUMIFS(Billing_Fallout!J:J,Billing_Fallout!N:N,B89)),0)</f>
        <v>0</v>
      </c>
      <c r="AD89" s="6">
        <f t="shared" si="22"/>
        <v>650</v>
      </c>
      <c r="AF89" t="str">
        <f>IFERROR(INDEX(H_Tables!$B$1:$B$1500,MATCH(INDEX(SF_Output!$J$1:$J$400,MATCH(B89,SF_Output!$M$1:$M$400,0)),H_Tables!$A$1:$A$1500,0)),"")</f>
        <v>Exclusion</v>
      </c>
      <c r="AI89" s="119" t="str">
        <f t="shared" si="23"/>
        <v/>
      </c>
      <c r="AJ89" s="121">
        <f>IFERROR(INDEX(SF_Output!AD:AD,MATCH(_xlfn.TEXTJOIN(",",TRUE,B89:E89),SF_Output!AC1:AC400,0)),0.05)</f>
        <v>159</v>
      </c>
      <c r="AK89" t="str">
        <f>IF(SUMIFS(SF_Output!$F$1:$F$400,SF_Output!$AC$1:$AC$400,_xlfn.TEXTJOIN(",",TRUE,B89:E89))+SUMIFS(SF_Output!$G$1:$G$400,SF_Output!$AC$1:$AC$400,_xlfn.TEXTJOIN(",",TRUE,B89:E89))=0,"","PAP")</f>
        <v/>
      </c>
      <c r="AQ89" s="35"/>
      <c r="AR89" s="35" t="str" cm="1">
        <f t="array" ref="AR89">IFERROR(_xlfn.IFS(AND(E89*1=1,F89="Included"),"Change to Included",AND(E89*1=0,F89="Optional"),"Change to Optional",OR(B89="",F89="replaced"),""),"")</f>
        <v/>
      </c>
      <c r="AS89" s="35" t="str">
        <f t="shared" si="24"/>
        <v/>
      </c>
      <c r="AT89" s="35" t="str">
        <f t="shared" si="25"/>
        <v/>
      </c>
      <c r="AU89" s="35" t="str">
        <f t="shared" si="26"/>
        <v/>
      </c>
      <c r="AV89" s="35" t="str">
        <f t="shared" si="27"/>
        <v/>
      </c>
      <c r="AW89" s="35" t="str">
        <f t="shared" si="28"/>
        <v/>
      </c>
      <c r="AX89" s="35" t="str">
        <f t="shared" si="29"/>
        <v/>
      </c>
      <c r="AY89" s="35" t="str">
        <f t="shared" si="30"/>
        <v/>
      </c>
      <c r="AZ89" s="35" t="str">
        <f t="shared" si="31"/>
        <v/>
      </c>
      <c r="BA89" s="35" t="str">
        <f t="shared" si="32"/>
        <v/>
      </c>
      <c r="BB89" s="35" t="str">
        <f t="shared" si="33"/>
        <v/>
      </c>
      <c r="BC89" s="35"/>
      <c r="BE89" s="35">
        <f ca="1">INDEX(SF_Output!$AA$2:$AA$400,MATCH($B89,SF_Output!$M$2:$M$400,0))</f>
        <v>6</v>
      </c>
      <c r="BF89" s="35">
        <f ca="1">INDEX(SF_Output!$AB$2:$AB$400,MATCH($B89,SF_Output!$M$2:$M$400,0))</f>
        <v>1</v>
      </c>
    </row>
    <row r="90" spans="2:58" x14ac:dyDescent="0.25">
      <c r="B90" t="s">
        <v>2343</v>
      </c>
      <c r="C90" t="s">
        <v>2122</v>
      </c>
      <c r="D90" t="s">
        <v>2207</v>
      </c>
      <c r="E90" t="s">
        <v>2124</v>
      </c>
      <c r="F90" s="116" t="str">
        <f t="shared" si="17"/>
        <v>Included</v>
      </c>
      <c r="G90" t="str">
        <f>IF(B90="","",INDEX(SF_Output!$K$1:$K$400,MATCH(B90,SF_Output!$M$1:$M$400,0)))</f>
        <v>Card Processing Solutions (CPS)</v>
      </c>
      <c r="H90" cm="1">
        <f t="array" ref="H90">_xlfn.IFS(B90="","",(SUMIFS(SF_Output!$F$1:$F$400,SF_Output!$AC$1:$AC$400,_xlfn.TEXTJOIN(",",TRUE,B90:E90))+SUMIFS(SF_Output!$G$1:$G$400,SF_Output!$AC$1:$AC$400,_xlfn.TEXTJOIN(",",TRUE,B90:E90)))&lt;&gt;0,SF_Output!$Y$2,INDEX(SF_Output!$F$1:$F$400,MATCH(_xlfn.TEXTJOIN(",",TRUE,B90:E90),SF_Output!$AC$1:$AC$400,0))=0,INDEX(SF_Output!$R$1:$R$400,MATCH(_xlfn.TEXTJOIN(",",TRUE,B90:E90),SF_Output!$AC$1:$AC$400,0)))</f>
        <v>1</v>
      </c>
      <c r="I90" s="125" t="str">
        <f>IFERROR(IF(AND(H90&gt;1,H90&lt;&gt;""),ROUND(SUMIFS(SF_Output!$S$1:$S$400,SF_Output!$AC$1:$AC$400,_xlfn.TEXTJOIN(",",TRUE,B90:E90),SF_Output!$Q$1:$Q$400,"monthly")*(1-W90)/H90,4),""),"")</f>
        <v/>
      </c>
      <c r="J90" s="6">
        <f>IF(B90="","",SUMIFS(SF_Output!$S$1:$S$400,SF_Output!$AC$1:$AC$400,_xlfn.TEXTJOIN(",",TRUE,B90:E90),SF_Output!$Q$1:$Q$400,"One Time",SF_Output!$L$1:$L$400,"license fee")+SUMIFS(SF_Output!$S$1:$S$400,SF_Output!$AC$1:$AC$400,_xlfn.TEXTJOIN(",",TRUE,B90:E90),SF_Output!$Q$1:$Q$400,"One Time",SF_Output!$L$1:$L$400,"software license")+SUMIFS(SF_Output!$S$1:$S$400,SF_Output!$AC$1:$AC$400,_xlfn.TEXTJOIN(",",TRUE,B90:E90),SF_Output!$Q$1:$Q$400,"One Time",SF_Output!$L$1:$L$400,"hardware"))</f>
        <v>0</v>
      </c>
      <c r="K90" s="112" t="str">
        <f>IF(OR(B90=0,B90="",G90="hardware",J90=0),"",IF(AF90&lt;&gt;"exclusion",MAX(K$9,-((SUMIFS(SF_Output!$T$1:$T$400,SF_Output!$AC$1:$AC$400,_xlfn.TEXTJOIN(",",TRUE,$B90:$E90),SF_Output!$Q$1:$Q$400,"One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license"))/J90)))</f>
        <v/>
      </c>
      <c r="L90" s="6">
        <f t="shared" si="18"/>
        <v>0</v>
      </c>
      <c r="N90" s="6">
        <f>IF(B90="","",SUMIFS(SF_Output!$S$1:$S$400,SF_Output!$AC$1:$AC$400,_xlfn.TEXTJOIN(",",TRUE,B90:E90),SF_Output!$Q$1:$Q$400,"One Time",SF_Output!$L$1:$L$400,"professional service"))</f>
        <v>0</v>
      </c>
      <c r="O90" s="112" t="str">
        <f>IF(OR(B90=0,B90="",N90=0),"",IF(AF90&lt;&gt;"exclusion",MAX(O$9,-(SUMIFS(SF_Output!$T$1:$T$400,SF_Output!$AC$1:$AC$400,_xlfn.TEXTJOIN(",",TRUE,$B90:$E90),SF_Output!$Q$1:$Q$400,"One Time",SF_Output!$L$1:$L$400,"professional service"))/N90),-((SUMIFS(SF_Output!$T$1:$T$400,SF_Output!$AC$1:$AC$400,_xlfn.TEXTJOIN(",",TRUE,$B90:$E90),SF_Output!$Q$1:$Q$400,"One Time",SF_Output!$L$1:$L$400,"professional service")/N90))))</f>
        <v/>
      </c>
      <c r="P90" s="6">
        <f t="shared" si="19"/>
        <v>0</v>
      </c>
      <c r="R90" s="6">
        <f>IF(B90="","",SUMIFS(SF_Output!$S$1:$S$400,SF_Output!$AC$1:$AC$400,_xlfn.TEXTJOIN(",",TRUE,B90:E90),SF_Output!$Q$1:$Q$400,"yearly")+SUMIFS(SF_Output!$S$1:$S$400,SF_Output!$AC$1:$AC$400,_xlfn.TEXTJOIN(",",TRUE,B90:E90),SF_Output!$Q$1:$Q$400,"quarterly")*4)</f>
        <v>0</v>
      </c>
      <c r="S90" s="112" t="str">
        <f>IF(OR(B90=0,B90="",G90="hardware",R90=0),"",IF(AF90&lt;&gt;"exclusion",MAX(S$9,-(SUMIFS(SF_Output!$T$1:$T$400,SF_Output!$AC$1:$AC$400,_xlfn.TEXTJOIN(",",TRUE,$B90:$E90),SF_Output!$Q$1:$Q$400,"yearly"))/R90),-((SUMIFS(SF_Output!$T$1:$T$400,SF_Output!$AC$1:$AC$400,_xlfn.TEXTJOIN(",",TRUE,$B90:$E90),SF_Output!$Q$1:$Q$400,"yearly")/R90))))</f>
        <v/>
      </c>
      <c r="T90" s="6">
        <f t="shared" si="20"/>
        <v>0</v>
      </c>
      <c r="V90" s="6" cm="1">
        <f t="array" ref="V90">_xlfn.IFS(B90="","",AND(B90&lt;&gt;"",H90=SF_Output!$Y$2,SUMIFS(SF_Output!$T$1:$T$400,SF_Output!$AC$1:$AC$400,_xlfn.TEXTJOIN(",",TRUE,B90:E90),SF_Output!$Q$1:$Q$400,"monthly")=0),(SUMIFS(SF_Output!$F$1:$F$400,SF_Output!$AC$1:$AC$400,_xlfn.TEXTJOIN(",",TRUE,B90:E90),SF_Output!$Q$1:$Q$400,"monthly")+SUMIFS(SF_Output!$G$1:$G$400,SF_Output!$AC$1:$AC$400,_xlfn.TEXTJOIN(",",TRUE,B90:E90),SF_Output!$Q$1:$Q$400,"monthly"))*H90,AND(B90&lt;&gt;"",H90=SF_Output!$Y$2,SUMIFS(SF_Output!$T$1:$T$400,SF_Output!$AC$1:$AC$400,_xlfn.TEXTJOIN(",",TRUE,B90:E90),SF_Output!$Q$1:$Q$400,"monthly")&lt;&gt;0),SUMIFS(SF_Output!$S$1:$S$400,SF_Output!$AC$1:$AC$400,_xlfn.TEXTJOIN(",",TRUE,B90:E90),SF_Output!$Q$1:$Q$400,"monthly"),AND(B90&lt;&gt;"",H90&lt;&gt;SF_Output!$Y$2),SUMIFS(SF_Output!$S$1:$S$400,SF_Output!$AC$1:$AC$400,_xlfn.TEXTJOIN(",",TRUE,B90:E90),SF_Output!$Q$1:$Q$400,"monthly"))</f>
        <v>250</v>
      </c>
      <c r="W90" s="112" cm="1">
        <f t="array" ref="W90">_xlfn.IFS(OR(B90=0,B90="",V90=0),"",AF90&lt;&gt;"exclusion",MAX($W$9,$W$7,(-(SUMIFS(SF_Output!$T$1:$T$400,SF_Output!$AC$1:$AC$400,_xlfn.TEXTJOIN(",",TRUE,$B90:$E90),SF_Output!$Q$1:$Q$400,"monthly"))/V90)),AF90="exclusion",-(SUMIFS(SF_Output!$T$1:$T$400,SF_Output!$AC$1:$AC$400,_xlfn.TEXTJOIN(",",TRUE,$B90:$E90),SF_Output!$Q$1:$Q$400,"monthly"))/V90)</f>
        <v>0</v>
      </c>
      <c r="X90" s="6" cm="1">
        <f t="array" ref="X90">IFERROR(_xlfn.IFS(V90=0,0,V90="","",W90=0,V90,OR(V90&lt;&gt;0,V90&lt;&gt;""),H90*I90),V90*(1-W90))</f>
        <v>250</v>
      </c>
      <c r="Z90" s="6">
        <f>IFERROR(IF(B90="","",SUMIFS(Billing_Fallout!H:H,Billing_Fallout!N:N,B90)),0)</f>
        <v>0</v>
      </c>
      <c r="AA90" s="6">
        <f t="shared" si="21"/>
        <v>0</v>
      </c>
      <c r="AB90" s="6">
        <f>IFERROR(IF(B90="","",SUMIFS(Billing_Fallout!J:J,Billing_Fallout!N:N,B90)),0)</f>
        <v>0</v>
      </c>
      <c r="AD90" s="6">
        <f t="shared" si="22"/>
        <v>250</v>
      </c>
      <c r="AF90" t="str">
        <f>IFERROR(INDEX(H_Tables!$B$1:$B$1500,MATCH(INDEX(SF_Output!$J$1:$J$400,MATCH(B90,SF_Output!$M$1:$M$400,0)),H_Tables!$A$1:$A$1500,0)),"")</f>
        <v>Exclusion</v>
      </c>
      <c r="AI90" s="119" t="str">
        <f t="shared" si="23"/>
        <v/>
      </c>
      <c r="AJ90" s="121">
        <f>IFERROR(INDEX(SF_Output!AD:AD,MATCH(_xlfn.TEXTJOIN(",",TRUE,B90:E90),SF_Output!AC1:AC400,0)),0.05)</f>
        <v>161</v>
      </c>
      <c r="AK90" t="str">
        <f>IF(SUMIFS(SF_Output!$F$1:$F$400,SF_Output!$AC$1:$AC$400,_xlfn.TEXTJOIN(",",TRUE,B90:E90))+SUMIFS(SF_Output!$G$1:$G$400,SF_Output!$AC$1:$AC$400,_xlfn.TEXTJOIN(",",TRUE,B90:E90))=0,"","PAP")</f>
        <v/>
      </c>
      <c r="AQ90" s="35"/>
      <c r="AR90" s="35" t="str" cm="1">
        <f t="array" ref="AR90">IFERROR(_xlfn.IFS(AND(E90*1=1,F90="Included"),"Change to Included",AND(E90*1=0,F90="Optional"),"Change to Optional",OR(B90="",F90="replaced"),""),"")</f>
        <v/>
      </c>
      <c r="AS90" s="35" t="str">
        <f t="shared" si="24"/>
        <v/>
      </c>
      <c r="AT90" s="35" t="str">
        <f t="shared" si="25"/>
        <v/>
      </c>
      <c r="AU90" s="35" t="str">
        <f t="shared" si="26"/>
        <v/>
      </c>
      <c r="AV90" s="35" t="str">
        <f t="shared" si="27"/>
        <v/>
      </c>
      <c r="AW90" s="35" t="str">
        <f t="shared" si="28"/>
        <v/>
      </c>
      <c r="AX90" s="35" t="str">
        <f t="shared" si="29"/>
        <v/>
      </c>
      <c r="AY90" s="35" t="str">
        <f t="shared" si="30"/>
        <v/>
      </c>
      <c r="AZ90" s="35" t="str">
        <f t="shared" si="31"/>
        <v/>
      </c>
      <c r="BA90" s="35" t="str">
        <f t="shared" si="32"/>
        <v/>
      </c>
      <c r="BB90" s="35" t="str">
        <f t="shared" si="33"/>
        <v/>
      </c>
      <c r="BC90" s="35"/>
      <c r="BE90" s="35">
        <f ca="1">INDEX(SF_Output!$AA$2:$AA$400,MATCH($B90,SF_Output!$M$2:$M$400,0))</f>
        <v>6</v>
      </c>
      <c r="BF90" s="35">
        <f ca="1">INDEX(SF_Output!$AB$2:$AB$400,MATCH($B90,SF_Output!$M$2:$M$400,0))</f>
        <v>1</v>
      </c>
    </row>
    <row r="91" spans="2:58" x14ac:dyDescent="0.25">
      <c r="B91" t="s">
        <v>679</v>
      </c>
      <c r="C91" t="s">
        <v>2122</v>
      </c>
      <c r="D91" t="s">
        <v>2207</v>
      </c>
      <c r="E91" t="s">
        <v>2124</v>
      </c>
      <c r="F91" s="116" t="str">
        <f t="shared" si="17"/>
        <v>Included</v>
      </c>
      <c r="G91" t="str">
        <f>IF(B91="","",INDEX(SF_Output!$K$1:$K$400,MATCH(B91,SF_Output!$M$1:$M$400,0)))</f>
        <v>Card Processing Solutions (CPS)</v>
      </c>
      <c r="H91" cm="1">
        <f t="array" ref="H91">_xlfn.IFS(B91="","",(SUMIFS(SF_Output!$F$1:$F$400,SF_Output!$AC$1:$AC$400,_xlfn.TEXTJOIN(",",TRUE,B91:E91))+SUMIFS(SF_Output!$G$1:$G$400,SF_Output!$AC$1:$AC$400,_xlfn.TEXTJOIN(",",TRUE,B91:E91)))&lt;&gt;0,SF_Output!$Y$2,INDEX(SF_Output!$F$1:$F$400,MATCH(_xlfn.TEXTJOIN(",",TRUE,B91:E91),SF_Output!$AC$1:$AC$400,0))=0,INDEX(SF_Output!$R$1:$R$400,MATCH(_xlfn.TEXTJOIN(",",TRUE,B91:E91),SF_Output!$AC$1:$AC$400,0)))</f>
        <v>0</v>
      </c>
      <c r="I91" s="125" t="str">
        <f>IFERROR(IF(AND(H91&gt;1,H91&lt;&gt;""),ROUND(SUMIFS(SF_Output!$S$1:$S$400,SF_Output!$AC$1:$AC$400,_xlfn.TEXTJOIN(",",TRUE,B91:E91),SF_Output!$Q$1:$Q$400,"monthly")*(1-W91)/H91,4),""),"")</f>
        <v/>
      </c>
      <c r="J91" s="6">
        <f>IF(B91="","",SUMIFS(SF_Output!$S$1:$S$400,SF_Output!$AC$1:$AC$400,_xlfn.TEXTJOIN(",",TRUE,B91:E91),SF_Output!$Q$1:$Q$400,"One Time",SF_Output!$L$1:$L$400,"license fee")+SUMIFS(SF_Output!$S$1:$S$400,SF_Output!$AC$1:$AC$400,_xlfn.TEXTJOIN(",",TRUE,B91:E91),SF_Output!$Q$1:$Q$400,"One Time",SF_Output!$L$1:$L$400,"software license")+SUMIFS(SF_Output!$S$1:$S$400,SF_Output!$AC$1:$AC$400,_xlfn.TEXTJOIN(",",TRUE,B91:E91),SF_Output!$Q$1:$Q$400,"One Time",SF_Output!$L$1:$L$400,"hardware"))</f>
        <v>0</v>
      </c>
      <c r="K91" s="112" t="str">
        <f>IF(OR(B91=0,B91="",G91="hardware",J91=0),"",IF(AF91&lt;&gt;"exclusion",MAX(K$9,-((SUMIFS(SF_Output!$T$1:$T$400,SF_Output!$AC$1:$AC$400,_xlfn.TEXTJOIN(",",TRUE,$B91:$E91),SF_Output!$Q$1:$Q$400,"One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license"))/J91)))</f>
        <v/>
      </c>
      <c r="L91" s="6">
        <f t="shared" si="18"/>
        <v>0</v>
      </c>
      <c r="N91" s="6">
        <f>IF(B91="","",SUMIFS(SF_Output!$S$1:$S$400,SF_Output!$AC$1:$AC$400,_xlfn.TEXTJOIN(",",TRUE,B91:E91),SF_Output!$Q$1:$Q$400,"One Time",SF_Output!$L$1:$L$400,"professional service"))</f>
        <v>0</v>
      </c>
      <c r="O91" s="112" t="str">
        <f>IF(OR(B91=0,B91="",N91=0),"",IF(AF91&lt;&gt;"exclusion",MAX(O$9,-(SUMIFS(SF_Output!$T$1:$T$400,SF_Output!$AC$1:$AC$400,_xlfn.TEXTJOIN(",",TRUE,$B91:$E91),SF_Output!$Q$1:$Q$400,"One Time",SF_Output!$L$1:$L$400,"professional service"))/N91),-((SUMIFS(SF_Output!$T$1:$T$400,SF_Output!$AC$1:$AC$400,_xlfn.TEXTJOIN(",",TRUE,$B91:$E91),SF_Output!$Q$1:$Q$400,"One Time",SF_Output!$L$1:$L$400,"professional service")/N91))))</f>
        <v/>
      </c>
      <c r="P91" s="6">
        <f t="shared" si="19"/>
        <v>0</v>
      </c>
      <c r="R91" s="6">
        <f>IF(B91="","",SUMIFS(SF_Output!$S$1:$S$400,SF_Output!$AC$1:$AC$400,_xlfn.TEXTJOIN(",",TRUE,B91:E91),SF_Output!$Q$1:$Q$400,"yearly")+SUMIFS(SF_Output!$S$1:$S$400,SF_Output!$AC$1:$AC$400,_xlfn.TEXTJOIN(",",TRUE,B91:E91),SF_Output!$Q$1:$Q$400,"quarterly")*4)</f>
        <v>0</v>
      </c>
      <c r="S91" s="112" t="str">
        <f>IF(OR(B91=0,B91="",G91="hardware",R91=0),"",IF(AF91&lt;&gt;"exclusion",MAX(S$9,-(SUMIFS(SF_Output!$T$1:$T$400,SF_Output!$AC$1:$AC$400,_xlfn.TEXTJOIN(",",TRUE,$B91:$E91),SF_Output!$Q$1:$Q$400,"yearly"))/R91),-((SUMIFS(SF_Output!$T$1:$T$400,SF_Output!$AC$1:$AC$400,_xlfn.TEXTJOIN(",",TRUE,$B91:$E91),SF_Output!$Q$1:$Q$400,"yearly")/R91))))</f>
        <v/>
      </c>
      <c r="T91" s="6">
        <f t="shared" si="20"/>
        <v>0</v>
      </c>
      <c r="V91" s="6" cm="1">
        <f t="array" ref="V91">_xlfn.IFS(B91="","",AND(B91&lt;&gt;"",H91=SF_Output!$Y$2,SUMIFS(SF_Output!$T$1:$T$400,SF_Output!$AC$1:$AC$400,_xlfn.TEXTJOIN(",",TRUE,B91:E91),SF_Output!$Q$1:$Q$400,"monthly")=0),(SUMIFS(SF_Output!$F$1:$F$400,SF_Output!$AC$1:$AC$400,_xlfn.TEXTJOIN(",",TRUE,B91:E91),SF_Output!$Q$1:$Q$400,"monthly")+SUMIFS(SF_Output!$G$1:$G$400,SF_Output!$AC$1:$AC$400,_xlfn.TEXTJOIN(",",TRUE,B91:E91),SF_Output!$Q$1:$Q$400,"monthly"))*H91,AND(B91&lt;&gt;"",H91=SF_Output!$Y$2,SUMIFS(SF_Output!$T$1:$T$400,SF_Output!$AC$1:$AC$400,_xlfn.TEXTJOIN(",",TRUE,B91:E91),SF_Output!$Q$1:$Q$400,"monthly")&lt;&gt;0),SUMIFS(SF_Output!$S$1:$S$400,SF_Output!$AC$1:$AC$400,_xlfn.TEXTJOIN(",",TRUE,B91:E91),SF_Output!$Q$1:$Q$400,"monthly"),AND(B91&lt;&gt;"",H91&lt;&gt;SF_Output!$Y$2),SUMIFS(SF_Output!$S$1:$S$400,SF_Output!$AC$1:$AC$400,_xlfn.TEXTJOIN(",",TRUE,B91:E91),SF_Output!$Q$1:$Q$400,"monthly"))</f>
        <v>0</v>
      </c>
      <c r="W91" s="112" t="str" cm="1">
        <f t="array" ref="W91">_xlfn.IFS(OR(B91=0,B91="",V91=0),"",AF91&lt;&gt;"exclusion",MAX($W$9,$W$7,(-(SUMIFS(SF_Output!$T$1:$T$400,SF_Output!$AC$1:$AC$400,_xlfn.TEXTJOIN(",",TRUE,$B91:$E91),SF_Output!$Q$1:$Q$400,"monthly"))/V91)),AF91="exclusion",-(SUMIFS(SF_Output!$T$1:$T$400,SF_Output!$AC$1:$AC$400,_xlfn.TEXTJOIN(",",TRUE,$B91:$E91),SF_Output!$Q$1:$Q$400,"monthly"))/V91)</f>
        <v/>
      </c>
      <c r="X91" s="6" cm="1">
        <f t="array" ref="X91">IFERROR(_xlfn.IFS(V91=0,0,V91="","",W91=0,V91,OR(V91&lt;&gt;0,V91&lt;&gt;""),H91*I91),V91*(1-W91))</f>
        <v>0</v>
      </c>
      <c r="Z91" s="6">
        <f>IFERROR(IF(B91="","",SUMIFS(Billing_Fallout!H:H,Billing_Fallout!N:N,B91)),0)</f>
        <v>0</v>
      </c>
      <c r="AA91" s="6">
        <f t="shared" si="21"/>
        <v>0</v>
      </c>
      <c r="AB91" s="6">
        <f>IFERROR(IF(B91="","",SUMIFS(Billing_Fallout!J:J,Billing_Fallout!N:N,B91)),0)</f>
        <v>0</v>
      </c>
      <c r="AD91" s="6">
        <f t="shared" si="22"/>
        <v>0</v>
      </c>
      <c r="AF91" t="str">
        <f>IFERROR(INDEX(H_Tables!$B$1:$B$1500,MATCH(INDEX(SF_Output!$J$1:$J$400,MATCH(B91,SF_Output!$M$1:$M$400,0)),H_Tables!$A$1:$A$1500,0)),"")</f>
        <v>Exclusion</v>
      </c>
      <c r="AI91" s="119" t="str">
        <f t="shared" si="23"/>
        <v/>
      </c>
      <c r="AJ91" s="121">
        <f>IFERROR(INDEX(SF_Output!AD:AD,MATCH(_xlfn.TEXTJOIN(",",TRUE,B91:E91),SF_Output!AC1:AC400,0)),0.05)</f>
        <v>162</v>
      </c>
      <c r="AK91" t="str">
        <f>IF(SUMIFS(SF_Output!$F$1:$F$400,SF_Output!$AC$1:$AC$400,_xlfn.TEXTJOIN(",",TRUE,B91:E91))+SUMIFS(SF_Output!$G$1:$G$400,SF_Output!$AC$1:$AC$400,_xlfn.TEXTJOIN(",",TRUE,B91:E91))=0,"","PAP")</f>
        <v/>
      </c>
      <c r="AQ91" s="35"/>
      <c r="AR91" s="35" t="str" cm="1">
        <f t="array" ref="AR91">IFERROR(_xlfn.IFS(AND(E91*1=1,F91="Included"),"Change to Included",AND(E91*1=0,F91="Optional"),"Change to Optional",OR(B91="",F91="replaced"),""),"")</f>
        <v/>
      </c>
      <c r="AS91" s="35" t="str">
        <f t="shared" si="24"/>
        <v/>
      </c>
      <c r="AT91" s="35" t="str">
        <f t="shared" si="25"/>
        <v/>
      </c>
      <c r="AU91" s="35" t="str">
        <f t="shared" si="26"/>
        <v/>
      </c>
      <c r="AV91" s="35" t="str">
        <f t="shared" si="27"/>
        <v/>
      </c>
      <c r="AW91" s="35" t="str">
        <f t="shared" si="28"/>
        <v/>
      </c>
      <c r="AX91" s="35" t="str">
        <f t="shared" si="29"/>
        <v/>
      </c>
      <c r="AY91" s="35" t="str">
        <f t="shared" si="30"/>
        <v/>
      </c>
      <c r="AZ91" s="35" t="str">
        <f t="shared" si="31"/>
        <v/>
      </c>
      <c r="BA91" s="35" t="str">
        <f t="shared" si="32"/>
        <v/>
      </c>
      <c r="BB91" s="35" t="str">
        <f t="shared" si="33"/>
        <v/>
      </c>
      <c r="BC91" s="35"/>
      <c r="BE91" s="35">
        <f ca="1">INDEX(SF_Output!$AA$2:$AA$400,MATCH($B91,SF_Output!$M$2:$M$400,0))</f>
        <v>6</v>
      </c>
      <c r="BF91" s="35">
        <f ca="1">INDEX(SF_Output!$AB$2:$AB$400,MATCH($B91,SF_Output!$M$2:$M$400,0))</f>
        <v>1</v>
      </c>
    </row>
    <row r="92" spans="2:58" x14ac:dyDescent="0.25">
      <c r="B92" t="s">
        <v>681</v>
      </c>
      <c r="C92" t="s">
        <v>2122</v>
      </c>
      <c r="D92" t="s">
        <v>2207</v>
      </c>
      <c r="E92" t="s">
        <v>2124</v>
      </c>
      <c r="F92" s="116" t="str">
        <f t="shared" si="17"/>
        <v>Included</v>
      </c>
      <c r="G92" t="str">
        <f>IF(B92="","",INDEX(SF_Output!$K$1:$K$400,MATCH(B92,SF_Output!$M$1:$M$400,0)))</f>
        <v>Card Processing Solutions (CPS)</v>
      </c>
      <c r="H92" cm="1">
        <f t="array" ref="H92">_xlfn.IFS(B92="","",(SUMIFS(SF_Output!$F$1:$F$400,SF_Output!$AC$1:$AC$400,_xlfn.TEXTJOIN(",",TRUE,B92:E92))+SUMIFS(SF_Output!$G$1:$G$400,SF_Output!$AC$1:$AC$400,_xlfn.TEXTJOIN(",",TRUE,B92:E92)))&lt;&gt;0,SF_Output!$Y$2,INDEX(SF_Output!$F$1:$F$400,MATCH(_xlfn.TEXTJOIN(",",TRUE,B92:E92),SF_Output!$AC$1:$AC$400,0))=0,INDEX(SF_Output!$R$1:$R$400,MATCH(_xlfn.TEXTJOIN(",",TRUE,B92:E92),SF_Output!$AC$1:$AC$400,0)))</f>
        <v>0</v>
      </c>
      <c r="I92" s="125" t="str">
        <f>IFERROR(IF(AND(H92&gt;1,H92&lt;&gt;""),ROUND(SUMIFS(SF_Output!$S$1:$S$400,SF_Output!$AC$1:$AC$400,_xlfn.TEXTJOIN(",",TRUE,B92:E92),SF_Output!$Q$1:$Q$400,"monthly")*(1-W92)/H92,4),""),"")</f>
        <v/>
      </c>
      <c r="J92" s="6">
        <f>IF(B92="","",SUMIFS(SF_Output!$S$1:$S$400,SF_Output!$AC$1:$AC$400,_xlfn.TEXTJOIN(",",TRUE,B92:E92),SF_Output!$Q$1:$Q$400,"One Time",SF_Output!$L$1:$L$400,"license fee")+SUMIFS(SF_Output!$S$1:$S$400,SF_Output!$AC$1:$AC$400,_xlfn.TEXTJOIN(",",TRUE,B92:E92),SF_Output!$Q$1:$Q$400,"One Time",SF_Output!$L$1:$L$400,"software license")+SUMIFS(SF_Output!$S$1:$S$400,SF_Output!$AC$1:$AC$400,_xlfn.TEXTJOIN(",",TRUE,B92:E92),SF_Output!$Q$1:$Q$400,"One Time",SF_Output!$L$1:$L$400,"hardware"))</f>
        <v>0</v>
      </c>
      <c r="K92" s="112" t="str">
        <f>IF(OR(B92=0,B92="",G92="hardware",J92=0),"",IF(AF92&lt;&gt;"exclusion",MAX(K$9,-((SUMIFS(SF_Output!$T$1:$T$400,SF_Output!$AC$1:$AC$400,_xlfn.TEXTJOIN(",",TRUE,$B92:$E92),SF_Output!$Q$1:$Q$400,"One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license"))/J92)))</f>
        <v/>
      </c>
      <c r="L92" s="6">
        <f t="shared" si="18"/>
        <v>0</v>
      </c>
      <c r="N92" s="6">
        <f>IF(B92="","",SUMIFS(SF_Output!$S$1:$S$400,SF_Output!$AC$1:$AC$400,_xlfn.TEXTJOIN(",",TRUE,B92:E92),SF_Output!$Q$1:$Q$400,"One Time",SF_Output!$L$1:$L$400,"professional service"))</f>
        <v>0</v>
      </c>
      <c r="O92" s="112" t="str">
        <f>IF(OR(B92=0,B92="",N92=0),"",IF(AF92&lt;&gt;"exclusion",MAX(O$9,-(SUMIFS(SF_Output!$T$1:$T$400,SF_Output!$AC$1:$AC$400,_xlfn.TEXTJOIN(",",TRUE,$B92:$E92),SF_Output!$Q$1:$Q$400,"One Time",SF_Output!$L$1:$L$400,"professional service"))/N92),-((SUMIFS(SF_Output!$T$1:$T$400,SF_Output!$AC$1:$AC$400,_xlfn.TEXTJOIN(",",TRUE,$B92:$E92),SF_Output!$Q$1:$Q$400,"One Time",SF_Output!$L$1:$L$400,"professional service")/N92))))</f>
        <v/>
      </c>
      <c r="P92" s="6">
        <f t="shared" si="19"/>
        <v>0</v>
      </c>
      <c r="R92" s="6">
        <f>IF(B92="","",SUMIFS(SF_Output!$S$1:$S$400,SF_Output!$AC$1:$AC$400,_xlfn.TEXTJOIN(",",TRUE,B92:E92),SF_Output!$Q$1:$Q$400,"yearly")+SUMIFS(SF_Output!$S$1:$S$400,SF_Output!$AC$1:$AC$400,_xlfn.TEXTJOIN(",",TRUE,B92:E92),SF_Output!$Q$1:$Q$400,"quarterly")*4)</f>
        <v>0</v>
      </c>
      <c r="S92" s="112" t="str">
        <f>IF(OR(B92=0,B92="",G92="hardware",R92=0),"",IF(AF92&lt;&gt;"exclusion",MAX(S$9,-(SUMIFS(SF_Output!$T$1:$T$400,SF_Output!$AC$1:$AC$400,_xlfn.TEXTJOIN(",",TRUE,$B92:$E92),SF_Output!$Q$1:$Q$400,"yearly"))/R92),-((SUMIFS(SF_Output!$T$1:$T$400,SF_Output!$AC$1:$AC$400,_xlfn.TEXTJOIN(",",TRUE,$B92:$E92),SF_Output!$Q$1:$Q$400,"yearly")/R92))))</f>
        <v/>
      </c>
      <c r="T92" s="6">
        <f t="shared" si="20"/>
        <v>0</v>
      </c>
      <c r="V92" s="6" cm="1">
        <f t="array" ref="V92">_xlfn.IFS(B92="","",AND(B92&lt;&gt;"",H92=SF_Output!$Y$2,SUMIFS(SF_Output!$T$1:$T$400,SF_Output!$AC$1:$AC$400,_xlfn.TEXTJOIN(",",TRUE,B92:E92),SF_Output!$Q$1:$Q$400,"monthly")=0),(SUMIFS(SF_Output!$F$1:$F$400,SF_Output!$AC$1:$AC$400,_xlfn.TEXTJOIN(",",TRUE,B92:E92),SF_Output!$Q$1:$Q$400,"monthly")+SUMIFS(SF_Output!$G$1:$G$400,SF_Output!$AC$1:$AC$400,_xlfn.TEXTJOIN(",",TRUE,B92:E92),SF_Output!$Q$1:$Q$400,"monthly"))*H92,AND(B92&lt;&gt;"",H92=SF_Output!$Y$2,SUMIFS(SF_Output!$T$1:$T$400,SF_Output!$AC$1:$AC$400,_xlfn.TEXTJOIN(",",TRUE,B92:E92),SF_Output!$Q$1:$Q$400,"monthly")&lt;&gt;0),SUMIFS(SF_Output!$S$1:$S$400,SF_Output!$AC$1:$AC$400,_xlfn.TEXTJOIN(",",TRUE,B92:E92),SF_Output!$Q$1:$Q$400,"monthly"),AND(B92&lt;&gt;"",H92&lt;&gt;SF_Output!$Y$2),SUMIFS(SF_Output!$S$1:$S$400,SF_Output!$AC$1:$AC$400,_xlfn.TEXTJOIN(",",TRUE,B92:E92),SF_Output!$Q$1:$Q$400,"monthly"))</f>
        <v>0</v>
      </c>
      <c r="W92" s="112" t="str" cm="1">
        <f t="array" ref="W92">_xlfn.IFS(OR(B92=0,B92="",V92=0),"",AF92&lt;&gt;"exclusion",MAX($W$9,$W$7,(-(SUMIFS(SF_Output!$T$1:$T$400,SF_Output!$AC$1:$AC$400,_xlfn.TEXTJOIN(",",TRUE,$B92:$E92),SF_Output!$Q$1:$Q$400,"monthly"))/V92)),AF92="exclusion",-(SUMIFS(SF_Output!$T$1:$T$400,SF_Output!$AC$1:$AC$400,_xlfn.TEXTJOIN(",",TRUE,$B92:$E92),SF_Output!$Q$1:$Q$400,"monthly"))/V92)</f>
        <v/>
      </c>
      <c r="X92" s="6" cm="1">
        <f t="array" ref="X92">IFERROR(_xlfn.IFS(V92=0,0,V92="","",W92=0,V92,OR(V92&lt;&gt;0,V92&lt;&gt;""),H92*I92),V92*(1-W92))</f>
        <v>0</v>
      </c>
      <c r="Z92" s="6">
        <f>IFERROR(IF(B92="","",SUMIFS(Billing_Fallout!H:H,Billing_Fallout!N:N,B92)),0)</f>
        <v>0</v>
      </c>
      <c r="AA92" s="6">
        <f t="shared" si="21"/>
        <v>0</v>
      </c>
      <c r="AB92" s="6">
        <f>IFERROR(IF(B92="","",SUMIFS(Billing_Fallout!J:J,Billing_Fallout!N:N,B92)),0)</f>
        <v>0</v>
      </c>
      <c r="AD92" s="6">
        <f t="shared" si="22"/>
        <v>0</v>
      </c>
      <c r="AF92" t="str">
        <f>IFERROR(INDEX(H_Tables!$B$1:$B$1500,MATCH(INDEX(SF_Output!$J$1:$J$400,MATCH(B92,SF_Output!$M$1:$M$400,0)),H_Tables!$A$1:$A$1500,0)),"")</f>
        <v>Exclusion</v>
      </c>
      <c r="AI92" s="119" t="str">
        <f t="shared" si="23"/>
        <v/>
      </c>
      <c r="AJ92" s="121">
        <f>IFERROR(INDEX(SF_Output!AD:AD,MATCH(_xlfn.TEXTJOIN(",",TRUE,B92:E92),SF_Output!AC1:AC400,0)),0.05)</f>
        <v>163</v>
      </c>
      <c r="AK92" t="str">
        <f>IF(SUMIFS(SF_Output!$F$1:$F$400,SF_Output!$AC$1:$AC$400,_xlfn.TEXTJOIN(",",TRUE,B92:E92))+SUMIFS(SF_Output!$G$1:$G$400,SF_Output!$AC$1:$AC$400,_xlfn.TEXTJOIN(",",TRUE,B92:E92))=0,"","PAP")</f>
        <v/>
      </c>
      <c r="AQ92" s="35"/>
      <c r="AR92" s="35" t="str" cm="1">
        <f t="array" ref="AR92">IFERROR(_xlfn.IFS(AND(E92*1=1,F92="Included"),"Change to Included",AND(E92*1=0,F92="Optional"),"Change to Optional",OR(B92="",F92="replaced"),""),"")</f>
        <v/>
      </c>
      <c r="AS92" s="35" t="str">
        <f t="shared" si="24"/>
        <v/>
      </c>
      <c r="AT92" s="35" t="str">
        <f t="shared" si="25"/>
        <v/>
      </c>
      <c r="AU92" s="35" t="str">
        <f t="shared" si="26"/>
        <v/>
      </c>
      <c r="AV92" s="35" t="str">
        <f t="shared" si="27"/>
        <v/>
      </c>
      <c r="AW92" s="35" t="str">
        <f t="shared" si="28"/>
        <v/>
      </c>
      <c r="AX92" s="35" t="str">
        <f t="shared" si="29"/>
        <v/>
      </c>
      <c r="AY92" s="35" t="str">
        <f t="shared" si="30"/>
        <v/>
      </c>
      <c r="AZ92" s="35" t="str">
        <f t="shared" si="31"/>
        <v/>
      </c>
      <c r="BA92" s="35" t="str">
        <f t="shared" si="32"/>
        <v/>
      </c>
      <c r="BB92" s="35" t="str">
        <f t="shared" si="33"/>
        <v/>
      </c>
      <c r="BC92" s="35"/>
      <c r="BE92" s="35">
        <f ca="1">INDEX(SF_Output!$AA$2:$AA$400,MATCH($B92,SF_Output!$M$2:$M$400,0))</f>
        <v>6</v>
      </c>
      <c r="BF92" s="35">
        <f ca="1">INDEX(SF_Output!$AB$2:$AB$400,MATCH($B92,SF_Output!$M$2:$M$400,0))</f>
        <v>1</v>
      </c>
    </row>
    <row r="93" spans="2:58" x14ac:dyDescent="0.25">
      <c r="B93" t="s">
        <v>2347</v>
      </c>
      <c r="C93" t="s">
        <v>2122</v>
      </c>
      <c r="D93" t="s">
        <v>2207</v>
      </c>
      <c r="E93" t="s">
        <v>2124</v>
      </c>
      <c r="F93" s="116" t="str">
        <f t="shared" si="17"/>
        <v>Included</v>
      </c>
      <c r="G93" t="str">
        <f>IF(B93="","",INDEX(SF_Output!$K$1:$K$400,MATCH(B93,SF_Output!$M$1:$M$400,0)))</f>
        <v>Card Processing Solutions (CPS)</v>
      </c>
      <c r="H93" cm="1">
        <f t="array" ref="H93">_xlfn.IFS(B93="","",(SUMIFS(SF_Output!$F$1:$F$400,SF_Output!$AC$1:$AC$400,_xlfn.TEXTJOIN(",",TRUE,B93:E93))+SUMIFS(SF_Output!$G$1:$G$400,SF_Output!$AC$1:$AC$400,_xlfn.TEXTJOIN(",",TRUE,B93:E93)))&lt;&gt;0,SF_Output!$Y$2,INDEX(SF_Output!$F$1:$F$400,MATCH(_xlfn.TEXTJOIN(",",TRUE,B93:E93),SF_Output!$AC$1:$AC$400,0))=0,INDEX(SF_Output!$R$1:$R$400,MATCH(_xlfn.TEXTJOIN(",",TRUE,B93:E93),SF_Output!$AC$1:$AC$400,0)))</f>
        <v>0</v>
      </c>
      <c r="I93" s="125" t="str">
        <f>IFERROR(IF(AND(H93&gt;1,H93&lt;&gt;""),ROUND(SUMIFS(SF_Output!$S$1:$S$400,SF_Output!$AC$1:$AC$400,_xlfn.TEXTJOIN(",",TRUE,B93:E93),SF_Output!$Q$1:$Q$400,"monthly")*(1-W93)/H93,4),""),"")</f>
        <v/>
      </c>
      <c r="J93" s="6">
        <f>IF(B93="","",SUMIFS(SF_Output!$S$1:$S$400,SF_Output!$AC$1:$AC$400,_xlfn.TEXTJOIN(",",TRUE,B93:E93),SF_Output!$Q$1:$Q$400,"One Time",SF_Output!$L$1:$L$400,"license fee")+SUMIFS(SF_Output!$S$1:$S$400,SF_Output!$AC$1:$AC$400,_xlfn.TEXTJOIN(",",TRUE,B93:E93),SF_Output!$Q$1:$Q$400,"One Time",SF_Output!$L$1:$L$400,"software license")+SUMIFS(SF_Output!$S$1:$S$400,SF_Output!$AC$1:$AC$400,_xlfn.TEXTJOIN(",",TRUE,B93:E93),SF_Output!$Q$1:$Q$400,"One Time",SF_Output!$L$1:$L$400,"hardware"))</f>
        <v>0</v>
      </c>
      <c r="K93" s="112" t="str">
        <f>IF(OR(B93=0,B93="",G93="hardware",J93=0),"",IF(AF93&lt;&gt;"exclusion",MAX(K$9,-((SUMIFS(SF_Output!$T$1:$T$400,SF_Output!$AC$1:$AC$400,_xlfn.TEXTJOIN(",",TRUE,$B93:$E93),SF_Output!$Q$1:$Q$400,"One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license"))/J93)))</f>
        <v/>
      </c>
      <c r="L93" s="6">
        <f t="shared" si="18"/>
        <v>0</v>
      </c>
      <c r="N93" s="6">
        <f>IF(B93="","",SUMIFS(SF_Output!$S$1:$S$400,SF_Output!$AC$1:$AC$400,_xlfn.TEXTJOIN(",",TRUE,B93:E93),SF_Output!$Q$1:$Q$400,"One Time",SF_Output!$L$1:$L$400,"professional service"))</f>
        <v>0</v>
      </c>
      <c r="O93" s="112" t="str">
        <f>IF(OR(B93=0,B93="",N93=0),"",IF(AF93&lt;&gt;"exclusion",MAX(O$9,-(SUMIFS(SF_Output!$T$1:$T$400,SF_Output!$AC$1:$AC$400,_xlfn.TEXTJOIN(",",TRUE,$B93:$E93),SF_Output!$Q$1:$Q$400,"One Time",SF_Output!$L$1:$L$400,"professional service"))/N93),-((SUMIFS(SF_Output!$T$1:$T$400,SF_Output!$AC$1:$AC$400,_xlfn.TEXTJOIN(",",TRUE,$B93:$E93),SF_Output!$Q$1:$Q$400,"One Time",SF_Output!$L$1:$L$400,"professional service")/N93))))</f>
        <v/>
      </c>
      <c r="P93" s="6">
        <f t="shared" si="19"/>
        <v>0</v>
      </c>
      <c r="R93" s="6">
        <f>IF(B93="","",SUMIFS(SF_Output!$S$1:$S$400,SF_Output!$AC$1:$AC$400,_xlfn.TEXTJOIN(",",TRUE,B93:E93),SF_Output!$Q$1:$Q$400,"yearly")+SUMIFS(SF_Output!$S$1:$S$400,SF_Output!$AC$1:$AC$400,_xlfn.TEXTJOIN(",",TRUE,B93:E93),SF_Output!$Q$1:$Q$400,"quarterly")*4)</f>
        <v>0</v>
      </c>
      <c r="S93" s="112" t="str">
        <f>IF(OR(B93=0,B93="",G93="hardware",R93=0),"",IF(AF93&lt;&gt;"exclusion",MAX(S$9,-(SUMIFS(SF_Output!$T$1:$T$400,SF_Output!$AC$1:$AC$400,_xlfn.TEXTJOIN(",",TRUE,$B93:$E93),SF_Output!$Q$1:$Q$400,"yearly"))/R93),-((SUMIFS(SF_Output!$T$1:$T$400,SF_Output!$AC$1:$AC$400,_xlfn.TEXTJOIN(",",TRUE,$B93:$E93),SF_Output!$Q$1:$Q$400,"yearly")/R93))))</f>
        <v/>
      </c>
      <c r="T93" s="6">
        <f t="shared" si="20"/>
        <v>0</v>
      </c>
      <c r="V93" s="6" cm="1">
        <f t="array" ref="V93">_xlfn.IFS(B93="","",AND(B93&lt;&gt;"",H93=SF_Output!$Y$2,SUMIFS(SF_Output!$T$1:$T$400,SF_Output!$AC$1:$AC$400,_xlfn.TEXTJOIN(",",TRUE,B93:E93),SF_Output!$Q$1:$Q$400,"monthly")=0),(SUMIFS(SF_Output!$F$1:$F$400,SF_Output!$AC$1:$AC$400,_xlfn.TEXTJOIN(",",TRUE,B93:E93),SF_Output!$Q$1:$Q$400,"monthly")+SUMIFS(SF_Output!$G$1:$G$400,SF_Output!$AC$1:$AC$400,_xlfn.TEXTJOIN(",",TRUE,B93:E93),SF_Output!$Q$1:$Q$400,"monthly"))*H93,AND(B93&lt;&gt;"",H93=SF_Output!$Y$2,SUMIFS(SF_Output!$T$1:$T$400,SF_Output!$AC$1:$AC$400,_xlfn.TEXTJOIN(",",TRUE,B93:E93),SF_Output!$Q$1:$Q$400,"monthly")&lt;&gt;0),SUMIFS(SF_Output!$S$1:$S$400,SF_Output!$AC$1:$AC$400,_xlfn.TEXTJOIN(",",TRUE,B93:E93),SF_Output!$Q$1:$Q$400,"monthly"),AND(B93&lt;&gt;"",H93&lt;&gt;SF_Output!$Y$2),SUMIFS(SF_Output!$S$1:$S$400,SF_Output!$AC$1:$AC$400,_xlfn.TEXTJOIN(",",TRUE,B93:E93),SF_Output!$Q$1:$Q$400,"monthly"))</f>
        <v>0</v>
      </c>
      <c r="W93" s="112" t="str" cm="1">
        <f t="array" ref="W93">_xlfn.IFS(OR(B93=0,B93="",V93=0),"",AF93&lt;&gt;"exclusion",MAX($W$9,$W$7,(-(SUMIFS(SF_Output!$T$1:$T$400,SF_Output!$AC$1:$AC$400,_xlfn.TEXTJOIN(",",TRUE,$B93:$E93),SF_Output!$Q$1:$Q$400,"monthly"))/V93)),AF93="exclusion",-(SUMIFS(SF_Output!$T$1:$T$400,SF_Output!$AC$1:$AC$400,_xlfn.TEXTJOIN(",",TRUE,$B93:$E93),SF_Output!$Q$1:$Q$400,"monthly"))/V93)</f>
        <v/>
      </c>
      <c r="X93" s="6" cm="1">
        <f t="array" ref="X93">IFERROR(_xlfn.IFS(V93=0,0,V93="","",W93=0,V93,OR(V93&lt;&gt;0,V93&lt;&gt;""),H93*I93),V93*(1-W93))</f>
        <v>0</v>
      </c>
      <c r="Z93" s="6">
        <f>IFERROR(IF(B93="","",SUMIFS(Billing_Fallout!H:H,Billing_Fallout!N:N,B93)),0)</f>
        <v>0</v>
      </c>
      <c r="AA93" s="6">
        <f t="shared" si="21"/>
        <v>0</v>
      </c>
      <c r="AB93" s="6">
        <f>IFERROR(IF(B93="","",SUMIFS(Billing_Fallout!J:J,Billing_Fallout!N:N,B93)),0)</f>
        <v>0</v>
      </c>
      <c r="AD93" s="6">
        <f t="shared" si="22"/>
        <v>0</v>
      </c>
      <c r="AF93" t="str">
        <f>IFERROR(INDEX(H_Tables!$B$1:$B$1500,MATCH(INDEX(SF_Output!$J$1:$J$400,MATCH(B93,SF_Output!$M$1:$M$400,0)),H_Tables!$A$1:$A$1500,0)),"")</f>
        <v>Exclusion</v>
      </c>
      <c r="AI93" s="119" t="str">
        <f t="shared" si="23"/>
        <v/>
      </c>
      <c r="AJ93" s="121">
        <f>IFERROR(INDEX(SF_Output!AD:AD,MATCH(_xlfn.TEXTJOIN(",",TRUE,B93:E93),SF_Output!AC1:AC400,0)),0.05)</f>
        <v>164</v>
      </c>
      <c r="AK93" t="str">
        <f>IF(SUMIFS(SF_Output!$F$1:$F$400,SF_Output!$AC$1:$AC$400,_xlfn.TEXTJOIN(",",TRUE,B93:E93))+SUMIFS(SF_Output!$G$1:$G$400,SF_Output!$AC$1:$AC$400,_xlfn.TEXTJOIN(",",TRUE,B93:E93))=0,"","PAP")</f>
        <v/>
      </c>
      <c r="AQ93" s="35"/>
      <c r="AR93" s="35" t="str" cm="1">
        <f t="array" ref="AR93">IFERROR(_xlfn.IFS(AND(E93*1=1,F93="Included"),"Change to Included",AND(E93*1=0,F93="Optional"),"Change to Optional",OR(B93="",F93="replaced"),""),"")</f>
        <v/>
      </c>
      <c r="AS93" s="35" t="str">
        <f t="shared" si="24"/>
        <v/>
      </c>
      <c r="AT93" s="35" t="str">
        <f t="shared" si="25"/>
        <v/>
      </c>
      <c r="AU93" s="35" t="str">
        <f t="shared" si="26"/>
        <v/>
      </c>
      <c r="AV93" s="35" t="str">
        <f t="shared" si="27"/>
        <v/>
      </c>
      <c r="AW93" s="35" t="str">
        <f t="shared" si="28"/>
        <v/>
      </c>
      <c r="AX93" s="35" t="str">
        <f t="shared" si="29"/>
        <v/>
      </c>
      <c r="AY93" s="35" t="str">
        <f t="shared" si="30"/>
        <v/>
      </c>
      <c r="AZ93" s="35" t="str">
        <f t="shared" si="31"/>
        <v/>
      </c>
      <c r="BA93" s="35" t="str">
        <f t="shared" si="32"/>
        <v/>
      </c>
      <c r="BB93" s="35" t="str">
        <f t="shared" si="33"/>
        <v/>
      </c>
      <c r="BC93" s="35"/>
      <c r="BE93" s="35">
        <f ca="1">INDEX(SF_Output!$AA$2:$AA$400,MATCH($B93,SF_Output!$M$2:$M$400,0))</f>
        <v>6</v>
      </c>
      <c r="BF93" s="35">
        <f ca="1">INDEX(SF_Output!$AB$2:$AB$400,MATCH($B93,SF_Output!$M$2:$M$400,0))</f>
        <v>1</v>
      </c>
    </row>
    <row r="94" spans="2:58" x14ac:dyDescent="0.25">
      <c r="B94" t="s">
        <v>686</v>
      </c>
      <c r="C94" t="s">
        <v>2122</v>
      </c>
      <c r="D94" t="s">
        <v>2207</v>
      </c>
      <c r="E94" t="s">
        <v>2124</v>
      </c>
      <c r="F94" s="116" t="str">
        <f t="shared" si="17"/>
        <v>Included</v>
      </c>
      <c r="G94" t="str">
        <f>IF(B94="","",INDEX(SF_Output!$K$1:$K$400,MATCH(B94,SF_Output!$M$1:$M$400,0)))</f>
        <v>Card Processing Solutions (CPS)</v>
      </c>
      <c r="H94" cm="1">
        <f t="array" ref="H94">_xlfn.IFS(B94="","",(SUMIFS(SF_Output!$F$1:$F$400,SF_Output!$AC$1:$AC$400,_xlfn.TEXTJOIN(",",TRUE,B94:E94))+SUMIFS(SF_Output!$G$1:$G$400,SF_Output!$AC$1:$AC$400,_xlfn.TEXTJOIN(",",TRUE,B94:E94)))&lt;&gt;0,SF_Output!$Y$2,INDEX(SF_Output!$F$1:$F$400,MATCH(_xlfn.TEXTJOIN(",",TRUE,B94:E94),SF_Output!$AC$1:$AC$400,0))=0,INDEX(SF_Output!$R$1:$R$400,MATCH(_xlfn.TEXTJOIN(",",TRUE,B94:E94),SF_Output!$AC$1:$AC$400,0)))</f>
        <v>0</v>
      </c>
      <c r="I94" s="125" t="str">
        <f>IFERROR(IF(AND(H94&gt;1,H94&lt;&gt;""),ROUND(SUMIFS(SF_Output!$S$1:$S$400,SF_Output!$AC$1:$AC$400,_xlfn.TEXTJOIN(",",TRUE,B94:E94),SF_Output!$Q$1:$Q$400,"monthly")*(1-W94)/H94,4),""),"")</f>
        <v/>
      </c>
      <c r="J94" s="6">
        <f>IF(B94="","",SUMIFS(SF_Output!$S$1:$S$400,SF_Output!$AC$1:$AC$400,_xlfn.TEXTJOIN(",",TRUE,B94:E94),SF_Output!$Q$1:$Q$400,"One Time",SF_Output!$L$1:$L$400,"license fee")+SUMIFS(SF_Output!$S$1:$S$400,SF_Output!$AC$1:$AC$400,_xlfn.TEXTJOIN(",",TRUE,B94:E94),SF_Output!$Q$1:$Q$400,"One Time",SF_Output!$L$1:$L$400,"software license")+SUMIFS(SF_Output!$S$1:$S$400,SF_Output!$AC$1:$AC$400,_xlfn.TEXTJOIN(",",TRUE,B94:E94),SF_Output!$Q$1:$Q$400,"One Time",SF_Output!$L$1:$L$400,"hardware"))</f>
        <v>0</v>
      </c>
      <c r="K94" s="112" t="str">
        <f>IF(OR(B94=0,B94="",G94="hardware",J94=0),"",IF(AF94&lt;&gt;"exclusion",MAX(K$9,-((SUMIFS(SF_Output!$T$1:$T$400,SF_Output!$AC$1:$AC$400,_xlfn.TEXTJOIN(",",TRUE,$B94:$E94),SF_Output!$Q$1:$Q$400,"One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license"))/J94)))</f>
        <v/>
      </c>
      <c r="L94" s="6">
        <f t="shared" si="18"/>
        <v>0</v>
      </c>
      <c r="N94" s="6">
        <f>IF(B94="","",SUMIFS(SF_Output!$S$1:$S$400,SF_Output!$AC$1:$AC$400,_xlfn.TEXTJOIN(",",TRUE,B94:E94),SF_Output!$Q$1:$Q$400,"One Time",SF_Output!$L$1:$L$400,"professional service"))</f>
        <v>0</v>
      </c>
      <c r="O94" s="112" t="str">
        <f>IF(OR(B94=0,B94="",N94=0),"",IF(AF94&lt;&gt;"exclusion",MAX(O$9,-(SUMIFS(SF_Output!$T$1:$T$400,SF_Output!$AC$1:$AC$400,_xlfn.TEXTJOIN(",",TRUE,$B94:$E94),SF_Output!$Q$1:$Q$400,"One Time",SF_Output!$L$1:$L$400,"professional service"))/N94),-((SUMIFS(SF_Output!$T$1:$T$400,SF_Output!$AC$1:$AC$400,_xlfn.TEXTJOIN(",",TRUE,$B94:$E94),SF_Output!$Q$1:$Q$400,"One Time",SF_Output!$L$1:$L$400,"professional service")/N94))))</f>
        <v/>
      </c>
      <c r="P94" s="6">
        <f t="shared" si="19"/>
        <v>0</v>
      </c>
      <c r="R94" s="6">
        <f>IF(B94="","",SUMIFS(SF_Output!$S$1:$S$400,SF_Output!$AC$1:$AC$400,_xlfn.TEXTJOIN(",",TRUE,B94:E94),SF_Output!$Q$1:$Q$400,"yearly")+SUMIFS(SF_Output!$S$1:$S$400,SF_Output!$AC$1:$AC$400,_xlfn.TEXTJOIN(",",TRUE,B94:E94),SF_Output!$Q$1:$Q$400,"quarterly")*4)</f>
        <v>0</v>
      </c>
      <c r="S94" s="112" t="str">
        <f>IF(OR(B94=0,B94="",G94="hardware",R94=0),"",IF(AF94&lt;&gt;"exclusion",MAX(S$9,-(SUMIFS(SF_Output!$T$1:$T$400,SF_Output!$AC$1:$AC$400,_xlfn.TEXTJOIN(",",TRUE,$B94:$E94),SF_Output!$Q$1:$Q$400,"yearly"))/R94),-((SUMIFS(SF_Output!$T$1:$T$400,SF_Output!$AC$1:$AC$400,_xlfn.TEXTJOIN(",",TRUE,$B94:$E94),SF_Output!$Q$1:$Q$400,"yearly")/R94))))</f>
        <v/>
      </c>
      <c r="T94" s="6">
        <f t="shared" si="20"/>
        <v>0</v>
      </c>
      <c r="V94" s="6" cm="1">
        <f t="array" ref="V94">_xlfn.IFS(B94="","",AND(B94&lt;&gt;"",H94=SF_Output!$Y$2,SUMIFS(SF_Output!$T$1:$T$400,SF_Output!$AC$1:$AC$400,_xlfn.TEXTJOIN(",",TRUE,B94:E94),SF_Output!$Q$1:$Q$400,"monthly")=0),(SUMIFS(SF_Output!$F$1:$F$400,SF_Output!$AC$1:$AC$400,_xlfn.TEXTJOIN(",",TRUE,B94:E94),SF_Output!$Q$1:$Q$400,"monthly")+SUMIFS(SF_Output!$G$1:$G$400,SF_Output!$AC$1:$AC$400,_xlfn.TEXTJOIN(",",TRUE,B94:E94),SF_Output!$Q$1:$Q$400,"monthly"))*H94,AND(B94&lt;&gt;"",H94=SF_Output!$Y$2,SUMIFS(SF_Output!$T$1:$T$400,SF_Output!$AC$1:$AC$400,_xlfn.TEXTJOIN(",",TRUE,B94:E94),SF_Output!$Q$1:$Q$400,"monthly")&lt;&gt;0),SUMIFS(SF_Output!$S$1:$S$400,SF_Output!$AC$1:$AC$400,_xlfn.TEXTJOIN(",",TRUE,B94:E94),SF_Output!$Q$1:$Q$400,"monthly"),AND(B94&lt;&gt;"",H94&lt;&gt;SF_Output!$Y$2),SUMIFS(SF_Output!$S$1:$S$400,SF_Output!$AC$1:$AC$400,_xlfn.TEXTJOIN(",",TRUE,B94:E94),SF_Output!$Q$1:$Q$400,"monthly"))</f>
        <v>0</v>
      </c>
      <c r="W94" s="112" t="str" cm="1">
        <f t="array" ref="W94">_xlfn.IFS(OR(B94=0,B94="",V94=0),"",AF94&lt;&gt;"exclusion",MAX($W$9,$W$7,(-(SUMIFS(SF_Output!$T$1:$T$400,SF_Output!$AC$1:$AC$400,_xlfn.TEXTJOIN(",",TRUE,$B94:$E94),SF_Output!$Q$1:$Q$400,"monthly"))/V94)),AF94="exclusion",-(SUMIFS(SF_Output!$T$1:$T$400,SF_Output!$AC$1:$AC$400,_xlfn.TEXTJOIN(",",TRUE,$B94:$E94),SF_Output!$Q$1:$Q$400,"monthly"))/V94)</f>
        <v/>
      </c>
      <c r="X94" s="6" cm="1">
        <f t="array" ref="X94">IFERROR(_xlfn.IFS(V94=0,0,V94="","",W94=0,V94,OR(V94&lt;&gt;0,V94&lt;&gt;""),H94*I94),V94*(1-W94))</f>
        <v>0</v>
      </c>
      <c r="Z94" s="6">
        <f>IFERROR(IF(B94="","",SUMIFS(Billing_Fallout!H:H,Billing_Fallout!N:N,B94)),0)</f>
        <v>0</v>
      </c>
      <c r="AA94" s="6">
        <f t="shared" si="21"/>
        <v>0</v>
      </c>
      <c r="AB94" s="6">
        <f>IFERROR(IF(B94="","",SUMIFS(Billing_Fallout!J:J,Billing_Fallout!N:N,B94)),0)</f>
        <v>0</v>
      </c>
      <c r="AD94" s="6">
        <f t="shared" si="22"/>
        <v>0</v>
      </c>
      <c r="AF94" t="str">
        <f>IFERROR(INDEX(H_Tables!$B$1:$B$1500,MATCH(INDEX(SF_Output!$J$1:$J$400,MATCH(B94,SF_Output!$M$1:$M$400,0)),H_Tables!$A$1:$A$1500,0)),"")</f>
        <v>Exclusion</v>
      </c>
      <c r="AI94" s="119" t="str">
        <f t="shared" si="23"/>
        <v/>
      </c>
      <c r="AJ94" s="121">
        <f>IFERROR(INDEX(SF_Output!AD:AD,MATCH(_xlfn.TEXTJOIN(",",TRUE,B94:E94),SF_Output!AC1:AC400,0)),0.05)</f>
        <v>165</v>
      </c>
      <c r="AK94" t="str">
        <f>IF(SUMIFS(SF_Output!$F$1:$F$400,SF_Output!$AC$1:$AC$400,_xlfn.TEXTJOIN(",",TRUE,B94:E94))+SUMIFS(SF_Output!$G$1:$G$400,SF_Output!$AC$1:$AC$400,_xlfn.TEXTJOIN(",",TRUE,B94:E94))=0,"","PAP")</f>
        <v/>
      </c>
      <c r="AQ94" s="35"/>
      <c r="AR94" s="35" t="str" cm="1">
        <f t="array" ref="AR94">IFERROR(_xlfn.IFS(AND(E94*1=1,F94="Included"),"Change to Included",AND(E94*1=0,F94="Optional"),"Change to Optional",OR(B94="",F94="replaced"),""),"")</f>
        <v/>
      </c>
      <c r="AS94" s="35" t="str">
        <f t="shared" si="24"/>
        <v/>
      </c>
      <c r="AT94" s="35" t="str">
        <f t="shared" si="25"/>
        <v/>
      </c>
      <c r="AU94" s="35" t="str">
        <f t="shared" si="26"/>
        <v/>
      </c>
      <c r="AV94" s="35" t="str">
        <f t="shared" si="27"/>
        <v/>
      </c>
      <c r="AW94" s="35" t="str">
        <f t="shared" si="28"/>
        <v/>
      </c>
      <c r="AX94" s="35" t="str">
        <f t="shared" si="29"/>
        <v/>
      </c>
      <c r="AY94" s="35" t="str">
        <f t="shared" si="30"/>
        <v/>
      </c>
      <c r="AZ94" s="35" t="str">
        <f t="shared" si="31"/>
        <v/>
      </c>
      <c r="BA94" s="35" t="str">
        <f t="shared" si="32"/>
        <v/>
      </c>
      <c r="BB94" s="35" t="str">
        <f t="shared" si="33"/>
        <v/>
      </c>
      <c r="BC94" s="35"/>
      <c r="BE94" s="35">
        <f ca="1">INDEX(SF_Output!$AA$2:$AA$400,MATCH($B94,SF_Output!$M$2:$M$400,0))</f>
        <v>6</v>
      </c>
      <c r="BF94" s="35">
        <f ca="1">INDEX(SF_Output!$AB$2:$AB$400,MATCH($B94,SF_Output!$M$2:$M$400,0))</f>
        <v>1</v>
      </c>
    </row>
    <row r="95" spans="2:58" x14ac:dyDescent="0.25">
      <c r="B95" t="s">
        <v>1729</v>
      </c>
      <c r="C95" t="s">
        <v>2122</v>
      </c>
      <c r="D95" t="s">
        <v>2207</v>
      </c>
      <c r="E95" t="s">
        <v>2124</v>
      </c>
      <c r="F95" s="116" t="str">
        <f t="shared" si="17"/>
        <v>Included</v>
      </c>
      <c r="G95" t="str">
        <f>IF(B95="","",INDEX(SF_Output!$K$1:$K$400,MATCH(B95,SF_Output!$M$1:$M$400,0)))</f>
        <v>Card Processing Solutions (CPS)</v>
      </c>
      <c r="H95" cm="1">
        <f t="array" ref="H95">_xlfn.IFS(B95="","",(SUMIFS(SF_Output!$F$1:$F$400,SF_Output!$AC$1:$AC$400,_xlfn.TEXTJOIN(",",TRUE,B95:E95))+SUMIFS(SF_Output!$G$1:$G$400,SF_Output!$AC$1:$AC$400,_xlfn.TEXTJOIN(",",TRUE,B95:E95)))&lt;&gt;0,SF_Output!$Y$2,INDEX(SF_Output!$F$1:$F$400,MATCH(_xlfn.TEXTJOIN(",",TRUE,B95:E95),SF_Output!$AC$1:$AC$400,0))=0,INDEX(SF_Output!$R$1:$R$400,MATCH(_xlfn.TEXTJOIN(",",TRUE,B95:E95),SF_Output!$AC$1:$AC$400,0)))</f>
        <v>0</v>
      </c>
      <c r="I95" s="125" t="str">
        <f>IFERROR(IF(AND(H95&gt;1,H95&lt;&gt;""),ROUND(SUMIFS(SF_Output!$S$1:$S$400,SF_Output!$AC$1:$AC$400,_xlfn.TEXTJOIN(",",TRUE,B95:E95),SF_Output!$Q$1:$Q$400,"monthly")*(1-W95)/H95,4),""),"")</f>
        <v/>
      </c>
      <c r="J95" s="6">
        <f>IF(B95="","",SUMIFS(SF_Output!$S$1:$S$400,SF_Output!$AC$1:$AC$400,_xlfn.TEXTJOIN(",",TRUE,B95:E95),SF_Output!$Q$1:$Q$400,"One Time",SF_Output!$L$1:$L$400,"license fee")+SUMIFS(SF_Output!$S$1:$S$400,SF_Output!$AC$1:$AC$400,_xlfn.TEXTJOIN(",",TRUE,B95:E95),SF_Output!$Q$1:$Q$400,"One Time",SF_Output!$L$1:$L$400,"software license")+SUMIFS(SF_Output!$S$1:$S$400,SF_Output!$AC$1:$AC$400,_xlfn.TEXTJOIN(",",TRUE,B95:E95),SF_Output!$Q$1:$Q$400,"One Time",SF_Output!$L$1:$L$400,"hardware"))</f>
        <v>0</v>
      </c>
      <c r="K95" s="112" t="str">
        <f>IF(OR(B95=0,B95="",G95="hardware",J95=0),"",IF(AF95&lt;&gt;"exclusion",MAX(K$9,-((SUMIFS(SF_Output!$T$1:$T$400,SF_Output!$AC$1:$AC$400,_xlfn.TEXTJOIN(",",TRUE,$B95:$E95),SF_Output!$Q$1:$Q$400,"One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license"))/J95)))</f>
        <v/>
      </c>
      <c r="L95" s="6">
        <f t="shared" si="18"/>
        <v>0</v>
      </c>
      <c r="N95" s="6">
        <f>IF(B95="","",SUMIFS(SF_Output!$S$1:$S$400,SF_Output!$AC$1:$AC$400,_xlfn.TEXTJOIN(",",TRUE,B95:E95),SF_Output!$Q$1:$Q$400,"One Time",SF_Output!$L$1:$L$400,"professional service"))</f>
        <v>0</v>
      </c>
      <c r="O95" s="112" t="str">
        <f>IF(OR(B95=0,B95="",N95=0),"",IF(AF95&lt;&gt;"exclusion",MAX(O$9,-(SUMIFS(SF_Output!$T$1:$T$400,SF_Output!$AC$1:$AC$400,_xlfn.TEXTJOIN(",",TRUE,$B95:$E95),SF_Output!$Q$1:$Q$400,"One Time",SF_Output!$L$1:$L$400,"professional service"))/N95),-((SUMIFS(SF_Output!$T$1:$T$400,SF_Output!$AC$1:$AC$400,_xlfn.TEXTJOIN(",",TRUE,$B95:$E95),SF_Output!$Q$1:$Q$400,"One Time",SF_Output!$L$1:$L$400,"professional service")/N95))))</f>
        <v/>
      </c>
      <c r="P95" s="6">
        <f t="shared" si="19"/>
        <v>0</v>
      </c>
      <c r="R95" s="6">
        <f>IF(B95="","",SUMIFS(SF_Output!$S$1:$S$400,SF_Output!$AC$1:$AC$400,_xlfn.TEXTJOIN(",",TRUE,B95:E95),SF_Output!$Q$1:$Q$400,"yearly")+SUMIFS(SF_Output!$S$1:$S$400,SF_Output!$AC$1:$AC$400,_xlfn.TEXTJOIN(",",TRUE,B95:E95),SF_Output!$Q$1:$Q$400,"quarterly")*4)</f>
        <v>0</v>
      </c>
      <c r="S95" s="112" t="str">
        <f>IF(OR(B95=0,B95="",G95="hardware",R95=0),"",IF(AF95&lt;&gt;"exclusion",MAX(S$9,-(SUMIFS(SF_Output!$T$1:$T$400,SF_Output!$AC$1:$AC$400,_xlfn.TEXTJOIN(",",TRUE,$B95:$E95),SF_Output!$Q$1:$Q$400,"yearly"))/R95),-((SUMIFS(SF_Output!$T$1:$T$400,SF_Output!$AC$1:$AC$400,_xlfn.TEXTJOIN(",",TRUE,$B95:$E95),SF_Output!$Q$1:$Q$400,"yearly")/R95))))</f>
        <v/>
      </c>
      <c r="T95" s="6">
        <f t="shared" si="20"/>
        <v>0</v>
      </c>
      <c r="V95" s="6" cm="1">
        <f t="array" ref="V95">_xlfn.IFS(B95="","",AND(B95&lt;&gt;"",H95=SF_Output!$Y$2,SUMIFS(SF_Output!$T$1:$T$400,SF_Output!$AC$1:$AC$400,_xlfn.TEXTJOIN(",",TRUE,B95:E95),SF_Output!$Q$1:$Q$400,"monthly")=0),(SUMIFS(SF_Output!$F$1:$F$400,SF_Output!$AC$1:$AC$400,_xlfn.TEXTJOIN(",",TRUE,B95:E95),SF_Output!$Q$1:$Q$400,"monthly")+SUMIFS(SF_Output!$G$1:$G$400,SF_Output!$AC$1:$AC$400,_xlfn.TEXTJOIN(",",TRUE,B95:E95),SF_Output!$Q$1:$Q$400,"monthly"))*H95,AND(B95&lt;&gt;"",H95=SF_Output!$Y$2,SUMIFS(SF_Output!$T$1:$T$400,SF_Output!$AC$1:$AC$400,_xlfn.TEXTJOIN(",",TRUE,B95:E95),SF_Output!$Q$1:$Q$400,"monthly")&lt;&gt;0),SUMIFS(SF_Output!$S$1:$S$400,SF_Output!$AC$1:$AC$400,_xlfn.TEXTJOIN(",",TRUE,B95:E95),SF_Output!$Q$1:$Q$400,"monthly"),AND(B95&lt;&gt;"",H95&lt;&gt;SF_Output!$Y$2),SUMIFS(SF_Output!$S$1:$S$400,SF_Output!$AC$1:$AC$400,_xlfn.TEXTJOIN(",",TRUE,B95:E95),SF_Output!$Q$1:$Q$400,"monthly"))</f>
        <v>0</v>
      </c>
      <c r="W95" s="112" t="str" cm="1">
        <f t="array" ref="W95">_xlfn.IFS(OR(B95=0,B95="",V95=0),"",AF95&lt;&gt;"exclusion",MAX($W$9,$W$7,(-(SUMIFS(SF_Output!$T$1:$T$400,SF_Output!$AC$1:$AC$400,_xlfn.TEXTJOIN(",",TRUE,$B95:$E95),SF_Output!$Q$1:$Q$400,"monthly"))/V95)),AF95="exclusion",-(SUMIFS(SF_Output!$T$1:$T$400,SF_Output!$AC$1:$AC$400,_xlfn.TEXTJOIN(",",TRUE,$B95:$E95),SF_Output!$Q$1:$Q$400,"monthly"))/V95)</f>
        <v/>
      </c>
      <c r="X95" s="6" cm="1">
        <f t="array" ref="X95">IFERROR(_xlfn.IFS(V95=0,0,V95="","",W95=0,V95,OR(V95&lt;&gt;0,V95&lt;&gt;""),H95*I95),V95*(1-W95))</f>
        <v>0</v>
      </c>
      <c r="Z95" s="6">
        <f>IFERROR(IF(B95="","",SUMIFS(Billing_Fallout!H:H,Billing_Fallout!N:N,B95)),0)</f>
        <v>0</v>
      </c>
      <c r="AA95" s="6">
        <f t="shared" si="21"/>
        <v>0</v>
      </c>
      <c r="AB95" s="6">
        <f>IFERROR(IF(B95="","",SUMIFS(Billing_Fallout!J:J,Billing_Fallout!N:N,B95)),0)</f>
        <v>0</v>
      </c>
      <c r="AD95" s="6">
        <f t="shared" si="22"/>
        <v>0</v>
      </c>
      <c r="AF95" t="str">
        <f>IFERROR(INDEX(H_Tables!$B$1:$B$1500,MATCH(INDEX(SF_Output!$J$1:$J$400,MATCH(B95,SF_Output!$M$1:$M$400,0)),H_Tables!$A$1:$A$1500,0)),"")</f>
        <v>Exclusion</v>
      </c>
      <c r="AI95" s="119" t="str">
        <f t="shared" si="23"/>
        <v/>
      </c>
      <c r="AJ95" s="121">
        <f>IFERROR(INDEX(SF_Output!AD:AD,MATCH(_xlfn.TEXTJOIN(",",TRUE,B95:E95),SF_Output!AC1:AC400,0)),0.05)</f>
        <v>166</v>
      </c>
      <c r="AK95" t="str">
        <f>IF(SUMIFS(SF_Output!$F$1:$F$400,SF_Output!$AC$1:$AC$400,_xlfn.TEXTJOIN(",",TRUE,B95:E95))+SUMIFS(SF_Output!$G$1:$G$400,SF_Output!$AC$1:$AC$400,_xlfn.TEXTJOIN(",",TRUE,B95:E95))=0,"","PAP")</f>
        <v/>
      </c>
      <c r="AQ95" s="35"/>
      <c r="AR95" s="35" t="str" cm="1">
        <f t="array" ref="AR95">IFERROR(_xlfn.IFS(AND(E95*1=1,F95="Included"),"Change to Included",AND(E95*1=0,F95="Optional"),"Change to Optional",OR(B95="",F95="replaced"),""),"")</f>
        <v/>
      </c>
      <c r="AS95" s="35" t="str">
        <f t="shared" si="24"/>
        <v/>
      </c>
      <c r="AT95" s="35" t="str">
        <f t="shared" si="25"/>
        <v/>
      </c>
      <c r="AU95" s="35" t="str">
        <f t="shared" si="26"/>
        <v/>
      </c>
      <c r="AV95" s="35" t="str">
        <f t="shared" si="27"/>
        <v/>
      </c>
      <c r="AW95" s="35" t="str">
        <f t="shared" si="28"/>
        <v/>
      </c>
      <c r="AX95" s="35" t="str">
        <f t="shared" si="29"/>
        <v/>
      </c>
      <c r="AY95" s="35" t="str">
        <f t="shared" si="30"/>
        <v/>
      </c>
      <c r="AZ95" s="35" t="str">
        <f t="shared" si="31"/>
        <v/>
      </c>
      <c r="BA95" s="35" t="str">
        <f t="shared" si="32"/>
        <v/>
      </c>
      <c r="BB95" s="35" t="str">
        <f t="shared" si="33"/>
        <v/>
      </c>
      <c r="BC95" s="35"/>
      <c r="BE95" s="35">
        <f ca="1">INDEX(SF_Output!$AA$2:$AA$400,MATCH($B95,SF_Output!$M$2:$M$400,0))</f>
        <v>6</v>
      </c>
      <c r="BF95" s="35">
        <f ca="1">INDEX(SF_Output!$AB$2:$AB$400,MATCH($B95,SF_Output!$M$2:$M$400,0))</f>
        <v>1</v>
      </c>
    </row>
    <row r="96" spans="2:58" x14ac:dyDescent="0.25">
      <c r="B96" t="s">
        <v>708</v>
      </c>
      <c r="C96" t="s">
        <v>2122</v>
      </c>
      <c r="D96" t="s">
        <v>2207</v>
      </c>
      <c r="E96" t="s">
        <v>2124</v>
      </c>
      <c r="F96" s="116" t="str">
        <f t="shared" si="17"/>
        <v>Included</v>
      </c>
      <c r="G96" t="str">
        <f>IF(B96="","",INDEX(SF_Output!$K$1:$K$400,MATCH(B96,SF_Output!$M$1:$M$400,0)))</f>
        <v>Card Processing Solutions (CPS)</v>
      </c>
      <c r="H96" cm="1">
        <f t="array" ref="H96">_xlfn.IFS(B96="","",(SUMIFS(SF_Output!$F$1:$F$400,SF_Output!$AC$1:$AC$400,_xlfn.TEXTJOIN(",",TRUE,B96:E96))+SUMIFS(SF_Output!$G$1:$G$400,SF_Output!$AC$1:$AC$400,_xlfn.TEXTJOIN(",",TRUE,B96:E96)))&lt;&gt;0,SF_Output!$Y$2,INDEX(SF_Output!$F$1:$F$400,MATCH(_xlfn.TEXTJOIN(",",TRUE,B96:E96),SF_Output!$AC$1:$AC$400,0))=0,INDEX(SF_Output!$R$1:$R$400,MATCH(_xlfn.TEXTJOIN(",",TRUE,B96:E96),SF_Output!$AC$1:$AC$400,0)))</f>
        <v>1</v>
      </c>
      <c r="I96" s="125" t="str">
        <f>IFERROR(IF(AND(H96&gt;1,H96&lt;&gt;""),ROUND(SUMIFS(SF_Output!$S$1:$S$400,SF_Output!$AC$1:$AC$400,_xlfn.TEXTJOIN(",",TRUE,B96:E96),SF_Output!$Q$1:$Q$400,"monthly")*(1-W96)/H96,4),""),"")</f>
        <v/>
      </c>
      <c r="J96" s="6">
        <f>IF(B96="","",SUMIFS(SF_Output!$S$1:$S$400,SF_Output!$AC$1:$AC$400,_xlfn.TEXTJOIN(",",TRUE,B96:E96),SF_Output!$Q$1:$Q$400,"One Time",SF_Output!$L$1:$L$400,"license fee")+SUMIFS(SF_Output!$S$1:$S$400,SF_Output!$AC$1:$AC$400,_xlfn.TEXTJOIN(",",TRUE,B96:E96),SF_Output!$Q$1:$Q$400,"One Time",SF_Output!$L$1:$L$400,"software license")+SUMIFS(SF_Output!$S$1:$S$400,SF_Output!$AC$1:$AC$400,_xlfn.TEXTJOIN(",",TRUE,B96:E96),SF_Output!$Q$1:$Q$400,"One Time",SF_Output!$L$1:$L$400,"hardware"))</f>
        <v>0</v>
      </c>
      <c r="K96" s="112" t="str">
        <f>IF(OR(B96=0,B96="",G96="hardware",J96=0),"",IF(AF96&lt;&gt;"exclusion",MAX(K$9,-((SUMIFS(SF_Output!$T$1:$T$400,SF_Output!$AC$1:$AC$400,_xlfn.TEXTJOIN(",",TRUE,$B96:$E96),SF_Output!$Q$1:$Q$400,"One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license"))/J96)))</f>
        <v/>
      </c>
      <c r="L96" s="6">
        <f t="shared" si="18"/>
        <v>0</v>
      </c>
      <c r="N96" s="6">
        <f>IF(B96="","",SUMIFS(SF_Output!$S$1:$S$400,SF_Output!$AC$1:$AC$400,_xlfn.TEXTJOIN(",",TRUE,B96:E96),SF_Output!$Q$1:$Q$400,"One Time",SF_Output!$L$1:$L$400,"professional service"))</f>
        <v>3000</v>
      </c>
      <c r="O96" s="112">
        <f>IF(OR(B96=0,B96="",N96=0),"",IF(AF96&lt;&gt;"exclusion",MAX(O$9,-(SUMIFS(SF_Output!$T$1:$T$400,SF_Output!$AC$1:$AC$400,_xlfn.TEXTJOIN(",",TRUE,$B96:$E96),SF_Output!$Q$1:$Q$400,"One Time",SF_Output!$L$1:$L$400,"professional service"))/N96),-((SUMIFS(SF_Output!$T$1:$T$400,SF_Output!$AC$1:$AC$400,_xlfn.TEXTJOIN(",",TRUE,$B96:$E96),SF_Output!$Q$1:$Q$400,"One Time",SF_Output!$L$1:$L$400,"professional service")/N96))))</f>
        <v>1</v>
      </c>
      <c r="P96" s="6">
        <f t="shared" si="19"/>
        <v>0</v>
      </c>
      <c r="R96" s="6">
        <f>IF(B96="","",SUMIFS(SF_Output!$S$1:$S$400,SF_Output!$AC$1:$AC$400,_xlfn.TEXTJOIN(",",TRUE,B96:E96),SF_Output!$Q$1:$Q$400,"yearly")+SUMIFS(SF_Output!$S$1:$S$400,SF_Output!$AC$1:$AC$400,_xlfn.TEXTJOIN(",",TRUE,B96:E96),SF_Output!$Q$1:$Q$400,"quarterly")*4)</f>
        <v>0</v>
      </c>
      <c r="S96" s="112" t="str">
        <f>IF(OR(B96=0,B96="",G96="hardware",R96=0),"",IF(AF96&lt;&gt;"exclusion",MAX(S$9,-(SUMIFS(SF_Output!$T$1:$T$400,SF_Output!$AC$1:$AC$400,_xlfn.TEXTJOIN(",",TRUE,$B96:$E96),SF_Output!$Q$1:$Q$400,"yearly"))/R96),-((SUMIFS(SF_Output!$T$1:$T$400,SF_Output!$AC$1:$AC$400,_xlfn.TEXTJOIN(",",TRUE,$B96:$E96),SF_Output!$Q$1:$Q$400,"yearly")/R96))))</f>
        <v/>
      </c>
      <c r="T96" s="6">
        <f t="shared" si="20"/>
        <v>0</v>
      </c>
      <c r="V96" s="6" cm="1">
        <f t="array" ref="V96">_xlfn.IFS(B96="","",AND(B96&lt;&gt;"",H96=SF_Output!$Y$2,SUMIFS(SF_Output!$T$1:$T$400,SF_Output!$AC$1:$AC$400,_xlfn.TEXTJOIN(",",TRUE,B96:E96),SF_Output!$Q$1:$Q$400,"monthly")=0),(SUMIFS(SF_Output!$F$1:$F$400,SF_Output!$AC$1:$AC$400,_xlfn.TEXTJOIN(",",TRUE,B96:E96),SF_Output!$Q$1:$Q$400,"monthly")+SUMIFS(SF_Output!$G$1:$G$400,SF_Output!$AC$1:$AC$400,_xlfn.TEXTJOIN(",",TRUE,B96:E96),SF_Output!$Q$1:$Q$400,"monthly"))*H96,AND(B96&lt;&gt;"",H96=SF_Output!$Y$2,SUMIFS(SF_Output!$T$1:$T$400,SF_Output!$AC$1:$AC$400,_xlfn.TEXTJOIN(",",TRUE,B96:E96),SF_Output!$Q$1:$Q$400,"monthly")&lt;&gt;0),SUMIFS(SF_Output!$S$1:$S$400,SF_Output!$AC$1:$AC$400,_xlfn.TEXTJOIN(",",TRUE,B96:E96),SF_Output!$Q$1:$Q$400,"monthly"),AND(B96&lt;&gt;"",H96&lt;&gt;SF_Output!$Y$2),SUMIFS(SF_Output!$S$1:$S$400,SF_Output!$AC$1:$AC$400,_xlfn.TEXTJOIN(",",TRUE,B96:E96),SF_Output!$Q$1:$Q$400,"monthly"))</f>
        <v>500</v>
      </c>
      <c r="W96" s="112" cm="1">
        <f t="array" ref="W96">_xlfn.IFS(OR(B96=0,B96="",V96=0),"",AF96&lt;&gt;"exclusion",MAX($W$9,$W$7,(-(SUMIFS(SF_Output!$T$1:$T$400,SF_Output!$AC$1:$AC$400,_xlfn.TEXTJOIN(",",TRUE,$B96:$E96),SF_Output!$Q$1:$Q$400,"monthly"))/V96)),AF96="exclusion",-(SUMIFS(SF_Output!$T$1:$T$400,SF_Output!$AC$1:$AC$400,_xlfn.TEXTJOIN(",",TRUE,$B96:$E96),SF_Output!$Q$1:$Q$400,"monthly"))/V96)</f>
        <v>0</v>
      </c>
      <c r="X96" s="6" cm="1">
        <f t="array" ref="X96">IFERROR(_xlfn.IFS(V96=0,0,V96="","",W96=0,V96,OR(V96&lt;&gt;0,V96&lt;&gt;""),H96*I96),V96*(1-W96))</f>
        <v>500</v>
      </c>
      <c r="Z96" s="6">
        <f>IFERROR(IF(B96="","",SUMIFS(Billing_Fallout!H:H,Billing_Fallout!N:N,B96)),0)</f>
        <v>0</v>
      </c>
      <c r="AA96" s="6">
        <f t="shared" si="21"/>
        <v>0</v>
      </c>
      <c r="AB96" s="6">
        <f>IFERROR(IF(B96="","",SUMIFS(Billing_Fallout!J:J,Billing_Fallout!N:N,B96)),0)</f>
        <v>0</v>
      </c>
      <c r="AD96" s="6">
        <f t="shared" si="22"/>
        <v>500</v>
      </c>
      <c r="AF96" t="str">
        <f>IFERROR(INDEX(H_Tables!$B$1:$B$1500,MATCH(INDEX(SF_Output!$J$1:$J$400,MATCH(B96,SF_Output!$M$1:$M$400,0)),H_Tables!$A$1:$A$1500,0)),"")</f>
        <v>Exclusion</v>
      </c>
      <c r="AI96" s="119" t="str">
        <f t="shared" si="23"/>
        <v/>
      </c>
      <c r="AJ96" s="121">
        <f>IFERROR(INDEX(SF_Output!AD:AD,MATCH(_xlfn.TEXTJOIN(",",TRUE,B96:E96),SF_Output!AC1:AC400,0)),0.05)</f>
        <v>167</v>
      </c>
      <c r="AK96" t="str">
        <f>IF(SUMIFS(SF_Output!$F$1:$F$400,SF_Output!$AC$1:$AC$400,_xlfn.TEXTJOIN(",",TRUE,B96:E96))+SUMIFS(SF_Output!$G$1:$G$400,SF_Output!$AC$1:$AC$400,_xlfn.TEXTJOIN(",",TRUE,B96:E96))=0,"","PAP")</f>
        <v/>
      </c>
      <c r="AQ96" s="35"/>
      <c r="AR96" s="35" t="str" cm="1">
        <f t="array" ref="AR96">IFERROR(_xlfn.IFS(AND(E96*1=1,F96="Included"),"Change to Included",AND(E96*1=0,F96="Optional"),"Change to Optional",OR(B96="",F96="replaced"),""),"")</f>
        <v/>
      </c>
      <c r="AS96" s="35" t="str">
        <f t="shared" si="24"/>
        <v/>
      </c>
      <c r="AT96" s="35" t="str">
        <f t="shared" si="25"/>
        <v/>
      </c>
      <c r="AU96" s="35" t="str">
        <f t="shared" si="26"/>
        <v/>
      </c>
      <c r="AV96" s="35" t="str">
        <f t="shared" si="27"/>
        <v/>
      </c>
      <c r="AW96" s="35" t="str">
        <f t="shared" si="28"/>
        <v/>
      </c>
      <c r="AX96" s="35" t="str">
        <f t="shared" si="29"/>
        <v/>
      </c>
      <c r="AY96" s="35" t="str">
        <f t="shared" si="30"/>
        <v/>
      </c>
      <c r="AZ96" s="35" t="str">
        <f t="shared" si="31"/>
        <v/>
      </c>
      <c r="BA96" s="35" t="str">
        <f t="shared" si="32"/>
        <v/>
      </c>
      <c r="BB96" s="35" t="str">
        <f t="shared" si="33"/>
        <v/>
      </c>
      <c r="BC96" s="35"/>
      <c r="BE96" s="35">
        <f ca="1">INDEX(SF_Output!$AA$2:$AA$400,MATCH($B96,SF_Output!$M$2:$M$400,0))</f>
        <v>6</v>
      </c>
      <c r="BF96" s="35">
        <f ca="1">INDEX(SF_Output!$AB$2:$AB$400,MATCH($B96,SF_Output!$M$2:$M$400,0))</f>
        <v>1</v>
      </c>
    </row>
    <row r="97" spans="2:58" x14ac:dyDescent="0.25">
      <c r="B97" t="s">
        <v>2353</v>
      </c>
      <c r="C97" t="s">
        <v>2122</v>
      </c>
      <c r="D97" t="s">
        <v>2207</v>
      </c>
      <c r="E97" t="s">
        <v>2124</v>
      </c>
      <c r="F97" s="116" t="str">
        <f t="shared" si="17"/>
        <v>Included</v>
      </c>
      <c r="G97" t="str">
        <f>IF(B97="","",INDEX(SF_Output!$K$1:$K$400,MATCH(B97,SF_Output!$M$1:$M$400,0)))</f>
        <v>Card Processing Solutions (CPS)</v>
      </c>
      <c r="H97" cm="1">
        <f t="array" ref="H97">_xlfn.IFS(B97="","",(SUMIFS(SF_Output!$F$1:$F$400,SF_Output!$AC$1:$AC$400,_xlfn.TEXTJOIN(",",TRUE,B97:E97))+SUMIFS(SF_Output!$G$1:$G$400,SF_Output!$AC$1:$AC$400,_xlfn.TEXTJOIN(",",TRUE,B97:E97)))&lt;&gt;0,SF_Output!$Y$2,INDEX(SF_Output!$F$1:$F$400,MATCH(_xlfn.TEXTJOIN(",",TRUE,B97:E97),SF_Output!$AC$1:$AC$400,0))=0,INDEX(SF_Output!$R$1:$R$400,MATCH(_xlfn.TEXTJOIN(",",TRUE,B97:E97),SF_Output!$AC$1:$AC$400,0)))</f>
        <v>1</v>
      </c>
      <c r="I97" s="125" t="str">
        <f>IFERROR(IF(AND(H97&gt;1,H97&lt;&gt;""),ROUND(SUMIFS(SF_Output!$S$1:$S$400,SF_Output!$AC$1:$AC$400,_xlfn.TEXTJOIN(",",TRUE,B97:E97),SF_Output!$Q$1:$Q$400,"monthly")*(1-W97)/H97,4),""),"")</f>
        <v/>
      </c>
      <c r="J97" s="6">
        <f>IF(B97="","",SUMIFS(SF_Output!$S$1:$S$400,SF_Output!$AC$1:$AC$400,_xlfn.TEXTJOIN(",",TRUE,B97:E97),SF_Output!$Q$1:$Q$400,"One Time",SF_Output!$L$1:$L$400,"license fee")+SUMIFS(SF_Output!$S$1:$S$400,SF_Output!$AC$1:$AC$400,_xlfn.TEXTJOIN(",",TRUE,B97:E97),SF_Output!$Q$1:$Q$400,"One Time",SF_Output!$L$1:$L$400,"software license")+SUMIFS(SF_Output!$S$1:$S$400,SF_Output!$AC$1:$AC$400,_xlfn.TEXTJOIN(",",TRUE,B97:E97),SF_Output!$Q$1:$Q$400,"One Time",SF_Output!$L$1:$L$400,"hardware"))</f>
        <v>0</v>
      </c>
      <c r="K97" s="112" t="str">
        <f>IF(OR(B97=0,B97="",G97="hardware",J97=0),"",IF(AF97&lt;&gt;"exclusion",MAX(K$9,-((SUMIFS(SF_Output!$T$1:$T$400,SF_Output!$AC$1:$AC$400,_xlfn.TEXTJOIN(",",TRUE,$B97:$E97),SF_Output!$Q$1:$Q$400,"One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license"))/J97)))</f>
        <v/>
      </c>
      <c r="L97" s="6">
        <f t="shared" si="18"/>
        <v>0</v>
      </c>
      <c r="N97" s="6">
        <f>IF(B97="","",SUMIFS(SF_Output!$S$1:$S$400,SF_Output!$AC$1:$AC$400,_xlfn.TEXTJOIN(",",TRUE,B97:E97),SF_Output!$Q$1:$Q$400,"One Time",SF_Output!$L$1:$L$400,"professional service"))</f>
        <v>0</v>
      </c>
      <c r="O97" s="112" t="str">
        <f>IF(OR(B97=0,B97="",N97=0),"",IF(AF97&lt;&gt;"exclusion",MAX(O$9,-(SUMIFS(SF_Output!$T$1:$T$400,SF_Output!$AC$1:$AC$400,_xlfn.TEXTJOIN(",",TRUE,$B97:$E97),SF_Output!$Q$1:$Q$400,"One Time",SF_Output!$L$1:$L$400,"professional service"))/N97),-((SUMIFS(SF_Output!$T$1:$T$400,SF_Output!$AC$1:$AC$400,_xlfn.TEXTJOIN(",",TRUE,$B97:$E97),SF_Output!$Q$1:$Q$400,"One Time",SF_Output!$L$1:$L$400,"professional service")/N97))))</f>
        <v/>
      </c>
      <c r="P97" s="6">
        <f t="shared" si="19"/>
        <v>0</v>
      </c>
      <c r="R97" s="6">
        <f>IF(B97="","",SUMIFS(SF_Output!$S$1:$S$400,SF_Output!$AC$1:$AC$400,_xlfn.TEXTJOIN(",",TRUE,B97:E97),SF_Output!$Q$1:$Q$400,"yearly")+SUMIFS(SF_Output!$S$1:$S$400,SF_Output!$AC$1:$AC$400,_xlfn.TEXTJOIN(",",TRUE,B97:E97),SF_Output!$Q$1:$Q$400,"quarterly")*4)</f>
        <v>0</v>
      </c>
      <c r="S97" s="112" t="str">
        <f>IF(OR(B97=0,B97="",G97="hardware",R97=0),"",IF(AF97&lt;&gt;"exclusion",MAX(S$9,-(SUMIFS(SF_Output!$T$1:$T$400,SF_Output!$AC$1:$AC$400,_xlfn.TEXTJOIN(",",TRUE,$B97:$E97),SF_Output!$Q$1:$Q$400,"yearly"))/R97),-((SUMIFS(SF_Output!$T$1:$T$400,SF_Output!$AC$1:$AC$400,_xlfn.TEXTJOIN(",",TRUE,$B97:$E97),SF_Output!$Q$1:$Q$400,"yearly")/R97))))</f>
        <v/>
      </c>
      <c r="T97" s="6">
        <f t="shared" si="20"/>
        <v>0</v>
      </c>
      <c r="V97" s="6" cm="1">
        <f t="array" ref="V97">_xlfn.IFS(B97="","",AND(B97&lt;&gt;"",H97=SF_Output!$Y$2,SUMIFS(SF_Output!$T$1:$T$400,SF_Output!$AC$1:$AC$400,_xlfn.TEXTJOIN(",",TRUE,B97:E97),SF_Output!$Q$1:$Q$400,"monthly")=0),(SUMIFS(SF_Output!$F$1:$F$400,SF_Output!$AC$1:$AC$400,_xlfn.TEXTJOIN(",",TRUE,B97:E97),SF_Output!$Q$1:$Q$400,"monthly")+SUMIFS(SF_Output!$G$1:$G$400,SF_Output!$AC$1:$AC$400,_xlfn.TEXTJOIN(",",TRUE,B97:E97),SF_Output!$Q$1:$Q$400,"monthly"))*H97,AND(B97&lt;&gt;"",H97=SF_Output!$Y$2,SUMIFS(SF_Output!$T$1:$T$400,SF_Output!$AC$1:$AC$400,_xlfn.TEXTJOIN(",",TRUE,B97:E97),SF_Output!$Q$1:$Q$400,"monthly")&lt;&gt;0),SUMIFS(SF_Output!$S$1:$S$400,SF_Output!$AC$1:$AC$400,_xlfn.TEXTJOIN(",",TRUE,B97:E97),SF_Output!$Q$1:$Q$400,"monthly"),AND(B97&lt;&gt;"",H97&lt;&gt;SF_Output!$Y$2),SUMIFS(SF_Output!$S$1:$S$400,SF_Output!$AC$1:$AC$400,_xlfn.TEXTJOIN(",",TRUE,B97:E97),SF_Output!$Q$1:$Q$400,"monthly"))</f>
        <v>250</v>
      </c>
      <c r="W97" s="112" cm="1">
        <f t="array" ref="W97">_xlfn.IFS(OR(B97=0,B97="",V97=0),"",AF97&lt;&gt;"exclusion",MAX($W$9,$W$7,(-(SUMIFS(SF_Output!$T$1:$T$400,SF_Output!$AC$1:$AC$400,_xlfn.TEXTJOIN(",",TRUE,$B97:$E97),SF_Output!$Q$1:$Q$400,"monthly"))/V97)),AF97="exclusion",-(SUMIFS(SF_Output!$T$1:$T$400,SF_Output!$AC$1:$AC$400,_xlfn.TEXTJOIN(",",TRUE,$B97:$E97),SF_Output!$Q$1:$Q$400,"monthly"))/V97)</f>
        <v>0</v>
      </c>
      <c r="X97" s="6" cm="1">
        <f t="array" ref="X97">IFERROR(_xlfn.IFS(V97=0,0,V97="","",W97=0,V97,OR(V97&lt;&gt;0,V97&lt;&gt;""),H97*I97),V97*(1-W97))</f>
        <v>250</v>
      </c>
      <c r="Z97" s="6">
        <f>IFERROR(IF(B97="","",SUMIFS(Billing_Fallout!H:H,Billing_Fallout!N:N,B97)),0)</f>
        <v>0</v>
      </c>
      <c r="AA97" s="6">
        <f t="shared" si="21"/>
        <v>0</v>
      </c>
      <c r="AB97" s="6">
        <f>IFERROR(IF(B97="","",SUMIFS(Billing_Fallout!J:J,Billing_Fallout!N:N,B97)),0)</f>
        <v>0</v>
      </c>
      <c r="AD97" s="6">
        <f t="shared" si="22"/>
        <v>250</v>
      </c>
      <c r="AF97" t="str">
        <f>IFERROR(INDEX(H_Tables!$B$1:$B$1500,MATCH(INDEX(SF_Output!$J$1:$J$400,MATCH(B97,SF_Output!$M$1:$M$400,0)),H_Tables!$A$1:$A$1500,0)),"")</f>
        <v>Exclusion</v>
      </c>
      <c r="AI97" s="119" t="str">
        <f t="shared" si="23"/>
        <v/>
      </c>
      <c r="AJ97" s="121">
        <f>IFERROR(INDEX(SF_Output!AD:AD,MATCH(_xlfn.TEXTJOIN(",",TRUE,B97:E97),SF_Output!AC1:AC400,0)),0.05)</f>
        <v>169</v>
      </c>
      <c r="AK97" t="str">
        <f>IF(SUMIFS(SF_Output!$F$1:$F$400,SF_Output!$AC$1:$AC$400,_xlfn.TEXTJOIN(",",TRUE,B97:E97))+SUMIFS(SF_Output!$G$1:$G$400,SF_Output!$AC$1:$AC$400,_xlfn.TEXTJOIN(",",TRUE,B97:E97))=0,"","PAP")</f>
        <v/>
      </c>
      <c r="AQ97" s="35"/>
      <c r="AR97" s="35" t="str" cm="1">
        <f t="array" ref="AR97">IFERROR(_xlfn.IFS(AND(E97*1=1,F97="Included"),"Change to Included",AND(E97*1=0,F97="Optional"),"Change to Optional",OR(B97="",F97="replaced"),""),"")</f>
        <v/>
      </c>
      <c r="AS97" s="35" t="str">
        <f t="shared" si="24"/>
        <v/>
      </c>
      <c r="AT97" s="35" t="str">
        <f t="shared" si="25"/>
        <v/>
      </c>
      <c r="AU97" s="35" t="str">
        <f t="shared" si="26"/>
        <v/>
      </c>
      <c r="AV97" s="35" t="str">
        <f t="shared" si="27"/>
        <v/>
      </c>
      <c r="AW97" s="35" t="str">
        <f t="shared" si="28"/>
        <v/>
      </c>
      <c r="AX97" s="35" t="str">
        <f t="shared" si="29"/>
        <v/>
      </c>
      <c r="AY97" s="35" t="str">
        <f t="shared" si="30"/>
        <v/>
      </c>
      <c r="AZ97" s="35" t="str">
        <f t="shared" si="31"/>
        <v/>
      </c>
      <c r="BA97" s="35" t="str">
        <f t="shared" si="32"/>
        <v/>
      </c>
      <c r="BB97" s="35" t="str">
        <f t="shared" si="33"/>
        <v/>
      </c>
      <c r="BC97" s="35"/>
      <c r="BE97" s="35">
        <f ca="1">INDEX(SF_Output!$AA$2:$AA$400,MATCH($B97,SF_Output!$M$2:$M$400,0))</f>
        <v>6</v>
      </c>
      <c r="BF97" s="35">
        <f ca="1">INDEX(SF_Output!$AB$2:$AB$400,MATCH($B97,SF_Output!$M$2:$M$400,0))</f>
        <v>1</v>
      </c>
    </row>
    <row r="98" spans="2:58" x14ac:dyDescent="0.25">
      <c r="B98" t="s">
        <v>687</v>
      </c>
      <c r="C98" t="s">
        <v>2122</v>
      </c>
      <c r="D98" t="s">
        <v>2207</v>
      </c>
      <c r="E98" t="s">
        <v>2124</v>
      </c>
      <c r="F98" s="116" t="str">
        <f t="shared" si="17"/>
        <v>Included</v>
      </c>
      <c r="G98" t="str">
        <f>IF(B98="","",INDEX(SF_Output!$K$1:$K$400,MATCH(B98,SF_Output!$M$1:$M$400,0)))</f>
        <v>Card Processing Solutions (CPS)</v>
      </c>
      <c r="H98" cm="1">
        <f t="array" ref="H98">_xlfn.IFS(B98="","",(SUMIFS(SF_Output!$F$1:$F$400,SF_Output!$AC$1:$AC$400,_xlfn.TEXTJOIN(",",TRUE,B98:E98))+SUMIFS(SF_Output!$G$1:$G$400,SF_Output!$AC$1:$AC$400,_xlfn.TEXTJOIN(",",TRUE,B98:E98)))&lt;&gt;0,SF_Output!$Y$2,INDEX(SF_Output!$F$1:$F$400,MATCH(_xlfn.TEXTJOIN(",",TRUE,B98:E98),SF_Output!$AC$1:$AC$400,0))=0,INDEX(SF_Output!$R$1:$R$400,MATCH(_xlfn.TEXTJOIN(",",TRUE,B98:E98),SF_Output!$AC$1:$AC$400,0)))</f>
        <v>0</v>
      </c>
      <c r="I98" s="125" t="str">
        <f>IFERROR(IF(AND(H98&gt;1,H98&lt;&gt;""),ROUND(SUMIFS(SF_Output!$S$1:$S$400,SF_Output!$AC$1:$AC$400,_xlfn.TEXTJOIN(",",TRUE,B98:E98),SF_Output!$Q$1:$Q$400,"monthly")*(1-W98)/H98,4),""),"")</f>
        <v/>
      </c>
      <c r="J98" s="6">
        <f>IF(B98="","",SUMIFS(SF_Output!$S$1:$S$400,SF_Output!$AC$1:$AC$400,_xlfn.TEXTJOIN(",",TRUE,B98:E98),SF_Output!$Q$1:$Q$400,"One Time",SF_Output!$L$1:$L$400,"license fee")+SUMIFS(SF_Output!$S$1:$S$400,SF_Output!$AC$1:$AC$400,_xlfn.TEXTJOIN(",",TRUE,B98:E98),SF_Output!$Q$1:$Q$400,"One Time",SF_Output!$L$1:$L$400,"software license")+SUMIFS(SF_Output!$S$1:$S$400,SF_Output!$AC$1:$AC$400,_xlfn.TEXTJOIN(",",TRUE,B98:E98),SF_Output!$Q$1:$Q$400,"One Time",SF_Output!$L$1:$L$400,"hardware"))</f>
        <v>0</v>
      </c>
      <c r="K98" s="112" t="str">
        <f>IF(OR(B98=0,B98="",G98="hardware",J98=0),"",IF(AF98&lt;&gt;"exclusion",MAX(K$9,-((SUMIFS(SF_Output!$T$1:$T$400,SF_Output!$AC$1:$AC$400,_xlfn.TEXTJOIN(",",TRUE,$B98:$E98),SF_Output!$Q$1:$Q$400,"One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license"))/J98)))</f>
        <v/>
      </c>
      <c r="L98" s="6">
        <f t="shared" si="18"/>
        <v>0</v>
      </c>
      <c r="N98" s="6">
        <f>IF(B98="","",SUMIFS(SF_Output!$S$1:$S$400,SF_Output!$AC$1:$AC$400,_xlfn.TEXTJOIN(",",TRUE,B98:E98),SF_Output!$Q$1:$Q$400,"One Time",SF_Output!$L$1:$L$400,"professional service"))</f>
        <v>0</v>
      </c>
      <c r="O98" s="112" t="str">
        <f>IF(OR(B98=0,B98="",N98=0),"",IF(AF98&lt;&gt;"exclusion",MAX(O$9,-(SUMIFS(SF_Output!$T$1:$T$400,SF_Output!$AC$1:$AC$400,_xlfn.TEXTJOIN(",",TRUE,$B98:$E98),SF_Output!$Q$1:$Q$400,"One Time",SF_Output!$L$1:$L$400,"professional service"))/N98),-((SUMIFS(SF_Output!$T$1:$T$400,SF_Output!$AC$1:$AC$400,_xlfn.TEXTJOIN(",",TRUE,$B98:$E98),SF_Output!$Q$1:$Q$400,"One Time",SF_Output!$L$1:$L$400,"professional service")/N98))))</f>
        <v/>
      </c>
      <c r="P98" s="6">
        <f t="shared" si="19"/>
        <v>0</v>
      </c>
      <c r="R98" s="6">
        <f>IF(B98="","",SUMIFS(SF_Output!$S$1:$S$400,SF_Output!$AC$1:$AC$400,_xlfn.TEXTJOIN(",",TRUE,B98:E98),SF_Output!$Q$1:$Q$400,"yearly")+SUMIFS(SF_Output!$S$1:$S$400,SF_Output!$AC$1:$AC$400,_xlfn.TEXTJOIN(",",TRUE,B98:E98),SF_Output!$Q$1:$Q$400,"quarterly")*4)</f>
        <v>0</v>
      </c>
      <c r="S98" s="112" t="str">
        <f>IF(OR(B98=0,B98="",G98="hardware",R98=0),"",IF(AF98&lt;&gt;"exclusion",MAX(S$9,-(SUMIFS(SF_Output!$T$1:$T$400,SF_Output!$AC$1:$AC$400,_xlfn.TEXTJOIN(",",TRUE,$B98:$E98),SF_Output!$Q$1:$Q$400,"yearly"))/R98),-((SUMIFS(SF_Output!$T$1:$T$400,SF_Output!$AC$1:$AC$400,_xlfn.TEXTJOIN(",",TRUE,$B98:$E98),SF_Output!$Q$1:$Q$400,"yearly")/R98))))</f>
        <v/>
      </c>
      <c r="T98" s="6">
        <f t="shared" si="20"/>
        <v>0</v>
      </c>
      <c r="V98" s="6" cm="1">
        <f t="array" ref="V98">_xlfn.IFS(B98="","",AND(B98&lt;&gt;"",H98=SF_Output!$Y$2,SUMIFS(SF_Output!$T$1:$T$400,SF_Output!$AC$1:$AC$400,_xlfn.TEXTJOIN(",",TRUE,B98:E98),SF_Output!$Q$1:$Q$400,"monthly")=0),(SUMIFS(SF_Output!$F$1:$F$400,SF_Output!$AC$1:$AC$400,_xlfn.TEXTJOIN(",",TRUE,B98:E98),SF_Output!$Q$1:$Q$400,"monthly")+SUMIFS(SF_Output!$G$1:$G$400,SF_Output!$AC$1:$AC$400,_xlfn.TEXTJOIN(",",TRUE,B98:E98),SF_Output!$Q$1:$Q$400,"monthly"))*H98,AND(B98&lt;&gt;"",H98=SF_Output!$Y$2,SUMIFS(SF_Output!$T$1:$T$400,SF_Output!$AC$1:$AC$400,_xlfn.TEXTJOIN(",",TRUE,B98:E98),SF_Output!$Q$1:$Q$400,"monthly")&lt;&gt;0),SUMIFS(SF_Output!$S$1:$S$400,SF_Output!$AC$1:$AC$400,_xlfn.TEXTJOIN(",",TRUE,B98:E98),SF_Output!$Q$1:$Q$400,"monthly"),AND(B98&lt;&gt;"",H98&lt;&gt;SF_Output!$Y$2),SUMIFS(SF_Output!$S$1:$S$400,SF_Output!$AC$1:$AC$400,_xlfn.TEXTJOIN(",",TRUE,B98:E98),SF_Output!$Q$1:$Q$400,"monthly"))</f>
        <v>0</v>
      </c>
      <c r="W98" s="112" t="str" cm="1">
        <f t="array" ref="W98">_xlfn.IFS(OR(B98=0,B98="",V98=0),"",AF98&lt;&gt;"exclusion",MAX($W$9,$W$7,(-(SUMIFS(SF_Output!$T$1:$T$400,SF_Output!$AC$1:$AC$400,_xlfn.TEXTJOIN(",",TRUE,$B98:$E98),SF_Output!$Q$1:$Q$400,"monthly"))/V98)),AF98="exclusion",-(SUMIFS(SF_Output!$T$1:$T$400,SF_Output!$AC$1:$AC$400,_xlfn.TEXTJOIN(",",TRUE,$B98:$E98),SF_Output!$Q$1:$Q$400,"monthly"))/V98)</f>
        <v/>
      </c>
      <c r="X98" s="6" cm="1">
        <f t="array" ref="X98">IFERROR(_xlfn.IFS(V98=0,0,V98="","",W98=0,V98,OR(V98&lt;&gt;0,V98&lt;&gt;""),H98*I98),V98*(1-W98))</f>
        <v>0</v>
      </c>
      <c r="Z98" s="6">
        <f>IFERROR(IF(B98="","",SUMIFS(Billing_Fallout!H:H,Billing_Fallout!N:N,B98)),0)</f>
        <v>0</v>
      </c>
      <c r="AA98" s="6">
        <f t="shared" si="21"/>
        <v>0</v>
      </c>
      <c r="AB98" s="6">
        <f>IFERROR(IF(B98="","",SUMIFS(Billing_Fallout!J:J,Billing_Fallout!N:N,B98)),0)</f>
        <v>0</v>
      </c>
      <c r="AD98" s="6">
        <f t="shared" si="22"/>
        <v>0</v>
      </c>
      <c r="AF98" t="str">
        <f>IFERROR(INDEX(H_Tables!$B$1:$B$1500,MATCH(INDEX(SF_Output!$J$1:$J$400,MATCH(B98,SF_Output!$M$1:$M$400,0)),H_Tables!$A$1:$A$1500,0)),"")</f>
        <v>Exclusion</v>
      </c>
      <c r="AI98" s="119" t="str">
        <f t="shared" si="23"/>
        <v/>
      </c>
      <c r="AJ98" s="121">
        <f>IFERROR(INDEX(SF_Output!AD:AD,MATCH(_xlfn.TEXTJOIN(",",TRUE,B98:E98),SF_Output!AC1:AC400,0)),0.05)</f>
        <v>170</v>
      </c>
      <c r="AK98" t="str">
        <f>IF(SUMIFS(SF_Output!$F$1:$F$400,SF_Output!$AC$1:$AC$400,_xlfn.TEXTJOIN(",",TRUE,B98:E98))+SUMIFS(SF_Output!$G$1:$G$400,SF_Output!$AC$1:$AC$400,_xlfn.TEXTJOIN(",",TRUE,B98:E98))=0,"","PAP")</f>
        <v/>
      </c>
      <c r="AQ98" s="35"/>
      <c r="AR98" s="35" t="str" cm="1">
        <f t="array" ref="AR98">IFERROR(_xlfn.IFS(AND(E98*1=1,F98="Included"),"Change to Included",AND(E98*1=0,F98="Optional"),"Change to Optional",OR(B98="",F98="replaced"),""),"")</f>
        <v/>
      </c>
      <c r="AS98" s="35" t="str">
        <f t="shared" si="24"/>
        <v/>
      </c>
      <c r="AT98" s="35" t="str">
        <f t="shared" si="25"/>
        <v/>
      </c>
      <c r="AU98" s="35" t="str">
        <f t="shared" si="26"/>
        <v/>
      </c>
      <c r="AV98" s="35" t="str">
        <f t="shared" si="27"/>
        <v/>
      </c>
      <c r="AW98" s="35" t="str">
        <f t="shared" si="28"/>
        <v/>
      </c>
      <c r="AX98" s="35" t="str">
        <f t="shared" si="29"/>
        <v/>
      </c>
      <c r="AY98" s="35" t="str">
        <f t="shared" si="30"/>
        <v/>
      </c>
      <c r="AZ98" s="35" t="str">
        <f t="shared" si="31"/>
        <v/>
      </c>
      <c r="BA98" s="35" t="str">
        <f t="shared" si="32"/>
        <v/>
      </c>
      <c r="BB98" s="35" t="str">
        <f t="shared" si="33"/>
        <v/>
      </c>
      <c r="BC98" s="35"/>
      <c r="BE98" s="35">
        <f ca="1">INDEX(SF_Output!$AA$2:$AA$400,MATCH($B98,SF_Output!$M$2:$M$400,0))</f>
        <v>6</v>
      </c>
      <c r="BF98" s="35">
        <f ca="1">INDEX(SF_Output!$AB$2:$AB$400,MATCH($B98,SF_Output!$M$2:$M$400,0))</f>
        <v>1</v>
      </c>
    </row>
    <row r="99" spans="2:58" x14ac:dyDescent="0.25">
      <c r="B99" t="s">
        <v>694</v>
      </c>
      <c r="C99" t="s">
        <v>2122</v>
      </c>
      <c r="D99" t="s">
        <v>2207</v>
      </c>
      <c r="E99" t="s">
        <v>2124</v>
      </c>
      <c r="F99" s="116" t="str">
        <f t="shared" si="17"/>
        <v>Included</v>
      </c>
      <c r="G99" t="str">
        <f>IF(B99="","",INDEX(SF_Output!$K$1:$K$400,MATCH(B99,SF_Output!$M$1:$M$400,0)))</f>
        <v>Card Processing Solutions (CPS)</v>
      </c>
      <c r="H99" cm="1">
        <f t="array" ref="H99">_xlfn.IFS(B99="","",(SUMIFS(SF_Output!$F$1:$F$400,SF_Output!$AC$1:$AC$400,_xlfn.TEXTJOIN(",",TRUE,B99:E99))+SUMIFS(SF_Output!$G$1:$G$400,SF_Output!$AC$1:$AC$400,_xlfn.TEXTJOIN(",",TRUE,B99:E99)))&lt;&gt;0,SF_Output!$Y$2,INDEX(SF_Output!$F$1:$F$400,MATCH(_xlfn.TEXTJOIN(",",TRUE,B99:E99),SF_Output!$AC$1:$AC$400,0))=0,INDEX(SF_Output!$R$1:$R$400,MATCH(_xlfn.TEXTJOIN(",",TRUE,B99:E99),SF_Output!$AC$1:$AC$400,0)))</f>
        <v>1</v>
      </c>
      <c r="I99" s="125" t="str">
        <f>IFERROR(IF(AND(H99&gt;1,H99&lt;&gt;""),ROUND(SUMIFS(SF_Output!$S$1:$S$400,SF_Output!$AC$1:$AC$400,_xlfn.TEXTJOIN(",",TRUE,B99:E99),SF_Output!$Q$1:$Q$400,"monthly")*(1-W99)/H99,4),""),"")</f>
        <v/>
      </c>
      <c r="J99" s="6">
        <f>IF(B99="","",SUMIFS(SF_Output!$S$1:$S$400,SF_Output!$AC$1:$AC$400,_xlfn.TEXTJOIN(",",TRUE,B99:E99),SF_Output!$Q$1:$Q$400,"One Time",SF_Output!$L$1:$L$400,"license fee")+SUMIFS(SF_Output!$S$1:$S$400,SF_Output!$AC$1:$AC$400,_xlfn.TEXTJOIN(",",TRUE,B99:E99),SF_Output!$Q$1:$Q$400,"One Time",SF_Output!$L$1:$L$400,"software license")+SUMIFS(SF_Output!$S$1:$S$400,SF_Output!$AC$1:$AC$400,_xlfn.TEXTJOIN(",",TRUE,B99:E99),SF_Output!$Q$1:$Q$400,"One Time",SF_Output!$L$1:$L$400,"hardware"))</f>
        <v>0</v>
      </c>
      <c r="K99" s="112" t="str">
        <f>IF(OR(B99=0,B99="",G99="hardware",J99=0),"",IF(AF99&lt;&gt;"exclusion",MAX(K$9,-((SUMIFS(SF_Output!$T$1:$T$400,SF_Output!$AC$1:$AC$400,_xlfn.TEXTJOIN(",",TRUE,$B99:$E99),SF_Output!$Q$1:$Q$400,"One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license"))/J99)))</f>
        <v/>
      </c>
      <c r="L99" s="6">
        <f t="shared" si="18"/>
        <v>0</v>
      </c>
      <c r="N99" s="6">
        <f>IF(B99="","",SUMIFS(SF_Output!$S$1:$S$400,SF_Output!$AC$1:$AC$400,_xlfn.TEXTJOIN(",",TRUE,B99:E99),SF_Output!$Q$1:$Q$400,"One Time",SF_Output!$L$1:$L$400,"professional service"))</f>
        <v>145</v>
      </c>
      <c r="O99" s="112">
        <f>IF(OR(B99=0,B99="",N99=0),"",IF(AF99&lt;&gt;"exclusion",MAX(O$9,-(SUMIFS(SF_Output!$T$1:$T$400,SF_Output!$AC$1:$AC$400,_xlfn.TEXTJOIN(",",TRUE,$B99:$E99),SF_Output!$Q$1:$Q$400,"One Time",SF_Output!$L$1:$L$400,"professional service"))/N99),-((SUMIFS(SF_Output!$T$1:$T$400,SF_Output!$AC$1:$AC$400,_xlfn.TEXTJOIN(",",TRUE,$B99:$E99),SF_Output!$Q$1:$Q$400,"One Time",SF_Output!$L$1:$L$400,"professional service")/N99))))</f>
        <v>1</v>
      </c>
      <c r="P99" s="6">
        <f t="shared" si="19"/>
        <v>0</v>
      </c>
      <c r="R99" s="6">
        <f>IF(B99="","",SUMIFS(SF_Output!$S$1:$S$400,SF_Output!$AC$1:$AC$400,_xlfn.TEXTJOIN(",",TRUE,B99:E99),SF_Output!$Q$1:$Q$400,"yearly")+SUMIFS(SF_Output!$S$1:$S$400,SF_Output!$AC$1:$AC$400,_xlfn.TEXTJOIN(",",TRUE,B99:E99),SF_Output!$Q$1:$Q$400,"quarterly")*4)</f>
        <v>0</v>
      </c>
      <c r="S99" s="112" t="str">
        <f>IF(OR(B99=0,B99="",G99="hardware",R99=0),"",IF(AF99&lt;&gt;"exclusion",MAX(S$9,-(SUMIFS(SF_Output!$T$1:$T$400,SF_Output!$AC$1:$AC$400,_xlfn.TEXTJOIN(",",TRUE,$B99:$E99),SF_Output!$Q$1:$Q$400,"yearly"))/R99),-((SUMIFS(SF_Output!$T$1:$T$400,SF_Output!$AC$1:$AC$400,_xlfn.TEXTJOIN(",",TRUE,$B99:$E99),SF_Output!$Q$1:$Q$400,"yearly")/R99))))</f>
        <v/>
      </c>
      <c r="T99" s="6">
        <f t="shared" si="20"/>
        <v>0</v>
      </c>
      <c r="V99" s="6" cm="1">
        <f t="array" ref="V99">_xlfn.IFS(B99="","",AND(B99&lt;&gt;"",H99=SF_Output!$Y$2,SUMIFS(SF_Output!$T$1:$T$400,SF_Output!$AC$1:$AC$400,_xlfn.TEXTJOIN(",",TRUE,B99:E99),SF_Output!$Q$1:$Q$400,"monthly")=0),(SUMIFS(SF_Output!$F$1:$F$400,SF_Output!$AC$1:$AC$400,_xlfn.TEXTJOIN(",",TRUE,B99:E99),SF_Output!$Q$1:$Q$400,"monthly")+SUMIFS(SF_Output!$G$1:$G$400,SF_Output!$AC$1:$AC$400,_xlfn.TEXTJOIN(",",TRUE,B99:E99),SF_Output!$Q$1:$Q$400,"monthly"))*H99,AND(B99&lt;&gt;"",H99=SF_Output!$Y$2,SUMIFS(SF_Output!$T$1:$T$400,SF_Output!$AC$1:$AC$400,_xlfn.TEXTJOIN(",",TRUE,B99:E99),SF_Output!$Q$1:$Q$400,"monthly")&lt;&gt;0),SUMIFS(SF_Output!$S$1:$S$400,SF_Output!$AC$1:$AC$400,_xlfn.TEXTJOIN(",",TRUE,B99:E99),SF_Output!$Q$1:$Q$400,"monthly"),AND(B99&lt;&gt;"",H99&lt;&gt;SF_Output!$Y$2),SUMIFS(SF_Output!$S$1:$S$400,SF_Output!$AC$1:$AC$400,_xlfn.TEXTJOIN(",",TRUE,B99:E99),SF_Output!$Q$1:$Q$400,"monthly"))</f>
        <v>0</v>
      </c>
      <c r="W99" s="112" t="str" cm="1">
        <f t="array" ref="W99">_xlfn.IFS(OR(B99=0,B99="",V99=0),"",AF99&lt;&gt;"exclusion",MAX($W$9,$W$7,(-(SUMIFS(SF_Output!$T$1:$T$400,SF_Output!$AC$1:$AC$400,_xlfn.TEXTJOIN(",",TRUE,$B99:$E99),SF_Output!$Q$1:$Q$400,"monthly"))/V99)),AF99="exclusion",-(SUMIFS(SF_Output!$T$1:$T$400,SF_Output!$AC$1:$AC$400,_xlfn.TEXTJOIN(",",TRUE,$B99:$E99),SF_Output!$Q$1:$Q$400,"monthly"))/V99)</f>
        <v/>
      </c>
      <c r="X99" s="6" cm="1">
        <f t="array" ref="X99">IFERROR(_xlfn.IFS(V99=0,0,V99="","",W99=0,V99,OR(V99&lt;&gt;0,V99&lt;&gt;""),H99*I99),V99*(1-W99))</f>
        <v>0</v>
      </c>
      <c r="Z99" s="6">
        <f>IFERROR(IF(B99="","",SUMIFS(Billing_Fallout!H:H,Billing_Fallout!N:N,B99)),0)</f>
        <v>0</v>
      </c>
      <c r="AA99" s="6">
        <f t="shared" si="21"/>
        <v>0</v>
      </c>
      <c r="AB99" s="6">
        <f>IFERROR(IF(B99="","",SUMIFS(Billing_Fallout!J:J,Billing_Fallout!N:N,B99)),0)</f>
        <v>0</v>
      </c>
      <c r="AD99" s="6">
        <f t="shared" si="22"/>
        <v>0</v>
      </c>
      <c r="AF99" t="str">
        <f>IFERROR(INDEX(H_Tables!$B$1:$B$1500,MATCH(INDEX(SF_Output!$J$1:$J$400,MATCH(B99,SF_Output!$M$1:$M$400,0)),H_Tables!$A$1:$A$1500,0)),"")</f>
        <v>Exclusion</v>
      </c>
      <c r="AI99" s="119" t="str">
        <f t="shared" si="23"/>
        <v/>
      </c>
      <c r="AJ99" s="121">
        <f>IFERROR(INDEX(SF_Output!AD:AD,MATCH(_xlfn.TEXTJOIN(",",TRUE,B99:E99),SF_Output!AC1:AC400,0)),0.05)</f>
        <v>171</v>
      </c>
      <c r="AK99" t="str">
        <f>IF(SUMIFS(SF_Output!$F$1:$F$400,SF_Output!$AC$1:$AC$400,_xlfn.TEXTJOIN(",",TRUE,B99:E99))+SUMIFS(SF_Output!$G$1:$G$400,SF_Output!$AC$1:$AC$400,_xlfn.TEXTJOIN(",",TRUE,B99:E99))=0,"","PAP")</f>
        <v/>
      </c>
      <c r="AQ99" s="35"/>
      <c r="AR99" s="35" t="str" cm="1">
        <f t="array" ref="AR99">IFERROR(_xlfn.IFS(AND(E99*1=1,F99="Included"),"Change to Included",AND(E99*1=0,F99="Optional"),"Change to Optional",OR(B99="",F99="replaced"),""),"")</f>
        <v/>
      </c>
      <c r="AS99" s="35" t="str">
        <f t="shared" si="24"/>
        <v/>
      </c>
      <c r="AT99" s="35" t="str">
        <f t="shared" si="25"/>
        <v/>
      </c>
      <c r="AU99" s="35" t="str">
        <f t="shared" si="26"/>
        <v/>
      </c>
      <c r="AV99" s="35" t="str">
        <f t="shared" si="27"/>
        <v/>
      </c>
      <c r="AW99" s="35" t="str">
        <f t="shared" si="28"/>
        <v/>
      </c>
      <c r="AX99" s="35" t="str">
        <f t="shared" si="29"/>
        <v/>
      </c>
      <c r="AY99" s="35" t="str">
        <f t="shared" si="30"/>
        <v/>
      </c>
      <c r="AZ99" s="35" t="str">
        <f t="shared" si="31"/>
        <v/>
      </c>
      <c r="BA99" s="35" t="str">
        <f t="shared" si="32"/>
        <v/>
      </c>
      <c r="BB99" s="35" t="str">
        <f t="shared" si="33"/>
        <v/>
      </c>
      <c r="BC99" s="35"/>
      <c r="BE99" s="35">
        <f ca="1">INDEX(SF_Output!$AA$2:$AA$400,MATCH($B99,SF_Output!$M$2:$M$400,0))</f>
        <v>6</v>
      </c>
      <c r="BF99" s="35">
        <f ca="1">INDEX(SF_Output!$AB$2:$AB$400,MATCH($B99,SF_Output!$M$2:$M$400,0))</f>
        <v>1</v>
      </c>
    </row>
    <row r="100" spans="2:58" x14ac:dyDescent="0.25">
      <c r="B100" t="s">
        <v>2357</v>
      </c>
      <c r="C100" t="s">
        <v>2122</v>
      </c>
      <c r="D100" t="s">
        <v>2207</v>
      </c>
      <c r="E100" t="s">
        <v>2124</v>
      </c>
      <c r="F100" s="116" t="str">
        <f t="shared" si="17"/>
        <v>Included</v>
      </c>
      <c r="G100" t="str">
        <f>IF(B100="","",INDEX(SF_Output!$K$1:$K$400,MATCH(B100,SF_Output!$M$1:$M$400,0)))</f>
        <v>Card Processing Solutions (CPS)</v>
      </c>
      <c r="H100" cm="1">
        <f t="array" ref="H100">_xlfn.IFS(B100="","",(SUMIFS(SF_Output!$F$1:$F$400,SF_Output!$AC$1:$AC$400,_xlfn.TEXTJOIN(",",TRUE,B100:E100))+SUMIFS(SF_Output!$G$1:$G$400,SF_Output!$AC$1:$AC$400,_xlfn.TEXTJOIN(",",TRUE,B100:E100)))&lt;&gt;0,SF_Output!$Y$2,INDEX(SF_Output!$F$1:$F$400,MATCH(_xlfn.TEXTJOIN(",",TRUE,B100:E100),SF_Output!$AC$1:$AC$400,0))=0,INDEX(SF_Output!$R$1:$R$400,MATCH(_xlfn.TEXTJOIN(",",TRUE,B100:E100),SF_Output!$AC$1:$AC$400,0)))</f>
        <v>1</v>
      </c>
      <c r="I100" s="125" t="str">
        <f>IFERROR(IF(AND(H100&gt;1,H100&lt;&gt;""),ROUND(SUMIFS(SF_Output!$S$1:$S$400,SF_Output!$AC$1:$AC$400,_xlfn.TEXTJOIN(",",TRUE,B100:E100),SF_Output!$Q$1:$Q$400,"monthly")*(1-W100)/H100,4),""),"")</f>
        <v/>
      </c>
      <c r="J100" s="6">
        <f>IF(B100="","",SUMIFS(SF_Output!$S$1:$S$400,SF_Output!$AC$1:$AC$400,_xlfn.TEXTJOIN(",",TRUE,B100:E100),SF_Output!$Q$1:$Q$400,"One Time",SF_Output!$L$1:$L$400,"license fee")+SUMIFS(SF_Output!$S$1:$S$400,SF_Output!$AC$1:$AC$400,_xlfn.TEXTJOIN(",",TRUE,B100:E100),SF_Output!$Q$1:$Q$400,"One Time",SF_Output!$L$1:$L$400,"software license")+SUMIFS(SF_Output!$S$1:$S$400,SF_Output!$AC$1:$AC$400,_xlfn.TEXTJOIN(",",TRUE,B100:E100),SF_Output!$Q$1:$Q$400,"One Time",SF_Output!$L$1:$L$400,"hardware"))</f>
        <v>0</v>
      </c>
      <c r="K100" s="112" t="str">
        <f>IF(OR(B100=0,B100="",G100="hardware",J100=0),"",IF(AF100&lt;&gt;"exclusion",MAX(K$9,-((SUMIFS(SF_Output!$T$1:$T$400,SF_Output!$AC$1:$AC$400,_xlfn.TEXTJOIN(",",TRUE,$B100:$E100),SF_Output!$Q$1:$Q$400,"One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license"))/J100)))</f>
        <v/>
      </c>
      <c r="L100" s="6">
        <f t="shared" si="18"/>
        <v>0</v>
      </c>
      <c r="N100" s="6">
        <f>IF(B100="","",SUMIFS(SF_Output!$S$1:$S$400,SF_Output!$AC$1:$AC$400,_xlfn.TEXTJOIN(",",TRUE,B100:E100),SF_Output!$Q$1:$Q$400,"One Time",SF_Output!$L$1:$L$400,"professional service"))</f>
        <v>0</v>
      </c>
      <c r="O100" s="112" t="str">
        <f>IF(OR(B100=0,B100="",N100=0),"",IF(AF100&lt;&gt;"exclusion",MAX(O$9,-(SUMIFS(SF_Output!$T$1:$T$400,SF_Output!$AC$1:$AC$400,_xlfn.TEXTJOIN(",",TRUE,$B100:$E100),SF_Output!$Q$1:$Q$400,"One Time",SF_Output!$L$1:$L$400,"professional service"))/N100),-((SUMIFS(SF_Output!$T$1:$T$400,SF_Output!$AC$1:$AC$400,_xlfn.TEXTJOIN(",",TRUE,$B100:$E100),SF_Output!$Q$1:$Q$400,"One Time",SF_Output!$L$1:$L$400,"professional service")/N100))))</f>
        <v/>
      </c>
      <c r="P100" s="6">
        <f t="shared" si="19"/>
        <v>0</v>
      </c>
      <c r="R100" s="6">
        <f>IF(B100="","",SUMIFS(SF_Output!$S$1:$S$400,SF_Output!$AC$1:$AC$400,_xlfn.TEXTJOIN(",",TRUE,B100:E100),SF_Output!$Q$1:$Q$400,"yearly")+SUMIFS(SF_Output!$S$1:$S$400,SF_Output!$AC$1:$AC$400,_xlfn.TEXTJOIN(",",TRUE,B100:E100),SF_Output!$Q$1:$Q$400,"quarterly")*4)</f>
        <v>0</v>
      </c>
      <c r="S100" s="112" t="str">
        <f>IF(OR(B100=0,B100="",G100="hardware",R100=0),"",IF(AF100&lt;&gt;"exclusion",MAX(S$9,-(SUMIFS(SF_Output!$T$1:$T$400,SF_Output!$AC$1:$AC$400,_xlfn.TEXTJOIN(",",TRUE,$B100:$E100),SF_Output!$Q$1:$Q$400,"yearly"))/R100),-((SUMIFS(SF_Output!$T$1:$T$400,SF_Output!$AC$1:$AC$400,_xlfn.TEXTJOIN(",",TRUE,$B100:$E100),SF_Output!$Q$1:$Q$400,"yearly")/R100))))</f>
        <v/>
      </c>
      <c r="T100" s="6">
        <f t="shared" si="20"/>
        <v>0</v>
      </c>
      <c r="V100" s="6" cm="1">
        <f t="array" ref="V100">_xlfn.IFS(B100="","",AND(B100&lt;&gt;"",H100=SF_Output!$Y$2,SUMIFS(SF_Output!$T$1:$T$400,SF_Output!$AC$1:$AC$400,_xlfn.TEXTJOIN(",",TRUE,B100:E100),SF_Output!$Q$1:$Q$400,"monthly")=0),(SUMIFS(SF_Output!$F$1:$F$400,SF_Output!$AC$1:$AC$400,_xlfn.TEXTJOIN(",",TRUE,B100:E100),SF_Output!$Q$1:$Q$400,"monthly")+SUMIFS(SF_Output!$G$1:$G$400,SF_Output!$AC$1:$AC$400,_xlfn.TEXTJOIN(",",TRUE,B100:E100),SF_Output!$Q$1:$Q$400,"monthly"))*H100,AND(B100&lt;&gt;"",H100=SF_Output!$Y$2,SUMIFS(SF_Output!$T$1:$T$400,SF_Output!$AC$1:$AC$400,_xlfn.TEXTJOIN(",",TRUE,B100:E100),SF_Output!$Q$1:$Q$400,"monthly")&lt;&gt;0),SUMIFS(SF_Output!$S$1:$S$400,SF_Output!$AC$1:$AC$400,_xlfn.TEXTJOIN(",",TRUE,B100:E100),SF_Output!$Q$1:$Q$400,"monthly"),AND(B100&lt;&gt;"",H100&lt;&gt;SF_Output!$Y$2),SUMIFS(SF_Output!$S$1:$S$400,SF_Output!$AC$1:$AC$400,_xlfn.TEXTJOIN(",",TRUE,B100:E100),SF_Output!$Q$1:$Q$400,"monthly"))</f>
        <v>100</v>
      </c>
      <c r="W100" s="112" cm="1">
        <f t="array" ref="W100">_xlfn.IFS(OR(B100=0,B100="",V100=0),"",AF100&lt;&gt;"exclusion",MAX($W$9,$W$7,(-(SUMIFS(SF_Output!$T$1:$T$400,SF_Output!$AC$1:$AC$400,_xlfn.TEXTJOIN(",",TRUE,$B100:$E100),SF_Output!$Q$1:$Q$400,"monthly"))/V100)),AF100="exclusion",-(SUMIFS(SF_Output!$T$1:$T$400,SF_Output!$AC$1:$AC$400,_xlfn.TEXTJOIN(",",TRUE,$B100:$E100),SF_Output!$Q$1:$Q$400,"monthly"))/V100)</f>
        <v>0</v>
      </c>
      <c r="X100" s="6" cm="1">
        <f t="array" ref="X100">IFERROR(_xlfn.IFS(V100=0,0,V100="","",W100=0,V100,OR(V100&lt;&gt;0,V100&lt;&gt;""),H100*I100),V100*(1-W100))</f>
        <v>100</v>
      </c>
      <c r="Z100" s="6">
        <f>IFERROR(IF(B100="","",SUMIFS(Billing_Fallout!H:H,Billing_Fallout!N:N,B100)),0)</f>
        <v>0</v>
      </c>
      <c r="AA100" s="6">
        <f t="shared" si="21"/>
        <v>0</v>
      </c>
      <c r="AB100" s="6">
        <f>IFERROR(IF(B100="","",SUMIFS(Billing_Fallout!J:J,Billing_Fallout!N:N,B100)),0)</f>
        <v>0</v>
      </c>
      <c r="AD100" s="6">
        <f t="shared" si="22"/>
        <v>100</v>
      </c>
      <c r="AF100" t="str">
        <f>IFERROR(INDEX(H_Tables!$B$1:$B$1500,MATCH(INDEX(SF_Output!$J$1:$J$400,MATCH(B100,SF_Output!$M$1:$M$400,0)),H_Tables!$A$1:$A$1500,0)),"")</f>
        <v>Exclusion</v>
      </c>
      <c r="AI100" s="119" t="str">
        <f t="shared" si="23"/>
        <v/>
      </c>
      <c r="AJ100" s="121">
        <f>IFERROR(INDEX(SF_Output!AD:AD,MATCH(_xlfn.TEXTJOIN(",",TRUE,B100:E100),SF_Output!AC1:AC400,0)),0.05)</f>
        <v>172</v>
      </c>
      <c r="AK100" t="str">
        <f>IF(SUMIFS(SF_Output!$F$1:$F$400,SF_Output!$AC$1:$AC$400,_xlfn.TEXTJOIN(",",TRUE,B100:E100))+SUMIFS(SF_Output!$G$1:$G$400,SF_Output!$AC$1:$AC$400,_xlfn.TEXTJOIN(",",TRUE,B100:E100))=0,"","PAP")</f>
        <v/>
      </c>
      <c r="AQ100" s="35"/>
      <c r="AR100" s="35" t="str" cm="1">
        <f t="array" ref="AR100">IFERROR(_xlfn.IFS(AND(E100*1=1,F100="Included"),"Change to Included",AND(E100*1=0,F100="Optional"),"Change to Optional",OR(B100="",F100="replaced"),""),"")</f>
        <v/>
      </c>
      <c r="AS100" s="35" t="str">
        <f t="shared" si="24"/>
        <v/>
      </c>
      <c r="AT100" s="35" t="str">
        <f t="shared" si="25"/>
        <v/>
      </c>
      <c r="AU100" s="35" t="str">
        <f t="shared" si="26"/>
        <v/>
      </c>
      <c r="AV100" s="35" t="str">
        <f t="shared" si="27"/>
        <v/>
      </c>
      <c r="AW100" s="35" t="str">
        <f t="shared" si="28"/>
        <v/>
      </c>
      <c r="AX100" s="35" t="str">
        <f t="shared" si="29"/>
        <v/>
      </c>
      <c r="AY100" s="35" t="str">
        <f t="shared" si="30"/>
        <v/>
      </c>
      <c r="AZ100" s="35" t="str">
        <f t="shared" si="31"/>
        <v/>
      </c>
      <c r="BA100" s="35" t="str">
        <f t="shared" si="32"/>
        <v/>
      </c>
      <c r="BB100" s="35" t="str">
        <f t="shared" si="33"/>
        <v/>
      </c>
      <c r="BC100" s="35"/>
      <c r="BE100" s="35">
        <f ca="1">INDEX(SF_Output!$AA$2:$AA$400,MATCH($B100,SF_Output!$M$2:$M$400,0))</f>
        <v>6</v>
      </c>
      <c r="BF100" s="35">
        <f ca="1">INDEX(SF_Output!$AB$2:$AB$400,MATCH($B100,SF_Output!$M$2:$M$400,0))</f>
        <v>1</v>
      </c>
    </row>
    <row r="101" spans="2:58" x14ac:dyDescent="0.25">
      <c r="B101" t="s">
        <v>715</v>
      </c>
      <c r="C101" t="s">
        <v>2122</v>
      </c>
      <c r="D101" t="s">
        <v>2207</v>
      </c>
      <c r="E101" t="s">
        <v>2124</v>
      </c>
      <c r="F101" s="116" t="str">
        <f t="shared" si="17"/>
        <v>Included</v>
      </c>
      <c r="G101" t="str">
        <f>IF(B101="","",INDEX(SF_Output!$K$1:$K$400,MATCH(B101,SF_Output!$M$1:$M$400,0)))</f>
        <v>Card Processing Solutions (CPS)</v>
      </c>
      <c r="H101" cm="1">
        <f t="array" ref="H101">_xlfn.IFS(B101="","",(SUMIFS(SF_Output!$F$1:$F$400,SF_Output!$AC$1:$AC$400,_xlfn.TEXTJOIN(",",TRUE,B101:E101))+SUMIFS(SF_Output!$G$1:$G$400,SF_Output!$AC$1:$AC$400,_xlfn.TEXTJOIN(",",TRUE,B101:E101)))&lt;&gt;0,SF_Output!$Y$2,INDEX(SF_Output!$F$1:$F$400,MATCH(_xlfn.TEXTJOIN(",",TRUE,B101:E101),SF_Output!$AC$1:$AC$400,0))=0,INDEX(SF_Output!$R$1:$R$400,MATCH(_xlfn.TEXTJOIN(",",TRUE,B101:E101),SF_Output!$AC$1:$AC$400,0)))</f>
        <v>1</v>
      </c>
      <c r="I101" s="125" t="str">
        <f>IFERROR(IF(AND(H101&gt;1,H101&lt;&gt;""),ROUND(SUMIFS(SF_Output!$S$1:$S$400,SF_Output!$AC$1:$AC$400,_xlfn.TEXTJOIN(",",TRUE,B101:E101),SF_Output!$Q$1:$Q$400,"monthly")*(1-W101)/H101,4),""),"")</f>
        <v/>
      </c>
      <c r="J101" s="6">
        <f>IF(B101="","",SUMIFS(SF_Output!$S$1:$S$400,SF_Output!$AC$1:$AC$400,_xlfn.TEXTJOIN(",",TRUE,B101:E101),SF_Output!$Q$1:$Q$400,"One Time",SF_Output!$L$1:$L$400,"license fee")+SUMIFS(SF_Output!$S$1:$S$400,SF_Output!$AC$1:$AC$400,_xlfn.TEXTJOIN(",",TRUE,B101:E101),SF_Output!$Q$1:$Q$400,"One Time",SF_Output!$L$1:$L$400,"software license")+SUMIFS(SF_Output!$S$1:$S$400,SF_Output!$AC$1:$AC$400,_xlfn.TEXTJOIN(",",TRUE,B101:E101),SF_Output!$Q$1:$Q$400,"One Time",SF_Output!$L$1:$L$400,"hardware"))</f>
        <v>0</v>
      </c>
      <c r="K101" s="112" t="str">
        <f>IF(OR(B101=0,B101="",G101="hardware",J101=0),"",IF(AF101&lt;&gt;"exclusion",MAX(K$9,-((SUMIFS(SF_Output!$T$1:$T$400,SF_Output!$AC$1:$AC$400,_xlfn.TEXTJOIN(",",TRUE,$B101:$E101),SF_Output!$Q$1:$Q$400,"One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license"))/J101)))</f>
        <v/>
      </c>
      <c r="L101" s="6">
        <f t="shared" si="18"/>
        <v>0</v>
      </c>
      <c r="N101" s="6">
        <f>IF(B101="","",SUMIFS(SF_Output!$S$1:$S$400,SF_Output!$AC$1:$AC$400,_xlfn.TEXTJOIN(",",TRUE,B101:E101),SF_Output!$Q$1:$Q$400,"One Time",SF_Output!$L$1:$L$400,"professional service"))</f>
        <v>500</v>
      </c>
      <c r="O101" s="112">
        <f>IF(OR(B101=0,B101="",N101=0),"",IF(AF101&lt;&gt;"exclusion",MAX(O$9,-(SUMIFS(SF_Output!$T$1:$T$400,SF_Output!$AC$1:$AC$400,_xlfn.TEXTJOIN(",",TRUE,$B101:$E101),SF_Output!$Q$1:$Q$400,"One Time",SF_Output!$L$1:$L$400,"professional service"))/N101),-((SUMIFS(SF_Output!$T$1:$T$400,SF_Output!$AC$1:$AC$400,_xlfn.TEXTJOIN(",",TRUE,$B101:$E101),SF_Output!$Q$1:$Q$400,"One Time",SF_Output!$L$1:$L$400,"professional service")/N101))))</f>
        <v>1</v>
      </c>
      <c r="P101" s="6">
        <f t="shared" si="19"/>
        <v>0</v>
      </c>
      <c r="R101" s="6">
        <f>IF(B101="","",SUMIFS(SF_Output!$S$1:$S$400,SF_Output!$AC$1:$AC$400,_xlfn.TEXTJOIN(",",TRUE,B101:E101),SF_Output!$Q$1:$Q$400,"yearly")+SUMIFS(SF_Output!$S$1:$S$400,SF_Output!$AC$1:$AC$400,_xlfn.TEXTJOIN(",",TRUE,B101:E101),SF_Output!$Q$1:$Q$400,"quarterly")*4)</f>
        <v>0</v>
      </c>
      <c r="S101" s="112" t="str">
        <f>IF(OR(B101=0,B101="",G101="hardware",R101=0),"",IF(AF101&lt;&gt;"exclusion",MAX(S$9,-(SUMIFS(SF_Output!$T$1:$T$400,SF_Output!$AC$1:$AC$400,_xlfn.TEXTJOIN(",",TRUE,$B101:$E101),SF_Output!$Q$1:$Q$400,"yearly"))/R101),-((SUMIFS(SF_Output!$T$1:$T$400,SF_Output!$AC$1:$AC$400,_xlfn.TEXTJOIN(",",TRUE,$B101:$E101),SF_Output!$Q$1:$Q$400,"yearly")/R101))))</f>
        <v/>
      </c>
      <c r="T101" s="6">
        <f t="shared" si="20"/>
        <v>0</v>
      </c>
      <c r="V101" s="6" cm="1">
        <f t="array" ref="V101">_xlfn.IFS(B101="","",AND(B101&lt;&gt;"",H101=SF_Output!$Y$2,SUMIFS(SF_Output!$T$1:$T$400,SF_Output!$AC$1:$AC$400,_xlfn.TEXTJOIN(",",TRUE,B101:E101),SF_Output!$Q$1:$Q$400,"monthly")=0),(SUMIFS(SF_Output!$F$1:$F$400,SF_Output!$AC$1:$AC$400,_xlfn.TEXTJOIN(",",TRUE,B101:E101),SF_Output!$Q$1:$Q$400,"monthly")+SUMIFS(SF_Output!$G$1:$G$400,SF_Output!$AC$1:$AC$400,_xlfn.TEXTJOIN(",",TRUE,B101:E101),SF_Output!$Q$1:$Q$400,"monthly"))*H101,AND(B101&lt;&gt;"",H101=SF_Output!$Y$2,SUMIFS(SF_Output!$T$1:$T$400,SF_Output!$AC$1:$AC$400,_xlfn.TEXTJOIN(",",TRUE,B101:E101),SF_Output!$Q$1:$Q$400,"monthly")&lt;&gt;0),SUMIFS(SF_Output!$S$1:$S$400,SF_Output!$AC$1:$AC$400,_xlfn.TEXTJOIN(",",TRUE,B101:E101),SF_Output!$Q$1:$Q$400,"monthly"),AND(B101&lt;&gt;"",H101&lt;&gt;SF_Output!$Y$2),SUMIFS(SF_Output!$S$1:$S$400,SF_Output!$AC$1:$AC$400,_xlfn.TEXTJOIN(",",TRUE,B101:E101),SF_Output!$Q$1:$Q$400,"monthly"))</f>
        <v>75</v>
      </c>
      <c r="W101" s="112" cm="1">
        <f t="array" ref="W101">_xlfn.IFS(OR(B101=0,B101="",V101=0),"",AF101&lt;&gt;"exclusion",MAX($W$9,$W$7,(-(SUMIFS(SF_Output!$T$1:$T$400,SF_Output!$AC$1:$AC$400,_xlfn.TEXTJOIN(",",TRUE,$B101:$E101),SF_Output!$Q$1:$Q$400,"monthly"))/V101)),AF101="exclusion",-(SUMIFS(SF_Output!$T$1:$T$400,SF_Output!$AC$1:$AC$400,_xlfn.TEXTJOIN(",",TRUE,$B101:$E101),SF_Output!$Q$1:$Q$400,"monthly"))/V101)</f>
        <v>0</v>
      </c>
      <c r="X101" s="6" cm="1">
        <f t="array" ref="X101">IFERROR(_xlfn.IFS(V101=0,0,V101="","",W101=0,V101,OR(V101&lt;&gt;0,V101&lt;&gt;""),H101*I101),V101*(1-W101))</f>
        <v>75</v>
      </c>
      <c r="Z101" s="6">
        <f>IFERROR(IF(B101="","",SUMIFS(Billing_Fallout!H:H,Billing_Fallout!N:N,B101)),0)</f>
        <v>0</v>
      </c>
      <c r="AA101" s="6">
        <f t="shared" si="21"/>
        <v>0</v>
      </c>
      <c r="AB101" s="6">
        <f>IFERROR(IF(B101="","",SUMIFS(Billing_Fallout!J:J,Billing_Fallout!N:N,B101)),0)</f>
        <v>0</v>
      </c>
      <c r="AD101" s="6">
        <f t="shared" si="22"/>
        <v>75</v>
      </c>
      <c r="AF101" t="str">
        <f>IFERROR(INDEX(H_Tables!$B$1:$B$1500,MATCH(INDEX(SF_Output!$J$1:$J$400,MATCH(B101,SF_Output!$M$1:$M$400,0)),H_Tables!$A$1:$A$1500,0)),"")</f>
        <v>Exclusion</v>
      </c>
      <c r="AI101" s="119" t="str">
        <f t="shared" si="23"/>
        <v/>
      </c>
      <c r="AJ101" s="121">
        <f>IFERROR(INDEX(SF_Output!AD:AD,MATCH(_xlfn.TEXTJOIN(",",TRUE,B101:E101),SF_Output!AC1:AC400,0)),0.05)</f>
        <v>173</v>
      </c>
      <c r="AK101" t="str">
        <f>IF(SUMIFS(SF_Output!$F$1:$F$400,SF_Output!$AC$1:$AC$400,_xlfn.TEXTJOIN(",",TRUE,B101:E101))+SUMIFS(SF_Output!$G$1:$G$400,SF_Output!$AC$1:$AC$400,_xlfn.TEXTJOIN(",",TRUE,B101:E101))=0,"","PAP")</f>
        <v/>
      </c>
      <c r="AQ101" s="35"/>
      <c r="AR101" s="35" t="str" cm="1">
        <f t="array" ref="AR101">IFERROR(_xlfn.IFS(AND(E101*1=1,F101="Included"),"Change to Included",AND(E101*1=0,F101="Optional"),"Change to Optional",OR(B101="",F101="replaced"),""),"")</f>
        <v/>
      </c>
      <c r="AS101" s="35" t="str">
        <f t="shared" si="24"/>
        <v/>
      </c>
      <c r="AT101" s="35" t="str">
        <f t="shared" si="25"/>
        <v/>
      </c>
      <c r="AU101" s="35" t="str">
        <f t="shared" si="26"/>
        <v/>
      </c>
      <c r="AV101" s="35" t="str">
        <f t="shared" si="27"/>
        <v/>
      </c>
      <c r="AW101" s="35" t="str">
        <f t="shared" si="28"/>
        <v/>
      </c>
      <c r="AX101" s="35" t="str">
        <f t="shared" si="29"/>
        <v/>
      </c>
      <c r="AY101" s="35" t="str">
        <f t="shared" si="30"/>
        <v/>
      </c>
      <c r="AZ101" s="35" t="str">
        <f t="shared" si="31"/>
        <v/>
      </c>
      <c r="BA101" s="35" t="str">
        <f t="shared" si="32"/>
        <v/>
      </c>
      <c r="BB101" s="35" t="str">
        <f t="shared" si="33"/>
        <v/>
      </c>
      <c r="BC101" s="35"/>
      <c r="BE101" s="35">
        <f ca="1">INDEX(SF_Output!$AA$2:$AA$400,MATCH($B101,SF_Output!$M$2:$M$400,0))</f>
        <v>6</v>
      </c>
      <c r="BF101" s="35">
        <f ca="1">INDEX(SF_Output!$AB$2:$AB$400,MATCH($B101,SF_Output!$M$2:$M$400,0))</f>
        <v>1</v>
      </c>
    </row>
    <row r="102" spans="2:58" x14ac:dyDescent="0.25">
      <c r="B102" t="s">
        <v>716</v>
      </c>
      <c r="C102" t="s">
        <v>2122</v>
      </c>
      <c r="D102" t="s">
        <v>2207</v>
      </c>
      <c r="E102" t="s">
        <v>2124</v>
      </c>
      <c r="F102" s="116" t="str">
        <f t="shared" si="17"/>
        <v>Included</v>
      </c>
      <c r="G102" t="str">
        <f>IF(B102="","",INDEX(SF_Output!$K$1:$K$400,MATCH(B102,SF_Output!$M$1:$M$400,0)))</f>
        <v>Card Processing Solutions (CPS)</v>
      </c>
      <c r="H102" cm="1">
        <f t="array" ref="H102">_xlfn.IFS(B102="","",(SUMIFS(SF_Output!$F$1:$F$400,SF_Output!$AC$1:$AC$400,_xlfn.TEXTJOIN(",",TRUE,B102:E102))+SUMIFS(SF_Output!$G$1:$G$400,SF_Output!$AC$1:$AC$400,_xlfn.TEXTJOIN(",",TRUE,B102:E102)))&lt;&gt;0,SF_Output!$Y$2,INDEX(SF_Output!$F$1:$F$400,MATCH(_xlfn.TEXTJOIN(",",TRUE,B102:E102),SF_Output!$AC$1:$AC$400,0))=0,INDEX(SF_Output!$R$1:$R$400,MATCH(_xlfn.TEXTJOIN(",",TRUE,B102:E102),SF_Output!$AC$1:$AC$400,0)))</f>
        <v>3</v>
      </c>
      <c r="I102" s="125">
        <f>IFERROR(IF(AND(H102&gt;1,H102&lt;&gt;""),ROUND(SUMIFS(SF_Output!$S$1:$S$400,SF_Output!$AC$1:$AC$400,_xlfn.TEXTJOIN(",",TRUE,B102:E102),SF_Output!$Q$1:$Q$400,"monthly")*(1-W102)/H102,4),""),"")</f>
        <v>75</v>
      </c>
      <c r="J102" s="6">
        <f>IF(B102="","",SUMIFS(SF_Output!$S$1:$S$400,SF_Output!$AC$1:$AC$400,_xlfn.TEXTJOIN(",",TRUE,B102:E102),SF_Output!$Q$1:$Q$400,"One Time",SF_Output!$L$1:$L$400,"license fee")+SUMIFS(SF_Output!$S$1:$S$400,SF_Output!$AC$1:$AC$400,_xlfn.TEXTJOIN(",",TRUE,B102:E102),SF_Output!$Q$1:$Q$400,"One Time",SF_Output!$L$1:$L$400,"software license")+SUMIFS(SF_Output!$S$1:$S$400,SF_Output!$AC$1:$AC$400,_xlfn.TEXTJOIN(",",TRUE,B102:E102),SF_Output!$Q$1:$Q$400,"One Time",SF_Output!$L$1:$L$400,"hardware"))</f>
        <v>0</v>
      </c>
      <c r="K102" s="112" t="str">
        <f>IF(OR(B102=0,B102="",G102="hardware",J102=0),"",IF(AF102&lt;&gt;"exclusion",MAX(K$9,-((SUMIFS(SF_Output!$T$1:$T$400,SF_Output!$AC$1:$AC$400,_xlfn.TEXTJOIN(",",TRUE,$B102:$E102),SF_Output!$Q$1:$Q$400,"One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license"))/J102)))</f>
        <v/>
      </c>
      <c r="L102" s="6">
        <f t="shared" si="18"/>
        <v>0</v>
      </c>
      <c r="N102" s="6">
        <f>IF(B102="","",SUMIFS(SF_Output!$S$1:$S$400,SF_Output!$AC$1:$AC$400,_xlfn.TEXTJOIN(",",TRUE,B102:E102),SF_Output!$Q$1:$Q$400,"One Time",SF_Output!$L$1:$L$400,"professional service"))</f>
        <v>1500</v>
      </c>
      <c r="O102" s="112">
        <f>IF(OR(B102=0,B102="",N102=0),"",IF(AF102&lt;&gt;"exclusion",MAX(O$9,-(SUMIFS(SF_Output!$T$1:$T$400,SF_Output!$AC$1:$AC$400,_xlfn.TEXTJOIN(",",TRUE,$B102:$E102),SF_Output!$Q$1:$Q$400,"One Time",SF_Output!$L$1:$L$400,"professional service"))/N102),-((SUMIFS(SF_Output!$T$1:$T$400,SF_Output!$AC$1:$AC$400,_xlfn.TEXTJOIN(",",TRUE,$B102:$E102),SF_Output!$Q$1:$Q$400,"One Time",SF_Output!$L$1:$L$400,"professional service")/N102))))</f>
        <v>1</v>
      </c>
      <c r="P102" s="6">
        <f t="shared" si="19"/>
        <v>0</v>
      </c>
      <c r="R102" s="6">
        <f>IF(B102="","",SUMIFS(SF_Output!$S$1:$S$400,SF_Output!$AC$1:$AC$400,_xlfn.TEXTJOIN(",",TRUE,B102:E102),SF_Output!$Q$1:$Q$400,"yearly")+SUMIFS(SF_Output!$S$1:$S$400,SF_Output!$AC$1:$AC$400,_xlfn.TEXTJOIN(",",TRUE,B102:E102),SF_Output!$Q$1:$Q$400,"quarterly")*4)</f>
        <v>0</v>
      </c>
      <c r="S102" s="112" t="str">
        <f>IF(OR(B102=0,B102="",G102="hardware",R102=0),"",IF(AF102&lt;&gt;"exclusion",MAX(S$9,-(SUMIFS(SF_Output!$T$1:$T$400,SF_Output!$AC$1:$AC$400,_xlfn.TEXTJOIN(",",TRUE,$B102:$E102),SF_Output!$Q$1:$Q$400,"yearly"))/R102),-((SUMIFS(SF_Output!$T$1:$T$400,SF_Output!$AC$1:$AC$400,_xlfn.TEXTJOIN(",",TRUE,$B102:$E102),SF_Output!$Q$1:$Q$400,"yearly")/R102))))</f>
        <v/>
      </c>
      <c r="T102" s="6">
        <f t="shared" si="20"/>
        <v>0</v>
      </c>
      <c r="V102" s="6" cm="1">
        <f t="array" ref="V102">_xlfn.IFS(B102="","",AND(B102&lt;&gt;"",H102=SF_Output!$Y$2,SUMIFS(SF_Output!$T$1:$T$400,SF_Output!$AC$1:$AC$400,_xlfn.TEXTJOIN(",",TRUE,B102:E102),SF_Output!$Q$1:$Q$400,"monthly")=0),(SUMIFS(SF_Output!$F$1:$F$400,SF_Output!$AC$1:$AC$400,_xlfn.TEXTJOIN(",",TRUE,B102:E102),SF_Output!$Q$1:$Q$400,"monthly")+SUMIFS(SF_Output!$G$1:$G$400,SF_Output!$AC$1:$AC$400,_xlfn.TEXTJOIN(",",TRUE,B102:E102),SF_Output!$Q$1:$Q$400,"monthly"))*H102,AND(B102&lt;&gt;"",H102=SF_Output!$Y$2,SUMIFS(SF_Output!$T$1:$T$400,SF_Output!$AC$1:$AC$400,_xlfn.TEXTJOIN(",",TRUE,B102:E102),SF_Output!$Q$1:$Q$400,"monthly")&lt;&gt;0),SUMIFS(SF_Output!$S$1:$S$400,SF_Output!$AC$1:$AC$400,_xlfn.TEXTJOIN(",",TRUE,B102:E102),SF_Output!$Q$1:$Q$400,"monthly"),AND(B102&lt;&gt;"",H102&lt;&gt;SF_Output!$Y$2),SUMIFS(SF_Output!$S$1:$S$400,SF_Output!$AC$1:$AC$400,_xlfn.TEXTJOIN(",",TRUE,B102:E102),SF_Output!$Q$1:$Q$400,"monthly"))</f>
        <v>225</v>
      </c>
      <c r="W102" s="112" cm="1">
        <f t="array" ref="W102">_xlfn.IFS(OR(B102=0,B102="",V102=0),"",AF102&lt;&gt;"exclusion",MAX($W$9,$W$7,(-(SUMIFS(SF_Output!$T$1:$T$400,SF_Output!$AC$1:$AC$400,_xlfn.TEXTJOIN(",",TRUE,$B102:$E102),SF_Output!$Q$1:$Q$400,"monthly"))/V102)),AF102="exclusion",-(SUMIFS(SF_Output!$T$1:$T$400,SF_Output!$AC$1:$AC$400,_xlfn.TEXTJOIN(",",TRUE,$B102:$E102),SF_Output!$Q$1:$Q$400,"monthly"))/V102)</f>
        <v>0</v>
      </c>
      <c r="X102" s="6" cm="1">
        <f t="array" ref="X102">IFERROR(_xlfn.IFS(V102=0,0,V102="","",W102=0,V102,OR(V102&lt;&gt;0,V102&lt;&gt;""),H102*I102),V102*(1-W102))</f>
        <v>225</v>
      </c>
      <c r="Z102" s="6">
        <f>IFERROR(IF(B102="","",SUMIFS(Billing_Fallout!H:H,Billing_Fallout!N:N,B102)),0)</f>
        <v>0</v>
      </c>
      <c r="AA102" s="6">
        <f t="shared" si="21"/>
        <v>0</v>
      </c>
      <c r="AB102" s="6">
        <f>IFERROR(IF(B102="","",SUMIFS(Billing_Fallout!J:J,Billing_Fallout!N:N,B102)),0)</f>
        <v>0</v>
      </c>
      <c r="AD102" s="6">
        <f t="shared" si="22"/>
        <v>225</v>
      </c>
      <c r="AF102" t="str">
        <f>IFERROR(INDEX(H_Tables!$B$1:$B$1500,MATCH(INDEX(SF_Output!$J$1:$J$400,MATCH(B102,SF_Output!$M$1:$M$400,0)),H_Tables!$A$1:$A$1500,0)),"")</f>
        <v>Exclusion</v>
      </c>
      <c r="AI102" s="119" t="str">
        <f t="shared" si="23"/>
        <v/>
      </c>
      <c r="AJ102" s="121">
        <f>IFERROR(INDEX(SF_Output!AD:AD,MATCH(_xlfn.TEXTJOIN(",",TRUE,B102:E102),SF_Output!AC1:AC400,0)),0.05)</f>
        <v>175</v>
      </c>
      <c r="AK102" t="str">
        <f>IF(SUMIFS(SF_Output!$F$1:$F$400,SF_Output!$AC$1:$AC$400,_xlfn.TEXTJOIN(",",TRUE,B102:E102))+SUMIFS(SF_Output!$G$1:$G$400,SF_Output!$AC$1:$AC$400,_xlfn.TEXTJOIN(",",TRUE,B102:E102))=0,"","PAP")</f>
        <v/>
      </c>
      <c r="AQ102" s="35"/>
      <c r="AR102" s="35" t="str" cm="1">
        <f t="array" ref="AR102">IFERROR(_xlfn.IFS(AND(E102*1=1,F102="Included"),"Change to Included",AND(E102*1=0,F102="Optional"),"Change to Optional",OR(B102="",F102="replaced"),""),"")</f>
        <v/>
      </c>
      <c r="AS102" s="35" t="str">
        <f t="shared" si="24"/>
        <v/>
      </c>
      <c r="AT102" s="35" t="str">
        <f t="shared" si="25"/>
        <v/>
      </c>
      <c r="AU102" s="35" t="str">
        <f t="shared" si="26"/>
        <v/>
      </c>
      <c r="AV102" s="35" t="str">
        <f t="shared" si="27"/>
        <v/>
      </c>
      <c r="AW102" s="35" t="str">
        <f t="shared" si="28"/>
        <v/>
      </c>
      <c r="AX102" s="35" t="str">
        <f t="shared" si="29"/>
        <v/>
      </c>
      <c r="AY102" s="35" t="str">
        <f t="shared" si="30"/>
        <v/>
      </c>
      <c r="AZ102" s="35" t="str">
        <f t="shared" si="31"/>
        <v/>
      </c>
      <c r="BA102" s="35" t="str">
        <f t="shared" si="32"/>
        <v/>
      </c>
      <c r="BB102" s="35" t="str">
        <f t="shared" si="33"/>
        <v/>
      </c>
      <c r="BC102" s="35"/>
      <c r="BE102" s="35">
        <f ca="1">INDEX(SF_Output!$AA$2:$AA$400,MATCH($B102,SF_Output!$M$2:$M$400,0))</f>
        <v>6</v>
      </c>
      <c r="BF102" s="35">
        <f ca="1">INDEX(SF_Output!$AB$2:$AB$400,MATCH($B102,SF_Output!$M$2:$M$400,0))</f>
        <v>1</v>
      </c>
    </row>
    <row r="103" spans="2:58" x14ac:dyDescent="0.25">
      <c r="B103" t="s">
        <v>2363</v>
      </c>
      <c r="C103" t="s">
        <v>2122</v>
      </c>
      <c r="D103" t="s">
        <v>2207</v>
      </c>
      <c r="E103" t="s">
        <v>2124</v>
      </c>
      <c r="F103" s="116" t="str">
        <f t="shared" si="17"/>
        <v>Included</v>
      </c>
      <c r="G103" t="str">
        <f>IF(B103="","",INDEX(SF_Output!$K$1:$K$400,MATCH(B103,SF_Output!$M$1:$M$400,0)))</f>
        <v>Card Processing Solutions (CPS)</v>
      </c>
      <c r="H103" cm="1">
        <f t="array" ref="H103">_xlfn.IFS(B103="","",(SUMIFS(SF_Output!$F$1:$F$400,SF_Output!$AC$1:$AC$400,_xlfn.TEXTJOIN(",",TRUE,B103:E103))+SUMIFS(SF_Output!$G$1:$G$400,SF_Output!$AC$1:$AC$400,_xlfn.TEXTJOIN(",",TRUE,B103:E103)))&lt;&gt;0,SF_Output!$Y$2,INDEX(SF_Output!$F$1:$F$400,MATCH(_xlfn.TEXTJOIN(",",TRUE,B103:E103),SF_Output!$AC$1:$AC$400,0))=0,INDEX(SF_Output!$R$1:$R$400,MATCH(_xlfn.TEXTJOIN(",",TRUE,B103:E103),SF_Output!$AC$1:$AC$400,0)))</f>
        <v>0</v>
      </c>
      <c r="I103" s="125" t="str">
        <f>IFERROR(IF(AND(H103&gt;1,H103&lt;&gt;""),ROUND(SUMIFS(SF_Output!$S$1:$S$400,SF_Output!$AC$1:$AC$400,_xlfn.TEXTJOIN(",",TRUE,B103:E103),SF_Output!$Q$1:$Q$400,"monthly")*(1-W103)/H103,4),""),"")</f>
        <v/>
      </c>
      <c r="J103" s="6">
        <f>IF(B103="","",SUMIFS(SF_Output!$S$1:$S$400,SF_Output!$AC$1:$AC$400,_xlfn.TEXTJOIN(",",TRUE,B103:E103),SF_Output!$Q$1:$Q$400,"One Time",SF_Output!$L$1:$L$400,"license fee")+SUMIFS(SF_Output!$S$1:$S$400,SF_Output!$AC$1:$AC$400,_xlfn.TEXTJOIN(",",TRUE,B103:E103),SF_Output!$Q$1:$Q$400,"One Time",SF_Output!$L$1:$L$400,"software license")+SUMIFS(SF_Output!$S$1:$S$400,SF_Output!$AC$1:$AC$400,_xlfn.TEXTJOIN(",",TRUE,B103:E103),SF_Output!$Q$1:$Q$400,"One Time",SF_Output!$L$1:$L$400,"hardware"))</f>
        <v>0</v>
      </c>
      <c r="K103" s="112" t="str">
        <f>IF(OR(B103=0,B103="",G103="hardware",J103=0),"",IF(AF103&lt;&gt;"exclusion",MAX(K$9,-((SUMIFS(SF_Output!$T$1:$T$400,SF_Output!$AC$1:$AC$400,_xlfn.TEXTJOIN(",",TRUE,$B103:$E103),SF_Output!$Q$1:$Q$400,"One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license"))/J103)))</f>
        <v/>
      </c>
      <c r="L103" s="6">
        <f t="shared" si="18"/>
        <v>0</v>
      </c>
      <c r="N103" s="6">
        <f>IF(B103="","",SUMIFS(SF_Output!$S$1:$S$400,SF_Output!$AC$1:$AC$400,_xlfn.TEXTJOIN(",",TRUE,B103:E103),SF_Output!$Q$1:$Q$400,"One Time",SF_Output!$L$1:$L$400,"professional service"))</f>
        <v>200</v>
      </c>
      <c r="O103" s="112">
        <f>IF(OR(B103=0,B103="",N103=0),"",IF(AF103&lt;&gt;"exclusion",MAX(O$9,-(SUMIFS(SF_Output!$T$1:$T$400,SF_Output!$AC$1:$AC$400,_xlfn.TEXTJOIN(",",TRUE,$B103:$E103),SF_Output!$Q$1:$Q$400,"One Time",SF_Output!$L$1:$L$400,"professional service"))/N103),-((SUMIFS(SF_Output!$T$1:$T$400,SF_Output!$AC$1:$AC$400,_xlfn.TEXTJOIN(",",TRUE,$B103:$E103),SF_Output!$Q$1:$Q$400,"One Time",SF_Output!$L$1:$L$400,"professional service")/N103))))</f>
        <v>1</v>
      </c>
      <c r="P103" s="6">
        <f t="shared" si="19"/>
        <v>0</v>
      </c>
      <c r="R103" s="6">
        <f>IF(B103="","",SUMIFS(SF_Output!$S$1:$S$400,SF_Output!$AC$1:$AC$400,_xlfn.TEXTJOIN(",",TRUE,B103:E103),SF_Output!$Q$1:$Q$400,"yearly")+SUMIFS(SF_Output!$S$1:$S$400,SF_Output!$AC$1:$AC$400,_xlfn.TEXTJOIN(",",TRUE,B103:E103),SF_Output!$Q$1:$Q$400,"quarterly")*4)</f>
        <v>0</v>
      </c>
      <c r="S103" s="112" t="str">
        <f>IF(OR(B103=0,B103="",G103="hardware",R103=0),"",IF(AF103&lt;&gt;"exclusion",MAX(S$9,-(SUMIFS(SF_Output!$T$1:$T$400,SF_Output!$AC$1:$AC$400,_xlfn.TEXTJOIN(",",TRUE,$B103:$E103),SF_Output!$Q$1:$Q$400,"yearly"))/R103),-((SUMIFS(SF_Output!$T$1:$T$400,SF_Output!$AC$1:$AC$400,_xlfn.TEXTJOIN(",",TRUE,$B103:$E103),SF_Output!$Q$1:$Q$400,"yearly")/R103))))</f>
        <v/>
      </c>
      <c r="T103" s="6">
        <f t="shared" si="20"/>
        <v>0</v>
      </c>
      <c r="V103" s="6" cm="1">
        <f t="array" ref="V103">_xlfn.IFS(B103="","",AND(B103&lt;&gt;"",H103=SF_Output!$Y$2,SUMIFS(SF_Output!$T$1:$T$400,SF_Output!$AC$1:$AC$400,_xlfn.TEXTJOIN(",",TRUE,B103:E103),SF_Output!$Q$1:$Q$400,"monthly")=0),(SUMIFS(SF_Output!$F$1:$F$400,SF_Output!$AC$1:$AC$400,_xlfn.TEXTJOIN(",",TRUE,B103:E103),SF_Output!$Q$1:$Q$400,"monthly")+SUMIFS(SF_Output!$G$1:$G$400,SF_Output!$AC$1:$AC$400,_xlfn.TEXTJOIN(",",TRUE,B103:E103),SF_Output!$Q$1:$Q$400,"monthly"))*H103,AND(B103&lt;&gt;"",H103=SF_Output!$Y$2,SUMIFS(SF_Output!$T$1:$T$400,SF_Output!$AC$1:$AC$400,_xlfn.TEXTJOIN(",",TRUE,B103:E103),SF_Output!$Q$1:$Q$400,"monthly")&lt;&gt;0),SUMIFS(SF_Output!$S$1:$S$400,SF_Output!$AC$1:$AC$400,_xlfn.TEXTJOIN(",",TRUE,B103:E103),SF_Output!$Q$1:$Q$400,"monthly"),AND(B103&lt;&gt;"",H103&lt;&gt;SF_Output!$Y$2),SUMIFS(SF_Output!$S$1:$S$400,SF_Output!$AC$1:$AC$400,_xlfn.TEXTJOIN(",",TRUE,B103:E103),SF_Output!$Q$1:$Q$400,"monthly"))</f>
        <v>0</v>
      </c>
      <c r="W103" s="112" t="str" cm="1">
        <f t="array" ref="W103">_xlfn.IFS(OR(B103=0,B103="",V103=0),"",AF103&lt;&gt;"exclusion",MAX($W$9,$W$7,(-(SUMIFS(SF_Output!$T$1:$T$400,SF_Output!$AC$1:$AC$400,_xlfn.TEXTJOIN(",",TRUE,$B103:$E103),SF_Output!$Q$1:$Q$400,"monthly"))/V103)),AF103="exclusion",-(SUMIFS(SF_Output!$T$1:$T$400,SF_Output!$AC$1:$AC$400,_xlfn.TEXTJOIN(",",TRUE,$B103:$E103),SF_Output!$Q$1:$Q$400,"monthly"))/V103)</f>
        <v/>
      </c>
      <c r="X103" s="6" cm="1">
        <f t="array" ref="X103">IFERROR(_xlfn.IFS(V103=0,0,V103="","",W103=0,V103,OR(V103&lt;&gt;0,V103&lt;&gt;""),H103*I103),V103*(1-W103))</f>
        <v>0</v>
      </c>
      <c r="Z103" s="6">
        <f>IFERROR(IF(B103="","",SUMIFS(Billing_Fallout!H:H,Billing_Fallout!N:N,B103)),0)</f>
        <v>0</v>
      </c>
      <c r="AA103" s="6">
        <f t="shared" si="21"/>
        <v>0</v>
      </c>
      <c r="AB103" s="6">
        <f>IFERROR(IF(B103="","",SUMIFS(Billing_Fallout!J:J,Billing_Fallout!N:N,B103)),0)</f>
        <v>0</v>
      </c>
      <c r="AD103" s="6">
        <f t="shared" si="22"/>
        <v>0</v>
      </c>
      <c r="AF103" t="str">
        <f>IFERROR(INDEX(H_Tables!$B$1:$B$1500,MATCH(INDEX(SF_Output!$J$1:$J$400,MATCH(B103,SF_Output!$M$1:$M$400,0)),H_Tables!$A$1:$A$1500,0)),"")</f>
        <v>Exclusion</v>
      </c>
      <c r="AI103" s="119" t="str">
        <f t="shared" si="23"/>
        <v/>
      </c>
      <c r="AJ103" s="121">
        <f>IFERROR(INDEX(SF_Output!AD:AD,MATCH(_xlfn.TEXTJOIN(",",TRUE,B103:E103),SF_Output!AC1:AC400,0)),0.05)</f>
        <v>177</v>
      </c>
      <c r="AK103" t="str">
        <f>IF(SUMIFS(SF_Output!$F$1:$F$400,SF_Output!$AC$1:$AC$400,_xlfn.TEXTJOIN(",",TRUE,B103:E103))+SUMIFS(SF_Output!$G$1:$G$400,SF_Output!$AC$1:$AC$400,_xlfn.TEXTJOIN(",",TRUE,B103:E103))=0,"","PAP")</f>
        <v/>
      </c>
      <c r="AQ103" s="35"/>
      <c r="AR103" s="35" t="str" cm="1">
        <f t="array" ref="AR103">IFERROR(_xlfn.IFS(AND(E103*1=1,F103="Included"),"Change to Included",AND(E103*1=0,F103="Optional"),"Change to Optional",OR(B103="",F103="replaced"),""),"")</f>
        <v/>
      </c>
      <c r="AS103" s="35" t="str">
        <f t="shared" si="24"/>
        <v/>
      </c>
      <c r="AT103" s="35" t="str">
        <f t="shared" si="25"/>
        <v/>
      </c>
      <c r="AU103" s="35" t="str">
        <f t="shared" si="26"/>
        <v/>
      </c>
      <c r="AV103" s="35" t="str">
        <f t="shared" si="27"/>
        <v/>
      </c>
      <c r="AW103" s="35" t="str">
        <f t="shared" si="28"/>
        <v/>
      </c>
      <c r="AX103" s="35" t="str">
        <f t="shared" si="29"/>
        <v/>
      </c>
      <c r="AY103" s="35" t="str">
        <f t="shared" si="30"/>
        <v/>
      </c>
      <c r="AZ103" s="35" t="str">
        <f t="shared" si="31"/>
        <v/>
      </c>
      <c r="BA103" s="35" t="str">
        <f t="shared" si="32"/>
        <v/>
      </c>
      <c r="BB103" s="35" t="str">
        <f t="shared" si="33"/>
        <v/>
      </c>
      <c r="BC103" s="35"/>
      <c r="BE103" s="35">
        <f ca="1">INDEX(SF_Output!$AA$2:$AA$400,MATCH($B103,SF_Output!$M$2:$M$400,0))</f>
        <v>6</v>
      </c>
      <c r="BF103" s="35">
        <f ca="1">INDEX(SF_Output!$AB$2:$AB$400,MATCH($B103,SF_Output!$M$2:$M$400,0))</f>
        <v>1</v>
      </c>
    </row>
    <row r="104" spans="2:58" x14ac:dyDescent="0.25">
      <c r="B104" t="s">
        <v>1730</v>
      </c>
      <c r="C104" t="s">
        <v>2122</v>
      </c>
      <c r="D104" t="s">
        <v>2207</v>
      </c>
      <c r="E104" t="s">
        <v>2124</v>
      </c>
      <c r="F104" s="116" t="str">
        <f t="shared" si="17"/>
        <v>Included</v>
      </c>
      <c r="G104" t="str">
        <f>IF(B104="","",INDEX(SF_Output!$K$1:$K$400,MATCH(B104,SF_Output!$M$1:$M$400,0)))</f>
        <v>Card Processing Solutions (CPS)</v>
      </c>
      <c r="H104" cm="1">
        <f t="array" ref="H104">_xlfn.IFS(B104="","",(SUMIFS(SF_Output!$F$1:$F$400,SF_Output!$AC$1:$AC$400,_xlfn.TEXTJOIN(",",TRUE,B104:E104))+SUMIFS(SF_Output!$G$1:$G$400,SF_Output!$AC$1:$AC$400,_xlfn.TEXTJOIN(",",TRUE,B104:E104)))&lt;&gt;0,SF_Output!$Y$2,INDEX(SF_Output!$F$1:$F$400,MATCH(_xlfn.TEXTJOIN(",",TRUE,B104:E104),SF_Output!$AC$1:$AC$400,0))=0,INDEX(SF_Output!$R$1:$R$400,MATCH(_xlfn.TEXTJOIN(",",TRUE,B104:E104),SF_Output!$AC$1:$AC$400,0)))</f>
        <v>0</v>
      </c>
      <c r="I104" s="125" t="str">
        <f>IFERROR(IF(AND(H104&gt;1,H104&lt;&gt;""),ROUND(SUMIFS(SF_Output!$S$1:$S$400,SF_Output!$AC$1:$AC$400,_xlfn.TEXTJOIN(",",TRUE,B104:E104),SF_Output!$Q$1:$Q$400,"monthly")*(1-W104)/H104,4),""),"")</f>
        <v/>
      </c>
      <c r="J104" s="6">
        <f>IF(B104="","",SUMIFS(SF_Output!$S$1:$S$400,SF_Output!$AC$1:$AC$400,_xlfn.TEXTJOIN(",",TRUE,B104:E104),SF_Output!$Q$1:$Q$400,"One Time",SF_Output!$L$1:$L$400,"license fee")+SUMIFS(SF_Output!$S$1:$S$400,SF_Output!$AC$1:$AC$400,_xlfn.TEXTJOIN(",",TRUE,B104:E104),SF_Output!$Q$1:$Q$400,"One Time",SF_Output!$L$1:$L$400,"software license")+SUMIFS(SF_Output!$S$1:$S$400,SF_Output!$AC$1:$AC$400,_xlfn.TEXTJOIN(",",TRUE,B104:E104),SF_Output!$Q$1:$Q$400,"One Time",SF_Output!$L$1:$L$400,"hardware"))</f>
        <v>0</v>
      </c>
      <c r="K104" s="112" t="str">
        <f>IF(OR(B104=0,B104="",G104="hardware",J104=0),"",IF(AF104&lt;&gt;"exclusion",MAX(K$9,-((SUMIFS(SF_Output!$T$1:$T$400,SF_Output!$AC$1:$AC$400,_xlfn.TEXTJOIN(",",TRUE,$B104:$E104),SF_Output!$Q$1:$Q$400,"One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license"))/J104)))</f>
        <v/>
      </c>
      <c r="L104" s="6">
        <f t="shared" si="18"/>
        <v>0</v>
      </c>
      <c r="N104" s="6">
        <f>IF(B104="","",SUMIFS(SF_Output!$S$1:$S$400,SF_Output!$AC$1:$AC$400,_xlfn.TEXTJOIN(",",TRUE,B104:E104),SF_Output!$Q$1:$Q$400,"One Time",SF_Output!$L$1:$L$400,"professional service"))</f>
        <v>0</v>
      </c>
      <c r="O104" s="112" t="str">
        <f>IF(OR(B104=0,B104="",N104=0),"",IF(AF104&lt;&gt;"exclusion",MAX(O$9,-(SUMIFS(SF_Output!$T$1:$T$400,SF_Output!$AC$1:$AC$400,_xlfn.TEXTJOIN(",",TRUE,$B104:$E104),SF_Output!$Q$1:$Q$400,"One Time",SF_Output!$L$1:$L$400,"professional service"))/N104),-((SUMIFS(SF_Output!$T$1:$T$400,SF_Output!$AC$1:$AC$400,_xlfn.TEXTJOIN(",",TRUE,$B104:$E104),SF_Output!$Q$1:$Q$400,"One Time",SF_Output!$L$1:$L$400,"professional service")/N104))))</f>
        <v/>
      </c>
      <c r="P104" s="6">
        <f t="shared" si="19"/>
        <v>0</v>
      </c>
      <c r="R104" s="6">
        <f>IF(B104="","",SUMIFS(SF_Output!$S$1:$S$400,SF_Output!$AC$1:$AC$400,_xlfn.TEXTJOIN(",",TRUE,B104:E104),SF_Output!$Q$1:$Q$400,"yearly")+SUMIFS(SF_Output!$S$1:$S$400,SF_Output!$AC$1:$AC$400,_xlfn.TEXTJOIN(",",TRUE,B104:E104),SF_Output!$Q$1:$Q$400,"quarterly")*4)</f>
        <v>0</v>
      </c>
      <c r="S104" s="112" t="str">
        <f>IF(OR(B104=0,B104="",G104="hardware",R104=0),"",IF(AF104&lt;&gt;"exclusion",MAX(S$9,-(SUMIFS(SF_Output!$T$1:$T$400,SF_Output!$AC$1:$AC$400,_xlfn.TEXTJOIN(",",TRUE,$B104:$E104),SF_Output!$Q$1:$Q$400,"yearly"))/R104),-((SUMIFS(SF_Output!$T$1:$T$400,SF_Output!$AC$1:$AC$400,_xlfn.TEXTJOIN(",",TRUE,$B104:$E104),SF_Output!$Q$1:$Q$400,"yearly")/R104))))</f>
        <v/>
      </c>
      <c r="T104" s="6">
        <f t="shared" si="20"/>
        <v>0</v>
      </c>
      <c r="V104" s="6" cm="1">
        <f t="array" ref="V104">_xlfn.IFS(B104="","",AND(B104&lt;&gt;"",H104=SF_Output!$Y$2,SUMIFS(SF_Output!$T$1:$T$400,SF_Output!$AC$1:$AC$400,_xlfn.TEXTJOIN(",",TRUE,B104:E104),SF_Output!$Q$1:$Q$400,"monthly")=0),(SUMIFS(SF_Output!$F$1:$F$400,SF_Output!$AC$1:$AC$400,_xlfn.TEXTJOIN(",",TRUE,B104:E104),SF_Output!$Q$1:$Q$400,"monthly")+SUMIFS(SF_Output!$G$1:$G$400,SF_Output!$AC$1:$AC$400,_xlfn.TEXTJOIN(",",TRUE,B104:E104),SF_Output!$Q$1:$Q$400,"monthly"))*H104,AND(B104&lt;&gt;"",H104=SF_Output!$Y$2,SUMIFS(SF_Output!$T$1:$T$400,SF_Output!$AC$1:$AC$400,_xlfn.TEXTJOIN(",",TRUE,B104:E104),SF_Output!$Q$1:$Q$400,"monthly")&lt;&gt;0),SUMIFS(SF_Output!$S$1:$S$400,SF_Output!$AC$1:$AC$400,_xlfn.TEXTJOIN(",",TRUE,B104:E104),SF_Output!$Q$1:$Q$400,"monthly"),AND(B104&lt;&gt;"",H104&lt;&gt;SF_Output!$Y$2),SUMIFS(SF_Output!$S$1:$S$400,SF_Output!$AC$1:$AC$400,_xlfn.TEXTJOIN(",",TRUE,B104:E104),SF_Output!$Q$1:$Q$400,"monthly"))</f>
        <v>0</v>
      </c>
      <c r="W104" s="112" t="str" cm="1">
        <f t="array" ref="W104">_xlfn.IFS(OR(B104=0,B104="",V104=0),"",AF104&lt;&gt;"exclusion",MAX($W$9,$W$7,(-(SUMIFS(SF_Output!$T$1:$T$400,SF_Output!$AC$1:$AC$400,_xlfn.TEXTJOIN(",",TRUE,$B104:$E104),SF_Output!$Q$1:$Q$400,"monthly"))/V104)),AF104="exclusion",-(SUMIFS(SF_Output!$T$1:$T$400,SF_Output!$AC$1:$AC$400,_xlfn.TEXTJOIN(",",TRUE,$B104:$E104),SF_Output!$Q$1:$Q$400,"monthly"))/V104)</f>
        <v/>
      </c>
      <c r="X104" s="6" cm="1">
        <f t="array" ref="X104">IFERROR(_xlfn.IFS(V104=0,0,V104="","",W104=0,V104,OR(V104&lt;&gt;0,V104&lt;&gt;""),H104*I104),V104*(1-W104))</f>
        <v>0</v>
      </c>
      <c r="Z104" s="6">
        <f>IFERROR(IF(B104="","",SUMIFS(Billing_Fallout!H:H,Billing_Fallout!N:N,B104)),0)</f>
        <v>0</v>
      </c>
      <c r="AA104" s="6">
        <f t="shared" si="21"/>
        <v>0</v>
      </c>
      <c r="AB104" s="6">
        <f>IFERROR(IF(B104="","",SUMIFS(Billing_Fallout!J:J,Billing_Fallout!N:N,B104)),0)</f>
        <v>0</v>
      </c>
      <c r="AD104" s="6">
        <f t="shared" si="22"/>
        <v>0</v>
      </c>
      <c r="AF104" t="str">
        <f>IFERROR(INDEX(H_Tables!$B$1:$B$1500,MATCH(INDEX(SF_Output!$J$1:$J$400,MATCH(B104,SF_Output!$M$1:$M$400,0)),H_Tables!$A$1:$A$1500,0)),"")</f>
        <v>Exclusion</v>
      </c>
      <c r="AI104" s="119" t="str">
        <f t="shared" si="23"/>
        <v/>
      </c>
      <c r="AJ104" s="121">
        <f>IFERROR(INDEX(SF_Output!AD:AD,MATCH(_xlfn.TEXTJOIN(",",TRUE,B104:E104),SF_Output!AC1:AC400,0)),0.05)</f>
        <v>179</v>
      </c>
      <c r="AK104" t="str">
        <f>IF(SUMIFS(SF_Output!$F$1:$F$400,SF_Output!$AC$1:$AC$400,_xlfn.TEXTJOIN(",",TRUE,B104:E104))+SUMIFS(SF_Output!$G$1:$G$400,SF_Output!$AC$1:$AC$400,_xlfn.TEXTJOIN(",",TRUE,B104:E104))=0,"","PAP")</f>
        <v/>
      </c>
      <c r="AQ104" s="35"/>
      <c r="AR104" s="35" t="str" cm="1">
        <f t="array" ref="AR104">IFERROR(_xlfn.IFS(AND(E104*1=1,F104="Included"),"Change to Included",AND(E104*1=0,F104="Optional"),"Change to Optional",OR(B104="",F104="replaced"),""),"")</f>
        <v/>
      </c>
      <c r="AS104" s="35" t="str">
        <f t="shared" si="24"/>
        <v/>
      </c>
      <c r="AT104" s="35" t="str">
        <f t="shared" si="25"/>
        <v/>
      </c>
      <c r="AU104" s="35" t="str">
        <f t="shared" si="26"/>
        <v/>
      </c>
      <c r="AV104" s="35" t="str">
        <f t="shared" si="27"/>
        <v/>
      </c>
      <c r="AW104" s="35" t="str">
        <f t="shared" si="28"/>
        <v/>
      </c>
      <c r="AX104" s="35" t="str">
        <f t="shared" si="29"/>
        <v/>
      </c>
      <c r="AY104" s="35" t="str">
        <f t="shared" si="30"/>
        <v/>
      </c>
      <c r="AZ104" s="35" t="str">
        <f t="shared" si="31"/>
        <v/>
      </c>
      <c r="BA104" s="35" t="str">
        <f t="shared" si="32"/>
        <v/>
      </c>
      <c r="BB104" s="35" t="str">
        <f t="shared" si="33"/>
        <v/>
      </c>
      <c r="BC104" s="35"/>
      <c r="BE104" s="35">
        <f ca="1">INDEX(SF_Output!$AA$2:$AA$400,MATCH($B104,SF_Output!$M$2:$M$400,0))</f>
        <v>6</v>
      </c>
      <c r="BF104" s="35">
        <f ca="1">INDEX(SF_Output!$AB$2:$AB$400,MATCH($B104,SF_Output!$M$2:$M$400,0))</f>
        <v>1</v>
      </c>
    </row>
    <row r="105" spans="2:58" x14ac:dyDescent="0.25">
      <c r="B105" t="s">
        <v>2367</v>
      </c>
      <c r="C105" t="s">
        <v>2122</v>
      </c>
      <c r="D105" t="s">
        <v>2207</v>
      </c>
      <c r="E105" t="s">
        <v>2124</v>
      </c>
      <c r="F105" s="116" t="str">
        <f t="shared" si="17"/>
        <v>Included</v>
      </c>
      <c r="G105" t="str">
        <f>IF(B105="","",INDEX(SF_Output!$K$1:$K$400,MATCH(B105,SF_Output!$M$1:$M$400,0)))</f>
        <v>Card Processing Solutions (CPS)</v>
      </c>
      <c r="H105" cm="1">
        <f t="array" ref="H105">_xlfn.IFS(B105="","",(SUMIFS(SF_Output!$F$1:$F$400,SF_Output!$AC$1:$AC$400,_xlfn.TEXTJOIN(",",TRUE,B105:E105))+SUMIFS(SF_Output!$G$1:$G$400,SF_Output!$AC$1:$AC$400,_xlfn.TEXTJOIN(",",TRUE,B105:E105)))&lt;&gt;0,SF_Output!$Y$2,INDEX(SF_Output!$F$1:$F$400,MATCH(_xlfn.TEXTJOIN(",",TRUE,B105:E105),SF_Output!$AC$1:$AC$400,0))=0,INDEX(SF_Output!$R$1:$R$400,MATCH(_xlfn.TEXTJOIN(",",TRUE,B105:E105),SF_Output!$AC$1:$AC$400,0)))</f>
        <v>1</v>
      </c>
      <c r="I105" s="125" t="str">
        <f>IFERROR(IF(AND(H105&gt;1,H105&lt;&gt;""),ROUND(SUMIFS(SF_Output!$S$1:$S$400,SF_Output!$AC$1:$AC$400,_xlfn.TEXTJOIN(",",TRUE,B105:E105),SF_Output!$Q$1:$Q$400,"monthly")*(1-W105)/H105,4),""),"")</f>
        <v/>
      </c>
      <c r="J105" s="6">
        <f>IF(B105="","",SUMIFS(SF_Output!$S$1:$S$400,SF_Output!$AC$1:$AC$400,_xlfn.TEXTJOIN(",",TRUE,B105:E105),SF_Output!$Q$1:$Q$400,"One Time",SF_Output!$L$1:$L$400,"license fee")+SUMIFS(SF_Output!$S$1:$S$400,SF_Output!$AC$1:$AC$400,_xlfn.TEXTJOIN(",",TRUE,B105:E105),SF_Output!$Q$1:$Q$400,"One Time",SF_Output!$L$1:$L$400,"software license")+SUMIFS(SF_Output!$S$1:$S$400,SF_Output!$AC$1:$AC$400,_xlfn.TEXTJOIN(",",TRUE,B105:E105),SF_Output!$Q$1:$Q$400,"One Time",SF_Output!$L$1:$L$400,"hardware"))</f>
        <v>0</v>
      </c>
      <c r="K105" s="112" t="str">
        <f>IF(OR(B105=0,B105="",G105="hardware",J105=0),"",IF(AF105&lt;&gt;"exclusion",MAX(K$9,-((SUMIFS(SF_Output!$T$1:$T$400,SF_Output!$AC$1:$AC$400,_xlfn.TEXTJOIN(",",TRUE,$B105:$E105),SF_Output!$Q$1:$Q$400,"One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license"))/J105)))</f>
        <v/>
      </c>
      <c r="L105" s="6">
        <f t="shared" si="18"/>
        <v>0</v>
      </c>
      <c r="N105" s="6">
        <f>IF(B105="","",SUMIFS(SF_Output!$S$1:$S$400,SF_Output!$AC$1:$AC$400,_xlfn.TEXTJOIN(",",TRUE,B105:E105),SF_Output!$Q$1:$Q$400,"One Time",SF_Output!$L$1:$L$400,"professional service"))</f>
        <v>4000</v>
      </c>
      <c r="O105" s="112">
        <f>IF(OR(B105=0,B105="",N105=0),"",IF(AF105&lt;&gt;"exclusion",MAX(O$9,-(SUMIFS(SF_Output!$T$1:$T$400,SF_Output!$AC$1:$AC$400,_xlfn.TEXTJOIN(",",TRUE,$B105:$E105),SF_Output!$Q$1:$Q$400,"One Time",SF_Output!$L$1:$L$400,"professional service"))/N105),-((SUMIFS(SF_Output!$T$1:$T$400,SF_Output!$AC$1:$AC$400,_xlfn.TEXTJOIN(",",TRUE,$B105:$E105),SF_Output!$Q$1:$Q$400,"One Time",SF_Output!$L$1:$L$400,"professional service")/N105))))</f>
        <v>1</v>
      </c>
      <c r="P105" s="6">
        <f t="shared" si="19"/>
        <v>0</v>
      </c>
      <c r="R105" s="6">
        <f>IF(B105="","",SUMIFS(SF_Output!$S$1:$S$400,SF_Output!$AC$1:$AC$400,_xlfn.TEXTJOIN(",",TRUE,B105:E105),SF_Output!$Q$1:$Q$400,"yearly")+SUMIFS(SF_Output!$S$1:$S$400,SF_Output!$AC$1:$AC$400,_xlfn.TEXTJOIN(",",TRUE,B105:E105),SF_Output!$Q$1:$Q$400,"quarterly")*4)</f>
        <v>0</v>
      </c>
      <c r="S105" s="112" t="str">
        <f>IF(OR(B105=0,B105="",G105="hardware",R105=0),"",IF(AF105&lt;&gt;"exclusion",MAX(S$9,-(SUMIFS(SF_Output!$T$1:$T$400,SF_Output!$AC$1:$AC$400,_xlfn.TEXTJOIN(",",TRUE,$B105:$E105),SF_Output!$Q$1:$Q$400,"yearly"))/R105),-((SUMIFS(SF_Output!$T$1:$T$400,SF_Output!$AC$1:$AC$400,_xlfn.TEXTJOIN(",",TRUE,$B105:$E105),SF_Output!$Q$1:$Q$400,"yearly")/R105))))</f>
        <v/>
      </c>
      <c r="T105" s="6">
        <f t="shared" si="20"/>
        <v>0</v>
      </c>
      <c r="V105" s="6" cm="1">
        <f t="array" ref="V105">_xlfn.IFS(B105="","",AND(B105&lt;&gt;"",H105=SF_Output!$Y$2,SUMIFS(SF_Output!$T$1:$T$400,SF_Output!$AC$1:$AC$400,_xlfn.TEXTJOIN(",",TRUE,B105:E105),SF_Output!$Q$1:$Q$400,"monthly")=0),(SUMIFS(SF_Output!$F$1:$F$400,SF_Output!$AC$1:$AC$400,_xlfn.TEXTJOIN(",",TRUE,B105:E105),SF_Output!$Q$1:$Q$400,"monthly")+SUMIFS(SF_Output!$G$1:$G$400,SF_Output!$AC$1:$AC$400,_xlfn.TEXTJOIN(",",TRUE,B105:E105),SF_Output!$Q$1:$Q$400,"monthly"))*H105,AND(B105&lt;&gt;"",H105=SF_Output!$Y$2,SUMIFS(SF_Output!$T$1:$T$400,SF_Output!$AC$1:$AC$400,_xlfn.TEXTJOIN(",",TRUE,B105:E105),SF_Output!$Q$1:$Q$400,"monthly")&lt;&gt;0),SUMIFS(SF_Output!$S$1:$S$400,SF_Output!$AC$1:$AC$400,_xlfn.TEXTJOIN(",",TRUE,B105:E105),SF_Output!$Q$1:$Q$400,"monthly"),AND(B105&lt;&gt;"",H105&lt;&gt;SF_Output!$Y$2),SUMIFS(SF_Output!$S$1:$S$400,SF_Output!$AC$1:$AC$400,_xlfn.TEXTJOIN(",",TRUE,B105:E105),SF_Output!$Q$1:$Q$400,"monthly"))</f>
        <v>0</v>
      </c>
      <c r="W105" s="112" t="str" cm="1">
        <f t="array" ref="W105">_xlfn.IFS(OR(B105=0,B105="",V105=0),"",AF105&lt;&gt;"exclusion",MAX($W$9,$W$7,(-(SUMIFS(SF_Output!$T$1:$T$400,SF_Output!$AC$1:$AC$400,_xlfn.TEXTJOIN(",",TRUE,$B105:$E105),SF_Output!$Q$1:$Q$400,"monthly"))/V105)),AF105="exclusion",-(SUMIFS(SF_Output!$T$1:$T$400,SF_Output!$AC$1:$AC$400,_xlfn.TEXTJOIN(",",TRUE,$B105:$E105),SF_Output!$Q$1:$Q$400,"monthly"))/V105)</f>
        <v/>
      </c>
      <c r="X105" s="6" cm="1">
        <f t="array" ref="X105">IFERROR(_xlfn.IFS(V105=0,0,V105="","",W105=0,V105,OR(V105&lt;&gt;0,V105&lt;&gt;""),H105*I105),V105*(1-W105))</f>
        <v>0</v>
      </c>
      <c r="Z105" s="6">
        <f>IFERROR(IF(B105="","",SUMIFS(Billing_Fallout!H:H,Billing_Fallout!N:N,B105)),0)</f>
        <v>0</v>
      </c>
      <c r="AA105" s="6">
        <f t="shared" si="21"/>
        <v>0</v>
      </c>
      <c r="AB105" s="6">
        <f>IFERROR(IF(B105="","",SUMIFS(Billing_Fallout!J:J,Billing_Fallout!N:N,B105)),0)</f>
        <v>0</v>
      </c>
      <c r="AD105" s="6">
        <f t="shared" si="22"/>
        <v>0</v>
      </c>
      <c r="AF105" t="str">
        <f>IFERROR(INDEX(H_Tables!$B$1:$B$1500,MATCH(INDEX(SF_Output!$J$1:$J$400,MATCH(B105,SF_Output!$M$1:$M$400,0)),H_Tables!$A$1:$A$1500,0)),"")</f>
        <v>Exclusion</v>
      </c>
      <c r="AI105" s="119" t="str">
        <f t="shared" si="23"/>
        <v/>
      </c>
      <c r="AJ105" s="121">
        <f>IFERROR(INDEX(SF_Output!AD:AD,MATCH(_xlfn.TEXTJOIN(",",TRUE,B105:E105),SF_Output!AC1:AC400,0)),0.05)</f>
        <v>180</v>
      </c>
      <c r="AK105" t="str">
        <f>IF(SUMIFS(SF_Output!$F$1:$F$400,SF_Output!$AC$1:$AC$400,_xlfn.TEXTJOIN(",",TRUE,B105:E105))+SUMIFS(SF_Output!$G$1:$G$400,SF_Output!$AC$1:$AC$400,_xlfn.TEXTJOIN(",",TRUE,B105:E105))=0,"","PAP")</f>
        <v/>
      </c>
      <c r="AQ105" s="35"/>
      <c r="AR105" s="35" t="str" cm="1">
        <f t="array" ref="AR105">IFERROR(_xlfn.IFS(AND(E105*1=1,F105="Included"),"Change to Included",AND(E105*1=0,F105="Optional"),"Change to Optional",OR(B105="",F105="replaced"),""),"")</f>
        <v/>
      </c>
      <c r="AS105" s="35" t="str">
        <f t="shared" si="24"/>
        <v/>
      </c>
      <c r="AT105" s="35" t="str">
        <f t="shared" si="25"/>
        <v/>
      </c>
      <c r="AU105" s="35" t="str">
        <f t="shared" si="26"/>
        <v/>
      </c>
      <c r="AV105" s="35" t="str">
        <f t="shared" si="27"/>
        <v/>
      </c>
      <c r="AW105" s="35" t="str">
        <f t="shared" si="28"/>
        <v/>
      </c>
      <c r="AX105" s="35" t="str">
        <f t="shared" si="29"/>
        <v/>
      </c>
      <c r="AY105" s="35" t="str">
        <f t="shared" si="30"/>
        <v/>
      </c>
      <c r="AZ105" s="35" t="str">
        <f t="shared" si="31"/>
        <v/>
      </c>
      <c r="BA105" s="35" t="str">
        <f t="shared" si="32"/>
        <v/>
      </c>
      <c r="BB105" s="35" t="str">
        <f t="shared" si="33"/>
        <v/>
      </c>
      <c r="BC105" s="35"/>
      <c r="BE105" s="35">
        <f ca="1">INDEX(SF_Output!$AA$2:$AA$400,MATCH($B105,SF_Output!$M$2:$M$400,0))</f>
        <v>6</v>
      </c>
      <c r="BF105" s="35">
        <f ca="1">INDEX(SF_Output!$AB$2:$AB$400,MATCH($B105,SF_Output!$M$2:$M$400,0))</f>
        <v>1</v>
      </c>
    </row>
    <row r="106" spans="2:58" x14ac:dyDescent="0.25">
      <c r="B106" t="s">
        <v>2369</v>
      </c>
      <c r="C106" t="s">
        <v>2122</v>
      </c>
      <c r="D106" t="s">
        <v>2207</v>
      </c>
      <c r="E106" t="s">
        <v>2124</v>
      </c>
      <c r="F106" s="116" t="str">
        <f t="shared" si="17"/>
        <v>Included</v>
      </c>
      <c r="G106" t="str">
        <f>IF(B106="","",INDEX(SF_Output!$K$1:$K$400,MATCH(B106,SF_Output!$M$1:$M$400,0)))</f>
        <v>Card Processing Solutions (CPS)</v>
      </c>
      <c r="H106" cm="1">
        <f t="array" ref="H106">_xlfn.IFS(B106="","",(SUMIFS(SF_Output!$F$1:$F$400,SF_Output!$AC$1:$AC$400,_xlfn.TEXTJOIN(",",TRUE,B106:E106))+SUMIFS(SF_Output!$G$1:$G$400,SF_Output!$AC$1:$AC$400,_xlfn.TEXTJOIN(",",TRUE,B106:E106)))&lt;&gt;0,SF_Output!$Y$2,INDEX(SF_Output!$F$1:$F$400,MATCH(_xlfn.TEXTJOIN(",",TRUE,B106:E106),SF_Output!$AC$1:$AC$400,0))=0,INDEX(SF_Output!$R$1:$R$400,MATCH(_xlfn.TEXTJOIN(",",TRUE,B106:E106),SF_Output!$AC$1:$AC$400,0)))</f>
        <v>1</v>
      </c>
      <c r="I106" s="125" t="str">
        <f>IFERROR(IF(AND(H106&gt;1,H106&lt;&gt;""),ROUND(SUMIFS(SF_Output!$S$1:$S$400,SF_Output!$AC$1:$AC$400,_xlfn.TEXTJOIN(",",TRUE,B106:E106),SF_Output!$Q$1:$Q$400,"monthly")*(1-W106)/H106,4),""),"")</f>
        <v/>
      </c>
      <c r="J106" s="6">
        <f>IF(B106="","",SUMIFS(SF_Output!$S$1:$S$400,SF_Output!$AC$1:$AC$400,_xlfn.TEXTJOIN(",",TRUE,B106:E106),SF_Output!$Q$1:$Q$400,"One Time",SF_Output!$L$1:$L$400,"license fee")+SUMIFS(SF_Output!$S$1:$S$400,SF_Output!$AC$1:$AC$400,_xlfn.TEXTJOIN(",",TRUE,B106:E106),SF_Output!$Q$1:$Q$400,"One Time",SF_Output!$L$1:$L$400,"software license")+SUMIFS(SF_Output!$S$1:$S$400,SF_Output!$AC$1:$AC$400,_xlfn.TEXTJOIN(",",TRUE,B106:E106),SF_Output!$Q$1:$Q$400,"One Time",SF_Output!$L$1:$L$400,"hardware"))</f>
        <v>0</v>
      </c>
      <c r="K106" s="112" t="str">
        <f>IF(OR(B106=0,B106="",G106="hardware",J106=0),"",IF(AF106&lt;&gt;"exclusion",MAX(K$9,-((SUMIFS(SF_Output!$T$1:$T$400,SF_Output!$AC$1:$AC$400,_xlfn.TEXTJOIN(",",TRUE,$B106:$E106),SF_Output!$Q$1:$Q$400,"One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license"))/J106)))</f>
        <v/>
      </c>
      <c r="L106" s="6">
        <f t="shared" si="18"/>
        <v>0</v>
      </c>
      <c r="N106" s="6">
        <f>IF(B106="","",SUMIFS(SF_Output!$S$1:$S$400,SF_Output!$AC$1:$AC$400,_xlfn.TEXTJOIN(",",TRUE,B106:E106),SF_Output!$Q$1:$Q$400,"One Time",SF_Output!$L$1:$L$400,"professional service"))</f>
        <v>2000</v>
      </c>
      <c r="O106" s="112">
        <f>IF(OR(B106=0,B106="",N106=0),"",IF(AF106&lt;&gt;"exclusion",MAX(O$9,-(SUMIFS(SF_Output!$T$1:$T$400,SF_Output!$AC$1:$AC$400,_xlfn.TEXTJOIN(",",TRUE,$B106:$E106),SF_Output!$Q$1:$Q$400,"One Time",SF_Output!$L$1:$L$400,"professional service"))/N106),-((SUMIFS(SF_Output!$T$1:$T$400,SF_Output!$AC$1:$AC$400,_xlfn.TEXTJOIN(",",TRUE,$B106:$E106),SF_Output!$Q$1:$Q$400,"One Time",SF_Output!$L$1:$L$400,"professional service")/N106))))</f>
        <v>1</v>
      </c>
      <c r="P106" s="6">
        <f t="shared" si="19"/>
        <v>0</v>
      </c>
      <c r="R106" s="6">
        <f>IF(B106="","",SUMIFS(SF_Output!$S$1:$S$400,SF_Output!$AC$1:$AC$400,_xlfn.TEXTJOIN(",",TRUE,B106:E106),SF_Output!$Q$1:$Q$400,"yearly")+SUMIFS(SF_Output!$S$1:$S$400,SF_Output!$AC$1:$AC$400,_xlfn.TEXTJOIN(",",TRUE,B106:E106),SF_Output!$Q$1:$Q$400,"quarterly")*4)</f>
        <v>0</v>
      </c>
      <c r="S106" s="112" t="str">
        <f>IF(OR(B106=0,B106="",G106="hardware",R106=0),"",IF(AF106&lt;&gt;"exclusion",MAX(S$9,-(SUMIFS(SF_Output!$T$1:$T$400,SF_Output!$AC$1:$AC$400,_xlfn.TEXTJOIN(",",TRUE,$B106:$E106),SF_Output!$Q$1:$Q$400,"yearly"))/R106),-((SUMIFS(SF_Output!$T$1:$T$400,SF_Output!$AC$1:$AC$400,_xlfn.TEXTJOIN(",",TRUE,$B106:$E106),SF_Output!$Q$1:$Q$400,"yearly")/R106))))</f>
        <v/>
      </c>
      <c r="T106" s="6">
        <f t="shared" si="20"/>
        <v>0</v>
      </c>
      <c r="V106" s="6" cm="1">
        <f t="array" ref="V106">_xlfn.IFS(B106="","",AND(B106&lt;&gt;"",H106=SF_Output!$Y$2,SUMIFS(SF_Output!$T$1:$T$400,SF_Output!$AC$1:$AC$400,_xlfn.TEXTJOIN(",",TRUE,B106:E106),SF_Output!$Q$1:$Q$400,"monthly")=0),(SUMIFS(SF_Output!$F$1:$F$400,SF_Output!$AC$1:$AC$400,_xlfn.TEXTJOIN(",",TRUE,B106:E106),SF_Output!$Q$1:$Q$400,"monthly")+SUMIFS(SF_Output!$G$1:$G$400,SF_Output!$AC$1:$AC$400,_xlfn.TEXTJOIN(",",TRUE,B106:E106),SF_Output!$Q$1:$Q$400,"monthly"))*H106,AND(B106&lt;&gt;"",H106=SF_Output!$Y$2,SUMIFS(SF_Output!$T$1:$T$400,SF_Output!$AC$1:$AC$400,_xlfn.TEXTJOIN(",",TRUE,B106:E106),SF_Output!$Q$1:$Q$400,"monthly")&lt;&gt;0),SUMIFS(SF_Output!$S$1:$S$400,SF_Output!$AC$1:$AC$400,_xlfn.TEXTJOIN(",",TRUE,B106:E106),SF_Output!$Q$1:$Q$400,"monthly"),AND(B106&lt;&gt;"",H106&lt;&gt;SF_Output!$Y$2),SUMIFS(SF_Output!$S$1:$S$400,SF_Output!$AC$1:$AC$400,_xlfn.TEXTJOIN(",",TRUE,B106:E106),SF_Output!$Q$1:$Q$400,"monthly"))</f>
        <v>0</v>
      </c>
      <c r="W106" s="112" t="str" cm="1">
        <f t="array" ref="W106">_xlfn.IFS(OR(B106=0,B106="",V106=0),"",AF106&lt;&gt;"exclusion",MAX($W$9,$W$7,(-(SUMIFS(SF_Output!$T$1:$T$400,SF_Output!$AC$1:$AC$400,_xlfn.TEXTJOIN(",",TRUE,$B106:$E106),SF_Output!$Q$1:$Q$400,"monthly"))/V106)),AF106="exclusion",-(SUMIFS(SF_Output!$T$1:$T$400,SF_Output!$AC$1:$AC$400,_xlfn.TEXTJOIN(",",TRUE,$B106:$E106),SF_Output!$Q$1:$Q$400,"monthly"))/V106)</f>
        <v/>
      </c>
      <c r="X106" s="6" cm="1">
        <f t="array" ref="X106">IFERROR(_xlfn.IFS(V106=0,0,V106="","",W106=0,V106,OR(V106&lt;&gt;0,V106&lt;&gt;""),H106*I106),V106*(1-W106))</f>
        <v>0</v>
      </c>
      <c r="Z106" s="6">
        <f>IFERROR(IF(B106="","",SUMIFS(Billing_Fallout!H:H,Billing_Fallout!N:N,B106)),0)</f>
        <v>0</v>
      </c>
      <c r="AA106" s="6">
        <f t="shared" si="21"/>
        <v>0</v>
      </c>
      <c r="AB106" s="6">
        <f>IFERROR(IF(B106="","",SUMIFS(Billing_Fallout!J:J,Billing_Fallout!N:N,B106)),0)</f>
        <v>0</v>
      </c>
      <c r="AD106" s="6">
        <f t="shared" si="22"/>
        <v>0</v>
      </c>
      <c r="AF106" t="str">
        <f>IFERROR(INDEX(H_Tables!$B$1:$B$1500,MATCH(INDEX(SF_Output!$J$1:$J$400,MATCH(B106,SF_Output!$M$1:$M$400,0)),H_Tables!$A$1:$A$1500,0)),"")</f>
        <v>Exclusion</v>
      </c>
      <c r="AI106" s="119" t="str">
        <f t="shared" si="23"/>
        <v/>
      </c>
      <c r="AJ106" s="121">
        <f>IFERROR(INDEX(SF_Output!AD:AD,MATCH(_xlfn.TEXTJOIN(",",TRUE,B106:E106),SF_Output!AC1:AC400,0)),0.05)</f>
        <v>181</v>
      </c>
      <c r="AK106" t="str">
        <f>IF(SUMIFS(SF_Output!$F$1:$F$400,SF_Output!$AC$1:$AC$400,_xlfn.TEXTJOIN(",",TRUE,B106:E106))+SUMIFS(SF_Output!$G$1:$G$400,SF_Output!$AC$1:$AC$400,_xlfn.TEXTJOIN(",",TRUE,B106:E106))=0,"","PAP")</f>
        <v/>
      </c>
      <c r="AQ106" s="35"/>
      <c r="AR106" s="35" t="str" cm="1">
        <f t="array" ref="AR106">IFERROR(_xlfn.IFS(AND(E106*1=1,F106="Included"),"Change to Included",AND(E106*1=0,F106="Optional"),"Change to Optional",OR(B106="",F106="replaced"),""),"")</f>
        <v/>
      </c>
      <c r="AS106" s="35" t="str">
        <f t="shared" si="24"/>
        <v/>
      </c>
      <c r="AT106" s="35" t="str">
        <f t="shared" si="25"/>
        <v/>
      </c>
      <c r="AU106" s="35" t="str">
        <f t="shared" si="26"/>
        <v/>
      </c>
      <c r="AV106" s="35" t="str">
        <f t="shared" si="27"/>
        <v/>
      </c>
      <c r="AW106" s="35" t="str">
        <f t="shared" si="28"/>
        <v/>
      </c>
      <c r="AX106" s="35" t="str">
        <f t="shared" si="29"/>
        <v/>
      </c>
      <c r="AY106" s="35" t="str">
        <f t="shared" si="30"/>
        <v/>
      </c>
      <c r="AZ106" s="35" t="str">
        <f t="shared" si="31"/>
        <v/>
      </c>
      <c r="BA106" s="35" t="str">
        <f t="shared" si="32"/>
        <v/>
      </c>
      <c r="BB106" s="35" t="str">
        <f t="shared" si="33"/>
        <v/>
      </c>
      <c r="BC106" s="35"/>
      <c r="BE106" s="35">
        <f ca="1">INDEX(SF_Output!$AA$2:$AA$400,MATCH($B106,SF_Output!$M$2:$M$400,0))</f>
        <v>6</v>
      </c>
      <c r="BF106" s="35">
        <f ca="1">INDEX(SF_Output!$AB$2:$AB$400,MATCH($B106,SF_Output!$M$2:$M$400,0))</f>
        <v>1</v>
      </c>
    </row>
    <row r="107" spans="2:58" x14ac:dyDescent="0.25">
      <c r="B107" t="s">
        <v>2472</v>
      </c>
      <c r="C107" t="s">
        <v>2122</v>
      </c>
      <c r="D107" t="s">
        <v>2207</v>
      </c>
      <c r="E107" t="s">
        <v>2124</v>
      </c>
      <c r="F107" s="116" t="str">
        <f t="shared" si="17"/>
        <v>Included</v>
      </c>
      <c r="G107" t="str">
        <f>IF(B107="","",INDEX(SF_Output!$K$1:$K$400,MATCH(B107,SF_Output!$M$1:$M$400,0)))</f>
        <v>Card Processing Solutions (CPS)</v>
      </c>
      <c r="H107" cm="1">
        <f t="array" ref="H107">_xlfn.IFS(B107="","",(SUMIFS(SF_Output!$F$1:$F$400,SF_Output!$AC$1:$AC$400,_xlfn.TEXTJOIN(",",TRUE,B107:E107))+SUMIFS(SF_Output!$G$1:$G$400,SF_Output!$AC$1:$AC$400,_xlfn.TEXTJOIN(",",TRUE,B107:E107)))&lt;&gt;0,SF_Output!$Y$2,INDEX(SF_Output!$F$1:$F$400,MATCH(_xlfn.TEXTJOIN(",",TRUE,B107:E107),SF_Output!$AC$1:$AC$400,0))=0,INDEX(SF_Output!$R$1:$R$400,MATCH(_xlfn.TEXTJOIN(",",TRUE,B107:E107),SF_Output!$AC$1:$AC$400,0)))</f>
        <v>1</v>
      </c>
      <c r="I107" s="125" t="str">
        <f>IFERROR(IF(AND(H107&gt;1,H107&lt;&gt;""),ROUND(SUMIFS(SF_Output!$S$1:$S$400,SF_Output!$AC$1:$AC$400,_xlfn.TEXTJOIN(",",TRUE,B107:E107),SF_Output!$Q$1:$Q$400,"monthly")*(1-W107)/H107,4),""),"")</f>
        <v/>
      </c>
      <c r="J107" s="6">
        <f>IF(B107="","",SUMIFS(SF_Output!$S$1:$S$400,SF_Output!$AC$1:$AC$400,_xlfn.TEXTJOIN(",",TRUE,B107:E107),SF_Output!$Q$1:$Q$400,"One Time",SF_Output!$L$1:$L$400,"license fee")+SUMIFS(SF_Output!$S$1:$S$400,SF_Output!$AC$1:$AC$400,_xlfn.TEXTJOIN(",",TRUE,B107:E107),SF_Output!$Q$1:$Q$400,"One Time",SF_Output!$L$1:$L$400,"software license")+SUMIFS(SF_Output!$S$1:$S$400,SF_Output!$AC$1:$AC$400,_xlfn.TEXTJOIN(",",TRUE,B107:E107),SF_Output!$Q$1:$Q$400,"One Time",SF_Output!$L$1:$L$400,"hardware"))</f>
        <v>0</v>
      </c>
      <c r="K107" s="112" t="str">
        <f>IF(OR(B107=0,B107="",G107="hardware",J107=0),"",IF(AF107&lt;&gt;"exclusion",MAX(K$9,-((SUMIFS(SF_Output!$T$1:$T$400,SF_Output!$AC$1:$AC$400,_xlfn.TEXTJOIN(",",TRUE,$B107:$E107),SF_Output!$Q$1:$Q$400,"One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license"))/J107)))</f>
        <v/>
      </c>
      <c r="L107" s="6">
        <f t="shared" si="18"/>
        <v>0</v>
      </c>
      <c r="N107" s="6">
        <f>IF(B107="","",SUMIFS(SF_Output!$S$1:$S$400,SF_Output!$AC$1:$AC$400,_xlfn.TEXTJOIN(",",TRUE,B107:E107),SF_Output!$Q$1:$Q$400,"One Time",SF_Output!$L$1:$L$400,"professional service"))</f>
        <v>250</v>
      </c>
      <c r="O107" s="112">
        <f>IF(OR(B107=0,B107="",N107=0),"",IF(AF107&lt;&gt;"exclusion",MAX(O$9,-(SUMIFS(SF_Output!$T$1:$T$400,SF_Output!$AC$1:$AC$400,_xlfn.TEXTJOIN(",",TRUE,$B107:$E107),SF_Output!$Q$1:$Q$400,"One Time",SF_Output!$L$1:$L$400,"professional service"))/N107),-((SUMIFS(SF_Output!$T$1:$T$400,SF_Output!$AC$1:$AC$400,_xlfn.TEXTJOIN(",",TRUE,$B107:$E107),SF_Output!$Q$1:$Q$400,"One Time",SF_Output!$L$1:$L$400,"professional service")/N107))))</f>
        <v>1</v>
      </c>
      <c r="P107" s="6">
        <f t="shared" si="19"/>
        <v>0</v>
      </c>
      <c r="R107" s="6">
        <f>IF(B107="","",SUMIFS(SF_Output!$S$1:$S$400,SF_Output!$AC$1:$AC$400,_xlfn.TEXTJOIN(",",TRUE,B107:E107),SF_Output!$Q$1:$Q$400,"yearly")+SUMIFS(SF_Output!$S$1:$S$400,SF_Output!$AC$1:$AC$400,_xlfn.TEXTJOIN(",",TRUE,B107:E107),SF_Output!$Q$1:$Q$400,"quarterly")*4)</f>
        <v>0</v>
      </c>
      <c r="S107" s="112" t="str">
        <f>IF(OR(B107=0,B107="",G107="hardware",R107=0),"",IF(AF107&lt;&gt;"exclusion",MAX(S$9,-(SUMIFS(SF_Output!$T$1:$T$400,SF_Output!$AC$1:$AC$400,_xlfn.TEXTJOIN(",",TRUE,$B107:$E107),SF_Output!$Q$1:$Q$400,"yearly"))/R107),-((SUMIFS(SF_Output!$T$1:$T$400,SF_Output!$AC$1:$AC$400,_xlfn.TEXTJOIN(",",TRUE,$B107:$E107),SF_Output!$Q$1:$Q$400,"yearly")/R107))))</f>
        <v/>
      </c>
      <c r="T107" s="6">
        <f t="shared" si="20"/>
        <v>0</v>
      </c>
      <c r="V107" s="6" cm="1">
        <f t="array" ref="V107">_xlfn.IFS(B107="","",AND(B107&lt;&gt;"",H107=SF_Output!$Y$2,SUMIFS(SF_Output!$T$1:$T$400,SF_Output!$AC$1:$AC$400,_xlfn.TEXTJOIN(",",TRUE,B107:E107),SF_Output!$Q$1:$Q$400,"monthly")=0),(SUMIFS(SF_Output!$F$1:$F$400,SF_Output!$AC$1:$AC$400,_xlfn.TEXTJOIN(",",TRUE,B107:E107),SF_Output!$Q$1:$Q$400,"monthly")+SUMIFS(SF_Output!$G$1:$G$400,SF_Output!$AC$1:$AC$400,_xlfn.TEXTJOIN(",",TRUE,B107:E107),SF_Output!$Q$1:$Q$400,"monthly"))*H107,AND(B107&lt;&gt;"",H107=SF_Output!$Y$2,SUMIFS(SF_Output!$T$1:$T$400,SF_Output!$AC$1:$AC$400,_xlfn.TEXTJOIN(",",TRUE,B107:E107),SF_Output!$Q$1:$Q$400,"monthly")&lt;&gt;0),SUMIFS(SF_Output!$S$1:$S$400,SF_Output!$AC$1:$AC$400,_xlfn.TEXTJOIN(",",TRUE,B107:E107),SF_Output!$Q$1:$Q$400,"monthly"),AND(B107&lt;&gt;"",H107&lt;&gt;SF_Output!$Y$2),SUMIFS(SF_Output!$S$1:$S$400,SF_Output!$AC$1:$AC$400,_xlfn.TEXTJOIN(",",TRUE,B107:E107),SF_Output!$Q$1:$Q$400,"monthly"))</f>
        <v>0</v>
      </c>
      <c r="W107" s="112" t="str" cm="1">
        <f t="array" ref="W107">_xlfn.IFS(OR(B107=0,B107="",V107=0),"",AF107&lt;&gt;"exclusion",MAX($W$9,$W$7,(-(SUMIFS(SF_Output!$T$1:$T$400,SF_Output!$AC$1:$AC$400,_xlfn.TEXTJOIN(",",TRUE,$B107:$E107),SF_Output!$Q$1:$Q$400,"monthly"))/V107)),AF107="exclusion",-(SUMIFS(SF_Output!$T$1:$T$400,SF_Output!$AC$1:$AC$400,_xlfn.TEXTJOIN(",",TRUE,$B107:$E107),SF_Output!$Q$1:$Q$400,"monthly"))/V107)</f>
        <v/>
      </c>
      <c r="X107" s="6" cm="1">
        <f t="array" ref="X107">IFERROR(_xlfn.IFS(V107=0,0,V107="","",W107=0,V107,OR(V107&lt;&gt;0,V107&lt;&gt;""),H107*I107),V107*(1-W107))</f>
        <v>0</v>
      </c>
      <c r="Z107" s="6">
        <f>IFERROR(IF(B107="","",SUMIFS(Billing_Fallout!H:H,Billing_Fallout!N:N,B107)),0)</f>
        <v>0</v>
      </c>
      <c r="AA107" s="6">
        <f t="shared" si="21"/>
        <v>0</v>
      </c>
      <c r="AB107" s="6">
        <f>IFERROR(IF(B107="","",SUMIFS(Billing_Fallout!J:J,Billing_Fallout!N:N,B107)),0)</f>
        <v>0</v>
      </c>
      <c r="AD107" s="6">
        <f t="shared" si="22"/>
        <v>0</v>
      </c>
      <c r="AF107" t="str">
        <f>IFERROR(INDEX(H_Tables!$B$1:$B$1500,MATCH(INDEX(SF_Output!$J$1:$J$400,MATCH(B107,SF_Output!$M$1:$M$400,0)),H_Tables!$A$1:$A$1500,0)),"")</f>
        <v>Exclusion</v>
      </c>
      <c r="AI107" s="119" t="str">
        <f t="shared" si="23"/>
        <v/>
      </c>
      <c r="AJ107" s="121">
        <f>IFERROR(INDEX(SF_Output!AD:AD,MATCH(_xlfn.TEXTJOIN(",",TRUE,B107:E107),SF_Output!AC1:AC400,0)),0.05)</f>
        <v>182</v>
      </c>
      <c r="AK107" t="str">
        <f>IF(SUMIFS(SF_Output!$F$1:$F$400,SF_Output!$AC$1:$AC$400,_xlfn.TEXTJOIN(",",TRUE,B107:E107))+SUMIFS(SF_Output!$G$1:$G$400,SF_Output!$AC$1:$AC$400,_xlfn.TEXTJOIN(",",TRUE,B107:E107))=0,"","PAP")</f>
        <v/>
      </c>
      <c r="AQ107" s="35"/>
      <c r="AR107" s="35" t="str" cm="1">
        <f t="array" ref="AR107">IFERROR(_xlfn.IFS(AND(E107*1=1,F107="Included"),"Change to Included",AND(E107*1=0,F107="Optional"),"Change to Optional",OR(B107="",F107="replaced"),""),"")</f>
        <v/>
      </c>
      <c r="AS107" s="35" t="str">
        <f t="shared" si="24"/>
        <v/>
      </c>
      <c r="AT107" s="35" t="str">
        <f t="shared" si="25"/>
        <v/>
      </c>
      <c r="AU107" s="35" t="str">
        <f t="shared" si="26"/>
        <v/>
      </c>
      <c r="AV107" s="35" t="str">
        <f t="shared" si="27"/>
        <v/>
      </c>
      <c r="AW107" s="35" t="str">
        <f t="shared" si="28"/>
        <v/>
      </c>
      <c r="AX107" s="35" t="str">
        <f t="shared" si="29"/>
        <v/>
      </c>
      <c r="AY107" s="35" t="str">
        <f t="shared" si="30"/>
        <v/>
      </c>
      <c r="AZ107" s="35" t="str">
        <f t="shared" si="31"/>
        <v/>
      </c>
      <c r="BA107" s="35" t="str">
        <f t="shared" si="32"/>
        <v/>
      </c>
      <c r="BB107" s="35" t="str">
        <f t="shared" si="33"/>
        <v/>
      </c>
      <c r="BC107" s="35"/>
      <c r="BE107" s="35">
        <f ca="1">INDEX(SF_Output!$AA$2:$AA$400,MATCH($B107,SF_Output!$M$2:$M$400,0))</f>
        <v>6</v>
      </c>
      <c r="BF107" s="35">
        <f ca="1">INDEX(SF_Output!$AB$2:$AB$400,MATCH($B107,SF_Output!$M$2:$M$400,0))</f>
        <v>1</v>
      </c>
    </row>
    <row r="108" spans="2:58" x14ac:dyDescent="0.25">
      <c r="B108" t="s">
        <v>1823</v>
      </c>
      <c r="C108" t="s">
        <v>2122</v>
      </c>
      <c r="D108" t="s">
        <v>2207</v>
      </c>
      <c r="E108" t="s">
        <v>2124</v>
      </c>
      <c r="F108" s="116" t="str">
        <f t="shared" si="17"/>
        <v>Included</v>
      </c>
      <c r="G108" t="str">
        <f>IF(B108="","",INDEX(SF_Output!$K$1:$K$400,MATCH(B108,SF_Output!$M$1:$M$400,0)))</f>
        <v>Card Processing Solutions (CPS)</v>
      </c>
      <c r="H108" cm="1">
        <f t="array" ref="H108">_xlfn.IFS(B108="","",(SUMIFS(SF_Output!$F$1:$F$400,SF_Output!$AC$1:$AC$400,_xlfn.TEXTJOIN(",",TRUE,B108:E108))+SUMIFS(SF_Output!$G$1:$G$400,SF_Output!$AC$1:$AC$400,_xlfn.TEXTJOIN(",",TRUE,B108:E108)))&lt;&gt;0,SF_Output!$Y$2,INDEX(SF_Output!$F$1:$F$400,MATCH(_xlfn.TEXTJOIN(",",TRUE,B108:E108),SF_Output!$AC$1:$AC$400,0))=0,INDEX(SF_Output!$R$1:$R$400,MATCH(_xlfn.TEXTJOIN(",",TRUE,B108:E108),SF_Output!$AC$1:$AC$400,0)))</f>
        <v>0</v>
      </c>
      <c r="I108" s="125" t="str">
        <f>IFERROR(IF(AND(H108&gt;1,H108&lt;&gt;""),ROUND(SUMIFS(SF_Output!$S$1:$S$400,SF_Output!$AC$1:$AC$400,_xlfn.TEXTJOIN(",",TRUE,B108:E108),SF_Output!$Q$1:$Q$400,"monthly")*(1-W108)/H108,4),""),"")</f>
        <v/>
      </c>
      <c r="J108" s="6">
        <f>IF(B108="","",SUMIFS(SF_Output!$S$1:$S$400,SF_Output!$AC$1:$AC$400,_xlfn.TEXTJOIN(",",TRUE,B108:E108),SF_Output!$Q$1:$Q$400,"One Time",SF_Output!$L$1:$L$400,"license fee")+SUMIFS(SF_Output!$S$1:$S$400,SF_Output!$AC$1:$AC$400,_xlfn.TEXTJOIN(",",TRUE,B108:E108),SF_Output!$Q$1:$Q$400,"One Time",SF_Output!$L$1:$L$400,"software license")+SUMIFS(SF_Output!$S$1:$S$400,SF_Output!$AC$1:$AC$400,_xlfn.TEXTJOIN(",",TRUE,B108:E108),SF_Output!$Q$1:$Q$400,"One Time",SF_Output!$L$1:$L$400,"hardware"))</f>
        <v>0</v>
      </c>
      <c r="K108" s="112" t="str">
        <f>IF(OR(B108=0,B108="",G108="hardware",J108=0),"",IF(AF108&lt;&gt;"exclusion",MAX(K$9,-((SUMIFS(SF_Output!$T$1:$T$400,SF_Output!$AC$1:$AC$400,_xlfn.TEXTJOIN(",",TRUE,$B108:$E108),SF_Output!$Q$1:$Q$400,"One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license"))/J108)))</f>
        <v/>
      </c>
      <c r="L108" s="6">
        <f t="shared" si="18"/>
        <v>0</v>
      </c>
      <c r="N108" s="6">
        <f>IF(B108="","",SUMIFS(SF_Output!$S$1:$S$400,SF_Output!$AC$1:$AC$400,_xlfn.TEXTJOIN(",",TRUE,B108:E108),SF_Output!$Q$1:$Q$400,"One Time",SF_Output!$L$1:$L$400,"professional service"))</f>
        <v>0</v>
      </c>
      <c r="O108" s="112" t="str">
        <f>IF(OR(B108=0,B108="",N108=0),"",IF(AF108&lt;&gt;"exclusion",MAX(O$9,-(SUMIFS(SF_Output!$T$1:$T$400,SF_Output!$AC$1:$AC$400,_xlfn.TEXTJOIN(",",TRUE,$B108:$E108),SF_Output!$Q$1:$Q$400,"One Time",SF_Output!$L$1:$L$400,"professional service"))/N108),-((SUMIFS(SF_Output!$T$1:$T$400,SF_Output!$AC$1:$AC$400,_xlfn.TEXTJOIN(",",TRUE,$B108:$E108),SF_Output!$Q$1:$Q$400,"One Time",SF_Output!$L$1:$L$400,"professional service")/N108))))</f>
        <v/>
      </c>
      <c r="P108" s="6">
        <f t="shared" si="19"/>
        <v>0</v>
      </c>
      <c r="R108" s="6">
        <f>IF(B108="","",SUMIFS(SF_Output!$S$1:$S$400,SF_Output!$AC$1:$AC$400,_xlfn.TEXTJOIN(",",TRUE,B108:E108),SF_Output!$Q$1:$Q$400,"yearly")+SUMIFS(SF_Output!$S$1:$S$400,SF_Output!$AC$1:$AC$400,_xlfn.TEXTJOIN(",",TRUE,B108:E108),SF_Output!$Q$1:$Q$400,"quarterly")*4)</f>
        <v>0</v>
      </c>
      <c r="S108" s="112" t="str">
        <f>IF(OR(B108=0,B108="",G108="hardware",R108=0),"",IF(AF108&lt;&gt;"exclusion",MAX(S$9,-(SUMIFS(SF_Output!$T$1:$T$400,SF_Output!$AC$1:$AC$400,_xlfn.TEXTJOIN(",",TRUE,$B108:$E108),SF_Output!$Q$1:$Q$400,"yearly"))/R108),-((SUMIFS(SF_Output!$T$1:$T$400,SF_Output!$AC$1:$AC$400,_xlfn.TEXTJOIN(",",TRUE,$B108:$E108),SF_Output!$Q$1:$Q$400,"yearly")/R108))))</f>
        <v/>
      </c>
      <c r="T108" s="6">
        <f t="shared" si="20"/>
        <v>0</v>
      </c>
      <c r="V108" s="6" cm="1">
        <f t="array" ref="V108">_xlfn.IFS(B108="","",AND(B108&lt;&gt;"",H108=SF_Output!$Y$2,SUMIFS(SF_Output!$T$1:$T$400,SF_Output!$AC$1:$AC$400,_xlfn.TEXTJOIN(",",TRUE,B108:E108),SF_Output!$Q$1:$Q$400,"monthly")=0),(SUMIFS(SF_Output!$F$1:$F$400,SF_Output!$AC$1:$AC$400,_xlfn.TEXTJOIN(",",TRUE,B108:E108),SF_Output!$Q$1:$Q$400,"monthly")+SUMIFS(SF_Output!$G$1:$G$400,SF_Output!$AC$1:$AC$400,_xlfn.TEXTJOIN(",",TRUE,B108:E108),SF_Output!$Q$1:$Q$400,"monthly"))*H108,AND(B108&lt;&gt;"",H108=SF_Output!$Y$2,SUMIFS(SF_Output!$T$1:$T$400,SF_Output!$AC$1:$AC$400,_xlfn.TEXTJOIN(",",TRUE,B108:E108),SF_Output!$Q$1:$Q$400,"monthly")&lt;&gt;0),SUMIFS(SF_Output!$S$1:$S$400,SF_Output!$AC$1:$AC$400,_xlfn.TEXTJOIN(",",TRUE,B108:E108),SF_Output!$Q$1:$Q$400,"monthly"),AND(B108&lt;&gt;"",H108&lt;&gt;SF_Output!$Y$2),SUMIFS(SF_Output!$S$1:$S$400,SF_Output!$AC$1:$AC$400,_xlfn.TEXTJOIN(",",TRUE,B108:E108),SF_Output!$Q$1:$Q$400,"monthly"))</f>
        <v>0</v>
      </c>
      <c r="W108" s="112" t="str" cm="1">
        <f t="array" ref="W108">_xlfn.IFS(OR(B108=0,B108="",V108=0),"",AF108&lt;&gt;"exclusion",MAX($W$9,$W$7,(-(SUMIFS(SF_Output!$T$1:$T$400,SF_Output!$AC$1:$AC$400,_xlfn.TEXTJOIN(",",TRUE,$B108:$E108),SF_Output!$Q$1:$Q$400,"monthly"))/V108)),AF108="exclusion",-(SUMIFS(SF_Output!$T$1:$T$400,SF_Output!$AC$1:$AC$400,_xlfn.TEXTJOIN(",",TRUE,$B108:$E108),SF_Output!$Q$1:$Q$400,"monthly"))/V108)</f>
        <v/>
      </c>
      <c r="X108" s="6" cm="1">
        <f t="array" ref="X108">IFERROR(_xlfn.IFS(V108=0,0,V108="","",W108=0,V108,OR(V108&lt;&gt;0,V108&lt;&gt;""),H108*I108),V108*(1-W108))</f>
        <v>0</v>
      </c>
      <c r="Z108" s="6">
        <f>IFERROR(IF(B108="","",SUMIFS(Billing_Fallout!H:H,Billing_Fallout!N:N,B108)),0)</f>
        <v>0</v>
      </c>
      <c r="AA108" s="6">
        <f t="shared" si="21"/>
        <v>0</v>
      </c>
      <c r="AB108" s="6">
        <f>IFERROR(IF(B108="","",SUMIFS(Billing_Fallout!J:J,Billing_Fallout!N:N,B108)),0)</f>
        <v>0</v>
      </c>
      <c r="AD108" s="6">
        <f t="shared" si="22"/>
        <v>0</v>
      </c>
      <c r="AF108" t="str">
        <f>IFERROR(INDEX(H_Tables!$B$1:$B$1500,MATCH(INDEX(SF_Output!$J$1:$J$400,MATCH(B108,SF_Output!$M$1:$M$400,0)),H_Tables!$A$1:$A$1500,0)),"")</f>
        <v>Exclusion</v>
      </c>
      <c r="AI108" s="119" t="str">
        <f t="shared" si="23"/>
        <v/>
      </c>
      <c r="AJ108" s="121">
        <f>IFERROR(INDEX(SF_Output!AD:AD,MATCH(_xlfn.TEXTJOIN(",",TRUE,B108:E108),SF_Output!AC1:AC400,0)),0.05)</f>
        <v>183</v>
      </c>
      <c r="AK108" t="str">
        <f>IF(SUMIFS(SF_Output!$F$1:$F$400,SF_Output!$AC$1:$AC$400,_xlfn.TEXTJOIN(",",TRUE,B108:E108))+SUMIFS(SF_Output!$G$1:$G$400,SF_Output!$AC$1:$AC$400,_xlfn.TEXTJOIN(",",TRUE,B108:E108))=0,"","PAP")</f>
        <v/>
      </c>
      <c r="AQ108" s="35"/>
      <c r="AR108" s="35" t="str" cm="1">
        <f t="array" ref="AR108">IFERROR(_xlfn.IFS(AND(E108*1=1,F108="Included"),"Change to Included",AND(E108*1=0,F108="Optional"),"Change to Optional",OR(B108="",F108="replaced"),""),"")</f>
        <v/>
      </c>
      <c r="AS108" s="35" t="str">
        <f t="shared" si="24"/>
        <v/>
      </c>
      <c r="AT108" s="35" t="str">
        <f t="shared" si="25"/>
        <v/>
      </c>
      <c r="AU108" s="35" t="str">
        <f t="shared" si="26"/>
        <v/>
      </c>
      <c r="AV108" s="35" t="str">
        <f t="shared" si="27"/>
        <v/>
      </c>
      <c r="AW108" s="35" t="str">
        <f t="shared" si="28"/>
        <v/>
      </c>
      <c r="AX108" s="35" t="str">
        <f t="shared" si="29"/>
        <v/>
      </c>
      <c r="AY108" s="35" t="str">
        <f t="shared" si="30"/>
        <v/>
      </c>
      <c r="AZ108" s="35" t="str">
        <f t="shared" si="31"/>
        <v/>
      </c>
      <c r="BA108" s="35" t="str">
        <f t="shared" si="32"/>
        <v/>
      </c>
      <c r="BB108" s="35" t="str">
        <f t="shared" si="33"/>
        <v/>
      </c>
      <c r="BC108" s="35"/>
      <c r="BE108" s="35">
        <f ca="1">INDEX(SF_Output!$AA$2:$AA$400,MATCH($B108,SF_Output!$M$2:$M$400,0))</f>
        <v>6</v>
      </c>
      <c r="BF108" s="35">
        <f ca="1">INDEX(SF_Output!$AB$2:$AB$400,MATCH($B108,SF_Output!$M$2:$M$400,0))</f>
        <v>1</v>
      </c>
    </row>
    <row r="109" spans="2:58" x14ac:dyDescent="0.25">
      <c r="B109" t="s">
        <v>2373</v>
      </c>
      <c r="C109" t="s">
        <v>2122</v>
      </c>
      <c r="D109" t="s">
        <v>2207</v>
      </c>
      <c r="E109" t="s">
        <v>2124</v>
      </c>
      <c r="F109" s="116" t="str">
        <f t="shared" si="17"/>
        <v>Included</v>
      </c>
      <c r="G109" t="str">
        <f>IF(B109="","",INDEX(SF_Output!$K$1:$K$400,MATCH(B109,SF_Output!$M$1:$M$400,0)))</f>
        <v>Card Processing Solutions (CPS)</v>
      </c>
      <c r="H109" cm="1">
        <f t="array" ref="H109">_xlfn.IFS(B109="","",(SUMIFS(SF_Output!$F$1:$F$400,SF_Output!$AC$1:$AC$400,_xlfn.TEXTJOIN(",",TRUE,B109:E109))+SUMIFS(SF_Output!$G$1:$G$400,SF_Output!$AC$1:$AC$400,_xlfn.TEXTJOIN(",",TRUE,B109:E109)))&lt;&gt;0,SF_Output!$Y$2,INDEX(SF_Output!$F$1:$F$400,MATCH(_xlfn.TEXTJOIN(",",TRUE,B109:E109),SF_Output!$AC$1:$AC$400,0))=0,INDEX(SF_Output!$R$1:$R$400,MATCH(_xlfn.TEXTJOIN(",",TRUE,B109:E109),SF_Output!$AC$1:$AC$400,0)))</f>
        <v>0</v>
      </c>
      <c r="I109" s="125" t="str">
        <f>IFERROR(IF(AND(H109&gt;1,H109&lt;&gt;""),ROUND(SUMIFS(SF_Output!$S$1:$S$400,SF_Output!$AC$1:$AC$400,_xlfn.TEXTJOIN(",",TRUE,B109:E109),SF_Output!$Q$1:$Q$400,"monthly")*(1-W109)/H109,4),""),"")</f>
        <v/>
      </c>
      <c r="J109" s="6">
        <f>IF(B109="","",SUMIFS(SF_Output!$S$1:$S$400,SF_Output!$AC$1:$AC$400,_xlfn.TEXTJOIN(",",TRUE,B109:E109),SF_Output!$Q$1:$Q$400,"One Time",SF_Output!$L$1:$L$400,"license fee")+SUMIFS(SF_Output!$S$1:$S$400,SF_Output!$AC$1:$AC$400,_xlfn.TEXTJOIN(",",TRUE,B109:E109),SF_Output!$Q$1:$Q$400,"One Time",SF_Output!$L$1:$L$400,"software license")+SUMIFS(SF_Output!$S$1:$S$400,SF_Output!$AC$1:$AC$400,_xlfn.TEXTJOIN(",",TRUE,B109:E109),SF_Output!$Q$1:$Q$400,"One Time",SF_Output!$L$1:$L$400,"hardware"))</f>
        <v>0</v>
      </c>
      <c r="K109" s="112" t="str">
        <f>IF(OR(B109=0,B109="",G109="hardware",J109=0),"",IF(AF109&lt;&gt;"exclusion",MAX(K$9,-((SUMIFS(SF_Output!$T$1:$T$400,SF_Output!$AC$1:$AC$400,_xlfn.TEXTJOIN(",",TRUE,$B109:$E109),SF_Output!$Q$1:$Q$400,"One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license"))/J109)))</f>
        <v/>
      </c>
      <c r="L109" s="6">
        <f t="shared" si="18"/>
        <v>0</v>
      </c>
      <c r="N109" s="6">
        <f>IF(B109="","",SUMIFS(SF_Output!$S$1:$S$400,SF_Output!$AC$1:$AC$400,_xlfn.TEXTJOIN(",",TRUE,B109:E109),SF_Output!$Q$1:$Q$400,"One Time",SF_Output!$L$1:$L$400,"professional service"))</f>
        <v>0</v>
      </c>
      <c r="O109" s="112" t="str">
        <f>IF(OR(B109=0,B109="",N109=0),"",IF(AF109&lt;&gt;"exclusion",MAX(O$9,-(SUMIFS(SF_Output!$T$1:$T$400,SF_Output!$AC$1:$AC$400,_xlfn.TEXTJOIN(",",TRUE,$B109:$E109),SF_Output!$Q$1:$Q$400,"One Time",SF_Output!$L$1:$L$400,"professional service"))/N109),-((SUMIFS(SF_Output!$T$1:$T$400,SF_Output!$AC$1:$AC$400,_xlfn.TEXTJOIN(",",TRUE,$B109:$E109),SF_Output!$Q$1:$Q$400,"One Time",SF_Output!$L$1:$L$400,"professional service")/N109))))</f>
        <v/>
      </c>
      <c r="P109" s="6">
        <f t="shared" si="19"/>
        <v>0</v>
      </c>
      <c r="R109" s="6">
        <f>IF(B109="","",SUMIFS(SF_Output!$S$1:$S$400,SF_Output!$AC$1:$AC$400,_xlfn.TEXTJOIN(",",TRUE,B109:E109),SF_Output!$Q$1:$Q$400,"yearly")+SUMIFS(SF_Output!$S$1:$S$400,SF_Output!$AC$1:$AC$400,_xlfn.TEXTJOIN(",",TRUE,B109:E109),SF_Output!$Q$1:$Q$400,"quarterly")*4)</f>
        <v>0</v>
      </c>
      <c r="S109" s="112" t="str">
        <f>IF(OR(B109=0,B109="",G109="hardware",R109=0),"",IF(AF109&lt;&gt;"exclusion",MAX(S$9,-(SUMIFS(SF_Output!$T$1:$T$400,SF_Output!$AC$1:$AC$400,_xlfn.TEXTJOIN(",",TRUE,$B109:$E109),SF_Output!$Q$1:$Q$400,"yearly"))/R109),-((SUMIFS(SF_Output!$T$1:$T$400,SF_Output!$AC$1:$AC$400,_xlfn.TEXTJOIN(",",TRUE,$B109:$E109),SF_Output!$Q$1:$Q$400,"yearly")/R109))))</f>
        <v/>
      </c>
      <c r="T109" s="6">
        <f t="shared" si="20"/>
        <v>0</v>
      </c>
      <c r="V109" s="6" cm="1">
        <f t="array" ref="V109">_xlfn.IFS(B109="","",AND(B109&lt;&gt;"",H109=SF_Output!$Y$2,SUMIFS(SF_Output!$T$1:$T$400,SF_Output!$AC$1:$AC$400,_xlfn.TEXTJOIN(",",TRUE,B109:E109),SF_Output!$Q$1:$Q$400,"monthly")=0),(SUMIFS(SF_Output!$F$1:$F$400,SF_Output!$AC$1:$AC$400,_xlfn.TEXTJOIN(",",TRUE,B109:E109),SF_Output!$Q$1:$Q$400,"monthly")+SUMIFS(SF_Output!$G$1:$G$400,SF_Output!$AC$1:$AC$400,_xlfn.TEXTJOIN(",",TRUE,B109:E109),SF_Output!$Q$1:$Q$400,"monthly"))*H109,AND(B109&lt;&gt;"",H109=SF_Output!$Y$2,SUMIFS(SF_Output!$T$1:$T$400,SF_Output!$AC$1:$AC$400,_xlfn.TEXTJOIN(",",TRUE,B109:E109),SF_Output!$Q$1:$Q$400,"monthly")&lt;&gt;0),SUMIFS(SF_Output!$S$1:$S$400,SF_Output!$AC$1:$AC$400,_xlfn.TEXTJOIN(",",TRUE,B109:E109),SF_Output!$Q$1:$Q$400,"monthly"),AND(B109&lt;&gt;"",H109&lt;&gt;SF_Output!$Y$2),SUMIFS(SF_Output!$S$1:$S$400,SF_Output!$AC$1:$AC$400,_xlfn.TEXTJOIN(",",TRUE,B109:E109),SF_Output!$Q$1:$Q$400,"monthly"))</f>
        <v>0</v>
      </c>
      <c r="W109" s="112" t="str" cm="1">
        <f t="array" ref="W109">_xlfn.IFS(OR(B109=0,B109="",V109=0),"",AF109&lt;&gt;"exclusion",MAX($W$9,$W$7,(-(SUMIFS(SF_Output!$T$1:$T$400,SF_Output!$AC$1:$AC$400,_xlfn.TEXTJOIN(",",TRUE,$B109:$E109),SF_Output!$Q$1:$Q$400,"monthly"))/V109)),AF109="exclusion",-(SUMIFS(SF_Output!$T$1:$T$400,SF_Output!$AC$1:$AC$400,_xlfn.TEXTJOIN(",",TRUE,$B109:$E109),SF_Output!$Q$1:$Q$400,"monthly"))/V109)</f>
        <v/>
      </c>
      <c r="X109" s="6" cm="1">
        <f t="array" ref="X109">IFERROR(_xlfn.IFS(V109=0,0,V109="","",W109=0,V109,OR(V109&lt;&gt;0,V109&lt;&gt;""),H109*I109),V109*(1-W109))</f>
        <v>0</v>
      </c>
      <c r="Z109" s="6">
        <f>IFERROR(IF(B109="","",SUMIFS(Billing_Fallout!H:H,Billing_Fallout!N:N,B109)),0)</f>
        <v>0</v>
      </c>
      <c r="AA109" s="6">
        <f t="shared" si="21"/>
        <v>0</v>
      </c>
      <c r="AB109" s="6">
        <f>IFERROR(IF(B109="","",SUMIFS(Billing_Fallout!J:J,Billing_Fallout!N:N,B109)),0)</f>
        <v>0</v>
      </c>
      <c r="AD109" s="6">
        <f t="shared" si="22"/>
        <v>0</v>
      </c>
      <c r="AF109" t="str">
        <f>IFERROR(INDEX(H_Tables!$B$1:$B$1500,MATCH(INDEX(SF_Output!$J$1:$J$400,MATCH(B109,SF_Output!$M$1:$M$400,0)),H_Tables!$A$1:$A$1500,0)),"")</f>
        <v>Exclusion</v>
      </c>
      <c r="AI109" s="119" t="str">
        <f t="shared" si="23"/>
        <v/>
      </c>
      <c r="AJ109" s="121">
        <f>IFERROR(INDEX(SF_Output!AD:AD,MATCH(_xlfn.TEXTJOIN(",",TRUE,B109:E109),SF_Output!AC1:AC400,0)),0.05)</f>
        <v>184</v>
      </c>
      <c r="AK109" t="str">
        <f>IF(SUMIFS(SF_Output!$F$1:$F$400,SF_Output!$AC$1:$AC$400,_xlfn.TEXTJOIN(",",TRUE,B109:E109))+SUMIFS(SF_Output!$G$1:$G$400,SF_Output!$AC$1:$AC$400,_xlfn.TEXTJOIN(",",TRUE,B109:E109))=0,"","PAP")</f>
        <v/>
      </c>
      <c r="AQ109" s="35"/>
      <c r="AR109" s="35" t="str" cm="1">
        <f t="array" ref="AR109">IFERROR(_xlfn.IFS(AND(E109*1=1,F109="Included"),"Change to Included",AND(E109*1=0,F109="Optional"),"Change to Optional",OR(B109="",F109="replaced"),""),"")</f>
        <v/>
      </c>
      <c r="AS109" s="35" t="str">
        <f t="shared" si="24"/>
        <v/>
      </c>
      <c r="AT109" s="35" t="str">
        <f t="shared" si="25"/>
        <v/>
      </c>
      <c r="AU109" s="35" t="str">
        <f t="shared" si="26"/>
        <v/>
      </c>
      <c r="AV109" s="35" t="str">
        <f t="shared" si="27"/>
        <v/>
      </c>
      <c r="AW109" s="35" t="str">
        <f t="shared" si="28"/>
        <v/>
      </c>
      <c r="AX109" s="35" t="str">
        <f t="shared" si="29"/>
        <v/>
      </c>
      <c r="AY109" s="35" t="str">
        <f t="shared" si="30"/>
        <v/>
      </c>
      <c r="AZ109" s="35" t="str">
        <f t="shared" si="31"/>
        <v/>
      </c>
      <c r="BA109" s="35" t="str">
        <f t="shared" si="32"/>
        <v/>
      </c>
      <c r="BB109" s="35" t="str">
        <f t="shared" si="33"/>
        <v/>
      </c>
      <c r="BC109" s="35"/>
      <c r="BE109" s="35">
        <f ca="1">INDEX(SF_Output!$AA$2:$AA$400,MATCH($B109,SF_Output!$M$2:$M$400,0))</f>
        <v>6</v>
      </c>
      <c r="BF109" s="35">
        <f ca="1">INDEX(SF_Output!$AB$2:$AB$400,MATCH($B109,SF_Output!$M$2:$M$400,0))</f>
        <v>1</v>
      </c>
    </row>
    <row r="110" spans="2:58" x14ac:dyDescent="0.25">
      <c r="B110" t="s">
        <v>2375</v>
      </c>
      <c r="C110" t="s">
        <v>2122</v>
      </c>
      <c r="D110" t="s">
        <v>2207</v>
      </c>
      <c r="E110" t="s">
        <v>2124</v>
      </c>
      <c r="F110" s="116" t="str">
        <f t="shared" si="17"/>
        <v>Included</v>
      </c>
      <c r="G110" t="str">
        <f>IF(B110="","",INDEX(SF_Output!$K$1:$K$400,MATCH(B110,SF_Output!$M$1:$M$400,0)))</f>
        <v>Card Processing Solutions (CPS)</v>
      </c>
      <c r="H110" cm="1">
        <f t="array" ref="H110">_xlfn.IFS(B110="","",(SUMIFS(SF_Output!$F$1:$F$400,SF_Output!$AC$1:$AC$400,_xlfn.TEXTJOIN(",",TRUE,B110:E110))+SUMIFS(SF_Output!$G$1:$G$400,SF_Output!$AC$1:$AC$400,_xlfn.TEXTJOIN(",",TRUE,B110:E110)))&lt;&gt;0,SF_Output!$Y$2,INDEX(SF_Output!$F$1:$F$400,MATCH(_xlfn.TEXTJOIN(",",TRUE,B110:E110),SF_Output!$AC$1:$AC$400,0))=0,INDEX(SF_Output!$R$1:$R$400,MATCH(_xlfn.TEXTJOIN(",",TRUE,B110:E110),SF_Output!$AC$1:$AC$400,0)))</f>
        <v>1</v>
      </c>
      <c r="I110" s="125" t="str">
        <f>IFERROR(IF(AND(H110&gt;1,H110&lt;&gt;""),ROUND(SUMIFS(SF_Output!$S$1:$S$400,SF_Output!$AC$1:$AC$400,_xlfn.TEXTJOIN(",",TRUE,B110:E110),SF_Output!$Q$1:$Q$400,"monthly")*(1-W110)/H110,4),""),"")</f>
        <v/>
      </c>
      <c r="J110" s="6">
        <f>IF(B110="","",SUMIFS(SF_Output!$S$1:$S$400,SF_Output!$AC$1:$AC$400,_xlfn.TEXTJOIN(",",TRUE,B110:E110),SF_Output!$Q$1:$Q$400,"One Time",SF_Output!$L$1:$L$400,"license fee")+SUMIFS(SF_Output!$S$1:$S$400,SF_Output!$AC$1:$AC$400,_xlfn.TEXTJOIN(",",TRUE,B110:E110),SF_Output!$Q$1:$Q$400,"One Time",SF_Output!$L$1:$L$400,"software license")+SUMIFS(SF_Output!$S$1:$S$400,SF_Output!$AC$1:$AC$400,_xlfn.TEXTJOIN(",",TRUE,B110:E110),SF_Output!$Q$1:$Q$400,"One Time",SF_Output!$L$1:$L$400,"hardware"))</f>
        <v>0</v>
      </c>
      <c r="K110" s="112" t="str">
        <f>IF(OR(B110=0,B110="",G110="hardware",J110=0),"",IF(AF110&lt;&gt;"exclusion",MAX(K$9,-((SUMIFS(SF_Output!$T$1:$T$400,SF_Output!$AC$1:$AC$400,_xlfn.TEXTJOIN(",",TRUE,$B110:$E110),SF_Output!$Q$1:$Q$400,"One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license"))/J110)))</f>
        <v/>
      </c>
      <c r="L110" s="6">
        <f t="shared" si="18"/>
        <v>0</v>
      </c>
      <c r="N110" s="6">
        <f>IF(B110="","",SUMIFS(SF_Output!$S$1:$S$400,SF_Output!$AC$1:$AC$400,_xlfn.TEXTJOIN(",",TRUE,B110:E110),SF_Output!$Q$1:$Q$400,"One Time",SF_Output!$L$1:$L$400,"professional service"))</f>
        <v>1900</v>
      </c>
      <c r="O110" s="112">
        <f>IF(OR(B110=0,B110="",N110=0),"",IF(AF110&lt;&gt;"exclusion",MAX(O$9,-(SUMIFS(SF_Output!$T$1:$T$400,SF_Output!$AC$1:$AC$400,_xlfn.TEXTJOIN(",",TRUE,$B110:$E110),SF_Output!$Q$1:$Q$400,"One Time",SF_Output!$L$1:$L$400,"professional service"))/N110),-((SUMIFS(SF_Output!$T$1:$T$400,SF_Output!$AC$1:$AC$400,_xlfn.TEXTJOIN(",",TRUE,$B110:$E110),SF_Output!$Q$1:$Q$400,"One Time",SF_Output!$L$1:$L$400,"professional service")/N110))))</f>
        <v>1</v>
      </c>
      <c r="P110" s="6">
        <f t="shared" si="19"/>
        <v>0</v>
      </c>
      <c r="R110" s="6">
        <f>IF(B110="","",SUMIFS(SF_Output!$S$1:$S$400,SF_Output!$AC$1:$AC$400,_xlfn.TEXTJOIN(",",TRUE,B110:E110),SF_Output!$Q$1:$Q$400,"yearly")+SUMIFS(SF_Output!$S$1:$S$400,SF_Output!$AC$1:$AC$400,_xlfn.TEXTJOIN(",",TRUE,B110:E110),SF_Output!$Q$1:$Q$400,"quarterly")*4)</f>
        <v>0</v>
      </c>
      <c r="S110" s="112" t="str">
        <f>IF(OR(B110=0,B110="",G110="hardware",R110=0),"",IF(AF110&lt;&gt;"exclusion",MAX(S$9,-(SUMIFS(SF_Output!$T$1:$T$400,SF_Output!$AC$1:$AC$400,_xlfn.TEXTJOIN(",",TRUE,$B110:$E110),SF_Output!$Q$1:$Q$400,"yearly"))/R110),-((SUMIFS(SF_Output!$T$1:$T$400,SF_Output!$AC$1:$AC$400,_xlfn.TEXTJOIN(",",TRUE,$B110:$E110),SF_Output!$Q$1:$Q$400,"yearly")/R110))))</f>
        <v/>
      </c>
      <c r="T110" s="6">
        <f t="shared" si="20"/>
        <v>0</v>
      </c>
      <c r="V110" s="6" cm="1">
        <f t="array" ref="V110">_xlfn.IFS(B110="","",AND(B110&lt;&gt;"",H110=SF_Output!$Y$2,SUMIFS(SF_Output!$T$1:$T$400,SF_Output!$AC$1:$AC$400,_xlfn.TEXTJOIN(",",TRUE,B110:E110),SF_Output!$Q$1:$Q$400,"monthly")=0),(SUMIFS(SF_Output!$F$1:$F$400,SF_Output!$AC$1:$AC$400,_xlfn.TEXTJOIN(",",TRUE,B110:E110),SF_Output!$Q$1:$Q$400,"monthly")+SUMIFS(SF_Output!$G$1:$G$400,SF_Output!$AC$1:$AC$400,_xlfn.TEXTJOIN(",",TRUE,B110:E110),SF_Output!$Q$1:$Q$400,"monthly"))*H110,AND(B110&lt;&gt;"",H110=SF_Output!$Y$2,SUMIFS(SF_Output!$T$1:$T$400,SF_Output!$AC$1:$AC$400,_xlfn.TEXTJOIN(",",TRUE,B110:E110),SF_Output!$Q$1:$Q$400,"monthly")&lt;&gt;0),SUMIFS(SF_Output!$S$1:$S$400,SF_Output!$AC$1:$AC$400,_xlfn.TEXTJOIN(",",TRUE,B110:E110),SF_Output!$Q$1:$Q$400,"monthly"),AND(B110&lt;&gt;"",H110&lt;&gt;SF_Output!$Y$2),SUMIFS(SF_Output!$S$1:$S$400,SF_Output!$AC$1:$AC$400,_xlfn.TEXTJOIN(",",TRUE,B110:E110),SF_Output!$Q$1:$Q$400,"monthly"))</f>
        <v>0</v>
      </c>
      <c r="W110" s="112" t="str" cm="1">
        <f t="array" ref="W110">_xlfn.IFS(OR(B110=0,B110="",V110=0),"",AF110&lt;&gt;"exclusion",MAX($W$9,$W$7,(-(SUMIFS(SF_Output!$T$1:$T$400,SF_Output!$AC$1:$AC$400,_xlfn.TEXTJOIN(",",TRUE,$B110:$E110),SF_Output!$Q$1:$Q$400,"monthly"))/V110)),AF110="exclusion",-(SUMIFS(SF_Output!$T$1:$T$400,SF_Output!$AC$1:$AC$400,_xlfn.TEXTJOIN(",",TRUE,$B110:$E110),SF_Output!$Q$1:$Q$400,"monthly"))/V110)</f>
        <v/>
      </c>
      <c r="X110" s="6" cm="1">
        <f t="array" ref="X110">IFERROR(_xlfn.IFS(V110=0,0,V110="","",W110=0,V110,OR(V110&lt;&gt;0,V110&lt;&gt;""),H110*I110),V110*(1-W110))</f>
        <v>0</v>
      </c>
      <c r="Z110" s="6">
        <f>IFERROR(IF(B110="","",SUMIFS(Billing_Fallout!H:H,Billing_Fallout!N:N,B110)),0)</f>
        <v>0</v>
      </c>
      <c r="AA110" s="6">
        <f t="shared" si="21"/>
        <v>0</v>
      </c>
      <c r="AB110" s="6">
        <f>IFERROR(IF(B110="","",SUMIFS(Billing_Fallout!J:J,Billing_Fallout!N:N,B110)),0)</f>
        <v>0</v>
      </c>
      <c r="AD110" s="6">
        <f t="shared" si="22"/>
        <v>0</v>
      </c>
      <c r="AF110" t="str">
        <f>IFERROR(INDEX(H_Tables!$B$1:$B$1500,MATCH(INDEX(SF_Output!$J$1:$J$400,MATCH(B110,SF_Output!$M$1:$M$400,0)),H_Tables!$A$1:$A$1500,0)),"")</f>
        <v>Exclusion</v>
      </c>
      <c r="AI110" s="119" t="str">
        <f t="shared" si="23"/>
        <v/>
      </c>
      <c r="AJ110" s="121">
        <f>IFERROR(INDEX(SF_Output!AD:AD,MATCH(_xlfn.TEXTJOIN(",",TRUE,B110:E110),SF_Output!AC1:AC400,0)),0.05)</f>
        <v>185</v>
      </c>
      <c r="AK110" t="str">
        <f>IF(SUMIFS(SF_Output!$F$1:$F$400,SF_Output!$AC$1:$AC$400,_xlfn.TEXTJOIN(",",TRUE,B110:E110))+SUMIFS(SF_Output!$G$1:$G$400,SF_Output!$AC$1:$AC$400,_xlfn.TEXTJOIN(",",TRUE,B110:E110))=0,"","PAP")</f>
        <v/>
      </c>
      <c r="AQ110" s="35"/>
      <c r="AR110" s="35" t="str" cm="1">
        <f t="array" ref="AR110">IFERROR(_xlfn.IFS(AND(E110*1=1,F110="Included"),"Change to Included",AND(E110*1=0,F110="Optional"),"Change to Optional",OR(B110="",F110="replaced"),""),"")</f>
        <v/>
      </c>
      <c r="AS110" s="35" t="str">
        <f t="shared" si="24"/>
        <v/>
      </c>
      <c r="AT110" s="35" t="str">
        <f t="shared" si="25"/>
        <v/>
      </c>
      <c r="AU110" s="35" t="str">
        <f t="shared" si="26"/>
        <v/>
      </c>
      <c r="AV110" s="35" t="str">
        <f t="shared" si="27"/>
        <v/>
      </c>
      <c r="AW110" s="35" t="str">
        <f t="shared" si="28"/>
        <v/>
      </c>
      <c r="AX110" s="35" t="str">
        <f t="shared" si="29"/>
        <v/>
      </c>
      <c r="AY110" s="35" t="str">
        <f t="shared" si="30"/>
        <v/>
      </c>
      <c r="AZ110" s="35" t="str">
        <f t="shared" si="31"/>
        <v/>
      </c>
      <c r="BA110" s="35" t="str">
        <f t="shared" si="32"/>
        <v/>
      </c>
      <c r="BB110" s="35" t="str">
        <f t="shared" si="33"/>
        <v/>
      </c>
      <c r="BC110" s="35"/>
      <c r="BE110" s="35">
        <f ca="1">INDEX(SF_Output!$AA$2:$AA$400,MATCH($B110,SF_Output!$M$2:$M$400,0))</f>
        <v>6</v>
      </c>
      <c r="BF110" s="35">
        <f ca="1">INDEX(SF_Output!$AB$2:$AB$400,MATCH($B110,SF_Output!$M$2:$M$400,0))</f>
        <v>1</v>
      </c>
    </row>
    <row r="111" spans="2:58" x14ac:dyDescent="0.25">
      <c r="B111" t="s">
        <v>2377</v>
      </c>
      <c r="C111" t="s">
        <v>2122</v>
      </c>
      <c r="D111" t="s">
        <v>2207</v>
      </c>
      <c r="E111" t="s">
        <v>2124</v>
      </c>
      <c r="F111" s="116" t="str">
        <f t="shared" si="17"/>
        <v>Included</v>
      </c>
      <c r="G111" t="str">
        <f>IF(B111="","",INDEX(SF_Output!$K$1:$K$400,MATCH(B111,SF_Output!$M$1:$M$400,0)))</f>
        <v>Card Processing Solutions (CPS)</v>
      </c>
      <c r="H111" cm="1">
        <f t="array" ref="H111">_xlfn.IFS(B111="","",(SUMIFS(SF_Output!$F$1:$F$400,SF_Output!$AC$1:$AC$400,_xlfn.TEXTJOIN(",",TRUE,B111:E111))+SUMIFS(SF_Output!$G$1:$G$400,SF_Output!$AC$1:$AC$400,_xlfn.TEXTJOIN(",",TRUE,B111:E111)))&lt;&gt;0,SF_Output!$Y$2,INDEX(SF_Output!$F$1:$F$400,MATCH(_xlfn.TEXTJOIN(",",TRUE,B111:E111),SF_Output!$AC$1:$AC$400,0))=0,INDEX(SF_Output!$R$1:$R$400,MATCH(_xlfn.TEXTJOIN(",",TRUE,B111:E111),SF_Output!$AC$1:$AC$400,0)))</f>
        <v>1</v>
      </c>
      <c r="I111" s="125" t="str">
        <f>IFERROR(IF(AND(H111&gt;1,H111&lt;&gt;""),ROUND(SUMIFS(SF_Output!$S$1:$S$400,SF_Output!$AC$1:$AC$400,_xlfn.TEXTJOIN(",",TRUE,B111:E111),SF_Output!$Q$1:$Q$400,"monthly")*(1-W111)/H111,4),""),"")</f>
        <v/>
      </c>
      <c r="J111" s="6">
        <f>IF(B111="","",SUMIFS(SF_Output!$S$1:$S$400,SF_Output!$AC$1:$AC$400,_xlfn.TEXTJOIN(",",TRUE,B111:E111),SF_Output!$Q$1:$Q$400,"One Time",SF_Output!$L$1:$L$400,"license fee")+SUMIFS(SF_Output!$S$1:$S$400,SF_Output!$AC$1:$AC$400,_xlfn.TEXTJOIN(",",TRUE,B111:E111),SF_Output!$Q$1:$Q$400,"One Time",SF_Output!$L$1:$L$400,"software license")+SUMIFS(SF_Output!$S$1:$S$400,SF_Output!$AC$1:$AC$400,_xlfn.TEXTJOIN(",",TRUE,B111:E111),SF_Output!$Q$1:$Q$400,"One Time",SF_Output!$L$1:$L$400,"hardware"))</f>
        <v>0</v>
      </c>
      <c r="K111" s="112" t="str">
        <f>IF(OR(B111=0,B111="",G111="hardware",J111=0),"",IF(AF111&lt;&gt;"exclusion",MAX(K$9,-((SUMIFS(SF_Output!$T$1:$T$400,SF_Output!$AC$1:$AC$400,_xlfn.TEXTJOIN(",",TRUE,$B111:$E111),SF_Output!$Q$1:$Q$400,"One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license"))/J111)))</f>
        <v/>
      </c>
      <c r="L111" s="6">
        <f t="shared" si="18"/>
        <v>0</v>
      </c>
      <c r="N111" s="6">
        <f>IF(B111="","",SUMIFS(SF_Output!$S$1:$S$400,SF_Output!$AC$1:$AC$400,_xlfn.TEXTJOIN(",",TRUE,B111:E111),SF_Output!$Q$1:$Q$400,"One Time",SF_Output!$L$1:$L$400,"professional service"))</f>
        <v>0</v>
      </c>
      <c r="O111" s="112" t="str">
        <f>IF(OR(B111=0,B111="",N111=0),"",IF(AF111&lt;&gt;"exclusion",MAX(O$9,-(SUMIFS(SF_Output!$T$1:$T$400,SF_Output!$AC$1:$AC$400,_xlfn.TEXTJOIN(",",TRUE,$B111:$E111),SF_Output!$Q$1:$Q$400,"One Time",SF_Output!$L$1:$L$400,"professional service"))/N111),-((SUMIFS(SF_Output!$T$1:$T$400,SF_Output!$AC$1:$AC$400,_xlfn.TEXTJOIN(",",TRUE,$B111:$E111),SF_Output!$Q$1:$Q$400,"One Time",SF_Output!$L$1:$L$400,"professional service")/N111))))</f>
        <v/>
      </c>
      <c r="P111" s="6">
        <f t="shared" si="19"/>
        <v>0</v>
      </c>
      <c r="R111" s="6">
        <f>IF(B111="","",SUMIFS(SF_Output!$S$1:$S$400,SF_Output!$AC$1:$AC$400,_xlfn.TEXTJOIN(",",TRUE,B111:E111),SF_Output!$Q$1:$Q$400,"yearly")+SUMIFS(SF_Output!$S$1:$S$400,SF_Output!$AC$1:$AC$400,_xlfn.TEXTJOIN(",",TRUE,B111:E111),SF_Output!$Q$1:$Q$400,"quarterly")*4)</f>
        <v>0</v>
      </c>
      <c r="S111" s="112" t="str">
        <f>IF(OR(B111=0,B111="",G111="hardware",R111=0),"",IF(AF111&lt;&gt;"exclusion",MAX(S$9,-(SUMIFS(SF_Output!$T$1:$T$400,SF_Output!$AC$1:$AC$400,_xlfn.TEXTJOIN(",",TRUE,$B111:$E111),SF_Output!$Q$1:$Q$400,"yearly"))/R111),-((SUMIFS(SF_Output!$T$1:$T$400,SF_Output!$AC$1:$AC$400,_xlfn.TEXTJOIN(",",TRUE,$B111:$E111),SF_Output!$Q$1:$Q$400,"yearly")/R111))))</f>
        <v/>
      </c>
      <c r="T111" s="6">
        <f t="shared" si="20"/>
        <v>0</v>
      </c>
      <c r="V111" s="6" cm="1">
        <f t="array" ref="V111">_xlfn.IFS(B111="","",AND(B111&lt;&gt;"",H111=SF_Output!$Y$2,SUMIFS(SF_Output!$T$1:$T$400,SF_Output!$AC$1:$AC$400,_xlfn.TEXTJOIN(",",TRUE,B111:E111),SF_Output!$Q$1:$Q$400,"monthly")=0),(SUMIFS(SF_Output!$F$1:$F$400,SF_Output!$AC$1:$AC$400,_xlfn.TEXTJOIN(",",TRUE,B111:E111),SF_Output!$Q$1:$Q$400,"monthly")+SUMIFS(SF_Output!$G$1:$G$400,SF_Output!$AC$1:$AC$400,_xlfn.TEXTJOIN(",",TRUE,B111:E111),SF_Output!$Q$1:$Q$400,"monthly"))*H111,AND(B111&lt;&gt;"",H111=SF_Output!$Y$2,SUMIFS(SF_Output!$T$1:$T$400,SF_Output!$AC$1:$AC$400,_xlfn.TEXTJOIN(",",TRUE,B111:E111),SF_Output!$Q$1:$Q$400,"monthly")&lt;&gt;0),SUMIFS(SF_Output!$S$1:$S$400,SF_Output!$AC$1:$AC$400,_xlfn.TEXTJOIN(",",TRUE,B111:E111),SF_Output!$Q$1:$Q$400,"monthly"),AND(B111&lt;&gt;"",H111&lt;&gt;SF_Output!$Y$2),SUMIFS(SF_Output!$S$1:$S$400,SF_Output!$AC$1:$AC$400,_xlfn.TEXTJOIN(",",TRUE,B111:E111),SF_Output!$Q$1:$Q$400,"monthly"))</f>
        <v>350</v>
      </c>
      <c r="W111" s="112" cm="1">
        <f t="array" ref="W111">_xlfn.IFS(OR(B111=0,B111="",V111=0),"",AF111&lt;&gt;"exclusion",MAX($W$9,$W$7,(-(SUMIFS(SF_Output!$T$1:$T$400,SF_Output!$AC$1:$AC$400,_xlfn.TEXTJOIN(",",TRUE,$B111:$E111),SF_Output!$Q$1:$Q$400,"monthly"))/V111)),AF111="exclusion",-(SUMIFS(SF_Output!$T$1:$T$400,SF_Output!$AC$1:$AC$400,_xlfn.TEXTJOIN(",",TRUE,$B111:$E111),SF_Output!$Q$1:$Q$400,"monthly"))/V111)</f>
        <v>0</v>
      </c>
      <c r="X111" s="6" cm="1">
        <f t="array" ref="X111">IFERROR(_xlfn.IFS(V111=0,0,V111="","",W111=0,V111,OR(V111&lt;&gt;0,V111&lt;&gt;""),H111*I111),V111*(1-W111))</f>
        <v>350</v>
      </c>
      <c r="Z111" s="6">
        <f>IFERROR(IF(B111="","",SUMIFS(Billing_Fallout!H:H,Billing_Fallout!N:N,B111)),0)</f>
        <v>0</v>
      </c>
      <c r="AA111" s="6">
        <f t="shared" si="21"/>
        <v>0</v>
      </c>
      <c r="AB111" s="6">
        <f>IFERROR(IF(B111="","",SUMIFS(Billing_Fallout!J:J,Billing_Fallout!N:N,B111)),0)</f>
        <v>0</v>
      </c>
      <c r="AD111" s="6">
        <f t="shared" si="22"/>
        <v>350</v>
      </c>
      <c r="AF111" t="str">
        <f>IFERROR(INDEX(H_Tables!$B$1:$B$1500,MATCH(INDEX(SF_Output!$J$1:$J$400,MATCH(B111,SF_Output!$M$1:$M$400,0)),H_Tables!$A$1:$A$1500,0)),"")</f>
        <v>Exclusion</v>
      </c>
      <c r="AI111" s="119" t="str">
        <f t="shared" si="23"/>
        <v/>
      </c>
      <c r="AJ111" s="121">
        <f>IFERROR(INDEX(SF_Output!AD:AD,MATCH(_xlfn.TEXTJOIN(",",TRUE,B111:E111),SF_Output!AC1:AC400,0)),0.05)</f>
        <v>186</v>
      </c>
      <c r="AK111" t="str">
        <f>IF(SUMIFS(SF_Output!$F$1:$F$400,SF_Output!$AC$1:$AC$400,_xlfn.TEXTJOIN(",",TRUE,B111:E111))+SUMIFS(SF_Output!$G$1:$G$400,SF_Output!$AC$1:$AC$400,_xlfn.TEXTJOIN(",",TRUE,B111:E111))=0,"","PAP")</f>
        <v/>
      </c>
      <c r="AQ111" s="35"/>
      <c r="AR111" s="35" t="str" cm="1">
        <f t="array" ref="AR111">IFERROR(_xlfn.IFS(AND(E111*1=1,F111="Included"),"Change to Included",AND(E111*1=0,F111="Optional"),"Change to Optional",OR(B111="",F111="replaced"),""),"")</f>
        <v/>
      </c>
      <c r="AS111" s="35" t="str">
        <f t="shared" si="24"/>
        <v/>
      </c>
      <c r="AT111" s="35" t="str">
        <f t="shared" si="25"/>
        <v/>
      </c>
      <c r="AU111" s="35" t="str">
        <f t="shared" si="26"/>
        <v/>
      </c>
      <c r="AV111" s="35" t="str">
        <f t="shared" si="27"/>
        <v/>
      </c>
      <c r="AW111" s="35" t="str">
        <f t="shared" si="28"/>
        <v/>
      </c>
      <c r="AX111" s="35" t="str">
        <f t="shared" si="29"/>
        <v/>
      </c>
      <c r="AY111" s="35" t="str">
        <f t="shared" si="30"/>
        <v/>
      </c>
      <c r="AZ111" s="35" t="str">
        <f t="shared" si="31"/>
        <v/>
      </c>
      <c r="BA111" s="35" t="str">
        <f t="shared" si="32"/>
        <v/>
      </c>
      <c r="BB111" s="35" t="str">
        <f t="shared" si="33"/>
        <v/>
      </c>
      <c r="BC111" s="35"/>
      <c r="BE111" s="35">
        <f ca="1">INDEX(SF_Output!$AA$2:$AA$400,MATCH($B111,SF_Output!$M$2:$M$400,0))</f>
        <v>6</v>
      </c>
      <c r="BF111" s="35">
        <f ca="1">INDEX(SF_Output!$AB$2:$AB$400,MATCH($B111,SF_Output!$M$2:$M$400,0))</f>
        <v>1</v>
      </c>
    </row>
    <row r="112" spans="2:58" x14ac:dyDescent="0.25">
      <c r="B112" t="s">
        <v>2379</v>
      </c>
      <c r="C112" t="s">
        <v>2122</v>
      </c>
      <c r="D112" t="s">
        <v>2207</v>
      </c>
      <c r="E112" t="s">
        <v>2124</v>
      </c>
      <c r="F112" s="116" t="str">
        <f t="shared" si="17"/>
        <v>Included</v>
      </c>
      <c r="G112" t="str">
        <f>IF(B112="","",INDEX(SF_Output!$K$1:$K$400,MATCH(B112,SF_Output!$M$1:$M$400,0)))</f>
        <v>Card Processing Solutions (CPS)</v>
      </c>
      <c r="H112" cm="1">
        <f t="array" ref="H112">_xlfn.IFS(B112="","",(SUMIFS(SF_Output!$F$1:$F$400,SF_Output!$AC$1:$AC$400,_xlfn.TEXTJOIN(",",TRUE,B112:E112))+SUMIFS(SF_Output!$G$1:$G$400,SF_Output!$AC$1:$AC$400,_xlfn.TEXTJOIN(",",TRUE,B112:E112)))&lt;&gt;0,SF_Output!$Y$2,INDEX(SF_Output!$F$1:$F$400,MATCH(_xlfn.TEXTJOIN(",",TRUE,B112:E112),SF_Output!$AC$1:$AC$400,0))=0,INDEX(SF_Output!$R$1:$R$400,MATCH(_xlfn.TEXTJOIN(",",TRUE,B112:E112),SF_Output!$AC$1:$AC$400,0)))</f>
        <v>1</v>
      </c>
      <c r="I112" s="125" t="str">
        <f>IFERROR(IF(AND(H112&gt;1,H112&lt;&gt;""),ROUND(SUMIFS(SF_Output!$S$1:$S$400,SF_Output!$AC$1:$AC$400,_xlfn.TEXTJOIN(",",TRUE,B112:E112),SF_Output!$Q$1:$Q$400,"monthly")*(1-W112)/H112,4),""),"")</f>
        <v/>
      </c>
      <c r="J112" s="6">
        <f>IF(B112="","",SUMIFS(SF_Output!$S$1:$S$400,SF_Output!$AC$1:$AC$400,_xlfn.TEXTJOIN(",",TRUE,B112:E112),SF_Output!$Q$1:$Q$400,"One Time",SF_Output!$L$1:$L$400,"license fee")+SUMIFS(SF_Output!$S$1:$S$400,SF_Output!$AC$1:$AC$400,_xlfn.TEXTJOIN(",",TRUE,B112:E112),SF_Output!$Q$1:$Q$400,"One Time",SF_Output!$L$1:$L$400,"software license")+SUMIFS(SF_Output!$S$1:$S$400,SF_Output!$AC$1:$AC$400,_xlfn.TEXTJOIN(",",TRUE,B112:E112),SF_Output!$Q$1:$Q$400,"One Time",SF_Output!$L$1:$L$400,"hardware"))</f>
        <v>0</v>
      </c>
      <c r="K112" s="112" t="str">
        <f>IF(OR(B112=0,B112="",G112="hardware",J112=0),"",IF(AF112&lt;&gt;"exclusion",MAX(K$9,-((SUMIFS(SF_Output!$T$1:$T$400,SF_Output!$AC$1:$AC$400,_xlfn.TEXTJOIN(",",TRUE,$B112:$E112),SF_Output!$Q$1:$Q$400,"One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license"))/J112)))</f>
        <v/>
      </c>
      <c r="L112" s="6">
        <f t="shared" si="18"/>
        <v>0</v>
      </c>
      <c r="N112" s="6">
        <f>IF(B112="","",SUMIFS(SF_Output!$S$1:$S$400,SF_Output!$AC$1:$AC$400,_xlfn.TEXTJOIN(",",TRUE,B112:E112),SF_Output!$Q$1:$Q$400,"One Time",SF_Output!$L$1:$L$400,"professional service"))</f>
        <v>1500</v>
      </c>
      <c r="O112" s="112">
        <f>IF(OR(B112=0,B112="",N112=0),"",IF(AF112&lt;&gt;"exclusion",MAX(O$9,-(SUMIFS(SF_Output!$T$1:$T$400,SF_Output!$AC$1:$AC$400,_xlfn.TEXTJOIN(",",TRUE,$B112:$E112),SF_Output!$Q$1:$Q$400,"One Time",SF_Output!$L$1:$L$400,"professional service"))/N112),-((SUMIFS(SF_Output!$T$1:$T$400,SF_Output!$AC$1:$AC$400,_xlfn.TEXTJOIN(",",TRUE,$B112:$E112),SF_Output!$Q$1:$Q$400,"One Time",SF_Output!$L$1:$L$400,"professional service")/N112))))</f>
        <v>1</v>
      </c>
      <c r="P112" s="6">
        <f t="shared" si="19"/>
        <v>0</v>
      </c>
      <c r="R112" s="6">
        <f>IF(B112="","",SUMIFS(SF_Output!$S$1:$S$400,SF_Output!$AC$1:$AC$400,_xlfn.TEXTJOIN(",",TRUE,B112:E112),SF_Output!$Q$1:$Q$400,"yearly")+SUMIFS(SF_Output!$S$1:$S$400,SF_Output!$AC$1:$AC$400,_xlfn.TEXTJOIN(",",TRUE,B112:E112),SF_Output!$Q$1:$Q$400,"quarterly")*4)</f>
        <v>0</v>
      </c>
      <c r="S112" s="112" t="str">
        <f>IF(OR(B112=0,B112="",G112="hardware",R112=0),"",IF(AF112&lt;&gt;"exclusion",MAX(S$9,-(SUMIFS(SF_Output!$T$1:$T$400,SF_Output!$AC$1:$AC$400,_xlfn.TEXTJOIN(",",TRUE,$B112:$E112),SF_Output!$Q$1:$Q$400,"yearly"))/R112),-((SUMIFS(SF_Output!$T$1:$T$400,SF_Output!$AC$1:$AC$400,_xlfn.TEXTJOIN(",",TRUE,$B112:$E112),SF_Output!$Q$1:$Q$400,"yearly")/R112))))</f>
        <v/>
      </c>
      <c r="T112" s="6">
        <f t="shared" si="20"/>
        <v>0</v>
      </c>
      <c r="V112" s="6" cm="1">
        <f t="array" ref="V112">_xlfn.IFS(B112="","",AND(B112&lt;&gt;"",H112=SF_Output!$Y$2,SUMIFS(SF_Output!$T$1:$T$400,SF_Output!$AC$1:$AC$400,_xlfn.TEXTJOIN(",",TRUE,B112:E112),SF_Output!$Q$1:$Q$400,"monthly")=0),(SUMIFS(SF_Output!$F$1:$F$400,SF_Output!$AC$1:$AC$400,_xlfn.TEXTJOIN(",",TRUE,B112:E112),SF_Output!$Q$1:$Q$400,"monthly")+SUMIFS(SF_Output!$G$1:$G$400,SF_Output!$AC$1:$AC$400,_xlfn.TEXTJOIN(",",TRUE,B112:E112),SF_Output!$Q$1:$Q$400,"monthly"))*H112,AND(B112&lt;&gt;"",H112=SF_Output!$Y$2,SUMIFS(SF_Output!$T$1:$T$400,SF_Output!$AC$1:$AC$400,_xlfn.TEXTJOIN(",",TRUE,B112:E112),SF_Output!$Q$1:$Q$400,"monthly")&lt;&gt;0),SUMIFS(SF_Output!$S$1:$S$400,SF_Output!$AC$1:$AC$400,_xlfn.TEXTJOIN(",",TRUE,B112:E112),SF_Output!$Q$1:$Q$400,"monthly"),AND(B112&lt;&gt;"",H112&lt;&gt;SF_Output!$Y$2),SUMIFS(SF_Output!$S$1:$S$400,SF_Output!$AC$1:$AC$400,_xlfn.TEXTJOIN(",",TRUE,B112:E112),SF_Output!$Q$1:$Q$400,"monthly"))</f>
        <v>350</v>
      </c>
      <c r="W112" s="112" cm="1">
        <f t="array" ref="W112">_xlfn.IFS(OR(B112=0,B112="",V112=0),"",AF112&lt;&gt;"exclusion",MAX($W$9,$W$7,(-(SUMIFS(SF_Output!$T$1:$T$400,SF_Output!$AC$1:$AC$400,_xlfn.TEXTJOIN(",",TRUE,$B112:$E112),SF_Output!$Q$1:$Q$400,"monthly"))/V112)),AF112="exclusion",-(SUMIFS(SF_Output!$T$1:$T$400,SF_Output!$AC$1:$AC$400,_xlfn.TEXTJOIN(",",TRUE,$B112:$E112),SF_Output!$Q$1:$Q$400,"monthly"))/V112)</f>
        <v>0</v>
      </c>
      <c r="X112" s="6" cm="1">
        <f t="array" ref="X112">IFERROR(_xlfn.IFS(V112=0,0,V112="","",W112=0,V112,OR(V112&lt;&gt;0,V112&lt;&gt;""),H112*I112),V112*(1-W112))</f>
        <v>350</v>
      </c>
      <c r="Z112" s="6">
        <f>IFERROR(IF(B112="","",SUMIFS(Billing_Fallout!H:H,Billing_Fallout!N:N,B112)),0)</f>
        <v>0</v>
      </c>
      <c r="AA112" s="6">
        <f t="shared" si="21"/>
        <v>0</v>
      </c>
      <c r="AB112" s="6">
        <f>IFERROR(IF(B112="","",SUMIFS(Billing_Fallout!J:J,Billing_Fallout!N:N,B112)),0)</f>
        <v>0</v>
      </c>
      <c r="AD112" s="6">
        <f t="shared" si="22"/>
        <v>350</v>
      </c>
      <c r="AF112" t="str">
        <f>IFERROR(INDEX(H_Tables!$B$1:$B$1500,MATCH(INDEX(SF_Output!$J$1:$J$400,MATCH(B112,SF_Output!$M$1:$M$400,0)),H_Tables!$A$1:$A$1500,0)),"")</f>
        <v>Exclusion</v>
      </c>
      <c r="AI112" s="119" t="str">
        <f t="shared" si="23"/>
        <v/>
      </c>
      <c r="AJ112" s="121">
        <f>IFERROR(INDEX(SF_Output!AD:AD,MATCH(_xlfn.TEXTJOIN(",",TRUE,B112:E112),SF_Output!AC1:AC400,0)),0.05)</f>
        <v>187</v>
      </c>
      <c r="AK112" t="str">
        <f>IF(SUMIFS(SF_Output!$F$1:$F$400,SF_Output!$AC$1:$AC$400,_xlfn.TEXTJOIN(",",TRUE,B112:E112))+SUMIFS(SF_Output!$G$1:$G$400,SF_Output!$AC$1:$AC$400,_xlfn.TEXTJOIN(",",TRUE,B112:E112))=0,"","PAP")</f>
        <v/>
      </c>
      <c r="AQ112" s="35"/>
      <c r="AR112" s="35" t="str" cm="1">
        <f t="array" ref="AR112">IFERROR(_xlfn.IFS(AND(E112*1=1,F112="Included"),"Change to Included",AND(E112*1=0,F112="Optional"),"Change to Optional",OR(B112="",F112="replaced"),""),"")</f>
        <v/>
      </c>
      <c r="AS112" s="35" t="str">
        <f t="shared" si="24"/>
        <v/>
      </c>
      <c r="AT112" s="35" t="str">
        <f t="shared" si="25"/>
        <v/>
      </c>
      <c r="AU112" s="35" t="str">
        <f t="shared" si="26"/>
        <v/>
      </c>
      <c r="AV112" s="35" t="str">
        <f t="shared" si="27"/>
        <v/>
      </c>
      <c r="AW112" s="35" t="str">
        <f t="shared" si="28"/>
        <v/>
      </c>
      <c r="AX112" s="35" t="str">
        <f t="shared" si="29"/>
        <v/>
      </c>
      <c r="AY112" s="35" t="str">
        <f t="shared" si="30"/>
        <v/>
      </c>
      <c r="AZ112" s="35" t="str">
        <f t="shared" si="31"/>
        <v/>
      </c>
      <c r="BA112" s="35" t="str">
        <f t="shared" si="32"/>
        <v/>
      </c>
      <c r="BB112" s="35" t="str">
        <f t="shared" si="33"/>
        <v/>
      </c>
      <c r="BC112" s="35"/>
      <c r="BE112" s="35">
        <f ca="1">INDEX(SF_Output!$AA$2:$AA$400,MATCH($B112,SF_Output!$M$2:$M$400,0))</f>
        <v>6</v>
      </c>
      <c r="BF112" s="35">
        <f ca="1">INDEX(SF_Output!$AB$2:$AB$400,MATCH($B112,SF_Output!$M$2:$M$400,0))</f>
        <v>1</v>
      </c>
    </row>
    <row r="113" spans="2:58" x14ac:dyDescent="0.25">
      <c r="B113" t="s">
        <v>2382</v>
      </c>
      <c r="C113" t="s">
        <v>2122</v>
      </c>
      <c r="D113" t="s">
        <v>2207</v>
      </c>
      <c r="E113" t="s">
        <v>2124</v>
      </c>
      <c r="F113" s="116" t="str">
        <f t="shared" si="17"/>
        <v>Included</v>
      </c>
      <c r="G113" t="str">
        <f>IF(B113="","",INDEX(SF_Output!$K$1:$K$400,MATCH(B113,SF_Output!$M$1:$M$400,0)))</f>
        <v>Card Processing Solutions (CPS)</v>
      </c>
      <c r="H113" cm="1">
        <f t="array" ref="H113">_xlfn.IFS(B113="","",(SUMIFS(SF_Output!$F$1:$F$400,SF_Output!$AC$1:$AC$400,_xlfn.TEXTJOIN(",",TRUE,B113:E113))+SUMIFS(SF_Output!$G$1:$G$400,SF_Output!$AC$1:$AC$400,_xlfn.TEXTJOIN(",",TRUE,B113:E113)))&lt;&gt;0,SF_Output!$Y$2,INDEX(SF_Output!$F$1:$F$400,MATCH(_xlfn.TEXTJOIN(",",TRUE,B113:E113),SF_Output!$AC$1:$AC$400,0))=0,INDEX(SF_Output!$R$1:$R$400,MATCH(_xlfn.TEXTJOIN(",",TRUE,B113:E113),SF_Output!$AC$1:$AC$400,0)))</f>
        <v>1</v>
      </c>
      <c r="I113" s="125" t="str">
        <f>IFERROR(IF(AND(H113&gt;1,H113&lt;&gt;""),ROUND(SUMIFS(SF_Output!$S$1:$S$400,SF_Output!$AC$1:$AC$400,_xlfn.TEXTJOIN(",",TRUE,B113:E113),SF_Output!$Q$1:$Q$400,"monthly")*(1-W113)/H113,4),""),"")</f>
        <v/>
      </c>
      <c r="J113" s="6">
        <f>IF(B113="","",SUMIFS(SF_Output!$S$1:$S$400,SF_Output!$AC$1:$AC$400,_xlfn.TEXTJOIN(",",TRUE,B113:E113),SF_Output!$Q$1:$Q$400,"One Time",SF_Output!$L$1:$L$400,"license fee")+SUMIFS(SF_Output!$S$1:$S$400,SF_Output!$AC$1:$AC$400,_xlfn.TEXTJOIN(",",TRUE,B113:E113),SF_Output!$Q$1:$Q$400,"One Time",SF_Output!$L$1:$L$400,"software license")+SUMIFS(SF_Output!$S$1:$S$400,SF_Output!$AC$1:$AC$400,_xlfn.TEXTJOIN(",",TRUE,B113:E113),SF_Output!$Q$1:$Q$400,"One Time",SF_Output!$L$1:$L$400,"hardware"))</f>
        <v>0</v>
      </c>
      <c r="K113" s="112" t="str">
        <f>IF(OR(B113=0,B113="",G113="hardware",J113=0),"",IF(AF113&lt;&gt;"exclusion",MAX(K$9,-((SUMIFS(SF_Output!$T$1:$T$400,SF_Output!$AC$1:$AC$400,_xlfn.TEXTJOIN(",",TRUE,$B113:$E113),SF_Output!$Q$1:$Q$400,"One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license"))/J113)))</f>
        <v/>
      </c>
      <c r="L113" s="6">
        <f t="shared" si="18"/>
        <v>0</v>
      </c>
      <c r="N113" s="6">
        <f>IF(B113="","",SUMIFS(SF_Output!$S$1:$S$400,SF_Output!$AC$1:$AC$400,_xlfn.TEXTJOIN(",",TRUE,B113:E113),SF_Output!$Q$1:$Q$400,"One Time",SF_Output!$L$1:$L$400,"professional service"))</f>
        <v>0</v>
      </c>
      <c r="O113" s="112" t="str">
        <f>IF(OR(B113=0,B113="",N113=0),"",IF(AF113&lt;&gt;"exclusion",MAX(O$9,-(SUMIFS(SF_Output!$T$1:$T$400,SF_Output!$AC$1:$AC$400,_xlfn.TEXTJOIN(",",TRUE,$B113:$E113),SF_Output!$Q$1:$Q$400,"One Time",SF_Output!$L$1:$L$400,"professional service"))/N113),-((SUMIFS(SF_Output!$T$1:$T$400,SF_Output!$AC$1:$AC$400,_xlfn.TEXTJOIN(",",TRUE,$B113:$E113),SF_Output!$Q$1:$Q$400,"One Time",SF_Output!$L$1:$L$400,"professional service")/N113))))</f>
        <v/>
      </c>
      <c r="P113" s="6">
        <f t="shared" si="19"/>
        <v>0</v>
      </c>
      <c r="R113" s="6">
        <f>IF(B113="","",SUMIFS(SF_Output!$S$1:$S$400,SF_Output!$AC$1:$AC$400,_xlfn.TEXTJOIN(",",TRUE,B113:E113),SF_Output!$Q$1:$Q$400,"yearly")+SUMIFS(SF_Output!$S$1:$S$400,SF_Output!$AC$1:$AC$400,_xlfn.TEXTJOIN(",",TRUE,B113:E113),SF_Output!$Q$1:$Q$400,"quarterly")*4)</f>
        <v>0</v>
      </c>
      <c r="S113" s="112" t="str">
        <f>IF(OR(B113=0,B113="",G113="hardware",R113=0),"",IF(AF113&lt;&gt;"exclusion",MAX(S$9,-(SUMIFS(SF_Output!$T$1:$T$400,SF_Output!$AC$1:$AC$400,_xlfn.TEXTJOIN(",",TRUE,$B113:$E113),SF_Output!$Q$1:$Q$400,"yearly"))/R113),-((SUMIFS(SF_Output!$T$1:$T$400,SF_Output!$AC$1:$AC$400,_xlfn.TEXTJOIN(",",TRUE,$B113:$E113),SF_Output!$Q$1:$Q$400,"yearly")/R113))))</f>
        <v/>
      </c>
      <c r="T113" s="6">
        <f t="shared" si="20"/>
        <v>0</v>
      </c>
      <c r="V113" s="6" cm="1">
        <f t="array" ref="V113">_xlfn.IFS(B113="","",AND(B113&lt;&gt;"",H113=SF_Output!$Y$2,SUMIFS(SF_Output!$T$1:$T$400,SF_Output!$AC$1:$AC$400,_xlfn.TEXTJOIN(",",TRUE,B113:E113),SF_Output!$Q$1:$Q$400,"monthly")=0),(SUMIFS(SF_Output!$F$1:$F$400,SF_Output!$AC$1:$AC$400,_xlfn.TEXTJOIN(",",TRUE,B113:E113),SF_Output!$Q$1:$Q$400,"monthly")+SUMIFS(SF_Output!$G$1:$G$400,SF_Output!$AC$1:$AC$400,_xlfn.TEXTJOIN(",",TRUE,B113:E113),SF_Output!$Q$1:$Q$400,"monthly"))*H113,AND(B113&lt;&gt;"",H113=SF_Output!$Y$2,SUMIFS(SF_Output!$T$1:$T$400,SF_Output!$AC$1:$AC$400,_xlfn.TEXTJOIN(",",TRUE,B113:E113),SF_Output!$Q$1:$Q$400,"monthly")&lt;&gt;0),SUMIFS(SF_Output!$S$1:$S$400,SF_Output!$AC$1:$AC$400,_xlfn.TEXTJOIN(",",TRUE,B113:E113),SF_Output!$Q$1:$Q$400,"monthly"),AND(B113&lt;&gt;"",H113&lt;&gt;SF_Output!$Y$2),SUMIFS(SF_Output!$S$1:$S$400,SF_Output!$AC$1:$AC$400,_xlfn.TEXTJOIN(",",TRUE,B113:E113),SF_Output!$Q$1:$Q$400,"monthly"))</f>
        <v>150</v>
      </c>
      <c r="W113" s="112" cm="1">
        <f t="array" ref="W113">_xlfn.IFS(OR(B113=0,B113="",V113=0),"",AF113&lt;&gt;"exclusion",MAX($W$9,$W$7,(-(SUMIFS(SF_Output!$T$1:$T$400,SF_Output!$AC$1:$AC$400,_xlfn.TEXTJOIN(",",TRUE,$B113:$E113),SF_Output!$Q$1:$Q$400,"monthly"))/V113)),AF113="exclusion",-(SUMIFS(SF_Output!$T$1:$T$400,SF_Output!$AC$1:$AC$400,_xlfn.TEXTJOIN(",",TRUE,$B113:$E113),SF_Output!$Q$1:$Q$400,"monthly"))/V113)</f>
        <v>0</v>
      </c>
      <c r="X113" s="6" cm="1">
        <f t="array" ref="X113">IFERROR(_xlfn.IFS(V113=0,0,V113="","",W113=0,V113,OR(V113&lt;&gt;0,V113&lt;&gt;""),H113*I113),V113*(1-W113))</f>
        <v>150</v>
      </c>
      <c r="Z113" s="6">
        <f>IFERROR(IF(B113="","",SUMIFS(Billing_Fallout!H:H,Billing_Fallout!N:N,B113)),0)</f>
        <v>0</v>
      </c>
      <c r="AA113" s="6">
        <f t="shared" si="21"/>
        <v>0</v>
      </c>
      <c r="AB113" s="6">
        <f>IFERROR(IF(B113="","",SUMIFS(Billing_Fallout!J:J,Billing_Fallout!N:N,B113)),0)</f>
        <v>0</v>
      </c>
      <c r="AD113" s="6">
        <f t="shared" si="22"/>
        <v>150</v>
      </c>
      <c r="AF113" t="str">
        <f>IFERROR(INDEX(H_Tables!$B$1:$B$1500,MATCH(INDEX(SF_Output!$J$1:$J$400,MATCH(B113,SF_Output!$M$1:$M$400,0)),H_Tables!$A$1:$A$1500,0)),"")</f>
        <v>Exclusion</v>
      </c>
      <c r="AI113" s="119" t="str">
        <f t="shared" si="23"/>
        <v/>
      </c>
      <c r="AJ113" s="121">
        <f>IFERROR(INDEX(SF_Output!AD:AD,MATCH(_xlfn.TEXTJOIN(",",TRUE,B113:E113),SF_Output!AC1:AC400,0)),0.05)</f>
        <v>189</v>
      </c>
      <c r="AK113" t="str">
        <f>IF(SUMIFS(SF_Output!$F$1:$F$400,SF_Output!$AC$1:$AC$400,_xlfn.TEXTJOIN(",",TRUE,B113:E113))+SUMIFS(SF_Output!$G$1:$G$400,SF_Output!$AC$1:$AC$400,_xlfn.TEXTJOIN(",",TRUE,B113:E113))=0,"","PAP")</f>
        <v/>
      </c>
      <c r="AQ113" s="35"/>
      <c r="AR113" s="35" t="str" cm="1">
        <f t="array" ref="AR113">IFERROR(_xlfn.IFS(AND(E113*1=1,F113="Included"),"Change to Included",AND(E113*1=0,F113="Optional"),"Change to Optional",OR(B113="",F113="replaced"),""),"")</f>
        <v/>
      </c>
      <c r="AS113" s="35" t="str">
        <f t="shared" si="24"/>
        <v/>
      </c>
      <c r="AT113" s="35" t="str">
        <f t="shared" si="25"/>
        <v/>
      </c>
      <c r="AU113" s="35" t="str">
        <f t="shared" si="26"/>
        <v/>
      </c>
      <c r="AV113" s="35" t="str">
        <f t="shared" si="27"/>
        <v/>
      </c>
      <c r="AW113" s="35" t="str">
        <f t="shared" si="28"/>
        <v/>
      </c>
      <c r="AX113" s="35" t="str">
        <f t="shared" si="29"/>
        <v/>
      </c>
      <c r="AY113" s="35" t="str">
        <f t="shared" si="30"/>
        <v/>
      </c>
      <c r="AZ113" s="35" t="str">
        <f t="shared" si="31"/>
        <v/>
      </c>
      <c r="BA113" s="35" t="str">
        <f t="shared" si="32"/>
        <v/>
      </c>
      <c r="BB113" s="35" t="str">
        <f t="shared" si="33"/>
        <v/>
      </c>
      <c r="BC113" s="35"/>
      <c r="BE113" s="35">
        <f ca="1">INDEX(SF_Output!$AA$2:$AA$400,MATCH($B113,SF_Output!$M$2:$M$400,0))</f>
        <v>6</v>
      </c>
      <c r="BF113" s="35">
        <f ca="1">INDEX(SF_Output!$AB$2:$AB$400,MATCH($B113,SF_Output!$M$2:$M$400,0))</f>
        <v>1</v>
      </c>
    </row>
    <row r="114" spans="2:58" x14ac:dyDescent="0.25">
      <c r="B114" t="s">
        <v>2384</v>
      </c>
      <c r="C114" t="s">
        <v>2122</v>
      </c>
      <c r="D114" t="s">
        <v>2207</v>
      </c>
      <c r="E114" t="s">
        <v>2124</v>
      </c>
      <c r="F114" s="116" t="str">
        <f t="shared" si="17"/>
        <v>Included</v>
      </c>
      <c r="G114" t="str">
        <f>IF(B114="","",INDEX(SF_Output!$K$1:$K$400,MATCH(B114,SF_Output!$M$1:$M$400,0)))</f>
        <v>Card Processing Solutions (CPS)</v>
      </c>
      <c r="H114" cm="1">
        <f t="array" ref="H114">_xlfn.IFS(B114="","",(SUMIFS(SF_Output!$F$1:$F$400,SF_Output!$AC$1:$AC$400,_xlfn.TEXTJOIN(",",TRUE,B114:E114))+SUMIFS(SF_Output!$G$1:$G$400,SF_Output!$AC$1:$AC$400,_xlfn.TEXTJOIN(",",TRUE,B114:E114)))&lt;&gt;0,SF_Output!$Y$2,INDEX(SF_Output!$F$1:$F$400,MATCH(_xlfn.TEXTJOIN(",",TRUE,B114:E114),SF_Output!$AC$1:$AC$400,0))=0,INDEX(SF_Output!$R$1:$R$400,MATCH(_xlfn.TEXTJOIN(",",TRUE,B114:E114),SF_Output!$AC$1:$AC$400,0)))</f>
        <v>0</v>
      </c>
      <c r="I114" s="125" t="str">
        <f>IFERROR(IF(AND(H114&gt;1,H114&lt;&gt;""),ROUND(SUMIFS(SF_Output!$S$1:$S$400,SF_Output!$AC$1:$AC$400,_xlfn.TEXTJOIN(",",TRUE,B114:E114),SF_Output!$Q$1:$Q$400,"monthly")*(1-W114)/H114,4),""),"")</f>
        <v/>
      </c>
      <c r="J114" s="6">
        <f>IF(B114="","",SUMIFS(SF_Output!$S$1:$S$400,SF_Output!$AC$1:$AC$400,_xlfn.TEXTJOIN(",",TRUE,B114:E114),SF_Output!$Q$1:$Q$400,"One Time",SF_Output!$L$1:$L$400,"license fee")+SUMIFS(SF_Output!$S$1:$S$400,SF_Output!$AC$1:$AC$400,_xlfn.TEXTJOIN(",",TRUE,B114:E114),SF_Output!$Q$1:$Q$400,"One Time",SF_Output!$L$1:$L$400,"software license")+SUMIFS(SF_Output!$S$1:$S$400,SF_Output!$AC$1:$AC$400,_xlfn.TEXTJOIN(",",TRUE,B114:E114),SF_Output!$Q$1:$Q$400,"One Time",SF_Output!$L$1:$L$400,"hardware"))</f>
        <v>0</v>
      </c>
      <c r="K114" s="112" t="str">
        <f>IF(OR(B114=0,B114="",G114="hardware",J114=0),"",IF(AF114&lt;&gt;"exclusion",MAX(K$9,-((SUMIFS(SF_Output!$T$1:$T$400,SF_Output!$AC$1:$AC$400,_xlfn.TEXTJOIN(",",TRUE,$B114:$E114),SF_Output!$Q$1:$Q$400,"One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license"))/J114)))</f>
        <v/>
      </c>
      <c r="L114" s="6">
        <f t="shared" si="18"/>
        <v>0</v>
      </c>
      <c r="N114" s="6">
        <f>IF(B114="","",SUMIFS(SF_Output!$S$1:$S$400,SF_Output!$AC$1:$AC$400,_xlfn.TEXTJOIN(",",TRUE,B114:E114),SF_Output!$Q$1:$Q$400,"One Time",SF_Output!$L$1:$L$400,"professional service"))</f>
        <v>0</v>
      </c>
      <c r="O114" s="112" t="str">
        <f>IF(OR(B114=0,B114="",N114=0),"",IF(AF114&lt;&gt;"exclusion",MAX(O$9,-(SUMIFS(SF_Output!$T$1:$T$400,SF_Output!$AC$1:$AC$400,_xlfn.TEXTJOIN(",",TRUE,$B114:$E114),SF_Output!$Q$1:$Q$400,"One Time",SF_Output!$L$1:$L$400,"professional service"))/N114),-((SUMIFS(SF_Output!$T$1:$T$400,SF_Output!$AC$1:$AC$400,_xlfn.TEXTJOIN(",",TRUE,$B114:$E114),SF_Output!$Q$1:$Q$400,"One Time",SF_Output!$L$1:$L$400,"professional service")/N114))))</f>
        <v/>
      </c>
      <c r="P114" s="6">
        <f t="shared" si="19"/>
        <v>0</v>
      </c>
      <c r="R114" s="6">
        <f>IF(B114="","",SUMIFS(SF_Output!$S$1:$S$400,SF_Output!$AC$1:$AC$400,_xlfn.TEXTJOIN(",",TRUE,B114:E114),SF_Output!$Q$1:$Q$400,"yearly")+SUMIFS(SF_Output!$S$1:$S$400,SF_Output!$AC$1:$AC$400,_xlfn.TEXTJOIN(",",TRUE,B114:E114),SF_Output!$Q$1:$Q$400,"quarterly")*4)</f>
        <v>0</v>
      </c>
      <c r="S114" s="112" t="str">
        <f>IF(OR(B114=0,B114="",G114="hardware",R114=0),"",IF(AF114&lt;&gt;"exclusion",MAX(S$9,-(SUMIFS(SF_Output!$T$1:$T$400,SF_Output!$AC$1:$AC$400,_xlfn.TEXTJOIN(",",TRUE,$B114:$E114),SF_Output!$Q$1:$Q$400,"yearly"))/R114),-((SUMIFS(SF_Output!$T$1:$T$400,SF_Output!$AC$1:$AC$400,_xlfn.TEXTJOIN(",",TRUE,$B114:$E114),SF_Output!$Q$1:$Q$400,"yearly")/R114))))</f>
        <v/>
      </c>
      <c r="T114" s="6">
        <f t="shared" si="20"/>
        <v>0</v>
      </c>
      <c r="V114" s="6" cm="1">
        <f t="array" ref="V114">_xlfn.IFS(B114="","",AND(B114&lt;&gt;"",H114=SF_Output!$Y$2,SUMIFS(SF_Output!$T$1:$T$400,SF_Output!$AC$1:$AC$400,_xlfn.TEXTJOIN(",",TRUE,B114:E114),SF_Output!$Q$1:$Q$400,"monthly")=0),(SUMIFS(SF_Output!$F$1:$F$400,SF_Output!$AC$1:$AC$400,_xlfn.TEXTJOIN(",",TRUE,B114:E114),SF_Output!$Q$1:$Q$400,"monthly")+SUMIFS(SF_Output!$G$1:$G$400,SF_Output!$AC$1:$AC$400,_xlfn.TEXTJOIN(",",TRUE,B114:E114),SF_Output!$Q$1:$Q$400,"monthly"))*H114,AND(B114&lt;&gt;"",H114=SF_Output!$Y$2,SUMIFS(SF_Output!$T$1:$T$400,SF_Output!$AC$1:$AC$400,_xlfn.TEXTJOIN(",",TRUE,B114:E114),SF_Output!$Q$1:$Q$400,"monthly")&lt;&gt;0),SUMIFS(SF_Output!$S$1:$S$400,SF_Output!$AC$1:$AC$400,_xlfn.TEXTJOIN(",",TRUE,B114:E114),SF_Output!$Q$1:$Q$400,"monthly"),AND(B114&lt;&gt;"",H114&lt;&gt;SF_Output!$Y$2),SUMIFS(SF_Output!$S$1:$S$400,SF_Output!$AC$1:$AC$400,_xlfn.TEXTJOIN(",",TRUE,B114:E114),SF_Output!$Q$1:$Q$400,"monthly"))</f>
        <v>0</v>
      </c>
      <c r="W114" s="112" t="str" cm="1">
        <f t="array" ref="W114">_xlfn.IFS(OR(B114=0,B114="",V114=0),"",AF114&lt;&gt;"exclusion",MAX($W$9,$W$7,(-(SUMIFS(SF_Output!$T$1:$T$400,SF_Output!$AC$1:$AC$400,_xlfn.TEXTJOIN(",",TRUE,$B114:$E114),SF_Output!$Q$1:$Q$400,"monthly"))/V114)),AF114="exclusion",-(SUMIFS(SF_Output!$T$1:$T$400,SF_Output!$AC$1:$AC$400,_xlfn.TEXTJOIN(",",TRUE,$B114:$E114),SF_Output!$Q$1:$Q$400,"monthly"))/V114)</f>
        <v/>
      </c>
      <c r="X114" s="6" cm="1">
        <f t="array" ref="X114">IFERROR(_xlfn.IFS(V114=0,0,V114="","",W114=0,V114,OR(V114&lt;&gt;0,V114&lt;&gt;""),H114*I114),V114*(1-W114))</f>
        <v>0</v>
      </c>
      <c r="Z114" s="6">
        <f>IFERROR(IF(B114="","",SUMIFS(Billing_Fallout!H:H,Billing_Fallout!N:N,B114)),0)</f>
        <v>0</v>
      </c>
      <c r="AA114" s="6">
        <f t="shared" si="21"/>
        <v>0</v>
      </c>
      <c r="AB114" s="6">
        <f>IFERROR(IF(B114="","",SUMIFS(Billing_Fallout!J:J,Billing_Fallout!N:N,B114)),0)</f>
        <v>0</v>
      </c>
      <c r="AD114" s="6">
        <f t="shared" si="22"/>
        <v>0</v>
      </c>
      <c r="AF114" t="str">
        <f>IFERROR(INDEX(H_Tables!$B$1:$B$1500,MATCH(INDEX(SF_Output!$J$1:$J$400,MATCH(B114,SF_Output!$M$1:$M$400,0)),H_Tables!$A$1:$A$1500,0)),"")</f>
        <v>Exclusion</v>
      </c>
      <c r="AI114" s="119" t="str">
        <f t="shared" si="23"/>
        <v/>
      </c>
      <c r="AJ114" s="121">
        <f>IFERROR(INDEX(SF_Output!AD:AD,MATCH(_xlfn.TEXTJOIN(",",TRUE,B114:E114),SF_Output!AC1:AC400,0)),0.05)</f>
        <v>190</v>
      </c>
      <c r="AK114" t="str">
        <f>IF(SUMIFS(SF_Output!$F$1:$F$400,SF_Output!$AC$1:$AC$400,_xlfn.TEXTJOIN(",",TRUE,B114:E114))+SUMIFS(SF_Output!$G$1:$G$400,SF_Output!$AC$1:$AC$400,_xlfn.TEXTJOIN(",",TRUE,B114:E114))=0,"","PAP")</f>
        <v/>
      </c>
      <c r="AQ114" s="35"/>
      <c r="AR114" s="35" t="str" cm="1">
        <f t="array" ref="AR114">IFERROR(_xlfn.IFS(AND(E114*1=1,F114="Included"),"Change to Included",AND(E114*1=0,F114="Optional"),"Change to Optional",OR(B114="",F114="replaced"),""),"")</f>
        <v/>
      </c>
      <c r="AS114" s="35" t="str">
        <f t="shared" si="24"/>
        <v/>
      </c>
      <c r="AT114" s="35" t="str">
        <f t="shared" si="25"/>
        <v/>
      </c>
      <c r="AU114" s="35" t="str">
        <f t="shared" si="26"/>
        <v/>
      </c>
      <c r="AV114" s="35" t="str">
        <f t="shared" si="27"/>
        <v/>
      </c>
      <c r="AW114" s="35" t="str">
        <f t="shared" si="28"/>
        <v/>
      </c>
      <c r="AX114" s="35" t="str">
        <f t="shared" si="29"/>
        <v/>
      </c>
      <c r="AY114" s="35" t="str">
        <f t="shared" si="30"/>
        <v/>
      </c>
      <c r="AZ114" s="35" t="str">
        <f t="shared" si="31"/>
        <v/>
      </c>
      <c r="BA114" s="35" t="str">
        <f t="shared" si="32"/>
        <v/>
      </c>
      <c r="BB114" s="35" t="str">
        <f t="shared" si="33"/>
        <v/>
      </c>
      <c r="BC114" s="35"/>
      <c r="BE114" s="35">
        <f ca="1">INDEX(SF_Output!$AA$2:$AA$400,MATCH($B114,SF_Output!$M$2:$M$400,0))</f>
        <v>6</v>
      </c>
      <c r="BF114" s="35">
        <f ca="1">INDEX(SF_Output!$AB$2:$AB$400,MATCH($B114,SF_Output!$M$2:$M$400,0))</f>
        <v>1</v>
      </c>
    </row>
    <row r="115" spans="2:58" x14ac:dyDescent="0.25">
      <c r="B115" t="s">
        <v>2386</v>
      </c>
      <c r="C115" t="s">
        <v>2122</v>
      </c>
      <c r="D115" t="s">
        <v>2207</v>
      </c>
      <c r="E115" t="s">
        <v>2124</v>
      </c>
      <c r="F115" s="116" t="str">
        <f t="shared" si="17"/>
        <v>Included</v>
      </c>
      <c r="G115" t="str">
        <f>IF(B115="","",INDEX(SF_Output!$K$1:$K$400,MATCH(B115,SF_Output!$M$1:$M$400,0)))</f>
        <v>Card Processing Solutions (CPS)</v>
      </c>
      <c r="H115" cm="1">
        <f t="array" ref="H115">_xlfn.IFS(B115="","",(SUMIFS(SF_Output!$F$1:$F$400,SF_Output!$AC$1:$AC$400,_xlfn.TEXTJOIN(",",TRUE,B115:E115))+SUMIFS(SF_Output!$G$1:$G$400,SF_Output!$AC$1:$AC$400,_xlfn.TEXTJOIN(",",TRUE,B115:E115)))&lt;&gt;0,SF_Output!$Y$2,INDEX(SF_Output!$F$1:$F$400,MATCH(_xlfn.TEXTJOIN(",",TRUE,B115:E115),SF_Output!$AC$1:$AC$400,0))=0,INDEX(SF_Output!$R$1:$R$400,MATCH(_xlfn.TEXTJOIN(",",TRUE,B115:E115),SF_Output!$AC$1:$AC$400,0)))</f>
        <v>1</v>
      </c>
      <c r="I115" s="125" t="str">
        <f>IFERROR(IF(AND(H115&gt;1,H115&lt;&gt;""),ROUND(SUMIFS(SF_Output!$S$1:$S$400,SF_Output!$AC$1:$AC$400,_xlfn.TEXTJOIN(",",TRUE,B115:E115),SF_Output!$Q$1:$Q$400,"monthly")*(1-W115)/H115,4),""),"")</f>
        <v/>
      </c>
      <c r="J115" s="6">
        <f>IF(B115="","",SUMIFS(SF_Output!$S$1:$S$400,SF_Output!$AC$1:$AC$400,_xlfn.TEXTJOIN(",",TRUE,B115:E115),SF_Output!$Q$1:$Q$400,"One Time",SF_Output!$L$1:$L$400,"license fee")+SUMIFS(SF_Output!$S$1:$S$400,SF_Output!$AC$1:$AC$400,_xlfn.TEXTJOIN(",",TRUE,B115:E115),SF_Output!$Q$1:$Q$400,"One Time",SF_Output!$L$1:$L$400,"software license")+SUMIFS(SF_Output!$S$1:$S$400,SF_Output!$AC$1:$AC$400,_xlfn.TEXTJOIN(",",TRUE,B115:E115),SF_Output!$Q$1:$Q$400,"One Time",SF_Output!$L$1:$L$400,"hardware"))</f>
        <v>0</v>
      </c>
      <c r="K115" s="112" t="str">
        <f>IF(OR(B115=0,B115="",G115="hardware",J115=0),"",IF(AF115&lt;&gt;"exclusion",MAX(K$9,-((SUMIFS(SF_Output!$T$1:$T$400,SF_Output!$AC$1:$AC$400,_xlfn.TEXTJOIN(",",TRUE,$B115:$E115),SF_Output!$Q$1:$Q$400,"One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license"))/J115)))</f>
        <v/>
      </c>
      <c r="L115" s="6">
        <f t="shared" si="18"/>
        <v>0</v>
      </c>
      <c r="N115" s="6">
        <f>IF(B115="","",SUMIFS(SF_Output!$S$1:$S$400,SF_Output!$AC$1:$AC$400,_xlfn.TEXTJOIN(",",TRUE,B115:E115),SF_Output!$Q$1:$Q$400,"One Time",SF_Output!$L$1:$L$400,"professional service"))</f>
        <v>3000</v>
      </c>
      <c r="O115" s="112">
        <f>IF(OR(B115=0,B115="",N115=0),"",IF(AF115&lt;&gt;"exclusion",MAX(O$9,-(SUMIFS(SF_Output!$T$1:$T$400,SF_Output!$AC$1:$AC$400,_xlfn.TEXTJOIN(",",TRUE,$B115:$E115),SF_Output!$Q$1:$Q$400,"One Time",SF_Output!$L$1:$L$400,"professional service"))/N115),-((SUMIFS(SF_Output!$T$1:$T$400,SF_Output!$AC$1:$AC$400,_xlfn.TEXTJOIN(",",TRUE,$B115:$E115),SF_Output!$Q$1:$Q$400,"One Time",SF_Output!$L$1:$L$400,"professional service")/N115))))</f>
        <v>1</v>
      </c>
      <c r="P115" s="6">
        <f t="shared" si="19"/>
        <v>0</v>
      </c>
      <c r="R115" s="6">
        <f>IF(B115="","",SUMIFS(SF_Output!$S$1:$S$400,SF_Output!$AC$1:$AC$400,_xlfn.TEXTJOIN(",",TRUE,B115:E115),SF_Output!$Q$1:$Q$400,"yearly")+SUMIFS(SF_Output!$S$1:$S$400,SF_Output!$AC$1:$AC$400,_xlfn.TEXTJOIN(",",TRUE,B115:E115),SF_Output!$Q$1:$Q$400,"quarterly")*4)</f>
        <v>0</v>
      </c>
      <c r="S115" s="112" t="str">
        <f>IF(OR(B115=0,B115="",G115="hardware",R115=0),"",IF(AF115&lt;&gt;"exclusion",MAX(S$9,-(SUMIFS(SF_Output!$T$1:$T$400,SF_Output!$AC$1:$AC$400,_xlfn.TEXTJOIN(",",TRUE,$B115:$E115),SF_Output!$Q$1:$Q$400,"yearly"))/R115),-((SUMIFS(SF_Output!$T$1:$T$400,SF_Output!$AC$1:$AC$400,_xlfn.TEXTJOIN(",",TRUE,$B115:$E115),SF_Output!$Q$1:$Q$400,"yearly")/R115))))</f>
        <v/>
      </c>
      <c r="T115" s="6">
        <f t="shared" si="20"/>
        <v>0</v>
      </c>
      <c r="V115" s="6" cm="1">
        <f t="array" ref="V115">_xlfn.IFS(B115="","",AND(B115&lt;&gt;"",H115=SF_Output!$Y$2,SUMIFS(SF_Output!$T$1:$T$400,SF_Output!$AC$1:$AC$400,_xlfn.TEXTJOIN(",",TRUE,B115:E115),SF_Output!$Q$1:$Q$400,"monthly")=0),(SUMIFS(SF_Output!$F$1:$F$400,SF_Output!$AC$1:$AC$400,_xlfn.TEXTJOIN(",",TRUE,B115:E115),SF_Output!$Q$1:$Q$400,"monthly")+SUMIFS(SF_Output!$G$1:$G$400,SF_Output!$AC$1:$AC$400,_xlfn.TEXTJOIN(",",TRUE,B115:E115),SF_Output!$Q$1:$Q$400,"monthly"))*H115,AND(B115&lt;&gt;"",H115=SF_Output!$Y$2,SUMIFS(SF_Output!$T$1:$T$400,SF_Output!$AC$1:$AC$400,_xlfn.TEXTJOIN(",",TRUE,B115:E115),SF_Output!$Q$1:$Q$400,"monthly")&lt;&gt;0),SUMIFS(SF_Output!$S$1:$S$400,SF_Output!$AC$1:$AC$400,_xlfn.TEXTJOIN(",",TRUE,B115:E115),SF_Output!$Q$1:$Q$400,"monthly"),AND(B115&lt;&gt;"",H115&lt;&gt;SF_Output!$Y$2),SUMIFS(SF_Output!$S$1:$S$400,SF_Output!$AC$1:$AC$400,_xlfn.TEXTJOIN(",",TRUE,B115:E115),SF_Output!$Q$1:$Q$400,"monthly"))</f>
        <v>250</v>
      </c>
      <c r="W115" s="112" cm="1">
        <f t="array" ref="W115">_xlfn.IFS(OR(B115=0,B115="",V115=0),"",AF115&lt;&gt;"exclusion",MAX($W$9,$W$7,(-(SUMIFS(SF_Output!$T$1:$T$400,SF_Output!$AC$1:$AC$400,_xlfn.TEXTJOIN(",",TRUE,$B115:$E115),SF_Output!$Q$1:$Q$400,"monthly"))/V115)),AF115="exclusion",-(SUMIFS(SF_Output!$T$1:$T$400,SF_Output!$AC$1:$AC$400,_xlfn.TEXTJOIN(",",TRUE,$B115:$E115),SF_Output!$Q$1:$Q$400,"monthly"))/V115)</f>
        <v>0</v>
      </c>
      <c r="X115" s="6" cm="1">
        <f t="array" ref="X115">IFERROR(_xlfn.IFS(V115=0,0,V115="","",W115=0,V115,OR(V115&lt;&gt;0,V115&lt;&gt;""),H115*I115),V115*(1-W115))</f>
        <v>250</v>
      </c>
      <c r="Z115" s="6">
        <f>IFERROR(IF(B115="","",SUMIFS(Billing_Fallout!H:H,Billing_Fallout!N:N,B115)),0)</f>
        <v>0</v>
      </c>
      <c r="AA115" s="6">
        <f t="shared" si="21"/>
        <v>0</v>
      </c>
      <c r="AB115" s="6">
        <f>IFERROR(IF(B115="","",SUMIFS(Billing_Fallout!J:J,Billing_Fallout!N:N,B115)),0)</f>
        <v>0</v>
      </c>
      <c r="AD115" s="6">
        <f t="shared" si="22"/>
        <v>250</v>
      </c>
      <c r="AF115" t="str">
        <f>IFERROR(INDEX(H_Tables!$B$1:$B$1500,MATCH(INDEX(SF_Output!$J$1:$J$400,MATCH(B115,SF_Output!$M$1:$M$400,0)),H_Tables!$A$1:$A$1500,0)),"")</f>
        <v>Exclusion</v>
      </c>
      <c r="AI115" s="119" t="str">
        <f t="shared" si="23"/>
        <v/>
      </c>
      <c r="AJ115" s="121">
        <f>IFERROR(INDEX(SF_Output!AD:AD,MATCH(_xlfn.TEXTJOIN(",",TRUE,B115:E115),SF_Output!AC1:AC400,0)),0.05)</f>
        <v>191</v>
      </c>
      <c r="AK115" t="str">
        <f>IF(SUMIFS(SF_Output!$F$1:$F$400,SF_Output!$AC$1:$AC$400,_xlfn.TEXTJOIN(",",TRUE,B115:E115))+SUMIFS(SF_Output!$G$1:$G$400,SF_Output!$AC$1:$AC$400,_xlfn.TEXTJOIN(",",TRUE,B115:E115))=0,"","PAP")</f>
        <v/>
      </c>
      <c r="AQ115" s="35"/>
      <c r="AR115" s="35" t="str" cm="1">
        <f t="array" ref="AR115">IFERROR(_xlfn.IFS(AND(E115*1=1,F115="Included"),"Change to Included",AND(E115*1=0,F115="Optional"),"Change to Optional",OR(B115="",F115="replaced"),""),"")</f>
        <v/>
      </c>
      <c r="AS115" s="35" t="str">
        <f t="shared" si="24"/>
        <v/>
      </c>
      <c r="AT115" s="35" t="str">
        <f t="shared" si="25"/>
        <v/>
      </c>
      <c r="AU115" s="35" t="str">
        <f t="shared" si="26"/>
        <v/>
      </c>
      <c r="AV115" s="35" t="str">
        <f t="shared" si="27"/>
        <v/>
      </c>
      <c r="AW115" s="35" t="str">
        <f t="shared" si="28"/>
        <v/>
      </c>
      <c r="AX115" s="35" t="str">
        <f t="shared" si="29"/>
        <v/>
      </c>
      <c r="AY115" s="35" t="str">
        <f t="shared" si="30"/>
        <v/>
      </c>
      <c r="AZ115" s="35" t="str">
        <f t="shared" si="31"/>
        <v/>
      </c>
      <c r="BA115" s="35" t="str">
        <f t="shared" si="32"/>
        <v/>
      </c>
      <c r="BB115" s="35" t="str">
        <f t="shared" si="33"/>
        <v/>
      </c>
      <c r="BC115" s="35"/>
      <c r="BE115" s="35">
        <f ca="1">INDEX(SF_Output!$AA$2:$AA$400,MATCH($B115,SF_Output!$M$2:$M$400,0))</f>
        <v>6</v>
      </c>
      <c r="BF115" s="35">
        <f ca="1">INDEX(SF_Output!$AB$2:$AB$400,MATCH($B115,SF_Output!$M$2:$M$400,0))</f>
        <v>1</v>
      </c>
    </row>
    <row r="116" spans="2:58" x14ac:dyDescent="0.25">
      <c r="B116" t="s">
        <v>2389</v>
      </c>
      <c r="C116" t="s">
        <v>2122</v>
      </c>
      <c r="D116" t="s">
        <v>2207</v>
      </c>
      <c r="E116" t="s">
        <v>2124</v>
      </c>
      <c r="F116" s="116" t="str">
        <f t="shared" si="17"/>
        <v>Included</v>
      </c>
      <c r="G116" t="str">
        <f>IF(B116="","",INDEX(SF_Output!$K$1:$K$400,MATCH(B116,SF_Output!$M$1:$M$400,0)))</f>
        <v>Card Processing Solutions (CPS)</v>
      </c>
      <c r="H116" cm="1">
        <f t="array" ref="H116">_xlfn.IFS(B116="","",(SUMIFS(SF_Output!$F$1:$F$400,SF_Output!$AC$1:$AC$400,_xlfn.TEXTJOIN(",",TRUE,B116:E116))+SUMIFS(SF_Output!$G$1:$G$400,SF_Output!$AC$1:$AC$400,_xlfn.TEXTJOIN(",",TRUE,B116:E116)))&lt;&gt;0,SF_Output!$Y$2,INDEX(SF_Output!$F$1:$F$400,MATCH(_xlfn.TEXTJOIN(",",TRUE,B116:E116),SF_Output!$AC$1:$AC$400,0))=0,INDEX(SF_Output!$R$1:$R$400,MATCH(_xlfn.TEXTJOIN(",",TRUE,B116:E116),SF_Output!$AC$1:$AC$400,0)))</f>
        <v>0</v>
      </c>
      <c r="I116" s="125" t="str">
        <f>IFERROR(IF(AND(H116&gt;1,H116&lt;&gt;""),ROUND(SUMIFS(SF_Output!$S$1:$S$400,SF_Output!$AC$1:$AC$400,_xlfn.TEXTJOIN(",",TRUE,B116:E116),SF_Output!$Q$1:$Q$400,"monthly")*(1-W116)/H116,4),""),"")</f>
        <v/>
      </c>
      <c r="J116" s="6">
        <f>IF(B116="","",SUMIFS(SF_Output!$S$1:$S$400,SF_Output!$AC$1:$AC$400,_xlfn.TEXTJOIN(",",TRUE,B116:E116),SF_Output!$Q$1:$Q$400,"One Time",SF_Output!$L$1:$L$400,"license fee")+SUMIFS(SF_Output!$S$1:$S$400,SF_Output!$AC$1:$AC$400,_xlfn.TEXTJOIN(",",TRUE,B116:E116),SF_Output!$Q$1:$Q$400,"One Time",SF_Output!$L$1:$L$400,"software license")+SUMIFS(SF_Output!$S$1:$S$400,SF_Output!$AC$1:$AC$400,_xlfn.TEXTJOIN(",",TRUE,B116:E116),SF_Output!$Q$1:$Q$400,"One Time",SF_Output!$L$1:$L$400,"hardware"))</f>
        <v>0</v>
      </c>
      <c r="K116" s="112" t="str">
        <f>IF(OR(B116=0,B116="",G116="hardware",J116=0),"",IF(AF116&lt;&gt;"exclusion",MAX(K$9,-((SUMIFS(SF_Output!$T$1:$T$400,SF_Output!$AC$1:$AC$400,_xlfn.TEXTJOIN(",",TRUE,$B116:$E116),SF_Output!$Q$1:$Q$400,"One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license"))/J116)))</f>
        <v/>
      </c>
      <c r="L116" s="6">
        <f t="shared" si="18"/>
        <v>0</v>
      </c>
      <c r="N116" s="6">
        <f>IF(B116="","",SUMIFS(SF_Output!$S$1:$S$400,SF_Output!$AC$1:$AC$400,_xlfn.TEXTJOIN(",",TRUE,B116:E116),SF_Output!$Q$1:$Q$400,"One Time",SF_Output!$L$1:$L$400,"professional service"))</f>
        <v>0</v>
      </c>
      <c r="O116" s="112" t="str">
        <f>IF(OR(B116=0,B116="",N116=0),"",IF(AF116&lt;&gt;"exclusion",MAX(O$9,-(SUMIFS(SF_Output!$T$1:$T$400,SF_Output!$AC$1:$AC$400,_xlfn.TEXTJOIN(",",TRUE,$B116:$E116),SF_Output!$Q$1:$Q$400,"One Time",SF_Output!$L$1:$L$400,"professional service"))/N116),-((SUMIFS(SF_Output!$T$1:$T$400,SF_Output!$AC$1:$AC$400,_xlfn.TEXTJOIN(",",TRUE,$B116:$E116),SF_Output!$Q$1:$Q$400,"One Time",SF_Output!$L$1:$L$400,"professional service")/N116))))</f>
        <v/>
      </c>
      <c r="P116" s="6">
        <f t="shared" si="19"/>
        <v>0</v>
      </c>
      <c r="R116" s="6">
        <f>IF(B116="","",SUMIFS(SF_Output!$S$1:$S$400,SF_Output!$AC$1:$AC$400,_xlfn.TEXTJOIN(",",TRUE,B116:E116),SF_Output!$Q$1:$Q$400,"yearly")+SUMIFS(SF_Output!$S$1:$S$400,SF_Output!$AC$1:$AC$400,_xlfn.TEXTJOIN(",",TRUE,B116:E116),SF_Output!$Q$1:$Q$400,"quarterly")*4)</f>
        <v>0</v>
      </c>
      <c r="S116" s="112" t="str">
        <f>IF(OR(B116=0,B116="",G116="hardware",R116=0),"",IF(AF116&lt;&gt;"exclusion",MAX(S$9,-(SUMIFS(SF_Output!$T$1:$T$400,SF_Output!$AC$1:$AC$400,_xlfn.TEXTJOIN(",",TRUE,$B116:$E116),SF_Output!$Q$1:$Q$400,"yearly"))/R116),-((SUMIFS(SF_Output!$T$1:$T$400,SF_Output!$AC$1:$AC$400,_xlfn.TEXTJOIN(",",TRUE,$B116:$E116),SF_Output!$Q$1:$Q$400,"yearly")/R116))))</f>
        <v/>
      </c>
      <c r="T116" s="6">
        <f t="shared" si="20"/>
        <v>0</v>
      </c>
      <c r="V116" s="6" cm="1">
        <f t="array" ref="V116">_xlfn.IFS(B116="","",AND(B116&lt;&gt;"",H116=SF_Output!$Y$2,SUMIFS(SF_Output!$T$1:$T$400,SF_Output!$AC$1:$AC$400,_xlfn.TEXTJOIN(",",TRUE,B116:E116),SF_Output!$Q$1:$Q$400,"monthly")=0),(SUMIFS(SF_Output!$F$1:$F$400,SF_Output!$AC$1:$AC$400,_xlfn.TEXTJOIN(",",TRUE,B116:E116),SF_Output!$Q$1:$Q$400,"monthly")+SUMIFS(SF_Output!$G$1:$G$400,SF_Output!$AC$1:$AC$400,_xlfn.TEXTJOIN(",",TRUE,B116:E116),SF_Output!$Q$1:$Q$400,"monthly"))*H116,AND(B116&lt;&gt;"",H116=SF_Output!$Y$2,SUMIFS(SF_Output!$T$1:$T$400,SF_Output!$AC$1:$AC$400,_xlfn.TEXTJOIN(",",TRUE,B116:E116),SF_Output!$Q$1:$Q$400,"monthly")&lt;&gt;0),SUMIFS(SF_Output!$S$1:$S$400,SF_Output!$AC$1:$AC$400,_xlfn.TEXTJOIN(",",TRUE,B116:E116),SF_Output!$Q$1:$Q$400,"monthly"),AND(B116&lt;&gt;"",H116&lt;&gt;SF_Output!$Y$2),SUMIFS(SF_Output!$S$1:$S$400,SF_Output!$AC$1:$AC$400,_xlfn.TEXTJOIN(",",TRUE,B116:E116),SF_Output!$Q$1:$Q$400,"monthly"))</f>
        <v>0</v>
      </c>
      <c r="W116" s="112" t="str" cm="1">
        <f t="array" ref="W116">_xlfn.IFS(OR(B116=0,B116="",V116=0),"",AF116&lt;&gt;"exclusion",MAX($W$9,$W$7,(-(SUMIFS(SF_Output!$T$1:$T$400,SF_Output!$AC$1:$AC$400,_xlfn.TEXTJOIN(",",TRUE,$B116:$E116),SF_Output!$Q$1:$Q$400,"monthly"))/V116)),AF116="exclusion",-(SUMIFS(SF_Output!$T$1:$T$400,SF_Output!$AC$1:$AC$400,_xlfn.TEXTJOIN(",",TRUE,$B116:$E116),SF_Output!$Q$1:$Q$400,"monthly"))/V116)</f>
        <v/>
      </c>
      <c r="X116" s="6" cm="1">
        <f t="array" ref="X116">IFERROR(_xlfn.IFS(V116=0,0,V116="","",W116=0,V116,OR(V116&lt;&gt;0,V116&lt;&gt;""),H116*I116),V116*(1-W116))</f>
        <v>0</v>
      </c>
      <c r="Z116" s="6">
        <f>IFERROR(IF(B116="","",SUMIFS(Billing_Fallout!H:H,Billing_Fallout!N:N,B116)),0)</f>
        <v>0</v>
      </c>
      <c r="AA116" s="6">
        <f t="shared" si="21"/>
        <v>0</v>
      </c>
      <c r="AB116" s="6">
        <f>IFERROR(IF(B116="","",SUMIFS(Billing_Fallout!J:J,Billing_Fallout!N:N,B116)),0)</f>
        <v>0</v>
      </c>
      <c r="AD116" s="6">
        <f t="shared" si="22"/>
        <v>0</v>
      </c>
      <c r="AF116" t="str">
        <f>IFERROR(INDEX(H_Tables!$B$1:$B$1500,MATCH(INDEX(SF_Output!$J$1:$J$400,MATCH(B116,SF_Output!$M$1:$M$400,0)),H_Tables!$A$1:$A$1500,0)),"")</f>
        <v>Exclusion</v>
      </c>
      <c r="AI116" s="119" t="str">
        <f t="shared" si="23"/>
        <v/>
      </c>
      <c r="AJ116" s="121">
        <f>IFERROR(INDEX(SF_Output!AD:AD,MATCH(_xlfn.TEXTJOIN(",",TRUE,B116:E116),SF_Output!AC1:AC400,0)),0.05)</f>
        <v>193</v>
      </c>
      <c r="AK116" t="str">
        <f>IF(SUMIFS(SF_Output!$F$1:$F$400,SF_Output!$AC$1:$AC$400,_xlfn.TEXTJOIN(",",TRUE,B116:E116))+SUMIFS(SF_Output!$G$1:$G$400,SF_Output!$AC$1:$AC$400,_xlfn.TEXTJOIN(",",TRUE,B116:E116))=0,"","PAP")</f>
        <v/>
      </c>
      <c r="AQ116" s="35"/>
      <c r="AR116" s="35" t="str" cm="1">
        <f t="array" ref="AR116">IFERROR(_xlfn.IFS(AND(E116*1=1,F116="Included"),"Change to Included",AND(E116*1=0,F116="Optional"),"Change to Optional",OR(B116="",F116="replaced"),""),"")</f>
        <v/>
      </c>
      <c r="AS116" s="35" t="str">
        <f t="shared" si="24"/>
        <v/>
      </c>
      <c r="AT116" s="35" t="str">
        <f t="shared" si="25"/>
        <v/>
      </c>
      <c r="AU116" s="35" t="str">
        <f t="shared" si="26"/>
        <v/>
      </c>
      <c r="AV116" s="35" t="str">
        <f t="shared" si="27"/>
        <v/>
      </c>
      <c r="AW116" s="35" t="str">
        <f t="shared" si="28"/>
        <v/>
      </c>
      <c r="AX116" s="35" t="str">
        <f t="shared" si="29"/>
        <v/>
      </c>
      <c r="AY116" s="35" t="str">
        <f t="shared" si="30"/>
        <v/>
      </c>
      <c r="AZ116" s="35" t="str">
        <f t="shared" si="31"/>
        <v/>
      </c>
      <c r="BA116" s="35" t="str">
        <f t="shared" si="32"/>
        <v/>
      </c>
      <c r="BB116" s="35" t="str">
        <f t="shared" si="33"/>
        <v/>
      </c>
      <c r="BC116" s="35"/>
      <c r="BE116" s="35">
        <f ca="1">INDEX(SF_Output!$AA$2:$AA$400,MATCH($B116,SF_Output!$M$2:$M$400,0))</f>
        <v>6</v>
      </c>
      <c r="BF116" s="35">
        <f ca="1">INDEX(SF_Output!$AB$2:$AB$400,MATCH($B116,SF_Output!$M$2:$M$400,0))</f>
        <v>1</v>
      </c>
    </row>
    <row r="117" spans="2:58" x14ac:dyDescent="0.25">
      <c r="B117" t="s">
        <v>2391</v>
      </c>
      <c r="C117" t="s">
        <v>2122</v>
      </c>
      <c r="D117" t="s">
        <v>2207</v>
      </c>
      <c r="E117" t="s">
        <v>2124</v>
      </c>
      <c r="F117" s="116" t="str">
        <f t="shared" si="17"/>
        <v>Included</v>
      </c>
      <c r="G117" t="str">
        <f>IF(B117="","",INDEX(SF_Output!$K$1:$K$400,MATCH(B117,SF_Output!$M$1:$M$400,0)))</f>
        <v>Card Processing Solutions (CPS)</v>
      </c>
      <c r="H117" cm="1">
        <f t="array" ref="H117">_xlfn.IFS(B117="","",(SUMIFS(SF_Output!$F$1:$F$400,SF_Output!$AC$1:$AC$400,_xlfn.TEXTJOIN(",",TRUE,B117:E117))+SUMIFS(SF_Output!$G$1:$G$400,SF_Output!$AC$1:$AC$400,_xlfn.TEXTJOIN(",",TRUE,B117:E117)))&lt;&gt;0,SF_Output!$Y$2,INDEX(SF_Output!$F$1:$F$400,MATCH(_xlfn.TEXTJOIN(",",TRUE,B117:E117),SF_Output!$AC$1:$AC$400,0))=0,INDEX(SF_Output!$R$1:$R$400,MATCH(_xlfn.TEXTJOIN(",",TRUE,B117:E117),SF_Output!$AC$1:$AC$400,0)))</f>
        <v>1</v>
      </c>
      <c r="I117" s="125" t="str">
        <f>IFERROR(IF(AND(H117&gt;1,H117&lt;&gt;""),ROUND(SUMIFS(SF_Output!$S$1:$S$400,SF_Output!$AC$1:$AC$400,_xlfn.TEXTJOIN(",",TRUE,B117:E117),SF_Output!$Q$1:$Q$400,"monthly")*(1-W117)/H117,4),""),"")</f>
        <v/>
      </c>
      <c r="J117" s="6">
        <f>IF(B117="","",SUMIFS(SF_Output!$S$1:$S$400,SF_Output!$AC$1:$AC$400,_xlfn.TEXTJOIN(",",TRUE,B117:E117),SF_Output!$Q$1:$Q$400,"One Time",SF_Output!$L$1:$L$400,"license fee")+SUMIFS(SF_Output!$S$1:$S$400,SF_Output!$AC$1:$AC$400,_xlfn.TEXTJOIN(",",TRUE,B117:E117),SF_Output!$Q$1:$Q$400,"One Time",SF_Output!$L$1:$L$400,"software license")+SUMIFS(SF_Output!$S$1:$S$400,SF_Output!$AC$1:$AC$400,_xlfn.TEXTJOIN(",",TRUE,B117:E117),SF_Output!$Q$1:$Q$400,"One Time",SF_Output!$L$1:$L$400,"hardware"))</f>
        <v>0</v>
      </c>
      <c r="K117" s="112" t="str">
        <f>IF(OR(B117=0,B117="",G117="hardware",J117=0),"",IF(AF117&lt;&gt;"exclusion",MAX(K$9,-((SUMIFS(SF_Output!$T$1:$T$400,SF_Output!$AC$1:$AC$400,_xlfn.TEXTJOIN(",",TRUE,$B117:$E117),SF_Output!$Q$1:$Q$400,"One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license"))/J117)))</f>
        <v/>
      </c>
      <c r="L117" s="6">
        <f t="shared" si="18"/>
        <v>0</v>
      </c>
      <c r="N117" s="6">
        <f>IF(B117="","",SUMIFS(SF_Output!$S$1:$S$400,SF_Output!$AC$1:$AC$400,_xlfn.TEXTJOIN(",",TRUE,B117:E117),SF_Output!$Q$1:$Q$400,"One Time",SF_Output!$L$1:$L$400,"professional service"))</f>
        <v>4500</v>
      </c>
      <c r="O117" s="112">
        <f>IF(OR(B117=0,B117="",N117=0),"",IF(AF117&lt;&gt;"exclusion",MAX(O$9,-(SUMIFS(SF_Output!$T$1:$T$400,SF_Output!$AC$1:$AC$400,_xlfn.TEXTJOIN(",",TRUE,$B117:$E117),SF_Output!$Q$1:$Q$400,"One Time",SF_Output!$L$1:$L$400,"professional service"))/N117),-((SUMIFS(SF_Output!$T$1:$T$400,SF_Output!$AC$1:$AC$400,_xlfn.TEXTJOIN(",",TRUE,$B117:$E117),SF_Output!$Q$1:$Q$400,"One Time",SF_Output!$L$1:$L$400,"professional service")/N117))))</f>
        <v>1</v>
      </c>
      <c r="P117" s="6">
        <f t="shared" si="19"/>
        <v>0</v>
      </c>
      <c r="R117" s="6">
        <f>IF(B117="","",SUMIFS(SF_Output!$S$1:$S$400,SF_Output!$AC$1:$AC$400,_xlfn.TEXTJOIN(",",TRUE,B117:E117),SF_Output!$Q$1:$Q$400,"yearly")+SUMIFS(SF_Output!$S$1:$S$400,SF_Output!$AC$1:$AC$400,_xlfn.TEXTJOIN(",",TRUE,B117:E117),SF_Output!$Q$1:$Q$400,"quarterly")*4)</f>
        <v>0</v>
      </c>
      <c r="S117" s="112" t="str">
        <f>IF(OR(B117=0,B117="",G117="hardware",R117=0),"",IF(AF117&lt;&gt;"exclusion",MAX(S$9,-(SUMIFS(SF_Output!$T$1:$T$400,SF_Output!$AC$1:$AC$400,_xlfn.TEXTJOIN(",",TRUE,$B117:$E117),SF_Output!$Q$1:$Q$400,"yearly"))/R117),-((SUMIFS(SF_Output!$T$1:$T$400,SF_Output!$AC$1:$AC$400,_xlfn.TEXTJOIN(",",TRUE,$B117:$E117),SF_Output!$Q$1:$Q$400,"yearly")/R117))))</f>
        <v/>
      </c>
      <c r="T117" s="6">
        <f t="shared" si="20"/>
        <v>0</v>
      </c>
      <c r="V117" s="6" cm="1">
        <f t="array" ref="V117">_xlfn.IFS(B117="","",AND(B117&lt;&gt;"",H117=SF_Output!$Y$2,SUMIFS(SF_Output!$T$1:$T$400,SF_Output!$AC$1:$AC$400,_xlfn.TEXTJOIN(",",TRUE,B117:E117),SF_Output!$Q$1:$Q$400,"monthly")=0),(SUMIFS(SF_Output!$F$1:$F$400,SF_Output!$AC$1:$AC$400,_xlfn.TEXTJOIN(",",TRUE,B117:E117),SF_Output!$Q$1:$Q$400,"monthly")+SUMIFS(SF_Output!$G$1:$G$400,SF_Output!$AC$1:$AC$400,_xlfn.TEXTJOIN(",",TRUE,B117:E117),SF_Output!$Q$1:$Q$400,"monthly"))*H117,AND(B117&lt;&gt;"",H117=SF_Output!$Y$2,SUMIFS(SF_Output!$T$1:$T$400,SF_Output!$AC$1:$AC$400,_xlfn.TEXTJOIN(",",TRUE,B117:E117),SF_Output!$Q$1:$Q$400,"monthly")&lt;&gt;0),SUMIFS(SF_Output!$S$1:$S$400,SF_Output!$AC$1:$AC$400,_xlfn.TEXTJOIN(",",TRUE,B117:E117),SF_Output!$Q$1:$Q$400,"monthly"),AND(B117&lt;&gt;"",H117&lt;&gt;SF_Output!$Y$2),SUMIFS(SF_Output!$S$1:$S$400,SF_Output!$AC$1:$AC$400,_xlfn.TEXTJOIN(",",TRUE,B117:E117),SF_Output!$Q$1:$Q$400,"monthly"))</f>
        <v>75</v>
      </c>
      <c r="W117" s="112" cm="1">
        <f t="array" ref="W117">_xlfn.IFS(OR(B117=0,B117="",V117=0),"",AF117&lt;&gt;"exclusion",MAX($W$9,$W$7,(-(SUMIFS(SF_Output!$T$1:$T$400,SF_Output!$AC$1:$AC$400,_xlfn.TEXTJOIN(",",TRUE,$B117:$E117),SF_Output!$Q$1:$Q$400,"monthly"))/V117)),AF117="exclusion",-(SUMIFS(SF_Output!$T$1:$T$400,SF_Output!$AC$1:$AC$400,_xlfn.TEXTJOIN(",",TRUE,$B117:$E117),SF_Output!$Q$1:$Q$400,"monthly"))/V117)</f>
        <v>0</v>
      </c>
      <c r="X117" s="6" cm="1">
        <f t="array" ref="X117">IFERROR(_xlfn.IFS(V117=0,0,V117="","",W117=0,V117,OR(V117&lt;&gt;0,V117&lt;&gt;""),H117*I117),V117*(1-W117))</f>
        <v>75</v>
      </c>
      <c r="Z117" s="6">
        <f>IFERROR(IF(B117="","",SUMIFS(Billing_Fallout!H:H,Billing_Fallout!N:N,B117)),0)</f>
        <v>0</v>
      </c>
      <c r="AA117" s="6">
        <f t="shared" si="21"/>
        <v>0</v>
      </c>
      <c r="AB117" s="6">
        <f>IFERROR(IF(B117="","",SUMIFS(Billing_Fallout!J:J,Billing_Fallout!N:N,B117)),0)</f>
        <v>0</v>
      </c>
      <c r="AD117" s="6">
        <f t="shared" si="22"/>
        <v>75</v>
      </c>
      <c r="AF117" t="str">
        <f>IFERROR(INDEX(H_Tables!$B$1:$B$1500,MATCH(INDEX(SF_Output!$J$1:$J$400,MATCH(B117,SF_Output!$M$1:$M$400,0)),H_Tables!$A$1:$A$1500,0)),"")</f>
        <v>Exclusion</v>
      </c>
      <c r="AI117" s="119" t="str">
        <f t="shared" si="23"/>
        <v/>
      </c>
      <c r="AJ117" s="121">
        <f>IFERROR(INDEX(SF_Output!AD:AD,MATCH(_xlfn.TEXTJOIN(",",TRUE,B117:E117),SF_Output!AC1:AC400,0)),0.05)</f>
        <v>194</v>
      </c>
      <c r="AK117" t="str">
        <f>IF(SUMIFS(SF_Output!$F$1:$F$400,SF_Output!$AC$1:$AC$400,_xlfn.TEXTJOIN(",",TRUE,B117:E117))+SUMIFS(SF_Output!$G$1:$G$400,SF_Output!$AC$1:$AC$400,_xlfn.TEXTJOIN(",",TRUE,B117:E117))=0,"","PAP")</f>
        <v/>
      </c>
      <c r="AQ117" s="35"/>
      <c r="AR117" s="35" t="str" cm="1">
        <f t="array" ref="AR117">IFERROR(_xlfn.IFS(AND(E117*1=1,F117="Included"),"Change to Included",AND(E117*1=0,F117="Optional"),"Change to Optional",OR(B117="",F117="replaced"),""),"")</f>
        <v/>
      </c>
      <c r="AS117" s="35" t="str">
        <f t="shared" si="24"/>
        <v/>
      </c>
      <c r="AT117" s="35" t="str">
        <f t="shared" si="25"/>
        <v/>
      </c>
      <c r="AU117" s="35" t="str">
        <f t="shared" si="26"/>
        <v/>
      </c>
      <c r="AV117" s="35" t="str">
        <f t="shared" si="27"/>
        <v/>
      </c>
      <c r="AW117" s="35" t="str">
        <f t="shared" si="28"/>
        <v/>
      </c>
      <c r="AX117" s="35" t="str">
        <f t="shared" si="29"/>
        <v/>
      </c>
      <c r="AY117" s="35" t="str">
        <f t="shared" si="30"/>
        <v/>
      </c>
      <c r="AZ117" s="35" t="str">
        <f t="shared" si="31"/>
        <v/>
      </c>
      <c r="BA117" s="35" t="str">
        <f t="shared" si="32"/>
        <v/>
      </c>
      <c r="BB117" s="35" t="str">
        <f t="shared" si="33"/>
        <v/>
      </c>
      <c r="BC117" s="35"/>
      <c r="BE117" s="35">
        <f ca="1">INDEX(SF_Output!$AA$2:$AA$400,MATCH($B117,SF_Output!$M$2:$M$400,0))</f>
        <v>6</v>
      </c>
      <c r="BF117" s="35">
        <f ca="1">INDEX(SF_Output!$AB$2:$AB$400,MATCH($B117,SF_Output!$M$2:$M$400,0))</f>
        <v>1</v>
      </c>
    </row>
    <row r="118" spans="2:58" x14ac:dyDescent="0.25">
      <c r="B118" t="s">
        <v>2394</v>
      </c>
      <c r="C118" t="s">
        <v>2122</v>
      </c>
      <c r="D118" t="s">
        <v>2207</v>
      </c>
      <c r="E118" t="s">
        <v>2124</v>
      </c>
      <c r="F118" s="116" t="str">
        <f t="shared" si="17"/>
        <v>Included</v>
      </c>
      <c r="G118" t="str">
        <f>IF(B118="","",INDEX(SF_Output!$K$1:$K$400,MATCH(B118,SF_Output!$M$1:$M$400,0)))</f>
        <v>Card Processing Solutions (CPS)</v>
      </c>
      <c r="H118" cm="1">
        <f t="array" ref="H118">_xlfn.IFS(B118="","",(SUMIFS(SF_Output!$F$1:$F$400,SF_Output!$AC$1:$AC$400,_xlfn.TEXTJOIN(",",TRUE,B118:E118))+SUMIFS(SF_Output!$G$1:$G$400,SF_Output!$AC$1:$AC$400,_xlfn.TEXTJOIN(",",TRUE,B118:E118)))&lt;&gt;0,SF_Output!$Y$2,INDEX(SF_Output!$F$1:$F$400,MATCH(_xlfn.TEXTJOIN(",",TRUE,B118:E118),SF_Output!$AC$1:$AC$400,0))=0,INDEX(SF_Output!$R$1:$R$400,MATCH(_xlfn.TEXTJOIN(",",TRUE,B118:E118),SF_Output!$AC$1:$AC$400,0)))</f>
        <v>0</v>
      </c>
      <c r="I118" s="125" t="str">
        <f>IFERROR(IF(AND(H118&gt;1,H118&lt;&gt;""),ROUND(SUMIFS(SF_Output!$S$1:$S$400,SF_Output!$AC$1:$AC$400,_xlfn.TEXTJOIN(",",TRUE,B118:E118),SF_Output!$Q$1:$Q$400,"monthly")*(1-W118)/H118,4),""),"")</f>
        <v/>
      </c>
      <c r="J118" s="6">
        <f>IF(B118="","",SUMIFS(SF_Output!$S$1:$S$400,SF_Output!$AC$1:$AC$400,_xlfn.TEXTJOIN(",",TRUE,B118:E118),SF_Output!$Q$1:$Q$400,"One Time",SF_Output!$L$1:$L$400,"license fee")+SUMIFS(SF_Output!$S$1:$S$400,SF_Output!$AC$1:$AC$400,_xlfn.TEXTJOIN(",",TRUE,B118:E118),SF_Output!$Q$1:$Q$400,"One Time",SF_Output!$L$1:$L$400,"software license")+SUMIFS(SF_Output!$S$1:$S$400,SF_Output!$AC$1:$AC$400,_xlfn.TEXTJOIN(",",TRUE,B118:E118),SF_Output!$Q$1:$Q$400,"One Time",SF_Output!$L$1:$L$400,"hardware"))</f>
        <v>0</v>
      </c>
      <c r="K118" s="112" t="str">
        <f>IF(OR(B118=0,B118="",G118="hardware",J118=0),"",IF(AF118&lt;&gt;"exclusion",MAX(K$9,-((SUMIFS(SF_Output!$T$1:$T$400,SF_Output!$AC$1:$AC$400,_xlfn.TEXTJOIN(",",TRUE,$B118:$E118),SF_Output!$Q$1:$Q$400,"One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license"))/J118)))</f>
        <v/>
      </c>
      <c r="L118" s="6">
        <f t="shared" si="18"/>
        <v>0</v>
      </c>
      <c r="N118" s="6">
        <f>IF(B118="","",SUMIFS(SF_Output!$S$1:$S$400,SF_Output!$AC$1:$AC$400,_xlfn.TEXTJOIN(",",TRUE,B118:E118),SF_Output!$Q$1:$Q$400,"One Time",SF_Output!$L$1:$L$400,"professional service"))</f>
        <v>0</v>
      </c>
      <c r="O118" s="112" t="str">
        <f>IF(OR(B118=0,B118="",N118=0),"",IF(AF118&lt;&gt;"exclusion",MAX(O$9,-(SUMIFS(SF_Output!$T$1:$T$400,SF_Output!$AC$1:$AC$400,_xlfn.TEXTJOIN(",",TRUE,$B118:$E118),SF_Output!$Q$1:$Q$400,"One Time",SF_Output!$L$1:$L$400,"professional service"))/N118),-((SUMIFS(SF_Output!$T$1:$T$400,SF_Output!$AC$1:$AC$400,_xlfn.TEXTJOIN(",",TRUE,$B118:$E118),SF_Output!$Q$1:$Q$400,"One Time",SF_Output!$L$1:$L$400,"professional service")/N118))))</f>
        <v/>
      </c>
      <c r="P118" s="6">
        <f t="shared" si="19"/>
        <v>0</v>
      </c>
      <c r="R118" s="6">
        <f>IF(B118="","",SUMIFS(SF_Output!$S$1:$S$400,SF_Output!$AC$1:$AC$400,_xlfn.TEXTJOIN(",",TRUE,B118:E118),SF_Output!$Q$1:$Q$400,"yearly")+SUMIFS(SF_Output!$S$1:$S$400,SF_Output!$AC$1:$AC$400,_xlfn.TEXTJOIN(",",TRUE,B118:E118),SF_Output!$Q$1:$Q$400,"quarterly")*4)</f>
        <v>0</v>
      </c>
      <c r="S118" s="112" t="str">
        <f>IF(OR(B118=0,B118="",G118="hardware",R118=0),"",IF(AF118&lt;&gt;"exclusion",MAX(S$9,-(SUMIFS(SF_Output!$T$1:$T$400,SF_Output!$AC$1:$AC$400,_xlfn.TEXTJOIN(",",TRUE,$B118:$E118),SF_Output!$Q$1:$Q$400,"yearly"))/R118),-((SUMIFS(SF_Output!$T$1:$T$400,SF_Output!$AC$1:$AC$400,_xlfn.TEXTJOIN(",",TRUE,$B118:$E118),SF_Output!$Q$1:$Q$400,"yearly")/R118))))</f>
        <v/>
      </c>
      <c r="T118" s="6">
        <f t="shared" si="20"/>
        <v>0</v>
      </c>
      <c r="V118" s="6" cm="1">
        <f t="array" ref="V118">_xlfn.IFS(B118="","",AND(B118&lt;&gt;"",H118=SF_Output!$Y$2,SUMIFS(SF_Output!$T$1:$T$400,SF_Output!$AC$1:$AC$400,_xlfn.TEXTJOIN(",",TRUE,B118:E118),SF_Output!$Q$1:$Q$400,"monthly")=0),(SUMIFS(SF_Output!$F$1:$F$400,SF_Output!$AC$1:$AC$400,_xlfn.TEXTJOIN(",",TRUE,B118:E118),SF_Output!$Q$1:$Q$400,"monthly")+SUMIFS(SF_Output!$G$1:$G$400,SF_Output!$AC$1:$AC$400,_xlfn.TEXTJOIN(",",TRUE,B118:E118),SF_Output!$Q$1:$Q$400,"monthly"))*H118,AND(B118&lt;&gt;"",H118=SF_Output!$Y$2,SUMIFS(SF_Output!$T$1:$T$400,SF_Output!$AC$1:$AC$400,_xlfn.TEXTJOIN(",",TRUE,B118:E118),SF_Output!$Q$1:$Q$400,"monthly")&lt;&gt;0),SUMIFS(SF_Output!$S$1:$S$400,SF_Output!$AC$1:$AC$400,_xlfn.TEXTJOIN(",",TRUE,B118:E118),SF_Output!$Q$1:$Q$400,"monthly"),AND(B118&lt;&gt;"",H118&lt;&gt;SF_Output!$Y$2),SUMIFS(SF_Output!$S$1:$S$400,SF_Output!$AC$1:$AC$400,_xlfn.TEXTJOIN(",",TRUE,B118:E118),SF_Output!$Q$1:$Q$400,"monthly"))</f>
        <v>0</v>
      </c>
      <c r="W118" s="112" t="str" cm="1">
        <f t="array" ref="W118">_xlfn.IFS(OR(B118=0,B118="",V118=0),"",AF118&lt;&gt;"exclusion",MAX($W$9,$W$7,(-(SUMIFS(SF_Output!$T$1:$T$400,SF_Output!$AC$1:$AC$400,_xlfn.TEXTJOIN(",",TRUE,$B118:$E118),SF_Output!$Q$1:$Q$400,"monthly"))/V118)),AF118="exclusion",-(SUMIFS(SF_Output!$T$1:$T$400,SF_Output!$AC$1:$AC$400,_xlfn.TEXTJOIN(",",TRUE,$B118:$E118),SF_Output!$Q$1:$Q$400,"monthly"))/V118)</f>
        <v/>
      </c>
      <c r="X118" s="6" cm="1">
        <f t="array" ref="X118">IFERROR(_xlfn.IFS(V118=0,0,V118="","",W118=0,V118,OR(V118&lt;&gt;0,V118&lt;&gt;""),H118*I118),V118*(1-W118))</f>
        <v>0</v>
      </c>
      <c r="Z118" s="6">
        <f>IFERROR(IF(B118="","",SUMIFS(Billing_Fallout!H:H,Billing_Fallout!N:N,B118)),0)</f>
        <v>0</v>
      </c>
      <c r="AA118" s="6">
        <f t="shared" si="21"/>
        <v>0</v>
      </c>
      <c r="AB118" s="6">
        <f>IFERROR(IF(B118="","",SUMIFS(Billing_Fallout!J:J,Billing_Fallout!N:N,B118)),0)</f>
        <v>0</v>
      </c>
      <c r="AD118" s="6">
        <f t="shared" si="22"/>
        <v>0</v>
      </c>
      <c r="AF118" t="str">
        <f>IFERROR(INDEX(H_Tables!$B$1:$B$1500,MATCH(INDEX(SF_Output!$J$1:$J$400,MATCH(B118,SF_Output!$M$1:$M$400,0)),H_Tables!$A$1:$A$1500,0)),"")</f>
        <v>Exclusion</v>
      </c>
      <c r="AI118" s="119" t="str">
        <f t="shared" si="23"/>
        <v/>
      </c>
      <c r="AJ118" s="121">
        <f>IFERROR(INDEX(SF_Output!AD:AD,MATCH(_xlfn.TEXTJOIN(",",TRUE,B118:E118),SF_Output!AC1:AC400,0)),0.05)</f>
        <v>196</v>
      </c>
      <c r="AK118" t="str">
        <f>IF(SUMIFS(SF_Output!$F$1:$F$400,SF_Output!$AC$1:$AC$400,_xlfn.TEXTJOIN(",",TRUE,B118:E118))+SUMIFS(SF_Output!$G$1:$G$400,SF_Output!$AC$1:$AC$400,_xlfn.TEXTJOIN(",",TRUE,B118:E118))=0,"","PAP")</f>
        <v/>
      </c>
      <c r="AQ118" s="35"/>
      <c r="AR118" s="35" t="str" cm="1">
        <f t="array" ref="AR118">IFERROR(_xlfn.IFS(AND(E118*1=1,F118="Included"),"Change to Included",AND(E118*1=0,F118="Optional"),"Change to Optional",OR(B118="",F118="replaced"),""),"")</f>
        <v/>
      </c>
      <c r="AS118" s="35" t="str">
        <f t="shared" si="24"/>
        <v/>
      </c>
      <c r="AT118" s="35" t="str">
        <f t="shared" si="25"/>
        <v/>
      </c>
      <c r="AU118" s="35" t="str">
        <f t="shared" si="26"/>
        <v/>
      </c>
      <c r="AV118" s="35" t="str">
        <f t="shared" si="27"/>
        <v/>
      </c>
      <c r="AW118" s="35" t="str">
        <f t="shared" si="28"/>
        <v/>
      </c>
      <c r="AX118" s="35" t="str">
        <f t="shared" si="29"/>
        <v/>
      </c>
      <c r="AY118" s="35" t="str">
        <f t="shared" si="30"/>
        <v/>
      </c>
      <c r="AZ118" s="35" t="str">
        <f t="shared" si="31"/>
        <v/>
      </c>
      <c r="BA118" s="35" t="str">
        <f t="shared" si="32"/>
        <v/>
      </c>
      <c r="BB118" s="35" t="str">
        <f t="shared" si="33"/>
        <v/>
      </c>
      <c r="BC118" s="35"/>
      <c r="BE118" s="35">
        <f ca="1">INDEX(SF_Output!$AA$2:$AA$400,MATCH($B118,SF_Output!$M$2:$M$400,0))</f>
        <v>6</v>
      </c>
      <c r="BF118" s="35">
        <f ca="1">INDEX(SF_Output!$AB$2:$AB$400,MATCH($B118,SF_Output!$M$2:$M$400,0))</f>
        <v>1</v>
      </c>
    </row>
    <row r="119" spans="2:58" x14ac:dyDescent="0.25">
      <c r="B119" t="s">
        <v>2396</v>
      </c>
      <c r="C119" t="s">
        <v>2122</v>
      </c>
      <c r="D119" t="s">
        <v>2207</v>
      </c>
      <c r="E119" t="s">
        <v>2124</v>
      </c>
      <c r="F119" s="116" t="str">
        <f t="shared" si="17"/>
        <v>Included</v>
      </c>
      <c r="G119" t="str">
        <f>IF(B119="","",INDEX(SF_Output!$K$1:$K$400,MATCH(B119,SF_Output!$M$1:$M$400,0)))</f>
        <v>Card Processing Solutions (CPS)</v>
      </c>
      <c r="H119" cm="1">
        <f t="array" ref="H119">_xlfn.IFS(B119="","",(SUMIFS(SF_Output!$F$1:$F$400,SF_Output!$AC$1:$AC$400,_xlfn.TEXTJOIN(",",TRUE,B119:E119))+SUMIFS(SF_Output!$G$1:$G$400,SF_Output!$AC$1:$AC$400,_xlfn.TEXTJOIN(",",TRUE,B119:E119)))&lt;&gt;0,SF_Output!$Y$2,INDEX(SF_Output!$F$1:$F$400,MATCH(_xlfn.TEXTJOIN(",",TRUE,B119:E119),SF_Output!$AC$1:$AC$400,0))=0,INDEX(SF_Output!$R$1:$R$400,MATCH(_xlfn.TEXTJOIN(",",TRUE,B119:E119),SF_Output!$AC$1:$AC$400,0)))</f>
        <v>0</v>
      </c>
      <c r="I119" s="125" t="str">
        <f>IFERROR(IF(AND(H119&gt;1,H119&lt;&gt;""),ROUND(SUMIFS(SF_Output!$S$1:$S$400,SF_Output!$AC$1:$AC$400,_xlfn.TEXTJOIN(",",TRUE,B119:E119),SF_Output!$Q$1:$Q$400,"monthly")*(1-W119)/H119,4),""),"")</f>
        <v/>
      </c>
      <c r="J119" s="6">
        <f>IF(B119="","",SUMIFS(SF_Output!$S$1:$S$400,SF_Output!$AC$1:$AC$400,_xlfn.TEXTJOIN(",",TRUE,B119:E119),SF_Output!$Q$1:$Q$400,"One Time",SF_Output!$L$1:$L$400,"license fee")+SUMIFS(SF_Output!$S$1:$S$400,SF_Output!$AC$1:$AC$400,_xlfn.TEXTJOIN(",",TRUE,B119:E119),SF_Output!$Q$1:$Q$400,"One Time",SF_Output!$L$1:$L$400,"software license")+SUMIFS(SF_Output!$S$1:$S$400,SF_Output!$AC$1:$AC$400,_xlfn.TEXTJOIN(",",TRUE,B119:E119),SF_Output!$Q$1:$Q$400,"One Time",SF_Output!$L$1:$L$400,"hardware"))</f>
        <v>0</v>
      </c>
      <c r="K119" s="112" t="str">
        <f>IF(OR(B119=0,B119="",G119="hardware",J119=0),"",IF(AF119&lt;&gt;"exclusion",MAX(K$9,-((SUMIFS(SF_Output!$T$1:$T$400,SF_Output!$AC$1:$AC$400,_xlfn.TEXTJOIN(",",TRUE,$B119:$E119),SF_Output!$Q$1:$Q$400,"One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license"))/J119)))</f>
        <v/>
      </c>
      <c r="L119" s="6">
        <f t="shared" si="18"/>
        <v>0</v>
      </c>
      <c r="N119" s="6">
        <f>IF(B119="","",SUMIFS(SF_Output!$S$1:$S$400,SF_Output!$AC$1:$AC$400,_xlfn.TEXTJOIN(",",TRUE,B119:E119),SF_Output!$Q$1:$Q$400,"One Time",SF_Output!$L$1:$L$400,"professional service"))</f>
        <v>0</v>
      </c>
      <c r="O119" s="112" t="str">
        <f>IF(OR(B119=0,B119="",N119=0),"",IF(AF119&lt;&gt;"exclusion",MAX(O$9,-(SUMIFS(SF_Output!$T$1:$T$400,SF_Output!$AC$1:$AC$400,_xlfn.TEXTJOIN(",",TRUE,$B119:$E119),SF_Output!$Q$1:$Q$400,"One Time",SF_Output!$L$1:$L$400,"professional service"))/N119),-((SUMIFS(SF_Output!$T$1:$T$400,SF_Output!$AC$1:$AC$400,_xlfn.TEXTJOIN(",",TRUE,$B119:$E119),SF_Output!$Q$1:$Q$400,"One Time",SF_Output!$L$1:$L$400,"professional service")/N119))))</f>
        <v/>
      </c>
      <c r="P119" s="6">
        <f t="shared" si="19"/>
        <v>0</v>
      </c>
      <c r="R119" s="6">
        <f>IF(B119="","",SUMIFS(SF_Output!$S$1:$S$400,SF_Output!$AC$1:$AC$400,_xlfn.TEXTJOIN(",",TRUE,B119:E119),SF_Output!$Q$1:$Q$400,"yearly")+SUMIFS(SF_Output!$S$1:$S$400,SF_Output!$AC$1:$AC$400,_xlfn.TEXTJOIN(",",TRUE,B119:E119),SF_Output!$Q$1:$Q$400,"quarterly")*4)</f>
        <v>0</v>
      </c>
      <c r="S119" s="112" t="str">
        <f>IF(OR(B119=0,B119="",G119="hardware",R119=0),"",IF(AF119&lt;&gt;"exclusion",MAX(S$9,-(SUMIFS(SF_Output!$T$1:$T$400,SF_Output!$AC$1:$AC$400,_xlfn.TEXTJOIN(",",TRUE,$B119:$E119),SF_Output!$Q$1:$Q$400,"yearly"))/R119),-((SUMIFS(SF_Output!$T$1:$T$400,SF_Output!$AC$1:$AC$400,_xlfn.TEXTJOIN(",",TRUE,$B119:$E119),SF_Output!$Q$1:$Q$400,"yearly")/R119))))</f>
        <v/>
      </c>
      <c r="T119" s="6">
        <f t="shared" si="20"/>
        <v>0</v>
      </c>
      <c r="V119" s="6" cm="1">
        <f t="array" ref="V119">_xlfn.IFS(B119="","",AND(B119&lt;&gt;"",H119=SF_Output!$Y$2,SUMIFS(SF_Output!$T$1:$T$400,SF_Output!$AC$1:$AC$400,_xlfn.TEXTJOIN(",",TRUE,B119:E119),SF_Output!$Q$1:$Q$400,"monthly")=0),(SUMIFS(SF_Output!$F$1:$F$400,SF_Output!$AC$1:$AC$400,_xlfn.TEXTJOIN(",",TRUE,B119:E119),SF_Output!$Q$1:$Q$400,"monthly")+SUMIFS(SF_Output!$G$1:$G$400,SF_Output!$AC$1:$AC$400,_xlfn.TEXTJOIN(",",TRUE,B119:E119),SF_Output!$Q$1:$Q$400,"monthly"))*H119,AND(B119&lt;&gt;"",H119=SF_Output!$Y$2,SUMIFS(SF_Output!$T$1:$T$400,SF_Output!$AC$1:$AC$400,_xlfn.TEXTJOIN(",",TRUE,B119:E119),SF_Output!$Q$1:$Q$400,"monthly")&lt;&gt;0),SUMIFS(SF_Output!$S$1:$S$400,SF_Output!$AC$1:$AC$400,_xlfn.TEXTJOIN(",",TRUE,B119:E119),SF_Output!$Q$1:$Q$400,"monthly"),AND(B119&lt;&gt;"",H119&lt;&gt;SF_Output!$Y$2),SUMIFS(SF_Output!$S$1:$S$400,SF_Output!$AC$1:$AC$400,_xlfn.TEXTJOIN(",",TRUE,B119:E119),SF_Output!$Q$1:$Q$400,"monthly"))</f>
        <v>0</v>
      </c>
      <c r="W119" s="112" t="str" cm="1">
        <f t="array" ref="W119">_xlfn.IFS(OR(B119=0,B119="",V119=0),"",AF119&lt;&gt;"exclusion",MAX($W$9,$W$7,(-(SUMIFS(SF_Output!$T$1:$T$400,SF_Output!$AC$1:$AC$400,_xlfn.TEXTJOIN(",",TRUE,$B119:$E119),SF_Output!$Q$1:$Q$400,"monthly"))/V119)),AF119="exclusion",-(SUMIFS(SF_Output!$T$1:$T$400,SF_Output!$AC$1:$AC$400,_xlfn.TEXTJOIN(",",TRUE,$B119:$E119),SF_Output!$Q$1:$Q$400,"monthly"))/V119)</f>
        <v/>
      </c>
      <c r="X119" s="6" cm="1">
        <f t="array" ref="X119">IFERROR(_xlfn.IFS(V119=0,0,V119="","",W119=0,V119,OR(V119&lt;&gt;0,V119&lt;&gt;""),H119*I119),V119*(1-W119))</f>
        <v>0</v>
      </c>
      <c r="Z119" s="6">
        <f>IFERROR(IF(B119="","",SUMIFS(Billing_Fallout!H:H,Billing_Fallout!N:N,B119)),0)</f>
        <v>0</v>
      </c>
      <c r="AA119" s="6">
        <f t="shared" si="21"/>
        <v>0</v>
      </c>
      <c r="AB119" s="6">
        <f>IFERROR(IF(B119="","",SUMIFS(Billing_Fallout!J:J,Billing_Fallout!N:N,B119)),0)</f>
        <v>0</v>
      </c>
      <c r="AD119" s="6">
        <f t="shared" si="22"/>
        <v>0</v>
      </c>
      <c r="AF119" t="str">
        <f>IFERROR(INDEX(H_Tables!$B$1:$B$1500,MATCH(INDEX(SF_Output!$J$1:$J$400,MATCH(B119,SF_Output!$M$1:$M$400,0)),H_Tables!$A$1:$A$1500,0)),"")</f>
        <v>Exclusion</v>
      </c>
      <c r="AI119" s="119" t="str">
        <f t="shared" si="23"/>
        <v/>
      </c>
      <c r="AJ119" s="121">
        <f>IFERROR(INDEX(SF_Output!AD:AD,MATCH(_xlfn.TEXTJOIN(",",TRUE,B119:E119),SF_Output!AC1:AC400,0)),0.05)</f>
        <v>197</v>
      </c>
      <c r="AK119" t="str">
        <f>IF(SUMIFS(SF_Output!$F$1:$F$400,SF_Output!$AC$1:$AC$400,_xlfn.TEXTJOIN(",",TRUE,B119:E119))+SUMIFS(SF_Output!$G$1:$G$400,SF_Output!$AC$1:$AC$400,_xlfn.TEXTJOIN(",",TRUE,B119:E119))=0,"","PAP")</f>
        <v/>
      </c>
      <c r="AQ119" s="35"/>
      <c r="AR119" s="35" t="str" cm="1">
        <f t="array" ref="AR119">IFERROR(_xlfn.IFS(AND(E119*1=1,F119="Included"),"Change to Included",AND(E119*1=0,F119="Optional"),"Change to Optional",OR(B119="",F119="replaced"),""),"")</f>
        <v/>
      </c>
      <c r="AS119" s="35" t="str">
        <f t="shared" si="24"/>
        <v/>
      </c>
      <c r="AT119" s="35" t="str">
        <f t="shared" si="25"/>
        <v/>
      </c>
      <c r="AU119" s="35" t="str">
        <f t="shared" si="26"/>
        <v/>
      </c>
      <c r="AV119" s="35" t="str">
        <f t="shared" si="27"/>
        <v/>
      </c>
      <c r="AW119" s="35" t="str">
        <f t="shared" si="28"/>
        <v/>
      </c>
      <c r="AX119" s="35" t="str">
        <f t="shared" si="29"/>
        <v/>
      </c>
      <c r="AY119" s="35" t="str">
        <f t="shared" si="30"/>
        <v/>
      </c>
      <c r="AZ119" s="35" t="str">
        <f t="shared" si="31"/>
        <v/>
      </c>
      <c r="BA119" s="35" t="str">
        <f t="shared" si="32"/>
        <v/>
      </c>
      <c r="BB119" s="35" t="str">
        <f t="shared" si="33"/>
        <v/>
      </c>
      <c r="BC119" s="35"/>
      <c r="BE119" s="35">
        <f ca="1">INDEX(SF_Output!$AA$2:$AA$400,MATCH($B119,SF_Output!$M$2:$M$400,0))</f>
        <v>6</v>
      </c>
      <c r="BF119" s="35">
        <f ca="1">INDEX(SF_Output!$AB$2:$AB$400,MATCH($B119,SF_Output!$M$2:$M$400,0))</f>
        <v>1</v>
      </c>
    </row>
    <row r="120" spans="2:58" x14ac:dyDescent="0.25">
      <c r="B120" t="s">
        <v>2398</v>
      </c>
      <c r="C120" t="s">
        <v>2122</v>
      </c>
      <c r="D120" t="s">
        <v>2207</v>
      </c>
      <c r="E120" t="s">
        <v>2124</v>
      </c>
      <c r="F120" s="116" t="str">
        <f t="shared" si="17"/>
        <v>Included</v>
      </c>
      <c r="G120" t="str">
        <f>IF(B120="","",INDEX(SF_Output!$K$1:$K$400,MATCH(B120,SF_Output!$M$1:$M$400,0)))</f>
        <v>Card Processing Solutions (CPS)</v>
      </c>
      <c r="H120" cm="1">
        <f t="array" ref="H120">_xlfn.IFS(B120="","",(SUMIFS(SF_Output!$F$1:$F$400,SF_Output!$AC$1:$AC$400,_xlfn.TEXTJOIN(",",TRUE,B120:E120))+SUMIFS(SF_Output!$G$1:$G$400,SF_Output!$AC$1:$AC$400,_xlfn.TEXTJOIN(",",TRUE,B120:E120)))&lt;&gt;0,SF_Output!$Y$2,INDEX(SF_Output!$F$1:$F$400,MATCH(_xlfn.TEXTJOIN(",",TRUE,B120:E120),SF_Output!$AC$1:$AC$400,0))=0,INDEX(SF_Output!$R$1:$R$400,MATCH(_xlfn.TEXTJOIN(",",TRUE,B120:E120),SF_Output!$AC$1:$AC$400,0)))</f>
        <v>0</v>
      </c>
      <c r="I120" s="125" t="str">
        <f>IFERROR(IF(AND(H120&gt;1,H120&lt;&gt;""),ROUND(SUMIFS(SF_Output!$S$1:$S$400,SF_Output!$AC$1:$AC$400,_xlfn.TEXTJOIN(",",TRUE,B120:E120),SF_Output!$Q$1:$Q$400,"monthly")*(1-W120)/H120,4),""),"")</f>
        <v/>
      </c>
      <c r="J120" s="6">
        <f>IF(B120="","",SUMIFS(SF_Output!$S$1:$S$400,SF_Output!$AC$1:$AC$400,_xlfn.TEXTJOIN(",",TRUE,B120:E120),SF_Output!$Q$1:$Q$400,"One Time",SF_Output!$L$1:$L$400,"license fee")+SUMIFS(SF_Output!$S$1:$S$400,SF_Output!$AC$1:$AC$400,_xlfn.TEXTJOIN(",",TRUE,B120:E120),SF_Output!$Q$1:$Q$400,"One Time",SF_Output!$L$1:$L$400,"software license")+SUMIFS(SF_Output!$S$1:$S$400,SF_Output!$AC$1:$AC$400,_xlfn.TEXTJOIN(",",TRUE,B120:E120),SF_Output!$Q$1:$Q$400,"One Time",SF_Output!$L$1:$L$400,"hardware"))</f>
        <v>0</v>
      </c>
      <c r="K120" s="112" t="str">
        <f>IF(OR(B120=0,B120="",G120="hardware",J120=0),"",IF(AF120&lt;&gt;"exclusion",MAX(K$9,-((SUMIFS(SF_Output!$T$1:$T$400,SF_Output!$AC$1:$AC$400,_xlfn.TEXTJOIN(",",TRUE,$B120:$E120),SF_Output!$Q$1:$Q$400,"One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license"))/J120)))</f>
        <v/>
      </c>
      <c r="L120" s="6">
        <f t="shared" si="18"/>
        <v>0</v>
      </c>
      <c r="N120" s="6">
        <f>IF(B120="","",SUMIFS(SF_Output!$S$1:$S$400,SF_Output!$AC$1:$AC$400,_xlfn.TEXTJOIN(",",TRUE,B120:E120),SF_Output!$Q$1:$Q$400,"One Time",SF_Output!$L$1:$L$400,"professional service"))</f>
        <v>0</v>
      </c>
      <c r="O120" s="112" t="str">
        <f>IF(OR(B120=0,B120="",N120=0),"",IF(AF120&lt;&gt;"exclusion",MAX(O$9,-(SUMIFS(SF_Output!$T$1:$T$400,SF_Output!$AC$1:$AC$400,_xlfn.TEXTJOIN(",",TRUE,$B120:$E120),SF_Output!$Q$1:$Q$400,"One Time",SF_Output!$L$1:$L$400,"professional service"))/N120),-((SUMIFS(SF_Output!$T$1:$T$400,SF_Output!$AC$1:$AC$400,_xlfn.TEXTJOIN(",",TRUE,$B120:$E120),SF_Output!$Q$1:$Q$400,"One Time",SF_Output!$L$1:$L$400,"professional service")/N120))))</f>
        <v/>
      </c>
      <c r="P120" s="6">
        <f t="shared" si="19"/>
        <v>0</v>
      </c>
      <c r="R120" s="6">
        <f>IF(B120="","",SUMIFS(SF_Output!$S$1:$S$400,SF_Output!$AC$1:$AC$400,_xlfn.TEXTJOIN(",",TRUE,B120:E120),SF_Output!$Q$1:$Q$400,"yearly")+SUMIFS(SF_Output!$S$1:$S$400,SF_Output!$AC$1:$AC$400,_xlfn.TEXTJOIN(",",TRUE,B120:E120),SF_Output!$Q$1:$Q$400,"quarterly")*4)</f>
        <v>0</v>
      </c>
      <c r="S120" s="112" t="str">
        <f>IF(OR(B120=0,B120="",G120="hardware",R120=0),"",IF(AF120&lt;&gt;"exclusion",MAX(S$9,-(SUMIFS(SF_Output!$T$1:$T$400,SF_Output!$AC$1:$AC$400,_xlfn.TEXTJOIN(",",TRUE,$B120:$E120),SF_Output!$Q$1:$Q$400,"yearly"))/R120),-((SUMIFS(SF_Output!$T$1:$T$400,SF_Output!$AC$1:$AC$400,_xlfn.TEXTJOIN(",",TRUE,$B120:$E120),SF_Output!$Q$1:$Q$400,"yearly")/R120))))</f>
        <v/>
      </c>
      <c r="T120" s="6">
        <f t="shared" si="20"/>
        <v>0</v>
      </c>
      <c r="V120" s="6" cm="1">
        <f t="array" ref="V120">_xlfn.IFS(B120="","",AND(B120&lt;&gt;"",H120=SF_Output!$Y$2,SUMIFS(SF_Output!$T$1:$T$400,SF_Output!$AC$1:$AC$400,_xlfn.TEXTJOIN(",",TRUE,B120:E120),SF_Output!$Q$1:$Q$400,"monthly")=0),(SUMIFS(SF_Output!$F$1:$F$400,SF_Output!$AC$1:$AC$400,_xlfn.TEXTJOIN(",",TRUE,B120:E120),SF_Output!$Q$1:$Q$400,"monthly")+SUMIFS(SF_Output!$G$1:$G$400,SF_Output!$AC$1:$AC$400,_xlfn.TEXTJOIN(",",TRUE,B120:E120),SF_Output!$Q$1:$Q$400,"monthly"))*H120,AND(B120&lt;&gt;"",H120=SF_Output!$Y$2,SUMIFS(SF_Output!$T$1:$T$400,SF_Output!$AC$1:$AC$400,_xlfn.TEXTJOIN(",",TRUE,B120:E120),SF_Output!$Q$1:$Q$400,"monthly")&lt;&gt;0),SUMIFS(SF_Output!$S$1:$S$400,SF_Output!$AC$1:$AC$400,_xlfn.TEXTJOIN(",",TRUE,B120:E120),SF_Output!$Q$1:$Q$400,"monthly"),AND(B120&lt;&gt;"",H120&lt;&gt;SF_Output!$Y$2),SUMIFS(SF_Output!$S$1:$S$400,SF_Output!$AC$1:$AC$400,_xlfn.TEXTJOIN(",",TRUE,B120:E120),SF_Output!$Q$1:$Q$400,"monthly"))</f>
        <v>0</v>
      </c>
      <c r="W120" s="112" t="str" cm="1">
        <f t="array" ref="W120">_xlfn.IFS(OR(B120=0,B120="",V120=0),"",AF120&lt;&gt;"exclusion",MAX($W$9,$W$7,(-(SUMIFS(SF_Output!$T$1:$T$400,SF_Output!$AC$1:$AC$400,_xlfn.TEXTJOIN(",",TRUE,$B120:$E120),SF_Output!$Q$1:$Q$400,"monthly"))/V120)),AF120="exclusion",-(SUMIFS(SF_Output!$T$1:$T$400,SF_Output!$AC$1:$AC$400,_xlfn.TEXTJOIN(",",TRUE,$B120:$E120),SF_Output!$Q$1:$Q$400,"monthly"))/V120)</f>
        <v/>
      </c>
      <c r="X120" s="6" cm="1">
        <f t="array" ref="X120">IFERROR(_xlfn.IFS(V120=0,0,V120="","",W120=0,V120,OR(V120&lt;&gt;0,V120&lt;&gt;""),H120*I120),V120*(1-W120))</f>
        <v>0</v>
      </c>
      <c r="Z120" s="6">
        <f>IFERROR(IF(B120="","",SUMIFS(Billing_Fallout!H:H,Billing_Fallout!N:N,B120)),0)</f>
        <v>0</v>
      </c>
      <c r="AA120" s="6">
        <f t="shared" si="21"/>
        <v>0</v>
      </c>
      <c r="AB120" s="6">
        <f>IFERROR(IF(B120="","",SUMIFS(Billing_Fallout!J:J,Billing_Fallout!N:N,B120)),0)</f>
        <v>0</v>
      </c>
      <c r="AD120" s="6">
        <f t="shared" si="22"/>
        <v>0</v>
      </c>
      <c r="AF120" t="str">
        <f>IFERROR(INDEX(H_Tables!$B$1:$B$1500,MATCH(INDEX(SF_Output!$J$1:$J$400,MATCH(B120,SF_Output!$M$1:$M$400,0)),H_Tables!$A$1:$A$1500,0)),"")</f>
        <v>Exclusion</v>
      </c>
      <c r="AI120" s="119" t="str">
        <f t="shared" si="23"/>
        <v/>
      </c>
      <c r="AJ120" s="121">
        <f>IFERROR(INDEX(SF_Output!AD:AD,MATCH(_xlfn.TEXTJOIN(",",TRUE,B120:E120),SF_Output!AC1:AC400,0)),0.05)</f>
        <v>198</v>
      </c>
      <c r="AK120" t="str">
        <f>IF(SUMIFS(SF_Output!$F$1:$F$400,SF_Output!$AC$1:$AC$400,_xlfn.TEXTJOIN(",",TRUE,B120:E120))+SUMIFS(SF_Output!$G$1:$G$400,SF_Output!$AC$1:$AC$400,_xlfn.TEXTJOIN(",",TRUE,B120:E120))=0,"","PAP")</f>
        <v/>
      </c>
      <c r="AQ120" s="35"/>
      <c r="AR120" s="35" t="str" cm="1">
        <f t="array" ref="AR120">IFERROR(_xlfn.IFS(AND(E120*1=1,F120="Included"),"Change to Included",AND(E120*1=0,F120="Optional"),"Change to Optional",OR(B120="",F120="replaced"),""),"")</f>
        <v/>
      </c>
      <c r="AS120" s="35" t="str">
        <f t="shared" si="24"/>
        <v/>
      </c>
      <c r="AT120" s="35" t="str">
        <f t="shared" si="25"/>
        <v/>
      </c>
      <c r="AU120" s="35" t="str">
        <f t="shared" si="26"/>
        <v/>
      </c>
      <c r="AV120" s="35" t="str">
        <f t="shared" si="27"/>
        <v/>
      </c>
      <c r="AW120" s="35" t="str">
        <f t="shared" si="28"/>
        <v/>
      </c>
      <c r="AX120" s="35" t="str">
        <f t="shared" si="29"/>
        <v/>
      </c>
      <c r="AY120" s="35" t="str">
        <f t="shared" si="30"/>
        <v/>
      </c>
      <c r="AZ120" s="35" t="str">
        <f t="shared" si="31"/>
        <v/>
      </c>
      <c r="BA120" s="35" t="str">
        <f t="shared" si="32"/>
        <v/>
      </c>
      <c r="BB120" s="35" t="str">
        <f t="shared" si="33"/>
        <v/>
      </c>
      <c r="BC120" s="35"/>
      <c r="BE120" s="35">
        <f ca="1">INDEX(SF_Output!$AA$2:$AA$400,MATCH($B120,SF_Output!$M$2:$M$400,0))</f>
        <v>6</v>
      </c>
      <c r="BF120" s="35">
        <f ca="1">INDEX(SF_Output!$AB$2:$AB$400,MATCH($B120,SF_Output!$M$2:$M$400,0))</f>
        <v>1</v>
      </c>
    </row>
    <row r="121" spans="2:58" x14ac:dyDescent="0.25">
      <c r="B121" t="s">
        <v>2400</v>
      </c>
      <c r="C121" t="s">
        <v>2122</v>
      </c>
      <c r="D121" t="s">
        <v>2207</v>
      </c>
      <c r="E121" t="s">
        <v>2124</v>
      </c>
      <c r="F121" s="116" t="str">
        <f t="shared" si="17"/>
        <v>Included</v>
      </c>
      <c r="G121" t="str">
        <f>IF(B121="","",INDEX(SF_Output!$K$1:$K$400,MATCH(B121,SF_Output!$M$1:$M$400,0)))</f>
        <v>Card Processing Solutions (CPS)</v>
      </c>
      <c r="H121" cm="1">
        <f t="array" ref="H121">_xlfn.IFS(B121="","",(SUMIFS(SF_Output!$F$1:$F$400,SF_Output!$AC$1:$AC$400,_xlfn.TEXTJOIN(",",TRUE,B121:E121))+SUMIFS(SF_Output!$G$1:$G$400,SF_Output!$AC$1:$AC$400,_xlfn.TEXTJOIN(",",TRUE,B121:E121)))&lt;&gt;0,SF_Output!$Y$2,INDEX(SF_Output!$F$1:$F$400,MATCH(_xlfn.TEXTJOIN(",",TRUE,B121:E121),SF_Output!$AC$1:$AC$400,0))=0,INDEX(SF_Output!$R$1:$R$400,MATCH(_xlfn.TEXTJOIN(",",TRUE,B121:E121),SF_Output!$AC$1:$AC$400,0)))</f>
        <v>1</v>
      </c>
      <c r="I121" s="125" t="str">
        <f>IFERROR(IF(AND(H121&gt;1,H121&lt;&gt;""),ROUND(SUMIFS(SF_Output!$S$1:$S$400,SF_Output!$AC$1:$AC$400,_xlfn.TEXTJOIN(",",TRUE,B121:E121),SF_Output!$Q$1:$Q$400,"monthly")*(1-W121)/H121,4),""),"")</f>
        <v/>
      </c>
      <c r="J121" s="6">
        <f>IF(B121="","",SUMIFS(SF_Output!$S$1:$S$400,SF_Output!$AC$1:$AC$400,_xlfn.TEXTJOIN(",",TRUE,B121:E121),SF_Output!$Q$1:$Q$400,"One Time",SF_Output!$L$1:$L$400,"license fee")+SUMIFS(SF_Output!$S$1:$S$400,SF_Output!$AC$1:$AC$400,_xlfn.TEXTJOIN(",",TRUE,B121:E121),SF_Output!$Q$1:$Q$400,"One Time",SF_Output!$L$1:$L$400,"software license")+SUMIFS(SF_Output!$S$1:$S$400,SF_Output!$AC$1:$AC$400,_xlfn.TEXTJOIN(",",TRUE,B121:E121),SF_Output!$Q$1:$Q$400,"One Time",SF_Output!$L$1:$L$400,"hardware"))</f>
        <v>0</v>
      </c>
      <c r="K121" s="112" t="str">
        <f>IF(OR(B121=0,B121="",G121="hardware",J121=0),"",IF(AF121&lt;&gt;"exclusion",MAX(K$9,-((SUMIFS(SF_Output!$T$1:$T$400,SF_Output!$AC$1:$AC$400,_xlfn.TEXTJOIN(",",TRUE,$B121:$E121),SF_Output!$Q$1:$Q$400,"One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license"))/J121)))</f>
        <v/>
      </c>
      <c r="L121" s="6">
        <f t="shared" si="18"/>
        <v>0</v>
      </c>
      <c r="N121" s="6">
        <f>IF(B121="","",SUMIFS(SF_Output!$S$1:$S$400,SF_Output!$AC$1:$AC$400,_xlfn.TEXTJOIN(",",TRUE,B121:E121),SF_Output!$Q$1:$Q$400,"One Time",SF_Output!$L$1:$L$400,"professional service"))</f>
        <v>16000</v>
      </c>
      <c r="O121" s="112">
        <f>IF(OR(B121=0,B121="",N121=0),"",IF(AF121&lt;&gt;"exclusion",MAX(O$9,-(SUMIFS(SF_Output!$T$1:$T$400,SF_Output!$AC$1:$AC$400,_xlfn.TEXTJOIN(",",TRUE,$B121:$E121),SF_Output!$Q$1:$Q$400,"One Time",SF_Output!$L$1:$L$400,"professional service"))/N121),-((SUMIFS(SF_Output!$T$1:$T$400,SF_Output!$AC$1:$AC$400,_xlfn.TEXTJOIN(",",TRUE,$B121:$E121),SF_Output!$Q$1:$Q$400,"One Time",SF_Output!$L$1:$L$400,"professional service")/N121))))</f>
        <v>1</v>
      </c>
      <c r="P121" s="6">
        <f t="shared" si="19"/>
        <v>0</v>
      </c>
      <c r="R121" s="6">
        <f>IF(B121="","",SUMIFS(SF_Output!$S$1:$S$400,SF_Output!$AC$1:$AC$400,_xlfn.TEXTJOIN(",",TRUE,B121:E121),SF_Output!$Q$1:$Q$400,"yearly")+SUMIFS(SF_Output!$S$1:$S$400,SF_Output!$AC$1:$AC$400,_xlfn.TEXTJOIN(",",TRUE,B121:E121),SF_Output!$Q$1:$Q$400,"quarterly")*4)</f>
        <v>0</v>
      </c>
      <c r="S121" s="112" t="str">
        <f>IF(OR(B121=0,B121="",G121="hardware",R121=0),"",IF(AF121&lt;&gt;"exclusion",MAX(S$9,-(SUMIFS(SF_Output!$T$1:$T$400,SF_Output!$AC$1:$AC$400,_xlfn.TEXTJOIN(",",TRUE,$B121:$E121),SF_Output!$Q$1:$Q$400,"yearly"))/R121),-((SUMIFS(SF_Output!$T$1:$T$400,SF_Output!$AC$1:$AC$400,_xlfn.TEXTJOIN(",",TRUE,$B121:$E121),SF_Output!$Q$1:$Q$400,"yearly")/R121))))</f>
        <v/>
      </c>
      <c r="T121" s="6">
        <f t="shared" si="20"/>
        <v>0</v>
      </c>
      <c r="V121" s="6" cm="1">
        <f t="array" ref="V121">_xlfn.IFS(B121="","",AND(B121&lt;&gt;"",H121=SF_Output!$Y$2,SUMIFS(SF_Output!$T$1:$T$400,SF_Output!$AC$1:$AC$400,_xlfn.TEXTJOIN(",",TRUE,B121:E121),SF_Output!$Q$1:$Q$400,"monthly")=0),(SUMIFS(SF_Output!$F$1:$F$400,SF_Output!$AC$1:$AC$400,_xlfn.TEXTJOIN(",",TRUE,B121:E121),SF_Output!$Q$1:$Q$400,"monthly")+SUMIFS(SF_Output!$G$1:$G$400,SF_Output!$AC$1:$AC$400,_xlfn.TEXTJOIN(",",TRUE,B121:E121),SF_Output!$Q$1:$Q$400,"monthly"))*H121,AND(B121&lt;&gt;"",H121=SF_Output!$Y$2,SUMIFS(SF_Output!$T$1:$T$400,SF_Output!$AC$1:$AC$400,_xlfn.TEXTJOIN(",",TRUE,B121:E121),SF_Output!$Q$1:$Q$400,"monthly")&lt;&gt;0),SUMIFS(SF_Output!$S$1:$S$400,SF_Output!$AC$1:$AC$400,_xlfn.TEXTJOIN(",",TRUE,B121:E121),SF_Output!$Q$1:$Q$400,"monthly"),AND(B121&lt;&gt;"",H121&lt;&gt;SF_Output!$Y$2),SUMIFS(SF_Output!$S$1:$S$400,SF_Output!$AC$1:$AC$400,_xlfn.TEXTJOIN(",",TRUE,B121:E121),SF_Output!$Q$1:$Q$400,"monthly"))</f>
        <v>0</v>
      </c>
      <c r="W121" s="112" t="str" cm="1">
        <f t="array" ref="W121">_xlfn.IFS(OR(B121=0,B121="",V121=0),"",AF121&lt;&gt;"exclusion",MAX($W$9,$W$7,(-(SUMIFS(SF_Output!$T$1:$T$400,SF_Output!$AC$1:$AC$400,_xlfn.TEXTJOIN(",",TRUE,$B121:$E121),SF_Output!$Q$1:$Q$400,"monthly"))/V121)),AF121="exclusion",-(SUMIFS(SF_Output!$T$1:$T$400,SF_Output!$AC$1:$AC$400,_xlfn.TEXTJOIN(",",TRUE,$B121:$E121),SF_Output!$Q$1:$Q$400,"monthly"))/V121)</f>
        <v/>
      </c>
      <c r="X121" s="6" cm="1">
        <f t="array" ref="X121">IFERROR(_xlfn.IFS(V121=0,0,V121="","",W121=0,V121,OR(V121&lt;&gt;0,V121&lt;&gt;""),H121*I121),V121*(1-W121))</f>
        <v>0</v>
      </c>
      <c r="Z121" s="6">
        <f>IFERROR(IF(B121="","",SUMIFS(Billing_Fallout!H:H,Billing_Fallout!N:N,B121)),0)</f>
        <v>0</v>
      </c>
      <c r="AA121" s="6">
        <f t="shared" si="21"/>
        <v>0</v>
      </c>
      <c r="AB121" s="6">
        <f>IFERROR(IF(B121="","",SUMIFS(Billing_Fallout!J:J,Billing_Fallout!N:N,B121)),0)</f>
        <v>0</v>
      </c>
      <c r="AD121" s="6">
        <f t="shared" si="22"/>
        <v>0</v>
      </c>
      <c r="AF121" t="str">
        <f>IFERROR(INDEX(H_Tables!$B$1:$B$1500,MATCH(INDEX(SF_Output!$J$1:$J$400,MATCH(B121,SF_Output!$M$1:$M$400,0)),H_Tables!$A$1:$A$1500,0)),"")</f>
        <v>Exclusion</v>
      </c>
      <c r="AI121" s="119" t="str">
        <f t="shared" si="23"/>
        <v/>
      </c>
      <c r="AJ121" s="121">
        <f>IFERROR(INDEX(SF_Output!AD:AD,MATCH(_xlfn.TEXTJOIN(",",TRUE,B121:E121),SF_Output!AC1:AC400,0)),0.05)</f>
        <v>199</v>
      </c>
      <c r="AK121" t="str">
        <f>IF(SUMIFS(SF_Output!$F$1:$F$400,SF_Output!$AC$1:$AC$400,_xlfn.TEXTJOIN(",",TRUE,B121:E121))+SUMIFS(SF_Output!$G$1:$G$400,SF_Output!$AC$1:$AC$400,_xlfn.TEXTJOIN(",",TRUE,B121:E121))=0,"","PAP")</f>
        <v/>
      </c>
      <c r="AQ121" s="35"/>
      <c r="AR121" s="35" t="str" cm="1">
        <f t="array" ref="AR121">IFERROR(_xlfn.IFS(AND(E121*1=1,F121="Included"),"Change to Included",AND(E121*1=0,F121="Optional"),"Change to Optional",OR(B121="",F121="replaced"),""),"")</f>
        <v/>
      </c>
      <c r="AS121" s="35" t="str">
        <f t="shared" si="24"/>
        <v/>
      </c>
      <c r="AT121" s="35" t="str">
        <f t="shared" si="25"/>
        <v/>
      </c>
      <c r="AU121" s="35" t="str">
        <f t="shared" si="26"/>
        <v/>
      </c>
      <c r="AV121" s="35" t="str">
        <f t="shared" si="27"/>
        <v/>
      </c>
      <c r="AW121" s="35" t="str">
        <f t="shared" si="28"/>
        <v/>
      </c>
      <c r="AX121" s="35" t="str">
        <f t="shared" si="29"/>
        <v/>
      </c>
      <c r="AY121" s="35" t="str">
        <f t="shared" si="30"/>
        <v/>
      </c>
      <c r="AZ121" s="35" t="str">
        <f t="shared" si="31"/>
        <v/>
      </c>
      <c r="BA121" s="35" t="str">
        <f t="shared" si="32"/>
        <v/>
      </c>
      <c r="BB121" s="35" t="str">
        <f t="shared" si="33"/>
        <v/>
      </c>
      <c r="BC121" s="35"/>
      <c r="BE121" s="35">
        <f ca="1">INDEX(SF_Output!$AA$2:$AA$400,MATCH($B121,SF_Output!$M$2:$M$400,0))</f>
        <v>6</v>
      </c>
      <c r="BF121" s="35">
        <f ca="1">INDEX(SF_Output!$AB$2:$AB$400,MATCH($B121,SF_Output!$M$2:$M$400,0))</f>
        <v>1</v>
      </c>
    </row>
    <row r="122" spans="2:58" x14ac:dyDescent="0.25">
      <c r="B122" t="s">
        <v>2402</v>
      </c>
      <c r="C122" t="s">
        <v>2122</v>
      </c>
      <c r="D122" t="s">
        <v>2207</v>
      </c>
      <c r="E122" t="s">
        <v>2124</v>
      </c>
      <c r="F122" s="116" t="str">
        <f t="shared" si="17"/>
        <v>Included</v>
      </c>
      <c r="G122" t="str">
        <f>IF(B122="","",INDEX(SF_Output!$K$1:$K$400,MATCH(B122,SF_Output!$M$1:$M$400,0)))</f>
        <v>Card Processing Solutions (CPS)</v>
      </c>
      <c r="H122" cm="1">
        <f t="array" ref="H122">_xlfn.IFS(B122="","",(SUMIFS(SF_Output!$F$1:$F$400,SF_Output!$AC$1:$AC$400,_xlfn.TEXTJOIN(",",TRUE,B122:E122))+SUMIFS(SF_Output!$G$1:$G$400,SF_Output!$AC$1:$AC$400,_xlfn.TEXTJOIN(",",TRUE,B122:E122)))&lt;&gt;0,SF_Output!$Y$2,INDEX(SF_Output!$F$1:$F$400,MATCH(_xlfn.TEXTJOIN(",",TRUE,B122:E122),SF_Output!$AC$1:$AC$400,0))=0,INDEX(SF_Output!$R$1:$R$400,MATCH(_xlfn.TEXTJOIN(",",TRUE,B122:E122),SF_Output!$AC$1:$AC$400,0)))</f>
        <v>2</v>
      </c>
      <c r="I122" s="125" t="str">
        <f>IFERROR(IF(AND(H122&gt;1,H122&lt;&gt;""),ROUND(SUMIFS(SF_Output!$S$1:$S$400,SF_Output!$AC$1:$AC$400,_xlfn.TEXTJOIN(",",TRUE,B122:E122),SF_Output!$Q$1:$Q$400,"monthly")*(1-W122)/H122,4),""),"")</f>
        <v/>
      </c>
      <c r="J122" s="6">
        <f>IF(B122="","",SUMIFS(SF_Output!$S$1:$S$400,SF_Output!$AC$1:$AC$400,_xlfn.TEXTJOIN(",",TRUE,B122:E122),SF_Output!$Q$1:$Q$400,"One Time",SF_Output!$L$1:$L$400,"license fee")+SUMIFS(SF_Output!$S$1:$S$400,SF_Output!$AC$1:$AC$400,_xlfn.TEXTJOIN(",",TRUE,B122:E122),SF_Output!$Q$1:$Q$400,"One Time",SF_Output!$L$1:$L$400,"software license")+SUMIFS(SF_Output!$S$1:$S$400,SF_Output!$AC$1:$AC$400,_xlfn.TEXTJOIN(",",TRUE,B122:E122),SF_Output!$Q$1:$Q$400,"One Time",SF_Output!$L$1:$L$400,"hardware"))</f>
        <v>0</v>
      </c>
      <c r="K122" s="112" t="str">
        <f>IF(OR(B122=0,B122="",G122="hardware",J122=0),"",IF(AF122&lt;&gt;"exclusion",MAX(K$9,-((SUMIFS(SF_Output!$T$1:$T$400,SF_Output!$AC$1:$AC$400,_xlfn.TEXTJOIN(",",TRUE,$B122:$E122),SF_Output!$Q$1:$Q$400,"One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license"))/J122)))</f>
        <v/>
      </c>
      <c r="L122" s="6">
        <f t="shared" si="18"/>
        <v>0</v>
      </c>
      <c r="N122" s="6">
        <f>IF(B122="","",SUMIFS(SF_Output!$S$1:$S$400,SF_Output!$AC$1:$AC$400,_xlfn.TEXTJOIN(",",TRUE,B122:E122),SF_Output!$Q$1:$Q$400,"One Time",SF_Output!$L$1:$L$400,"professional service"))</f>
        <v>3000</v>
      </c>
      <c r="O122" s="112">
        <f>IF(OR(B122=0,B122="",N122=0),"",IF(AF122&lt;&gt;"exclusion",MAX(O$9,-(SUMIFS(SF_Output!$T$1:$T$400,SF_Output!$AC$1:$AC$400,_xlfn.TEXTJOIN(",",TRUE,$B122:$E122),SF_Output!$Q$1:$Q$400,"One Time",SF_Output!$L$1:$L$400,"professional service"))/N122),-((SUMIFS(SF_Output!$T$1:$T$400,SF_Output!$AC$1:$AC$400,_xlfn.TEXTJOIN(",",TRUE,$B122:$E122),SF_Output!$Q$1:$Q$400,"One Time",SF_Output!$L$1:$L$400,"professional service")/N122))))</f>
        <v>1</v>
      </c>
      <c r="P122" s="6">
        <f t="shared" si="19"/>
        <v>0</v>
      </c>
      <c r="R122" s="6">
        <f>IF(B122="","",SUMIFS(SF_Output!$S$1:$S$400,SF_Output!$AC$1:$AC$400,_xlfn.TEXTJOIN(",",TRUE,B122:E122),SF_Output!$Q$1:$Q$400,"yearly")+SUMIFS(SF_Output!$S$1:$S$400,SF_Output!$AC$1:$AC$400,_xlfn.TEXTJOIN(",",TRUE,B122:E122),SF_Output!$Q$1:$Q$400,"quarterly")*4)</f>
        <v>0</v>
      </c>
      <c r="S122" s="112" t="str">
        <f>IF(OR(B122=0,B122="",G122="hardware",R122=0),"",IF(AF122&lt;&gt;"exclusion",MAX(S$9,-(SUMIFS(SF_Output!$T$1:$T$400,SF_Output!$AC$1:$AC$400,_xlfn.TEXTJOIN(",",TRUE,$B122:$E122),SF_Output!$Q$1:$Q$400,"yearly"))/R122),-((SUMIFS(SF_Output!$T$1:$T$400,SF_Output!$AC$1:$AC$400,_xlfn.TEXTJOIN(",",TRUE,$B122:$E122),SF_Output!$Q$1:$Q$400,"yearly")/R122))))</f>
        <v/>
      </c>
      <c r="T122" s="6">
        <f t="shared" si="20"/>
        <v>0</v>
      </c>
      <c r="V122" s="6" cm="1">
        <f t="array" ref="V122">_xlfn.IFS(B122="","",AND(B122&lt;&gt;"",H122=SF_Output!$Y$2,SUMIFS(SF_Output!$T$1:$T$400,SF_Output!$AC$1:$AC$400,_xlfn.TEXTJOIN(",",TRUE,B122:E122),SF_Output!$Q$1:$Q$400,"monthly")=0),(SUMIFS(SF_Output!$F$1:$F$400,SF_Output!$AC$1:$AC$400,_xlfn.TEXTJOIN(",",TRUE,B122:E122),SF_Output!$Q$1:$Q$400,"monthly")+SUMIFS(SF_Output!$G$1:$G$400,SF_Output!$AC$1:$AC$400,_xlfn.TEXTJOIN(",",TRUE,B122:E122),SF_Output!$Q$1:$Q$400,"monthly"))*H122,AND(B122&lt;&gt;"",H122=SF_Output!$Y$2,SUMIFS(SF_Output!$T$1:$T$400,SF_Output!$AC$1:$AC$400,_xlfn.TEXTJOIN(",",TRUE,B122:E122),SF_Output!$Q$1:$Q$400,"monthly")&lt;&gt;0),SUMIFS(SF_Output!$S$1:$S$400,SF_Output!$AC$1:$AC$400,_xlfn.TEXTJOIN(",",TRUE,B122:E122),SF_Output!$Q$1:$Q$400,"monthly"),AND(B122&lt;&gt;"",H122&lt;&gt;SF_Output!$Y$2),SUMIFS(SF_Output!$S$1:$S$400,SF_Output!$AC$1:$AC$400,_xlfn.TEXTJOIN(",",TRUE,B122:E122),SF_Output!$Q$1:$Q$400,"monthly"))</f>
        <v>0</v>
      </c>
      <c r="W122" s="112" t="str" cm="1">
        <f t="array" ref="W122">_xlfn.IFS(OR(B122=0,B122="",V122=0),"",AF122&lt;&gt;"exclusion",MAX($W$9,$W$7,(-(SUMIFS(SF_Output!$T$1:$T$400,SF_Output!$AC$1:$AC$400,_xlfn.TEXTJOIN(",",TRUE,$B122:$E122),SF_Output!$Q$1:$Q$400,"monthly"))/V122)),AF122="exclusion",-(SUMIFS(SF_Output!$T$1:$T$400,SF_Output!$AC$1:$AC$400,_xlfn.TEXTJOIN(",",TRUE,$B122:$E122),SF_Output!$Q$1:$Q$400,"monthly"))/V122)</f>
        <v/>
      </c>
      <c r="X122" s="6" cm="1">
        <f t="array" ref="X122">IFERROR(_xlfn.IFS(V122=0,0,V122="","",W122=0,V122,OR(V122&lt;&gt;0,V122&lt;&gt;""),H122*I122),V122*(1-W122))</f>
        <v>0</v>
      </c>
      <c r="Z122" s="6">
        <f>IFERROR(IF(B122="","",SUMIFS(Billing_Fallout!H:H,Billing_Fallout!N:N,B122)),0)</f>
        <v>0</v>
      </c>
      <c r="AA122" s="6">
        <f t="shared" si="21"/>
        <v>0</v>
      </c>
      <c r="AB122" s="6">
        <f>IFERROR(IF(B122="","",SUMIFS(Billing_Fallout!J:J,Billing_Fallout!N:N,B122)),0)</f>
        <v>0</v>
      </c>
      <c r="AD122" s="6">
        <f t="shared" si="22"/>
        <v>0</v>
      </c>
      <c r="AF122" t="str">
        <f>IFERROR(INDEX(H_Tables!$B$1:$B$1500,MATCH(INDEX(SF_Output!$J$1:$J$400,MATCH(B122,SF_Output!$M$1:$M$400,0)),H_Tables!$A$1:$A$1500,0)),"")</f>
        <v>Exclusion</v>
      </c>
      <c r="AI122" s="119" t="str">
        <f t="shared" si="23"/>
        <v/>
      </c>
      <c r="AJ122" s="121">
        <f>IFERROR(INDEX(SF_Output!AD:AD,MATCH(_xlfn.TEXTJOIN(",",TRUE,B122:E122),SF_Output!AC1:AC400,0)),0.05)</f>
        <v>200</v>
      </c>
      <c r="AK122" t="str">
        <f>IF(SUMIFS(SF_Output!$F$1:$F$400,SF_Output!$AC$1:$AC$400,_xlfn.TEXTJOIN(",",TRUE,B122:E122))+SUMIFS(SF_Output!$G$1:$G$400,SF_Output!$AC$1:$AC$400,_xlfn.TEXTJOIN(",",TRUE,B122:E122))=0,"","PAP")</f>
        <v/>
      </c>
      <c r="AQ122" s="35"/>
      <c r="AR122" s="35" t="str" cm="1">
        <f t="array" ref="AR122">IFERROR(_xlfn.IFS(AND(E122*1=1,F122="Included"),"Change to Included",AND(E122*1=0,F122="Optional"),"Change to Optional",OR(B122="",F122="replaced"),""),"")</f>
        <v/>
      </c>
      <c r="AS122" s="35" t="str">
        <f t="shared" si="24"/>
        <v/>
      </c>
      <c r="AT122" s="35" t="str">
        <f t="shared" si="25"/>
        <v/>
      </c>
      <c r="AU122" s="35" t="str">
        <f t="shared" si="26"/>
        <v/>
      </c>
      <c r="AV122" s="35" t="str">
        <f t="shared" si="27"/>
        <v/>
      </c>
      <c r="AW122" s="35" t="str">
        <f t="shared" si="28"/>
        <v/>
      </c>
      <c r="AX122" s="35" t="str">
        <f t="shared" si="29"/>
        <v/>
      </c>
      <c r="AY122" s="35" t="str">
        <f t="shared" si="30"/>
        <v/>
      </c>
      <c r="AZ122" s="35" t="str">
        <f t="shared" si="31"/>
        <v/>
      </c>
      <c r="BA122" s="35" t="str">
        <f t="shared" si="32"/>
        <v/>
      </c>
      <c r="BB122" s="35" t="str">
        <f t="shared" si="33"/>
        <v/>
      </c>
      <c r="BC122" s="35"/>
      <c r="BE122" s="35">
        <f ca="1">INDEX(SF_Output!$AA$2:$AA$400,MATCH($B122,SF_Output!$M$2:$M$400,0))</f>
        <v>6</v>
      </c>
      <c r="BF122" s="35">
        <f ca="1">INDEX(SF_Output!$AB$2:$AB$400,MATCH($B122,SF_Output!$M$2:$M$400,0))</f>
        <v>1</v>
      </c>
    </row>
    <row r="123" spans="2:58" x14ac:dyDescent="0.25">
      <c r="B123" t="s">
        <v>2473</v>
      </c>
      <c r="C123" t="s">
        <v>2122</v>
      </c>
      <c r="D123" t="s">
        <v>2207</v>
      </c>
      <c r="E123" t="s">
        <v>2124</v>
      </c>
      <c r="F123" s="116" t="str">
        <f t="shared" si="17"/>
        <v>Included</v>
      </c>
      <c r="G123" t="str">
        <f>IF(B123="","",INDEX(SF_Output!$K$1:$K$400,MATCH(B123,SF_Output!$M$1:$M$400,0)))</f>
        <v>Card Processing Solutions (CPS)</v>
      </c>
      <c r="H123" cm="1">
        <f t="array" ref="H123">_xlfn.IFS(B123="","",(SUMIFS(SF_Output!$F$1:$F$400,SF_Output!$AC$1:$AC$400,_xlfn.TEXTJOIN(",",TRUE,B123:E123))+SUMIFS(SF_Output!$G$1:$G$400,SF_Output!$AC$1:$AC$400,_xlfn.TEXTJOIN(",",TRUE,B123:E123)))&lt;&gt;0,SF_Output!$Y$2,INDEX(SF_Output!$F$1:$F$400,MATCH(_xlfn.TEXTJOIN(",",TRUE,B123:E123),SF_Output!$AC$1:$AC$400,0))=0,INDEX(SF_Output!$R$1:$R$400,MATCH(_xlfn.TEXTJOIN(",",TRUE,B123:E123),SF_Output!$AC$1:$AC$400,0)))</f>
        <v>1</v>
      </c>
      <c r="I123" s="125" t="str">
        <f>IFERROR(IF(AND(H123&gt;1,H123&lt;&gt;""),ROUND(SUMIFS(SF_Output!$S$1:$S$400,SF_Output!$AC$1:$AC$400,_xlfn.TEXTJOIN(",",TRUE,B123:E123),SF_Output!$Q$1:$Q$400,"monthly")*(1-W123)/H123,4),""),"")</f>
        <v/>
      </c>
      <c r="J123" s="6">
        <f>IF(B123="","",SUMIFS(SF_Output!$S$1:$S$400,SF_Output!$AC$1:$AC$400,_xlfn.TEXTJOIN(",",TRUE,B123:E123),SF_Output!$Q$1:$Q$400,"One Time",SF_Output!$L$1:$L$400,"license fee")+SUMIFS(SF_Output!$S$1:$S$400,SF_Output!$AC$1:$AC$400,_xlfn.TEXTJOIN(",",TRUE,B123:E123),SF_Output!$Q$1:$Q$400,"One Time",SF_Output!$L$1:$L$400,"software license")+SUMIFS(SF_Output!$S$1:$S$400,SF_Output!$AC$1:$AC$400,_xlfn.TEXTJOIN(",",TRUE,B123:E123),SF_Output!$Q$1:$Q$400,"One Time",SF_Output!$L$1:$L$400,"hardware"))</f>
        <v>0</v>
      </c>
      <c r="K123" s="112" t="str">
        <f>IF(OR(B123=0,B123="",G123="hardware",J123=0),"",IF(AF123&lt;&gt;"exclusion",MAX(K$9,-((SUMIFS(SF_Output!$T$1:$T$400,SF_Output!$AC$1:$AC$400,_xlfn.TEXTJOIN(",",TRUE,$B123:$E123),SF_Output!$Q$1:$Q$400,"One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license"))/J123)))</f>
        <v/>
      </c>
      <c r="L123" s="6">
        <f t="shared" si="18"/>
        <v>0</v>
      </c>
      <c r="N123" s="6">
        <f>IF(B123="","",SUMIFS(SF_Output!$S$1:$S$400,SF_Output!$AC$1:$AC$400,_xlfn.TEXTJOIN(",",TRUE,B123:E123),SF_Output!$Q$1:$Q$400,"One Time",SF_Output!$L$1:$L$400,"professional service"))</f>
        <v>5500</v>
      </c>
      <c r="O123" s="112">
        <f>IF(OR(B123=0,B123="",N123=0),"",IF(AF123&lt;&gt;"exclusion",MAX(O$9,-(SUMIFS(SF_Output!$T$1:$T$400,SF_Output!$AC$1:$AC$400,_xlfn.TEXTJOIN(",",TRUE,$B123:$E123),SF_Output!$Q$1:$Q$400,"One Time",SF_Output!$L$1:$L$400,"professional service"))/N123),-((SUMIFS(SF_Output!$T$1:$T$400,SF_Output!$AC$1:$AC$400,_xlfn.TEXTJOIN(",",TRUE,$B123:$E123),SF_Output!$Q$1:$Q$400,"One Time",SF_Output!$L$1:$L$400,"professional service")/N123))))</f>
        <v>1</v>
      </c>
      <c r="P123" s="6">
        <f t="shared" si="19"/>
        <v>0</v>
      </c>
      <c r="R123" s="6">
        <f>IF(B123="","",SUMIFS(SF_Output!$S$1:$S$400,SF_Output!$AC$1:$AC$400,_xlfn.TEXTJOIN(",",TRUE,B123:E123),SF_Output!$Q$1:$Q$400,"yearly")+SUMIFS(SF_Output!$S$1:$S$400,SF_Output!$AC$1:$AC$400,_xlfn.TEXTJOIN(",",TRUE,B123:E123),SF_Output!$Q$1:$Q$400,"quarterly")*4)</f>
        <v>0</v>
      </c>
      <c r="S123" s="112" t="str">
        <f>IF(OR(B123=0,B123="",G123="hardware",R123=0),"",IF(AF123&lt;&gt;"exclusion",MAX(S$9,-(SUMIFS(SF_Output!$T$1:$T$400,SF_Output!$AC$1:$AC$400,_xlfn.TEXTJOIN(",",TRUE,$B123:$E123),SF_Output!$Q$1:$Q$400,"yearly"))/R123),-((SUMIFS(SF_Output!$T$1:$T$400,SF_Output!$AC$1:$AC$400,_xlfn.TEXTJOIN(",",TRUE,$B123:$E123),SF_Output!$Q$1:$Q$400,"yearly")/R123))))</f>
        <v/>
      </c>
      <c r="T123" s="6">
        <f t="shared" si="20"/>
        <v>0</v>
      </c>
      <c r="V123" s="6" cm="1">
        <f t="array" ref="V123">_xlfn.IFS(B123="","",AND(B123&lt;&gt;"",H123=SF_Output!$Y$2,SUMIFS(SF_Output!$T$1:$T$400,SF_Output!$AC$1:$AC$400,_xlfn.TEXTJOIN(",",TRUE,B123:E123),SF_Output!$Q$1:$Q$400,"monthly")=0),(SUMIFS(SF_Output!$F$1:$F$400,SF_Output!$AC$1:$AC$400,_xlfn.TEXTJOIN(",",TRUE,B123:E123),SF_Output!$Q$1:$Q$400,"monthly")+SUMIFS(SF_Output!$G$1:$G$400,SF_Output!$AC$1:$AC$400,_xlfn.TEXTJOIN(",",TRUE,B123:E123),SF_Output!$Q$1:$Q$400,"monthly"))*H123,AND(B123&lt;&gt;"",H123=SF_Output!$Y$2,SUMIFS(SF_Output!$T$1:$T$400,SF_Output!$AC$1:$AC$400,_xlfn.TEXTJOIN(",",TRUE,B123:E123),SF_Output!$Q$1:$Q$400,"monthly")&lt;&gt;0),SUMIFS(SF_Output!$S$1:$S$400,SF_Output!$AC$1:$AC$400,_xlfn.TEXTJOIN(",",TRUE,B123:E123),SF_Output!$Q$1:$Q$400,"monthly"),AND(B123&lt;&gt;"",H123&lt;&gt;SF_Output!$Y$2),SUMIFS(SF_Output!$S$1:$S$400,SF_Output!$AC$1:$AC$400,_xlfn.TEXTJOIN(",",TRUE,B123:E123),SF_Output!$Q$1:$Q$400,"monthly"))</f>
        <v>405</v>
      </c>
      <c r="W123" s="112" cm="1">
        <f t="array" ref="W123">_xlfn.IFS(OR(B123=0,B123="",V123=0),"",AF123&lt;&gt;"exclusion",MAX($W$9,$W$7,(-(SUMIFS(SF_Output!$T$1:$T$400,SF_Output!$AC$1:$AC$400,_xlfn.TEXTJOIN(",",TRUE,$B123:$E123),SF_Output!$Q$1:$Q$400,"monthly"))/V123)),AF123="exclusion",-(SUMIFS(SF_Output!$T$1:$T$400,SF_Output!$AC$1:$AC$400,_xlfn.TEXTJOIN(",",TRUE,$B123:$E123),SF_Output!$Q$1:$Q$400,"monthly"))/V123)</f>
        <v>0</v>
      </c>
      <c r="X123" s="6" cm="1">
        <f t="array" ref="X123">IFERROR(_xlfn.IFS(V123=0,0,V123="","",W123=0,V123,OR(V123&lt;&gt;0,V123&lt;&gt;""),H123*I123),V123*(1-W123))</f>
        <v>405</v>
      </c>
      <c r="Z123" s="6">
        <f>IFERROR(IF(B123="","",SUMIFS(Billing_Fallout!H:H,Billing_Fallout!N:N,B123)),0)</f>
        <v>0</v>
      </c>
      <c r="AA123" s="6">
        <f t="shared" si="21"/>
        <v>0</v>
      </c>
      <c r="AB123" s="6">
        <f>IFERROR(IF(B123="","",SUMIFS(Billing_Fallout!J:J,Billing_Fallout!N:N,B123)),0)</f>
        <v>0</v>
      </c>
      <c r="AD123" s="6">
        <f t="shared" si="22"/>
        <v>405</v>
      </c>
      <c r="AF123" t="str">
        <f>IFERROR(INDEX(H_Tables!$B$1:$B$1500,MATCH(INDEX(SF_Output!$J$1:$J$400,MATCH(B123,SF_Output!$M$1:$M$400,0)),H_Tables!$A$1:$A$1500,0)),"")</f>
        <v>Exclusion</v>
      </c>
      <c r="AI123" s="119" t="str">
        <f t="shared" si="23"/>
        <v/>
      </c>
      <c r="AJ123" s="121">
        <f>IFERROR(INDEX(SF_Output!AD:AD,MATCH(_xlfn.TEXTJOIN(",",TRUE,B123:E123),SF_Output!AC1:AC400,0)),0.05)</f>
        <v>201</v>
      </c>
      <c r="AK123" t="str">
        <f>IF(SUMIFS(SF_Output!$F$1:$F$400,SF_Output!$AC$1:$AC$400,_xlfn.TEXTJOIN(",",TRUE,B123:E123))+SUMIFS(SF_Output!$G$1:$G$400,SF_Output!$AC$1:$AC$400,_xlfn.TEXTJOIN(",",TRUE,B123:E123))=0,"","PAP")</f>
        <v/>
      </c>
      <c r="AQ123" s="35"/>
      <c r="AR123" s="35" t="str" cm="1">
        <f t="array" ref="AR123">IFERROR(_xlfn.IFS(AND(E123*1=1,F123="Included"),"Change to Included",AND(E123*1=0,F123="Optional"),"Change to Optional",OR(B123="",F123="replaced"),""),"")</f>
        <v/>
      </c>
      <c r="AS123" s="35" t="str">
        <f t="shared" si="24"/>
        <v/>
      </c>
      <c r="AT123" s="35" t="str">
        <f t="shared" si="25"/>
        <v/>
      </c>
      <c r="AU123" s="35" t="str">
        <f t="shared" si="26"/>
        <v/>
      </c>
      <c r="AV123" s="35" t="str">
        <f t="shared" si="27"/>
        <v/>
      </c>
      <c r="AW123" s="35" t="str">
        <f t="shared" si="28"/>
        <v/>
      </c>
      <c r="AX123" s="35" t="str">
        <f t="shared" si="29"/>
        <v/>
      </c>
      <c r="AY123" s="35" t="str">
        <f t="shared" si="30"/>
        <v/>
      </c>
      <c r="AZ123" s="35" t="str">
        <f t="shared" si="31"/>
        <v/>
      </c>
      <c r="BA123" s="35" t="str">
        <f t="shared" si="32"/>
        <v/>
      </c>
      <c r="BB123" s="35" t="str">
        <f t="shared" si="33"/>
        <v/>
      </c>
      <c r="BC123" s="35"/>
      <c r="BE123" s="35">
        <f ca="1">INDEX(SF_Output!$AA$2:$AA$400,MATCH($B123,SF_Output!$M$2:$M$400,0))</f>
        <v>6</v>
      </c>
      <c r="BF123" s="35">
        <f ca="1">INDEX(SF_Output!$AB$2:$AB$400,MATCH($B123,SF_Output!$M$2:$M$400,0))</f>
        <v>1</v>
      </c>
    </row>
    <row r="124" spans="2:58" x14ac:dyDescent="0.25">
      <c r="B124" t="s">
        <v>2406</v>
      </c>
      <c r="C124" t="s">
        <v>2122</v>
      </c>
      <c r="D124" t="s">
        <v>2207</v>
      </c>
      <c r="E124" t="s">
        <v>2124</v>
      </c>
      <c r="F124" s="116" t="str">
        <f t="shared" si="17"/>
        <v>Included</v>
      </c>
      <c r="G124" t="str">
        <f>IF(B124="","",INDEX(SF_Output!$K$1:$K$400,MATCH(B124,SF_Output!$M$1:$M$400,0)))</f>
        <v>Card Processing Solutions (CPS)</v>
      </c>
      <c r="H124" cm="1">
        <f t="array" ref="H124">_xlfn.IFS(B124="","",(SUMIFS(SF_Output!$F$1:$F$400,SF_Output!$AC$1:$AC$400,_xlfn.TEXTJOIN(",",TRUE,B124:E124))+SUMIFS(SF_Output!$G$1:$G$400,SF_Output!$AC$1:$AC$400,_xlfn.TEXTJOIN(",",TRUE,B124:E124)))&lt;&gt;0,SF_Output!$Y$2,INDEX(SF_Output!$F$1:$F$400,MATCH(_xlfn.TEXTJOIN(",",TRUE,B124:E124),SF_Output!$AC$1:$AC$400,0))=0,INDEX(SF_Output!$R$1:$R$400,MATCH(_xlfn.TEXTJOIN(",",TRUE,B124:E124),SF_Output!$AC$1:$AC$400,0)))</f>
        <v>0</v>
      </c>
      <c r="I124" s="125" t="str">
        <f>IFERROR(IF(AND(H124&gt;1,H124&lt;&gt;""),ROUND(SUMIFS(SF_Output!$S$1:$S$400,SF_Output!$AC$1:$AC$400,_xlfn.TEXTJOIN(",",TRUE,B124:E124),SF_Output!$Q$1:$Q$400,"monthly")*(1-W124)/H124,4),""),"")</f>
        <v/>
      </c>
      <c r="J124" s="6">
        <f>IF(B124="","",SUMIFS(SF_Output!$S$1:$S$400,SF_Output!$AC$1:$AC$400,_xlfn.TEXTJOIN(",",TRUE,B124:E124),SF_Output!$Q$1:$Q$400,"One Time",SF_Output!$L$1:$L$400,"license fee")+SUMIFS(SF_Output!$S$1:$S$400,SF_Output!$AC$1:$AC$400,_xlfn.TEXTJOIN(",",TRUE,B124:E124),SF_Output!$Q$1:$Q$400,"One Time",SF_Output!$L$1:$L$400,"software license")+SUMIFS(SF_Output!$S$1:$S$400,SF_Output!$AC$1:$AC$400,_xlfn.TEXTJOIN(",",TRUE,B124:E124),SF_Output!$Q$1:$Q$400,"One Time",SF_Output!$L$1:$L$400,"hardware"))</f>
        <v>0</v>
      </c>
      <c r="K124" s="112" t="str">
        <f>IF(OR(B124=0,B124="",G124="hardware",J124=0),"",IF(AF124&lt;&gt;"exclusion",MAX(K$9,-((SUMIFS(SF_Output!$T$1:$T$400,SF_Output!$AC$1:$AC$400,_xlfn.TEXTJOIN(",",TRUE,$B124:$E124),SF_Output!$Q$1:$Q$400,"One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license"))/J124)))</f>
        <v/>
      </c>
      <c r="L124" s="6">
        <f t="shared" si="18"/>
        <v>0</v>
      </c>
      <c r="N124" s="6">
        <f>IF(B124="","",SUMIFS(SF_Output!$S$1:$S$400,SF_Output!$AC$1:$AC$400,_xlfn.TEXTJOIN(",",TRUE,B124:E124),SF_Output!$Q$1:$Q$400,"One Time",SF_Output!$L$1:$L$400,"professional service"))</f>
        <v>0</v>
      </c>
      <c r="O124" s="112" t="str">
        <f>IF(OR(B124=0,B124="",N124=0),"",IF(AF124&lt;&gt;"exclusion",MAX(O$9,-(SUMIFS(SF_Output!$T$1:$T$400,SF_Output!$AC$1:$AC$400,_xlfn.TEXTJOIN(",",TRUE,$B124:$E124),SF_Output!$Q$1:$Q$400,"One Time",SF_Output!$L$1:$L$400,"professional service"))/N124),-((SUMIFS(SF_Output!$T$1:$T$400,SF_Output!$AC$1:$AC$400,_xlfn.TEXTJOIN(",",TRUE,$B124:$E124),SF_Output!$Q$1:$Q$400,"One Time",SF_Output!$L$1:$L$400,"professional service")/N124))))</f>
        <v/>
      </c>
      <c r="P124" s="6">
        <f t="shared" si="19"/>
        <v>0</v>
      </c>
      <c r="R124" s="6">
        <f>IF(B124="","",SUMIFS(SF_Output!$S$1:$S$400,SF_Output!$AC$1:$AC$400,_xlfn.TEXTJOIN(",",TRUE,B124:E124),SF_Output!$Q$1:$Q$400,"yearly")+SUMIFS(SF_Output!$S$1:$S$400,SF_Output!$AC$1:$AC$400,_xlfn.TEXTJOIN(",",TRUE,B124:E124),SF_Output!$Q$1:$Q$400,"quarterly")*4)</f>
        <v>0</v>
      </c>
      <c r="S124" s="112" t="str">
        <f>IF(OR(B124=0,B124="",G124="hardware",R124=0),"",IF(AF124&lt;&gt;"exclusion",MAX(S$9,-(SUMIFS(SF_Output!$T$1:$T$400,SF_Output!$AC$1:$AC$400,_xlfn.TEXTJOIN(",",TRUE,$B124:$E124),SF_Output!$Q$1:$Q$400,"yearly"))/R124),-((SUMIFS(SF_Output!$T$1:$T$400,SF_Output!$AC$1:$AC$400,_xlfn.TEXTJOIN(",",TRUE,$B124:$E124),SF_Output!$Q$1:$Q$400,"yearly")/R124))))</f>
        <v/>
      </c>
      <c r="T124" s="6">
        <f t="shared" si="20"/>
        <v>0</v>
      </c>
      <c r="V124" s="6" cm="1">
        <f t="array" ref="V124">_xlfn.IFS(B124="","",AND(B124&lt;&gt;"",H124=SF_Output!$Y$2,SUMIFS(SF_Output!$T$1:$T$400,SF_Output!$AC$1:$AC$400,_xlfn.TEXTJOIN(",",TRUE,B124:E124),SF_Output!$Q$1:$Q$400,"monthly")=0),(SUMIFS(SF_Output!$F$1:$F$400,SF_Output!$AC$1:$AC$400,_xlfn.TEXTJOIN(",",TRUE,B124:E124),SF_Output!$Q$1:$Q$400,"monthly")+SUMIFS(SF_Output!$G$1:$G$400,SF_Output!$AC$1:$AC$400,_xlfn.TEXTJOIN(",",TRUE,B124:E124),SF_Output!$Q$1:$Q$400,"monthly"))*H124,AND(B124&lt;&gt;"",H124=SF_Output!$Y$2,SUMIFS(SF_Output!$T$1:$T$400,SF_Output!$AC$1:$AC$400,_xlfn.TEXTJOIN(",",TRUE,B124:E124),SF_Output!$Q$1:$Q$400,"monthly")&lt;&gt;0),SUMIFS(SF_Output!$S$1:$S$400,SF_Output!$AC$1:$AC$400,_xlfn.TEXTJOIN(",",TRUE,B124:E124),SF_Output!$Q$1:$Q$400,"monthly"),AND(B124&lt;&gt;"",H124&lt;&gt;SF_Output!$Y$2),SUMIFS(SF_Output!$S$1:$S$400,SF_Output!$AC$1:$AC$400,_xlfn.TEXTJOIN(",",TRUE,B124:E124),SF_Output!$Q$1:$Q$400,"monthly"))</f>
        <v>0</v>
      </c>
      <c r="W124" s="112" t="str" cm="1">
        <f t="array" ref="W124">_xlfn.IFS(OR(B124=0,B124="",V124=0),"",AF124&lt;&gt;"exclusion",MAX($W$9,$W$7,(-(SUMIFS(SF_Output!$T$1:$T$400,SF_Output!$AC$1:$AC$400,_xlfn.TEXTJOIN(",",TRUE,$B124:$E124),SF_Output!$Q$1:$Q$400,"monthly"))/V124)),AF124="exclusion",-(SUMIFS(SF_Output!$T$1:$T$400,SF_Output!$AC$1:$AC$400,_xlfn.TEXTJOIN(",",TRUE,$B124:$E124),SF_Output!$Q$1:$Q$400,"monthly"))/V124)</f>
        <v/>
      </c>
      <c r="X124" s="6" cm="1">
        <f t="array" ref="X124">IFERROR(_xlfn.IFS(V124=0,0,V124="","",W124=0,V124,OR(V124&lt;&gt;0,V124&lt;&gt;""),H124*I124),V124*(1-W124))</f>
        <v>0</v>
      </c>
      <c r="Z124" s="6">
        <f>IFERROR(IF(B124="","",SUMIFS(Billing_Fallout!H:H,Billing_Fallout!N:N,B124)),0)</f>
        <v>0</v>
      </c>
      <c r="AA124" s="6">
        <f t="shared" si="21"/>
        <v>0</v>
      </c>
      <c r="AB124" s="6">
        <f>IFERROR(IF(B124="","",SUMIFS(Billing_Fallout!J:J,Billing_Fallout!N:N,B124)),0)</f>
        <v>0</v>
      </c>
      <c r="AD124" s="6">
        <f t="shared" si="22"/>
        <v>0</v>
      </c>
      <c r="AF124" t="str">
        <f>IFERROR(INDEX(H_Tables!$B$1:$B$1500,MATCH(INDEX(SF_Output!$J$1:$J$400,MATCH(B124,SF_Output!$M$1:$M$400,0)),H_Tables!$A$1:$A$1500,0)),"")</f>
        <v>Exclusion</v>
      </c>
      <c r="AI124" s="119" t="str">
        <f t="shared" si="23"/>
        <v/>
      </c>
      <c r="AJ124" s="121">
        <f>IFERROR(INDEX(SF_Output!AD:AD,MATCH(_xlfn.TEXTJOIN(",",TRUE,B124:E124),SF_Output!AC1:AC400,0)),0.05)</f>
        <v>203</v>
      </c>
      <c r="AK124" t="str">
        <f>IF(SUMIFS(SF_Output!$F$1:$F$400,SF_Output!$AC$1:$AC$400,_xlfn.TEXTJOIN(",",TRUE,B124:E124))+SUMIFS(SF_Output!$G$1:$G$400,SF_Output!$AC$1:$AC$400,_xlfn.TEXTJOIN(",",TRUE,B124:E124))=0,"","PAP")</f>
        <v/>
      </c>
      <c r="AQ124" s="35"/>
      <c r="AR124" s="35" t="str" cm="1">
        <f t="array" ref="AR124">IFERROR(_xlfn.IFS(AND(E124*1=1,F124="Included"),"Change to Included",AND(E124*1=0,F124="Optional"),"Change to Optional",OR(B124="",F124="replaced"),""),"")</f>
        <v/>
      </c>
      <c r="AS124" s="35" t="str">
        <f t="shared" si="24"/>
        <v/>
      </c>
      <c r="AT124" s="35" t="str">
        <f t="shared" si="25"/>
        <v/>
      </c>
      <c r="AU124" s="35" t="str">
        <f t="shared" si="26"/>
        <v/>
      </c>
      <c r="AV124" s="35" t="str">
        <f t="shared" si="27"/>
        <v/>
      </c>
      <c r="AW124" s="35" t="str">
        <f t="shared" si="28"/>
        <v/>
      </c>
      <c r="AX124" s="35" t="str">
        <f t="shared" si="29"/>
        <v/>
      </c>
      <c r="AY124" s="35" t="str">
        <f t="shared" si="30"/>
        <v/>
      </c>
      <c r="AZ124" s="35" t="str">
        <f t="shared" si="31"/>
        <v/>
      </c>
      <c r="BA124" s="35" t="str">
        <f t="shared" si="32"/>
        <v/>
      </c>
      <c r="BB124" s="35" t="str">
        <f t="shared" si="33"/>
        <v/>
      </c>
      <c r="BC124" s="35"/>
      <c r="BE124" s="35">
        <f ca="1">INDEX(SF_Output!$AA$2:$AA$400,MATCH($B124,SF_Output!$M$2:$M$400,0))</f>
        <v>6</v>
      </c>
      <c r="BF124" s="35">
        <f ca="1">INDEX(SF_Output!$AB$2:$AB$400,MATCH($B124,SF_Output!$M$2:$M$400,0))</f>
        <v>1</v>
      </c>
    </row>
    <row r="125" spans="2:58" x14ac:dyDescent="0.25">
      <c r="B125" t="s">
        <v>2408</v>
      </c>
      <c r="C125" t="s">
        <v>2122</v>
      </c>
      <c r="D125" t="s">
        <v>2207</v>
      </c>
      <c r="E125" t="s">
        <v>2124</v>
      </c>
      <c r="F125" s="116" t="str">
        <f t="shared" si="17"/>
        <v>Included</v>
      </c>
      <c r="G125" t="str">
        <f>IF(B125="","",INDEX(SF_Output!$K$1:$K$400,MATCH(B125,SF_Output!$M$1:$M$400,0)))</f>
        <v>Card Processing Solutions (CPS)</v>
      </c>
      <c r="H125" cm="1">
        <f t="array" ref="H125">_xlfn.IFS(B125="","",(SUMIFS(SF_Output!$F$1:$F$400,SF_Output!$AC$1:$AC$400,_xlfn.TEXTJOIN(",",TRUE,B125:E125))+SUMIFS(SF_Output!$G$1:$G$400,SF_Output!$AC$1:$AC$400,_xlfn.TEXTJOIN(",",TRUE,B125:E125)))&lt;&gt;0,SF_Output!$Y$2,INDEX(SF_Output!$F$1:$F$400,MATCH(_xlfn.TEXTJOIN(",",TRUE,B125:E125),SF_Output!$AC$1:$AC$400,0))=0,INDEX(SF_Output!$R$1:$R$400,MATCH(_xlfn.TEXTJOIN(",",TRUE,B125:E125),SF_Output!$AC$1:$AC$400,0)))</f>
        <v>0</v>
      </c>
      <c r="I125" s="125" t="str">
        <f>IFERROR(IF(AND(H125&gt;1,H125&lt;&gt;""),ROUND(SUMIFS(SF_Output!$S$1:$S$400,SF_Output!$AC$1:$AC$400,_xlfn.TEXTJOIN(",",TRUE,B125:E125),SF_Output!$Q$1:$Q$400,"monthly")*(1-W125)/H125,4),""),"")</f>
        <v/>
      </c>
      <c r="J125" s="6">
        <f>IF(B125="","",SUMIFS(SF_Output!$S$1:$S$400,SF_Output!$AC$1:$AC$400,_xlfn.TEXTJOIN(",",TRUE,B125:E125),SF_Output!$Q$1:$Q$400,"One Time",SF_Output!$L$1:$L$400,"license fee")+SUMIFS(SF_Output!$S$1:$S$400,SF_Output!$AC$1:$AC$400,_xlfn.TEXTJOIN(",",TRUE,B125:E125),SF_Output!$Q$1:$Q$400,"One Time",SF_Output!$L$1:$L$400,"software license")+SUMIFS(SF_Output!$S$1:$S$400,SF_Output!$AC$1:$AC$400,_xlfn.TEXTJOIN(",",TRUE,B125:E125),SF_Output!$Q$1:$Q$400,"One Time",SF_Output!$L$1:$L$400,"hardware"))</f>
        <v>0</v>
      </c>
      <c r="K125" s="112" t="str">
        <f>IF(OR(B125=0,B125="",G125="hardware",J125=0),"",IF(AF125&lt;&gt;"exclusion",MAX(K$9,-((SUMIFS(SF_Output!$T$1:$T$400,SF_Output!$AC$1:$AC$400,_xlfn.TEXTJOIN(",",TRUE,$B125:$E125),SF_Output!$Q$1:$Q$400,"One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license"))/J125)))</f>
        <v/>
      </c>
      <c r="L125" s="6">
        <f t="shared" si="18"/>
        <v>0</v>
      </c>
      <c r="N125" s="6">
        <f>IF(B125="","",SUMIFS(SF_Output!$S$1:$S$400,SF_Output!$AC$1:$AC$400,_xlfn.TEXTJOIN(",",TRUE,B125:E125),SF_Output!$Q$1:$Q$400,"One Time",SF_Output!$L$1:$L$400,"professional service"))</f>
        <v>0</v>
      </c>
      <c r="O125" s="112" t="str">
        <f>IF(OR(B125=0,B125="",N125=0),"",IF(AF125&lt;&gt;"exclusion",MAX(O$9,-(SUMIFS(SF_Output!$T$1:$T$400,SF_Output!$AC$1:$AC$400,_xlfn.TEXTJOIN(",",TRUE,$B125:$E125),SF_Output!$Q$1:$Q$400,"One Time",SF_Output!$L$1:$L$400,"professional service"))/N125),-((SUMIFS(SF_Output!$T$1:$T$400,SF_Output!$AC$1:$AC$400,_xlfn.TEXTJOIN(",",TRUE,$B125:$E125),SF_Output!$Q$1:$Q$400,"One Time",SF_Output!$L$1:$L$400,"professional service")/N125))))</f>
        <v/>
      </c>
      <c r="P125" s="6">
        <f t="shared" si="19"/>
        <v>0</v>
      </c>
      <c r="R125" s="6">
        <f>IF(B125="","",SUMIFS(SF_Output!$S$1:$S$400,SF_Output!$AC$1:$AC$400,_xlfn.TEXTJOIN(",",TRUE,B125:E125),SF_Output!$Q$1:$Q$400,"yearly")+SUMIFS(SF_Output!$S$1:$S$400,SF_Output!$AC$1:$AC$400,_xlfn.TEXTJOIN(",",TRUE,B125:E125),SF_Output!$Q$1:$Q$400,"quarterly")*4)</f>
        <v>0</v>
      </c>
      <c r="S125" s="112" t="str">
        <f>IF(OR(B125=0,B125="",G125="hardware",R125=0),"",IF(AF125&lt;&gt;"exclusion",MAX(S$9,-(SUMIFS(SF_Output!$T$1:$T$400,SF_Output!$AC$1:$AC$400,_xlfn.TEXTJOIN(",",TRUE,$B125:$E125),SF_Output!$Q$1:$Q$400,"yearly"))/R125),-((SUMIFS(SF_Output!$T$1:$T$400,SF_Output!$AC$1:$AC$400,_xlfn.TEXTJOIN(",",TRUE,$B125:$E125),SF_Output!$Q$1:$Q$400,"yearly")/R125))))</f>
        <v/>
      </c>
      <c r="T125" s="6">
        <f t="shared" si="20"/>
        <v>0</v>
      </c>
      <c r="V125" s="6" cm="1">
        <f t="array" ref="V125">_xlfn.IFS(B125="","",AND(B125&lt;&gt;"",H125=SF_Output!$Y$2,SUMIFS(SF_Output!$T$1:$T$400,SF_Output!$AC$1:$AC$400,_xlfn.TEXTJOIN(",",TRUE,B125:E125),SF_Output!$Q$1:$Q$400,"monthly")=0),(SUMIFS(SF_Output!$F$1:$F$400,SF_Output!$AC$1:$AC$400,_xlfn.TEXTJOIN(",",TRUE,B125:E125),SF_Output!$Q$1:$Q$400,"monthly")+SUMIFS(SF_Output!$G$1:$G$400,SF_Output!$AC$1:$AC$400,_xlfn.TEXTJOIN(",",TRUE,B125:E125),SF_Output!$Q$1:$Q$400,"monthly"))*H125,AND(B125&lt;&gt;"",H125=SF_Output!$Y$2,SUMIFS(SF_Output!$T$1:$T$400,SF_Output!$AC$1:$AC$400,_xlfn.TEXTJOIN(",",TRUE,B125:E125),SF_Output!$Q$1:$Q$400,"monthly")&lt;&gt;0),SUMIFS(SF_Output!$S$1:$S$400,SF_Output!$AC$1:$AC$400,_xlfn.TEXTJOIN(",",TRUE,B125:E125),SF_Output!$Q$1:$Q$400,"monthly"),AND(B125&lt;&gt;"",H125&lt;&gt;SF_Output!$Y$2),SUMIFS(SF_Output!$S$1:$S$400,SF_Output!$AC$1:$AC$400,_xlfn.TEXTJOIN(",",TRUE,B125:E125),SF_Output!$Q$1:$Q$400,"monthly"))</f>
        <v>0</v>
      </c>
      <c r="W125" s="112" t="str" cm="1">
        <f t="array" ref="W125">_xlfn.IFS(OR(B125=0,B125="",V125=0),"",AF125&lt;&gt;"exclusion",MAX($W$9,$W$7,(-(SUMIFS(SF_Output!$T$1:$T$400,SF_Output!$AC$1:$AC$400,_xlfn.TEXTJOIN(",",TRUE,$B125:$E125),SF_Output!$Q$1:$Q$400,"monthly"))/V125)),AF125="exclusion",-(SUMIFS(SF_Output!$T$1:$T$400,SF_Output!$AC$1:$AC$400,_xlfn.TEXTJOIN(",",TRUE,$B125:$E125),SF_Output!$Q$1:$Q$400,"monthly"))/V125)</f>
        <v/>
      </c>
      <c r="X125" s="6" cm="1">
        <f t="array" ref="X125">IFERROR(_xlfn.IFS(V125=0,0,V125="","",W125=0,V125,OR(V125&lt;&gt;0,V125&lt;&gt;""),H125*I125),V125*(1-W125))</f>
        <v>0</v>
      </c>
      <c r="Z125" s="6">
        <f>IFERROR(IF(B125="","",SUMIFS(Billing_Fallout!H:H,Billing_Fallout!N:N,B125)),0)</f>
        <v>0</v>
      </c>
      <c r="AA125" s="6">
        <f t="shared" si="21"/>
        <v>0</v>
      </c>
      <c r="AB125" s="6">
        <f>IFERROR(IF(B125="","",SUMIFS(Billing_Fallout!J:J,Billing_Fallout!N:N,B125)),0)</f>
        <v>0</v>
      </c>
      <c r="AD125" s="6">
        <f t="shared" si="22"/>
        <v>0</v>
      </c>
      <c r="AF125" t="str">
        <f>IFERROR(INDEX(H_Tables!$B$1:$B$1500,MATCH(INDEX(SF_Output!$J$1:$J$400,MATCH(B125,SF_Output!$M$1:$M$400,0)),H_Tables!$A$1:$A$1500,0)),"")</f>
        <v>Exclusion</v>
      </c>
      <c r="AI125" s="119" t="str">
        <f t="shared" si="23"/>
        <v/>
      </c>
      <c r="AJ125" s="121">
        <f>IFERROR(INDEX(SF_Output!AD:AD,MATCH(_xlfn.TEXTJOIN(",",TRUE,B125:E125),SF_Output!AC1:AC400,0)),0.05)</f>
        <v>204</v>
      </c>
      <c r="AK125" t="str">
        <f>IF(SUMIFS(SF_Output!$F$1:$F$400,SF_Output!$AC$1:$AC$400,_xlfn.TEXTJOIN(",",TRUE,B125:E125))+SUMIFS(SF_Output!$G$1:$G$400,SF_Output!$AC$1:$AC$400,_xlfn.TEXTJOIN(",",TRUE,B125:E125))=0,"","PAP")</f>
        <v/>
      </c>
      <c r="AQ125" s="35"/>
      <c r="AR125" s="35" t="str" cm="1">
        <f t="array" ref="AR125">IFERROR(_xlfn.IFS(AND(E125*1=1,F125="Included"),"Change to Included",AND(E125*1=0,F125="Optional"),"Change to Optional",OR(B125="",F125="replaced"),""),"")</f>
        <v/>
      </c>
      <c r="AS125" s="35" t="str">
        <f t="shared" si="24"/>
        <v/>
      </c>
      <c r="AT125" s="35" t="str">
        <f t="shared" si="25"/>
        <v/>
      </c>
      <c r="AU125" s="35" t="str">
        <f t="shared" si="26"/>
        <v/>
      </c>
      <c r="AV125" s="35" t="str">
        <f t="shared" si="27"/>
        <v/>
      </c>
      <c r="AW125" s="35" t="str">
        <f t="shared" si="28"/>
        <v/>
      </c>
      <c r="AX125" s="35" t="str">
        <f t="shared" si="29"/>
        <v/>
      </c>
      <c r="AY125" s="35" t="str">
        <f t="shared" si="30"/>
        <v/>
      </c>
      <c r="AZ125" s="35" t="str">
        <f t="shared" si="31"/>
        <v/>
      </c>
      <c r="BA125" s="35" t="str">
        <f t="shared" si="32"/>
        <v/>
      </c>
      <c r="BB125" s="35" t="str">
        <f t="shared" si="33"/>
        <v/>
      </c>
      <c r="BC125" s="35"/>
      <c r="BE125" s="35">
        <f ca="1">INDEX(SF_Output!$AA$2:$AA$400,MATCH($B125,SF_Output!$M$2:$M$400,0))</f>
        <v>6</v>
      </c>
      <c r="BF125" s="35">
        <f ca="1">INDEX(SF_Output!$AB$2:$AB$400,MATCH($B125,SF_Output!$M$2:$M$400,0))</f>
        <v>1</v>
      </c>
    </row>
    <row r="126" spans="2:58" x14ac:dyDescent="0.25">
      <c r="B126" t="s">
        <v>2410</v>
      </c>
      <c r="C126" t="s">
        <v>2122</v>
      </c>
      <c r="D126" t="s">
        <v>2207</v>
      </c>
      <c r="E126" t="s">
        <v>2124</v>
      </c>
      <c r="F126" s="116" t="str">
        <f t="shared" si="17"/>
        <v>Included</v>
      </c>
      <c r="G126" t="str">
        <f>IF(B126="","",INDEX(SF_Output!$K$1:$K$400,MATCH(B126,SF_Output!$M$1:$M$400,0)))</f>
        <v>Card Processing Solutions (CPS)</v>
      </c>
      <c r="H126" cm="1">
        <f t="array" ref="H126">_xlfn.IFS(B126="","",(SUMIFS(SF_Output!$F$1:$F$400,SF_Output!$AC$1:$AC$400,_xlfn.TEXTJOIN(",",TRUE,B126:E126))+SUMIFS(SF_Output!$G$1:$G$400,SF_Output!$AC$1:$AC$400,_xlfn.TEXTJOIN(",",TRUE,B126:E126)))&lt;&gt;0,SF_Output!$Y$2,INDEX(SF_Output!$F$1:$F$400,MATCH(_xlfn.TEXTJOIN(",",TRUE,B126:E126),SF_Output!$AC$1:$AC$400,0))=0,INDEX(SF_Output!$R$1:$R$400,MATCH(_xlfn.TEXTJOIN(",",TRUE,B126:E126),SF_Output!$AC$1:$AC$400,0)))</f>
        <v>1</v>
      </c>
      <c r="I126" s="125" t="str">
        <f>IFERROR(IF(AND(H126&gt;1,H126&lt;&gt;""),ROUND(SUMIFS(SF_Output!$S$1:$S$400,SF_Output!$AC$1:$AC$400,_xlfn.TEXTJOIN(",",TRUE,B126:E126),SF_Output!$Q$1:$Q$400,"monthly")*(1-W126)/H126,4),""),"")</f>
        <v/>
      </c>
      <c r="J126" s="6">
        <f>IF(B126="","",SUMIFS(SF_Output!$S$1:$S$400,SF_Output!$AC$1:$AC$400,_xlfn.TEXTJOIN(",",TRUE,B126:E126),SF_Output!$Q$1:$Q$400,"One Time",SF_Output!$L$1:$L$400,"license fee")+SUMIFS(SF_Output!$S$1:$S$400,SF_Output!$AC$1:$AC$400,_xlfn.TEXTJOIN(",",TRUE,B126:E126),SF_Output!$Q$1:$Q$400,"One Time",SF_Output!$L$1:$L$400,"software license")+SUMIFS(SF_Output!$S$1:$S$400,SF_Output!$AC$1:$AC$400,_xlfn.TEXTJOIN(",",TRUE,B126:E126),SF_Output!$Q$1:$Q$400,"One Time",SF_Output!$L$1:$L$400,"hardware"))</f>
        <v>0</v>
      </c>
      <c r="K126" s="112" t="str">
        <f>IF(OR(B126=0,B126="",G126="hardware",J126=0),"",IF(AF126&lt;&gt;"exclusion",MAX(K$9,-((SUMIFS(SF_Output!$T$1:$T$400,SF_Output!$AC$1:$AC$400,_xlfn.TEXTJOIN(",",TRUE,$B126:$E126),SF_Output!$Q$1:$Q$400,"One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license"))/J126)))</f>
        <v/>
      </c>
      <c r="L126" s="6">
        <f t="shared" si="18"/>
        <v>0</v>
      </c>
      <c r="N126" s="6">
        <f>IF(B126="","",SUMIFS(SF_Output!$S$1:$S$400,SF_Output!$AC$1:$AC$400,_xlfn.TEXTJOIN(",",TRUE,B126:E126),SF_Output!$Q$1:$Q$400,"One Time",SF_Output!$L$1:$L$400,"professional service"))</f>
        <v>1500</v>
      </c>
      <c r="O126" s="112">
        <f>IF(OR(B126=0,B126="",N126=0),"",IF(AF126&lt;&gt;"exclusion",MAX(O$9,-(SUMIFS(SF_Output!$T$1:$T$400,SF_Output!$AC$1:$AC$400,_xlfn.TEXTJOIN(",",TRUE,$B126:$E126),SF_Output!$Q$1:$Q$400,"One Time",SF_Output!$L$1:$L$400,"professional service"))/N126),-((SUMIFS(SF_Output!$T$1:$T$400,SF_Output!$AC$1:$AC$400,_xlfn.TEXTJOIN(",",TRUE,$B126:$E126),SF_Output!$Q$1:$Q$400,"One Time",SF_Output!$L$1:$L$400,"professional service")/N126))))</f>
        <v>1</v>
      </c>
      <c r="P126" s="6">
        <f t="shared" si="19"/>
        <v>0</v>
      </c>
      <c r="R126" s="6">
        <f>IF(B126="","",SUMIFS(SF_Output!$S$1:$S$400,SF_Output!$AC$1:$AC$400,_xlfn.TEXTJOIN(",",TRUE,B126:E126),SF_Output!$Q$1:$Q$400,"yearly")+SUMIFS(SF_Output!$S$1:$S$400,SF_Output!$AC$1:$AC$400,_xlfn.TEXTJOIN(",",TRUE,B126:E126),SF_Output!$Q$1:$Q$400,"quarterly")*4)</f>
        <v>0</v>
      </c>
      <c r="S126" s="112" t="str">
        <f>IF(OR(B126=0,B126="",G126="hardware",R126=0),"",IF(AF126&lt;&gt;"exclusion",MAX(S$9,-(SUMIFS(SF_Output!$T$1:$T$400,SF_Output!$AC$1:$AC$400,_xlfn.TEXTJOIN(",",TRUE,$B126:$E126),SF_Output!$Q$1:$Q$400,"yearly"))/R126),-((SUMIFS(SF_Output!$T$1:$T$400,SF_Output!$AC$1:$AC$400,_xlfn.TEXTJOIN(",",TRUE,$B126:$E126),SF_Output!$Q$1:$Q$400,"yearly")/R126))))</f>
        <v/>
      </c>
      <c r="T126" s="6">
        <f t="shared" si="20"/>
        <v>0</v>
      </c>
      <c r="V126" s="6" cm="1">
        <f t="array" ref="V126">_xlfn.IFS(B126="","",AND(B126&lt;&gt;"",H126=SF_Output!$Y$2,SUMIFS(SF_Output!$T$1:$T$400,SF_Output!$AC$1:$AC$400,_xlfn.TEXTJOIN(",",TRUE,B126:E126),SF_Output!$Q$1:$Q$400,"monthly")=0),(SUMIFS(SF_Output!$F$1:$F$400,SF_Output!$AC$1:$AC$400,_xlfn.TEXTJOIN(",",TRUE,B126:E126),SF_Output!$Q$1:$Q$400,"monthly")+SUMIFS(SF_Output!$G$1:$G$400,SF_Output!$AC$1:$AC$400,_xlfn.TEXTJOIN(",",TRUE,B126:E126),SF_Output!$Q$1:$Q$400,"monthly"))*H126,AND(B126&lt;&gt;"",H126=SF_Output!$Y$2,SUMIFS(SF_Output!$T$1:$T$400,SF_Output!$AC$1:$AC$400,_xlfn.TEXTJOIN(",",TRUE,B126:E126),SF_Output!$Q$1:$Q$400,"monthly")&lt;&gt;0),SUMIFS(SF_Output!$S$1:$S$400,SF_Output!$AC$1:$AC$400,_xlfn.TEXTJOIN(",",TRUE,B126:E126),SF_Output!$Q$1:$Q$400,"monthly"),AND(B126&lt;&gt;"",H126&lt;&gt;SF_Output!$Y$2),SUMIFS(SF_Output!$S$1:$S$400,SF_Output!$AC$1:$AC$400,_xlfn.TEXTJOIN(",",TRUE,B126:E126),SF_Output!$Q$1:$Q$400,"monthly"))</f>
        <v>150</v>
      </c>
      <c r="W126" s="112" cm="1">
        <f t="array" ref="W126">_xlfn.IFS(OR(B126=0,B126="",V126=0),"",AF126&lt;&gt;"exclusion",MAX($W$9,$W$7,(-(SUMIFS(SF_Output!$T$1:$T$400,SF_Output!$AC$1:$AC$400,_xlfn.TEXTJOIN(",",TRUE,$B126:$E126),SF_Output!$Q$1:$Q$400,"monthly"))/V126)),AF126="exclusion",-(SUMIFS(SF_Output!$T$1:$T$400,SF_Output!$AC$1:$AC$400,_xlfn.TEXTJOIN(",",TRUE,$B126:$E126),SF_Output!$Q$1:$Q$400,"monthly"))/V126)</f>
        <v>1</v>
      </c>
      <c r="X126" s="6" cm="1">
        <f t="array" ref="X126">IFERROR(_xlfn.IFS(V126=0,0,V126="","",W126=0,V126,OR(V126&lt;&gt;0,V126&lt;&gt;""),H126*I126),V126*(1-W126))</f>
        <v>0</v>
      </c>
      <c r="Z126" s="6">
        <f>IFERROR(IF(B126="","",SUMIFS(Billing_Fallout!H:H,Billing_Fallout!N:N,B126)),0)</f>
        <v>0</v>
      </c>
      <c r="AA126" s="6">
        <f t="shared" si="21"/>
        <v>0</v>
      </c>
      <c r="AB126" s="6">
        <f>IFERROR(IF(B126="","",SUMIFS(Billing_Fallout!J:J,Billing_Fallout!N:N,B126)),0)</f>
        <v>0</v>
      </c>
      <c r="AD126" s="6">
        <f t="shared" si="22"/>
        <v>0</v>
      </c>
      <c r="AF126" t="str">
        <f>IFERROR(INDEX(H_Tables!$B$1:$B$1500,MATCH(INDEX(SF_Output!$J$1:$J$400,MATCH(B126,SF_Output!$M$1:$M$400,0)),H_Tables!$A$1:$A$1500,0)),"")</f>
        <v>Exclusion</v>
      </c>
      <c r="AI126" s="119" t="str">
        <f t="shared" si="23"/>
        <v/>
      </c>
      <c r="AJ126" s="121">
        <f>IFERROR(INDEX(SF_Output!AD:AD,MATCH(_xlfn.TEXTJOIN(",",TRUE,B126:E126),SF_Output!AC1:AC400,0)),0.05)</f>
        <v>205</v>
      </c>
      <c r="AK126" t="str">
        <f>IF(SUMIFS(SF_Output!$F$1:$F$400,SF_Output!$AC$1:$AC$400,_xlfn.TEXTJOIN(",",TRUE,B126:E126))+SUMIFS(SF_Output!$G$1:$G$400,SF_Output!$AC$1:$AC$400,_xlfn.TEXTJOIN(",",TRUE,B126:E126))=0,"","PAP")</f>
        <v/>
      </c>
      <c r="AQ126" s="35"/>
      <c r="AR126" s="35" t="str" cm="1">
        <f t="array" ref="AR126">IFERROR(_xlfn.IFS(AND(E126*1=1,F126="Included"),"Change to Included",AND(E126*1=0,F126="Optional"),"Change to Optional",OR(B126="",F126="replaced"),""),"")</f>
        <v/>
      </c>
      <c r="AS126" s="35" t="str">
        <f t="shared" si="24"/>
        <v/>
      </c>
      <c r="AT126" s="35" t="str">
        <f t="shared" si="25"/>
        <v/>
      </c>
      <c r="AU126" s="35" t="str">
        <f t="shared" si="26"/>
        <v/>
      </c>
      <c r="AV126" s="35" t="str">
        <f t="shared" si="27"/>
        <v/>
      </c>
      <c r="AW126" s="35" t="str">
        <f t="shared" si="28"/>
        <v/>
      </c>
      <c r="AX126" s="35" t="str">
        <f t="shared" si="29"/>
        <v/>
      </c>
      <c r="AY126" s="35" t="str">
        <f t="shared" si="30"/>
        <v/>
      </c>
      <c r="AZ126" s="35" t="str">
        <f t="shared" si="31"/>
        <v/>
      </c>
      <c r="BA126" s="35" t="str">
        <f t="shared" si="32"/>
        <v/>
      </c>
      <c r="BB126" s="35" t="str">
        <f t="shared" si="33"/>
        <v/>
      </c>
      <c r="BC126" s="35"/>
      <c r="BE126" s="35">
        <f ca="1">INDEX(SF_Output!$AA$2:$AA$400,MATCH($B126,SF_Output!$M$2:$M$400,0))</f>
        <v>6</v>
      </c>
      <c r="BF126" s="35">
        <f ca="1">INDEX(SF_Output!$AB$2:$AB$400,MATCH($B126,SF_Output!$M$2:$M$400,0))</f>
        <v>1</v>
      </c>
    </row>
    <row r="127" spans="2:58" x14ac:dyDescent="0.25">
      <c r="B127" t="s">
        <v>2413</v>
      </c>
      <c r="C127" t="s">
        <v>2122</v>
      </c>
      <c r="D127" t="s">
        <v>2207</v>
      </c>
      <c r="E127" t="s">
        <v>2124</v>
      </c>
      <c r="F127" s="116" t="str">
        <f t="shared" si="17"/>
        <v>Included</v>
      </c>
      <c r="G127" t="str">
        <f>IF(B127="","",INDEX(SF_Output!$K$1:$K$400,MATCH(B127,SF_Output!$M$1:$M$400,0)))</f>
        <v>Card Processing Solutions (CPS)</v>
      </c>
      <c r="H127" cm="1">
        <f t="array" ref="H127">_xlfn.IFS(B127="","",(SUMIFS(SF_Output!$F$1:$F$400,SF_Output!$AC$1:$AC$400,_xlfn.TEXTJOIN(",",TRUE,B127:E127))+SUMIFS(SF_Output!$G$1:$G$400,SF_Output!$AC$1:$AC$400,_xlfn.TEXTJOIN(",",TRUE,B127:E127)))&lt;&gt;0,SF_Output!$Y$2,INDEX(SF_Output!$F$1:$F$400,MATCH(_xlfn.TEXTJOIN(",",TRUE,B127:E127),SF_Output!$AC$1:$AC$400,0))=0,INDEX(SF_Output!$R$1:$R$400,MATCH(_xlfn.TEXTJOIN(",",TRUE,B127:E127),SF_Output!$AC$1:$AC$400,0)))</f>
        <v>0</v>
      </c>
      <c r="I127" s="125" t="str">
        <f>IFERROR(IF(AND(H127&gt;1,H127&lt;&gt;""),ROUND(SUMIFS(SF_Output!$S$1:$S$400,SF_Output!$AC$1:$AC$400,_xlfn.TEXTJOIN(",",TRUE,B127:E127),SF_Output!$Q$1:$Q$400,"monthly")*(1-W127)/H127,4),""),"")</f>
        <v/>
      </c>
      <c r="J127" s="6">
        <f>IF(B127="","",SUMIFS(SF_Output!$S$1:$S$400,SF_Output!$AC$1:$AC$400,_xlfn.TEXTJOIN(",",TRUE,B127:E127),SF_Output!$Q$1:$Q$400,"One Time",SF_Output!$L$1:$L$400,"license fee")+SUMIFS(SF_Output!$S$1:$S$400,SF_Output!$AC$1:$AC$400,_xlfn.TEXTJOIN(",",TRUE,B127:E127),SF_Output!$Q$1:$Q$400,"One Time",SF_Output!$L$1:$L$400,"software license")+SUMIFS(SF_Output!$S$1:$S$400,SF_Output!$AC$1:$AC$400,_xlfn.TEXTJOIN(",",TRUE,B127:E127),SF_Output!$Q$1:$Q$400,"One Time",SF_Output!$L$1:$L$400,"hardware"))</f>
        <v>0</v>
      </c>
      <c r="K127" s="112" t="str">
        <f>IF(OR(B127=0,B127="",G127="hardware",J127=0),"",IF(AF127&lt;&gt;"exclusion",MAX(K$9,-((SUMIFS(SF_Output!$T$1:$T$400,SF_Output!$AC$1:$AC$400,_xlfn.TEXTJOIN(",",TRUE,$B127:$E127),SF_Output!$Q$1:$Q$400,"One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license"))/J127)))</f>
        <v/>
      </c>
      <c r="L127" s="6">
        <f t="shared" si="18"/>
        <v>0</v>
      </c>
      <c r="N127" s="6">
        <f>IF(B127="","",SUMIFS(SF_Output!$S$1:$S$400,SF_Output!$AC$1:$AC$400,_xlfn.TEXTJOIN(",",TRUE,B127:E127),SF_Output!$Q$1:$Q$400,"One Time",SF_Output!$L$1:$L$400,"professional service"))</f>
        <v>0</v>
      </c>
      <c r="O127" s="112" t="str">
        <f>IF(OR(B127=0,B127="",N127=0),"",IF(AF127&lt;&gt;"exclusion",MAX(O$9,-(SUMIFS(SF_Output!$T$1:$T$400,SF_Output!$AC$1:$AC$400,_xlfn.TEXTJOIN(",",TRUE,$B127:$E127),SF_Output!$Q$1:$Q$400,"One Time",SF_Output!$L$1:$L$400,"professional service"))/N127),-((SUMIFS(SF_Output!$T$1:$T$400,SF_Output!$AC$1:$AC$400,_xlfn.TEXTJOIN(",",TRUE,$B127:$E127),SF_Output!$Q$1:$Q$400,"One Time",SF_Output!$L$1:$L$400,"professional service")/N127))))</f>
        <v/>
      </c>
      <c r="P127" s="6">
        <f t="shared" si="19"/>
        <v>0</v>
      </c>
      <c r="R127" s="6">
        <f>IF(B127="","",SUMIFS(SF_Output!$S$1:$S$400,SF_Output!$AC$1:$AC$400,_xlfn.TEXTJOIN(",",TRUE,B127:E127),SF_Output!$Q$1:$Q$400,"yearly")+SUMIFS(SF_Output!$S$1:$S$400,SF_Output!$AC$1:$AC$400,_xlfn.TEXTJOIN(",",TRUE,B127:E127),SF_Output!$Q$1:$Q$400,"quarterly")*4)</f>
        <v>0</v>
      </c>
      <c r="S127" s="112" t="str">
        <f>IF(OR(B127=0,B127="",G127="hardware",R127=0),"",IF(AF127&lt;&gt;"exclusion",MAX(S$9,-(SUMIFS(SF_Output!$T$1:$T$400,SF_Output!$AC$1:$AC$400,_xlfn.TEXTJOIN(",",TRUE,$B127:$E127),SF_Output!$Q$1:$Q$400,"yearly"))/R127),-((SUMIFS(SF_Output!$T$1:$T$400,SF_Output!$AC$1:$AC$400,_xlfn.TEXTJOIN(",",TRUE,$B127:$E127),SF_Output!$Q$1:$Q$400,"yearly")/R127))))</f>
        <v/>
      </c>
      <c r="T127" s="6">
        <f t="shared" si="20"/>
        <v>0</v>
      </c>
      <c r="V127" s="6" cm="1">
        <f t="array" ref="V127">_xlfn.IFS(B127="","",AND(B127&lt;&gt;"",H127=SF_Output!$Y$2,SUMIFS(SF_Output!$T$1:$T$400,SF_Output!$AC$1:$AC$400,_xlfn.TEXTJOIN(",",TRUE,B127:E127),SF_Output!$Q$1:$Q$400,"monthly")=0),(SUMIFS(SF_Output!$F$1:$F$400,SF_Output!$AC$1:$AC$400,_xlfn.TEXTJOIN(",",TRUE,B127:E127),SF_Output!$Q$1:$Q$400,"monthly")+SUMIFS(SF_Output!$G$1:$G$400,SF_Output!$AC$1:$AC$400,_xlfn.TEXTJOIN(",",TRUE,B127:E127),SF_Output!$Q$1:$Q$400,"monthly"))*H127,AND(B127&lt;&gt;"",H127=SF_Output!$Y$2,SUMIFS(SF_Output!$T$1:$T$400,SF_Output!$AC$1:$AC$400,_xlfn.TEXTJOIN(",",TRUE,B127:E127),SF_Output!$Q$1:$Q$400,"monthly")&lt;&gt;0),SUMIFS(SF_Output!$S$1:$S$400,SF_Output!$AC$1:$AC$400,_xlfn.TEXTJOIN(",",TRUE,B127:E127),SF_Output!$Q$1:$Q$400,"monthly"),AND(B127&lt;&gt;"",H127&lt;&gt;SF_Output!$Y$2),SUMIFS(SF_Output!$S$1:$S$400,SF_Output!$AC$1:$AC$400,_xlfn.TEXTJOIN(",",TRUE,B127:E127),SF_Output!$Q$1:$Q$400,"monthly"))</f>
        <v>0</v>
      </c>
      <c r="W127" s="112" t="str" cm="1">
        <f t="array" ref="W127">_xlfn.IFS(OR(B127=0,B127="",V127=0),"",AF127&lt;&gt;"exclusion",MAX($W$9,$W$7,(-(SUMIFS(SF_Output!$T$1:$T$400,SF_Output!$AC$1:$AC$400,_xlfn.TEXTJOIN(",",TRUE,$B127:$E127),SF_Output!$Q$1:$Q$400,"monthly"))/V127)),AF127="exclusion",-(SUMIFS(SF_Output!$T$1:$T$400,SF_Output!$AC$1:$AC$400,_xlfn.TEXTJOIN(",",TRUE,$B127:$E127),SF_Output!$Q$1:$Q$400,"monthly"))/V127)</f>
        <v/>
      </c>
      <c r="X127" s="6" cm="1">
        <f t="array" ref="X127">IFERROR(_xlfn.IFS(V127=0,0,V127="","",W127=0,V127,OR(V127&lt;&gt;0,V127&lt;&gt;""),H127*I127),V127*(1-W127))</f>
        <v>0</v>
      </c>
      <c r="Z127" s="6">
        <f>IFERROR(IF(B127="","",SUMIFS(Billing_Fallout!H:H,Billing_Fallout!N:N,B127)),0)</f>
        <v>0</v>
      </c>
      <c r="AA127" s="6">
        <f t="shared" si="21"/>
        <v>0</v>
      </c>
      <c r="AB127" s="6">
        <f>IFERROR(IF(B127="","",SUMIFS(Billing_Fallout!J:J,Billing_Fallout!N:N,B127)),0)</f>
        <v>0</v>
      </c>
      <c r="AD127" s="6">
        <f t="shared" si="22"/>
        <v>0</v>
      </c>
      <c r="AF127" t="str">
        <f>IFERROR(INDEX(H_Tables!$B$1:$B$1500,MATCH(INDEX(SF_Output!$J$1:$J$400,MATCH(B127,SF_Output!$M$1:$M$400,0)),H_Tables!$A$1:$A$1500,0)),"")</f>
        <v>Exclusion</v>
      </c>
      <c r="AI127" s="119" t="str">
        <f t="shared" si="23"/>
        <v/>
      </c>
      <c r="AJ127" s="121">
        <f>IFERROR(INDEX(SF_Output!AD:AD,MATCH(_xlfn.TEXTJOIN(",",TRUE,B127:E127),SF_Output!AC1:AC400,0)),0.05)</f>
        <v>207</v>
      </c>
      <c r="AK127" t="str">
        <f>IF(SUMIFS(SF_Output!$F$1:$F$400,SF_Output!$AC$1:$AC$400,_xlfn.TEXTJOIN(",",TRUE,B127:E127))+SUMIFS(SF_Output!$G$1:$G$400,SF_Output!$AC$1:$AC$400,_xlfn.TEXTJOIN(",",TRUE,B127:E127))=0,"","PAP")</f>
        <v/>
      </c>
      <c r="AQ127" s="35"/>
      <c r="AR127" s="35" t="str" cm="1">
        <f t="array" ref="AR127">IFERROR(_xlfn.IFS(AND(E127*1=1,F127="Included"),"Change to Included",AND(E127*1=0,F127="Optional"),"Change to Optional",OR(B127="",F127="replaced"),""),"")</f>
        <v/>
      </c>
      <c r="AS127" s="35" t="str">
        <f t="shared" si="24"/>
        <v/>
      </c>
      <c r="AT127" s="35" t="str">
        <f t="shared" si="25"/>
        <v/>
      </c>
      <c r="AU127" s="35" t="str">
        <f t="shared" si="26"/>
        <v/>
      </c>
      <c r="AV127" s="35" t="str">
        <f t="shared" si="27"/>
        <v/>
      </c>
      <c r="AW127" s="35" t="str">
        <f t="shared" si="28"/>
        <v/>
      </c>
      <c r="AX127" s="35" t="str">
        <f t="shared" si="29"/>
        <v/>
      </c>
      <c r="AY127" s="35" t="str">
        <f t="shared" si="30"/>
        <v/>
      </c>
      <c r="AZ127" s="35" t="str">
        <f t="shared" si="31"/>
        <v/>
      </c>
      <c r="BA127" s="35" t="str">
        <f t="shared" si="32"/>
        <v/>
      </c>
      <c r="BB127" s="35" t="str">
        <f t="shared" si="33"/>
        <v/>
      </c>
      <c r="BC127" s="35"/>
      <c r="BE127" s="35">
        <f ca="1">INDEX(SF_Output!$AA$2:$AA$400,MATCH($B127,SF_Output!$M$2:$M$400,0))</f>
        <v>6</v>
      </c>
      <c r="BF127" s="35">
        <f ca="1">INDEX(SF_Output!$AB$2:$AB$400,MATCH($B127,SF_Output!$M$2:$M$400,0))</f>
        <v>1</v>
      </c>
    </row>
    <row r="128" spans="2:58" x14ac:dyDescent="0.25">
      <c r="B128" t="s">
        <v>2415</v>
      </c>
      <c r="C128" t="s">
        <v>2122</v>
      </c>
      <c r="D128" t="s">
        <v>2207</v>
      </c>
      <c r="E128" t="s">
        <v>2124</v>
      </c>
      <c r="F128" s="116" t="str">
        <f t="shared" si="17"/>
        <v>Included</v>
      </c>
      <c r="G128" t="str">
        <f>IF(B128="","",INDEX(SF_Output!$K$1:$K$400,MATCH(B128,SF_Output!$M$1:$M$400,0)))</f>
        <v>Card Processing Solutions (CPS)</v>
      </c>
      <c r="H128" cm="1">
        <f t="array" ref="H128">_xlfn.IFS(B128="","",(SUMIFS(SF_Output!$F$1:$F$400,SF_Output!$AC$1:$AC$400,_xlfn.TEXTJOIN(",",TRUE,B128:E128))+SUMIFS(SF_Output!$G$1:$G$400,SF_Output!$AC$1:$AC$400,_xlfn.TEXTJOIN(",",TRUE,B128:E128)))&lt;&gt;0,SF_Output!$Y$2,INDEX(SF_Output!$F$1:$F$400,MATCH(_xlfn.TEXTJOIN(",",TRUE,B128:E128),SF_Output!$AC$1:$AC$400,0))=0,INDEX(SF_Output!$R$1:$R$400,MATCH(_xlfn.TEXTJOIN(",",TRUE,B128:E128),SF_Output!$AC$1:$AC$400,0)))</f>
        <v>1</v>
      </c>
      <c r="I128" s="125" t="str">
        <f>IFERROR(IF(AND(H128&gt;1,H128&lt;&gt;""),ROUND(SUMIFS(SF_Output!$S$1:$S$400,SF_Output!$AC$1:$AC$400,_xlfn.TEXTJOIN(",",TRUE,B128:E128),SF_Output!$Q$1:$Q$400,"monthly")*(1-W128)/H128,4),""),"")</f>
        <v/>
      </c>
      <c r="J128" s="6">
        <f>IF(B128="","",SUMIFS(SF_Output!$S$1:$S$400,SF_Output!$AC$1:$AC$400,_xlfn.TEXTJOIN(",",TRUE,B128:E128),SF_Output!$Q$1:$Q$400,"One Time",SF_Output!$L$1:$L$400,"license fee")+SUMIFS(SF_Output!$S$1:$S$400,SF_Output!$AC$1:$AC$400,_xlfn.TEXTJOIN(",",TRUE,B128:E128),SF_Output!$Q$1:$Q$400,"One Time",SF_Output!$L$1:$L$400,"software license")+SUMIFS(SF_Output!$S$1:$S$400,SF_Output!$AC$1:$AC$400,_xlfn.TEXTJOIN(",",TRUE,B128:E128),SF_Output!$Q$1:$Q$400,"One Time",SF_Output!$L$1:$L$400,"hardware"))</f>
        <v>0</v>
      </c>
      <c r="K128" s="112" t="str">
        <f>IF(OR(B128=0,B128="",G128="hardware",J128=0),"",IF(AF128&lt;&gt;"exclusion",MAX(K$9,-((SUMIFS(SF_Output!$T$1:$T$400,SF_Output!$AC$1:$AC$400,_xlfn.TEXTJOIN(",",TRUE,$B128:$E128),SF_Output!$Q$1:$Q$400,"One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license"))/J128)))</f>
        <v/>
      </c>
      <c r="L128" s="6">
        <f t="shared" si="18"/>
        <v>0</v>
      </c>
      <c r="N128" s="6">
        <f>IF(B128="","",SUMIFS(SF_Output!$S$1:$S$400,SF_Output!$AC$1:$AC$400,_xlfn.TEXTJOIN(",",TRUE,B128:E128),SF_Output!$Q$1:$Q$400,"One Time",SF_Output!$L$1:$L$400,"professional service"))</f>
        <v>1500</v>
      </c>
      <c r="O128" s="112">
        <f>IF(OR(B128=0,B128="",N128=0),"",IF(AF128&lt;&gt;"exclusion",MAX(O$9,-(SUMIFS(SF_Output!$T$1:$T$400,SF_Output!$AC$1:$AC$400,_xlfn.TEXTJOIN(",",TRUE,$B128:$E128),SF_Output!$Q$1:$Q$400,"One Time",SF_Output!$L$1:$L$400,"professional service"))/N128),-((SUMIFS(SF_Output!$T$1:$T$400,SF_Output!$AC$1:$AC$400,_xlfn.TEXTJOIN(",",TRUE,$B128:$E128),SF_Output!$Q$1:$Q$400,"One Time",SF_Output!$L$1:$L$400,"professional service")/N128))))</f>
        <v>1</v>
      </c>
      <c r="P128" s="6">
        <f t="shared" si="19"/>
        <v>0</v>
      </c>
      <c r="R128" s="6">
        <f>IF(B128="","",SUMIFS(SF_Output!$S$1:$S$400,SF_Output!$AC$1:$AC$400,_xlfn.TEXTJOIN(",",TRUE,B128:E128),SF_Output!$Q$1:$Q$400,"yearly")+SUMIFS(SF_Output!$S$1:$S$400,SF_Output!$AC$1:$AC$400,_xlfn.TEXTJOIN(",",TRUE,B128:E128),SF_Output!$Q$1:$Q$400,"quarterly")*4)</f>
        <v>0</v>
      </c>
      <c r="S128" s="112" t="str">
        <f>IF(OR(B128=0,B128="",G128="hardware",R128=0),"",IF(AF128&lt;&gt;"exclusion",MAX(S$9,-(SUMIFS(SF_Output!$T$1:$T$400,SF_Output!$AC$1:$AC$400,_xlfn.TEXTJOIN(",",TRUE,$B128:$E128),SF_Output!$Q$1:$Q$400,"yearly"))/R128),-((SUMIFS(SF_Output!$T$1:$T$400,SF_Output!$AC$1:$AC$400,_xlfn.TEXTJOIN(",",TRUE,$B128:$E128),SF_Output!$Q$1:$Q$400,"yearly")/R128))))</f>
        <v/>
      </c>
      <c r="T128" s="6">
        <f t="shared" si="20"/>
        <v>0</v>
      </c>
      <c r="V128" s="6" cm="1">
        <f t="array" ref="V128">_xlfn.IFS(B128="","",AND(B128&lt;&gt;"",H128=SF_Output!$Y$2,SUMIFS(SF_Output!$T$1:$T$400,SF_Output!$AC$1:$AC$400,_xlfn.TEXTJOIN(",",TRUE,B128:E128),SF_Output!$Q$1:$Q$400,"monthly")=0),(SUMIFS(SF_Output!$F$1:$F$400,SF_Output!$AC$1:$AC$400,_xlfn.TEXTJOIN(",",TRUE,B128:E128),SF_Output!$Q$1:$Q$400,"monthly")+SUMIFS(SF_Output!$G$1:$G$400,SF_Output!$AC$1:$AC$400,_xlfn.TEXTJOIN(",",TRUE,B128:E128),SF_Output!$Q$1:$Q$400,"monthly"))*H128,AND(B128&lt;&gt;"",H128=SF_Output!$Y$2,SUMIFS(SF_Output!$T$1:$T$400,SF_Output!$AC$1:$AC$400,_xlfn.TEXTJOIN(",",TRUE,B128:E128),SF_Output!$Q$1:$Q$400,"monthly")&lt;&gt;0),SUMIFS(SF_Output!$S$1:$S$400,SF_Output!$AC$1:$AC$400,_xlfn.TEXTJOIN(",",TRUE,B128:E128),SF_Output!$Q$1:$Q$400,"monthly"),AND(B128&lt;&gt;"",H128&lt;&gt;SF_Output!$Y$2),SUMIFS(SF_Output!$S$1:$S$400,SF_Output!$AC$1:$AC$400,_xlfn.TEXTJOIN(",",TRUE,B128:E128),SF_Output!$Q$1:$Q$400,"monthly"))</f>
        <v>150</v>
      </c>
      <c r="W128" s="112" cm="1">
        <f t="array" ref="W128">_xlfn.IFS(OR(B128=0,B128="",V128=0),"",AF128&lt;&gt;"exclusion",MAX($W$9,$W$7,(-(SUMIFS(SF_Output!$T$1:$T$400,SF_Output!$AC$1:$AC$400,_xlfn.TEXTJOIN(",",TRUE,$B128:$E128),SF_Output!$Q$1:$Q$400,"monthly"))/V128)),AF128="exclusion",-(SUMIFS(SF_Output!$T$1:$T$400,SF_Output!$AC$1:$AC$400,_xlfn.TEXTJOIN(",",TRUE,$B128:$E128),SF_Output!$Q$1:$Q$400,"monthly"))/V128)</f>
        <v>0</v>
      </c>
      <c r="X128" s="6" cm="1">
        <f t="array" ref="X128">IFERROR(_xlfn.IFS(V128=0,0,V128="","",W128=0,V128,OR(V128&lt;&gt;0,V128&lt;&gt;""),H128*I128),V128*(1-W128))</f>
        <v>150</v>
      </c>
      <c r="Z128" s="6">
        <f>IFERROR(IF(B128="","",SUMIFS(Billing_Fallout!H:H,Billing_Fallout!N:N,B128)),0)</f>
        <v>0</v>
      </c>
      <c r="AA128" s="6">
        <f t="shared" si="21"/>
        <v>0</v>
      </c>
      <c r="AB128" s="6">
        <f>IFERROR(IF(B128="","",SUMIFS(Billing_Fallout!J:J,Billing_Fallout!N:N,B128)),0)</f>
        <v>0</v>
      </c>
      <c r="AD128" s="6">
        <f t="shared" si="22"/>
        <v>150</v>
      </c>
      <c r="AF128" t="str">
        <f>IFERROR(INDEX(H_Tables!$B$1:$B$1500,MATCH(INDEX(SF_Output!$J$1:$J$400,MATCH(B128,SF_Output!$M$1:$M$400,0)),H_Tables!$A$1:$A$1500,0)),"")</f>
        <v>Exclusion</v>
      </c>
      <c r="AI128" s="119" t="str">
        <f t="shared" si="23"/>
        <v/>
      </c>
      <c r="AJ128" s="121">
        <f>IFERROR(INDEX(SF_Output!AD:AD,MATCH(_xlfn.TEXTJOIN(",",TRUE,B128:E128),SF_Output!AC1:AC400,0)),0.05)</f>
        <v>208</v>
      </c>
      <c r="AK128" t="str">
        <f>IF(SUMIFS(SF_Output!$F$1:$F$400,SF_Output!$AC$1:$AC$400,_xlfn.TEXTJOIN(",",TRUE,B128:E128))+SUMIFS(SF_Output!$G$1:$G$400,SF_Output!$AC$1:$AC$400,_xlfn.TEXTJOIN(",",TRUE,B128:E128))=0,"","PAP")</f>
        <v/>
      </c>
      <c r="AQ128" s="35"/>
      <c r="AR128" s="35" t="str" cm="1">
        <f t="array" ref="AR128">IFERROR(_xlfn.IFS(AND(E128*1=1,F128="Included"),"Change to Included",AND(E128*1=0,F128="Optional"),"Change to Optional",OR(B128="",F128="replaced"),""),"")</f>
        <v/>
      </c>
      <c r="AS128" s="35" t="str">
        <f t="shared" si="24"/>
        <v/>
      </c>
      <c r="AT128" s="35" t="str">
        <f t="shared" si="25"/>
        <v/>
      </c>
      <c r="AU128" s="35" t="str">
        <f t="shared" si="26"/>
        <v/>
      </c>
      <c r="AV128" s="35" t="str">
        <f t="shared" si="27"/>
        <v/>
      </c>
      <c r="AW128" s="35" t="str">
        <f t="shared" si="28"/>
        <v/>
      </c>
      <c r="AX128" s="35" t="str">
        <f t="shared" si="29"/>
        <v/>
      </c>
      <c r="AY128" s="35" t="str">
        <f t="shared" si="30"/>
        <v/>
      </c>
      <c r="AZ128" s="35" t="str">
        <f t="shared" si="31"/>
        <v/>
      </c>
      <c r="BA128" s="35" t="str">
        <f t="shared" si="32"/>
        <v/>
      </c>
      <c r="BB128" s="35" t="str">
        <f t="shared" si="33"/>
        <v/>
      </c>
      <c r="BC128" s="35"/>
      <c r="BE128" s="35">
        <f ca="1">INDEX(SF_Output!$AA$2:$AA$400,MATCH($B128,SF_Output!$M$2:$M$400,0))</f>
        <v>6</v>
      </c>
      <c r="BF128" s="35">
        <f ca="1">INDEX(SF_Output!$AB$2:$AB$400,MATCH($B128,SF_Output!$M$2:$M$400,0))</f>
        <v>1</v>
      </c>
    </row>
    <row r="129" spans="2:58" x14ac:dyDescent="0.25">
      <c r="B129" t="s">
        <v>2418</v>
      </c>
      <c r="C129" t="s">
        <v>2122</v>
      </c>
      <c r="D129" t="s">
        <v>2207</v>
      </c>
      <c r="E129" t="s">
        <v>2124</v>
      </c>
      <c r="F129" s="116" t="str">
        <f t="shared" si="17"/>
        <v>Included</v>
      </c>
      <c r="G129" t="str">
        <f>IF(B129="","",INDEX(SF_Output!$K$1:$K$400,MATCH(B129,SF_Output!$M$1:$M$400,0)))</f>
        <v>Card Processing Solutions (CPS)</v>
      </c>
      <c r="H129" cm="1">
        <f t="array" ref="H129">_xlfn.IFS(B129="","",(SUMIFS(SF_Output!$F$1:$F$400,SF_Output!$AC$1:$AC$400,_xlfn.TEXTJOIN(",",TRUE,B129:E129))+SUMIFS(SF_Output!$G$1:$G$400,SF_Output!$AC$1:$AC$400,_xlfn.TEXTJOIN(",",TRUE,B129:E129)))&lt;&gt;0,SF_Output!$Y$2,INDEX(SF_Output!$F$1:$F$400,MATCH(_xlfn.TEXTJOIN(",",TRUE,B129:E129),SF_Output!$AC$1:$AC$400,0))=0,INDEX(SF_Output!$R$1:$R$400,MATCH(_xlfn.TEXTJOIN(",",TRUE,B129:E129),SF_Output!$AC$1:$AC$400,0)))</f>
        <v>0</v>
      </c>
      <c r="I129" s="125" t="str">
        <f>IFERROR(IF(AND(H129&gt;1,H129&lt;&gt;""),ROUND(SUMIFS(SF_Output!$S$1:$S$400,SF_Output!$AC$1:$AC$400,_xlfn.TEXTJOIN(",",TRUE,B129:E129),SF_Output!$Q$1:$Q$400,"monthly")*(1-W129)/H129,4),""),"")</f>
        <v/>
      </c>
      <c r="J129" s="6">
        <f>IF(B129="","",SUMIFS(SF_Output!$S$1:$S$400,SF_Output!$AC$1:$AC$400,_xlfn.TEXTJOIN(",",TRUE,B129:E129),SF_Output!$Q$1:$Q$400,"One Time",SF_Output!$L$1:$L$400,"license fee")+SUMIFS(SF_Output!$S$1:$S$400,SF_Output!$AC$1:$AC$400,_xlfn.TEXTJOIN(",",TRUE,B129:E129),SF_Output!$Q$1:$Q$400,"One Time",SF_Output!$L$1:$L$400,"software license")+SUMIFS(SF_Output!$S$1:$S$400,SF_Output!$AC$1:$AC$400,_xlfn.TEXTJOIN(",",TRUE,B129:E129),SF_Output!$Q$1:$Q$400,"One Time",SF_Output!$L$1:$L$400,"hardware"))</f>
        <v>0</v>
      </c>
      <c r="K129" s="112" t="str">
        <f>IF(OR(B129=0,B129="",G129="hardware",J129=0),"",IF(AF129&lt;&gt;"exclusion",MAX(K$9,-((SUMIFS(SF_Output!$T$1:$T$400,SF_Output!$AC$1:$AC$400,_xlfn.TEXTJOIN(",",TRUE,$B129:$E129),SF_Output!$Q$1:$Q$400,"One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license"))/J129)))</f>
        <v/>
      </c>
      <c r="L129" s="6">
        <f t="shared" si="18"/>
        <v>0</v>
      </c>
      <c r="N129" s="6">
        <f>IF(B129="","",SUMIFS(SF_Output!$S$1:$S$400,SF_Output!$AC$1:$AC$400,_xlfn.TEXTJOIN(",",TRUE,B129:E129),SF_Output!$Q$1:$Q$400,"One Time",SF_Output!$L$1:$L$400,"professional service"))</f>
        <v>0</v>
      </c>
      <c r="O129" s="112" t="str">
        <f>IF(OR(B129=0,B129="",N129=0),"",IF(AF129&lt;&gt;"exclusion",MAX(O$9,-(SUMIFS(SF_Output!$T$1:$T$400,SF_Output!$AC$1:$AC$400,_xlfn.TEXTJOIN(",",TRUE,$B129:$E129),SF_Output!$Q$1:$Q$400,"One Time",SF_Output!$L$1:$L$400,"professional service"))/N129),-((SUMIFS(SF_Output!$T$1:$T$400,SF_Output!$AC$1:$AC$400,_xlfn.TEXTJOIN(",",TRUE,$B129:$E129),SF_Output!$Q$1:$Q$400,"One Time",SF_Output!$L$1:$L$400,"professional service")/N129))))</f>
        <v/>
      </c>
      <c r="P129" s="6">
        <f t="shared" si="19"/>
        <v>0</v>
      </c>
      <c r="R129" s="6">
        <f>IF(B129="","",SUMIFS(SF_Output!$S$1:$S$400,SF_Output!$AC$1:$AC$400,_xlfn.TEXTJOIN(",",TRUE,B129:E129),SF_Output!$Q$1:$Q$400,"yearly")+SUMIFS(SF_Output!$S$1:$S$400,SF_Output!$AC$1:$AC$400,_xlfn.TEXTJOIN(",",TRUE,B129:E129),SF_Output!$Q$1:$Q$400,"quarterly")*4)</f>
        <v>0</v>
      </c>
      <c r="S129" s="112" t="str">
        <f>IF(OR(B129=0,B129="",G129="hardware",R129=0),"",IF(AF129&lt;&gt;"exclusion",MAX(S$9,-(SUMIFS(SF_Output!$T$1:$T$400,SF_Output!$AC$1:$AC$400,_xlfn.TEXTJOIN(",",TRUE,$B129:$E129),SF_Output!$Q$1:$Q$400,"yearly"))/R129),-((SUMIFS(SF_Output!$T$1:$T$400,SF_Output!$AC$1:$AC$400,_xlfn.TEXTJOIN(",",TRUE,$B129:$E129),SF_Output!$Q$1:$Q$400,"yearly")/R129))))</f>
        <v/>
      </c>
      <c r="T129" s="6">
        <f t="shared" si="20"/>
        <v>0</v>
      </c>
      <c r="V129" s="6" cm="1">
        <f t="array" ref="V129">_xlfn.IFS(B129="","",AND(B129&lt;&gt;"",H129=SF_Output!$Y$2,SUMIFS(SF_Output!$T$1:$T$400,SF_Output!$AC$1:$AC$400,_xlfn.TEXTJOIN(",",TRUE,B129:E129),SF_Output!$Q$1:$Q$400,"monthly")=0),(SUMIFS(SF_Output!$F$1:$F$400,SF_Output!$AC$1:$AC$400,_xlfn.TEXTJOIN(",",TRUE,B129:E129),SF_Output!$Q$1:$Q$400,"monthly")+SUMIFS(SF_Output!$G$1:$G$400,SF_Output!$AC$1:$AC$400,_xlfn.TEXTJOIN(",",TRUE,B129:E129),SF_Output!$Q$1:$Q$400,"monthly"))*H129,AND(B129&lt;&gt;"",H129=SF_Output!$Y$2,SUMIFS(SF_Output!$T$1:$T$400,SF_Output!$AC$1:$AC$400,_xlfn.TEXTJOIN(",",TRUE,B129:E129),SF_Output!$Q$1:$Q$400,"monthly")&lt;&gt;0),SUMIFS(SF_Output!$S$1:$S$400,SF_Output!$AC$1:$AC$400,_xlfn.TEXTJOIN(",",TRUE,B129:E129),SF_Output!$Q$1:$Q$400,"monthly"),AND(B129&lt;&gt;"",H129&lt;&gt;SF_Output!$Y$2),SUMIFS(SF_Output!$S$1:$S$400,SF_Output!$AC$1:$AC$400,_xlfn.TEXTJOIN(",",TRUE,B129:E129),SF_Output!$Q$1:$Q$400,"monthly"))</f>
        <v>0</v>
      </c>
      <c r="W129" s="112" t="str" cm="1">
        <f t="array" ref="W129">_xlfn.IFS(OR(B129=0,B129="",V129=0),"",AF129&lt;&gt;"exclusion",MAX($W$9,$W$7,(-(SUMIFS(SF_Output!$T$1:$T$400,SF_Output!$AC$1:$AC$400,_xlfn.TEXTJOIN(",",TRUE,$B129:$E129),SF_Output!$Q$1:$Q$400,"monthly"))/V129)),AF129="exclusion",-(SUMIFS(SF_Output!$T$1:$T$400,SF_Output!$AC$1:$AC$400,_xlfn.TEXTJOIN(",",TRUE,$B129:$E129),SF_Output!$Q$1:$Q$400,"monthly"))/V129)</f>
        <v/>
      </c>
      <c r="X129" s="6" cm="1">
        <f t="array" ref="X129">IFERROR(_xlfn.IFS(V129=0,0,V129="","",W129=0,V129,OR(V129&lt;&gt;0,V129&lt;&gt;""),H129*I129),V129*(1-W129))</f>
        <v>0</v>
      </c>
      <c r="Z129" s="6">
        <f>IFERROR(IF(B129="","",SUMIFS(Billing_Fallout!H:H,Billing_Fallout!N:N,B129)),0)</f>
        <v>0</v>
      </c>
      <c r="AA129" s="6">
        <f t="shared" si="21"/>
        <v>0</v>
      </c>
      <c r="AB129" s="6">
        <f>IFERROR(IF(B129="","",SUMIFS(Billing_Fallout!J:J,Billing_Fallout!N:N,B129)),0)</f>
        <v>0</v>
      </c>
      <c r="AD129" s="6">
        <f t="shared" si="22"/>
        <v>0</v>
      </c>
      <c r="AF129" t="str">
        <f>IFERROR(INDEX(H_Tables!$B$1:$B$1500,MATCH(INDEX(SF_Output!$J$1:$J$400,MATCH(B129,SF_Output!$M$1:$M$400,0)),H_Tables!$A$1:$A$1500,0)),"")</f>
        <v>Exclusion</v>
      </c>
      <c r="AI129" s="119" t="str">
        <f t="shared" si="23"/>
        <v/>
      </c>
      <c r="AJ129" s="121">
        <f>IFERROR(INDEX(SF_Output!AD:AD,MATCH(_xlfn.TEXTJOIN(",",TRUE,B129:E129),SF_Output!AC1:AC400,0)),0.05)</f>
        <v>210</v>
      </c>
      <c r="AK129" t="str">
        <f>IF(SUMIFS(SF_Output!$F$1:$F$400,SF_Output!$AC$1:$AC$400,_xlfn.TEXTJOIN(",",TRUE,B129:E129))+SUMIFS(SF_Output!$G$1:$G$400,SF_Output!$AC$1:$AC$400,_xlfn.TEXTJOIN(",",TRUE,B129:E129))=0,"","PAP")</f>
        <v/>
      </c>
      <c r="AQ129" s="35"/>
      <c r="AR129" s="35" t="str" cm="1">
        <f t="array" ref="AR129">IFERROR(_xlfn.IFS(AND(E129*1=1,F129="Included"),"Change to Included",AND(E129*1=0,F129="Optional"),"Change to Optional",OR(B129="",F129="replaced"),""),"")</f>
        <v/>
      </c>
      <c r="AS129" s="35" t="str">
        <f t="shared" si="24"/>
        <v/>
      </c>
      <c r="AT129" s="35" t="str">
        <f t="shared" si="25"/>
        <v/>
      </c>
      <c r="AU129" s="35" t="str">
        <f t="shared" si="26"/>
        <v/>
      </c>
      <c r="AV129" s="35" t="str">
        <f t="shared" si="27"/>
        <v/>
      </c>
      <c r="AW129" s="35" t="str">
        <f t="shared" si="28"/>
        <v/>
      </c>
      <c r="AX129" s="35" t="str">
        <f t="shared" si="29"/>
        <v/>
      </c>
      <c r="AY129" s="35" t="str">
        <f t="shared" si="30"/>
        <v/>
      </c>
      <c r="AZ129" s="35" t="str">
        <f t="shared" si="31"/>
        <v/>
      </c>
      <c r="BA129" s="35" t="str">
        <f t="shared" si="32"/>
        <v/>
      </c>
      <c r="BB129" s="35" t="str">
        <f t="shared" si="33"/>
        <v/>
      </c>
      <c r="BC129" s="35"/>
      <c r="BE129" s="35">
        <f ca="1">INDEX(SF_Output!$AA$2:$AA$400,MATCH($B129,SF_Output!$M$2:$M$400,0))</f>
        <v>6</v>
      </c>
      <c r="BF129" s="35">
        <f ca="1">INDEX(SF_Output!$AB$2:$AB$400,MATCH($B129,SF_Output!$M$2:$M$400,0))</f>
        <v>1</v>
      </c>
    </row>
    <row r="130" spans="2:58" x14ac:dyDescent="0.25">
      <c r="B130" t="s">
        <v>2420</v>
      </c>
      <c r="C130" t="s">
        <v>2122</v>
      </c>
      <c r="D130" t="s">
        <v>2207</v>
      </c>
      <c r="E130" t="s">
        <v>2124</v>
      </c>
      <c r="F130" s="116" t="str">
        <f t="shared" si="17"/>
        <v>Included</v>
      </c>
      <c r="G130" t="str">
        <f>IF(B130="","",INDEX(SF_Output!$K$1:$K$400,MATCH(B130,SF_Output!$M$1:$M$400,0)))</f>
        <v>Card Processing Solutions (CPS)</v>
      </c>
      <c r="H130" cm="1">
        <f t="array" ref="H130">_xlfn.IFS(B130="","",(SUMIFS(SF_Output!$F$1:$F$400,SF_Output!$AC$1:$AC$400,_xlfn.TEXTJOIN(",",TRUE,B130:E130))+SUMIFS(SF_Output!$G$1:$G$400,SF_Output!$AC$1:$AC$400,_xlfn.TEXTJOIN(",",TRUE,B130:E130)))&lt;&gt;0,SF_Output!$Y$2,INDEX(SF_Output!$F$1:$F$400,MATCH(_xlfn.TEXTJOIN(",",TRUE,B130:E130),SF_Output!$AC$1:$AC$400,0))=0,INDEX(SF_Output!$R$1:$R$400,MATCH(_xlfn.TEXTJOIN(",",TRUE,B130:E130),SF_Output!$AC$1:$AC$400,0)))</f>
        <v>0</v>
      </c>
      <c r="I130" s="125" t="str">
        <f>IFERROR(IF(AND(H130&gt;1,H130&lt;&gt;""),ROUND(SUMIFS(SF_Output!$S$1:$S$400,SF_Output!$AC$1:$AC$400,_xlfn.TEXTJOIN(",",TRUE,B130:E130),SF_Output!$Q$1:$Q$400,"monthly")*(1-W130)/H130,4),""),"")</f>
        <v/>
      </c>
      <c r="J130" s="6">
        <f>IF(B130="","",SUMIFS(SF_Output!$S$1:$S$400,SF_Output!$AC$1:$AC$400,_xlfn.TEXTJOIN(",",TRUE,B130:E130),SF_Output!$Q$1:$Q$400,"One Time",SF_Output!$L$1:$L$400,"license fee")+SUMIFS(SF_Output!$S$1:$S$400,SF_Output!$AC$1:$AC$400,_xlfn.TEXTJOIN(",",TRUE,B130:E130),SF_Output!$Q$1:$Q$400,"One Time",SF_Output!$L$1:$L$400,"software license")+SUMIFS(SF_Output!$S$1:$S$400,SF_Output!$AC$1:$AC$400,_xlfn.TEXTJOIN(",",TRUE,B130:E130),SF_Output!$Q$1:$Q$400,"One Time",SF_Output!$L$1:$L$400,"hardware"))</f>
        <v>0</v>
      </c>
      <c r="K130" s="112" t="str">
        <f>IF(OR(B130=0,B130="",G130="hardware",J130=0),"",IF(AF130&lt;&gt;"exclusion",MAX(K$9,-((SUMIFS(SF_Output!$T$1:$T$400,SF_Output!$AC$1:$AC$400,_xlfn.TEXTJOIN(",",TRUE,$B130:$E130),SF_Output!$Q$1:$Q$400,"One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license"))/J130)))</f>
        <v/>
      </c>
      <c r="L130" s="6">
        <f t="shared" si="18"/>
        <v>0</v>
      </c>
      <c r="N130" s="6">
        <f>IF(B130="","",SUMIFS(SF_Output!$S$1:$S$400,SF_Output!$AC$1:$AC$400,_xlfn.TEXTJOIN(",",TRUE,B130:E130),SF_Output!$Q$1:$Q$400,"One Time",SF_Output!$L$1:$L$400,"professional service"))</f>
        <v>1000</v>
      </c>
      <c r="O130" s="112">
        <f>IF(OR(B130=0,B130="",N130=0),"",IF(AF130&lt;&gt;"exclusion",MAX(O$9,-(SUMIFS(SF_Output!$T$1:$T$400,SF_Output!$AC$1:$AC$400,_xlfn.TEXTJOIN(",",TRUE,$B130:$E130),SF_Output!$Q$1:$Q$400,"One Time",SF_Output!$L$1:$L$400,"professional service"))/N130),-((SUMIFS(SF_Output!$T$1:$T$400,SF_Output!$AC$1:$AC$400,_xlfn.TEXTJOIN(",",TRUE,$B130:$E130),SF_Output!$Q$1:$Q$400,"One Time",SF_Output!$L$1:$L$400,"professional service")/N130))))</f>
        <v>1</v>
      </c>
      <c r="P130" s="6">
        <f t="shared" si="19"/>
        <v>0</v>
      </c>
      <c r="R130" s="6">
        <f>IF(B130="","",SUMIFS(SF_Output!$S$1:$S$400,SF_Output!$AC$1:$AC$400,_xlfn.TEXTJOIN(",",TRUE,B130:E130),SF_Output!$Q$1:$Q$400,"yearly")+SUMIFS(SF_Output!$S$1:$S$400,SF_Output!$AC$1:$AC$400,_xlfn.TEXTJOIN(",",TRUE,B130:E130),SF_Output!$Q$1:$Q$400,"quarterly")*4)</f>
        <v>0</v>
      </c>
      <c r="S130" s="112" t="str">
        <f>IF(OR(B130=0,B130="",G130="hardware",R130=0),"",IF(AF130&lt;&gt;"exclusion",MAX(S$9,-(SUMIFS(SF_Output!$T$1:$T$400,SF_Output!$AC$1:$AC$400,_xlfn.TEXTJOIN(",",TRUE,$B130:$E130),SF_Output!$Q$1:$Q$400,"yearly"))/R130),-((SUMIFS(SF_Output!$T$1:$T$400,SF_Output!$AC$1:$AC$400,_xlfn.TEXTJOIN(",",TRUE,$B130:$E130),SF_Output!$Q$1:$Q$400,"yearly")/R130))))</f>
        <v/>
      </c>
      <c r="T130" s="6">
        <f t="shared" si="20"/>
        <v>0</v>
      </c>
      <c r="V130" s="6" cm="1">
        <f t="array" ref="V130">_xlfn.IFS(B130="","",AND(B130&lt;&gt;"",H130=SF_Output!$Y$2,SUMIFS(SF_Output!$T$1:$T$400,SF_Output!$AC$1:$AC$400,_xlfn.TEXTJOIN(",",TRUE,B130:E130),SF_Output!$Q$1:$Q$400,"monthly")=0),(SUMIFS(SF_Output!$F$1:$F$400,SF_Output!$AC$1:$AC$400,_xlfn.TEXTJOIN(",",TRUE,B130:E130),SF_Output!$Q$1:$Q$400,"monthly")+SUMIFS(SF_Output!$G$1:$G$400,SF_Output!$AC$1:$AC$400,_xlfn.TEXTJOIN(",",TRUE,B130:E130),SF_Output!$Q$1:$Q$400,"monthly"))*H130,AND(B130&lt;&gt;"",H130=SF_Output!$Y$2,SUMIFS(SF_Output!$T$1:$T$400,SF_Output!$AC$1:$AC$400,_xlfn.TEXTJOIN(",",TRUE,B130:E130),SF_Output!$Q$1:$Q$400,"monthly")&lt;&gt;0),SUMIFS(SF_Output!$S$1:$S$400,SF_Output!$AC$1:$AC$400,_xlfn.TEXTJOIN(",",TRUE,B130:E130),SF_Output!$Q$1:$Q$400,"monthly"),AND(B130&lt;&gt;"",H130&lt;&gt;SF_Output!$Y$2),SUMIFS(SF_Output!$S$1:$S$400,SF_Output!$AC$1:$AC$400,_xlfn.TEXTJOIN(",",TRUE,B130:E130),SF_Output!$Q$1:$Q$400,"monthly"))</f>
        <v>0</v>
      </c>
      <c r="W130" s="112" t="str" cm="1">
        <f t="array" ref="W130">_xlfn.IFS(OR(B130=0,B130="",V130=0),"",AF130&lt;&gt;"exclusion",MAX($W$9,$W$7,(-(SUMIFS(SF_Output!$T$1:$T$400,SF_Output!$AC$1:$AC$400,_xlfn.TEXTJOIN(",",TRUE,$B130:$E130),SF_Output!$Q$1:$Q$400,"monthly"))/V130)),AF130="exclusion",-(SUMIFS(SF_Output!$T$1:$T$400,SF_Output!$AC$1:$AC$400,_xlfn.TEXTJOIN(",",TRUE,$B130:$E130),SF_Output!$Q$1:$Q$400,"monthly"))/V130)</f>
        <v/>
      </c>
      <c r="X130" s="6" cm="1">
        <f t="array" ref="X130">IFERROR(_xlfn.IFS(V130=0,0,V130="","",W130=0,V130,OR(V130&lt;&gt;0,V130&lt;&gt;""),H130*I130),V130*(1-W130))</f>
        <v>0</v>
      </c>
      <c r="Z130" s="6">
        <f>IFERROR(IF(B130="","",SUMIFS(Billing_Fallout!H:H,Billing_Fallout!N:N,B130)),0)</f>
        <v>0</v>
      </c>
      <c r="AA130" s="6">
        <f t="shared" si="21"/>
        <v>0</v>
      </c>
      <c r="AB130" s="6">
        <f>IFERROR(IF(B130="","",SUMIFS(Billing_Fallout!J:J,Billing_Fallout!N:N,B130)),0)</f>
        <v>0</v>
      </c>
      <c r="AD130" s="6">
        <f t="shared" si="22"/>
        <v>0</v>
      </c>
      <c r="AF130" t="str">
        <f>IFERROR(INDEX(H_Tables!$B$1:$B$1500,MATCH(INDEX(SF_Output!$J$1:$J$400,MATCH(B130,SF_Output!$M$1:$M$400,0)),H_Tables!$A$1:$A$1500,0)),"")</f>
        <v>Exclusion</v>
      </c>
      <c r="AI130" s="119" t="str">
        <f t="shared" si="23"/>
        <v/>
      </c>
      <c r="AJ130" s="121">
        <f>IFERROR(INDEX(SF_Output!AD:AD,MATCH(_xlfn.TEXTJOIN(",",TRUE,B130:E130),SF_Output!AC1:AC400,0)),0.05)</f>
        <v>211</v>
      </c>
      <c r="AK130" t="str">
        <f>IF(SUMIFS(SF_Output!$F$1:$F$400,SF_Output!$AC$1:$AC$400,_xlfn.TEXTJOIN(",",TRUE,B130:E130))+SUMIFS(SF_Output!$G$1:$G$400,SF_Output!$AC$1:$AC$400,_xlfn.TEXTJOIN(",",TRUE,B130:E130))=0,"","PAP")</f>
        <v/>
      </c>
      <c r="AQ130" s="35"/>
      <c r="AR130" s="35" t="str" cm="1">
        <f t="array" ref="AR130">IFERROR(_xlfn.IFS(AND(E130*1=1,F130="Included"),"Change to Included",AND(E130*1=0,F130="Optional"),"Change to Optional",OR(B130="",F130="replaced"),""),"")</f>
        <v/>
      </c>
      <c r="AS130" s="35" t="str">
        <f t="shared" si="24"/>
        <v/>
      </c>
      <c r="AT130" s="35" t="str">
        <f t="shared" si="25"/>
        <v/>
      </c>
      <c r="AU130" s="35" t="str">
        <f t="shared" si="26"/>
        <v/>
      </c>
      <c r="AV130" s="35" t="str">
        <f t="shared" si="27"/>
        <v/>
      </c>
      <c r="AW130" s="35" t="str">
        <f t="shared" si="28"/>
        <v/>
      </c>
      <c r="AX130" s="35" t="str">
        <f t="shared" si="29"/>
        <v/>
      </c>
      <c r="AY130" s="35" t="str">
        <f t="shared" si="30"/>
        <v/>
      </c>
      <c r="AZ130" s="35" t="str">
        <f t="shared" si="31"/>
        <v/>
      </c>
      <c r="BA130" s="35" t="str">
        <f t="shared" si="32"/>
        <v/>
      </c>
      <c r="BB130" s="35" t="str">
        <f t="shared" si="33"/>
        <v/>
      </c>
      <c r="BC130" s="35"/>
      <c r="BE130" s="35">
        <f ca="1">INDEX(SF_Output!$AA$2:$AA$400,MATCH($B130,SF_Output!$M$2:$M$400,0))</f>
        <v>6</v>
      </c>
      <c r="BF130" s="35">
        <f ca="1">INDEX(SF_Output!$AB$2:$AB$400,MATCH($B130,SF_Output!$M$2:$M$400,0))</f>
        <v>1</v>
      </c>
    </row>
    <row r="131" spans="2:58" x14ac:dyDescent="0.25">
      <c r="B131" t="s">
        <v>2423</v>
      </c>
      <c r="C131" t="s">
        <v>2122</v>
      </c>
      <c r="D131" t="s">
        <v>2207</v>
      </c>
      <c r="E131" t="s">
        <v>2124</v>
      </c>
      <c r="F131" s="116" t="str">
        <f t="shared" si="17"/>
        <v>Included</v>
      </c>
      <c r="G131" t="str">
        <f>IF(B131="","",INDEX(SF_Output!$K$1:$K$400,MATCH(B131,SF_Output!$M$1:$M$400,0)))</f>
        <v>Card Processing Solutions (CPS)</v>
      </c>
      <c r="H131" cm="1">
        <f t="array" ref="H131">_xlfn.IFS(B131="","",(SUMIFS(SF_Output!$F$1:$F$400,SF_Output!$AC$1:$AC$400,_xlfn.TEXTJOIN(",",TRUE,B131:E131))+SUMIFS(SF_Output!$G$1:$G$400,SF_Output!$AC$1:$AC$400,_xlfn.TEXTJOIN(",",TRUE,B131:E131)))&lt;&gt;0,SF_Output!$Y$2,INDEX(SF_Output!$F$1:$F$400,MATCH(_xlfn.TEXTJOIN(",",TRUE,B131:E131),SF_Output!$AC$1:$AC$400,0))=0,INDEX(SF_Output!$R$1:$R$400,MATCH(_xlfn.TEXTJOIN(",",TRUE,B131:E131),SF_Output!$AC$1:$AC$400,0)))</f>
        <v>0</v>
      </c>
      <c r="I131" s="125" t="str">
        <f>IFERROR(IF(AND(H131&gt;1,H131&lt;&gt;""),ROUND(SUMIFS(SF_Output!$S$1:$S$400,SF_Output!$AC$1:$AC$400,_xlfn.TEXTJOIN(",",TRUE,B131:E131),SF_Output!$Q$1:$Q$400,"monthly")*(1-W131)/H131,4),""),"")</f>
        <v/>
      </c>
      <c r="J131" s="6">
        <f>IF(B131="","",SUMIFS(SF_Output!$S$1:$S$400,SF_Output!$AC$1:$AC$400,_xlfn.TEXTJOIN(",",TRUE,B131:E131),SF_Output!$Q$1:$Q$400,"One Time",SF_Output!$L$1:$L$400,"license fee")+SUMIFS(SF_Output!$S$1:$S$400,SF_Output!$AC$1:$AC$400,_xlfn.TEXTJOIN(",",TRUE,B131:E131),SF_Output!$Q$1:$Q$400,"One Time",SF_Output!$L$1:$L$400,"software license")+SUMIFS(SF_Output!$S$1:$S$400,SF_Output!$AC$1:$AC$400,_xlfn.TEXTJOIN(",",TRUE,B131:E131),SF_Output!$Q$1:$Q$400,"One Time",SF_Output!$L$1:$L$400,"hardware"))</f>
        <v>0</v>
      </c>
      <c r="K131" s="112" t="str">
        <f>IF(OR(B131=0,B131="",G131="hardware",J131=0),"",IF(AF131&lt;&gt;"exclusion",MAX(K$9,-((SUMIFS(SF_Output!$T$1:$T$400,SF_Output!$AC$1:$AC$400,_xlfn.TEXTJOIN(",",TRUE,$B131:$E131),SF_Output!$Q$1:$Q$400,"One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license"))/J131)))</f>
        <v/>
      </c>
      <c r="L131" s="6">
        <f t="shared" si="18"/>
        <v>0</v>
      </c>
      <c r="N131" s="6">
        <f>IF(B131="","",SUMIFS(SF_Output!$S$1:$S$400,SF_Output!$AC$1:$AC$400,_xlfn.TEXTJOIN(",",TRUE,B131:E131),SF_Output!$Q$1:$Q$400,"One Time",SF_Output!$L$1:$L$400,"professional service"))</f>
        <v>0</v>
      </c>
      <c r="O131" s="112" t="str">
        <f>IF(OR(B131=0,B131="",N131=0),"",IF(AF131&lt;&gt;"exclusion",MAX(O$9,-(SUMIFS(SF_Output!$T$1:$T$400,SF_Output!$AC$1:$AC$400,_xlfn.TEXTJOIN(",",TRUE,$B131:$E131),SF_Output!$Q$1:$Q$400,"One Time",SF_Output!$L$1:$L$400,"professional service"))/N131),-((SUMIFS(SF_Output!$T$1:$T$400,SF_Output!$AC$1:$AC$400,_xlfn.TEXTJOIN(",",TRUE,$B131:$E131),SF_Output!$Q$1:$Q$400,"One Time",SF_Output!$L$1:$L$400,"professional service")/N131))))</f>
        <v/>
      </c>
      <c r="P131" s="6">
        <f t="shared" si="19"/>
        <v>0</v>
      </c>
      <c r="R131" s="6">
        <f>IF(B131="","",SUMIFS(SF_Output!$S$1:$S$400,SF_Output!$AC$1:$AC$400,_xlfn.TEXTJOIN(",",TRUE,B131:E131),SF_Output!$Q$1:$Q$400,"yearly")+SUMIFS(SF_Output!$S$1:$S$400,SF_Output!$AC$1:$AC$400,_xlfn.TEXTJOIN(",",TRUE,B131:E131),SF_Output!$Q$1:$Q$400,"quarterly")*4)</f>
        <v>0</v>
      </c>
      <c r="S131" s="112" t="str">
        <f>IF(OR(B131=0,B131="",G131="hardware",R131=0),"",IF(AF131&lt;&gt;"exclusion",MAX(S$9,-(SUMIFS(SF_Output!$T$1:$T$400,SF_Output!$AC$1:$AC$400,_xlfn.TEXTJOIN(",",TRUE,$B131:$E131),SF_Output!$Q$1:$Q$400,"yearly"))/R131),-((SUMIFS(SF_Output!$T$1:$T$400,SF_Output!$AC$1:$AC$400,_xlfn.TEXTJOIN(",",TRUE,$B131:$E131),SF_Output!$Q$1:$Q$400,"yearly")/R131))))</f>
        <v/>
      </c>
      <c r="T131" s="6">
        <f t="shared" si="20"/>
        <v>0</v>
      </c>
      <c r="V131" s="6" cm="1">
        <f t="array" ref="V131">_xlfn.IFS(B131="","",AND(B131&lt;&gt;"",H131=SF_Output!$Y$2,SUMIFS(SF_Output!$T$1:$T$400,SF_Output!$AC$1:$AC$400,_xlfn.TEXTJOIN(",",TRUE,B131:E131),SF_Output!$Q$1:$Q$400,"monthly")=0),(SUMIFS(SF_Output!$F$1:$F$400,SF_Output!$AC$1:$AC$400,_xlfn.TEXTJOIN(",",TRUE,B131:E131),SF_Output!$Q$1:$Q$400,"monthly")+SUMIFS(SF_Output!$G$1:$G$400,SF_Output!$AC$1:$AC$400,_xlfn.TEXTJOIN(",",TRUE,B131:E131),SF_Output!$Q$1:$Q$400,"monthly"))*H131,AND(B131&lt;&gt;"",H131=SF_Output!$Y$2,SUMIFS(SF_Output!$T$1:$T$400,SF_Output!$AC$1:$AC$400,_xlfn.TEXTJOIN(",",TRUE,B131:E131),SF_Output!$Q$1:$Q$400,"monthly")&lt;&gt;0),SUMIFS(SF_Output!$S$1:$S$400,SF_Output!$AC$1:$AC$400,_xlfn.TEXTJOIN(",",TRUE,B131:E131),SF_Output!$Q$1:$Q$400,"monthly"),AND(B131&lt;&gt;"",H131&lt;&gt;SF_Output!$Y$2),SUMIFS(SF_Output!$S$1:$S$400,SF_Output!$AC$1:$AC$400,_xlfn.TEXTJOIN(",",TRUE,B131:E131),SF_Output!$Q$1:$Q$400,"monthly"))</f>
        <v>0</v>
      </c>
      <c r="W131" s="112" t="str" cm="1">
        <f t="array" ref="W131">_xlfn.IFS(OR(B131=0,B131="",V131=0),"",AF131&lt;&gt;"exclusion",MAX($W$9,$W$7,(-(SUMIFS(SF_Output!$T$1:$T$400,SF_Output!$AC$1:$AC$400,_xlfn.TEXTJOIN(",",TRUE,$B131:$E131),SF_Output!$Q$1:$Q$400,"monthly"))/V131)),AF131="exclusion",-(SUMIFS(SF_Output!$T$1:$T$400,SF_Output!$AC$1:$AC$400,_xlfn.TEXTJOIN(",",TRUE,$B131:$E131),SF_Output!$Q$1:$Q$400,"monthly"))/V131)</f>
        <v/>
      </c>
      <c r="X131" s="6" cm="1">
        <f t="array" ref="X131">IFERROR(_xlfn.IFS(V131=0,0,V131="","",W131=0,V131,OR(V131&lt;&gt;0,V131&lt;&gt;""),H131*I131),V131*(1-W131))</f>
        <v>0</v>
      </c>
      <c r="Z131" s="6">
        <f>IFERROR(IF(B131="","",SUMIFS(Billing_Fallout!H:H,Billing_Fallout!N:N,B131)),0)</f>
        <v>0</v>
      </c>
      <c r="AA131" s="6">
        <f t="shared" si="21"/>
        <v>0</v>
      </c>
      <c r="AB131" s="6">
        <f>IFERROR(IF(B131="","",SUMIFS(Billing_Fallout!J:J,Billing_Fallout!N:N,B131)),0)</f>
        <v>0</v>
      </c>
      <c r="AD131" s="6">
        <f t="shared" si="22"/>
        <v>0</v>
      </c>
      <c r="AF131" t="str">
        <f>IFERROR(INDEX(H_Tables!$B$1:$B$1500,MATCH(INDEX(SF_Output!$J$1:$J$400,MATCH(B131,SF_Output!$M$1:$M$400,0)),H_Tables!$A$1:$A$1500,0)),"")</f>
        <v>Exclusion</v>
      </c>
      <c r="AI131" s="119" t="str">
        <f t="shared" si="23"/>
        <v/>
      </c>
      <c r="AJ131" s="121">
        <f>IFERROR(INDEX(SF_Output!AD:AD,MATCH(_xlfn.TEXTJOIN(",",TRUE,B131:E131),SF_Output!AC1:AC400,0)),0.05)</f>
        <v>213</v>
      </c>
      <c r="AK131" t="str">
        <f>IF(SUMIFS(SF_Output!$F$1:$F$400,SF_Output!$AC$1:$AC$400,_xlfn.TEXTJOIN(",",TRUE,B131:E131))+SUMIFS(SF_Output!$G$1:$G$400,SF_Output!$AC$1:$AC$400,_xlfn.TEXTJOIN(",",TRUE,B131:E131))=0,"","PAP")</f>
        <v/>
      </c>
      <c r="AQ131" s="35"/>
      <c r="AR131" s="35" t="str" cm="1">
        <f t="array" ref="AR131">IFERROR(_xlfn.IFS(AND(E131*1=1,F131="Included"),"Change to Included",AND(E131*1=0,F131="Optional"),"Change to Optional",OR(B131="",F131="replaced"),""),"")</f>
        <v/>
      </c>
      <c r="AS131" s="35" t="str">
        <f t="shared" si="24"/>
        <v/>
      </c>
      <c r="AT131" s="35" t="str">
        <f t="shared" si="25"/>
        <v/>
      </c>
      <c r="AU131" s="35" t="str">
        <f t="shared" si="26"/>
        <v/>
      </c>
      <c r="AV131" s="35" t="str">
        <f t="shared" si="27"/>
        <v/>
      </c>
      <c r="AW131" s="35" t="str">
        <f t="shared" si="28"/>
        <v/>
      </c>
      <c r="AX131" s="35" t="str">
        <f t="shared" si="29"/>
        <v/>
      </c>
      <c r="AY131" s="35" t="str">
        <f t="shared" si="30"/>
        <v/>
      </c>
      <c r="AZ131" s="35" t="str">
        <f t="shared" si="31"/>
        <v/>
      </c>
      <c r="BA131" s="35" t="str">
        <f t="shared" si="32"/>
        <v/>
      </c>
      <c r="BB131" s="35" t="str">
        <f t="shared" si="33"/>
        <v/>
      </c>
      <c r="BC131" s="35"/>
      <c r="BE131" s="35">
        <f ca="1">INDEX(SF_Output!$AA$2:$AA$400,MATCH($B131,SF_Output!$M$2:$M$400,0))</f>
        <v>6</v>
      </c>
      <c r="BF131" s="35">
        <f ca="1">INDEX(SF_Output!$AB$2:$AB$400,MATCH($B131,SF_Output!$M$2:$M$400,0))</f>
        <v>1</v>
      </c>
    </row>
    <row r="132" spans="2:58" x14ac:dyDescent="0.25">
      <c r="B132" t="s">
        <v>2425</v>
      </c>
      <c r="C132" t="s">
        <v>2122</v>
      </c>
      <c r="D132" t="s">
        <v>2207</v>
      </c>
      <c r="E132" t="s">
        <v>2124</v>
      </c>
      <c r="F132" s="116" t="str">
        <f t="shared" si="17"/>
        <v>Included</v>
      </c>
      <c r="G132" t="str">
        <f>IF(B132="","",INDEX(SF_Output!$K$1:$K$400,MATCH(B132,SF_Output!$M$1:$M$400,0)))</f>
        <v>Card Processing Solutions (CPS)</v>
      </c>
      <c r="H132" cm="1">
        <f t="array" ref="H132">_xlfn.IFS(B132="","",(SUMIFS(SF_Output!$F$1:$F$400,SF_Output!$AC$1:$AC$400,_xlfn.TEXTJOIN(",",TRUE,B132:E132))+SUMIFS(SF_Output!$G$1:$G$400,SF_Output!$AC$1:$AC$400,_xlfn.TEXTJOIN(",",TRUE,B132:E132)))&lt;&gt;0,SF_Output!$Y$2,INDEX(SF_Output!$F$1:$F$400,MATCH(_xlfn.TEXTJOIN(",",TRUE,B132:E132),SF_Output!$AC$1:$AC$400,0))=0,INDEX(SF_Output!$R$1:$R$400,MATCH(_xlfn.TEXTJOIN(",",TRUE,B132:E132),SF_Output!$AC$1:$AC$400,0)))</f>
        <v>0</v>
      </c>
      <c r="I132" s="125" t="str">
        <f>IFERROR(IF(AND(H132&gt;1,H132&lt;&gt;""),ROUND(SUMIFS(SF_Output!$S$1:$S$400,SF_Output!$AC$1:$AC$400,_xlfn.TEXTJOIN(",",TRUE,B132:E132),SF_Output!$Q$1:$Q$400,"monthly")*(1-W132)/H132,4),""),"")</f>
        <v/>
      </c>
      <c r="J132" s="6">
        <f>IF(B132="","",SUMIFS(SF_Output!$S$1:$S$400,SF_Output!$AC$1:$AC$400,_xlfn.TEXTJOIN(",",TRUE,B132:E132),SF_Output!$Q$1:$Q$400,"One Time",SF_Output!$L$1:$L$400,"license fee")+SUMIFS(SF_Output!$S$1:$S$400,SF_Output!$AC$1:$AC$400,_xlfn.TEXTJOIN(",",TRUE,B132:E132),SF_Output!$Q$1:$Q$400,"One Time",SF_Output!$L$1:$L$400,"software license")+SUMIFS(SF_Output!$S$1:$S$400,SF_Output!$AC$1:$AC$400,_xlfn.TEXTJOIN(",",TRUE,B132:E132),SF_Output!$Q$1:$Q$400,"One Time",SF_Output!$L$1:$L$400,"hardware"))</f>
        <v>0</v>
      </c>
      <c r="K132" s="112" t="str">
        <f>IF(OR(B132=0,B132="",G132="hardware",J132=0),"",IF(AF132&lt;&gt;"exclusion",MAX(K$9,-((SUMIFS(SF_Output!$T$1:$T$400,SF_Output!$AC$1:$AC$400,_xlfn.TEXTJOIN(",",TRUE,$B132:$E132),SF_Output!$Q$1:$Q$400,"One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license"))/J132)))</f>
        <v/>
      </c>
      <c r="L132" s="6">
        <f t="shared" si="18"/>
        <v>0</v>
      </c>
      <c r="N132" s="6">
        <f>IF(B132="","",SUMIFS(SF_Output!$S$1:$S$400,SF_Output!$AC$1:$AC$400,_xlfn.TEXTJOIN(",",TRUE,B132:E132),SF_Output!$Q$1:$Q$400,"One Time",SF_Output!$L$1:$L$400,"professional service"))</f>
        <v>0</v>
      </c>
      <c r="O132" s="112" t="str">
        <f>IF(OR(B132=0,B132="",N132=0),"",IF(AF132&lt;&gt;"exclusion",MAX(O$9,-(SUMIFS(SF_Output!$T$1:$T$400,SF_Output!$AC$1:$AC$400,_xlfn.TEXTJOIN(",",TRUE,$B132:$E132),SF_Output!$Q$1:$Q$400,"One Time",SF_Output!$L$1:$L$400,"professional service"))/N132),-((SUMIFS(SF_Output!$T$1:$T$400,SF_Output!$AC$1:$AC$400,_xlfn.TEXTJOIN(",",TRUE,$B132:$E132),SF_Output!$Q$1:$Q$400,"One Time",SF_Output!$L$1:$L$400,"professional service")/N132))))</f>
        <v/>
      </c>
      <c r="P132" s="6">
        <f t="shared" si="19"/>
        <v>0</v>
      </c>
      <c r="R132" s="6">
        <f>IF(B132="","",SUMIFS(SF_Output!$S$1:$S$400,SF_Output!$AC$1:$AC$400,_xlfn.TEXTJOIN(",",TRUE,B132:E132),SF_Output!$Q$1:$Q$400,"yearly")+SUMIFS(SF_Output!$S$1:$S$400,SF_Output!$AC$1:$AC$400,_xlfn.TEXTJOIN(",",TRUE,B132:E132),SF_Output!$Q$1:$Q$400,"quarterly")*4)</f>
        <v>0</v>
      </c>
      <c r="S132" s="112" t="str">
        <f>IF(OR(B132=0,B132="",G132="hardware",R132=0),"",IF(AF132&lt;&gt;"exclusion",MAX(S$9,-(SUMIFS(SF_Output!$T$1:$T$400,SF_Output!$AC$1:$AC$400,_xlfn.TEXTJOIN(",",TRUE,$B132:$E132),SF_Output!$Q$1:$Q$400,"yearly"))/R132),-((SUMIFS(SF_Output!$T$1:$T$400,SF_Output!$AC$1:$AC$400,_xlfn.TEXTJOIN(",",TRUE,$B132:$E132),SF_Output!$Q$1:$Q$400,"yearly")/R132))))</f>
        <v/>
      </c>
      <c r="T132" s="6">
        <f t="shared" si="20"/>
        <v>0</v>
      </c>
      <c r="V132" s="6" cm="1">
        <f t="array" ref="V132">_xlfn.IFS(B132="","",AND(B132&lt;&gt;"",H132=SF_Output!$Y$2,SUMIFS(SF_Output!$T$1:$T$400,SF_Output!$AC$1:$AC$400,_xlfn.TEXTJOIN(",",TRUE,B132:E132),SF_Output!$Q$1:$Q$400,"monthly")=0),(SUMIFS(SF_Output!$F$1:$F$400,SF_Output!$AC$1:$AC$400,_xlfn.TEXTJOIN(",",TRUE,B132:E132),SF_Output!$Q$1:$Q$400,"monthly")+SUMIFS(SF_Output!$G$1:$G$400,SF_Output!$AC$1:$AC$400,_xlfn.TEXTJOIN(",",TRUE,B132:E132),SF_Output!$Q$1:$Q$400,"monthly"))*H132,AND(B132&lt;&gt;"",H132=SF_Output!$Y$2,SUMIFS(SF_Output!$T$1:$T$400,SF_Output!$AC$1:$AC$400,_xlfn.TEXTJOIN(",",TRUE,B132:E132),SF_Output!$Q$1:$Q$400,"monthly")&lt;&gt;0),SUMIFS(SF_Output!$S$1:$S$400,SF_Output!$AC$1:$AC$400,_xlfn.TEXTJOIN(",",TRUE,B132:E132),SF_Output!$Q$1:$Q$400,"monthly"),AND(B132&lt;&gt;"",H132&lt;&gt;SF_Output!$Y$2),SUMIFS(SF_Output!$S$1:$S$400,SF_Output!$AC$1:$AC$400,_xlfn.TEXTJOIN(",",TRUE,B132:E132),SF_Output!$Q$1:$Q$400,"monthly"))</f>
        <v>0</v>
      </c>
      <c r="W132" s="112" t="str" cm="1">
        <f t="array" ref="W132">_xlfn.IFS(OR(B132=0,B132="",V132=0),"",AF132&lt;&gt;"exclusion",MAX($W$9,$W$7,(-(SUMIFS(SF_Output!$T$1:$T$400,SF_Output!$AC$1:$AC$400,_xlfn.TEXTJOIN(",",TRUE,$B132:$E132),SF_Output!$Q$1:$Q$400,"monthly"))/V132)),AF132="exclusion",-(SUMIFS(SF_Output!$T$1:$T$400,SF_Output!$AC$1:$AC$400,_xlfn.TEXTJOIN(",",TRUE,$B132:$E132),SF_Output!$Q$1:$Q$400,"monthly"))/V132)</f>
        <v/>
      </c>
      <c r="X132" s="6" cm="1">
        <f t="array" ref="X132">IFERROR(_xlfn.IFS(V132=0,0,V132="","",W132=0,V132,OR(V132&lt;&gt;0,V132&lt;&gt;""),H132*I132),V132*(1-W132))</f>
        <v>0</v>
      </c>
      <c r="Z132" s="6">
        <f>IFERROR(IF(B132="","",SUMIFS(Billing_Fallout!H:H,Billing_Fallout!N:N,B132)),0)</f>
        <v>0</v>
      </c>
      <c r="AA132" s="6">
        <f t="shared" si="21"/>
        <v>0</v>
      </c>
      <c r="AB132" s="6">
        <f>IFERROR(IF(B132="","",SUMIFS(Billing_Fallout!J:J,Billing_Fallout!N:N,B132)),0)</f>
        <v>0</v>
      </c>
      <c r="AD132" s="6">
        <f t="shared" si="22"/>
        <v>0</v>
      </c>
      <c r="AF132" t="str">
        <f>IFERROR(INDEX(H_Tables!$B$1:$B$1500,MATCH(INDEX(SF_Output!$J$1:$J$400,MATCH(B132,SF_Output!$M$1:$M$400,0)),H_Tables!$A$1:$A$1500,0)),"")</f>
        <v>Exclusion</v>
      </c>
      <c r="AI132" s="119" t="str">
        <f t="shared" si="23"/>
        <v/>
      </c>
      <c r="AJ132" s="121">
        <f>IFERROR(INDEX(SF_Output!AD:AD,MATCH(_xlfn.TEXTJOIN(",",TRUE,B132:E132),SF_Output!AC1:AC400,0)),0.05)</f>
        <v>214</v>
      </c>
      <c r="AK132" t="str">
        <f>IF(SUMIFS(SF_Output!$F$1:$F$400,SF_Output!$AC$1:$AC$400,_xlfn.TEXTJOIN(",",TRUE,B132:E132))+SUMIFS(SF_Output!$G$1:$G$400,SF_Output!$AC$1:$AC$400,_xlfn.TEXTJOIN(",",TRUE,B132:E132))=0,"","PAP")</f>
        <v/>
      </c>
      <c r="AQ132" s="35"/>
      <c r="AR132" s="35" t="str" cm="1">
        <f t="array" ref="AR132">IFERROR(_xlfn.IFS(AND(E132*1=1,F132="Included"),"Change to Included",AND(E132*1=0,F132="Optional"),"Change to Optional",OR(B132="",F132="replaced"),""),"")</f>
        <v/>
      </c>
      <c r="AS132" s="35" t="str">
        <f t="shared" si="24"/>
        <v/>
      </c>
      <c r="AT132" s="35" t="str">
        <f t="shared" si="25"/>
        <v/>
      </c>
      <c r="AU132" s="35" t="str">
        <f t="shared" si="26"/>
        <v/>
      </c>
      <c r="AV132" s="35" t="str">
        <f t="shared" si="27"/>
        <v/>
      </c>
      <c r="AW132" s="35" t="str">
        <f t="shared" si="28"/>
        <v/>
      </c>
      <c r="AX132" s="35" t="str">
        <f t="shared" si="29"/>
        <v/>
      </c>
      <c r="AY132" s="35" t="str">
        <f t="shared" si="30"/>
        <v/>
      </c>
      <c r="AZ132" s="35" t="str">
        <f t="shared" si="31"/>
        <v/>
      </c>
      <c r="BA132" s="35" t="str">
        <f t="shared" si="32"/>
        <v/>
      </c>
      <c r="BB132" s="35" t="str">
        <f t="shared" si="33"/>
        <v/>
      </c>
      <c r="BC132" s="35"/>
      <c r="BE132" s="35">
        <f ca="1">INDEX(SF_Output!$AA$2:$AA$400,MATCH($B132,SF_Output!$M$2:$M$400,0))</f>
        <v>6</v>
      </c>
      <c r="BF132" s="35">
        <f ca="1">INDEX(SF_Output!$AB$2:$AB$400,MATCH($B132,SF_Output!$M$2:$M$400,0))</f>
        <v>1</v>
      </c>
    </row>
    <row r="133" spans="2:58" x14ac:dyDescent="0.25">
      <c r="B133" t="s">
        <v>2427</v>
      </c>
      <c r="C133" t="s">
        <v>2122</v>
      </c>
      <c r="D133" t="s">
        <v>2207</v>
      </c>
      <c r="E133" t="s">
        <v>2124</v>
      </c>
      <c r="F133" s="116" t="str">
        <f t="shared" si="17"/>
        <v>Included</v>
      </c>
      <c r="G133" t="str">
        <f>IF(B133="","",INDEX(SF_Output!$K$1:$K$400,MATCH(B133,SF_Output!$M$1:$M$400,0)))</f>
        <v>Card Processing Solutions (CPS)</v>
      </c>
      <c r="H133" cm="1">
        <f t="array" ref="H133">_xlfn.IFS(B133="","",(SUMIFS(SF_Output!$F$1:$F$400,SF_Output!$AC$1:$AC$400,_xlfn.TEXTJOIN(",",TRUE,B133:E133))+SUMIFS(SF_Output!$G$1:$G$400,SF_Output!$AC$1:$AC$400,_xlfn.TEXTJOIN(",",TRUE,B133:E133)))&lt;&gt;0,SF_Output!$Y$2,INDEX(SF_Output!$F$1:$F$400,MATCH(_xlfn.TEXTJOIN(",",TRUE,B133:E133),SF_Output!$AC$1:$AC$400,0))=0,INDEX(SF_Output!$R$1:$R$400,MATCH(_xlfn.TEXTJOIN(",",TRUE,B133:E133),SF_Output!$AC$1:$AC$400,0)))</f>
        <v>1</v>
      </c>
      <c r="I133" s="125" t="str">
        <f>IFERROR(IF(AND(H133&gt;1,H133&lt;&gt;""),ROUND(SUMIFS(SF_Output!$S$1:$S$400,SF_Output!$AC$1:$AC$400,_xlfn.TEXTJOIN(",",TRUE,B133:E133),SF_Output!$Q$1:$Q$400,"monthly")*(1-W133)/H133,4),""),"")</f>
        <v/>
      </c>
      <c r="J133" s="6">
        <f>IF(B133="","",SUMIFS(SF_Output!$S$1:$S$400,SF_Output!$AC$1:$AC$400,_xlfn.TEXTJOIN(",",TRUE,B133:E133),SF_Output!$Q$1:$Q$400,"One Time",SF_Output!$L$1:$L$400,"license fee")+SUMIFS(SF_Output!$S$1:$S$400,SF_Output!$AC$1:$AC$400,_xlfn.TEXTJOIN(",",TRUE,B133:E133),SF_Output!$Q$1:$Q$400,"One Time",SF_Output!$L$1:$L$400,"software license")+SUMIFS(SF_Output!$S$1:$S$400,SF_Output!$AC$1:$AC$400,_xlfn.TEXTJOIN(",",TRUE,B133:E133),SF_Output!$Q$1:$Q$400,"One Time",SF_Output!$L$1:$L$400,"hardware"))</f>
        <v>0</v>
      </c>
      <c r="K133" s="112" t="str">
        <f>IF(OR(B133=0,B133="",G133="hardware",J133=0),"",IF(AF133&lt;&gt;"exclusion",MAX(K$9,-((SUMIFS(SF_Output!$T$1:$T$400,SF_Output!$AC$1:$AC$400,_xlfn.TEXTJOIN(",",TRUE,$B133:$E133),SF_Output!$Q$1:$Q$400,"One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license"))/J133)))</f>
        <v/>
      </c>
      <c r="L133" s="6">
        <f t="shared" si="18"/>
        <v>0</v>
      </c>
      <c r="N133" s="6">
        <f>IF(B133="","",SUMIFS(SF_Output!$S$1:$S$400,SF_Output!$AC$1:$AC$400,_xlfn.TEXTJOIN(",",TRUE,B133:E133),SF_Output!$Q$1:$Q$400,"One Time",SF_Output!$L$1:$L$400,"professional service"))</f>
        <v>600</v>
      </c>
      <c r="O133" s="112">
        <f>IF(OR(B133=0,B133="",N133=0),"",IF(AF133&lt;&gt;"exclusion",MAX(O$9,-(SUMIFS(SF_Output!$T$1:$T$400,SF_Output!$AC$1:$AC$400,_xlfn.TEXTJOIN(",",TRUE,$B133:$E133),SF_Output!$Q$1:$Q$400,"One Time",SF_Output!$L$1:$L$400,"professional service"))/N133),-((SUMIFS(SF_Output!$T$1:$T$400,SF_Output!$AC$1:$AC$400,_xlfn.TEXTJOIN(",",TRUE,$B133:$E133),SF_Output!$Q$1:$Q$400,"One Time",SF_Output!$L$1:$L$400,"professional service")/N133))))</f>
        <v>1</v>
      </c>
      <c r="P133" s="6">
        <f t="shared" si="19"/>
        <v>0</v>
      </c>
      <c r="R133" s="6">
        <f>IF(B133="","",SUMIFS(SF_Output!$S$1:$S$400,SF_Output!$AC$1:$AC$400,_xlfn.TEXTJOIN(",",TRUE,B133:E133),SF_Output!$Q$1:$Q$400,"yearly")+SUMIFS(SF_Output!$S$1:$S$400,SF_Output!$AC$1:$AC$400,_xlfn.TEXTJOIN(",",TRUE,B133:E133),SF_Output!$Q$1:$Q$400,"quarterly")*4)</f>
        <v>0</v>
      </c>
      <c r="S133" s="112" t="str">
        <f>IF(OR(B133=0,B133="",G133="hardware",R133=0),"",IF(AF133&lt;&gt;"exclusion",MAX(S$9,-(SUMIFS(SF_Output!$T$1:$T$400,SF_Output!$AC$1:$AC$400,_xlfn.TEXTJOIN(",",TRUE,$B133:$E133),SF_Output!$Q$1:$Q$400,"yearly"))/R133),-((SUMIFS(SF_Output!$T$1:$T$400,SF_Output!$AC$1:$AC$400,_xlfn.TEXTJOIN(",",TRUE,$B133:$E133),SF_Output!$Q$1:$Q$400,"yearly")/R133))))</f>
        <v/>
      </c>
      <c r="T133" s="6">
        <f t="shared" si="20"/>
        <v>0</v>
      </c>
      <c r="V133" s="6" cm="1">
        <f t="array" ref="V133">_xlfn.IFS(B133="","",AND(B133&lt;&gt;"",H133=SF_Output!$Y$2,SUMIFS(SF_Output!$T$1:$T$400,SF_Output!$AC$1:$AC$400,_xlfn.TEXTJOIN(",",TRUE,B133:E133),SF_Output!$Q$1:$Q$400,"monthly")=0),(SUMIFS(SF_Output!$F$1:$F$400,SF_Output!$AC$1:$AC$400,_xlfn.TEXTJOIN(",",TRUE,B133:E133),SF_Output!$Q$1:$Q$400,"monthly")+SUMIFS(SF_Output!$G$1:$G$400,SF_Output!$AC$1:$AC$400,_xlfn.TEXTJOIN(",",TRUE,B133:E133),SF_Output!$Q$1:$Q$400,"monthly"))*H133,AND(B133&lt;&gt;"",H133=SF_Output!$Y$2,SUMIFS(SF_Output!$T$1:$T$400,SF_Output!$AC$1:$AC$400,_xlfn.TEXTJOIN(",",TRUE,B133:E133),SF_Output!$Q$1:$Q$400,"monthly")&lt;&gt;0),SUMIFS(SF_Output!$S$1:$S$400,SF_Output!$AC$1:$AC$400,_xlfn.TEXTJOIN(",",TRUE,B133:E133),SF_Output!$Q$1:$Q$400,"monthly"),AND(B133&lt;&gt;"",H133&lt;&gt;SF_Output!$Y$2),SUMIFS(SF_Output!$S$1:$S$400,SF_Output!$AC$1:$AC$400,_xlfn.TEXTJOIN(",",TRUE,B133:E133),SF_Output!$Q$1:$Q$400,"monthly"))</f>
        <v>50</v>
      </c>
      <c r="W133" s="112" cm="1">
        <f t="array" ref="W133">_xlfn.IFS(OR(B133=0,B133="",V133=0),"",AF133&lt;&gt;"exclusion",MAX($W$9,$W$7,(-(SUMIFS(SF_Output!$T$1:$T$400,SF_Output!$AC$1:$AC$400,_xlfn.TEXTJOIN(",",TRUE,$B133:$E133),SF_Output!$Q$1:$Q$400,"monthly"))/V133)),AF133="exclusion",-(SUMIFS(SF_Output!$T$1:$T$400,SF_Output!$AC$1:$AC$400,_xlfn.TEXTJOIN(",",TRUE,$B133:$E133),SF_Output!$Q$1:$Q$400,"monthly"))/V133)</f>
        <v>0</v>
      </c>
      <c r="X133" s="6" cm="1">
        <f t="array" ref="X133">IFERROR(_xlfn.IFS(V133=0,0,V133="","",W133=0,V133,OR(V133&lt;&gt;0,V133&lt;&gt;""),H133*I133),V133*(1-W133))</f>
        <v>50</v>
      </c>
      <c r="Z133" s="6">
        <f>IFERROR(IF(B133="","",SUMIFS(Billing_Fallout!H:H,Billing_Fallout!N:N,B133)),0)</f>
        <v>0</v>
      </c>
      <c r="AA133" s="6">
        <f t="shared" si="21"/>
        <v>0</v>
      </c>
      <c r="AB133" s="6">
        <f>IFERROR(IF(B133="","",SUMIFS(Billing_Fallout!J:J,Billing_Fallout!N:N,B133)),0)</f>
        <v>0</v>
      </c>
      <c r="AD133" s="6">
        <f t="shared" si="22"/>
        <v>50</v>
      </c>
      <c r="AF133" t="str">
        <f>IFERROR(INDEX(H_Tables!$B$1:$B$1500,MATCH(INDEX(SF_Output!$J$1:$J$400,MATCH(B133,SF_Output!$M$1:$M$400,0)),H_Tables!$A$1:$A$1500,0)),"")</f>
        <v>Exclusion</v>
      </c>
      <c r="AI133" s="119" t="str">
        <f t="shared" si="23"/>
        <v/>
      </c>
      <c r="AJ133" s="121">
        <f>IFERROR(INDEX(SF_Output!AD:AD,MATCH(_xlfn.TEXTJOIN(",",TRUE,B133:E133),SF_Output!AC1:AC400,0)),0.05)</f>
        <v>215</v>
      </c>
      <c r="AK133" t="str">
        <f>IF(SUMIFS(SF_Output!$F$1:$F$400,SF_Output!$AC$1:$AC$400,_xlfn.TEXTJOIN(",",TRUE,B133:E133))+SUMIFS(SF_Output!$G$1:$G$400,SF_Output!$AC$1:$AC$400,_xlfn.TEXTJOIN(",",TRUE,B133:E133))=0,"","PAP")</f>
        <v/>
      </c>
      <c r="AQ133" s="35"/>
      <c r="AR133" s="35" t="str" cm="1">
        <f t="array" ref="AR133">IFERROR(_xlfn.IFS(AND(E133*1=1,F133="Included"),"Change to Included",AND(E133*1=0,F133="Optional"),"Change to Optional",OR(B133="",F133="replaced"),""),"")</f>
        <v/>
      </c>
      <c r="AS133" s="35" t="str">
        <f t="shared" si="24"/>
        <v/>
      </c>
      <c r="AT133" s="35" t="str">
        <f t="shared" si="25"/>
        <v/>
      </c>
      <c r="AU133" s="35" t="str">
        <f t="shared" si="26"/>
        <v/>
      </c>
      <c r="AV133" s="35" t="str">
        <f t="shared" si="27"/>
        <v/>
      </c>
      <c r="AW133" s="35" t="str">
        <f t="shared" si="28"/>
        <v/>
      </c>
      <c r="AX133" s="35" t="str">
        <f t="shared" si="29"/>
        <v/>
      </c>
      <c r="AY133" s="35" t="str">
        <f t="shared" si="30"/>
        <v/>
      </c>
      <c r="AZ133" s="35" t="str">
        <f t="shared" si="31"/>
        <v/>
      </c>
      <c r="BA133" s="35" t="str">
        <f t="shared" si="32"/>
        <v/>
      </c>
      <c r="BB133" s="35" t="str">
        <f t="shared" si="33"/>
        <v/>
      </c>
      <c r="BC133" s="35"/>
      <c r="BE133" s="35">
        <f ca="1">INDEX(SF_Output!$AA$2:$AA$400,MATCH($B133,SF_Output!$M$2:$M$400,0))</f>
        <v>6</v>
      </c>
      <c r="BF133" s="35">
        <f ca="1">INDEX(SF_Output!$AB$2:$AB$400,MATCH($B133,SF_Output!$M$2:$M$400,0))</f>
        <v>1</v>
      </c>
    </row>
    <row r="134" spans="2:58" x14ac:dyDescent="0.25">
      <c r="B134" t="s">
        <v>1825</v>
      </c>
      <c r="C134" t="s">
        <v>2122</v>
      </c>
      <c r="D134" t="s">
        <v>2207</v>
      </c>
      <c r="E134" t="s">
        <v>2124</v>
      </c>
      <c r="F134" s="116" t="str">
        <f t="shared" si="17"/>
        <v>Included</v>
      </c>
      <c r="G134" t="str">
        <f>IF(B134="","",INDEX(SF_Output!$K$1:$K$400,MATCH(B134,SF_Output!$M$1:$M$400,0)))</f>
        <v>Card Processing Solutions (CPS)</v>
      </c>
      <c r="H134" cm="1">
        <f t="array" ref="H134">_xlfn.IFS(B134="","",(SUMIFS(SF_Output!$F$1:$F$400,SF_Output!$AC$1:$AC$400,_xlfn.TEXTJOIN(",",TRUE,B134:E134))+SUMIFS(SF_Output!$G$1:$G$400,SF_Output!$AC$1:$AC$400,_xlfn.TEXTJOIN(",",TRUE,B134:E134)))&lt;&gt;0,SF_Output!$Y$2,INDEX(SF_Output!$F$1:$F$400,MATCH(_xlfn.TEXTJOIN(",",TRUE,B134:E134),SF_Output!$AC$1:$AC$400,0))=0,INDEX(SF_Output!$R$1:$R$400,MATCH(_xlfn.TEXTJOIN(",",TRUE,B134:E134),SF_Output!$AC$1:$AC$400,0)))</f>
        <v>1</v>
      </c>
      <c r="I134" s="125" t="str">
        <f>IFERROR(IF(AND(H134&gt;1,H134&lt;&gt;""),ROUND(SUMIFS(SF_Output!$S$1:$S$400,SF_Output!$AC$1:$AC$400,_xlfn.TEXTJOIN(",",TRUE,B134:E134),SF_Output!$Q$1:$Q$400,"monthly")*(1-W134)/H134,4),""),"")</f>
        <v/>
      </c>
      <c r="J134" s="6">
        <f>IF(B134="","",SUMIFS(SF_Output!$S$1:$S$400,SF_Output!$AC$1:$AC$400,_xlfn.TEXTJOIN(",",TRUE,B134:E134),SF_Output!$Q$1:$Q$400,"One Time",SF_Output!$L$1:$L$400,"license fee")+SUMIFS(SF_Output!$S$1:$S$400,SF_Output!$AC$1:$AC$400,_xlfn.TEXTJOIN(",",TRUE,B134:E134),SF_Output!$Q$1:$Q$400,"One Time",SF_Output!$L$1:$L$400,"software license")+SUMIFS(SF_Output!$S$1:$S$400,SF_Output!$AC$1:$AC$400,_xlfn.TEXTJOIN(",",TRUE,B134:E134),SF_Output!$Q$1:$Q$400,"One Time",SF_Output!$L$1:$L$400,"hardware"))</f>
        <v>0</v>
      </c>
      <c r="K134" s="112" t="str">
        <f>IF(OR(B134=0,B134="",G134="hardware",J134=0),"",IF(AF134&lt;&gt;"exclusion",MAX(K$9,-((SUMIFS(SF_Output!$T$1:$T$400,SF_Output!$AC$1:$AC$400,_xlfn.TEXTJOIN(",",TRUE,$B134:$E134),SF_Output!$Q$1:$Q$400,"One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license"))/J134)))</f>
        <v/>
      </c>
      <c r="L134" s="6">
        <f t="shared" si="18"/>
        <v>0</v>
      </c>
      <c r="N134" s="6">
        <f>IF(B134="","",SUMIFS(SF_Output!$S$1:$S$400,SF_Output!$AC$1:$AC$400,_xlfn.TEXTJOIN(",",TRUE,B134:E134),SF_Output!$Q$1:$Q$400,"One Time",SF_Output!$L$1:$L$400,"professional service"))</f>
        <v>1500</v>
      </c>
      <c r="O134" s="112">
        <f>IF(OR(B134=0,B134="",N134=0),"",IF(AF134&lt;&gt;"exclusion",MAX(O$9,-(SUMIFS(SF_Output!$T$1:$T$400,SF_Output!$AC$1:$AC$400,_xlfn.TEXTJOIN(",",TRUE,$B134:$E134),SF_Output!$Q$1:$Q$400,"One Time",SF_Output!$L$1:$L$400,"professional service"))/N134),-((SUMIFS(SF_Output!$T$1:$T$400,SF_Output!$AC$1:$AC$400,_xlfn.TEXTJOIN(",",TRUE,$B134:$E134),SF_Output!$Q$1:$Q$400,"One Time",SF_Output!$L$1:$L$400,"professional service")/N134))))</f>
        <v>1</v>
      </c>
      <c r="P134" s="6">
        <f t="shared" si="19"/>
        <v>0</v>
      </c>
      <c r="R134" s="6">
        <f>IF(B134="","",SUMIFS(SF_Output!$S$1:$S$400,SF_Output!$AC$1:$AC$400,_xlfn.TEXTJOIN(",",TRUE,B134:E134),SF_Output!$Q$1:$Q$400,"yearly")+SUMIFS(SF_Output!$S$1:$S$400,SF_Output!$AC$1:$AC$400,_xlfn.TEXTJOIN(",",TRUE,B134:E134),SF_Output!$Q$1:$Q$400,"quarterly")*4)</f>
        <v>0</v>
      </c>
      <c r="S134" s="112" t="str">
        <f>IF(OR(B134=0,B134="",G134="hardware",R134=0),"",IF(AF134&lt;&gt;"exclusion",MAX(S$9,-(SUMIFS(SF_Output!$T$1:$T$400,SF_Output!$AC$1:$AC$400,_xlfn.TEXTJOIN(",",TRUE,$B134:$E134),SF_Output!$Q$1:$Q$400,"yearly"))/R134),-((SUMIFS(SF_Output!$T$1:$T$400,SF_Output!$AC$1:$AC$400,_xlfn.TEXTJOIN(",",TRUE,$B134:$E134),SF_Output!$Q$1:$Q$400,"yearly")/R134))))</f>
        <v/>
      </c>
      <c r="T134" s="6">
        <f t="shared" si="20"/>
        <v>0</v>
      </c>
      <c r="V134" s="6" cm="1">
        <f t="array" ref="V134">_xlfn.IFS(B134="","",AND(B134&lt;&gt;"",H134=SF_Output!$Y$2,SUMIFS(SF_Output!$T$1:$T$400,SF_Output!$AC$1:$AC$400,_xlfn.TEXTJOIN(",",TRUE,B134:E134),SF_Output!$Q$1:$Q$400,"monthly")=0),(SUMIFS(SF_Output!$F$1:$F$400,SF_Output!$AC$1:$AC$400,_xlfn.TEXTJOIN(",",TRUE,B134:E134),SF_Output!$Q$1:$Q$400,"monthly")+SUMIFS(SF_Output!$G$1:$G$400,SF_Output!$AC$1:$AC$400,_xlfn.TEXTJOIN(",",TRUE,B134:E134),SF_Output!$Q$1:$Q$400,"monthly"))*H134,AND(B134&lt;&gt;"",H134=SF_Output!$Y$2,SUMIFS(SF_Output!$T$1:$T$400,SF_Output!$AC$1:$AC$400,_xlfn.TEXTJOIN(",",TRUE,B134:E134),SF_Output!$Q$1:$Q$400,"monthly")&lt;&gt;0),SUMIFS(SF_Output!$S$1:$S$400,SF_Output!$AC$1:$AC$400,_xlfn.TEXTJOIN(",",TRUE,B134:E134),SF_Output!$Q$1:$Q$400,"monthly"),AND(B134&lt;&gt;"",H134&lt;&gt;SF_Output!$Y$2),SUMIFS(SF_Output!$S$1:$S$400,SF_Output!$AC$1:$AC$400,_xlfn.TEXTJOIN(",",TRUE,B134:E134),SF_Output!$Q$1:$Q$400,"monthly"))</f>
        <v>150</v>
      </c>
      <c r="W134" s="112" cm="1">
        <f t="array" ref="W134">_xlfn.IFS(OR(B134=0,B134="",V134=0),"",AF134&lt;&gt;"exclusion",MAX($W$9,$W$7,(-(SUMIFS(SF_Output!$T$1:$T$400,SF_Output!$AC$1:$AC$400,_xlfn.TEXTJOIN(",",TRUE,$B134:$E134),SF_Output!$Q$1:$Q$400,"monthly"))/V134)),AF134="exclusion",-(SUMIFS(SF_Output!$T$1:$T$400,SF_Output!$AC$1:$AC$400,_xlfn.TEXTJOIN(",",TRUE,$B134:$E134),SF_Output!$Q$1:$Q$400,"monthly"))/V134)</f>
        <v>0</v>
      </c>
      <c r="X134" s="6" cm="1">
        <f t="array" ref="X134">IFERROR(_xlfn.IFS(V134=0,0,V134="","",W134=0,V134,OR(V134&lt;&gt;0,V134&lt;&gt;""),H134*I134),V134*(1-W134))</f>
        <v>150</v>
      </c>
      <c r="Z134" s="6">
        <f>IFERROR(IF(B134="","",SUMIFS(Billing_Fallout!H:H,Billing_Fallout!N:N,B134)),0)</f>
        <v>0</v>
      </c>
      <c r="AA134" s="6">
        <f t="shared" si="21"/>
        <v>0</v>
      </c>
      <c r="AB134" s="6">
        <f>IFERROR(IF(B134="","",SUMIFS(Billing_Fallout!J:J,Billing_Fallout!N:N,B134)),0)</f>
        <v>0</v>
      </c>
      <c r="AD134" s="6">
        <f t="shared" si="22"/>
        <v>150</v>
      </c>
      <c r="AF134" t="str">
        <f>IFERROR(INDEX(H_Tables!$B$1:$B$1500,MATCH(INDEX(SF_Output!$J$1:$J$400,MATCH(B134,SF_Output!$M$1:$M$400,0)),H_Tables!$A$1:$A$1500,0)),"")</f>
        <v>Exclusion</v>
      </c>
      <c r="AI134" s="119" t="str">
        <f t="shared" si="23"/>
        <v/>
      </c>
      <c r="AJ134" s="121">
        <f>IFERROR(INDEX(SF_Output!AD:AD,MATCH(_xlfn.TEXTJOIN(",",TRUE,B134:E134),SF_Output!AC1:AC400,0)),0.05)</f>
        <v>217</v>
      </c>
      <c r="AK134" t="str">
        <f>IF(SUMIFS(SF_Output!$F$1:$F$400,SF_Output!$AC$1:$AC$400,_xlfn.TEXTJOIN(",",TRUE,B134:E134))+SUMIFS(SF_Output!$G$1:$G$400,SF_Output!$AC$1:$AC$400,_xlfn.TEXTJOIN(",",TRUE,B134:E134))=0,"","PAP")</f>
        <v/>
      </c>
      <c r="AQ134" s="35"/>
      <c r="AR134" s="35" t="str" cm="1">
        <f t="array" ref="AR134">IFERROR(_xlfn.IFS(AND(E134*1=1,F134="Included"),"Change to Included",AND(E134*1=0,F134="Optional"),"Change to Optional",OR(B134="",F134="replaced"),""),"")</f>
        <v/>
      </c>
      <c r="AS134" s="35" t="str">
        <f t="shared" si="24"/>
        <v/>
      </c>
      <c r="AT134" s="35" t="str">
        <f t="shared" si="25"/>
        <v/>
      </c>
      <c r="AU134" s="35" t="str">
        <f t="shared" si="26"/>
        <v/>
      </c>
      <c r="AV134" s="35" t="str">
        <f t="shared" si="27"/>
        <v/>
      </c>
      <c r="AW134" s="35" t="str">
        <f t="shared" si="28"/>
        <v/>
      </c>
      <c r="AX134" s="35" t="str">
        <f t="shared" si="29"/>
        <v/>
      </c>
      <c r="AY134" s="35" t="str">
        <f t="shared" si="30"/>
        <v/>
      </c>
      <c r="AZ134" s="35" t="str">
        <f t="shared" si="31"/>
        <v/>
      </c>
      <c r="BA134" s="35" t="str">
        <f t="shared" si="32"/>
        <v/>
      </c>
      <c r="BB134" s="35" t="str">
        <f t="shared" si="33"/>
        <v/>
      </c>
      <c r="BC134" s="35"/>
      <c r="BE134" s="35">
        <f ca="1">INDEX(SF_Output!$AA$2:$AA$400,MATCH($B134,SF_Output!$M$2:$M$400,0))</f>
        <v>6</v>
      </c>
      <c r="BF134" s="35">
        <f ca="1">INDEX(SF_Output!$AB$2:$AB$400,MATCH($B134,SF_Output!$M$2:$M$400,0))</f>
        <v>1</v>
      </c>
    </row>
    <row r="135" spans="2:58" x14ac:dyDescent="0.25">
      <c r="B135" t="s">
        <v>2432</v>
      </c>
      <c r="C135" t="s">
        <v>2122</v>
      </c>
      <c r="D135" t="s">
        <v>2207</v>
      </c>
      <c r="E135" t="s">
        <v>2124</v>
      </c>
      <c r="F135" s="116" t="str">
        <f t="shared" si="17"/>
        <v>Included</v>
      </c>
      <c r="G135" t="str">
        <f>IF(B135="","",INDEX(SF_Output!$K$1:$K$400,MATCH(B135,SF_Output!$M$1:$M$400,0)))</f>
        <v>Card Processing Solutions (CPS)</v>
      </c>
      <c r="H135" cm="1">
        <f t="array" ref="H135">_xlfn.IFS(B135="","",(SUMIFS(SF_Output!$F$1:$F$400,SF_Output!$AC$1:$AC$400,_xlfn.TEXTJOIN(",",TRUE,B135:E135))+SUMIFS(SF_Output!$G$1:$G$400,SF_Output!$AC$1:$AC$400,_xlfn.TEXTJOIN(",",TRUE,B135:E135)))&lt;&gt;0,SF_Output!$Y$2,INDEX(SF_Output!$F$1:$F$400,MATCH(_xlfn.TEXTJOIN(",",TRUE,B135:E135),SF_Output!$AC$1:$AC$400,0))=0,INDEX(SF_Output!$R$1:$R$400,MATCH(_xlfn.TEXTJOIN(",",TRUE,B135:E135),SF_Output!$AC$1:$AC$400,0)))</f>
        <v>0</v>
      </c>
      <c r="I135" s="125" t="str">
        <f>IFERROR(IF(AND(H135&gt;1,H135&lt;&gt;""),ROUND(SUMIFS(SF_Output!$S$1:$S$400,SF_Output!$AC$1:$AC$400,_xlfn.TEXTJOIN(",",TRUE,B135:E135),SF_Output!$Q$1:$Q$400,"monthly")*(1-W135)/H135,4),""),"")</f>
        <v/>
      </c>
      <c r="J135" s="6">
        <f>IF(B135="","",SUMIFS(SF_Output!$S$1:$S$400,SF_Output!$AC$1:$AC$400,_xlfn.TEXTJOIN(",",TRUE,B135:E135),SF_Output!$Q$1:$Q$400,"One Time",SF_Output!$L$1:$L$400,"license fee")+SUMIFS(SF_Output!$S$1:$S$400,SF_Output!$AC$1:$AC$400,_xlfn.TEXTJOIN(",",TRUE,B135:E135),SF_Output!$Q$1:$Q$400,"One Time",SF_Output!$L$1:$L$400,"software license")+SUMIFS(SF_Output!$S$1:$S$400,SF_Output!$AC$1:$AC$400,_xlfn.TEXTJOIN(",",TRUE,B135:E135),SF_Output!$Q$1:$Q$400,"One Time",SF_Output!$L$1:$L$400,"hardware"))</f>
        <v>0</v>
      </c>
      <c r="K135" s="112" t="str">
        <f>IF(OR(B135=0,B135="",G135="hardware",J135=0),"",IF(AF135&lt;&gt;"exclusion",MAX(K$9,-((SUMIFS(SF_Output!$T$1:$T$400,SF_Output!$AC$1:$AC$400,_xlfn.TEXTJOIN(",",TRUE,$B135:$E135),SF_Output!$Q$1:$Q$400,"One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license"))/J135)))</f>
        <v/>
      </c>
      <c r="L135" s="6">
        <f t="shared" si="18"/>
        <v>0</v>
      </c>
      <c r="N135" s="6">
        <f>IF(B135="","",SUMIFS(SF_Output!$S$1:$S$400,SF_Output!$AC$1:$AC$400,_xlfn.TEXTJOIN(",",TRUE,B135:E135),SF_Output!$Q$1:$Q$400,"One Time",SF_Output!$L$1:$L$400,"professional service"))</f>
        <v>0</v>
      </c>
      <c r="O135" s="112" t="str">
        <f>IF(OR(B135=0,B135="",N135=0),"",IF(AF135&lt;&gt;"exclusion",MAX(O$9,-(SUMIFS(SF_Output!$T$1:$T$400,SF_Output!$AC$1:$AC$400,_xlfn.TEXTJOIN(",",TRUE,$B135:$E135),SF_Output!$Q$1:$Q$400,"One Time",SF_Output!$L$1:$L$400,"professional service"))/N135),-((SUMIFS(SF_Output!$T$1:$T$400,SF_Output!$AC$1:$AC$400,_xlfn.TEXTJOIN(",",TRUE,$B135:$E135),SF_Output!$Q$1:$Q$400,"One Time",SF_Output!$L$1:$L$400,"professional service")/N135))))</f>
        <v/>
      </c>
      <c r="P135" s="6">
        <f t="shared" si="19"/>
        <v>0</v>
      </c>
      <c r="R135" s="6">
        <f>IF(B135="","",SUMIFS(SF_Output!$S$1:$S$400,SF_Output!$AC$1:$AC$400,_xlfn.TEXTJOIN(",",TRUE,B135:E135),SF_Output!$Q$1:$Q$400,"yearly")+SUMIFS(SF_Output!$S$1:$S$400,SF_Output!$AC$1:$AC$400,_xlfn.TEXTJOIN(",",TRUE,B135:E135),SF_Output!$Q$1:$Q$400,"quarterly")*4)</f>
        <v>0</v>
      </c>
      <c r="S135" s="112" t="str">
        <f>IF(OR(B135=0,B135="",G135="hardware",R135=0),"",IF(AF135&lt;&gt;"exclusion",MAX(S$9,-(SUMIFS(SF_Output!$T$1:$T$400,SF_Output!$AC$1:$AC$400,_xlfn.TEXTJOIN(",",TRUE,$B135:$E135),SF_Output!$Q$1:$Q$400,"yearly"))/R135),-((SUMIFS(SF_Output!$T$1:$T$400,SF_Output!$AC$1:$AC$400,_xlfn.TEXTJOIN(",",TRUE,$B135:$E135),SF_Output!$Q$1:$Q$400,"yearly")/R135))))</f>
        <v/>
      </c>
      <c r="T135" s="6">
        <f t="shared" si="20"/>
        <v>0</v>
      </c>
      <c r="V135" s="6" cm="1">
        <f t="array" ref="V135">_xlfn.IFS(B135="","",AND(B135&lt;&gt;"",H135=SF_Output!$Y$2,SUMIFS(SF_Output!$T$1:$T$400,SF_Output!$AC$1:$AC$400,_xlfn.TEXTJOIN(",",TRUE,B135:E135),SF_Output!$Q$1:$Q$400,"monthly")=0),(SUMIFS(SF_Output!$F$1:$F$400,SF_Output!$AC$1:$AC$400,_xlfn.TEXTJOIN(",",TRUE,B135:E135),SF_Output!$Q$1:$Q$400,"monthly")+SUMIFS(SF_Output!$G$1:$G$400,SF_Output!$AC$1:$AC$400,_xlfn.TEXTJOIN(",",TRUE,B135:E135),SF_Output!$Q$1:$Q$400,"monthly"))*H135,AND(B135&lt;&gt;"",H135=SF_Output!$Y$2,SUMIFS(SF_Output!$T$1:$T$400,SF_Output!$AC$1:$AC$400,_xlfn.TEXTJOIN(",",TRUE,B135:E135),SF_Output!$Q$1:$Q$400,"monthly")&lt;&gt;0),SUMIFS(SF_Output!$S$1:$S$400,SF_Output!$AC$1:$AC$400,_xlfn.TEXTJOIN(",",TRUE,B135:E135),SF_Output!$Q$1:$Q$400,"monthly"),AND(B135&lt;&gt;"",H135&lt;&gt;SF_Output!$Y$2),SUMIFS(SF_Output!$S$1:$S$400,SF_Output!$AC$1:$AC$400,_xlfn.TEXTJOIN(",",TRUE,B135:E135),SF_Output!$Q$1:$Q$400,"monthly"))</f>
        <v>0</v>
      </c>
      <c r="W135" s="112" t="str" cm="1">
        <f t="array" ref="W135">_xlfn.IFS(OR(B135=0,B135="",V135=0),"",AF135&lt;&gt;"exclusion",MAX($W$9,$W$7,(-(SUMIFS(SF_Output!$T$1:$T$400,SF_Output!$AC$1:$AC$400,_xlfn.TEXTJOIN(",",TRUE,$B135:$E135),SF_Output!$Q$1:$Q$400,"monthly"))/V135)),AF135="exclusion",-(SUMIFS(SF_Output!$T$1:$T$400,SF_Output!$AC$1:$AC$400,_xlfn.TEXTJOIN(",",TRUE,$B135:$E135),SF_Output!$Q$1:$Q$400,"monthly"))/V135)</f>
        <v/>
      </c>
      <c r="X135" s="6" cm="1">
        <f t="array" ref="X135">IFERROR(_xlfn.IFS(V135=0,0,V135="","",W135=0,V135,OR(V135&lt;&gt;0,V135&lt;&gt;""),H135*I135),V135*(1-W135))</f>
        <v>0</v>
      </c>
      <c r="Z135" s="6">
        <f>IFERROR(IF(B135="","",SUMIFS(Billing_Fallout!H:H,Billing_Fallout!N:N,B135)),0)</f>
        <v>0</v>
      </c>
      <c r="AA135" s="6">
        <f t="shared" si="21"/>
        <v>0</v>
      </c>
      <c r="AB135" s="6">
        <f>IFERROR(IF(B135="","",SUMIFS(Billing_Fallout!J:J,Billing_Fallout!N:N,B135)),0)</f>
        <v>0</v>
      </c>
      <c r="AD135" s="6">
        <f t="shared" si="22"/>
        <v>0</v>
      </c>
      <c r="AF135" t="str">
        <f>IFERROR(INDEX(H_Tables!$B$1:$B$1500,MATCH(INDEX(SF_Output!$J$1:$J$400,MATCH(B135,SF_Output!$M$1:$M$400,0)),H_Tables!$A$1:$A$1500,0)),"")</f>
        <v>Exclusion</v>
      </c>
      <c r="AI135" s="119" t="str">
        <f t="shared" si="23"/>
        <v/>
      </c>
      <c r="AJ135" s="121">
        <f>IFERROR(INDEX(SF_Output!AD:AD,MATCH(_xlfn.TEXTJOIN(",",TRUE,B135:E135),SF_Output!AC1:AC400,0)),0.05)</f>
        <v>219</v>
      </c>
      <c r="AK135" t="str">
        <f>IF(SUMIFS(SF_Output!$F$1:$F$400,SF_Output!$AC$1:$AC$400,_xlfn.TEXTJOIN(",",TRUE,B135:E135))+SUMIFS(SF_Output!$G$1:$G$400,SF_Output!$AC$1:$AC$400,_xlfn.TEXTJOIN(",",TRUE,B135:E135))=0,"","PAP")</f>
        <v/>
      </c>
      <c r="AQ135" s="35"/>
      <c r="AR135" s="35" t="str" cm="1">
        <f t="array" ref="AR135">IFERROR(_xlfn.IFS(AND(E135*1=1,F135="Included"),"Change to Included",AND(E135*1=0,F135="Optional"),"Change to Optional",OR(B135="",F135="replaced"),""),"")</f>
        <v/>
      </c>
      <c r="AS135" s="35" t="str">
        <f t="shared" si="24"/>
        <v/>
      </c>
      <c r="AT135" s="35" t="str">
        <f t="shared" si="25"/>
        <v/>
      </c>
      <c r="AU135" s="35" t="str">
        <f t="shared" si="26"/>
        <v/>
      </c>
      <c r="AV135" s="35" t="str">
        <f t="shared" si="27"/>
        <v/>
      </c>
      <c r="AW135" s="35" t="str">
        <f t="shared" si="28"/>
        <v/>
      </c>
      <c r="AX135" s="35" t="str">
        <f t="shared" si="29"/>
        <v/>
      </c>
      <c r="AY135" s="35" t="str">
        <f t="shared" si="30"/>
        <v/>
      </c>
      <c r="AZ135" s="35" t="str">
        <f t="shared" si="31"/>
        <v/>
      </c>
      <c r="BA135" s="35" t="str">
        <f t="shared" si="32"/>
        <v/>
      </c>
      <c r="BB135" s="35" t="str">
        <f t="shared" si="33"/>
        <v/>
      </c>
      <c r="BC135" s="35"/>
      <c r="BE135" s="35">
        <f ca="1">INDEX(SF_Output!$AA$2:$AA$400,MATCH($B135,SF_Output!$M$2:$M$400,0))</f>
        <v>6</v>
      </c>
      <c r="BF135" s="35">
        <f ca="1">INDEX(SF_Output!$AB$2:$AB$400,MATCH($B135,SF_Output!$M$2:$M$400,0))</f>
        <v>1</v>
      </c>
    </row>
    <row r="136" spans="2:58" x14ac:dyDescent="0.25">
      <c r="B136" t="s">
        <v>2434</v>
      </c>
      <c r="C136" t="s">
        <v>2122</v>
      </c>
      <c r="D136" t="s">
        <v>2207</v>
      </c>
      <c r="E136" t="s">
        <v>2124</v>
      </c>
      <c r="F136" s="116" t="str">
        <f t="shared" si="17"/>
        <v>Included</v>
      </c>
      <c r="G136" t="str">
        <f>IF(B136="","",INDEX(SF_Output!$K$1:$K$400,MATCH(B136,SF_Output!$M$1:$M$400,0)))</f>
        <v>Card Processing Solutions (CPS)</v>
      </c>
      <c r="H136" cm="1">
        <f t="array" ref="H136">_xlfn.IFS(B136="","",(SUMIFS(SF_Output!$F$1:$F$400,SF_Output!$AC$1:$AC$400,_xlfn.TEXTJOIN(",",TRUE,B136:E136))+SUMIFS(SF_Output!$G$1:$G$400,SF_Output!$AC$1:$AC$400,_xlfn.TEXTJOIN(",",TRUE,B136:E136)))&lt;&gt;0,SF_Output!$Y$2,INDEX(SF_Output!$F$1:$F$400,MATCH(_xlfn.TEXTJOIN(",",TRUE,B136:E136),SF_Output!$AC$1:$AC$400,0))=0,INDEX(SF_Output!$R$1:$R$400,MATCH(_xlfn.TEXTJOIN(",",TRUE,B136:E136),SF_Output!$AC$1:$AC$400,0)))</f>
        <v>0</v>
      </c>
      <c r="I136" s="125" t="str">
        <f>IFERROR(IF(AND(H136&gt;1,H136&lt;&gt;""),ROUND(SUMIFS(SF_Output!$S$1:$S$400,SF_Output!$AC$1:$AC$400,_xlfn.TEXTJOIN(",",TRUE,B136:E136),SF_Output!$Q$1:$Q$400,"monthly")*(1-W136)/H136,4),""),"")</f>
        <v/>
      </c>
      <c r="J136" s="6">
        <f>IF(B136="","",SUMIFS(SF_Output!$S$1:$S$400,SF_Output!$AC$1:$AC$400,_xlfn.TEXTJOIN(",",TRUE,B136:E136),SF_Output!$Q$1:$Q$400,"One Time",SF_Output!$L$1:$L$400,"license fee")+SUMIFS(SF_Output!$S$1:$S$400,SF_Output!$AC$1:$AC$400,_xlfn.TEXTJOIN(",",TRUE,B136:E136),SF_Output!$Q$1:$Q$400,"One Time",SF_Output!$L$1:$L$400,"software license")+SUMIFS(SF_Output!$S$1:$S$400,SF_Output!$AC$1:$AC$400,_xlfn.TEXTJOIN(",",TRUE,B136:E136),SF_Output!$Q$1:$Q$400,"One Time",SF_Output!$L$1:$L$400,"hardware"))</f>
        <v>0</v>
      </c>
      <c r="K136" s="112" t="str">
        <f>IF(OR(B136=0,B136="",G136="hardware",J136=0),"",IF(AF136&lt;&gt;"exclusion",MAX(K$9,-((SUMIFS(SF_Output!$T$1:$T$400,SF_Output!$AC$1:$AC$400,_xlfn.TEXTJOIN(",",TRUE,$B136:$E136),SF_Output!$Q$1:$Q$400,"One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license"))/J136)))</f>
        <v/>
      </c>
      <c r="L136" s="6">
        <f t="shared" si="18"/>
        <v>0</v>
      </c>
      <c r="N136" s="6">
        <f>IF(B136="","",SUMIFS(SF_Output!$S$1:$S$400,SF_Output!$AC$1:$AC$400,_xlfn.TEXTJOIN(",",TRUE,B136:E136),SF_Output!$Q$1:$Q$400,"One Time",SF_Output!$L$1:$L$400,"professional service"))</f>
        <v>0</v>
      </c>
      <c r="O136" s="112" t="str">
        <f>IF(OR(B136=0,B136="",N136=0),"",IF(AF136&lt;&gt;"exclusion",MAX(O$9,-(SUMIFS(SF_Output!$T$1:$T$400,SF_Output!$AC$1:$AC$400,_xlfn.TEXTJOIN(",",TRUE,$B136:$E136),SF_Output!$Q$1:$Q$400,"One Time",SF_Output!$L$1:$L$400,"professional service"))/N136),-((SUMIFS(SF_Output!$T$1:$T$400,SF_Output!$AC$1:$AC$400,_xlfn.TEXTJOIN(",",TRUE,$B136:$E136),SF_Output!$Q$1:$Q$400,"One Time",SF_Output!$L$1:$L$400,"professional service")/N136))))</f>
        <v/>
      </c>
      <c r="P136" s="6">
        <f t="shared" si="19"/>
        <v>0</v>
      </c>
      <c r="R136" s="6">
        <f>IF(B136="","",SUMIFS(SF_Output!$S$1:$S$400,SF_Output!$AC$1:$AC$400,_xlfn.TEXTJOIN(",",TRUE,B136:E136),SF_Output!$Q$1:$Q$400,"yearly")+SUMIFS(SF_Output!$S$1:$S$400,SF_Output!$AC$1:$AC$400,_xlfn.TEXTJOIN(",",TRUE,B136:E136),SF_Output!$Q$1:$Q$400,"quarterly")*4)</f>
        <v>0</v>
      </c>
      <c r="S136" s="112" t="str">
        <f>IF(OR(B136=0,B136="",G136="hardware",R136=0),"",IF(AF136&lt;&gt;"exclusion",MAX(S$9,-(SUMIFS(SF_Output!$T$1:$T$400,SF_Output!$AC$1:$AC$400,_xlfn.TEXTJOIN(",",TRUE,$B136:$E136),SF_Output!$Q$1:$Q$400,"yearly"))/R136),-((SUMIFS(SF_Output!$T$1:$T$400,SF_Output!$AC$1:$AC$400,_xlfn.TEXTJOIN(",",TRUE,$B136:$E136),SF_Output!$Q$1:$Q$400,"yearly")/R136))))</f>
        <v/>
      </c>
      <c r="T136" s="6">
        <f t="shared" si="20"/>
        <v>0</v>
      </c>
      <c r="V136" s="6" cm="1">
        <f t="array" ref="V136">_xlfn.IFS(B136="","",AND(B136&lt;&gt;"",H136=SF_Output!$Y$2,SUMIFS(SF_Output!$T$1:$T$400,SF_Output!$AC$1:$AC$400,_xlfn.TEXTJOIN(",",TRUE,B136:E136),SF_Output!$Q$1:$Q$400,"monthly")=0),(SUMIFS(SF_Output!$F$1:$F$400,SF_Output!$AC$1:$AC$400,_xlfn.TEXTJOIN(",",TRUE,B136:E136),SF_Output!$Q$1:$Q$400,"monthly")+SUMIFS(SF_Output!$G$1:$G$400,SF_Output!$AC$1:$AC$400,_xlfn.TEXTJOIN(",",TRUE,B136:E136),SF_Output!$Q$1:$Q$400,"monthly"))*H136,AND(B136&lt;&gt;"",H136=SF_Output!$Y$2,SUMIFS(SF_Output!$T$1:$T$400,SF_Output!$AC$1:$AC$400,_xlfn.TEXTJOIN(",",TRUE,B136:E136),SF_Output!$Q$1:$Q$400,"monthly")&lt;&gt;0),SUMIFS(SF_Output!$S$1:$S$400,SF_Output!$AC$1:$AC$400,_xlfn.TEXTJOIN(",",TRUE,B136:E136),SF_Output!$Q$1:$Q$400,"monthly"),AND(B136&lt;&gt;"",H136&lt;&gt;SF_Output!$Y$2),SUMIFS(SF_Output!$S$1:$S$400,SF_Output!$AC$1:$AC$400,_xlfn.TEXTJOIN(",",TRUE,B136:E136),SF_Output!$Q$1:$Q$400,"monthly"))</f>
        <v>0</v>
      </c>
      <c r="W136" s="112" t="str" cm="1">
        <f t="array" ref="W136">_xlfn.IFS(OR(B136=0,B136="",V136=0),"",AF136&lt;&gt;"exclusion",MAX($W$9,$W$7,(-(SUMIFS(SF_Output!$T$1:$T$400,SF_Output!$AC$1:$AC$400,_xlfn.TEXTJOIN(",",TRUE,$B136:$E136),SF_Output!$Q$1:$Q$400,"monthly"))/V136)),AF136="exclusion",-(SUMIFS(SF_Output!$T$1:$T$400,SF_Output!$AC$1:$AC$400,_xlfn.TEXTJOIN(",",TRUE,$B136:$E136),SF_Output!$Q$1:$Q$400,"monthly"))/V136)</f>
        <v/>
      </c>
      <c r="X136" s="6" cm="1">
        <f t="array" ref="X136">IFERROR(_xlfn.IFS(V136=0,0,V136="","",W136=0,V136,OR(V136&lt;&gt;0,V136&lt;&gt;""),H136*I136),V136*(1-W136))</f>
        <v>0</v>
      </c>
      <c r="Z136" s="6">
        <f>IFERROR(IF(B136="","",SUMIFS(Billing_Fallout!H:H,Billing_Fallout!N:N,B136)),0)</f>
        <v>0</v>
      </c>
      <c r="AA136" s="6">
        <f t="shared" si="21"/>
        <v>0</v>
      </c>
      <c r="AB136" s="6">
        <f>IFERROR(IF(B136="","",SUMIFS(Billing_Fallout!J:J,Billing_Fallout!N:N,B136)),0)</f>
        <v>0</v>
      </c>
      <c r="AD136" s="6">
        <f t="shared" si="22"/>
        <v>0</v>
      </c>
      <c r="AF136" t="str">
        <f>IFERROR(INDEX(H_Tables!$B$1:$B$1500,MATCH(INDEX(SF_Output!$J$1:$J$400,MATCH(B136,SF_Output!$M$1:$M$400,0)),H_Tables!$A$1:$A$1500,0)),"")</f>
        <v>Exclusion</v>
      </c>
      <c r="AI136" s="119" t="str">
        <f t="shared" si="23"/>
        <v/>
      </c>
      <c r="AJ136" s="121">
        <f>IFERROR(INDEX(SF_Output!AD:AD,MATCH(_xlfn.TEXTJOIN(",",TRUE,B136:E136),SF_Output!AC1:AC400,0)),0.05)</f>
        <v>220</v>
      </c>
      <c r="AK136" t="str">
        <f>IF(SUMIFS(SF_Output!$F$1:$F$400,SF_Output!$AC$1:$AC$400,_xlfn.TEXTJOIN(",",TRUE,B136:E136))+SUMIFS(SF_Output!$G$1:$G$400,SF_Output!$AC$1:$AC$400,_xlfn.TEXTJOIN(",",TRUE,B136:E136))=0,"","PAP")</f>
        <v/>
      </c>
      <c r="AQ136" s="35"/>
      <c r="AR136" s="35" t="str" cm="1">
        <f t="array" ref="AR136">IFERROR(_xlfn.IFS(AND(E136*1=1,F136="Included"),"Change to Included",AND(E136*1=0,F136="Optional"),"Change to Optional",OR(B136="",F136="replaced"),""),"")</f>
        <v/>
      </c>
      <c r="AS136" s="35" t="str">
        <f t="shared" si="24"/>
        <v/>
      </c>
      <c r="AT136" s="35" t="str">
        <f t="shared" si="25"/>
        <v/>
      </c>
      <c r="AU136" s="35" t="str">
        <f t="shared" si="26"/>
        <v/>
      </c>
      <c r="AV136" s="35" t="str">
        <f t="shared" si="27"/>
        <v/>
      </c>
      <c r="AW136" s="35" t="str">
        <f t="shared" si="28"/>
        <v/>
      </c>
      <c r="AX136" s="35" t="str">
        <f t="shared" si="29"/>
        <v/>
      </c>
      <c r="AY136" s="35" t="str">
        <f t="shared" si="30"/>
        <v/>
      </c>
      <c r="AZ136" s="35" t="str">
        <f t="shared" si="31"/>
        <v/>
      </c>
      <c r="BA136" s="35" t="str">
        <f t="shared" si="32"/>
        <v/>
      </c>
      <c r="BB136" s="35" t="str">
        <f t="shared" si="33"/>
        <v/>
      </c>
      <c r="BC136" s="35"/>
      <c r="BE136" s="35">
        <f ca="1">INDEX(SF_Output!$AA$2:$AA$400,MATCH($B136,SF_Output!$M$2:$M$400,0))</f>
        <v>6</v>
      </c>
      <c r="BF136" s="35">
        <f ca="1">INDEX(SF_Output!$AB$2:$AB$400,MATCH($B136,SF_Output!$M$2:$M$400,0))</f>
        <v>1</v>
      </c>
    </row>
    <row r="137" spans="2:58" x14ac:dyDescent="0.25">
      <c r="B137" t="s">
        <v>2436</v>
      </c>
      <c r="C137" t="s">
        <v>2122</v>
      </c>
      <c r="D137" t="s">
        <v>2207</v>
      </c>
      <c r="E137" t="s">
        <v>2124</v>
      </c>
      <c r="F137" s="116" t="str">
        <f t="shared" si="17"/>
        <v>Included</v>
      </c>
      <c r="G137" t="str">
        <f>IF(B137="","",INDEX(SF_Output!$K$1:$K$400,MATCH(B137,SF_Output!$M$1:$M$400,0)))</f>
        <v>Card Processing Solutions (CPS)</v>
      </c>
      <c r="H137" cm="1">
        <f t="array" ref="H137">_xlfn.IFS(B137="","",(SUMIFS(SF_Output!$F$1:$F$400,SF_Output!$AC$1:$AC$400,_xlfn.TEXTJOIN(",",TRUE,B137:E137))+SUMIFS(SF_Output!$G$1:$G$400,SF_Output!$AC$1:$AC$400,_xlfn.TEXTJOIN(",",TRUE,B137:E137)))&lt;&gt;0,SF_Output!$Y$2,INDEX(SF_Output!$F$1:$F$400,MATCH(_xlfn.TEXTJOIN(",",TRUE,B137:E137),SF_Output!$AC$1:$AC$400,0))=0,INDEX(SF_Output!$R$1:$R$400,MATCH(_xlfn.TEXTJOIN(",",TRUE,B137:E137),SF_Output!$AC$1:$AC$400,0)))</f>
        <v>0</v>
      </c>
      <c r="I137" s="125" t="str">
        <f>IFERROR(IF(AND(H137&gt;1,H137&lt;&gt;""),ROUND(SUMIFS(SF_Output!$S$1:$S$400,SF_Output!$AC$1:$AC$400,_xlfn.TEXTJOIN(",",TRUE,B137:E137),SF_Output!$Q$1:$Q$400,"monthly")*(1-W137)/H137,4),""),"")</f>
        <v/>
      </c>
      <c r="J137" s="6">
        <f>IF(B137="","",SUMIFS(SF_Output!$S$1:$S$400,SF_Output!$AC$1:$AC$400,_xlfn.TEXTJOIN(",",TRUE,B137:E137),SF_Output!$Q$1:$Q$400,"One Time",SF_Output!$L$1:$L$400,"license fee")+SUMIFS(SF_Output!$S$1:$S$400,SF_Output!$AC$1:$AC$400,_xlfn.TEXTJOIN(",",TRUE,B137:E137),SF_Output!$Q$1:$Q$400,"One Time",SF_Output!$L$1:$L$400,"software license")+SUMIFS(SF_Output!$S$1:$S$400,SF_Output!$AC$1:$AC$400,_xlfn.TEXTJOIN(",",TRUE,B137:E137),SF_Output!$Q$1:$Q$400,"One Time",SF_Output!$L$1:$L$400,"hardware"))</f>
        <v>0</v>
      </c>
      <c r="K137" s="112" t="str">
        <f>IF(OR(B137=0,B137="",G137="hardware",J137=0),"",IF(AF137&lt;&gt;"exclusion",MAX(K$9,-((SUMIFS(SF_Output!$T$1:$T$400,SF_Output!$AC$1:$AC$400,_xlfn.TEXTJOIN(",",TRUE,$B137:$E137),SF_Output!$Q$1:$Q$400,"One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license"))/J137)))</f>
        <v/>
      </c>
      <c r="L137" s="6">
        <f t="shared" si="18"/>
        <v>0</v>
      </c>
      <c r="N137" s="6">
        <f>IF(B137="","",SUMIFS(SF_Output!$S$1:$S$400,SF_Output!$AC$1:$AC$400,_xlfn.TEXTJOIN(",",TRUE,B137:E137),SF_Output!$Q$1:$Q$400,"One Time",SF_Output!$L$1:$L$400,"professional service"))</f>
        <v>0</v>
      </c>
      <c r="O137" s="112" t="str">
        <f>IF(OR(B137=0,B137="",N137=0),"",IF(AF137&lt;&gt;"exclusion",MAX(O$9,-(SUMIFS(SF_Output!$T$1:$T$400,SF_Output!$AC$1:$AC$400,_xlfn.TEXTJOIN(",",TRUE,$B137:$E137),SF_Output!$Q$1:$Q$400,"One Time",SF_Output!$L$1:$L$400,"professional service"))/N137),-((SUMIFS(SF_Output!$T$1:$T$400,SF_Output!$AC$1:$AC$400,_xlfn.TEXTJOIN(",",TRUE,$B137:$E137),SF_Output!$Q$1:$Q$400,"One Time",SF_Output!$L$1:$L$400,"professional service")/N137))))</f>
        <v/>
      </c>
      <c r="P137" s="6">
        <f t="shared" si="19"/>
        <v>0</v>
      </c>
      <c r="R137" s="6">
        <f>IF(B137="","",SUMIFS(SF_Output!$S$1:$S$400,SF_Output!$AC$1:$AC$400,_xlfn.TEXTJOIN(",",TRUE,B137:E137),SF_Output!$Q$1:$Q$400,"yearly")+SUMIFS(SF_Output!$S$1:$S$400,SF_Output!$AC$1:$AC$400,_xlfn.TEXTJOIN(",",TRUE,B137:E137),SF_Output!$Q$1:$Q$400,"quarterly")*4)</f>
        <v>0</v>
      </c>
      <c r="S137" s="112" t="str">
        <f>IF(OR(B137=0,B137="",G137="hardware",R137=0),"",IF(AF137&lt;&gt;"exclusion",MAX(S$9,-(SUMIFS(SF_Output!$T$1:$T$400,SF_Output!$AC$1:$AC$400,_xlfn.TEXTJOIN(",",TRUE,$B137:$E137),SF_Output!$Q$1:$Q$400,"yearly"))/R137),-((SUMIFS(SF_Output!$T$1:$T$400,SF_Output!$AC$1:$AC$400,_xlfn.TEXTJOIN(",",TRUE,$B137:$E137),SF_Output!$Q$1:$Q$400,"yearly")/R137))))</f>
        <v/>
      </c>
      <c r="T137" s="6">
        <f t="shared" si="20"/>
        <v>0</v>
      </c>
      <c r="V137" s="6" cm="1">
        <f t="array" ref="V137">_xlfn.IFS(B137="","",AND(B137&lt;&gt;"",H137=SF_Output!$Y$2,SUMIFS(SF_Output!$T$1:$T$400,SF_Output!$AC$1:$AC$400,_xlfn.TEXTJOIN(",",TRUE,B137:E137),SF_Output!$Q$1:$Q$400,"monthly")=0),(SUMIFS(SF_Output!$F$1:$F$400,SF_Output!$AC$1:$AC$400,_xlfn.TEXTJOIN(",",TRUE,B137:E137),SF_Output!$Q$1:$Q$400,"monthly")+SUMIFS(SF_Output!$G$1:$G$400,SF_Output!$AC$1:$AC$400,_xlfn.TEXTJOIN(",",TRUE,B137:E137),SF_Output!$Q$1:$Q$400,"monthly"))*H137,AND(B137&lt;&gt;"",H137=SF_Output!$Y$2,SUMIFS(SF_Output!$T$1:$T$400,SF_Output!$AC$1:$AC$400,_xlfn.TEXTJOIN(",",TRUE,B137:E137),SF_Output!$Q$1:$Q$400,"monthly")&lt;&gt;0),SUMIFS(SF_Output!$S$1:$S$400,SF_Output!$AC$1:$AC$400,_xlfn.TEXTJOIN(",",TRUE,B137:E137),SF_Output!$Q$1:$Q$400,"monthly"),AND(B137&lt;&gt;"",H137&lt;&gt;SF_Output!$Y$2),SUMIFS(SF_Output!$S$1:$S$400,SF_Output!$AC$1:$AC$400,_xlfn.TEXTJOIN(",",TRUE,B137:E137),SF_Output!$Q$1:$Q$400,"monthly"))</f>
        <v>0</v>
      </c>
      <c r="W137" s="112" t="str" cm="1">
        <f t="array" ref="W137">_xlfn.IFS(OR(B137=0,B137="",V137=0),"",AF137&lt;&gt;"exclusion",MAX($W$9,$W$7,(-(SUMIFS(SF_Output!$T$1:$T$400,SF_Output!$AC$1:$AC$400,_xlfn.TEXTJOIN(",",TRUE,$B137:$E137),SF_Output!$Q$1:$Q$400,"monthly"))/V137)),AF137="exclusion",-(SUMIFS(SF_Output!$T$1:$T$400,SF_Output!$AC$1:$AC$400,_xlfn.TEXTJOIN(",",TRUE,$B137:$E137),SF_Output!$Q$1:$Q$400,"monthly"))/V137)</f>
        <v/>
      </c>
      <c r="X137" s="6" cm="1">
        <f t="array" ref="X137">IFERROR(_xlfn.IFS(V137=0,0,V137="","",W137=0,V137,OR(V137&lt;&gt;0,V137&lt;&gt;""),H137*I137),V137*(1-W137))</f>
        <v>0</v>
      </c>
      <c r="Z137" s="6">
        <f>IFERROR(IF(B137="","",SUMIFS(Billing_Fallout!H:H,Billing_Fallout!N:N,B137)),0)</f>
        <v>0</v>
      </c>
      <c r="AA137" s="6">
        <f t="shared" si="21"/>
        <v>0</v>
      </c>
      <c r="AB137" s="6">
        <f>IFERROR(IF(B137="","",SUMIFS(Billing_Fallout!J:J,Billing_Fallout!N:N,B137)),0)</f>
        <v>0</v>
      </c>
      <c r="AD137" s="6">
        <f t="shared" si="22"/>
        <v>0</v>
      </c>
      <c r="AF137" t="str">
        <f>IFERROR(INDEX(H_Tables!$B$1:$B$1500,MATCH(INDEX(SF_Output!$J$1:$J$400,MATCH(B137,SF_Output!$M$1:$M$400,0)),H_Tables!$A$1:$A$1500,0)),"")</f>
        <v>Exclusion</v>
      </c>
      <c r="AI137" s="119" t="str">
        <f t="shared" si="23"/>
        <v/>
      </c>
      <c r="AJ137" s="121">
        <f>IFERROR(INDEX(SF_Output!AD:AD,MATCH(_xlfn.TEXTJOIN(",",TRUE,B137:E137),SF_Output!AC1:AC400,0)),0.05)</f>
        <v>221</v>
      </c>
      <c r="AK137" t="str">
        <f>IF(SUMIFS(SF_Output!$F$1:$F$400,SF_Output!$AC$1:$AC$400,_xlfn.TEXTJOIN(",",TRUE,B137:E137))+SUMIFS(SF_Output!$G$1:$G$400,SF_Output!$AC$1:$AC$400,_xlfn.TEXTJOIN(",",TRUE,B137:E137))=0,"","PAP")</f>
        <v/>
      </c>
      <c r="AQ137" s="35"/>
      <c r="AR137" s="35" t="str" cm="1">
        <f t="array" ref="AR137">IFERROR(_xlfn.IFS(AND(E137*1=1,F137="Included"),"Change to Included",AND(E137*1=0,F137="Optional"),"Change to Optional",OR(B137="",F137="replaced"),""),"")</f>
        <v/>
      </c>
      <c r="AS137" s="35" t="str">
        <f t="shared" si="24"/>
        <v/>
      </c>
      <c r="AT137" s="35" t="str">
        <f t="shared" si="25"/>
        <v/>
      </c>
      <c r="AU137" s="35" t="str">
        <f t="shared" si="26"/>
        <v/>
      </c>
      <c r="AV137" s="35" t="str">
        <f t="shared" si="27"/>
        <v/>
      </c>
      <c r="AW137" s="35" t="str">
        <f t="shared" si="28"/>
        <v/>
      </c>
      <c r="AX137" s="35" t="str">
        <f t="shared" si="29"/>
        <v/>
      </c>
      <c r="AY137" s="35" t="str">
        <f t="shared" si="30"/>
        <v/>
      </c>
      <c r="AZ137" s="35" t="str">
        <f t="shared" si="31"/>
        <v/>
      </c>
      <c r="BA137" s="35" t="str">
        <f t="shared" si="32"/>
        <v/>
      </c>
      <c r="BB137" s="35" t="str">
        <f t="shared" si="33"/>
        <v/>
      </c>
      <c r="BC137" s="35"/>
      <c r="BE137" s="35">
        <f ca="1">INDEX(SF_Output!$AA$2:$AA$400,MATCH($B137,SF_Output!$M$2:$M$400,0))</f>
        <v>6</v>
      </c>
      <c r="BF137" s="35">
        <f ca="1">INDEX(SF_Output!$AB$2:$AB$400,MATCH($B137,SF_Output!$M$2:$M$400,0))</f>
        <v>1</v>
      </c>
    </row>
    <row r="138" spans="2:58" x14ac:dyDescent="0.25">
      <c r="B138" t="s">
        <v>2438</v>
      </c>
      <c r="C138" t="s">
        <v>2122</v>
      </c>
      <c r="D138" t="s">
        <v>2207</v>
      </c>
      <c r="E138" t="s">
        <v>2124</v>
      </c>
      <c r="F138" s="116" t="str">
        <f t="shared" si="17"/>
        <v>Included</v>
      </c>
      <c r="G138" t="str">
        <f>IF(B138="","",INDEX(SF_Output!$K$1:$K$400,MATCH(B138,SF_Output!$M$1:$M$400,0)))</f>
        <v>Card Processing Solutions (CPS)</v>
      </c>
      <c r="H138" cm="1">
        <f t="array" ref="H138">_xlfn.IFS(B138="","",(SUMIFS(SF_Output!$F$1:$F$400,SF_Output!$AC$1:$AC$400,_xlfn.TEXTJOIN(",",TRUE,B138:E138))+SUMIFS(SF_Output!$G$1:$G$400,SF_Output!$AC$1:$AC$400,_xlfn.TEXTJOIN(",",TRUE,B138:E138)))&lt;&gt;0,SF_Output!$Y$2,INDEX(SF_Output!$F$1:$F$400,MATCH(_xlfn.TEXTJOIN(",",TRUE,B138:E138),SF_Output!$AC$1:$AC$400,0))=0,INDEX(SF_Output!$R$1:$R$400,MATCH(_xlfn.TEXTJOIN(",",TRUE,B138:E138),SF_Output!$AC$1:$AC$400,0)))</f>
        <v>0</v>
      </c>
      <c r="I138" s="125" t="str">
        <f>IFERROR(IF(AND(H138&gt;1,H138&lt;&gt;""),ROUND(SUMIFS(SF_Output!$S$1:$S$400,SF_Output!$AC$1:$AC$400,_xlfn.TEXTJOIN(",",TRUE,B138:E138),SF_Output!$Q$1:$Q$400,"monthly")*(1-W138)/H138,4),""),"")</f>
        <v/>
      </c>
      <c r="J138" s="6">
        <f>IF(B138="","",SUMIFS(SF_Output!$S$1:$S$400,SF_Output!$AC$1:$AC$400,_xlfn.TEXTJOIN(",",TRUE,B138:E138),SF_Output!$Q$1:$Q$400,"One Time",SF_Output!$L$1:$L$400,"license fee")+SUMIFS(SF_Output!$S$1:$S$400,SF_Output!$AC$1:$AC$400,_xlfn.TEXTJOIN(",",TRUE,B138:E138),SF_Output!$Q$1:$Q$400,"One Time",SF_Output!$L$1:$L$400,"software license")+SUMIFS(SF_Output!$S$1:$S$400,SF_Output!$AC$1:$AC$400,_xlfn.TEXTJOIN(",",TRUE,B138:E138),SF_Output!$Q$1:$Q$400,"One Time",SF_Output!$L$1:$L$400,"hardware"))</f>
        <v>0</v>
      </c>
      <c r="K138" s="112" t="str">
        <f>IF(OR(B138=0,B138="",G138="hardware",J138=0),"",IF(AF138&lt;&gt;"exclusion",MAX(K$9,-((SUMIFS(SF_Output!$T$1:$T$400,SF_Output!$AC$1:$AC$400,_xlfn.TEXTJOIN(",",TRUE,$B138:$E138),SF_Output!$Q$1:$Q$400,"One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license"))/J138)))</f>
        <v/>
      </c>
      <c r="L138" s="6">
        <f t="shared" si="18"/>
        <v>0</v>
      </c>
      <c r="N138" s="6">
        <f>IF(B138="","",SUMIFS(SF_Output!$S$1:$S$400,SF_Output!$AC$1:$AC$400,_xlfn.TEXTJOIN(",",TRUE,B138:E138),SF_Output!$Q$1:$Q$400,"One Time",SF_Output!$L$1:$L$400,"professional service"))</f>
        <v>2500</v>
      </c>
      <c r="O138" s="112">
        <f>IF(OR(B138=0,B138="",N138=0),"",IF(AF138&lt;&gt;"exclusion",MAX(O$9,-(SUMIFS(SF_Output!$T$1:$T$400,SF_Output!$AC$1:$AC$400,_xlfn.TEXTJOIN(",",TRUE,$B138:$E138),SF_Output!$Q$1:$Q$400,"One Time",SF_Output!$L$1:$L$400,"professional service"))/N138),-((SUMIFS(SF_Output!$T$1:$T$400,SF_Output!$AC$1:$AC$400,_xlfn.TEXTJOIN(",",TRUE,$B138:$E138),SF_Output!$Q$1:$Q$400,"One Time",SF_Output!$L$1:$L$400,"professional service")/N138))))</f>
        <v>1</v>
      </c>
      <c r="P138" s="6">
        <f t="shared" si="19"/>
        <v>0</v>
      </c>
      <c r="R138" s="6">
        <f>IF(B138="","",SUMIFS(SF_Output!$S$1:$S$400,SF_Output!$AC$1:$AC$400,_xlfn.TEXTJOIN(",",TRUE,B138:E138),SF_Output!$Q$1:$Q$400,"yearly")+SUMIFS(SF_Output!$S$1:$S$400,SF_Output!$AC$1:$AC$400,_xlfn.TEXTJOIN(",",TRUE,B138:E138),SF_Output!$Q$1:$Q$400,"quarterly")*4)</f>
        <v>0</v>
      </c>
      <c r="S138" s="112" t="str">
        <f>IF(OR(B138=0,B138="",G138="hardware",R138=0),"",IF(AF138&lt;&gt;"exclusion",MAX(S$9,-(SUMIFS(SF_Output!$T$1:$T$400,SF_Output!$AC$1:$AC$400,_xlfn.TEXTJOIN(",",TRUE,$B138:$E138),SF_Output!$Q$1:$Q$400,"yearly"))/R138),-((SUMIFS(SF_Output!$T$1:$T$400,SF_Output!$AC$1:$AC$400,_xlfn.TEXTJOIN(",",TRUE,$B138:$E138),SF_Output!$Q$1:$Q$400,"yearly")/R138))))</f>
        <v/>
      </c>
      <c r="T138" s="6">
        <f t="shared" si="20"/>
        <v>0</v>
      </c>
      <c r="V138" s="6" cm="1">
        <f t="array" ref="V138">_xlfn.IFS(B138="","",AND(B138&lt;&gt;"",H138=SF_Output!$Y$2,SUMIFS(SF_Output!$T$1:$T$400,SF_Output!$AC$1:$AC$400,_xlfn.TEXTJOIN(",",TRUE,B138:E138),SF_Output!$Q$1:$Q$400,"monthly")=0),(SUMIFS(SF_Output!$F$1:$F$400,SF_Output!$AC$1:$AC$400,_xlfn.TEXTJOIN(",",TRUE,B138:E138),SF_Output!$Q$1:$Q$400,"monthly")+SUMIFS(SF_Output!$G$1:$G$400,SF_Output!$AC$1:$AC$400,_xlfn.TEXTJOIN(",",TRUE,B138:E138),SF_Output!$Q$1:$Q$400,"monthly"))*H138,AND(B138&lt;&gt;"",H138=SF_Output!$Y$2,SUMIFS(SF_Output!$T$1:$T$400,SF_Output!$AC$1:$AC$400,_xlfn.TEXTJOIN(",",TRUE,B138:E138),SF_Output!$Q$1:$Q$400,"monthly")&lt;&gt;0),SUMIFS(SF_Output!$S$1:$S$400,SF_Output!$AC$1:$AC$400,_xlfn.TEXTJOIN(",",TRUE,B138:E138),SF_Output!$Q$1:$Q$400,"monthly"),AND(B138&lt;&gt;"",H138&lt;&gt;SF_Output!$Y$2),SUMIFS(SF_Output!$S$1:$S$400,SF_Output!$AC$1:$AC$400,_xlfn.TEXTJOIN(",",TRUE,B138:E138),SF_Output!$Q$1:$Q$400,"monthly"))</f>
        <v>100</v>
      </c>
      <c r="W138" s="112" cm="1">
        <f t="array" ref="W138">_xlfn.IFS(OR(B138=0,B138="",V138=0),"",AF138&lt;&gt;"exclusion",MAX($W$9,$W$7,(-(SUMIFS(SF_Output!$T$1:$T$400,SF_Output!$AC$1:$AC$400,_xlfn.TEXTJOIN(",",TRUE,$B138:$E138),SF_Output!$Q$1:$Q$400,"monthly"))/V138)),AF138="exclusion",-(SUMIFS(SF_Output!$T$1:$T$400,SF_Output!$AC$1:$AC$400,_xlfn.TEXTJOIN(",",TRUE,$B138:$E138),SF_Output!$Q$1:$Q$400,"monthly"))/V138)</f>
        <v>0</v>
      </c>
      <c r="X138" s="6" cm="1">
        <f t="array" ref="X138">IFERROR(_xlfn.IFS(V138=0,0,V138="","",W138=0,V138,OR(V138&lt;&gt;0,V138&lt;&gt;""),H138*I138),V138*(1-W138))</f>
        <v>100</v>
      </c>
      <c r="Z138" s="6">
        <f>IFERROR(IF(B138="","",SUMIFS(Billing_Fallout!H:H,Billing_Fallout!N:N,B138)),0)</f>
        <v>0</v>
      </c>
      <c r="AA138" s="6">
        <f t="shared" si="21"/>
        <v>0</v>
      </c>
      <c r="AB138" s="6">
        <f>IFERROR(IF(B138="","",SUMIFS(Billing_Fallout!J:J,Billing_Fallout!N:N,B138)),0)</f>
        <v>0</v>
      </c>
      <c r="AD138" s="6">
        <f t="shared" si="22"/>
        <v>100</v>
      </c>
      <c r="AF138" t="str">
        <f>IFERROR(INDEX(H_Tables!$B$1:$B$1500,MATCH(INDEX(SF_Output!$J$1:$J$400,MATCH(B138,SF_Output!$M$1:$M$400,0)),H_Tables!$A$1:$A$1500,0)),"")</f>
        <v>Exclusion</v>
      </c>
      <c r="AI138" s="119" t="str">
        <f t="shared" si="23"/>
        <v/>
      </c>
      <c r="AJ138" s="121">
        <f>IFERROR(INDEX(SF_Output!AD:AD,MATCH(_xlfn.TEXTJOIN(",",TRUE,B138:E138),SF_Output!AC1:AC400,0)),0.05)</f>
        <v>222</v>
      </c>
      <c r="AK138" t="str">
        <f>IF(SUMIFS(SF_Output!$F$1:$F$400,SF_Output!$AC$1:$AC$400,_xlfn.TEXTJOIN(",",TRUE,B138:E138))+SUMIFS(SF_Output!$G$1:$G$400,SF_Output!$AC$1:$AC$400,_xlfn.TEXTJOIN(",",TRUE,B138:E138))=0,"","PAP")</f>
        <v/>
      </c>
      <c r="AQ138" s="35"/>
      <c r="AR138" s="35" t="str" cm="1">
        <f t="array" ref="AR138">IFERROR(_xlfn.IFS(AND(E138*1=1,F138="Included"),"Change to Included",AND(E138*1=0,F138="Optional"),"Change to Optional",OR(B138="",F138="replaced"),""),"")</f>
        <v/>
      </c>
      <c r="AS138" s="35" t="str">
        <f t="shared" si="24"/>
        <v/>
      </c>
      <c r="AT138" s="35" t="str">
        <f t="shared" si="25"/>
        <v/>
      </c>
      <c r="AU138" s="35" t="str">
        <f t="shared" si="26"/>
        <v/>
      </c>
      <c r="AV138" s="35" t="str">
        <f t="shared" si="27"/>
        <v/>
      </c>
      <c r="AW138" s="35" t="str">
        <f t="shared" si="28"/>
        <v/>
      </c>
      <c r="AX138" s="35" t="str">
        <f t="shared" si="29"/>
        <v/>
      </c>
      <c r="AY138" s="35" t="str">
        <f t="shared" si="30"/>
        <v/>
      </c>
      <c r="AZ138" s="35" t="str">
        <f t="shared" si="31"/>
        <v/>
      </c>
      <c r="BA138" s="35" t="str">
        <f t="shared" si="32"/>
        <v/>
      </c>
      <c r="BB138" s="35" t="str">
        <f t="shared" si="33"/>
        <v/>
      </c>
      <c r="BC138" s="35"/>
      <c r="BE138" s="35">
        <f ca="1">INDEX(SF_Output!$AA$2:$AA$400,MATCH($B138,SF_Output!$M$2:$M$400,0))</f>
        <v>6</v>
      </c>
      <c r="BF138" s="35">
        <f ca="1">INDEX(SF_Output!$AB$2:$AB$400,MATCH($B138,SF_Output!$M$2:$M$400,0))</f>
        <v>1</v>
      </c>
    </row>
    <row r="139" spans="2:58" x14ac:dyDescent="0.25">
      <c r="B139" t="s">
        <v>2441</v>
      </c>
      <c r="C139" t="s">
        <v>2122</v>
      </c>
      <c r="D139" t="s">
        <v>2207</v>
      </c>
      <c r="E139" t="s">
        <v>2124</v>
      </c>
      <c r="F139" s="116" t="str">
        <f t="shared" si="17"/>
        <v>Included</v>
      </c>
      <c r="G139" t="str">
        <f>IF(B139="","",INDEX(SF_Output!$K$1:$K$400,MATCH(B139,SF_Output!$M$1:$M$400,0)))</f>
        <v>Card Processing Solutions (CPS)</v>
      </c>
      <c r="H139" cm="1">
        <f t="array" ref="H139">_xlfn.IFS(B139="","",(SUMIFS(SF_Output!$F$1:$F$400,SF_Output!$AC$1:$AC$400,_xlfn.TEXTJOIN(",",TRUE,B139:E139))+SUMIFS(SF_Output!$G$1:$G$400,SF_Output!$AC$1:$AC$400,_xlfn.TEXTJOIN(",",TRUE,B139:E139)))&lt;&gt;0,SF_Output!$Y$2,INDEX(SF_Output!$F$1:$F$400,MATCH(_xlfn.TEXTJOIN(",",TRUE,B139:E139),SF_Output!$AC$1:$AC$400,0))=0,INDEX(SF_Output!$R$1:$R$400,MATCH(_xlfn.TEXTJOIN(",",TRUE,B139:E139),SF_Output!$AC$1:$AC$400,0)))</f>
        <v>1</v>
      </c>
      <c r="I139" s="125" t="str">
        <f>IFERROR(IF(AND(H139&gt;1,H139&lt;&gt;""),ROUND(SUMIFS(SF_Output!$S$1:$S$400,SF_Output!$AC$1:$AC$400,_xlfn.TEXTJOIN(",",TRUE,B139:E139),SF_Output!$Q$1:$Q$400,"monthly")*(1-W139)/H139,4),""),"")</f>
        <v/>
      </c>
      <c r="J139" s="6">
        <f>IF(B139="","",SUMIFS(SF_Output!$S$1:$S$400,SF_Output!$AC$1:$AC$400,_xlfn.TEXTJOIN(",",TRUE,B139:E139),SF_Output!$Q$1:$Q$400,"One Time",SF_Output!$L$1:$L$400,"license fee")+SUMIFS(SF_Output!$S$1:$S$400,SF_Output!$AC$1:$AC$400,_xlfn.TEXTJOIN(",",TRUE,B139:E139),SF_Output!$Q$1:$Q$400,"One Time",SF_Output!$L$1:$L$400,"software license")+SUMIFS(SF_Output!$S$1:$S$400,SF_Output!$AC$1:$AC$400,_xlfn.TEXTJOIN(",",TRUE,B139:E139),SF_Output!$Q$1:$Q$400,"One Time",SF_Output!$L$1:$L$400,"hardware"))</f>
        <v>0</v>
      </c>
      <c r="K139" s="112" t="str">
        <f>IF(OR(B139=0,B139="",G139="hardware",J139=0),"",IF(AF139&lt;&gt;"exclusion",MAX(K$9,-((SUMIFS(SF_Output!$T$1:$T$400,SF_Output!$AC$1:$AC$400,_xlfn.TEXTJOIN(",",TRUE,$B139:$E139),SF_Output!$Q$1:$Q$400,"One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license"))/J139)))</f>
        <v/>
      </c>
      <c r="L139" s="6">
        <f t="shared" si="18"/>
        <v>0</v>
      </c>
      <c r="N139" s="6">
        <f>IF(B139="","",SUMIFS(SF_Output!$S$1:$S$400,SF_Output!$AC$1:$AC$400,_xlfn.TEXTJOIN(",",TRUE,B139:E139),SF_Output!$Q$1:$Q$400,"One Time",SF_Output!$L$1:$L$400,"professional service"))</f>
        <v>500</v>
      </c>
      <c r="O139" s="112">
        <f>IF(OR(B139=0,B139="",N139=0),"",IF(AF139&lt;&gt;"exclusion",MAX(O$9,-(SUMIFS(SF_Output!$T$1:$T$400,SF_Output!$AC$1:$AC$400,_xlfn.TEXTJOIN(",",TRUE,$B139:$E139),SF_Output!$Q$1:$Q$400,"One Time",SF_Output!$L$1:$L$400,"professional service"))/N139),-((SUMIFS(SF_Output!$T$1:$T$400,SF_Output!$AC$1:$AC$400,_xlfn.TEXTJOIN(",",TRUE,$B139:$E139),SF_Output!$Q$1:$Q$400,"One Time",SF_Output!$L$1:$L$400,"professional service")/N139))))</f>
        <v>1</v>
      </c>
      <c r="P139" s="6">
        <f t="shared" si="19"/>
        <v>0</v>
      </c>
      <c r="R139" s="6">
        <f>IF(B139="","",SUMIFS(SF_Output!$S$1:$S$400,SF_Output!$AC$1:$AC$400,_xlfn.TEXTJOIN(",",TRUE,B139:E139),SF_Output!$Q$1:$Q$400,"yearly")+SUMIFS(SF_Output!$S$1:$S$400,SF_Output!$AC$1:$AC$400,_xlfn.TEXTJOIN(",",TRUE,B139:E139),SF_Output!$Q$1:$Q$400,"quarterly")*4)</f>
        <v>0</v>
      </c>
      <c r="S139" s="112" t="str">
        <f>IF(OR(B139=0,B139="",G139="hardware",R139=0),"",IF(AF139&lt;&gt;"exclusion",MAX(S$9,-(SUMIFS(SF_Output!$T$1:$T$400,SF_Output!$AC$1:$AC$400,_xlfn.TEXTJOIN(",",TRUE,$B139:$E139),SF_Output!$Q$1:$Q$400,"yearly"))/R139),-((SUMIFS(SF_Output!$T$1:$T$400,SF_Output!$AC$1:$AC$400,_xlfn.TEXTJOIN(",",TRUE,$B139:$E139),SF_Output!$Q$1:$Q$400,"yearly")/R139))))</f>
        <v/>
      </c>
      <c r="T139" s="6">
        <f t="shared" si="20"/>
        <v>0</v>
      </c>
      <c r="V139" s="6" cm="1">
        <f t="array" ref="V139">_xlfn.IFS(B139="","",AND(B139&lt;&gt;"",H139=SF_Output!$Y$2,SUMIFS(SF_Output!$T$1:$T$400,SF_Output!$AC$1:$AC$400,_xlfn.TEXTJOIN(",",TRUE,B139:E139),SF_Output!$Q$1:$Q$400,"monthly")=0),(SUMIFS(SF_Output!$F$1:$F$400,SF_Output!$AC$1:$AC$400,_xlfn.TEXTJOIN(",",TRUE,B139:E139),SF_Output!$Q$1:$Q$400,"monthly")+SUMIFS(SF_Output!$G$1:$G$400,SF_Output!$AC$1:$AC$400,_xlfn.TEXTJOIN(",",TRUE,B139:E139),SF_Output!$Q$1:$Q$400,"monthly"))*H139,AND(B139&lt;&gt;"",H139=SF_Output!$Y$2,SUMIFS(SF_Output!$T$1:$T$400,SF_Output!$AC$1:$AC$400,_xlfn.TEXTJOIN(",",TRUE,B139:E139),SF_Output!$Q$1:$Q$400,"monthly")&lt;&gt;0),SUMIFS(SF_Output!$S$1:$S$400,SF_Output!$AC$1:$AC$400,_xlfn.TEXTJOIN(",",TRUE,B139:E139),SF_Output!$Q$1:$Q$400,"monthly"),AND(B139&lt;&gt;"",H139&lt;&gt;SF_Output!$Y$2),SUMIFS(SF_Output!$S$1:$S$400,SF_Output!$AC$1:$AC$400,_xlfn.TEXTJOIN(",",TRUE,B139:E139),SF_Output!$Q$1:$Q$400,"monthly"))</f>
        <v>100</v>
      </c>
      <c r="W139" s="112" cm="1">
        <f t="array" ref="W139">_xlfn.IFS(OR(B139=0,B139="",V139=0),"",AF139&lt;&gt;"exclusion",MAX($W$9,$W$7,(-(SUMIFS(SF_Output!$T$1:$T$400,SF_Output!$AC$1:$AC$400,_xlfn.TEXTJOIN(",",TRUE,$B139:$E139),SF_Output!$Q$1:$Q$400,"monthly"))/V139)),AF139="exclusion",-(SUMIFS(SF_Output!$T$1:$T$400,SF_Output!$AC$1:$AC$400,_xlfn.TEXTJOIN(",",TRUE,$B139:$E139),SF_Output!$Q$1:$Q$400,"monthly"))/V139)</f>
        <v>0</v>
      </c>
      <c r="X139" s="6" cm="1">
        <f t="array" ref="X139">IFERROR(_xlfn.IFS(V139=0,0,V139="","",W139=0,V139,OR(V139&lt;&gt;0,V139&lt;&gt;""),H139*I139),V139*(1-W139))</f>
        <v>100</v>
      </c>
      <c r="Z139" s="6">
        <f>IFERROR(IF(B139="","",SUMIFS(Billing_Fallout!H:H,Billing_Fallout!N:N,B139)),0)</f>
        <v>0</v>
      </c>
      <c r="AA139" s="6">
        <f t="shared" si="21"/>
        <v>0</v>
      </c>
      <c r="AB139" s="6">
        <f>IFERROR(IF(B139="","",SUMIFS(Billing_Fallout!J:J,Billing_Fallout!N:N,B139)),0)</f>
        <v>0</v>
      </c>
      <c r="AD139" s="6">
        <f t="shared" si="22"/>
        <v>100</v>
      </c>
      <c r="AF139" t="str">
        <f>IFERROR(INDEX(H_Tables!$B$1:$B$1500,MATCH(INDEX(SF_Output!$J$1:$J$400,MATCH(B139,SF_Output!$M$1:$M$400,0)),H_Tables!$A$1:$A$1500,0)),"")</f>
        <v>Exclusion</v>
      </c>
      <c r="AI139" s="119" t="str">
        <f t="shared" si="23"/>
        <v/>
      </c>
      <c r="AJ139" s="121">
        <f>IFERROR(INDEX(SF_Output!AD:AD,MATCH(_xlfn.TEXTJOIN(",",TRUE,B139:E139),SF_Output!AC1:AC400,0)),0.05)</f>
        <v>224</v>
      </c>
      <c r="AK139" t="str">
        <f>IF(SUMIFS(SF_Output!$F$1:$F$400,SF_Output!$AC$1:$AC$400,_xlfn.TEXTJOIN(",",TRUE,B139:E139))+SUMIFS(SF_Output!$G$1:$G$400,SF_Output!$AC$1:$AC$400,_xlfn.TEXTJOIN(",",TRUE,B139:E139))=0,"","PAP")</f>
        <v/>
      </c>
      <c r="AQ139" s="35"/>
      <c r="AR139" s="35" t="str" cm="1">
        <f t="array" ref="AR139">IFERROR(_xlfn.IFS(AND(E139*1=1,F139="Included"),"Change to Included",AND(E139*1=0,F139="Optional"),"Change to Optional",OR(B139="",F139="replaced"),""),"")</f>
        <v/>
      </c>
      <c r="AS139" s="35" t="str">
        <f t="shared" si="24"/>
        <v/>
      </c>
      <c r="AT139" s="35" t="str">
        <f t="shared" si="25"/>
        <v/>
      </c>
      <c r="AU139" s="35" t="str">
        <f t="shared" si="26"/>
        <v/>
      </c>
      <c r="AV139" s="35" t="str">
        <f t="shared" si="27"/>
        <v/>
      </c>
      <c r="AW139" s="35" t="str">
        <f t="shared" si="28"/>
        <v/>
      </c>
      <c r="AX139" s="35" t="str">
        <f t="shared" si="29"/>
        <v/>
      </c>
      <c r="AY139" s="35" t="str">
        <f t="shared" si="30"/>
        <v/>
      </c>
      <c r="AZ139" s="35" t="str">
        <f t="shared" si="31"/>
        <v/>
      </c>
      <c r="BA139" s="35" t="str">
        <f t="shared" si="32"/>
        <v/>
      </c>
      <c r="BB139" s="35" t="str">
        <f t="shared" si="33"/>
        <v/>
      </c>
      <c r="BC139" s="35"/>
      <c r="BE139" s="35">
        <f ca="1">INDEX(SF_Output!$AA$2:$AA$400,MATCH($B139,SF_Output!$M$2:$M$400,0))</f>
        <v>6</v>
      </c>
      <c r="BF139" s="35">
        <f ca="1">INDEX(SF_Output!$AB$2:$AB$400,MATCH($B139,SF_Output!$M$2:$M$400,0))</f>
        <v>1</v>
      </c>
    </row>
    <row r="140" spans="2:58" x14ac:dyDescent="0.25">
      <c r="B140" t="s">
        <v>2444</v>
      </c>
      <c r="C140" t="s">
        <v>2122</v>
      </c>
      <c r="D140" t="s">
        <v>2207</v>
      </c>
      <c r="E140" t="s">
        <v>2124</v>
      </c>
      <c r="F140" s="116" t="str">
        <f t="shared" si="17"/>
        <v>Included</v>
      </c>
      <c r="G140" t="str">
        <f>IF(B140="","",INDEX(SF_Output!$K$1:$K$400,MATCH(B140,SF_Output!$M$1:$M$400,0)))</f>
        <v>Card Processing Solutions (CPS)</v>
      </c>
      <c r="H140" cm="1">
        <f t="array" ref="H140">_xlfn.IFS(B140="","",(SUMIFS(SF_Output!$F$1:$F$400,SF_Output!$AC$1:$AC$400,_xlfn.TEXTJOIN(",",TRUE,B140:E140))+SUMIFS(SF_Output!$G$1:$G$400,SF_Output!$AC$1:$AC$400,_xlfn.TEXTJOIN(",",TRUE,B140:E140)))&lt;&gt;0,SF_Output!$Y$2,INDEX(SF_Output!$F$1:$F$400,MATCH(_xlfn.TEXTJOIN(",",TRUE,B140:E140),SF_Output!$AC$1:$AC$400,0))=0,INDEX(SF_Output!$R$1:$R$400,MATCH(_xlfn.TEXTJOIN(",",TRUE,B140:E140),SF_Output!$AC$1:$AC$400,0)))</f>
        <v>0</v>
      </c>
      <c r="I140" s="125" t="str">
        <f>IFERROR(IF(AND(H140&gt;1,H140&lt;&gt;""),ROUND(SUMIFS(SF_Output!$S$1:$S$400,SF_Output!$AC$1:$AC$400,_xlfn.TEXTJOIN(",",TRUE,B140:E140),SF_Output!$Q$1:$Q$400,"monthly")*(1-W140)/H140,4),""),"")</f>
        <v/>
      </c>
      <c r="J140" s="6">
        <f>IF(B140="","",SUMIFS(SF_Output!$S$1:$S$400,SF_Output!$AC$1:$AC$400,_xlfn.TEXTJOIN(",",TRUE,B140:E140),SF_Output!$Q$1:$Q$400,"One Time",SF_Output!$L$1:$L$400,"license fee")+SUMIFS(SF_Output!$S$1:$S$400,SF_Output!$AC$1:$AC$400,_xlfn.TEXTJOIN(",",TRUE,B140:E140),SF_Output!$Q$1:$Q$400,"One Time",SF_Output!$L$1:$L$400,"software license")+SUMIFS(SF_Output!$S$1:$S$400,SF_Output!$AC$1:$AC$400,_xlfn.TEXTJOIN(",",TRUE,B140:E140),SF_Output!$Q$1:$Q$400,"One Time",SF_Output!$L$1:$L$400,"hardware"))</f>
        <v>0</v>
      </c>
      <c r="K140" s="112" t="str">
        <f>IF(OR(B140=0,B140="",G140="hardware",J140=0),"",IF(AF140&lt;&gt;"exclusion",MAX(K$9,-((SUMIFS(SF_Output!$T$1:$T$400,SF_Output!$AC$1:$AC$400,_xlfn.TEXTJOIN(",",TRUE,$B140:$E140),SF_Output!$Q$1:$Q$400,"One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license"))/J140)))</f>
        <v/>
      </c>
      <c r="L140" s="6">
        <f t="shared" si="18"/>
        <v>0</v>
      </c>
      <c r="N140" s="6">
        <f>IF(B140="","",SUMIFS(SF_Output!$S$1:$S$400,SF_Output!$AC$1:$AC$400,_xlfn.TEXTJOIN(",",TRUE,B140:E140),SF_Output!$Q$1:$Q$400,"One Time",SF_Output!$L$1:$L$400,"professional service"))</f>
        <v>0</v>
      </c>
      <c r="O140" s="112" t="str">
        <f>IF(OR(B140=0,B140="",N140=0),"",IF(AF140&lt;&gt;"exclusion",MAX(O$9,-(SUMIFS(SF_Output!$T$1:$T$400,SF_Output!$AC$1:$AC$400,_xlfn.TEXTJOIN(",",TRUE,$B140:$E140),SF_Output!$Q$1:$Q$400,"One Time",SF_Output!$L$1:$L$400,"professional service"))/N140),-((SUMIFS(SF_Output!$T$1:$T$400,SF_Output!$AC$1:$AC$400,_xlfn.TEXTJOIN(",",TRUE,$B140:$E140),SF_Output!$Q$1:$Q$400,"One Time",SF_Output!$L$1:$L$400,"professional service")/N140))))</f>
        <v/>
      </c>
      <c r="P140" s="6">
        <f t="shared" si="19"/>
        <v>0</v>
      </c>
      <c r="R140" s="6">
        <f>IF(B140="","",SUMIFS(SF_Output!$S$1:$S$400,SF_Output!$AC$1:$AC$400,_xlfn.TEXTJOIN(",",TRUE,B140:E140),SF_Output!$Q$1:$Q$400,"yearly")+SUMIFS(SF_Output!$S$1:$S$400,SF_Output!$AC$1:$AC$400,_xlfn.TEXTJOIN(",",TRUE,B140:E140),SF_Output!$Q$1:$Q$400,"quarterly")*4)</f>
        <v>0</v>
      </c>
      <c r="S140" s="112" t="str">
        <f>IF(OR(B140=0,B140="",G140="hardware",R140=0),"",IF(AF140&lt;&gt;"exclusion",MAX(S$9,-(SUMIFS(SF_Output!$T$1:$T$400,SF_Output!$AC$1:$AC$400,_xlfn.TEXTJOIN(",",TRUE,$B140:$E140),SF_Output!$Q$1:$Q$400,"yearly"))/R140),-((SUMIFS(SF_Output!$T$1:$T$400,SF_Output!$AC$1:$AC$400,_xlfn.TEXTJOIN(",",TRUE,$B140:$E140),SF_Output!$Q$1:$Q$400,"yearly")/R140))))</f>
        <v/>
      </c>
      <c r="T140" s="6">
        <f t="shared" si="20"/>
        <v>0</v>
      </c>
      <c r="V140" s="6" cm="1">
        <f t="array" ref="V140">_xlfn.IFS(B140="","",AND(B140&lt;&gt;"",H140=SF_Output!$Y$2,SUMIFS(SF_Output!$T$1:$T$400,SF_Output!$AC$1:$AC$400,_xlfn.TEXTJOIN(",",TRUE,B140:E140),SF_Output!$Q$1:$Q$400,"monthly")=0),(SUMIFS(SF_Output!$F$1:$F$400,SF_Output!$AC$1:$AC$400,_xlfn.TEXTJOIN(",",TRUE,B140:E140),SF_Output!$Q$1:$Q$400,"monthly")+SUMIFS(SF_Output!$G$1:$G$400,SF_Output!$AC$1:$AC$400,_xlfn.TEXTJOIN(",",TRUE,B140:E140),SF_Output!$Q$1:$Q$400,"monthly"))*H140,AND(B140&lt;&gt;"",H140=SF_Output!$Y$2,SUMIFS(SF_Output!$T$1:$T$400,SF_Output!$AC$1:$AC$400,_xlfn.TEXTJOIN(",",TRUE,B140:E140),SF_Output!$Q$1:$Q$400,"monthly")&lt;&gt;0),SUMIFS(SF_Output!$S$1:$S$400,SF_Output!$AC$1:$AC$400,_xlfn.TEXTJOIN(",",TRUE,B140:E140),SF_Output!$Q$1:$Q$400,"monthly"),AND(B140&lt;&gt;"",H140&lt;&gt;SF_Output!$Y$2),SUMIFS(SF_Output!$S$1:$S$400,SF_Output!$AC$1:$AC$400,_xlfn.TEXTJOIN(",",TRUE,B140:E140),SF_Output!$Q$1:$Q$400,"monthly"))</f>
        <v>0</v>
      </c>
      <c r="W140" s="112" t="str" cm="1">
        <f t="array" ref="W140">_xlfn.IFS(OR(B140=0,B140="",V140=0),"",AF140&lt;&gt;"exclusion",MAX($W$9,$W$7,(-(SUMIFS(SF_Output!$T$1:$T$400,SF_Output!$AC$1:$AC$400,_xlfn.TEXTJOIN(",",TRUE,$B140:$E140),SF_Output!$Q$1:$Q$400,"monthly"))/V140)),AF140="exclusion",-(SUMIFS(SF_Output!$T$1:$T$400,SF_Output!$AC$1:$AC$400,_xlfn.TEXTJOIN(",",TRUE,$B140:$E140),SF_Output!$Q$1:$Q$400,"monthly"))/V140)</f>
        <v/>
      </c>
      <c r="X140" s="6" cm="1">
        <f t="array" ref="X140">IFERROR(_xlfn.IFS(V140=0,0,V140="","",W140=0,V140,OR(V140&lt;&gt;0,V140&lt;&gt;""),H140*I140),V140*(1-W140))</f>
        <v>0</v>
      </c>
      <c r="Z140" s="6">
        <f>IFERROR(IF(B140="","",SUMIFS(Billing_Fallout!H:H,Billing_Fallout!N:N,B140)),0)</f>
        <v>0</v>
      </c>
      <c r="AA140" s="6">
        <f t="shared" si="21"/>
        <v>0</v>
      </c>
      <c r="AB140" s="6">
        <f>IFERROR(IF(B140="","",SUMIFS(Billing_Fallout!J:J,Billing_Fallout!N:N,B140)),0)</f>
        <v>0</v>
      </c>
      <c r="AD140" s="6">
        <f t="shared" si="22"/>
        <v>0</v>
      </c>
      <c r="AF140" t="str">
        <f>IFERROR(INDEX(H_Tables!$B$1:$B$1500,MATCH(INDEX(SF_Output!$J$1:$J$400,MATCH(B140,SF_Output!$M$1:$M$400,0)),H_Tables!$A$1:$A$1500,0)),"")</f>
        <v>Exclusion</v>
      </c>
      <c r="AI140" s="119" t="str">
        <f t="shared" si="23"/>
        <v/>
      </c>
      <c r="AJ140" s="121">
        <f>IFERROR(INDEX(SF_Output!AD:AD,MATCH(_xlfn.TEXTJOIN(",",TRUE,B140:E140),SF_Output!AC1:AC400,0)),0.05)</f>
        <v>226</v>
      </c>
      <c r="AK140" t="str">
        <f>IF(SUMIFS(SF_Output!$F$1:$F$400,SF_Output!$AC$1:$AC$400,_xlfn.TEXTJOIN(",",TRUE,B140:E140))+SUMIFS(SF_Output!$G$1:$G$400,SF_Output!$AC$1:$AC$400,_xlfn.TEXTJOIN(",",TRUE,B140:E140))=0,"","PAP")</f>
        <v/>
      </c>
      <c r="AQ140" s="35"/>
      <c r="AR140" s="35" t="str" cm="1">
        <f t="array" ref="AR140">IFERROR(_xlfn.IFS(AND(E140*1=1,F140="Included"),"Change to Included",AND(E140*1=0,F140="Optional"),"Change to Optional",OR(B140="",F140="replaced"),""),"")</f>
        <v/>
      </c>
      <c r="AS140" s="35" t="str">
        <f t="shared" si="24"/>
        <v/>
      </c>
      <c r="AT140" s="35" t="str">
        <f t="shared" si="25"/>
        <v/>
      </c>
      <c r="AU140" s="35" t="str">
        <f t="shared" si="26"/>
        <v/>
      </c>
      <c r="AV140" s="35" t="str">
        <f t="shared" si="27"/>
        <v/>
      </c>
      <c r="AW140" s="35" t="str">
        <f t="shared" si="28"/>
        <v/>
      </c>
      <c r="AX140" s="35" t="str">
        <f t="shared" si="29"/>
        <v/>
      </c>
      <c r="AY140" s="35" t="str">
        <f t="shared" si="30"/>
        <v/>
      </c>
      <c r="AZ140" s="35" t="str">
        <f t="shared" si="31"/>
        <v/>
      </c>
      <c r="BA140" s="35" t="str">
        <f t="shared" si="32"/>
        <v/>
      </c>
      <c r="BB140" s="35" t="str">
        <f t="shared" si="33"/>
        <v/>
      </c>
      <c r="BC140" s="35"/>
      <c r="BE140" s="35">
        <f ca="1">INDEX(SF_Output!$AA$2:$AA$400,MATCH($B140,SF_Output!$M$2:$M$400,0))</f>
        <v>6</v>
      </c>
      <c r="BF140" s="35">
        <f ca="1">INDEX(SF_Output!$AB$2:$AB$400,MATCH($B140,SF_Output!$M$2:$M$400,0))</f>
        <v>1</v>
      </c>
    </row>
    <row r="141" spans="2:58" x14ac:dyDescent="0.25">
      <c r="B141" t="s">
        <v>2446</v>
      </c>
      <c r="C141" t="s">
        <v>2122</v>
      </c>
      <c r="D141" t="s">
        <v>2207</v>
      </c>
      <c r="E141" t="s">
        <v>2124</v>
      </c>
      <c r="F141" s="116" t="str">
        <f t="shared" si="17"/>
        <v>Included</v>
      </c>
      <c r="G141" t="str">
        <f>IF(B141="","",INDEX(SF_Output!$K$1:$K$400,MATCH(B141,SF_Output!$M$1:$M$400,0)))</f>
        <v>Card Processing Solutions (CPS)</v>
      </c>
      <c r="H141" cm="1">
        <f t="array" ref="H141">_xlfn.IFS(B141="","",(SUMIFS(SF_Output!$F$1:$F$400,SF_Output!$AC$1:$AC$400,_xlfn.TEXTJOIN(",",TRUE,B141:E141))+SUMIFS(SF_Output!$G$1:$G$400,SF_Output!$AC$1:$AC$400,_xlfn.TEXTJOIN(",",TRUE,B141:E141)))&lt;&gt;0,SF_Output!$Y$2,INDEX(SF_Output!$F$1:$F$400,MATCH(_xlfn.TEXTJOIN(",",TRUE,B141:E141),SF_Output!$AC$1:$AC$400,0))=0,INDEX(SF_Output!$R$1:$R$400,MATCH(_xlfn.TEXTJOIN(",",TRUE,B141:E141),SF_Output!$AC$1:$AC$400,0)))</f>
        <v>0</v>
      </c>
      <c r="I141" s="125" t="str">
        <f>IFERROR(IF(AND(H141&gt;1,H141&lt;&gt;""),ROUND(SUMIFS(SF_Output!$S$1:$S$400,SF_Output!$AC$1:$AC$400,_xlfn.TEXTJOIN(",",TRUE,B141:E141),SF_Output!$Q$1:$Q$400,"monthly")*(1-W141)/H141,4),""),"")</f>
        <v/>
      </c>
      <c r="J141" s="6">
        <f>IF(B141="","",SUMIFS(SF_Output!$S$1:$S$400,SF_Output!$AC$1:$AC$400,_xlfn.TEXTJOIN(",",TRUE,B141:E141),SF_Output!$Q$1:$Q$400,"One Time",SF_Output!$L$1:$L$400,"license fee")+SUMIFS(SF_Output!$S$1:$S$400,SF_Output!$AC$1:$AC$400,_xlfn.TEXTJOIN(",",TRUE,B141:E141),SF_Output!$Q$1:$Q$400,"One Time",SF_Output!$L$1:$L$400,"software license")+SUMIFS(SF_Output!$S$1:$S$400,SF_Output!$AC$1:$AC$400,_xlfn.TEXTJOIN(",",TRUE,B141:E141),SF_Output!$Q$1:$Q$400,"One Time",SF_Output!$L$1:$L$400,"hardware"))</f>
        <v>0</v>
      </c>
      <c r="K141" s="112" t="str">
        <f>IF(OR(B141=0,B141="",G141="hardware",J141=0),"",IF(AF141&lt;&gt;"exclusion",MAX(K$9,-((SUMIFS(SF_Output!$T$1:$T$400,SF_Output!$AC$1:$AC$400,_xlfn.TEXTJOIN(",",TRUE,$B141:$E141),SF_Output!$Q$1:$Q$400,"One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license"))/J141)))</f>
        <v/>
      </c>
      <c r="L141" s="6">
        <f t="shared" si="18"/>
        <v>0</v>
      </c>
      <c r="N141" s="6">
        <f>IF(B141="","",SUMIFS(SF_Output!$S$1:$S$400,SF_Output!$AC$1:$AC$400,_xlfn.TEXTJOIN(",",TRUE,B141:E141),SF_Output!$Q$1:$Q$400,"One Time",SF_Output!$L$1:$L$400,"professional service"))</f>
        <v>4000</v>
      </c>
      <c r="O141" s="112">
        <f>IF(OR(B141=0,B141="",N141=0),"",IF(AF141&lt;&gt;"exclusion",MAX(O$9,-(SUMIFS(SF_Output!$T$1:$T$400,SF_Output!$AC$1:$AC$400,_xlfn.TEXTJOIN(",",TRUE,$B141:$E141),SF_Output!$Q$1:$Q$400,"One Time",SF_Output!$L$1:$L$400,"professional service"))/N141),-((SUMIFS(SF_Output!$T$1:$T$400,SF_Output!$AC$1:$AC$400,_xlfn.TEXTJOIN(",",TRUE,$B141:$E141),SF_Output!$Q$1:$Q$400,"One Time",SF_Output!$L$1:$L$400,"professional service")/N141))))</f>
        <v>1</v>
      </c>
      <c r="P141" s="6">
        <f t="shared" si="19"/>
        <v>0</v>
      </c>
      <c r="R141" s="6">
        <f>IF(B141="","",SUMIFS(SF_Output!$S$1:$S$400,SF_Output!$AC$1:$AC$400,_xlfn.TEXTJOIN(",",TRUE,B141:E141),SF_Output!$Q$1:$Q$400,"yearly")+SUMIFS(SF_Output!$S$1:$S$400,SF_Output!$AC$1:$AC$400,_xlfn.TEXTJOIN(",",TRUE,B141:E141),SF_Output!$Q$1:$Q$400,"quarterly")*4)</f>
        <v>0</v>
      </c>
      <c r="S141" s="112" t="str">
        <f>IF(OR(B141=0,B141="",G141="hardware",R141=0),"",IF(AF141&lt;&gt;"exclusion",MAX(S$9,-(SUMIFS(SF_Output!$T$1:$T$400,SF_Output!$AC$1:$AC$400,_xlfn.TEXTJOIN(",",TRUE,$B141:$E141),SF_Output!$Q$1:$Q$400,"yearly"))/R141),-((SUMIFS(SF_Output!$T$1:$T$400,SF_Output!$AC$1:$AC$400,_xlfn.TEXTJOIN(",",TRUE,$B141:$E141),SF_Output!$Q$1:$Q$400,"yearly")/R141))))</f>
        <v/>
      </c>
      <c r="T141" s="6">
        <f t="shared" si="20"/>
        <v>0</v>
      </c>
      <c r="V141" s="6" cm="1">
        <f t="array" ref="V141">_xlfn.IFS(B141="","",AND(B141&lt;&gt;"",H141=SF_Output!$Y$2,SUMIFS(SF_Output!$T$1:$T$400,SF_Output!$AC$1:$AC$400,_xlfn.TEXTJOIN(",",TRUE,B141:E141),SF_Output!$Q$1:$Q$400,"monthly")=0),(SUMIFS(SF_Output!$F$1:$F$400,SF_Output!$AC$1:$AC$400,_xlfn.TEXTJOIN(",",TRUE,B141:E141),SF_Output!$Q$1:$Q$400,"monthly")+SUMIFS(SF_Output!$G$1:$G$400,SF_Output!$AC$1:$AC$400,_xlfn.TEXTJOIN(",",TRUE,B141:E141),SF_Output!$Q$1:$Q$400,"monthly"))*H141,AND(B141&lt;&gt;"",H141=SF_Output!$Y$2,SUMIFS(SF_Output!$T$1:$T$400,SF_Output!$AC$1:$AC$400,_xlfn.TEXTJOIN(",",TRUE,B141:E141),SF_Output!$Q$1:$Q$400,"monthly")&lt;&gt;0),SUMIFS(SF_Output!$S$1:$S$400,SF_Output!$AC$1:$AC$400,_xlfn.TEXTJOIN(",",TRUE,B141:E141),SF_Output!$Q$1:$Q$400,"monthly"),AND(B141&lt;&gt;"",H141&lt;&gt;SF_Output!$Y$2),SUMIFS(SF_Output!$S$1:$S$400,SF_Output!$AC$1:$AC$400,_xlfn.TEXTJOIN(",",TRUE,B141:E141),SF_Output!$Q$1:$Q$400,"monthly"))</f>
        <v>0</v>
      </c>
      <c r="W141" s="112" t="str" cm="1">
        <f t="array" ref="W141">_xlfn.IFS(OR(B141=0,B141="",V141=0),"",AF141&lt;&gt;"exclusion",MAX($W$9,$W$7,(-(SUMIFS(SF_Output!$T$1:$T$400,SF_Output!$AC$1:$AC$400,_xlfn.TEXTJOIN(",",TRUE,$B141:$E141),SF_Output!$Q$1:$Q$400,"monthly"))/V141)),AF141="exclusion",-(SUMIFS(SF_Output!$T$1:$T$400,SF_Output!$AC$1:$AC$400,_xlfn.TEXTJOIN(",",TRUE,$B141:$E141),SF_Output!$Q$1:$Q$400,"monthly"))/V141)</f>
        <v/>
      </c>
      <c r="X141" s="6" cm="1">
        <f t="array" ref="X141">IFERROR(_xlfn.IFS(V141=0,0,V141="","",W141=0,V141,OR(V141&lt;&gt;0,V141&lt;&gt;""),H141*I141),V141*(1-W141))</f>
        <v>0</v>
      </c>
      <c r="Z141" s="6">
        <f>IFERROR(IF(B141="","",SUMIFS(Billing_Fallout!H:H,Billing_Fallout!N:N,B141)),0)</f>
        <v>0</v>
      </c>
      <c r="AA141" s="6">
        <f t="shared" si="21"/>
        <v>0</v>
      </c>
      <c r="AB141" s="6">
        <f>IFERROR(IF(B141="","",SUMIFS(Billing_Fallout!J:J,Billing_Fallout!N:N,B141)),0)</f>
        <v>0</v>
      </c>
      <c r="AD141" s="6">
        <f t="shared" si="22"/>
        <v>0</v>
      </c>
      <c r="AF141" t="str">
        <f>IFERROR(INDEX(H_Tables!$B$1:$B$1500,MATCH(INDEX(SF_Output!$J$1:$J$400,MATCH(B141,SF_Output!$M$1:$M$400,0)),H_Tables!$A$1:$A$1500,0)),"")</f>
        <v>Exclusion</v>
      </c>
      <c r="AI141" s="119" t="str">
        <f t="shared" si="23"/>
        <v/>
      </c>
      <c r="AJ141" s="121">
        <f>IFERROR(INDEX(SF_Output!AD:AD,MATCH(_xlfn.TEXTJOIN(",",TRUE,B141:E141),SF_Output!AC1:AC400,0)),0.05)</f>
        <v>227</v>
      </c>
      <c r="AK141" t="str">
        <f>IF(SUMIFS(SF_Output!$F$1:$F$400,SF_Output!$AC$1:$AC$400,_xlfn.TEXTJOIN(",",TRUE,B141:E141))+SUMIFS(SF_Output!$G$1:$G$400,SF_Output!$AC$1:$AC$400,_xlfn.TEXTJOIN(",",TRUE,B141:E141))=0,"","PAP")</f>
        <v/>
      </c>
      <c r="AQ141" s="35"/>
      <c r="AR141" s="35" t="str" cm="1">
        <f t="array" ref="AR141">IFERROR(_xlfn.IFS(AND(E141*1=1,F141="Included"),"Change to Included",AND(E141*1=0,F141="Optional"),"Change to Optional",OR(B141="",F141="replaced"),""),"")</f>
        <v/>
      </c>
      <c r="AS141" s="35" t="str">
        <f t="shared" si="24"/>
        <v/>
      </c>
      <c r="AT141" s="35" t="str">
        <f t="shared" si="25"/>
        <v/>
      </c>
      <c r="AU141" s="35" t="str">
        <f t="shared" si="26"/>
        <v/>
      </c>
      <c r="AV141" s="35" t="str">
        <f t="shared" si="27"/>
        <v/>
      </c>
      <c r="AW141" s="35" t="str">
        <f t="shared" si="28"/>
        <v/>
      </c>
      <c r="AX141" s="35" t="str">
        <f t="shared" si="29"/>
        <v/>
      </c>
      <c r="AY141" s="35" t="str">
        <f t="shared" si="30"/>
        <v/>
      </c>
      <c r="AZ141" s="35" t="str">
        <f t="shared" si="31"/>
        <v/>
      </c>
      <c r="BA141" s="35" t="str">
        <f t="shared" si="32"/>
        <v/>
      </c>
      <c r="BB141" s="35" t="str">
        <f t="shared" si="33"/>
        <v/>
      </c>
      <c r="BC141" s="35"/>
      <c r="BE141" s="35">
        <f ca="1">INDEX(SF_Output!$AA$2:$AA$400,MATCH($B141,SF_Output!$M$2:$M$400,0))</f>
        <v>6</v>
      </c>
      <c r="BF141" s="35">
        <f ca="1">INDEX(SF_Output!$AB$2:$AB$400,MATCH($B141,SF_Output!$M$2:$M$400,0))</f>
        <v>1</v>
      </c>
    </row>
    <row r="142" spans="2:58" x14ac:dyDescent="0.25">
      <c r="B142" t="s">
        <v>2449</v>
      </c>
      <c r="C142" t="s">
        <v>2122</v>
      </c>
      <c r="D142" t="s">
        <v>2207</v>
      </c>
      <c r="E142" t="s">
        <v>2124</v>
      </c>
      <c r="F142" s="116" t="str">
        <f t="shared" ref="F142:F205" si="34">IF(B142="","",IF(E142*1=0,"Included","Optional"))</f>
        <v>Included</v>
      </c>
      <c r="G142" t="str">
        <f>IF(B142="","",INDEX(SF_Output!$K$1:$K$400,MATCH(B142,SF_Output!$M$1:$M$400,0)))</f>
        <v>Card Processing Solutions (CPS)</v>
      </c>
      <c r="H142" cm="1">
        <f t="array" ref="H142">_xlfn.IFS(B142="","",(SUMIFS(SF_Output!$F$1:$F$400,SF_Output!$AC$1:$AC$400,_xlfn.TEXTJOIN(",",TRUE,B142:E142))+SUMIFS(SF_Output!$G$1:$G$400,SF_Output!$AC$1:$AC$400,_xlfn.TEXTJOIN(",",TRUE,B142:E142)))&lt;&gt;0,SF_Output!$Y$2,INDEX(SF_Output!$F$1:$F$400,MATCH(_xlfn.TEXTJOIN(",",TRUE,B142:E142),SF_Output!$AC$1:$AC$400,0))=0,INDEX(SF_Output!$R$1:$R$400,MATCH(_xlfn.TEXTJOIN(",",TRUE,B142:E142),SF_Output!$AC$1:$AC$400,0)))</f>
        <v>0</v>
      </c>
      <c r="I142" s="125" t="str">
        <f>IFERROR(IF(AND(H142&gt;1,H142&lt;&gt;""),ROUND(SUMIFS(SF_Output!$S$1:$S$400,SF_Output!$AC$1:$AC$400,_xlfn.TEXTJOIN(",",TRUE,B142:E142),SF_Output!$Q$1:$Q$400,"monthly")*(1-W142)/H142,4),""),"")</f>
        <v/>
      </c>
      <c r="J142" s="6">
        <f>IF(B142="","",SUMIFS(SF_Output!$S$1:$S$400,SF_Output!$AC$1:$AC$400,_xlfn.TEXTJOIN(",",TRUE,B142:E142),SF_Output!$Q$1:$Q$400,"One Time",SF_Output!$L$1:$L$400,"license fee")+SUMIFS(SF_Output!$S$1:$S$400,SF_Output!$AC$1:$AC$400,_xlfn.TEXTJOIN(",",TRUE,B142:E142),SF_Output!$Q$1:$Q$400,"One Time",SF_Output!$L$1:$L$400,"software license")+SUMIFS(SF_Output!$S$1:$S$400,SF_Output!$AC$1:$AC$400,_xlfn.TEXTJOIN(",",TRUE,B142:E142),SF_Output!$Q$1:$Q$400,"One Time",SF_Output!$L$1:$L$400,"hardware"))</f>
        <v>0</v>
      </c>
      <c r="K142" s="112" t="str">
        <f>IF(OR(B142=0,B142="",G142="hardware",J142=0),"",IF(AF142&lt;&gt;"exclusion",MAX(K$9,-((SUMIFS(SF_Output!$T$1:$T$400,SF_Output!$AC$1:$AC$400,_xlfn.TEXTJOIN(",",TRUE,$B142:$E142),SF_Output!$Q$1:$Q$400,"One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license"))/J142)))</f>
        <v/>
      </c>
      <c r="L142" s="6">
        <f t="shared" ref="L142:L205" si="35">IF(K142="",J142,J142*(1-K142))</f>
        <v>0</v>
      </c>
      <c r="N142" s="6">
        <f>IF(B142="","",SUMIFS(SF_Output!$S$1:$S$400,SF_Output!$AC$1:$AC$400,_xlfn.TEXTJOIN(",",TRUE,B142:E142),SF_Output!$Q$1:$Q$400,"One Time",SF_Output!$L$1:$L$400,"professional service"))</f>
        <v>0</v>
      </c>
      <c r="O142" s="112" t="str">
        <f>IF(OR(B142=0,B142="",N142=0),"",IF(AF142&lt;&gt;"exclusion",MAX(O$9,-(SUMIFS(SF_Output!$T$1:$T$400,SF_Output!$AC$1:$AC$400,_xlfn.TEXTJOIN(",",TRUE,$B142:$E142),SF_Output!$Q$1:$Q$400,"One Time",SF_Output!$L$1:$L$400,"professional service"))/N142),-((SUMIFS(SF_Output!$T$1:$T$400,SF_Output!$AC$1:$AC$400,_xlfn.TEXTJOIN(",",TRUE,$B142:$E142),SF_Output!$Q$1:$Q$400,"One Time",SF_Output!$L$1:$L$400,"professional service")/N142))))</f>
        <v/>
      </c>
      <c r="P142" s="6">
        <f t="shared" ref="P142:P205" si="36">IF(O142="",N142,N142*(1-O142))</f>
        <v>0</v>
      </c>
      <c r="R142" s="6">
        <f>IF(B142="","",SUMIFS(SF_Output!$S$1:$S$400,SF_Output!$AC$1:$AC$400,_xlfn.TEXTJOIN(",",TRUE,B142:E142),SF_Output!$Q$1:$Q$400,"yearly")+SUMIFS(SF_Output!$S$1:$S$400,SF_Output!$AC$1:$AC$400,_xlfn.TEXTJOIN(",",TRUE,B142:E142),SF_Output!$Q$1:$Q$400,"quarterly")*4)</f>
        <v>0</v>
      </c>
      <c r="S142" s="112" t="str">
        <f>IF(OR(B142=0,B142="",G142="hardware",R142=0),"",IF(AF142&lt;&gt;"exclusion",MAX(S$9,-(SUMIFS(SF_Output!$T$1:$T$400,SF_Output!$AC$1:$AC$400,_xlfn.TEXTJOIN(",",TRUE,$B142:$E142),SF_Output!$Q$1:$Q$400,"yearly"))/R142),-((SUMIFS(SF_Output!$T$1:$T$400,SF_Output!$AC$1:$AC$400,_xlfn.TEXTJOIN(",",TRUE,$B142:$E142),SF_Output!$Q$1:$Q$400,"yearly")/R142))))</f>
        <v/>
      </c>
      <c r="T142" s="6">
        <f t="shared" ref="T142:T205" si="37">IF(S142="",R142,R142*(1-S142))</f>
        <v>0</v>
      </c>
      <c r="V142" s="6" cm="1">
        <f t="array" ref="V142">_xlfn.IFS(B142="","",AND(B142&lt;&gt;"",H142=SF_Output!$Y$2,SUMIFS(SF_Output!$T$1:$T$400,SF_Output!$AC$1:$AC$400,_xlfn.TEXTJOIN(",",TRUE,B142:E142),SF_Output!$Q$1:$Q$400,"monthly")=0),(SUMIFS(SF_Output!$F$1:$F$400,SF_Output!$AC$1:$AC$400,_xlfn.TEXTJOIN(",",TRUE,B142:E142),SF_Output!$Q$1:$Q$400,"monthly")+SUMIFS(SF_Output!$G$1:$G$400,SF_Output!$AC$1:$AC$400,_xlfn.TEXTJOIN(",",TRUE,B142:E142),SF_Output!$Q$1:$Q$400,"monthly"))*H142,AND(B142&lt;&gt;"",H142=SF_Output!$Y$2,SUMIFS(SF_Output!$T$1:$T$400,SF_Output!$AC$1:$AC$400,_xlfn.TEXTJOIN(",",TRUE,B142:E142),SF_Output!$Q$1:$Q$400,"monthly")&lt;&gt;0),SUMIFS(SF_Output!$S$1:$S$400,SF_Output!$AC$1:$AC$400,_xlfn.TEXTJOIN(",",TRUE,B142:E142),SF_Output!$Q$1:$Q$400,"monthly"),AND(B142&lt;&gt;"",H142&lt;&gt;SF_Output!$Y$2),SUMIFS(SF_Output!$S$1:$S$400,SF_Output!$AC$1:$AC$400,_xlfn.TEXTJOIN(",",TRUE,B142:E142),SF_Output!$Q$1:$Q$400,"monthly"))</f>
        <v>0</v>
      </c>
      <c r="W142" s="112" t="str" cm="1">
        <f t="array" ref="W142">_xlfn.IFS(OR(B142=0,B142="",V142=0),"",AF142&lt;&gt;"exclusion",MAX($W$9,$W$7,(-(SUMIFS(SF_Output!$T$1:$T$400,SF_Output!$AC$1:$AC$400,_xlfn.TEXTJOIN(",",TRUE,$B142:$E142),SF_Output!$Q$1:$Q$400,"monthly"))/V142)),AF142="exclusion",-(SUMIFS(SF_Output!$T$1:$T$400,SF_Output!$AC$1:$AC$400,_xlfn.TEXTJOIN(",",TRUE,$B142:$E142),SF_Output!$Q$1:$Q$400,"monthly"))/V142)</f>
        <v/>
      </c>
      <c r="X142" s="6" cm="1">
        <f t="array" ref="X142">IFERROR(_xlfn.IFS(V142=0,0,V142="","",W142=0,V142,OR(V142&lt;&gt;0,V142&lt;&gt;""),H142*I142),V142*(1-W142))</f>
        <v>0</v>
      </c>
      <c r="Z142" s="6">
        <f>IFERROR(IF(B142="","",SUMIFS(Billing_Fallout!H:H,Billing_Fallout!N:N,B142)),0)</f>
        <v>0</v>
      </c>
      <c r="AA142" s="6">
        <f t="shared" ref="AA142:AA205" si="38">IF(Z142="","",AB142-Z142)</f>
        <v>0</v>
      </c>
      <c r="AB142" s="6">
        <f>IFERROR(IF(B142="","",SUMIFS(Billing_Fallout!J:J,Billing_Fallout!N:N,B142)),0)</f>
        <v>0</v>
      </c>
      <c r="AD142" s="6">
        <f t="shared" ref="AD142:AD205" si="39">IFERROR(X142-AB142,"")</f>
        <v>0</v>
      </c>
      <c r="AF142" t="str">
        <f>IFERROR(INDEX(H_Tables!$B$1:$B$1500,MATCH(INDEX(SF_Output!$J$1:$J$400,MATCH(B142,SF_Output!$M$1:$M$400,0)),H_Tables!$A$1:$A$1500,0)),"")</f>
        <v>Exclusion</v>
      </c>
      <c r="AI142" s="119" t="str">
        <f t="shared" ref="AI142:AI205" si="40">IF(B142="","",IF(F142="remove","Remove Product",IF(F142="add","Add Product",_xlfn.TEXTJOIN(", ",TRUE,AQ142,AR142,AS142,AT142,AU142,AV142,AW142,AX142,AY142,AZ142,BA142,BB142,BC142))))</f>
        <v/>
      </c>
      <c r="AJ142" s="121">
        <f>IFERROR(INDEX(SF_Output!AD:AD,MATCH(_xlfn.TEXTJOIN(",",TRUE,B142:E142),SF_Output!AC1:AC400,0)),0.05)</f>
        <v>229</v>
      </c>
      <c r="AK142" t="str">
        <f>IF(SUMIFS(SF_Output!$F$1:$F$400,SF_Output!$AC$1:$AC$400,_xlfn.TEXTJOIN(",",TRUE,B142:E142))+SUMIFS(SF_Output!$G$1:$G$400,SF_Output!$AC$1:$AC$400,_xlfn.TEXTJOIN(",",TRUE,B142:E142))=0,"","PAP")</f>
        <v/>
      </c>
      <c r="AQ142" s="35"/>
      <c r="AR142" s="35" t="str" cm="1">
        <f t="array" ref="AR142">IFERROR(_xlfn.IFS(AND(E142*1=1,F142="Included"),"Change to Included",AND(E142*1=0,F142="Optional"),"Change to Optional",OR(B142="",F142="replaced"),""),"")</f>
        <v/>
      </c>
      <c r="AS142" s="35" t="str">
        <f t="shared" ref="AS142:AS205" si="41">IF((OR(NOT(_xlfn.ISFORMULA(J142)),NOT(_xlfn.ISFORMULA(L142)))),"Check License Price Override","")</f>
        <v/>
      </c>
      <c r="AT142" s="35" t="str">
        <f t="shared" ref="AT142:AT205" si="42">IF(OR(AND(K142=$K$9,K142&lt;&gt;0),NOT(_xlfn.ISFORMULA(K142))),"License Discount "&amp;K142*100&amp;"%","")</f>
        <v/>
      </c>
      <c r="AU142" s="35" t="str">
        <f t="shared" ref="AU142:AU205" si="43">IF((OR(NOT(_xlfn.ISFORMULA(N142)),NOT(_xlfn.ISFORMULA(P142)))),"Check Install Price Override","")</f>
        <v/>
      </c>
      <c r="AV142" s="35" t="str">
        <f t="shared" ref="AV142:AV205" si="44">IF(OR(AND(O142=$O$9,O142&lt;&gt;0),NOT(_xlfn.ISFORMULA(O142))),"Install Discount "&amp;O142*100&amp;"%","")</f>
        <v/>
      </c>
      <c r="AW142" s="35" t="str">
        <f t="shared" ref="AW142:AW205" si="45">IF((OR(NOT(_xlfn.ISFORMULA(R142)),NOT(_xlfn.ISFORMULA(T142)))),"Check Maintenance Price Override","")</f>
        <v/>
      </c>
      <c r="AX142" s="35" t="str">
        <f t="shared" ref="AX142:AX205" si="46">IF(OR(AND(S142=$S$9,S142&lt;&gt;0),NOT(_xlfn.ISFORMULA(S142))),"Maintenance Discount "&amp;S142*100&amp;"%","")</f>
        <v/>
      </c>
      <c r="AY142" s="35" t="str">
        <f t="shared" ref="AY142:AY205" si="47">IF((OR(NOT(_xlfn.ISFORMULA(V142)),NOT(_xlfn.ISFORMULA(X142)))),"Check Monthly Price Override","")</f>
        <v/>
      </c>
      <c r="AZ142" s="35" t="str">
        <f t="shared" ref="AZ142:AZ205" si="48">IF(OR((AND(W142=$W$9,W142&lt;&gt;0)),(AND(W142=$W$7,W142&lt;&gt;0)),(NOT(_xlfn.ISFORMULA(W142))),AND($W$7+0.2=W142,$W$7&lt;&gt;0)),"Monthly Discount "&amp;W142*100&amp;"%","")</f>
        <v/>
      </c>
      <c r="BA142" s="35" t="str">
        <f t="shared" ref="BA142:BA205" si="49">IF(NOT(_xlfn.ISFORMULA(H142)),"Check Quantity","")</f>
        <v/>
      </c>
      <c r="BB142" s="35" t="str">
        <f t="shared" ref="BB142:BB205" si="50">IF(NOT(_xlfn.ISFORMULA(I142)),"Check Unit Price Override","")</f>
        <v/>
      </c>
      <c r="BC142" s="35"/>
      <c r="BE142" s="35">
        <f ca="1">INDEX(SF_Output!$AA$2:$AA$400,MATCH($B142,SF_Output!$M$2:$M$400,0))</f>
        <v>6</v>
      </c>
      <c r="BF142" s="35">
        <f ca="1">INDEX(SF_Output!$AB$2:$AB$400,MATCH($B142,SF_Output!$M$2:$M$400,0))</f>
        <v>1</v>
      </c>
    </row>
    <row r="143" spans="2:58" x14ac:dyDescent="0.25">
      <c r="B143" t="s">
        <v>2451</v>
      </c>
      <c r="C143" t="s">
        <v>2122</v>
      </c>
      <c r="D143" t="s">
        <v>2207</v>
      </c>
      <c r="E143" t="s">
        <v>2124</v>
      </c>
      <c r="F143" s="116" t="str">
        <f t="shared" si="34"/>
        <v>Included</v>
      </c>
      <c r="G143" t="str">
        <f>IF(B143="","",INDEX(SF_Output!$K$1:$K$400,MATCH(B143,SF_Output!$M$1:$M$400,0)))</f>
        <v>Card Processing Solutions (CPS)</v>
      </c>
      <c r="H143" cm="1">
        <f t="array" ref="H143">_xlfn.IFS(B143="","",(SUMIFS(SF_Output!$F$1:$F$400,SF_Output!$AC$1:$AC$400,_xlfn.TEXTJOIN(",",TRUE,B143:E143))+SUMIFS(SF_Output!$G$1:$G$400,SF_Output!$AC$1:$AC$400,_xlfn.TEXTJOIN(",",TRUE,B143:E143)))&lt;&gt;0,SF_Output!$Y$2,INDEX(SF_Output!$F$1:$F$400,MATCH(_xlfn.TEXTJOIN(",",TRUE,B143:E143),SF_Output!$AC$1:$AC$400,0))=0,INDEX(SF_Output!$R$1:$R$400,MATCH(_xlfn.TEXTJOIN(",",TRUE,B143:E143),SF_Output!$AC$1:$AC$400,0)))</f>
        <v>0</v>
      </c>
      <c r="I143" s="125" t="str">
        <f>IFERROR(IF(AND(H143&gt;1,H143&lt;&gt;""),ROUND(SUMIFS(SF_Output!$S$1:$S$400,SF_Output!$AC$1:$AC$400,_xlfn.TEXTJOIN(",",TRUE,B143:E143),SF_Output!$Q$1:$Q$400,"monthly")*(1-W143)/H143,4),""),"")</f>
        <v/>
      </c>
      <c r="J143" s="6">
        <f>IF(B143="","",SUMIFS(SF_Output!$S$1:$S$400,SF_Output!$AC$1:$AC$400,_xlfn.TEXTJOIN(",",TRUE,B143:E143),SF_Output!$Q$1:$Q$400,"One Time",SF_Output!$L$1:$L$400,"license fee")+SUMIFS(SF_Output!$S$1:$S$400,SF_Output!$AC$1:$AC$400,_xlfn.TEXTJOIN(",",TRUE,B143:E143),SF_Output!$Q$1:$Q$400,"One Time",SF_Output!$L$1:$L$400,"software license")+SUMIFS(SF_Output!$S$1:$S$400,SF_Output!$AC$1:$AC$400,_xlfn.TEXTJOIN(",",TRUE,B143:E143),SF_Output!$Q$1:$Q$400,"One Time",SF_Output!$L$1:$L$400,"hardware"))</f>
        <v>0</v>
      </c>
      <c r="K143" s="112" t="str">
        <f>IF(OR(B143=0,B143="",G143="hardware",J143=0),"",IF(AF143&lt;&gt;"exclusion",MAX(K$9,-((SUMIFS(SF_Output!$T$1:$T$400,SF_Output!$AC$1:$AC$400,_xlfn.TEXTJOIN(",",TRUE,$B143:$E143),SF_Output!$Q$1:$Q$400,"One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license"))/J143)))</f>
        <v/>
      </c>
      <c r="L143" s="6">
        <f t="shared" si="35"/>
        <v>0</v>
      </c>
      <c r="N143" s="6">
        <f>IF(B143="","",SUMIFS(SF_Output!$S$1:$S$400,SF_Output!$AC$1:$AC$400,_xlfn.TEXTJOIN(",",TRUE,B143:E143),SF_Output!$Q$1:$Q$400,"One Time",SF_Output!$L$1:$L$400,"professional service"))</f>
        <v>0</v>
      </c>
      <c r="O143" s="112" t="str">
        <f>IF(OR(B143=0,B143="",N143=0),"",IF(AF143&lt;&gt;"exclusion",MAX(O$9,-(SUMIFS(SF_Output!$T$1:$T$400,SF_Output!$AC$1:$AC$400,_xlfn.TEXTJOIN(",",TRUE,$B143:$E143),SF_Output!$Q$1:$Q$400,"One Time",SF_Output!$L$1:$L$400,"professional service"))/N143),-((SUMIFS(SF_Output!$T$1:$T$400,SF_Output!$AC$1:$AC$400,_xlfn.TEXTJOIN(",",TRUE,$B143:$E143),SF_Output!$Q$1:$Q$400,"One Time",SF_Output!$L$1:$L$400,"professional service")/N143))))</f>
        <v/>
      </c>
      <c r="P143" s="6">
        <f t="shared" si="36"/>
        <v>0</v>
      </c>
      <c r="R143" s="6">
        <f>IF(B143="","",SUMIFS(SF_Output!$S$1:$S$400,SF_Output!$AC$1:$AC$400,_xlfn.TEXTJOIN(",",TRUE,B143:E143),SF_Output!$Q$1:$Q$400,"yearly")+SUMIFS(SF_Output!$S$1:$S$400,SF_Output!$AC$1:$AC$400,_xlfn.TEXTJOIN(",",TRUE,B143:E143),SF_Output!$Q$1:$Q$400,"quarterly")*4)</f>
        <v>0</v>
      </c>
      <c r="S143" s="112" t="str">
        <f>IF(OR(B143=0,B143="",G143="hardware",R143=0),"",IF(AF143&lt;&gt;"exclusion",MAX(S$9,-(SUMIFS(SF_Output!$T$1:$T$400,SF_Output!$AC$1:$AC$400,_xlfn.TEXTJOIN(",",TRUE,$B143:$E143),SF_Output!$Q$1:$Q$400,"yearly"))/R143),-((SUMIFS(SF_Output!$T$1:$T$400,SF_Output!$AC$1:$AC$400,_xlfn.TEXTJOIN(",",TRUE,$B143:$E143),SF_Output!$Q$1:$Q$400,"yearly")/R143))))</f>
        <v/>
      </c>
      <c r="T143" s="6">
        <f t="shared" si="37"/>
        <v>0</v>
      </c>
      <c r="V143" s="6" cm="1">
        <f t="array" ref="V143">_xlfn.IFS(B143="","",AND(B143&lt;&gt;"",H143=SF_Output!$Y$2,SUMIFS(SF_Output!$T$1:$T$400,SF_Output!$AC$1:$AC$400,_xlfn.TEXTJOIN(",",TRUE,B143:E143),SF_Output!$Q$1:$Q$400,"monthly")=0),(SUMIFS(SF_Output!$F$1:$F$400,SF_Output!$AC$1:$AC$400,_xlfn.TEXTJOIN(",",TRUE,B143:E143),SF_Output!$Q$1:$Q$400,"monthly")+SUMIFS(SF_Output!$G$1:$G$400,SF_Output!$AC$1:$AC$400,_xlfn.TEXTJOIN(",",TRUE,B143:E143),SF_Output!$Q$1:$Q$400,"monthly"))*H143,AND(B143&lt;&gt;"",H143=SF_Output!$Y$2,SUMIFS(SF_Output!$T$1:$T$400,SF_Output!$AC$1:$AC$400,_xlfn.TEXTJOIN(",",TRUE,B143:E143),SF_Output!$Q$1:$Q$400,"monthly")&lt;&gt;0),SUMIFS(SF_Output!$S$1:$S$400,SF_Output!$AC$1:$AC$400,_xlfn.TEXTJOIN(",",TRUE,B143:E143),SF_Output!$Q$1:$Q$400,"monthly"),AND(B143&lt;&gt;"",H143&lt;&gt;SF_Output!$Y$2),SUMIFS(SF_Output!$S$1:$S$400,SF_Output!$AC$1:$AC$400,_xlfn.TEXTJOIN(",",TRUE,B143:E143),SF_Output!$Q$1:$Q$400,"monthly"))</f>
        <v>0</v>
      </c>
      <c r="W143" s="112" t="str" cm="1">
        <f t="array" ref="W143">_xlfn.IFS(OR(B143=0,B143="",V143=0),"",AF143&lt;&gt;"exclusion",MAX($W$9,$W$7,(-(SUMIFS(SF_Output!$T$1:$T$400,SF_Output!$AC$1:$AC$400,_xlfn.TEXTJOIN(",",TRUE,$B143:$E143),SF_Output!$Q$1:$Q$400,"monthly"))/V143)),AF143="exclusion",-(SUMIFS(SF_Output!$T$1:$T$400,SF_Output!$AC$1:$AC$400,_xlfn.TEXTJOIN(",",TRUE,$B143:$E143),SF_Output!$Q$1:$Q$400,"monthly"))/V143)</f>
        <v/>
      </c>
      <c r="X143" s="6" cm="1">
        <f t="array" ref="X143">IFERROR(_xlfn.IFS(V143=0,0,V143="","",W143=0,V143,OR(V143&lt;&gt;0,V143&lt;&gt;""),H143*I143),V143*(1-W143))</f>
        <v>0</v>
      </c>
      <c r="Z143" s="6">
        <f>IFERROR(IF(B143="","",SUMIFS(Billing_Fallout!H:H,Billing_Fallout!N:N,B143)),0)</f>
        <v>0</v>
      </c>
      <c r="AA143" s="6">
        <f t="shared" si="38"/>
        <v>0</v>
      </c>
      <c r="AB143" s="6">
        <f>IFERROR(IF(B143="","",SUMIFS(Billing_Fallout!J:J,Billing_Fallout!N:N,B143)),0)</f>
        <v>0</v>
      </c>
      <c r="AD143" s="6">
        <f t="shared" si="39"/>
        <v>0</v>
      </c>
      <c r="AF143" t="str">
        <f>IFERROR(INDEX(H_Tables!$B$1:$B$1500,MATCH(INDEX(SF_Output!$J$1:$J$400,MATCH(B143,SF_Output!$M$1:$M$400,0)),H_Tables!$A$1:$A$1500,0)),"")</f>
        <v>Exclusion</v>
      </c>
      <c r="AI143" s="119" t="str">
        <f t="shared" si="40"/>
        <v/>
      </c>
      <c r="AJ143" s="121">
        <f>IFERROR(INDEX(SF_Output!AD:AD,MATCH(_xlfn.TEXTJOIN(",",TRUE,B143:E143),SF_Output!AC1:AC400,0)),0.05)</f>
        <v>230</v>
      </c>
      <c r="AK143" t="str">
        <f>IF(SUMIFS(SF_Output!$F$1:$F$400,SF_Output!$AC$1:$AC$400,_xlfn.TEXTJOIN(",",TRUE,B143:E143))+SUMIFS(SF_Output!$G$1:$G$400,SF_Output!$AC$1:$AC$400,_xlfn.TEXTJOIN(",",TRUE,B143:E143))=0,"","PAP")</f>
        <v/>
      </c>
      <c r="AQ143" s="35"/>
      <c r="AR143" s="35" t="str" cm="1">
        <f t="array" ref="AR143">IFERROR(_xlfn.IFS(AND(E143*1=1,F143="Included"),"Change to Included",AND(E143*1=0,F143="Optional"),"Change to Optional",OR(B143="",F143="replaced"),""),"")</f>
        <v/>
      </c>
      <c r="AS143" s="35" t="str">
        <f t="shared" si="41"/>
        <v/>
      </c>
      <c r="AT143" s="35" t="str">
        <f t="shared" si="42"/>
        <v/>
      </c>
      <c r="AU143" s="35" t="str">
        <f t="shared" si="43"/>
        <v/>
      </c>
      <c r="AV143" s="35" t="str">
        <f t="shared" si="44"/>
        <v/>
      </c>
      <c r="AW143" s="35" t="str">
        <f t="shared" si="45"/>
        <v/>
      </c>
      <c r="AX143" s="35" t="str">
        <f t="shared" si="46"/>
        <v/>
      </c>
      <c r="AY143" s="35" t="str">
        <f t="shared" si="47"/>
        <v/>
      </c>
      <c r="AZ143" s="35" t="str">
        <f t="shared" si="48"/>
        <v/>
      </c>
      <c r="BA143" s="35" t="str">
        <f t="shared" si="49"/>
        <v/>
      </c>
      <c r="BB143" s="35" t="str">
        <f t="shared" si="50"/>
        <v/>
      </c>
      <c r="BC143" s="35"/>
      <c r="BE143" s="35">
        <f ca="1">INDEX(SF_Output!$AA$2:$AA$400,MATCH($B143,SF_Output!$M$2:$M$400,0))</f>
        <v>6</v>
      </c>
      <c r="BF143" s="35">
        <f ca="1">INDEX(SF_Output!$AB$2:$AB$400,MATCH($B143,SF_Output!$M$2:$M$400,0))</f>
        <v>1</v>
      </c>
    </row>
    <row r="144" spans="2:58" x14ac:dyDescent="0.25">
      <c r="B144" t="s">
        <v>2453</v>
      </c>
      <c r="C144" t="s">
        <v>2122</v>
      </c>
      <c r="D144" t="s">
        <v>2207</v>
      </c>
      <c r="E144" t="s">
        <v>2124</v>
      </c>
      <c r="F144" s="116" t="str">
        <f t="shared" si="34"/>
        <v>Included</v>
      </c>
      <c r="G144" t="str">
        <f>IF(B144="","",INDEX(SF_Output!$K$1:$K$400,MATCH(B144,SF_Output!$M$1:$M$400,0)))</f>
        <v>Card Processing Solutions (CPS)</v>
      </c>
      <c r="H144" cm="1">
        <f t="array" ref="H144">_xlfn.IFS(B144="","",(SUMIFS(SF_Output!$F$1:$F$400,SF_Output!$AC$1:$AC$400,_xlfn.TEXTJOIN(",",TRUE,B144:E144))+SUMIFS(SF_Output!$G$1:$G$400,SF_Output!$AC$1:$AC$400,_xlfn.TEXTJOIN(",",TRUE,B144:E144)))&lt;&gt;0,SF_Output!$Y$2,INDEX(SF_Output!$F$1:$F$400,MATCH(_xlfn.TEXTJOIN(",",TRUE,B144:E144),SF_Output!$AC$1:$AC$400,0))=0,INDEX(SF_Output!$R$1:$R$400,MATCH(_xlfn.TEXTJOIN(",",TRUE,B144:E144),SF_Output!$AC$1:$AC$400,0)))</f>
        <v>0</v>
      </c>
      <c r="I144" s="125" t="str">
        <f>IFERROR(IF(AND(H144&gt;1,H144&lt;&gt;""),ROUND(SUMIFS(SF_Output!$S$1:$S$400,SF_Output!$AC$1:$AC$400,_xlfn.TEXTJOIN(",",TRUE,B144:E144),SF_Output!$Q$1:$Q$400,"monthly")*(1-W144)/H144,4),""),"")</f>
        <v/>
      </c>
      <c r="J144" s="6">
        <f>IF(B144="","",SUMIFS(SF_Output!$S$1:$S$400,SF_Output!$AC$1:$AC$400,_xlfn.TEXTJOIN(",",TRUE,B144:E144),SF_Output!$Q$1:$Q$400,"One Time",SF_Output!$L$1:$L$400,"license fee")+SUMIFS(SF_Output!$S$1:$S$400,SF_Output!$AC$1:$AC$400,_xlfn.TEXTJOIN(",",TRUE,B144:E144),SF_Output!$Q$1:$Q$400,"One Time",SF_Output!$L$1:$L$400,"software license")+SUMIFS(SF_Output!$S$1:$S$400,SF_Output!$AC$1:$AC$400,_xlfn.TEXTJOIN(",",TRUE,B144:E144),SF_Output!$Q$1:$Q$400,"One Time",SF_Output!$L$1:$L$400,"hardware"))</f>
        <v>0</v>
      </c>
      <c r="K144" s="112" t="str">
        <f>IF(OR(B144=0,B144="",G144="hardware",J144=0),"",IF(AF144&lt;&gt;"exclusion",MAX(K$9,-((SUMIFS(SF_Output!$T$1:$T$400,SF_Output!$AC$1:$AC$400,_xlfn.TEXTJOIN(",",TRUE,$B144:$E144),SF_Output!$Q$1:$Q$400,"One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license"))/J144)))</f>
        <v/>
      </c>
      <c r="L144" s="6">
        <f t="shared" si="35"/>
        <v>0</v>
      </c>
      <c r="N144" s="6">
        <f>IF(B144="","",SUMIFS(SF_Output!$S$1:$S$400,SF_Output!$AC$1:$AC$400,_xlfn.TEXTJOIN(",",TRUE,B144:E144),SF_Output!$Q$1:$Q$400,"One Time",SF_Output!$L$1:$L$400,"professional service"))</f>
        <v>1500</v>
      </c>
      <c r="O144" s="112">
        <f>IF(OR(B144=0,B144="",N144=0),"",IF(AF144&lt;&gt;"exclusion",MAX(O$9,-(SUMIFS(SF_Output!$T$1:$T$400,SF_Output!$AC$1:$AC$400,_xlfn.TEXTJOIN(",",TRUE,$B144:$E144),SF_Output!$Q$1:$Q$400,"One Time",SF_Output!$L$1:$L$400,"professional service"))/N144),-((SUMIFS(SF_Output!$T$1:$T$400,SF_Output!$AC$1:$AC$400,_xlfn.TEXTJOIN(",",TRUE,$B144:$E144),SF_Output!$Q$1:$Q$400,"One Time",SF_Output!$L$1:$L$400,"professional service")/N144))))</f>
        <v>1</v>
      </c>
      <c r="P144" s="6">
        <f t="shared" si="36"/>
        <v>0</v>
      </c>
      <c r="R144" s="6">
        <f>IF(B144="","",SUMIFS(SF_Output!$S$1:$S$400,SF_Output!$AC$1:$AC$400,_xlfn.TEXTJOIN(",",TRUE,B144:E144),SF_Output!$Q$1:$Q$400,"yearly")+SUMIFS(SF_Output!$S$1:$S$400,SF_Output!$AC$1:$AC$400,_xlfn.TEXTJOIN(",",TRUE,B144:E144),SF_Output!$Q$1:$Q$400,"quarterly")*4)</f>
        <v>0</v>
      </c>
      <c r="S144" s="112" t="str">
        <f>IF(OR(B144=0,B144="",G144="hardware",R144=0),"",IF(AF144&lt;&gt;"exclusion",MAX(S$9,-(SUMIFS(SF_Output!$T$1:$T$400,SF_Output!$AC$1:$AC$400,_xlfn.TEXTJOIN(",",TRUE,$B144:$E144),SF_Output!$Q$1:$Q$400,"yearly"))/R144),-((SUMIFS(SF_Output!$T$1:$T$400,SF_Output!$AC$1:$AC$400,_xlfn.TEXTJOIN(",",TRUE,$B144:$E144),SF_Output!$Q$1:$Q$400,"yearly")/R144))))</f>
        <v/>
      </c>
      <c r="T144" s="6">
        <f t="shared" si="37"/>
        <v>0</v>
      </c>
      <c r="V144" s="6" cm="1">
        <f t="array" ref="V144">_xlfn.IFS(B144="","",AND(B144&lt;&gt;"",H144=SF_Output!$Y$2,SUMIFS(SF_Output!$T$1:$T$400,SF_Output!$AC$1:$AC$400,_xlfn.TEXTJOIN(",",TRUE,B144:E144),SF_Output!$Q$1:$Q$400,"monthly")=0),(SUMIFS(SF_Output!$F$1:$F$400,SF_Output!$AC$1:$AC$400,_xlfn.TEXTJOIN(",",TRUE,B144:E144),SF_Output!$Q$1:$Q$400,"monthly")+SUMIFS(SF_Output!$G$1:$G$400,SF_Output!$AC$1:$AC$400,_xlfn.TEXTJOIN(",",TRUE,B144:E144),SF_Output!$Q$1:$Q$400,"monthly"))*H144,AND(B144&lt;&gt;"",H144=SF_Output!$Y$2,SUMIFS(SF_Output!$T$1:$T$400,SF_Output!$AC$1:$AC$400,_xlfn.TEXTJOIN(",",TRUE,B144:E144),SF_Output!$Q$1:$Q$400,"monthly")&lt;&gt;0),SUMIFS(SF_Output!$S$1:$S$400,SF_Output!$AC$1:$AC$400,_xlfn.TEXTJOIN(",",TRUE,B144:E144),SF_Output!$Q$1:$Q$400,"monthly"),AND(B144&lt;&gt;"",H144&lt;&gt;SF_Output!$Y$2),SUMIFS(SF_Output!$S$1:$S$400,SF_Output!$AC$1:$AC$400,_xlfn.TEXTJOIN(",",TRUE,B144:E144),SF_Output!$Q$1:$Q$400,"monthly"))</f>
        <v>250</v>
      </c>
      <c r="W144" s="112" cm="1">
        <f t="array" ref="W144">_xlfn.IFS(OR(B144=0,B144="",V144=0),"",AF144&lt;&gt;"exclusion",MAX($W$9,$W$7,(-(SUMIFS(SF_Output!$T$1:$T$400,SF_Output!$AC$1:$AC$400,_xlfn.TEXTJOIN(",",TRUE,$B144:$E144),SF_Output!$Q$1:$Q$400,"monthly"))/V144)),AF144="exclusion",-(SUMIFS(SF_Output!$T$1:$T$400,SF_Output!$AC$1:$AC$400,_xlfn.TEXTJOIN(",",TRUE,$B144:$E144),SF_Output!$Q$1:$Q$400,"monthly"))/V144)</f>
        <v>0</v>
      </c>
      <c r="X144" s="6" cm="1">
        <f t="array" ref="X144">IFERROR(_xlfn.IFS(V144=0,0,V144="","",W144=0,V144,OR(V144&lt;&gt;0,V144&lt;&gt;""),H144*I144),V144*(1-W144))</f>
        <v>250</v>
      </c>
      <c r="Z144" s="6">
        <f>IFERROR(IF(B144="","",SUMIFS(Billing_Fallout!H:H,Billing_Fallout!N:N,B144)),0)</f>
        <v>0</v>
      </c>
      <c r="AA144" s="6">
        <f t="shared" si="38"/>
        <v>0</v>
      </c>
      <c r="AB144" s="6">
        <f>IFERROR(IF(B144="","",SUMIFS(Billing_Fallout!J:J,Billing_Fallout!N:N,B144)),0)</f>
        <v>0</v>
      </c>
      <c r="AD144" s="6">
        <f t="shared" si="39"/>
        <v>250</v>
      </c>
      <c r="AF144" t="str">
        <f>IFERROR(INDEX(H_Tables!$B$1:$B$1500,MATCH(INDEX(SF_Output!$J$1:$J$400,MATCH(B144,SF_Output!$M$1:$M$400,0)),H_Tables!$A$1:$A$1500,0)),"")</f>
        <v>Exclusion</v>
      </c>
      <c r="AI144" s="119" t="str">
        <f t="shared" si="40"/>
        <v/>
      </c>
      <c r="AJ144" s="121">
        <f>IFERROR(INDEX(SF_Output!AD:AD,MATCH(_xlfn.TEXTJOIN(",",TRUE,B144:E144),SF_Output!AC1:AC400,0)),0.05)</f>
        <v>231</v>
      </c>
      <c r="AK144" t="str">
        <f>IF(SUMIFS(SF_Output!$F$1:$F$400,SF_Output!$AC$1:$AC$400,_xlfn.TEXTJOIN(",",TRUE,B144:E144))+SUMIFS(SF_Output!$G$1:$G$400,SF_Output!$AC$1:$AC$400,_xlfn.TEXTJOIN(",",TRUE,B144:E144))=0,"","PAP")</f>
        <v/>
      </c>
      <c r="AQ144" s="35"/>
      <c r="AR144" s="35" t="str" cm="1">
        <f t="array" ref="AR144">IFERROR(_xlfn.IFS(AND(E144*1=1,F144="Included"),"Change to Included",AND(E144*1=0,F144="Optional"),"Change to Optional",OR(B144="",F144="replaced"),""),"")</f>
        <v/>
      </c>
      <c r="AS144" s="35" t="str">
        <f t="shared" si="41"/>
        <v/>
      </c>
      <c r="AT144" s="35" t="str">
        <f t="shared" si="42"/>
        <v/>
      </c>
      <c r="AU144" s="35" t="str">
        <f t="shared" si="43"/>
        <v/>
      </c>
      <c r="AV144" s="35" t="str">
        <f t="shared" si="44"/>
        <v/>
      </c>
      <c r="AW144" s="35" t="str">
        <f t="shared" si="45"/>
        <v/>
      </c>
      <c r="AX144" s="35" t="str">
        <f t="shared" si="46"/>
        <v/>
      </c>
      <c r="AY144" s="35" t="str">
        <f t="shared" si="47"/>
        <v/>
      </c>
      <c r="AZ144" s="35" t="str">
        <f t="shared" si="48"/>
        <v/>
      </c>
      <c r="BA144" s="35" t="str">
        <f t="shared" si="49"/>
        <v/>
      </c>
      <c r="BB144" s="35" t="str">
        <f t="shared" si="50"/>
        <v/>
      </c>
      <c r="BC144" s="35"/>
      <c r="BE144" s="35">
        <f ca="1">INDEX(SF_Output!$AA$2:$AA$400,MATCH($B144,SF_Output!$M$2:$M$400,0))</f>
        <v>6</v>
      </c>
      <c r="BF144" s="35">
        <f ca="1">INDEX(SF_Output!$AB$2:$AB$400,MATCH($B144,SF_Output!$M$2:$M$400,0))</f>
        <v>1</v>
      </c>
    </row>
    <row r="145" spans="2:58" x14ac:dyDescent="0.25">
      <c r="B145" t="s">
        <v>2457</v>
      </c>
      <c r="C145" t="s">
        <v>2122</v>
      </c>
      <c r="D145" t="s">
        <v>2123</v>
      </c>
      <c r="E145" t="s">
        <v>2124</v>
      </c>
      <c r="F145" s="116" t="str">
        <f t="shared" si="34"/>
        <v>Included</v>
      </c>
      <c r="G145" t="str">
        <f>IF(B145="","",INDEX(SF_Output!$K$1:$K$400,MATCH(B145,SF_Output!$M$1:$M$400,0)))</f>
        <v>Payrailz</v>
      </c>
      <c r="H145" cm="1">
        <f t="array" ref="H145">_xlfn.IFS(B145="","",(SUMIFS(SF_Output!$F$1:$F$400,SF_Output!$AC$1:$AC$400,_xlfn.TEXTJOIN(",",TRUE,B145:E145))+SUMIFS(SF_Output!$G$1:$G$400,SF_Output!$AC$1:$AC$400,_xlfn.TEXTJOIN(",",TRUE,B145:E145)))&lt;&gt;0,SF_Output!$Y$2,INDEX(SF_Output!$F$1:$F$400,MATCH(_xlfn.TEXTJOIN(",",TRUE,B145:E145),SF_Output!$AC$1:$AC$400,0))=0,INDEX(SF_Output!$R$1:$R$400,MATCH(_xlfn.TEXTJOIN(",",TRUE,B145:E145),SF_Output!$AC$1:$AC$400,0)))</f>
        <v>1</v>
      </c>
      <c r="I145" s="125" t="str">
        <f>IFERROR(IF(AND(H145&gt;1,H145&lt;&gt;""),ROUND(SUMIFS(SF_Output!$S$1:$S$400,SF_Output!$AC$1:$AC$400,_xlfn.TEXTJOIN(",",TRUE,B145:E145),SF_Output!$Q$1:$Q$400,"monthly")*(1-W145)/H145,4),""),"")</f>
        <v/>
      </c>
      <c r="J145" s="6">
        <f>IF(B145="","",SUMIFS(SF_Output!$S$1:$S$400,SF_Output!$AC$1:$AC$400,_xlfn.TEXTJOIN(",",TRUE,B145:E145),SF_Output!$Q$1:$Q$400,"One Time",SF_Output!$L$1:$L$400,"license fee")+SUMIFS(SF_Output!$S$1:$S$400,SF_Output!$AC$1:$AC$400,_xlfn.TEXTJOIN(",",TRUE,B145:E145),SF_Output!$Q$1:$Q$400,"One Time",SF_Output!$L$1:$L$400,"software license")+SUMIFS(SF_Output!$S$1:$S$400,SF_Output!$AC$1:$AC$400,_xlfn.TEXTJOIN(",",TRUE,B145:E145),SF_Output!$Q$1:$Q$400,"One Time",SF_Output!$L$1:$L$400,"hardware"))</f>
        <v>0</v>
      </c>
      <c r="K145" s="112" t="str">
        <f>IF(OR(B145=0,B145="",G145="hardware",J145=0),"",IF(AF145&lt;&gt;"exclusion",MAX(K$9,-((SUMIFS(SF_Output!$T$1:$T$400,SF_Output!$AC$1:$AC$400,_xlfn.TEXTJOIN(",",TRUE,$B145:$E145),SF_Output!$Q$1:$Q$400,"One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license"))/J145)))</f>
        <v/>
      </c>
      <c r="L145" s="6">
        <f t="shared" si="35"/>
        <v>0</v>
      </c>
      <c r="N145" s="6">
        <f>IF(B145="","",SUMIFS(SF_Output!$S$1:$S$400,SF_Output!$AC$1:$AC$400,_xlfn.TEXTJOIN(",",TRUE,B145:E145),SF_Output!$Q$1:$Q$400,"One Time",SF_Output!$L$1:$L$400,"professional service"))</f>
        <v>5000</v>
      </c>
      <c r="O145" s="112">
        <f>IF(OR(B145=0,B145="",N145=0),"",IF(AF145&lt;&gt;"exclusion",MAX(O$9,-(SUMIFS(SF_Output!$T$1:$T$400,SF_Output!$AC$1:$AC$400,_xlfn.TEXTJOIN(",",TRUE,$B145:$E145),SF_Output!$Q$1:$Q$400,"One Time",SF_Output!$L$1:$L$400,"professional service"))/N145),-((SUMIFS(SF_Output!$T$1:$T$400,SF_Output!$AC$1:$AC$400,_xlfn.TEXTJOIN(",",TRUE,$B145:$E145),SF_Output!$Q$1:$Q$400,"One Time",SF_Output!$L$1:$L$400,"professional service")/N145))))</f>
        <v>1</v>
      </c>
      <c r="P145" s="6">
        <f t="shared" si="36"/>
        <v>0</v>
      </c>
      <c r="R145" s="6">
        <f>IF(B145="","",SUMIFS(SF_Output!$S$1:$S$400,SF_Output!$AC$1:$AC$400,_xlfn.TEXTJOIN(",",TRUE,B145:E145),SF_Output!$Q$1:$Q$400,"yearly")+SUMIFS(SF_Output!$S$1:$S$400,SF_Output!$AC$1:$AC$400,_xlfn.TEXTJOIN(",",TRUE,B145:E145),SF_Output!$Q$1:$Q$400,"quarterly")*4)</f>
        <v>0</v>
      </c>
      <c r="S145" s="112" t="str">
        <f>IF(OR(B145=0,B145="",G145="hardware",R145=0),"",IF(AF145&lt;&gt;"exclusion",MAX(S$9,-(SUMIFS(SF_Output!$T$1:$T$400,SF_Output!$AC$1:$AC$400,_xlfn.TEXTJOIN(",",TRUE,$B145:$E145),SF_Output!$Q$1:$Q$400,"yearly"))/R145),-((SUMIFS(SF_Output!$T$1:$T$400,SF_Output!$AC$1:$AC$400,_xlfn.TEXTJOIN(",",TRUE,$B145:$E145),SF_Output!$Q$1:$Q$400,"yearly")/R145))))</f>
        <v/>
      </c>
      <c r="T145" s="6">
        <f t="shared" si="37"/>
        <v>0</v>
      </c>
      <c r="V145" s="6" cm="1">
        <f t="array" ref="V145">_xlfn.IFS(B145="","",AND(B145&lt;&gt;"",H145=SF_Output!$Y$2,SUMIFS(SF_Output!$T$1:$T$400,SF_Output!$AC$1:$AC$400,_xlfn.TEXTJOIN(",",TRUE,B145:E145),SF_Output!$Q$1:$Q$400,"monthly")=0),(SUMIFS(SF_Output!$F$1:$F$400,SF_Output!$AC$1:$AC$400,_xlfn.TEXTJOIN(",",TRUE,B145:E145),SF_Output!$Q$1:$Q$400,"monthly")+SUMIFS(SF_Output!$G$1:$G$400,SF_Output!$AC$1:$AC$400,_xlfn.TEXTJOIN(",",TRUE,B145:E145),SF_Output!$Q$1:$Q$400,"monthly"))*H145,AND(B145&lt;&gt;"",H145=SF_Output!$Y$2,SUMIFS(SF_Output!$T$1:$T$400,SF_Output!$AC$1:$AC$400,_xlfn.TEXTJOIN(",",TRUE,B145:E145),SF_Output!$Q$1:$Q$400,"monthly")&lt;&gt;0),SUMIFS(SF_Output!$S$1:$S$400,SF_Output!$AC$1:$AC$400,_xlfn.TEXTJOIN(",",TRUE,B145:E145),SF_Output!$Q$1:$Q$400,"monthly"),AND(B145&lt;&gt;"",H145&lt;&gt;SF_Output!$Y$2),SUMIFS(SF_Output!$S$1:$S$400,SF_Output!$AC$1:$AC$400,_xlfn.TEXTJOIN(",",TRUE,B145:E145),SF_Output!$Q$1:$Q$400,"monthly"))</f>
        <v>350</v>
      </c>
      <c r="W145" s="112" cm="1">
        <f t="array" ref="W145">_xlfn.IFS(OR(B145=0,B145="",V145=0),"",AF145&lt;&gt;"exclusion",MAX($W$9,$W$7,(-(SUMIFS(SF_Output!$T$1:$T$400,SF_Output!$AC$1:$AC$400,_xlfn.TEXTJOIN(",",TRUE,$B145:$E145),SF_Output!$Q$1:$Q$400,"monthly"))/V145)),AF145="exclusion",-(SUMIFS(SF_Output!$T$1:$T$400,SF_Output!$AC$1:$AC$400,_xlfn.TEXTJOIN(",",TRUE,$B145:$E145),SF_Output!$Q$1:$Q$400,"monthly"))/V145)</f>
        <v>0</v>
      </c>
      <c r="X145" s="6" cm="1">
        <f t="array" ref="X145">IFERROR(_xlfn.IFS(V145=0,0,V145="","",W145=0,V145,OR(V145&lt;&gt;0,V145&lt;&gt;""),H145*I145),V145*(1-W145))</f>
        <v>350</v>
      </c>
      <c r="Z145" s="6">
        <f>IFERROR(IF(B145="","",SUMIFS(Billing_Fallout!H:H,Billing_Fallout!N:N,B145)),0)</f>
        <v>0</v>
      </c>
      <c r="AA145" s="6">
        <f t="shared" si="38"/>
        <v>0</v>
      </c>
      <c r="AB145" s="6">
        <f>IFERROR(IF(B145="","",SUMIFS(Billing_Fallout!J:J,Billing_Fallout!N:N,B145)),0)</f>
        <v>0</v>
      </c>
      <c r="AD145" s="6">
        <f t="shared" si="39"/>
        <v>350</v>
      </c>
      <c r="AF145" t="str">
        <f>IFERROR(INDEX(H_Tables!$B$1:$B$1500,MATCH(INDEX(SF_Output!$J$1:$J$400,MATCH(B145,SF_Output!$M$1:$M$400,0)),H_Tables!$A$1:$A$1500,0)),"")</f>
        <v/>
      </c>
      <c r="AI145" s="119" t="str">
        <f t="shared" si="40"/>
        <v/>
      </c>
      <c r="AJ145" s="121">
        <f>IFERROR(INDEX(SF_Output!AD:AD,MATCH(_xlfn.TEXTJOIN(",",TRUE,B145:E145),SF_Output!AC1:AC400,0)),0.05)</f>
        <v>233</v>
      </c>
      <c r="AK145" t="str">
        <f>IF(SUMIFS(SF_Output!$F$1:$F$400,SF_Output!$AC$1:$AC$400,_xlfn.TEXTJOIN(",",TRUE,B145:E145))+SUMIFS(SF_Output!$G$1:$G$400,SF_Output!$AC$1:$AC$400,_xlfn.TEXTJOIN(",",TRUE,B145:E145))=0,"","PAP")</f>
        <v/>
      </c>
      <c r="AQ145" s="35"/>
      <c r="AR145" s="35" t="str" cm="1">
        <f t="array" ref="AR145">IFERROR(_xlfn.IFS(AND(E145*1=1,F145="Included"),"Change to Included",AND(E145*1=0,F145="Optional"),"Change to Optional",OR(B145="",F145="replaced"),""),"")</f>
        <v/>
      </c>
      <c r="AS145" s="35" t="str">
        <f t="shared" si="41"/>
        <v/>
      </c>
      <c r="AT145" s="35" t="str">
        <f t="shared" si="42"/>
        <v/>
      </c>
      <c r="AU145" s="35" t="str">
        <f t="shared" si="43"/>
        <v/>
      </c>
      <c r="AV145" s="35" t="str">
        <f t="shared" si="44"/>
        <v/>
      </c>
      <c r="AW145" s="35" t="str">
        <f t="shared" si="45"/>
        <v/>
      </c>
      <c r="AX145" s="35" t="str">
        <f t="shared" si="46"/>
        <v/>
      </c>
      <c r="AY145" s="35" t="str">
        <f t="shared" si="47"/>
        <v/>
      </c>
      <c r="AZ145" s="35" t="str">
        <f t="shared" si="48"/>
        <v/>
      </c>
      <c r="BA145" s="35" t="str">
        <f t="shared" si="49"/>
        <v/>
      </c>
      <c r="BB145" s="35" t="str">
        <f t="shared" si="50"/>
        <v/>
      </c>
      <c r="BC145" s="35"/>
      <c r="BE145" s="35">
        <f ca="1">INDEX(SF_Output!$AA$2:$AA$400,MATCH($B145,SF_Output!$M$2:$M$400,0))</f>
        <v>6</v>
      </c>
      <c r="BF145" s="35" t="str">
        <f ca="1">INDEX(SF_Output!$AB$2:$AB$400,MATCH($B145,SF_Output!$M$2:$M$400,0))</f>
        <v/>
      </c>
    </row>
    <row r="146" spans="2:58" x14ac:dyDescent="0.25">
      <c r="B146" t="s">
        <v>2461</v>
      </c>
      <c r="C146" t="s">
        <v>2122</v>
      </c>
      <c r="D146" t="s">
        <v>2123</v>
      </c>
      <c r="E146" t="s">
        <v>2124</v>
      </c>
      <c r="F146" s="116" t="str">
        <f t="shared" si="34"/>
        <v>Included</v>
      </c>
      <c r="G146" t="str">
        <f>IF(B146="","",INDEX(SF_Output!$K$1:$K$400,MATCH(B146,SF_Output!$M$1:$M$400,0)))</f>
        <v>Payrailz</v>
      </c>
      <c r="H146" cm="1">
        <f t="array" ref="H146">_xlfn.IFS(B146="","",(SUMIFS(SF_Output!$F$1:$F$400,SF_Output!$AC$1:$AC$400,_xlfn.TEXTJOIN(",",TRUE,B146:E146))+SUMIFS(SF_Output!$G$1:$G$400,SF_Output!$AC$1:$AC$400,_xlfn.TEXTJOIN(",",TRUE,B146:E146)))&lt;&gt;0,SF_Output!$Y$2,INDEX(SF_Output!$F$1:$F$400,MATCH(_xlfn.TEXTJOIN(",",TRUE,B146:E146),SF_Output!$AC$1:$AC$400,0))=0,INDEX(SF_Output!$R$1:$R$400,MATCH(_xlfn.TEXTJOIN(",",TRUE,B146:E146),SF_Output!$AC$1:$AC$400,0)))</f>
        <v>500</v>
      </c>
      <c r="I146" s="125">
        <f>IFERROR(IF(AND(H146&gt;1,H146&lt;&gt;""),ROUND(SUMIFS(SF_Output!$S$1:$S$400,SF_Output!$AC$1:$AC$400,_xlfn.TEXTJOIN(",",TRUE,B146:E146),SF_Output!$Q$1:$Q$400,"monthly")*(1-W146)/H146,4),""),"")</f>
        <v>0.62</v>
      </c>
      <c r="J146" s="6">
        <f>IF(B146="","",SUMIFS(SF_Output!$S$1:$S$400,SF_Output!$AC$1:$AC$400,_xlfn.TEXTJOIN(",",TRUE,B146:E146),SF_Output!$Q$1:$Q$400,"One Time",SF_Output!$L$1:$L$400,"license fee")+SUMIFS(SF_Output!$S$1:$S$400,SF_Output!$AC$1:$AC$400,_xlfn.TEXTJOIN(",",TRUE,B146:E146),SF_Output!$Q$1:$Q$400,"One Time",SF_Output!$L$1:$L$400,"software license")+SUMIFS(SF_Output!$S$1:$S$400,SF_Output!$AC$1:$AC$400,_xlfn.TEXTJOIN(",",TRUE,B146:E146),SF_Output!$Q$1:$Q$400,"One Time",SF_Output!$L$1:$L$400,"hardware"))</f>
        <v>0</v>
      </c>
      <c r="K146" s="112" t="str">
        <f>IF(OR(B146=0,B146="",G146="hardware",J146=0),"",IF(AF146&lt;&gt;"exclusion",MAX(K$9,-((SUMIFS(SF_Output!$T$1:$T$400,SF_Output!$AC$1:$AC$400,_xlfn.TEXTJOIN(",",TRUE,$B146:$E146),SF_Output!$Q$1:$Q$400,"One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license"))/J146)))</f>
        <v/>
      </c>
      <c r="L146" s="6">
        <f t="shared" si="35"/>
        <v>0</v>
      </c>
      <c r="N146" s="6">
        <f>IF(B146="","",SUMIFS(SF_Output!$S$1:$S$400,SF_Output!$AC$1:$AC$400,_xlfn.TEXTJOIN(",",TRUE,B146:E146),SF_Output!$Q$1:$Q$400,"One Time",SF_Output!$L$1:$L$400,"professional service"))</f>
        <v>0</v>
      </c>
      <c r="O146" s="112" t="str">
        <f>IF(OR(B146=0,B146="",N146=0),"",IF(AF146&lt;&gt;"exclusion",MAX(O$9,-(SUMIFS(SF_Output!$T$1:$T$400,SF_Output!$AC$1:$AC$400,_xlfn.TEXTJOIN(",",TRUE,$B146:$E146),SF_Output!$Q$1:$Q$400,"One Time",SF_Output!$L$1:$L$400,"professional service"))/N146),-((SUMIFS(SF_Output!$T$1:$T$400,SF_Output!$AC$1:$AC$400,_xlfn.TEXTJOIN(",",TRUE,$B146:$E146),SF_Output!$Q$1:$Q$400,"One Time",SF_Output!$L$1:$L$400,"professional service")/N146))))</f>
        <v/>
      </c>
      <c r="P146" s="6">
        <f t="shared" si="36"/>
        <v>0</v>
      </c>
      <c r="R146" s="6">
        <f>IF(B146="","",SUMIFS(SF_Output!$S$1:$S$400,SF_Output!$AC$1:$AC$400,_xlfn.TEXTJOIN(",",TRUE,B146:E146),SF_Output!$Q$1:$Q$400,"yearly")+SUMIFS(SF_Output!$S$1:$S$400,SF_Output!$AC$1:$AC$400,_xlfn.TEXTJOIN(",",TRUE,B146:E146),SF_Output!$Q$1:$Q$400,"quarterly")*4)</f>
        <v>0</v>
      </c>
      <c r="S146" s="112" t="str">
        <f>IF(OR(B146=0,B146="",G146="hardware",R146=0),"",IF(AF146&lt;&gt;"exclusion",MAX(S$9,-(SUMIFS(SF_Output!$T$1:$T$400,SF_Output!$AC$1:$AC$400,_xlfn.TEXTJOIN(",",TRUE,$B146:$E146),SF_Output!$Q$1:$Q$400,"yearly"))/R146),-((SUMIFS(SF_Output!$T$1:$T$400,SF_Output!$AC$1:$AC$400,_xlfn.TEXTJOIN(",",TRUE,$B146:$E146),SF_Output!$Q$1:$Q$400,"yearly")/R146))))</f>
        <v/>
      </c>
      <c r="T146" s="6">
        <f t="shared" si="37"/>
        <v>0</v>
      </c>
      <c r="V146" s="6" cm="1">
        <f t="array" ref="V146">_xlfn.IFS(B146="","",AND(B146&lt;&gt;"",H146=SF_Output!$Y$2,SUMIFS(SF_Output!$T$1:$T$400,SF_Output!$AC$1:$AC$400,_xlfn.TEXTJOIN(",",TRUE,B146:E146),SF_Output!$Q$1:$Q$400,"monthly")=0),(SUMIFS(SF_Output!$F$1:$F$400,SF_Output!$AC$1:$AC$400,_xlfn.TEXTJOIN(",",TRUE,B146:E146),SF_Output!$Q$1:$Q$400,"monthly")+SUMIFS(SF_Output!$G$1:$G$400,SF_Output!$AC$1:$AC$400,_xlfn.TEXTJOIN(",",TRUE,B146:E146),SF_Output!$Q$1:$Q$400,"monthly"))*H146,AND(B146&lt;&gt;"",H146=SF_Output!$Y$2,SUMIFS(SF_Output!$T$1:$T$400,SF_Output!$AC$1:$AC$400,_xlfn.TEXTJOIN(",",TRUE,B146:E146),SF_Output!$Q$1:$Q$400,"monthly")&lt;&gt;0),SUMIFS(SF_Output!$S$1:$S$400,SF_Output!$AC$1:$AC$400,_xlfn.TEXTJOIN(",",TRUE,B146:E146),SF_Output!$Q$1:$Q$400,"monthly"),AND(B146&lt;&gt;"",H146&lt;&gt;SF_Output!$Y$2),SUMIFS(SF_Output!$S$1:$S$400,SF_Output!$AC$1:$AC$400,_xlfn.TEXTJOIN(",",TRUE,B146:E146),SF_Output!$Q$1:$Q$400,"monthly"))</f>
        <v>310</v>
      </c>
      <c r="W146" s="112" cm="1">
        <f t="array" ref="W146">_xlfn.IFS(OR(B146=0,B146="",V146=0),"",AF146&lt;&gt;"exclusion",MAX($W$9,$W$7,(-(SUMIFS(SF_Output!$T$1:$T$400,SF_Output!$AC$1:$AC$400,_xlfn.TEXTJOIN(",",TRUE,$B146:$E146),SF_Output!$Q$1:$Q$400,"monthly"))/V146)),AF146="exclusion",-(SUMIFS(SF_Output!$T$1:$T$400,SF_Output!$AC$1:$AC$400,_xlfn.TEXTJOIN(",",TRUE,$B146:$E146),SF_Output!$Q$1:$Q$400,"monthly"))/V146)</f>
        <v>0</v>
      </c>
      <c r="X146" s="6" cm="1">
        <f t="array" ref="X146">IFERROR(_xlfn.IFS(V146=0,0,V146="","",W146=0,V146,OR(V146&lt;&gt;0,V146&lt;&gt;""),H146*I146),V146*(1-W146))</f>
        <v>310</v>
      </c>
      <c r="Z146" s="6">
        <f>IFERROR(IF(B146="","",SUMIFS(Billing_Fallout!H:H,Billing_Fallout!N:N,B146)),0)</f>
        <v>0</v>
      </c>
      <c r="AA146" s="6">
        <f t="shared" si="38"/>
        <v>0</v>
      </c>
      <c r="AB146" s="6">
        <f>IFERROR(IF(B146="","",SUMIFS(Billing_Fallout!J:J,Billing_Fallout!N:N,B146)),0)</f>
        <v>0</v>
      </c>
      <c r="AD146" s="6">
        <f t="shared" si="39"/>
        <v>310</v>
      </c>
      <c r="AF146" t="str">
        <f>IFERROR(INDEX(H_Tables!$B$1:$B$1500,MATCH(INDEX(SF_Output!$J$1:$J$400,MATCH(B146,SF_Output!$M$1:$M$400,0)),H_Tables!$A$1:$A$1500,0)),"")</f>
        <v/>
      </c>
      <c r="AI146" s="119" t="str">
        <f t="shared" si="40"/>
        <v/>
      </c>
      <c r="AJ146" s="121">
        <f>IFERROR(INDEX(SF_Output!AD:AD,MATCH(_xlfn.TEXTJOIN(",",TRUE,B146:E146),SF_Output!AC1:AC400,0)),0.05)</f>
        <v>235</v>
      </c>
      <c r="AK146" t="str">
        <f>IF(SUMIFS(SF_Output!$F$1:$F$400,SF_Output!$AC$1:$AC$400,_xlfn.TEXTJOIN(",",TRUE,B146:E146))+SUMIFS(SF_Output!$G$1:$G$400,SF_Output!$AC$1:$AC$400,_xlfn.TEXTJOIN(",",TRUE,B146:E146))=0,"","PAP")</f>
        <v/>
      </c>
      <c r="AQ146" s="35"/>
      <c r="AR146" s="35" t="str" cm="1">
        <f t="array" ref="AR146">IFERROR(_xlfn.IFS(AND(E146*1=1,F146="Included"),"Change to Included",AND(E146*1=0,F146="Optional"),"Change to Optional",OR(B146="",F146="replaced"),""),"")</f>
        <v/>
      </c>
      <c r="AS146" s="35" t="str">
        <f t="shared" si="41"/>
        <v/>
      </c>
      <c r="AT146" s="35" t="str">
        <f t="shared" si="42"/>
        <v/>
      </c>
      <c r="AU146" s="35" t="str">
        <f t="shared" si="43"/>
        <v/>
      </c>
      <c r="AV146" s="35" t="str">
        <f t="shared" si="44"/>
        <v/>
      </c>
      <c r="AW146" s="35" t="str">
        <f t="shared" si="45"/>
        <v/>
      </c>
      <c r="AX146" s="35" t="str">
        <f t="shared" si="46"/>
        <v/>
      </c>
      <c r="AY146" s="35" t="str">
        <f t="shared" si="47"/>
        <v/>
      </c>
      <c r="AZ146" s="35" t="str">
        <f t="shared" si="48"/>
        <v/>
      </c>
      <c r="BA146" s="35" t="str">
        <f t="shared" si="49"/>
        <v/>
      </c>
      <c r="BB146" s="35" t="str">
        <f t="shared" si="50"/>
        <v/>
      </c>
      <c r="BC146" s="35"/>
      <c r="BE146" s="35">
        <f ca="1">INDEX(SF_Output!$AA$2:$AA$400,MATCH($B146,SF_Output!$M$2:$M$400,0))</f>
        <v>6</v>
      </c>
      <c r="BF146" s="35" t="str">
        <f ca="1">INDEX(SF_Output!$AB$2:$AB$400,MATCH($B146,SF_Output!$M$2:$M$400,0))</f>
        <v/>
      </c>
    </row>
    <row r="147" spans="2:58" x14ac:dyDescent="0.25">
      <c r="B147" t="s">
        <v>2465</v>
      </c>
      <c r="C147" t="s">
        <v>2122</v>
      </c>
      <c r="D147" t="s">
        <v>2123</v>
      </c>
      <c r="E147" t="s">
        <v>2124</v>
      </c>
      <c r="F147" s="116" t="str">
        <f t="shared" si="34"/>
        <v>Included</v>
      </c>
      <c r="G147" t="str">
        <f>IF(B147="","",INDEX(SF_Output!$K$1:$K$400,MATCH(B147,SF_Output!$M$1:$M$400,0)))</f>
        <v>Payrailz</v>
      </c>
      <c r="H147" cm="1">
        <f t="array" ref="H147">_xlfn.IFS(B147="","",(SUMIFS(SF_Output!$F$1:$F$400,SF_Output!$AC$1:$AC$400,_xlfn.TEXTJOIN(",",TRUE,B147:E147))+SUMIFS(SF_Output!$G$1:$G$400,SF_Output!$AC$1:$AC$400,_xlfn.TEXTJOIN(",",TRUE,B147:E147)))&lt;&gt;0,SF_Output!$Y$2,INDEX(SF_Output!$F$1:$F$400,MATCH(_xlfn.TEXTJOIN(",",TRUE,B147:E147),SF_Output!$AC$1:$AC$400,0))=0,INDEX(SF_Output!$R$1:$R$400,MATCH(_xlfn.TEXTJOIN(",",TRUE,B147:E147),SF_Output!$AC$1:$AC$400,0)))</f>
        <v>1</v>
      </c>
      <c r="I147" s="125" t="str">
        <f>IFERROR(IF(AND(H147&gt;1,H147&lt;&gt;""),ROUND(SUMIFS(SF_Output!$S$1:$S$400,SF_Output!$AC$1:$AC$400,_xlfn.TEXTJOIN(",",TRUE,B147:E147),SF_Output!$Q$1:$Q$400,"monthly")*(1-W147)/H147,4),""),"")</f>
        <v/>
      </c>
      <c r="J147" s="6">
        <f>IF(B147="","",SUMIFS(SF_Output!$S$1:$S$400,SF_Output!$AC$1:$AC$400,_xlfn.TEXTJOIN(",",TRUE,B147:E147),SF_Output!$Q$1:$Q$400,"One Time",SF_Output!$L$1:$L$400,"license fee")+SUMIFS(SF_Output!$S$1:$S$400,SF_Output!$AC$1:$AC$400,_xlfn.TEXTJOIN(",",TRUE,B147:E147),SF_Output!$Q$1:$Q$400,"One Time",SF_Output!$L$1:$L$400,"software license")+SUMIFS(SF_Output!$S$1:$S$400,SF_Output!$AC$1:$AC$400,_xlfn.TEXTJOIN(",",TRUE,B147:E147),SF_Output!$Q$1:$Q$400,"One Time",SF_Output!$L$1:$L$400,"hardware"))</f>
        <v>0</v>
      </c>
      <c r="K147" s="112" t="str">
        <f>IF(OR(B147=0,B147="",G147="hardware",J147=0),"",IF(AF147&lt;&gt;"exclusion",MAX(K$9,-((SUMIFS(SF_Output!$T$1:$T$400,SF_Output!$AC$1:$AC$400,_xlfn.TEXTJOIN(",",TRUE,$B147:$E147),SF_Output!$Q$1:$Q$400,"One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license"))/J147)))</f>
        <v/>
      </c>
      <c r="L147" s="6">
        <f t="shared" si="35"/>
        <v>0</v>
      </c>
      <c r="N147" s="6">
        <f>IF(B147="","",SUMIFS(SF_Output!$S$1:$S$400,SF_Output!$AC$1:$AC$400,_xlfn.TEXTJOIN(",",TRUE,B147:E147),SF_Output!$Q$1:$Q$400,"One Time",SF_Output!$L$1:$L$400,"professional service"))</f>
        <v>3000</v>
      </c>
      <c r="O147" s="112">
        <f>IF(OR(B147=0,B147="",N147=0),"",IF(AF147&lt;&gt;"exclusion",MAX(O$9,-(SUMIFS(SF_Output!$T$1:$T$400,SF_Output!$AC$1:$AC$400,_xlfn.TEXTJOIN(",",TRUE,$B147:$E147),SF_Output!$Q$1:$Q$400,"One Time",SF_Output!$L$1:$L$400,"professional service"))/N147),-((SUMIFS(SF_Output!$T$1:$T$400,SF_Output!$AC$1:$AC$400,_xlfn.TEXTJOIN(",",TRUE,$B147:$E147),SF_Output!$Q$1:$Q$400,"One Time",SF_Output!$L$1:$L$400,"professional service")/N147))))</f>
        <v>1</v>
      </c>
      <c r="P147" s="6">
        <f t="shared" si="36"/>
        <v>0</v>
      </c>
      <c r="R147" s="6">
        <f>IF(B147="","",SUMIFS(SF_Output!$S$1:$S$400,SF_Output!$AC$1:$AC$400,_xlfn.TEXTJOIN(",",TRUE,B147:E147),SF_Output!$Q$1:$Q$400,"yearly")+SUMIFS(SF_Output!$S$1:$S$400,SF_Output!$AC$1:$AC$400,_xlfn.TEXTJOIN(",",TRUE,B147:E147),SF_Output!$Q$1:$Q$400,"quarterly")*4)</f>
        <v>0</v>
      </c>
      <c r="S147" s="112" t="str">
        <f>IF(OR(B147=0,B147="",G147="hardware",R147=0),"",IF(AF147&lt;&gt;"exclusion",MAX(S$9,-(SUMIFS(SF_Output!$T$1:$T$400,SF_Output!$AC$1:$AC$400,_xlfn.TEXTJOIN(",",TRUE,$B147:$E147),SF_Output!$Q$1:$Q$400,"yearly"))/R147),-((SUMIFS(SF_Output!$T$1:$T$400,SF_Output!$AC$1:$AC$400,_xlfn.TEXTJOIN(",",TRUE,$B147:$E147),SF_Output!$Q$1:$Q$400,"yearly")/R147))))</f>
        <v/>
      </c>
      <c r="T147" s="6">
        <f t="shared" si="37"/>
        <v>0</v>
      </c>
      <c r="V147" s="6" cm="1">
        <f t="array" ref="V147">_xlfn.IFS(B147="","",AND(B147&lt;&gt;"",H147=SF_Output!$Y$2,SUMIFS(SF_Output!$T$1:$T$400,SF_Output!$AC$1:$AC$400,_xlfn.TEXTJOIN(",",TRUE,B147:E147),SF_Output!$Q$1:$Q$400,"monthly")=0),(SUMIFS(SF_Output!$F$1:$F$400,SF_Output!$AC$1:$AC$400,_xlfn.TEXTJOIN(",",TRUE,B147:E147),SF_Output!$Q$1:$Q$400,"monthly")+SUMIFS(SF_Output!$G$1:$G$400,SF_Output!$AC$1:$AC$400,_xlfn.TEXTJOIN(",",TRUE,B147:E147),SF_Output!$Q$1:$Q$400,"monthly"))*H147,AND(B147&lt;&gt;"",H147=SF_Output!$Y$2,SUMIFS(SF_Output!$T$1:$T$400,SF_Output!$AC$1:$AC$400,_xlfn.TEXTJOIN(",",TRUE,B147:E147),SF_Output!$Q$1:$Q$400,"monthly")&lt;&gt;0),SUMIFS(SF_Output!$S$1:$S$400,SF_Output!$AC$1:$AC$400,_xlfn.TEXTJOIN(",",TRUE,B147:E147),SF_Output!$Q$1:$Q$400,"monthly"),AND(B147&lt;&gt;"",H147&lt;&gt;SF_Output!$Y$2),SUMIFS(SF_Output!$S$1:$S$400,SF_Output!$AC$1:$AC$400,_xlfn.TEXTJOIN(",",TRUE,B147:E147),SF_Output!$Q$1:$Q$400,"monthly"))</f>
        <v>750</v>
      </c>
      <c r="W147" s="112" cm="1">
        <f t="array" ref="W147">_xlfn.IFS(OR(B147=0,B147="",V147=0),"",AF147&lt;&gt;"exclusion",MAX($W$9,$W$7,(-(SUMIFS(SF_Output!$T$1:$T$400,SF_Output!$AC$1:$AC$400,_xlfn.TEXTJOIN(",",TRUE,$B147:$E147),SF_Output!$Q$1:$Q$400,"monthly"))/V147)),AF147="exclusion",-(SUMIFS(SF_Output!$T$1:$T$400,SF_Output!$AC$1:$AC$400,_xlfn.TEXTJOIN(",",TRUE,$B147:$E147),SF_Output!$Q$1:$Q$400,"monthly"))/V147)</f>
        <v>1</v>
      </c>
      <c r="X147" s="6" cm="1">
        <f t="array" ref="X147">IFERROR(_xlfn.IFS(V147=0,0,V147="","",W147=0,V147,OR(V147&lt;&gt;0,V147&lt;&gt;""),H147*I147),V147*(1-W147))</f>
        <v>0</v>
      </c>
      <c r="Z147" s="6">
        <f>IFERROR(IF(B147="","",SUMIFS(Billing_Fallout!H:H,Billing_Fallout!N:N,B147)),0)</f>
        <v>0</v>
      </c>
      <c r="AA147" s="6">
        <f t="shared" si="38"/>
        <v>0</v>
      </c>
      <c r="AB147" s="6">
        <f>IFERROR(IF(B147="","",SUMIFS(Billing_Fallout!J:J,Billing_Fallout!N:N,B147)),0)</f>
        <v>0</v>
      </c>
      <c r="AD147" s="6">
        <f t="shared" si="39"/>
        <v>0</v>
      </c>
      <c r="AF147" t="str">
        <f>IFERROR(INDEX(H_Tables!$B$1:$B$1500,MATCH(INDEX(SF_Output!$J$1:$J$400,MATCH(B147,SF_Output!$M$1:$M$400,0)),H_Tables!$A$1:$A$1500,0)),"")</f>
        <v/>
      </c>
      <c r="AI147" s="119" t="str">
        <f t="shared" si="40"/>
        <v/>
      </c>
      <c r="AJ147" s="121">
        <f>IFERROR(INDEX(SF_Output!AD:AD,MATCH(_xlfn.TEXTJOIN(",",TRUE,B147:E147),SF_Output!AC1:AC400,0)),0.05)</f>
        <v>237</v>
      </c>
      <c r="AK147" t="str">
        <f>IF(SUMIFS(SF_Output!$F$1:$F$400,SF_Output!$AC$1:$AC$400,_xlfn.TEXTJOIN(",",TRUE,B147:E147))+SUMIFS(SF_Output!$G$1:$G$400,SF_Output!$AC$1:$AC$400,_xlfn.TEXTJOIN(",",TRUE,B147:E147))=0,"","PAP")</f>
        <v/>
      </c>
      <c r="AQ147" s="35"/>
      <c r="AR147" s="35" t="str" cm="1">
        <f t="array" ref="AR147">IFERROR(_xlfn.IFS(AND(E147*1=1,F147="Included"),"Change to Included",AND(E147*1=0,F147="Optional"),"Change to Optional",OR(B147="",F147="replaced"),""),"")</f>
        <v/>
      </c>
      <c r="AS147" s="35" t="str">
        <f t="shared" si="41"/>
        <v/>
      </c>
      <c r="AT147" s="35" t="str">
        <f t="shared" si="42"/>
        <v/>
      </c>
      <c r="AU147" s="35" t="str">
        <f t="shared" si="43"/>
        <v/>
      </c>
      <c r="AV147" s="35" t="str">
        <f t="shared" si="44"/>
        <v/>
      </c>
      <c r="AW147" s="35" t="str">
        <f t="shared" si="45"/>
        <v/>
      </c>
      <c r="AX147" s="35" t="str">
        <f t="shared" si="46"/>
        <v/>
      </c>
      <c r="AY147" s="35" t="str">
        <f t="shared" si="47"/>
        <v/>
      </c>
      <c r="AZ147" s="35" t="str">
        <f t="shared" si="48"/>
        <v/>
      </c>
      <c r="BA147" s="35" t="str">
        <f t="shared" si="49"/>
        <v/>
      </c>
      <c r="BB147" s="35" t="str">
        <f t="shared" si="50"/>
        <v/>
      </c>
      <c r="BC147" s="35"/>
      <c r="BE147" s="35">
        <f ca="1">INDEX(SF_Output!$AA$2:$AA$400,MATCH($B147,SF_Output!$M$2:$M$400,0))</f>
        <v>6</v>
      </c>
      <c r="BF147" s="35" t="str">
        <f ca="1">INDEX(SF_Output!$AB$2:$AB$400,MATCH($B147,SF_Output!$M$2:$M$400,0))</f>
        <v/>
      </c>
    </row>
    <row r="148" spans="2:58" x14ac:dyDescent="0.25">
      <c r="B148" t="s">
        <v>2469</v>
      </c>
      <c r="C148" t="s">
        <v>2122</v>
      </c>
      <c r="D148" t="s">
        <v>2123</v>
      </c>
      <c r="E148" t="s">
        <v>2150</v>
      </c>
      <c r="F148" s="116" t="str">
        <f t="shared" si="34"/>
        <v>Optional</v>
      </c>
      <c r="G148" t="str">
        <f>IF(B148="","",INDEX(SF_Output!$K$1:$K$400,MATCH(B148,SF_Output!$M$1:$M$400,0)))</f>
        <v>ProfitStars RemitPlus</v>
      </c>
      <c r="H148" cm="1">
        <f t="array" ref="H148">_xlfn.IFS(B148="","",(SUMIFS(SF_Output!$F$1:$F$400,SF_Output!$AC$1:$AC$400,_xlfn.TEXTJOIN(",",TRUE,B148:E148))+SUMIFS(SF_Output!$G$1:$G$400,SF_Output!$AC$1:$AC$400,_xlfn.TEXTJOIN(",",TRUE,B148:E148)))&lt;&gt;0,SF_Output!$Y$2,INDEX(SF_Output!$F$1:$F$400,MATCH(_xlfn.TEXTJOIN(",",TRUE,B148:E148),SF_Output!$AC$1:$AC$400,0))=0,INDEX(SF_Output!$R$1:$R$400,MATCH(_xlfn.TEXTJOIN(",",TRUE,B148:E148),SF_Output!$AC$1:$AC$400,0)))</f>
        <v>1</v>
      </c>
      <c r="I148" s="125" t="str">
        <f>IFERROR(IF(AND(H148&gt;1,H148&lt;&gt;""),ROUND(SUMIFS(SF_Output!$S$1:$S$400,SF_Output!$AC$1:$AC$400,_xlfn.TEXTJOIN(",",TRUE,B148:E148),SF_Output!$Q$1:$Q$400,"monthly")*(1-W148)/H148,4),""),"")</f>
        <v/>
      </c>
      <c r="J148" s="6">
        <f>IF(B148="","",SUMIFS(SF_Output!$S$1:$S$400,SF_Output!$AC$1:$AC$400,_xlfn.TEXTJOIN(",",TRUE,B148:E148),SF_Output!$Q$1:$Q$400,"One Time",SF_Output!$L$1:$L$400,"license fee")+SUMIFS(SF_Output!$S$1:$S$400,SF_Output!$AC$1:$AC$400,_xlfn.TEXTJOIN(",",TRUE,B148:E148),SF_Output!$Q$1:$Q$400,"One Time",SF_Output!$L$1:$L$400,"software license")+SUMIFS(SF_Output!$S$1:$S$400,SF_Output!$AC$1:$AC$400,_xlfn.TEXTJOIN(",",TRUE,B148:E148),SF_Output!$Q$1:$Q$400,"One Time",SF_Output!$L$1:$L$400,"hardware"))</f>
        <v>0</v>
      </c>
      <c r="K148" s="112" t="str">
        <f>IF(OR(B148=0,B148="",G148="hardware",J148=0),"",IF(AF148&lt;&gt;"exclusion",MAX(K$9,-((SUMIFS(SF_Output!$T$1:$T$400,SF_Output!$AC$1:$AC$400,_xlfn.TEXTJOIN(",",TRUE,$B148:$E148),SF_Output!$Q$1:$Q$400,"One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license"))/J148)))</f>
        <v/>
      </c>
      <c r="L148" s="6">
        <f t="shared" si="35"/>
        <v>0</v>
      </c>
      <c r="N148" s="6">
        <f>IF(B148="","",SUMIFS(SF_Output!$S$1:$S$400,SF_Output!$AC$1:$AC$400,_xlfn.TEXTJOIN(",",TRUE,B148:E148),SF_Output!$Q$1:$Q$400,"One Time",SF_Output!$L$1:$L$400,"professional service"))</f>
        <v>3000</v>
      </c>
      <c r="O148" s="112">
        <f>IF(OR(B148=0,B148="",N148=0),"",IF(AF148&lt;&gt;"exclusion",MAX(O$9,-(SUMIFS(SF_Output!$T$1:$T$400,SF_Output!$AC$1:$AC$400,_xlfn.TEXTJOIN(",",TRUE,$B148:$E148),SF_Output!$Q$1:$Q$400,"One Time",SF_Output!$L$1:$L$400,"professional service"))/N148),-((SUMIFS(SF_Output!$T$1:$T$400,SF_Output!$AC$1:$AC$400,_xlfn.TEXTJOIN(",",TRUE,$B148:$E148),SF_Output!$Q$1:$Q$400,"One Time",SF_Output!$L$1:$L$400,"professional service")/N148))))</f>
        <v>0</v>
      </c>
      <c r="P148" s="6">
        <f t="shared" si="36"/>
        <v>3000</v>
      </c>
      <c r="R148" s="6">
        <f>IF(B148="","",SUMIFS(SF_Output!$S$1:$S$400,SF_Output!$AC$1:$AC$400,_xlfn.TEXTJOIN(",",TRUE,B148:E148),SF_Output!$Q$1:$Q$400,"yearly")+SUMIFS(SF_Output!$S$1:$S$400,SF_Output!$AC$1:$AC$400,_xlfn.TEXTJOIN(",",TRUE,B148:E148),SF_Output!$Q$1:$Q$400,"quarterly")*4)</f>
        <v>0</v>
      </c>
      <c r="S148" s="112" t="str">
        <f>IF(OR(B148=0,B148="",G148="hardware",R148=0),"",IF(AF148&lt;&gt;"exclusion",MAX(S$9,-(SUMIFS(SF_Output!$T$1:$T$400,SF_Output!$AC$1:$AC$400,_xlfn.TEXTJOIN(",",TRUE,$B148:$E148),SF_Output!$Q$1:$Q$400,"yearly"))/R148),-((SUMIFS(SF_Output!$T$1:$T$400,SF_Output!$AC$1:$AC$400,_xlfn.TEXTJOIN(",",TRUE,$B148:$E148),SF_Output!$Q$1:$Q$400,"yearly")/R148))))</f>
        <v/>
      </c>
      <c r="T148" s="6">
        <f t="shared" si="37"/>
        <v>0</v>
      </c>
      <c r="V148" s="6" cm="1">
        <f t="array" ref="V148">_xlfn.IFS(B148="","",AND(B148&lt;&gt;"",H148=SF_Output!$Y$2,SUMIFS(SF_Output!$T$1:$T$400,SF_Output!$AC$1:$AC$400,_xlfn.TEXTJOIN(",",TRUE,B148:E148),SF_Output!$Q$1:$Q$400,"monthly")=0),(SUMIFS(SF_Output!$F$1:$F$400,SF_Output!$AC$1:$AC$400,_xlfn.TEXTJOIN(",",TRUE,B148:E148),SF_Output!$Q$1:$Q$400,"monthly")+SUMIFS(SF_Output!$G$1:$G$400,SF_Output!$AC$1:$AC$400,_xlfn.TEXTJOIN(",",TRUE,B148:E148),SF_Output!$Q$1:$Q$400,"monthly"))*H148,AND(B148&lt;&gt;"",H148=SF_Output!$Y$2,SUMIFS(SF_Output!$T$1:$T$400,SF_Output!$AC$1:$AC$400,_xlfn.TEXTJOIN(",",TRUE,B148:E148),SF_Output!$Q$1:$Q$400,"monthly")&lt;&gt;0),SUMIFS(SF_Output!$S$1:$S$400,SF_Output!$AC$1:$AC$400,_xlfn.TEXTJOIN(",",TRUE,B148:E148),SF_Output!$Q$1:$Q$400,"monthly"),AND(B148&lt;&gt;"",H148&lt;&gt;SF_Output!$Y$2),SUMIFS(SF_Output!$S$1:$S$400,SF_Output!$AC$1:$AC$400,_xlfn.TEXTJOIN(",",TRUE,B148:E148),SF_Output!$Q$1:$Q$400,"monthly"))</f>
        <v>100</v>
      </c>
      <c r="W148" s="112" cm="1">
        <f t="array" ref="W148">_xlfn.IFS(OR(B148=0,B148="",V148=0),"",AF148&lt;&gt;"exclusion",MAX($W$9,$W$7,(-(SUMIFS(SF_Output!$T$1:$T$400,SF_Output!$AC$1:$AC$400,_xlfn.TEXTJOIN(",",TRUE,$B148:$E148),SF_Output!$Q$1:$Q$400,"monthly"))/V148)),AF148="exclusion",-(SUMIFS(SF_Output!$T$1:$T$400,SF_Output!$AC$1:$AC$400,_xlfn.TEXTJOIN(",",TRUE,$B148:$E148),SF_Output!$Q$1:$Q$400,"monthly"))/V148)</f>
        <v>0</v>
      </c>
      <c r="X148" s="6" cm="1">
        <f t="array" ref="X148">IFERROR(_xlfn.IFS(V148=0,0,V148="","",W148=0,V148,OR(V148&lt;&gt;0,V148&lt;&gt;""),H148*I148),V148*(1-W148))</f>
        <v>100</v>
      </c>
      <c r="Z148" s="6">
        <f>IFERROR(IF(B148="","",SUMIFS(Billing_Fallout!H:H,Billing_Fallout!N:N,B148)),0)</f>
        <v>0</v>
      </c>
      <c r="AA148" s="6">
        <f t="shared" si="38"/>
        <v>0</v>
      </c>
      <c r="AB148" s="6">
        <f>IFERROR(IF(B148="","",SUMIFS(Billing_Fallout!J:J,Billing_Fallout!N:N,B148)),0)</f>
        <v>0</v>
      </c>
      <c r="AD148" s="6">
        <f t="shared" si="39"/>
        <v>100</v>
      </c>
      <c r="AF148" t="str">
        <f>IFERROR(INDEX(H_Tables!$B$1:$B$1500,MATCH(INDEX(SF_Output!$J$1:$J$400,MATCH(B148,SF_Output!$M$1:$M$400,0)),H_Tables!$A$1:$A$1500,0)),"")</f>
        <v/>
      </c>
      <c r="AI148" s="119" t="str">
        <f t="shared" si="40"/>
        <v/>
      </c>
      <c r="AJ148" s="121">
        <f>IFERROR(INDEX(SF_Output!AD:AD,MATCH(_xlfn.TEXTJOIN(",",TRUE,B148:E148),SF_Output!AC1:AC400,0)),0.05)</f>
        <v>239</v>
      </c>
      <c r="AK148" t="str">
        <f>IF(SUMIFS(SF_Output!$F$1:$F$400,SF_Output!$AC$1:$AC$400,_xlfn.TEXTJOIN(",",TRUE,B148:E148))+SUMIFS(SF_Output!$G$1:$G$400,SF_Output!$AC$1:$AC$400,_xlfn.TEXTJOIN(",",TRUE,B148:E148))=0,"","PAP")</f>
        <v/>
      </c>
      <c r="AQ148" s="35"/>
      <c r="AR148" s="35" t="str" cm="1">
        <f t="array" ref="AR148">IFERROR(_xlfn.IFS(AND(E148*1=1,F148="Included"),"Change to Included",AND(E148*1=0,F148="Optional"),"Change to Optional",OR(B148="",F148="replaced"),""),"")</f>
        <v/>
      </c>
      <c r="AS148" s="35" t="str">
        <f t="shared" si="41"/>
        <v/>
      </c>
      <c r="AT148" s="35" t="str">
        <f t="shared" si="42"/>
        <v/>
      </c>
      <c r="AU148" s="35" t="str">
        <f t="shared" si="43"/>
        <v/>
      </c>
      <c r="AV148" s="35" t="str">
        <f t="shared" si="44"/>
        <v/>
      </c>
      <c r="AW148" s="35" t="str">
        <f t="shared" si="45"/>
        <v/>
      </c>
      <c r="AX148" s="35" t="str">
        <f t="shared" si="46"/>
        <v/>
      </c>
      <c r="AY148" s="35" t="str">
        <f t="shared" si="47"/>
        <v/>
      </c>
      <c r="AZ148" s="35" t="str">
        <f t="shared" si="48"/>
        <v/>
      </c>
      <c r="BA148" s="35" t="str">
        <f t="shared" si="49"/>
        <v/>
      </c>
      <c r="BB148" s="35" t="str">
        <f t="shared" si="50"/>
        <v/>
      </c>
      <c r="BC148" s="35"/>
      <c r="BE148" s="35">
        <f ca="1">INDEX(SF_Output!$AA$2:$AA$400,MATCH($B148,SF_Output!$M$2:$M$400,0))</f>
        <v>6</v>
      </c>
      <c r="BF148" s="35">
        <f ca="1">INDEX(SF_Output!$AB$2:$AB$400,MATCH($B148,SF_Output!$M$2:$M$400,0))</f>
        <v>4</v>
      </c>
    </row>
    <row r="149" spans="2:58" x14ac:dyDescent="0.25">
      <c r="B149" t="s">
        <v>870</v>
      </c>
      <c r="C149" t="s">
        <v>2122</v>
      </c>
      <c r="D149" t="s">
        <v>2123</v>
      </c>
      <c r="E149" t="s">
        <v>2124</v>
      </c>
      <c r="F149" s="116" t="str">
        <f t="shared" si="34"/>
        <v>Included</v>
      </c>
      <c r="G149" t="str">
        <f>IF(B149="","",INDEX(SF_Output!$K$1:$K$400,MATCH(B149,SF_Output!$M$1:$M$400,0)))</f>
        <v>Centurion</v>
      </c>
      <c r="H149" cm="1">
        <f t="array" ref="H149">_xlfn.IFS(B149="","",(SUMIFS(SF_Output!$F$1:$F$400,SF_Output!$AC$1:$AC$400,_xlfn.TEXTJOIN(",",TRUE,B149:E149))+SUMIFS(SF_Output!$G$1:$G$400,SF_Output!$AC$1:$AC$400,_xlfn.TEXTJOIN(",",TRUE,B149:E149)))&lt;&gt;0,SF_Output!$Y$2,INDEX(SF_Output!$F$1:$F$400,MATCH(_xlfn.TEXTJOIN(",",TRUE,B149:E149),SF_Output!$AC$1:$AC$400,0))=0,INDEX(SF_Output!$R$1:$R$400,MATCH(_xlfn.TEXTJOIN(",",TRUE,B149:E149),SF_Output!$AC$1:$AC$400,0)))</f>
        <v>1</v>
      </c>
      <c r="I149" s="125" t="str">
        <f>IFERROR(IF(AND(H149&gt;1,H149&lt;&gt;""),ROUND(SUMIFS(SF_Output!$S$1:$S$400,SF_Output!$AC$1:$AC$400,_xlfn.TEXTJOIN(",",TRUE,B149:E149),SF_Output!$Q$1:$Q$400,"monthly")*(1-W149)/H149,4),""),"")</f>
        <v/>
      </c>
      <c r="J149" s="6">
        <f>IF(B149="","",SUMIFS(SF_Output!$S$1:$S$400,SF_Output!$AC$1:$AC$400,_xlfn.TEXTJOIN(",",TRUE,B149:E149),SF_Output!$Q$1:$Q$400,"One Time",SF_Output!$L$1:$L$400,"license fee")+SUMIFS(SF_Output!$S$1:$S$400,SF_Output!$AC$1:$AC$400,_xlfn.TEXTJOIN(",",TRUE,B149:E149),SF_Output!$Q$1:$Q$400,"One Time",SF_Output!$L$1:$L$400,"software license")+SUMIFS(SF_Output!$S$1:$S$400,SF_Output!$AC$1:$AC$400,_xlfn.TEXTJOIN(",",TRUE,B149:E149),SF_Output!$Q$1:$Q$400,"One Time",SF_Output!$L$1:$L$400,"hardware"))</f>
        <v>0</v>
      </c>
      <c r="K149" s="112" t="str">
        <f>IF(OR(B149=0,B149="",G149="hardware",J149=0),"",IF(AF149&lt;&gt;"exclusion",MAX(K$9,-((SUMIFS(SF_Output!$T$1:$T$400,SF_Output!$AC$1:$AC$400,_xlfn.TEXTJOIN(",",TRUE,$B149:$E149),SF_Output!$Q$1:$Q$400,"One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license"))/J149)))</f>
        <v/>
      </c>
      <c r="L149" s="6">
        <f t="shared" si="35"/>
        <v>0</v>
      </c>
      <c r="N149" s="6">
        <f>IF(B149="","",SUMIFS(SF_Output!$S$1:$S$400,SF_Output!$AC$1:$AC$400,_xlfn.TEXTJOIN(",",TRUE,B149:E149),SF_Output!$Q$1:$Q$400,"One Time",SF_Output!$L$1:$L$400,"professional service"))</f>
        <v>0</v>
      </c>
      <c r="O149" s="112" t="str">
        <f>IF(OR(B149=0,B149="",N149=0),"",IF(AF149&lt;&gt;"exclusion",MAX(O$9,-(SUMIFS(SF_Output!$T$1:$T$400,SF_Output!$AC$1:$AC$400,_xlfn.TEXTJOIN(",",TRUE,$B149:$E149),SF_Output!$Q$1:$Q$400,"One Time",SF_Output!$L$1:$L$400,"professional service"))/N149),-((SUMIFS(SF_Output!$T$1:$T$400,SF_Output!$AC$1:$AC$400,_xlfn.TEXTJOIN(",",TRUE,$B149:$E149),SF_Output!$Q$1:$Q$400,"One Time",SF_Output!$L$1:$L$400,"professional service")/N149))))</f>
        <v/>
      </c>
      <c r="P149" s="6">
        <f t="shared" si="36"/>
        <v>0</v>
      </c>
      <c r="R149" s="6">
        <f>IF(B149="","",SUMIFS(SF_Output!$S$1:$S$400,SF_Output!$AC$1:$AC$400,_xlfn.TEXTJOIN(",",TRUE,B149:E149),SF_Output!$Q$1:$Q$400,"yearly")+SUMIFS(SF_Output!$S$1:$S$400,SF_Output!$AC$1:$AC$400,_xlfn.TEXTJOIN(",",TRUE,B149:E149),SF_Output!$Q$1:$Q$400,"quarterly")*4)</f>
        <v>1880</v>
      </c>
      <c r="S149" s="112">
        <f>IF(OR(B149=0,B149="",G149="hardware",R149=0),"",IF(AF149&lt;&gt;"exclusion",MAX(S$9,-(SUMIFS(SF_Output!$T$1:$T$400,SF_Output!$AC$1:$AC$400,_xlfn.TEXTJOIN(",",TRUE,$B149:$E149),SF_Output!$Q$1:$Q$400,"yearly"))/R149),-((SUMIFS(SF_Output!$T$1:$T$400,SF_Output!$AC$1:$AC$400,_xlfn.TEXTJOIN(",",TRUE,$B149:$E149),SF_Output!$Q$1:$Q$400,"yearly")/R149))))</f>
        <v>0</v>
      </c>
      <c r="T149" s="6">
        <f t="shared" si="37"/>
        <v>1880</v>
      </c>
      <c r="V149" s="6" cm="1">
        <f t="array" ref="V149">_xlfn.IFS(B149="","",AND(B149&lt;&gt;"",H149=SF_Output!$Y$2,SUMIFS(SF_Output!$T$1:$T$400,SF_Output!$AC$1:$AC$400,_xlfn.TEXTJOIN(",",TRUE,B149:E149),SF_Output!$Q$1:$Q$400,"monthly")=0),(SUMIFS(SF_Output!$F$1:$F$400,SF_Output!$AC$1:$AC$400,_xlfn.TEXTJOIN(",",TRUE,B149:E149),SF_Output!$Q$1:$Q$400,"monthly")+SUMIFS(SF_Output!$G$1:$G$400,SF_Output!$AC$1:$AC$400,_xlfn.TEXTJOIN(",",TRUE,B149:E149),SF_Output!$Q$1:$Q$400,"monthly"))*H149,AND(B149&lt;&gt;"",H149=SF_Output!$Y$2,SUMIFS(SF_Output!$T$1:$T$400,SF_Output!$AC$1:$AC$400,_xlfn.TEXTJOIN(",",TRUE,B149:E149),SF_Output!$Q$1:$Q$400,"monthly")&lt;&gt;0),SUMIFS(SF_Output!$S$1:$S$400,SF_Output!$AC$1:$AC$400,_xlfn.TEXTJOIN(",",TRUE,B149:E149),SF_Output!$Q$1:$Q$400,"monthly"),AND(B149&lt;&gt;"",H149&lt;&gt;SF_Output!$Y$2),SUMIFS(SF_Output!$S$1:$S$400,SF_Output!$AC$1:$AC$400,_xlfn.TEXTJOIN(",",TRUE,B149:E149),SF_Output!$Q$1:$Q$400,"monthly"))</f>
        <v>0</v>
      </c>
      <c r="W149" s="112" t="str" cm="1">
        <f t="array" ref="W149">_xlfn.IFS(OR(B149=0,B149="",V149=0),"",AF149&lt;&gt;"exclusion",MAX($W$9,$W$7,(-(SUMIFS(SF_Output!$T$1:$T$400,SF_Output!$AC$1:$AC$400,_xlfn.TEXTJOIN(",",TRUE,$B149:$E149),SF_Output!$Q$1:$Q$400,"monthly"))/V149)),AF149="exclusion",-(SUMIFS(SF_Output!$T$1:$T$400,SF_Output!$AC$1:$AC$400,_xlfn.TEXTJOIN(",",TRUE,$B149:$E149),SF_Output!$Q$1:$Q$400,"monthly"))/V149)</f>
        <v/>
      </c>
      <c r="X149" s="6" cm="1">
        <f t="array" ref="X149">IFERROR(_xlfn.IFS(V149=0,0,V149="","",W149=0,V149,OR(V149&lt;&gt;0,V149&lt;&gt;""),H149*I149),V149*(1-W149))</f>
        <v>0</v>
      </c>
      <c r="Z149" s="6">
        <f>IFERROR(IF(B149="","",SUMIFS(Billing_Fallout!H:H,Billing_Fallout!N:N,B149)),0)</f>
        <v>0</v>
      </c>
      <c r="AA149" s="6">
        <f t="shared" si="38"/>
        <v>0</v>
      </c>
      <c r="AB149" s="6">
        <f>IFERROR(IF(B149="","",SUMIFS(Billing_Fallout!J:J,Billing_Fallout!N:N,B149)),0)</f>
        <v>0</v>
      </c>
      <c r="AD149" s="6">
        <f t="shared" si="39"/>
        <v>0</v>
      </c>
      <c r="AF149" t="str">
        <f>IFERROR(INDEX(H_Tables!$B$1:$B$1500,MATCH(INDEX(SF_Output!$J$1:$J$400,MATCH(B149,SF_Output!$M$1:$M$400,0)),H_Tables!$A$1:$A$1500,0)),"")</f>
        <v>Exclusion</v>
      </c>
      <c r="AI149" s="119" t="str">
        <f t="shared" si="40"/>
        <v/>
      </c>
      <c r="AJ149" s="121">
        <f>IFERROR(INDEX(SF_Output!AD:AD,MATCH(_xlfn.TEXTJOIN(",",TRUE,B149:E149),SF_Output!AC1:AC400,0)),0.05)</f>
        <v>1</v>
      </c>
      <c r="AK149" t="str">
        <f>IF(SUMIFS(SF_Output!$F$1:$F$400,SF_Output!$AC$1:$AC$400,_xlfn.TEXTJOIN(",",TRUE,B149:E149))+SUMIFS(SF_Output!$G$1:$G$400,SF_Output!$AC$1:$AC$400,_xlfn.TEXTJOIN(",",TRUE,B149:E149))=0,"","PAP")</f>
        <v/>
      </c>
      <c r="AQ149" s="35"/>
      <c r="AR149" s="35" t="str" cm="1">
        <f t="array" ref="AR149">IFERROR(_xlfn.IFS(AND(E149*1=1,F149="Included"),"Change to Included",AND(E149*1=0,F149="Optional"),"Change to Optional",OR(B149="",F149="replaced"),""),"")</f>
        <v/>
      </c>
      <c r="AS149" s="35" t="str">
        <f t="shared" si="41"/>
        <v/>
      </c>
      <c r="AT149" s="35" t="str">
        <f t="shared" si="42"/>
        <v/>
      </c>
      <c r="AU149" s="35" t="str">
        <f t="shared" si="43"/>
        <v/>
      </c>
      <c r="AV149" s="35" t="str">
        <f t="shared" si="44"/>
        <v/>
      </c>
      <c r="AW149" s="35" t="str">
        <f t="shared" si="45"/>
        <v/>
      </c>
      <c r="AX149" s="35" t="str">
        <f t="shared" si="46"/>
        <v/>
      </c>
      <c r="AY149" s="35" t="str">
        <f t="shared" si="47"/>
        <v/>
      </c>
      <c r="AZ149" s="35" t="str">
        <f t="shared" si="48"/>
        <v/>
      </c>
      <c r="BA149" s="35" t="str">
        <f t="shared" si="49"/>
        <v/>
      </c>
      <c r="BB149" s="35" t="str">
        <f t="shared" si="50"/>
        <v/>
      </c>
      <c r="BC149" s="35"/>
      <c r="BE149" s="35">
        <f ca="1">INDEX(SF_Output!$AA$2:$AA$400,MATCH($B149,SF_Output!$M$2:$M$400,0))</f>
        <v>7</v>
      </c>
      <c r="BF149" s="35">
        <f ca="1">INDEX(SF_Output!$AB$2:$AB$400,MATCH($B149,SF_Output!$M$2:$M$400,0))</f>
        <v>1</v>
      </c>
    </row>
    <row r="150" spans="2:58" x14ac:dyDescent="0.25">
      <c r="B150" t="s">
        <v>1833</v>
      </c>
      <c r="C150" t="s">
        <v>2122</v>
      </c>
      <c r="D150" t="s">
        <v>2123</v>
      </c>
      <c r="E150" t="s">
        <v>2124</v>
      </c>
      <c r="F150" s="116" t="str">
        <f t="shared" si="34"/>
        <v>Included</v>
      </c>
      <c r="G150" t="str">
        <f>IF(B150="","",INDEX(SF_Output!$K$1:$K$400,MATCH(B150,SF_Output!$M$1:$M$400,0)))</f>
        <v>Centurion</v>
      </c>
      <c r="H150" cm="1">
        <f t="array" ref="H150">_xlfn.IFS(B150="","",(SUMIFS(SF_Output!$F$1:$F$400,SF_Output!$AC$1:$AC$400,_xlfn.TEXTJOIN(",",TRUE,B150:E150))+SUMIFS(SF_Output!$G$1:$G$400,SF_Output!$AC$1:$AC$400,_xlfn.TEXTJOIN(",",TRUE,B150:E150)))&lt;&gt;0,SF_Output!$Y$2,INDEX(SF_Output!$F$1:$F$400,MATCH(_xlfn.TEXTJOIN(",",TRUE,B150:E150),SF_Output!$AC$1:$AC$400,0))=0,INDEX(SF_Output!$R$1:$R$400,MATCH(_xlfn.TEXTJOIN(",",TRUE,B150:E150),SF_Output!$AC$1:$AC$400,0)))</f>
        <v>1</v>
      </c>
      <c r="I150" s="125" t="str">
        <f>IFERROR(IF(AND(H150&gt;1,H150&lt;&gt;""),ROUND(SUMIFS(SF_Output!$S$1:$S$400,SF_Output!$AC$1:$AC$400,_xlfn.TEXTJOIN(",",TRUE,B150:E150),SF_Output!$Q$1:$Q$400,"monthly")*(1-W150)/H150,4),""),"")</f>
        <v/>
      </c>
      <c r="J150" s="6">
        <f>IF(B150="","",SUMIFS(SF_Output!$S$1:$S$400,SF_Output!$AC$1:$AC$400,_xlfn.TEXTJOIN(",",TRUE,B150:E150),SF_Output!$Q$1:$Q$400,"One Time",SF_Output!$L$1:$L$400,"license fee")+SUMIFS(SF_Output!$S$1:$S$400,SF_Output!$AC$1:$AC$400,_xlfn.TEXTJOIN(",",TRUE,B150:E150),SF_Output!$Q$1:$Q$400,"One Time",SF_Output!$L$1:$L$400,"software license")+SUMIFS(SF_Output!$S$1:$S$400,SF_Output!$AC$1:$AC$400,_xlfn.TEXTJOIN(",",TRUE,B150:E150),SF_Output!$Q$1:$Q$400,"One Time",SF_Output!$L$1:$L$400,"hardware"))</f>
        <v>0</v>
      </c>
      <c r="K150" s="112" t="str">
        <f>IF(OR(B150=0,B150="",G150="hardware",J150=0),"",IF(AF150&lt;&gt;"exclusion",MAX(K$9,-((SUMIFS(SF_Output!$T$1:$T$400,SF_Output!$AC$1:$AC$400,_xlfn.TEXTJOIN(",",TRUE,$B150:$E150),SF_Output!$Q$1:$Q$400,"One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license"))/J150)))</f>
        <v/>
      </c>
      <c r="L150" s="6">
        <f t="shared" si="35"/>
        <v>0</v>
      </c>
      <c r="N150" s="6">
        <f>IF(B150="","",SUMIFS(SF_Output!$S$1:$S$400,SF_Output!$AC$1:$AC$400,_xlfn.TEXTJOIN(",",TRUE,B150:E150),SF_Output!$Q$1:$Q$400,"One Time",SF_Output!$L$1:$L$400,"professional service"))</f>
        <v>0</v>
      </c>
      <c r="O150" s="112" t="str">
        <f>IF(OR(B150=0,B150="",N150=0),"",IF(AF150&lt;&gt;"exclusion",MAX(O$9,-(SUMIFS(SF_Output!$T$1:$T$400,SF_Output!$AC$1:$AC$400,_xlfn.TEXTJOIN(",",TRUE,$B150:$E150),SF_Output!$Q$1:$Q$400,"One Time",SF_Output!$L$1:$L$400,"professional service"))/N150),-((SUMIFS(SF_Output!$T$1:$T$400,SF_Output!$AC$1:$AC$400,_xlfn.TEXTJOIN(",",TRUE,$B150:$E150),SF_Output!$Q$1:$Q$400,"One Time",SF_Output!$L$1:$L$400,"professional service")/N150))))</f>
        <v/>
      </c>
      <c r="P150" s="6">
        <f t="shared" si="36"/>
        <v>0</v>
      </c>
      <c r="R150" s="6">
        <f>IF(B150="","",SUMIFS(SF_Output!$S$1:$S$400,SF_Output!$AC$1:$AC$400,_xlfn.TEXTJOIN(",",TRUE,B150:E150),SF_Output!$Q$1:$Q$400,"yearly")+SUMIFS(SF_Output!$S$1:$S$400,SF_Output!$AC$1:$AC$400,_xlfn.TEXTJOIN(",",TRUE,B150:E150),SF_Output!$Q$1:$Q$400,"quarterly")*4)</f>
        <v>0</v>
      </c>
      <c r="S150" s="112" t="str">
        <f>IF(OR(B150=0,B150="",G150="hardware",R150=0),"",IF(AF150&lt;&gt;"exclusion",MAX(S$9,-(SUMIFS(SF_Output!$T$1:$T$400,SF_Output!$AC$1:$AC$400,_xlfn.TEXTJOIN(",",TRUE,$B150:$E150),SF_Output!$Q$1:$Q$400,"yearly"))/R150),-((SUMIFS(SF_Output!$T$1:$T$400,SF_Output!$AC$1:$AC$400,_xlfn.TEXTJOIN(",",TRUE,$B150:$E150),SF_Output!$Q$1:$Q$400,"yearly")/R150))))</f>
        <v/>
      </c>
      <c r="T150" s="6">
        <f t="shared" si="37"/>
        <v>0</v>
      </c>
      <c r="V150" s="6" cm="1">
        <f t="array" ref="V150">_xlfn.IFS(B150="","",AND(B150&lt;&gt;"",H150=SF_Output!$Y$2,SUMIFS(SF_Output!$T$1:$T$400,SF_Output!$AC$1:$AC$400,_xlfn.TEXTJOIN(",",TRUE,B150:E150),SF_Output!$Q$1:$Q$400,"monthly")=0),(SUMIFS(SF_Output!$F$1:$F$400,SF_Output!$AC$1:$AC$400,_xlfn.TEXTJOIN(",",TRUE,B150:E150),SF_Output!$Q$1:$Q$400,"monthly")+SUMIFS(SF_Output!$G$1:$G$400,SF_Output!$AC$1:$AC$400,_xlfn.TEXTJOIN(",",TRUE,B150:E150),SF_Output!$Q$1:$Q$400,"monthly"))*H150,AND(B150&lt;&gt;"",H150=SF_Output!$Y$2,SUMIFS(SF_Output!$T$1:$T$400,SF_Output!$AC$1:$AC$400,_xlfn.TEXTJOIN(",",TRUE,B150:E150),SF_Output!$Q$1:$Q$400,"monthly")&lt;&gt;0),SUMIFS(SF_Output!$S$1:$S$400,SF_Output!$AC$1:$AC$400,_xlfn.TEXTJOIN(",",TRUE,B150:E150),SF_Output!$Q$1:$Q$400,"monthly"),AND(B150&lt;&gt;"",H150&lt;&gt;SF_Output!$Y$2),SUMIFS(SF_Output!$S$1:$S$400,SF_Output!$AC$1:$AC$400,_xlfn.TEXTJOIN(",",TRUE,B150:E150),SF_Output!$Q$1:$Q$400,"monthly"))</f>
        <v>200</v>
      </c>
      <c r="W150" s="112" cm="1">
        <f t="array" ref="W150">_xlfn.IFS(OR(B150=0,B150="",V150=0),"",AF150&lt;&gt;"exclusion",MAX($W$9,$W$7,(-(SUMIFS(SF_Output!$T$1:$T$400,SF_Output!$AC$1:$AC$400,_xlfn.TEXTJOIN(",",TRUE,$B150:$E150),SF_Output!$Q$1:$Q$400,"monthly"))/V150)),AF150="exclusion",-(SUMIFS(SF_Output!$T$1:$T$400,SF_Output!$AC$1:$AC$400,_xlfn.TEXTJOIN(",",TRUE,$B150:$E150),SF_Output!$Q$1:$Q$400,"monthly"))/V150)</f>
        <v>0</v>
      </c>
      <c r="X150" s="6" cm="1">
        <f t="array" ref="X150">IFERROR(_xlfn.IFS(V150=0,0,V150="","",W150=0,V150,OR(V150&lt;&gt;0,V150&lt;&gt;""),H150*I150),V150*(1-W150))</f>
        <v>200</v>
      </c>
      <c r="Z150" s="6">
        <f>IFERROR(IF(B150="","",SUMIFS(Billing_Fallout!H:H,Billing_Fallout!N:N,B150)),0)</f>
        <v>0</v>
      </c>
      <c r="AA150" s="6">
        <f t="shared" si="38"/>
        <v>0</v>
      </c>
      <c r="AB150" s="6">
        <f>IFERROR(IF(B150="","",SUMIFS(Billing_Fallout!J:J,Billing_Fallout!N:N,B150)),0)</f>
        <v>0</v>
      </c>
      <c r="AD150" s="6">
        <f t="shared" si="39"/>
        <v>200</v>
      </c>
      <c r="AF150" t="str">
        <f>IFERROR(INDEX(H_Tables!$B$1:$B$1500,MATCH(INDEX(SF_Output!$J$1:$J$400,MATCH(B150,SF_Output!$M$1:$M$400,0)),H_Tables!$A$1:$A$1500,0)),"")</f>
        <v>Exclusion</v>
      </c>
      <c r="AI150" s="119" t="str">
        <f t="shared" si="40"/>
        <v/>
      </c>
      <c r="AJ150" s="121">
        <f>IFERROR(INDEX(SF_Output!AD:AD,MATCH(_xlfn.TEXTJOIN(",",TRUE,B150:E150),SF_Output!AC1:AC400,0)),0.05)</f>
        <v>2</v>
      </c>
      <c r="AK150" t="str">
        <f>IF(SUMIFS(SF_Output!$F$1:$F$400,SF_Output!$AC$1:$AC$400,_xlfn.TEXTJOIN(",",TRUE,B150:E150))+SUMIFS(SF_Output!$G$1:$G$400,SF_Output!$AC$1:$AC$400,_xlfn.TEXTJOIN(",",TRUE,B150:E150))=0,"","PAP")</f>
        <v/>
      </c>
      <c r="AQ150" s="35"/>
      <c r="AR150" s="35" t="str" cm="1">
        <f t="array" ref="AR150">IFERROR(_xlfn.IFS(AND(E150*1=1,F150="Included"),"Change to Included",AND(E150*1=0,F150="Optional"),"Change to Optional",OR(B150="",F150="replaced"),""),"")</f>
        <v/>
      </c>
      <c r="AS150" s="35" t="str">
        <f t="shared" si="41"/>
        <v/>
      </c>
      <c r="AT150" s="35" t="str">
        <f t="shared" si="42"/>
        <v/>
      </c>
      <c r="AU150" s="35" t="str">
        <f t="shared" si="43"/>
        <v/>
      </c>
      <c r="AV150" s="35" t="str">
        <f t="shared" si="44"/>
        <v/>
      </c>
      <c r="AW150" s="35" t="str">
        <f t="shared" si="45"/>
        <v/>
      </c>
      <c r="AX150" s="35" t="str">
        <f t="shared" si="46"/>
        <v/>
      </c>
      <c r="AY150" s="35" t="str">
        <f t="shared" si="47"/>
        <v/>
      </c>
      <c r="AZ150" s="35" t="str">
        <f t="shared" si="48"/>
        <v/>
      </c>
      <c r="BA150" s="35" t="str">
        <f t="shared" si="49"/>
        <v/>
      </c>
      <c r="BB150" s="35" t="str">
        <f t="shared" si="50"/>
        <v/>
      </c>
      <c r="BC150" s="35"/>
      <c r="BE150" s="35">
        <f ca="1">INDEX(SF_Output!$AA$2:$AA$400,MATCH($B150,SF_Output!$M$2:$M$400,0))</f>
        <v>7</v>
      </c>
      <c r="BF150" s="35">
        <f ca="1">INDEX(SF_Output!$AB$2:$AB$400,MATCH($B150,SF_Output!$M$2:$M$400,0))</f>
        <v>1</v>
      </c>
    </row>
    <row r="151" spans="2:58" x14ac:dyDescent="0.25">
      <c r="B151" t="s">
        <v>2289</v>
      </c>
      <c r="C151" t="s">
        <v>2122</v>
      </c>
      <c r="D151" t="s">
        <v>2123</v>
      </c>
      <c r="E151" t="s">
        <v>2124</v>
      </c>
      <c r="F151" s="116" t="str">
        <f t="shared" si="34"/>
        <v>Included</v>
      </c>
      <c r="G151" t="str">
        <f>IF(B151="","",INDEX(SF_Output!$K$1:$K$400,MATCH(B151,SF_Output!$M$1:$M$400,0)))</f>
        <v>Fraud</v>
      </c>
      <c r="H151" cm="1">
        <f t="array" ref="H151">_xlfn.IFS(B151="","",(SUMIFS(SF_Output!$F$1:$F$400,SF_Output!$AC$1:$AC$400,_xlfn.TEXTJOIN(",",TRUE,B151:E151))+SUMIFS(SF_Output!$G$1:$G$400,SF_Output!$AC$1:$AC$400,_xlfn.TEXTJOIN(",",TRUE,B151:E151)))&lt;&gt;0,SF_Output!$Y$2,INDEX(SF_Output!$F$1:$F$400,MATCH(_xlfn.TEXTJOIN(",",TRUE,B151:E151),SF_Output!$AC$1:$AC$400,0))=0,INDEX(SF_Output!$R$1:$R$400,MATCH(_xlfn.TEXTJOIN(",",TRUE,B151:E151),SF_Output!$AC$1:$AC$400,0)))</f>
        <v>5000</v>
      </c>
      <c r="I151" s="125">
        <f>IFERROR(IF(AND(H151&gt;1,H151&lt;&gt;""),ROUND(SUMIFS(SF_Output!$S$1:$S$400,SF_Output!$AC$1:$AC$400,_xlfn.TEXTJOIN(",",TRUE,B151:E151),SF_Output!$Q$1:$Q$400,"monthly")*(1-W151)/H151,4),""),"")</f>
        <v>0.71640000000000004</v>
      </c>
      <c r="J151" s="6">
        <f>IF(B151="","",SUMIFS(SF_Output!$S$1:$S$400,SF_Output!$AC$1:$AC$400,_xlfn.TEXTJOIN(",",TRUE,B151:E151),SF_Output!$Q$1:$Q$400,"One Time",SF_Output!$L$1:$L$400,"license fee")+SUMIFS(SF_Output!$S$1:$S$400,SF_Output!$AC$1:$AC$400,_xlfn.TEXTJOIN(",",TRUE,B151:E151),SF_Output!$Q$1:$Q$400,"One Time",SF_Output!$L$1:$L$400,"software license")+SUMIFS(SF_Output!$S$1:$S$400,SF_Output!$AC$1:$AC$400,_xlfn.TEXTJOIN(",",TRUE,B151:E151),SF_Output!$Q$1:$Q$400,"One Time",SF_Output!$L$1:$L$400,"hardware"))</f>
        <v>0</v>
      </c>
      <c r="K151" s="112" t="str">
        <f>IF(OR(B151=0,B151="",G151="hardware",J151=0),"",IF(AF151&lt;&gt;"exclusion",MAX(K$9,-((SUMIFS(SF_Output!$T$1:$T$400,SF_Output!$AC$1:$AC$400,_xlfn.TEXTJOIN(",",TRUE,$B151:$E151),SF_Output!$Q$1:$Q$400,"One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license"))/J151)))</f>
        <v/>
      </c>
      <c r="L151" s="6">
        <f t="shared" si="35"/>
        <v>0</v>
      </c>
      <c r="N151" s="6">
        <f>IF(B151="","",SUMIFS(SF_Output!$S$1:$S$400,SF_Output!$AC$1:$AC$400,_xlfn.TEXTJOIN(",",TRUE,B151:E151),SF_Output!$Q$1:$Q$400,"One Time",SF_Output!$L$1:$L$400,"professional service"))</f>
        <v>18890</v>
      </c>
      <c r="O151" s="112">
        <f>IF(OR(B151=0,B151="",N151=0),"",IF(AF151&lt;&gt;"exclusion",MAX(O$9,-(SUMIFS(SF_Output!$T$1:$T$400,SF_Output!$AC$1:$AC$400,_xlfn.TEXTJOIN(",",TRUE,$B151:$E151),SF_Output!$Q$1:$Q$400,"One Time",SF_Output!$L$1:$L$400,"professional service"))/N151),-((SUMIFS(SF_Output!$T$1:$T$400,SF_Output!$AC$1:$AC$400,_xlfn.TEXTJOIN(",",TRUE,$B151:$E151),SF_Output!$Q$1:$Q$400,"One Time",SF_Output!$L$1:$L$400,"professional service")/N151))))</f>
        <v>0.25</v>
      </c>
      <c r="P151" s="6">
        <f t="shared" si="36"/>
        <v>14167.5</v>
      </c>
      <c r="R151" s="6">
        <f>IF(B151="","",SUMIFS(SF_Output!$S$1:$S$400,SF_Output!$AC$1:$AC$400,_xlfn.TEXTJOIN(",",TRUE,B151:E151),SF_Output!$Q$1:$Q$400,"yearly")+SUMIFS(SF_Output!$S$1:$S$400,SF_Output!$AC$1:$AC$400,_xlfn.TEXTJOIN(",",TRUE,B151:E151),SF_Output!$Q$1:$Q$400,"quarterly")*4)</f>
        <v>0</v>
      </c>
      <c r="S151" s="112" t="str">
        <f>IF(OR(B151=0,B151="",G151="hardware",R151=0),"",IF(AF151&lt;&gt;"exclusion",MAX(S$9,-(SUMIFS(SF_Output!$T$1:$T$400,SF_Output!$AC$1:$AC$400,_xlfn.TEXTJOIN(",",TRUE,$B151:$E151),SF_Output!$Q$1:$Q$400,"yearly"))/R151),-((SUMIFS(SF_Output!$T$1:$T$400,SF_Output!$AC$1:$AC$400,_xlfn.TEXTJOIN(",",TRUE,$B151:$E151),SF_Output!$Q$1:$Q$400,"yearly")/R151))))</f>
        <v/>
      </c>
      <c r="T151" s="6">
        <f t="shared" si="37"/>
        <v>0</v>
      </c>
      <c r="V151" s="6" cm="1">
        <f t="array" ref="V151">_xlfn.IFS(B151="","",AND(B151&lt;&gt;"",H151=SF_Output!$Y$2,SUMIFS(SF_Output!$T$1:$T$400,SF_Output!$AC$1:$AC$400,_xlfn.TEXTJOIN(",",TRUE,B151:E151),SF_Output!$Q$1:$Q$400,"monthly")=0),(SUMIFS(SF_Output!$F$1:$F$400,SF_Output!$AC$1:$AC$400,_xlfn.TEXTJOIN(",",TRUE,B151:E151),SF_Output!$Q$1:$Q$400,"monthly")+SUMIFS(SF_Output!$G$1:$G$400,SF_Output!$AC$1:$AC$400,_xlfn.TEXTJOIN(",",TRUE,B151:E151),SF_Output!$Q$1:$Q$400,"monthly"))*H151,AND(B151&lt;&gt;"",H151=SF_Output!$Y$2,SUMIFS(SF_Output!$T$1:$T$400,SF_Output!$AC$1:$AC$400,_xlfn.TEXTJOIN(",",TRUE,B151:E151),SF_Output!$Q$1:$Q$400,"monthly")&lt;&gt;0),SUMIFS(SF_Output!$S$1:$S$400,SF_Output!$AC$1:$AC$400,_xlfn.TEXTJOIN(",",TRUE,B151:E151),SF_Output!$Q$1:$Q$400,"monthly"),AND(B151&lt;&gt;"",H151&lt;&gt;SF_Output!$Y$2),SUMIFS(SF_Output!$S$1:$S$400,SF_Output!$AC$1:$AC$400,_xlfn.TEXTJOIN(",",TRUE,B151:E151),SF_Output!$Q$1:$Q$400,"monthly"))</f>
        <v>3980</v>
      </c>
      <c r="W151" s="112" cm="1">
        <f t="array" ref="W151">_xlfn.IFS(OR(B151=0,B151="",V151=0),"",AF151&lt;&gt;"exclusion",MAX($W$9,$W$7,(-(SUMIFS(SF_Output!$T$1:$T$400,SF_Output!$AC$1:$AC$400,_xlfn.TEXTJOIN(",",TRUE,$B151:$E151),SF_Output!$Q$1:$Q$400,"monthly"))/V151)),AF151="exclusion",-(SUMIFS(SF_Output!$T$1:$T$400,SF_Output!$AC$1:$AC$400,_xlfn.TEXTJOIN(",",TRUE,$B151:$E151),SF_Output!$Q$1:$Q$400,"monthly"))/V151)</f>
        <v>0.1</v>
      </c>
      <c r="X151" s="6" cm="1">
        <f t="array" ref="X151">IFERROR(_xlfn.IFS(V151=0,0,V151="","",W151=0,V151,OR(V151&lt;&gt;0,V151&lt;&gt;""),H151*I151),V151*(1-W151))</f>
        <v>3582</v>
      </c>
      <c r="Z151" s="6">
        <f>IFERROR(IF(B151="","",SUMIFS(Billing_Fallout!H:H,Billing_Fallout!N:N,B151)),0)</f>
        <v>0</v>
      </c>
      <c r="AA151" s="6">
        <f t="shared" si="38"/>
        <v>0</v>
      </c>
      <c r="AB151" s="6">
        <f>IFERROR(IF(B151="","",SUMIFS(Billing_Fallout!J:J,Billing_Fallout!N:N,B151)),0)</f>
        <v>0</v>
      </c>
      <c r="AD151" s="6">
        <f t="shared" si="39"/>
        <v>3582</v>
      </c>
      <c r="AF151" t="str">
        <f>IFERROR(INDEX(H_Tables!$B$1:$B$1500,MATCH(INDEX(SF_Output!$J$1:$J$400,MATCH(B151,SF_Output!$M$1:$M$400,0)),H_Tables!$A$1:$A$1500,0)),"")</f>
        <v>Exclusion</v>
      </c>
      <c r="AI151" s="119" t="str">
        <f t="shared" si="40"/>
        <v/>
      </c>
      <c r="AJ151" s="121">
        <f>IFERROR(INDEX(SF_Output!AD:AD,MATCH(_xlfn.TEXTJOIN(",",TRUE,B151:E151),SF_Output!AC1:AC400,0)),0.05)</f>
        <v>116</v>
      </c>
      <c r="AK151" t="str">
        <f>IF(SUMIFS(SF_Output!$F$1:$F$400,SF_Output!$AC$1:$AC$400,_xlfn.TEXTJOIN(",",TRUE,B151:E151))+SUMIFS(SF_Output!$G$1:$G$400,SF_Output!$AC$1:$AC$400,_xlfn.TEXTJOIN(",",TRUE,B151:E151))=0,"","PAP")</f>
        <v>PAP</v>
      </c>
      <c r="AQ151" s="35"/>
      <c r="AR151" s="35" t="str" cm="1">
        <f t="array" ref="AR151">IFERROR(_xlfn.IFS(AND(E151*1=1,F151="Included"),"Change to Included",AND(E151*1=0,F151="Optional"),"Change to Optional",OR(B151="",F151="replaced"),""),"")</f>
        <v/>
      </c>
      <c r="AS151" s="35" t="str">
        <f t="shared" si="41"/>
        <v/>
      </c>
      <c r="AT151" s="35" t="str">
        <f t="shared" si="42"/>
        <v/>
      </c>
      <c r="AU151" s="35" t="str">
        <f t="shared" si="43"/>
        <v/>
      </c>
      <c r="AV151" s="35" t="str">
        <f t="shared" si="44"/>
        <v/>
      </c>
      <c r="AW151" s="35" t="str">
        <f t="shared" si="45"/>
        <v/>
      </c>
      <c r="AX151" s="35" t="str">
        <f t="shared" si="46"/>
        <v/>
      </c>
      <c r="AY151" s="35" t="str">
        <f t="shared" si="47"/>
        <v/>
      </c>
      <c r="AZ151" s="35" t="str">
        <f t="shared" si="48"/>
        <v/>
      </c>
      <c r="BA151" s="35" t="str">
        <f t="shared" si="49"/>
        <v/>
      </c>
      <c r="BB151" s="35" t="str">
        <f t="shared" si="50"/>
        <v/>
      </c>
      <c r="BC151" s="35"/>
      <c r="BE151" s="35">
        <f ca="1">INDEX(SF_Output!$AA$2:$AA$400,MATCH($B151,SF_Output!$M$2:$M$400,0))</f>
        <v>7</v>
      </c>
      <c r="BF151" s="35" t="str">
        <f ca="1">INDEX(SF_Output!$AB$2:$AB$400,MATCH($B151,SF_Output!$M$2:$M$400,0))</f>
        <v/>
      </c>
    </row>
    <row r="152" spans="2:58" x14ac:dyDescent="0.25">
      <c r="B152" t="s">
        <v>2292</v>
      </c>
      <c r="C152" t="s">
        <v>2122</v>
      </c>
      <c r="D152" t="s">
        <v>2123</v>
      </c>
      <c r="E152" t="s">
        <v>2124</v>
      </c>
      <c r="F152" s="116" t="str">
        <f t="shared" si="34"/>
        <v>Included</v>
      </c>
      <c r="G152" t="str">
        <f>IF(B152="","",INDEX(SF_Output!$K$1:$K$400,MATCH(B152,SF_Output!$M$1:$M$400,0)))</f>
        <v>Fraud</v>
      </c>
      <c r="H152" cm="1">
        <f t="array" ref="H152">_xlfn.IFS(B152="","",(SUMIFS(SF_Output!$F$1:$F$400,SF_Output!$AC$1:$AC$400,_xlfn.TEXTJOIN(",",TRUE,B152:E152))+SUMIFS(SF_Output!$G$1:$G$400,SF_Output!$AC$1:$AC$400,_xlfn.TEXTJOIN(",",TRUE,B152:E152)))&lt;&gt;0,SF_Output!$Y$2,INDEX(SF_Output!$F$1:$F$400,MATCH(_xlfn.TEXTJOIN(",",TRUE,B152:E152),SF_Output!$AC$1:$AC$400,0))=0,INDEX(SF_Output!$R$1:$R$400,MATCH(_xlfn.TEXTJOIN(",",TRUE,B152:E152),SF_Output!$AC$1:$AC$400,0)))</f>
        <v>1</v>
      </c>
      <c r="I152" s="125" t="str">
        <f>IFERROR(IF(AND(H152&gt;1,H152&lt;&gt;""),ROUND(SUMIFS(SF_Output!$S$1:$S$400,SF_Output!$AC$1:$AC$400,_xlfn.TEXTJOIN(",",TRUE,B152:E152),SF_Output!$Q$1:$Q$400,"monthly")*(1-W152)/H152,4),""),"")</f>
        <v/>
      </c>
      <c r="J152" s="6">
        <f>IF(B152="","",SUMIFS(SF_Output!$S$1:$S$400,SF_Output!$AC$1:$AC$400,_xlfn.TEXTJOIN(",",TRUE,B152:E152),SF_Output!$Q$1:$Q$400,"One Time",SF_Output!$L$1:$L$400,"license fee")+SUMIFS(SF_Output!$S$1:$S$400,SF_Output!$AC$1:$AC$400,_xlfn.TEXTJOIN(",",TRUE,B152:E152),SF_Output!$Q$1:$Q$400,"One Time",SF_Output!$L$1:$L$400,"software license")+SUMIFS(SF_Output!$S$1:$S$400,SF_Output!$AC$1:$AC$400,_xlfn.TEXTJOIN(",",TRUE,B152:E152),SF_Output!$Q$1:$Q$400,"One Time",SF_Output!$L$1:$L$400,"hardware"))</f>
        <v>0</v>
      </c>
      <c r="K152" s="112" t="str">
        <f>IF(OR(B152=0,B152="",G152="hardware",J152=0),"",IF(AF152&lt;&gt;"exclusion",MAX(K$9,-((SUMIFS(SF_Output!$T$1:$T$400,SF_Output!$AC$1:$AC$400,_xlfn.TEXTJOIN(",",TRUE,$B152:$E152),SF_Output!$Q$1:$Q$400,"One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license"))/J152)))</f>
        <v/>
      </c>
      <c r="L152" s="6">
        <f t="shared" si="35"/>
        <v>0</v>
      </c>
      <c r="N152" s="6">
        <f>IF(B152="","",SUMIFS(SF_Output!$S$1:$S$400,SF_Output!$AC$1:$AC$400,_xlfn.TEXTJOIN(",",TRUE,B152:E152),SF_Output!$Q$1:$Q$400,"One Time",SF_Output!$L$1:$L$400,"professional service"))</f>
        <v>6000</v>
      </c>
      <c r="O152" s="112">
        <f>IF(OR(B152=0,B152="",N152=0),"",IF(AF152&lt;&gt;"exclusion",MAX(O$9,-(SUMIFS(SF_Output!$T$1:$T$400,SF_Output!$AC$1:$AC$400,_xlfn.TEXTJOIN(",",TRUE,$B152:$E152),SF_Output!$Q$1:$Q$400,"One Time",SF_Output!$L$1:$L$400,"professional service"))/N152),-((SUMIFS(SF_Output!$T$1:$T$400,SF_Output!$AC$1:$AC$400,_xlfn.TEXTJOIN(",",TRUE,$B152:$E152),SF_Output!$Q$1:$Q$400,"One Time",SF_Output!$L$1:$L$400,"professional service")/N152))))</f>
        <v>0</v>
      </c>
      <c r="P152" s="6">
        <f t="shared" si="36"/>
        <v>6000</v>
      </c>
      <c r="R152" s="6">
        <f>IF(B152="","",SUMIFS(SF_Output!$S$1:$S$400,SF_Output!$AC$1:$AC$400,_xlfn.TEXTJOIN(",",TRUE,B152:E152),SF_Output!$Q$1:$Q$400,"yearly")+SUMIFS(SF_Output!$S$1:$S$400,SF_Output!$AC$1:$AC$400,_xlfn.TEXTJOIN(",",TRUE,B152:E152),SF_Output!$Q$1:$Q$400,"quarterly")*4)</f>
        <v>0</v>
      </c>
      <c r="S152" s="112" t="str">
        <f>IF(OR(B152=0,B152="",G152="hardware",R152=0),"",IF(AF152&lt;&gt;"exclusion",MAX(S$9,-(SUMIFS(SF_Output!$T$1:$T$400,SF_Output!$AC$1:$AC$400,_xlfn.TEXTJOIN(",",TRUE,$B152:$E152),SF_Output!$Q$1:$Q$400,"yearly"))/R152),-((SUMIFS(SF_Output!$T$1:$T$400,SF_Output!$AC$1:$AC$400,_xlfn.TEXTJOIN(",",TRUE,$B152:$E152),SF_Output!$Q$1:$Q$400,"yearly")/R152))))</f>
        <v/>
      </c>
      <c r="T152" s="6">
        <f t="shared" si="37"/>
        <v>0</v>
      </c>
      <c r="V152" s="6" cm="1">
        <f t="array" ref="V152">_xlfn.IFS(B152="","",AND(B152&lt;&gt;"",H152=SF_Output!$Y$2,SUMIFS(SF_Output!$T$1:$T$400,SF_Output!$AC$1:$AC$400,_xlfn.TEXTJOIN(",",TRUE,B152:E152),SF_Output!$Q$1:$Q$400,"monthly")=0),(SUMIFS(SF_Output!$F$1:$F$400,SF_Output!$AC$1:$AC$400,_xlfn.TEXTJOIN(",",TRUE,B152:E152),SF_Output!$Q$1:$Q$400,"monthly")+SUMIFS(SF_Output!$G$1:$G$400,SF_Output!$AC$1:$AC$400,_xlfn.TEXTJOIN(",",TRUE,B152:E152),SF_Output!$Q$1:$Q$400,"monthly"))*H152,AND(B152&lt;&gt;"",H152=SF_Output!$Y$2,SUMIFS(SF_Output!$T$1:$T$400,SF_Output!$AC$1:$AC$400,_xlfn.TEXTJOIN(",",TRUE,B152:E152),SF_Output!$Q$1:$Q$400,"monthly")&lt;&gt;0),SUMIFS(SF_Output!$S$1:$S$400,SF_Output!$AC$1:$AC$400,_xlfn.TEXTJOIN(",",TRUE,B152:E152),SF_Output!$Q$1:$Q$400,"monthly"),AND(B152&lt;&gt;"",H152&lt;&gt;SF_Output!$Y$2),SUMIFS(SF_Output!$S$1:$S$400,SF_Output!$AC$1:$AC$400,_xlfn.TEXTJOIN(",",TRUE,B152:E152),SF_Output!$Q$1:$Q$400,"monthly"))</f>
        <v>2000</v>
      </c>
      <c r="W152" s="112" cm="1">
        <f t="array" ref="W152">_xlfn.IFS(OR(B152=0,B152="",V152=0),"",AF152&lt;&gt;"exclusion",MAX($W$9,$W$7,(-(SUMIFS(SF_Output!$T$1:$T$400,SF_Output!$AC$1:$AC$400,_xlfn.TEXTJOIN(",",TRUE,$B152:$E152),SF_Output!$Q$1:$Q$400,"monthly"))/V152)),AF152="exclusion",-(SUMIFS(SF_Output!$T$1:$T$400,SF_Output!$AC$1:$AC$400,_xlfn.TEXTJOIN(",",TRUE,$B152:$E152),SF_Output!$Q$1:$Q$400,"monthly"))/V152)</f>
        <v>0</v>
      </c>
      <c r="X152" s="6" cm="1">
        <f t="array" ref="X152">IFERROR(_xlfn.IFS(V152=0,0,V152="","",W152=0,V152,OR(V152&lt;&gt;0,V152&lt;&gt;""),H152*I152),V152*(1-W152))</f>
        <v>2000</v>
      </c>
      <c r="Z152" s="6">
        <f>IFERROR(IF(B152="","",SUMIFS(Billing_Fallout!H:H,Billing_Fallout!N:N,B152)),0)</f>
        <v>0</v>
      </c>
      <c r="AA152" s="6">
        <f t="shared" si="38"/>
        <v>0</v>
      </c>
      <c r="AB152" s="6">
        <f>IFERROR(IF(B152="","",SUMIFS(Billing_Fallout!J:J,Billing_Fallout!N:N,B152)),0)</f>
        <v>0</v>
      </c>
      <c r="AD152" s="6">
        <f t="shared" si="39"/>
        <v>2000</v>
      </c>
      <c r="AF152" t="str">
        <f>IFERROR(INDEX(H_Tables!$B$1:$B$1500,MATCH(INDEX(SF_Output!$J$1:$J$400,MATCH(B152,SF_Output!$M$1:$M$400,0)),H_Tables!$A$1:$A$1500,0)),"")</f>
        <v>Exclusion</v>
      </c>
      <c r="AI152" s="119" t="str">
        <f t="shared" si="40"/>
        <v/>
      </c>
      <c r="AJ152" s="121">
        <f>IFERROR(INDEX(SF_Output!AD:AD,MATCH(_xlfn.TEXTJOIN(",",TRUE,B152:E152),SF_Output!AC1:AC400,0)),0.05)</f>
        <v>118</v>
      </c>
      <c r="AK152" t="str">
        <f>IF(SUMIFS(SF_Output!$F$1:$F$400,SF_Output!$AC$1:$AC$400,_xlfn.TEXTJOIN(",",TRUE,B152:E152))+SUMIFS(SF_Output!$G$1:$G$400,SF_Output!$AC$1:$AC$400,_xlfn.TEXTJOIN(",",TRUE,B152:E152))=0,"","PAP")</f>
        <v/>
      </c>
      <c r="AQ152" s="35"/>
      <c r="AR152" s="35" t="str" cm="1">
        <f t="array" ref="AR152">IFERROR(_xlfn.IFS(AND(E152*1=1,F152="Included"),"Change to Included",AND(E152*1=0,F152="Optional"),"Change to Optional",OR(B152="",F152="replaced"),""),"")</f>
        <v/>
      </c>
      <c r="AS152" s="35" t="str">
        <f t="shared" si="41"/>
        <v/>
      </c>
      <c r="AT152" s="35" t="str">
        <f t="shared" si="42"/>
        <v/>
      </c>
      <c r="AU152" s="35" t="str">
        <f t="shared" si="43"/>
        <v/>
      </c>
      <c r="AV152" s="35" t="str">
        <f t="shared" si="44"/>
        <v/>
      </c>
      <c r="AW152" s="35" t="str">
        <f t="shared" si="45"/>
        <v/>
      </c>
      <c r="AX152" s="35" t="str">
        <f t="shared" si="46"/>
        <v/>
      </c>
      <c r="AY152" s="35" t="str">
        <f t="shared" si="47"/>
        <v/>
      </c>
      <c r="AZ152" s="35" t="str">
        <f t="shared" si="48"/>
        <v/>
      </c>
      <c r="BA152" s="35" t="str">
        <f t="shared" si="49"/>
        <v/>
      </c>
      <c r="BB152" s="35" t="str">
        <f t="shared" si="50"/>
        <v/>
      </c>
      <c r="BC152" s="35"/>
      <c r="BE152" s="35">
        <f ca="1">INDEX(SF_Output!$AA$2:$AA$400,MATCH($B152,SF_Output!$M$2:$M$400,0))</f>
        <v>7</v>
      </c>
      <c r="BF152" s="35" t="str">
        <f ca="1">INDEX(SF_Output!$AB$2:$AB$400,MATCH($B152,SF_Output!$M$2:$M$400,0))</f>
        <v/>
      </c>
    </row>
    <row r="153" spans="2:58" x14ac:dyDescent="0.25">
      <c r="B153" t="s">
        <v>1762</v>
      </c>
      <c r="C153" t="s">
        <v>2122</v>
      </c>
      <c r="D153" t="s">
        <v>2123</v>
      </c>
      <c r="E153" t="s">
        <v>2124</v>
      </c>
      <c r="F153" s="116" t="str">
        <f t="shared" si="34"/>
        <v>Included</v>
      </c>
      <c r="G153" t="str">
        <f>IF(B153="","",INDEX(SF_Output!$K$1:$K$400,MATCH(B153,SF_Output!$M$1:$M$400,0)))</f>
        <v>Fraud</v>
      </c>
      <c r="H153" cm="1">
        <f t="array" ref="H153">_xlfn.IFS(B153="","",(SUMIFS(SF_Output!$F$1:$F$400,SF_Output!$AC$1:$AC$400,_xlfn.TEXTJOIN(",",TRUE,B153:E153))+SUMIFS(SF_Output!$G$1:$G$400,SF_Output!$AC$1:$AC$400,_xlfn.TEXTJOIN(",",TRUE,B153:E153)))&lt;&gt;0,SF_Output!$Y$2,INDEX(SF_Output!$F$1:$F$400,MATCH(_xlfn.TEXTJOIN(",",TRUE,B153:E153),SF_Output!$AC$1:$AC$400,0))=0,INDEX(SF_Output!$R$1:$R$400,MATCH(_xlfn.TEXTJOIN(",",TRUE,B153:E153),SF_Output!$AC$1:$AC$400,0)))</f>
        <v>1</v>
      </c>
      <c r="I153" s="125" t="str">
        <f>IFERROR(IF(AND(H153&gt;1,H153&lt;&gt;""),ROUND(SUMIFS(SF_Output!$S$1:$S$400,SF_Output!$AC$1:$AC$400,_xlfn.TEXTJOIN(",",TRUE,B153:E153),SF_Output!$Q$1:$Q$400,"monthly")*(1-W153)/H153,4),""),"")</f>
        <v/>
      </c>
      <c r="J153" s="6">
        <f>IF(B153="","",SUMIFS(SF_Output!$S$1:$S$400,SF_Output!$AC$1:$AC$400,_xlfn.TEXTJOIN(",",TRUE,B153:E153),SF_Output!$Q$1:$Q$400,"One Time",SF_Output!$L$1:$L$400,"license fee")+SUMIFS(SF_Output!$S$1:$S$400,SF_Output!$AC$1:$AC$400,_xlfn.TEXTJOIN(",",TRUE,B153:E153),SF_Output!$Q$1:$Q$400,"One Time",SF_Output!$L$1:$L$400,"software license")+SUMIFS(SF_Output!$S$1:$S$400,SF_Output!$AC$1:$AC$400,_xlfn.TEXTJOIN(",",TRUE,B153:E153),SF_Output!$Q$1:$Q$400,"One Time",SF_Output!$L$1:$L$400,"hardware"))</f>
        <v>0</v>
      </c>
      <c r="K153" s="112" t="str">
        <f>IF(OR(B153=0,B153="",G153="hardware",J153=0),"",IF(AF153&lt;&gt;"exclusion",MAX(K$9,-((SUMIFS(SF_Output!$T$1:$T$400,SF_Output!$AC$1:$AC$400,_xlfn.TEXTJOIN(",",TRUE,$B153:$E153),SF_Output!$Q$1:$Q$400,"One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license"))/J153)))</f>
        <v/>
      </c>
      <c r="L153" s="6">
        <f t="shared" si="35"/>
        <v>0</v>
      </c>
      <c r="N153" s="6">
        <f>IF(B153="","",SUMIFS(SF_Output!$S$1:$S$400,SF_Output!$AC$1:$AC$400,_xlfn.TEXTJOIN(",",TRUE,B153:E153),SF_Output!$Q$1:$Q$400,"One Time",SF_Output!$L$1:$L$400,"professional service"))</f>
        <v>28500</v>
      </c>
      <c r="O153" s="112">
        <f>IF(OR(B153=0,B153="",N153=0),"",IF(AF153&lt;&gt;"exclusion",MAX(O$9,-(SUMIFS(SF_Output!$T$1:$T$400,SF_Output!$AC$1:$AC$400,_xlfn.TEXTJOIN(",",TRUE,$B153:$E153),SF_Output!$Q$1:$Q$400,"One Time",SF_Output!$L$1:$L$400,"professional service"))/N153),-((SUMIFS(SF_Output!$T$1:$T$400,SF_Output!$AC$1:$AC$400,_xlfn.TEXTJOIN(",",TRUE,$B153:$E153),SF_Output!$Q$1:$Q$400,"One Time",SF_Output!$L$1:$L$400,"professional service")/N153))))</f>
        <v>0</v>
      </c>
      <c r="P153" s="6">
        <f t="shared" si="36"/>
        <v>28500</v>
      </c>
      <c r="R153" s="6">
        <f>IF(B153="","",SUMIFS(SF_Output!$S$1:$S$400,SF_Output!$AC$1:$AC$400,_xlfn.TEXTJOIN(",",TRUE,B153:E153),SF_Output!$Q$1:$Q$400,"yearly")+SUMIFS(SF_Output!$S$1:$S$400,SF_Output!$AC$1:$AC$400,_xlfn.TEXTJOIN(",",TRUE,B153:E153),SF_Output!$Q$1:$Q$400,"quarterly")*4)</f>
        <v>0</v>
      </c>
      <c r="S153" s="112" t="str">
        <f>IF(OR(B153=0,B153="",G153="hardware",R153=0),"",IF(AF153&lt;&gt;"exclusion",MAX(S$9,-(SUMIFS(SF_Output!$T$1:$T$400,SF_Output!$AC$1:$AC$400,_xlfn.TEXTJOIN(",",TRUE,$B153:$E153),SF_Output!$Q$1:$Q$400,"yearly"))/R153),-((SUMIFS(SF_Output!$T$1:$T$400,SF_Output!$AC$1:$AC$400,_xlfn.TEXTJOIN(",",TRUE,$B153:$E153),SF_Output!$Q$1:$Q$400,"yearly")/R153))))</f>
        <v/>
      </c>
      <c r="T153" s="6">
        <f t="shared" si="37"/>
        <v>0</v>
      </c>
      <c r="V153" s="6" cm="1">
        <f t="array" ref="V153">_xlfn.IFS(B153="","",AND(B153&lt;&gt;"",H153=SF_Output!$Y$2,SUMIFS(SF_Output!$T$1:$T$400,SF_Output!$AC$1:$AC$400,_xlfn.TEXTJOIN(",",TRUE,B153:E153),SF_Output!$Q$1:$Q$400,"monthly")=0),(SUMIFS(SF_Output!$F$1:$F$400,SF_Output!$AC$1:$AC$400,_xlfn.TEXTJOIN(",",TRUE,B153:E153),SF_Output!$Q$1:$Q$400,"monthly")+SUMIFS(SF_Output!$G$1:$G$400,SF_Output!$AC$1:$AC$400,_xlfn.TEXTJOIN(",",TRUE,B153:E153),SF_Output!$Q$1:$Q$400,"monthly"))*H153,AND(B153&lt;&gt;"",H153=SF_Output!$Y$2,SUMIFS(SF_Output!$T$1:$T$400,SF_Output!$AC$1:$AC$400,_xlfn.TEXTJOIN(",",TRUE,B153:E153),SF_Output!$Q$1:$Q$400,"monthly")&lt;&gt;0),SUMIFS(SF_Output!$S$1:$S$400,SF_Output!$AC$1:$AC$400,_xlfn.TEXTJOIN(",",TRUE,B153:E153),SF_Output!$Q$1:$Q$400,"monthly"),AND(B153&lt;&gt;"",H153&lt;&gt;SF_Output!$Y$2),SUMIFS(SF_Output!$S$1:$S$400,SF_Output!$AC$1:$AC$400,_xlfn.TEXTJOIN(",",TRUE,B153:E153),SF_Output!$Q$1:$Q$400,"monthly"))</f>
        <v>0</v>
      </c>
      <c r="W153" s="112" t="str" cm="1">
        <f t="array" ref="W153">_xlfn.IFS(OR(B153=0,B153="",V153=0),"",AF153&lt;&gt;"exclusion",MAX($W$9,$W$7,(-(SUMIFS(SF_Output!$T$1:$T$400,SF_Output!$AC$1:$AC$400,_xlfn.TEXTJOIN(",",TRUE,$B153:$E153),SF_Output!$Q$1:$Q$400,"monthly"))/V153)),AF153="exclusion",-(SUMIFS(SF_Output!$T$1:$T$400,SF_Output!$AC$1:$AC$400,_xlfn.TEXTJOIN(",",TRUE,$B153:$E153),SF_Output!$Q$1:$Q$400,"monthly"))/V153)</f>
        <v/>
      </c>
      <c r="X153" s="6" cm="1">
        <f t="array" ref="X153">IFERROR(_xlfn.IFS(V153=0,0,V153="","",W153=0,V153,OR(V153&lt;&gt;0,V153&lt;&gt;""),H153*I153),V153*(1-W153))</f>
        <v>0</v>
      </c>
      <c r="Z153" s="6">
        <f>IFERROR(IF(B153="","",SUMIFS(Billing_Fallout!H:H,Billing_Fallout!N:N,B153)),0)</f>
        <v>0</v>
      </c>
      <c r="AA153" s="6">
        <f t="shared" si="38"/>
        <v>0</v>
      </c>
      <c r="AB153" s="6">
        <f>IFERROR(IF(B153="","",SUMIFS(Billing_Fallout!J:J,Billing_Fallout!N:N,B153)),0)</f>
        <v>0</v>
      </c>
      <c r="AD153" s="6">
        <f t="shared" si="39"/>
        <v>0</v>
      </c>
      <c r="AF153" t="str">
        <f>IFERROR(INDEX(H_Tables!$B$1:$B$1500,MATCH(INDEX(SF_Output!$J$1:$J$400,MATCH(B153,SF_Output!$M$1:$M$400,0)),H_Tables!$A$1:$A$1500,0)),"")</f>
        <v>Exclusion</v>
      </c>
      <c r="AI153" s="119" t="str">
        <f t="shared" si="40"/>
        <v/>
      </c>
      <c r="AJ153" s="121">
        <f>IFERROR(INDEX(SF_Output!AD:AD,MATCH(_xlfn.TEXTJOIN(",",TRUE,B153:E153),SF_Output!AC1:AC400,0)),0.05)</f>
        <v>120</v>
      </c>
      <c r="AK153" t="str">
        <f>IF(SUMIFS(SF_Output!$F$1:$F$400,SF_Output!$AC$1:$AC$400,_xlfn.TEXTJOIN(",",TRUE,B153:E153))+SUMIFS(SF_Output!$G$1:$G$400,SF_Output!$AC$1:$AC$400,_xlfn.TEXTJOIN(",",TRUE,B153:E153))=0,"","PAP")</f>
        <v/>
      </c>
      <c r="AQ153" s="35"/>
      <c r="AR153" s="35" t="str" cm="1">
        <f t="array" ref="AR153">IFERROR(_xlfn.IFS(AND(E153*1=1,F153="Included"),"Change to Included",AND(E153*1=0,F153="Optional"),"Change to Optional",OR(B153="",F153="replaced"),""),"")</f>
        <v/>
      </c>
      <c r="AS153" s="35" t="str">
        <f t="shared" si="41"/>
        <v/>
      </c>
      <c r="AT153" s="35" t="str">
        <f t="shared" si="42"/>
        <v/>
      </c>
      <c r="AU153" s="35" t="str">
        <f t="shared" si="43"/>
        <v/>
      </c>
      <c r="AV153" s="35" t="str">
        <f t="shared" si="44"/>
        <v/>
      </c>
      <c r="AW153" s="35" t="str">
        <f t="shared" si="45"/>
        <v/>
      </c>
      <c r="AX153" s="35" t="str">
        <f t="shared" si="46"/>
        <v/>
      </c>
      <c r="AY153" s="35" t="str">
        <f t="shared" si="47"/>
        <v/>
      </c>
      <c r="AZ153" s="35" t="str">
        <f t="shared" si="48"/>
        <v/>
      </c>
      <c r="BA153" s="35" t="str">
        <f t="shared" si="49"/>
        <v/>
      </c>
      <c r="BB153" s="35" t="str">
        <f t="shared" si="50"/>
        <v/>
      </c>
      <c r="BC153" s="35"/>
      <c r="BE153" s="35">
        <f ca="1">INDEX(SF_Output!$AA$2:$AA$400,MATCH($B153,SF_Output!$M$2:$M$400,0))</f>
        <v>7</v>
      </c>
      <c r="BF153" s="35" t="str">
        <f ca="1">INDEX(SF_Output!$AB$2:$AB$400,MATCH($B153,SF_Output!$M$2:$M$400,0))</f>
        <v/>
      </c>
    </row>
    <row r="154" spans="2:58" x14ac:dyDescent="0.25">
      <c r="B154" t="s">
        <v>640</v>
      </c>
      <c r="C154" t="s">
        <v>2122</v>
      </c>
      <c r="D154" t="s">
        <v>2306</v>
      </c>
      <c r="E154" t="s">
        <v>2124</v>
      </c>
      <c r="F154" s="116" t="str">
        <f t="shared" si="34"/>
        <v>Included</v>
      </c>
      <c r="G154" t="str">
        <f>IF(B154="","",INDEX(SF_Output!$K$1:$K$400,MATCH(B154,SF_Output!$M$1:$M$400,0)))</f>
        <v>jhaEnterprise Workflow</v>
      </c>
      <c r="H154" cm="1">
        <f t="array" ref="H154">_xlfn.IFS(B154="","",(SUMIFS(SF_Output!$F$1:$F$400,SF_Output!$AC$1:$AC$400,_xlfn.TEXTJOIN(",",TRUE,B154:E154))+SUMIFS(SF_Output!$G$1:$G$400,SF_Output!$AC$1:$AC$400,_xlfn.TEXTJOIN(",",TRUE,B154:E154)))&lt;&gt;0,SF_Output!$Y$2,INDEX(SF_Output!$F$1:$F$400,MATCH(_xlfn.TEXTJOIN(",",TRUE,B154:E154),SF_Output!$AC$1:$AC$400,0))=0,INDEX(SF_Output!$R$1:$R$400,MATCH(_xlfn.TEXTJOIN(",",TRUE,B154:E154),SF_Output!$AC$1:$AC$400,0)))</f>
        <v>5000</v>
      </c>
      <c r="I154" s="125">
        <f>IFERROR(IF(AND(H154&gt;1,H154&lt;&gt;""),ROUND(SUMIFS(SF_Output!$S$1:$S$400,SF_Output!$AC$1:$AC$400,_xlfn.TEXTJOIN(",",TRUE,B154:E154),SF_Output!$Q$1:$Q$400,"monthly")*(1-W154)/H154,4),""),"")</f>
        <v>0.1605</v>
      </c>
      <c r="J154" s="6">
        <f>IF(B154="","",SUMIFS(SF_Output!$S$1:$S$400,SF_Output!$AC$1:$AC$400,_xlfn.TEXTJOIN(",",TRUE,B154:E154),SF_Output!$Q$1:$Q$400,"One Time",SF_Output!$L$1:$L$400,"license fee")+SUMIFS(SF_Output!$S$1:$S$400,SF_Output!$AC$1:$AC$400,_xlfn.TEXTJOIN(",",TRUE,B154:E154),SF_Output!$Q$1:$Q$400,"One Time",SF_Output!$L$1:$L$400,"software license")+SUMIFS(SF_Output!$S$1:$S$400,SF_Output!$AC$1:$AC$400,_xlfn.TEXTJOIN(",",TRUE,B154:E154),SF_Output!$Q$1:$Q$400,"One Time",SF_Output!$L$1:$L$400,"hardware"))</f>
        <v>0</v>
      </c>
      <c r="K154" s="112" t="str">
        <f>IF(OR(B154=0,B154="",G154="hardware",J154=0),"",IF(AF154&lt;&gt;"exclusion",MAX(K$9,-((SUMIFS(SF_Output!$T$1:$T$400,SF_Output!$AC$1:$AC$400,_xlfn.TEXTJOIN(",",TRUE,$B154:$E154),SF_Output!$Q$1:$Q$400,"One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license"))/J154)))</f>
        <v/>
      </c>
      <c r="L154" s="6">
        <f t="shared" si="35"/>
        <v>0</v>
      </c>
      <c r="N154" s="6">
        <f>IF(B154="","",SUMIFS(SF_Output!$S$1:$S$400,SF_Output!$AC$1:$AC$400,_xlfn.TEXTJOIN(",",TRUE,B154:E154),SF_Output!$Q$1:$Q$400,"One Time",SF_Output!$L$1:$L$400,"professional service"))</f>
        <v>10000</v>
      </c>
      <c r="O154" s="112">
        <f>IF(OR(B154=0,B154="",N154=0),"",IF(AF154&lt;&gt;"exclusion",MAX(O$9,-(SUMIFS(SF_Output!$T$1:$T$400,SF_Output!$AC$1:$AC$400,_xlfn.TEXTJOIN(",",TRUE,$B154:$E154),SF_Output!$Q$1:$Q$400,"One Time",SF_Output!$L$1:$L$400,"professional service"))/N154),-((SUMIFS(SF_Output!$T$1:$T$400,SF_Output!$AC$1:$AC$400,_xlfn.TEXTJOIN(",",TRUE,$B154:$E154),SF_Output!$Q$1:$Q$400,"One Time",SF_Output!$L$1:$L$400,"professional service")/N154))))</f>
        <v>1</v>
      </c>
      <c r="P154" s="6">
        <f t="shared" si="36"/>
        <v>0</v>
      </c>
      <c r="R154" s="6">
        <f>IF(B154="","",SUMIFS(SF_Output!$S$1:$S$400,SF_Output!$AC$1:$AC$400,_xlfn.TEXTJOIN(",",TRUE,B154:E154),SF_Output!$Q$1:$Q$400,"yearly")+SUMIFS(SF_Output!$S$1:$S$400,SF_Output!$AC$1:$AC$400,_xlfn.TEXTJOIN(",",TRUE,B154:E154),SF_Output!$Q$1:$Q$400,"quarterly")*4)</f>
        <v>0</v>
      </c>
      <c r="S154" s="112" t="str">
        <f>IF(OR(B154=0,B154="",G154="hardware",R154=0),"",IF(AF154&lt;&gt;"exclusion",MAX(S$9,-(SUMIFS(SF_Output!$T$1:$T$400,SF_Output!$AC$1:$AC$400,_xlfn.TEXTJOIN(",",TRUE,$B154:$E154),SF_Output!$Q$1:$Q$400,"yearly"))/R154),-((SUMIFS(SF_Output!$T$1:$T$400,SF_Output!$AC$1:$AC$400,_xlfn.TEXTJOIN(",",TRUE,$B154:$E154),SF_Output!$Q$1:$Q$400,"yearly")/R154))))</f>
        <v/>
      </c>
      <c r="T154" s="6">
        <f t="shared" si="37"/>
        <v>0</v>
      </c>
      <c r="V154" s="6" cm="1">
        <f t="array" ref="V154">_xlfn.IFS(B154="","",AND(B154&lt;&gt;"",H154=SF_Output!$Y$2,SUMIFS(SF_Output!$T$1:$T$400,SF_Output!$AC$1:$AC$400,_xlfn.TEXTJOIN(",",TRUE,B154:E154),SF_Output!$Q$1:$Q$400,"monthly")=0),(SUMIFS(SF_Output!$F$1:$F$400,SF_Output!$AC$1:$AC$400,_xlfn.TEXTJOIN(",",TRUE,B154:E154),SF_Output!$Q$1:$Q$400,"monthly")+SUMIFS(SF_Output!$G$1:$G$400,SF_Output!$AC$1:$AC$400,_xlfn.TEXTJOIN(",",TRUE,B154:E154),SF_Output!$Q$1:$Q$400,"monthly"))*H154,AND(B154&lt;&gt;"",H154=SF_Output!$Y$2,SUMIFS(SF_Output!$T$1:$T$400,SF_Output!$AC$1:$AC$400,_xlfn.TEXTJOIN(",",TRUE,B154:E154),SF_Output!$Q$1:$Q$400,"monthly")&lt;&gt;0),SUMIFS(SF_Output!$S$1:$S$400,SF_Output!$AC$1:$AC$400,_xlfn.TEXTJOIN(",",TRUE,B154:E154),SF_Output!$Q$1:$Q$400,"monthly"),AND(B154&lt;&gt;"",H154&lt;&gt;SF_Output!$Y$2),SUMIFS(SF_Output!$S$1:$S$400,SF_Output!$AC$1:$AC$400,_xlfn.TEXTJOIN(",",TRUE,B154:E154),SF_Output!$Q$1:$Q$400,"monthly"))</f>
        <v>1070</v>
      </c>
      <c r="W154" s="112" cm="1">
        <f t="array" ref="W154">_xlfn.IFS(OR(B154=0,B154="",V154=0),"",AF154&lt;&gt;"exclusion",MAX($W$9,$W$7,(-(SUMIFS(SF_Output!$T$1:$T$400,SF_Output!$AC$1:$AC$400,_xlfn.TEXTJOIN(",",TRUE,$B154:$E154),SF_Output!$Q$1:$Q$400,"monthly"))/V154)),AF154="exclusion",-(SUMIFS(SF_Output!$T$1:$T$400,SF_Output!$AC$1:$AC$400,_xlfn.TEXTJOIN(",",TRUE,$B154:$E154),SF_Output!$Q$1:$Q$400,"monthly"))/V154)</f>
        <v>0.25</v>
      </c>
      <c r="X154" s="6" cm="1">
        <f t="array" ref="X154">IFERROR(_xlfn.IFS(V154=0,0,V154="","",W154=0,V154,OR(V154&lt;&gt;0,V154&lt;&gt;""),H154*I154),V154*(1-W154))</f>
        <v>802.5</v>
      </c>
      <c r="Z154" s="6">
        <f>IFERROR(IF(B154="","",SUMIFS(Billing_Fallout!H:H,Billing_Fallout!N:N,B154)),0)</f>
        <v>0</v>
      </c>
      <c r="AA154" s="6">
        <f t="shared" si="38"/>
        <v>0</v>
      </c>
      <c r="AB154" s="6">
        <f>IFERROR(IF(B154="","",SUMIFS(Billing_Fallout!J:J,Billing_Fallout!N:N,B154)),0)</f>
        <v>0</v>
      </c>
      <c r="AD154" s="6">
        <f t="shared" si="39"/>
        <v>802.5</v>
      </c>
      <c r="AF154" t="str">
        <f>IFERROR(INDEX(H_Tables!$B$1:$B$1500,MATCH(INDEX(SF_Output!$J$1:$J$400,MATCH(B154,SF_Output!$M$1:$M$400,0)),H_Tables!$A$1:$A$1500,0)),"")</f>
        <v/>
      </c>
      <c r="AI154" s="119" t="str">
        <f t="shared" si="40"/>
        <v/>
      </c>
      <c r="AJ154" s="121">
        <f>IFERROR(INDEX(SF_Output!AD:AD,MATCH(_xlfn.TEXTJOIN(",",TRUE,B154:E154),SF_Output!AC1:AC400,0)),0.05)</f>
        <v>133</v>
      </c>
      <c r="AK154" t="str">
        <f>IF(SUMIFS(SF_Output!$F$1:$F$400,SF_Output!$AC$1:$AC$400,_xlfn.TEXTJOIN(",",TRUE,B154:E154))+SUMIFS(SF_Output!$G$1:$G$400,SF_Output!$AC$1:$AC$400,_xlfn.TEXTJOIN(",",TRUE,B154:E154))=0,"","PAP")</f>
        <v>PAP</v>
      </c>
      <c r="AQ154" s="35"/>
      <c r="AR154" s="35" t="str" cm="1">
        <f t="array" ref="AR154">IFERROR(_xlfn.IFS(AND(E154*1=1,F154="Included"),"Change to Included",AND(E154*1=0,F154="Optional"),"Change to Optional",OR(B154="",F154="replaced"),""),"")</f>
        <v/>
      </c>
      <c r="AS154" s="35" t="str">
        <f t="shared" si="41"/>
        <v/>
      </c>
      <c r="AT154" s="35" t="str">
        <f t="shared" si="42"/>
        <v/>
      </c>
      <c r="AU154" s="35" t="str">
        <f t="shared" si="43"/>
        <v/>
      </c>
      <c r="AV154" s="35" t="str">
        <f t="shared" si="44"/>
        <v/>
      </c>
      <c r="AW154" s="35" t="str">
        <f t="shared" si="45"/>
        <v/>
      </c>
      <c r="AX154" s="35" t="str">
        <f t="shared" si="46"/>
        <v/>
      </c>
      <c r="AY154" s="35" t="str">
        <f t="shared" si="47"/>
        <v/>
      </c>
      <c r="AZ154" s="35" t="str">
        <f t="shared" si="48"/>
        <v/>
      </c>
      <c r="BA154" s="35" t="str">
        <f t="shared" si="49"/>
        <v/>
      </c>
      <c r="BB154" s="35" t="str">
        <f t="shared" si="50"/>
        <v/>
      </c>
      <c r="BC154" s="35"/>
      <c r="BE154" s="35">
        <f ca="1">INDEX(SF_Output!$AA$2:$AA$400,MATCH($B154,SF_Output!$M$2:$M$400,0))</f>
        <v>7</v>
      </c>
      <c r="BF154" s="35">
        <f ca="1">INDEX(SF_Output!$AB$2:$AB$400,MATCH($B154,SF_Output!$M$2:$M$400,0))</f>
        <v>2</v>
      </c>
    </row>
    <row r="155" spans="2:58" x14ac:dyDescent="0.25">
      <c r="B155" t="s">
        <v>2310</v>
      </c>
      <c r="C155" t="s">
        <v>2122</v>
      </c>
      <c r="D155" t="s">
        <v>2306</v>
      </c>
      <c r="E155" t="s">
        <v>2124</v>
      </c>
      <c r="F155" s="116" t="str">
        <f t="shared" si="34"/>
        <v>Included</v>
      </c>
      <c r="G155" t="str">
        <f>IF(B155="","",INDEX(SF_Output!$K$1:$K$400,MATCH(B155,SF_Output!$M$1:$M$400,0)))</f>
        <v>jhaEnterprise Workflow</v>
      </c>
      <c r="H155" cm="1">
        <f t="array" ref="H155">_xlfn.IFS(B155="","",(SUMIFS(SF_Output!$F$1:$F$400,SF_Output!$AC$1:$AC$400,_xlfn.TEXTJOIN(",",TRUE,B155:E155))+SUMIFS(SF_Output!$G$1:$G$400,SF_Output!$AC$1:$AC$400,_xlfn.TEXTJOIN(",",TRUE,B155:E155)))&lt;&gt;0,SF_Output!$Y$2,INDEX(SF_Output!$F$1:$F$400,MATCH(_xlfn.TEXTJOIN(",",TRUE,B155:E155),SF_Output!$AC$1:$AC$400,0))=0,INDEX(SF_Output!$R$1:$R$400,MATCH(_xlfn.TEXTJOIN(",",TRUE,B155:E155),SF_Output!$AC$1:$AC$400,0)))</f>
        <v>5000</v>
      </c>
      <c r="I155" s="125">
        <f>IFERROR(IF(AND(H155&gt;1,H155&lt;&gt;""),ROUND(SUMIFS(SF_Output!$S$1:$S$400,SF_Output!$AC$1:$AC$400,_xlfn.TEXTJOIN(",",TRUE,B155:E155),SF_Output!$Q$1:$Q$400,"monthly")*(1-W155)/H155,4),""),"")</f>
        <v>0.1605</v>
      </c>
      <c r="J155" s="6">
        <f>IF(B155="","",SUMIFS(SF_Output!$S$1:$S$400,SF_Output!$AC$1:$AC$400,_xlfn.TEXTJOIN(",",TRUE,B155:E155),SF_Output!$Q$1:$Q$400,"One Time",SF_Output!$L$1:$L$400,"license fee")+SUMIFS(SF_Output!$S$1:$S$400,SF_Output!$AC$1:$AC$400,_xlfn.TEXTJOIN(",",TRUE,B155:E155),SF_Output!$Q$1:$Q$400,"One Time",SF_Output!$L$1:$L$400,"software license")+SUMIFS(SF_Output!$S$1:$S$400,SF_Output!$AC$1:$AC$400,_xlfn.TEXTJOIN(",",TRUE,B155:E155),SF_Output!$Q$1:$Q$400,"One Time",SF_Output!$L$1:$L$400,"hardware"))</f>
        <v>0</v>
      </c>
      <c r="K155" s="112" t="str">
        <f>IF(OR(B155=0,B155="",G155="hardware",J155=0),"",IF(AF155&lt;&gt;"exclusion",MAX(K$9,-((SUMIFS(SF_Output!$T$1:$T$400,SF_Output!$AC$1:$AC$400,_xlfn.TEXTJOIN(",",TRUE,$B155:$E155),SF_Output!$Q$1:$Q$400,"One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license"))/J155)))</f>
        <v/>
      </c>
      <c r="L155" s="6">
        <f t="shared" si="35"/>
        <v>0</v>
      </c>
      <c r="N155" s="6">
        <f>IF(B155="","",SUMIFS(SF_Output!$S$1:$S$400,SF_Output!$AC$1:$AC$400,_xlfn.TEXTJOIN(",",TRUE,B155:E155),SF_Output!$Q$1:$Q$400,"One Time",SF_Output!$L$1:$L$400,"professional service"))</f>
        <v>10000</v>
      </c>
      <c r="O155" s="112">
        <f>IF(OR(B155=0,B155="",N155=0),"",IF(AF155&lt;&gt;"exclusion",MAX(O$9,-(SUMIFS(SF_Output!$T$1:$T$400,SF_Output!$AC$1:$AC$400,_xlfn.TEXTJOIN(",",TRUE,$B155:$E155),SF_Output!$Q$1:$Q$400,"One Time",SF_Output!$L$1:$L$400,"professional service"))/N155),-((SUMIFS(SF_Output!$T$1:$T$400,SF_Output!$AC$1:$AC$400,_xlfn.TEXTJOIN(",",TRUE,$B155:$E155),SF_Output!$Q$1:$Q$400,"One Time",SF_Output!$L$1:$L$400,"professional service")/N155))))</f>
        <v>1</v>
      </c>
      <c r="P155" s="6">
        <f t="shared" si="36"/>
        <v>0</v>
      </c>
      <c r="R155" s="6">
        <f>IF(B155="","",SUMIFS(SF_Output!$S$1:$S$400,SF_Output!$AC$1:$AC$400,_xlfn.TEXTJOIN(",",TRUE,B155:E155),SF_Output!$Q$1:$Q$400,"yearly")+SUMIFS(SF_Output!$S$1:$S$400,SF_Output!$AC$1:$AC$400,_xlfn.TEXTJOIN(",",TRUE,B155:E155),SF_Output!$Q$1:$Q$400,"quarterly")*4)</f>
        <v>0</v>
      </c>
      <c r="S155" s="112" t="str">
        <f>IF(OR(B155=0,B155="",G155="hardware",R155=0),"",IF(AF155&lt;&gt;"exclusion",MAX(S$9,-(SUMIFS(SF_Output!$T$1:$T$400,SF_Output!$AC$1:$AC$400,_xlfn.TEXTJOIN(",",TRUE,$B155:$E155),SF_Output!$Q$1:$Q$400,"yearly"))/R155),-((SUMIFS(SF_Output!$T$1:$T$400,SF_Output!$AC$1:$AC$400,_xlfn.TEXTJOIN(",",TRUE,$B155:$E155),SF_Output!$Q$1:$Q$400,"yearly")/R155))))</f>
        <v/>
      </c>
      <c r="T155" s="6">
        <f t="shared" si="37"/>
        <v>0</v>
      </c>
      <c r="V155" s="6" cm="1">
        <f t="array" ref="V155">_xlfn.IFS(B155="","",AND(B155&lt;&gt;"",H155=SF_Output!$Y$2,SUMIFS(SF_Output!$T$1:$T$400,SF_Output!$AC$1:$AC$400,_xlfn.TEXTJOIN(",",TRUE,B155:E155),SF_Output!$Q$1:$Q$400,"monthly")=0),(SUMIFS(SF_Output!$F$1:$F$400,SF_Output!$AC$1:$AC$400,_xlfn.TEXTJOIN(",",TRUE,B155:E155),SF_Output!$Q$1:$Q$400,"monthly")+SUMIFS(SF_Output!$G$1:$G$400,SF_Output!$AC$1:$AC$400,_xlfn.TEXTJOIN(",",TRUE,B155:E155),SF_Output!$Q$1:$Q$400,"monthly"))*H155,AND(B155&lt;&gt;"",H155=SF_Output!$Y$2,SUMIFS(SF_Output!$T$1:$T$400,SF_Output!$AC$1:$AC$400,_xlfn.TEXTJOIN(",",TRUE,B155:E155),SF_Output!$Q$1:$Q$400,"monthly")&lt;&gt;0),SUMIFS(SF_Output!$S$1:$S$400,SF_Output!$AC$1:$AC$400,_xlfn.TEXTJOIN(",",TRUE,B155:E155),SF_Output!$Q$1:$Q$400,"monthly"),AND(B155&lt;&gt;"",H155&lt;&gt;SF_Output!$Y$2),SUMIFS(SF_Output!$S$1:$S$400,SF_Output!$AC$1:$AC$400,_xlfn.TEXTJOIN(",",TRUE,B155:E155),SF_Output!$Q$1:$Q$400,"monthly"))</f>
        <v>1070</v>
      </c>
      <c r="W155" s="112" cm="1">
        <f t="array" ref="W155">_xlfn.IFS(OR(B155=0,B155="",V155=0),"",AF155&lt;&gt;"exclusion",MAX($W$9,$W$7,(-(SUMIFS(SF_Output!$T$1:$T$400,SF_Output!$AC$1:$AC$400,_xlfn.TEXTJOIN(",",TRUE,$B155:$E155),SF_Output!$Q$1:$Q$400,"monthly"))/V155)),AF155="exclusion",-(SUMIFS(SF_Output!$T$1:$T$400,SF_Output!$AC$1:$AC$400,_xlfn.TEXTJOIN(",",TRUE,$B155:$E155),SF_Output!$Q$1:$Q$400,"monthly"))/V155)</f>
        <v>0.25</v>
      </c>
      <c r="X155" s="6" cm="1">
        <f t="array" ref="X155">IFERROR(_xlfn.IFS(V155=0,0,V155="","",W155=0,V155,OR(V155&lt;&gt;0,V155&lt;&gt;""),H155*I155),V155*(1-W155))</f>
        <v>802.5</v>
      </c>
      <c r="Z155" s="6">
        <f>IFERROR(IF(B155="","",SUMIFS(Billing_Fallout!H:H,Billing_Fallout!N:N,B155)),0)</f>
        <v>0</v>
      </c>
      <c r="AA155" s="6">
        <f t="shared" si="38"/>
        <v>0</v>
      </c>
      <c r="AB155" s="6">
        <f>IFERROR(IF(B155="","",SUMIFS(Billing_Fallout!J:J,Billing_Fallout!N:N,B155)),0)</f>
        <v>0</v>
      </c>
      <c r="AD155" s="6">
        <f t="shared" si="39"/>
        <v>802.5</v>
      </c>
      <c r="AF155" t="str">
        <f>IFERROR(INDEX(H_Tables!$B$1:$B$1500,MATCH(INDEX(SF_Output!$J$1:$J$400,MATCH(B155,SF_Output!$M$1:$M$400,0)),H_Tables!$A$1:$A$1500,0)),"")</f>
        <v/>
      </c>
      <c r="AI155" s="119" t="str">
        <f t="shared" si="40"/>
        <v/>
      </c>
      <c r="AJ155" s="121">
        <f>IFERROR(INDEX(SF_Output!AD:AD,MATCH(_xlfn.TEXTJOIN(",",TRUE,B155:E155),SF_Output!AC1:AC400,0)),0.05)</f>
        <v>135</v>
      </c>
      <c r="AK155" t="str">
        <f>IF(SUMIFS(SF_Output!$F$1:$F$400,SF_Output!$AC$1:$AC$400,_xlfn.TEXTJOIN(",",TRUE,B155:E155))+SUMIFS(SF_Output!$G$1:$G$400,SF_Output!$AC$1:$AC$400,_xlfn.TEXTJOIN(",",TRUE,B155:E155))=0,"","PAP")</f>
        <v>PAP</v>
      </c>
      <c r="AQ155" s="35"/>
      <c r="AR155" s="35" t="str" cm="1">
        <f t="array" ref="AR155">IFERROR(_xlfn.IFS(AND(E155*1=1,F155="Included"),"Change to Included",AND(E155*1=0,F155="Optional"),"Change to Optional",OR(B155="",F155="replaced"),""),"")</f>
        <v/>
      </c>
      <c r="AS155" s="35" t="str">
        <f t="shared" si="41"/>
        <v/>
      </c>
      <c r="AT155" s="35" t="str">
        <f t="shared" si="42"/>
        <v/>
      </c>
      <c r="AU155" s="35" t="str">
        <f t="shared" si="43"/>
        <v/>
      </c>
      <c r="AV155" s="35" t="str">
        <f t="shared" si="44"/>
        <v/>
      </c>
      <c r="AW155" s="35" t="str">
        <f t="shared" si="45"/>
        <v/>
      </c>
      <c r="AX155" s="35" t="str">
        <f t="shared" si="46"/>
        <v/>
      </c>
      <c r="AY155" s="35" t="str">
        <f t="shared" si="47"/>
        <v/>
      </c>
      <c r="AZ155" s="35" t="str">
        <f t="shared" si="48"/>
        <v/>
      </c>
      <c r="BA155" s="35" t="str">
        <f t="shared" si="49"/>
        <v/>
      </c>
      <c r="BB155" s="35" t="str">
        <f t="shared" si="50"/>
        <v/>
      </c>
      <c r="BC155" s="35"/>
      <c r="BE155" s="35">
        <f ca="1">INDEX(SF_Output!$AA$2:$AA$400,MATCH($B155,SF_Output!$M$2:$M$400,0))</f>
        <v>7</v>
      </c>
      <c r="BF155" s="35">
        <f ca="1">INDEX(SF_Output!$AB$2:$AB$400,MATCH($B155,SF_Output!$M$2:$M$400,0))</f>
        <v>2</v>
      </c>
    </row>
    <row r="156" spans="2:58" x14ac:dyDescent="0.25">
      <c r="B156" t="s">
        <v>1073</v>
      </c>
      <c r="C156" t="s">
        <v>2122</v>
      </c>
      <c r="D156" t="s">
        <v>2306</v>
      </c>
      <c r="E156" t="s">
        <v>2124</v>
      </c>
      <c r="F156" s="116" t="str">
        <f t="shared" si="34"/>
        <v>Included</v>
      </c>
      <c r="G156" t="str">
        <f>IF(B156="","",INDEX(SF_Output!$K$1:$K$400,MATCH(B156,SF_Output!$M$1:$M$400,0)))</f>
        <v>jhaEnterprise Workflow</v>
      </c>
      <c r="H156" cm="1">
        <f t="array" ref="H156">_xlfn.IFS(B156="","",(SUMIFS(SF_Output!$F$1:$F$400,SF_Output!$AC$1:$AC$400,_xlfn.TEXTJOIN(",",TRUE,B156:E156))+SUMIFS(SF_Output!$G$1:$G$400,SF_Output!$AC$1:$AC$400,_xlfn.TEXTJOIN(",",TRUE,B156:E156)))&lt;&gt;0,SF_Output!$Y$2,INDEX(SF_Output!$F$1:$F$400,MATCH(_xlfn.TEXTJOIN(",",TRUE,B156:E156),SF_Output!$AC$1:$AC$400,0))=0,INDEX(SF_Output!$R$1:$R$400,MATCH(_xlfn.TEXTJOIN(",",TRUE,B156:E156),SF_Output!$AC$1:$AC$400,0)))</f>
        <v>1</v>
      </c>
      <c r="I156" s="125" t="str">
        <f>IFERROR(IF(AND(H156&gt;1,H156&lt;&gt;""),ROUND(SUMIFS(SF_Output!$S$1:$S$400,SF_Output!$AC$1:$AC$400,_xlfn.TEXTJOIN(",",TRUE,B156:E156),SF_Output!$Q$1:$Q$400,"monthly")*(1-W156)/H156,4),""),"")</f>
        <v/>
      </c>
      <c r="J156" s="6">
        <f>IF(B156="","",SUMIFS(SF_Output!$S$1:$S$400,SF_Output!$AC$1:$AC$400,_xlfn.TEXTJOIN(",",TRUE,B156:E156),SF_Output!$Q$1:$Q$400,"One Time",SF_Output!$L$1:$L$400,"license fee")+SUMIFS(SF_Output!$S$1:$S$400,SF_Output!$AC$1:$AC$400,_xlfn.TEXTJOIN(",",TRUE,B156:E156),SF_Output!$Q$1:$Q$400,"One Time",SF_Output!$L$1:$L$400,"software license")+SUMIFS(SF_Output!$S$1:$S$400,SF_Output!$AC$1:$AC$400,_xlfn.TEXTJOIN(",",TRUE,B156:E156),SF_Output!$Q$1:$Q$400,"One Time",SF_Output!$L$1:$L$400,"hardware"))</f>
        <v>0</v>
      </c>
      <c r="K156" s="112" t="str">
        <f>IF(OR(B156=0,B156="",G156="hardware",J156=0),"",IF(AF156&lt;&gt;"exclusion",MAX(K$9,-((SUMIFS(SF_Output!$T$1:$T$400,SF_Output!$AC$1:$AC$400,_xlfn.TEXTJOIN(",",TRUE,$B156:$E156),SF_Output!$Q$1:$Q$400,"One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license"))/J156)))</f>
        <v/>
      </c>
      <c r="L156" s="6">
        <f t="shared" si="35"/>
        <v>0</v>
      </c>
      <c r="N156" s="6">
        <f>IF(B156="","",SUMIFS(SF_Output!$S$1:$S$400,SF_Output!$AC$1:$AC$400,_xlfn.TEXTJOIN(",",TRUE,B156:E156),SF_Output!$Q$1:$Q$400,"One Time",SF_Output!$L$1:$L$400,"professional service"))</f>
        <v>12500</v>
      </c>
      <c r="O156" s="112">
        <f>IF(OR(B156=0,B156="",N156=0),"",IF(AF156&lt;&gt;"exclusion",MAX(O$9,-(SUMIFS(SF_Output!$T$1:$T$400,SF_Output!$AC$1:$AC$400,_xlfn.TEXTJOIN(",",TRUE,$B156:$E156),SF_Output!$Q$1:$Q$400,"One Time",SF_Output!$L$1:$L$400,"professional service"))/N156),-((SUMIFS(SF_Output!$T$1:$T$400,SF_Output!$AC$1:$AC$400,_xlfn.TEXTJOIN(",",TRUE,$B156:$E156),SF_Output!$Q$1:$Q$400,"One Time",SF_Output!$L$1:$L$400,"professional service")/N156))))</f>
        <v>0</v>
      </c>
      <c r="P156" s="6">
        <f t="shared" si="36"/>
        <v>12500</v>
      </c>
      <c r="R156" s="6">
        <f>IF(B156="","",SUMIFS(SF_Output!$S$1:$S$400,SF_Output!$AC$1:$AC$400,_xlfn.TEXTJOIN(",",TRUE,B156:E156),SF_Output!$Q$1:$Q$400,"yearly")+SUMIFS(SF_Output!$S$1:$S$400,SF_Output!$AC$1:$AC$400,_xlfn.TEXTJOIN(",",TRUE,B156:E156),SF_Output!$Q$1:$Q$400,"quarterly")*4)</f>
        <v>0</v>
      </c>
      <c r="S156" s="112" t="str">
        <f>IF(OR(B156=0,B156="",G156="hardware",R156=0),"",IF(AF156&lt;&gt;"exclusion",MAX(S$9,-(SUMIFS(SF_Output!$T$1:$T$400,SF_Output!$AC$1:$AC$400,_xlfn.TEXTJOIN(",",TRUE,$B156:$E156),SF_Output!$Q$1:$Q$400,"yearly"))/R156),-((SUMIFS(SF_Output!$T$1:$T$400,SF_Output!$AC$1:$AC$400,_xlfn.TEXTJOIN(",",TRUE,$B156:$E156),SF_Output!$Q$1:$Q$400,"yearly")/R156))))</f>
        <v/>
      </c>
      <c r="T156" s="6">
        <f t="shared" si="37"/>
        <v>0</v>
      </c>
      <c r="V156" s="6" cm="1">
        <f t="array" ref="V156">_xlfn.IFS(B156="","",AND(B156&lt;&gt;"",H156=SF_Output!$Y$2,SUMIFS(SF_Output!$T$1:$T$400,SF_Output!$AC$1:$AC$400,_xlfn.TEXTJOIN(",",TRUE,B156:E156),SF_Output!$Q$1:$Q$400,"monthly")=0),(SUMIFS(SF_Output!$F$1:$F$400,SF_Output!$AC$1:$AC$400,_xlfn.TEXTJOIN(",",TRUE,B156:E156),SF_Output!$Q$1:$Q$400,"monthly")+SUMIFS(SF_Output!$G$1:$G$400,SF_Output!$AC$1:$AC$400,_xlfn.TEXTJOIN(",",TRUE,B156:E156),SF_Output!$Q$1:$Q$400,"monthly"))*H156,AND(B156&lt;&gt;"",H156=SF_Output!$Y$2,SUMIFS(SF_Output!$T$1:$T$400,SF_Output!$AC$1:$AC$400,_xlfn.TEXTJOIN(",",TRUE,B156:E156),SF_Output!$Q$1:$Q$400,"monthly")&lt;&gt;0),SUMIFS(SF_Output!$S$1:$S$400,SF_Output!$AC$1:$AC$400,_xlfn.TEXTJOIN(",",TRUE,B156:E156),SF_Output!$Q$1:$Q$400,"monthly"),AND(B156&lt;&gt;"",H156&lt;&gt;SF_Output!$Y$2),SUMIFS(SF_Output!$S$1:$S$400,SF_Output!$AC$1:$AC$400,_xlfn.TEXTJOIN(",",TRUE,B156:E156),SF_Output!$Q$1:$Q$400,"monthly"))</f>
        <v>0</v>
      </c>
      <c r="W156" s="112" t="str" cm="1">
        <f t="array" ref="W156">_xlfn.IFS(OR(B156=0,B156="",V156=0),"",AF156&lt;&gt;"exclusion",MAX($W$9,$W$7,(-(SUMIFS(SF_Output!$T$1:$T$400,SF_Output!$AC$1:$AC$400,_xlfn.TEXTJOIN(",",TRUE,$B156:$E156),SF_Output!$Q$1:$Q$400,"monthly"))/V156)),AF156="exclusion",-(SUMIFS(SF_Output!$T$1:$T$400,SF_Output!$AC$1:$AC$400,_xlfn.TEXTJOIN(",",TRUE,$B156:$E156),SF_Output!$Q$1:$Q$400,"monthly"))/V156)</f>
        <v/>
      </c>
      <c r="X156" s="6" cm="1">
        <f t="array" ref="X156">IFERROR(_xlfn.IFS(V156=0,0,V156="","",W156=0,V156,OR(V156&lt;&gt;0,V156&lt;&gt;""),H156*I156),V156*(1-W156))</f>
        <v>0</v>
      </c>
      <c r="Z156" s="6">
        <f>IFERROR(IF(B156="","",SUMIFS(Billing_Fallout!H:H,Billing_Fallout!N:N,B156)),0)</f>
        <v>0</v>
      </c>
      <c r="AA156" s="6">
        <f t="shared" si="38"/>
        <v>0</v>
      </c>
      <c r="AB156" s="6">
        <f>IFERROR(IF(B156="","",SUMIFS(Billing_Fallout!J:J,Billing_Fallout!N:N,B156)),0)</f>
        <v>0</v>
      </c>
      <c r="AD156" s="6">
        <f t="shared" si="39"/>
        <v>0</v>
      </c>
      <c r="AF156" t="str">
        <f>IFERROR(INDEX(H_Tables!$B$1:$B$1500,MATCH(INDEX(SF_Output!$J$1:$J$400,MATCH(B156,SF_Output!$M$1:$M$400,0)),H_Tables!$A$1:$A$1500,0)),"")</f>
        <v>Exclusion</v>
      </c>
      <c r="AI156" s="119" t="str">
        <f t="shared" si="40"/>
        <v/>
      </c>
      <c r="AJ156" s="121">
        <f>IFERROR(INDEX(SF_Output!AD:AD,MATCH(_xlfn.TEXTJOIN(",",TRUE,B156:E156),SF_Output!AC1:AC400,0)),0.05)</f>
        <v>137</v>
      </c>
      <c r="AK156" t="str">
        <f>IF(SUMIFS(SF_Output!$F$1:$F$400,SF_Output!$AC$1:$AC$400,_xlfn.TEXTJOIN(",",TRUE,B156:E156))+SUMIFS(SF_Output!$G$1:$G$400,SF_Output!$AC$1:$AC$400,_xlfn.TEXTJOIN(",",TRUE,B156:E156))=0,"","PAP")</f>
        <v/>
      </c>
      <c r="AQ156" s="35"/>
      <c r="AR156" s="35" t="str" cm="1">
        <f t="array" ref="AR156">IFERROR(_xlfn.IFS(AND(E156*1=1,F156="Included"),"Change to Included",AND(E156*1=0,F156="Optional"),"Change to Optional",OR(B156="",F156="replaced"),""),"")</f>
        <v/>
      </c>
      <c r="AS156" s="35" t="str">
        <f t="shared" si="41"/>
        <v/>
      </c>
      <c r="AT156" s="35" t="str">
        <f t="shared" si="42"/>
        <v/>
      </c>
      <c r="AU156" s="35" t="str">
        <f t="shared" si="43"/>
        <v/>
      </c>
      <c r="AV156" s="35" t="str">
        <f t="shared" si="44"/>
        <v/>
      </c>
      <c r="AW156" s="35" t="str">
        <f t="shared" si="45"/>
        <v/>
      </c>
      <c r="AX156" s="35" t="str">
        <f t="shared" si="46"/>
        <v/>
      </c>
      <c r="AY156" s="35" t="str">
        <f t="shared" si="47"/>
        <v/>
      </c>
      <c r="AZ156" s="35" t="str">
        <f t="shared" si="48"/>
        <v/>
      </c>
      <c r="BA156" s="35" t="str">
        <f t="shared" si="49"/>
        <v/>
      </c>
      <c r="BB156" s="35" t="str">
        <f t="shared" si="50"/>
        <v/>
      </c>
      <c r="BC156" s="35"/>
      <c r="BE156" s="35">
        <f ca="1">INDEX(SF_Output!$AA$2:$AA$400,MATCH($B156,SF_Output!$M$2:$M$400,0))</f>
        <v>7</v>
      </c>
      <c r="BF156" s="35">
        <f ca="1">INDEX(SF_Output!$AB$2:$AB$400,MATCH($B156,SF_Output!$M$2:$M$400,0))</f>
        <v>2</v>
      </c>
    </row>
    <row r="157" spans="2:58" x14ac:dyDescent="0.25">
      <c r="B157" t="s">
        <v>2312</v>
      </c>
      <c r="C157" t="s">
        <v>2122</v>
      </c>
      <c r="D157" t="s">
        <v>2306</v>
      </c>
      <c r="E157" t="s">
        <v>2124</v>
      </c>
      <c r="F157" s="116" t="str">
        <f t="shared" si="34"/>
        <v>Included</v>
      </c>
      <c r="G157" t="str">
        <f>IF(B157="","",INDEX(SF_Output!$K$1:$K$400,MATCH(B157,SF_Output!$M$1:$M$400,0)))</f>
        <v>jhaEnterprise Workflow</v>
      </c>
      <c r="H157" cm="1">
        <f t="array" ref="H157">_xlfn.IFS(B157="","",(SUMIFS(SF_Output!$F$1:$F$400,SF_Output!$AC$1:$AC$400,_xlfn.TEXTJOIN(",",TRUE,B157:E157))+SUMIFS(SF_Output!$G$1:$G$400,SF_Output!$AC$1:$AC$400,_xlfn.TEXTJOIN(",",TRUE,B157:E157)))&lt;&gt;0,SF_Output!$Y$2,INDEX(SF_Output!$F$1:$F$400,MATCH(_xlfn.TEXTJOIN(",",TRUE,B157:E157),SF_Output!$AC$1:$AC$400,0))=0,INDEX(SF_Output!$R$1:$R$400,MATCH(_xlfn.TEXTJOIN(",",TRUE,B157:E157),SF_Output!$AC$1:$AC$400,0)))</f>
        <v>2</v>
      </c>
      <c r="I157" s="125" t="str">
        <f>IFERROR(IF(AND(H157&gt;1,H157&lt;&gt;""),ROUND(SUMIFS(SF_Output!$S$1:$S$400,SF_Output!$AC$1:$AC$400,_xlfn.TEXTJOIN(",",TRUE,B157:E157),SF_Output!$Q$1:$Q$400,"monthly")*(1-W157)/H157,4),""),"")</f>
        <v/>
      </c>
      <c r="J157" s="6">
        <f>IF(B157="","",SUMIFS(SF_Output!$S$1:$S$400,SF_Output!$AC$1:$AC$400,_xlfn.TEXTJOIN(",",TRUE,B157:E157),SF_Output!$Q$1:$Q$400,"One Time",SF_Output!$L$1:$L$400,"license fee")+SUMIFS(SF_Output!$S$1:$S$400,SF_Output!$AC$1:$AC$400,_xlfn.TEXTJOIN(",",TRUE,B157:E157),SF_Output!$Q$1:$Q$400,"One Time",SF_Output!$L$1:$L$400,"software license")+SUMIFS(SF_Output!$S$1:$S$400,SF_Output!$AC$1:$AC$400,_xlfn.TEXTJOIN(",",TRUE,B157:E157),SF_Output!$Q$1:$Q$400,"One Time",SF_Output!$L$1:$L$400,"hardware"))</f>
        <v>0</v>
      </c>
      <c r="K157" s="112" t="str">
        <f>IF(OR(B157=0,B157="",G157="hardware",J157=0),"",IF(AF157&lt;&gt;"exclusion",MAX(K$9,-((SUMIFS(SF_Output!$T$1:$T$400,SF_Output!$AC$1:$AC$400,_xlfn.TEXTJOIN(",",TRUE,$B157:$E157),SF_Output!$Q$1:$Q$400,"One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license"))/J157)))</f>
        <v/>
      </c>
      <c r="L157" s="6">
        <f t="shared" si="35"/>
        <v>0</v>
      </c>
      <c r="N157" s="6">
        <f>IF(B157="","",SUMIFS(SF_Output!$S$1:$S$400,SF_Output!$AC$1:$AC$400,_xlfn.TEXTJOIN(",",TRUE,B157:E157),SF_Output!$Q$1:$Q$400,"One Time",SF_Output!$L$1:$L$400,"professional service"))</f>
        <v>3600</v>
      </c>
      <c r="O157" s="112">
        <f>IF(OR(B157=0,B157="",N157=0),"",IF(AF157&lt;&gt;"exclusion",MAX(O$9,-(SUMIFS(SF_Output!$T$1:$T$400,SF_Output!$AC$1:$AC$400,_xlfn.TEXTJOIN(",",TRUE,$B157:$E157),SF_Output!$Q$1:$Q$400,"One Time",SF_Output!$L$1:$L$400,"professional service"))/N157),-((SUMIFS(SF_Output!$T$1:$T$400,SF_Output!$AC$1:$AC$400,_xlfn.TEXTJOIN(",",TRUE,$B157:$E157),SF_Output!$Q$1:$Q$400,"One Time",SF_Output!$L$1:$L$400,"professional service")/N157))))</f>
        <v>0</v>
      </c>
      <c r="P157" s="6">
        <f t="shared" si="36"/>
        <v>3600</v>
      </c>
      <c r="R157" s="6">
        <f>IF(B157="","",SUMIFS(SF_Output!$S$1:$S$400,SF_Output!$AC$1:$AC$400,_xlfn.TEXTJOIN(",",TRUE,B157:E157),SF_Output!$Q$1:$Q$400,"yearly")+SUMIFS(SF_Output!$S$1:$S$400,SF_Output!$AC$1:$AC$400,_xlfn.TEXTJOIN(",",TRUE,B157:E157),SF_Output!$Q$1:$Q$400,"quarterly")*4)</f>
        <v>0</v>
      </c>
      <c r="S157" s="112" t="str">
        <f>IF(OR(B157=0,B157="",G157="hardware",R157=0),"",IF(AF157&lt;&gt;"exclusion",MAX(S$9,-(SUMIFS(SF_Output!$T$1:$T$400,SF_Output!$AC$1:$AC$400,_xlfn.TEXTJOIN(",",TRUE,$B157:$E157),SF_Output!$Q$1:$Q$400,"yearly"))/R157),-((SUMIFS(SF_Output!$T$1:$T$400,SF_Output!$AC$1:$AC$400,_xlfn.TEXTJOIN(",",TRUE,$B157:$E157),SF_Output!$Q$1:$Q$400,"yearly")/R157))))</f>
        <v/>
      </c>
      <c r="T157" s="6">
        <f t="shared" si="37"/>
        <v>0</v>
      </c>
      <c r="V157" s="6" cm="1">
        <f t="array" ref="V157">_xlfn.IFS(B157="","",AND(B157&lt;&gt;"",H157=SF_Output!$Y$2,SUMIFS(SF_Output!$T$1:$T$400,SF_Output!$AC$1:$AC$400,_xlfn.TEXTJOIN(",",TRUE,B157:E157),SF_Output!$Q$1:$Q$400,"monthly")=0),(SUMIFS(SF_Output!$F$1:$F$400,SF_Output!$AC$1:$AC$400,_xlfn.TEXTJOIN(",",TRUE,B157:E157),SF_Output!$Q$1:$Q$400,"monthly")+SUMIFS(SF_Output!$G$1:$G$400,SF_Output!$AC$1:$AC$400,_xlfn.TEXTJOIN(",",TRUE,B157:E157),SF_Output!$Q$1:$Q$400,"monthly"))*H157,AND(B157&lt;&gt;"",H157=SF_Output!$Y$2,SUMIFS(SF_Output!$T$1:$T$400,SF_Output!$AC$1:$AC$400,_xlfn.TEXTJOIN(",",TRUE,B157:E157),SF_Output!$Q$1:$Q$400,"monthly")&lt;&gt;0),SUMIFS(SF_Output!$S$1:$S$400,SF_Output!$AC$1:$AC$400,_xlfn.TEXTJOIN(",",TRUE,B157:E157),SF_Output!$Q$1:$Q$400,"monthly"),AND(B157&lt;&gt;"",H157&lt;&gt;SF_Output!$Y$2),SUMIFS(SF_Output!$S$1:$S$400,SF_Output!$AC$1:$AC$400,_xlfn.TEXTJOIN(",",TRUE,B157:E157),SF_Output!$Q$1:$Q$400,"monthly"))</f>
        <v>0</v>
      </c>
      <c r="W157" s="112" t="str" cm="1">
        <f t="array" ref="W157">_xlfn.IFS(OR(B157=0,B157="",V157=0),"",AF157&lt;&gt;"exclusion",MAX($W$9,$W$7,(-(SUMIFS(SF_Output!$T$1:$T$400,SF_Output!$AC$1:$AC$400,_xlfn.TEXTJOIN(",",TRUE,$B157:$E157),SF_Output!$Q$1:$Q$400,"monthly"))/V157)),AF157="exclusion",-(SUMIFS(SF_Output!$T$1:$T$400,SF_Output!$AC$1:$AC$400,_xlfn.TEXTJOIN(",",TRUE,$B157:$E157),SF_Output!$Q$1:$Q$400,"monthly"))/V157)</f>
        <v/>
      </c>
      <c r="X157" s="6" cm="1">
        <f t="array" ref="X157">IFERROR(_xlfn.IFS(V157=0,0,V157="","",W157=0,V157,OR(V157&lt;&gt;0,V157&lt;&gt;""),H157*I157),V157*(1-W157))</f>
        <v>0</v>
      </c>
      <c r="Z157" s="6">
        <f>IFERROR(IF(B157="","",SUMIFS(Billing_Fallout!H:H,Billing_Fallout!N:N,B157)),0)</f>
        <v>0</v>
      </c>
      <c r="AA157" s="6">
        <f t="shared" si="38"/>
        <v>0</v>
      </c>
      <c r="AB157" s="6">
        <f>IFERROR(IF(B157="","",SUMIFS(Billing_Fallout!J:J,Billing_Fallout!N:N,B157)),0)</f>
        <v>0</v>
      </c>
      <c r="AD157" s="6">
        <f t="shared" si="39"/>
        <v>0</v>
      </c>
      <c r="AF157" t="str">
        <f>IFERROR(INDEX(H_Tables!$B$1:$B$1500,MATCH(INDEX(SF_Output!$J$1:$J$400,MATCH(B157,SF_Output!$M$1:$M$400,0)),H_Tables!$A$1:$A$1500,0)),"")</f>
        <v>Exclusion</v>
      </c>
      <c r="AI157" s="119" t="str">
        <f t="shared" si="40"/>
        <v/>
      </c>
      <c r="AJ157" s="121">
        <f>IFERROR(INDEX(SF_Output!AD:AD,MATCH(_xlfn.TEXTJOIN(",",TRUE,B157:E157),SF_Output!AC1:AC400,0)),0.05)</f>
        <v>138</v>
      </c>
      <c r="AK157" t="str">
        <f>IF(SUMIFS(SF_Output!$F$1:$F$400,SF_Output!$AC$1:$AC$400,_xlfn.TEXTJOIN(",",TRUE,B157:E157))+SUMIFS(SF_Output!$G$1:$G$400,SF_Output!$AC$1:$AC$400,_xlfn.TEXTJOIN(",",TRUE,B157:E157))=0,"","PAP")</f>
        <v/>
      </c>
      <c r="AQ157" s="35"/>
      <c r="AR157" s="35" t="str" cm="1">
        <f t="array" ref="AR157">IFERROR(_xlfn.IFS(AND(E157*1=1,F157="Included"),"Change to Included",AND(E157*1=0,F157="Optional"),"Change to Optional",OR(B157="",F157="replaced"),""),"")</f>
        <v/>
      </c>
      <c r="AS157" s="35" t="str">
        <f t="shared" si="41"/>
        <v/>
      </c>
      <c r="AT157" s="35" t="str">
        <f t="shared" si="42"/>
        <v/>
      </c>
      <c r="AU157" s="35" t="str">
        <f t="shared" si="43"/>
        <v/>
      </c>
      <c r="AV157" s="35" t="str">
        <f t="shared" si="44"/>
        <v/>
      </c>
      <c r="AW157" s="35" t="str">
        <f t="shared" si="45"/>
        <v/>
      </c>
      <c r="AX157" s="35" t="str">
        <f t="shared" si="46"/>
        <v/>
      </c>
      <c r="AY157" s="35" t="str">
        <f t="shared" si="47"/>
        <v/>
      </c>
      <c r="AZ157" s="35" t="str">
        <f t="shared" si="48"/>
        <v/>
      </c>
      <c r="BA157" s="35" t="str">
        <f t="shared" si="49"/>
        <v/>
      </c>
      <c r="BB157" s="35" t="str">
        <f t="shared" si="50"/>
        <v/>
      </c>
      <c r="BC157" s="35"/>
      <c r="BE157" s="35">
        <f ca="1">INDEX(SF_Output!$AA$2:$AA$400,MATCH($B157,SF_Output!$M$2:$M$400,0))</f>
        <v>7</v>
      </c>
      <c r="BF157" s="35">
        <f ca="1">INDEX(SF_Output!$AB$2:$AB$400,MATCH($B157,SF_Output!$M$2:$M$400,0))</f>
        <v>2</v>
      </c>
    </row>
    <row r="158" spans="2:58" x14ac:dyDescent="0.25">
      <c r="B158" t="s">
        <v>626</v>
      </c>
      <c r="C158" t="s">
        <v>2122</v>
      </c>
      <c r="D158" t="s">
        <v>2123</v>
      </c>
      <c r="E158" t="s">
        <v>2124</v>
      </c>
      <c r="F158" s="116" t="str">
        <f t="shared" si="34"/>
        <v>Included</v>
      </c>
      <c r="G158" t="str">
        <f>IF(B158="","",INDEX(SF_Output!$K$1:$K$400,MATCH(B158,SF_Output!$M$1:$M$400,0)))</f>
        <v>jConnect</v>
      </c>
      <c r="H158" cm="1">
        <f t="array" ref="H158">_xlfn.IFS(B158="","",(SUMIFS(SF_Output!$F$1:$F$400,SF_Output!$AC$1:$AC$400,_xlfn.TEXTJOIN(",",TRUE,B158:E158))+SUMIFS(SF_Output!$G$1:$G$400,SF_Output!$AC$1:$AC$400,_xlfn.TEXTJOIN(",",TRUE,B158:E158)))&lt;&gt;0,SF_Output!$Y$2,INDEX(SF_Output!$F$1:$F$400,MATCH(_xlfn.TEXTJOIN(",",TRUE,B158:E158),SF_Output!$AC$1:$AC$400,0))=0,INDEX(SF_Output!$R$1:$R$400,MATCH(_xlfn.TEXTJOIN(",",TRUE,B158:E158),SF_Output!$AC$1:$AC$400,0)))</f>
        <v>1</v>
      </c>
      <c r="I158" s="125" t="str">
        <f>IFERROR(IF(AND(H158&gt;1,H158&lt;&gt;""),ROUND(SUMIFS(SF_Output!$S$1:$S$400,SF_Output!$AC$1:$AC$400,_xlfn.TEXTJOIN(",",TRUE,B158:E158),SF_Output!$Q$1:$Q$400,"monthly")*(1-W158)/H158,4),""),"")</f>
        <v/>
      </c>
      <c r="J158" s="6">
        <f>IF(B158="","",SUMIFS(SF_Output!$S$1:$S$400,SF_Output!$AC$1:$AC$400,_xlfn.TEXTJOIN(",",TRUE,B158:E158),SF_Output!$Q$1:$Q$400,"One Time",SF_Output!$L$1:$L$400,"license fee")+SUMIFS(SF_Output!$S$1:$S$400,SF_Output!$AC$1:$AC$400,_xlfn.TEXTJOIN(",",TRUE,B158:E158),SF_Output!$Q$1:$Q$400,"One Time",SF_Output!$L$1:$L$400,"software license")+SUMIFS(SF_Output!$S$1:$S$400,SF_Output!$AC$1:$AC$400,_xlfn.TEXTJOIN(",",TRUE,B158:E158),SF_Output!$Q$1:$Q$400,"One Time",SF_Output!$L$1:$L$400,"hardware"))</f>
        <v>0</v>
      </c>
      <c r="K158" s="112" t="str">
        <f>IF(OR(B158=0,B158="",G158="hardware",J158=0),"",IF(AF158&lt;&gt;"exclusion",MAX(K$9,-((SUMIFS(SF_Output!$T$1:$T$400,SF_Output!$AC$1:$AC$400,_xlfn.TEXTJOIN(",",TRUE,$B158:$E158),SF_Output!$Q$1:$Q$400,"One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license"))/J158)))</f>
        <v/>
      </c>
      <c r="L158" s="6">
        <f t="shared" si="35"/>
        <v>0</v>
      </c>
      <c r="N158" s="6">
        <f>IF(B158="","",SUMIFS(SF_Output!$S$1:$S$400,SF_Output!$AC$1:$AC$400,_xlfn.TEXTJOIN(",",TRUE,B158:E158),SF_Output!$Q$1:$Q$400,"One Time",SF_Output!$L$1:$L$400,"professional service"))</f>
        <v>0</v>
      </c>
      <c r="O158" s="112" t="str">
        <f>IF(OR(B158=0,B158="",N158=0),"",IF(AF158&lt;&gt;"exclusion",MAX(O$9,-(SUMIFS(SF_Output!$T$1:$T$400,SF_Output!$AC$1:$AC$400,_xlfn.TEXTJOIN(",",TRUE,$B158:$E158),SF_Output!$Q$1:$Q$400,"One Time",SF_Output!$L$1:$L$400,"professional service"))/N158),-((SUMIFS(SF_Output!$T$1:$T$400,SF_Output!$AC$1:$AC$400,_xlfn.TEXTJOIN(",",TRUE,$B158:$E158),SF_Output!$Q$1:$Q$400,"One Time",SF_Output!$L$1:$L$400,"professional service")/N158))))</f>
        <v/>
      </c>
      <c r="P158" s="6">
        <f t="shared" si="36"/>
        <v>0</v>
      </c>
      <c r="R158" s="6">
        <f>IF(B158="","",SUMIFS(SF_Output!$S$1:$S$400,SF_Output!$AC$1:$AC$400,_xlfn.TEXTJOIN(",",TRUE,B158:E158),SF_Output!$Q$1:$Q$400,"yearly")+SUMIFS(SF_Output!$S$1:$S$400,SF_Output!$AC$1:$AC$400,_xlfn.TEXTJOIN(",",TRUE,B158:E158),SF_Output!$Q$1:$Q$400,"quarterly")*4)</f>
        <v>0</v>
      </c>
      <c r="S158" s="112" t="str">
        <f>IF(OR(B158=0,B158="",G158="hardware",R158=0),"",IF(AF158&lt;&gt;"exclusion",MAX(S$9,-(SUMIFS(SF_Output!$T$1:$T$400,SF_Output!$AC$1:$AC$400,_xlfn.TEXTJOIN(",",TRUE,$B158:$E158),SF_Output!$Q$1:$Q$400,"yearly"))/R158),-((SUMIFS(SF_Output!$T$1:$T$400,SF_Output!$AC$1:$AC$400,_xlfn.TEXTJOIN(",",TRUE,$B158:$E158),SF_Output!$Q$1:$Q$400,"yearly")/R158))))</f>
        <v/>
      </c>
      <c r="T158" s="6">
        <f t="shared" si="37"/>
        <v>0</v>
      </c>
      <c r="V158" s="6" cm="1">
        <f t="array" ref="V158">_xlfn.IFS(B158="","",AND(B158&lt;&gt;"",H158=SF_Output!$Y$2,SUMIFS(SF_Output!$T$1:$T$400,SF_Output!$AC$1:$AC$400,_xlfn.TEXTJOIN(",",TRUE,B158:E158),SF_Output!$Q$1:$Q$400,"monthly")=0),(SUMIFS(SF_Output!$F$1:$F$400,SF_Output!$AC$1:$AC$400,_xlfn.TEXTJOIN(",",TRUE,B158:E158),SF_Output!$Q$1:$Q$400,"monthly")+SUMIFS(SF_Output!$G$1:$G$400,SF_Output!$AC$1:$AC$400,_xlfn.TEXTJOIN(",",TRUE,B158:E158),SF_Output!$Q$1:$Q$400,"monthly"))*H158,AND(B158&lt;&gt;"",H158=SF_Output!$Y$2,SUMIFS(SF_Output!$T$1:$T$400,SF_Output!$AC$1:$AC$400,_xlfn.TEXTJOIN(",",TRUE,B158:E158),SF_Output!$Q$1:$Q$400,"monthly")&lt;&gt;0),SUMIFS(SF_Output!$S$1:$S$400,SF_Output!$AC$1:$AC$400,_xlfn.TEXTJOIN(",",TRUE,B158:E158),SF_Output!$Q$1:$Q$400,"monthly"),AND(B158&lt;&gt;"",H158&lt;&gt;SF_Output!$Y$2),SUMIFS(SF_Output!$S$1:$S$400,SF_Output!$AC$1:$AC$400,_xlfn.TEXTJOIN(",",TRUE,B158:E158),SF_Output!$Q$1:$Q$400,"monthly"))</f>
        <v>1000</v>
      </c>
      <c r="W158" s="112" cm="1">
        <f t="array" ref="W158">_xlfn.IFS(OR(B158=0,B158="",V158=0),"",AF158&lt;&gt;"exclusion",MAX($W$9,$W$7,(-(SUMIFS(SF_Output!$T$1:$T$400,SF_Output!$AC$1:$AC$400,_xlfn.TEXTJOIN(",",TRUE,$B158:$E158),SF_Output!$Q$1:$Q$400,"monthly"))/V158)),AF158="exclusion",-(SUMIFS(SF_Output!$T$1:$T$400,SF_Output!$AC$1:$AC$400,_xlfn.TEXTJOIN(",",TRUE,$B158:$E158),SF_Output!$Q$1:$Q$400,"monthly"))/V158)</f>
        <v>0</v>
      </c>
      <c r="X158" s="6" cm="1">
        <f t="array" ref="X158">IFERROR(_xlfn.IFS(V158=0,0,V158="","",W158=0,V158,OR(V158&lt;&gt;0,V158&lt;&gt;""),H158*I158),V158*(1-W158))</f>
        <v>1000</v>
      </c>
      <c r="Z158" s="6">
        <f>IFERROR(IF(B158="","",SUMIFS(Billing_Fallout!H:H,Billing_Fallout!N:N,B158)),0)</f>
        <v>0</v>
      </c>
      <c r="AA158" s="6">
        <f t="shared" si="38"/>
        <v>0</v>
      </c>
      <c r="AB158" s="6">
        <f>IFERROR(IF(B158="","",SUMIFS(Billing_Fallout!J:J,Billing_Fallout!N:N,B158)),0)</f>
        <v>0</v>
      </c>
      <c r="AD158" s="6">
        <f t="shared" si="39"/>
        <v>1000</v>
      </c>
      <c r="AF158" t="str">
        <f>IFERROR(INDEX(H_Tables!$B$1:$B$1500,MATCH(INDEX(SF_Output!$J$1:$J$400,MATCH(B158,SF_Output!$M$1:$M$400,0)),H_Tables!$A$1:$A$1500,0)),"")</f>
        <v>Exclusion</v>
      </c>
      <c r="AI158" s="119" t="str">
        <f t="shared" si="40"/>
        <v/>
      </c>
      <c r="AJ158" s="121">
        <f>IFERROR(INDEX(SF_Output!AD:AD,MATCH(_xlfn.TEXTJOIN(",",TRUE,B158:E158),SF_Output!AC1:AC400,0)),0.05)</f>
        <v>142</v>
      </c>
      <c r="AK158" t="str">
        <f>IF(SUMIFS(SF_Output!$F$1:$F$400,SF_Output!$AC$1:$AC$400,_xlfn.TEXTJOIN(",",TRUE,B158:E158))+SUMIFS(SF_Output!$G$1:$G$400,SF_Output!$AC$1:$AC$400,_xlfn.TEXTJOIN(",",TRUE,B158:E158))=0,"","PAP")</f>
        <v/>
      </c>
      <c r="AQ158" s="35"/>
      <c r="AR158" s="35" t="str" cm="1">
        <f t="array" ref="AR158">IFERROR(_xlfn.IFS(AND(E158*1=1,F158="Included"),"Change to Included",AND(E158*1=0,F158="Optional"),"Change to Optional",OR(B158="",F158="replaced"),""),"")</f>
        <v/>
      </c>
      <c r="AS158" s="35" t="str">
        <f t="shared" si="41"/>
        <v/>
      </c>
      <c r="AT158" s="35" t="str">
        <f t="shared" si="42"/>
        <v/>
      </c>
      <c r="AU158" s="35" t="str">
        <f t="shared" si="43"/>
        <v/>
      </c>
      <c r="AV158" s="35" t="str">
        <f t="shared" si="44"/>
        <v/>
      </c>
      <c r="AW158" s="35" t="str">
        <f t="shared" si="45"/>
        <v/>
      </c>
      <c r="AX158" s="35" t="str">
        <f t="shared" si="46"/>
        <v/>
      </c>
      <c r="AY158" s="35" t="str">
        <f t="shared" si="47"/>
        <v/>
      </c>
      <c r="AZ158" s="35" t="str">
        <f t="shared" si="48"/>
        <v/>
      </c>
      <c r="BA158" s="35" t="str">
        <f t="shared" si="49"/>
        <v/>
      </c>
      <c r="BB158" s="35" t="str">
        <f t="shared" si="50"/>
        <v/>
      </c>
      <c r="BC158" s="35"/>
      <c r="BE158" s="35">
        <f ca="1">INDEX(SF_Output!$AA$2:$AA$400,MATCH($B158,SF_Output!$M$2:$M$400,0))</f>
        <v>7</v>
      </c>
      <c r="BF158" s="35">
        <f ca="1">INDEX(SF_Output!$AB$2:$AB$400,MATCH($B158,SF_Output!$M$2:$M$400,0))</f>
        <v>1</v>
      </c>
    </row>
    <row r="159" spans="2:58" x14ac:dyDescent="0.25">
      <c r="B159" t="s">
        <v>1855</v>
      </c>
      <c r="C159" t="s">
        <v>2122</v>
      </c>
      <c r="D159" t="s">
        <v>2207</v>
      </c>
      <c r="E159" t="s">
        <v>2124</v>
      </c>
      <c r="F159" s="116" t="str">
        <f t="shared" si="34"/>
        <v>Included</v>
      </c>
      <c r="G159" t="str">
        <f>IF(B159="","",INDEX(SF_Output!$K$1:$K$400,MATCH(B159,SF_Output!$M$1:$M$400,0)))</f>
        <v>Core</v>
      </c>
      <c r="H159" cm="1">
        <f t="array" ref="H159">_xlfn.IFS(B159="","",(SUMIFS(SF_Output!$F$1:$F$400,SF_Output!$AC$1:$AC$400,_xlfn.TEXTJOIN(",",TRUE,B159:E159))+SUMIFS(SF_Output!$G$1:$G$400,SF_Output!$AC$1:$AC$400,_xlfn.TEXTJOIN(",",TRUE,B159:E159)))&lt;&gt;0,SF_Output!$Y$2,INDEX(SF_Output!$F$1:$F$400,MATCH(_xlfn.TEXTJOIN(",",TRUE,B159:E159),SF_Output!$AC$1:$AC$400,0))=0,INDEX(SF_Output!$R$1:$R$400,MATCH(_xlfn.TEXTJOIN(",",TRUE,B159:E159),SF_Output!$AC$1:$AC$400,0)))</f>
        <v>1</v>
      </c>
      <c r="I159" s="125" t="str">
        <f>IFERROR(IF(AND(H159&gt;1,H159&lt;&gt;""),ROUND(SUMIFS(SF_Output!$S$1:$S$400,SF_Output!$AC$1:$AC$400,_xlfn.TEXTJOIN(",",TRUE,B159:E159),SF_Output!$Q$1:$Q$400,"monthly")*(1-W159)/H159,4),""),"")</f>
        <v/>
      </c>
      <c r="J159" s="6">
        <f>IF(B159="","",SUMIFS(SF_Output!$S$1:$S$400,SF_Output!$AC$1:$AC$400,_xlfn.TEXTJOIN(",",TRUE,B159:E159),SF_Output!$Q$1:$Q$400,"One Time",SF_Output!$L$1:$L$400,"license fee")+SUMIFS(SF_Output!$S$1:$S$400,SF_Output!$AC$1:$AC$400,_xlfn.TEXTJOIN(",",TRUE,B159:E159),SF_Output!$Q$1:$Q$400,"One Time",SF_Output!$L$1:$L$400,"software license")+SUMIFS(SF_Output!$S$1:$S$400,SF_Output!$AC$1:$AC$400,_xlfn.TEXTJOIN(",",TRUE,B159:E159),SF_Output!$Q$1:$Q$400,"One Time",SF_Output!$L$1:$L$400,"hardware"))</f>
        <v>0</v>
      </c>
      <c r="K159" s="112" t="str">
        <f>IF(OR(B159=0,B159="",G159="hardware",J159=0),"",IF(AF159&lt;&gt;"exclusion",MAX(K$9,-((SUMIFS(SF_Output!$T$1:$T$400,SF_Output!$AC$1:$AC$400,_xlfn.TEXTJOIN(",",TRUE,$B159:$E159),SF_Output!$Q$1:$Q$400,"One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license"))/J159)))</f>
        <v/>
      </c>
      <c r="L159" s="6">
        <f t="shared" si="35"/>
        <v>0</v>
      </c>
      <c r="N159" s="6">
        <f>IF(B159="","",SUMIFS(SF_Output!$S$1:$S$400,SF_Output!$AC$1:$AC$400,_xlfn.TEXTJOIN(",",TRUE,B159:E159),SF_Output!$Q$1:$Q$400,"One Time",SF_Output!$L$1:$L$400,"professional service"))</f>
        <v>16625</v>
      </c>
      <c r="O159" s="112">
        <f>IF(OR(B159=0,B159="",N159=0),"",IF(AF159&lt;&gt;"exclusion",MAX(O$9,-(SUMIFS(SF_Output!$T$1:$T$400,SF_Output!$AC$1:$AC$400,_xlfn.TEXTJOIN(",",TRUE,$B159:$E159),SF_Output!$Q$1:$Q$400,"One Time",SF_Output!$L$1:$L$400,"professional service"))/N159),-((SUMIFS(SF_Output!$T$1:$T$400,SF_Output!$AC$1:$AC$400,_xlfn.TEXTJOIN(",",TRUE,$B159:$E159),SF_Output!$Q$1:$Q$400,"One Time",SF_Output!$L$1:$L$400,"professional service")/N159))))</f>
        <v>1</v>
      </c>
      <c r="P159" s="6">
        <f t="shared" si="36"/>
        <v>0</v>
      </c>
      <c r="R159" s="6">
        <f>IF(B159="","",SUMIFS(SF_Output!$S$1:$S$400,SF_Output!$AC$1:$AC$400,_xlfn.TEXTJOIN(",",TRUE,B159:E159),SF_Output!$Q$1:$Q$400,"yearly")+SUMIFS(SF_Output!$S$1:$S$400,SF_Output!$AC$1:$AC$400,_xlfn.TEXTJOIN(",",TRUE,B159:E159),SF_Output!$Q$1:$Q$400,"quarterly")*4)</f>
        <v>0</v>
      </c>
      <c r="S159" s="112" t="str">
        <f>IF(OR(B159=0,B159="",G159="hardware",R159=0),"",IF(AF159&lt;&gt;"exclusion",MAX(S$9,-(SUMIFS(SF_Output!$T$1:$T$400,SF_Output!$AC$1:$AC$400,_xlfn.TEXTJOIN(",",TRUE,$B159:$E159),SF_Output!$Q$1:$Q$400,"yearly"))/R159),-((SUMIFS(SF_Output!$T$1:$T$400,SF_Output!$AC$1:$AC$400,_xlfn.TEXTJOIN(",",TRUE,$B159:$E159),SF_Output!$Q$1:$Q$400,"yearly")/R159))))</f>
        <v/>
      </c>
      <c r="T159" s="6">
        <f t="shared" si="37"/>
        <v>0</v>
      </c>
      <c r="V159" s="6" cm="1">
        <f t="array" ref="V159">_xlfn.IFS(B159="","",AND(B159&lt;&gt;"",H159=SF_Output!$Y$2,SUMIFS(SF_Output!$T$1:$T$400,SF_Output!$AC$1:$AC$400,_xlfn.TEXTJOIN(",",TRUE,B159:E159),SF_Output!$Q$1:$Q$400,"monthly")=0),(SUMIFS(SF_Output!$F$1:$F$400,SF_Output!$AC$1:$AC$400,_xlfn.TEXTJOIN(",",TRUE,B159:E159),SF_Output!$Q$1:$Q$400,"monthly")+SUMIFS(SF_Output!$G$1:$G$400,SF_Output!$AC$1:$AC$400,_xlfn.TEXTJOIN(",",TRUE,B159:E159),SF_Output!$Q$1:$Q$400,"monthly"))*H159,AND(B159&lt;&gt;"",H159=SF_Output!$Y$2,SUMIFS(SF_Output!$T$1:$T$400,SF_Output!$AC$1:$AC$400,_xlfn.TEXTJOIN(",",TRUE,B159:E159),SF_Output!$Q$1:$Q$400,"monthly")&lt;&gt;0),SUMIFS(SF_Output!$S$1:$S$400,SF_Output!$AC$1:$AC$400,_xlfn.TEXTJOIN(",",TRUE,B159:E159),SF_Output!$Q$1:$Q$400,"monthly"),AND(B159&lt;&gt;"",H159&lt;&gt;SF_Output!$Y$2),SUMIFS(SF_Output!$S$1:$S$400,SF_Output!$AC$1:$AC$400,_xlfn.TEXTJOIN(",",TRUE,B159:E159),SF_Output!$Q$1:$Q$400,"monthly"))</f>
        <v>500</v>
      </c>
      <c r="W159" s="112" cm="1">
        <f t="array" ref="W159">_xlfn.IFS(OR(B159=0,B159="",V159=0),"",AF159&lt;&gt;"exclusion",MAX($W$9,$W$7,(-(SUMIFS(SF_Output!$T$1:$T$400,SF_Output!$AC$1:$AC$400,_xlfn.TEXTJOIN(",",TRUE,$B159:$E159),SF_Output!$Q$1:$Q$400,"monthly"))/V159)),AF159="exclusion",-(SUMIFS(SF_Output!$T$1:$T$400,SF_Output!$AC$1:$AC$400,_xlfn.TEXTJOIN(",",TRUE,$B159:$E159),SF_Output!$Q$1:$Q$400,"monthly"))/V159)</f>
        <v>0</v>
      </c>
      <c r="X159" s="6" cm="1">
        <f t="array" ref="X159">IFERROR(_xlfn.IFS(V159=0,0,V159="","",W159=0,V159,OR(V159&lt;&gt;0,V159&lt;&gt;""),H159*I159),V159*(1-W159))</f>
        <v>500</v>
      </c>
      <c r="Z159" s="6">
        <f>IFERROR(IF(B159="","",SUMIFS(Billing_Fallout!H:H,Billing_Fallout!N:N,B159)),0)</f>
        <v>0</v>
      </c>
      <c r="AA159" s="6">
        <f t="shared" si="38"/>
        <v>0</v>
      </c>
      <c r="AB159" s="6">
        <f>IFERROR(IF(B159="","",SUMIFS(Billing_Fallout!J:J,Billing_Fallout!N:N,B159)),0)</f>
        <v>0</v>
      </c>
      <c r="AD159" s="6">
        <f t="shared" si="39"/>
        <v>500</v>
      </c>
      <c r="AF159" t="str">
        <f>IFERROR(INDEX(H_Tables!$B$1:$B$1500,MATCH(INDEX(SF_Output!$J$1:$J$400,MATCH(B159,SF_Output!$M$1:$M$400,0)),H_Tables!$A$1:$A$1500,0)),"")</f>
        <v>Exclusion</v>
      </c>
      <c r="AI159" s="119" t="str">
        <f t="shared" si="40"/>
        <v/>
      </c>
      <c r="AJ159" s="121">
        <f>IFERROR(INDEX(SF_Output!AD:AD,MATCH(_xlfn.TEXTJOIN(",",TRUE,B159:E159),SF_Output!AC1:AC400,0)),0.05)</f>
        <v>55</v>
      </c>
      <c r="AK159" t="str">
        <f>IF(SUMIFS(SF_Output!$F$1:$F$400,SF_Output!$AC$1:$AC$400,_xlfn.TEXTJOIN(",",TRUE,B159:E159))+SUMIFS(SF_Output!$G$1:$G$400,SF_Output!$AC$1:$AC$400,_xlfn.TEXTJOIN(",",TRUE,B159:E159))=0,"","PAP")</f>
        <v/>
      </c>
      <c r="AQ159" s="35"/>
      <c r="AR159" s="35" t="str" cm="1">
        <f t="array" ref="AR159">IFERROR(_xlfn.IFS(AND(E159*1=1,F159="Included"),"Change to Included",AND(E159*1=0,F159="Optional"),"Change to Optional",OR(B159="",F159="replaced"),""),"")</f>
        <v/>
      </c>
      <c r="AS159" s="35" t="str">
        <f t="shared" si="41"/>
        <v/>
      </c>
      <c r="AT159" s="35" t="str">
        <f t="shared" si="42"/>
        <v/>
      </c>
      <c r="AU159" s="35" t="str">
        <f t="shared" si="43"/>
        <v/>
      </c>
      <c r="AV159" s="35" t="str">
        <f t="shared" si="44"/>
        <v/>
      </c>
      <c r="AW159" s="35" t="str">
        <f t="shared" si="45"/>
        <v/>
      </c>
      <c r="AX159" s="35" t="str">
        <f t="shared" si="46"/>
        <v/>
      </c>
      <c r="AY159" s="35" t="str">
        <f t="shared" si="47"/>
        <v/>
      </c>
      <c r="AZ159" s="35" t="str">
        <f t="shared" si="48"/>
        <v/>
      </c>
      <c r="BA159" s="35" t="str">
        <f t="shared" si="49"/>
        <v/>
      </c>
      <c r="BB159" s="35" t="str">
        <f t="shared" si="50"/>
        <v/>
      </c>
      <c r="BC159" s="35"/>
      <c r="BE159" s="35">
        <f ca="1">INDEX(SF_Output!$AA$2:$AA$400,MATCH($B159,SF_Output!$M$2:$M$400,0))</f>
        <v>8</v>
      </c>
      <c r="BF159" s="35">
        <f ca="1">INDEX(SF_Output!$AB$2:$AB$400,MATCH($B159,SF_Output!$M$2:$M$400,0))</f>
        <v>2</v>
      </c>
    </row>
    <row r="160" spans="2:58" x14ac:dyDescent="0.25">
      <c r="B160" t="s">
        <v>1857</v>
      </c>
      <c r="C160" t="s">
        <v>2122</v>
      </c>
      <c r="D160" t="s">
        <v>2207</v>
      </c>
      <c r="E160" t="s">
        <v>2124</v>
      </c>
      <c r="F160" s="116" t="str">
        <f t="shared" si="34"/>
        <v>Included</v>
      </c>
      <c r="G160" t="str">
        <f>IF(B160="","",INDEX(SF_Output!$K$1:$K$400,MATCH(B160,SF_Output!$M$1:$M$400,0)))</f>
        <v>Core</v>
      </c>
      <c r="H160" cm="1">
        <f t="array" ref="H160">_xlfn.IFS(B160="","",(SUMIFS(SF_Output!$F$1:$F$400,SF_Output!$AC$1:$AC$400,_xlfn.TEXTJOIN(",",TRUE,B160:E160))+SUMIFS(SF_Output!$G$1:$G$400,SF_Output!$AC$1:$AC$400,_xlfn.TEXTJOIN(",",TRUE,B160:E160)))&lt;&gt;0,SF_Output!$Y$2,INDEX(SF_Output!$F$1:$F$400,MATCH(_xlfn.TEXTJOIN(",",TRUE,B160:E160),SF_Output!$AC$1:$AC$400,0))=0,INDEX(SF_Output!$R$1:$R$400,MATCH(_xlfn.TEXTJOIN(",",TRUE,B160:E160),SF_Output!$AC$1:$AC$400,0)))</f>
        <v>1</v>
      </c>
      <c r="I160" s="125" t="str">
        <f>IFERROR(IF(AND(H160&gt;1,H160&lt;&gt;""),ROUND(SUMIFS(SF_Output!$S$1:$S$400,SF_Output!$AC$1:$AC$400,_xlfn.TEXTJOIN(",",TRUE,B160:E160),SF_Output!$Q$1:$Q$400,"monthly")*(1-W160)/H160,4),""),"")</f>
        <v/>
      </c>
      <c r="J160" s="6">
        <f>IF(B160="","",SUMIFS(SF_Output!$S$1:$S$400,SF_Output!$AC$1:$AC$400,_xlfn.TEXTJOIN(",",TRUE,B160:E160),SF_Output!$Q$1:$Q$400,"One Time",SF_Output!$L$1:$L$400,"license fee")+SUMIFS(SF_Output!$S$1:$S$400,SF_Output!$AC$1:$AC$400,_xlfn.TEXTJOIN(",",TRUE,B160:E160),SF_Output!$Q$1:$Q$400,"One Time",SF_Output!$L$1:$L$400,"software license")+SUMIFS(SF_Output!$S$1:$S$400,SF_Output!$AC$1:$AC$400,_xlfn.TEXTJOIN(",",TRUE,B160:E160),SF_Output!$Q$1:$Q$400,"One Time",SF_Output!$L$1:$L$400,"hardware"))</f>
        <v>0</v>
      </c>
      <c r="K160" s="112" t="str">
        <f>IF(OR(B160=0,B160="",G160="hardware",J160=0),"",IF(AF160&lt;&gt;"exclusion",MAX(K$9,-((SUMIFS(SF_Output!$T$1:$T$400,SF_Output!$AC$1:$AC$400,_xlfn.TEXTJOIN(",",TRUE,$B160:$E160),SF_Output!$Q$1:$Q$400,"One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license"))/J160)))</f>
        <v/>
      </c>
      <c r="L160" s="6">
        <f t="shared" si="35"/>
        <v>0</v>
      </c>
      <c r="N160" s="6">
        <f>IF(B160="","",SUMIFS(SF_Output!$S$1:$S$400,SF_Output!$AC$1:$AC$400,_xlfn.TEXTJOIN(",",TRUE,B160:E160),SF_Output!$Q$1:$Q$400,"One Time",SF_Output!$L$1:$L$400,"professional service"))</f>
        <v>0</v>
      </c>
      <c r="O160" s="112" t="str">
        <f>IF(OR(B160=0,B160="",N160=0),"",IF(AF160&lt;&gt;"exclusion",MAX(O$9,-(SUMIFS(SF_Output!$T$1:$T$400,SF_Output!$AC$1:$AC$400,_xlfn.TEXTJOIN(",",TRUE,$B160:$E160),SF_Output!$Q$1:$Q$400,"One Time",SF_Output!$L$1:$L$400,"professional service"))/N160),-((SUMIFS(SF_Output!$T$1:$T$400,SF_Output!$AC$1:$AC$400,_xlfn.TEXTJOIN(",",TRUE,$B160:$E160),SF_Output!$Q$1:$Q$400,"One Time",SF_Output!$L$1:$L$400,"professional service")/N160))))</f>
        <v/>
      </c>
      <c r="P160" s="6">
        <f t="shared" si="36"/>
        <v>0</v>
      </c>
      <c r="R160" s="6">
        <f>IF(B160="","",SUMIFS(SF_Output!$S$1:$S$400,SF_Output!$AC$1:$AC$400,_xlfn.TEXTJOIN(",",TRUE,B160:E160),SF_Output!$Q$1:$Q$400,"yearly")+SUMIFS(SF_Output!$S$1:$S$400,SF_Output!$AC$1:$AC$400,_xlfn.TEXTJOIN(",",TRUE,B160:E160),SF_Output!$Q$1:$Q$400,"quarterly")*4)</f>
        <v>0</v>
      </c>
      <c r="S160" s="112" t="str">
        <f>IF(OR(B160=0,B160="",G160="hardware",R160=0),"",IF(AF160&lt;&gt;"exclusion",MAX(S$9,-(SUMIFS(SF_Output!$T$1:$T$400,SF_Output!$AC$1:$AC$400,_xlfn.TEXTJOIN(",",TRUE,$B160:$E160),SF_Output!$Q$1:$Q$400,"yearly"))/R160),-((SUMIFS(SF_Output!$T$1:$T$400,SF_Output!$AC$1:$AC$400,_xlfn.TEXTJOIN(",",TRUE,$B160:$E160),SF_Output!$Q$1:$Q$400,"yearly")/R160))))</f>
        <v/>
      </c>
      <c r="T160" s="6">
        <f t="shared" si="37"/>
        <v>0</v>
      </c>
      <c r="V160" s="6" cm="1">
        <f t="array" ref="V160">_xlfn.IFS(B160="","",AND(B160&lt;&gt;"",H160=SF_Output!$Y$2,SUMIFS(SF_Output!$T$1:$T$400,SF_Output!$AC$1:$AC$400,_xlfn.TEXTJOIN(",",TRUE,B160:E160),SF_Output!$Q$1:$Q$400,"monthly")=0),(SUMIFS(SF_Output!$F$1:$F$400,SF_Output!$AC$1:$AC$400,_xlfn.TEXTJOIN(",",TRUE,B160:E160),SF_Output!$Q$1:$Q$400,"monthly")+SUMIFS(SF_Output!$G$1:$G$400,SF_Output!$AC$1:$AC$400,_xlfn.TEXTJOIN(",",TRUE,B160:E160),SF_Output!$Q$1:$Q$400,"monthly"))*H160,AND(B160&lt;&gt;"",H160=SF_Output!$Y$2,SUMIFS(SF_Output!$T$1:$T$400,SF_Output!$AC$1:$AC$400,_xlfn.TEXTJOIN(",",TRUE,B160:E160),SF_Output!$Q$1:$Q$400,"monthly")&lt;&gt;0),SUMIFS(SF_Output!$S$1:$S$400,SF_Output!$AC$1:$AC$400,_xlfn.TEXTJOIN(",",TRUE,B160:E160),SF_Output!$Q$1:$Q$400,"monthly"),AND(B160&lt;&gt;"",H160&lt;&gt;SF_Output!$Y$2),SUMIFS(SF_Output!$S$1:$S$400,SF_Output!$AC$1:$AC$400,_xlfn.TEXTJOIN(",",TRUE,B160:E160),SF_Output!$Q$1:$Q$400,"monthly"))</f>
        <v>1000</v>
      </c>
      <c r="W160" s="112" cm="1">
        <f t="array" ref="W160">_xlfn.IFS(OR(B160=0,B160="",V160=0),"",AF160&lt;&gt;"exclusion",MAX($W$9,$W$7,(-(SUMIFS(SF_Output!$T$1:$T$400,SF_Output!$AC$1:$AC$400,_xlfn.TEXTJOIN(",",TRUE,$B160:$E160),SF_Output!$Q$1:$Q$400,"monthly"))/V160)),AF160="exclusion",-(SUMIFS(SF_Output!$T$1:$T$400,SF_Output!$AC$1:$AC$400,_xlfn.TEXTJOIN(",",TRUE,$B160:$E160),SF_Output!$Q$1:$Q$400,"monthly"))/V160)</f>
        <v>0</v>
      </c>
      <c r="X160" s="6" cm="1">
        <f t="array" ref="X160">IFERROR(_xlfn.IFS(V160=0,0,V160="","",W160=0,V160,OR(V160&lt;&gt;0,V160&lt;&gt;""),H160*I160),V160*(1-W160))</f>
        <v>1000</v>
      </c>
      <c r="Z160" s="6">
        <f>IFERROR(IF(B160="","",SUMIFS(Billing_Fallout!H:H,Billing_Fallout!N:N,B160)),0)</f>
        <v>0</v>
      </c>
      <c r="AA160" s="6">
        <f t="shared" si="38"/>
        <v>0</v>
      </c>
      <c r="AB160" s="6">
        <f>IFERROR(IF(B160="","",SUMIFS(Billing_Fallout!J:J,Billing_Fallout!N:N,B160)),0)</f>
        <v>0</v>
      </c>
      <c r="AD160" s="6">
        <f t="shared" si="39"/>
        <v>1000</v>
      </c>
      <c r="AF160" t="str">
        <f>IFERROR(INDEX(H_Tables!$B$1:$B$1500,MATCH(INDEX(SF_Output!$J$1:$J$400,MATCH(B160,SF_Output!$M$1:$M$400,0)),H_Tables!$A$1:$A$1500,0)),"")</f>
        <v>Exclusion</v>
      </c>
      <c r="AI160" s="119" t="str">
        <f t="shared" si="40"/>
        <v/>
      </c>
      <c r="AJ160" s="121">
        <f>IFERROR(INDEX(SF_Output!AD:AD,MATCH(_xlfn.TEXTJOIN(",",TRUE,B160:E160),SF_Output!AC1:AC400,0)),0.05)</f>
        <v>57</v>
      </c>
      <c r="AK160" t="str">
        <f>IF(SUMIFS(SF_Output!$F$1:$F$400,SF_Output!$AC$1:$AC$400,_xlfn.TEXTJOIN(",",TRUE,B160:E160))+SUMIFS(SF_Output!$G$1:$G$400,SF_Output!$AC$1:$AC$400,_xlfn.TEXTJOIN(",",TRUE,B160:E160))=0,"","PAP")</f>
        <v/>
      </c>
      <c r="AQ160" s="35"/>
      <c r="AR160" s="35" t="str" cm="1">
        <f t="array" ref="AR160">IFERROR(_xlfn.IFS(AND(E160*1=1,F160="Included"),"Change to Included",AND(E160*1=0,F160="Optional"),"Change to Optional",OR(B160="",F160="replaced"),""),"")</f>
        <v/>
      </c>
      <c r="AS160" s="35" t="str">
        <f t="shared" si="41"/>
        <v/>
      </c>
      <c r="AT160" s="35" t="str">
        <f t="shared" si="42"/>
        <v/>
      </c>
      <c r="AU160" s="35" t="str">
        <f t="shared" si="43"/>
        <v/>
      </c>
      <c r="AV160" s="35" t="str">
        <f t="shared" si="44"/>
        <v/>
      </c>
      <c r="AW160" s="35" t="str">
        <f t="shared" si="45"/>
        <v/>
      </c>
      <c r="AX160" s="35" t="str">
        <f t="shared" si="46"/>
        <v/>
      </c>
      <c r="AY160" s="35" t="str">
        <f t="shared" si="47"/>
        <v/>
      </c>
      <c r="AZ160" s="35" t="str">
        <f t="shared" si="48"/>
        <v/>
      </c>
      <c r="BA160" s="35" t="str">
        <f t="shared" si="49"/>
        <v/>
      </c>
      <c r="BB160" s="35" t="str">
        <f t="shared" si="50"/>
        <v/>
      </c>
      <c r="BC160" s="35"/>
      <c r="BE160" s="35">
        <f ca="1">INDEX(SF_Output!$AA$2:$AA$400,MATCH($B160,SF_Output!$M$2:$M$400,0))</f>
        <v>8</v>
      </c>
      <c r="BF160" s="35">
        <f ca="1">INDEX(SF_Output!$AB$2:$AB$400,MATCH($B160,SF_Output!$M$2:$M$400,0))</f>
        <v>2</v>
      </c>
    </row>
    <row r="161" spans="2:58" x14ac:dyDescent="0.25">
      <c r="B161" t="s">
        <v>1260</v>
      </c>
      <c r="C161" t="s">
        <v>2122</v>
      </c>
      <c r="D161" t="s">
        <v>2123</v>
      </c>
      <c r="E161" t="s">
        <v>2150</v>
      </c>
      <c r="F161" s="116" t="str">
        <f t="shared" si="34"/>
        <v>Optional</v>
      </c>
      <c r="G161" t="str">
        <f>IF(B161="","",INDEX(SF_Output!$K$1:$K$400,MATCH(B161,SF_Output!$M$1:$M$400,0)))</f>
        <v>jhaKnow</v>
      </c>
      <c r="H161" cm="1">
        <f t="array" ref="H161">_xlfn.IFS(B161="","",(SUMIFS(SF_Output!$F$1:$F$400,SF_Output!$AC$1:$AC$400,_xlfn.TEXTJOIN(",",TRUE,B161:E161))+SUMIFS(SF_Output!$G$1:$G$400,SF_Output!$AC$1:$AC$400,_xlfn.TEXTJOIN(",",TRUE,B161:E161)))&lt;&gt;0,SF_Output!$Y$2,INDEX(SF_Output!$F$1:$F$400,MATCH(_xlfn.TEXTJOIN(",",TRUE,B161:E161),SF_Output!$AC$1:$AC$400,0))=0,INDEX(SF_Output!$R$1:$R$400,MATCH(_xlfn.TEXTJOIN(",",TRUE,B161:E161),SF_Output!$AC$1:$AC$400,0)))</f>
        <v>5000</v>
      </c>
      <c r="I161" s="125">
        <f>IFERROR(IF(AND(H161&gt;1,H161&lt;&gt;""),ROUND(SUMIFS(SF_Output!$S$1:$S$400,SF_Output!$AC$1:$AC$400,_xlfn.TEXTJOIN(",",TRUE,B161:E161),SF_Output!$Q$1:$Q$400,"monthly")*(1-W161)/H161,4),""),"")</f>
        <v>0.24979999999999999</v>
      </c>
      <c r="J161" s="6">
        <f>IF(B161="","",SUMIFS(SF_Output!$S$1:$S$400,SF_Output!$AC$1:$AC$400,_xlfn.TEXTJOIN(",",TRUE,B161:E161),SF_Output!$Q$1:$Q$400,"One Time",SF_Output!$L$1:$L$400,"license fee")+SUMIFS(SF_Output!$S$1:$S$400,SF_Output!$AC$1:$AC$400,_xlfn.TEXTJOIN(",",TRUE,B161:E161),SF_Output!$Q$1:$Q$400,"One Time",SF_Output!$L$1:$L$400,"software license")+SUMIFS(SF_Output!$S$1:$S$400,SF_Output!$AC$1:$AC$400,_xlfn.TEXTJOIN(",",TRUE,B161:E161),SF_Output!$Q$1:$Q$400,"One Time",SF_Output!$L$1:$L$400,"hardware"))</f>
        <v>0</v>
      </c>
      <c r="K161" s="112" t="str">
        <f>IF(OR(B161=0,B161="",G161="hardware",J161=0),"",IF(AF161&lt;&gt;"exclusion",MAX(K$9,-((SUMIFS(SF_Output!$T$1:$T$400,SF_Output!$AC$1:$AC$400,_xlfn.TEXTJOIN(",",TRUE,$B161:$E161),SF_Output!$Q$1:$Q$400,"One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license"))/J161)))</f>
        <v/>
      </c>
      <c r="L161" s="6">
        <f t="shared" si="35"/>
        <v>0</v>
      </c>
      <c r="N161" s="6">
        <f>IF(B161="","",SUMIFS(SF_Output!$S$1:$S$400,SF_Output!$AC$1:$AC$400,_xlfn.TEXTJOIN(",",TRUE,B161:E161),SF_Output!$Q$1:$Q$400,"One Time",SF_Output!$L$1:$L$400,"professional service"))</f>
        <v>7500</v>
      </c>
      <c r="O161" s="112">
        <f>IF(OR(B161=0,B161="",N161=0),"",IF(AF161&lt;&gt;"exclusion",MAX(O$9,-(SUMIFS(SF_Output!$T$1:$T$400,SF_Output!$AC$1:$AC$400,_xlfn.TEXTJOIN(",",TRUE,$B161:$E161),SF_Output!$Q$1:$Q$400,"One Time",SF_Output!$L$1:$L$400,"professional service"))/N161),-((SUMIFS(SF_Output!$T$1:$T$400,SF_Output!$AC$1:$AC$400,_xlfn.TEXTJOIN(",",TRUE,$B161:$E161),SF_Output!$Q$1:$Q$400,"One Time",SF_Output!$L$1:$L$400,"professional service")/N161))))</f>
        <v>1</v>
      </c>
      <c r="P161" s="6">
        <f t="shared" si="36"/>
        <v>0</v>
      </c>
      <c r="R161" s="6">
        <f>IF(B161="","",SUMIFS(SF_Output!$S$1:$S$400,SF_Output!$AC$1:$AC$400,_xlfn.TEXTJOIN(",",TRUE,B161:E161),SF_Output!$Q$1:$Q$400,"yearly")+SUMIFS(SF_Output!$S$1:$S$400,SF_Output!$AC$1:$AC$400,_xlfn.TEXTJOIN(",",TRUE,B161:E161),SF_Output!$Q$1:$Q$400,"quarterly")*4)</f>
        <v>0</v>
      </c>
      <c r="S161" s="112" t="str">
        <f>IF(OR(B161=0,B161="",G161="hardware",R161=0),"",IF(AF161&lt;&gt;"exclusion",MAX(S$9,-(SUMIFS(SF_Output!$T$1:$T$400,SF_Output!$AC$1:$AC$400,_xlfn.TEXTJOIN(",",TRUE,$B161:$E161),SF_Output!$Q$1:$Q$400,"yearly"))/R161),-((SUMIFS(SF_Output!$T$1:$T$400,SF_Output!$AC$1:$AC$400,_xlfn.TEXTJOIN(",",TRUE,$B161:$E161),SF_Output!$Q$1:$Q$400,"yearly")/R161))))</f>
        <v/>
      </c>
      <c r="T161" s="6">
        <f t="shared" si="37"/>
        <v>0</v>
      </c>
      <c r="V161" s="6" cm="1">
        <f t="array" ref="V161">_xlfn.IFS(B161="","",AND(B161&lt;&gt;"",H161=SF_Output!$Y$2,SUMIFS(SF_Output!$T$1:$T$400,SF_Output!$AC$1:$AC$400,_xlfn.TEXTJOIN(",",TRUE,B161:E161),SF_Output!$Q$1:$Q$400,"monthly")=0),(SUMIFS(SF_Output!$F$1:$F$400,SF_Output!$AC$1:$AC$400,_xlfn.TEXTJOIN(",",TRUE,B161:E161),SF_Output!$Q$1:$Q$400,"monthly")+SUMIFS(SF_Output!$G$1:$G$400,SF_Output!$AC$1:$AC$400,_xlfn.TEXTJOIN(",",TRUE,B161:E161),SF_Output!$Q$1:$Q$400,"monthly"))*H161,AND(B161&lt;&gt;"",H161=SF_Output!$Y$2,SUMIFS(SF_Output!$T$1:$T$400,SF_Output!$AC$1:$AC$400,_xlfn.TEXTJOIN(",",TRUE,B161:E161),SF_Output!$Q$1:$Q$400,"monthly")&lt;&gt;0),SUMIFS(SF_Output!$S$1:$S$400,SF_Output!$AC$1:$AC$400,_xlfn.TEXTJOIN(",",TRUE,B161:E161),SF_Output!$Q$1:$Q$400,"monthly"),AND(B161&lt;&gt;"",H161&lt;&gt;SF_Output!$Y$2),SUMIFS(SF_Output!$S$1:$S$400,SF_Output!$AC$1:$AC$400,_xlfn.TEXTJOIN(",",TRUE,B161:E161),SF_Output!$Q$1:$Q$400,"monthly"))</f>
        <v>1665</v>
      </c>
      <c r="W161" s="112" cm="1">
        <f t="array" ref="W161">_xlfn.IFS(OR(B161=0,B161="",V161=0),"",AF161&lt;&gt;"exclusion",MAX($W$9,$W$7,(-(SUMIFS(SF_Output!$T$1:$T$400,SF_Output!$AC$1:$AC$400,_xlfn.TEXTJOIN(",",TRUE,$B161:$E161),SF_Output!$Q$1:$Q$400,"monthly"))/V161)),AF161="exclusion",-(SUMIFS(SF_Output!$T$1:$T$400,SF_Output!$AC$1:$AC$400,_xlfn.TEXTJOIN(",",TRUE,$B161:$E161),SF_Output!$Q$1:$Q$400,"monthly"))/V161)</f>
        <v>0.25</v>
      </c>
      <c r="X161" s="6" cm="1">
        <f t="array" ref="X161">IFERROR(_xlfn.IFS(V161=0,0,V161="","",W161=0,V161,OR(V161&lt;&gt;0,V161&lt;&gt;""),H161*I161),V161*(1-W161))</f>
        <v>1249</v>
      </c>
      <c r="Z161" s="6">
        <f>IFERROR(IF(B161="","",SUMIFS(Billing_Fallout!H:H,Billing_Fallout!N:N,B161)),0)</f>
        <v>0</v>
      </c>
      <c r="AA161" s="6">
        <f t="shared" si="38"/>
        <v>0</v>
      </c>
      <c r="AB161" s="6">
        <f>IFERROR(IF(B161="","",SUMIFS(Billing_Fallout!J:J,Billing_Fallout!N:N,B161)),0)</f>
        <v>0</v>
      </c>
      <c r="AD161" s="6">
        <f t="shared" si="39"/>
        <v>1249</v>
      </c>
      <c r="AF161" t="str">
        <f>IFERROR(INDEX(H_Tables!$B$1:$B$1500,MATCH(INDEX(SF_Output!$J$1:$J$400,MATCH(B161,SF_Output!$M$1:$M$400,0)),H_Tables!$A$1:$A$1500,0)),"")</f>
        <v>Exclusion</v>
      </c>
      <c r="AI161" s="119" t="str">
        <f t="shared" si="40"/>
        <v/>
      </c>
      <c r="AJ161" s="121">
        <f>IFERROR(INDEX(SF_Output!AD:AD,MATCH(_xlfn.TEXTJOIN(",",TRUE,B161:E161),SF_Output!AC1:AC400,0)),0.05)</f>
        <v>121</v>
      </c>
      <c r="AK161" t="str">
        <f>IF(SUMIFS(SF_Output!$F$1:$F$400,SF_Output!$AC$1:$AC$400,_xlfn.TEXTJOIN(",",TRUE,B161:E161))+SUMIFS(SF_Output!$G$1:$G$400,SF_Output!$AC$1:$AC$400,_xlfn.TEXTJOIN(",",TRUE,B161:E161))=0,"","PAP")</f>
        <v>PAP</v>
      </c>
      <c r="AQ161" s="35"/>
      <c r="AR161" s="35" t="str" cm="1">
        <f t="array" ref="AR161">IFERROR(_xlfn.IFS(AND(E161*1=1,F161="Included"),"Change to Included",AND(E161*1=0,F161="Optional"),"Change to Optional",OR(B161="",F161="replaced"),""),"")</f>
        <v/>
      </c>
      <c r="AS161" s="35" t="str">
        <f t="shared" si="41"/>
        <v/>
      </c>
      <c r="AT161" s="35" t="str">
        <f t="shared" si="42"/>
        <v/>
      </c>
      <c r="AU161" s="35" t="str">
        <f t="shared" si="43"/>
        <v/>
      </c>
      <c r="AV161" s="35" t="str">
        <f t="shared" si="44"/>
        <v/>
      </c>
      <c r="AW161" s="35" t="str">
        <f t="shared" si="45"/>
        <v/>
      </c>
      <c r="AX161" s="35" t="str">
        <f t="shared" si="46"/>
        <v/>
      </c>
      <c r="AY161" s="35" t="str">
        <f t="shared" si="47"/>
        <v/>
      </c>
      <c r="AZ161" s="35" t="str">
        <f t="shared" si="48"/>
        <v/>
      </c>
      <c r="BA161" s="35" t="str">
        <f t="shared" si="49"/>
        <v/>
      </c>
      <c r="BB161" s="35" t="str">
        <f t="shared" si="50"/>
        <v/>
      </c>
      <c r="BC161" s="35"/>
      <c r="BE161" s="35">
        <f ca="1">INDEX(SF_Output!$AA$2:$AA$400,MATCH($B161,SF_Output!$M$2:$M$400,0))</f>
        <v>8</v>
      </c>
      <c r="BF161" s="35">
        <f ca="1">INDEX(SF_Output!$AB$2:$AB$400,MATCH($B161,SF_Output!$M$2:$M$400,0))</f>
        <v>2</v>
      </c>
    </row>
    <row r="162" spans="2:58" x14ac:dyDescent="0.25">
      <c r="B162" t="s">
        <v>646</v>
      </c>
      <c r="C162" t="s">
        <v>2122</v>
      </c>
      <c r="D162" t="s">
        <v>2123</v>
      </c>
      <c r="E162" t="s">
        <v>2124</v>
      </c>
      <c r="F162" s="116" t="str">
        <f t="shared" si="34"/>
        <v>Included</v>
      </c>
      <c r="G162" t="str">
        <f>IF(B162="","",INDEX(SF_Output!$K$1:$K$400,MATCH(B162,SF_Output!$M$1:$M$400,0)))</f>
        <v>Cognos</v>
      </c>
      <c r="H162" cm="1">
        <f t="array" ref="H162">_xlfn.IFS(B162="","",(SUMIFS(SF_Output!$F$1:$F$400,SF_Output!$AC$1:$AC$400,_xlfn.TEXTJOIN(",",TRUE,B162:E162))+SUMIFS(SF_Output!$G$1:$G$400,SF_Output!$AC$1:$AC$400,_xlfn.TEXTJOIN(",",TRUE,B162:E162)))&lt;&gt;0,SF_Output!$Y$2,INDEX(SF_Output!$F$1:$F$400,MATCH(_xlfn.TEXTJOIN(",",TRUE,B162:E162),SF_Output!$AC$1:$AC$400,0))=0,INDEX(SF_Output!$R$1:$R$400,MATCH(_xlfn.TEXTJOIN(",",TRUE,B162:E162),SF_Output!$AC$1:$AC$400,0)))</f>
        <v>1</v>
      </c>
      <c r="I162" s="125" t="str">
        <f>IFERROR(IF(AND(H162&gt;1,H162&lt;&gt;""),ROUND(SUMIFS(SF_Output!$S$1:$S$400,SF_Output!$AC$1:$AC$400,_xlfn.TEXTJOIN(",",TRUE,B162:E162),SF_Output!$Q$1:$Q$400,"monthly")*(1-W162)/H162,4),""),"")</f>
        <v/>
      </c>
      <c r="J162" s="6">
        <f>IF(B162="","",SUMIFS(SF_Output!$S$1:$S$400,SF_Output!$AC$1:$AC$400,_xlfn.TEXTJOIN(",",TRUE,B162:E162),SF_Output!$Q$1:$Q$400,"One Time",SF_Output!$L$1:$L$400,"license fee")+SUMIFS(SF_Output!$S$1:$S$400,SF_Output!$AC$1:$AC$400,_xlfn.TEXTJOIN(",",TRUE,B162:E162),SF_Output!$Q$1:$Q$400,"One Time",SF_Output!$L$1:$L$400,"software license")+SUMIFS(SF_Output!$S$1:$S$400,SF_Output!$AC$1:$AC$400,_xlfn.TEXTJOIN(",",TRUE,B162:E162),SF_Output!$Q$1:$Q$400,"One Time",SF_Output!$L$1:$L$400,"hardware"))</f>
        <v>0</v>
      </c>
      <c r="K162" s="112" t="str">
        <f>IF(OR(B162=0,B162="",G162="hardware",J162=0),"",IF(AF162&lt;&gt;"exclusion",MAX(K$9,-((SUMIFS(SF_Output!$T$1:$T$400,SF_Output!$AC$1:$AC$400,_xlfn.TEXTJOIN(",",TRUE,$B162:$E162),SF_Output!$Q$1:$Q$400,"One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license"))/J162)))</f>
        <v/>
      </c>
      <c r="L162" s="6">
        <f t="shared" si="35"/>
        <v>0</v>
      </c>
      <c r="N162" s="6">
        <f>IF(B162="","",SUMIFS(SF_Output!$S$1:$S$400,SF_Output!$AC$1:$AC$400,_xlfn.TEXTJOIN(",",TRUE,B162:E162),SF_Output!$Q$1:$Q$400,"One Time",SF_Output!$L$1:$L$400,"professional service"))</f>
        <v>5500</v>
      </c>
      <c r="O162" s="112">
        <f>IF(OR(B162=0,B162="",N162=0),"",IF(AF162&lt;&gt;"exclusion",MAX(O$9,-(SUMIFS(SF_Output!$T$1:$T$400,SF_Output!$AC$1:$AC$400,_xlfn.TEXTJOIN(",",TRUE,$B162:$E162),SF_Output!$Q$1:$Q$400,"One Time",SF_Output!$L$1:$L$400,"professional service"))/N162),-((SUMIFS(SF_Output!$T$1:$T$400,SF_Output!$AC$1:$AC$400,_xlfn.TEXTJOIN(",",TRUE,$B162:$E162),SF_Output!$Q$1:$Q$400,"One Time",SF_Output!$L$1:$L$400,"professional service")/N162))))</f>
        <v>0</v>
      </c>
      <c r="P162" s="6">
        <f t="shared" si="36"/>
        <v>5500</v>
      </c>
      <c r="R162" s="6">
        <f>IF(B162="","",SUMIFS(SF_Output!$S$1:$S$400,SF_Output!$AC$1:$AC$400,_xlfn.TEXTJOIN(",",TRUE,B162:E162),SF_Output!$Q$1:$Q$400,"yearly")+SUMIFS(SF_Output!$S$1:$S$400,SF_Output!$AC$1:$AC$400,_xlfn.TEXTJOIN(",",TRUE,B162:E162),SF_Output!$Q$1:$Q$400,"quarterly")*4)</f>
        <v>0</v>
      </c>
      <c r="S162" s="112" t="str">
        <f>IF(OR(B162=0,B162="",G162="hardware",R162=0),"",IF(AF162&lt;&gt;"exclusion",MAX(S$9,-(SUMIFS(SF_Output!$T$1:$T$400,SF_Output!$AC$1:$AC$400,_xlfn.TEXTJOIN(",",TRUE,$B162:$E162),SF_Output!$Q$1:$Q$400,"yearly"))/R162),-((SUMIFS(SF_Output!$T$1:$T$400,SF_Output!$AC$1:$AC$400,_xlfn.TEXTJOIN(",",TRUE,$B162:$E162),SF_Output!$Q$1:$Q$400,"yearly")/R162))))</f>
        <v/>
      </c>
      <c r="T162" s="6">
        <f t="shared" si="37"/>
        <v>0</v>
      </c>
      <c r="V162" s="6" cm="1">
        <f t="array" ref="V162">_xlfn.IFS(B162="","",AND(B162&lt;&gt;"",H162=SF_Output!$Y$2,SUMIFS(SF_Output!$T$1:$T$400,SF_Output!$AC$1:$AC$400,_xlfn.TEXTJOIN(",",TRUE,B162:E162),SF_Output!$Q$1:$Q$400,"monthly")=0),(SUMIFS(SF_Output!$F$1:$F$400,SF_Output!$AC$1:$AC$400,_xlfn.TEXTJOIN(",",TRUE,B162:E162),SF_Output!$Q$1:$Q$400,"monthly")+SUMIFS(SF_Output!$G$1:$G$400,SF_Output!$AC$1:$AC$400,_xlfn.TEXTJOIN(",",TRUE,B162:E162),SF_Output!$Q$1:$Q$400,"monthly"))*H162,AND(B162&lt;&gt;"",H162=SF_Output!$Y$2,SUMIFS(SF_Output!$T$1:$T$400,SF_Output!$AC$1:$AC$400,_xlfn.TEXTJOIN(",",TRUE,B162:E162),SF_Output!$Q$1:$Q$400,"monthly")&lt;&gt;0),SUMIFS(SF_Output!$S$1:$S$400,SF_Output!$AC$1:$AC$400,_xlfn.TEXTJOIN(",",TRUE,B162:E162),SF_Output!$Q$1:$Q$400,"monthly"),AND(B162&lt;&gt;"",H162&lt;&gt;SF_Output!$Y$2),SUMIFS(SF_Output!$S$1:$S$400,SF_Output!$AC$1:$AC$400,_xlfn.TEXTJOIN(",",TRUE,B162:E162),SF_Output!$Q$1:$Q$400,"monthly"))</f>
        <v>665</v>
      </c>
      <c r="W162" s="112" cm="1">
        <f t="array" ref="W162">_xlfn.IFS(OR(B162=0,B162="",V162=0),"",AF162&lt;&gt;"exclusion",MAX($W$9,$W$7,(-(SUMIFS(SF_Output!$T$1:$T$400,SF_Output!$AC$1:$AC$400,_xlfn.TEXTJOIN(",",TRUE,$B162:$E162),SF_Output!$Q$1:$Q$400,"monthly"))/V162)),AF162="exclusion",-(SUMIFS(SF_Output!$T$1:$T$400,SF_Output!$AC$1:$AC$400,_xlfn.TEXTJOIN(",",TRUE,$B162:$E162),SF_Output!$Q$1:$Q$400,"monthly"))/V162)</f>
        <v>0</v>
      </c>
      <c r="X162" s="6" cm="1">
        <f t="array" ref="X162">IFERROR(_xlfn.IFS(V162=0,0,V162="","",W162=0,V162,OR(V162&lt;&gt;0,V162&lt;&gt;""),H162*I162),V162*(1-W162))</f>
        <v>665</v>
      </c>
      <c r="Z162" s="6">
        <f>IFERROR(IF(B162="","",SUMIFS(Billing_Fallout!H:H,Billing_Fallout!N:N,B162)),0)</f>
        <v>0</v>
      </c>
      <c r="AA162" s="6">
        <f t="shared" si="38"/>
        <v>0</v>
      </c>
      <c r="AB162" s="6">
        <f>IFERROR(IF(B162="","",SUMIFS(Billing_Fallout!J:J,Billing_Fallout!N:N,B162)),0)</f>
        <v>0</v>
      </c>
      <c r="AD162" s="6">
        <f t="shared" si="39"/>
        <v>665</v>
      </c>
      <c r="AF162" t="str">
        <f>IFERROR(INDEX(H_Tables!$B$1:$B$1500,MATCH(INDEX(SF_Output!$J$1:$J$400,MATCH(B162,SF_Output!$M$1:$M$400,0)),H_Tables!$A$1:$A$1500,0)),"")</f>
        <v>Exclusion</v>
      </c>
      <c r="AI162" s="119" t="str">
        <f t="shared" si="40"/>
        <v/>
      </c>
      <c r="AJ162" s="121">
        <f>IFERROR(INDEX(SF_Output!AD:AD,MATCH(_xlfn.TEXTJOIN(",",TRUE,B162:E162),SF_Output!AC1:AC400,0)),0.05)</f>
        <v>123</v>
      </c>
      <c r="AK162" t="str">
        <f>IF(SUMIFS(SF_Output!$F$1:$F$400,SF_Output!$AC$1:$AC$400,_xlfn.TEXTJOIN(",",TRUE,B162:E162))+SUMIFS(SF_Output!$G$1:$G$400,SF_Output!$AC$1:$AC$400,_xlfn.TEXTJOIN(",",TRUE,B162:E162))=0,"","PAP")</f>
        <v/>
      </c>
      <c r="AQ162" s="35"/>
      <c r="AR162" s="35" t="str" cm="1">
        <f t="array" ref="AR162">IFERROR(_xlfn.IFS(AND(E162*1=1,F162="Included"),"Change to Included",AND(E162*1=0,F162="Optional"),"Change to Optional",OR(B162="",F162="replaced"),""),"")</f>
        <v/>
      </c>
      <c r="AS162" s="35" t="str">
        <f t="shared" si="41"/>
        <v/>
      </c>
      <c r="AT162" s="35" t="str">
        <f t="shared" si="42"/>
        <v/>
      </c>
      <c r="AU162" s="35" t="str">
        <f t="shared" si="43"/>
        <v/>
      </c>
      <c r="AV162" s="35" t="str">
        <f t="shared" si="44"/>
        <v/>
      </c>
      <c r="AW162" s="35" t="str">
        <f t="shared" si="45"/>
        <v/>
      </c>
      <c r="AX162" s="35" t="str">
        <f t="shared" si="46"/>
        <v/>
      </c>
      <c r="AY162" s="35" t="str">
        <f t="shared" si="47"/>
        <v/>
      </c>
      <c r="AZ162" s="35" t="str">
        <f t="shared" si="48"/>
        <v/>
      </c>
      <c r="BA162" s="35" t="str">
        <f t="shared" si="49"/>
        <v/>
      </c>
      <c r="BB162" s="35" t="str">
        <f t="shared" si="50"/>
        <v/>
      </c>
      <c r="BC162" s="35"/>
      <c r="BE162" s="35">
        <f ca="1">INDEX(SF_Output!$AA$2:$AA$400,MATCH($B162,SF_Output!$M$2:$M$400,0))</f>
        <v>8</v>
      </c>
      <c r="BF162" s="35">
        <f ca="1">INDEX(SF_Output!$AB$2:$AB$400,MATCH($B162,SF_Output!$M$2:$M$400,0))</f>
        <v>1</v>
      </c>
    </row>
    <row r="163" spans="2:58" x14ac:dyDescent="0.25">
      <c r="B163" t="s">
        <v>2300</v>
      </c>
      <c r="C163" t="s">
        <v>2122</v>
      </c>
      <c r="D163" t="s">
        <v>2123</v>
      </c>
      <c r="E163" t="s">
        <v>2124</v>
      </c>
      <c r="F163" s="116" t="str">
        <f t="shared" si="34"/>
        <v>Included</v>
      </c>
      <c r="G163" t="str">
        <f>IF(B163="","",INDEX(SF_Output!$K$1:$K$400,MATCH(B163,SF_Output!$M$1:$M$400,0)))</f>
        <v>Cognos</v>
      </c>
      <c r="H163" cm="1">
        <f t="array" ref="H163">_xlfn.IFS(B163="","",(SUMIFS(SF_Output!$F$1:$F$400,SF_Output!$AC$1:$AC$400,_xlfn.TEXTJOIN(",",TRUE,B163:E163))+SUMIFS(SF_Output!$G$1:$G$400,SF_Output!$AC$1:$AC$400,_xlfn.TEXTJOIN(",",TRUE,B163:E163)))&lt;&gt;0,SF_Output!$Y$2,INDEX(SF_Output!$F$1:$F$400,MATCH(_xlfn.TEXTJOIN(",",TRUE,B163:E163),SF_Output!$AC$1:$AC$400,0))=0,INDEX(SF_Output!$R$1:$R$400,MATCH(_xlfn.TEXTJOIN(",",TRUE,B163:E163),SF_Output!$AC$1:$AC$400,0)))</f>
        <v>5000</v>
      </c>
      <c r="I163" s="125">
        <f>IFERROR(IF(AND(H163&gt;1,H163&lt;&gt;""),ROUND(SUMIFS(SF_Output!$S$1:$S$400,SF_Output!$AC$1:$AC$400,_xlfn.TEXTJOIN(",",TRUE,B163:E163),SF_Output!$Q$1:$Q$400,"monthly")*(1-W163)/H163,4),""),"")</f>
        <v>1.5800000000000002E-2</v>
      </c>
      <c r="J163" s="6">
        <f>IF(B163="","",SUMIFS(SF_Output!$S$1:$S$400,SF_Output!$AC$1:$AC$400,_xlfn.TEXTJOIN(",",TRUE,B163:E163),SF_Output!$Q$1:$Q$400,"One Time",SF_Output!$L$1:$L$400,"license fee")+SUMIFS(SF_Output!$S$1:$S$400,SF_Output!$AC$1:$AC$400,_xlfn.TEXTJOIN(",",TRUE,B163:E163),SF_Output!$Q$1:$Q$400,"One Time",SF_Output!$L$1:$L$400,"software license")+SUMIFS(SF_Output!$S$1:$S$400,SF_Output!$AC$1:$AC$400,_xlfn.TEXTJOIN(",",TRUE,B163:E163),SF_Output!$Q$1:$Q$400,"One Time",SF_Output!$L$1:$L$400,"hardware"))</f>
        <v>0</v>
      </c>
      <c r="K163" s="112" t="str">
        <f>IF(OR(B163=0,B163="",G163="hardware",J163=0),"",IF(AF163&lt;&gt;"exclusion",MAX(K$9,-((SUMIFS(SF_Output!$T$1:$T$400,SF_Output!$AC$1:$AC$400,_xlfn.TEXTJOIN(",",TRUE,$B163:$E163),SF_Output!$Q$1:$Q$400,"One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license"))/J163)))</f>
        <v/>
      </c>
      <c r="L163" s="6">
        <f t="shared" si="35"/>
        <v>0</v>
      </c>
      <c r="N163" s="6">
        <f>IF(B163="","",SUMIFS(SF_Output!$S$1:$S$400,SF_Output!$AC$1:$AC$400,_xlfn.TEXTJOIN(",",TRUE,B163:E163),SF_Output!$Q$1:$Q$400,"One Time",SF_Output!$L$1:$L$400,"professional service"))</f>
        <v>750</v>
      </c>
      <c r="O163" s="112">
        <f>IF(OR(B163=0,B163="",N163=0),"",IF(AF163&lt;&gt;"exclusion",MAX(O$9,-(SUMIFS(SF_Output!$T$1:$T$400,SF_Output!$AC$1:$AC$400,_xlfn.TEXTJOIN(",",TRUE,$B163:$E163),SF_Output!$Q$1:$Q$400,"One Time",SF_Output!$L$1:$L$400,"professional service"))/N163),-((SUMIFS(SF_Output!$T$1:$T$400,SF_Output!$AC$1:$AC$400,_xlfn.TEXTJOIN(",",TRUE,$B163:$E163),SF_Output!$Q$1:$Q$400,"One Time",SF_Output!$L$1:$L$400,"professional service")/N163))))</f>
        <v>1</v>
      </c>
      <c r="P163" s="6">
        <f t="shared" si="36"/>
        <v>0</v>
      </c>
      <c r="R163" s="6">
        <f>IF(B163="","",SUMIFS(SF_Output!$S$1:$S$400,SF_Output!$AC$1:$AC$400,_xlfn.TEXTJOIN(",",TRUE,B163:E163),SF_Output!$Q$1:$Q$400,"yearly")+SUMIFS(SF_Output!$S$1:$S$400,SF_Output!$AC$1:$AC$400,_xlfn.TEXTJOIN(",",TRUE,B163:E163),SF_Output!$Q$1:$Q$400,"quarterly")*4)</f>
        <v>0</v>
      </c>
      <c r="S163" s="112" t="str">
        <f>IF(OR(B163=0,B163="",G163="hardware",R163=0),"",IF(AF163&lt;&gt;"exclusion",MAX(S$9,-(SUMIFS(SF_Output!$T$1:$T$400,SF_Output!$AC$1:$AC$400,_xlfn.TEXTJOIN(",",TRUE,$B163:$E163),SF_Output!$Q$1:$Q$400,"yearly"))/R163),-((SUMIFS(SF_Output!$T$1:$T$400,SF_Output!$AC$1:$AC$400,_xlfn.TEXTJOIN(",",TRUE,$B163:$E163),SF_Output!$Q$1:$Q$400,"yearly")/R163))))</f>
        <v/>
      </c>
      <c r="T163" s="6">
        <f t="shared" si="37"/>
        <v>0</v>
      </c>
      <c r="V163" s="6" cm="1">
        <f t="array" ref="V163">_xlfn.IFS(B163="","",AND(B163&lt;&gt;"",H163=SF_Output!$Y$2,SUMIFS(SF_Output!$T$1:$T$400,SF_Output!$AC$1:$AC$400,_xlfn.TEXTJOIN(",",TRUE,B163:E163),SF_Output!$Q$1:$Q$400,"monthly")=0),(SUMIFS(SF_Output!$F$1:$F$400,SF_Output!$AC$1:$AC$400,_xlfn.TEXTJOIN(",",TRUE,B163:E163),SF_Output!$Q$1:$Q$400,"monthly")+SUMIFS(SF_Output!$G$1:$G$400,SF_Output!$AC$1:$AC$400,_xlfn.TEXTJOIN(",",TRUE,B163:E163),SF_Output!$Q$1:$Q$400,"monthly"))*H163,AND(B163&lt;&gt;"",H163=SF_Output!$Y$2,SUMIFS(SF_Output!$T$1:$T$400,SF_Output!$AC$1:$AC$400,_xlfn.TEXTJOIN(",",TRUE,B163:E163),SF_Output!$Q$1:$Q$400,"monthly")&lt;&gt;0),SUMIFS(SF_Output!$S$1:$S$400,SF_Output!$AC$1:$AC$400,_xlfn.TEXTJOIN(",",TRUE,B163:E163),SF_Output!$Q$1:$Q$400,"monthly"),AND(B163&lt;&gt;"",H163&lt;&gt;SF_Output!$Y$2),SUMIFS(SF_Output!$S$1:$S$400,SF_Output!$AC$1:$AC$400,_xlfn.TEXTJOIN(",",TRUE,B163:E163),SF_Output!$Q$1:$Q$400,"monthly"))</f>
        <v>105</v>
      </c>
      <c r="W163" s="112" cm="1">
        <f t="array" ref="W163">_xlfn.IFS(OR(B163=0,B163="",V163=0),"",AF163&lt;&gt;"exclusion",MAX($W$9,$W$7,(-(SUMIFS(SF_Output!$T$1:$T$400,SF_Output!$AC$1:$AC$400,_xlfn.TEXTJOIN(",",TRUE,$B163:$E163),SF_Output!$Q$1:$Q$400,"monthly"))/V163)),AF163="exclusion",-(SUMIFS(SF_Output!$T$1:$T$400,SF_Output!$AC$1:$AC$400,_xlfn.TEXTJOIN(",",TRUE,$B163:$E163),SF_Output!$Q$1:$Q$400,"monthly"))/V163)</f>
        <v>0.25</v>
      </c>
      <c r="X163" s="6" cm="1">
        <f t="array" ref="X163">IFERROR(_xlfn.IFS(V163=0,0,V163="","",W163=0,V163,OR(V163&lt;&gt;0,V163&lt;&gt;""),H163*I163),V163*(1-W163))</f>
        <v>79.000000000000014</v>
      </c>
      <c r="Z163" s="6">
        <f>IFERROR(IF(B163="","",SUMIFS(Billing_Fallout!H:H,Billing_Fallout!N:N,B163)),0)</f>
        <v>0</v>
      </c>
      <c r="AA163" s="6">
        <f t="shared" si="38"/>
        <v>0</v>
      </c>
      <c r="AB163" s="6">
        <f>IFERROR(IF(B163="","",SUMIFS(Billing_Fallout!J:J,Billing_Fallout!N:N,B163)),0)</f>
        <v>0</v>
      </c>
      <c r="AD163" s="6">
        <f t="shared" si="39"/>
        <v>79.000000000000014</v>
      </c>
      <c r="AF163" t="str">
        <f>IFERROR(INDEX(H_Tables!$B$1:$B$1500,MATCH(INDEX(SF_Output!$J$1:$J$400,MATCH(B163,SF_Output!$M$1:$M$400,0)),H_Tables!$A$1:$A$1500,0)),"")</f>
        <v>Exclusion</v>
      </c>
      <c r="AI163" s="119" t="str">
        <f t="shared" si="40"/>
        <v/>
      </c>
      <c r="AJ163" s="121">
        <f>IFERROR(INDEX(SF_Output!AD:AD,MATCH(_xlfn.TEXTJOIN(",",TRUE,B163:E163),SF_Output!AC1:AC400,0)),0.05)</f>
        <v>125</v>
      </c>
      <c r="AK163" t="str">
        <f>IF(SUMIFS(SF_Output!$F$1:$F$400,SF_Output!$AC$1:$AC$400,_xlfn.TEXTJOIN(",",TRUE,B163:E163))+SUMIFS(SF_Output!$G$1:$G$400,SF_Output!$AC$1:$AC$400,_xlfn.TEXTJOIN(",",TRUE,B163:E163))=0,"","PAP")</f>
        <v>PAP</v>
      </c>
      <c r="AQ163" s="35"/>
      <c r="AR163" s="35" t="str" cm="1">
        <f t="array" ref="AR163">IFERROR(_xlfn.IFS(AND(E163*1=1,F163="Included"),"Change to Included",AND(E163*1=0,F163="Optional"),"Change to Optional",OR(B163="",F163="replaced"),""),"")</f>
        <v/>
      </c>
      <c r="AS163" s="35" t="str">
        <f t="shared" si="41"/>
        <v/>
      </c>
      <c r="AT163" s="35" t="str">
        <f t="shared" si="42"/>
        <v/>
      </c>
      <c r="AU163" s="35" t="str">
        <f t="shared" si="43"/>
        <v/>
      </c>
      <c r="AV163" s="35" t="str">
        <f t="shared" si="44"/>
        <v/>
      </c>
      <c r="AW163" s="35" t="str">
        <f t="shared" si="45"/>
        <v/>
      </c>
      <c r="AX163" s="35" t="str">
        <f t="shared" si="46"/>
        <v/>
      </c>
      <c r="AY163" s="35" t="str">
        <f t="shared" si="47"/>
        <v/>
      </c>
      <c r="AZ163" s="35" t="str">
        <f t="shared" si="48"/>
        <v/>
      </c>
      <c r="BA163" s="35" t="str">
        <f t="shared" si="49"/>
        <v/>
      </c>
      <c r="BB163" s="35" t="str">
        <f t="shared" si="50"/>
        <v/>
      </c>
      <c r="BC163" s="35"/>
      <c r="BE163" s="35">
        <f ca="1">INDEX(SF_Output!$AA$2:$AA$400,MATCH($B163,SF_Output!$M$2:$M$400,0))</f>
        <v>8</v>
      </c>
      <c r="BF163" s="35">
        <f ca="1">INDEX(SF_Output!$AB$2:$AB$400,MATCH($B163,SF_Output!$M$2:$M$400,0))</f>
        <v>1</v>
      </c>
    </row>
    <row r="164" spans="2:58" x14ac:dyDescent="0.25">
      <c r="B164" t="s">
        <v>2303</v>
      </c>
      <c r="C164" t="s">
        <v>2122</v>
      </c>
      <c r="D164" t="s">
        <v>2123</v>
      </c>
      <c r="E164" t="s">
        <v>2124</v>
      </c>
      <c r="F164" s="116" t="str">
        <f t="shared" si="34"/>
        <v>Included</v>
      </c>
      <c r="G164" t="str">
        <f>IF(B164="","",INDEX(SF_Output!$K$1:$K$400,MATCH(B164,SF_Output!$M$1:$M$400,0)))</f>
        <v>Cognos</v>
      </c>
      <c r="H164" cm="1">
        <f t="array" ref="H164">_xlfn.IFS(B164="","",(SUMIFS(SF_Output!$F$1:$F$400,SF_Output!$AC$1:$AC$400,_xlfn.TEXTJOIN(",",TRUE,B164:E164))+SUMIFS(SF_Output!$G$1:$G$400,SF_Output!$AC$1:$AC$400,_xlfn.TEXTJOIN(",",TRUE,B164:E164)))&lt;&gt;0,SF_Output!$Y$2,INDEX(SF_Output!$F$1:$F$400,MATCH(_xlfn.TEXTJOIN(",",TRUE,B164:E164),SF_Output!$AC$1:$AC$400,0))=0,INDEX(SF_Output!$R$1:$R$400,MATCH(_xlfn.TEXTJOIN(",",TRUE,B164:E164),SF_Output!$AC$1:$AC$400,0)))</f>
        <v>5000</v>
      </c>
      <c r="I164" s="125">
        <f>IFERROR(IF(AND(H164&gt;1,H164&lt;&gt;""),ROUND(SUMIFS(SF_Output!$S$1:$S$400,SF_Output!$AC$1:$AC$400,_xlfn.TEXTJOIN(",",TRUE,B164:E164),SF_Output!$Q$1:$Q$400,"monthly")*(1-W164)/H164,4),""),"")</f>
        <v>1.5800000000000002E-2</v>
      </c>
      <c r="J164" s="6">
        <f>IF(B164="","",SUMIFS(SF_Output!$S$1:$S$400,SF_Output!$AC$1:$AC$400,_xlfn.TEXTJOIN(",",TRUE,B164:E164),SF_Output!$Q$1:$Q$400,"One Time",SF_Output!$L$1:$L$400,"license fee")+SUMIFS(SF_Output!$S$1:$S$400,SF_Output!$AC$1:$AC$400,_xlfn.TEXTJOIN(",",TRUE,B164:E164),SF_Output!$Q$1:$Q$400,"One Time",SF_Output!$L$1:$L$400,"software license")+SUMIFS(SF_Output!$S$1:$S$400,SF_Output!$AC$1:$AC$400,_xlfn.TEXTJOIN(",",TRUE,B164:E164),SF_Output!$Q$1:$Q$400,"One Time",SF_Output!$L$1:$L$400,"hardware"))</f>
        <v>0</v>
      </c>
      <c r="K164" s="112" t="str">
        <f>IF(OR(B164=0,B164="",G164="hardware",J164=0),"",IF(AF164&lt;&gt;"exclusion",MAX(K$9,-((SUMIFS(SF_Output!$T$1:$T$400,SF_Output!$AC$1:$AC$400,_xlfn.TEXTJOIN(",",TRUE,$B164:$E164),SF_Output!$Q$1:$Q$400,"One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license"))/J164)))</f>
        <v/>
      </c>
      <c r="L164" s="6">
        <f t="shared" si="35"/>
        <v>0</v>
      </c>
      <c r="N164" s="6">
        <f>IF(B164="","",SUMIFS(SF_Output!$S$1:$S$400,SF_Output!$AC$1:$AC$400,_xlfn.TEXTJOIN(",",TRUE,B164:E164),SF_Output!$Q$1:$Q$400,"One Time",SF_Output!$L$1:$L$400,"professional service"))</f>
        <v>0</v>
      </c>
      <c r="O164" s="112" t="str">
        <f>IF(OR(B164=0,B164="",N164=0),"",IF(AF164&lt;&gt;"exclusion",MAX(O$9,-(SUMIFS(SF_Output!$T$1:$T$400,SF_Output!$AC$1:$AC$400,_xlfn.TEXTJOIN(",",TRUE,$B164:$E164),SF_Output!$Q$1:$Q$400,"One Time",SF_Output!$L$1:$L$400,"professional service"))/N164),-((SUMIFS(SF_Output!$T$1:$T$400,SF_Output!$AC$1:$AC$400,_xlfn.TEXTJOIN(",",TRUE,$B164:$E164),SF_Output!$Q$1:$Q$400,"One Time",SF_Output!$L$1:$L$400,"professional service")/N164))))</f>
        <v/>
      </c>
      <c r="P164" s="6">
        <f t="shared" si="36"/>
        <v>0</v>
      </c>
      <c r="R164" s="6">
        <f>IF(B164="","",SUMIFS(SF_Output!$S$1:$S$400,SF_Output!$AC$1:$AC$400,_xlfn.TEXTJOIN(",",TRUE,B164:E164),SF_Output!$Q$1:$Q$400,"yearly")+SUMIFS(SF_Output!$S$1:$S$400,SF_Output!$AC$1:$AC$400,_xlfn.TEXTJOIN(",",TRUE,B164:E164),SF_Output!$Q$1:$Q$400,"quarterly")*4)</f>
        <v>0</v>
      </c>
      <c r="S164" s="112" t="str">
        <f>IF(OR(B164=0,B164="",G164="hardware",R164=0),"",IF(AF164&lt;&gt;"exclusion",MAX(S$9,-(SUMIFS(SF_Output!$T$1:$T$400,SF_Output!$AC$1:$AC$400,_xlfn.TEXTJOIN(",",TRUE,$B164:$E164),SF_Output!$Q$1:$Q$400,"yearly"))/R164),-((SUMIFS(SF_Output!$T$1:$T$400,SF_Output!$AC$1:$AC$400,_xlfn.TEXTJOIN(",",TRUE,$B164:$E164),SF_Output!$Q$1:$Q$400,"yearly")/R164))))</f>
        <v/>
      </c>
      <c r="T164" s="6">
        <f t="shared" si="37"/>
        <v>0</v>
      </c>
      <c r="V164" s="6" cm="1">
        <f t="array" ref="V164">_xlfn.IFS(B164="","",AND(B164&lt;&gt;"",H164=SF_Output!$Y$2,SUMIFS(SF_Output!$T$1:$T$400,SF_Output!$AC$1:$AC$400,_xlfn.TEXTJOIN(",",TRUE,B164:E164),SF_Output!$Q$1:$Q$400,"monthly")=0),(SUMIFS(SF_Output!$F$1:$F$400,SF_Output!$AC$1:$AC$400,_xlfn.TEXTJOIN(",",TRUE,B164:E164),SF_Output!$Q$1:$Q$400,"monthly")+SUMIFS(SF_Output!$G$1:$G$400,SF_Output!$AC$1:$AC$400,_xlfn.TEXTJOIN(",",TRUE,B164:E164),SF_Output!$Q$1:$Q$400,"monthly"))*H164,AND(B164&lt;&gt;"",H164=SF_Output!$Y$2,SUMIFS(SF_Output!$T$1:$T$400,SF_Output!$AC$1:$AC$400,_xlfn.TEXTJOIN(",",TRUE,B164:E164),SF_Output!$Q$1:$Q$400,"monthly")&lt;&gt;0),SUMIFS(SF_Output!$S$1:$S$400,SF_Output!$AC$1:$AC$400,_xlfn.TEXTJOIN(",",TRUE,B164:E164),SF_Output!$Q$1:$Q$400,"monthly"),AND(B164&lt;&gt;"",H164&lt;&gt;SF_Output!$Y$2),SUMIFS(SF_Output!$S$1:$S$400,SF_Output!$AC$1:$AC$400,_xlfn.TEXTJOIN(",",TRUE,B164:E164),SF_Output!$Q$1:$Q$400,"monthly"))</f>
        <v>105</v>
      </c>
      <c r="W164" s="112" cm="1">
        <f t="array" ref="W164">_xlfn.IFS(OR(B164=0,B164="",V164=0),"",AF164&lt;&gt;"exclusion",MAX($W$9,$W$7,(-(SUMIFS(SF_Output!$T$1:$T$400,SF_Output!$AC$1:$AC$400,_xlfn.TEXTJOIN(",",TRUE,$B164:$E164),SF_Output!$Q$1:$Q$400,"monthly"))/V164)),AF164="exclusion",-(SUMIFS(SF_Output!$T$1:$T$400,SF_Output!$AC$1:$AC$400,_xlfn.TEXTJOIN(",",TRUE,$B164:$E164),SF_Output!$Q$1:$Q$400,"monthly"))/V164)</f>
        <v>0.25</v>
      </c>
      <c r="X164" s="6" cm="1">
        <f t="array" ref="X164">IFERROR(_xlfn.IFS(V164=0,0,V164="","",W164=0,V164,OR(V164&lt;&gt;0,V164&lt;&gt;""),H164*I164),V164*(1-W164))</f>
        <v>79.000000000000014</v>
      </c>
      <c r="Z164" s="6">
        <f>IFERROR(IF(B164="","",SUMIFS(Billing_Fallout!H:H,Billing_Fallout!N:N,B164)),0)</f>
        <v>0</v>
      </c>
      <c r="AA164" s="6">
        <f t="shared" si="38"/>
        <v>0</v>
      </c>
      <c r="AB164" s="6">
        <f>IFERROR(IF(B164="","",SUMIFS(Billing_Fallout!J:J,Billing_Fallout!N:N,B164)),0)</f>
        <v>0</v>
      </c>
      <c r="AD164" s="6">
        <f t="shared" si="39"/>
        <v>79.000000000000014</v>
      </c>
      <c r="AF164" t="str">
        <f>IFERROR(INDEX(H_Tables!$B$1:$B$1500,MATCH(INDEX(SF_Output!$J$1:$J$400,MATCH(B164,SF_Output!$M$1:$M$400,0)),H_Tables!$A$1:$A$1500,0)),"")</f>
        <v>Exclusion</v>
      </c>
      <c r="AI164" s="119" t="str">
        <f t="shared" si="40"/>
        <v/>
      </c>
      <c r="AJ164" s="121">
        <f>IFERROR(INDEX(SF_Output!AD:AD,MATCH(_xlfn.TEXTJOIN(",",TRUE,B164:E164),SF_Output!AC1:AC400,0)),0.05)</f>
        <v>127</v>
      </c>
      <c r="AK164" t="str">
        <f>IF(SUMIFS(SF_Output!$F$1:$F$400,SF_Output!$AC$1:$AC$400,_xlfn.TEXTJOIN(",",TRUE,B164:E164))+SUMIFS(SF_Output!$G$1:$G$400,SF_Output!$AC$1:$AC$400,_xlfn.TEXTJOIN(",",TRUE,B164:E164))=0,"","PAP")</f>
        <v>PAP</v>
      </c>
      <c r="AQ164" s="35"/>
      <c r="AR164" s="35" t="str" cm="1">
        <f t="array" ref="AR164">IFERROR(_xlfn.IFS(AND(E164*1=1,F164="Included"),"Change to Included",AND(E164*1=0,F164="Optional"),"Change to Optional",OR(B164="",F164="replaced"),""),"")</f>
        <v/>
      </c>
      <c r="AS164" s="35" t="str">
        <f t="shared" si="41"/>
        <v/>
      </c>
      <c r="AT164" s="35" t="str">
        <f t="shared" si="42"/>
        <v/>
      </c>
      <c r="AU164" s="35" t="str">
        <f t="shared" si="43"/>
        <v/>
      </c>
      <c r="AV164" s="35" t="str">
        <f t="shared" si="44"/>
        <v/>
      </c>
      <c r="AW164" s="35" t="str">
        <f t="shared" si="45"/>
        <v/>
      </c>
      <c r="AX164" s="35" t="str">
        <f t="shared" si="46"/>
        <v/>
      </c>
      <c r="AY164" s="35" t="str">
        <f t="shared" si="47"/>
        <v/>
      </c>
      <c r="AZ164" s="35" t="str">
        <f t="shared" si="48"/>
        <v/>
      </c>
      <c r="BA164" s="35" t="str">
        <f t="shared" si="49"/>
        <v/>
      </c>
      <c r="BB164" s="35" t="str">
        <f t="shared" si="50"/>
        <v/>
      </c>
      <c r="BC164" s="35"/>
      <c r="BE164" s="35">
        <f ca="1">INDEX(SF_Output!$AA$2:$AA$400,MATCH($B164,SF_Output!$M$2:$M$400,0))</f>
        <v>8</v>
      </c>
      <c r="BF164" s="35">
        <f ca="1">INDEX(SF_Output!$AB$2:$AB$400,MATCH($B164,SF_Output!$M$2:$M$400,0))</f>
        <v>1</v>
      </c>
    </row>
    <row r="165" spans="2:58" x14ac:dyDescent="0.25">
      <c r="B165" t="s">
        <v>2304</v>
      </c>
      <c r="C165" t="s">
        <v>2122</v>
      </c>
      <c r="D165" t="s">
        <v>2123</v>
      </c>
      <c r="E165" t="s">
        <v>2124</v>
      </c>
      <c r="F165" s="116" t="str">
        <f t="shared" si="34"/>
        <v>Included</v>
      </c>
      <c r="G165" t="str">
        <f>IF(B165="","",INDEX(SF_Output!$K$1:$K$400,MATCH(B165,SF_Output!$M$1:$M$400,0)))</f>
        <v>Cognos</v>
      </c>
      <c r="H165" cm="1">
        <f t="array" ref="H165">_xlfn.IFS(B165="","",(SUMIFS(SF_Output!$F$1:$F$400,SF_Output!$AC$1:$AC$400,_xlfn.TEXTJOIN(",",TRUE,B165:E165))+SUMIFS(SF_Output!$G$1:$G$400,SF_Output!$AC$1:$AC$400,_xlfn.TEXTJOIN(",",TRUE,B165:E165)))&lt;&gt;0,SF_Output!$Y$2,INDEX(SF_Output!$F$1:$F$400,MATCH(_xlfn.TEXTJOIN(",",TRUE,B165:E165),SF_Output!$AC$1:$AC$400,0))=0,INDEX(SF_Output!$R$1:$R$400,MATCH(_xlfn.TEXTJOIN(",",TRUE,B165:E165),SF_Output!$AC$1:$AC$400,0)))</f>
        <v>5000</v>
      </c>
      <c r="I165" s="125">
        <f>IFERROR(IF(AND(H165&gt;1,H165&lt;&gt;""),ROUND(SUMIFS(SF_Output!$S$1:$S$400,SF_Output!$AC$1:$AC$400,_xlfn.TEXTJOIN(",",TRUE,B165:E165),SF_Output!$Q$1:$Q$400,"monthly")*(1-W165)/H165,4),""),"")</f>
        <v>1.5800000000000002E-2</v>
      </c>
      <c r="J165" s="6">
        <f>IF(B165="","",SUMIFS(SF_Output!$S$1:$S$400,SF_Output!$AC$1:$AC$400,_xlfn.TEXTJOIN(",",TRUE,B165:E165),SF_Output!$Q$1:$Q$400,"One Time",SF_Output!$L$1:$L$400,"license fee")+SUMIFS(SF_Output!$S$1:$S$400,SF_Output!$AC$1:$AC$400,_xlfn.TEXTJOIN(",",TRUE,B165:E165),SF_Output!$Q$1:$Q$400,"One Time",SF_Output!$L$1:$L$400,"software license")+SUMIFS(SF_Output!$S$1:$S$400,SF_Output!$AC$1:$AC$400,_xlfn.TEXTJOIN(",",TRUE,B165:E165),SF_Output!$Q$1:$Q$400,"One Time",SF_Output!$L$1:$L$400,"hardware"))</f>
        <v>0</v>
      </c>
      <c r="K165" s="112" t="str">
        <f>IF(OR(B165=0,B165="",G165="hardware",J165=0),"",IF(AF165&lt;&gt;"exclusion",MAX(K$9,-((SUMIFS(SF_Output!$T$1:$T$400,SF_Output!$AC$1:$AC$400,_xlfn.TEXTJOIN(",",TRUE,$B165:$E165),SF_Output!$Q$1:$Q$400,"One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license"))/J165)))</f>
        <v/>
      </c>
      <c r="L165" s="6">
        <f t="shared" si="35"/>
        <v>0</v>
      </c>
      <c r="N165" s="6">
        <f>IF(B165="","",SUMIFS(SF_Output!$S$1:$S$400,SF_Output!$AC$1:$AC$400,_xlfn.TEXTJOIN(",",TRUE,B165:E165),SF_Output!$Q$1:$Q$400,"One Time",SF_Output!$L$1:$L$400,"professional service"))</f>
        <v>1500</v>
      </c>
      <c r="O165" s="112">
        <f>IF(OR(B165=0,B165="",N165=0),"",IF(AF165&lt;&gt;"exclusion",MAX(O$9,-(SUMIFS(SF_Output!$T$1:$T$400,SF_Output!$AC$1:$AC$400,_xlfn.TEXTJOIN(",",TRUE,$B165:$E165),SF_Output!$Q$1:$Q$400,"One Time",SF_Output!$L$1:$L$400,"professional service"))/N165),-((SUMIFS(SF_Output!$T$1:$T$400,SF_Output!$AC$1:$AC$400,_xlfn.TEXTJOIN(",",TRUE,$B165:$E165),SF_Output!$Q$1:$Q$400,"One Time",SF_Output!$L$1:$L$400,"professional service")/N165))))</f>
        <v>1</v>
      </c>
      <c r="P165" s="6">
        <f t="shared" si="36"/>
        <v>0</v>
      </c>
      <c r="R165" s="6">
        <f>IF(B165="","",SUMIFS(SF_Output!$S$1:$S$400,SF_Output!$AC$1:$AC$400,_xlfn.TEXTJOIN(",",TRUE,B165:E165),SF_Output!$Q$1:$Q$400,"yearly")+SUMIFS(SF_Output!$S$1:$S$400,SF_Output!$AC$1:$AC$400,_xlfn.TEXTJOIN(",",TRUE,B165:E165),SF_Output!$Q$1:$Q$400,"quarterly")*4)</f>
        <v>0</v>
      </c>
      <c r="S165" s="112" t="str">
        <f>IF(OR(B165=0,B165="",G165="hardware",R165=0),"",IF(AF165&lt;&gt;"exclusion",MAX(S$9,-(SUMIFS(SF_Output!$T$1:$T$400,SF_Output!$AC$1:$AC$400,_xlfn.TEXTJOIN(",",TRUE,$B165:$E165),SF_Output!$Q$1:$Q$400,"yearly"))/R165),-((SUMIFS(SF_Output!$T$1:$T$400,SF_Output!$AC$1:$AC$400,_xlfn.TEXTJOIN(",",TRUE,$B165:$E165),SF_Output!$Q$1:$Q$400,"yearly")/R165))))</f>
        <v/>
      </c>
      <c r="T165" s="6">
        <f t="shared" si="37"/>
        <v>0</v>
      </c>
      <c r="V165" s="6" cm="1">
        <f t="array" ref="V165">_xlfn.IFS(B165="","",AND(B165&lt;&gt;"",H165=SF_Output!$Y$2,SUMIFS(SF_Output!$T$1:$T$400,SF_Output!$AC$1:$AC$400,_xlfn.TEXTJOIN(",",TRUE,B165:E165),SF_Output!$Q$1:$Q$400,"monthly")=0),(SUMIFS(SF_Output!$F$1:$F$400,SF_Output!$AC$1:$AC$400,_xlfn.TEXTJOIN(",",TRUE,B165:E165),SF_Output!$Q$1:$Q$400,"monthly")+SUMIFS(SF_Output!$G$1:$G$400,SF_Output!$AC$1:$AC$400,_xlfn.TEXTJOIN(",",TRUE,B165:E165),SF_Output!$Q$1:$Q$400,"monthly"))*H165,AND(B165&lt;&gt;"",H165=SF_Output!$Y$2,SUMIFS(SF_Output!$T$1:$T$400,SF_Output!$AC$1:$AC$400,_xlfn.TEXTJOIN(",",TRUE,B165:E165),SF_Output!$Q$1:$Q$400,"monthly")&lt;&gt;0),SUMIFS(SF_Output!$S$1:$S$400,SF_Output!$AC$1:$AC$400,_xlfn.TEXTJOIN(",",TRUE,B165:E165),SF_Output!$Q$1:$Q$400,"monthly"),AND(B165&lt;&gt;"",H165&lt;&gt;SF_Output!$Y$2),SUMIFS(SF_Output!$S$1:$S$400,SF_Output!$AC$1:$AC$400,_xlfn.TEXTJOIN(",",TRUE,B165:E165),SF_Output!$Q$1:$Q$400,"monthly"))</f>
        <v>105</v>
      </c>
      <c r="W165" s="112" cm="1">
        <f t="array" ref="W165">_xlfn.IFS(OR(B165=0,B165="",V165=0),"",AF165&lt;&gt;"exclusion",MAX($W$9,$W$7,(-(SUMIFS(SF_Output!$T$1:$T$400,SF_Output!$AC$1:$AC$400,_xlfn.TEXTJOIN(",",TRUE,$B165:$E165),SF_Output!$Q$1:$Q$400,"monthly"))/V165)),AF165="exclusion",-(SUMIFS(SF_Output!$T$1:$T$400,SF_Output!$AC$1:$AC$400,_xlfn.TEXTJOIN(",",TRUE,$B165:$E165),SF_Output!$Q$1:$Q$400,"monthly"))/V165)</f>
        <v>0.25</v>
      </c>
      <c r="X165" s="6" cm="1">
        <f t="array" ref="X165">IFERROR(_xlfn.IFS(V165=0,0,V165="","",W165=0,V165,OR(V165&lt;&gt;0,V165&lt;&gt;""),H165*I165),V165*(1-W165))</f>
        <v>79.000000000000014</v>
      </c>
      <c r="Z165" s="6">
        <f>IFERROR(IF(B165="","",SUMIFS(Billing_Fallout!H:H,Billing_Fallout!N:N,B165)),0)</f>
        <v>0</v>
      </c>
      <c r="AA165" s="6">
        <f t="shared" si="38"/>
        <v>0</v>
      </c>
      <c r="AB165" s="6">
        <f>IFERROR(IF(B165="","",SUMIFS(Billing_Fallout!J:J,Billing_Fallout!N:N,B165)),0)</f>
        <v>0</v>
      </c>
      <c r="AD165" s="6">
        <f t="shared" si="39"/>
        <v>79.000000000000014</v>
      </c>
      <c r="AF165" t="str">
        <f>IFERROR(INDEX(H_Tables!$B$1:$B$1500,MATCH(INDEX(SF_Output!$J$1:$J$400,MATCH(B165,SF_Output!$M$1:$M$400,0)),H_Tables!$A$1:$A$1500,0)),"")</f>
        <v>Exclusion</v>
      </c>
      <c r="AI165" s="119" t="str">
        <f t="shared" si="40"/>
        <v/>
      </c>
      <c r="AJ165" s="121">
        <f>IFERROR(INDEX(SF_Output!AD:AD,MATCH(_xlfn.TEXTJOIN(",",TRUE,B165:E165),SF_Output!AC1:AC400,0)),0.05)</f>
        <v>129</v>
      </c>
      <c r="AK165" t="str">
        <f>IF(SUMIFS(SF_Output!$F$1:$F$400,SF_Output!$AC$1:$AC$400,_xlfn.TEXTJOIN(",",TRUE,B165:E165))+SUMIFS(SF_Output!$G$1:$G$400,SF_Output!$AC$1:$AC$400,_xlfn.TEXTJOIN(",",TRUE,B165:E165))=0,"","PAP")</f>
        <v>PAP</v>
      </c>
      <c r="AQ165" s="35"/>
      <c r="AR165" s="35" t="str" cm="1">
        <f t="array" ref="AR165">IFERROR(_xlfn.IFS(AND(E165*1=1,F165="Included"),"Change to Included",AND(E165*1=0,F165="Optional"),"Change to Optional",OR(B165="",F165="replaced"),""),"")</f>
        <v/>
      </c>
      <c r="AS165" s="35" t="str">
        <f t="shared" si="41"/>
        <v/>
      </c>
      <c r="AT165" s="35" t="str">
        <f t="shared" si="42"/>
        <v/>
      </c>
      <c r="AU165" s="35" t="str">
        <f t="shared" si="43"/>
        <v/>
      </c>
      <c r="AV165" s="35" t="str">
        <f t="shared" si="44"/>
        <v/>
      </c>
      <c r="AW165" s="35" t="str">
        <f t="shared" si="45"/>
        <v/>
      </c>
      <c r="AX165" s="35" t="str">
        <f t="shared" si="46"/>
        <v/>
      </c>
      <c r="AY165" s="35" t="str">
        <f t="shared" si="47"/>
        <v/>
      </c>
      <c r="AZ165" s="35" t="str">
        <f t="shared" si="48"/>
        <v/>
      </c>
      <c r="BA165" s="35" t="str">
        <f t="shared" si="49"/>
        <v/>
      </c>
      <c r="BB165" s="35" t="str">
        <f t="shared" si="50"/>
        <v/>
      </c>
      <c r="BC165" s="35"/>
      <c r="BE165" s="35">
        <f ca="1">INDEX(SF_Output!$AA$2:$AA$400,MATCH($B165,SF_Output!$M$2:$M$400,0))</f>
        <v>8</v>
      </c>
      <c r="BF165" s="35">
        <f ca="1">INDEX(SF_Output!$AB$2:$AB$400,MATCH($B165,SF_Output!$M$2:$M$400,0))</f>
        <v>1</v>
      </c>
    </row>
    <row r="166" spans="2:58" x14ac:dyDescent="0.25">
      <c r="B166" t="s">
        <v>2305</v>
      </c>
      <c r="C166" t="s">
        <v>2122</v>
      </c>
      <c r="D166" t="s">
        <v>2123</v>
      </c>
      <c r="E166" t="s">
        <v>2124</v>
      </c>
      <c r="F166" s="116" t="str">
        <f t="shared" si="34"/>
        <v>Included</v>
      </c>
      <c r="G166" t="str">
        <f>IF(B166="","",INDEX(SF_Output!$K$1:$K$400,MATCH(B166,SF_Output!$M$1:$M$400,0)))</f>
        <v>Cognos</v>
      </c>
      <c r="H166" cm="1">
        <f t="array" ref="H166">_xlfn.IFS(B166="","",(SUMIFS(SF_Output!$F$1:$F$400,SF_Output!$AC$1:$AC$400,_xlfn.TEXTJOIN(",",TRUE,B166:E166))+SUMIFS(SF_Output!$G$1:$G$400,SF_Output!$AC$1:$AC$400,_xlfn.TEXTJOIN(",",TRUE,B166:E166)))&lt;&gt;0,SF_Output!$Y$2,INDEX(SF_Output!$F$1:$F$400,MATCH(_xlfn.TEXTJOIN(",",TRUE,B166:E166),SF_Output!$AC$1:$AC$400,0))=0,INDEX(SF_Output!$R$1:$R$400,MATCH(_xlfn.TEXTJOIN(",",TRUE,B166:E166),SF_Output!$AC$1:$AC$400,0)))</f>
        <v>5000</v>
      </c>
      <c r="I166" s="125">
        <f>IFERROR(IF(AND(H166&gt;1,H166&lt;&gt;""),ROUND(SUMIFS(SF_Output!$S$1:$S$400,SF_Output!$AC$1:$AC$400,_xlfn.TEXTJOIN(",",TRUE,B166:E166),SF_Output!$Q$1:$Q$400,"monthly")*(1-W166)/H166,4),""),"")</f>
        <v>1.5800000000000002E-2</v>
      </c>
      <c r="J166" s="6">
        <f>IF(B166="","",SUMIFS(SF_Output!$S$1:$S$400,SF_Output!$AC$1:$AC$400,_xlfn.TEXTJOIN(",",TRUE,B166:E166),SF_Output!$Q$1:$Q$400,"One Time",SF_Output!$L$1:$L$400,"license fee")+SUMIFS(SF_Output!$S$1:$S$400,SF_Output!$AC$1:$AC$400,_xlfn.TEXTJOIN(",",TRUE,B166:E166),SF_Output!$Q$1:$Q$400,"One Time",SF_Output!$L$1:$L$400,"software license")+SUMIFS(SF_Output!$S$1:$S$400,SF_Output!$AC$1:$AC$400,_xlfn.TEXTJOIN(",",TRUE,B166:E166),SF_Output!$Q$1:$Q$400,"One Time",SF_Output!$L$1:$L$400,"hardware"))</f>
        <v>0</v>
      </c>
      <c r="K166" s="112" t="str">
        <f>IF(OR(B166=0,B166="",G166="hardware",J166=0),"",IF(AF166&lt;&gt;"exclusion",MAX(K$9,-((SUMIFS(SF_Output!$T$1:$T$400,SF_Output!$AC$1:$AC$400,_xlfn.TEXTJOIN(",",TRUE,$B166:$E166),SF_Output!$Q$1:$Q$400,"One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license"))/J166)))</f>
        <v/>
      </c>
      <c r="L166" s="6">
        <f t="shared" si="35"/>
        <v>0</v>
      </c>
      <c r="N166" s="6">
        <f>IF(B166="","",SUMIFS(SF_Output!$S$1:$S$400,SF_Output!$AC$1:$AC$400,_xlfn.TEXTJOIN(",",TRUE,B166:E166),SF_Output!$Q$1:$Q$400,"One Time",SF_Output!$L$1:$L$400,"professional service"))</f>
        <v>0</v>
      </c>
      <c r="O166" s="112" t="str">
        <f>IF(OR(B166=0,B166="",N166=0),"",IF(AF166&lt;&gt;"exclusion",MAX(O$9,-(SUMIFS(SF_Output!$T$1:$T$400,SF_Output!$AC$1:$AC$400,_xlfn.TEXTJOIN(",",TRUE,$B166:$E166),SF_Output!$Q$1:$Q$400,"One Time",SF_Output!$L$1:$L$400,"professional service"))/N166),-((SUMIFS(SF_Output!$T$1:$T$400,SF_Output!$AC$1:$AC$400,_xlfn.TEXTJOIN(",",TRUE,$B166:$E166),SF_Output!$Q$1:$Q$400,"One Time",SF_Output!$L$1:$L$400,"professional service")/N166))))</f>
        <v/>
      </c>
      <c r="P166" s="6">
        <f t="shared" si="36"/>
        <v>0</v>
      </c>
      <c r="R166" s="6">
        <f>IF(B166="","",SUMIFS(SF_Output!$S$1:$S$400,SF_Output!$AC$1:$AC$400,_xlfn.TEXTJOIN(",",TRUE,B166:E166),SF_Output!$Q$1:$Q$400,"yearly")+SUMIFS(SF_Output!$S$1:$S$400,SF_Output!$AC$1:$AC$400,_xlfn.TEXTJOIN(",",TRUE,B166:E166),SF_Output!$Q$1:$Q$400,"quarterly")*4)</f>
        <v>0</v>
      </c>
      <c r="S166" s="112" t="str">
        <f>IF(OR(B166=0,B166="",G166="hardware",R166=0),"",IF(AF166&lt;&gt;"exclusion",MAX(S$9,-(SUMIFS(SF_Output!$T$1:$T$400,SF_Output!$AC$1:$AC$400,_xlfn.TEXTJOIN(",",TRUE,$B166:$E166),SF_Output!$Q$1:$Q$400,"yearly"))/R166),-((SUMIFS(SF_Output!$T$1:$T$400,SF_Output!$AC$1:$AC$400,_xlfn.TEXTJOIN(",",TRUE,$B166:$E166),SF_Output!$Q$1:$Q$400,"yearly")/R166))))</f>
        <v/>
      </c>
      <c r="T166" s="6">
        <f t="shared" si="37"/>
        <v>0</v>
      </c>
      <c r="V166" s="6" cm="1">
        <f t="array" ref="V166">_xlfn.IFS(B166="","",AND(B166&lt;&gt;"",H166=SF_Output!$Y$2,SUMIFS(SF_Output!$T$1:$T$400,SF_Output!$AC$1:$AC$400,_xlfn.TEXTJOIN(",",TRUE,B166:E166),SF_Output!$Q$1:$Q$400,"monthly")=0),(SUMIFS(SF_Output!$F$1:$F$400,SF_Output!$AC$1:$AC$400,_xlfn.TEXTJOIN(",",TRUE,B166:E166),SF_Output!$Q$1:$Q$400,"monthly")+SUMIFS(SF_Output!$G$1:$G$400,SF_Output!$AC$1:$AC$400,_xlfn.TEXTJOIN(",",TRUE,B166:E166),SF_Output!$Q$1:$Q$400,"monthly"))*H166,AND(B166&lt;&gt;"",H166=SF_Output!$Y$2,SUMIFS(SF_Output!$T$1:$T$400,SF_Output!$AC$1:$AC$400,_xlfn.TEXTJOIN(",",TRUE,B166:E166),SF_Output!$Q$1:$Q$400,"monthly")&lt;&gt;0),SUMIFS(SF_Output!$S$1:$S$400,SF_Output!$AC$1:$AC$400,_xlfn.TEXTJOIN(",",TRUE,B166:E166),SF_Output!$Q$1:$Q$400,"monthly"),AND(B166&lt;&gt;"",H166&lt;&gt;SF_Output!$Y$2),SUMIFS(SF_Output!$S$1:$S$400,SF_Output!$AC$1:$AC$400,_xlfn.TEXTJOIN(",",TRUE,B166:E166),SF_Output!$Q$1:$Q$400,"monthly"))</f>
        <v>105</v>
      </c>
      <c r="W166" s="112" cm="1">
        <f t="array" ref="W166">_xlfn.IFS(OR(B166=0,B166="",V166=0),"",AF166&lt;&gt;"exclusion",MAX($W$9,$W$7,(-(SUMIFS(SF_Output!$T$1:$T$400,SF_Output!$AC$1:$AC$400,_xlfn.TEXTJOIN(",",TRUE,$B166:$E166),SF_Output!$Q$1:$Q$400,"monthly"))/V166)),AF166="exclusion",-(SUMIFS(SF_Output!$T$1:$T$400,SF_Output!$AC$1:$AC$400,_xlfn.TEXTJOIN(",",TRUE,$B166:$E166),SF_Output!$Q$1:$Q$400,"monthly"))/V166)</f>
        <v>0.25</v>
      </c>
      <c r="X166" s="6" cm="1">
        <f t="array" ref="X166">IFERROR(_xlfn.IFS(V166=0,0,V166="","",W166=0,V166,OR(V166&lt;&gt;0,V166&lt;&gt;""),H166*I166),V166*(1-W166))</f>
        <v>79.000000000000014</v>
      </c>
      <c r="Z166" s="6">
        <f>IFERROR(IF(B166="","",SUMIFS(Billing_Fallout!H:H,Billing_Fallout!N:N,B166)),0)</f>
        <v>0</v>
      </c>
      <c r="AA166" s="6">
        <f t="shared" si="38"/>
        <v>0</v>
      </c>
      <c r="AB166" s="6">
        <f>IFERROR(IF(B166="","",SUMIFS(Billing_Fallout!J:J,Billing_Fallout!N:N,B166)),0)</f>
        <v>0</v>
      </c>
      <c r="AD166" s="6">
        <f t="shared" si="39"/>
        <v>79.000000000000014</v>
      </c>
      <c r="AF166" t="str">
        <f>IFERROR(INDEX(H_Tables!$B$1:$B$1500,MATCH(INDEX(SF_Output!$J$1:$J$400,MATCH(B166,SF_Output!$M$1:$M$400,0)),H_Tables!$A$1:$A$1500,0)),"")</f>
        <v>Exclusion</v>
      </c>
      <c r="AI166" s="119" t="str">
        <f t="shared" si="40"/>
        <v/>
      </c>
      <c r="AJ166" s="121">
        <f>IFERROR(INDEX(SF_Output!AD:AD,MATCH(_xlfn.TEXTJOIN(",",TRUE,B166:E166),SF_Output!AC1:AC400,0)),0.05)</f>
        <v>131</v>
      </c>
      <c r="AK166" t="str">
        <f>IF(SUMIFS(SF_Output!$F$1:$F$400,SF_Output!$AC$1:$AC$400,_xlfn.TEXTJOIN(",",TRUE,B166:E166))+SUMIFS(SF_Output!$G$1:$G$400,SF_Output!$AC$1:$AC$400,_xlfn.TEXTJOIN(",",TRUE,B166:E166))=0,"","PAP")</f>
        <v>PAP</v>
      </c>
      <c r="AQ166" s="35"/>
      <c r="AR166" s="35" t="str" cm="1">
        <f t="array" ref="AR166">IFERROR(_xlfn.IFS(AND(E166*1=1,F166="Included"),"Change to Included",AND(E166*1=0,F166="Optional"),"Change to Optional",OR(B166="",F166="replaced"),""),"")</f>
        <v/>
      </c>
      <c r="AS166" s="35" t="str">
        <f t="shared" si="41"/>
        <v/>
      </c>
      <c r="AT166" s="35" t="str">
        <f t="shared" si="42"/>
        <v/>
      </c>
      <c r="AU166" s="35" t="str">
        <f t="shared" si="43"/>
        <v/>
      </c>
      <c r="AV166" s="35" t="str">
        <f t="shared" si="44"/>
        <v/>
      </c>
      <c r="AW166" s="35" t="str">
        <f t="shared" si="45"/>
        <v/>
      </c>
      <c r="AX166" s="35" t="str">
        <f t="shared" si="46"/>
        <v/>
      </c>
      <c r="AY166" s="35" t="str">
        <f t="shared" si="47"/>
        <v/>
      </c>
      <c r="AZ166" s="35" t="str">
        <f t="shared" si="48"/>
        <v/>
      </c>
      <c r="BA166" s="35" t="str">
        <f t="shared" si="49"/>
        <v/>
      </c>
      <c r="BB166" s="35" t="str">
        <f t="shared" si="50"/>
        <v/>
      </c>
      <c r="BC166" s="35"/>
      <c r="BE166" s="35">
        <f ca="1">INDEX(SF_Output!$AA$2:$AA$400,MATCH($B166,SF_Output!$M$2:$M$400,0))</f>
        <v>8</v>
      </c>
      <c r="BF166" s="35">
        <f ca="1">INDEX(SF_Output!$AB$2:$AB$400,MATCH($B166,SF_Output!$M$2:$M$400,0))</f>
        <v>1</v>
      </c>
    </row>
    <row r="167" spans="2:58" x14ac:dyDescent="0.25">
      <c r="B167" t="s">
        <v>1457</v>
      </c>
      <c r="C167" t="s">
        <v>2122</v>
      </c>
      <c r="D167" t="s">
        <v>2207</v>
      </c>
      <c r="E167" t="s">
        <v>2124</v>
      </c>
      <c r="F167" s="116" t="str">
        <f t="shared" si="34"/>
        <v>Included</v>
      </c>
      <c r="G167" t="str">
        <f>IF(B167="","",INDEX(SF_Output!$K$1:$K$400,MATCH(B167,SF_Output!$M$1:$M$400,0)))</f>
        <v>ProfitStars Financial Performance</v>
      </c>
      <c r="H167" cm="1">
        <f t="array" ref="H167">_xlfn.IFS(B167="","",(SUMIFS(SF_Output!$F$1:$F$400,SF_Output!$AC$1:$AC$400,_xlfn.TEXTJOIN(",",TRUE,B167:E167))+SUMIFS(SF_Output!$G$1:$G$400,SF_Output!$AC$1:$AC$400,_xlfn.TEXTJOIN(",",TRUE,B167:E167)))&lt;&gt;0,SF_Output!$Y$2,INDEX(SF_Output!$F$1:$F$400,MATCH(_xlfn.TEXTJOIN(",",TRUE,B167:E167),SF_Output!$AC$1:$AC$400,0))=0,INDEX(SF_Output!$R$1:$R$400,MATCH(_xlfn.TEXTJOIN(",",TRUE,B167:E167),SF_Output!$AC$1:$AC$400,0)))</f>
        <v>5000</v>
      </c>
      <c r="I167" s="125">
        <f>IFERROR(IF(AND(H167&gt;1,H167&lt;&gt;""),ROUND(SUMIFS(SF_Output!$S$1:$S$400,SF_Output!$AC$1:$AC$400,_xlfn.TEXTJOIN(",",TRUE,B167:E167),SF_Output!$Q$1:$Q$400,"monthly")*(1-W167)/H167,4),""),"")</f>
        <v>2.7799999999999998E-2</v>
      </c>
      <c r="J167" s="6">
        <f>IF(B167="","",SUMIFS(SF_Output!$S$1:$S$400,SF_Output!$AC$1:$AC$400,_xlfn.TEXTJOIN(",",TRUE,B167:E167),SF_Output!$Q$1:$Q$400,"One Time",SF_Output!$L$1:$L$400,"license fee")+SUMIFS(SF_Output!$S$1:$S$400,SF_Output!$AC$1:$AC$400,_xlfn.TEXTJOIN(",",TRUE,B167:E167),SF_Output!$Q$1:$Q$400,"One Time",SF_Output!$L$1:$L$400,"software license")+SUMIFS(SF_Output!$S$1:$S$400,SF_Output!$AC$1:$AC$400,_xlfn.TEXTJOIN(",",TRUE,B167:E167),SF_Output!$Q$1:$Q$400,"One Time",SF_Output!$L$1:$L$400,"hardware"))</f>
        <v>0</v>
      </c>
      <c r="K167" s="112" t="str">
        <f>IF(OR(B167=0,B167="",G167="hardware",J167=0),"",IF(AF167&lt;&gt;"exclusion",MAX(K$9,-((SUMIFS(SF_Output!$T$1:$T$400,SF_Output!$AC$1:$AC$400,_xlfn.TEXTJOIN(",",TRUE,$B167:$E167),SF_Output!$Q$1:$Q$400,"One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license"))/J167)))</f>
        <v/>
      </c>
      <c r="L167" s="6">
        <f t="shared" si="35"/>
        <v>0</v>
      </c>
      <c r="N167" s="6">
        <f>IF(B167="","",SUMIFS(SF_Output!$S$1:$S$400,SF_Output!$AC$1:$AC$400,_xlfn.TEXTJOIN(",",TRUE,B167:E167),SF_Output!$Q$1:$Q$400,"One Time",SF_Output!$L$1:$L$400,"professional service"))</f>
        <v>0</v>
      </c>
      <c r="O167" s="112" t="str">
        <f>IF(OR(B167=0,B167="",N167=0),"",IF(AF167&lt;&gt;"exclusion",MAX(O$9,-(SUMIFS(SF_Output!$T$1:$T$400,SF_Output!$AC$1:$AC$400,_xlfn.TEXTJOIN(",",TRUE,$B167:$E167),SF_Output!$Q$1:$Q$400,"One Time",SF_Output!$L$1:$L$400,"professional service"))/N167),-((SUMIFS(SF_Output!$T$1:$T$400,SF_Output!$AC$1:$AC$400,_xlfn.TEXTJOIN(",",TRUE,$B167:$E167),SF_Output!$Q$1:$Q$400,"One Time",SF_Output!$L$1:$L$400,"professional service")/N167))))</f>
        <v/>
      </c>
      <c r="P167" s="6">
        <f t="shared" si="36"/>
        <v>0</v>
      </c>
      <c r="R167" s="6">
        <f>IF(B167="","",SUMIFS(SF_Output!$S$1:$S$400,SF_Output!$AC$1:$AC$400,_xlfn.TEXTJOIN(",",TRUE,B167:E167),SF_Output!$Q$1:$Q$400,"yearly")+SUMIFS(SF_Output!$S$1:$S$400,SF_Output!$AC$1:$AC$400,_xlfn.TEXTJOIN(",",TRUE,B167:E167),SF_Output!$Q$1:$Q$400,"quarterly")*4)</f>
        <v>0</v>
      </c>
      <c r="S167" s="112" t="str">
        <f>IF(OR(B167=0,B167="",G167="hardware",R167=0),"",IF(AF167&lt;&gt;"exclusion",MAX(S$9,-(SUMIFS(SF_Output!$T$1:$T$400,SF_Output!$AC$1:$AC$400,_xlfn.TEXTJOIN(",",TRUE,$B167:$E167),SF_Output!$Q$1:$Q$400,"yearly"))/R167),-((SUMIFS(SF_Output!$T$1:$T$400,SF_Output!$AC$1:$AC$400,_xlfn.TEXTJOIN(",",TRUE,$B167:$E167),SF_Output!$Q$1:$Q$400,"yearly")/R167))))</f>
        <v/>
      </c>
      <c r="T167" s="6">
        <f t="shared" si="37"/>
        <v>0</v>
      </c>
      <c r="V167" s="6" cm="1">
        <f t="array" ref="V167">_xlfn.IFS(B167="","",AND(B167&lt;&gt;"",H167=SF_Output!$Y$2,SUMIFS(SF_Output!$T$1:$T$400,SF_Output!$AC$1:$AC$400,_xlfn.TEXTJOIN(",",TRUE,B167:E167),SF_Output!$Q$1:$Q$400,"monthly")=0),(SUMIFS(SF_Output!$F$1:$F$400,SF_Output!$AC$1:$AC$400,_xlfn.TEXTJOIN(",",TRUE,B167:E167),SF_Output!$Q$1:$Q$400,"monthly")+SUMIFS(SF_Output!$G$1:$G$400,SF_Output!$AC$1:$AC$400,_xlfn.TEXTJOIN(",",TRUE,B167:E167),SF_Output!$Q$1:$Q$400,"monthly"))*H167,AND(B167&lt;&gt;"",H167=SF_Output!$Y$2,SUMIFS(SF_Output!$T$1:$T$400,SF_Output!$AC$1:$AC$400,_xlfn.TEXTJOIN(",",TRUE,B167:E167),SF_Output!$Q$1:$Q$400,"monthly")&lt;&gt;0),SUMIFS(SF_Output!$S$1:$S$400,SF_Output!$AC$1:$AC$400,_xlfn.TEXTJOIN(",",TRUE,B167:E167),SF_Output!$Q$1:$Q$400,"monthly"),AND(B167&lt;&gt;"",H167&lt;&gt;SF_Output!$Y$2),SUMIFS(SF_Output!$S$1:$S$400,SF_Output!$AC$1:$AC$400,_xlfn.TEXTJOIN(",",TRUE,B167:E167),SF_Output!$Q$1:$Q$400,"monthly"))</f>
        <v>185</v>
      </c>
      <c r="W167" s="112" cm="1">
        <f t="array" ref="W167">_xlfn.IFS(OR(B167=0,B167="",V167=0),"",AF167&lt;&gt;"exclusion",MAX($W$9,$W$7,(-(SUMIFS(SF_Output!$T$1:$T$400,SF_Output!$AC$1:$AC$400,_xlfn.TEXTJOIN(",",TRUE,$B167:$E167),SF_Output!$Q$1:$Q$400,"monthly"))/V167)),AF167="exclusion",-(SUMIFS(SF_Output!$T$1:$T$400,SF_Output!$AC$1:$AC$400,_xlfn.TEXTJOIN(",",TRUE,$B167:$E167),SF_Output!$Q$1:$Q$400,"monthly"))/V167)</f>
        <v>0.25</v>
      </c>
      <c r="X167" s="6" cm="1">
        <f t="array" ref="X167">IFERROR(_xlfn.IFS(V167=0,0,V167="","",W167=0,V167,OR(V167&lt;&gt;0,V167&lt;&gt;""),H167*I167),V167*(1-W167))</f>
        <v>139</v>
      </c>
      <c r="Z167" s="6">
        <f>IFERROR(IF(B167="","",SUMIFS(Billing_Fallout!H:H,Billing_Fallout!N:N,B167)),0)</f>
        <v>0</v>
      </c>
      <c r="AA167" s="6">
        <f t="shared" si="38"/>
        <v>0</v>
      </c>
      <c r="AB167" s="6">
        <f>IFERROR(IF(B167="","",SUMIFS(Billing_Fallout!J:J,Billing_Fallout!N:N,B167)),0)</f>
        <v>0</v>
      </c>
      <c r="AD167" s="6">
        <f t="shared" si="39"/>
        <v>139</v>
      </c>
      <c r="AF167" t="str">
        <f>IFERROR(INDEX(H_Tables!$B$1:$B$1500,MATCH(INDEX(SF_Output!$J$1:$J$400,MATCH(B167,SF_Output!$M$1:$M$400,0)),H_Tables!$A$1:$A$1500,0)),"")</f>
        <v>Exclusion</v>
      </c>
      <c r="AI167" s="119" t="str">
        <f t="shared" si="40"/>
        <v/>
      </c>
      <c r="AJ167" s="121">
        <f>IFERROR(INDEX(SF_Output!AD:AD,MATCH(_xlfn.TEXTJOIN(",",TRUE,B167:E167),SF_Output!AC1:AC400,0)),0.05)</f>
        <v>154</v>
      </c>
      <c r="AK167" t="str">
        <f>IF(SUMIFS(SF_Output!$F$1:$F$400,SF_Output!$AC$1:$AC$400,_xlfn.TEXTJOIN(",",TRUE,B167:E167))+SUMIFS(SF_Output!$G$1:$G$400,SF_Output!$AC$1:$AC$400,_xlfn.TEXTJOIN(",",TRUE,B167:E167))=0,"","PAP")</f>
        <v>PAP</v>
      </c>
      <c r="AQ167" s="35"/>
      <c r="AR167" s="35" t="str" cm="1">
        <f t="array" ref="AR167">IFERROR(_xlfn.IFS(AND(E167*1=1,F167="Included"),"Change to Included",AND(E167*1=0,F167="Optional"),"Change to Optional",OR(B167="",F167="replaced"),""),"")</f>
        <v/>
      </c>
      <c r="AS167" s="35" t="str">
        <f t="shared" si="41"/>
        <v/>
      </c>
      <c r="AT167" s="35" t="str">
        <f t="shared" si="42"/>
        <v/>
      </c>
      <c r="AU167" s="35" t="str">
        <f t="shared" si="43"/>
        <v/>
      </c>
      <c r="AV167" s="35" t="str">
        <f t="shared" si="44"/>
        <v/>
      </c>
      <c r="AW167" s="35" t="str">
        <f t="shared" si="45"/>
        <v/>
      </c>
      <c r="AX167" s="35" t="str">
        <f t="shared" si="46"/>
        <v/>
      </c>
      <c r="AY167" s="35" t="str">
        <f t="shared" si="47"/>
        <v/>
      </c>
      <c r="AZ167" s="35" t="str">
        <f t="shared" si="48"/>
        <v/>
      </c>
      <c r="BA167" s="35" t="str">
        <f t="shared" si="49"/>
        <v/>
      </c>
      <c r="BB167" s="35" t="str">
        <f t="shared" si="50"/>
        <v/>
      </c>
      <c r="BC167" s="35"/>
      <c r="BE167" s="35">
        <f ca="1">INDEX(SF_Output!$AA$2:$AA$400,MATCH($B167,SF_Output!$M$2:$M$400,0))</f>
        <v>8</v>
      </c>
      <c r="BF167" s="35">
        <f ca="1">INDEX(SF_Output!$AB$2:$AB$400,MATCH($B167,SF_Output!$M$2:$M$400,0))</f>
        <v>1</v>
      </c>
    </row>
    <row r="168" spans="2:58" x14ac:dyDescent="0.25">
      <c r="B168" t="s">
        <v>1458</v>
      </c>
      <c r="C168" t="s">
        <v>2122</v>
      </c>
      <c r="D168" t="s">
        <v>2207</v>
      </c>
      <c r="E168" t="s">
        <v>2124</v>
      </c>
      <c r="F168" s="116" t="str">
        <f t="shared" si="34"/>
        <v>Included</v>
      </c>
      <c r="G168" t="str">
        <f>IF(B168="","",INDEX(SF_Output!$K$1:$K$400,MATCH(B168,SF_Output!$M$1:$M$400,0)))</f>
        <v>ProfitStars Financial Performance</v>
      </c>
      <c r="H168" cm="1">
        <f t="array" ref="H168">_xlfn.IFS(B168="","",(SUMIFS(SF_Output!$F$1:$F$400,SF_Output!$AC$1:$AC$400,_xlfn.TEXTJOIN(",",TRUE,B168:E168))+SUMIFS(SF_Output!$G$1:$G$400,SF_Output!$AC$1:$AC$400,_xlfn.TEXTJOIN(",",TRUE,B168:E168)))&lt;&gt;0,SF_Output!$Y$2,INDEX(SF_Output!$F$1:$F$400,MATCH(_xlfn.TEXTJOIN(",",TRUE,B168:E168),SF_Output!$AC$1:$AC$400,0))=0,INDEX(SF_Output!$R$1:$R$400,MATCH(_xlfn.TEXTJOIN(",",TRUE,B168:E168),SF_Output!$AC$1:$AC$400,0)))</f>
        <v>5000</v>
      </c>
      <c r="I168" s="125">
        <f>IFERROR(IF(AND(H168&gt;1,H168&lt;&gt;""),ROUND(SUMIFS(SF_Output!$S$1:$S$400,SF_Output!$AC$1:$AC$400,_xlfn.TEXTJOIN(",",TRUE,B168:E168),SF_Output!$Q$1:$Q$400,"monthly")*(1-W168)/H168,4),""),"")</f>
        <v>3.0800000000000001E-2</v>
      </c>
      <c r="J168" s="6">
        <f>IF(B168="","",SUMIFS(SF_Output!$S$1:$S$400,SF_Output!$AC$1:$AC$400,_xlfn.TEXTJOIN(",",TRUE,B168:E168),SF_Output!$Q$1:$Q$400,"One Time",SF_Output!$L$1:$L$400,"license fee")+SUMIFS(SF_Output!$S$1:$S$400,SF_Output!$AC$1:$AC$400,_xlfn.TEXTJOIN(",",TRUE,B168:E168),SF_Output!$Q$1:$Q$400,"One Time",SF_Output!$L$1:$L$400,"software license")+SUMIFS(SF_Output!$S$1:$S$400,SF_Output!$AC$1:$AC$400,_xlfn.TEXTJOIN(",",TRUE,B168:E168),SF_Output!$Q$1:$Q$400,"One Time",SF_Output!$L$1:$L$400,"hardware"))</f>
        <v>0</v>
      </c>
      <c r="K168" s="112" t="str">
        <f>IF(OR(B168=0,B168="",G168="hardware",J168=0),"",IF(AF168&lt;&gt;"exclusion",MAX(K$9,-((SUMIFS(SF_Output!$T$1:$T$400,SF_Output!$AC$1:$AC$400,_xlfn.TEXTJOIN(",",TRUE,$B168:$E168),SF_Output!$Q$1:$Q$400,"One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license"))/J168)))</f>
        <v/>
      </c>
      <c r="L168" s="6">
        <f t="shared" si="35"/>
        <v>0</v>
      </c>
      <c r="N168" s="6">
        <f>IF(B168="","",SUMIFS(SF_Output!$S$1:$S$400,SF_Output!$AC$1:$AC$400,_xlfn.TEXTJOIN(",",TRUE,B168:E168),SF_Output!$Q$1:$Q$400,"One Time",SF_Output!$L$1:$L$400,"professional service"))</f>
        <v>4000</v>
      </c>
      <c r="O168" s="112">
        <f>IF(OR(B168=0,B168="",N168=0),"",IF(AF168&lt;&gt;"exclusion",MAX(O$9,-(SUMIFS(SF_Output!$T$1:$T$400,SF_Output!$AC$1:$AC$400,_xlfn.TEXTJOIN(",",TRUE,$B168:$E168),SF_Output!$Q$1:$Q$400,"One Time",SF_Output!$L$1:$L$400,"professional service"))/N168),-((SUMIFS(SF_Output!$T$1:$T$400,SF_Output!$AC$1:$AC$400,_xlfn.TEXTJOIN(",",TRUE,$B168:$E168),SF_Output!$Q$1:$Q$400,"One Time",SF_Output!$L$1:$L$400,"professional service")/N168))))</f>
        <v>1</v>
      </c>
      <c r="P168" s="6">
        <f t="shared" si="36"/>
        <v>0</v>
      </c>
      <c r="R168" s="6">
        <f>IF(B168="","",SUMIFS(SF_Output!$S$1:$S$400,SF_Output!$AC$1:$AC$400,_xlfn.TEXTJOIN(",",TRUE,B168:E168),SF_Output!$Q$1:$Q$400,"yearly")+SUMIFS(SF_Output!$S$1:$S$400,SF_Output!$AC$1:$AC$400,_xlfn.TEXTJOIN(",",TRUE,B168:E168),SF_Output!$Q$1:$Q$400,"quarterly")*4)</f>
        <v>0</v>
      </c>
      <c r="S168" s="112" t="str">
        <f>IF(OR(B168=0,B168="",G168="hardware",R168=0),"",IF(AF168&lt;&gt;"exclusion",MAX(S$9,-(SUMIFS(SF_Output!$T$1:$T$400,SF_Output!$AC$1:$AC$400,_xlfn.TEXTJOIN(",",TRUE,$B168:$E168),SF_Output!$Q$1:$Q$400,"yearly"))/R168),-((SUMIFS(SF_Output!$T$1:$T$400,SF_Output!$AC$1:$AC$400,_xlfn.TEXTJOIN(",",TRUE,$B168:$E168),SF_Output!$Q$1:$Q$400,"yearly")/R168))))</f>
        <v/>
      </c>
      <c r="T168" s="6">
        <f t="shared" si="37"/>
        <v>0</v>
      </c>
      <c r="V168" s="6" cm="1">
        <f t="array" ref="V168">_xlfn.IFS(B168="","",AND(B168&lt;&gt;"",H168=SF_Output!$Y$2,SUMIFS(SF_Output!$T$1:$T$400,SF_Output!$AC$1:$AC$400,_xlfn.TEXTJOIN(",",TRUE,B168:E168),SF_Output!$Q$1:$Q$400,"monthly")=0),(SUMIFS(SF_Output!$F$1:$F$400,SF_Output!$AC$1:$AC$400,_xlfn.TEXTJOIN(",",TRUE,B168:E168),SF_Output!$Q$1:$Q$400,"monthly")+SUMIFS(SF_Output!$G$1:$G$400,SF_Output!$AC$1:$AC$400,_xlfn.TEXTJOIN(",",TRUE,B168:E168),SF_Output!$Q$1:$Q$400,"monthly"))*H168,AND(B168&lt;&gt;"",H168=SF_Output!$Y$2,SUMIFS(SF_Output!$T$1:$T$400,SF_Output!$AC$1:$AC$400,_xlfn.TEXTJOIN(",",TRUE,B168:E168),SF_Output!$Q$1:$Q$400,"monthly")&lt;&gt;0),SUMIFS(SF_Output!$S$1:$S$400,SF_Output!$AC$1:$AC$400,_xlfn.TEXTJOIN(",",TRUE,B168:E168),SF_Output!$Q$1:$Q$400,"monthly"),AND(B168&lt;&gt;"",H168&lt;&gt;SF_Output!$Y$2),SUMIFS(SF_Output!$S$1:$S$400,SF_Output!$AC$1:$AC$400,_xlfn.TEXTJOIN(",",TRUE,B168:E168),SF_Output!$Q$1:$Q$400,"monthly"))</f>
        <v>205</v>
      </c>
      <c r="W168" s="112" cm="1">
        <f t="array" ref="W168">_xlfn.IFS(OR(B168=0,B168="",V168=0),"",AF168&lt;&gt;"exclusion",MAX($W$9,$W$7,(-(SUMIFS(SF_Output!$T$1:$T$400,SF_Output!$AC$1:$AC$400,_xlfn.TEXTJOIN(",",TRUE,$B168:$E168),SF_Output!$Q$1:$Q$400,"monthly"))/V168)),AF168="exclusion",-(SUMIFS(SF_Output!$T$1:$T$400,SF_Output!$AC$1:$AC$400,_xlfn.TEXTJOIN(",",TRUE,$B168:$E168),SF_Output!$Q$1:$Q$400,"monthly"))/V168)</f>
        <v>0.25</v>
      </c>
      <c r="X168" s="6" cm="1">
        <f t="array" ref="X168">IFERROR(_xlfn.IFS(V168=0,0,V168="","",W168=0,V168,OR(V168&lt;&gt;0,V168&lt;&gt;""),H168*I168),V168*(1-W168))</f>
        <v>154</v>
      </c>
      <c r="Z168" s="6">
        <f>IFERROR(IF(B168="","",SUMIFS(Billing_Fallout!H:H,Billing_Fallout!N:N,B168)),0)</f>
        <v>0</v>
      </c>
      <c r="AA168" s="6">
        <f t="shared" si="38"/>
        <v>0</v>
      </c>
      <c r="AB168" s="6">
        <f>IFERROR(IF(B168="","",SUMIFS(Billing_Fallout!J:J,Billing_Fallout!N:N,B168)),0)</f>
        <v>0</v>
      </c>
      <c r="AD168" s="6">
        <f t="shared" si="39"/>
        <v>154</v>
      </c>
      <c r="AF168" t="str">
        <f>IFERROR(INDEX(H_Tables!$B$1:$B$1500,MATCH(INDEX(SF_Output!$J$1:$J$400,MATCH(B168,SF_Output!$M$1:$M$400,0)),H_Tables!$A$1:$A$1500,0)),"")</f>
        <v>Exclusion</v>
      </c>
      <c r="AI168" s="119" t="str">
        <f t="shared" si="40"/>
        <v/>
      </c>
      <c r="AJ168" s="121">
        <f>IFERROR(INDEX(SF_Output!AD:AD,MATCH(_xlfn.TEXTJOIN(",",TRUE,B168:E168),SF_Output!AC1:AC400,0)),0.05)</f>
        <v>155</v>
      </c>
      <c r="AK168" t="str">
        <f>IF(SUMIFS(SF_Output!$F$1:$F$400,SF_Output!$AC$1:$AC$400,_xlfn.TEXTJOIN(",",TRUE,B168:E168))+SUMIFS(SF_Output!$G$1:$G$400,SF_Output!$AC$1:$AC$400,_xlfn.TEXTJOIN(",",TRUE,B168:E168))=0,"","PAP")</f>
        <v>PAP</v>
      </c>
      <c r="AQ168" s="35"/>
      <c r="AR168" s="35" t="str" cm="1">
        <f t="array" ref="AR168">IFERROR(_xlfn.IFS(AND(E168*1=1,F168="Included"),"Change to Included",AND(E168*1=0,F168="Optional"),"Change to Optional",OR(B168="",F168="replaced"),""),"")</f>
        <v/>
      </c>
      <c r="AS168" s="35" t="str">
        <f t="shared" si="41"/>
        <v/>
      </c>
      <c r="AT168" s="35" t="str">
        <f t="shared" si="42"/>
        <v/>
      </c>
      <c r="AU168" s="35" t="str">
        <f t="shared" si="43"/>
        <v/>
      </c>
      <c r="AV168" s="35" t="str">
        <f t="shared" si="44"/>
        <v/>
      </c>
      <c r="AW168" s="35" t="str">
        <f t="shared" si="45"/>
        <v/>
      </c>
      <c r="AX168" s="35" t="str">
        <f t="shared" si="46"/>
        <v/>
      </c>
      <c r="AY168" s="35" t="str">
        <f t="shared" si="47"/>
        <v/>
      </c>
      <c r="AZ168" s="35" t="str">
        <f t="shared" si="48"/>
        <v/>
      </c>
      <c r="BA168" s="35" t="str">
        <f t="shared" si="49"/>
        <v/>
      </c>
      <c r="BB168" s="35" t="str">
        <f t="shared" si="50"/>
        <v/>
      </c>
      <c r="BC168" s="35"/>
      <c r="BE168" s="35">
        <f ca="1">INDEX(SF_Output!$AA$2:$AA$400,MATCH($B168,SF_Output!$M$2:$M$400,0))</f>
        <v>8</v>
      </c>
      <c r="BF168" s="35">
        <f ca="1">INDEX(SF_Output!$AB$2:$AB$400,MATCH($B168,SF_Output!$M$2:$M$400,0))</f>
        <v>1</v>
      </c>
    </row>
    <row r="169" spans="2:58" x14ac:dyDescent="0.25">
      <c r="B169" t="s">
        <v>2337</v>
      </c>
      <c r="C169" t="s">
        <v>2122</v>
      </c>
      <c r="D169" t="s">
        <v>2123</v>
      </c>
      <c r="E169" t="s">
        <v>2124</v>
      </c>
      <c r="F169" s="116" t="str">
        <f t="shared" si="34"/>
        <v>Included</v>
      </c>
      <c r="G169" t="str">
        <f>IF(B169="","",INDEX(SF_Output!$K$1:$K$400,MATCH(B169,SF_Output!$M$1:$M$400,0)))</f>
        <v>ProfitStars Financial Performance</v>
      </c>
      <c r="H169" cm="1">
        <f t="array" ref="H169">_xlfn.IFS(B169="","",(SUMIFS(SF_Output!$F$1:$F$400,SF_Output!$AC$1:$AC$400,_xlfn.TEXTJOIN(",",TRUE,B169:E169))+SUMIFS(SF_Output!$G$1:$G$400,SF_Output!$AC$1:$AC$400,_xlfn.TEXTJOIN(",",TRUE,B169:E169)))&lt;&gt;0,SF_Output!$Y$2,INDEX(SF_Output!$F$1:$F$400,MATCH(_xlfn.TEXTJOIN(",",TRUE,B169:E169),SF_Output!$AC$1:$AC$400,0))=0,INDEX(SF_Output!$R$1:$R$400,MATCH(_xlfn.TEXTJOIN(",",TRUE,B169:E169),SF_Output!$AC$1:$AC$400,0)))</f>
        <v>1</v>
      </c>
      <c r="I169" s="125" t="str">
        <f>IFERROR(IF(AND(H169&gt;1,H169&lt;&gt;""),ROUND(SUMIFS(SF_Output!$S$1:$S$400,SF_Output!$AC$1:$AC$400,_xlfn.TEXTJOIN(",",TRUE,B169:E169),SF_Output!$Q$1:$Q$400,"monthly")*(1-W169)/H169,4),""),"")</f>
        <v/>
      </c>
      <c r="J169" s="6">
        <f>IF(B169="","",SUMIFS(SF_Output!$S$1:$S$400,SF_Output!$AC$1:$AC$400,_xlfn.TEXTJOIN(",",TRUE,B169:E169),SF_Output!$Q$1:$Q$400,"One Time",SF_Output!$L$1:$L$400,"license fee")+SUMIFS(SF_Output!$S$1:$S$400,SF_Output!$AC$1:$AC$400,_xlfn.TEXTJOIN(",",TRUE,B169:E169),SF_Output!$Q$1:$Q$400,"One Time",SF_Output!$L$1:$L$400,"software license")+SUMIFS(SF_Output!$S$1:$S$400,SF_Output!$AC$1:$AC$400,_xlfn.TEXTJOIN(",",TRUE,B169:E169),SF_Output!$Q$1:$Q$400,"One Time",SF_Output!$L$1:$L$400,"hardware"))</f>
        <v>0</v>
      </c>
      <c r="K169" s="112" t="str">
        <f>IF(OR(B169=0,B169="",G169="hardware",J169=0),"",IF(AF169&lt;&gt;"exclusion",MAX(K$9,-((SUMIFS(SF_Output!$T$1:$T$400,SF_Output!$AC$1:$AC$400,_xlfn.TEXTJOIN(",",TRUE,$B169:$E169),SF_Output!$Q$1:$Q$400,"One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license"))/J169)))</f>
        <v/>
      </c>
      <c r="L169" s="6">
        <f t="shared" si="35"/>
        <v>0</v>
      </c>
      <c r="N169" s="6">
        <f>IF(B169="","",SUMIFS(SF_Output!$S$1:$S$400,SF_Output!$AC$1:$AC$400,_xlfn.TEXTJOIN(",",TRUE,B169:E169),SF_Output!$Q$1:$Q$400,"One Time",SF_Output!$L$1:$L$400,"professional service"))</f>
        <v>3200</v>
      </c>
      <c r="O169" s="112">
        <f>IF(OR(B169=0,B169="",N169=0),"",IF(AF169&lt;&gt;"exclusion",MAX(O$9,-(SUMIFS(SF_Output!$T$1:$T$400,SF_Output!$AC$1:$AC$400,_xlfn.TEXTJOIN(",",TRUE,$B169:$E169),SF_Output!$Q$1:$Q$400,"One Time",SF_Output!$L$1:$L$400,"professional service"))/N169),-((SUMIFS(SF_Output!$T$1:$T$400,SF_Output!$AC$1:$AC$400,_xlfn.TEXTJOIN(",",TRUE,$B169:$E169),SF_Output!$Q$1:$Q$400,"One Time",SF_Output!$L$1:$L$400,"professional service")/N169))))</f>
        <v>1</v>
      </c>
      <c r="P169" s="6">
        <f t="shared" si="36"/>
        <v>0</v>
      </c>
      <c r="R169" s="6">
        <f>IF(B169="","",SUMIFS(SF_Output!$S$1:$S$400,SF_Output!$AC$1:$AC$400,_xlfn.TEXTJOIN(",",TRUE,B169:E169),SF_Output!$Q$1:$Q$400,"yearly")+SUMIFS(SF_Output!$S$1:$S$400,SF_Output!$AC$1:$AC$400,_xlfn.TEXTJOIN(",",TRUE,B169:E169),SF_Output!$Q$1:$Q$400,"quarterly")*4)</f>
        <v>4940</v>
      </c>
      <c r="S169" s="112">
        <f>IF(OR(B169=0,B169="",G169="hardware",R169=0),"",IF(AF169&lt;&gt;"exclusion",MAX(S$9,-(SUMIFS(SF_Output!$T$1:$T$400,SF_Output!$AC$1:$AC$400,_xlfn.TEXTJOIN(",",TRUE,$B169:$E169),SF_Output!$Q$1:$Q$400,"yearly"))/R169),-((SUMIFS(SF_Output!$T$1:$T$400,SF_Output!$AC$1:$AC$400,_xlfn.TEXTJOIN(",",TRUE,$B169:$E169),SF_Output!$Q$1:$Q$400,"yearly")/R169))))</f>
        <v>0</v>
      </c>
      <c r="T169" s="6">
        <f t="shared" si="37"/>
        <v>4940</v>
      </c>
      <c r="V169" s="6" cm="1">
        <f t="array" ref="V169">_xlfn.IFS(B169="","",AND(B169&lt;&gt;"",H169=SF_Output!$Y$2,SUMIFS(SF_Output!$T$1:$T$400,SF_Output!$AC$1:$AC$400,_xlfn.TEXTJOIN(",",TRUE,B169:E169),SF_Output!$Q$1:$Q$400,"monthly")=0),(SUMIFS(SF_Output!$F$1:$F$400,SF_Output!$AC$1:$AC$400,_xlfn.TEXTJOIN(",",TRUE,B169:E169),SF_Output!$Q$1:$Q$400,"monthly")+SUMIFS(SF_Output!$G$1:$G$400,SF_Output!$AC$1:$AC$400,_xlfn.TEXTJOIN(",",TRUE,B169:E169),SF_Output!$Q$1:$Q$400,"monthly"))*H169,AND(B169&lt;&gt;"",H169=SF_Output!$Y$2,SUMIFS(SF_Output!$T$1:$T$400,SF_Output!$AC$1:$AC$400,_xlfn.TEXTJOIN(",",TRUE,B169:E169),SF_Output!$Q$1:$Q$400,"monthly")&lt;&gt;0),SUMIFS(SF_Output!$S$1:$S$400,SF_Output!$AC$1:$AC$400,_xlfn.TEXTJOIN(",",TRUE,B169:E169),SF_Output!$Q$1:$Q$400,"monthly"),AND(B169&lt;&gt;"",H169&lt;&gt;SF_Output!$Y$2),SUMIFS(SF_Output!$S$1:$S$400,SF_Output!$AC$1:$AC$400,_xlfn.TEXTJOIN(",",TRUE,B169:E169),SF_Output!$Q$1:$Q$400,"monthly"))</f>
        <v>0</v>
      </c>
      <c r="W169" s="112" t="str" cm="1">
        <f t="array" ref="W169">_xlfn.IFS(OR(B169=0,B169="",V169=0),"",AF169&lt;&gt;"exclusion",MAX($W$9,$W$7,(-(SUMIFS(SF_Output!$T$1:$T$400,SF_Output!$AC$1:$AC$400,_xlfn.TEXTJOIN(",",TRUE,$B169:$E169),SF_Output!$Q$1:$Q$400,"monthly"))/V169)),AF169="exclusion",-(SUMIFS(SF_Output!$T$1:$T$400,SF_Output!$AC$1:$AC$400,_xlfn.TEXTJOIN(",",TRUE,$B169:$E169),SF_Output!$Q$1:$Q$400,"monthly"))/V169)</f>
        <v/>
      </c>
      <c r="X169" s="6" cm="1">
        <f t="array" ref="X169">IFERROR(_xlfn.IFS(V169=0,0,V169="","",W169=0,V169,OR(V169&lt;&gt;0,V169&lt;&gt;""),H169*I169),V169*(1-W169))</f>
        <v>0</v>
      </c>
      <c r="Z169" s="6">
        <f>IFERROR(IF(B169="","",SUMIFS(Billing_Fallout!H:H,Billing_Fallout!N:N,B169)),0)</f>
        <v>0</v>
      </c>
      <c r="AA169" s="6">
        <f t="shared" si="38"/>
        <v>0</v>
      </c>
      <c r="AB169" s="6">
        <f>IFERROR(IF(B169="","",SUMIFS(Billing_Fallout!J:J,Billing_Fallout!N:N,B169)),0)</f>
        <v>0</v>
      </c>
      <c r="AD169" s="6">
        <f t="shared" si="39"/>
        <v>0</v>
      </c>
      <c r="AF169" t="str">
        <f>IFERROR(INDEX(H_Tables!$B$1:$B$1500,MATCH(INDEX(SF_Output!$J$1:$J$400,MATCH(B169,SF_Output!$M$1:$M$400,0)),H_Tables!$A$1:$A$1500,0)),"")</f>
        <v>Exclusion</v>
      </c>
      <c r="AI169" s="119" t="str">
        <f t="shared" si="40"/>
        <v/>
      </c>
      <c r="AJ169" s="121">
        <f>IFERROR(INDEX(SF_Output!AD:AD,MATCH(_xlfn.TEXTJOIN(",",TRUE,B169:E169),SF_Output!AC1:AC400,0)),0.05)</f>
        <v>157</v>
      </c>
      <c r="AK169" t="str">
        <f>IF(SUMIFS(SF_Output!$F$1:$F$400,SF_Output!$AC$1:$AC$400,_xlfn.TEXTJOIN(",",TRUE,B169:E169))+SUMIFS(SF_Output!$G$1:$G$400,SF_Output!$AC$1:$AC$400,_xlfn.TEXTJOIN(",",TRUE,B169:E169))=0,"","PAP")</f>
        <v/>
      </c>
      <c r="AQ169" s="35"/>
      <c r="AR169" s="35" t="str" cm="1">
        <f t="array" ref="AR169">IFERROR(_xlfn.IFS(AND(E169*1=1,F169="Included"),"Change to Included",AND(E169*1=0,F169="Optional"),"Change to Optional",OR(B169="",F169="replaced"),""),"")</f>
        <v/>
      </c>
      <c r="AS169" s="35" t="str">
        <f t="shared" si="41"/>
        <v/>
      </c>
      <c r="AT169" s="35" t="str">
        <f t="shared" si="42"/>
        <v/>
      </c>
      <c r="AU169" s="35" t="str">
        <f t="shared" si="43"/>
        <v/>
      </c>
      <c r="AV169" s="35" t="str">
        <f t="shared" si="44"/>
        <v/>
      </c>
      <c r="AW169" s="35" t="str">
        <f t="shared" si="45"/>
        <v/>
      </c>
      <c r="AX169" s="35" t="str">
        <f t="shared" si="46"/>
        <v/>
      </c>
      <c r="AY169" s="35" t="str">
        <f t="shared" si="47"/>
        <v/>
      </c>
      <c r="AZ169" s="35" t="str">
        <f t="shared" si="48"/>
        <v/>
      </c>
      <c r="BA169" s="35" t="str">
        <f t="shared" si="49"/>
        <v/>
      </c>
      <c r="BB169" s="35" t="str">
        <f t="shared" si="50"/>
        <v/>
      </c>
      <c r="BC169" s="35"/>
      <c r="BE169" s="35">
        <f ca="1">INDEX(SF_Output!$AA$2:$AA$400,MATCH($B169,SF_Output!$M$2:$M$400,0))</f>
        <v>8</v>
      </c>
      <c r="BF169" s="35">
        <f ca="1">INDEX(SF_Output!$AB$2:$AB$400,MATCH($B169,SF_Output!$M$2:$M$400,0))</f>
        <v>1</v>
      </c>
    </row>
    <row r="170" spans="2:58" x14ac:dyDescent="0.25">
      <c r="B170" t="s">
        <v>1434</v>
      </c>
      <c r="C170" t="s">
        <v>2122</v>
      </c>
      <c r="D170" t="s">
        <v>2123</v>
      </c>
      <c r="E170" t="s">
        <v>2124</v>
      </c>
      <c r="F170" s="116" t="str">
        <f t="shared" si="34"/>
        <v>Included</v>
      </c>
      <c r="G170" t="str">
        <f>IF(B170="","",INDEX(SF_Output!$K$1:$K$400,MATCH(B170,SF_Output!$M$1:$M$400,0)))</f>
        <v>SilverLake</v>
      </c>
      <c r="H170" cm="1">
        <f t="array" ref="H170">_xlfn.IFS(B170="","",(SUMIFS(SF_Output!$F$1:$F$400,SF_Output!$AC$1:$AC$400,_xlfn.TEXTJOIN(",",TRUE,B170:E170))+SUMIFS(SF_Output!$G$1:$G$400,SF_Output!$AC$1:$AC$400,_xlfn.TEXTJOIN(",",TRUE,B170:E170)))&lt;&gt;0,SF_Output!$Y$2,INDEX(SF_Output!$F$1:$F$400,MATCH(_xlfn.TEXTJOIN(",",TRUE,B170:E170),SF_Output!$AC$1:$AC$400,0))=0,INDEX(SF_Output!$R$1:$R$400,MATCH(_xlfn.TEXTJOIN(",",TRUE,B170:E170),SF_Output!$AC$1:$AC$400,0)))</f>
        <v>1</v>
      </c>
      <c r="I170" s="125" t="str">
        <f>IFERROR(IF(AND(H170&gt;1,H170&lt;&gt;""),ROUND(SUMIFS(SF_Output!$S$1:$S$400,SF_Output!$AC$1:$AC$400,_xlfn.TEXTJOIN(",",TRUE,B170:E170),SF_Output!$Q$1:$Q$400,"monthly")*(1-W170)/H170,4),""),"")</f>
        <v/>
      </c>
      <c r="J170" s="6">
        <f>IF(B170="","",SUMIFS(SF_Output!$S$1:$S$400,SF_Output!$AC$1:$AC$400,_xlfn.TEXTJOIN(",",TRUE,B170:E170),SF_Output!$Q$1:$Q$400,"One Time",SF_Output!$L$1:$L$400,"license fee")+SUMIFS(SF_Output!$S$1:$S$400,SF_Output!$AC$1:$AC$400,_xlfn.TEXTJOIN(",",TRUE,B170:E170),SF_Output!$Q$1:$Q$400,"One Time",SF_Output!$L$1:$L$400,"software license")+SUMIFS(SF_Output!$S$1:$S$400,SF_Output!$AC$1:$AC$400,_xlfn.TEXTJOIN(",",TRUE,B170:E170),SF_Output!$Q$1:$Q$400,"One Time",SF_Output!$L$1:$L$400,"hardware"))</f>
        <v>0</v>
      </c>
      <c r="K170" s="112" t="str">
        <f>IF(OR(B170=0,B170="",G170="hardware",J170=0),"",IF(AF170&lt;&gt;"exclusion",MAX(K$9,-((SUMIFS(SF_Output!$T$1:$T$400,SF_Output!$AC$1:$AC$400,_xlfn.TEXTJOIN(",",TRUE,$B170:$E170),SF_Output!$Q$1:$Q$400,"One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license"))/J170)))</f>
        <v/>
      </c>
      <c r="L170" s="6">
        <f t="shared" si="35"/>
        <v>0</v>
      </c>
      <c r="N170" s="6">
        <f>IF(B170="","",SUMIFS(SF_Output!$S$1:$S$400,SF_Output!$AC$1:$AC$400,_xlfn.TEXTJOIN(",",TRUE,B170:E170),SF_Output!$Q$1:$Q$400,"One Time",SF_Output!$L$1:$L$400,"professional service"))</f>
        <v>30000</v>
      </c>
      <c r="O170" s="112">
        <f>IF(OR(B170=0,B170="",N170=0),"",IF(AF170&lt;&gt;"exclusion",MAX(O$9,-(SUMIFS(SF_Output!$T$1:$T$400,SF_Output!$AC$1:$AC$400,_xlfn.TEXTJOIN(",",TRUE,$B170:$E170),SF_Output!$Q$1:$Q$400,"One Time",SF_Output!$L$1:$L$400,"professional service"))/N170),-((SUMIFS(SF_Output!$T$1:$T$400,SF_Output!$AC$1:$AC$400,_xlfn.TEXTJOIN(",",TRUE,$B170:$E170),SF_Output!$Q$1:$Q$400,"One Time",SF_Output!$L$1:$L$400,"professional service")/N170))))</f>
        <v>0</v>
      </c>
      <c r="P170" s="6">
        <f t="shared" si="36"/>
        <v>30000</v>
      </c>
      <c r="R170" s="6">
        <f>IF(B170="","",SUMIFS(SF_Output!$S$1:$S$400,SF_Output!$AC$1:$AC$400,_xlfn.TEXTJOIN(",",TRUE,B170:E170),SF_Output!$Q$1:$Q$400,"yearly")+SUMIFS(SF_Output!$S$1:$S$400,SF_Output!$AC$1:$AC$400,_xlfn.TEXTJOIN(",",TRUE,B170:E170),SF_Output!$Q$1:$Q$400,"quarterly")*4)</f>
        <v>0</v>
      </c>
      <c r="S170" s="112" t="str">
        <f>IF(OR(B170=0,B170="",G170="hardware",R170=0),"",IF(AF170&lt;&gt;"exclusion",MAX(S$9,-(SUMIFS(SF_Output!$T$1:$T$400,SF_Output!$AC$1:$AC$400,_xlfn.TEXTJOIN(",",TRUE,$B170:$E170),SF_Output!$Q$1:$Q$400,"yearly"))/R170),-((SUMIFS(SF_Output!$T$1:$T$400,SF_Output!$AC$1:$AC$400,_xlfn.TEXTJOIN(",",TRUE,$B170:$E170),SF_Output!$Q$1:$Q$400,"yearly")/R170))))</f>
        <v/>
      </c>
      <c r="T170" s="6">
        <f t="shared" si="37"/>
        <v>0</v>
      </c>
      <c r="V170" s="6" cm="1">
        <f t="array" ref="V170">_xlfn.IFS(B170="","",AND(B170&lt;&gt;"",H170=SF_Output!$Y$2,SUMIFS(SF_Output!$T$1:$T$400,SF_Output!$AC$1:$AC$400,_xlfn.TEXTJOIN(",",TRUE,B170:E170),SF_Output!$Q$1:$Q$400,"monthly")=0),(SUMIFS(SF_Output!$F$1:$F$400,SF_Output!$AC$1:$AC$400,_xlfn.TEXTJOIN(",",TRUE,B170:E170),SF_Output!$Q$1:$Q$400,"monthly")+SUMIFS(SF_Output!$G$1:$G$400,SF_Output!$AC$1:$AC$400,_xlfn.TEXTJOIN(",",TRUE,B170:E170),SF_Output!$Q$1:$Q$400,"monthly"))*H170,AND(B170&lt;&gt;"",H170=SF_Output!$Y$2,SUMIFS(SF_Output!$T$1:$T$400,SF_Output!$AC$1:$AC$400,_xlfn.TEXTJOIN(",",TRUE,B170:E170),SF_Output!$Q$1:$Q$400,"monthly")&lt;&gt;0),SUMIFS(SF_Output!$S$1:$S$400,SF_Output!$AC$1:$AC$400,_xlfn.TEXTJOIN(",",TRUE,B170:E170),SF_Output!$Q$1:$Q$400,"monthly"),AND(B170&lt;&gt;"",H170&lt;&gt;SF_Output!$Y$2),SUMIFS(SF_Output!$S$1:$S$400,SF_Output!$AC$1:$AC$400,_xlfn.TEXTJOIN(",",TRUE,B170:E170),SF_Output!$Q$1:$Q$400,"monthly"))</f>
        <v>0</v>
      </c>
      <c r="W170" s="112" t="str" cm="1">
        <f t="array" ref="W170">_xlfn.IFS(OR(B170=0,B170="",V170=0),"",AF170&lt;&gt;"exclusion",MAX($W$9,$W$7,(-(SUMIFS(SF_Output!$T$1:$T$400,SF_Output!$AC$1:$AC$400,_xlfn.TEXTJOIN(",",TRUE,$B170:$E170),SF_Output!$Q$1:$Q$400,"monthly"))/V170)),AF170="exclusion",-(SUMIFS(SF_Output!$T$1:$T$400,SF_Output!$AC$1:$AC$400,_xlfn.TEXTJOIN(",",TRUE,$B170:$E170),SF_Output!$Q$1:$Q$400,"monthly"))/V170)</f>
        <v/>
      </c>
      <c r="X170" s="6" cm="1">
        <f t="array" ref="X170">IFERROR(_xlfn.IFS(V170=0,0,V170="","",W170=0,V170,OR(V170&lt;&gt;0,V170&lt;&gt;""),H170*I170),V170*(1-W170))</f>
        <v>0</v>
      </c>
      <c r="Z170" s="6">
        <f>IFERROR(IF(B170="","",SUMIFS(Billing_Fallout!H:H,Billing_Fallout!N:N,B170)),0)</f>
        <v>0</v>
      </c>
      <c r="AA170" s="6">
        <f t="shared" si="38"/>
        <v>0</v>
      </c>
      <c r="AB170" s="6">
        <f>IFERROR(IF(B170="","",SUMIFS(Billing_Fallout!J:J,Billing_Fallout!N:N,B170)),0)</f>
        <v>0</v>
      </c>
      <c r="AD170" s="6">
        <f t="shared" si="39"/>
        <v>0</v>
      </c>
      <c r="AF170" t="str">
        <f>IFERROR(INDEX(H_Tables!$B$1:$B$1500,MATCH(INDEX(SF_Output!$J$1:$J$400,MATCH(B170,SF_Output!$M$1:$M$400,0)),H_Tables!$A$1:$A$1500,0)),"")</f>
        <v>Exclusion</v>
      </c>
      <c r="AI170" s="119" t="str">
        <f t="shared" si="40"/>
        <v/>
      </c>
      <c r="AJ170" s="121">
        <f>IFERROR(INDEX(SF_Output!AD:AD,MATCH(_xlfn.TEXTJOIN(",",TRUE,B170:E170),SF_Output!AC1:AC400,0)),0.05)</f>
        <v>11</v>
      </c>
      <c r="AK170" t="str">
        <f>IF(SUMIFS(SF_Output!$F$1:$F$400,SF_Output!$AC$1:$AC$400,_xlfn.TEXTJOIN(",",TRUE,B170:E170))+SUMIFS(SF_Output!$G$1:$G$400,SF_Output!$AC$1:$AC$400,_xlfn.TEXTJOIN(",",TRUE,B170:E170))=0,"","PAP")</f>
        <v/>
      </c>
      <c r="AQ170" s="35"/>
      <c r="AR170" s="35" t="str" cm="1">
        <f t="array" ref="AR170">IFERROR(_xlfn.IFS(AND(E170*1=1,F170="Included"),"Change to Included",AND(E170*1=0,F170="Optional"),"Change to Optional",OR(B170="",F170="replaced"),""),"")</f>
        <v/>
      </c>
      <c r="AS170" s="35" t="str">
        <f t="shared" si="41"/>
        <v/>
      </c>
      <c r="AT170" s="35" t="str">
        <f t="shared" si="42"/>
        <v/>
      </c>
      <c r="AU170" s="35" t="str">
        <f t="shared" si="43"/>
        <v/>
      </c>
      <c r="AV170" s="35" t="str">
        <f t="shared" si="44"/>
        <v/>
      </c>
      <c r="AW170" s="35" t="str">
        <f t="shared" si="45"/>
        <v/>
      </c>
      <c r="AX170" s="35" t="str">
        <f t="shared" si="46"/>
        <v/>
      </c>
      <c r="AY170" s="35" t="str">
        <f t="shared" si="47"/>
        <v/>
      </c>
      <c r="AZ170" s="35" t="str">
        <f t="shared" si="48"/>
        <v/>
      </c>
      <c r="BA170" s="35" t="str">
        <f t="shared" si="49"/>
        <v/>
      </c>
      <c r="BB170" s="35" t="str">
        <f t="shared" si="50"/>
        <v/>
      </c>
      <c r="BC170" s="35"/>
      <c r="BE170" s="35">
        <f ca="1">INDEX(SF_Output!$AA$2:$AA$400,MATCH($B170,SF_Output!$M$2:$M$400,0))</f>
        <v>9</v>
      </c>
      <c r="BF170" s="35">
        <f ca="1">INDEX(SF_Output!$AB$2:$AB$400,MATCH($B170,SF_Output!$M$2:$M$400,0))</f>
        <v>1</v>
      </c>
    </row>
    <row r="171" spans="2:58" x14ac:dyDescent="0.25">
      <c r="B171" t="s">
        <v>2147</v>
      </c>
      <c r="C171" t="s">
        <v>2122</v>
      </c>
      <c r="D171" t="s">
        <v>2123</v>
      </c>
      <c r="E171" t="s">
        <v>2124</v>
      </c>
      <c r="F171" s="116" t="str">
        <f t="shared" si="34"/>
        <v>Included</v>
      </c>
      <c r="G171" t="str">
        <f>IF(B171="","",INDEX(SF_Output!$K$1:$K$400,MATCH(B171,SF_Output!$M$1:$M$400,0)))</f>
        <v>SilverLake</v>
      </c>
      <c r="H171" cm="1">
        <f t="array" ref="H171">_xlfn.IFS(B171="","",(SUMIFS(SF_Output!$F$1:$F$400,SF_Output!$AC$1:$AC$400,_xlfn.TEXTJOIN(",",TRUE,B171:E171))+SUMIFS(SF_Output!$G$1:$G$400,SF_Output!$AC$1:$AC$400,_xlfn.TEXTJOIN(",",TRUE,B171:E171)))&lt;&gt;0,SF_Output!$Y$2,INDEX(SF_Output!$F$1:$F$400,MATCH(_xlfn.TEXTJOIN(",",TRUE,B171:E171),SF_Output!$AC$1:$AC$400,0))=0,INDEX(SF_Output!$R$1:$R$400,MATCH(_xlfn.TEXTJOIN(",",TRUE,B171:E171),SF_Output!$AC$1:$AC$400,0)))</f>
        <v>1</v>
      </c>
      <c r="I171" s="125" t="str">
        <f>IFERROR(IF(AND(H171&gt;1,H171&lt;&gt;""),ROUND(SUMIFS(SF_Output!$S$1:$S$400,SF_Output!$AC$1:$AC$400,_xlfn.TEXTJOIN(",",TRUE,B171:E171),SF_Output!$Q$1:$Q$400,"monthly")*(1-W171)/H171,4),""),"")</f>
        <v/>
      </c>
      <c r="J171" s="6">
        <f>IF(B171="","",SUMIFS(SF_Output!$S$1:$S$400,SF_Output!$AC$1:$AC$400,_xlfn.TEXTJOIN(",",TRUE,B171:E171),SF_Output!$Q$1:$Q$400,"One Time",SF_Output!$L$1:$L$400,"license fee")+SUMIFS(SF_Output!$S$1:$S$400,SF_Output!$AC$1:$AC$400,_xlfn.TEXTJOIN(",",TRUE,B171:E171),SF_Output!$Q$1:$Q$400,"One Time",SF_Output!$L$1:$L$400,"software license")+SUMIFS(SF_Output!$S$1:$S$400,SF_Output!$AC$1:$AC$400,_xlfn.TEXTJOIN(",",TRUE,B171:E171),SF_Output!$Q$1:$Q$400,"One Time",SF_Output!$L$1:$L$400,"hardware"))</f>
        <v>0</v>
      </c>
      <c r="K171" s="112" t="str">
        <f>IF(OR(B171=0,B171="",G171="hardware",J171=0),"",IF(AF171&lt;&gt;"exclusion",MAX(K$9,-((SUMIFS(SF_Output!$T$1:$T$400,SF_Output!$AC$1:$AC$400,_xlfn.TEXTJOIN(",",TRUE,$B171:$E171),SF_Output!$Q$1:$Q$400,"One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license"))/J171)))</f>
        <v/>
      </c>
      <c r="L171" s="6">
        <f t="shared" si="35"/>
        <v>0</v>
      </c>
      <c r="N171" s="6">
        <f>IF(B171="","",SUMIFS(SF_Output!$S$1:$S$400,SF_Output!$AC$1:$AC$400,_xlfn.TEXTJOIN(",",TRUE,B171:E171),SF_Output!$Q$1:$Q$400,"One Time",SF_Output!$L$1:$L$400,"professional service"))</f>
        <v>5000</v>
      </c>
      <c r="O171" s="112">
        <f>IF(OR(B171=0,B171="",N171=0),"",IF(AF171&lt;&gt;"exclusion",MAX(O$9,-(SUMIFS(SF_Output!$T$1:$T$400,SF_Output!$AC$1:$AC$400,_xlfn.TEXTJOIN(",",TRUE,$B171:$E171),SF_Output!$Q$1:$Q$400,"One Time",SF_Output!$L$1:$L$400,"professional service"))/N171),-((SUMIFS(SF_Output!$T$1:$T$400,SF_Output!$AC$1:$AC$400,_xlfn.TEXTJOIN(",",TRUE,$B171:$E171),SF_Output!$Q$1:$Q$400,"One Time",SF_Output!$L$1:$L$400,"professional service")/N171))))</f>
        <v>0</v>
      </c>
      <c r="P171" s="6">
        <f t="shared" si="36"/>
        <v>5000</v>
      </c>
      <c r="R171" s="6">
        <f>IF(B171="","",SUMIFS(SF_Output!$S$1:$S$400,SF_Output!$AC$1:$AC$400,_xlfn.TEXTJOIN(",",TRUE,B171:E171),SF_Output!$Q$1:$Q$400,"yearly")+SUMIFS(SF_Output!$S$1:$S$400,SF_Output!$AC$1:$AC$400,_xlfn.TEXTJOIN(",",TRUE,B171:E171),SF_Output!$Q$1:$Q$400,"quarterly")*4)</f>
        <v>0</v>
      </c>
      <c r="S171" s="112" t="str">
        <f>IF(OR(B171=0,B171="",G171="hardware",R171=0),"",IF(AF171&lt;&gt;"exclusion",MAX(S$9,-(SUMIFS(SF_Output!$T$1:$T$400,SF_Output!$AC$1:$AC$400,_xlfn.TEXTJOIN(",",TRUE,$B171:$E171),SF_Output!$Q$1:$Q$400,"yearly"))/R171),-((SUMIFS(SF_Output!$T$1:$T$400,SF_Output!$AC$1:$AC$400,_xlfn.TEXTJOIN(",",TRUE,$B171:$E171),SF_Output!$Q$1:$Q$400,"yearly")/R171))))</f>
        <v/>
      </c>
      <c r="T171" s="6">
        <f t="shared" si="37"/>
        <v>0</v>
      </c>
      <c r="V171" s="6" cm="1">
        <f t="array" ref="V171">_xlfn.IFS(B171="","",AND(B171&lt;&gt;"",H171=SF_Output!$Y$2,SUMIFS(SF_Output!$T$1:$T$400,SF_Output!$AC$1:$AC$400,_xlfn.TEXTJOIN(",",TRUE,B171:E171),SF_Output!$Q$1:$Q$400,"monthly")=0),(SUMIFS(SF_Output!$F$1:$F$400,SF_Output!$AC$1:$AC$400,_xlfn.TEXTJOIN(",",TRUE,B171:E171),SF_Output!$Q$1:$Q$400,"monthly")+SUMIFS(SF_Output!$G$1:$G$400,SF_Output!$AC$1:$AC$400,_xlfn.TEXTJOIN(",",TRUE,B171:E171),SF_Output!$Q$1:$Q$400,"monthly"))*H171,AND(B171&lt;&gt;"",H171=SF_Output!$Y$2,SUMIFS(SF_Output!$T$1:$T$400,SF_Output!$AC$1:$AC$400,_xlfn.TEXTJOIN(",",TRUE,B171:E171),SF_Output!$Q$1:$Q$400,"monthly")&lt;&gt;0),SUMIFS(SF_Output!$S$1:$S$400,SF_Output!$AC$1:$AC$400,_xlfn.TEXTJOIN(",",TRUE,B171:E171),SF_Output!$Q$1:$Q$400,"monthly"),AND(B171&lt;&gt;"",H171&lt;&gt;SF_Output!$Y$2),SUMIFS(SF_Output!$S$1:$S$400,SF_Output!$AC$1:$AC$400,_xlfn.TEXTJOIN(",",TRUE,B171:E171),SF_Output!$Q$1:$Q$400,"monthly"))</f>
        <v>0</v>
      </c>
      <c r="W171" s="112" t="str" cm="1">
        <f t="array" ref="W171">_xlfn.IFS(OR(B171=0,B171="",V171=0),"",AF171&lt;&gt;"exclusion",MAX($W$9,$W$7,(-(SUMIFS(SF_Output!$T$1:$T$400,SF_Output!$AC$1:$AC$400,_xlfn.TEXTJOIN(",",TRUE,$B171:$E171),SF_Output!$Q$1:$Q$400,"monthly"))/V171)),AF171="exclusion",-(SUMIFS(SF_Output!$T$1:$T$400,SF_Output!$AC$1:$AC$400,_xlfn.TEXTJOIN(",",TRUE,$B171:$E171),SF_Output!$Q$1:$Q$400,"monthly"))/V171)</f>
        <v/>
      </c>
      <c r="X171" s="6" cm="1">
        <f t="array" ref="X171">IFERROR(_xlfn.IFS(V171=0,0,V171="","",W171=0,V171,OR(V171&lt;&gt;0,V171&lt;&gt;""),H171*I171),V171*(1-W171))</f>
        <v>0</v>
      </c>
      <c r="Z171" s="6">
        <f>IFERROR(IF(B171="","",SUMIFS(Billing_Fallout!H:H,Billing_Fallout!N:N,B171)),0)</f>
        <v>0</v>
      </c>
      <c r="AA171" s="6">
        <f t="shared" si="38"/>
        <v>0</v>
      </c>
      <c r="AB171" s="6">
        <f>IFERROR(IF(B171="","",SUMIFS(Billing_Fallout!J:J,Billing_Fallout!N:N,B171)),0)</f>
        <v>0</v>
      </c>
      <c r="AD171" s="6">
        <f t="shared" si="39"/>
        <v>0</v>
      </c>
      <c r="AF171" t="str">
        <f>IFERROR(INDEX(H_Tables!$B$1:$B$1500,MATCH(INDEX(SF_Output!$J$1:$J$400,MATCH(B171,SF_Output!$M$1:$M$400,0)),H_Tables!$A$1:$A$1500,0)),"")</f>
        <v>Exclusion</v>
      </c>
      <c r="AI171" s="119" t="str">
        <f t="shared" si="40"/>
        <v/>
      </c>
      <c r="AJ171" s="121">
        <f>IFERROR(INDEX(SF_Output!AD:AD,MATCH(_xlfn.TEXTJOIN(",",TRUE,B171:E171),SF_Output!AC1:AC400,0)),0.05)</f>
        <v>13</v>
      </c>
      <c r="AK171" t="str">
        <f>IF(SUMIFS(SF_Output!$F$1:$F$400,SF_Output!$AC$1:$AC$400,_xlfn.TEXTJOIN(",",TRUE,B171:E171))+SUMIFS(SF_Output!$G$1:$G$400,SF_Output!$AC$1:$AC$400,_xlfn.TEXTJOIN(",",TRUE,B171:E171))=0,"","PAP")</f>
        <v/>
      </c>
      <c r="AQ171" s="35"/>
      <c r="AR171" s="35" t="str" cm="1">
        <f t="array" ref="AR171">IFERROR(_xlfn.IFS(AND(E171*1=1,F171="Included"),"Change to Included",AND(E171*1=0,F171="Optional"),"Change to Optional",OR(B171="",F171="replaced"),""),"")</f>
        <v/>
      </c>
      <c r="AS171" s="35" t="str">
        <f t="shared" si="41"/>
        <v/>
      </c>
      <c r="AT171" s="35" t="str">
        <f t="shared" si="42"/>
        <v/>
      </c>
      <c r="AU171" s="35" t="str">
        <f t="shared" si="43"/>
        <v/>
      </c>
      <c r="AV171" s="35" t="str">
        <f t="shared" si="44"/>
        <v/>
      </c>
      <c r="AW171" s="35" t="str">
        <f t="shared" si="45"/>
        <v/>
      </c>
      <c r="AX171" s="35" t="str">
        <f t="shared" si="46"/>
        <v/>
      </c>
      <c r="AY171" s="35" t="str">
        <f t="shared" si="47"/>
        <v/>
      </c>
      <c r="AZ171" s="35" t="str">
        <f t="shared" si="48"/>
        <v/>
      </c>
      <c r="BA171" s="35" t="str">
        <f t="shared" si="49"/>
        <v/>
      </c>
      <c r="BB171" s="35" t="str">
        <f t="shared" si="50"/>
        <v/>
      </c>
      <c r="BC171" s="35"/>
      <c r="BE171" s="35">
        <f ca="1">INDEX(SF_Output!$AA$2:$AA$400,MATCH($B171,SF_Output!$M$2:$M$400,0))</f>
        <v>9</v>
      </c>
      <c r="BF171" s="35">
        <f ca="1">INDEX(SF_Output!$AB$2:$AB$400,MATCH($B171,SF_Output!$M$2:$M$400,0))</f>
        <v>1</v>
      </c>
    </row>
    <row r="172" spans="2:58" x14ac:dyDescent="0.25">
      <c r="B172" t="s">
        <v>1758</v>
      </c>
      <c r="C172" t="s">
        <v>2122</v>
      </c>
      <c r="D172" t="s">
        <v>2123</v>
      </c>
      <c r="E172" t="s">
        <v>2124</v>
      </c>
      <c r="F172" s="116" t="str">
        <f t="shared" si="34"/>
        <v>Included</v>
      </c>
      <c r="G172" t="str">
        <f>IF(B172="","",INDEX(SF_Output!$K$1:$K$400,MATCH(B172,SF_Output!$M$1:$M$400,0)))</f>
        <v>SilverLake</v>
      </c>
      <c r="H172" cm="1">
        <f t="array" ref="H172">_xlfn.IFS(B172="","",(SUMIFS(SF_Output!$F$1:$F$400,SF_Output!$AC$1:$AC$400,_xlfn.TEXTJOIN(",",TRUE,B172:E172))+SUMIFS(SF_Output!$G$1:$G$400,SF_Output!$AC$1:$AC$400,_xlfn.TEXTJOIN(",",TRUE,B172:E172)))&lt;&gt;0,SF_Output!$Y$2,INDEX(SF_Output!$F$1:$F$400,MATCH(_xlfn.TEXTJOIN(",",TRUE,B172:E172),SF_Output!$AC$1:$AC$400,0))=0,INDEX(SF_Output!$R$1:$R$400,MATCH(_xlfn.TEXTJOIN(",",TRUE,B172:E172),SF_Output!$AC$1:$AC$400,0)))</f>
        <v>1</v>
      </c>
      <c r="I172" s="125" t="str">
        <f>IFERROR(IF(AND(H172&gt;1,H172&lt;&gt;""),ROUND(SUMIFS(SF_Output!$S$1:$S$400,SF_Output!$AC$1:$AC$400,_xlfn.TEXTJOIN(",",TRUE,B172:E172),SF_Output!$Q$1:$Q$400,"monthly")*(1-W172)/H172,4),""),"")</f>
        <v/>
      </c>
      <c r="J172" s="6">
        <f>IF(B172="","",SUMIFS(SF_Output!$S$1:$S$400,SF_Output!$AC$1:$AC$400,_xlfn.TEXTJOIN(",",TRUE,B172:E172),SF_Output!$Q$1:$Q$400,"One Time",SF_Output!$L$1:$L$400,"license fee")+SUMIFS(SF_Output!$S$1:$S$400,SF_Output!$AC$1:$AC$400,_xlfn.TEXTJOIN(",",TRUE,B172:E172),SF_Output!$Q$1:$Q$400,"One Time",SF_Output!$L$1:$L$400,"software license")+SUMIFS(SF_Output!$S$1:$S$400,SF_Output!$AC$1:$AC$400,_xlfn.TEXTJOIN(",",TRUE,B172:E172),SF_Output!$Q$1:$Q$400,"One Time",SF_Output!$L$1:$L$400,"hardware"))</f>
        <v>0</v>
      </c>
      <c r="K172" s="112" t="str">
        <f>IF(OR(B172=0,B172="",G172="hardware",J172=0),"",IF(AF172&lt;&gt;"exclusion",MAX(K$9,-((SUMIFS(SF_Output!$T$1:$T$400,SF_Output!$AC$1:$AC$400,_xlfn.TEXTJOIN(",",TRUE,$B172:$E172),SF_Output!$Q$1:$Q$400,"One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license"))/J172)))</f>
        <v/>
      </c>
      <c r="L172" s="6">
        <f t="shared" si="35"/>
        <v>0</v>
      </c>
      <c r="N172" s="6">
        <f>IF(B172="","",SUMIFS(SF_Output!$S$1:$S$400,SF_Output!$AC$1:$AC$400,_xlfn.TEXTJOIN(",",TRUE,B172:E172),SF_Output!$Q$1:$Q$400,"One Time",SF_Output!$L$1:$L$400,"professional service"))</f>
        <v>10000</v>
      </c>
      <c r="O172" s="112">
        <f>IF(OR(B172=0,B172="",N172=0),"",IF(AF172&lt;&gt;"exclusion",MAX(O$9,-(SUMIFS(SF_Output!$T$1:$T$400,SF_Output!$AC$1:$AC$400,_xlfn.TEXTJOIN(",",TRUE,$B172:$E172),SF_Output!$Q$1:$Q$400,"One Time",SF_Output!$L$1:$L$400,"professional service"))/N172),-((SUMIFS(SF_Output!$T$1:$T$400,SF_Output!$AC$1:$AC$400,_xlfn.TEXTJOIN(",",TRUE,$B172:$E172),SF_Output!$Q$1:$Q$400,"One Time",SF_Output!$L$1:$L$400,"professional service")/N172))))</f>
        <v>0</v>
      </c>
      <c r="P172" s="6">
        <f t="shared" si="36"/>
        <v>10000</v>
      </c>
      <c r="R172" s="6">
        <f>IF(B172="","",SUMIFS(SF_Output!$S$1:$S$400,SF_Output!$AC$1:$AC$400,_xlfn.TEXTJOIN(",",TRUE,B172:E172),SF_Output!$Q$1:$Q$400,"yearly")+SUMIFS(SF_Output!$S$1:$S$400,SF_Output!$AC$1:$AC$400,_xlfn.TEXTJOIN(",",TRUE,B172:E172),SF_Output!$Q$1:$Q$400,"quarterly")*4)</f>
        <v>0</v>
      </c>
      <c r="S172" s="112" t="str">
        <f>IF(OR(B172=0,B172="",G172="hardware",R172=0),"",IF(AF172&lt;&gt;"exclusion",MAX(S$9,-(SUMIFS(SF_Output!$T$1:$T$400,SF_Output!$AC$1:$AC$400,_xlfn.TEXTJOIN(",",TRUE,$B172:$E172),SF_Output!$Q$1:$Q$400,"yearly"))/R172),-((SUMIFS(SF_Output!$T$1:$T$400,SF_Output!$AC$1:$AC$400,_xlfn.TEXTJOIN(",",TRUE,$B172:$E172),SF_Output!$Q$1:$Q$400,"yearly")/R172))))</f>
        <v/>
      </c>
      <c r="T172" s="6">
        <f t="shared" si="37"/>
        <v>0</v>
      </c>
      <c r="V172" s="6" cm="1">
        <f t="array" ref="V172">_xlfn.IFS(B172="","",AND(B172&lt;&gt;"",H172=SF_Output!$Y$2,SUMIFS(SF_Output!$T$1:$T$400,SF_Output!$AC$1:$AC$400,_xlfn.TEXTJOIN(",",TRUE,B172:E172),SF_Output!$Q$1:$Q$400,"monthly")=0),(SUMIFS(SF_Output!$F$1:$F$400,SF_Output!$AC$1:$AC$400,_xlfn.TEXTJOIN(",",TRUE,B172:E172),SF_Output!$Q$1:$Q$400,"monthly")+SUMIFS(SF_Output!$G$1:$G$400,SF_Output!$AC$1:$AC$400,_xlfn.TEXTJOIN(",",TRUE,B172:E172),SF_Output!$Q$1:$Q$400,"monthly"))*H172,AND(B172&lt;&gt;"",H172=SF_Output!$Y$2,SUMIFS(SF_Output!$T$1:$T$400,SF_Output!$AC$1:$AC$400,_xlfn.TEXTJOIN(",",TRUE,B172:E172),SF_Output!$Q$1:$Q$400,"monthly")&lt;&gt;0),SUMIFS(SF_Output!$S$1:$S$400,SF_Output!$AC$1:$AC$400,_xlfn.TEXTJOIN(",",TRUE,B172:E172),SF_Output!$Q$1:$Q$400,"monthly"),AND(B172&lt;&gt;"",H172&lt;&gt;SF_Output!$Y$2),SUMIFS(SF_Output!$S$1:$S$400,SF_Output!$AC$1:$AC$400,_xlfn.TEXTJOIN(",",TRUE,B172:E172),SF_Output!$Q$1:$Q$400,"monthly"))</f>
        <v>0</v>
      </c>
      <c r="W172" s="112" t="str" cm="1">
        <f t="array" ref="W172">_xlfn.IFS(OR(B172=0,B172="",V172=0),"",AF172&lt;&gt;"exclusion",MAX($W$9,$W$7,(-(SUMIFS(SF_Output!$T$1:$T$400,SF_Output!$AC$1:$AC$400,_xlfn.TEXTJOIN(",",TRUE,$B172:$E172),SF_Output!$Q$1:$Q$400,"monthly"))/V172)),AF172="exclusion",-(SUMIFS(SF_Output!$T$1:$T$400,SF_Output!$AC$1:$AC$400,_xlfn.TEXTJOIN(",",TRUE,$B172:$E172),SF_Output!$Q$1:$Q$400,"monthly"))/V172)</f>
        <v/>
      </c>
      <c r="X172" s="6" cm="1">
        <f t="array" ref="X172">IFERROR(_xlfn.IFS(V172=0,0,V172="","",W172=0,V172,OR(V172&lt;&gt;0,V172&lt;&gt;""),H172*I172),V172*(1-W172))</f>
        <v>0</v>
      </c>
      <c r="Z172" s="6">
        <f>IFERROR(IF(B172="","",SUMIFS(Billing_Fallout!H:H,Billing_Fallout!N:N,B172)),0)</f>
        <v>0</v>
      </c>
      <c r="AA172" s="6">
        <f t="shared" si="38"/>
        <v>0</v>
      </c>
      <c r="AB172" s="6">
        <f>IFERROR(IF(B172="","",SUMIFS(Billing_Fallout!J:J,Billing_Fallout!N:N,B172)),0)</f>
        <v>0</v>
      </c>
      <c r="AD172" s="6">
        <f t="shared" si="39"/>
        <v>0</v>
      </c>
      <c r="AF172" t="str">
        <f>IFERROR(INDEX(H_Tables!$B$1:$B$1500,MATCH(INDEX(SF_Output!$J$1:$J$400,MATCH(B172,SF_Output!$M$1:$M$400,0)),H_Tables!$A$1:$A$1500,0)),"")</f>
        <v>Exclusion</v>
      </c>
      <c r="AI172" s="119" t="str">
        <f t="shared" si="40"/>
        <v/>
      </c>
      <c r="AJ172" s="121">
        <f>IFERROR(INDEX(SF_Output!AD:AD,MATCH(_xlfn.TEXTJOIN(",",TRUE,B172:E172),SF_Output!AC1:AC400,0)),0.05)</f>
        <v>22</v>
      </c>
      <c r="AK172" t="str">
        <f>IF(SUMIFS(SF_Output!$F$1:$F$400,SF_Output!$AC$1:$AC$400,_xlfn.TEXTJOIN(",",TRUE,B172:E172))+SUMIFS(SF_Output!$G$1:$G$400,SF_Output!$AC$1:$AC$400,_xlfn.TEXTJOIN(",",TRUE,B172:E172))=0,"","PAP")</f>
        <v/>
      </c>
      <c r="AQ172" s="35"/>
      <c r="AR172" s="35" t="str" cm="1">
        <f t="array" ref="AR172">IFERROR(_xlfn.IFS(AND(E172*1=1,F172="Included"),"Change to Included",AND(E172*1=0,F172="Optional"),"Change to Optional",OR(B172="",F172="replaced"),""),"")</f>
        <v/>
      </c>
      <c r="AS172" s="35" t="str">
        <f t="shared" si="41"/>
        <v/>
      </c>
      <c r="AT172" s="35" t="str">
        <f t="shared" si="42"/>
        <v/>
      </c>
      <c r="AU172" s="35" t="str">
        <f t="shared" si="43"/>
        <v/>
      </c>
      <c r="AV172" s="35" t="str">
        <f t="shared" si="44"/>
        <v/>
      </c>
      <c r="AW172" s="35" t="str">
        <f t="shared" si="45"/>
        <v/>
      </c>
      <c r="AX172" s="35" t="str">
        <f t="shared" si="46"/>
        <v/>
      </c>
      <c r="AY172" s="35" t="str">
        <f t="shared" si="47"/>
        <v/>
      </c>
      <c r="AZ172" s="35" t="str">
        <f t="shared" si="48"/>
        <v/>
      </c>
      <c r="BA172" s="35" t="str">
        <f t="shared" si="49"/>
        <v/>
      </c>
      <c r="BB172" s="35" t="str">
        <f t="shared" si="50"/>
        <v/>
      </c>
      <c r="BC172" s="35"/>
      <c r="BE172" s="35">
        <f ca="1">INDEX(SF_Output!$AA$2:$AA$400,MATCH($B172,SF_Output!$M$2:$M$400,0))</f>
        <v>9</v>
      </c>
      <c r="BF172" s="35">
        <f ca="1">INDEX(SF_Output!$AB$2:$AB$400,MATCH($B172,SF_Output!$M$2:$M$400,0))</f>
        <v>1</v>
      </c>
    </row>
    <row r="173" spans="2:58" x14ac:dyDescent="0.25">
      <c r="B173" t="s">
        <v>2212</v>
      </c>
      <c r="C173" t="s">
        <v>2122</v>
      </c>
      <c r="D173" t="s">
        <v>2207</v>
      </c>
      <c r="E173" t="s">
        <v>2150</v>
      </c>
      <c r="F173" s="116" t="str">
        <f t="shared" si="34"/>
        <v>Optional</v>
      </c>
      <c r="G173" t="str">
        <f>IF(B173="","",INDEX(SF_Output!$K$1:$K$400,MATCH(B173,SF_Output!$M$1:$M$400,0)))</f>
        <v>Core</v>
      </c>
      <c r="H173" cm="1">
        <f t="array" ref="H173">_xlfn.IFS(B173="","",(SUMIFS(SF_Output!$F$1:$F$400,SF_Output!$AC$1:$AC$400,_xlfn.TEXTJOIN(",",TRUE,B173:E173))+SUMIFS(SF_Output!$G$1:$G$400,SF_Output!$AC$1:$AC$400,_xlfn.TEXTJOIN(",",TRUE,B173:E173)))&lt;&gt;0,SF_Output!$Y$2,INDEX(SF_Output!$F$1:$F$400,MATCH(_xlfn.TEXTJOIN(",",TRUE,B173:E173),SF_Output!$AC$1:$AC$400,0))=0,INDEX(SF_Output!$R$1:$R$400,MATCH(_xlfn.TEXTJOIN(",",TRUE,B173:E173),SF_Output!$AC$1:$AC$400,0)))</f>
        <v>1</v>
      </c>
      <c r="I173" s="125" t="str">
        <f>IFERROR(IF(AND(H173&gt;1,H173&lt;&gt;""),ROUND(SUMIFS(SF_Output!$S$1:$S$400,SF_Output!$AC$1:$AC$400,_xlfn.TEXTJOIN(",",TRUE,B173:E173),SF_Output!$Q$1:$Q$400,"monthly")*(1-W173)/H173,4),""),"")</f>
        <v/>
      </c>
      <c r="J173" s="6">
        <f>IF(B173="","",SUMIFS(SF_Output!$S$1:$S$400,SF_Output!$AC$1:$AC$400,_xlfn.TEXTJOIN(",",TRUE,B173:E173),SF_Output!$Q$1:$Q$400,"One Time",SF_Output!$L$1:$L$400,"license fee")+SUMIFS(SF_Output!$S$1:$S$400,SF_Output!$AC$1:$AC$400,_xlfn.TEXTJOIN(",",TRUE,B173:E173),SF_Output!$Q$1:$Q$400,"One Time",SF_Output!$L$1:$L$400,"software license")+SUMIFS(SF_Output!$S$1:$S$400,SF_Output!$AC$1:$AC$400,_xlfn.TEXTJOIN(",",TRUE,B173:E173),SF_Output!$Q$1:$Q$400,"One Time",SF_Output!$L$1:$L$400,"hardware"))</f>
        <v>0</v>
      </c>
      <c r="K173" s="112" t="str">
        <f>IF(OR(B173=0,B173="",G173="hardware",J173=0),"",IF(AF173&lt;&gt;"exclusion",MAX(K$9,-((SUMIFS(SF_Output!$T$1:$T$400,SF_Output!$AC$1:$AC$400,_xlfn.TEXTJOIN(",",TRUE,$B173:$E173),SF_Output!$Q$1:$Q$400,"One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license"))/J173)))</f>
        <v/>
      </c>
      <c r="L173" s="6">
        <f t="shared" si="35"/>
        <v>0</v>
      </c>
      <c r="N173" s="6">
        <f>IF(B173="","",SUMIFS(SF_Output!$S$1:$S$400,SF_Output!$AC$1:$AC$400,_xlfn.TEXTJOIN(",",TRUE,B173:E173),SF_Output!$Q$1:$Q$400,"One Time",SF_Output!$L$1:$L$400,"professional service"))</f>
        <v>18000</v>
      </c>
      <c r="O173" s="112">
        <f>IF(OR(B173=0,B173="",N173=0),"",IF(AF173&lt;&gt;"exclusion",MAX(O$9,-(SUMIFS(SF_Output!$T$1:$T$400,SF_Output!$AC$1:$AC$400,_xlfn.TEXTJOIN(",",TRUE,$B173:$E173),SF_Output!$Q$1:$Q$400,"One Time",SF_Output!$L$1:$L$400,"professional service"))/N173),-((SUMIFS(SF_Output!$T$1:$T$400,SF_Output!$AC$1:$AC$400,_xlfn.TEXTJOIN(",",TRUE,$B173:$E173),SF_Output!$Q$1:$Q$400,"One Time",SF_Output!$L$1:$L$400,"professional service")/N173))))</f>
        <v>0</v>
      </c>
      <c r="P173" s="6">
        <f t="shared" si="36"/>
        <v>18000</v>
      </c>
      <c r="R173" s="6">
        <f>IF(B173="","",SUMIFS(SF_Output!$S$1:$S$400,SF_Output!$AC$1:$AC$400,_xlfn.TEXTJOIN(",",TRUE,B173:E173),SF_Output!$Q$1:$Q$400,"yearly")+SUMIFS(SF_Output!$S$1:$S$400,SF_Output!$AC$1:$AC$400,_xlfn.TEXTJOIN(",",TRUE,B173:E173),SF_Output!$Q$1:$Q$400,"quarterly")*4)</f>
        <v>0</v>
      </c>
      <c r="S173" s="112" t="str">
        <f>IF(OR(B173=0,B173="",G173="hardware",R173=0),"",IF(AF173&lt;&gt;"exclusion",MAX(S$9,-(SUMIFS(SF_Output!$T$1:$T$400,SF_Output!$AC$1:$AC$400,_xlfn.TEXTJOIN(",",TRUE,$B173:$E173),SF_Output!$Q$1:$Q$400,"yearly"))/R173),-((SUMIFS(SF_Output!$T$1:$T$400,SF_Output!$AC$1:$AC$400,_xlfn.TEXTJOIN(",",TRUE,$B173:$E173),SF_Output!$Q$1:$Q$400,"yearly")/R173))))</f>
        <v/>
      </c>
      <c r="T173" s="6">
        <f t="shared" si="37"/>
        <v>0</v>
      </c>
      <c r="V173" s="6" cm="1">
        <f t="array" ref="V173">_xlfn.IFS(B173="","",AND(B173&lt;&gt;"",H173=SF_Output!$Y$2,SUMIFS(SF_Output!$T$1:$T$400,SF_Output!$AC$1:$AC$400,_xlfn.TEXTJOIN(",",TRUE,B173:E173),SF_Output!$Q$1:$Q$400,"monthly")=0),(SUMIFS(SF_Output!$F$1:$F$400,SF_Output!$AC$1:$AC$400,_xlfn.TEXTJOIN(",",TRUE,B173:E173),SF_Output!$Q$1:$Q$400,"monthly")+SUMIFS(SF_Output!$G$1:$G$400,SF_Output!$AC$1:$AC$400,_xlfn.TEXTJOIN(",",TRUE,B173:E173),SF_Output!$Q$1:$Q$400,"monthly"))*H173,AND(B173&lt;&gt;"",H173=SF_Output!$Y$2,SUMIFS(SF_Output!$T$1:$T$400,SF_Output!$AC$1:$AC$400,_xlfn.TEXTJOIN(",",TRUE,B173:E173),SF_Output!$Q$1:$Q$400,"monthly")&lt;&gt;0),SUMIFS(SF_Output!$S$1:$S$400,SF_Output!$AC$1:$AC$400,_xlfn.TEXTJOIN(",",TRUE,B173:E173),SF_Output!$Q$1:$Q$400,"monthly"),AND(B173&lt;&gt;"",H173&lt;&gt;SF_Output!$Y$2),SUMIFS(SF_Output!$S$1:$S$400,SF_Output!$AC$1:$AC$400,_xlfn.TEXTJOIN(",",TRUE,B173:E173),SF_Output!$Q$1:$Q$400,"monthly"))</f>
        <v>0</v>
      </c>
      <c r="W173" s="112" t="str" cm="1">
        <f t="array" ref="W173">_xlfn.IFS(OR(B173=0,B173="",V173=0),"",AF173&lt;&gt;"exclusion",MAX($W$9,$W$7,(-(SUMIFS(SF_Output!$T$1:$T$400,SF_Output!$AC$1:$AC$400,_xlfn.TEXTJOIN(",",TRUE,$B173:$E173),SF_Output!$Q$1:$Q$400,"monthly"))/V173)),AF173="exclusion",-(SUMIFS(SF_Output!$T$1:$T$400,SF_Output!$AC$1:$AC$400,_xlfn.TEXTJOIN(",",TRUE,$B173:$E173),SF_Output!$Q$1:$Q$400,"monthly"))/V173)</f>
        <v/>
      </c>
      <c r="X173" s="6" cm="1">
        <f t="array" ref="X173">IFERROR(_xlfn.IFS(V173=0,0,V173="","",W173=0,V173,OR(V173&lt;&gt;0,V173&lt;&gt;""),H173*I173),V173*(1-W173))</f>
        <v>0</v>
      </c>
      <c r="Z173" s="6">
        <f>IFERROR(IF(B173="","",SUMIFS(Billing_Fallout!H:H,Billing_Fallout!N:N,B173)),0)</f>
        <v>0</v>
      </c>
      <c r="AA173" s="6">
        <f t="shared" si="38"/>
        <v>0</v>
      </c>
      <c r="AB173" s="6">
        <f>IFERROR(IF(B173="","",SUMIFS(Billing_Fallout!J:J,Billing_Fallout!N:N,B173)),0)</f>
        <v>0</v>
      </c>
      <c r="AD173" s="6">
        <f t="shared" si="39"/>
        <v>0</v>
      </c>
      <c r="AF173" t="str">
        <f>IFERROR(INDEX(H_Tables!$B$1:$B$1500,MATCH(INDEX(SF_Output!$J$1:$J$400,MATCH(B173,SF_Output!$M$1:$M$400,0)),H_Tables!$A$1:$A$1500,0)),"")</f>
        <v/>
      </c>
      <c r="AI173" s="119" t="str">
        <f t="shared" si="40"/>
        <v/>
      </c>
      <c r="AJ173" s="121">
        <f>IFERROR(INDEX(SF_Output!AD:AD,MATCH(_xlfn.TEXTJOIN(",",TRUE,B173:E173),SF_Output!AC1:AC400,0)),0.05)</f>
        <v>57</v>
      </c>
      <c r="AK173" t="str">
        <f>IF(SUMIFS(SF_Output!$F$1:$F$400,SF_Output!$AC$1:$AC$400,_xlfn.TEXTJOIN(",",TRUE,B173:E173))+SUMIFS(SF_Output!$G$1:$G$400,SF_Output!$AC$1:$AC$400,_xlfn.TEXTJOIN(",",TRUE,B173:E173))=0,"","PAP")</f>
        <v/>
      </c>
      <c r="AQ173" s="35"/>
      <c r="AR173" s="35" t="str" cm="1">
        <f t="array" ref="AR173">IFERROR(_xlfn.IFS(AND(E173*1=1,F173="Included"),"Change to Included",AND(E173*1=0,F173="Optional"),"Change to Optional",OR(B173="",F173="replaced"),""),"")</f>
        <v/>
      </c>
      <c r="AS173" s="35" t="str">
        <f t="shared" si="41"/>
        <v/>
      </c>
      <c r="AT173" s="35" t="str">
        <f t="shared" si="42"/>
        <v/>
      </c>
      <c r="AU173" s="35" t="str">
        <f t="shared" si="43"/>
        <v/>
      </c>
      <c r="AV173" s="35" t="str">
        <f t="shared" si="44"/>
        <v/>
      </c>
      <c r="AW173" s="35" t="str">
        <f t="shared" si="45"/>
        <v/>
      </c>
      <c r="AX173" s="35" t="str">
        <f t="shared" si="46"/>
        <v/>
      </c>
      <c r="AY173" s="35" t="str">
        <f t="shared" si="47"/>
        <v/>
      </c>
      <c r="AZ173" s="35" t="str">
        <f t="shared" si="48"/>
        <v/>
      </c>
      <c r="BA173" s="35" t="str">
        <f t="shared" si="49"/>
        <v/>
      </c>
      <c r="BB173" s="35" t="str">
        <f t="shared" si="50"/>
        <v/>
      </c>
      <c r="BC173" s="35"/>
      <c r="BE173" s="35">
        <f ca="1">INDEX(SF_Output!$AA$2:$AA$400,MATCH($B173,SF_Output!$M$2:$M$400,0))</f>
        <v>9</v>
      </c>
      <c r="BF173" s="35">
        <f ca="1">INDEX(SF_Output!$AB$2:$AB$400,MATCH($B173,SF_Output!$M$2:$M$400,0))</f>
        <v>2</v>
      </c>
    </row>
    <row r="174" spans="2:58" x14ac:dyDescent="0.25">
      <c r="B174" t="s">
        <v>2215</v>
      </c>
      <c r="C174" t="s">
        <v>2122</v>
      </c>
      <c r="D174" t="s">
        <v>2207</v>
      </c>
      <c r="E174" t="s">
        <v>2150</v>
      </c>
      <c r="F174" s="116" t="str">
        <f t="shared" si="34"/>
        <v>Optional</v>
      </c>
      <c r="G174" t="str">
        <f>IF(B174="","",INDEX(SF_Output!$K$1:$K$400,MATCH(B174,SF_Output!$M$1:$M$400,0)))</f>
        <v>Core</v>
      </c>
      <c r="H174" cm="1">
        <f t="array" ref="H174">_xlfn.IFS(B174="","",(SUMIFS(SF_Output!$F$1:$F$400,SF_Output!$AC$1:$AC$400,_xlfn.TEXTJOIN(",",TRUE,B174:E174))+SUMIFS(SF_Output!$G$1:$G$400,SF_Output!$AC$1:$AC$400,_xlfn.TEXTJOIN(",",TRUE,B174:E174)))&lt;&gt;0,SF_Output!$Y$2,INDEX(SF_Output!$F$1:$F$400,MATCH(_xlfn.TEXTJOIN(",",TRUE,B174:E174),SF_Output!$AC$1:$AC$400,0))=0,INDEX(SF_Output!$R$1:$R$400,MATCH(_xlfn.TEXTJOIN(",",TRUE,B174:E174),SF_Output!$AC$1:$AC$400,0)))</f>
        <v>1</v>
      </c>
      <c r="I174" s="125" t="str">
        <f>IFERROR(IF(AND(H174&gt;1,H174&lt;&gt;""),ROUND(SUMIFS(SF_Output!$S$1:$S$400,SF_Output!$AC$1:$AC$400,_xlfn.TEXTJOIN(",",TRUE,B174:E174),SF_Output!$Q$1:$Q$400,"monthly")*(1-W174)/H174,4),""),"")</f>
        <v/>
      </c>
      <c r="J174" s="6">
        <f>IF(B174="","",SUMIFS(SF_Output!$S$1:$S$400,SF_Output!$AC$1:$AC$400,_xlfn.TEXTJOIN(",",TRUE,B174:E174),SF_Output!$Q$1:$Q$400,"One Time",SF_Output!$L$1:$L$400,"license fee")+SUMIFS(SF_Output!$S$1:$S$400,SF_Output!$AC$1:$AC$400,_xlfn.TEXTJOIN(",",TRUE,B174:E174),SF_Output!$Q$1:$Q$400,"One Time",SF_Output!$L$1:$L$400,"software license")+SUMIFS(SF_Output!$S$1:$S$400,SF_Output!$AC$1:$AC$400,_xlfn.TEXTJOIN(",",TRUE,B174:E174),SF_Output!$Q$1:$Q$400,"One Time",SF_Output!$L$1:$L$400,"hardware"))</f>
        <v>0</v>
      </c>
      <c r="K174" s="112" t="str">
        <f>IF(OR(B174=0,B174="",G174="hardware",J174=0),"",IF(AF174&lt;&gt;"exclusion",MAX(K$9,-((SUMIFS(SF_Output!$T$1:$T$400,SF_Output!$AC$1:$AC$400,_xlfn.TEXTJOIN(",",TRUE,$B174:$E174),SF_Output!$Q$1:$Q$400,"One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license"))/J174)))</f>
        <v/>
      </c>
      <c r="L174" s="6">
        <f t="shared" si="35"/>
        <v>0</v>
      </c>
      <c r="N174" s="6">
        <f>IF(B174="","",SUMIFS(SF_Output!$S$1:$S$400,SF_Output!$AC$1:$AC$400,_xlfn.TEXTJOIN(",",TRUE,B174:E174),SF_Output!$Q$1:$Q$400,"One Time",SF_Output!$L$1:$L$400,"professional service"))</f>
        <v>0</v>
      </c>
      <c r="O174" s="112" t="str">
        <f>IF(OR(B174=0,B174="",N174=0),"",IF(AF174&lt;&gt;"exclusion",MAX(O$9,-(SUMIFS(SF_Output!$T$1:$T$400,SF_Output!$AC$1:$AC$400,_xlfn.TEXTJOIN(",",TRUE,$B174:$E174),SF_Output!$Q$1:$Q$400,"One Time",SF_Output!$L$1:$L$400,"professional service"))/N174),-((SUMIFS(SF_Output!$T$1:$T$400,SF_Output!$AC$1:$AC$400,_xlfn.TEXTJOIN(",",TRUE,$B174:$E174),SF_Output!$Q$1:$Q$400,"One Time",SF_Output!$L$1:$L$400,"professional service")/N174))))</f>
        <v/>
      </c>
      <c r="P174" s="6">
        <f t="shared" si="36"/>
        <v>0</v>
      </c>
      <c r="R174" s="6">
        <f>IF(B174="","",SUMIFS(SF_Output!$S$1:$S$400,SF_Output!$AC$1:$AC$400,_xlfn.TEXTJOIN(",",TRUE,B174:E174),SF_Output!$Q$1:$Q$400,"yearly")+SUMIFS(SF_Output!$S$1:$S$400,SF_Output!$AC$1:$AC$400,_xlfn.TEXTJOIN(",",TRUE,B174:E174),SF_Output!$Q$1:$Q$400,"quarterly")*4)</f>
        <v>3500</v>
      </c>
      <c r="S174" s="112">
        <f>IF(OR(B174=0,B174="",G174="hardware",R174=0),"",IF(AF174&lt;&gt;"exclusion",MAX(S$9,-(SUMIFS(SF_Output!$T$1:$T$400,SF_Output!$AC$1:$AC$400,_xlfn.TEXTJOIN(",",TRUE,$B174:$E174),SF_Output!$Q$1:$Q$400,"yearly"))/R174),-((SUMIFS(SF_Output!$T$1:$T$400,SF_Output!$AC$1:$AC$400,_xlfn.TEXTJOIN(",",TRUE,$B174:$E174),SF_Output!$Q$1:$Q$400,"yearly")/R174))))</f>
        <v>0</v>
      </c>
      <c r="T174" s="6">
        <f t="shared" si="37"/>
        <v>3500</v>
      </c>
      <c r="V174" s="6" cm="1">
        <f t="array" ref="V174">_xlfn.IFS(B174="","",AND(B174&lt;&gt;"",H174=SF_Output!$Y$2,SUMIFS(SF_Output!$T$1:$T$400,SF_Output!$AC$1:$AC$400,_xlfn.TEXTJOIN(",",TRUE,B174:E174),SF_Output!$Q$1:$Q$400,"monthly")=0),(SUMIFS(SF_Output!$F$1:$F$400,SF_Output!$AC$1:$AC$400,_xlfn.TEXTJOIN(",",TRUE,B174:E174),SF_Output!$Q$1:$Q$400,"monthly")+SUMIFS(SF_Output!$G$1:$G$400,SF_Output!$AC$1:$AC$400,_xlfn.TEXTJOIN(",",TRUE,B174:E174),SF_Output!$Q$1:$Q$400,"monthly"))*H174,AND(B174&lt;&gt;"",H174=SF_Output!$Y$2,SUMIFS(SF_Output!$T$1:$T$400,SF_Output!$AC$1:$AC$400,_xlfn.TEXTJOIN(",",TRUE,B174:E174),SF_Output!$Q$1:$Q$400,"monthly")&lt;&gt;0),SUMIFS(SF_Output!$S$1:$S$400,SF_Output!$AC$1:$AC$400,_xlfn.TEXTJOIN(",",TRUE,B174:E174),SF_Output!$Q$1:$Q$400,"monthly"),AND(B174&lt;&gt;"",H174&lt;&gt;SF_Output!$Y$2),SUMIFS(SF_Output!$S$1:$S$400,SF_Output!$AC$1:$AC$400,_xlfn.TEXTJOIN(",",TRUE,B174:E174),SF_Output!$Q$1:$Q$400,"monthly"))</f>
        <v>0</v>
      </c>
      <c r="W174" s="112" t="str" cm="1">
        <f t="array" ref="W174">_xlfn.IFS(OR(B174=0,B174="",V174=0),"",AF174&lt;&gt;"exclusion",MAX($W$9,$W$7,(-(SUMIFS(SF_Output!$T$1:$T$400,SF_Output!$AC$1:$AC$400,_xlfn.TEXTJOIN(",",TRUE,$B174:$E174),SF_Output!$Q$1:$Q$400,"monthly"))/V174)),AF174="exclusion",-(SUMIFS(SF_Output!$T$1:$T$400,SF_Output!$AC$1:$AC$400,_xlfn.TEXTJOIN(",",TRUE,$B174:$E174),SF_Output!$Q$1:$Q$400,"monthly"))/V174)</f>
        <v/>
      </c>
      <c r="X174" s="6" cm="1">
        <f t="array" ref="X174">IFERROR(_xlfn.IFS(V174=0,0,V174="","",W174=0,V174,OR(V174&lt;&gt;0,V174&lt;&gt;""),H174*I174),V174*(1-W174))</f>
        <v>0</v>
      </c>
      <c r="Z174" s="6">
        <f>IFERROR(IF(B174="","",SUMIFS(Billing_Fallout!H:H,Billing_Fallout!N:N,B174)),0)</f>
        <v>0</v>
      </c>
      <c r="AA174" s="6">
        <f t="shared" si="38"/>
        <v>0</v>
      </c>
      <c r="AB174" s="6">
        <f>IFERROR(IF(B174="","",SUMIFS(Billing_Fallout!J:J,Billing_Fallout!N:N,B174)),0)</f>
        <v>0</v>
      </c>
      <c r="AD174" s="6">
        <f t="shared" si="39"/>
        <v>0</v>
      </c>
      <c r="AF174" t="str">
        <f>IFERROR(INDEX(H_Tables!$B$1:$B$1500,MATCH(INDEX(SF_Output!$J$1:$J$400,MATCH(B174,SF_Output!$M$1:$M$400,0)),H_Tables!$A$1:$A$1500,0)),"")</f>
        <v/>
      </c>
      <c r="AI174" s="119" t="str">
        <f t="shared" si="40"/>
        <v/>
      </c>
      <c r="AJ174" s="121">
        <f>IFERROR(INDEX(SF_Output!AD:AD,MATCH(_xlfn.TEXTJOIN(",",TRUE,B174:E174),SF_Output!AC1:AC400,0)),0.05)</f>
        <v>57</v>
      </c>
      <c r="AK174" t="str">
        <f>IF(SUMIFS(SF_Output!$F$1:$F$400,SF_Output!$AC$1:$AC$400,_xlfn.TEXTJOIN(",",TRUE,B174:E174))+SUMIFS(SF_Output!$G$1:$G$400,SF_Output!$AC$1:$AC$400,_xlfn.TEXTJOIN(",",TRUE,B174:E174))=0,"","PAP")</f>
        <v/>
      </c>
      <c r="AQ174" s="35"/>
      <c r="AR174" s="35" t="str" cm="1">
        <f t="array" ref="AR174">IFERROR(_xlfn.IFS(AND(E174*1=1,F174="Included"),"Change to Included",AND(E174*1=0,F174="Optional"),"Change to Optional",OR(B174="",F174="replaced"),""),"")</f>
        <v/>
      </c>
      <c r="AS174" s="35" t="str">
        <f t="shared" si="41"/>
        <v/>
      </c>
      <c r="AT174" s="35" t="str">
        <f t="shared" si="42"/>
        <v/>
      </c>
      <c r="AU174" s="35" t="str">
        <f t="shared" si="43"/>
        <v/>
      </c>
      <c r="AV174" s="35" t="str">
        <f t="shared" si="44"/>
        <v/>
      </c>
      <c r="AW174" s="35" t="str">
        <f t="shared" si="45"/>
        <v/>
      </c>
      <c r="AX174" s="35" t="str">
        <f t="shared" si="46"/>
        <v/>
      </c>
      <c r="AY174" s="35" t="str">
        <f t="shared" si="47"/>
        <v/>
      </c>
      <c r="AZ174" s="35" t="str">
        <f t="shared" si="48"/>
        <v/>
      </c>
      <c r="BA174" s="35" t="str">
        <f t="shared" si="49"/>
        <v/>
      </c>
      <c r="BB174" s="35" t="str">
        <f t="shared" si="50"/>
        <v/>
      </c>
      <c r="BC174" s="35"/>
      <c r="BE174" s="35">
        <f ca="1">INDEX(SF_Output!$AA$2:$AA$400,MATCH($B174,SF_Output!$M$2:$M$400,0))</f>
        <v>9</v>
      </c>
      <c r="BF174" s="35">
        <f ca="1">INDEX(SF_Output!$AB$2:$AB$400,MATCH($B174,SF_Output!$M$2:$M$400,0))</f>
        <v>2</v>
      </c>
    </row>
    <row r="175" spans="2:58" x14ac:dyDescent="0.25">
      <c r="B175" t="s">
        <v>2315</v>
      </c>
      <c r="C175" t="s">
        <v>2122</v>
      </c>
      <c r="D175" t="s">
        <v>2306</v>
      </c>
      <c r="E175" t="s">
        <v>2150</v>
      </c>
      <c r="F175" s="116" t="str">
        <f t="shared" si="34"/>
        <v>Optional</v>
      </c>
      <c r="G175" t="str">
        <f>IF(B175="","",INDEX(SF_Output!$K$1:$K$400,MATCH(B175,SF_Output!$M$1:$M$400,0)))</f>
        <v>jhaEnterprise Workflow</v>
      </c>
      <c r="H175" cm="1">
        <f t="array" ref="H175">_xlfn.IFS(B175="","",(SUMIFS(SF_Output!$F$1:$F$400,SF_Output!$AC$1:$AC$400,_xlfn.TEXTJOIN(",",TRUE,B175:E175))+SUMIFS(SF_Output!$G$1:$G$400,SF_Output!$AC$1:$AC$400,_xlfn.TEXTJOIN(",",TRUE,B175:E175)))&lt;&gt;0,SF_Output!$Y$2,INDEX(SF_Output!$F$1:$F$400,MATCH(_xlfn.TEXTJOIN(",",TRUE,B175:E175),SF_Output!$AC$1:$AC$400,0))=0,INDEX(SF_Output!$R$1:$R$400,MATCH(_xlfn.TEXTJOIN(",",TRUE,B175:E175),SF_Output!$AC$1:$AC$400,0)))</f>
        <v>1</v>
      </c>
      <c r="I175" s="125" t="str">
        <f>IFERROR(IF(AND(H175&gt;1,H175&lt;&gt;""),ROUND(SUMIFS(SF_Output!$S$1:$S$400,SF_Output!$AC$1:$AC$400,_xlfn.TEXTJOIN(",",TRUE,B175:E175),SF_Output!$Q$1:$Q$400,"monthly")*(1-W175)/H175,4),""),"")</f>
        <v/>
      </c>
      <c r="J175" s="6">
        <f>IF(B175="","",SUMIFS(SF_Output!$S$1:$S$400,SF_Output!$AC$1:$AC$400,_xlfn.TEXTJOIN(",",TRUE,B175:E175),SF_Output!$Q$1:$Q$400,"One Time",SF_Output!$L$1:$L$400,"license fee")+SUMIFS(SF_Output!$S$1:$S$400,SF_Output!$AC$1:$AC$400,_xlfn.TEXTJOIN(",",TRUE,B175:E175),SF_Output!$Q$1:$Q$400,"One Time",SF_Output!$L$1:$L$400,"software license")+SUMIFS(SF_Output!$S$1:$S$400,SF_Output!$AC$1:$AC$400,_xlfn.TEXTJOIN(",",TRUE,B175:E175),SF_Output!$Q$1:$Q$400,"One Time",SF_Output!$L$1:$L$400,"hardware"))</f>
        <v>0</v>
      </c>
      <c r="K175" s="112" t="str">
        <f>IF(OR(B175=0,B175="",G175="hardware",J175=0),"",IF(AF175&lt;&gt;"exclusion",MAX(K$9,-((SUMIFS(SF_Output!$T$1:$T$400,SF_Output!$AC$1:$AC$400,_xlfn.TEXTJOIN(",",TRUE,$B175:$E175),SF_Output!$Q$1:$Q$400,"One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license"))/J175)))</f>
        <v/>
      </c>
      <c r="L175" s="6">
        <f t="shared" si="35"/>
        <v>0</v>
      </c>
      <c r="N175" s="6">
        <f>IF(B175="","",SUMIFS(SF_Output!$S$1:$S$400,SF_Output!$AC$1:$AC$400,_xlfn.TEXTJOIN(",",TRUE,B175:E175),SF_Output!$Q$1:$Q$400,"One Time",SF_Output!$L$1:$L$400,"professional service"))</f>
        <v>15000</v>
      </c>
      <c r="O175" s="112">
        <f>IF(OR(B175=0,B175="",N175=0),"",IF(AF175&lt;&gt;"exclusion",MAX(O$9,-(SUMIFS(SF_Output!$T$1:$T$400,SF_Output!$AC$1:$AC$400,_xlfn.TEXTJOIN(",",TRUE,$B175:$E175),SF_Output!$Q$1:$Q$400,"One Time",SF_Output!$L$1:$L$400,"professional service"))/N175),-((SUMIFS(SF_Output!$T$1:$T$400,SF_Output!$AC$1:$AC$400,_xlfn.TEXTJOIN(",",TRUE,$B175:$E175),SF_Output!$Q$1:$Q$400,"One Time",SF_Output!$L$1:$L$400,"professional service")/N175))))</f>
        <v>0</v>
      </c>
      <c r="P175" s="6">
        <f t="shared" si="36"/>
        <v>15000</v>
      </c>
      <c r="R175" s="6">
        <f>IF(B175="","",SUMIFS(SF_Output!$S$1:$S$400,SF_Output!$AC$1:$AC$400,_xlfn.TEXTJOIN(",",TRUE,B175:E175),SF_Output!$Q$1:$Q$400,"yearly")+SUMIFS(SF_Output!$S$1:$S$400,SF_Output!$AC$1:$AC$400,_xlfn.TEXTJOIN(",",TRUE,B175:E175),SF_Output!$Q$1:$Q$400,"quarterly")*4)</f>
        <v>0</v>
      </c>
      <c r="S175" s="112" t="str">
        <f>IF(OR(B175=0,B175="",G175="hardware",R175=0),"",IF(AF175&lt;&gt;"exclusion",MAX(S$9,-(SUMIFS(SF_Output!$T$1:$T$400,SF_Output!$AC$1:$AC$400,_xlfn.TEXTJOIN(",",TRUE,$B175:$E175),SF_Output!$Q$1:$Q$400,"yearly"))/R175),-((SUMIFS(SF_Output!$T$1:$T$400,SF_Output!$AC$1:$AC$400,_xlfn.TEXTJOIN(",",TRUE,$B175:$E175),SF_Output!$Q$1:$Q$400,"yearly")/R175))))</f>
        <v/>
      </c>
      <c r="T175" s="6">
        <f t="shared" si="37"/>
        <v>0</v>
      </c>
      <c r="V175" s="6" cm="1">
        <f t="array" ref="V175">_xlfn.IFS(B175="","",AND(B175&lt;&gt;"",H175=SF_Output!$Y$2,SUMIFS(SF_Output!$T$1:$T$400,SF_Output!$AC$1:$AC$400,_xlfn.TEXTJOIN(",",TRUE,B175:E175),SF_Output!$Q$1:$Q$400,"monthly")=0),(SUMIFS(SF_Output!$F$1:$F$400,SF_Output!$AC$1:$AC$400,_xlfn.TEXTJOIN(",",TRUE,B175:E175),SF_Output!$Q$1:$Q$400,"monthly")+SUMIFS(SF_Output!$G$1:$G$400,SF_Output!$AC$1:$AC$400,_xlfn.TEXTJOIN(",",TRUE,B175:E175),SF_Output!$Q$1:$Q$400,"monthly"))*H175,AND(B175&lt;&gt;"",H175=SF_Output!$Y$2,SUMIFS(SF_Output!$T$1:$T$400,SF_Output!$AC$1:$AC$400,_xlfn.TEXTJOIN(",",TRUE,B175:E175),SF_Output!$Q$1:$Q$400,"monthly")&lt;&gt;0),SUMIFS(SF_Output!$S$1:$S$400,SF_Output!$AC$1:$AC$400,_xlfn.TEXTJOIN(",",TRUE,B175:E175),SF_Output!$Q$1:$Q$400,"monthly"),AND(B175&lt;&gt;"",H175&lt;&gt;SF_Output!$Y$2),SUMIFS(SF_Output!$S$1:$S$400,SF_Output!$AC$1:$AC$400,_xlfn.TEXTJOIN(",",TRUE,B175:E175),SF_Output!$Q$1:$Q$400,"monthly"))</f>
        <v>0</v>
      </c>
      <c r="W175" s="112" t="str" cm="1">
        <f t="array" ref="W175">_xlfn.IFS(OR(B175=0,B175="",V175=0),"",AF175&lt;&gt;"exclusion",MAX($W$9,$W$7,(-(SUMIFS(SF_Output!$T$1:$T$400,SF_Output!$AC$1:$AC$400,_xlfn.TEXTJOIN(",",TRUE,$B175:$E175),SF_Output!$Q$1:$Q$400,"monthly"))/V175)),AF175="exclusion",-(SUMIFS(SF_Output!$T$1:$T$400,SF_Output!$AC$1:$AC$400,_xlfn.TEXTJOIN(",",TRUE,$B175:$E175),SF_Output!$Q$1:$Q$400,"monthly"))/V175)</f>
        <v/>
      </c>
      <c r="X175" s="6" cm="1">
        <f t="array" ref="X175">IFERROR(_xlfn.IFS(V175=0,0,V175="","",W175=0,V175,OR(V175&lt;&gt;0,V175&lt;&gt;""),H175*I175),V175*(1-W175))</f>
        <v>0</v>
      </c>
      <c r="Z175" s="6">
        <f>IFERROR(IF(B175="","",SUMIFS(Billing_Fallout!H:H,Billing_Fallout!N:N,B175)),0)</f>
        <v>0</v>
      </c>
      <c r="AA175" s="6">
        <f t="shared" si="38"/>
        <v>0</v>
      </c>
      <c r="AB175" s="6">
        <f>IFERROR(IF(B175="","",SUMIFS(Billing_Fallout!J:J,Billing_Fallout!N:N,B175)),0)</f>
        <v>0</v>
      </c>
      <c r="AD175" s="6">
        <f t="shared" si="39"/>
        <v>0</v>
      </c>
      <c r="AF175" t="str">
        <f>IFERROR(INDEX(H_Tables!$B$1:$B$1500,MATCH(INDEX(SF_Output!$J$1:$J$400,MATCH(B175,SF_Output!$M$1:$M$400,0)),H_Tables!$A$1:$A$1500,0)),"")</f>
        <v/>
      </c>
      <c r="AI175" s="119" t="str">
        <f t="shared" si="40"/>
        <v/>
      </c>
      <c r="AJ175" s="121">
        <f>IFERROR(INDEX(SF_Output!AD:AD,MATCH(_xlfn.TEXTJOIN(",",TRUE,B175:E175),SF_Output!AC1:AC400,0)),0.05)</f>
        <v>139</v>
      </c>
      <c r="AK175" t="str">
        <f>IF(SUMIFS(SF_Output!$F$1:$F$400,SF_Output!$AC$1:$AC$400,_xlfn.TEXTJOIN(",",TRUE,B175:E175))+SUMIFS(SF_Output!$G$1:$G$400,SF_Output!$AC$1:$AC$400,_xlfn.TEXTJOIN(",",TRUE,B175:E175))=0,"","PAP")</f>
        <v/>
      </c>
      <c r="AQ175" s="35"/>
      <c r="AR175" s="35" t="str" cm="1">
        <f t="array" ref="AR175">IFERROR(_xlfn.IFS(AND(E175*1=1,F175="Included"),"Change to Included",AND(E175*1=0,F175="Optional"),"Change to Optional",OR(B175="",F175="replaced"),""),"")</f>
        <v/>
      </c>
      <c r="AS175" s="35" t="str">
        <f t="shared" si="41"/>
        <v/>
      </c>
      <c r="AT175" s="35" t="str">
        <f t="shared" si="42"/>
        <v/>
      </c>
      <c r="AU175" s="35" t="str">
        <f t="shared" si="43"/>
        <v/>
      </c>
      <c r="AV175" s="35" t="str">
        <f t="shared" si="44"/>
        <v/>
      </c>
      <c r="AW175" s="35" t="str">
        <f t="shared" si="45"/>
        <v/>
      </c>
      <c r="AX175" s="35" t="str">
        <f t="shared" si="46"/>
        <v/>
      </c>
      <c r="AY175" s="35" t="str">
        <f t="shared" si="47"/>
        <v/>
      </c>
      <c r="AZ175" s="35" t="str">
        <f t="shared" si="48"/>
        <v/>
      </c>
      <c r="BA175" s="35" t="str">
        <f t="shared" si="49"/>
        <v/>
      </c>
      <c r="BB175" s="35" t="str">
        <f t="shared" si="50"/>
        <v/>
      </c>
      <c r="BC175" s="35"/>
      <c r="BE175" s="35">
        <f ca="1">INDEX(SF_Output!$AA$2:$AA$400,MATCH($B175,SF_Output!$M$2:$M$400,0))</f>
        <v>9</v>
      </c>
      <c r="BF175" s="35">
        <f ca="1">INDEX(SF_Output!$AB$2:$AB$400,MATCH($B175,SF_Output!$M$2:$M$400,0))</f>
        <v>2</v>
      </c>
    </row>
    <row r="176" spans="2:58" x14ac:dyDescent="0.25">
      <c r="B176" t="s">
        <v>2318</v>
      </c>
      <c r="C176" t="s">
        <v>2122</v>
      </c>
      <c r="D176" t="s">
        <v>2306</v>
      </c>
      <c r="E176" t="s">
        <v>2150</v>
      </c>
      <c r="F176" s="116" t="str">
        <f t="shared" si="34"/>
        <v>Optional</v>
      </c>
      <c r="G176" t="str">
        <f>IF(B176="","",INDEX(SF_Output!$K$1:$K$400,MATCH(B176,SF_Output!$M$1:$M$400,0)))</f>
        <v>jhaEnterprise Workflow</v>
      </c>
      <c r="H176" cm="1">
        <f t="array" ref="H176">_xlfn.IFS(B176="","",(SUMIFS(SF_Output!$F$1:$F$400,SF_Output!$AC$1:$AC$400,_xlfn.TEXTJOIN(",",TRUE,B176:E176))+SUMIFS(SF_Output!$G$1:$G$400,SF_Output!$AC$1:$AC$400,_xlfn.TEXTJOIN(",",TRUE,B176:E176)))&lt;&gt;0,SF_Output!$Y$2,INDEX(SF_Output!$F$1:$F$400,MATCH(_xlfn.TEXTJOIN(",",TRUE,B176:E176),SF_Output!$AC$1:$AC$400,0))=0,INDEX(SF_Output!$R$1:$R$400,MATCH(_xlfn.TEXTJOIN(",",TRUE,B176:E176),SF_Output!$AC$1:$AC$400,0)))</f>
        <v>1</v>
      </c>
      <c r="I176" s="125" t="str">
        <f>IFERROR(IF(AND(H176&gt;1,H176&lt;&gt;""),ROUND(SUMIFS(SF_Output!$S$1:$S$400,SF_Output!$AC$1:$AC$400,_xlfn.TEXTJOIN(",",TRUE,B176:E176),SF_Output!$Q$1:$Q$400,"monthly")*(1-W176)/H176,4),""),"")</f>
        <v/>
      </c>
      <c r="J176" s="6">
        <f>IF(B176="","",SUMIFS(SF_Output!$S$1:$S$400,SF_Output!$AC$1:$AC$400,_xlfn.TEXTJOIN(",",TRUE,B176:E176),SF_Output!$Q$1:$Q$400,"One Time",SF_Output!$L$1:$L$400,"license fee")+SUMIFS(SF_Output!$S$1:$S$400,SF_Output!$AC$1:$AC$400,_xlfn.TEXTJOIN(",",TRUE,B176:E176),SF_Output!$Q$1:$Q$400,"One Time",SF_Output!$L$1:$L$400,"software license")+SUMIFS(SF_Output!$S$1:$S$400,SF_Output!$AC$1:$AC$400,_xlfn.TEXTJOIN(",",TRUE,B176:E176),SF_Output!$Q$1:$Q$400,"One Time",SF_Output!$L$1:$L$400,"hardware"))</f>
        <v>0</v>
      </c>
      <c r="K176" s="112" t="str">
        <f>IF(OR(B176=0,B176="",G176="hardware",J176=0),"",IF(AF176&lt;&gt;"exclusion",MAX(K$9,-((SUMIFS(SF_Output!$T$1:$T$400,SF_Output!$AC$1:$AC$400,_xlfn.TEXTJOIN(",",TRUE,$B176:$E176),SF_Output!$Q$1:$Q$400,"One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license"))/J176)))</f>
        <v/>
      </c>
      <c r="L176" s="6">
        <f t="shared" si="35"/>
        <v>0</v>
      </c>
      <c r="N176" s="6">
        <f>IF(B176="","",SUMIFS(SF_Output!$S$1:$S$400,SF_Output!$AC$1:$AC$400,_xlfn.TEXTJOIN(",",TRUE,B176:E176),SF_Output!$Q$1:$Q$400,"One Time",SF_Output!$L$1:$L$400,"professional service"))</f>
        <v>25000</v>
      </c>
      <c r="O176" s="112">
        <f>IF(OR(B176=0,B176="",N176=0),"",IF(AF176&lt;&gt;"exclusion",MAX(O$9,-(SUMIFS(SF_Output!$T$1:$T$400,SF_Output!$AC$1:$AC$400,_xlfn.TEXTJOIN(",",TRUE,$B176:$E176),SF_Output!$Q$1:$Q$400,"One Time",SF_Output!$L$1:$L$400,"professional service"))/N176),-((SUMIFS(SF_Output!$T$1:$T$400,SF_Output!$AC$1:$AC$400,_xlfn.TEXTJOIN(",",TRUE,$B176:$E176),SF_Output!$Q$1:$Q$400,"One Time",SF_Output!$L$1:$L$400,"professional service")/N176))))</f>
        <v>0</v>
      </c>
      <c r="P176" s="6">
        <f t="shared" si="36"/>
        <v>25000</v>
      </c>
      <c r="R176" s="6">
        <f>IF(B176="","",SUMIFS(SF_Output!$S$1:$S$400,SF_Output!$AC$1:$AC$400,_xlfn.TEXTJOIN(",",TRUE,B176:E176),SF_Output!$Q$1:$Q$400,"yearly")+SUMIFS(SF_Output!$S$1:$S$400,SF_Output!$AC$1:$AC$400,_xlfn.TEXTJOIN(",",TRUE,B176:E176),SF_Output!$Q$1:$Q$400,"quarterly")*4)</f>
        <v>0</v>
      </c>
      <c r="S176" s="112" t="str">
        <f>IF(OR(B176=0,B176="",G176="hardware",R176=0),"",IF(AF176&lt;&gt;"exclusion",MAX(S$9,-(SUMIFS(SF_Output!$T$1:$T$400,SF_Output!$AC$1:$AC$400,_xlfn.TEXTJOIN(",",TRUE,$B176:$E176),SF_Output!$Q$1:$Q$400,"yearly"))/R176),-((SUMIFS(SF_Output!$T$1:$T$400,SF_Output!$AC$1:$AC$400,_xlfn.TEXTJOIN(",",TRUE,$B176:$E176),SF_Output!$Q$1:$Q$400,"yearly")/R176))))</f>
        <v/>
      </c>
      <c r="T176" s="6">
        <f t="shared" si="37"/>
        <v>0</v>
      </c>
      <c r="V176" s="6" cm="1">
        <f t="array" ref="V176">_xlfn.IFS(B176="","",AND(B176&lt;&gt;"",H176=SF_Output!$Y$2,SUMIFS(SF_Output!$T$1:$T$400,SF_Output!$AC$1:$AC$400,_xlfn.TEXTJOIN(",",TRUE,B176:E176),SF_Output!$Q$1:$Q$400,"monthly")=0),(SUMIFS(SF_Output!$F$1:$F$400,SF_Output!$AC$1:$AC$400,_xlfn.TEXTJOIN(",",TRUE,B176:E176),SF_Output!$Q$1:$Q$400,"monthly")+SUMIFS(SF_Output!$G$1:$G$400,SF_Output!$AC$1:$AC$400,_xlfn.TEXTJOIN(",",TRUE,B176:E176),SF_Output!$Q$1:$Q$400,"monthly"))*H176,AND(B176&lt;&gt;"",H176=SF_Output!$Y$2,SUMIFS(SF_Output!$T$1:$T$400,SF_Output!$AC$1:$AC$400,_xlfn.TEXTJOIN(",",TRUE,B176:E176),SF_Output!$Q$1:$Q$400,"monthly")&lt;&gt;0),SUMIFS(SF_Output!$S$1:$S$400,SF_Output!$AC$1:$AC$400,_xlfn.TEXTJOIN(",",TRUE,B176:E176),SF_Output!$Q$1:$Q$400,"monthly"),AND(B176&lt;&gt;"",H176&lt;&gt;SF_Output!$Y$2),SUMIFS(SF_Output!$S$1:$S$400,SF_Output!$AC$1:$AC$400,_xlfn.TEXTJOIN(",",TRUE,B176:E176),SF_Output!$Q$1:$Q$400,"monthly"))</f>
        <v>0</v>
      </c>
      <c r="W176" s="112" t="str" cm="1">
        <f t="array" ref="W176">_xlfn.IFS(OR(B176=0,B176="",V176=0),"",AF176&lt;&gt;"exclusion",MAX($W$9,$W$7,(-(SUMIFS(SF_Output!$T$1:$T$400,SF_Output!$AC$1:$AC$400,_xlfn.TEXTJOIN(",",TRUE,$B176:$E176),SF_Output!$Q$1:$Q$400,"monthly"))/V176)),AF176="exclusion",-(SUMIFS(SF_Output!$T$1:$T$400,SF_Output!$AC$1:$AC$400,_xlfn.TEXTJOIN(",",TRUE,$B176:$E176),SF_Output!$Q$1:$Q$400,"monthly"))/V176)</f>
        <v/>
      </c>
      <c r="X176" s="6" cm="1">
        <f t="array" ref="X176">IFERROR(_xlfn.IFS(V176=0,0,V176="","",W176=0,V176,OR(V176&lt;&gt;0,V176&lt;&gt;""),H176*I176),V176*(1-W176))</f>
        <v>0</v>
      </c>
      <c r="Z176" s="6">
        <f>IFERROR(IF(B176="","",SUMIFS(Billing_Fallout!H:H,Billing_Fallout!N:N,B176)),0)</f>
        <v>0</v>
      </c>
      <c r="AA176" s="6">
        <f t="shared" si="38"/>
        <v>0</v>
      </c>
      <c r="AB176" s="6">
        <f>IFERROR(IF(B176="","",SUMIFS(Billing_Fallout!J:J,Billing_Fallout!N:N,B176)),0)</f>
        <v>0</v>
      </c>
      <c r="AD176" s="6">
        <f t="shared" si="39"/>
        <v>0</v>
      </c>
      <c r="AF176" t="str">
        <f>IFERROR(INDEX(H_Tables!$B$1:$B$1500,MATCH(INDEX(SF_Output!$J$1:$J$400,MATCH(B176,SF_Output!$M$1:$M$400,0)),H_Tables!$A$1:$A$1500,0)),"")</f>
        <v/>
      </c>
      <c r="AI176" s="119" t="str">
        <f t="shared" si="40"/>
        <v/>
      </c>
      <c r="AJ176" s="121">
        <f>IFERROR(INDEX(SF_Output!AD:AD,MATCH(_xlfn.TEXTJOIN(",",TRUE,B176:E176),SF_Output!AC1:AC400,0)),0.05)</f>
        <v>140</v>
      </c>
      <c r="AK176" t="str">
        <f>IF(SUMIFS(SF_Output!$F$1:$F$400,SF_Output!$AC$1:$AC$400,_xlfn.TEXTJOIN(",",TRUE,B176:E176))+SUMIFS(SF_Output!$G$1:$G$400,SF_Output!$AC$1:$AC$400,_xlfn.TEXTJOIN(",",TRUE,B176:E176))=0,"","PAP")</f>
        <v/>
      </c>
      <c r="AQ176" s="35"/>
      <c r="AR176" s="35" t="str" cm="1">
        <f t="array" ref="AR176">IFERROR(_xlfn.IFS(AND(E176*1=1,F176="Included"),"Change to Included",AND(E176*1=0,F176="Optional"),"Change to Optional",OR(B176="",F176="replaced"),""),"")</f>
        <v/>
      </c>
      <c r="AS176" s="35" t="str">
        <f t="shared" si="41"/>
        <v/>
      </c>
      <c r="AT176" s="35" t="str">
        <f t="shared" si="42"/>
        <v/>
      </c>
      <c r="AU176" s="35" t="str">
        <f t="shared" si="43"/>
        <v/>
      </c>
      <c r="AV176" s="35" t="str">
        <f t="shared" si="44"/>
        <v/>
      </c>
      <c r="AW176" s="35" t="str">
        <f t="shared" si="45"/>
        <v/>
      </c>
      <c r="AX176" s="35" t="str">
        <f t="shared" si="46"/>
        <v/>
      </c>
      <c r="AY176" s="35" t="str">
        <f t="shared" si="47"/>
        <v/>
      </c>
      <c r="AZ176" s="35" t="str">
        <f t="shared" si="48"/>
        <v/>
      </c>
      <c r="BA176" s="35" t="str">
        <f t="shared" si="49"/>
        <v/>
      </c>
      <c r="BB176" s="35" t="str">
        <f t="shared" si="50"/>
        <v/>
      </c>
      <c r="BC176" s="35"/>
      <c r="BE176" s="35">
        <f ca="1">INDEX(SF_Output!$AA$2:$AA$400,MATCH($B176,SF_Output!$M$2:$M$400,0))</f>
        <v>9</v>
      </c>
      <c r="BF176" s="35">
        <f ca="1">INDEX(SF_Output!$AB$2:$AB$400,MATCH($B176,SF_Output!$M$2:$M$400,0))</f>
        <v>2</v>
      </c>
    </row>
    <row r="177" spans="2:58" x14ac:dyDescent="0.25">
      <c r="B177" t="s">
        <v>1300</v>
      </c>
      <c r="C177" t="s">
        <v>2122</v>
      </c>
      <c r="D177" t="s">
        <v>2123</v>
      </c>
      <c r="E177" t="s">
        <v>2124</v>
      </c>
      <c r="F177" s="116" t="str">
        <f t="shared" si="34"/>
        <v>Included</v>
      </c>
      <c r="G177" t="str">
        <f>IF(B177="","",INDEX(SF_Output!$K$1:$K$400,MATCH(B177,SF_Output!$M$1:$M$400,0)))</f>
        <v>Know-It-All</v>
      </c>
      <c r="H177" cm="1">
        <f t="array" ref="H177">_xlfn.IFS(B177="","",(SUMIFS(SF_Output!$F$1:$F$400,SF_Output!$AC$1:$AC$400,_xlfn.TEXTJOIN(",",TRUE,B177:E177))+SUMIFS(SF_Output!$G$1:$G$400,SF_Output!$AC$1:$AC$400,_xlfn.TEXTJOIN(",",TRUE,B177:E177)))&lt;&gt;0,SF_Output!$Y$2,INDEX(SF_Output!$F$1:$F$400,MATCH(_xlfn.TEXTJOIN(",",TRUE,B177:E177),SF_Output!$AC$1:$AC$400,0))=0,INDEX(SF_Output!$R$1:$R$400,MATCH(_xlfn.TEXTJOIN(",",TRUE,B177:E177),SF_Output!$AC$1:$AC$400,0)))</f>
        <v>1</v>
      </c>
      <c r="I177" s="125" t="str">
        <f>IFERROR(IF(AND(H177&gt;1,H177&lt;&gt;""),ROUND(SUMIFS(SF_Output!$S$1:$S$400,SF_Output!$AC$1:$AC$400,_xlfn.TEXTJOIN(",",TRUE,B177:E177),SF_Output!$Q$1:$Q$400,"monthly")*(1-W177)/H177,4),""),"")</f>
        <v/>
      </c>
      <c r="J177" s="6">
        <f>IF(B177="","",SUMIFS(SF_Output!$S$1:$S$400,SF_Output!$AC$1:$AC$400,_xlfn.TEXTJOIN(",",TRUE,B177:E177),SF_Output!$Q$1:$Q$400,"One Time",SF_Output!$L$1:$L$400,"license fee")+SUMIFS(SF_Output!$S$1:$S$400,SF_Output!$AC$1:$AC$400,_xlfn.TEXTJOIN(",",TRUE,B177:E177),SF_Output!$Q$1:$Q$400,"One Time",SF_Output!$L$1:$L$400,"software license")+SUMIFS(SF_Output!$S$1:$S$400,SF_Output!$AC$1:$AC$400,_xlfn.TEXTJOIN(",",TRUE,B177:E177),SF_Output!$Q$1:$Q$400,"One Time",SF_Output!$L$1:$L$400,"hardware"))</f>
        <v>0</v>
      </c>
      <c r="K177" s="112" t="str">
        <f>IF(OR(B177=0,B177="",G177="hardware",J177=0),"",IF(AF177&lt;&gt;"exclusion",MAX(K$9,-((SUMIFS(SF_Output!$T$1:$T$400,SF_Output!$AC$1:$AC$400,_xlfn.TEXTJOIN(",",TRUE,$B177:$E177),SF_Output!$Q$1:$Q$400,"One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license"))/J177)))</f>
        <v/>
      </c>
      <c r="L177" s="6">
        <f t="shared" si="35"/>
        <v>0</v>
      </c>
      <c r="N177" s="6">
        <f>IF(B177="","",SUMIFS(SF_Output!$S$1:$S$400,SF_Output!$AC$1:$AC$400,_xlfn.TEXTJOIN(",",TRUE,B177:E177),SF_Output!$Q$1:$Q$400,"One Time",SF_Output!$L$1:$L$400,"professional service"))</f>
        <v>0</v>
      </c>
      <c r="O177" s="112" t="str">
        <f>IF(OR(B177=0,B177="",N177=0),"",IF(AF177&lt;&gt;"exclusion",MAX(O$9,-(SUMIFS(SF_Output!$T$1:$T$400,SF_Output!$AC$1:$AC$400,_xlfn.TEXTJOIN(",",TRUE,$B177:$E177),SF_Output!$Q$1:$Q$400,"One Time",SF_Output!$L$1:$L$400,"professional service"))/N177),-((SUMIFS(SF_Output!$T$1:$T$400,SF_Output!$AC$1:$AC$400,_xlfn.TEXTJOIN(",",TRUE,$B177:$E177),SF_Output!$Q$1:$Q$400,"One Time",SF_Output!$L$1:$L$400,"professional service")/N177))))</f>
        <v/>
      </c>
      <c r="P177" s="6">
        <f t="shared" si="36"/>
        <v>0</v>
      </c>
      <c r="R177" s="6">
        <f>IF(B177="","",SUMIFS(SF_Output!$S$1:$S$400,SF_Output!$AC$1:$AC$400,_xlfn.TEXTJOIN(",",TRUE,B177:E177),SF_Output!$Q$1:$Q$400,"yearly")+SUMIFS(SF_Output!$S$1:$S$400,SF_Output!$AC$1:$AC$400,_xlfn.TEXTJOIN(",",TRUE,B177:E177),SF_Output!$Q$1:$Q$400,"quarterly")*4)</f>
        <v>3500</v>
      </c>
      <c r="S177" s="112">
        <f>IF(OR(B177=0,B177="",G177="hardware",R177=0),"",IF(AF177&lt;&gt;"exclusion",MAX(S$9,-(SUMIFS(SF_Output!$T$1:$T$400,SF_Output!$AC$1:$AC$400,_xlfn.TEXTJOIN(",",TRUE,$B177:$E177),SF_Output!$Q$1:$Q$400,"yearly"))/R177),-((SUMIFS(SF_Output!$T$1:$T$400,SF_Output!$AC$1:$AC$400,_xlfn.TEXTJOIN(",",TRUE,$B177:$E177),SF_Output!$Q$1:$Q$400,"yearly")/R177))))</f>
        <v>0</v>
      </c>
      <c r="T177" s="6">
        <f t="shared" si="37"/>
        <v>3500</v>
      </c>
      <c r="V177" s="6" cm="1">
        <f t="array" ref="V177">_xlfn.IFS(B177="","",AND(B177&lt;&gt;"",H177=SF_Output!$Y$2,SUMIFS(SF_Output!$T$1:$T$400,SF_Output!$AC$1:$AC$400,_xlfn.TEXTJOIN(",",TRUE,B177:E177),SF_Output!$Q$1:$Q$400,"monthly")=0),(SUMIFS(SF_Output!$F$1:$F$400,SF_Output!$AC$1:$AC$400,_xlfn.TEXTJOIN(",",TRUE,B177:E177),SF_Output!$Q$1:$Q$400,"monthly")+SUMIFS(SF_Output!$G$1:$G$400,SF_Output!$AC$1:$AC$400,_xlfn.TEXTJOIN(",",TRUE,B177:E177),SF_Output!$Q$1:$Q$400,"monthly"))*H177,AND(B177&lt;&gt;"",H177=SF_Output!$Y$2,SUMIFS(SF_Output!$T$1:$T$400,SF_Output!$AC$1:$AC$400,_xlfn.TEXTJOIN(",",TRUE,B177:E177),SF_Output!$Q$1:$Q$400,"monthly")&lt;&gt;0),SUMIFS(SF_Output!$S$1:$S$400,SF_Output!$AC$1:$AC$400,_xlfn.TEXTJOIN(",",TRUE,B177:E177),SF_Output!$Q$1:$Q$400,"monthly"),AND(B177&lt;&gt;"",H177&lt;&gt;SF_Output!$Y$2),SUMIFS(SF_Output!$S$1:$S$400,SF_Output!$AC$1:$AC$400,_xlfn.TEXTJOIN(",",TRUE,B177:E177),SF_Output!$Q$1:$Q$400,"monthly"))</f>
        <v>0</v>
      </c>
      <c r="W177" s="112" t="str" cm="1">
        <f t="array" ref="W177">_xlfn.IFS(OR(B177=0,B177="",V177=0),"",AF177&lt;&gt;"exclusion",MAX($W$9,$W$7,(-(SUMIFS(SF_Output!$T$1:$T$400,SF_Output!$AC$1:$AC$400,_xlfn.TEXTJOIN(",",TRUE,$B177:$E177),SF_Output!$Q$1:$Q$400,"monthly"))/V177)),AF177="exclusion",-(SUMIFS(SF_Output!$T$1:$T$400,SF_Output!$AC$1:$AC$400,_xlfn.TEXTJOIN(",",TRUE,$B177:$E177),SF_Output!$Q$1:$Q$400,"monthly"))/V177)</f>
        <v/>
      </c>
      <c r="X177" s="6" cm="1">
        <f t="array" ref="X177">IFERROR(_xlfn.IFS(V177=0,0,V177="","",W177=0,V177,OR(V177&lt;&gt;0,V177&lt;&gt;""),H177*I177),V177*(1-W177))</f>
        <v>0</v>
      </c>
      <c r="Z177" s="6">
        <f>IFERROR(IF(B177="","",SUMIFS(Billing_Fallout!H:H,Billing_Fallout!N:N,B177)),0)</f>
        <v>0</v>
      </c>
      <c r="AA177" s="6">
        <f t="shared" si="38"/>
        <v>0</v>
      </c>
      <c r="AB177" s="6">
        <f>IFERROR(IF(B177="","",SUMIFS(Billing_Fallout!J:J,Billing_Fallout!N:N,B177)),0)</f>
        <v>0</v>
      </c>
      <c r="AD177" s="6">
        <f t="shared" si="39"/>
        <v>0</v>
      </c>
      <c r="AF177" t="str">
        <f>IFERROR(INDEX(H_Tables!$B$1:$B$1500,MATCH(INDEX(SF_Output!$J$1:$J$400,MATCH(B177,SF_Output!$M$1:$M$400,0)),H_Tables!$A$1:$A$1500,0)),"")</f>
        <v>Exclusion</v>
      </c>
      <c r="AI177" s="119" t="str">
        <f t="shared" si="40"/>
        <v/>
      </c>
      <c r="AJ177" s="121">
        <f>IFERROR(INDEX(SF_Output!AD:AD,MATCH(_xlfn.TEXTJOIN(",",TRUE,B177:E177),SF_Output!AC1:AC400,0)),0.05)</f>
        <v>141</v>
      </c>
      <c r="AK177" t="str">
        <f>IF(SUMIFS(SF_Output!$F$1:$F$400,SF_Output!$AC$1:$AC$400,_xlfn.TEXTJOIN(",",TRUE,B177:E177))+SUMIFS(SF_Output!$G$1:$G$400,SF_Output!$AC$1:$AC$400,_xlfn.TEXTJOIN(",",TRUE,B177:E177))=0,"","PAP")</f>
        <v/>
      </c>
      <c r="AQ177" s="35"/>
      <c r="AR177" s="35" t="str" cm="1">
        <f t="array" ref="AR177">IFERROR(_xlfn.IFS(AND(E177*1=1,F177="Included"),"Change to Included",AND(E177*1=0,F177="Optional"),"Change to Optional",OR(B177="",F177="replaced"),""),"")</f>
        <v/>
      </c>
      <c r="AS177" s="35" t="str">
        <f t="shared" si="41"/>
        <v/>
      </c>
      <c r="AT177" s="35" t="str">
        <f t="shared" si="42"/>
        <v/>
      </c>
      <c r="AU177" s="35" t="str">
        <f t="shared" si="43"/>
        <v/>
      </c>
      <c r="AV177" s="35" t="str">
        <f t="shared" si="44"/>
        <v/>
      </c>
      <c r="AW177" s="35" t="str">
        <f t="shared" si="45"/>
        <v/>
      </c>
      <c r="AX177" s="35" t="str">
        <f t="shared" si="46"/>
        <v/>
      </c>
      <c r="AY177" s="35" t="str">
        <f t="shared" si="47"/>
        <v/>
      </c>
      <c r="AZ177" s="35" t="str">
        <f t="shared" si="48"/>
        <v/>
      </c>
      <c r="BA177" s="35" t="str">
        <f t="shared" si="49"/>
        <v/>
      </c>
      <c r="BB177" s="35" t="str">
        <f t="shared" si="50"/>
        <v/>
      </c>
      <c r="BC177" s="35"/>
      <c r="BE177" s="35">
        <f ca="1">INDEX(SF_Output!$AA$2:$AA$400,MATCH($B177,SF_Output!$M$2:$M$400,0))</f>
        <v>9</v>
      </c>
      <c r="BF177" s="35">
        <f ca="1">INDEX(SF_Output!$AB$2:$AB$400,MATCH($B177,SF_Output!$M$2:$M$400,0))</f>
        <v>1</v>
      </c>
    </row>
    <row r="178" spans="2:58" x14ac:dyDescent="0.25">
      <c r="B178" t="s">
        <v>2474</v>
      </c>
      <c r="C178" t="s">
        <v>2474</v>
      </c>
      <c r="D178" t="s">
        <v>2474</v>
      </c>
      <c r="E178" t="s">
        <v>2474</v>
      </c>
      <c r="F178" s="116" t="str">
        <f t="shared" si="34"/>
        <v/>
      </c>
      <c r="G178" t="str">
        <f>IF(B178="","",INDEX(SF_Output!$K$1:$K$400,MATCH(B178,SF_Output!$M$1:$M$400,0)))</f>
        <v/>
      </c>
      <c r="H178" t="str" cm="1">
        <f t="array" ref="H178">_xlfn.IFS(B178="","",(SUMIFS(SF_Output!$F$1:$F$400,SF_Output!$AC$1:$AC$400,_xlfn.TEXTJOIN(",",TRUE,B178:E178))+SUMIFS(SF_Output!$G$1:$G$400,SF_Output!$AC$1:$AC$400,_xlfn.TEXTJOIN(",",TRUE,B178:E178)))&lt;&gt;0,SF_Output!$Y$2,INDEX(SF_Output!$F$1:$F$400,MATCH(_xlfn.TEXTJOIN(",",TRUE,B178:E178),SF_Output!$AC$1:$AC$400,0))=0,INDEX(SF_Output!$R$1:$R$400,MATCH(_xlfn.TEXTJOIN(",",TRUE,B178:E178),SF_Output!$AC$1:$AC$400,0)))</f>
        <v/>
      </c>
      <c r="I178" s="125" t="str">
        <f>IFERROR(IF(AND(H178&gt;1,H178&lt;&gt;""),ROUND(SUMIFS(SF_Output!$S$1:$S$400,SF_Output!$AC$1:$AC$400,_xlfn.TEXTJOIN(",",TRUE,B178:E178),SF_Output!$Q$1:$Q$400,"monthly")*(1-W178)/H178,4),""),"")</f>
        <v/>
      </c>
      <c r="J178" s="6" t="str">
        <f>IF(B178="","",SUMIFS(SF_Output!$S$1:$S$400,SF_Output!$AC$1:$AC$400,_xlfn.TEXTJOIN(",",TRUE,B178:E178),SF_Output!$Q$1:$Q$400,"One Time",SF_Output!$L$1:$L$400,"license fee")+SUMIFS(SF_Output!$S$1:$S$400,SF_Output!$AC$1:$AC$400,_xlfn.TEXTJOIN(",",TRUE,B178:E178),SF_Output!$Q$1:$Q$400,"One Time",SF_Output!$L$1:$L$400,"software license")+SUMIFS(SF_Output!$S$1:$S$400,SF_Output!$AC$1:$AC$400,_xlfn.TEXTJOIN(",",TRUE,B178:E178),SF_Output!$Q$1:$Q$400,"One Time",SF_Output!$L$1:$L$400,"hardware"))</f>
        <v/>
      </c>
      <c r="K178" s="112" t="str">
        <f>IF(OR(B178=0,B178="",G178="hardware",J178=0),"",IF(AF178&lt;&gt;"exclusion",MAX(K$9,-((SUMIFS(SF_Output!$T$1:$T$400,SF_Output!$AC$1:$AC$400,_xlfn.TEXTJOIN(",",TRUE,$B178:$E178),SF_Output!$Q$1:$Q$400,"One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license"))/J178)))</f>
        <v/>
      </c>
      <c r="L178" s="6" t="str">
        <f t="shared" si="35"/>
        <v/>
      </c>
      <c r="N178" s="6" t="str">
        <f>IF(B178="","",SUMIFS(SF_Output!$S$1:$S$400,SF_Output!$AC$1:$AC$400,_xlfn.TEXTJOIN(",",TRUE,B178:E178),SF_Output!$Q$1:$Q$400,"One Time",SF_Output!$L$1:$L$400,"professional service"))</f>
        <v/>
      </c>
      <c r="O178" s="112" t="str">
        <f>IF(OR(B178=0,B178="",N178=0),"",IF(AF178&lt;&gt;"exclusion",MAX(O$9,-(SUMIFS(SF_Output!$T$1:$T$400,SF_Output!$AC$1:$AC$400,_xlfn.TEXTJOIN(",",TRUE,$B178:$E178),SF_Output!$Q$1:$Q$400,"One Time",SF_Output!$L$1:$L$400,"professional service"))/N178),-((SUMIFS(SF_Output!$T$1:$T$400,SF_Output!$AC$1:$AC$400,_xlfn.TEXTJOIN(",",TRUE,$B178:$E178),SF_Output!$Q$1:$Q$400,"One Time",SF_Output!$L$1:$L$400,"professional service")/N178))))</f>
        <v/>
      </c>
      <c r="P178" s="6" t="str">
        <f t="shared" si="36"/>
        <v/>
      </c>
      <c r="R178" s="6" t="str">
        <f>IF(B178="","",SUMIFS(SF_Output!$S$1:$S$400,SF_Output!$AC$1:$AC$400,_xlfn.TEXTJOIN(",",TRUE,B178:E178),SF_Output!$Q$1:$Q$400,"yearly")+SUMIFS(SF_Output!$S$1:$S$400,SF_Output!$AC$1:$AC$400,_xlfn.TEXTJOIN(",",TRUE,B178:E178),SF_Output!$Q$1:$Q$400,"quarterly")*4)</f>
        <v/>
      </c>
      <c r="S178" s="112" t="str">
        <f>IF(OR(B178=0,B178="",G178="hardware",R178=0),"",IF(AF178&lt;&gt;"exclusion",MAX(S$9,-(SUMIFS(SF_Output!$T$1:$T$400,SF_Output!$AC$1:$AC$400,_xlfn.TEXTJOIN(",",TRUE,$B178:$E178),SF_Output!$Q$1:$Q$400,"yearly"))/R178),-((SUMIFS(SF_Output!$T$1:$T$400,SF_Output!$AC$1:$AC$400,_xlfn.TEXTJOIN(",",TRUE,$B178:$E178),SF_Output!$Q$1:$Q$400,"yearly")/R178))))</f>
        <v/>
      </c>
      <c r="T178" s="6" t="str">
        <f t="shared" si="37"/>
        <v/>
      </c>
      <c r="V178" s="6" t="str" cm="1">
        <f t="array" ref="V178">_xlfn.IFS(B178="","",AND(B178&lt;&gt;"",H178=SF_Output!$Y$2,SUMIFS(SF_Output!$T$1:$T$400,SF_Output!$AC$1:$AC$400,_xlfn.TEXTJOIN(",",TRUE,B178:E178),SF_Output!$Q$1:$Q$400,"monthly")=0),(SUMIFS(SF_Output!$F$1:$F$400,SF_Output!$AC$1:$AC$400,_xlfn.TEXTJOIN(",",TRUE,B178:E178),SF_Output!$Q$1:$Q$400,"monthly")+SUMIFS(SF_Output!$G$1:$G$400,SF_Output!$AC$1:$AC$400,_xlfn.TEXTJOIN(",",TRUE,B178:E178),SF_Output!$Q$1:$Q$400,"monthly"))*H178,AND(B178&lt;&gt;"",H178=SF_Output!$Y$2,SUMIFS(SF_Output!$T$1:$T$400,SF_Output!$AC$1:$AC$400,_xlfn.TEXTJOIN(",",TRUE,B178:E178),SF_Output!$Q$1:$Q$400,"monthly")&lt;&gt;0),SUMIFS(SF_Output!$S$1:$S$400,SF_Output!$AC$1:$AC$400,_xlfn.TEXTJOIN(",",TRUE,B178:E178),SF_Output!$Q$1:$Q$400,"monthly"),AND(B178&lt;&gt;"",H178&lt;&gt;SF_Output!$Y$2),SUMIFS(SF_Output!$S$1:$S$400,SF_Output!$AC$1:$AC$400,_xlfn.TEXTJOIN(",",TRUE,B178:E178),SF_Output!$Q$1:$Q$400,"monthly"))</f>
        <v/>
      </c>
      <c r="W178" s="112" t="str" cm="1">
        <f t="array" ref="W178">_xlfn.IFS(OR(B178=0,B178="",V178=0),"",AF178&lt;&gt;"exclusion",MAX($W$9,$W$7,(-(SUMIFS(SF_Output!$T$1:$T$400,SF_Output!$AC$1:$AC$400,_xlfn.TEXTJOIN(",",TRUE,$B178:$E178),SF_Output!$Q$1:$Q$400,"monthly"))/V178)),AF178="exclusion",-(SUMIFS(SF_Output!$T$1:$T$400,SF_Output!$AC$1:$AC$400,_xlfn.TEXTJOIN(",",TRUE,$B178:$E178),SF_Output!$Q$1:$Q$400,"monthly"))/V178)</f>
        <v/>
      </c>
      <c r="X178" s="6" t="str" cm="1">
        <f t="array" ref="X178">IFERROR(_xlfn.IFS(V178=0,0,V178="","",W178=0,V178,OR(V178&lt;&gt;0,V178&lt;&gt;""),H178*I178),V178*(1-W178))</f>
        <v/>
      </c>
      <c r="Z178" s="6" t="str">
        <f>IFERROR(IF(B178="","",SUMIFS(Billing_Fallout!H:H,Billing_Fallout!N:N,B178)),0)</f>
        <v/>
      </c>
      <c r="AA178" s="6" t="str">
        <f t="shared" si="38"/>
        <v/>
      </c>
      <c r="AB178" s="6" t="str">
        <f>IFERROR(IF(B178="","",SUMIFS(Billing_Fallout!J:J,Billing_Fallout!N:N,B178)),0)</f>
        <v/>
      </c>
      <c r="AD178" s="6" t="str">
        <f t="shared" si="39"/>
        <v/>
      </c>
      <c r="AF178" t="str">
        <f>IFERROR(INDEX(H_Tables!$B$1:$B$1500,MATCH(INDEX(SF_Output!$J$1:$J$400,MATCH(B178,SF_Output!$M$1:$M$400,0)),H_Tables!$A$1:$A$1500,0)),"")</f>
        <v/>
      </c>
      <c r="AI178" s="119" t="str">
        <f t="shared" si="40"/>
        <v/>
      </c>
      <c r="AJ178" s="121">
        <f>IFERROR(INDEX(SF_Output!AD:AD,MATCH(_xlfn.TEXTJOIN(",",TRUE,B178:E178),SF_Output!AC1:AC400,0)),0.05)</f>
        <v>241</v>
      </c>
      <c r="AK178" t="str">
        <f>IF(SUMIFS(SF_Output!$F$1:$F$400,SF_Output!$AC$1:$AC$400,_xlfn.TEXTJOIN(",",TRUE,B178:E178))+SUMIFS(SF_Output!$G$1:$G$400,SF_Output!$AC$1:$AC$400,_xlfn.TEXTJOIN(",",TRUE,B178:E178))=0,"","PAP")</f>
        <v/>
      </c>
      <c r="AQ178" s="35"/>
      <c r="AR178" s="35" t="str" cm="1">
        <f t="array" ref="AR178">IFERROR(_xlfn.IFS(AND(E178*1=1,F178="Included"),"Change to Included",AND(E178*1=0,F178="Optional"),"Change to Optional",OR(B178="",F178="replaced"),""),"")</f>
        <v/>
      </c>
      <c r="AS178" s="35" t="str">
        <f t="shared" si="41"/>
        <v/>
      </c>
      <c r="AT178" s="35" t="str">
        <f t="shared" si="42"/>
        <v/>
      </c>
      <c r="AU178" s="35" t="str">
        <f t="shared" si="43"/>
        <v/>
      </c>
      <c r="AV178" s="35" t="str">
        <f t="shared" si="44"/>
        <v/>
      </c>
      <c r="AW178" s="35" t="str">
        <f t="shared" si="45"/>
        <v/>
      </c>
      <c r="AX178" s="35" t="str">
        <f t="shared" si="46"/>
        <v/>
      </c>
      <c r="AY178" s="35" t="str">
        <f t="shared" si="47"/>
        <v/>
      </c>
      <c r="AZ178" s="35" t="str">
        <f t="shared" si="48"/>
        <v/>
      </c>
      <c r="BA178" s="35" t="str">
        <f t="shared" si="49"/>
        <v/>
      </c>
      <c r="BB178" s="35" t="str">
        <f t="shared" si="50"/>
        <v/>
      </c>
      <c r="BC178" s="35"/>
      <c r="BE178" s="35" t="str">
        <f ca="1">INDEX(SF_Output!$AA$2:$AA$400,MATCH($B178,SF_Output!$M$2:$M$400,0))</f>
        <v/>
      </c>
      <c r="BF178" s="35" t="str">
        <f ca="1">INDEX(SF_Output!$AB$2:$AB$400,MATCH($B178,SF_Output!$M$2:$M$400,0))</f>
        <v/>
      </c>
    </row>
    <row r="179" spans="2:58" x14ac:dyDescent="0.25">
      <c r="F179" s="116" t="str">
        <f t="shared" si="34"/>
        <v/>
      </c>
      <c r="G179" t="str">
        <f>IF(B179="","",INDEX(SF_Output!$K$1:$K$400,MATCH(B179,SF_Output!$M$1:$M$400,0)))</f>
        <v/>
      </c>
      <c r="H179" t="str" cm="1">
        <f t="array" ref="H179">_xlfn.IFS(B179="","",(SUMIFS(SF_Output!$F$1:$F$400,SF_Output!$AC$1:$AC$400,_xlfn.TEXTJOIN(",",TRUE,B179:E179))+SUMIFS(SF_Output!$G$1:$G$400,SF_Output!$AC$1:$AC$400,_xlfn.TEXTJOIN(",",TRUE,B179:E179)))&lt;&gt;0,SF_Output!$Y$2,INDEX(SF_Output!$F$1:$F$400,MATCH(_xlfn.TEXTJOIN(",",TRUE,B179:E179),SF_Output!$AC$1:$AC$400,0))=0,INDEX(SF_Output!$R$1:$R$400,MATCH(_xlfn.TEXTJOIN(",",TRUE,B179:E179),SF_Output!$AC$1:$AC$400,0)))</f>
        <v/>
      </c>
      <c r="I179" s="125" t="str">
        <f>IFERROR(IF(AND(H179&gt;1,H179&lt;&gt;""),ROUND(SUMIFS(SF_Output!$S$1:$S$400,SF_Output!$AC$1:$AC$400,_xlfn.TEXTJOIN(",",TRUE,B179:E179),SF_Output!$Q$1:$Q$400,"monthly")*(1-W179)/H179,4),""),"")</f>
        <v/>
      </c>
      <c r="J179" s="6" t="str">
        <f>IF(B179="","",SUMIFS(SF_Output!$S$1:$S$400,SF_Output!$AC$1:$AC$400,_xlfn.TEXTJOIN(",",TRUE,B179:E179),SF_Output!$Q$1:$Q$400,"One Time",SF_Output!$L$1:$L$400,"license fee")+SUMIFS(SF_Output!$S$1:$S$400,SF_Output!$AC$1:$AC$400,_xlfn.TEXTJOIN(",",TRUE,B179:E179),SF_Output!$Q$1:$Q$400,"One Time",SF_Output!$L$1:$L$400,"software license")+SUMIFS(SF_Output!$S$1:$S$400,SF_Output!$AC$1:$AC$400,_xlfn.TEXTJOIN(",",TRUE,B179:E179),SF_Output!$Q$1:$Q$400,"One Time",SF_Output!$L$1:$L$400,"hardware"))</f>
        <v/>
      </c>
      <c r="K179" s="112" t="str">
        <f>IF(OR(B179=0,B179="",G179="hardware",J179=0),"",IF(AF179&lt;&gt;"exclusion",MAX(K$9,-((SUMIFS(SF_Output!$T$1:$T$400,SF_Output!$AC$1:$AC$400,_xlfn.TEXTJOIN(",",TRUE,$B179:$E179),SF_Output!$Q$1:$Q$400,"One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license"))/J179)))</f>
        <v/>
      </c>
      <c r="L179" s="6" t="str">
        <f t="shared" si="35"/>
        <v/>
      </c>
      <c r="N179" s="6" t="str">
        <f>IF(B179="","",SUMIFS(SF_Output!$S$1:$S$400,SF_Output!$AC$1:$AC$400,_xlfn.TEXTJOIN(",",TRUE,B179:E179),SF_Output!$Q$1:$Q$400,"One Time",SF_Output!$L$1:$L$400,"professional service"))</f>
        <v/>
      </c>
      <c r="O179" s="112" t="str">
        <f>IF(OR(B179=0,B179="",N179=0),"",IF(AF179&lt;&gt;"exclusion",MAX(O$9,-(SUMIFS(SF_Output!$T$1:$T$400,SF_Output!$AC$1:$AC$400,_xlfn.TEXTJOIN(",",TRUE,$B179:$E179),SF_Output!$Q$1:$Q$400,"One Time",SF_Output!$L$1:$L$400,"professional service"))/N179),-((SUMIFS(SF_Output!$T$1:$T$400,SF_Output!$AC$1:$AC$400,_xlfn.TEXTJOIN(",",TRUE,$B179:$E179),SF_Output!$Q$1:$Q$400,"One Time",SF_Output!$L$1:$L$400,"professional service")/N179))))</f>
        <v/>
      </c>
      <c r="P179" s="6" t="str">
        <f t="shared" si="36"/>
        <v/>
      </c>
      <c r="R179" s="6" t="str">
        <f>IF(B179="","",SUMIFS(SF_Output!$S$1:$S$400,SF_Output!$AC$1:$AC$400,_xlfn.TEXTJOIN(",",TRUE,B179:E179),SF_Output!$Q$1:$Q$400,"yearly")+SUMIFS(SF_Output!$S$1:$S$400,SF_Output!$AC$1:$AC$400,_xlfn.TEXTJOIN(",",TRUE,B179:E179),SF_Output!$Q$1:$Q$400,"quarterly")*4)</f>
        <v/>
      </c>
      <c r="S179" s="112" t="str">
        <f>IF(OR(B179=0,B179="",G179="hardware",R179=0),"",IF(AF179&lt;&gt;"exclusion",MAX(S$9,-(SUMIFS(SF_Output!$T$1:$T$400,SF_Output!$AC$1:$AC$400,_xlfn.TEXTJOIN(",",TRUE,$B179:$E179),SF_Output!$Q$1:$Q$400,"yearly"))/R179),-((SUMIFS(SF_Output!$T$1:$T$400,SF_Output!$AC$1:$AC$400,_xlfn.TEXTJOIN(",",TRUE,$B179:$E179),SF_Output!$Q$1:$Q$400,"yearly")/R179))))</f>
        <v/>
      </c>
      <c r="T179" s="6" t="str">
        <f t="shared" si="37"/>
        <v/>
      </c>
      <c r="V179" s="6" t="str" cm="1">
        <f t="array" ref="V179">_xlfn.IFS(B179="","",AND(B179&lt;&gt;"",H179=SF_Output!$Y$2,SUMIFS(SF_Output!$T$1:$T$400,SF_Output!$AC$1:$AC$400,_xlfn.TEXTJOIN(",",TRUE,B179:E179),SF_Output!$Q$1:$Q$400,"monthly")=0),(SUMIFS(SF_Output!$F$1:$F$400,SF_Output!$AC$1:$AC$400,_xlfn.TEXTJOIN(",",TRUE,B179:E179),SF_Output!$Q$1:$Q$400,"monthly")+SUMIFS(SF_Output!$G$1:$G$400,SF_Output!$AC$1:$AC$400,_xlfn.TEXTJOIN(",",TRUE,B179:E179),SF_Output!$Q$1:$Q$400,"monthly"))*H179,AND(B179&lt;&gt;"",H179=SF_Output!$Y$2,SUMIFS(SF_Output!$T$1:$T$400,SF_Output!$AC$1:$AC$400,_xlfn.TEXTJOIN(",",TRUE,B179:E179),SF_Output!$Q$1:$Q$400,"monthly")&lt;&gt;0),SUMIFS(SF_Output!$S$1:$S$400,SF_Output!$AC$1:$AC$400,_xlfn.TEXTJOIN(",",TRUE,B179:E179),SF_Output!$Q$1:$Q$400,"monthly"),AND(B179&lt;&gt;"",H179&lt;&gt;SF_Output!$Y$2),SUMIFS(SF_Output!$S$1:$S$400,SF_Output!$AC$1:$AC$400,_xlfn.TEXTJOIN(",",TRUE,B179:E179),SF_Output!$Q$1:$Q$400,"monthly"))</f>
        <v/>
      </c>
      <c r="W179" s="112" t="str" cm="1">
        <f t="array" ref="W179">_xlfn.IFS(OR(B179=0,B179="",V179=0),"",AF179&lt;&gt;"exclusion",MAX($W$9,$W$7,(-(SUMIFS(SF_Output!$T$1:$T$400,SF_Output!$AC$1:$AC$400,_xlfn.TEXTJOIN(",",TRUE,$B179:$E179),SF_Output!$Q$1:$Q$400,"monthly"))/V179)),AF179="exclusion",-(SUMIFS(SF_Output!$T$1:$T$400,SF_Output!$AC$1:$AC$400,_xlfn.TEXTJOIN(",",TRUE,$B179:$E179),SF_Output!$Q$1:$Q$400,"monthly"))/V179)</f>
        <v/>
      </c>
      <c r="X179" s="6" t="str" cm="1">
        <f t="array" ref="X179">IFERROR(_xlfn.IFS(V179=0,0,V179="","",W179=0,V179,OR(V179&lt;&gt;0,V179&lt;&gt;""),H179*I179),V179*(1-W179))</f>
        <v/>
      </c>
      <c r="Z179" s="6" t="str">
        <f>IFERROR(IF(B179="","",SUMIFS(Billing_Fallout!H:H,Billing_Fallout!N:N,B179)),0)</f>
        <v/>
      </c>
      <c r="AA179" s="6" t="str">
        <f t="shared" si="38"/>
        <v/>
      </c>
      <c r="AB179" s="6" t="str">
        <f>IFERROR(IF(B179="","",SUMIFS(Billing_Fallout!J:J,Billing_Fallout!N:N,B179)),0)</f>
        <v/>
      </c>
      <c r="AD179" s="6" t="str">
        <f t="shared" si="39"/>
        <v/>
      </c>
      <c r="AF179" t="str">
        <f>IFERROR(INDEX(H_Tables!$B$1:$B$1500,MATCH(INDEX(SF_Output!$J$1:$J$400,MATCH(B179,SF_Output!$M$1:$M$400,0)),H_Tables!$A$1:$A$1500,0)),"")</f>
        <v/>
      </c>
      <c r="AI179" s="119" t="str">
        <f t="shared" si="40"/>
        <v/>
      </c>
      <c r="AJ179" s="121">
        <f>IFERROR(INDEX(SF_Output!AD:AD,MATCH(_xlfn.TEXTJOIN(",",TRUE,B179:E179),SF_Output!AC1:AC400,0)),0.05)</f>
        <v>241</v>
      </c>
      <c r="AK179" t="str">
        <f>IF(SUMIFS(SF_Output!$F$1:$F$400,SF_Output!$AC$1:$AC$400,_xlfn.TEXTJOIN(",",TRUE,B179:E179))+SUMIFS(SF_Output!$G$1:$G$400,SF_Output!$AC$1:$AC$400,_xlfn.TEXTJOIN(",",TRUE,B179:E179))=0,"","PAP")</f>
        <v/>
      </c>
      <c r="AQ179" s="35"/>
      <c r="AR179" s="35" t="str" cm="1">
        <f t="array" ref="AR179">IFERROR(_xlfn.IFS(AND(E179*1=1,F179="Included"),"Change to Included",AND(E179*1=0,F179="Optional"),"Change to Optional",OR(B179="",F179="replaced"),""),"")</f>
        <v/>
      </c>
      <c r="AS179" s="35" t="str">
        <f t="shared" si="41"/>
        <v/>
      </c>
      <c r="AT179" s="35" t="str">
        <f t="shared" si="42"/>
        <v/>
      </c>
      <c r="AU179" s="35" t="str">
        <f t="shared" si="43"/>
        <v/>
      </c>
      <c r="AV179" s="35" t="str">
        <f t="shared" si="44"/>
        <v/>
      </c>
      <c r="AW179" s="35" t="str">
        <f t="shared" si="45"/>
        <v/>
      </c>
      <c r="AX179" s="35" t="str">
        <f t="shared" si="46"/>
        <v/>
      </c>
      <c r="AY179" s="35" t="str">
        <f t="shared" si="47"/>
        <v/>
      </c>
      <c r="AZ179" s="35" t="str">
        <f t="shared" si="48"/>
        <v/>
      </c>
      <c r="BA179" s="35" t="str">
        <f t="shared" si="49"/>
        <v/>
      </c>
      <c r="BB179" s="35" t="str">
        <f t="shared" si="50"/>
        <v/>
      </c>
      <c r="BC179" s="35"/>
      <c r="BE179" s="35" t="e">
        <f>INDEX(SF_Output!$AA$2:$AA$400,MATCH($B179,SF_Output!$M$2:$M$400,0))</f>
        <v>#N/A</v>
      </c>
      <c r="BF179" s="35" t="e">
        <f>INDEX(SF_Output!$AB$2:$AB$400,MATCH($B179,SF_Output!$M$2:$M$400,0))</f>
        <v>#N/A</v>
      </c>
    </row>
    <row r="180" spans="2:58" x14ac:dyDescent="0.25">
      <c r="F180" s="116" t="str">
        <f t="shared" si="34"/>
        <v/>
      </c>
      <c r="G180" t="str">
        <f>IF(B180="","",INDEX(SF_Output!$K$1:$K$400,MATCH(B180,SF_Output!$M$1:$M$400,0)))</f>
        <v/>
      </c>
      <c r="H180" t="str" cm="1">
        <f t="array" ref="H180">_xlfn.IFS(B180="","",(SUMIFS(SF_Output!$F$1:$F$400,SF_Output!$AC$1:$AC$400,_xlfn.TEXTJOIN(",",TRUE,B180:E180))+SUMIFS(SF_Output!$G$1:$G$400,SF_Output!$AC$1:$AC$400,_xlfn.TEXTJOIN(",",TRUE,B180:E180)))&lt;&gt;0,SF_Output!$Y$2,INDEX(SF_Output!$F$1:$F$400,MATCH(_xlfn.TEXTJOIN(",",TRUE,B180:E180),SF_Output!$AC$1:$AC$400,0))=0,INDEX(SF_Output!$R$1:$R$400,MATCH(_xlfn.TEXTJOIN(",",TRUE,B180:E180),SF_Output!$AC$1:$AC$400,0)))</f>
        <v/>
      </c>
      <c r="I180" s="125" t="str">
        <f>IFERROR(IF(AND(H180&gt;1,H180&lt;&gt;""),ROUND(SUMIFS(SF_Output!$S$1:$S$400,SF_Output!$AC$1:$AC$400,_xlfn.TEXTJOIN(",",TRUE,B180:E180),SF_Output!$Q$1:$Q$400,"monthly")*(1-W180)/H180,4),""),"")</f>
        <v/>
      </c>
      <c r="J180" s="6" t="str">
        <f>IF(B180="","",SUMIFS(SF_Output!$S$1:$S$400,SF_Output!$AC$1:$AC$400,_xlfn.TEXTJOIN(",",TRUE,B180:E180),SF_Output!$Q$1:$Q$400,"One Time",SF_Output!$L$1:$L$400,"license fee")+SUMIFS(SF_Output!$S$1:$S$400,SF_Output!$AC$1:$AC$400,_xlfn.TEXTJOIN(",",TRUE,B180:E180),SF_Output!$Q$1:$Q$400,"One Time",SF_Output!$L$1:$L$400,"software license")+SUMIFS(SF_Output!$S$1:$S$400,SF_Output!$AC$1:$AC$400,_xlfn.TEXTJOIN(",",TRUE,B180:E180),SF_Output!$Q$1:$Q$400,"One Time",SF_Output!$L$1:$L$400,"hardware"))</f>
        <v/>
      </c>
      <c r="K180" s="112" t="str">
        <f>IF(OR(B180=0,B180="",G180="hardware",J180=0),"",IF(AF180&lt;&gt;"exclusion",MAX(K$9,-((SUMIFS(SF_Output!$T$1:$T$400,SF_Output!$AC$1:$AC$400,_xlfn.TEXTJOIN(",",TRUE,$B180:$E180),SF_Output!$Q$1:$Q$400,"One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license"))/J180)))</f>
        <v/>
      </c>
      <c r="L180" s="6" t="str">
        <f t="shared" si="35"/>
        <v/>
      </c>
      <c r="N180" s="6" t="str">
        <f>IF(B180="","",SUMIFS(SF_Output!$S$1:$S$400,SF_Output!$AC$1:$AC$400,_xlfn.TEXTJOIN(",",TRUE,B180:E180),SF_Output!$Q$1:$Q$400,"One Time",SF_Output!$L$1:$L$400,"professional service"))</f>
        <v/>
      </c>
      <c r="O180" s="112" t="str">
        <f>IF(OR(B180=0,B180="",N180=0),"",IF(AF180&lt;&gt;"exclusion",MAX(O$9,-(SUMIFS(SF_Output!$T$1:$T$400,SF_Output!$AC$1:$AC$400,_xlfn.TEXTJOIN(",",TRUE,$B180:$E180),SF_Output!$Q$1:$Q$400,"One Time",SF_Output!$L$1:$L$400,"professional service"))/N180),-((SUMIFS(SF_Output!$T$1:$T$400,SF_Output!$AC$1:$AC$400,_xlfn.TEXTJOIN(",",TRUE,$B180:$E180),SF_Output!$Q$1:$Q$400,"One Time",SF_Output!$L$1:$L$400,"professional service")/N180))))</f>
        <v/>
      </c>
      <c r="P180" s="6" t="str">
        <f t="shared" si="36"/>
        <v/>
      </c>
      <c r="R180" s="6" t="str">
        <f>IF(B180="","",SUMIFS(SF_Output!$S$1:$S$400,SF_Output!$AC$1:$AC$400,_xlfn.TEXTJOIN(",",TRUE,B180:E180),SF_Output!$Q$1:$Q$400,"yearly")+SUMIFS(SF_Output!$S$1:$S$400,SF_Output!$AC$1:$AC$400,_xlfn.TEXTJOIN(",",TRUE,B180:E180),SF_Output!$Q$1:$Q$400,"quarterly")*4)</f>
        <v/>
      </c>
      <c r="S180" s="112" t="str">
        <f>IF(OR(B180=0,B180="",G180="hardware",R180=0),"",IF(AF180&lt;&gt;"exclusion",MAX(S$9,-(SUMIFS(SF_Output!$T$1:$T$400,SF_Output!$AC$1:$AC$400,_xlfn.TEXTJOIN(",",TRUE,$B180:$E180),SF_Output!$Q$1:$Q$400,"yearly"))/R180),-((SUMIFS(SF_Output!$T$1:$T$400,SF_Output!$AC$1:$AC$400,_xlfn.TEXTJOIN(",",TRUE,$B180:$E180),SF_Output!$Q$1:$Q$400,"yearly")/R180))))</f>
        <v/>
      </c>
      <c r="T180" s="6" t="str">
        <f t="shared" si="37"/>
        <v/>
      </c>
      <c r="V180" s="6" t="str" cm="1">
        <f t="array" ref="V180">_xlfn.IFS(B180="","",AND(B180&lt;&gt;"",H180=SF_Output!$Y$2,SUMIFS(SF_Output!$T$1:$T$400,SF_Output!$AC$1:$AC$400,_xlfn.TEXTJOIN(",",TRUE,B180:E180),SF_Output!$Q$1:$Q$400,"monthly")=0),(SUMIFS(SF_Output!$F$1:$F$400,SF_Output!$AC$1:$AC$400,_xlfn.TEXTJOIN(",",TRUE,B180:E180),SF_Output!$Q$1:$Q$400,"monthly")+SUMIFS(SF_Output!$G$1:$G$400,SF_Output!$AC$1:$AC$400,_xlfn.TEXTJOIN(",",TRUE,B180:E180),SF_Output!$Q$1:$Q$400,"monthly"))*H180,AND(B180&lt;&gt;"",H180=SF_Output!$Y$2,SUMIFS(SF_Output!$T$1:$T$400,SF_Output!$AC$1:$AC$400,_xlfn.TEXTJOIN(",",TRUE,B180:E180),SF_Output!$Q$1:$Q$400,"monthly")&lt;&gt;0),SUMIFS(SF_Output!$S$1:$S$400,SF_Output!$AC$1:$AC$400,_xlfn.TEXTJOIN(",",TRUE,B180:E180),SF_Output!$Q$1:$Q$400,"monthly"),AND(B180&lt;&gt;"",H180&lt;&gt;SF_Output!$Y$2),SUMIFS(SF_Output!$S$1:$S$400,SF_Output!$AC$1:$AC$400,_xlfn.TEXTJOIN(",",TRUE,B180:E180),SF_Output!$Q$1:$Q$400,"monthly"))</f>
        <v/>
      </c>
      <c r="W180" s="112" t="str" cm="1">
        <f t="array" ref="W180">_xlfn.IFS(OR(B180=0,B180="",V180=0),"",AF180&lt;&gt;"exclusion",MAX($W$9,$W$7,(-(SUMIFS(SF_Output!$T$1:$T$400,SF_Output!$AC$1:$AC$400,_xlfn.TEXTJOIN(",",TRUE,$B180:$E180),SF_Output!$Q$1:$Q$400,"monthly"))/V180)),AF180="exclusion",-(SUMIFS(SF_Output!$T$1:$T$400,SF_Output!$AC$1:$AC$400,_xlfn.TEXTJOIN(",",TRUE,$B180:$E180),SF_Output!$Q$1:$Q$400,"monthly"))/V180)</f>
        <v/>
      </c>
      <c r="X180" s="6" t="str" cm="1">
        <f t="array" ref="X180">IFERROR(_xlfn.IFS(V180=0,0,V180="","",W180=0,V180,OR(V180&lt;&gt;0,V180&lt;&gt;""),H180*I180),V180*(1-W180))</f>
        <v/>
      </c>
      <c r="Z180" s="6" t="str">
        <f>IFERROR(IF(B180="","",SUMIFS(Billing_Fallout!H:H,Billing_Fallout!N:N,B180)),0)</f>
        <v/>
      </c>
      <c r="AA180" s="6" t="str">
        <f t="shared" si="38"/>
        <v/>
      </c>
      <c r="AB180" s="6" t="str">
        <f>IFERROR(IF(B180="","",SUMIFS(Billing_Fallout!J:J,Billing_Fallout!N:N,B180)),0)</f>
        <v/>
      </c>
      <c r="AD180" s="6" t="str">
        <f t="shared" si="39"/>
        <v/>
      </c>
      <c r="AF180" t="str">
        <f>IFERROR(INDEX(H_Tables!$B$1:$B$1500,MATCH(INDEX(SF_Output!$J$1:$J$400,MATCH(B180,SF_Output!$M$1:$M$400,0)),H_Tables!$A$1:$A$1500,0)),"")</f>
        <v/>
      </c>
      <c r="AI180" s="119" t="str">
        <f t="shared" si="40"/>
        <v/>
      </c>
      <c r="AJ180" s="121">
        <f>IFERROR(INDEX(SF_Output!AD:AD,MATCH(_xlfn.TEXTJOIN(",",TRUE,B180:E180),SF_Output!AC1:AC400,0)),0.05)</f>
        <v>241</v>
      </c>
      <c r="AK180" t="str">
        <f>IF(SUMIFS(SF_Output!$F$1:$F$400,SF_Output!$AC$1:$AC$400,_xlfn.TEXTJOIN(",",TRUE,B180:E180))+SUMIFS(SF_Output!$G$1:$G$400,SF_Output!$AC$1:$AC$400,_xlfn.TEXTJOIN(",",TRUE,B180:E180))=0,"","PAP")</f>
        <v/>
      </c>
      <c r="AQ180" s="35"/>
      <c r="AR180" s="35" t="str" cm="1">
        <f t="array" ref="AR180">IFERROR(_xlfn.IFS(AND(E180*1=1,F180="Included"),"Change to Included",AND(E180*1=0,F180="Optional"),"Change to Optional",OR(B180="",F180="replaced"),""),"")</f>
        <v/>
      </c>
      <c r="AS180" s="35" t="str">
        <f t="shared" si="41"/>
        <v/>
      </c>
      <c r="AT180" s="35" t="str">
        <f t="shared" si="42"/>
        <v/>
      </c>
      <c r="AU180" s="35" t="str">
        <f t="shared" si="43"/>
        <v/>
      </c>
      <c r="AV180" s="35" t="str">
        <f t="shared" si="44"/>
        <v/>
      </c>
      <c r="AW180" s="35" t="str">
        <f t="shared" si="45"/>
        <v/>
      </c>
      <c r="AX180" s="35" t="str">
        <f t="shared" si="46"/>
        <v/>
      </c>
      <c r="AY180" s="35" t="str">
        <f t="shared" si="47"/>
        <v/>
      </c>
      <c r="AZ180" s="35" t="str">
        <f t="shared" si="48"/>
        <v/>
      </c>
      <c r="BA180" s="35" t="str">
        <f t="shared" si="49"/>
        <v/>
      </c>
      <c r="BB180" s="35" t="str">
        <f t="shared" si="50"/>
        <v/>
      </c>
      <c r="BC180" s="35"/>
      <c r="BE180" s="35" t="e">
        <f>INDEX(SF_Output!$AA$2:$AA$400,MATCH($B180,SF_Output!$M$2:$M$400,0))</f>
        <v>#N/A</v>
      </c>
      <c r="BF180" s="35" t="e">
        <f>INDEX(SF_Output!$AB$2:$AB$400,MATCH($B180,SF_Output!$M$2:$M$400,0))</f>
        <v>#N/A</v>
      </c>
    </row>
    <row r="181" spans="2:58" x14ac:dyDescent="0.25">
      <c r="F181" s="116" t="str">
        <f t="shared" si="34"/>
        <v/>
      </c>
      <c r="G181" t="str">
        <f>IF(B181="","",INDEX(SF_Output!$K$1:$K$400,MATCH(B181,SF_Output!$M$1:$M$400,0)))</f>
        <v/>
      </c>
      <c r="H181" t="str" cm="1">
        <f t="array" ref="H181">_xlfn.IFS(B181="","",(SUMIFS(SF_Output!$F$1:$F$400,SF_Output!$AC$1:$AC$400,_xlfn.TEXTJOIN(",",TRUE,B181:E181))+SUMIFS(SF_Output!$G$1:$G$400,SF_Output!$AC$1:$AC$400,_xlfn.TEXTJOIN(",",TRUE,B181:E181)))&lt;&gt;0,SF_Output!$Y$2,INDEX(SF_Output!$F$1:$F$400,MATCH(_xlfn.TEXTJOIN(",",TRUE,B181:E181),SF_Output!$AC$1:$AC$400,0))=0,INDEX(SF_Output!$R$1:$R$400,MATCH(_xlfn.TEXTJOIN(",",TRUE,B181:E181),SF_Output!$AC$1:$AC$400,0)))</f>
        <v/>
      </c>
      <c r="I181" s="125" t="str">
        <f>IFERROR(IF(AND(H181&gt;1,H181&lt;&gt;""),ROUND(SUMIFS(SF_Output!$S$1:$S$400,SF_Output!$AC$1:$AC$400,_xlfn.TEXTJOIN(",",TRUE,B181:E181),SF_Output!$Q$1:$Q$400,"monthly")*(1-W181)/H181,4),""),"")</f>
        <v/>
      </c>
      <c r="J181" s="6" t="str">
        <f>IF(B181="","",SUMIFS(SF_Output!$S$1:$S$400,SF_Output!$AC$1:$AC$400,_xlfn.TEXTJOIN(",",TRUE,B181:E181),SF_Output!$Q$1:$Q$400,"One Time",SF_Output!$L$1:$L$400,"license fee")+SUMIFS(SF_Output!$S$1:$S$400,SF_Output!$AC$1:$AC$400,_xlfn.TEXTJOIN(",",TRUE,B181:E181),SF_Output!$Q$1:$Q$400,"One Time",SF_Output!$L$1:$L$400,"software license")+SUMIFS(SF_Output!$S$1:$S$400,SF_Output!$AC$1:$AC$400,_xlfn.TEXTJOIN(",",TRUE,B181:E181),SF_Output!$Q$1:$Q$400,"One Time",SF_Output!$L$1:$L$400,"hardware"))</f>
        <v/>
      </c>
      <c r="K181" s="112" t="str">
        <f>IF(OR(B181=0,B181="",G181="hardware",J181=0),"",IF(AF181&lt;&gt;"exclusion",MAX(K$9,-((SUMIFS(SF_Output!$T$1:$T$400,SF_Output!$AC$1:$AC$400,_xlfn.TEXTJOIN(",",TRUE,$B181:$E181),SF_Output!$Q$1:$Q$400,"One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license"))/J181)))</f>
        <v/>
      </c>
      <c r="L181" s="6" t="str">
        <f t="shared" si="35"/>
        <v/>
      </c>
      <c r="N181" s="6" t="str">
        <f>IF(B181="","",SUMIFS(SF_Output!$S$1:$S$400,SF_Output!$AC$1:$AC$400,_xlfn.TEXTJOIN(",",TRUE,B181:E181),SF_Output!$Q$1:$Q$400,"One Time",SF_Output!$L$1:$L$400,"professional service"))</f>
        <v/>
      </c>
      <c r="O181" s="112" t="str">
        <f>IF(OR(B181=0,B181="",N181=0),"",IF(AF181&lt;&gt;"exclusion",MAX(O$9,-(SUMIFS(SF_Output!$T$1:$T$400,SF_Output!$AC$1:$AC$400,_xlfn.TEXTJOIN(",",TRUE,$B181:$E181),SF_Output!$Q$1:$Q$400,"One Time",SF_Output!$L$1:$L$400,"professional service"))/N181),-((SUMIFS(SF_Output!$T$1:$T$400,SF_Output!$AC$1:$AC$400,_xlfn.TEXTJOIN(",",TRUE,$B181:$E181),SF_Output!$Q$1:$Q$400,"One Time",SF_Output!$L$1:$L$400,"professional service")/N181))))</f>
        <v/>
      </c>
      <c r="P181" s="6" t="str">
        <f t="shared" si="36"/>
        <v/>
      </c>
      <c r="R181" s="6" t="str">
        <f>IF(B181="","",SUMIFS(SF_Output!$S$1:$S$400,SF_Output!$AC$1:$AC$400,_xlfn.TEXTJOIN(",",TRUE,B181:E181),SF_Output!$Q$1:$Q$400,"yearly")+SUMIFS(SF_Output!$S$1:$S$400,SF_Output!$AC$1:$AC$400,_xlfn.TEXTJOIN(",",TRUE,B181:E181),SF_Output!$Q$1:$Q$400,"quarterly")*4)</f>
        <v/>
      </c>
      <c r="S181" s="112" t="str">
        <f>IF(OR(B181=0,B181="",G181="hardware",R181=0),"",IF(AF181&lt;&gt;"exclusion",MAX(S$9,-(SUMIFS(SF_Output!$T$1:$T$400,SF_Output!$AC$1:$AC$400,_xlfn.TEXTJOIN(",",TRUE,$B181:$E181),SF_Output!$Q$1:$Q$400,"yearly"))/R181),-((SUMIFS(SF_Output!$T$1:$T$400,SF_Output!$AC$1:$AC$400,_xlfn.TEXTJOIN(",",TRUE,$B181:$E181),SF_Output!$Q$1:$Q$400,"yearly")/R181))))</f>
        <v/>
      </c>
      <c r="T181" s="6" t="str">
        <f t="shared" si="37"/>
        <v/>
      </c>
      <c r="V181" s="6" t="str" cm="1">
        <f t="array" ref="V181">_xlfn.IFS(B181="","",AND(B181&lt;&gt;"",H181=SF_Output!$Y$2,SUMIFS(SF_Output!$T$1:$T$400,SF_Output!$AC$1:$AC$400,_xlfn.TEXTJOIN(",",TRUE,B181:E181),SF_Output!$Q$1:$Q$400,"monthly")=0),(SUMIFS(SF_Output!$F$1:$F$400,SF_Output!$AC$1:$AC$400,_xlfn.TEXTJOIN(",",TRUE,B181:E181),SF_Output!$Q$1:$Q$400,"monthly")+SUMIFS(SF_Output!$G$1:$G$400,SF_Output!$AC$1:$AC$400,_xlfn.TEXTJOIN(",",TRUE,B181:E181),SF_Output!$Q$1:$Q$400,"monthly"))*H181,AND(B181&lt;&gt;"",H181=SF_Output!$Y$2,SUMIFS(SF_Output!$T$1:$T$400,SF_Output!$AC$1:$AC$400,_xlfn.TEXTJOIN(",",TRUE,B181:E181),SF_Output!$Q$1:$Q$400,"monthly")&lt;&gt;0),SUMIFS(SF_Output!$S$1:$S$400,SF_Output!$AC$1:$AC$400,_xlfn.TEXTJOIN(",",TRUE,B181:E181),SF_Output!$Q$1:$Q$400,"monthly"),AND(B181&lt;&gt;"",H181&lt;&gt;SF_Output!$Y$2),SUMIFS(SF_Output!$S$1:$S$400,SF_Output!$AC$1:$AC$400,_xlfn.TEXTJOIN(",",TRUE,B181:E181),SF_Output!$Q$1:$Q$400,"monthly"))</f>
        <v/>
      </c>
      <c r="W181" s="112" t="str" cm="1">
        <f t="array" ref="W181">_xlfn.IFS(OR(B181=0,B181="",V181=0),"",AF181&lt;&gt;"exclusion",MAX($W$9,$W$7,(-(SUMIFS(SF_Output!$T$1:$T$400,SF_Output!$AC$1:$AC$400,_xlfn.TEXTJOIN(",",TRUE,$B181:$E181),SF_Output!$Q$1:$Q$400,"monthly"))/V181)),AF181="exclusion",-(SUMIFS(SF_Output!$T$1:$T$400,SF_Output!$AC$1:$AC$400,_xlfn.TEXTJOIN(",",TRUE,$B181:$E181),SF_Output!$Q$1:$Q$400,"monthly"))/V181)</f>
        <v/>
      </c>
      <c r="X181" s="6" t="str" cm="1">
        <f t="array" ref="X181">IFERROR(_xlfn.IFS(V181=0,0,V181="","",W181=0,V181,OR(V181&lt;&gt;0,V181&lt;&gt;""),H181*I181),V181*(1-W181))</f>
        <v/>
      </c>
      <c r="Z181" s="6" t="str">
        <f>IFERROR(IF(B181="","",SUMIFS(Billing_Fallout!H:H,Billing_Fallout!N:N,B181)),0)</f>
        <v/>
      </c>
      <c r="AA181" s="6" t="str">
        <f t="shared" si="38"/>
        <v/>
      </c>
      <c r="AB181" s="6" t="str">
        <f>IFERROR(IF(B181="","",SUMIFS(Billing_Fallout!J:J,Billing_Fallout!N:N,B181)),0)</f>
        <v/>
      </c>
      <c r="AD181" s="6" t="str">
        <f t="shared" si="39"/>
        <v/>
      </c>
      <c r="AF181" t="str">
        <f>IFERROR(INDEX(H_Tables!$B$1:$B$1500,MATCH(INDEX(SF_Output!$J$1:$J$400,MATCH(B181,SF_Output!$M$1:$M$400,0)),H_Tables!$A$1:$A$1500,0)),"")</f>
        <v/>
      </c>
      <c r="AI181" s="119" t="str">
        <f t="shared" si="40"/>
        <v/>
      </c>
      <c r="AJ181" s="121">
        <f>IFERROR(INDEX(SF_Output!AD:AD,MATCH(_xlfn.TEXTJOIN(",",TRUE,B181:E181),SF_Output!AC1:AC400,0)),0.05)</f>
        <v>241</v>
      </c>
      <c r="AK181" t="str">
        <f>IF(SUMIFS(SF_Output!$F$1:$F$400,SF_Output!$AC$1:$AC$400,_xlfn.TEXTJOIN(",",TRUE,B181:E181))+SUMIFS(SF_Output!$G$1:$G$400,SF_Output!$AC$1:$AC$400,_xlfn.TEXTJOIN(",",TRUE,B181:E181))=0,"","PAP")</f>
        <v/>
      </c>
      <c r="AQ181" s="35"/>
      <c r="AR181" s="35" t="str" cm="1">
        <f t="array" ref="AR181">IFERROR(_xlfn.IFS(AND(E181*1=1,F181="Included"),"Change to Included",AND(E181*1=0,F181="Optional"),"Change to Optional",OR(B181="",F181="replaced"),""),"")</f>
        <v/>
      </c>
      <c r="AS181" s="35" t="str">
        <f t="shared" si="41"/>
        <v/>
      </c>
      <c r="AT181" s="35" t="str">
        <f t="shared" si="42"/>
        <v/>
      </c>
      <c r="AU181" s="35" t="str">
        <f t="shared" si="43"/>
        <v/>
      </c>
      <c r="AV181" s="35" t="str">
        <f t="shared" si="44"/>
        <v/>
      </c>
      <c r="AW181" s="35" t="str">
        <f t="shared" si="45"/>
        <v/>
      </c>
      <c r="AX181" s="35" t="str">
        <f t="shared" si="46"/>
        <v/>
      </c>
      <c r="AY181" s="35" t="str">
        <f t="shared" si="47"/>
        <v/>
      </c>
      <c r="AZ181" s="35" t="str">
        <f t="shared" si="48"/>
        <v/>
      </c>
      <c r="BA181" s="35" t="str">
        <f t="shared" si="49"/>
        <v/>
      </c>
      <c r="BB181" s="35" t="str">
        <f t="shared" si="50"/>
        <v/>
      </c>
      <c r="BC181" s="35"/>
      <c r="BE181" s="35" t="e">
        <f>INDEX(SF_Output!$AA$2:$AA$400,MATCH($B181,SF_Output!$M$2:$M$400,0))</f>
        <v>#N/A</v>
      </c>
      <c r="BF181" s="35" t="e">
        <f>INDEX(SF_Output!$AB$2:$AB$400,MATCH($B181,SF_Output!$M$2:$M$400,0))</f>
        <v>#N/A</v>
      </c>
    </row>
    <row r="182" spans="2:58" x14ac:dyDescent="0.25">
      <c r="F182" s="116" t="str">
        <f t="shared" si="34"/>
        <v/>
      </c>
      <c r="G182" t="str">
        <f>IF(B182="","",INDEX(SF_Output!$K$1:$K$400,MATCH(B182,SF_Output!$M$1:$M$400,0)))</f>
        <v/>
      </c>
      <c r="H182" t="str" cm="1">
        <f t="array" ref="H182">_xlfn.IFS(B182="","",(SUMIFS(SF_Output!$F$1:$F$400,SF_Output!$AC$1:$AC$400,_xlfn.TEXTJOIN(",",TRUE,B182:E182))+SUMIFS(SF_Output!$G$1:$G$400,SF_Output!$AC$1:$AC$400,_xlfn.TEXTJOIN(",",TRUE,B182:E182)))&lt;&gt;0,SF_Output!$Y$2,INDEX(SF_Output!$F$1:$F$400,MATCH(_xlfn.TEXTJOIN(",",TRUE,B182:E182),SF_Output!$AC$1:$AC$400,0))=0,INDEX(SF_Output!$R$1:$R$400,MATCH(_xlfn.TEXTJOIN(",",TRUE,B182:E182),SF_Output!$AC$1:$AC$400,0)))</f>
        <v/>
      </c>
      <c r="I182" s="125" t="str">
        <f>IFERROR(IF(AND(H182&gt;1,H182&lt;&gt;""),ROUND(SUMIFS(SF_Output!$S$1:$S$400,SF_Output!$AC$1:$AC$400,_xlfn.TEXTJOIN(",",TRUE,B182:E182),SF_Output!$Q$1:$Q$400,"monthly")*(1-W182)/H182,4),""),"")</f>
        <v/>
      </c>
      <c r="J182" s="6" t="str">
        <f>IF(B182="","",SUMIFS(SF_Output!$S$1:$S$400,SF_Output!$AC$1:$AC$400,_xlfn.TEXTJOIN(",",TRUE,B182:E182),SF_Output!$Q$1:$Q$400,"One Time",SF_Output!$L$1:$L$400,"license fee")+SUMIFS(SF_Output!$S$1:$S$400,SF_Output!$AC$1:$AC$400,_xlfn.TEXTJOIN(",",TRUE,B182:E182),SF_Output!$Q$1:$Q$400,"One Time",SF_Output!$L$1:$L$400,"software license")+SUMIFS(SF_Output!$S$1:$S$400,SF_Output!$AC$1:$AC$400,_xlfn.TEXTJOIN(",",TRUE,B182:E182),SF_Output!$Q$1:$Q$400,"One Time",SF_Output!$L$1:$L$400,"hardware"))</f>
        <v/>
      </c>
      <c r="K182" s="112" t="str">
        <f>IF(OR(B182=0,B182="",G182="hardware",J182=0),"",IF(AF182&lt;&gt;"exclusion",MAX(K$9,-((SUMIFS(SF_Output!$T$1:$T$400,SF_Output!$AC$1:$AC$400,_xlfn.TEXTJOIN(",",TRUE,$B182:$E182),SF_Output!$Q$1:$Q$400,"One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license"))/J182)))</f>
        <v/>
      </c>
      <c r="L182" s="6" t="str">
        <f t="shared" si="35"/>
        <v/>
      </c>
      <c r="N182" s="6" t="str">
        <f>IF(B182="","",SUMIFS(SF_Output!$S$1:$S$400,SF_Output!$AC$1:$AC$400,_xlfn.TEXTJOIN(",",TRUE,B182:E182),SF_Output!$Q$1:$Q$400,"One Time",SF_Output!$L$1:$L$400,"professional service"))</f>
        <v/>
      </c>
      <c r="O182" s="112" t="str">
        <f>IF(OR(B182=0,B182="",N182=0),"",IF(AF182&lt;&gt;"exclusion",MAX(O$9,-(SUMIFS(SF_Output!$T$1:$T$400,SF_Output!$AC$1:$AC$400,_xlfn.TEXTJOIN(",",TRUE,$B182:$E182),SF_Output!$Q$1:$Q$400,"One Time",SF_Output!$L$1:$L$400,"professional service"))/N182),-((SUMIFS(SF_Output!$T$1:$T$400,SF_Output!$AC$1:$AC$400,_xlfn.TEXTJOIN(",",TRUE,$B182:$E182),SF_Output!$Q$1:$Q$400,"One Time",SF_Output!$L$1:$L$400,"professional service")/N182))))</f>
        <v/>
      </c>
      <c r="P182" s="6" t="str">
        <f t="shared" si="36"/>
        <v/>
      </c>
      <c r="R182" s="6" t="str">
        <f>IF(B182="","",SUMIFS(SF_Output!$S$1:$S$400,SF_Output!$AC$1:$AC$400,_xlfn.TEXTJOIN(",",TRUE,B182:E182),SF_Output!$Q$1:$Q$400,"yearly")+SUMIFS(SF_Output!$S$1:$S$400,SF_Output!$AC$1:$AC$400,_xlfn.TEXTJOIN(",",TRUE,B182:E182),SF_Output!$Q$1:$Q$400,"quarterly")*4)</f>
        <v/>
      </c>
      <c r="S182" s="112" t="str">
        <f>IF(OR(B182=0,B182="",G182="hardware",R182=0),"",IF(AF182&lt;&gt;"exclusion",MAX(S$9,-(SUMIFS(SF_Output!$T$1:$T$400,SF_Output!$AC$1:$AC$400,_xlfn.TEXTJOIN(",",TRUE,$B182:$E182),SF_Output!$Q$1:$Q$400,"yearly"))/R182),-((SUMIFS(SF_Output!$T$1:$T$400,SF_Output!$AC$1:$AC$400,_xlfn.TEXTJOIN(",",TRUE,$B182:$E182),SF_Output!$Q$1:$Q$400,"yearly")/R182))))</f>
        <v/>
      </c>
      <c r="T182" s="6" t="str">
        <f t="shared" si="37"/>
        <v/>
      </c>
      <c r="V182" s="6" t="str" cm="1">
        <f t="array" ref="V182">_xlfn.IFS(B182="","",AND(B182&lt;&gt;"",H182=SF_Output!$Y$2,SUMIFS(SF_Output!$T$1:$T$400,SF_Output!$AC$1:$AC$400,_xlfn.TEXTJOIN(",",TRUE,B182:E182),SF_Output!$Q$1:$Q$400,"monthly")=0),(SUMIFS(SF_Output!$F$1:$F$400,SF_Output!$AC$1:$AC$400,_xlfn.TEXTJOIN(",",TRUE,B182:E182),SF_Output!$Q$1:$Q$400,"monthly")+SUMIFS(SF_Output!$G$1:$G$400,SF_Output!$AC$1:$AC$400,_xlfn.TEXTJOIN(",",TRUE,B182:E182),SF_Output!$Q$1:$Q$400,"monthly"))*H182,AND(B182&lt;&gt;"",H182=SF_Output!$Y$2,SUMIFS(SF_Output!$T$1:$T$400,SF_Output!$AC$1:$AC$400,_xlfn.TEXTJOIN(",",TRUE,B182:E182),SF_Output!$Q$1:$Q$400,"monthly")&lt;&gt;0),SUMIFS(SF_Output!$S$1:$S$400,SF_Output!$AC$1:$AC$400,_xlfn.TEXTJOIN(",",TRUE,B182:E182),SF_Output!$Q$1:$Q$400,"monthly"),AND(B182&lt;&gt;"",H182&lt;&gt;SF_Output!$Y$2),SUMIFS(SF_Output!$S$1:$S$400,SF_Output!$AC$1:$AC$400,_xlfn.TEXTJOIN(",",TRUE,B182:E182),SF_Output!$Q$1:$Q$400,"monthly"))</f>
        <v/>
      </c>
      <c r="W182" s="112" t="str" cm="1">
        <f t="array" ref="W182">_xlfn.IFS(OR(B182=0,B182="",V182=0),"",AF182&lt;&gt;"exclusion",MAX($W$9,$W$7,(-(SUMIFS(SF_Output!$T$1:$T$400,SF_Output!$AC$1:$AC$400,_xlfn.TEXTJOIN(",",TRUE,$B182:$E182),SF_Output!$Q$1:$Q$400,"monthly"))/V182)),AF182="exclusion",-(SUMIFS(SF_Output!$T$1:$T$400,SF_Output!$AC$1:$AC$400,_xlfn.TEXTJOIN(",",TRUE,$B182:$E182),SF_Output!$Q$1:$Q$400,"monthly"))/V182)</f>
        <v/>
      </c>
      <c r="X182" s="6" t="str" cm="1">
        <f t="array" ref="X182">IFERROR(_xlfn.IFS(V182=0,0,V182="","",W182=0,V182,OR(V182&lt;&gt;0,V182&lt;&gt;""),H182*I182),V182*(1-W182))</f>
        <v/>
      </c>
      <c r="Z182" s="6" t="str">
        <f>IFERROR(IF(B182="","",SUMIFS(Billing_Fallout!H:H,Billing_Fallout!N:N,B182)),0)</f>
        <v/>
      </c>
      <c r="AA182" s="6" t="str">
        <f t="shared" si="38"/>
        <v/>
      </c>
      <c r="AB182" s="6" t="str">
        <f>IFERROR(IF(B182="","",SUMIFS(Billing_Fallout!J:J,Billing_Fallout!N:N,B182)),0)</f>
        <v/>
      </c>
      <c r="AD182" s="6" t="str">
        <f t="shared" si="39"/>
        <v/>
      </c>
      <c r="AF182" t="str">
        <f>IFERROR(INDEX(H_Tables!$B$1:$B$1500,MATCH(INDEX(SF_Output!$J$1:$J$400,MATCH(B182,SF_Output!$M$1:$M$400,0)),H_Tables!$A$1:$A$1500,0)),"")</f>
        <v/>
      </c>
      <c r="AI182" s="119" t="str">
        <f t="shared" si="40"/>
        <v/>
      </c>
      <c r="AJ182" s="121">
        <f>IFERROR(INDEX(SF_Output!AD:AD,MATCH(_xlfn.TEXTJOIN(",",TRUE,B182:E182),SF_Output!AC1:AC400,0)),0.05)</f>
        <v>241</v>
      </c>
      <c r="AK182" t="str">
        <f>IF(SUMIFS(SF_Output!$F$1:$F$400,SF_Output!$AC$1:$AC$400,_xlfn.TEXTJOIN(",",TRUE,B182:E182))+SUMIFS(SF_Output!$G$1:$G$400,SF_Output!$AC$1:$AC$400,_xlfn.TEXTJOIN(",",TRUE,B182:E182))=0,"","PAP")</f>
        <v/>
      </c>
      <c r="AQ182" s="35"/>
      <c r="AR182" s="35" t="str" cm="1">
        <f t="array" ref="AR182">IFERROR(_xlfn.IFS(AND(E182*1=1,F182="Included"),"Change to Included",AND(E182*1=0,F182="Optional"),"Change to Optional",OR(B182="",F182="replaced"),""),"")</f>
        <v/>
      </c>
      <c r="AS182" s="35" t="str">
        <f t="shared" si="41"/>
        <v/>
      </c>
      <c r="AT182" s="35" t="str">
        <f t="shared" si="42"/>
        <v/>
      </c>
      <c r="AU182" s="35" t="str">
        <f t="shared" si="43"/>
        <v/>
      </c>
      <c r="AV182" s="35" t="str">
        <f t="shared" si="44"/>
        <v/>
      </c>
      <c r="AW182" s="35" t="str">
        <f t="shared" si="45"/>
        <v/>
      </c>
      <c r="AX182" s="35" t="str">
        <f t="shared" si="46"/>
        <v/>
      </c>
      <c r="AY182" s="35" t="str">
        <f t="shared" si="47"/>
        <v/>
      </c>
      <c r="AZ182" s="35" t="str">
        <f t="shared" si="48"/>
        <v/>
      </c>
      <c r="BA182" s="35" t="str">
        <f t="shared" si="49"/>
        <v/>
      </c>
      <c r="BB182" s="35" t="str">
        <f t="shared" si="50"/>
        <v/>
      </c>
      <c r="BC182" s="35"/>
      <c r="BE182" s="35" t="e">
        <f>INDEX(SF_Output!$AA$2:$AA$400,MATCH($B182,SF_Output!$M$2:$M$400,0))</f>
        <v>#N/A</v>
      </c>
      <c r="BF182" s="35" t="e">
        <f>INDEX(SF_Output!$AB$2:$AB$400,MATCH($B182,SF_Output!$M$2:$M$400,0))</f>
        <v>#N/A</v>
      </c>
    </row>
    <row r="183" spans="2:58" x14ac:dyDescent="0.25">
      <c r="F183" s="116" t="str">
        <f t="shared" si="34"/>
        <v/>
      </c>
      <c r="G183" t="str">
        <f>IF(B183="","",INDEX(SF_Output!$K$1:$K$400,MATCH(B183,SF_Output!$M$1:$M$400,0)))</f>
        <v/>
      </c>
      <c r="H183" t="str" cm="1">
        <f t="array" ref="H183">_xlfn.IFS(B183="","",(SUMIFS(SF_Output!$F$1:$F$400,SF_Output!$AC$1:$AC$400,_xlfn.TEXTJOIN(",",TRUE,B183:E183))+SUMIFS(SF_Output!$G$1:$G$400,SF_Output!$AC$1:$AC$400,_xlfn.TEXTJOIN(",",TRUE,B183:E183)))&lt;&gt;0,SF_Output!$Y$2,INDEX(SF_Output!$F$1:$F$400,MATCH(_xlfn.TEXTJOIN(",",TRUE,B183:E183),SF_Output!$AC$1:$AC$400,0))=0,INDEX(SF_Output!$R$1:$R$400,MATCH(_xlfn.TEXTJOIN(",",TRUE,B183:E183),SF_Output!$AC$1:$AC$400,0)))</f>
        <v/>
      </c>
      <c r="I183" s="125" t="str">
        <f>IFERROR(IF(AND(H183&gt;1,H183&lt;&gt;""),ROUND(SUMIFS(SF_Output!$S$1:$S$400,SF_Output!$AC$1:$AC$400,_xlfn.TEXTJOIN(",",TRUE,B183:E183),SF_Output!$Q$1:$Q$400,"monthly")*(1-W183)/H183,4),""),"")</f>
        <v/>
      </c>
      <c r="J183" s="6" t="str">
        <f>IF(B183="","",SUMIFS(SF_Output!$S$1:$S$400,SF_Output!$AC$1:$AC$400,_xlfn.TEXTJOIN(",",TRUE,B183:E183),SF_Output!$Q$1:$Q$400,"One Time",SF_Output!$L$1:$L$400,"license fee")+SUMIFS(SF_Output!$S$1:$S$400,SF_Output!$AC$1:$AC$400,_xlfn.TEXTJOIN(",",TRUE,B183:E183),SF_Output!$Q$1:$Q$400,"One Time",SF_Output!$L$1:$L$400,"software license")+SUMIFS(SF_Output!$S$1:$S$400,SF_Output!$AC$1:$AC$400,_xlfn.TEXTJOIN(",",TRUE,B183:E183),SF_Output!$Q$1:$Q$400,"One Time",SF_Output!$L$1:$L$400,"hardware"))</f>
        <v/>
      </c>
      <c r="K183" s="112" t="str">
        <f>IF(OR(B183=0,B183="",G183="hardware",J183=0),"",IF(AF183&lt;&gt;"exclusion",MAX(K$9,-((SUMIFS(SF_Output!$T$1:$T$400,SF_Output!$AC$1:$AC$400,_xlfn.TEXTJOIN(",",TRUE,$B183:$E183),SF_Output!$Q$1:$Q$400,"One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license"))/J183)))</f>
        <v/>
      </c>
      <c r="L183" s="6" t="str">
        <f t="shared" si="35"/>
        <v/>
      </c>
      <c r="N183" s="6" t="str">
        <f>IF(B183="","",SUMIFS(SF_Output!$S$1:$S$400,SF_Output!$AC$1:$AC$400,_xlfn.TEXTJOIN(",",TRUE,B183:E183),SF_Output!$Q$1:$Q$400,"One Time",SF_Output!$L$1:$L$400,"professional service"))</f>
        <v/>
      </c>
      <c r="O183" s="112" t="str">
        <f>IF(OR(B183=0,B183="",N183=0),"",IF(AF183&lt;&gt;"exclusion",MAX(O$9,-(SUMIFS(SF_Output!$T$1:$T$400,SF_Output!$AC$1:$AC$400,_xlfn.TEXTJOIN(",",TRUE,$B183:$E183),SF_Output!$Q$1:$Q$400,"One Time",SF_Output!$L$1:$L$400,"professional service"))/N183),-((SUMIFS(SF_Output!$T$1:$T$400,SF_Output!$AC$1:$AC$400,_xlfn.TEXTJOIN(",",TRUE,$B183:$E183),SF_Output!$Q$1:$Q$400,"One Time",SF_Output!$L$1:$L$400,"professional service")/N183))))</f>
        <v/>
      </c>
      <c r="P183" s="6" t="str">
        <f t="shared" si="36"/>
        <v/>
      </c>
      <c r="R183" s="6" t="str">
        <f>IF(B183="","",SUMIFS(SF_Output!$S$1:$S$400,SF_Output!$AC$1:$AC$400,_xlfn.TEXTJOIN(",",TRUE,B183:E183),SF_Output!$Q$1:$Q$400,"yearly")+SUMIFS(SF_Output!$S$1:$S$400,SF_Output!$AC$1:$AC$400,_xlfn.TEXTJOIN(",",TRUE,B183:E183),SF_Output!$Q$1:$Q$400,"quarterly")*4)</f>
        <v/>
      </c>
      <c r="S183" s="112" t="str">
        <f>IF(OR(B183=0,B183="",G183="hardware",R183=0),"",IF(AF183&lt;&gt;"exclusion",MAX(S$9,-(SUMIFS(SF_Output!$T$1:$T$400,SF_Output!$AC$1:$AC$400,_xlfn.TEXTJOIN(",",TRUE,$B183:$E183),SF_Output!$Q$1:$Q$400,"yearly"))/R183),-((SUMIFS(SF_Output!$T$1:$T$400,SF_Output!$AC$1:$AC$400,_xlfn.TEXTJOIN(",",TRUE,$B183:$E183),SF_Output!$Q$1:$Q$400,"yearly")/R183))))</f>
        <v/>
      </c>
      <c r="T183" s="6" t="str">
        <f t="shared" si="37"/>
        <v/>
      </c>
      <c r="V183" s="6" t="str" cm="1">
        <f t="array" ref="V183">_xlfn.IFS(B183="","",AND(B183&lt;&gt;"",H183=SF_Output!$Y$2,SUMIFS(SF_Output!$T$1:$T$400,SF_Output!$AC$1:$AC$400,_xlfn.TEXTJOIN(",",TRUE,B183:E183),SF_Output!$Q$1:$Q$400,"monthly")=0),(SUMIFS(SF_Output!$F$1:$F$400,SF_Output!$AC$1:$AC$400,_xlfn.TEXTJOIN(",",TRUE,B183:E183),SF_Output!$Q$1:$Q$400,"monthly")+SUMIFS(SF_Output!$G$1:$G$400,SF_Output!$AC$1:$AC$400,_xlfn.TEXTJOIN(",",TRUE,B183:E183),SF_Output!$Q$1:$Q$400,"monthly"))*H183,AND(B183&lt;&gt;"",H183=SF_Output!$Y$2,SUMIFS(SF_Output!$T$1:$T$400,SF_Output!$AC$1:$AC$400,_xlfn.TEXTJOIN(",",TRUE,B183:E183),SF_Output!$Q$1:$Q$400,"monthly")&lt;&gt;0),SUMIFS(SF_Output!$S$1:$S$400,SF_Output!$AC$1:$AC$400,_xlfn.TEXTJOIN(",",TRUE,B183:E183),SF_Output!$Q$1:$Q$400,"monthly"),AND(B183&lt;&gt;"",H183&lt;&gt;SF_Output!$Y$2),SUMIFS(SF_Output!$S$1:$S$400,SF_Output!$AC$1:$AC$400,_xlfn.TEXTJOIN(",",TRUE,B183:E183),SF_Output!$Q$1:$Q$400,"monthly"))</f>
        <v/>
      </c>
      <c r="W183" s="112" t="str" cm="1">
        <f t="array" ref="W183">_xlfn.IFS(OR(B183=0,B183="",V183=0),"",AF183&lt;&gt;"exclusion",MAX($W$9,$W$7,(-(SUMIFS(SF_Output!$T$1:$T$400,SF_Output!$AC$1:$AC$400,_xlfn.TEXTJOIN(",",TRUE,$B183:$E183),SF_Output!$Q$1:$Q$400,"monthly"))/V183)),AF183="exclusion",-(SUMIFS(SF_Output!$T$1:$T$400,SF_Output!$AC$1:$AC$400,_xlfn.TEXTJOIN(",",TRUE,$B183:$E183),SF_Output!$Q$1:$Q$400,"monthly"))/V183)</f>
        <v/>
      </c>
      <c r="X183" s="6" t="str" cm="1">
        <f t="array" ref="X183">IFERROR(_xlfn.IFS(V183=0,0,V183="","",W183=0,V183,OR(V183&lt;&gt;0,V183&lt;&gt;""),H183*I183),V183*(1-W183))</f>
        <v/>
      </c>
      <c r="Z183" s="6" t="str">
        <f>IFERROR(IF(B183="","",SUMIFS(Billing_Fallout!H:H,Billing_Fallout!N:N,B183)),0)</f>
        <v/>
      </c>
      <c r="AA183" s="6" t="str">
        <f t="shared" si="38"/>
        <v/>
      </c>
      <c r="AB183" s="6" t="str">
        <f>IFERROR(IF(B183="","",SUMIFS(Billing_Fallout!J:J,Billing_Fallout!N:N,B183)),0)</f>
        <v/>
      </c>
      <c r="AD183" s="6" t="str">
        <f t="shared" si="39"/>
        <v/>
      </c>
      <c r="AF183" t="str">
        <f>IFERROR(INDEX(H_Tables!$B$1:$B$1500,MATCH(INDEX(SF_Output!$J$1:$J$400,MATCH(B183,SF_Output!$M$1:$M$400,0)),H_Tables!$A$1:$A$1500,0)),"")</f>
        <v/>
      </c>
      <c r="AI183" s="119" t="str">
        <f t="shared" si="40"/>
        <v/>
      </c>
      <c r="AJ183" s="121">
        <f>IFERROR(INDEX(SF_Output!AD:AD,MATCH(_xlfn.TEXTJOIN(",",TRUE,B183:E183),SF_Output!AC1:AC400,0)),0.05)</f>
        <v>241</v>
      </c>
      <c r="AK183" t="str">
        <f>IF(SUMIFS(SF_Output!$F$1:$F$400,SF_Output!$AC$1:$AC$400,_xlfn.TEXTJOIN(",",TRUE,B183:E183))+SUMIFS(SF_Output!$G$1:$G$400,SF_Output!$AC$1:$AC$400,_xlfn.TEXTJOIN(",",TRUE,B183:E183))=0,"","PAP")</f>
        <v/>
      </c>
      <c r="AQ183" s="35"/>
      <c r="AR183" s="35" t="str" cm="1">
        <f t="array" ref="AR183">IFERROR(_xlfn.IFS(AND(E183*1=1,F183="Included"),"Change to Included",AND(E183*1=0,F183="Optional"),"Change to Optional",OR(B183="",F183="replaced"),""),"")</f>
        <v/>
      </c>
      <c r="AS183" s="35" t="str">
        <f t="shared" si="41"/>
        <v/>
      </c>
      <c r="AT183" s="35" t="str">
        <f t="shared" si="42"/>
        <v/>
      </c>
      <c r="AU183" s="35" t="str">
        <f t="shared" si="43"/>
        <v/>
      </c>
      <c r="AV183" s="35" t="str">
        <f t="shared" si="44"/>
        <v/>
      </c>
      <c r="AW183" s="35" t="str">
        <f t="shared" si="45"/>
        <v/>
      </c>
      <c r="AX183" s="35" t="str">
        <f t="shared" si="46"/>
        <v/>
      </c>
      <c r="AY183" s="35" t="str">
        <f t="shared" si="47"/>
        <v/>
      </c>
      <c r="AZ183" s="35" t="str">
        <f t="shared" si="48"/>
        <v/>
      </c>
      <c r="BA183" s="35" t="str">
        <f t="shared" si="49"/>
        <v/>
      </c>
      <c r="BB183" s="35" t="str">
        <f t="shared" si="50"/>
        <v/>
      </c>
      <c r="BC183" s="35"/>
      <c r="BE183" s="35" t="e">
        <f>INDEX(SF_Output!$AA$2:$AA$400,MATCH($B183,SF_Output!$M$2:$M$400,0))</f>
        <v>#N/A</v>
      </c>
      <c r="BF183" s="35" t="e">
        <f>INDEX(SF_Output!$AB$2:$AB$400,MATCH($B183,SF_Output!$M$2:$M$400,0))</f>
        <v>#N/A</v>
      </c>
    </row>
    <row r="184" spans="2:58" x14ac:dyDescent="0.25">
      <c r="F184" s="116" t="str">
        <f t="shared" si="34"/>
        <v/>
      </c>
      <c r="G184" t="str">
        <f>IF(B184="","",INDEX(SF_Output!$K$1:$K$400,MATCH(B184,SF_Output!$M$1:$M$400,0)))</f>
        <v/>
      </c>
      <c r="H184" t="str" cm="1">
        <f t="array" ref="H184">_xlfn.IFS(B184="","",(SUMIFS(SF_Output!$F$1:$F$400,SF_Output!$AC$1:$AC$400,_xlfn.TEXTJOIN(",",TRUE,B184:E184))+SUMIFS(SF_Output!$G$1:$G$400,SF_Output!$AC$1:$AC$400,_xlfn.TEXTJOIN(",",TRUE,B184:E184)))&lt;&gt;0,SF_Output!$Y$2,INDEX(SF_Output!$F$1:$F$400,MATCH(_xlfn.TEXTJOIN(",",TRUE,B184:E184),SF_Output!$AC$1:$AC$400,0))=0,INDEX(SF_Output!$R$1:$R$400,MATCH(_xlfn.TEXTJOIN(",",TRUE,B184:E184),SF_Output!$AC$1:$AC$400,0)))</f>
        <v/>
      </c>
      <c r="I184" s="125" t="str">
        <f>IFERROR(IF(AND(H184&gt;1,H184&lt;&gt;""),ROUND(SUMIFS(SF_Output!$S$1:$S$400,SF_Output!$AC$1:$AC$400,_xlfn.TEXTJOIN(",",TRUE,B184:E184),SF_Output!$Q$1:$Q$400,"monthly")*(1-W184)/H184,4),""),"")</f>
        <v/>
      </c>
      <c r="J184" s="6" t="str">
        <f>IF(B184="","",SUMIFS(SF_Output!$S$1:$S$400,SF_Output!$AC$1:$AC$400,_xlfn.TEXTJOIN(",",TRUE,B184:E184),SF_Output!$Q$1:$Q$400,"One Time",SF_Output!$L$1:$L$400,"license fee")+SUMIFS(SF_Output!$S$1:$S$400,SF_Output!$AC$1:$AC$400,_xlfn.TEXTJOIN(",",TRUE,B184:E184),SF_Output!$Q$1:$Q$400,"One Time",SF_Output!$L$1:$L$400,"software license")+SUMIFS(SF_Output!$S$1:$S$400,SF_Output!$AC$1:$AC$400,_xlfn.TEXTJOIN(",",TRUE,B184:E184),SF_Output!$Q$1:$Q$400,"One Time",SF_Output!$L$1:$L$400,"hardware"))</f>
        <v/>
      </c>
      <c r="K184" s="112" t="str">
        <f>IF(OR(B184=0,B184="",G184="hardware",J184=0),"",IF(AF184&lt;&gt;"exclusion",MAX(K$9,-((SUMIFS(SF_Output!$T$1:$T$400,SF_Output!$AC$1:$AC$400,_xlfn.TEXTJOIN(",",TRUE,$B184:$E184),SF_Output!$Q$1:$Q$400,"One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license"))/J184)))</f>
        <v/>
      </c>
      <c r="L184" s="6" t="str">
        <f t="shared" si="35"/>
        <v/>
      </c>
      <c r="N184" s="6" t="str">
        <f>IF(B184="","",SUMIFS(SF_Output!$S$1:$S$400,SF_Output!$AC$1:$AC$400,_xlfn.TEXTJOIN(",",TRUE,B184:E184),SF_Output!$Q$1:$Q$400,"One Time",SF_Output!$L$1:$L$400,"professional service"))</f>
        <v/>
      </c>
      <c r="O184" s="112" t="str">
        <f>IF(OR(B184=0,B184="",N184=0),"",IF(AF184&lt;&gt;"exclusion",MAX(O$9,-(SUMIFS(SF_Output!$T$1:$T$400,SF_Output!$AC$1:$AC$400,_xlfn.TEXTJOIN(",",TRUE,$B184:$E184),SF_Output!$Q$1:$Q$400,"One Time",SF_Output!$L$1:$L$400,"professional service"))/N184),-((SUMIFS(SF_Output!$T$1:$T$400,SF_Output!$AC$1:$AC$400,_xlfn.TEXTJOIN(",",TRUE,$B184:$E184),SF_Output!$Q$1:$Q$400,"One Time",SF_Output!$L$1:$L$400,"professional service")/N184))))</f>
        <v/>
      </c>
      <c r="P184" s="6" t="str">
        <f t="shared" si="36"/>
        <v/>
      </c>
      <c r="R184" s="6" t="str">
        <f>IF(B184="","",SUMIFS(SF_Output!$S$1:$S$400,SF_Output!$AC$1:$AC$400,_xlfn.TEXTJOIN(",",TRUE,B184:E184),SF_Output!$Q$1:$Q$400,"yearly")+SUMIFS(SF_Output!$S$1:$S$400,SF_Output!$AC$1:$AC$400,_xlfn.TEXTJOIN(",",TRUE,B184:E184),SF_Output!$Q$1:$Q$400,"quarterly")*4)</f>
        <v/>
      </c>
      <c r="S184" s="112" t="str">
        <f>IF(OR(B184=0,B184="",G184="hardware",R184=0),"",IF(AF184&lt;&gt;"exclusion",MAX(S$9,-(SUMIFS(SF_Output!$T$1:$T$400,SF_Output!$AC$1:$AC$400,_xlfn.TEXTJOIN(",",TRUE,$B184:$E184),SF_Output!$Q$1:$Q$400,"yearly"))/R184),-((SUMIFS(SF_Output!$T$1:$T$400,SF_Output!$AC$1:$AC$400,_xlfn.TEXTJOIN(",",TRUE,$B184:$E184),SF_Output!$Q$1:$Q$400,"yearly")/R184))))</f>
        <v/>
      </c>
      <c r="T184" s="6" t="str">
        <f t="shared" si="37"/>
        <v/>
      </c>
      <c r="V184" s="6" t="str" cm="1">
        <f t="array" ref="V184">_xlfn.IFS(B184="","",AND(B184&lt;&gt;"",H184=SF_Output!$Y$2,SUMIFS(SF_Output!$T$1:$T$400,SF_Output!$AC$1:$AC$400,_xlfn.TEXTJOIN(",",TRUE,B184:E184),SF_Output!$Q$1:$Q$400,"monthly")=0),(SUMIFS(SF_Output!$F$1:$F$400,SF_Output!$AC$1:$AC$400,_xlfn.TEXTJOIN(",",TRUE,B184:E184),SF_Output!$Q$1:$Q$400,"monthly")+SUMIFS(SF_Output!$G$1:$G$400,SF_Output!$AC$1:$AC$400,_xlfn.TEXTJOIN(",",TRUE,B184:E184),SF_Output!$Q$1:$Q$400,"monthly"))*H184,AND(B184&lt;&gt;"",H184=SF_Output!$Y$2,SUMIFS(SF_Output!$T$1:$T$400,SF_Output!$AC$1:$AC$400,_xlfn.TEXTJOIN(",",TRUE,B184:E184),SF_Output!$Q$1:$Q$400,"monthly")&lt;&gt;0),SUMIFS(SF_Output!$S$1:$S$400,SF_Output!$AC$1:$AC$400,_xlfn.TEXTJOIN(",",TRUE,B184:E184),SF_Output!$Q$1:$Q$400,"monthly"),AND(B184&lt;&gt;"",H184&lt;&gt;SF_Output!$Y$2),SUMIFS(SF_Output!$S$1:$S$400,SF_Output!$AC$1:$AC$400,_xlfn.TEXTJOIN(",",TRUE,B184:E184),SF_Output!$Q$1:$Q$400,"monthly"))</f>
        <v/>
      </c>
      <c r="W184" s="112" t="str" cm="1">
        <f t="array" ref="W184">_xlfn.IFS(OR(B184=0,B184="",V184=0),"",AF184&lt;&gt;"exclusion",MAX($W$9,$W$7,(-(SUMIFS(SF_Output!$T$1:$T$400,SF_Output!$AC$1:$AC$400,_xlfn.TEXTJOIN(",",TRUE,$B184:$E184),SF_Output!$Q$1:$Q$400,"monthly"))/V184)),AF184="exclusion",-(SUMIFS(SF_Output!$T$1:$T$400,SF_Output!$AC$1:$AC$400,_xlfn.TEXTJOIN(",",TRUE,$B184:$E184),SF_Output!$Q$1:$Q$400,"monthly"))/V184)</f>
        <v/>
      </c>
      <c r="X184" s="6" t="str" cm="1">
        <f t="array" ref="X184">IFERROR(_xlfn.IFS(V184=0,0,V184="","",W184=0,V184,OR(V184&lt;&gt;0,V184&lt;&gt;""),H184*I184),V184*(1-W184))</f>
        <v/>
      </c>
      <c r="Z184" s="6" t="str">
        <f>IFERROR(IF(B184="","",SUMIFS(Billing_Fallout!H:H,Billing_Fallout!N:N,B184)),0)</f>
        <v/>
      </c>
      <c r="AA184" s="6" t="str">
        <f t="shared" si="38"/>
        <v/>
      </c>
      <c r="AB184" s="6" t="str">
        <f>IFERROR(IF(B184="","",SUMIFS(Billing_Fallout!J:J,Billing_Fallout!N:N,B184)),0)</f>
        <v/>
      </c>
      <c r="AD184" s="6" t="str">
        <f t="shared" si="39"/>
        <v/>
      </c>
      <c r="AF184" t="str">
        <f>IFERROR(INDEX(H_Tables!$B$1:$B$1500,MATCH(INDEX(SF_Output!$J$1:$J$400,MATCH(B184,SF_Output!$M$1:$M$400,0)),H_Tables!$A$1:$A$1500,0)),"")</f>
        <v/>
      </c>
      <c r="AI184" s="119" t="str">
        <f t="shared" si="40"/>
        <v/>
      </c>
      <c r="AJ184" s="121">
        <f>IFERROR(INDEX(SF_Output!AD:AD,MATCH(_xlfn.TEXTJOIN(",",TRUE,B184:E184),SF_Output!AC1:AC400,0)),0.05)</f>
        <v>241</v>
      </c>
      <c r="AK184" t="str">
        <f>IF(SUMIFS(SF_Output!$F$1:$F$400,SF_Output!$AC$1:$AC$400,_xlfn.TEXTJOIN(",",TRUE,B184:E184))+SUMIFS(SF_Output!$G$1:$G$400,SF_Output!$AC$1:$AC$400,_xlfn.TEXTJOIN(",",TRUE,B184:E184))=0,"","PAP")</f>
        <v/>
      </c>
      <c r="AQ184" s="35"/>
      <c r="AR184" s="35" t="str" cm="1">
        <f t="array" ref="AR184">IFERROR(_xlfn.IFS(AND(E184*1=1,F184="Included"),"Change to Included",AND(E184*1=0,F184="Optional"),"Change to Optional",OR(B184="",F184="replaced"),""),"")</f>
        <v/>
      </c>
      <c r="AS184" s="35" t="str">
        <f t="shared" si="41"/>
        <v/>
      </c>
      <c r="AT184" s="35" t="str">
        <f t="shared" si="42"/>
        <v/>
      </c>
      <c r="AU184" s="35" t="str">
        <f t="shared" si="43"/>
        <v/>
      </c>
      <c r="AV184" s="35" t="str">
        <f t="shared" si="44"/>
        <v/>
      </c>
      <c r="AW184" s="35" t="str">
        <f t="shared" si="45"/>
        <v/>
      </c>
      <c r="AX184" s="35" t="str">
        <f t="shared" si="46"/>
        <v/>
      </c>
      <c r="AY184" s="35" t="str">
        <f t="shared" si="47"/>
        <v/>
      </c>
      <c r="AZ184" s="35" t="str">
        <f t="shared" si="48"/>
        <v/>
      </c>
      <c r="BA184" s="35" t="str">
        <f t="shared" si="49"/>
        <v/>
      </c>
      <c r="BB184" s="35" t="str">
        <f t="shared" si="50"/>
        <v/>
      </c>
      <c r="BC184" s="35"/>
      <c r="BE184" s="35" t="e">
        <f>INDEX(SF_Output!$AA$2:$AA$400,MATCH($B184,SF_Output!$M$2:$M$400,0))</f>
        <v>#N/A</v>
      </c>
      <c r="BF184" s="35" t="e">
        <f>INDEX(SF_Output!$AB$2:$AB$400,MATCH($B184,SF_Output!$M$2:$M$400,0))</f>
        <v>#N/A</v>
      </c>
    </row>
    <row r="185" spans="2:58" x14ac:dyDescent="0.25">
      <c r="F185" s="116" t="str">
        <f t="shared" si="34"/>
        <v/>
      </c>
      <c r="G185" t="str">
        <f>IF(B185="","",INDEX(SF_Output!$K$1:$K$400,MATCH(B185,SF_Output!$M$1:$M$400,0)))</f>
        <v/>
      </c>
      <c r="H185" t="str" cm="1">
        <f t="array" ref="H185">_xlfn.IFS(B185="","",(SUMIFS(SF_Output!$F$1:$F$400,SF_Output!$AC$1:$AC$400,_xlfn.TEXTJOIN(",",TRUE,B185:E185))+SUMIFS(SF_Output!$G$1:$G$400,SF_Output!$AC$1:$AC$400,_xlfn.TEXTJOIN(",",TRUE,B185:E185)))&lt;&gt;0,SF_Output!$Y$2,INDEX(SF_Output!$F$1:$F$400,MATCH(_xlfn.TEXTJOIN(",",TRUE,B185:E185),SF_Output!$AC$1:$AC$400,0))=0,INDEX(SF_Output!$R$1:$R$400,MATCH(_xlfn.TEXTJOIN(",",TRUE,B185:E185),SF_Output!$AC$1:$AC$400,0)))</f>
        <v/>
      </c>
      <c r="I185" s="125" t="str">
        <f>IFERROR(IF(AND(H185&gt;1,H185&lt;&gt;""),ROUND(SUMIFS(SF_Output!$S$1:$S$400,SF_Output!$AC$1:$AC$400,_xlfn.TEXTJOIN(",",TRUE,B185:E185),SF_Output!$Q$1:$Q$400,"monthly")*(1-W185)/H185,4),""),"")</f>
        <v/>
      </c>
      <c r="J185" s="6" t="str">
        <f>IF(B185="","",SUMIFS(SF_Output!$S$1:$S$400,SF_Output!$AC$1:$AC$400,_xlfn.TEXTJOIN(",",TRUE,B185:E185),SF_Output!$Q$1:$Q$400,"One Time",SF_Output!$L$1:$L$400,"license fee")+SUMIFS(SF_Output!$S$1:$S$400,SF_Output!$AC$1:$AC$400,_xlfn.TEXTJOIN(",",TRUE,B185:E185),SF_Output!$Q$1:$Q$400,"One Time",SF_Output!$L$1:$L$400,"software license")+SUMIFS(SF_Output!$S$1:$S$400,SF_Output!$AC$1:$AC$400,_xlfn.TEXTJOIN(",",TRUE,B185:E185),SF_Output!$Q$1:$Q$400,"One Time",SF_Output!$L$1:$L$400,"hardware"))</f>
        <v/>
      </c>
      <c r="K185" s="112" t="str">
        <f>IF(OR(B185=0,B185="",G185="hardware",J185=0),"",IF(AF185&lt;&gt;"exclusion",MAX(K$9,-((SUMIFS(SF_Output!$T$1:$T$400,SF_Output!$AC$1:$AC$400,_xlfn.TEXTJOIN(",",TRUE,$B185:$E185),SF_Output!$Q$1:$Q$400,"One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license"))/J185)))</f>
        <v/>
      </c>
      <c r="L185" s="6" t="str">
        <f t="shared" si="35"/>
        <v/>
      </c>
      <c r="N185" s="6" t="str">
        <f>IF(B185="","",SUMIFS(SF_Output!$S$1:$S$400,SF_Output!$AC$1:$AC$400,_xlfn.TEXTJOIN(",",TRUE,B185:E185),SF_Output!$Q$1:$Q$400,"One Time",SF_Output!$L$1:$L$400,"professional service"))</f>
        <v/>
      </c>
      <c r="O185" s="112" t="str">
        <f>IF(OR(B185=0,B185="",N185=0),"",IF(AF185&lt;&gt;"exclusion",MAX(O$9,-(SUMIFS(SF_Output!$T$1:$T$400,SF_Output!$AC$1:$AC$400,_xlfn.TEXTJOIN(",",TRUE,$B185:$E185),SF_Output!$Q$1:$Q$400,"One Time",SF_Output!$L$1:$L$400,"professional service"))/N185),-((SUMIFS(SF_Output!$T$1:$T$400,SF_Output!$AC$1:$AC$400,_xlfn.TEXTJOIN(",",TRUE,$B185:$E185),SF_Output!$Q$1:$Q$400,"One Time",SF_Output!$L$1:$L$400,"professional service")/N185))))</f>
        <v/>
      </c>
      <c r="P185" s="6" t="str">
        <f t="shared" si="36"/>
        <v/>
      </c>
      <c r="R185" s="6" t="str">
        <f>IF(B185="","",SUMIFS(SF_Output!$S$1:$S$400,SF_Output!$AC$1:$AC$400,_xlfn.TEXTJOIN(",",TRUE,B185:E185),SF_Output!$Q$1:$Q$400,"yearly")+SUMIFS(SF_Output!$S$1:$S$400,SF_Output!$AC$1:$AC$400,_xlfn.TEXTJOIN(",",TRUE,B185:E185),SF_Output!$Q$1:$Q$400,"quarterly")*4)</f>
        <v/>
      </c>
      <c r="S185" s="112" t="str">
        <f>IF(OR(B185=0,B185="",G185="hardware",R185=0),"",IF(AF185&lt;&gt;"exclusion",MAX(S$9,-(SUMIFS(SF_Output!$T$1:$T$400,SF_Output!$AC$1:$AC$400,_xlfn.TEXTJOIN(",",TRUE,$B185:$E185),SF_Output!$Q$1:$Q$400,"yearly"))/R185),-((SUMIFS(SF_Output!$T$1:$T$400,SF_Output!$AC$1:$AC$400,_xlfn.TEXTJOIN(",",TRUE,$B185:$E185),SF_Output!$Q$1:$Q$400,"yearly")/R185))))</f>
        <v/>
      </c>
      <c r="T185" s="6" t="str">
        <f t="shared" si="37"/>
        <v/>
      </c>
      <c r="V185" s="6" t="str" cm="1">
        <f t="array" ref="V185">_xlfn.IFS(B185="","",AND(B185&lt;&gt;"",H185=SF_Output!$Y$2,SUMIFS(SF_Output!$T$1:$T$400,SF_Output!$AC$1:$AC$400,_xlfn.TEXTJOIN(",",TRUE,B185:E185),SF_Output!$Q$1:$Q$400,"monthly")=0),(SUMIFS(SF_Output!$F$1:$F$400,SF_Output!$AC$1:$AC$400,_xlfn.TEXTJOIN(",",TRUE,B185:E185),SF_Output!$Q$1:$Q$400,"monthly")+SUMIFS(SF_Output!$G$1:$G$400,SF_Output!$AC$1:$AC$400,_xlfn.TEXTJOIN(",",TRUE,B185:E185),SF_Output!$Q$1:$Q$400,"monthly"))*H185,AND(B185&lt;&gt;"",H185=SF_Output!$Y$2,SUMIFS(SF_Output!$T$1:$T$400,SF_Output!$AC$1:$AC$400,_xlfn.TEXTJOIN(",",TRUE,B185:E185),SF_Output!$Q$1:$Q$400,"monthly")&lt;&gt;0),SUMIFS(SF_Output!$S$1:$S$400,SF_Output!$AC$1:$AC$400,_xlfn.TEXTJOIN(",",TRUE,B185:E185),SF_Output!$Q$1:$Q$400,"monthly"),AND(B185&lt;&gt;"",H185&lt;&gt;SF_Output!$Y$2),SUMIFS(SF_Output!$S$1:$S$400,SF_Output!$AC$1:$AC$400,_xlfn.TEXTJOIN(",",TRUE,B185:E185),SF_Output!$Q$1:$Q$400,"monthly"))</f>
        <v/>
      </c>
      <c r="W185" s="112" t="str" cm="1">
        <f t="array" ref="W185">_xlfn.IFS(OR(B185=0,B185="",V185=0),"",AF185&lt;&gt;"exclusion",MAX($W$9,$W$7,(-(SUMIFS(SF_Output!$T$1:$T$400,SF_Output!$AC$1:$AC$400,_xlfn.TEXTJOIN(",",TRUE,$B185:$E185),SF_Output!$Q$1:$Q$400,"monthly"))/V185)),AF185="exclusion",-(SUMIFS(SF_Output!$T$1:$T$400,SF_Output!$AC$1:$AC$400,_xlfn.TEXTJOIN(",",TRUE,$B185:$E185),SF_Output!$Q$1:$Q$400,"monthly"))/V185)</f>
        <v/>
      </c>
      <c r="X185" s="6" t="str" cm="1">
        <f t="array" ref="X185">IFERROR(_xlfn.IFS(V185=0,0,V185="","",W185=0,V185,OR(V185&lt;&gt;0,V185&lt;&gt;""),H185*I185),V185*(1-W185))</f>
        <v/>
      </c>
      <c r="Z185" s="6" t="str">
        <f>IFERROR(IF(B185="","",SUMIFS(Billing_Fallout!H:H,Billing_Fallout!N:N,B185)),0)</f>
        <v/>
      </c>
      <c r="AA185" s="6" t="str">
        <f t="shared" si="38"/>
        <v/>
      </c>
      <c r="AB185" s="6" t="str">
        <f>IFERROR(IF(B185="","",SUMIFS(Billing_Fallout!J:J,Billing_Fallout!N:N,B185)),0)</f>
        <v/>
      </c>
      <c r="AD185" s="6" t="str">
        <f t="shared" si="39"/>
        <v/>
      </c>
      <c r="AF185" t="str">
        <f>IFERROR(INDEX(H_Tables!$B$1:$B$1500,MATCH(INDEX(SF_Output!$J$1:$J$400,MATCH(B185,SF_Output!$M$1:$M$400,0)),H_Tables!$A$1:$A$1500,0)),"")</f>
        <v/>
      </c>
      <c r="AI185" s="119" t="str">
        <f t="shared" si="40"/>
        <v/>
      </c>
      <c r="AJ185" s="121">
        <f>IFERROR(INDEX(SF_Output!AD:AD,MATCH(_xlfn.TEXTJOIN(",",TRUE,B185:E185),SF_Output!AC1:AC400,0)),0.05)</f>
        <v>241</v>
      </c>
      <c r="AK185" t="str">
        <f>IF(SUMIFS(SF_Output!$F$1:$F$400,SF_Output!$AC$1:$AC$400,_xlfn.TEXTJOIN(",",TRUE,B185:E185))+SUMIFS(SF_Output!$G$1:$G$400,SF_Output!$AC$1:$AC$400,_xlfn.TEXTJOIN(",",TRUE,B185:E185))=0,"","PAP")</f>
        <v/>
      </c>
      <c r="AQ185" s="35"/>
      <c r="AR185" s="35" t="str" cm="1">
        <f t="array" ref="AR185">IFERROR(_xlfn.IFS(AND(E185*1=1,F185="Included"),"Change to Included",AND(E185*1=0,F185="Optional"),"Change to Optional",OR(B185="",F185="replaced"),""),"")</f>
        <v/>
      </c>
      <c r="AS185" s="35" t="str">
        <f t="shared" si="41"/>
        <v/>
      </c>
      <c r="AT185" s="35" t="str">
        <f t="shared" si="42"/>
        <v/>
      </c>
      <c r="AU185" s="35" t="str">
        <f t="shared" si="43"/>
        <v/>
      </c>
      <c r="AV185" s="35" t="str">
        <f t="shared" si="44"/>
        <v/>
      </c>
      <c r="AW185" s="35" t="str">
        <f t="shared" si="45"/>
        <v/>
      </c>
      <c r="AX185" s="35" t="str">
        <f t="shared" si="46"/>
        <v/>
      </c>
      <c r="AY185" s="35" t="str">
        <f t="shared" si="47"/>
        <v/>
      </c>
      <c r="AZ185" s="35" t="str">
        <f t="shared" si="48"/>
        <v/>
      </c>
      <c r="BA185" s="35" t="str">
        <f t="shared" si="49"/>
        <v/>
      </c>
      <c r="BB185" s="35" t="str">
        <f t="shared" si="50"/>
        <v/>
      </c>
      <c r="BC185" s="35"/>
      <c r="BE185" s="35" t="e">
        <f>INDEX(SF_Output!$AA$2:$AA$400,MATCH($B185,SF_Output!$M$2:$M$400,0))</f>
        <v>#N/A</v>
      </c>
      <c r="BF185" s="35" t="e">
        <f>INDEX(SF_Output!$AB$2:$AB$400,MATCH($B185,SF_Output!$M$2:$M$400,0))</f>
        <v>#N/A</v>
      </c>
    </row>
    <row r="186" spans="2:58" x14ac:dyDescent="0.25">
      <c r="F186" s="116" t="str">
        <f t="shared" si="34"/>
        <v/>
      </c>
      <c r="G186" t="str">
        <f>IF(B186="","",INDEX(SF_Output!$K$1:$K$400,MATCH(B186,SF_Output!$M$1:$M$400,0)))</f>
        <v/>
      </c>
      <c r="H186" t="str" cm="1">
        <f t="array" ref="H186">_xlfn.IFS(B186="","",(SUMIFS(SF_Output!$F$1:$F$400,SF_Output!$AC$1:$AC$400,_xlfn.TEXTJOIN(",",TRUE,B186:E186))+SUMIFS(SF_Output!$G$1:$G$400,SF_Output!$AC$1:$AC$400,_xlfn.TEXTJOIN(",",TRUE,B186:E186)))&lt;&gt;0,SF_Output!$Y$2,INDEX(SF_Output!$F$1:$F$400,MATCH(_xlfn.TEXTJOIN(",",TRUE,B186:E186),SF_Output!$AC$1:$AC$400,0))=0,INDEX(SF_Output!$R$1:$R$400,MATCH(_xlfn.TEXTJOIN(",",TRUE,B186:E186),SF_Output!$AC$1:$AC$400,0)))</f>
        <v/>
      </c>
      <c r="I186" s="125" t="str">
        <f>IFERROR(IF(AND(H186&gt;1,H186&lt;&gt;""),ROUND(SUMIFS(SF_Output!$S$1:$S$400,SF_Output!$AC$1:$AC$400,_xlfn.TEXTJOIN(",",TRUE,B186:E186),SF_Output!$Q$1:$Q$400,"monthly")*(1-W186)/H186,4),""),"")</f>
        <v/>
      </c>
      <c r="J186" s="6" t="str">
        <f>IF(B186="","",SUMIFS(SF_Output!$S$1:$S$400,SF_Output!$AC$1:$AC$400,_xlfn.TEXTJOIN(",",TRUE,B186:E186),SF_Output!$Q$1:$Q$400,"One Time",SF_Output!$L$1:$L$400,"license fee")+SUMIFS(SF_Output!$S$1:$S$400,SF_Output!$AC$1:$AC$400,_xlfn.TEXTJOIN(",",TRUE,B186:E186),SF_Output!$Q$1:$Q$400,"One Time",SF_Output!$L$1:$L$400,"software license")+SUMIFS(SF_Output!$S$1:$S$400,SF_Output!$AC$1:$AC$400,_xlfn.TEXTJOIN(",",TRUE,B186:E186),SF_Output!$Q$1:$Q$400,"One Time",SF_Output!$L$1:$L$400,"hardware"))</f>
        <v/>
      </c>
      <c r="K186" s="112" t="str">
        <f>IF(OR(B186=0,B186="",G186="hardware",J186=0),"",IF(AF186&lt;&gt;"exclusion",MAX(K$9,-((SUMIFS(SF_Output!$T$1:$T$400,SF_Output!$AC$1:$AC$400,_xlfn.TEXTJOIN(",",TRUE,$B186:$E186),SF_Output!$Q$1:$Q$400,"One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license"))/J186)))</f>
        <v/>
      </c>
      <c r="L186" s="6" t="str">
        <f t="shared" si="35"/>
        <v/>
      </c>
      <c r="N186" s="6" t="str">
        <f>IF(B186="","",SUMIFS(SF_Output!$S$1:$S$400,SF_Output!$AC$1:$AC$400,_xlfn.TEXTJOIN(",",TRUE,B186:E186),SF_Output!$Q$1:$Q$400,"One Time",SF_Output!$L$1:$L$400,"professional service"))</f>
        <v/>
      </c>
      <c r="O186" s="112" t="str">
        <f>IF(OR(B186=0,B186="",N186=0),"",IF(AF186&lt;&gt;"exclusion",MAX(O$9,-(SUMIFS(SF_Output!$T$1:$T$400,SF_Output!$AC$1:$AC$400,_xlfn.TEXTJOIN(",",TRUE,$B186:$E186),SF_Output!$Q$1:$Q$400,"One Time",SF_Output!$L$1:$L$400,"professional service"))/N186),-((SUMIFS(SF_Output!$T$1:$T$400,SF_Output!$AC$1:$AC$400,_xlfn.TEXTJOIN(",",TRUE,$B186:$E186),SF_Output!$Q$1:$Q$400,"One Time",SF_Output!$L$1:$L$400,"professional service")/N186))))</f>
        <v/>
      </c>
      <c r="P186" s="6" t="str">
        <f t="shared" si="36"/>
        <v/>
      </c>
      <c r="R186" s="6" t="str">
        <f>IF(B186="","",SUMIFS(SF_Output!$S$1:$S$400,SF_Output!$AC$1:$AC$400,_xlfn.TEXTJOIN(",",TRUE,B186:E186),SF_Output!$Q$1:$Q$400,"yearly")+SUMIFS(SF_Output!$S$1:$S$400,SF_Output!$AC$1:$AC$400,_xlfn.TEXTJOIN(",",TRUE,B186:E186),SF_Output!$Q$1:$Q$400,"quarterly")*4)</f>
        <v/>
      </c>
      <c r="S186" s="112" t="str">
        <f>IF(OR(B186=0,B186="",G186="hardware",R186=0),"",IF(AF186&lt;&gt;"exclusion",MAX(S$9,-(SUMIFS(SF_Output!$T$1:$T$400,SF_Output!$AC$1:$AC$400,_xlfn.TEXTJOIN(",",TRUE,$B186:$E186),SF_Output!$Q$1:$Q$400,"yearly"))/R186),-((SUMIFS(SF_Output!$T$1:$T$400,SF_Output!$AC$1:$AC$400,_xlfn.TEXTJOIN(",",TRUE,$B186:$E186),SF_Output!$Q$1:$Q$400,"yearly")/R186))))</f>
        <v/>
      </c>
      <c r="T186" s="6" t="str">
        <f t="shared" si="37"/>
        <v/>
      </c>
      <c r="V186" s="6" t="str" cm="1">
        <f t="array" ref="V186">_xlfn.IFS(B186="","",AND(B186&lt;&gt;"",H186=SF_Output!$Y$2,SUMIFS(SF_Output!$T$1:$T$400,SF_Output!$AC$1:$AC$400,_xlfn.TEXTJOIN(",",TRUE,B186:E186),SF_Output!$Q$1:$Q$400,"monthly")=0),(SUMIFS(SF_Output!$F$1:$F$400,SF_Output!$AC$1:$AC$400,_xlfn.TEXTJOIN(",",TRUE,B186:E186),SF_Output!$Q$1:$Q$400,"monthly")+SUMIFS(SF_Output!$G$1:$G$400,SF_Output!$AC$1:$AC$400,_xlfn.TEXTJOIN(",",TRUE,B186:E186),SF_Output!$Q$1:$Q$400,"monthly"))*H186,AND(B186&lt;&gt;"",H186=SF_Output!$Y$2,SUMIFS(SF_Output!$T$1:$T$400,SF_Output!$AC$1:$AC$400,_xlfn.TEXTJOIN(",",TRUE,B186:E186),SF_Output!$Q$1:$Q$400,"monthly")&lt;&gt;0),SUMIFS(SF_Output!$S$1:$S$400,SF_Output!$AC$1:$AC$400,_xlfn.TEXTJOIN(",",TRUE,B186:E186),SF_Output!$Q$1:$Q$400,"monthly"),AND(B186&lt;&gt;"",H186&lt;&gt;SF_Output!$Y$2),SUMIFS(SF_Output!$S$1:$S$400,SF_Output!$AC$1:$AC$400,_xlfn.TEXTJOIN(",",TRUE,B186:E186),SF_Output!$Q$1:$Q$400,"monthly"))</f>
        <v/>
      </c>
      <c r="W186" s="112" t="str" cm="1">
        <f t="array" ref="W186">_xlfn.IFS(OR(B186=0,B186="",V186=0),"",AF186&lt;&gt;"exclusion",MAX($W$9,$W$7,(-(SUMIFS(SF_Output!$T$1:$T$400,SF_Output!$AC$1:$AC$400,_xlfn.TEXTJOIN(",",TRUE,$B186:$E186),SF_Output!$Q$1:$Q$400,"monthly"))/V186)),AF186="exclusion",-(SUMIFS(SF_Output!$T$1:$T$400,SF_Output!$AC$1:$AC$400,_xlfn.TEXTJOIN(",",TRUE,$B186:$E186),SF_Output!$Q$1:$Q$400,"monthly"))/V186)</f>
        <v/>
      </c>
      <c r="X186" s="6" t="str" cm="1">
        <f t="array" ref="X186">IFERROR(_xlfn.IFS(V186=0,0,V186="","",W186=0,V186,OR(V186&lt;&gt;0,V186&lt;&gt;""),H186*I186),V186*(1-W186))</f>
        <v/>
      </c>
      <c r="Z186" s="6" t="str">
        <f>IFERROR(IF(B186="","",SUMIFS(Billing_Fallout!H:H,Billing_Fallout!N:N,B186)),0)</f>
        <v/>
      </c>
      <c r="AA186" s="6" t="str">
        <f t="shared" si="38"/>
        <v/>
      </c>
      <c r="AB186" s="6" t="str">
        <f>IFERROR(IF(B186="","",SUMIFS(Billing_Fallout!J:J,Billing_Fallout!N:N,B186)),0)</f>
        <v/>
      </c>
      <c r="AD186" s="6" t="str">
        <f t="shared" si="39"/>
        <v/>
      </c>
      <c r="AF186" t="str">
        <f>IFERROR(INDEX(H_Tables!$B$1:$B$1500,MATCH(INDEX(SF_Output!$J$1:$J$400,MATCH(B186,SF_Output!$M$1:$M$400,0)),H_Tables!$A$1:$A$1500,0)),"")</f>
        <v/>
      </c>
      <c r="AI186" s="119" t="str">
        <f t="shared" si="40"/>
        <v/>
      </c>
      <c r="AJ186" s="121">
        <f>IFERROR(INDEX(SF_Output!AD:AD,MATCH(_xlfn.TEXTJOIN(",",TRUE,B186:E186),SF_Output!AC1:AC400,0)),0.05)</f>
        <v>241</v>
      </c>
      <c r="AK186" t="str">
        <f>IF(SUMIFS(SF_Output!$F$1:$F$400,SF_Output!$AC$1:$AC$400,_xlfn.TEXTJOIN(",",TRUE,B186:E186))+SUMIFS(SF_Output!$G$1:$G$400,SF_Output!$AC$1:$AC$400,_xlfn.TEXTJOIN(",",TRUE,B186:E186))=0,"","PAP")</f>
        <v/>
      </c>
      <c r="AQ186" s="35"/>
      <c r="AR186" s="35" t="str" cm="1">
        <f t="array" ref="AR186">IFERROR(_xlfn.IFS(AND(E186*1=1,F186="Included"),"Change to Included",AND(E186*1=0,F186="Optional"),"Change to Optional",OR(B186="",F186="replaced"),""),"")</f>
        <v/>
      </c>
      <c r="AS186" s="35" t="str">
        <f t="shared" si="41"/>
        <v/>
      </c>
      <c r="AT186" s="35" t="str">
        <f t="shared" si="42"/>
        <v/>
      </c>
      <c r="AU186" s="35" t="str">
        <f t="shared" si="43"/>
        <v/>
      </c>
      <c r="AV186" s="35" t="str">
        <f t="shared" si="44"/>
        <v/>
      </c>
      <c r="AW186" s="35" t="str">
        <f t="shared" si="45"/>
        <v/>
      </c>
      <c r="AX186" s="35" t="str">
        <f t="shared" si="46"/>
        <v/>
      </c>
      <c r="AY186" s="35" t="str">
        <f t="shared" si="47"/>
        <v/>
      </c>
      <c r="AZ186" s="35" t="str">
        <f t="shared" si="48"/>
        <v/>
      </c>
      <c r="BA186" s="35" t="str">
        <f t="shared" si="49"/>
        <v/>
      </c>
      <c r="BB186" s="35" t="str">
        <f t="shared" si="50"/>
        <v/>
      </c>
      <c r="BC186" s="35"/>
      <c r="BE186" s="35" t="e">
        <f>INDEX(SF_Output!$AA$2:$AA$400,MATCH($B186,SF_Output!$M$2:$M$400,0))</f>
        <v>#N/A</v>
      </c>
      <c r="BF186" s="35" t="e">
        <f>INDEX(SF_Output!$AB$2:$AB$400,MATCH($B186,SF_Output!$M$2:$M$400,0))</f>
        <v>#N/A</v>
      </c>
    </row>
    <row r="187" spans="2:58" x14ac:dyDescent="0.25">
      <c r="F187" s="116" t="str">
        <f t="shared" si="34"/>
        <v/>
      </c>
      <c r="G187" t="str">
        <f>IF(B187="","",INDEX(SF_Output!$K$1:$K$400,MATCH(B187,SF_Output!$M$1:$M$400,0)))</f>
        <v/>
      </c>
      <c r="H187" t="str" cm="1">
        <f t="array" ref="H187">_xlfn.IFS(B187="","",(SUMIFS(SF_Output!$F$1:$F$400,SF_Output!$AC$1:$AC$400,_xlfn.TEXTJOIN(",",TRUE,B187:E187))+SUMIFS(SF_Output!$G$1:$G$400,SF_Output!$AC$1:$AC$400,_xlfn.TEXTJOIN(",",TRUE,B187:E187)))&lt;&gt;0,SF_Output!$Y$2,INDEX(SF_Output!$F$1:$F$400,MATCH(_xlfn.TEXTJOIN(",",TRUE,B187:E187),SF_Output!$AC$1:$AC$400,0))=0,INDEX(SF_Output!$R$1:$R$400,MATCH(_xlfn.TEXTJOIN(",",TRUE,B187:E187),SF_Output!$AC$1:$AC$400,0)))</f>
        <v/>
      </c>
      <c r="I187" s="125" t="str">
        <f>IFERROR(IF(AND(H187&gt;1,H187&lt;&gt;""),ROUND(SUMIFS(SF_Output!$S$1:$S$400,SF_Output!$AC$1:$AC$400,_xlfn.TEXTJOIN(",",TRUE,B187:E187),SF_Output!$Q$1:$Q$400,"monthly")*(1-W187)/H187,4),""),"")</f>
        <v/>
      </c>
      <c r="J187" s="6" t="str">
        <f>IF(B187="","",SUMIFS(SF_Output!$S$1:$S$400,SF_Output!$AC$1:$AC$400,_xlfn.TEXTJOIN(",",TRUE,B187:E187),SF_Output!$Q$1:$Q$400,"One Time",SF_Output!$L$1:$L$400,"license fee")+SUMIFS(SF_Output!$S$1:$S$400,SF_Output!$AC$1:$AC$400,_xlfn.TEXTJOIN(",",TRUE,B187:E187),SF_Output!$Q$1:$Q$400,"One Time",SF_Output!$L$1:$L$400,"software license")+SUMIFS(SF_Output!$S$1:$S$400,SF_Output!$AC$1:$AC$400,_xlfn.TEXTJOIN(",",TRUE,B187:E187),SF_Output!$Q$1:$Q$400,"One Time",SF_Output!$L$1:$L$400,"hardware"))</f>
        <v/>
      </c>
      <c r="K187" s="112" t="str">
        <f>IF(OR(B187=0,B187="",G187="hardware",J187=0),"",IF(AF187&lt;&gt;"exclusion",MAX(K$9,-((SUMIFS(SF_Output!$T$1:$T$400,SF_Output!$AC$1:$AC$400,_xlfn.TEXTJOIN(",",TRUE,$B187:$E187),SF_Output!$Q$1:$Q$400,"One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license"))/J187)))</f>
        <v/>
      </c>
      <c r="L187" s="6" t="str">
        <f t="shared" si="35"/>
        <v/>
      </c>
      <c r="N187" s="6" t="str">
        <f>IF(B187="","",SUMIFS(SF_Output!$S$1:$S$400,SF_Output!$AC$1:$AC$400,_xlfn.TEXTJOIN(",",TRUE,B187:E187),SF_Output!$Q$1:$Q$400,"One Time",SF_Output!$L$1:$L$400,"professional service"))</f>
        <v/>
      </c>
      <c r="O187" s="112" t="str">
        <f>IF(OR(B187=0,B187="",N187=0),"",IF(AF187&lt;&gt;"exclusion",MAX(O$9,-(SUMIFS(SF_Output!$T$1:$T$400,SF_Output!$AC$1:$AC$400,_xlfn.TEXTJOIN(",",TRUE,$B187:$E187),SF_Output!$Q$1:$Q$400,"One Time",SF_Output!$L$1:$L$400,"professional service"))/N187),-((SUMIFS(SF_Output!$T$1:$T$400,SF_Output!$AC$1:$AC$400,_xlfn.TEXTJOIN(",",TRUE,$B187:$E187),SF_Output!$Q$1:$Q$400,"One Time",SF_Output!$L$1:$L$400,"professional service")/N187))))</f>
        <v/>
      </c>
      <c r="P187" s="6" t="str">
        <f t="shared" si="36"/>
        <v/>
      </c>
      <c r="R187" s="6" t="str">
        <f>IF(B187="","",SUMIFS(SF_Output!$S$1:$S$400,SF_Output!$AC$1:$AC$400,_xlfn.TEXTJOIN(",",TRUE,B187:E187),SF_Output!$Q$1:$Q$400,"yearly")+SUMIFS(SF_Output!$S$1:$S$400,SF_Output!$AC$1:$AC$400,_xlfn.TEXTJOIN(",",TRUE,B187:E187),SF_Output!$Q$1:$Q$400,"quarterly")*4)</f>
        <v/>
      </c>
      <c r="S187" s="112" t="str">
        <f>IF(OR(B187=0,B187="",G187="hardware",R187=0),"",IF(AF187&lt;&gt;"exclusion",MAX(S$9,-(SUMIFS(SF_Output!$T$1:$T$400,SF_Output!$AC$1:$AC$400,_xlfn.TEXTJOIN(",",TRUE,$B187:$E187),SF_Output!$Q$1:$Q$400,"yearly"))/R187),-((SUMIFS(SF_Output!$T$1:$T$400,SF_Output!$AC$1:$AC$400,_xlfn.TEXTJOIN(",",TRUE,$B187:$E187),SF_Output!$Q$1:$Q$400,"yearly")/R187))))</f>
        <v/>
      </c>
      <c r="T187" s="6" t="str">
        <f t="shared" si="37"/>
        <v/>
      </c>
      <c r="V187" s="6" t="str" cm="1">
        <f t="array" ref="V187">_xlfn.IFS(B187="","",AND(B187&lt;&gt;"",H187=SF_Output!$Y$2,SUMIFS(SF_Output!$T$1:$T$400,SF_Output!$AC$1:$AC$400,_xlfn.TEXTJOIN(",",TRUE,B187:E187),SF_Output!$Q$1:$Q$400,"monthly")=0),(SUMIFS(SF_Output!$F$1:$F$400,SF_Output!$AC$1:$AC$400,_xlfn.TEXTJOIN(",",TRUE,B187:E187),SF_Output!$Q$1:$Q$400,"monthly")+SUMIFS(SF_Output!$G$1:$G$400,SF_Output!$AC$1:$AC$400,_xlfn.TEXTJOIN(",",TRUE,B187:E187),SF_Output!$Q$1:$Q$400,"monthly"))*H187,AND(B187&lt;&gt;"",H187=SF_Output!$Y$2,SUMIFS(SF_Output!$T$1:$T$400,SF_Output!$AC$1:$AC$400,_xlfn.TEXTJOIN(",",TRUE,B187:E187),SF_Output!$Q$1:$Q$400,"monthly")&lt;&gt;0),SUMIFS(SF_Output!$S$1:$S$400,SF_Output!$AC$1:$AC$400,_xlfn.TEXTJOIN(",",TRUE,B187:E187),SF_Output!$Q$1:$Q$400,"monthly"),AND(B187&lt;&gt;"",H187&lt;&gt;SF_Output!$Y$2),SUMIFS(SF_Output!$S$1:$S$400,SF_Output!$AC$1:$AC$400,_xlfn.TEXTJOIN(",",TRUE,B187:E187),SF_Output!$Q$1:$Q$400,"monthly"))</f>
        <v/>
      </c>
      <c r="W187" s="112" t="str" cm="1">
        <f t="array" ref="W187">_xlfn.IFS(OR(B187=0,B187="",V187=0),"",AF187&lt;&gt;"exclusion",MAX($W$9,$W$7,(-(SUMIFS(SF_Output!$T$1:$T$400,SF_Output!$AC$1:$AC$400,_xlfn.TEXTJOIN(",",TRUE,$B187:$E187),SF_Output!$Q$1:$Q$400,"monthly"))/V187)),AF187="exclusion",-(SUMIFS(SF_Output!$T$1:$T$400,SF_Output!$AC$1:$AC$400,_xlfn.TEXTJOIN(",",TRUE,$B187:$E187),SF_Output!$Q$1:$Q$400,"monthly"))/V187)</f>
        <v/>
      </c>
      <c r="X187" s="6" t="str" cm="1">
        <f t="array" ref="X187">IFERROR(_xlfn.IFS(V187=0,0,V187="","",W187=0,V187,OR(V187&lt;&gt;0,V187&lt;&gt;""),H187*I187),V187*(1-W187))</f>
        <v/>
      </c>
      <c r="Z187" s="6" t="str">
        <f>IFERROR(IF(B187="","",SUMIFS(Billing_Fallout!H:H,Billing_Fallout!N:N,B187)),0)</f>
        <v/>
      </c>
      <c r="AA187" s="6" t="str">
        <f t="shared" si="38"/>
        <v/>
      </c>
      <c r="AB187" s="6" t="str">
        <f>IFERROR(IF(B187="","",SUMIFS(Billing_Fallout!J:J,Billing_Fallout!N:N,B187)),0)</f>
        <v/>
      </c>
      <c r="AD187" s="6" t="str">
        <f t="shared" si="39"/>
        <v/>
      </c>
      <c r="AF187" t="str">
        <f>IFERROR(INDEX(H_Tables!$B$1:$B$1500,MATCH(INDEX(SF_Output!$J$1:$J$400,MATCH(B187,SF_Output!$M$1:$M$400,0)),H_Tables!$A$1:$A$1500,0)),"")</f>
        <v/>
      </c>
      <c r="AI187" s="119" t="str">
        <f t="shared" si="40"/>
        <v/>
      </c>
      <c r="AJ187" s="121">
        <f>IFERROR(INDEX(SF_Output!AD:AD,MATCH(_xlfn.TEXTJOIN(",",TRUE,B187:E187),SF_Output!AC1:AC400,0)),0.05)</f>
        <v>241</v>
      </c>
      <c r="AK187" t="str">
        <f>IF(SUMIFS(SF_Output!$F$1:$F$400,SF_Output!$AC$1:$AC$400,_xlfn.TEXTJOIN(",",TRUE,B187:E187))+SUMIFS(SF_Output!$G$1:$G$400,SF_Output!$AC$1:$AC$400,_xlfn.TEXTJOIN(",",TRUE,B187:E187))=0,"","PAP")</f>
        <v/>
      </c>
      <c r="AQ187" s="35"/>
      <c r="AR187" s="35" t="str" cm="1">
        <f t="array" ref="AR187">IFERROR(_xlfn.IFS(AND(E187*1=1,F187="Included"),"Change to Included",AND(E187*1=0,F187="Optional"),"Change to Optional",OR(B187="",F187="replaced"),""),"")</f>
        <v/>
      </c>
      <c r="AS187" s="35" t="str">
        <f t="shared" si="41"/>
        <v/>
      </c>
      <c r="AT187" s="35" t="str">
        <f t="shared" si="42"/>
        <v/>
      </c>
      <c r="AU187" s="35" t="str">
        <f t="shared" si="43"/>
        <v/>
      </c>
      <c r="AV187" s="35" t="str">
        <f t="shared" si="44"/>
        <v/>
      </c>
      <c r="AW187" s="35" t="str">
        <f t="shared" si="45"/>
        <v/>
      </c>
      <c r="AX187" s="35" t="str">
        <f t="shared" si="46"/>
        <v/>
      </c>
      <c r="AY187" s="35" t="str">
        <f t="shared" si="47"/>
        <v/>
      </c>
      <c r="AZ187" s="35" t="str">
        <f t="shared" si="48"/>
        <v/>
      </c>
      <c r="BA187" s="35" t="str">
        <f t="shared" si="49"/>
        <v/>
      </c>
      <c r="BB187" s="35" t="str">
        <f t="shared" si="50"/>
        <v/>
      </c>
      <c r="BC187" s="35"/>
      <c r="BE187" s="35" t="e">
        <f>INDEX(SF_Output!$AA$2:$AA$400,MATCH($B187,SF_Output!$M$2:$M$400,0))</f>
        <v>#N/A</v>
      </c>
      <c r="BF187" s="35" t="e">
        <f>INDEX(SF_Output!$AB$2:$AB$400,MATCH($B187,SF_Output!$M$2:$M$400,0))</f>
        <v>#N/A</v>
      </c>
    </row>
    <row r="188" spans="2:58" x14ac:dyDescent="0.25">
      <c r="F188" s="116" t="str">
        <f t="shared" si="34"/>
        <v/>
      </c>
      <c r="G188" t="str">
        <f>IF(B188="","",INDEX(SF_Output!$K$1:$K$400,MATCH(B188,SF_Output!$M$1:$M$400,0)))</f>
        <v/>
      </c>
      <c r="H188" t="str" cm="1">
        <f t="array" ref="H188">_xlfn.IFS(B188="","",(SUMIFS(SF_Output!$F$1:$F$400,SF_Output!$AC$1:$AC$400,_xlfn.TEXTJOIN(",",TRUE,B188:E188))+SUMIFS(SF_Output!$G$1:$G$400,SF_Output!$AC$1:$AC$400,_xlfn.TEXTJOIN(",",TRUE,B188:E188)))&lt;&gt;0,SF_Output!$Y$2,INDEX(SF_Output!$F$1:$F$400,MATCH(_xlfn.TEXTJOIN(",",TRUE,B188:E188),SF_Output!$AC$1:$AC$400,0))=0,INDEX(SF_Output!$R$1:$R$400,MATCH(_xlfn.TEXTJOIN(",",TRUE,B188:E188),SF_Output!$AC$1:$AC$400,0)))</f>
        <v/>
      </c>
      <c r="I188" s="125" t="str">
        <f>IFERROR(IF(AND(H188&gt;1,H188&lt;&gt;""),ROUND(SUMIFS(SF_Output!$S$1:$S$400,SF_Output!$AC$1:$AC$400,_xlfn.TEXTJOIN(",",TRUE,B188:E188),SF_Output!$Q$1:$Q$400,"monthly")*(1-W188)/H188,4),""),"")</f>
        <v/>
      </c>
      <c r="J188" s="6" t="str">
        <f>IF(B188="","",SUMIFS(SF_Output!$S$1:$S$400,SF_Output!$AC$1:$AC$400,_xlfn.TEXTJOIN(",",TRUE,B188:E188),SF_Output!$Q$1:$Q$400,"One Time",SF_Output!$L$1:$L$400,"license fee")+SUMIFS(SF_Output!$S$1:$S$400,SF_Output!$AC$1:$AC$400,_xlfn.TEXTJOIN(",",TRUE,B188:E188),SF_Output!$Q$1:$Q$400,"One Time",SF_Output!$L$1:$L$400,"software license")+SUMIFS(SF_Output!$S$1:$S$400,SF_Output!$AC$1:$AC$400,_xlfn.TEXTJOIN(",",TRUE,B188:E188),SF_Output!$Q$1:$Q$400,"One Time",SF_Output!$L$1:$L$400,"hardware"))</f>
        <v/>
      </c>
      <c r="K188" s="112" t="str">
        <f>IF(OR(B188=0,B188="",G188="hardware",J188=0),"",IF(AF188&lt;&gt;"exclusion",MAX(K$9,-((SUMIFS(SF_Output!$T$1:$T$400,SF_Output!$AC$1:$AC$400,_xlfn.TEXTJOIN(",",TRUE,$B188:$E188),SF_Output!$Q$1:$Q$400,"One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license"))/J188)))</f>
        <v/>
      </c>
      <c r="L188" s="6" t="str">
        <f t="shared" si="35"/>
        <v/>
      </c>
      <c r="N188" s="6" t="str">
        <f>IF(B188="","",SUMIFS(SF_Output!$S$1:$S$400,SF_Output!$AC$1:$AC$400,_xlfn.TEXTJOIN(",",TRUE,B188:E188),SF_Output!$Q$1:$Q$400,"One Time",SF_Output!$L$1:$L$400,"professional service"))</f>
        <v/>
      </c>
      <c r="O188" s="112" t="str">
        <f>IF(OR(B188=0,B188="",N188=0),"",IF(AF188&lt;&gt;"exclusion",MAX(O$9,-(SUMIFS(SF_Output!$T$1:$T$400,SF_Output!$AC$1:$AC$400,_xlfn.TEXTJOIN(",",TRUE,$B188:$E188),SF_Output!$Q$1:$Q$400,"One Time",SF_Output!$L$1:$L$400,"professional service"))/N188),-((SUMIFS(SF_Output!$T$1:$T$400,SF_Output!$AC$1:$AC$400,_xlfn.TEXTJOIN(",",TRUE,$B188:$E188),SF_Output!$Q$1:$Q$400,"One Time",SF_Output!$L$1:$L$400,"professional service")/N188))))</f>
        <v/>
      </c>
      <c r="P188" s="6" t="str">
        <f t="shared" si="36"/>
        <v/>
      </c>
      <c r="R188" s="6" t="str">
        <f>IF(B188="","",SUMIFS(SF_Output!$S$1:$S$400,SF_Output!$AC$1:$AC$400,_xlfn.TEXTJOIN(",",TRUE,B188:E188),SF_Output!$Q$1:$Q$400,"yearly")+SUMIFS(SF_Output!$S$1:$S$400,SF_Output!$AC$1:$AC$400,_xlfn.TEXTJOIN(",",TRUE,B188:E188),SF_Output!$Q$1:$Q$400,"quarterly")*4)</f>
        <v/>
      </c>
      <c r="S188" s="112" t="str">
        <f>IF(OR(B188=0,B188="",G188="hardware",R188=0),"",IF(AF188&lt;&gt;"exclusion",MAX(S$9,-(SUMIFS(SF_Output!$T$1:$T$400,SF_Output!$AC$1:$AC$400,_xlfn.TEXTJOIN(",",TRUE,$B188:$E188),SF_Output!$Q$1:$Q$400,"yearly"))/R188),-((SUMIFS(SF_Output!$T$1:$T$400,SF_Output!$AC$1:$AC$400,_xlfn.TEXTJOIN(",",TRUE,$B188:$E188),SF_Output!$Q$1:$Q$400,"yearly")/R188))))</f>
        <v/>
      </c>
      <c r="T188" s="6" t="str">
        <f t="shared" si="37"/>
        <v/>
      </c>
      <c r="V188" s="6" t="str" cm="1">
        <f t="array" ref="V188">_xlfn.IFS(B188="","",AND(B188&lt;&gt;"",H188=SF_Output!$Y$2,SUMIFS(SF_Output!$T$1:$T$400,SF_Output!$AC$1:$AC$400,_xlfn.TEXTJOIN(",",TRUE,B188:E188),SF_Output!$Q$1:$Q$400,"monthly")=0),(SUMIFS(SF_Output!$F$1:$F$400,SF_Output!$AC$1:$AC$400,_xlfn.TEXTJOIN(",",TRUE,B188:E188),SF_Output!$Q$1:$Q$400,"monthly")+SUMIFS(SF_Output!$G$1:$G$400,SF_Output!$AC$1:$AC$400,_xlfn.TEXTJOIN(",",TRUE,B188:E188),SF_Output!$Q$1:$Q$400,"monthly"))*H188,AND(B188&lt;&gt;"",H188=SF_Output!$Y$2,SUMIFS(SF_Output!$T$1:$T$400,SF_Output!$AC$1:$AC$400,_xlfn.TEXTJOIN(",",TRUE,B188:E188),SF_Output!$Q$1:$Q$400,"monthly")&lt;&gt;0),SUMIFS(SF_Output!$S$1:$S$400,SF_Output!$AC$1:$AC$400,_xlfn.TEXTJOIN(",",TRUE,B188:E188),SF_Output!$Q$1:$Q$400,"monthly"),AND(B188&lt;&gt;"",H188&lt;&gt;SF_Output!$Y$2),SUMIFS(SF_Output!$S$1:$S$400,SF_Output!$AC$1:$AC$400,_xlfn.TEXTJOIN(",",TRUE,B188:E188),SF_Output!$Q$1:$Q$400,"monthly"))</f>
        <v/>
      </c>
      <c r="W188" s="112" t="str" cm="1">
        <f t="array" ref="W188">_xlfn.IFS(OR(B188=0,B188="",V188=0),"",AF188&lt;&gt;"exclusion",MAX($W$9,$W$7,(-(SUMIFS(SF_Output!$T$1:$T$400,SF_Output!$AC$1:$AC$400,_xlfn.TEXTJOIN(",",TRUE,$B188:$E188),SF_Output!$Q$1:$Q$400,"monthly"))/V188)),AF188="exclusion",-(SUMIFS(SF_Output!$T$1:$T$400,SF_Output!$AC$1:$AC$400,_xlfn.TEXTJOIN(",",TRUE,$B188:$E188),SF_Output!$Q$1:$Q$400,"monthly"))/V188)</f>
        <v/>
      </c>
      <c r="X188" s="6" t="str" cm="1">
        <f t="array" ref="X188">IFERROR(_xlfn.IFS(V188=0,0,V188="","",W188=0,V188,OR(V188&lt;&gt;0,V188&lt;&gt;""),H188*I188),V188*(1-W188))</f>
        <v/>
      </c>
      <c r="Z188" s="6" t="str">
        <f>IFERROR(IF(B188="","",SUMIFS(Billing_Fallout!H:H,Billing_Fallout!N:N,B188)),0)</f>
        <v/>
      </c>
      <c r="AA188" s="6" t="str">
        <f t="shared" si="38"/>
        <v/>
      </c>
      <c r="AB188" s="6" t="str">
        <f>IFERROR(IF(B188="","",SUMIFS(Billing_Fallout!J:J,Billing_Fallout!N:N,B188)),0)</f>
        <v/>
      </c>
      <c r="AD188" s="6" t="str">
        <f t="shared" si="39"/>
        <v/>
      </c>
      <c r="AF188" t="str">
        <f>IFERROR(INDEX(H_Tables!$B$1:$B$1500,MATCH(INDEX(SF_Output!$J$1:$J$400,MATCH(B188,SF_Output!$M$1:$M$400,0)),H_Tables!$A$1:$A$1500,0)),"")</f>
        <v/>
      </c>
      <c r="AI188" s="119" t="str">
        <f t="shared" si="40"/>
        <v/>
      </c>
      <c r="AJ188" s="121">
        <f>IFERROR(INDEX(SF_Output!AD:AD,MATCH(_xlfn.TEXTJOIN(",",TRUE,B188:E188),SF_Output!AC1:AC400,0)),0.05)</f>
        <v>241</v>
      </c>
      <c r="AK188" t="str">
        <f>IF(SUMIFS(SF_Output!$F$1:$F$400,SF_Output!$AC$1:$AC$400,_xlfn.TEXTJOIN(",",TRUE,B188:E188))+SUMIFS(SF_Output!$G$1:$G$400,SF_Output!$AC$1:$AC$400,_xlfn.TEXTJOIN(",",TRUE,B188:E188))=0,"","PAP")</f>
        <v/>
      </c>
      <c r="AQ188" s="35"/>
      <c r="AR188" s="35" t="str" cm="1">
        <f t="array" ref="AR188">IFERROR(_xlfn.IFS(AND(E188*1=1,F188="Included"),"Change to Included",AND(E188*1=0,F188="Optional"),"Change to Optional",OR(B188="",F188="replaced"),""),"")</f>
        <v/>
      </c>
      <c r="AS188" s="35" t="str">
        <f t="shared" si="41"/>
        <v/>
      </c>
      <c r="AT188" s="35" t="str">
        <f t="shared" si="42"/>
        <v/>
      </c>
      <c r="AU188" s="35" t="str">
        <f t="shared" si="43"/>
        <v/>
      </c>
      <c r="AV188" s="35" t="str">
        <f t="shared" si="44"/>
        <v/>
      </c>
      <c r="AW188" s="35" t="str">
        <f t="shared" si="45"/>
        <v/>
      </c>
      <c r="AX188" s="35" t="str">
        <f t="shared" si="46"/>
        <v/>
      </c>
      <c r="AY188" s="35" t="str">
        <f t="shared" si="47"/>
        <v/>
      </c>
      <c r="AZ188" s="35" t="str">
        <f t="shared" si="48"/>
        <v/>
      </c>
      <c r="BA188" s="35" t="str">
        <f t="shared" si="49"/>
        <v/>
      </c>
      <c r="BB188" s="35" t="str">
        <f t="shared" si="50"/>
        <v/>
      </c>
      <c r="BC188" s="35"/>
      <c r="BE188" s="35" t="e">
        <f>INDEX(SF_Output!$AA$2:$AA$400,MATCH($B188,SF_Output!$M$2:$M$400,0))</f>
        <v>#N/A</v>
      </c>
      <c r="BF188" s="35" t="e">
        <f>INDEX(SF_Output!$AB$2:$AB$400,MATCH($B188,SF_Output!$M$2:$M$400,0))</f>
        <v>#N/A</v>
      </c>
    </row>
    <row r="189" spans="2:58" x14ac:dyDescent="0.25">
      <c r="F189" s="116" t="str">
        <f t="shared" si="34"/>
        <v/>
      </c>
      <c r="G189" t="str">
        <f>IF(B189="","",INDEX(SF_Output!$K$1:$K$400,MATCH(B189,SF_Output!$M$1:$M$400,0)))</f>
        <v/>
      </c>
      <c r="H189" t="str" cm="1">
        <f t="array" ref="H189">_xlfn.IFS(B189="","",(SUMIFS(SF_Output!$F$1:$F$400,SF_Output!$AC$1:$AC$400,_xlfn.TEXTJOIN(",",TRUE,B189:E189))+SUMIFS(SF_Output!$G$1:$G$400,SF_Output!$AC$1:$AC$400,_xlfn.TEXTJOIN(",",TRUE,B189:E189)))&lt;&gt;0,SF_Output!$Y$2,INDEX(SF_Output!$F$1:$F$400,MATCH(_xlfn.TEXTJOIN(",",TRUE,B189:E189),SF_Output!$AC$1:$AC$400,0))=0,INDEX(SF_Output!$R$1:$R$400,MATCH(_xlfn.TEXTJOIN(",",TRUE,B189:E189),SF_Output!$AC$1:$AC$400,0)))</f>
        <v/>
      </c>
      <c r="I189" s="125" t="str">
        <f>IFERROR(IF(AND(H189&gt;1,H189&lt;&gt;""),ROUND(SUMIFS(SF_Output!$S$1:$S$400,SF_Output!$AC$1:$AC$400,_xlfn.TEXTJOIN(",",TRUE,B189:E189),SF_Output!$Q$1:$Q$400,"monthly")*(1-W189)/H189,4),""),"")</f>
        <v/>
      </c>
      <c r="J189" s="6" t="str">
        <f>IF(B189="","",SUMIFS(SF_Output!$S$1:$S$400,SF_Output!$AC$1:$AC$400,_xlfn.TEXTJOIN(",",TRUE,B189:E189),SF_Output!$Q$1:$Q$400,"One Time",SF_Output!$L$1:$L$400,"license fee")+SUMIFS(SF_Output!$S$1:$S$400,SF_Output!$AC$1:$AC$400,_xlfn.TEXTJOIN(",",TRUE,B189:E189),SF_Output!$Q$1:$Q$400,"One Time",SF_Output!$L$1:$L$400,"software license")+SUMIFS(SF_Output!$S$1:$S$400,SF_Output!$AC$1:$AC$400,_xlfn.TEXTJOIN(",",TRUE,B189:E189),SF_Output!$Q$1:$Q$400,"One Time",SF_Output!$L$1:$L$400,"hardware"))</f>
        <v/>
      </c>
      <c r="K189" s="112" t="str">
        <f>IF(OR(B189=0,B189="",G189="hardware",J189=0),"",IF(AF189&lt;&gt;"exclusion",MAX(K$9,-((SUMIFS(SF_Output!$T$1:$T$400,SF_Output!$AC$1:$AC$400,_xlfn.TEXTJOIN(",",TRUE,$B189:$E189),SF_Output!$Q$1:$Q$400,"One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license"))/J189)))</f>
        <v/>
      </c>
      <c r="L189" s="6" t="str">
        <f t="shared" si="35"/>
        <v/>
      </c>
      <c r="N189" s="6" t="str">
        <f>IF(B189="","",SUMIFS(SF_Output!$S$1:$S$400,SF_Output!$AC$1:$AC$400,_xlfn.TEXTJOIN(",",TRUE,B189:E189),SF_Output!$Q$1:$Q$400,"One Time",SF_Output!$L$1:$L$400,"professional service"))</f>
        <v/>
      </c>
      <c r="O189" s="112" t="str">
        <f>IF(OR(B189=0,B189="",N189=0),"",IF(AF189&lt;&gt;"exclusion",MAX(O$9,-(SUMIFS(SF_Output!$T$1:$T$400,SF_Output!$AC$1:$AC$400,_xlfn.TEXTJOIN(",",TRUE,$B189:$E189),SF_Output!$Q$1:$Q$400,"One Time",SF_Output!$L$1:$L$400,"professional service"))/N189),-((SUMIFS(SF_Output!$T$1:$T$400,SF_Output!$AC$1:$AC$400,_xlfn.TEXTJOIN(",",TRUE,$B189:$E189),SF_Output!$Q$1:$Q$400,"One Time",SF_Output!$L$1:$L$400,"professional service")/N189))))</f>
        <v/>
      </c>
      <c r="P189" s="6" t="str">
        <f t="shared" si="36"/>
        <v/>
      </c>
      <c r="R189" s="6" t="str">
        <f>IF(B189="","",SUMIFS(SF_Output!$S$1:$S$400,SF_Output!$AC$1:$AC$400,_xlfn.TEXTJOIN(",",TRUE,B189:E189),SF_Output!$Q$1:$Q$400,"yearly")+SUMIFS(SF_Output!$S$1:$S$400,SF_Output!$AC$1:$AC$400,_xlfn.TEXTJOIN(",",TRUE,B189:E189),SF_Output!$Q$1:$Q$400,"quarterly")*4)</f>
        <v/>
      </c>
      <c r="S189" s="112" t="str">
        <f>IF(OR(B189=0,B189="",G189="hardware",R189=0),"",IF(AF189&lt;&gt;"exclusion",MAX(S$9,-(SUMIFS(SF_Output!$T$1:$T$400,SF_Output!$AC$1:$AC$400,_xlfn.TEXTJOIN(",",TRUE,$B189:$E189),SF_Output!$Q$1:$Q$400,"yearly"))/R189),-((SUMIFS(SF_Output!$T$1:$T$400,SF_Output!$AC$1:$AC$400,_xlfn.TEXTJOIN(",",TRUE,$B189:$E189),SF_Output!$Q$1:$Q$400,"yearly")/R189))))</f>
        <v/>
      </c>
      <c r="T189" s="6" t="str">
        <f t="shared" si="37"/>
        <v/>
      </c>
      <c r="V189" s="6" t="str" cm="1">
        <f t="array" ref="V189">_xlfn.IFS(B189="","",AND(B189&lt;&gt;"",H189=SF_Output!$Y$2,SUMIFS(SF_Output!$T$1:$T$400,SF_Output!$AC$1:$AC$400,_xlfn.TEXTJOIN(",",TRUE,B189:E189),SF_Output!$Q$1:$Q$400,"monthly")=0),(SUMIFS(SF_Output!$F$1:$F$400,SF_Output!$AC$1:$AC$400,_xlfn.TEXTJOIN(",",TRUE,B189:E189),SF_Output!$Q$1:$Q$400,"monthly")+SUMIFS(SF_Output!$G$1:$G$400,SF_Output!$AC$1:$AC$400,_xlfn.TEXTJOIN(",",TRUE,B189:E189),SF_Output!$Q$1:$Q$400,"monthly"))*H189,AND(B189&lt;&gt;"",H189=SF_Output!$Y$2,SUMIFS(SF_Output!$T$1:$T$400,SF_Output!$AC$1:$AC$400,_xlfn.TEXTJOIN(",",TRUE,B189:E189),SF_Output!$Q$1:$Q$400,"monthly")&lt;&gt;0),SUMIFS(SF_Output!$S$1:$S$400,SF_Output!$AC$1:$AC$400,_xlfn.TEXTJOIN(",",TRUE,B189:E189),SF_Output!$Q$1:$Q$400,"monthly"),AND(B189&lt;&gt;"",H189&lt;&gt;SF_Output!$Y$2),SUMIFS(SF_Output!$S$1:$S$400,SF_Output!$AC$1:$AC$400,_xlfn.TEXTJOIN(",",TRUE,B189:E189),SF_Output!$Q$1:$Q$400,"monthly"))</f>
        <v/>
      </c>
      <c r="W189" s="112" t="str" cm="1">
        <f t="array" ref="W189">_xlfn.IFS(OR(B189=0,B189="",V189=0),"",AF189&lt;&gt;"exclusion",MAX($W$9,$W$7,(-(SUMIFS(SF_Output!$T$1:$T$400,SF_Output!$AC$1:$AC$400,_xlfn.TEXTJOIN(",",TRUE,$B189:$E189),SF_Output!$Q$1:$Q$400,"monthly"))/V189)),AF189="exclusion",-(SUMIFS(SF_Output!$T$1:$T$400,SF_Output!$AC$1:$AC$400,_xlfn.TEXTJOIN(",",TRUE,$B189:$E189),SF_Output!$Q$1:$Q$400,"monthly"))/V189)</f>
        <v/>
      </c>
      <c r="X189" s="6" t="str" cm="1">
        <f t="array" ref="X189">IFERROR(_xlfn.IFS(V189=0,0,V189="","",W189=0,V189,OR(V189&lt;&gt;0,V189&lt;&gt;""),H189*I189),V189*(1-W189))</f>
        <v/>
      </c>
      <c r="Z189" s="6" t="str">
        <f>IFERROR(IF(B189="","",SUMIFS(Billing_Fallout!H:H,Billing_Fallout!N:N,B189)),0)</f>
        <v/>
      </c>
      <c r="AA189" s="6" t="str">
        <f t="shared" si="38"/>
        <v/>
      </c>
      <c r="AB189" s="6" t="str">
        <f>IFERROR(IF(B189="","",SUMIFS(Billing_Fallout!J:J,Billing_Fallout!N:N,B189)),0)</f>
        <v/>
      </c>
      <c r="AD189" s="6" t="str">
        <f t="shared" si="39"/>
        <v/>
      </c>
      <c r="AF189" t="str">
        <f>IFERROR(INDEX(H_Tables!$B$1:$B$1500,MATCH(INDEX(SF_Output!$J$1:$J$400,MATCH(B189,SF_Output!$M$1:$M$400,0)),H_Tables!$A$1:$A$1500,0)),"")</f>
        <v/>
      </c>
      <c r="AI189" s="119" t="str">
        <f t="shared" si="40"/>
        <v/>
      </c>
      <c r="AJ189" s="121">
        <f>IFERROR(INDEX(SF_Output!AD:AD,MATCH(_xlfn.TEXTJOIN(",",TRUE,B189:E189),SF_Output!AC1:AC400,0)),0.05)</f>
        <v>241</v>
      </c>
      <c r="AK189" t="str">
        <f>IF(SUMIFS(SF_Output!$F$1:$F$400,SF_Output!$AC$1:$AC$400,_xlfn.TEXTJOIN(",",TRUE,B189:E189))+SUMIFS(SF_Output!$G$1:$G$400,SF_Output!$AC$1:$AC$400,_xlfn.TEXTJOIN(",",TRUE,B189:E189))=0,"","PAP")</f>
        <v/>
      </c>
      <c r="AQ189" s="35"/>
      <c r="AR189" s="35" t="str" cm="1">
        <f t="array" ref="AR189">IFERROR(_xlfn.IFS(AND(E189*1=1,F189="Included"),"Change to Included",AND(E189*1=0,F189="Optional"),"Change to Optional",OR(B189="",F189="replaced"),""),"")</f>
        <v/>
      </c>
      <c r="AS189" s="35" t="str">
        <f t="shared" si="41"/>
        <v/>
      </c>
      <c r="AT189" s="35" t="str">
        <f t="shared" si="42"/>
        <v/>
      </c>
      <c r="AU189" s="35" t="str">
        <f t="shared" si="43"/>
        <v/>
      </c>
      <c r="AV189" s="35" t="str">
        <f t="shared" si="44"/>
        <v/>
      </c>
      <c r="AW189" s="35" t="str">
        <f t="shared" si="45"/>
        <v/>
      </c>
      <c r="AX189" s="35" t="str">
        <f t="shared" si="46"/>
        <v/>
      </c>
      <c r="AY189" s="35" t="str">
        <f t="shared" si="47"/>
        <v/>
      </c>
      <c r="AZ189" s="35" t="str">
        <f t="shared" si="48"/>
        <v/>
      </c>
      <c r="BA189" s="35" t="str">
        <f t="shared" si="49"/>
        <v/>
      </c>
      <c r="BB189" s="35" t="str">
        <f t="shared" si="50"/>
        <v/>
      </c>
      <c r="BC189" s="35"/>
      <c r="BE189" s="35" t="e">
        <f>INDEX(SF_Output!$AA$2:$AA$400,MATCH($B189,SF_Output!$M$2:$M$400,0))</f>
        <v>#N/A</v>
      </c>
      <c r="BF189" s="35" t="e">
        <f>INDEX(SF_Output!$AB$2:$AB$400,MATCH($B189,SF_Output!$M$2:$M$400,0))</f>
        <v>#N/A</v>
      </c>
    </row>
    <row r="190" spans="2:58" x14ac:dyDescent="0.25">
      <c r="F190" s="116" t="str">
        <f t="shared" si="34"/>
        <v/>
      </c>
      <c r="G190" t="str">
        <f>IF(B190="","",INDEX(SF_Output!$K$1:$K$400,MATCH(B190,SF_Output!$M$1:$M$400,0)))</f>
        <v/>
      </c>
      <c r="H190" t="str" cm="1">
        <f t="array" ref="H190">_xlfn.IFS(B190="","",(SUMIFS(SF_Output!$F$1:$F$400,SF_Output!$AC$1:$AC$400,_xlfn.TEXTJOIN(",",TRUE,B190:E190))+SUMIFS(SF_Output!$G$1:$G$400,SF_Output!$AC$1:$AC$400,_xlfn.TEXTJOIN(",",TRUE,B190:E190)))&lt;&gt;0,SF_Output!$Y$2,INDEX(SF_Output!$F$1:$F$400,MATCH(_xlfn.TEXTJOIN(",",TRUE,B190:E190),SF_Output!$AC$1:$AC$400,0))=0,INDEX(SF_Output!$R$1:$R$400,MATCH(_xlfn.TEXTJOIN(",",TRUE,B190:E190),SF_Output!$AC$1:$AC$400,0)))</f>
        <v/>
      </c>
      <c r="I190" s="125" t="str">
        <f>IFERROR(IF(AND(H190&gt;1,H190&lt;&gt;""),ROUND(SUMIFS(SF_Output!$S$1:$S$400,SF_Output!$AC$1:$AC$400,_xlfn.TEXTJOIN(",",TRUE,B190:E190),SF_Output!$Q$1:$Q$400,"monthly")*(1-W190)/H190,4),""),"")</f>
        <v/>
      </c>
      <c r="J190" s="6" t="str">
        <f>IF(B190="","",SUMIFS(SF_Output!$S$1:$S$400,SF_Output!$AC$1:$AC$400,_xlfn.TEXTJOIN(",",TRUE,B190:E190),SF_Output!$Q$1:$Q$400,"One Time",SF_Output!$L$1:$L$400,"license fee")+SUMIFS(SF_Output!$S$1:$S$400,SF_Output!$AC$1:$AC$400,_xlfn.TEXTJOIN(",",TRUE,B190:E190),SF_Output!$Q$1:$Q$400,"One Time",SF_Output!$L$1:$L$400,"software license")+SUMIFS(SF_Output!$S$1:$S$400,SF_Output!$AC$1:$AC$400,_xlfn.TEXTJOIN(",",TRUE,B190:E190),SF_Output!$Q$1:$Q$400,"One Time",SF_Output!$L$1:$L$400,"hardware"))</f>
        <v/>
      </c>
      <c r="K190" s="112" t="str">
        <f>IF(OR(B190=0,B190="",G190="hardware",J190=0),"",IF(AF190&lt;&gt;"exclusion",MAX(K$9,-((SUMIFS(SF_Output!$T$1:$T$400,SF_Output!$AC$1:$AC$400,_xlfn.TEXTJOIN(",",TRUE,$B190:$E190),SF_Output!$Q$1:$Q$400,"One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license"))/J190)))</f>
        <v/>
      </c>
      <c r="L190" s="6" t="str">
        <f t="shared" si="35"/>
        <v/>
      </c>
      <c r="N190" s="6" t="str">
        <f>IF(B190="","",SUMIFS(SF_Output!$S$1:$S$400,SF_Output!$AC$1:$AC$400,_xlfn.TEXTJOIN(",",TRUE,B190:E190),SF_Output!$Q$1:$Q$400,"One Time",SF_Output!$L$1:$L$400,"professional service"))</f>
        <v/>
      </c>
      <c r="O190" s="112" t="str">
        <f>IF(OR(B190=0,B190="",N190=0),"",IF(AF190&lt;&gt;"exclusion",MAX(O$9,-(SUMIFS(SF_Output!$T$1:$T$400,SF_Output!$AC$1:$AC$400,_xlfn.TEXTJOIN(",",TRUE,$B190:$E190),SF_Output!$Q$1:$Q$400,"One Time",SF_Output!$L$1:$L$400,"professional service"))/N190),-((SUMIFS(SF_Output!$T$1:$T$400,SF_Output!$AC$1:$AC$400,_xlfn.TEXTJOIN(",",TRUE,$B190:$E190),SF_Output!$Q$1:$Q$400,"One Time",SF_Output!$L$1:$L$400,"professional service")/N190))))</f>
        <v/>
      </c>
      <c r="P190" s="6" t="str">
        <f t="shared" si="36"/>
        <v/>
      </c>
      <c r="R190" s="6" t="str">
        <f>IF(B190="","",SUMIFS(SF_Output!$S$1:$S$400,SF_Output!$AC$1:$AC$400,_xlfn.TEXTJOIN(",",TRUE,B190:E190),SF_Output!$Q$1:$Q$400,"yearly")+SUMIFS(SF_Output!$S$1:$S$400,SF_Output!$AC$1:$AC$400,_xlfn.TEXTJOIN(",",TRUE,B190:E190),SF_Output!$Q$1:$Q$400,"quarterly")*4)</f>
        <v/>
      </c>
      <c r="S190" s="112" t="str">
        <f>IF(OR(B190=0,B190="",G190="hardware",R190=0),"",IF(AF190&lt;&gt;"exclusion",MAX(S$9,-(SUMIFS(SF_Output!$T$1:$T$400,SF_Output!$AC$1:$AC$400,_xlfn.TEXTJOIN(",",TRUE,$B190:$E190),SF_Output!$Q$1:$Q$400,"yearly"))/R190),-((SUMIFS(SF_Output!$T$1:$T$400,SF_Output!$AC$1:$AC$400,_xlfn.TEXTJOIN(",",TRUE,$B190:$E190),SF_Output!$Q$1:$Q$400,"yearly")/R190))))</f>
        <v/>
      </c>
      <c r="T190" s="6" t="str">
        <f t="shared" si="37"/>
        <v/>
      </c>
      <c r="V190" s="6" t="str" cm="1">
        <f t="array" ref="V190">_xlfn.IFS(B190="","",AND(B190&lt;&gt;"",H190=SF_Output!$Y$2,SUMIFS(SF_Output!$T$1:$T$400,SF_Output!$AC$1:$AC$400,_xlfn.TEXTJOIN(",",TRUE,B190:E190),SF_Output!$Q$1:$Q$400,"monthly")=0),(SUMIFS(SF_Output!$F$1:$F$400,SF_Output!$AC$1:$AC$400,_xlfn.TEXTJOIN(",",TRUE,B190:E190),SF_Output!$Q$1:$Q$400,"monthly")+SUMIFS(SF_Output!$G$1:$G$400,SF_Output!$AC$1:$AC$400,_xlfn.TEXTJOIN(",",TRUE,B190:E190),SF_Output!$Q$1:$Q$400,"monthly"))*H190,AND(B190&lt;&gt;"",H190=SF_Output!$Y$2,SUMIFS(SF_Output!$T$1:$T$400,SF_Output!$AC$1:$AC$400,_xlfn.TEXTJOIN(",",TRUE,B190:E190),SF_Output!$Q$1:$Q$400,"monthly")&lt;&gt;0),SUMIFS(SF_Output!$S$1:$S$400,SF_Output!$AC$1:$AC$400,_xlfn.TEXTJOIN(",",TRUE,B190:E190),SF_Output!$Q$1:$Q$400,"monthly"),AND(B190&lt;&gt;"",H190&lt;&gt;SF_Output!$Y$2),SUMIFS(SF_Output!$S$1:$S$400,SF_Output!$AC$1:$AC$400,_xlfn.TEXTJOIN(",",TRUE,B190:E190),SF_Output!$Q$1:$Q$400,"monthly"))</f>
        <v/>
      </c>
      <c r="W190" s="112" t="str" cm="1">
        <f t="array" ref="W190">_xlfn.IFS(OR(B190=0,B190="",V190=0),"",AF190&lt;&gt;"exclusion",MAX($W$9,$W$7,(-(SUMIFS(SF_Output!$T$1:$T$400,SF_Output!$AC$1:$AC$400,_xlfn.TEXTJOIN(",",TRUE,$B190:$E190),SF_Output!$Q$1:$Q$400,"monthly"))/V190)),AF190="exclusion",-(SUMIFS(SF_Output!$T$1:$T$400,SF_Output!$AC$1:$AC$400,_xlfn.TEXTJOIN(",",TRUE,$B190:$E190),SF_Output!$Q$1:$Q$400,"monthly"))/V190)</f>
        <v/>
      </c>
      <c r="X190" s="6" t="str" cm="1">
        <f t="array" ref="X190">IFERROR(_xlfn.IFS(V190=0,0,V190="","",W190=0,V190,OR(V190&lt;&gt;0,V190&lt;&gt;""),H190*I190),V190*(1-W190))</f>
        <v/>
      </c>
      <c r="Z190" s="6" t="str">
        <f>IFERROR(IF(B190="","",SUMIFS(Billing_Fallout!H:H,Billing_Fallout!N:N,B190)),0)</f>
        <v/>
      </c>
      <c r="AA190" s="6" t="str">
        <f t="shared" si="38"/>
        <v/>
      </c>
      <c r="AB190" s="6" t="str">
        <f>IFERROR(IF(B190="","",SUMIFS(Billing_Fallout!J:J,Billing_Fallout!N:N,B190)),0)</f>
        <v/>
      </c>
      <c r="AD190" s="6" t="str">
        <f t="shared" si="39"/>
        <v/>
      </c>
      <c r="AF190" t="str">
        <f>IFERROR(INDEX(H_Tables!$B$1:$B$1500,MATCH(INDEX(SF_Output!$J$1:$J$400,MATCH(B190,SF_Output!$M$1:$M$400,0)),H_Tables!$A$1:$A$1500,0)),"")</f>
        <v/>
      </c>
      <c r="AI190" s="119" t="str">
        <f t="shared" si="40"/>
        <v/>
      </c>
      <c r="AJ190" s="121">
        <f>IFERROR(INDEX(SF_Output!AD:AD,MATCH(_xlfn.TEXTJOIN(",",TRUE,B190:E190),SF_Output!AC1:AC400,0)),0.05)</f>
        <v>241</v>
      </c>
      <c r="AK190" t="str">
        <f>IF(SUMIFS(SF_Output!$F$1:$F$400,SF_Output!$AC$1:$AC$400,_xlfn.TEXTJOIN(",",TRUE,B190:E190))+SUMIFS(SF_Output!$G$1:$G$400,SF_Output!$AC$1:$AC$400,_xlfn.TEXTJOIN(",",TRUE,B190:E190))=0,"","PAP")</f>
        <v/>
      </c>
      <c r="AQ190" s="35"/>
      <c r="AR190" s="35" t="str" cm="1">
        <f t="array" ref="AR190">IFERROR(_xlfn.IFS(AND(E190*1=1,F190="Included"),"Change to Included",AND(E190*1=0,F190="Optional"),"Change to Optional",OR(B190="",F190="replaced"),""),"")</f>
        <v/>
      </c>
      <c r="AS190" s="35" t="str">
        <f t="shared" si="41"/>
        <v/>
      </c>
      <c r="AT190" s="35" t="str">
        <f t="shared" si="42"/>
        <v/>
      </c>
      <c r="AU190" s="35" t="str">
        <f t="shared" si="43"/>
        <v/>
      </c>
      <c r="AV190" s="35" t="str">
        <f t="shared" si="44"/>
        <v/>
      </c>
      <c r="AW190" s="35" t="str">
        <f t="shared" si="45"/>
        <v/>
      </c>
      <c r="AX190" s="35" t="str">
        <f t="shared" si="46"/>
        <v/>
      </c>
      <c r="AY190" s="35" t="str">
        <f t="shared" si="47"/>
        <v/>
      </c>
      <c r="AZ190" s="35" t="str">
        <f t="shared" si="48"/>
        <v/>
      </c>
      <c r="BA190" s="35" t="str">
        <f t="shared" si="49"/>
        <v/>
      </c>
      <c r="BB190" s="35" t="str">
        <f t="shared" si="50"/>
        <v/>
      </c>
      <c r="BC190" s="35"/>
      <c r="BE190" s="35" t="e">
        <f>INDEX(SF_Output!$AA$2:$AA$400,MATCH($B190,SF_Output!$M$2:$M$400,0))</f>
        <v>#N/A</v>
      </c>
      <c r="BF190" s="35" t="e">
        <f>INDEX(SF_Output!$AB$2:$AB$400,MATCH($B190,SF_Output!$M$2:$M$400,0))</f>
        <v>#N/A</v>
      </c>
    </row>
    <row r="191" spans="2:58" x14ac:dyDescent="0.25">
      <c r="F191" s="116" t="str">
        <f t="shared" si="34"/>
        <v/>
      </c>
      <c r="G191" t="str">
        <f>IF(B191="","",INDEX(SF_Output!$K$1:$K$400,MATCH(B191,SF_Output!$M$1:$M$400,0)))</f>
        <v/>
      </c>
      <c r="H191" t="str" cm="1">
        <f t="array" ref="H191">_xlfn.IFS(B191="","",(SUMIFS(SF_Output!$F$1:$F$400,SF_Output!$AC$1:$AC$400,_xlfn.TEXTJOIN(",",TRUE,B191:E191))+SUMIFS(SF_Output!$G$1:$G$400,SF_Output!$AC$1:$AC$400,_xlfn.TEXTJOIN(",",TRUE,B191:E191)))&lt;&gt;0,SF_Output!$Y$2,INDEX(SF_Output!$F$1:$F$400,MATCH(_xlfn.TEXTJOIN(",",TRUE,B191:E191),SF_Output!$AC$1:$AC$400,0))=0,INDEX(SF_Output!$R$1:$R$400,MATCH(_xlfn.TEXTJOIN(",",TRUE,B191:E191),SF_Output!$AC$1:$AC$400,0)))</f>
        <v/>
      </c>
      <c r="I191" s="125" t="str">
        <f>IFERROR(IF(AND(H191&gt;1,H191&lt;&gt;""),ROUND(SUMIFS(SF_Output!$S$1:$S$400,SF_Output!$AC$1:$AC$400,_xlfn.TEXTJOIN(",",TRUE,B191:E191),SF_Output!$Q$1:$Q$400,"monthly")*(1-W191)/H191,4),""),"")</f>
        <v/>
      </c>
      <c r="J191" s="6" t="str">
        <f>IF(B191="","",SUMIFS(SF_Output!$S$1:$S$400,SF_Output!$AC$1:$AC$400,_xlfn.TEXTJOIN(",",TRUE,B191:E191),SF_Output!$Q$1:$Q$400,"One Time",SF_Output!$L$1:$L$400,"license fee")+SUMIFS(SF_Output!$S$1:$S$400,SF_Output!$AC$1:$AC$400,_xlfn.TEXTJOIN(",",TRUE,B191:E191),SF_Output!$Q$1:$Q$400,"One Time",SF_Output!$L$1:$L$400,"software license")+SUMIFS(SF_Output!$S$1:$S$400,SF_Output!$AC$1:$AC$400,_xlfn.TEXTJOIN(",",TRUE,B191:E191),SF_Output!$Q$1:$Q$400,"One Time",SF_Output!$L$1:$L$400,"hardware"))</f>
        <v/>
      </c>
      <c r="K191" s="112" t="str">
        <f>IF(OR(B191=0,B191="",G191="hardware",J191=0),"",IF(AF191&lt;&gt;"exclusion",MAX(K$9,-((SUMIFS(SF_Output!$T$1:$T$400,SF_Output!$AC$1:$AC$400,_xlfn.TEXTJOIN(",",TRUE,$B191:$E191),SF_Output!$Q$1:$Q$400,"One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license"))/J191)))</f>
        <v/>
      </c>
      <c r="L191" s="6" t="str">
        <f t="shared" si="35"/>
        <v/>
      </c>
      <c r="N191" s="6" t="str">
        <f>IF(B191="","",SUMIFS(SF_Output!$S$1:$S$400,SF_Output!$AC$1:$AC$400,_xlfn.TEXTJOIN(",",TRUE,B191:E191),SF_Output!$Q$1:$Q$400,"One Time",SF_Output!$L$1:$L$400,"professional service"))</f>
        <v/>
      </c>
      <c r="O191" s="112" t="str">
        <f>IF(OR(B191=0,B191="",N191=0),"",IF(AF191&lt;&gt;"exclusion",MAX(O$9,-(SUMIFS(SF_Output!$T$1:$T$400,SF_Output!$AC$1:$AC$400,_xlfn.TEXTJOIN(",",TRUE,$B191:$E191),SF_Output!$Q$1:$Q$400,"One Time",SF_Output!$L$1:$L$400,"professional service"))/N191),-((SUMIFS(SF_Output!$T$1:$T$400,SF_Output!$AC$1:$AC$400,_xlfn.TEXTJOIN(",",TRUE,$B191:$E191),SF_Output!$Q$1:$Q$400,"One Time",SF_Output!$L$1:$L$400,"professional service")/N191))))</f>
        <v/>
      </c>
      <c r="P191" s="6" t="str">
        <f t="shared" si="36"/>
        <v/>
      </c>
      <c r="R191" s="6" t="str">
        <f>IF(B191="","",SUMIFS(SF_Output!$S$1:$S$400,SF_Output!$AC$1:$AC$400,_xlfn.TEXTJOIN(",",TRUE,B191:E191),SF_Output!$Q$1:$Q$400,"yearly")+SUMIFS(SF_Output!$S$1:$S$400,SF_Output!$AC$1:$AC$400,_xlfn.TEXTJOIN(",",TRUE,B191:E191),SF_Output!$Q$1:$Q$400,"quarterly")*4)</f>
        <v/>
      </c>
      <c r="S191" s="112" t="str">
        <f>IF(OR(B191=0,B191="",G191="hardware",R191=0),"",IF(AF191&lt;&gt;"exclusion",MAX(S$9,-(SUMIFS(SF_Output!$T$1:$T$400,SF_Output!$AC$1:$AC$400,_xlfn.TEXTJOIN(",",TRUE,$B191:$E191),SF_Output!$Q$1:$Q$400,"yearly"))/R191),-((SUMIFS(SF_Output!$T$1:$T$400,SF_Output!$AC$1:$AC$400,_xlfn.TEXTJOIN(",",TRUE,$B191:$E191),SF_Output!$Q$1:$Q$400,"yearly")/R191))))</f>
        <v/>
      </c>
      <c r="T191" s="6" t="str">
        <f t="shared" si="37"/>
        <v/>
      </c>
      <c r="V191" s="6" t="str" cm="1">
        <f t="array" ref="V191">_xlfn.IFS(B191="","",AND(B191&lt;&gt;"",H191=SF_Output!$Y$2,SUMIFS(SF_Output!$T$1:$T$400,SF_Output!$AC$1:$AC$400,_xlfn.TEXTJOIN(",",TRUE,B191:E191),SF_Output!$Q$1:$Q$400,"monthly")=0),(SUMIFS(SF_Output!$F$1:$F$400,SF_Output!$AC$1:$AC$400,_xlfn.TEXTJOIN(",",TRUE,B191:E191),SF_Output!$Q$1:$Q$400,"monthly")+SUMIFS(SF_Output!$G$1:$G$400,SF_Output!$AC$1:$AC$400,_xlfn.TEXTJOIN(",",TRUE,B191:E191),SF_Output!$Q$1:$Q$400,"monthly"))*H191,AND(B191&lt;&gt;"",H191=SF_Output!$Y$2,SUMIFS(SF_Output!$T$1:$T$400,SF_Output!$AC$1:$AC$400,_xlfn.TEXTJOIN(",",TRUE,B191:E191),SF_Output!$Q$1:$Q$400,"monthly")&lt;&gt;0),SUMIFS(SF_Output!$S$1:$S$400,SF_Output!$AC$1:$AC$400,_xlfn.TEXTJOIN(",",TRUE,B191:E191),SF_Output!$Q$1:$Q$400,"monthly"),AND(B191&lt;&gt;"",H191&lt;&gt;SF_Output!$Y$2),SUMIFS(SF_Output!$S$1:$S$400,SF_Output!$AC$1:$AC$400,_xlfn.TEXTJOIN(",",TRUE,B191:E191),SF_Output!$Q$1:$Q$400,"monthly"))</f>
        <v/>
      </c>
      <c r="W191" s="112" t="str" cm="1">
        <f t="array" ref="W191">_xlfn.IFS(OR(B191=0,B191="",V191=0),"",AF191&lt;&gt;"exclusion",MAX($W$9,$W$7,(-(SUMIFS(SF_Output!$T$1:$T$400,SF_Output!$AC$1:$AC$400,_xlfn.TEXTJOIN(",",TRUE,$B191:$E191),SF_Output!$Q$1:$Q$400,"monthly"))/V191)),AF191="exclusion",-(SUMIFS(SF_Output!$T$1:$T$400,SF_Output!$AC$1:$AC$400,_xlfn.TEXTJOIN(",",TRUE,$B191:$E191),SF_Output!$Q$1:$Q$400,"monthly"))/V191)</f>
        <v/>
      </c>
      <c r="X191" s="6" t="str" cm="1">
        <f t="array" ref="X191">IFERROR(_xlfn.IFS(V191=0,0,V191="","",W191=0,V191,OR(V191&lt;&gt;0,V191&lt;&gt;""),H191*I191),V191*(1-W191))</f>
        <v/>
      </c>
      <c r="Z191" s="6" t="str">
        <f>IFERROR(IF(B191="","",SUMIFS(Billing_Fallout!H:H,Billing_Fallout!N:N,B191)),0)</f>
        <v/>
      </c>
      <c r="AA191" s="6" t="str">
        <f t="shared" si="38"/>
        <v/>
      </c>
      <c r="AB191" s="6" t="str">
        <f>IFERROR(IF(B191="","",SUMIFS(Billing_Fallout!J:J,Billing_Fallout!N:N,B191)),0)</f>
        <v/>
      </c>
      <c r="AD191" s="6" t="str">
        <f t="shared" si="39"/>
        <v/>
      </c>
      <c r="AF191" t="str">
        <f>IFERROR(INDEX(H_Tables!$B$1:$B$1500,MATCH(INDEX(SF_Output!$J$1:$J$400,MATCH(B191,SF_Output!$M$1:$M$400,0)),H_Tables!$A$1:$A$1500,0)),"")</f>
        <v/>
      </c>
      <c r="AI191" s="119" t="str">
        <f t="shared" si="40"/>
        <v/>
      </c>
      <c r="AJ191" s="121">
        <f>IFERROR(INDEX(SF_Output!AD:AD,MATCH(_xlfn.TEXTJOIN(",",TRUE,B191:E191),SF_Output!AC1:AC400,0)),0.05)</f>
        <v>241</v>
      </c>
      <c r="AK191" t="str">
        <f>IF(SUMIFS(SF_Output!$F$1:$F$400,SF_Output!$AC$1:$AC$400,_xlfn.TEXTJOIN(",",TRUE,B191:E191))+SUMIFS(SF_Output!$G$1:$G$400,SF_Output!$AC$1:$AC$400,_xlfn.TEXTJOIN(",",TRUE,B191:E191))=0,"","PAP")</f>
        <v/>
      </c>
      <c r="AQ191" s="35"/>
      <c r="AR191" s="35" t="str" cm="1">
        <f t="array" ref="AR191">IFERROR(_xlfn.IFS(AND(E191*1=1,F191="Included"),"Change to Included",AND(E191*1=0,F191="Optional"),"Change to Optional",OR(B191="",F191="replaced"),""),"")</f>
        <v/>
      </c>
      <c r="AS191" s="35" t="str">
        <f t="shared" si="41"/>
        <v/>
      </c>
      <c r="AT191" s="35" t="str">
        <f t="shared" si="42"/>
        <v/>
      </c>
      <c r="AU191" s="35" t="str">
        <f t="shared" si="43"/>
        <v/>
      </c>
      <c r="AV191" s="35" t="str">
        <f t="shared" si="44"/>
        <v/>
      </c>
      <c r="AW191" s="35" t="str">
        <f t="shared" si="45"/>
        <v/>
      </c>
      <c r="AX191" s="35" t="str">
        <f t="shared" si="46"/>
        <v/>
      </c>
      <c r="AY191" s="35" t="str">
        <f t="shared" si="47"/>
        <v/>
      </c>
      <c r="AZ191" s="35" t="str">
        <f t="shared" si="48"/>
        <v/>
      </c>
      <c r="BA191" s="35" t="str">
        <f t="shared" si="49"/>
        <v/>
      </c>
      <c r="BB191" s="35" t="str">
        <f t="shared" si="50"/>
        <v/>
      </c>
      <c r="BC191" s="35"/>
      <c r="BE191" s="35" t="e">
        <f>INDEX(SF_Output!$AA$2:$AA$400,MATCH($B191,SF_Output!$M$2:$M$400,0))</f>
        <v>#N/A</v>
      </c>
      <c r="BF191" s="35" t="e">
        <f>INDEX(SF_Output!$AB$2:$AB$400,MATCH($B191,SF_Output!$M$2:$M$400,0))</f>
        <v>#N/A</v>
      </c>
    </row>
    <row r="192" spans="2:58" x14ac:dyDescent="0.25">
      <c r="F192" s="116" t="str">
        <f t="shared" si="34"/>
        <v/>
      </c>
      <c r="G192" t="str">
        <f>IF(B192="","",INDEX(SF_Output!$K$1:$K$400,MATCH(B192,SF_Output!$M$1:$M$400,0)))</f>
        <v/>
      </c>
      <c r="H192" t="str" cm="1">
        <f t="array" ref="H192">_xlfn.IFS(B192="","",(SUMIFS(SF_Output!$F$1:$F$400,SF_Output!$AC$1:$AC$400,_xlfn.TEXTJOIN(",",TRUE,B192:E192))+SUMIFS(SF_Output!$G$1:$G$400,SF_Output!$AC$1:$AC$400,_xlfn.TEXTJOIN(",",TRUE,B192:E192)))&lt;&gt;0,SF_Output!$Y$2,INDEX(SF_Output!$F$1:$F$400,MATCH(_xlfn.TEXTJOIN(",",TRUE,B192:E192),SF_Output!$AC$1:$AC$400,0))=0,INDEX(SF_Output!$R$1:$R$400,MATCH(_xlfn.TEXTJOIN(",",TRUE,B192:E192),SF_Output!$AC$1:$AC$400,0)))</f>
        <v/>
      </c>
      <c r="I192" s="125" t="str">
        <f>IFERROR(IF(AND(H192&gt;1,H192&lt;&gt;""),ROUND(SUMIFS(SF_Output!$S$1:$S$400,SF_Output!$AC$1:$AC$400,_xlfn.TEXTJOIN(",",TRUE,B192:E192),SF_Output!$Q$1:$Q$400,"monthly")*(1-W192)/H192,4),""),"")</f>
        <v/>
      </c>
      <c r="J192" s="6" t="str">
        <f>IF(B192="","",SUMIFS(SF_Output!$S$1:$S$400,SF_Output!$AC$1:$AC$400,_xlfn.TEXTJOIN(",",TRUE,B192:E192),SF_Output!$Q$1:$Q$400,"One Time",SF_Output!$L$1:$L$400,"license fee")+SUMIFS(SF_Output!$S$1:$S$400,SF_Output!$AC$1:$AC$400,_xlfn.TEXTJOIN(",",TRUE,B192:E192),SF_Output!$Q$1:$Q$400,"One Time",SF_Output!$L$1:$L$400,"software license")+SUMIFS(SF_Output!$S$1:$S$400,SF_Output!$AC$1:$AC$400,_xlfn.TEXTJOIN(",",TRUE,B192:E192),SF_Output!$Q$1:$Q$400,"One Time",SF_Output!$L$1:$L$400,"hardware"))</f>
        <v/>
      </c>
      <c r="K192" s="112" t="str">
        <f>IF(OR(B192=0,B192="",G192="hardware",J192=0),"",IF(AF192&lt;&gt;"exclusion",MAX(K$9,-((SUMIFS(SF_Output!$T$1:$T$400,SF_Output!$AC$1:$AC$400,_xlfn.TEXTJOIN(",",TRUE,$B192:$E192),SF_Output!$Q$1:$Q$400,"One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license"))/J192)))</f>
        <v/>
      </c>
      <c r="L192" s="6" t="str">
        <f t="shared" si="35"/>
        <v/>
      </c>
      <c r="N192" s="6" t="str">
        <f>IF(B192="","",SUMIFS(SF_Output!$S$1:$S$400,SF_Output!$AC$1:$AC$400,_xlfn.TEXTJOIN(",",TRUE,B192:E192),SF_Output!$Q$1:$Q$400,"One Time",SF_Output!$L$1:$L$400,"professional service"))</f>
        <v/>
      </c>
      <c r="O192" s="112" t="str">
        <f>IF(OR(B192=0,B192="",N192=0),"",IF(AF192&lt;&gt;"exclusion",MAX(O$9,-(SUMIFS(SF_Output!$T$1:$T$400,SF_Output!$AC$1:$AC$400,_xlfn.TEXTJOIN(",",TRUE,$B192:$E192),SF_Output!$Q$1:$Q$400,"One Time",SF_Output!$L$1:$L$400,"professional service"))/N192),-((SUMIFS(SF_Output!$T$1:$T$400,SF_Output!$AC$1:$AC$400,_xlfn.TEXTJOIN(",",TRUE,$B192:$E192),SF_Output!$Q$1:$Q$400,"One Time",SF_Output!$L$1:$L$400,"professional service")/N192))))</f>
        <v/>
      </c>
      <c r="P192" s="6" t="str">
        <f t="shared" si="36"/>
        <v/>
      </c>
      <c r="R192" s="6" t="str">
        <f>IF(B192="","",SUMIFS(SF_Output!$S$1:$S$400,SF_Output!$AC$1:$AC$400,_xlfn.TEXTJOIN(",",TRUE,B192:E192),SF_Output!$Q$1:$Q$400,"yearly")+SUMIFS(SF_Output!$S$1:$S$400,SF_Output!$AC$1:$AC$400,_xlfn.TEXTJOIN(",",TRUE,B192:E192),SF_Output!$Q$1:$Q$400,"quarterly")*4)</f>
        <v/>
      </c>
      <c r="S192" s="112" t="str">
        <f>IF(OR(B192=0,B192="",G192="hardware",R192=0),"",IF(AF192&lt;&gt;"exclusion",MAX(S$9,-(SUMIFS(SF_Output!$T$1:$T$400,SF_Output!$AC$1:$AC$400,_xlfn.TEXTJOIN(",",TRUE,$B192:$E192),SF_Output!$Q$1:$Q$400,"yearly"))/R192),-((SUMIFS(SF_Output!$T$1:$T$400,SF_Output!$AC$1:$AC$400,_xlfn.TEXTJOIN(",",TRUE,$B192:$E192),SF_Output!$Q$1:$Q$400,"yearly")/R192))))</f>
        <v/>
      </c>
      <c r="T192" s="6" t="str">
        <f t="shared" si="37"/>
        <v/>
      </c>
      <c r="V192" s="6" t="str" cm="1">
        <f t="array" ref="V192">_xlfn.IFS(B192="","",AND(B192&lt;&gt;"",H192=SF_Output!$Y$2,SUMIFS(SF_Output!$T$1:$T$400,SF_Output!$AC$1:$AC$400,_xlfn.TEXTJOIN(",",TRUE,B192:E192),SF_Output!$Q$1:$Q$400,"monthly")=0),(SUMIFS(SF_Output!$F$1:$F$400,SF_Output!$AC$1:$AC$400,_xlfn.TEXTJOIN(",",TRUE,B192:E192),SF_Output!$Q$1:$Q$400,"monthly")+SUMIFS(SF_Output!$G$1:$G$400,SF_Output!$AC$1:$AC$400,_xlfn.TEXTJOIN(",",TRUE,B192:E192),SF_Output!$Q$1:$Q$400,"monthly"))*H192,AND(B192&lt;&gt;"",H192=SF_Output!$Y$2,SUMIFS(SF_Output!$T$1:$T$400,SF_Output!$AC$1:$AC$400,_xlfn.TEXTJOIN(",",TRUE,B192:E192),SF_Output!$Q$1:$Q$400,"monthly")&lt;&gt;0),SUMIFS(SF_Output!$S$1:$S$400,SF_Output!$AC$1:$AC$400,_xlfn.TEXTJOIN(",",TRUE,B192:E192),SF_Output!$Q$1:$Q$400,"monthly"),AND(B192&lt;&gt;"",H192&lt;&gt;SF_Output!$Y$2),SUMIFS(SF_Output!$S$1:$S$400,SF_Output!$AC$1:$AC$400,_xlfn.TEXTJOIN(",",TRUE,B192:E192),SF_Output!$Q$1:$Q$400,"monthly"))</f>
        <v/>
      </c>
      <c r="W192" s="112" t="str" cm="1">
        <f t="array" ref="W192">_xlfn.IFS(OR(B192=0,B192="",V192=0),"",AF192&lt;&gt;"exclusion",MAX($W$9,$W$7,(-(SUMIFS(SF_Output!$T$1:$T$400,SF_Output!$AC$1:$AC$400,_xlfn.TEXTJOIN(",",TRUE,$B192:$E192),SF_Output!$Q$1:$Q$400,"monthly"))/V192)),AF192="exclusion",-(SUMIFS(SF_Output!$T$1:$T$400,SF_Output!$AC$1:$AC$400,_xlfn.TEXTJOIN(",",TRUE,$B192:$E192),SF_Output!$Q$1:$Q$400,"monthly"))/V192)</f>
        <v/>
      </c>
      <c r="X192" s="6" t="str" cm="1">
        <f t="array" ref="X192">IFERROR(_xlfn.IFS(V192=0,0,V192="","",W192=0,V192,OR(V192&lt;&gt;0,V192&lt;&gt;""),H192*I192),V192*(1-W192))</f>
        <v/>
      </c>
      <c r="Z192" s="6" t="str">
        <f>IFERROR(IF(B192="","",SUMIFS(Billing_Fallout!H:H,Billing_Fallout!N:N,B192)),0)</f>
        <v/>
      </c>
      <c r="AA192" s="6" t="str">
        <f t="shared" si="38"/>
        <v/>
      </c>
      <c r="AB192" s="6" t="str">
        <f>IFERROR(IF(B192="","",SUMIFS(Billing_Fallout!J:J,Billing_Fallout!N:N,B192)),0)</f>
        <v/>
      </c>
      <c r="AD192" s="6" t="str">
        <f t="shared" si="39"/>
        <v/>
      </c>
      <c r="AF192" t="str">
        <f>IFERROR(INDEX(H_Tables!$B$1:$B$1500,MATCH(INDEX(SF_Output!$J$1:$J$400,MATCH(B192,SF_Output!$M$1:$M$400,0)),H_Tables!$A$1:$A$1500,0)),"")</f>
        <v/>
      </c>
      <c r="AI192" s="119" t="str">
        <f t="shared" si="40"/>
        <v/>
      </c>
      <c r="AJ192" s="121">
        <f>IFERROR(INDEX(SF_Output!AD:AD,MATCH(_xlfn.TEXTJOIN(",",TRUE,B192:E192),SF_Output!AC1:AC400,0)),0.05)</f>
        <v>241</v>
      </c>
      <c r="AK192" t="str">
        <f>IF(SUMIFS(SF_Output!$F$1:$F$400,SF_Output!$AC$1:$AC$400,_xlfn.TEXTJOIN(",",TRUE,B192:E192))+SUMIFS(SF_Output!$G$1:$G$400,SF_Output!$AC$1:$AC$400,_xlfn.TEXTJOIN(",",TRUE,B192:E192))=0,"","PAP")</f>
        <v/>
      </c>
      <c r="AQ192" s="35"/>
      <c r="AR192" s="35" t="str" cm="1">
        <f t="array" ref="AR192">IFERROR(_xlfn.IFS(AND(E192*1=1,F192="Included"),"Change to Included",AND(E192*1=0,F192="Optional"),"Change to Optional",OR(B192="",F192="replaced"),""),"")</f>
        <v/>
      </c>
      <c r="AS192" s="35" t="str">
        <f t="shared" si="41"/>
        <v/>
      </c>
      <c r="AT192" s="35" t="str">
        <f t="shared" si="42"/>
        <v/>
      </c>
      <c r="AU192" s="35" t="str">
        <f t="shared" si="43"/>
        <v/>
      </c>
      <c r="AV192" s="35" t="str">
        <f t="shared" si="44"/>
        <v/>
      </c>
      <c r="AW192" s="35" t="str">
        <f t="shared" si="45"/>
        <v/>
      </c>
      <c r="AX192" s="35" t="str">
        <f t="shared" si="46"/>
        <v/>
      </c>
      <c r="AY192" s="35" t="str">
        <f t="shared" si="47"/>
        <v/>
      </c>
      <c r="AZ192" s="35" t="str">
        <f t="shared" si="48"/>
        <v/>
      </c>
      <c r="BA192" s="35" t="str">
        <f t="shared" si="49"/>
        <v/>
      </c>
      <c r="BB192" s="35" t="str">
        <f t="shared" si="50"/>
        <v/>
      </c>
      <c r="BC192" s="35"/>
      <c r="BE192" s="35" t="e">
        <f>INDEX(SF_Output!$AA$2:$AA$400,MATCH($B192,SF_Output!$M$2:$M$400,0))</f>
        <v>#N/A</v>
      </c>
      <c r="BF192" s="35" t="e">
        <f>INDEX(SF_Output!$AB$2:$AB$400,MATCH($B192,SF_Output!$M$2:$M$400,0))</f>
        <v>#N/A</v>
      </c>
    </row>
    <row r="193" spans="6:58" x14ac:dyDescent="0.25">
      <c r="F193" s="116" t="str">
        <f t="shared" si="34"/>
        <v/>
      </c>
      <c r="G193" t="str">
        <f>IF(B193="","",INDEX(SF_Output!$K$1:$K$400,MATCH(B193,SF_Output!$M$1:$M$400,0)))</f>
        <v/>
      </c>
      <c r="H193" t="str" cm="1">
        <f t="array" ref="H193">_xlfn.IFS(B193="","",(SUMIFS(SF_Output!$F$1:$F$400,SF_Output!$AC$1:$AC$400,_xlfn.TEXTJOIN(",",TRUE,B193:E193))+SUMIFS(SF_Output!$G$1:$G$400,SF_Output!$AC$1:$AC$400,_xlfn.TEXTJOIN(",",TRUE,B193:E193)))&lt;&gt;0,SF_Output!$Y$2,INDEX(SF_Output!$F$1:$F$400,MATCH(_xlfn.TEXTJOIN(",",TRUE,B193:E193),SF_Output!$AC$1:$AC$400,0))=0,INDEX(SF_Output!$R$1:$R$400,MATCH(_xlfn.TEXTJOIN(",",TRUE,B193:E193),SF_Output!$AC$1:$AC$400,0)))</f>
        <v/>
      </c>
      <c r="I193" s="125" t="str">
        <f>IFERROR(IF(AND(H193&gt;1,H193&lt;&gt;""),ROUND(SUMIFS(SF_Output!$S$1:$S$400,SF_Output!$AC$1:$AC$400,_xlfn.TEXTJOIN(",",TRUE,B193:E193),SF_Output!$Q$1:$Q$400,"monthly")*(1-W193)/H193,4),""),"")</f>
        <v/>
      </c>
      <c r="J193" s="6" t="str">
        <f>IF(B193="","",SUMIFS(SF_Output!$S$1:$S$400,SF_Output!$AC$1:$AC$400,_xlfn.TEXTJOIN(",",TRUE,B193:E193),SF_Output!$Q$1:$Q$400,"One Time",SF_Output!$L$1:$L$400,"license fee")+SUMIFS(SF_Output!$S$1:$S$400,SF_Output!$AC$1:$AC$400,_xlfn.TEXTJOIN(",",TRUE,B193:E193),SF_Output!$Q$1:$Q$400,"One Time",SF_Output!$L$1:$L$400,"software license")+SUMIFS(SF_Output!$S$1:$S$400,SF_Output!$AC$1:$AC$400,_xlfn.TEXTJOIN(",",TRUE,B193:E193),SF_Output!$Q$1:$Q$400,"One Time",SF_Output!$L$1:$L$400,"hardware"))</f>
        <v/>
      </c>
      <c r="K193" s="112" t="str">
        <f>IF(OR(B193=0,B193="",G193="hardware",J193=0),"",IF(AF193&lt;&gt;"exclusion",MAX(K$9,-((SUMIFS(SF_Output!$T$1:$T$400,SF_Output!$AC$1:$AC$400,_xlfn.TEXTJOIN(",",TRUE,$B193:$E193),SF_Output!$Q$1:$Q$400,"One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license"))/J193)))</f>
        <v/>
      </c>
      <c r="L193" s="6" t="str">
        <f t="shared" si="35"/>
        <v/>
      </c>
      <c r="N193" s="6" t="str">
        <f>IF(B193="","",SUMIFS(SF_Output!$S$1:$S$400,SF_Output!$AC$1:$AC$400,_xlfn.TEXTJOIN(",",TRUE,B193:E193),SF_Output!$Q$1:$Q$400,"One Time",SF_Output!$L$1:$L$400,"professional service"))</f>
        <v/>
      </c>
      <c r="O193" s="112" t="str">
        <f>IF(OR(B193=0,B193="",N193=0),"",IF(AF193&lt;&gt;"exclusion",MAX(O$9,-(SUMIFS(SF_Output!$T$1:$T$400,SF_Output!$AC$1:$AC$400,_xlfn.TEXTJOIN(",",TRUE,$B193:$E193),SF_Output!$Q$1:$Q$400,"One Time",SF_Output!$L$1:$L$400,"professional service"))/N193),-((SUMIFS(SF_Output!$T$1:$T$400,SF_Output!$AC$1:$AC$400,_xlfn.TEXTJOIN(",",TRUE,$B193:$E193),SF_Output!$Q$1:$Q$400,"One Time",SF_Output!$L$1:$L$400,"professional service")/N193))))</f>
        <v/>
      </c>
      <c r="P193" s="6" t="str">
        <f t="shared" si="36"/>
        <v/>
      </c>
      <c r="R193" s="6" t="str">
        <f>IF(B193="","",SUMIFS(SF_Output!$S$1:$S$400,SF_Output!$AC$1:$AC$400,_xlfn.TEXTJOIN(",",TRUE,B193:E193),SF_Output!$Q$1:$Q$400,"yearly")+SUMIFS(SF_Output!$S$1:$S$400,SF_Output!$AC$1:$AC$400,_xlfn.TEXTJOIN(",",TRUE,B193:E193),SF_Output!$Q$1:$Q$400,"quarterly")*4)</f>
        <v/>
      </c>
      <c r="S193" s="112" t="str">
        <f>IF(OR(B193=0,B193="",G193="hardware",R193=0),"",IF(AF193&lt;&gt;"exclusion",MAX(S$9,-(SUMIFS(SF_Output!$T$1:$T$400,SF_Output!$AC$1:$AC$400,_xlfn.TEXTJOIN(",",TRUE,$B193:$E193),SF_Output!$Q$1:$Q$400,"yearly"))/R193),-((SUMIFS(SF_Output!$T$1:$T$400,SF_Output!$AC$1:$AC$400,_xlfn.TEXTJOIN(",",TRUE,$B193:$E193),SF_Output!$Q$1:$Q$400,"yearly")/R193))))</f>
        <v/>
      </c>
      <c r="T193" s="6" t="str">
        <f t="shared" si="37"/>
        <v/>
      </c>
      <c r="V193" s="6" t="str" cm="1">
        <f t="array" ref="V193">_xlfn.IFS(B193="","",AND(B193&lt;&gt;"",H193=SF_Output!$Y$2,SUMIFS(SF_Output!$T$1:$T$400,SF_Output!$AC$1:$AC$400,_xlfn.TEXTJOIN(",",TRUE,B193:E193),SF_Output!$Q$1:$Q$400,"monthly")=0),(SUMIFS(SF_Output!$F$1:$F$400,SF_Output!$AC$1:$AC$400,_xlfn.TEXTJOIN(",",TRUE,B193:E193),SF_Output!$Q$1:$Q$400,"monthly")+SUMIFS(SF_Output!$G$1:$G$400,SF_Output!$AC$1:$AC$400,_xlfn.TEXTJOIN(",",TRUE,B193:E193),SF_Output!$Q$1:$Q$400,"monthly"))*H193,AND(B193&lt;&gt;"",H193=SF_Output!$Y$2,SUMIFS(SF_Output!$T$1:$T$400,SF_Output!$AC$1:$AC$400,_xlfn.TEXTJOIN(",",TRUE,B193:E193),SF_Output!$Q$1:$Q$400,"monthly")&lt;&gt;0),SUMIFS(SF_Output!$S$1:$S$400,SF_Output!$AC$1:$AC$400,_xlfn.TEXTJOIN(",",TRUE,B193:E193),SF_Output!$Q$1:$Q$400,"monthly"),AND(B193&lt;&gt;"",H193&lt;&gt;SF_Output!$Y$2),SUMIFS(SF_Output!$S$1:$S$400,SF_Output!$AC$1:$AC$400,_xlfn.TEXTJOIN(",",TRUE,B193:E193),SF_Output!$Q$1:$Q$400,"monthly"))</f>
        <v/>
      </c>
      <c r="W193" s="112" t="str" cm="1">
        <f t="array" ref="W193">_xlfn.IFS(OR(B193=0,B193="",V193=0),"",AF193&lt;&gt;"exclusion",MAX($W$9,$W$7,(-(SUMIFS(SF_Output!$T$1:$T$400,SF_Output!$AC$1:$AC$400,_xlfn.TEXTJOIN(",",TRUE,$B193:$E193),SF_Output!$Q$1:$Q$400,"monthly"))/V193)),AF193="exclusion",-(SUMIFS(SF_Output!$T$1:$T$400,SF_Output!$AC$1:$AC$400,_xlfn.TEXTJOIN(",",TRUE,$B193:$E193),SF_Output!$Q$1:$Q$400,"monthly"))/V193)</f>
        <v/>
      </c>
      <c r="X193" s="6" t="str" cm="1">
        <f t="array" ref="X193">IFERROR(_xlfn.IFS(V193=0,0,V193="","",W193=0,V193,OR(V193&lt;&gt;0,V193&lt;&gt;""),H193*I193),V193*(1-W193))</f>
        <v/>
      </c>
      <c r="Z193" s="6" t="str">
        <f>IFERROR(IF(B193="","",SUMIFS(Billing_Fallout!H:H,Billing_Fallout!N:N,B193)),0)</f>
        <v/>
      </c>
      <c r="AA193" s="6" t="str">
        <f t="shared" si="38"/>
        <v/>
      </c>
      <c r="AB193" s="6" t="str">
        <f>IFERROR(IF(B193="","",SUMIFS(Billing_Fallout!J:J,Billing_Fallout!N:N,B193)),0)</f>
        <v/>
      </c>
      <c r="AD193" s="6" t="str">
        <f t="shared" si="39"/>
        <v/>
      </c>
      <c r="AF193" t="str">
        <f>IFERROR(INDEX(H_Tables!$B$1:$B$1500,MATCH(INDEX(SF_Output!$J$1:$J$400,MATCH(B193,SF_Output!$M$1:$M$400,0)),H_Tables!$A$1:$A$1500,0)),"")</f>
        <v/>
      </c>
      <c r="AI193" s="119" t="str">
        <f t="shared" si="40"/>
        <v/>
      </c>
      <c r="AJ193" s="121">
        <f>IFERROR(INDEX(SF_Output!AD:AD,MATCH(_xlfn.TEXTJOIN(",",TRUE,B193:E193),SF_Output!AC1:AC400,0)),0.05)</f>
        <v>241</v>
      </c>
      <c r="AK193" t="str">
        <f>IF(SUMIFS(SF_Output!$F$1:$F$400,SF_Output!$AC$1:$AC$400,_xlfn.TEXTJOIN(",",TRUE,B193:E193))+SUMIFS(SF_Output!$G$1:$G$400,SF_Output!$AC$1:$AC$400,_xlfn.TEXTJOIN(",",TRUE,B193:E193))=0,"","PAP")</f>
        <v/>
      </c>
      <c r="AQ193" s="35"/>
      <c r="AR193" s="35" t="str" cm="1">
        <f t="array" ref="AR193">IFERROR(_xlfn.IFS(AND(E193*1=1,F193="Included"),"Change to Included",AND(E193*1=0,F193="Optional"),"Change to Optional",OR(B193="",F193="replaced"),""),"")</f>
        <v/>
      </c>
      <c r="AS193" s="35" t="str">
        <f t="shared" si="41"/>
        <v/>
      </c>
      <c r="AT193" s="35" t="str">
        <f t="shared" si="42"/>
        <v/>
      </c>
      <c r="AU193" s="35" t="str">
        <f t="shared" si="43"/>
        <v/>
      </c>
      <c r="AV193" s="35" t="str">
        <f t="shared" si="44"/>
        <v/>
      </c>
      <c r="AW193" s="35" t="str">
        <f t="shared" si="45"/>
        <v/>
      </c>
      <c r="AX193" s="35" t="str">
        <f t="shared" si="46"/>
        <v/>
      </c>
      <c r="AY193" s="35" t="str">
        <f t="shared" si="47"/>
        <v/>
      </c>
      <c r="AZ193" s="35" t="str">
        <f t="shared" si="48"/>
        <v/>
      </c>
      <c r="BA193" s="35" t="str">
        <f t="shared" si="49"/>
        <v/>
      </c>
      <c r="BB193" s="35" t="str">
        <f t="shared" si="50"/>
        <v/>
      </c>
      <c r="BC193" s="35"/>
      <c r="BE193" s="35" t="e">
        <f>INDEX(SF_Output!$AA$2:$AA$400,MATCH($B193,SF_Output!$M$2:$M$400,0))</f>
        <v>#N/A</v>
      </c>
      <c r="BF193" s="35" t="e">
        <f>INDEX(SF_Output!$AB$2:$AB$400,MATCH($B193,SF_Output!$M$2:$M$400,0))</f>
        <v>#N/A</v>
      </c>
    </row>
    <row r="194" spans="6:58" x14ac:dyDescent="0.25">
      <c r="F194" s="116" t="str">
        <f t="shared" si="34"/>
        <v/>
      </c>
      <c r="G194" t="str">
        <f>IF(B194="","",INDEX(SF_Output!$K$1:$K$400,MATCH(B194,SF_Output!$M$1:$M$400,0)))</f>
        <v/>
      </c>
      <c r="H194" t="str" cm="1">
        <f t="array" ref="H194">_xlfn.IFS(B194="","",(SUMIFS(SF_Output!$F$1:$F$400,SF_Output!$AC$1:$AC$400,_xlfn.TEXTJOIN(",",TRUE,B194:E194))+SUMIFS(SF_Output!$G$1:$G$400,SF_Output!$AC$1:$AC$400,_xlfn.TEXTJOIN(",",TRUE,B194:E194)))&lt;&gt;0,SF_Output!$Y$2,INDEX(SF_Output!$F$1:$F$400,MATCH(_xlfn.TEXTJOIN(",",TRUE,B194:E194),SF_Output!$AC$1:$AC$400,0))=0,INDEX(SF_Output!$R$1:$R$400,MATCH(_xlfn.TEXTJOIN(",",TRUE,B194:E194),SF_Output!$AC$1:$AC$400,0)))</f>
        <v/>
      </c>
      <c r="I194" s="125" t="str">
        <f>IFERROR(IF(AND(H194&gt;1,H194&lt;&gt;""),ROUND(SUMIFS(SF_Output!$S$1:$S$400,SF_Output!$AC$1:$AC$400,_xlfn.TEXTJOIN(",",TRUE,B194:E194),SF_Output!$Q$1:$Q$400,"monthly")*(1-W194)/H194,4),""),"")</f>
        <v/>
      </c>
      <c r="J194" s="6" t="str">
        <f>IF(B194="","",SUMIFS(SF_Output!$S$1:$S$400,SF_Output!$AC$1:$AC$400,_xlfn.TEXTJOIN(",",TRUE,B194:E194),SF_Output!$Q$1:$Q$400,"One Time",SF_Output!$L$1:$L$400,"license fee")+SUMIFS(SF_Output!$S$1:$S$400,SF_Output!$AC$1:$AC$400,_xlfn.TEXTJOIN(",",TRUE,B194:E194),SF_Output!$Q$1:$Q$400,"One Time",SF_Output!$L$1:$L$400,"software license")+SUMIFS(SF_Output!$S$1:$S$400,SF_Output!$AC$1:$AC$400,_xlfn.TEXTJOIN(",",TRUE,B194:E194),SF_Output!$Q$1:$Q$400,"One Time",SF_Output!$L$1:$L$400,"hardware"))</f>
        <v/>
      </c>
      <c r="K194" s="112" t="str">
        <f>IF(OR(B194=0,B194="",G194="hardware",J194=0),"",IF(AF194&lt;&gt;"exclusion",MAX(K$9,-((SUMIFS(SF_Output!$T$1:$T$400,SF_Output!$AC$1:$AC$400,_xlfn.TEXTJOIN(",",TRUE,$B194:$E194),SF_Output!$Q$1:$Q$400,"One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license"))/J194)))</f>
        <v/>
      </c>
      <c r="L194" s="6" t="str">
        <f t="shared" si="35"/>
        <v/>
      </c>
      <c r="N194" s="6" t="str">
        <f>IF(B194="","",SUMIFS(SF_Output!$S$1:$S$400,SF_Output!$AC$1:$AC$400,_xlfn.TEXTJOIN(",",TRUE,B194:E194),SF_Output!$Q$1:$Q$400,"One Time",SF_Output!$L$1:$L$400,"professional service"))</f>
        <v/>
      </c>
      <c r="O194" s="112" t="str">
        <f>IF(OR(B194=0,B194="",N194=0),"",IF(AF194&lt;&gt;"exclusion",MAX(O$9,-(SUMIFS(SF_Output!$T$1:$T$400,SF_Output!$AC$1:$AC$400,_xlfn.TEXTJOIN(",",TRUE,$B194:$E194),SF_Output!$Q$1:$Q$400,"One Time",SF_Output!$L$1:$L$400,"professional service"))/N194),-((SUMIFS(SF_Output!$T$1:$T$400,SF_Output!$AC$1:$AC$400,_xlfn.TEXTJOIN(",",TRUE,$B194:$E194),SF_Output!$Q$1:$Q$400,"One Time",SF_Output!$L$1:$L$400,"professional service")/N194))))</f>
        <v/>
      </c>
      <c r="P194" s="6" t="str">
        <f t="shared" si="36"/>
        <v/>
      </c>
      <c r="R194" s="6" t="str">
        <f>IF(B194="","",SUMIFS(SF_Output!$S$1:$S$400,SF_Output!$AC$1:$AC$400,_xlfn.TEXTJOIN(",",TRUE,B194:E194),SF_Output!$Q$1:$Q$400,"yearly")+SUMIFS(SF_Output!$S$1:$S$400,SF_Output!$AC$1:$AC$400,_xlfn.TEXTJOIN(",",TRUE,B194:E194),SF_Output!$Q$1:$Q$400,"quarterly")*4)</f>
        <v/>
      </c>
      <c r="S194" s="112" t="str">
        <f>IF(OR(B194=0,B194="",G194="hardware",R194=0),"",IF(AF194&lt;&gt;"exclusion",MAX(S$9,-(SUMIFS(SF_Output!$T$1:$T$400,SF_Output!$AC$1:$AC$400,_xlfn.TEXTJOIN(",",TRUE,$B194:$E194),SF_Output!$Q$1:$Q$400,"yearly"))/R194),-((SUMIFS(SF_Output!$T$1:$T$400,SF_Output!$AC$1:$AC$400,_xlfn.TEXTJOIN(",",TRUE,$B194:$E194),SF_Output!$Q$1:$Q$400,"yearly")/R194))))</f>
        <v/>
      </c>
      <c r="T194" s="6" t="str">
        <f t="shared" si="37"/>
        <v/>
      </c>
      <c r="V194" s="6" t="str" cm="1">
        <f t="array" ref="V194">_xlfn.IFS(B194="","",AND(B194&lt;&gt;"",H194=SF_Output!$Y$2,SUMIFS(SF_Output!$T$1:$T$400,SF_Output!$AC$1:$AC$400,_xlfn.TEXTJOIN(",",TRUE,B194:E194),SF_Output!$Q$1:$Q$400,"monthly")=0),(SUMIFS(SF_Output!$F$1:$F$400,SF_Output!$AC$1:$AC$400,_xlfn.TEXTJOIN(",",TRUE,B194:E194),SF_Output!$Q$1:$Q$400,"monthly")+SUMIFS(SF_Output!$G$1:$G$400,SF_Output!$AC$1:$AC$400,_xlfn.TEXTJOIN(",",TRUE,B194:E194),SF_Output!$Q$1:$Q$400,"monthly"))*H194,AND(B194&lt;&gt;"",H194=SF_Output!$Y$2,SUMIFS(SF_Output!$T$1:$T$400,SF_Output!$AC$1:$AC$400,_xlfn.TEXTJOIN(",",TRUE,B194:E194),SF_Output!$Q$1:$Q$400,"monthly")&lt;&gt;0),SUMIFS(SF_Output!$S$1:$S$400,SF_Output!$AC$1:$AC$400,_xlfn.TEXTJOIN(",",TRUE,B194:E194),SF_Output!$Q$1:$Q$400,"monthly"),AND(B194&lt;&gt;"",H194&lt;&gt;SF_Output!$Y$2),SUMIFS(SF_Output!$S$1:$S$400,SF_Output!$AC$1:$AC$400,_xlfn.TEXTJOIN(",",TRUE,B194:E194),SF_Output!$Q$1:$Q$400,"monthly"))</f>
        <v/>
      </c>
      <c r="W194" s="112" t="str" cm="1">
        <f t="array" ref="W194">_xlfn.IFS(OR(B194=0,B194="",V194=0),"",AF194&lt;&gt;"exclusion",MAX($W$9,$W$7,(-(SUMIFS(SF_Output!$T$1:$T$400,SF_Output!$AC$1:$AC$400,_xlfn.TEXTJOIN(",",TRUE,$B194:$E194),SF_Output!$Q$1:$Q$400,"monthly"))/V194)),AF194="exclusion",-(SUMIFS(SF_Output!$T$1:$T$400,SF_Output!$AC$1:$AC$400,_xlfn.TEXTJOIN(",",TRUE,$B194:$E194),SF_Output!$Q$1:$Q$400,"monthly"))/V194)</f>
        <v/>
      </c>
      <c r="X194" s="6" t="str" cm="1">
        <f t="array" ref="X194">IFERROR(_xlfn.IFS(V194=0,0,V194="","",W194=0,V194,OR(V194&lt;&gt;0,V194&lt;&gt;""),H194*I194),V194*(1-W194))</f>
        <v/>
      </c>
      <c r="Z194" s="6" t="str">
        <f>IFERROR(IF(B194="","",SUMIFS(Billing_Fallout!H:H,Billing_Fallout!N:N,B194)),0)</f>
        <v/>
      </c>
      <c r="AA194" s="6" t="str">
        <f t="shared" si="38"/>
        <v/>
      </c>
      <c r="AB194" s="6" t="str">
        <f>IFERROR(IF(B194="","",SUMIFS(Billing_Fallout!J:J,Billing_Fallout!N:N,B194)),0)</f>
        <v/>
      </c>
      <c r="AD194" s="6" t="str">
        <f t="shared" si="39"/>
        <v/>
      </c>
      <c r="AF194" t="str">
        <f>IFERROR(INDEX(H_Tables!$B$1:$B$1500,MATCH(INDEX(SF_Output!$J$1:$J$400,MATCH(B194,SF_Output!$M$1:$M$400,0)),H_Tables!$A$1:$A$1500,0)),"")</f>
        <v/>
      </c>
      <c r="AI194" s="119" t="str">
        <f t="shared" si="40"/>
        <v/>
      </c>
      <c r="AJ194" s="121">
        <f>IFERROR(INDEX(SF_Output!AD:AD,MATCH(_xlfn.TEXTJOIN(",",TRUE,B194:E194),SF_Output!AC1:AC400,0)),0.05)</f>
        <v>241</v>
      </c>
      <c r="AK194" t="str">
        <f>IF(SUMIFS(SF_Output!$F$1:$F$400,SF_Output!$AC$1:$AC$400,_xlfn.TEXTJOIN(",",TRUE,B194:E194))+SUMIFS(SF_Output!$G$1:$G$400,SF_Output!$AC$1:$AC$400,_xlfn.TEXTJOIN(",",TRUE,B194:E194))=0,"","PAP")</f>
        <v/>
      </c>
      <c r="AQ194" s="35"/>
      <c r="AR194" s="35" t="str" cm="1">
        <f t="array" ref="AR194">IFERROR(_xlfn.IFS(AND(E194*1=1,F194="Included"),"Change to Included",AND(E194*1=0,F194="Optional"),"Change to Optional",OR(B194="",F194="replaced"),""),"")</f>
        <v/>
      </c>
      <c r="AS194" s="35" t="str">
        <f t="shared" si="41"/>
        <v/>
      </c>
      <c r="AT194" s="35" t="str">
        <f t="shared" si="42"/>
        <v/>
      </c>
      <c r="AU194" s="35" t="str">
        <f t="shared" si="43"/>
        <v/>
      </c>
      <c r="AV194" s="35" t="str">
        <f t="shared" si="44"/>
        <v/>
      </c>
      <c r="AW194" s="35" t="str">
        <f t="shared" si="45"/>
        <v/>
      </c>
      <c r="AX194" s="35" t="str">
        <f t="shared" si="46"/>
        <v/>
      </c>
      <c r="AY194" s="35" t="str">
        <f t="shared" si="47"/>
        <v/>
      </c>
      <c r="AZ194" s="35" t="str">
        <f t="shared" si="48"/>
        <v/>
      </c>
      <c r="BA194" s="35" t="str">
        <f t="shared" si="49"/>
        <v/>
      </c>
      <c r="BB194" s="35" t="str">
        <f t="shared" si="50"/>
        <v/>
      </c>
      <c r="BC194" s="35"/>
      <c r="BE194" s="35" t="e">
        <f>INDEX(SF_Output!$AA$2:$AA$400,MATCH($B194,SF_Output!$M$2:$M$400,0))</f>
        <v>#N/A</v>
      </c>
      <c r="BF194" s="35" t="e">
        <f>INDEX(SF_Output!$AB$2:$AB$400,MATCH($B194,SF_Output!$M$2:$M$400,0))</f>
        <v>#N/A</v>
      </c>
    </row>
    <row r="195" spans="6:58" x14ac:dyDescent="0.25">
      <c r="F195" s="116" t="str">
        <f t="shared" si="34"/>
        <v/>
      </c>
      <c r="G195" t="str">
        <f>IF(B195="","",INDEX(SF_Output!$K$1:$K$400,MATCH(B195,SF_Output!$M$1:$M$400,0)))</f>
        <v/>
      </c>
      <c r="H195" t="str" cm="1">
        <f t="array" ref="H195">_xlfn.IFS(B195="","",(SUMIFS(SF_Output!$F$1:$F$400,SF_Output!$AC$1:$AC$400,_xlfn.TEXTJOIN(",",TRUE,B195:E195))+SUMIFS(SF_Output!$G$1:$G$400,SF_Output!$AC$1:$AC$400,_xlfn.TEXTJOIN(",",TRUE,B195:E195)))&lt;&gt;0,SF_Output!$Y$2,INDEX(SF_Output!$F$1:$F$400,MATCH(_xlfn.TEXTJOIN(",",TRUE,B195:E195),SF_Output!$AC$1:$AC$400,0))=0,INDEX(SF_Output!$R$1:$R$400,MATCH(_xlfn.TEXTJOIN(",",TRUE,B195:E195),SF_Output!$AC$1:$AC$400,0)))</f>
        <v/>
      </c>
      <c r="I195" s="125" t="str">
        <f>IFERROR(IF(AND(H195&gt;1,H195&lt;&gt;""),ROUND(SUMIFS(SF_Output!$S$1:$S$400,SF_Output!$AC$1:$AC$400,_xlfn.TEXTJOIN(",",TRUE,B195:E195),SF_Output!$Q$1:$Q$400,"monthly")*(1-W195)/H195,4),""),"")</f>
        <v/>
      </c>
      <c r="J195" s="6" t="str">
        <f>IF(B195="","",SUMIFS(SF_Output!$S$1:$S$400,SF_Output!$AC$1:$AC$400,_xlfn.TEXTJOIN(",",TRUE,B195:E195),SF_Output!$Q$1:$Q$400,"One Time",SF_Output!$L$1:$L$400,"license fee")+SUMIFS(SF_Output!$S$1:$S$400,SF_Output!$AC$1:$AC$400,_xlfn.TEXTJOIN(",",TRUE,B195:E195),SF_Output!$Q$1:$Q$400,"One Time",SF_Output!$L$1:$L$400,"software license")+SUMIFS(SF_Output!$S$1:$S$400,SF_Output!$AC$1:$AC$400,_xlfn.TEXTJOIN(",",TRUE,B195:E195),SF_Output!$Q$1:$Q$400,"One Time",SF_Output!$L$1:$L$400,"hardware"))</f>
        <v/>
      </c>
      <c r="K195" s="112" t="str">
        <f>IF(OR(B195=0,B195="",G195="hardware",J195=0),"",IF(AF195&lt;&gt;"exclusion",MAX(K$9,-((SUMIFS(SF_Output!$T$1:$T$400,SF_Output!$AC$1:$AC$400,_xlfn.TEXTJOIN(",",TRUE,$B195:$E195),SF_Output!$Q$1:$Q$400,"One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license"))/J195)))</f>
        <v/>
      </c>
      <c r="L195" s="6" t="str">
        <f t="shared" si="35"/>
        <v/>
      </c>
      <c r="N195" s="6" t="str">
        <f>IF(B195="","",SUMIFS(SF_Output!$S$1:$S$400,SF_Output!$AC$1:$AC$400,_xlfn.TEXTJOIN(",",TRUE,B195:E195),SF_Output!$Q$1:$Q$400,"One Time",SF_Output!$L$1:$L$400,"professional service"))</f>
        <v/>
      </c>
      <c r="O195" s="112" t="str">
        <f>IF(OR(B195=0,B195="",N195=0),"",IF(AF195&lt;&gt;"exclusion",MAX(O$9,-(SUMIFS(SF_Output!$T$1:$T$400,SF_Output!$AC$1:$AC$400,_xlfn.TEXTJOIN(",",TRUE,$B195:$E195),SF_Output!$Q$1:$Q$400,"One Time",SF_Output!$L$1:$L$400,"professional service"))/N195),-((SUMIFS(SF_Output!$T$1:$T$400,SF_Output!$AC$1:$AC$400,_xlfn.TEXTJOIN(",",TRUE,$B195:$E195),SF_Output!$Q$1:$Q$400,"One Time",SF_Output!$L$1:$L$400,"professional service")/N195))))</f>
        <v/>
      </c>
      <c r="P195" s="6" t="str">
        <f t="shared" si="36"/>
        <v/>
      </c>
      <c r="R195" s="6" t="str">
        <f>IF(B195="","",SUMIFS(SF_Output!$S$1:$S$400,SF_Output!$AC$1:$AC$400,_xlfn.TEXTJOIN(",",TRUE,B195:E195),SF_Output!$Q$1:$Q$400,"yearly")+SUMIFS(SF_Output!$S$1:$S$400,SF_Output!$AC$1:$AC$400,_xlfn.TEXTJOIN(",",TRUE,B195:E195),SF_Output!$Q$1:$Q$400,"quarterly")*4)</f>
        <v/>
      </c>
      <c r="S195" s="112" t="str">
        <f>IF(OR(B195=0,B195="",G195="hardware",R195=0),"",IF(AF195&lt;&gt;"exclusion",MAX(S$9,-(SUMIFS(SF_Output!$T$1:$T$400,SF_Output!$AC$1:$AC$400,_xlfn.TEXTJOIN(",",TRUE,$B195:$E195),SF_Output!$Q$1:$Q$400,"yearly"))/R195),-((SUMIFS(SF_Output!$T$1:$T$400,SF_Output!$AC$1:$AC$400,_xlfn.TEXTJOIN(",",TRUE,$B195:$E195),SF_Output!$Q$1:$Q$400,"yearly")/R195))))</f>
        <v/>
      </c>
      <c r="T195" s="6" t="str">
        <f t="shared" si="37"/>
        <v/>
      </c>
      <c r="V195" s="6" t="str" cm="1">
        <f t="array" ref="V195">_xlfn.IFS(B195="","",AND(B195&lt;&gt;"",H195=SF_Output!$Y$2,SUMIFS(SF_Output!$T$1:$T$400,SF_Output!$AC$1:$AC$400,_xlfn.TEXTJOIN(",",TRUE,B195:E195),SF_Output!$Q$1:$Q$400,"monthly")=0),(SUMIFS(SF_Output!$F$1:$F$400,SF_Output!$AC$1:$AC$400,_xlfn.TEXTJOIN(",",TRUE,B195:E195),SF_Output!$Q$1:$Q$400,"monthly")+SUMIFS(SF_Output!$G$1:$G$400,SF_Output!$AC$1:$AC$400,_xlfn.TEXTJOIN(",",TRUE,B195:E195),SF_Output!$Q$1:$Q$400,"monthly"))*H195,AND(B195&lt;&gt;"",H195=SF_Output!$Y$2,SUMIFS(SF_Output!$T$1:$T$400,SF_Output!$AC$1:$AC$400,_xlfn.TEXTJOIN(",",TRUE,B195:E195),SF_Output!$Q$1:$Q$400,"monthly")&lt;&gt;0),SUMIFS(SF_Output!$S$1:$S$400,SF_Output!$AC$1:$AC$400,_xlfn.TEXTJOIN(",",TRUE,B195:E195),SF_Output!$Q$1:$Q$400,"monthly"),AND(B195&lt;&gt;"",H195&lt;&gt;SF_Output!$Y$2),SUMIFS(SF_Output!$S$1:$S$400,SF_Output!$AC$1:$AC$400,_xlfn.TEXTJOIN(",",TRUE,B195:E195),SF_Output!$Q$1:$Q$400,"monthly"))</f>
        <v/>
      </c>
      <c r="W195" s="112" t="str" cm="1">
        <f t="array" ref="W195">_xlfn.IFS(OR(B195=0,B195="",V195=0),"",AF195&lt;&gt;"exclusion",MAX($W$9,$W$7,(-(SUMIFS(SF_Output!$T$1:$T$400,SF_Output!$AC$1:$AC$400,_xlfn.TEXTJOIN(",",TRUE,$B195:$E195),SF_Output!$Q$1:$Q$400,"monthly"))/V195)),AF195="exclusion",-(SUMIFS(SF_Output!$T$1:$T$400,SF_Output!$AC$1:$AC$400,_xlfn.TEXTJOIN(",",TRUE,$B195:$E195),SF_Output!$Q$1:$Q$400,"monthly"))/V195)</f>
        <v/>
      </c>
      <c r="X195" s="6" t="str" cm="1">
        <f t="array" ref="X195">IFERROR(_xlfn.IFS(V195=0,0,V195="","",W195=0,V195,OR(V195&lt;&gt;0,V195&lt;&gt;""),H195*I195),V195*(1-W195))</f>
        <v/>
      </c>
      <c r="Z195" s="6" t="str">
        <f>IFERROR(IF(B195="","",SUMIFS(Billing_Fallout!H:H,Billing_Fallout!N:N,B195)),0)</f>
        <v/>
      </c>
      <c r="AA195" s="6" t="str">
        <f t="shared" si="38"/>
        <v/>
      </c>
      <c r="AB195" s="6" t="str">
        <f>IFERROR(IF(B195="","",SUMIFS(Billing_Fallout!J:J,Billing_Fallout!N:N,B195)),0)</f>
        <v/>
      </c>
      <c r="AD195" s="6" t="str">
        <f t="shared" si="39"/>
        <v/>
      </c>
      <c r="AF195" t="str">
        <f>IFERROR(INDEX(H_Tables!$B$1:$B$1500,MATCH(INDEX(SF_Output!$J$1:$J$400,MATCH(B195,SF_Output!$M$1:$M$400,0)),H_Tables!$A$1:$A$1500,0)),"")</f>
        <v/>
      </c>
      <c r="AI195" s="119" t="str">
        <f t="shared" si="40"/>
        <v/>
      </c>
      <c r="AJ195" s="121">
        <f>IFERROR(INDEX(SF_Output!AD:AD,MATCH(_xlfn.TEXTJOIN(",",TRUE,B195:E195),SF_Output!AC1:AC400,0)),0.05)</f>
        <v>241</v>
      </c>
      <c r="AK195" t="str">
        <f>IF(SUMIFS(SF_Output!$F$1:$F$400,SF_Output!$AC$1:$AC$400,_xlfn.TEXTJOIN(",",TRUE,B195:E195))+SUMIFS(SF_Output!$G$1:$G$400,SF_Output!$AC$1:$AC$400,_xlfn.TEXTJOIN(",",TRUE,B195:E195))=0,"","PAP")</f>
        <v/>
      </c>
      <c r="AQ195" s="35"/>
      <c r="AR195" s="35" t="str" cm="1">
        <f t="array" ref="AR195">IFERROR(_xlfn.IFS(AND(E195*1=1,F195="Included"),"Change to Included",AND(E195*1=0,F195="Optional"),"Change to Optional",OR(B195="",F195="replaced"),""),"")</f>
        <v/>
      </c>
      <c r="AS195" s="35" t="str">
        <f t="shared" si="41"/>
        <v/>
      </c>
      <c r="AT195" s="35" t="str">
        <f t="shared" si="42"/>
        <v/>
      </c>
      <c r="AU195" s="35" t="str">
        <f t="shared" si="43"/>
        <v/>
      </c>
      <c r="AV195" s="35" t="str">
        <f t="shared" si="44"/>
        <v/>
      </c>
      <c r="AW195" s="35" t="str">
        <f t="shared" si="45"/>
        <v/>
      </c>
      <c r="AX195" s="35" t="str">
        <f t="shared" si="46"/>
        <v/>
      </c>
      <c r="AY195" s="35" t="str">
        <f t="shared" si="47"/>
        <v/>
      </c>
      <c r="AZ195" s="35" t="str">
        <f t="shared" si="48"/>
        <v/>
      </c>
      <c r="BA195" s="35" t="str">
        <f t="shared" si="49"/>
        <v/>
      </c>
      <c r="BB195" s="35" t="str">
        <f t="shared" si="50"/>
        <v/>
      </c>
      <c r="BC195" s="35"/>
      <c r="BE195" s="35" t="e">
        <f>INDEX(SF_Output!$AA$2:$AA$400,MATCH($B195,SF_Output!$M$2:$M$400,0))</f>
        <v>#N/A</v>
      </c>
      <c r="BF195" s="35" t="e">
        <f>INDEX(SF_Output!$AB$2:$AB$400,MATCH($B195,SF_Output!$M$2:$M$400,0))</f>
        <v>#N/A</v>
      </c>
    </row>
    <row r="196" spans="6:58" x14ac:dyDescent="0.25">
      <c r="F196" s="116" t="str">
        <f t="shared" si="34"/>
        <v/>
      </c>
      <c r="G196" t="str">
        <f>IF(B196="","",INDEX(SF_Output!$K$1:$K$400,MATCH(B196,SF_Output!$M$1:$M$400,0)))</f>
        <v/>
      </c>
      <c r="H196" t="str" cm="1">
        <f t="array" ref="H196">_xlfn.IFS(B196="","",(SUMIFS(SF_Output!$F$1:$F$400,SF_Output!$AC$1:$AC$400,_xlfn.TEXTJOIN(",",TRUE,B196:E196))+SUMIFS(SF_Output!$G$1:$G$400,SF_Output!$AC$1:$AC$400,_xlfn.TEXTJOIN(",",TRUE,B196:E196)))&lt;&gt;0,SF_Output!$Y$2,INDEX(SF_Output!$F$1:$F$400,MATCH(_xlfn.TEXTJOIN(",",TRUE,B196:E196),SF_Output!$AC$1:$AC$400,0))=0,INDEX(SF_Output!$R$1:$R$400,MATCH(_xlfn.TEXTJOIN(",",TRUE,B196:E196),SF_Output!$AC$1:$AC$400,0)))</f>
        <v/>
      </c>
      <c r="I196" s="125" t="str">
        <f>IFERROR(IF(AND(H196&gt;1,H196&lt;&gt;""),ROUND(SUMIFS(SF_Output!$S$1:$S$400,SF_Output!$AC$1:$AC$400,_xlfn.TEXTJOIN(",",TRUE,B196:E196),SF_Output!$Q$1:$Q$400,"monthly")*(1-W196)/H196,4),""),"")</f>
        <v/>
      </c>
      <c r="J196" s="6" t="str">
        <f>IF(B196="","",SUMIFS(SF_Output!$S$1:$S$400,SF_Output!$AC$1:$AC$400,_xlfn.TEXTJOIN(",",TRUE,B196:E196),SF_Output!$Q$1:$Q$400,"One Time",SF_Output!$L$1:$L$400,"license fee")+SUMIFS(SF_Output!$S$1:$S$400,SF_Output!$AC$1:$AC$400,_xlfn.TEXTJOIN(",",TRUE,B196:E196),SF_Output!$Q$1:$Q$400,"One Time",SF_Output!$L$1:$L$400,"software license")+SUMIFS(SF_Output!$S$1:$S$400,SF_Output!$AC$1:$AC$400,_xlfn.TEXTJOIN(",",TRUE,B196:E196),SF_Output!$Q$1:$Q$400,"One Time",SF_Output!$L$1:$L$400,"hardware"))</f>
        <v/>
      </c>
      <c r="K196" s="112" t="str">
        <f>IF(OR(B196=0,B196="",G196="hardware",J196=0),"",IF(AF196&lt;&gt;"exclusion",MAX(K$9,-((SUMIFS(SF_Output!$T$1:$T$400,SF_Output!$AC$1:$AC$400,_xlfn.TEXTJOIN(",",TRUE,$B196:$E196),SF_Output!$Q$1:$Q$400,"One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license"))/J196)))</f>
        <v/>
      </c>
      <c r="L196" s="6" t="str">
        <f t="shared" si="35"/>
        <v/>
      </c>
      <c r="N196" s="6" t="str">
        <f>IF(B196="","",SUMIFS(SF_Output!$S$1:$S$400,SF_Output!$AC$1:$AC$400,_xlfn.TEXTJOIN(",",TRUE,B196:E196),SF_Output!$Q$1:$Q$400,"One Time",SF_Output!$L$1:$L$400,"professional service"))</f>
        <v/>
      </c>
      <c r="O196" s="112" t="str">
        <f>IF(OR(B196=0,B196="",N196=0),"",IF(AF196&lt;&gt;"exclusion",MAX(O$9,-(SUMIFS(SF_Output!$T$1:$T$400,SF_Output!$AC$1:$AC$400,_xlfn.TEXTJOIN(",",TRUE,$B196:$E196),SF_Output!$Q$1:$Q$400,"One Time",SF_Output!$L$1:$L$400,"professional service"))/N196),-((SUMIFS(SF_Output!$T$1:$T$400,SF_Output!$AC$1:$AC$400,_xlfn.TEXTJOIN(",",TRUE,$B196:$E196),SF_Output!$Q$1:$Q$400,"One Time",SF_Output!$L$1:$L$400,"professional service")/N196))))</f>
        <v/>
      </c>
      <c r="P196" s="6" t="str">
        <f t="shared" si="36"/>
        <v/>
      </c>
      <c r="R196" s="6" t="str">
        <f>IF(B196="","",SUMIFS(SF_Output!$S$1:$S$400,SF_Output!$AC$1:$AC$400,_xlfn.TEXTJOIN(",",TRUE,B196:E196),SF_Output!$Q$1:$Q$400,"yearly")+SUMIFS(SF_Output!$S$1:$S$400,SF_Output!$AC$1:$AC$400,_xlfn.TEXTJOIN(",",TRUE,B196:E196),SF_Output!$Q$1:$Q$400,"quarterly")*4)</f>
        <v/>
      </c>
      <c r="S196" s="112" t="str">
        <f>IF(OR(B196=0,B196="",G196="hardware",R196=0),"",IF(AF196&lt;&gt;"exclusion",MAX(S$9,-(SUMIFS(SF_Output!$T$1:$T$400,SF_Output!$AC$1:$AC$400,_xlfn.TEXTJOIN(",",TRUE,$B196:$E196),SF_Output!$Q$1:$Q$400,"yearly"))/R196),-((SUMIFS(SF_Output!$T$1:$T$400,SF_Output!$AC$1:$AC$400,_xlfn.TEXTJOIN(",",TRUE,$B196:$E196),SF_Output!$Q$1:$Q$400,"yearly")/R196))))</f>
        <v/>
      </c>
      <c r="T196" s="6" t="str">
        <f t="shared" si="37"/>
        <v/>
      </c>
      <c r="V196" s="6" t="str" cm="1">
        <f t="array" ref="V196">_xlfn.IFS(B196="","",AND(B196&lt;&gt;"",H196=SF_Output!$Y$2,SUMIFS(SF_Output!$T$1:$T$400,SF_Output!$AC$1:$AC$400,_xlfn.TEXTJOIN(",",TRUE,B196:E196),SF_Output!$Q$1:$Q$400,"monthly")=0),(SUMIFS(SF_Output!$F$1:$F$400,SF_Output!$AC$1:$AC$400,_xlfn.TEXTJOIN(",",TRUE,B196:E196),SF_Output!$Q$1:$Q$400,"monthly")+SUMIFS(SF_Output!$G$1:$G$400,SF_Output!$AC$1:$AC$400,_xlfn.TEXTJOIN(",",TRUE,B196:E196),SF_Output!$Q$1:$Q$400,"monthly"))*H196,AND(B196&lt;&gt;"",H196=SF_Output!$Y$2,SUMIFS(SF_Output!$T$1:$T$400,SF_Output!$AC$1:$AC$400,_xlfn.TEXTJOIN(",",TRUE,B196:E196),SF_Output!$Q$1:$Q$400,"monthly")&lt;&gt;0),SUMIFS(SF_Output!$S$1:$S$400,SF_Output!$AC$1:$AC$400,_xlfn.TEXTJOIN(",",TRUE,B196:E196),SF_Output!$Q$1:$Q$400,"monthly"),AND(B196&lt;&gt;"",H196&lt;&gt;SF_Output!$Y$2),SUMIFS(SF_Output!$S$1:$S$400,SF_Output!$AC$1:$AC$400,_xlfn.TEXTJOIN(",",TRUE,B196:E196),SF_Output!$Q$1:$Q$400,"monthly"))</f>
        <v/>
      </c>
      <c r="W196" s="112" t="str" cm="1">
        <f t="array" ref="W196">_xlfn.IFS(OR(B196=0,B196="",V196=0),"",AF196&lt;&gt;"exclusion",MAX($W$9,$W$7,(-(SUMIFS(SF_Output!$T$1:$T$400,SF_Output!$AC$1:$AC$400,_xlfn.TEXTJOIN(",",TRUE,$B196:$E196),SF_Output!$Q$1:$Q$400,"monthly"))/V196)),AF196="exclusion",-(SUMIFS(SF_Output!$T$1:$T$400,SF_Output!$AC$1:$AC$400,_xlfn.TEXTJOIN(",",TRUE,$B196:$E196),SF_Output!$Q$1:$Q$400,"monthly"))/V196)</f>
        <v/>
      </c>
      <c r="X196" s="6" t="str" cm="1">
        <f t="array" ref="X196">IFERROR(_xlfn.IFS(V196=0,0,V196="","",W196=0,V196,OR(V196&lt;&gt;0,V196&lt;&gt;""),H196*I196),V196*(1-W196))</f>
        <v/>
      </c>
      <c r="Z196" s="6" t="str">
        <f>IFERROR(IF(B196="","",SUMIFS(Billing_Fallout!H:H,Billing_Fallout!N:N,B196)),0)</f>
        <v/>
      </c>
      <c r="AA196" s="6" t="str">
        <f t="shared" si="38"/>
        <v/>
      </c>
      <c r="AB196" s="6" t="str">
        <f>IFERROR(IF(B196="","",SUMIFS(Billing_Fallout!J:J,Billing_Fallout!N:N,B196)),0)</f>
        <v/>
      </c>
      <c r="AD196" s="6" t="str">
        <f t="shared" si="39"/>
        <v/>
      </c>
      <c r="AF196" t="str">
        <f>IFERROR(INDEX(H_Tables!$B$1:$B$1500,MATCH(INDEX(SF_Output!$J$1:$J$400,MATCH(B196,SF_Output!$M$1:$M$400,0)),H_Tables!$A$1:$A$1500,0)),"")</f>
        <v/>
      </c>
      <c r="AI196" s="119" t="str">
        <f t="shared" si="40"/>
        <v/>
      </c>
      <c r="AJ196" s="121">
        <f>IFERROR(INDEX(SF_Output!AD:AD,MATCH(_xlfn.TEXTJOIN(",",TRUE,B196:E196),SF_Output!AC1:AC400,0)),0.05)</f>
        <v>241</v>
      </c>
      <c r="AK196" t="str">
        <f>IF(SUMIFS(SF_Output!$F$1:$F$400,SF_Output!$AC$1:$AC$400,_xlfn.TEXTJOIN(",",TRUE,B196:E196))+SUMIFS(SF_Output!$G$1:$G$400,SF_Output!$AC$1:$AC$400,_xlfn.TEXTJOIN(",",TRUE,B196:E196))=0,"","PAP")</f>
        <v/>
      </c>
      <c r="AQ196" s="35"/>
      <c r="AR196" s="35" t="str" cm="1">
        <f t="array" ref="AR196">IFERROR(_xlfn.IFS(AND(E196*1=1,F196="Included"),"Change to Included",AND(E196*1=0,F196="Optional"),"Change to Optional",OR(B196="",F196="replaced"),""),"")</f>
        <v/>
      </c>
      <c r="AS196" s="35" t="str">
        <f t="shared" si="41"/>
        <v/>
      </c>
      <c r="AT196" s="35" t="str">
        <f t="shared" si="42"/>
        <v/>
      </c>
      <c r="AU196" s="35" t="str">
        <f t="shared" si="43"/>
        <v/>
      </c>
      <c r="AV196" s="35" t="str">
        <f t="shared" si="44"/>
        <v/>
      </c>
      <c r="AW196" s="35" t="str">
        <f t="shared" si="45"/>
        <v/>
      </c>
      <c r="AX196" s="35" t="str">
        <f t="shared" si="46"/>
        <v/>
      </c>
      <c r="AY196" s="35" t="str">
        <f t="shared" si="47"/>
        <v/>
      </c>
      <c r="AZ196" s="35" t="str">
        <f t="shared" si="48"/>
        <v/>
      </c>
      <c r="BA196" s="35" t="str">
        <f t="shared" si="49"/>
        <v/>
      </c>
      <c r="BB196" s="35" t="str">
        <f t="shared" si="50"/>
        <v/>
      </c>
      <c r="BC196" s="35"/>
      <c r="BE196" s="35" t="e">
        <f>INDEX(SF_Output!$AA$2:$AA$400,MATCH($B196,SF_Output!$M$2:$M$400,0))</f>
        <v>#N/A</v>
      </c>
      <c r="BF196" s="35" t="e">
        <f>INDEX(SF_Output!$AB$2:$AB$400,MATCH($B196,SF_Output!$M$2:$M$400,0))</f>
        <v>#N/A</v>
      </c>
    </row>
    <row r="197" spans="6:58" x14ac:dyDescent="0.25">
      <c r="F197" s="116" t="str">
        <f t="shared" si="34"/>
        <v/>
      </c>
      <c r="G197" t="str">
        <f>IF(B197="","",INDEX(SF_Output!$K$1:$K$400,MATCH(B197,SF_Output!$M$1:$M$400,0)))</f>
        <v/>
      </c>
      <c r="H197" t="str" cm="1">
        <f t="array" ref="H197">_xlfn.IFS(B197="","",(SUMIFS(SF_Output!$F$1:$F$400,SF_Output!$AC$1:$AC$400,_xlfn.TEXTJOIN(",",TRUE,B197:E197))+SUMIFS(SF_Output!$G$1:$G$400,SF_Output!$AC$1:$AC$400,_xlfn.TEXTJOIN(",",TRUE,B197:E197)))&lt;&gt;0,SF_Output!$Y$2,INDEX(SF_Output!$F$1:$F$400,MATCH(_xlfn.TEXTJOIN(",",TRUE,B197:E197),SF_Output!$AC$1:$AC$400,0))=0,INDEX(SF_Output!$R$1:$R$400,MATCH(_xlfn.TEXTJOIN(",",TRUE,B197:E197),SF_Output!$AC$1:$AC$400,0)))</f>
        <v/>
      </c>
      <c r="I197" s="125" t="str">
        <f>IFERROR(IF(AND(H197&gt;1,H197&lt;&gt;""),ROUND(SUMIFS(SF_Output!$S$1:$S$400,SF_Output!$AC$1:$AC$400,_xlfn.TEXTJOIN(",",TRUE,B197:E197),SF_Output!$Q$1:$Q$400,"monthly")*(1-W197)/H197,4),""),"")</f>
        <v/>
      </c>
      <c r="J197" s="6" t="str">
        <f>IF(B197="","",SUMIFS(SF_Output!$S$1:$S$400,SF_Output!$AC$1:$AC$400,_xlfn.TEXTJOIN(",",TRUE,B197:E197),SF_Output!$Q$1:$Q$400,"One Time",SF_Output!$L$1:$L$400,"license fee")+SUMIFS(SF_Output!$S$1:$S$400,SF_Output!$AC$1:$AC$400,_xlfn.TEXTJOIN(",",TRUE,B197:E197),SF_Output!$Q$1:$Q$400,"One Time",SF_Output!$L$1:$L$400,"software license")+SUMIFS(SF_Output!$S$1:$S$400,SF_Output!$AC$1:$AC$400,_xlfn.TEXTJOIN(",",TRUE,B197:E197),SF_Output!$Q$1:$Q$400,"One Time",SF_Output!$L$1:$L$400,"hardware"))</f>
        <v/>
      </c>
      <c r="K197" s="112" t="str">
        <f>IF(OR(B197=0,B197="",G197="hardware",J197=0),"",IF(AF197&lt;&gt;"exclusion",MAX(K$9,-((SUMIFS(SF_Output!$T$1:$T$400,SF_Output!$AC$1:$AC$400,_xlfn.TEXTJOIN(",",TRUE,$B197:$E197),SF_Output!$Q$1:$Q$400,"One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license"))/J197)))</f>
        <v/>
      </c>
      <c r="L197" s="6" t="str">
        <f t="shared" si="35"/>
        <v/>
      </c>
      <c r="N197" s="6" t="str">
        <f>IF(B197="","",SUMIFS(SF_Output!$S$1:$S$400,SF_Output!$AC$1:$AC$400,_xlfn.TEXTJOIN(",",TRUE,B197:E197),SF_Output!$Q$1:$Q$400,"One Time",SF_Output!$L$1:$L$400,"professional service"))</f>
        <v/>
      </c>
      <c r="O197" s="112" t="str">
        <f>IF(OR(B197=0,B197="",N197=0),"",IF(AF197&lt;&gt;"exclusion",MAX(O$9,-(SUMIFS(SF_Output!$T$1:$T$400,SF_Output!$AC$1:$AC$400,_xlfn.TEXTJOIN(",",TRUE,$B197:$E197),SF_Output!$Q$1:$Q$400,"One Time",SF_Output!$L$1:$L$400,"professional service"))/N197),-((SUMIFS(SF_Output!$T$1:$T$400,SF_Output!$AC$1:$AC$400,_xlfn.TEXTJOIN(",",TRUE,$B197:$E197),SF_Output!$Q$1:$Q$400,"One Time",SF_Output!$L$1:$L$400,"professional service")/N197))))</f>
        <v/>
      </c>
      <c r="P197" s="6" t="str">
        <f t="shared" si="36"/>
        <v/>
      </c>
      <c r="R197" s="6" t="str">
        <f>IF(B197="","",SUMIFS(SF_Output!$S$1:$S$400,SF_Output!$AC$1:$AC$400,_xlfn.TEXTJOIN(",",TRUE,B197:E197),SF_Output!$Q$1:$Q$400,"yearly")+SUMIFS(SF_Output!$S$1:$S$400,SF_Output!$AC$1:$AC$400,_xlfn.TEXTJOIN(",",TRUE,B197:E197),SF_Output!$Q$1:$Q$400,"quarterly")*4)</f>
        <v/>
      </c>
      <c r="S197" s="112" t="str">
        <f>IF(OR(B197=0,B197="",G197="hardware",R197=0),"",IF(AF197&lt;&gt;"exclusion",MAX(S$9,-(SUMIFS(SF_Output!$T$1:$T$400,SF_Output!$AC$1:$AC$400,_xlfn.TEXTJOIN(",",TRUE,$B197:$E197),SF_Output!$Q$1:$Q$400,"yearly"))/R197),-((SUMIFS(SF_Output!$T$1:$T$400,SF_Output!$AC$1:$AC$400,_xlfn.TEXTJOIN(",",TRUE,$B197:$E197),SF_Output!$Q$1:$Q$400,"yearly")/R197))))</f>
        <v/>
      </c>
      <c r="T197" s="6" t="str">
        <f t="shared" si="37"/>
        <v/>
      </c>
      <c r="V197" s="6" t="str" cm="1">
        <f t="array" ref="V197">_xlfn.IFS(B197="","",AND(B197&lt;&gt;"",H197=SF_Output!$Y$2,SUMIFS(SF_Output!$T$1:$T$400,SF_Output!$AC$1:$AC$400,_xlfn.TEXTJOIN(",",TRUE,B197:E197),SF_Output!$Q$1:$Q$400,"monthly")=0),(SUMIFS(SF_Output!$F$1:$F$400,SF_Output!$AC$1:$AC$400,_xlfn.TEXTJOIN(",",TRUE,B197:E197),SF_Output!$Q$1:$Q$400,"monthly")+SUMIFS(SF_Output!$G$1:$G$400,SF_Output!$AC$1:$AC$400,_xlfn.TEXTJOIN(",",TRUE,B197:E197),SF_Output!$Q$1:$Q$400,"monthly"))*H197,AND(B197&lt;&gt;"",H197=SF_Output!$Y$2,SUMIFS(SF_Output!$T$1:$T$400,SF_Output!$AC$1:$AC$400,_xlfn.TEXTJOIN(",",TRUE,B197:E197),SF_Output!$Q$1:$Q$400,"monthly")&lt;&gt;0),SUMIFS(SF_Output!$S$1:$S$400,SF_Output!$AC$1:$AC$400,_xlfn.TEXTJOIN(",",TRUE,B197:E197),SF_Output!$Q$1:$Q$400,"monthly"),AND(B197&lt;&gt;"",H197&lt;&gt;SF_Output!$Y$2),SUMIFS(SF_Output!$S$1:$S$400,SF_Output!$AC$1:$AC$400,_xlfn.TEXTJOIN(",",TRUE,B197:E197),SF_Output!$Q$1:$Q$400,"monthly"))</f>
        <v/>
      </c>
      <c r="W197" s="112" t="str" cm="1">
        <f t="array" ref="W197">_xlfn.IFS(OR(B197=0,B197="",V197=0),"",AF197&lt;&gt;"exclusion",MAX($W$9,$W$7,(-(SUMIFS(SF_Output!$T$1:$T$400,SF_Output!$AC$1:$AC$400,_xlfn.TEXTJOIN(",",TRUE,$B197:$E197),SF_Output!$Q$1:$Q$400,"monthly"))/V197)),AF197="exclusion",-(SUMIFS(SF_Output!$T$1:$T$400,SF_Output!$AC$1:$AC$400,_xlfn.TEXTJOIN(",",TRUE,$B197:$E197),SF_Output!$Q$1:$Q$400,"monthly"))/V197)</f>
        <v/>
      </c>
      <c r="X197" s="6" t="str" cm="1">
        <f t="array" ref="X197">IFERROR(_xlfn.IFS(V197=0,0,V197="","",W197=0,V197,OR(V197&lt;&gt;0,V197&lt;&gt;""),H197*I197),V197*(1-W197))</f>
        <v/>
      </c>
      <c r="Z197" s="6" t="str">
        <f>IFERROR(IF(B197="","",SUMIFS(Billing_Fallout!H:H,Billing_Fallout!N:N,B197)),0)</f>
        <v/>
      </c>
      <c r="AA197" s="6" t="str">
        <f t="shared" si="38"/>
        <v/>
      </c>
      <c r="AB197" s="6" t="str">
        <f>IFERROR(IF(B197="","",SUMIFS(Billing_Fallout!J:J,Billing_Fallout!N:N,B197)),0)</f>
        <v/>
      </c>
      <c r="AD197" s="6" t="str">
        <f t="shared" si="39"/>
        <v/>
      </c>
      <c r="AF197" t="str">
        <f>IFERROR(INDEX(H_Tables!$B$1:$B$1500,MATCH(INDEX(SF_Output!$J$1:$J$400,MATCH(B197,SF_Output!$M$1:$M$400,0)),H_Tables!$A$1:$A$1500,0)),"")</f>
        <v/>
      </c>
      <c r="AI197" s="119" t="str">
        <f t="shared" si="40"/>
        <v/>
      </c>
      <c r="AJ197" s="121">
        <f>IFERROR(INDEX(SF_Output!AD:AD,MATCH(_xlfn.TEXTJOIN(",",TRUE,B197:E197),SF_Output!AC1:AC400,0)),0.05)</f>
        <v>241</v>
      </c>
      <c r="AK197" t="str">
        <f>IF(SUMIFS(SF_Output!$F$1:$F$400,SF_Output!$AC$1:$AC$400,_xlfn.TEXTJOIN(",",TRUE,B197:E197))+SUMIFS(SF_Output!$G$1:$G$400,SF_Output!$AC$1:$AC$400,_xlfn.TEXTJOIN(",",TRUE,B197:E197))=0,"","PAP")</f>
        <v/>
      </c>
      <c r="AQ197" s="35"/>
      <c r="AR197" s="35" t="str" cm="1">
        <f t="array" ref="AR197">IFERROR(_xlfn.IFS(AND(E197*1=1,F197="Included"),"Change to Included",AND(E197*1=0,F197="Optional"),"Change to Optional",OR(B197="",F197="replaced"),""),"")</f>
        <v/>
      </c>
      <c r="AS197" s="35" t="str">
        <f t="shared" si="41"/>
        <v/>
      </c>
      <c r="AT197" s="35" t="str">
        <f t="shared" si="42"/>
        <v/>
      </c>
      <c r="AU197" s="35" t="str">
        <f t="shared" si="43"/>
        <v/>
      </c>
      <c r="AV197" s="35" t="str">
        <f t="shared" si="44"/>
        <v/>
      </c>
      <c r="AW197" s="35" t="str">
        <f t="shared" si="45"/>
        <v/>
      </c>
      <c r="AX197" s="35" t="str">
        <f t="shared" si="46"/>
        <v/>
      </c>
      <c r="AY197" s="35" t="str">
        <f t="shared" si="47"/>
        <v/>
      </c>
      <c r="AZ197" s="35" t="str">
        <f t="shared" si="48"/>
        <v/>
      </c>
      <c r="BA197" s="35" t="str">
        <f t="shared" si="49"/>
        <v/>
      </c>
      <c r="BB197" s="35" t="str">
        <f t="shared" si="50"/>
        <v/>
      </c>
      <c r="BC197" s="35"/>
      <c r="BE197" s="35" t="e">
        <f>INDEX(SF_Output!$AA$2:$AA$400,MATCH($B197,SF_Output!$M$2:$M$400,0))</f>
        <v>#N/A</v>
      </c>
      <c r="BF197" s="35" t="e">
        <f>INDEX(SF_Output!$AB$2:$AB$400,MATCH($B197,SF_Output!$M$2:$M$400,0))</f>
        <v>#N/A</v>
      </c>
    </row>
    <row r="198" spans="6:58" x14ac:dyDescent="0.25">
      <c r="F198" s="116" t="str">
        <f t="shared" si="34"/>
        <v/>
      </c>
      <c r="G198" t="str">
        <f>IF(B198="","",INDEX(SF_Output!$K$1:$K$400,MATCH(B198,SF_Output!$M$1:$M$400,0)))</f>
        <v/>
      </c>
      <c r="H198" t="str" cm="1">
        <f t="array" ref="H198">_xlfn.IFS(B198="","",(SUMIFS(SF_Output!$F$1:$F$400,SF_Output!$AC$1:$AC$400,_xlfn.TEXTJOIN(",",TRUE,B198:E198))+SUMIFS(SF_Output!$G$1:$G$400,SF_Output!$AC$1:$AC$400,_xlfn.TEXTJOIN(",",TRUE,B198:E198)))&lt;&gt;0,SF_Output!$Y$2,INDEX(SF_Output!$F$1:$F$400,MATCH(_xlfn.TEXTJOIN(",",TRUE,B198:E198),SF_Output!$AC$1:$AC$400,0))=0,INDEX(SF_Output!$R$1:$R$400,MATCH(_xlfn.TEXTJOIN(",",TRUE,B198:E198),SF_Output!$AC$1:$AC$400,0)))</f>
        <v/>
      </c>
      <c r="I198" s="125" t="str">
        <f>IFERROR(IF(AND(H198&gt;1,H198&lt;&gt;""),ROUND(SUMIFS(SF_Output!$S$1:$S$400,SF_Output!$AC$1:$AC$400,_xlfn.TEXTJOIN(",",TRUE,B198:E198),SF_Output!$Q$1:$Q$400,"monthly")*(1-W198)/H198,4),""),"")</f>
        <v/>
      </c>
      <c r="J198" s="6" t="str">
        <f>IF(B198="","",SUMIFS(SF_Output!$S$1:$S$400,SF_Output!$AC$1:$AC$400,_xlfn.TEXTJOIN(",",TRUE,B198:E198),SF_Output!$Q$1:$Q$400,"One Time",SF_Output!$L$1:$L$400,"license fee")+SUMIFS(SF_Output!$S$1:$S$400,SF_Output!$AC$1:$AC$400,_xlfn.TEXTJOIN(",",TRUE,B198:E198),SF_Output!$Q$1:$Q$400,"One Time",SF_Output!$L$1:$L$400,"software license")+SUMIFS(SF_Output!$S$1:$S$400,SF_Output!$AC$1:$AC$400,_xlfn.TEXTJOIN(",",TRUE,B198:E198),SF_Output!$Q$1:$Q$400,"One Time",SF_Output!$L$1:$L$400,"hardware"))</f>
        <v/>
      </c>
      <c r="K198" s="112" t="str">
        <f>IF(OR(B198=0,B198="",G198="hardware",J198=0),"",IF(AF198&lt;&gt;"exclusion",MAX(K$9,-((SUMIFS(SF_Output!$T$1:$T$400,SF_Output!$AC$1:$AC$400,_xlfn.TEXTJOIN(",",TRUE,$B198:$E198),SF_Output!$Q$1:$Q$400,"One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license"))/J198)))</f>
        <v/>
      </c>
      <c r="L198" s="6" t="str">
        <f t="shared" si="35"/>
        <v/>
      </c>
      <c r="N198" s="6" t="str">
        <f>IF(B198="","",SUMIFS(SF_Output!$S$1:$S$400,SF_Output!$AC$1:$AC$400,_xlfn.TEXTJOIN(",",TRUE,B198:E198),SF_Output!$Q$1:$Q$400,"One Time",SF_Output!$L$1:$L$400,"professional service"))</f>
        <v/>
      </c>
      <c r="O198" s="112" t="str">
        <f>IF(OR(B198=0,B198="",N198=0),"",IF(AF198&lt;&gt;"exclusion",MAX(O$9,-(SUMIFS(SF_Output!$T$1:$T$400,SF_Output!$AC$1:$AC$400,_xlfn.TEXTJOIN(",",TRUE,$B198:$E198),SF_Output!$Q$1:$Q$400,"One Time",SF_Output!$L$1:$L$400,"professional service"))/N198),-((SUMIFS(SF_Output!$T$1:$T$400,SF_Output!$AC$1:$AC$400,_xlfn.TEXTJOIN(",",TRUE,$B198:$E198),SF_Output!$Q$1:$Q$400,"One Time",SF_Output!$L$1:$L$400,"professional service")/N198))))</f>
        <v/>
      </c>
      <c r="P198" s="6" t="str">
        <f t="shared" si="36"/>
        <v/>
      </c>
      <c r="R198" s="6" t="str">
        <f>IF(B198="","",SUMIFS(SF_Output!$S$1:$S$400,SF_Output!$AC$1:$AC$400,_xlfn.TEXTJOIN(",",TRUE,B198:E198),SF_Output!$Q$1:$Q$400,"yearly")+SUMIFS(SF_Output!$S$1:$S$400,SF_Output!$AC$1:$AC$400,_xlfn.TEXTJOIN(",",TRUE,B198:E198),SF_Output!$Q$1:$Q$400,"quarterly")*4)</f>
        <v/>
      </c>
      <c r="S198" s="112" t="str">
        <f>IF(OR(B198=0,B198="",G198="hardware",R198=0),"",IF(AF198&lt;&gt;"exclusion",MAX(S$9,-(SUMIFS(SF_Output!$T$1:$T$400,SF_Output!$AC$1:$AC$400,_xlfn.TEXTJOIN(",",TRUE,$B198:$E198),SF_Output!$Q$1:$Q$400,"yearly"))/R198),-((SUMIFS(SF_Output!$T$1:$T$400,SF_Output!$AC$1:$AC$400,_xlfn.TEXTJOIN(",",TRUE,$B198:$E198),SF_Output!$Q$1:$Q$400,"yearly")/R198))))</f>
        <v/>
      </c>
      <c r="T198" s="6" t="str">
        <f t="shared" si="37"/>
        <v/>
      </c>
      <c r="V198" s="6" t="str" cm="1">
        <f t="array" ref="V198">_xlfn.IFS(B198="","",AND(B198&lt;&gt;"",H198=SF_Output!$Y$2,SUMIFS(SF_Output!$T$1:$T$400,SF_Output!$AC$1:$AC$400,_xlfn.TEXTJOIN(",",TRUE,B198:E198),SF_Output!$Q$1:$Q$400,"monthly")=0),(SUMIFS(SF_Output!$F$1:$F$400,SF_Output!$AC$1:$AC$400,_xlfn.TEXTJOIN(",",TRUE,B198:E198),SF_Output!$Q$1:$Q$400,"monthly")+SUMIFS(SF_Output!$G$1:$G$400,SF_Output!$AC$1:$AC$400,_xlfn.TEXTJOIN(",",TRUE,B198:E198),SF_Output!$Q$1:$Q$400,"monthly"))*H198,AND(B198&lt;&gt;"",H198=SF_Output!$Y$2,SUMIFS(SF_Output!$T$1:$T$400,SF_Output!$AC$1:$AC$400,_xlfn.TEXTJOIN(",",TRUE,B198:E198),SF_Output!$Q$1:$Q$400,"monthly")&lt;&gt;0),SUMIFS(SF_Output!$S$1:$S$400,SF_Output!$AC$1:$AC$400,_xlfn.TEXTJOIN(",",TRUE,B198:E198),SF_Output!$Q$1:$Q$400,"monthly"),AND(B198&lt;&gt;"",H198&lt;&gt;SF_Output!$Y$2),SUMIFS(SF_Output!$S$1:$S$400,SF_Output!$AC$1:$AC$400,_xlfn.TEXTJOIN(",",TRUE,B198:E198),SF_Output!$Q$1:$Q$400,"monthly"))</f>
        <v/>
      </c>
      <c r="W198" s="112" t="str" cm="1">
        <f t="array" ref="W198">_xlfn.IFS(OR(B198=0,B198="",V198=0),"",AF198&lt;&gt;"exclusion",MAX($W$9,$W$7,(-(SUMIFS(SF_Output!$T$1:$T$400,SF_Output!$AC$1:$AC$400,_xlfn.TEXTJOIN(",",TRUE,$B198:$E198),SF_Output!$Q$1:$Q$400,"monthly"))/V198)),AF198="exclusion",-(SUMIFS(SF_Output!$T$1:$T$400,SF_Output!$AC$1:$AC$400,_xlfn.TEXTJOIN(",",TRUE,$B198:$E198),SF_Output!$Q$1:$Q$400,"monthly"))/V198)</f>
        <v/>
      </c>
      <c r="X198" s="6" t="str" cm="1">
        <f t="array" ref="X198">IFERROR(_xlfn.IFS(V198=0,0,V198="","",W198=0,V198,OR(V198&lt;&gt;0,V198&lt;&gt;""),H198*I198),V198*(1-W198))</f>
        <v/>
      </c>
      <c r="Z198" s="6" t="str">
        <f>IFERROR(IF(B198="","",SUMIFS(Billing_Fallout!H:H,Billing_Fallout!N:N,B198)),0)</f>
        <v/>
      </c>
      <c r="AA198" s="6" t="str">
        <f t="shared" si="38"/>
        <v/>
      </c>
      <c r="AB198" s="6" t="str">
        <f>IFERROR(IF(B198="","",SUMIFS(Billing_Fallout!J:J,Billing_Fallout!N:N,B198)),0)</f>
        <v/>
      </c>
      <c r="AD198" s="6" t="str">
        <f t="shared" si="39"/>
        <v/>
      </c>
      <c r="AF198" t="str">
        <f>IFERROR(INDEX(H_Tables!$B$1:$B$1500,MATCH(INDEX(SF_Output!$J$1:$J$400,MATCH(B198,SF_Output!$M$1:$M$400,0)),H_Tables!$A$1:$A$1500,0)),"")</f>
        <v/>
      </c>
      <c r="AI198" s="119" t="str">
        <f t="shared" si="40"/>
        <v/>
      </c>
      <c r="AJ198" s="121">
        <f>IFERROR(INDEX(SF_Output!AD:AD,MATCH(_xlfn.TEXTJOIN(",",TRUE,B198:E198),SF_Output!AC1:AC400,0)),0.05)</f>
        <v>241</v>
      </c>
      <c r="AK198" t="str">
        <f>IF(SUMIFS(SF_Output!$F$1:$F$400,SF_Output!$AC$1:$AC$400,_xlfn.TEXTJOIN(",",TRUE,B198:E198))+SUMIFS(SF_Output!$G$1:$G$400,SF_Output!$AC$1:$AC$400,_xlfn.TEXTJOIN(",",TRUE,B198:E198))=0,"","PAP")</f>
        <v/>
      </c>
      <c r="AQ198" s="35"/>
      <c r="AR198" s="35" t="str" cm="1">
        <f t="array" ref="AR198">IFERROR(_xlfn.IFS(AND(E198*1=1,F198="Included"),"Change to Included",AND(E198*1=0,F198="Optional"),"Change to Optional",OR(B198="",F198="replaced"),""),"")</f>
        <v/>
      </c>
      <c r="AS198" s="35" t="str">
        <f t="shared" si="41"/>
        <v/>
      </c>
      <c r="AT198" s="35" t="str">
        <f t="shared" si="42"/>
        <v/>
      </c>
      <c r="AU198" s="35" t="str">
        <f t="shared" si="43"/>
        <v/>
      </c>
      <c r="AV198" s="35" t="str">
        <f t="shared" si="44"/>
        <v/>
      </c>
      <c r="AW198" s="35" t="str">
        <f t="shared" si="45"/>
        <v/>
      </c>
      <c r="AX198" s="35" t="str">
        <f t="shared" si="46"/>
        <v/>
      </c>
      <c r="AY198" s="35" t="str">
        <f t="shared" si="47"/>
        <v/>
      </c>
      <c r="AZ198" s="35" t="str">
        <f t="shared" si="48"/>
        <v/>
      </c>
      <c r="BA198" s="35" t="str">
        <f t="shared" si="49"/>
        <v/>
      </c>
      <c r="BB198" s="35" t="str">
        <f t="shared" si="50"/>
        <v/>
      </c>
      <c r="BC198" s="35"/>
      <c r="BE198" s="35" t="e">
        <f>INDEX(SF_Output!$AA$2:$AA$400,MATCH($B198,SF_Output!$M$2:$M$400,0))</f>
        <v>#N/A</v>
      </c>
      <c r="BF198" s="35" t="e">
        <f>INDEX(SF_Output!$AB$2:$AB$400,MATCH($B198,SF_Output!$M$2:$M$400,0))</f>
        <v>#N/A</v>
      </c>
    </row>
    <row r="199" spans="6:58" x14ac:dyDescent="0.25">
      <c r="F199" s="116" t="str">
        <f t="shared" si="34"/>
        <v/>
      </c>
      <c r="G199" t="str">
        <f>IF(B199="","",INDEX(SF_Output!$K$1:$K$400,MATCH(B199,SF_Output!$M$1:$M$400,0)))</f>
        <v/>
      </c>
      <c r="H199" t="str" cm="1">
        <f t="array" ref="H199">_xlfn.IFS(B199="","",(SUMIFS(SF_Output!$F$1:$F$400,SF_Output!$AC$1:$AC$400,_xlfn.TEXTJOIN(",",TRUE,B199:E199))+SUMIFS(SF_Output!$G$1:$G$400,SF_Output!$AC$1:$AC$400,_xlfn.TEXTJOIN(",",TRUE,B199:E199)))&lt;&gt;0,SF_Output!$Y$2,INDEX(SF_Output!$F$1:$F$400,MATCH(_xlfn.TEXTJOIN(",",TRUE,B199:E199),SF_Output!$AC$1:$AC$400,0))=0,INDEX(SF_Output!$R$1:$R$400,MATCH(_xlfn.TEXTJOIN(",",TRUE,B199:E199),SF_Output!$AC$1:$AC$400,0)))</f>
        <v/>
      </c>
      <c r="I199" s="125" t="str">
        <f>IFERROR(IF(AND(H199&gt;1,H199&lt;&gt;""),ROUND(SUMIFS(SF_Output!$S$1:$S$400,SF_Output!$AC$1:$AC$400,_xlfn.TEXTJOIN(",",TRUE,B199:E199),SF_Output!$Q$1:$Q$400,"monthly")*(1-W199)/H199,4),""),"")</f>
        <v/>
      </c>
      <c r="J199" s="6" t="str">
        <f>IF(B199="","",SUMIFS(SF_Output!$S$1:$S$400,SF_Output!$AC$1:$AC$400,_xlfn.TEXTJOIN(",",TRUE,B199:E199),SF_Output!$Q$1:$Q$400,"One Time",SF_Output!$L$1:$L$400,"license fee")+SUMIFS(SF_Output!$S$1:$S$400,SF_Output!$AC$1:$AC$400,_xlfn.TEXTJOIN(",",TRUE,B199:E199),SF_Output!$Q$1:$Q$400,"One Time",SF_Output!$L$1:$L$400,"software license")+SUMIFS(SF_Output!$S$1:$S$400,SF_Output!$AC$1:$AC$400,_xlfn.TEXTJOIN(",",TRUE,B199:E199),SF_Output!$Q$1:$Q$400,"One Time",SF_Output!$L$1:$L$400,"hardware"))</f>
        <v/>
      </c>
      <c r="K199" s="112" t="str">
        <f>IF(OR(B199=0,B199="",G199="hardware",J199=0),"",IF(AF199&lt;&gt;"exclusion",MAX(K$9,-((SUMIFS(SF_Output!$T$1:$T$400,SF_Output!$AC$1:$AC$400,_xlfn.TEXTJOIN(",",TRUE,$B199:$E199),SF_Output!$Q$1:$Q$400,"One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license"))/J199)))</f>
        <v/>
      </c>
      <c r="L199" s="6" t="str">
        <f t="shared" si="35"/>
        <v/>
      </c>
      <c r="N199" s="6" t="str">
        <f>IF(B199="","",SUMIFS(SF_Output!$S$1:$S$400,SF_Output!$AC$1:$AC$400,_xlfn.TEXTJOIN(",",TRUE,B199:E199),SF_Output!$Q$1:$Q$400,"One Time",SF_Output!$L$1:$L$400,"professional service"))</f>
        <v/>
      </c>
      <c r="O199" s="112" t="str">
        <f>IF(OR(B199=0,B199="",N199=0),"",IF(AF199&lt;&gt;"exclusion",MAX(O$9,-(SUMIFS(SF_Output!$T$1:$T$400,SF_Output!$AC$1:$AC$400,_xlfn.TEXTJOIN(",",TRUE,$B199:$E199),SF_Output!$Q$1:$Q$400,"One Time",SF_Output!$L$1:$L$400,"professional service"))/N199),-((SUMIFS(SF_Output!$T$1:$T$400,SF_Output!$AC$1:$AC$400,_xlfn.TEXTJOIN(",",TRUE,$B199:$E199),SF_Output!$Q$1:$Q$400,"One Time",SF_Output!$L$1:$L$400,"professional service")/N199))))</f>
        <v/>
      </c>
      <c r="P199" s="6" t="str">
        <f t="shared" si="36"/>
        <v/>
      </c>
      <c r="R199" s="6" t="str">
        <f>IF(B199="","",SUMIFS(SF_Output!$S$1:$S$400,SF_Output!$AC$1:$AC$400,_xlfn.TEXTJOIN(",",TRUE,B199:E199),SF_Output!$Q$1:$Q$400,"yearly")+SUMIFS(SF_Output!$S$1:$S$400,SF_Output!$AC$1:$AC$400,_xlfn.TEXTJOIN(",",TRUE,B199:E199),SF_Output!$Q$1:$Q$400,"quarterly")*4)</f>
        <v/>
      </c>
      <c r="S199" s="112" t="str">
        <f>IF(OR(B199=0,B199="",G199="hardware",R199=0),"",IF(AF199&lt;&gt;"exclusion",MAX(S$9,-(SUMIFS(SF_Output!$T$1:$T$400,SF_Output!$AC$1:$AC$400,_xlfn.TEXTJOIN(",",TRUE,$B199:$E199),SF_Output!$Q$1:$Q$400,"yearly"))/R199),-((SUMIFS(SF_Output!$T$1:$T$400,SF_Output!$AC$1:$AC$400,_xlfn.TEXTJOIN(",",TRUE,$B199:$E199),SF_Output!$Q$1:$Q$400,"yearly")/R199))))</f>
        <v/>
      </c>
      <c r="T199" s="6" t="str">
        <f t="shared" si="37"/>
        <v/>
      </c>
      <c r="V199" s="6" t="str" cm="1">
        <f t="array" ref="V199">_xlfn.IFS(B199="","",AND(B199&lt;&gt;"",H199=SF_Output!$Y$2,SUMIFS(SF_Output!$T$1:$T$400,SF_Output!$AC$1:$AC$400,_xlfn.TEXTJOIN(",",TRUE,B199:E199),SF_Output!$Q$1:$Q$400,"monthly")=0),(SUMIFS(SF_Output!$F$1:$F$400,SF_Output!$AC$1:$AC$400,_xlfn.TEXTJOIN(",",TRUE,B199:E199),SF_Output!$Q$1:$Q$400,"monthly")+SUMIFS(SF_Output!$G$1:$G$400,SF_Output!$AC$1:$AC$400,_xlfn.TEXTJOIN(",",TRUE,B199:E199),SF_Output!$Q$1:$Q$400,"monthly"))*H199,AND(B199&lt;&gt;"",H199=SF_Output!$Y$2,SUMIFS(SF_Output!$T$1:$T$400,SF_Output!$AC$1:$AC$400,_xlfn.TEXTJOIN(",",TRUE,B199:E199),SF_Output!$Q$1:$Q$400,"monthly")&lt;&gt;0),SUMIFS(SF_Output!$S$1:$S$400,SF_Output!$AC$1:$AC$400,_xlfn.TEXTJOIN(",",TRUE,B199:E199),SF_Output!$Q$1:$Q$400,"monthly"),AND(B199&lt;&gt;"",H199&lt;&gt;SF_Output!$Y$2),SUMIFS(SF_Output!$S$1:$S$400,SF_Output!$AC$1:$AC$400,_xlfn.TEXTJOIN(",",TRUE,B199:E199),SF_Output!$Q$1:$Q$400,"monthly"))</f>
        <v/>
      </c>
      <c r="W199" s="112" t="str" cm="1">
        <f t="array" ref="W199">_xlfn.IFS(OR(B199=0,B199="",V199=0),"",AF199&lt;&gt;"exclusion",MAX($W$9,$W$7,(-(SUMIFS(SF_Output!$T$1:$T$400,SF_Output!$AC$1:$AC$400,_xlfn.TEXTJOIN(",",TRUE,$B199:$E199),SF_Output!$Q$1:$Q$400,"monthly"))/V199)),AF199="exclusion",-(SUMIFS(SF_Output!$T$1:$T$400,SF_Output!$AC$1:$AC$400,_xlfn.TEXTJOIN(",",TRUE,$B199:$E199),SF_Output!$Q$1:$Q$400,"monthly"))/V199)</f>
        <v/>
      </c>
      <c r="X199" s="6" t="str" cm="1">
        <f t="array" ref="X199">IFERROR(_xlfn.IFS(V199=0,0,V199="","",W199=0,V199,OR(V199&lt;&gt;0,V199&lt;&gt;""),H199*I199),V199*(1-W199))</f>
        <v/>
      </c>
      <c r="Z199" s="6" t="str">
        <f>IFERROR(IF(B199="","",SUMIFS(Billing_Fallout!H:H,Billing_Fallout!N:N,B199)),0)</f>
        <v/>
      </c>
      <c r="AA199" s="6" t="str">
        <f t="shared" si="38"/>
        <v/>
      </c>
      <c r="AB199" s="6" t="str">
        <f>IFERROR(IF(B199="","",SUMIFS(Billing_Fallout!J:J,Billing_Fallout!N:N,B199)),0)</f>
        <v/>
      </c>
      <c r="AD199" s="6" t="str">
        <f t="shared" si="39"/>
        <v/>
      </c>
      <c r="AF199" t="str">
        <f>IFERROR(INDEX(H_Tables!$B$1:$B$1500,MATCH(INDEX(SF_Output!$J$1:$J$400,MATCH(B199,SF_Output!$M$1:$M$400,0)),H_Tables!$A$1:$A$1500,0)),"")</f>
        <v/>
      </c>
      <c r="AI199" s="119" t="str">
        <f t="shared" si="40"/>
        <v/>
      </c>
      <c r="AJ199" s="121">
        <f>IFERROR(INDEX(SF_Output!AD:AD,MATCH(_xlfn.TEXTJOIN(",",TRUE,B199:E199),SF_Output!AC1:AC400,0)),0.05)</f>
        <v>241</v>
      </c>
      <c r="AK199" t="str">
        <f>IF(SUMIFS(SF_Output!$F$1:$F$400,SF_Output!$AC$1:$AC$400,_xlfn.TEXTJOIN(",",TRUE,B199:E199))+SUMIFS(SF_Output!$G$1:$G$400,SF_Output!$AC$1:$AC$400,_xlfn.TEXTJOIN(",",TRUE,B199:E199))=0,"","PAP")</f>
        <v/>
      </c>
      <c r="AQ199" s="35"/>
      <c r="AR199" s="35" t="str" cm="1">
        <f t="array" ref="AR199">IFERROR(_xlfn.IFS(AND(E199*1=1,F199="Included"),"Change to Included",AND(E199*1=0,F199="Optional"),"Change to Optional",OR(B199="",F199="replaced"),""),"")</f>
        <v/>
      </c>
      <c r="AS199" s="35" t="str">
        <f t="shared" si="41"/>
        <v/>
      </c>
      <c r="AT199" s="35" t="str">
        <f t="shared" si="42"/>
        <v/>
      </c>
      <c r="AU199" s="35" t="str">
        <f t="shared" si="43"/>
        <v/>
      </c>
      <c r="AV199" s="35" t="str">
        <f t="shared" si="44"/>
        <v/>
      </c>
      <c r="AW199" s="35" t="str">
        <f t="shared" si="45"/>
        <v/>
      </c>
      <c r="AX199" s="35" t="str">
        <f t="shared" si="46"/>
        <v/>
      </c>
      <c r="AY199" s="35" t="str">
        <f t="shared" si="47"/>
        <v/>
      </c>
      <c r="AZ199" s="35" t="str">
        <f t="shared" si="48"/>
        <v/>
      </c>
      <c r="BA199" s="35" t="str">
        <f t="shared" si="49"/>
        <v/>
      </c>
      <c r="BB199" s="35" t="str">
        <f t="shared" si="50"/>
        <v/>
      </c>
      <c r="BC199" s="35"/>
      <c r="BE199" s="35" t="e">
        <f>INDEX(SF_Output!$AA$2:$AA$400,MATCH($B199,SF_Output!$M$2:$M$400,0))</f>
        <v>#N/A</v>
      </c>
      <c r="BF199" s="35" t="e">
        <f>INDEX(SF_Output!$AB$2:$AB$400,MATCH($B199,SF_Output!$M$2:$M$400,0))</f>
        <v>#N/A</v>
      </c>
    </row>
    <row r="200" spans="6:58" x14ac:dyDescent="0.25">
      <c r="F200" s="116" t="str">
        <f t="shared" si="34"/>
        <v/>
      </c>
      <c r="G200" t="str">
        <f>IF(B200="","",INDEX(SF_Output!$K$1:$K$400,MATCH(B200,SF_Output!$M$1:$M$400,0)))</f>
        <v/>
      </c>
      <c r="H200" t="str" cm="1">
        <f t="array" ref="H200">_xlfn.IFS(B200="","",(SUMIFS(SF_Output!$F$1:$F$400,SF_Output!$AC$1:$AC$400,_xlfn.TEXTJOIN(",",TRUE,B200:E200))+SUMIFS(SF_Output!$G$1:$G$400,SF_Output!$AC$1:$AC$400,_xlfn.TEXTJOIN(",",TRUE,B200:E200)))&lt;&gt;0,SF_Output!$Y$2,INDEX(SF_Output!$F$1:$F$400,MATCH(_xlfn.TEXTJOIN(",",TRUE,B200:E200),SF_Output!$AC$1:$AC$400,0))=0,INDEX(SF_Output!$R$1:$R$400,MATCH(_xlfn.TEXTJOIN(",",TRUE,B200:E200),SF_Output!$AC$1:$AC$400,0)))</f>
        <v/>
      </c>
      <c r="I200" s="125" t="str">
        <f>IFERROR(IF(AND(H200&gt;1,H200&lt;&gt;""),ROUND(SUMIFS(SF_Output!$S$1:$S$400,SF_Output!$AC$1:$AC$400,_xlfn.TEXTJOIN(",",TRUE,B200:E200),SF_Output!$Q$1:$Q$400,"monthly")*(1-W200)/H200,4),""),"")</f>
        <v/>
      </c>
      <c r="J200" s="6" t="str">
        <f>IF(B200="","",SUMIFS(SF_Output!$S$1:$S$400,SF_Output!$AC$1:$AC$400,_xlfn.TEXTJOIN(",",TRUE,B200:E200),SF_Output!$Q$1:$Q$400,"One Time",SF_Output!$L$1:$L$400,"license fee")+SUMIFS(SF_Output!$S$1:$S$400,SF_Output!$AC$1:$AC$400,_xlfn.TEXTJOIN(",",TRUE,B200:E200),SF_Output!$Q$1:$Q$400,"One Time",SF_Output!$L$1:$L$400,"software license")+SUMIFS(SF_Output!$S$1:$S$400,SF_Output!$AC$1:$AC$400,_xlfn.TEXTJOIN(",",TRUE,B200:E200),SF_Output!$Q$1:$Q$400,"One Time",SF_Output!$L$1:$L$400,"hardware"))</f>
        <v/>
      </c>
      <c r="K200" s="112" t="str">
        <f>IF(OR(B200=0,B200="",G200="hardware",J200=0),"",IF(AF200&lt;&gt;"exclusion",MAX(K$9,-((SUMIFS(SF_Output!$T$1:$T$400,SF_Output!$AC$1:$AC$400,_xlfn.TEXTJOIN(",",TRUE,$B200:$E200),SF_Output!$Q$1:$Q$400,"One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license"))/J200)))</f>
        <v/>
      </c>
      <c r="L200" s="6" t="str">
        <f t="shared" si="35"/>
        <v/>
      </c>
      <c r="N200" s="6" t="str">
        <f>IF(B200="","",SUMIFS(SF_Output!$S$1:$S$400,SF_Output!$AC$1:$AC$400,_xlfn.TEXTJOIN(",",TRUE,B200:E200),SF_Output!$Q$1:$Q$400,"One Time",SF_Output!$L$1:$L$400,"professional service"))</f>
        <v/>
      </c>
      <c r="O200" s="112" t="str">
        <f>IF(OR(B200=0,B200="",N200=0),"",IF(AF200&lt;&gt;"exclusion",MAX(O$9,-(SUMIFS(SF_Output!$T$1:$T$400,SF_Output!$AC$1:$AC$400,_xlfn.TEXTJOIN(",",TRUE,$B200:$E200),SF_Output!$Q$1:$Q$400,"One Time",SF_Output!$L$1:$L$400,"professional service"))/N200),-((SUMIFS(SF_Output!$T$1:$T$400,SF_Output!$AC$1:$AC$400,_xlfn.TEXTJOIN(",",TRUE,$B200:$E200),SF_Output!$Q$1:$Q$400,"One Time",SF_Output!$L$1:$L$400,"professional service")/N200))))</f>
        <v/>
      </c>
      <c r="P200" s="6" t="str">
        <f t="shared" si="36"/>
        <v/>
      </c>
      <c r="R200" s="6" t="str">
        <f>IF(B200="","",SUMIFS(SF_Output!$S$1:$S$400,SF_Output!$AC$1:$AC$400,_xlfn.TEXTJOIN(",",TRUE,B200:E200),SF_Output!$Q$1:$Q$400,"yearly")+SUMIFS(SF_Output!$S$1:$S$400,SF_Output!$AC$1:$AC$400,_xlfn.TEXTJOIN(",",TRUE,B200:E200),SF_Output!$Q$1:$Q$400,"quarterly")*4)</f>
        <v/>
      </c>
      <c r="S200" s="112" t="str">
        <f>IF(OR(B200=0,B200="",G200="hardware",R200=0),"",IF(AF200&lt;&gt;"exclusion",MAX(S$9,-(SUMIFS(SF_Output!$T$1:$T$400,SF_Output!$AC$1:$AC$400,_xlfn.TEXTJOIN(",",TRUE,$B200:$E200),SF_Output!$Q$1:$Q$400,"yearly"))/R200),-((SUMIFS(SF_Output!$T$1:$T$400,SF_Output!$AC$1:$AC$400,_xlfn.TEXTJOIN(",",TRUE,$B200:$E200),SF_Output!$Q$1:$Q$400,"yearly")/R200))))</f>
        <v/>
      </c>
      <c r="T200" s="6" t="str">
        <f t="shared" si="37"/>
        <v/>
      </c>
      <c r="V200" s="6" t="str" cm="1">
        <f t="array" ref="V200">_xlfn.IFS(B200="","",AND(B200&lt;&gt;"",H200=SF_Output!$Y$2,SUMIFS(SF_Output!$T$1:$T$400,SF_Output!$AC$1:$AC$400,_xlfn.TEXTJOIN(",",TRUE,B200:E200),SF_Output!$Q$1:$Q$400,"monthly")=0),(SUMIFS(SF_Output!$F$1:$F$400,SF_Output!$AC$1:$AC$400,_xlfn.TEXTJOIN(",",TRUE,B200:E200),SF_Output!$Q$1:$Q$400,"monthly")+SUMIFS(SF_Output!$G$1:$G$400,SF_Output!$AC$1:$AC$400,_xlfn.TEXTJOIN(",",TRUE,B200:E200),SF_Output!$Q$1:$Q$400,"monthly"))*H200,AND(B200&lt;&gt;"",H200=SF_Output!$Y$2,SUMIFS(SF_Output!$T$1:$T$400,SF_Output!$AC$1:$AC$400,_xlfn.TEXTJOIN(",",TRUE,B200:E200),SF_Output!$Q$1:$Q$400,"monthly")&lt;&gt;0),SUMIFS(SF_Output!$S$1:$S$400,SF_Output!$AC$1:$AC$400,_xlfn.TEXTJOIN(",",TRUE,B200:E200),SF_Output!$Q$1:$Q$400,"monthly"),AND(B200&lt;&gt;"",H200&lt;&gt;SF_Output!$Y$2),SUMIFS(SF_Output!$S$1:$S$400,SF_Output!$AC$1:$AC$400,_xlfn.TEXTJOIN(",",TRUE,B200:E200),SF_Output!$Q$1:$Q$400,"monthly"))</f>
        <v/>
      </c>
      <c r="W200" s="112" t="str" cm="1">
        <f t="array" ref="W200">_xlfn.IFS(OR(B200=0,B200="",V200=0),"",AF200&lt;&gt;"exclusion",MAX($W$9,$W$7,(-(SUMIFS(SF_Output!$T$1:$T$400,SF_Output!$AC$1:$AC$400,_xlfn.TEXTJOIN(",",TRUE,$B200:$E200),SF_Output!$Q$1:$Q$400,"monthly"))/V200)),AF200="exclusion",-(SUMIFS(SF_Output!$T$1:$T$400,SF_Output!$AC$1:$AC$400,_xlfn.TEXTJOIN(",",TRUE,$B200:$E200),SF_Output!$Q$1:$Q$400,"monthly"))/V200)</f>
        <v/>
      </c>
      <c r="X200" s="6" t="str" cm="1">
        <f t="array" ref="X200">IFERROR(_xlfn.IFS(V200=0,0,V200="","",W200=0,V200,OR(V200&lt;&gt;0,V200&lt;&gt;""),H200*I200),V200*(1-W200))</f>
        <v/>
      </c>
      <c r="Z200" s="6" t="str">
        <f>IFERROR(IF(B200="","",SUMIFS(Billing_Fallout!H:H,Billing_Fallout!N:N,B200)),0)</f>
        <v/>
      </c>
      <c r="AA200" s="6" t="str">
        <f t="shared" si="38"/>
        <v/>
      </c>
      <c r="AB200" s="6" t="str">
        <f>IFERROR(IF(B200="","",SUMIFS(Billing_Fallout!J:J,Billing_Fallout!N:N,B200)),0)</f>
        <v/>
      </c>
      <c r="AD200" s="6" t="str">
        <f t="shared" si="39"/>
        <v/>
      </c>
      <c r="AF200" t="str">
        <f>IFERROR(INDEX(H_Tables!$B$1:$B$1500,MATCH(INDEX(SF_Output!$J$1:$J$400,MATCH(B200,SF_Output!$M$1:$M$400,0)),H_Tables!$A$1:$A$1500,0)),"")</f>
        <v/>
      </c>
      <c r="AI200" s="119" t="str">
        <f t="shared" si="40"/>
        <v/>
      </c>
      <c r="AJ200" s="121">
        <f>IFERROR(INDEX(SF_Output!AD:AD,MATCH(_xlfn.TEXTJOIN(",",TRUE,B200:E200),SF_Output!AC1:AC400,0)),0.05)</f>
        <v>241</v>
      </c>
      <c r="AK200" t="str">
        <f>IF(SUMIFS(SF_Output!$F$1:$F$400,SF_Output!$AC$1:$AC$400,_xlfn.TEXTJOIN(",",TRUE,B200:E200))+SUMIFS(SF_Output!$G$1:$G$400,SF_Output!$AC$1:$AC$400,_xlfn.TEXTJOIN(",",TRUE,B200:E200))=0,"","PAP")</f>
        <v/>
      </c>
      <c r="AQ200" s="35"/>
      <c r="AR200" s="35" t="str" cm="1">
        <f t="array" ref="AR200">IFERROR(_xlfn.IFS(AND(E200*1=1,F200="Included"),"Change to Included",AND(E200*1=0,F200="Optional"),"Change to Optional",OR(B200="",F200="replaced"),""),"")</f>
        <v/>
      </c>
      <c r="AS200" s="35" t="str">
        <f t="shared" si="41"/>
        <v/>
      </c>
      <c r="AT200" s="35" t="str">
        <f t="shared" si="42"/>
        <v/>
      </c>
      <c r="AU200" s="35" t="str">
        <f t="shared" si="43"/>
        <v/>
      </c>
      <c r="AV200" s="35" t="str">
        <f t="shared" si="44"/>
        <v/>
      </c>
      <c r="AW200" s="35" t="str">
        <f t="shared" si="45"/>
        <v/>
      </c>
      <c r="AX200" s="35" t="str">
        <f t="shared" si="46"/>
        <v/>
      </c>
      <c r="AY200" s="35" t="str">
        <f t="shared" si="47"/>
        <v/>
      </c>
      <c r="AZ200" s="35" t="str">
        <f t="shared" si="48"/>
        <v/>
      </c>
      <c r="BA200" s="35" t="str">
        <f t="shared" si="49"/>
        <v/>
      </c>
      <c r="BB200" s="35" t="str">
        <f t="shared" si="50"/>
        <v/>
      </c>
      <c r="BC200" s="35"/>
      <c r="BE200" s="35" t="e">
        <f>INDEX(SF_Output!$AA$2:$AA$400,MATCH($B200,SF_Output!$M$2:$M$400,0))</f>
        <v>#N/A</v>
      </c>
      <c r="BF200" s="35" t="e">
        <f>INDEX(SF_Output!$AB$2:$AB$400,MATCH($B200,SF_Output!$M$2:$M$400,0))</f>
        <v>#N/A</v>
      </c>
    </row>
    <row r="201" spans="6:58" x14ac:dyDescent="0.25">
      <c r="F201" s="116" t="str">
        <f t="shared" si="34"/>
        <v/>
      </c>
      <c r="G201" t="str">
        <f>IF(B201="","",INDEX(SF_Output!$K$1:$K$400,MATCH(B201,SF_Output!$M$1:$M$400,0)))</f>
        <v/>
      </c>
      <c r="H201" t="str" cm="1">
        <f t="array" ref="H201">_xlfn.IFS(B201="","",(SUMIFS(SF_Output!$F$1:$F$400,SF_Output!$AC$1:$AC$400,_xlfn.TEXTJOIN(",",TRUE,B201:E201))+SUMIFS(SF_Output!$G$1:$G$400,SF_Output!$AC$1:$AC$400,_xlfn.TEXTJOIN(",",TRUE,B201:E201)))&lt;&gt;0,SF_Output!$Y$2,INDEX(SF_Output!$F$1:$F$400,MATCH(_xlfn.TEXTJOIN(",",TRUE,B201:E201),SF_Output!$AC$1:$AC$400,0))=0,INDEX(SF_Output!$R$1:$R$400,MATCH(_xlfn.TEXTJOIN(",",TRUE,B201:E201),SF_Output!$AC$1:$AC$400,0)))</f>
        <v/>
      </c>
      <c r="I201" s="125" t="str">
        <f>IFERROR(IF(AND(H201&gt;1,H201&lt;&gt;""),ROUND(SUMIFS(SF_Output!$S$1:$S$400,SF_Output!$AC$1:$AC$400,_xlfn.TEXTJOIN(",",TRUE,B201:E201),SF_Output!$Q$1:$Q$400,"monthly")*(1-W201)/H201,4),""),"")</f>
        <v/>
      </c>
      <c r="J201" s="6" t="str">
        <f>IF(B201="","",SUMIFS(SF_Output!$S$1:$S$400,SF_Output!$AC$1:$AC$400,_xlfn.TEXTJOIN(",",TRUE,B201:E201),SF_Output!$Q$1:$Q$400,"One Time",SF_Output!$L$1:$L$400,"license fee")+SUMIFS(SF_Output!$S$1:$S$400,SF_Output!$AC$1:$AC$400,_xlfn.TEXTJOIN(",",TRUE,B201:E201),SF_Output!$Q$1:$Q$400,"One Time",SF_Output!$L$1:$L$400,"software license")+SUMIFS(SF_Output!$S$1:$S$400,SF_Output!$AC$1:$AC$400,_xlfn.TEXTJOIN(",",TRUE,B201:E201),SF_Output!$Q$1:$Q$400,"One Time",SF_Output!$L$1:$L$400,"hardware"))</f>
        <v/>
      </c>
      <c r="K201" s="112" t="str">
        <f>IF(OR(B201=0,B201="",G201="hardware",J201=0),"",IF(AF201&lt;&gt;"exclusion",MAX(K$9,-((SUMIFS(SF_Output!$T$1:$T$400,SF_Output!$AC$1:$AC$400,_xlfn.TEXTJOIN(",",TRUE,$B201:$E201),SF_Output!$Q$1:$Q$400,"One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license"))/J201)))</f>
        <v/>
      </c>
      <c r="L201" s="6" t="str">
        <f t="shared" si="35"/>
        <v/>
      </c>
      <c r="N201" s="6" t="str">
        <f>IF(B201="","",SUMIFS(SF_Output!$S$1:$S$400,SF_Output!$AC$1:$AC$400,_xlfn.TEXTJOIN(",",TRUE,B201:E201),SF_Output!$Q$1:$Q$400,"One Time",SF_Output!$L$1:$L$400,"professional service"))</f>
        <v/>
      </c>
      <c r="O201" s="112" t="str">
        <f>IF(OR(B201=0,B201="",N201=0),"",IF(AF201&lt;&gt;"exclusion",MAX(O$9,-(SUMIFS(SF_Output!$T$1:$T$400,SF_Output!$AC$1:$AC$400,_xlfn.TEXTJOIN(",",TRUE,$B201:$E201),SF_Output!$Q$1:$Q$400,"One Time",SF_Output!$L$1:$L$400,"professional service"))/N201),-((SUMIFS(SF_Output!$T$1:$T$400,SF_Output!$AC$1:$AC$400,_xlfn.TEXTJOIN(",",TRUE,$B201:$E201),SF_Output!$Q$1:$Q$400,"One Time",SF_Output!$L$1:$L$400,"professional service")/N201))))</f>
        <v/>
      </c>
      <c r="P201" s="6" t="str">
        <f t="shared" si="36"/>
        <v/>
      </c>
      <c r="R201" s="6" t="str">
        <f>IF(B201="","",SUMIFS(SF_Output!$S$1:$S$400,SF_Output!$AC$1:$AC$400,_xlfn.TEXTJOIN(",",TRUE,B201:E201),SF_Output!$Q$1:$Q$400,"yearly")+SUMIFS(SF_Output!$S$1:$S$400,SF_Output!$AC$1:$AC$400,_xlfn.TEXTJOIN(",",TRUE,B201:E201),SF_Output!$Q$1:$Q$400,"quarterly")*4)</f>
        <v/>
      </c>
      <c r="S201" s="112" t="str">
        <f>IF(OR(B201=0,B201="",G201="hardware",R201=0),"",IF(AF201&lt;&gt;"exclusion",MAX(S$9,-(SUMIFS(SF_Output!$T$1:$T$400,SF_Output!$AC$1:$AC$400,_xlfn.TEXTJOIN(",",TRUE,$B201:$E201),SF_Output!$Q$1:$Q$400,"yearly"))/R201),-((SUMIFS(SF_Output!$T$1:$T$400,SF_Output!$AC$1:$AC$400,_xlfn.TEXTJOIN(",",TRUE,$B201:$E201),SF_Output!$Q$1:$Q$400,"yearly")/R201))))</f>
        <v/>
      </c>
      <c r="T201" s="6" t="str">
        <f t="shared" si="37"/>
        <v/>
      </c>
      <c r="V201" s="6" t="str" cm="1">
        <f t="array" ref="V201">_xlfn.IFS(B201="","",AND(B201&lt;&gt;"",H201=SF_Output!$Y$2,SUMIFS(SF_Output!$T$1:$T$400,SF_Output!$AC$1:$AC$400,_xlfn.TEXTJOIN(",",TRUE,B201:E201),SF_Output!$Q$1:$Q$400,"monthly")=0),(SUMIFS(SF_Output!$F$1:$F$400,SF_Output!$AC$1:$AC$400,_xlfn.TEXTJOIN(",",TRUE,B201:E201),SF_Output!$Q$1:$Q$400,"monthly")+SUMIFS(SF_Output!$G$1:$G$400,SF_Output!$AC$1:$AC$400,_xlfn.TEXTJOIN(",",TRUE,B201:E201),SF_Output!$Q$1:$Q$400,"monthly"))*H201,AND(B201&lt;&gt;"",H201=SF_Output!$Y$2,SUMIFS(SF_Output!$T$1:$T$400,SF_Output!$AC$1:$AC$400,_xlfn.TEXTJOIN(",",TRUE,B201:E201),SF_Output!$Q$1:$Q$400,"monthly")&lt;&gt;0),SUMIFS(SF_Output!$S$1:$S$400,SF_Output!$AC$1:$AC$400,_xlfn.TEXTJOIN(",",TRUE,B201:E201),SF_Output!$Q$1:$Q$400,"monthly"),AND(B201&lt;&gt;"",H201&lt;&gt;SF_Output!$Y$2),SUMIFS(SF_Output!$S$1:$S$400,SF_Output!$AC$1:$AC$400,_xlfn.TEXTJOIN(",",TRUE,B201:E201),SF_Output!$Q$1:$Q$400,"monthly"))</f>
        <v/>
      </c>
      <c r="W201" s="112" t="str" cm="1">
        <f t="array" ref="W201">_xlfn.IFS(OR(B201=0,B201="",V201=0),"",AF201&lt;&gt;"exclusion",MAX($W$9,$W$7,(-(SUMIFS(SF_Output!$T$1:$T$400,SF_Output!$AC$1:$AC$400,_xlfn.TEXTJOIN(",",TRUE,$B201:$E201),SF_Output!$Q$1:$Q$400,"monthly"))/V201)),AF201="exclusion",-(SUMIFS(SF_Output!$T$1:$T$400,SF_Output!$AC$1:$AC$400,_xlfn.TEXTJOIN(",",TRUE,$B201:$E201),SF_Output!$Q$1:$Q$400,"monthly"))/V201)</f>
        <v/>
      </c>
      <c r="X201" s="6" t="str" cm="1">
        <f t="array" ref="X201">IFERROR(_xlfn.IFS(V201=0,0,V201="","",W201=0,V201,OR(V201&lt;&gt;0,V201&lt;&gt;""),H201*I201),V201*(1-W201))</f>
        <v/>
      </c>
      <c r="Z201" s="6" t="str">
        <f>IFERROR(IF(B201="","",SUMIFS(Billing_Fallout!H:H,Billing_Fallout!N:N,B201)),0)</f>
        <v/>
      </c>
      <c r="AA201" s="6" t="str">
        <f t="shared" si="38"/>
        <v/>
      </c>
      <c r="AB201" s="6" t="str">
        <f>IFERROR(IF(B201="","",SUMIFS(Billing_Fallout!J:J,Billing_Fallout!N:N,B201)),0)</f>
        <v/>
      </c>
      <c r="AD201" s="6" t="str">
        <f t="shared" si="39"/>
        <v/>
      </c>
      <c r="AF201" t="str">
        <f>IFERROR(INDEX(H_Tables!$B$1:$B$1500,MATCH(INDEX(SF_Output!$J$1:$J$400,MATCH(B201,SF_Output!$M$1:$M$400,0)),H_Tables!$A$1:$A$1500,0)),"")</f>
        <v/>
      </c>
      <c r="AI201" s="119" t="str">
        <f t="shared" si="40"/>
        <v/>
      </c>
      <c r="AJ201" s="121">
        <f>IFERROR(INDEX(SF_Output!AD:AD,MATCH(_xlfn.TEXTJOIN(",",TRUE,B201:E201),SF_Output!AC1:AC400,0)),0.05)</f>
        <v>241</v>
      </c>
      <c r="AK201" t="str">
        <f>IF(SUMIFS(SF_Output!$F$1:$F$400,SF_Output!$AC$1:$AC$400,_xlfn.TEXTJOIN(",",TRUE,B201:E201))+SUMIFS(SF_Output!$G$1:$G$400,SF_Output!$AC$1:$AC$400,_xlfn.TEXTJOIN(",",TRUE,B201:E201))=0,"","PAP")</f>
        <v/>
      </c>
      <c r="AQ201" s="35"/>
      <c r="AR201" s="35" t="str" cm="1">
        <f t="array" ref="AR201">IFERROR(_xlfn.IFS(AND(E201*1=1,F201="Included"),"Change to Included",AND(E201*1=0,F201="Optional"),"Change to Optional",OR(B201="",F201="replaced"),""),"")</f>
        <v/>
      </c>
      <c r="AS201" s="35" t="str">
        <f t="shared" si="41"/>
        <v/>
      </c>
      <c r="AT201" s="35" t="str">
        <f t="shared" si="42"/>
        <v/>
      </c>
      <c r="AU201" s="35" t="str">
        <f t="shared" si="43"/>
        <v/>
      </c>
      <c r="AV201" s="35" t="str">
        <f t="shared" si="44"/>
        <v/>
      </c>
      <c r="AW201" s="35" t="str">
        <f t="shared" si="45"/>
        <v/>
      </c>
      <c r="AX201" s="35" t="str">
        <f t="shared" si="46"/>
        <v/>
      </c>
      <c r="AY201" s="35" t="str">
        <f t="shared" si="47"/>
        <v/>
      </c>
      <c r="AZ201" s="35" t="str">
        <f t="shared" si="48"/>
        <v/>
      </c>
      <c r="BA201" s="35" t="str">
        <f t="shared" si="49"/>
        <v/>
      </c>
      <c r="BB201" s="35" t="str">
        <f t="shared" si="50"/>
        <v/>
      </c>
      <c r="BC201" s="35"/>
      <c r="BE201" s="35" t="e">
        <f>INDEX(SF_Output!$AA$2:$AA$400,MATCH($B201,SF_Output!$M$2:$M$400,0))</f>
        <v>#N/A</v>
      </c>
      <c r="BF201" s="35" t="e">
        <f>INDEX(SF_Output!$AB$2:$AB$400,MATCH($B201,SF_Output!$M$2:$M$400,0))</f>
        <v>#N/A</v>
      </c>
    </row>
    <row r="202" spans="6:58" x14ac:dyDescent="0.25">
      <c r="F202" s="116" t="str">
        <f t="shared" si="34"/>
        <v/>
      </c>
      <c r="G202" t="str">
        <f>IF(B202="","",INDEX(SF_Output!$K$1:$K$400,MATCH(B202,SF_Output!$M$1:$M$400,0)))</f>
        <v/>
      </c>
      <c r="H202" t="str" cm="1">
        <f t="array" ref="H202">_xlfn.IFS(B202="","",(SUMIFS(SF_Output!$F$1:$F$400,SF_Output!$AC$1:$AC$400,_xlfn.TEXTJOIN(",",TRUE,B202:E202))+SUMIFS(SF_Output!$G$1:$G$400,SF_Output!$AC$1:$AC$400,_xlfn.TEXTJOIN(",",TRUE,B202:E202)))&lt;&gt;0,SF_Output!$Y$2,INDEX(SF_Output!$F$1:$F$400,MATCH(_xlfn.TEXTJOIN(",",TRUE,B202:E202),SF_Output!$AC$1:$AC$400,0))=0,INDEX(SF_Output!$R$1:$R$400,MATCH(_xlfn.TEXTJOIN(",",TRUE,B202:E202),SF_Output!$AC$1:$AC$400,0)))</f>
        <v/>
      </c>
      <c r="I202" s="125" t="str">
        <f>IFERROR(IF(AND(H202&gt;1,H202&lt;&gt;""),ROUND(SUMIFS(SF_Output!$S$1:$S$400,SF_Output!$AC$1:$AC$400,_xlfn.TEXTJOIN(",",TRUE,B202:E202),SF_Output!$Q$1:$Q$400,"monthly")*(1-W202)/H202,4),""),"")</f>
        <v/>
      </c>
      <c r="J202" s="6" t="str">
        <f>IF(B202="","",SUMIFS(SF_Output!$S$1:$S$400,SF_Output!$AC$1:$AC$400,_xlfn.TEXTJOIN(",",TRUE,B202:E202),SF_Output!$Q$1:$Q$400,"One Time",SF_Output!$L$1:$L$400,"license fee")+SUMIFS(SF_Output!$S$1:$S$400,SF_Output!$AC$1:$AC$400,_xlfn.TEXTJOIN(",",TRUE,B202:E202),SF_Output!$Q$1:$Q$400,"One Time",SF_Output!$L$1:$L$400,"software license")+SUMIFS(SF_Output!$S$1:$S$400,SF_Output!$AC$1:$AC$400,_xlfn.TEXTJOIN(",",TRUE,B202:E202),SF_Output!$Q$1:$Q$400,"One Time",SF_Output!$L$1:$L$400,"hardware"))</f>
        <v/>
      </c>
      <c r="K202" s="112" t="str">
        <f>IF(OR(B202=0,B202="",G202="hardware",J202=0),"",IF(AF202&lt;&gt;"exclusion",MAX(K$9,-((SUMIFS(SF_Output!$T$1:$T$400,SF_Output!$AC$1:$AC$400,_xlfn.TEXTJOIN(",",TRUE,$B202:$E202),SF_Output!$Q$1:$Q$400,"One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license"))/J202)))</f>
        <v/>
      </c>
      <c r="L202" s="6" t="str">
        <f t="shared" si="35"/>
        <v/>
      </c>
      <c r="N202" s="6" t="str">
        <f>IF(B202="","",SUMIFS(SF_Output!$S$1:$S$400,SF_Output!$AC$1:$AC$400,_xlfn.TEXTJOIN(",",TRUE,B202:E202),SF_Output!$Q$1:$Q$400,"One Time",SF_Output!$L$1:$L$400,"professional service"))</f>
        <v/>
      </c>
      <c r="O202" s="112" t="str">
        <f>IF(OR(B202=0,B202="",N202=0),"",IF(AF202&lt;&gt;"exclusion",MAX(O$9,-(SUMIFS(SF_Output!$T$1:$T$400,SF_Output!$AC$1:$AC$400,_xlfn.TEXTJOIN(",",TRUE,$B202:$E202),SF_Output!$Q$1:$Q$400,"One Time",SF_Output!$L$1:$L$400,"professional service"))/N202),-((SUMIFS(SF_Output!$T$1:$T$400,SF_Output!$AC$1:$AC$400,_xlfn.TEXTJOIN(",",TRUE,$B202:$E202),SF_Output!$Q$1:$Q$400,"One Time",SF_Output!$L$1:$L$400,"professional service")/N202))))</f>
        <v/>
      </c>
      <c r="P202" s="6" t="str">
        <f t="shared" si="36"/>
        <v/>
      </c>
      <c r="R202" s="6" t="str">
        <f>IF(B202="","",SUMIFS(SF_Output!$S$1:$S$400,SF_Output!$AC$1:$AC$400,_xlfn.TEXTJOIN(",",TRUE,B202:E202),SF_Output!$Q$1:$Q$400,"yearly")+SUMIFS(SF_Output!$S$1:$S$400,SF_Output!$AC$1:$AC$400,_xlfn.TEXTJOIN(",",TRUE,B202:E202),SF_Output!$Q$1:$Q$400,"quarterly")*4)</f>
        <v/>
      </c>
      <c r="S202" s="112" t="str">
        <f>IF(OR(B202=0,B202="",G202="hardware",R202=0),"",IF(AF202&lt;&gt;"exclusion",MAX(S$9,-(SUMIFS(SF_Output!$T$1:$T$400,SF_Output!$AC$1:$AC$400,_xlfn.TEXTJOIN(",",TRUE,$B202:$E202),SF_Output!$Q$1:$Q$400,"yearly"))/R202),-((SUMIFS(SF_Output!$T$1:$T$400,SF_Output!$AC$1:$AC$400,_xlfn.TEXTJOIN(",",TRUE,$B202:$E202),SF_Output!$Q$1:$Q$400,"yearly")/R202))))</f>
        <v/>
      </c>
      <c r="T202" s="6" t="str">
        <f t="shared" si="37"/>
        <v/>
      </c>
      <c r="V202" s="6" t="str" cm="1">
        <f t="array" ref="V202">_xlfn.IFS(B202="","",AND(B202&lt;&gt;"",H202=SF_Output!$Y$2,SUMIFS(SF_Output!$T$1:$T$400,SF_Output!$AC$1:$AC$400,_xlfn.TEXTJOIN(",",TRUE,B202:E202),SF_Output!$Q$1:$Q$400,"monthly")=0),(SUMIFS(SF_Output!$F$1:$F$400,SF_Output!$AC$1:$AC$400,_xlfn.TEXTJOIN(",",TRUE,B202:E202),SF_Output!$Q$1:$Q$400,"monthly")+SUMIFS(SF_Output!$G$1:$G$400,SF_Output!$AC$1:$AC$400,_xlfn.TEXTJOIN(",",TRUE,B202:E202),SF_Output!$Q$1:$Q$400,"monthly"))*H202,AND(B202&lt;&gt;"",H202=SF_Output!$Y$2,SUMIFS(SF_Output!$T$1:$T$400,SF_Output!$AC$1:$AC$400,_xlfn.TEXTJOIN(",",TRUE,B202:E202),SF_Output!$Q$1:$Q$400,"monthly")&lt;&gt;0),SUMIFS(SF_Output!$S$1:$S$400,SF_Output!$AC$1:$AC$400,_xlfn.TEXTJOIN(",",TRUE,B202:E202),SF_Output!$Q$1:$Q$400,"monthly"),AND(B202&lt;&gt;"",H202&lt;&gt;SF_Output!$Y$2),SUMIFS(SF_Output!$S$1:$S$400,SF_Output!$AC$1:$AC$400,_xlfn.TEXTJOIN(",",TRUE,B202:E202),SF_Output!$Q$1:$Q$400,"monthly"))</f>
        <v/>
      </c>
      <c r="W202" s="112" t="str" cm="1">
        <f t="array" ref="W202">_xlfn.IFS(OR(B202=0,B202="",V202=0),"",AF202&lt;&gt;"exclusion",MAX($W$9,$W$7,(-(SUMIFS(SF_Output!$T$1:$T$400,SF_Output!$AC$1:$AC$400,_xlfn.TEXTJOIN(",",TRUE,$B202:$E202),SF_Output!$Q$1:$Q$400,"monthly"))/V202)),AF202="exclusion",-(SUMIFS(SF_Output!$T$1:$T$400,SF_Output!$AC$1:$AC$400,_xlfn.TEXTJOIN(",",TRUE,$B202:$E202),SF_Output!$Q$1:$Q$400,"monthly"))/V202)</f>
        <v/>
      </c>
      <c r="X202" s="6" t="str" cm="1">
        <f t="array" ref="X202">IFERROR(_xlfn.IFS(V202=0,0,V202="","",W202=0,V202,OR(V202&lt;&gt;0,V202&lt;&gt;""),H202*I202),V202*(1-W202))</f>
        <v/>
      </c>
      <c r="Z202" s="6" t="str">
        <f>IFERROR(IF(B202="","",SUMIFS(Billing_Fallout!H:H,Billing_Fallout!N:N,B202)),0)</f>
        <v/>
      </c>
      <c r="AA202" s="6" t="str">
        <f t="shared" si="38"/>
        <v/>
      </c>
      <c r="AB202" s="6" t="str">
        <f>IFERROR(IF(B202="","",SUMIFS(Billing_Fallout!J:J,Billing_Fallout!N:N,B202)),0)</f>
        <v/>
      </c>
      <c r="AD202" s="6" t="str">
        <f t="shared" si="39"/>
        <v/>
      </c>
      <c r="AF202" t="str">
        <f>IFERROR(INDEX(H_Tables!$B$1:$B$1500,MATCH(INDEX(SF_Output!$J$1:$J$400,MATCH(B202,SF_Output!$M$1:$M$400,0)),H_Tables!$A$1:$A$1500,0)),"")</f>
        <v/>
      </c>
      <c r="AI202" s="119" t="str">
        <f t="shared" si="40"/>
        <v/>
      </c>
      <c r="AJ202" s="121">
        <f>IFERROR(INDEX(SF_Output!AD:AD,MATCH(_xlfn.TEXTJOIN(",",TRUE,B202:E202),SF_Output!AC1:AC400,0)),0.05)</f>
        <v>241</v>
      </c>
      <c r="AK202" t="str">
        <f>IF(SUMIFS(SF_Output!$F$1:$F$400,SF_Output!$AC$1:$AC$400,_xlfn.TEXTJOIN(",",TRUE,B202:E202))+SUMIFS(SF_Output!$G$1:$G$400,SF_Output!$AC$1:$AC$400,_xlfn.TEXTJOIN(",",TRUE,B202:E202))=0,"","PAP")</f>
        <v/>
      </c>
      <c r="AQ202" s="35"/>
      <c r="AR202" s="35" t="str" cm="1">
        <f t="array" ref="AR202">IFERROR(_xlfn.IFS(AND(E202*1=1,F202="Included"),"Change to Included",AND(E202*1=0,F202="Optional"),"Change to Optional",OR(B202="",F202="replaced"),""),"")</f>
        <v/>
      </c>
      <c r="AS202" s="35" t="str">
        <f t="shared" si="41"/>
        <v/>
      </c>
      <c r="AT202" s="35" t="str">
        <f t="shared" si="42"/>
        <v/>
      </c>
      <c r="AU202" s="35" t="str">
        <f t="shared" si="43"/>
        <v/>
      </c>
      <c r="AV202" s="35" t="str">
        <f t="shared" si="44"/>
        <v/>
      </c>
      <c r="AW202" s="35" t="str">
        <f t="shared" si="45"/>
        <v/>
      </c>
      <c r="AX202" s="35" t="str">
        <f t="shared" si="46"/>
        <v/>
      </c>
      <c r="AY202" s="35" t="str">
        <f t="shared" si="47"/>
        <v/>
      </c>
      <c r="AZ202" s="35" t="str">
        <f t="shared" si="48"/>
        <v/>
      </c>
      <c r="BA202" s="35" t="str">
        <f t="shared" si="49"/>
        <v/>
      </c>
      <c r="BB202" s="35" t="str">
        <f t="shared" si="50"/>
        <v/>
      </c>
      <c r="BC202" s="35"/>
      <c r="BE202" s="35" t="e">
        <f>INDEX(SF_Output!$AA$2:$AA$400,MATCH($B202,SF_Output!$M$2:$M$400,0))</f>
        <v>#N/A</v>
      </c>
      <c r="BF202" s="35" t="e">
        <f>INDEX(SF_Output!$AB$2:$AB$400,MATCH($B202,SF_Output!$M$2:$M$400,0))</f>
        <v>#N/A</v>
      </c>
    </row>
    <row r="203" spans="6:58" x14ac:dyDescent="0.25">
      <c r="F203" s="116" t="str">
        <f t="shared" si="34"/>
        <v/>
      </c>
      <c r="G203" t="str">
        <f>IF(B203="","",INDEX(SF_Output!$K$1:$K$400,MATCH(B203,SF_Output!$M$1:$M$400,0)))</f>
        <v/>
      </c>
      <c r="H203" t="str" cm="1">
        <f t="array" ref="H203">_xlfn.IFS(B203="","",(SUMIFS(SF_Output!$F$1:$F$400,SF_Output!$AC$1:$AC$400,_xlfn.TEXTJOIN(",",TRUE,B203:E203))+SUMIFS(SF_Output!$G$1:$G$400,SF_Output!$AC$1:$AC$400,_xlfn.TEXTJOIN(",",TRUE,B203:E203)))&lt;&gt;0,SF_Output!$Y$2,INDEX(SF_Output!$F$1:$F$400,MATCH(_xlfn.TEXTJOIN(",",TRUE,B203:E203),SF_Output!$AC$1:$AC$400,0))=0,INDEX(SF_Output!$R$1:$R$400,MATCH(_xlfn.TEXTJOIN(",",TRUE,B203:E203),SF_Output!$AC$1:$AC$400,0)))</f>
        <v/>
      </c>
      <c r="I203" s="125" t="str">
        <f>IFERROR(IF(AND(H203&gt;1,H203&lt;&gt;""),ROUND(SUMIFS(SF_Output!$S$1:$S$400,SF_Output!$AC$1:$AC$400,_xlfn.TEXTJOIN(",",TRUE,B203:E203),SF_Output!$Q$1:$Q$400,"monthly")*(1-W203)/H203,4),""),"")</f>
        <v/>
      </c>
      <c r="J203" s="6" t="str">
        <f>IF(B203="","",SUMIFS(SF_Output!$S$1:$S$400,SF_Output!$AC$1:$AC$400,_xlfn.TEXTJOIN(",",TRUE,B203:E203),SF_Output!$Q$1:$Q$400,"One Time",SF_Output!$L$1:$L$400,"license fee")+SUMIFS(SF_Output!$S$1:$S$400,SF_Output!$AC$1:$AC$400,_xlfn.TEXTJOIN(",",TRUE,B203:E203),SF_Output!$Q$1:$Q$400,"One Time",SF_Output!$L$1:$L$400,"software license")+SUMIFS(SF_Output!$S$1:$S$400,SF_Output!$AC$1:$AC$400,_xlfn.TEXTJOIN(",",TRUE,B203:E203),SF_Output!$Q$1:$Q$400,"One Time",SF_Output!$L$1:$L$400,"hardware"))</f>
        <v/>
      </c>
      <c r="K203" s="112" t="str">
        <f>IF(OR(B203=0,B203="",G203="hardware",J203=0),"",IF(AF203&lt;&gt;"exclusion",MAX(K$9,-((SUMIFS(SF_Output!$T$1:$T$400,SF_Output!$AC$1:$AC$400,_xlfn.TEXTJOIN(",",TRUE,$B203:$E203),SF_Output!$Q$1:$Q$400,"One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license"))/J203)))</f>
        <v/>
      </c>
      <c r="L203" s="6" t="str">
        <f t="shared" si="35"/>
        <v/>
      </c>
      <c r="N203" s="6" t="str">
        <f>IF(B203="","",SUMIFS(SF_Output!$S$1:$S$400,SF_Output!$AC$1:$AC$400,_xlfn.TEXTJOIN(",",TRUE,B203:E203),SF_Output!$Q$1:$Q$400,"One Time",SF_Output!$L$1:$L$400,"professional service"))</f>
        <v/>
      </c>
      <c r="O203" s="112" t="str">
        <f>IF(OR(B203=0,B203="",N203=0),"",IF(AF203&lt;&gt;"exclusion",MAX(O$9,-(SUMIFS(SF_Output!$T$1:$T$400,SF_Output!$AC$1:$AC$400,_xlfn.TEXTJOIN(",",TRUE,$B203:$E203),SF_Output!$Q$1:$Q$400,"One Time",SF_Output!$L$1:$L$400,"professional service"))/N203),-((SUMIFS(SF_Output!$T$1:$T$400,SF_Output!$AC$1:$AC$400,_xlfn.TEXTJOIN(",",TRUE,$B203:$E203),SF_Output!$Q$1:$Q$400,"One Time",SF_Output!$L$1:$L$400,"professional service")/N203))))</f>
        <v/>
      </c>
      <c r="P203" s="6" t="str">
        <f t="shared" si="36"/>
        <v/>
      </c>
      <c r="R203" s="6" t="str">
        <f>IF(B203="","",SUMIFS(SF_Output!$S$1:$S$400,SF_Output!$AC$1:$AC$400,_xlfn.TEXTJOIN(",",TRUE,B203:E203),SF_Output!$Q$1:$Q$400,"yearly")+SUMIFS(SF_Output!$S$1:$S$400,SF_Output!$AC$1:$AC$400,_xlfn.TEXTJOIN(",",TRUE,B203:E203),SF_Output!$Q$1:$Q$400,"quarterly")*4)</f>
        <v/>
      </c>
      <c r="S203" s="112" t="str">
        <f>IF(OR(B203=0,B203="",G203="hardware",R203=0),"",IF(AF203&lt;&gt;"exclusion",MAX(S$9,-(SUMIFS(SF_Output!$T$1:$T$400,SF_Output!$AC$1:$AC$400,_xlfn.TEXTJOIN(",",TRUE,$B203:$E203),SF_Output!$Q$1:$Q$400,"yearly"))/R203),-((SUMIFS(SF_Output!$T$1:$T$400,SF_Output!$AC$1:$AC$400,_xlfn.TEXTJOIN(",",TRUE,$B203:$E203),SF_Output!$Q$1:$Q$400,"yearly")/R203))))</f>
        <v/>
      </c>
      <c r="T203" s="6" t="str">
        <f t="shared" si="37"/>
        <v/>
      </c>
      <c r="V203" s="6" t="str" cm="1">
        <f t="array" ref="V203">_xlfn.IFS(B203="","",AND(B203&lt;&gt;"",H203=SF_Output!$Y$2,SUMIFS(SF_Output!$T$1:$T$400,SF_Output!$AC$1:$AC$400,_xlfn.TEXTJOIN(",",TRUE,B203:E203),SF_Output!$Q$1:$Q$400,"monthly")=0),(SUMIFS(SF_Output!$F$1:$F$400,SF_Output!$AC$1:$AC$400,_xlfn.TEXTJOIN(",",TRUE,B203:E203),SF_Output!$Q$1:$Q$400,"monthly")+SUMIFS(SF_Output!$G$1:$G$400,SF_Output!$AC$1:$AC$400,_xlfn.TEXTJOIN(",",TRUE,B203:E203),SF_Output!$Q$1:$Q$400,"monthly"))*H203,AND(B203&lt;&gt;"",H203=SF_Output!$Y$2,SUMIFS(SF_Output!$T$1:$T$400,SF_Output!$AC$1:$AC$400,_xlfn.TEXTJOIN(",",TRUE,B203:E203),SF_Output!$Q$1:$Q$400,"monthly")&lt;&gt;0),SUMIFS(SF_Output!$S$1:$S$400,SF_Output!$AC$1:$AC$400,_xlfn.TEXTJOIN(",",TRUE,B203:E203),SF_Output!$Q$1:$Q$400,"monthly"),AND(B203&lt;&gt;"",H203&lt;&gt;SF_Output!$Y$2),SUMIFS(SF_Output!$S$1:$S$400,SF_Output!$AC$1:$AC$400,_xlfn.TEXTJOIN(",",TRUE,B203:E203),SF_Output!$Q$1:$Q$400,"monthly"))</f>
        <v/>
      </c>
      <c r="W203" s="112" t="str" cm="1">
        <f t="array" ref="W203">_xlfn.IFS(OR(B203=0,B203="",V203=0),"",AF203&lt;&gt;"exclusion",MAX($W$9,$W$7,(-(SUMIFS(SF_Output!$T$1:$T$400,SF_Output!$AC$1:$AC$400,_xlfn.TEXTJOIN(",",TRUE,$B203:$E203),SF_Output!$Q$1:$Q$400,"monthly"))/V203)),AF203="exclusion",-(SUMIFS(SF_Output!$T$1:$T$400,SF_Output!$AC$1:$AC$400,_xlfn.TEXTJOIN(",",TRUE,$B203:$E203),SF_Output!$Q$1:$Q$400,"monthly"))/V203)</f>
        <v/>
      </c>
      <c r="X203" s="6" t="str" cm="1">
        <f t="array" ref="X203">IFERROR(_xlfn.IFS(V203=0,0,V203="","",W203=0,V203,OR(V203&lt;&gt;0,V203&lt;&gt;""),H203*I203),V203*(1-W203))</f>
        <v/>
      </c>
      <c r="Z203" s="6" t="str">
        <f>IFERROR(IF(B203="","",SUMIFS(Billing_Fallout!H:H,Billing_Fallout!N:N,B203)),0)</f>
        <v/>
      </c>
      <c r="AA203" s="6" t="str">
        <f t="shared" si="38"/>
        <v/>
      </c>
      <c r="AB203" s="6" t="str">
        <f>IFERROR(IF(B203="","",SUMIFS(Billing_Fallout!J:J,Billing_Fallout!N:N,B203)),0)</f>
        <v/>
      </c>
      <c r="AD203" s="6" t="str">
        <f t="shared" si="39"/>
        <v/>
      </c>
      <c r="AF203" t="str">
        <f>IFERROR(INDEX(H_Tables!$B$1:$B$1500,MATCH(INDEX(SF_Output!$J$1:$J$400,MATCH(B203,SF_Output!$M$1:$M$400,0)),H_Tables!$A$1:$A$1500,0)),"")</f>
        <v/>
      </c>
      <c r="AI203" s="119" t="str">
        <f t="shared" si="40"/>
        <v/>
      </c>
      <c r="AJ203" s="121">
        <f>IFERROR(INDEX(SF_Output!AD:AD,MATCH(_xlfn.TEXTJOIN(",",TRUE,B203:E203),SF_Output!AC1:AC400,0)),0.05)</f>
        <v>241</v>
      </c>
      <c r="AK203" t="str">
        <f>IF(SUMIFS(SF_Output!$F$1:$F$400,SF_Output!$AC$1:$AC$400,_xlfn.TEXTJOIN(",",TRUE,B203:E203))+SUMIFS(SF_Output!$G$1:$G$400,SF_Output!$AC$1:$AC$400,_xlfn.TEXTJOIN(",",TRUE,B203:E203))=0,"","PAP")</f>
        <v/>
      </c>
      <c r="AQ203" s="35"/>
      <c r="AR203" s="35" t="str" cm="1">
        <f t="array" ref="AR203">IFERROR(_xlfn.IFS(AND(E203*1=1,F203="Included"),"Change to Included",AND(E203*1=0,F203="Optional"),"Change to Optional",OR(B203="",F203="replaced"),""),"")</f>
        <v/>
      </c>
      <c r="AS203" s="35" t="str">
        <f t="shared" si="41"/>
        <v/>
      </c>
      <c r="AT203" s="35" t="str">
        <f t="shared" si="42"/>
        <v/>
      </c>
      <c r="AU203" s="35" t="str">
        <f t="shared" si="43"/>
        <v/>
      </c>
      <c r="AV203" s="35" t="str">
        <f t="shared" si="44"/>
        <v/>
      </c>
      <c r="AW203" s="35" t="str">
        <f t="shared" si="45"/>
        <v/>
      </c>
      <c r="AX203" s="35" t="str">
        <f t="shared" si="46"/>
        <v/>
      </c>
      <c r="AY203" s="35" t="str">
        <f t="shared" si="47"/>
        <v/>
      </c>
      <c r="AZ203" s="35" t="str">
        <f t="shared" si="48"/>
        <v/>
      </c>
      <c r="BA203" s="35" t="str">
        <f t="shared" si="49"/>
        <v/>
      </c>
      <c r="BB203" s="35" t="str">
        <f t="shared" si="50"/>
        <v/>
      </c>
      <c r="BC203" s="35"/>
      <c r="BE203" s="35" t="e">
        <f>INDEX(SF_Output!$AA$2:$AA$400,MATCH($B203,SF_Output!$M$2:$M$400,0))</f>
        <v>#N/A</v>
      </c>
      <c r="BF203" s="35" t="e">
        <f>INDEX(SF_Output!$AB$2:$AB$400,MATCH($B203,SF_Output!$M$2:$M$400,0))</f>
        <v>#N/A</v>
      </c>
    </row>
    <row r="204" spans="6:58" x14ac:dyDescent="0.25">
      <c r="F204" s="116" t="str">
        <f t="shared" si="34"/>
        <v/>
      </c>
      <c r="G204" t="str">
        <f>IF(B204="","",INDEX(SF_Output!$K$1:$K$400,MATCH(B204,SF_Output!$M$1:$M$400,0)))</f>
        <v/>
      </c>
      <c r="H204" t="str" cm="1">
        <f t="array" ref="H204">_xlfn.IFS(B204="","",(SUMIFS(SF_Output!$F$1:$F$400,SF_Output!$AC$1:$AC$400,_xlfn.TEXTJOIN(",",TRUE,B204:E204))+SUMIFS(SF_Output!$G$1:$G$400,SF_Output!$AC$1:$AC$400,_xlfn.TEXTJOIN(",",TRUE,B204:E204)))&lt;&gt;0,SF_Output!$Y$2,INDEX(SF_Output!$F$1:$F$400,MATCH(_xlfn.TEXTJOIN(",",TRUE,B204:E204),SF_Output!$AC$1:$AC$400,0))=0,INDEX(SF_Output!$R$1:$R$400,MATCH(_xlfn.TEXTJOIN(",",TRUE,B204:E204),SF_Output!$AC$1:$AC$400,0)))</f>
        <v/>
      </c>
      <c r="I204" s="125" t="str">
        <f>IFERROR(IF(AND(H204&gt;1,H204&lt;&gt;""),ROUND(SUMIFS(SF_Output!$S$1:$S$400,SF_Output!$AC$1:$AC$400,_xlfn.TEXTJOIN(",",TRUE,B204:E204),SF_Output!$Q$1:$Q$400,"monthly")*(1-W204)/H204,4),""),"")</f>
        <v/>
      </c>
      <c r="J204" s="6" t="str">
        <f>IF(B204="","",SUMIFS(SF_Output!$S$1:$S$400,SF_Output!$AC$1:$AC$400,_xlfn.TEXTJOIN(",",TRUE,B204:E204),SF_Output!$Q$1:$Q$400,"One Time",SF_Output!$L$1:$L$400,"license fee")+SUMIFS(SF_Output!$S$1:$S$400,SF_Output!$AC$1:$AC$400,_xlfn.TEXTJOIN(",",TRUE,B204:E204),SF_Output!$Q$1:$Q$400,"One Time",SF_Output!$L$1:$L$400,"software license")+SUMIFS(SF_Output!$S$1:$S$400,SF_Output!$AC$1:$AC$400,_xlfn.TEXTJOIN(",",TRUE,B204:E204),SF_Output!$Q$1:$Q$400,"One Time",SF_Output!$L$1:$L$400,"hardware"))</f>
        <v/>
      </c>
      <c r="K204" s="112" t="str">
        <f>IF(OR(B204=0,B204="",G204="hardware",J204=0),"",IF(AF204&lt;&gt;"exclusion",MAX(K$9,-((SUMIFS(SF_Output!$T$1:$T$400,SF_Output!$AC$1:$AC$400,_xlfn.TEXTJOIN(",",TRUE,$B204:$E204),SF_Output!$Q$1:$Q$400,"One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license"))/J204)))</f>
        <v/>
      </c>
      <c r="L204" s="6" t="str">
        <f t="shared" si="35"/>
        <v/>
      </c>
      <c r="N204" s="6" t="str">
        <f>IF(B204="","",SUMIFS(SF_Output!$S$1:$S$400,SF_Output!$AC$1:$AC$400,_xlfn.TEXTJOIN(",",TRUE,B204:E204),SF_Output!$Q$1:$Q$400,"One Time",SF_Output!$L$1:$L$400,"professional service"))</f>
        <v/>
      </c>
      <c r="O204" s="112" t="str">
        <f>IF(OR(B204=0,B204="",N204=0),"",IF(AF204&lt;&gt;"exclusion",MAX(O$9,-(SUMIFS(SF_Output!$T$1:$T$400,SF_Output!$AC$1:$AC$400,_xlfn.TEXTJOIN(",",TRUE,$B204:$E204),SF_Output!$Q$1:$Q$400,"One Time",SF_Output!$L$1:$L$400,"professional service"))/N204),-((SUMIFS(SF_Output!$T$1:$T$400,SF_Output!$AC$1:$AC$400,_xlfn.TEXTJOIN(",",TRUE,$B204:$E204),SF_Output!$Q$1:$Q$400,"One Time",SF_Output!$L$1:$L$400,"professional service")/N204))))</f>
        <v/>
      </c>
      <c r="P204" s="6" t="str">
        <f t="shared" si="36"/>
        <v/>
      </c>
      <c r="R204" s="6" t="str">
        <f>IF(B204="","",SUMIFS(SF_Output!$S$1:$S$400,SF_Output!$AC$1:$AC$400,_xlfn.TEXTJOIN(",",TRUE,B204:E204),SF_Output!$Q$1:$Q$400,"yearly")+SUMIFS(SF_Output!$S$1:$S$400,SF_Output!$AC$1:$AC$400,_xlfn.TEXTJOIN(",",TRUE,B204:E204),SF_Output!$Q$1:$Q$400,"quarterly")*4)</f>
        <v/>
      </c>
      <c r="S204" s="112" t="str">
        <f>IF(OR(B204=0,B204="",G204="hardware",R204=0),"",IF(AF204&lt;&gt;"exclusion",MAX(S$9,-(SUMIFS(SF_Output!$T$1:$T$400,SF_Output!$AC$1:$AC$400,_xlfn.TEXTJOIN(",",TRUE,$B204:$E204),SF_Output!$Q$1:$Q$400,"yearly"))/R204),-((SUMIFS(SF_Output!$T$1:$T$400,SF_Output!$AC$1:$AC$400,_xlfn.TEXTJOIN(",",TRUE,$B204:$E204),SF_Output!$Q$1:$Q$400,"yearly")/R204))))</f>
        <v/>
      </c>
      <c r="T204" s="6" t="str">
        <f t="shared" si="37"/>
        <v/>
      </c>
      <c r="V204" s="6" t="str" cm="1">
        <f t="array" ref="V204">_xlfn.IFS(B204="","",AND(B204&lt;&gt;"",H204=SF_Output!$Y$2,SUMIFS(SF_Output!$T$1:$T$400,SF_Output!$AC$1:$AC$400,_xlfn.TEXTJOIN(",",TRUE,B204:E204),SF_Output!$Q$1:$Q$400,"monthly")=0),(SUMIFS(SF_Output!$F$1:$F$400,SF_Output!$AC$1:$AC$400,_xlfn.TEXTJOIN(",",TRUE,B204:E204),SF_Output!$Q$1:$Q$400,"monthly")+SUMIFS(SF_Output!$G$1:$G$400,SF_Output!$AC$1:$AC$400,_xlfn.TEXTJOIN(",",TRUE,B204:E204),SF_Output!$Q$1:$Q$400,"monthly"))*H204,AND(B204&lt;&gt;"",H204=SF_Output!$Y$2,SUMIFS(SF_Output!$T$1:$T$400,SF_Output!$AC$1:$AC$400,_xlfn.TEXTJOIN(",",TRUE,B204:E204),SF_Output!$Q$1:$Q$400,"monthly")&lt;&gt;0),SUMIFS(SF_Output!$S$1:$S$400,SF_Output!$AC$1:$AC$400,_xlfn.TEXTJOIN(",",TRUE,B204:E204),SF_Output!$Q$1:$Q$400,"monthly"),AND(B204&lt;&gt;"",H204&lt;&gt;SF_Output!$Y$2),SUMIFS(SF_Output!$S$1:$S$400,SF_Output!$AC$1:$AC$400,_xlfn.TEXTJOIN(",",TRUE,B204:E204),SF_Output!$Q$1:$Q$400,"monthly"))</f>
        <v/>
      </c>
      <c r="W204" s="112" t="str" cm="1">
        <f t="array" ref="W204">_xlfn.IFS(OR(B204=0,B204="",V204=0),"",AF204&lt;&gt;"exclusion",MAX($W$9,$W$7,(-(SUMIFS(SF_Output!$T$1:$T$400,SF_Output!$AC$1:$AC$400,_xlfn.TEXTJOIN(",",TRUE,$B204:$E204),SF_Output!$Q$1:$Q$400,"monthly"))/V204)),AF204="exclusion",-(SUMIFS(SF_Output!$T$1:$T$400,SF_Output!$AC$1:$AC$400,_xlfn.TEXTJOIN(",",TRUE,$B204:$E204),SF_Output!$Q$1:$Q$400,"monthly"))/V204)</f>
        <v/>
      </c>
      <c r="X204" s="6" t="str" cm="1">
        <f t="array" ref="X204">IFERROR(_xlfn.IFS(V204=0,0,V204="","",W204=0,V204,OR(V204&lt;&gt;0,V204&lt;&gt;""),H204*I204),V204*(1-W204))</f>
        <v/>
      </c>
      <c r="Z204" s="6" t="str">
        <f>IFERROR(IF(B204="","",SUMIFS(Billing_Fallout!H:H,Billing_Fallout!N:N,B204)),0)</f>
        <v/>
      </c>
      <c r="AA204" s="6" t="str">
        <f t="shared" si="38"/>
        <v/>
      </c>
      <c r="AB204" s="6" t="str">
        <f>IFERROR(IF(B204="","",SUMIFS(Billing_Fallout!J:J,Billing_Fallout!N:N,B204)),0)</f>
        <v/>
      </c>
      <c r="AD204" s="6" t="str">
        <f t="shared" si="39"/>
        <v/>
      </c>
      <c r="AF204" t="str">
        <f>IFERROR(INDEX(H_Tables!$B$1:$B$1500,MATCH(INDEX(SF_Output!$J$1:$J$400,MATCH(B204,SF_Output!$M$1:$M$400,0)),H_Tables!$A$1:$A$1500,0)),"")</f>
        <v/>
      </c>
      <c r="AI204" s="119" t="str">
        <f t="shared" si="40"/>
        <v/>
      </c>
      <c r="AJ204" s="121">
        <f>IFERROR(INDEX(SF_Output!AD:AD,MATCH(_xlfn.TEXTJOIN(",",TRUE,B204:E204),SF_Output!AC1:AC400,0)),0.05)</f>
        <v>241</v>
      </c>
      <c r="AK204" t="str">
        <f>IF(SUMIFS(SF_Output!$F$1:$F$400,SF_Output!$AC$1:$AC$400,_xlfn.TEXTJOIN(",",TRUE,B204:E204))+SUMIFS(SF_Output!$G$1:$G$400,SF_Output!$AC$1:$AC$400,_xlfn.TEXTJOIN(",",TRUE,B204:E204))=0,"","PAP")</f>
        <v/>
      </c>
      <c r="AQ204" s="35"/>
      <c r="AR204" s="35" t="str" cm="1">
        <f t="array" ref="AR204">IFERROR(_xlfn.IFS(AND(E204*1=1,F204="Included"),"Change to Included",AND(E204*1=0,F204="Optional"),"Change to Optional",OR(B204="",F204="replaced"),""),"")</f>
        <v/>
      </c>
      <c r="AS204" s="35" t="str">
        <f t="shared" si="41"/>
        <v/>
      </c>
      <c r="AT204" s="35" t="str">
        <f t="shared" si="42"/>
        <v/>
      </c>
      <c r="AU204" s="35" t="str">
        <f t="shared" si="43"/>
        <v/>
      </c>
      <c r="AV204" s="35" t="str">
        <f t="shared" si="44"/>
        <v/>
      </c>
      <c r="AW204" s="35" t="str">
        <f t="shared" si="45"/>
        <v/>
      </c>
      <c r="AX204" s="35" t="str">
        <f t="shared" si="46"/>
        <v/>
      </c>
      <c r="AY204" s="35" t="str">
        <f t="shared" si="47"/>
        <v/>
      </c>
      <c r="AZ204" s="35" t="str">
        <f t="shared" si="48"/>
        <v/>
      </c>
      <c r="BA204" s="35" t="str">
        <f t="shared" si="49"/>
        <v/>
      </c>
      <c r="BB204" s="35" t="str">
        <f t="shared" si="50"/>
        <v/>
      </c>
      <c r="BC204" s="35"/>
      <c r="BE204" s="35" t="e">
        <f>INDEX(SF_Output!$AA$2:$AA$400,MATCH($B204,SF_Output!$M$2:$M$400,0))</f>
        <v>#N/A</v>
      </c>
      <c r="BF204" s="35" t="e">
        <f>INDEX(SF_Output!$AB$2:$AB$400,MATCH($B204,SF_Output!$M$2:$M$400,0))</f>
        <v>#N/A</v>
      </c>
    </row>
    <row r="205" spans="6:58" x14ac:dyDescent="0.25">
      <c r="F205" s="116" t="str">
        <f t="shared" si="34"/>
        <v/>
      </c>
      <c r="G205" t="str">
        <f>IF(B205="","",INDEX(SF_Output!$K$1:$K$400,MATCH(B205,SF_Output!$M$1:$M$400,0)))</f>
        <v/>
      </c>
      <c r="H205" t="str" cm="1">
        <f t="array" ref="H205">_xlfn.IFS(B205="","",(SUMIFS(SF_Output!$F$1:$F$400,SF_Output!$AC$1:$AC$400,_xlfn.TEXTJOIN(",",TRUE,B205:E205))+SUMIFS(SF_Output!$G$1:$G$400,SF_Output!$AC$1:$AC$400,_xlfn.TEXTJOIN(",",TRUE,B205:E205)))&lt;&gt;0,SF_Output!$Y$2,INDEX(SF_Output!$F$1:$F$400,MATCH(_xlfn.TEXTJOIN(",",TRUE,B205:E205),SF_Output!$AC$1:$AC$400,0))=0,INDEX(SF_Output!$R$1:$R$400,MATCH(_xlfn.TEXTJOIN(",",TRUE,B205:E205),SF_Output!$AC$1:$AC$400,0)))</f>
        <v/>
      </c>
      <c r="I205" s="125" t="str">
        <f>IFERROR(IF(AND(H205&gt;1,H205&lt;&gt;""),ROUND(SUMIFS(SF_Output!$S$1:$S$400,SF_Output!$AC$1:$AC$400,_xlfn.TEXTJOIN(",",TRUE,B205:E205),SF_Output!$Q$1:$Q$400,"monthly")*(1-W205)/H205,4),""),"")</f>
        <v/>
      </c>
      <c r="J205" s="6" t="str">
        <f>IF(B205="","",SUMIFS(SF_Output!$S$1:$S$400,SF_Output!$AC$1:$AC$400,_xlfn.TEXTJOIN(",",TRUE,B205:E205),SF_Output!$Q$1:$Q$400,"One Time",SF_Output!$L$1:$L$400,"license fee")+SUMIFS(SF_Output!$S$1:$S$400,SF_Output!$AC$1:$AC$400,_xlfn.TEXTJOIN(",",TRUE,B205:E205),SF_Output!$Q$1:$Q$400,"One Time",SF_Output!$L$1:$L$400,"software license")+SUMIFS(SF_Output!$S$1:$S$400,SF_Output!$AC$1:$AC$400,_xlfn.TEXTJOIN(",",TRUE,B205:E205),SF_Output!$Q$1:$Q$400,"One Time",SF_Output!$L$1:$L$400,"hardware"))</f>
        <v/>
      </c>
      <c r="K205" s="112" t="str">
        <f>IF(OR(B205=0,B205="",G205="hardware",J205=0),"",IF(AF205&lt;&gt;"exclusion",MAX(K$9,-((SUMIFS(SF_Output!$T$1:$T$400,SF_Output!$AC$1:$AC$400,_xlfn.TEXTJOIN(",",TRUE,$B205:$E205),SF_Output!$Q$1:$Q$400,"One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license"))/J205)))</f>
        <v/>
      </c>
      <c r="L205" s="6" t="str">
        <f t="shared" si="35"/>
        <v/>
      </c>
      <c r="N205" s="6" t="str">
        <f>IF(B205="","",SUMIFS(SF_Output!$S$1:$S$400,SF_Output!$AC$1:$AC$400,_xlfn.TEXTJOIN(",",TRUE,B205:E205),SF_Output!$Q$1:$Q$400,"One Time",SF_Output!$L$1:$L$400,"professional service"))</f>
        <v/>
      </c>
      <c r="O205" s="112" t="str">
        <f>IF(OR(B205=0,B205="",N205=0),"",IF(AF205&lt;&gt;"exclusion",MAX(O$9,-(SUMIFS(SF_Output!$T$1:$T$400,SF_Output!$AC$1:$AC$400,_xlfn.TEXTJOIN(",",TRUE,$B205:$E205),SF_Output!$Q$1:$Q$400,"One Time",SF_Output!$L$1:$L$400,"professional service"))/N205),-((SUMIFS(SF_Output!$T$1:$T$400,SF_Output!$AC$1:$AC$400,_xlfn.TEXTJOIN(",",TRUE,$B205:$E205),SF_Output!$Q$1:$Q$400,"One Time",SF_Output!$L$1:$L$400,"professional service")/N205))))</f>
        <v/>
      </c>
      <c r="P205" s="6" t="str">
        <f t="shared" si="36"/>
        <v/>
      </c>
      <c r="R205" s="6" t="str">
        <f>IF(B205="","",SUMIFS(SF_Output!$S$1:$S$400,SF_Output!$AC$1:$AC$400,_xlfn.TEXTJOIN(",",TRUE,B205:E205),SF_Output!$Q$1:$Q$400,"yearly")+SUMIFS(SF_Output!$S$1:$S$400,SF_Output!$AC$1:$AC$400,_xlfn.TEXTJOIN(",",TRUE,B205:E205),SF_Output!$Q$1:$Q$400,"quarterly")*4)</f>
        <v/>
      </c>
      <c r="S205" s="112" t="str">
        <f>IF(OR(B205=0,B205="",G205="hardware",R205=0),"",IF(AF205&lt;&gt;"exclusion",MAX(S$9,-(SUMIFS(SF_Output!$T$1:$T$400,SF_Output!$AC$1:$AC$400,_xlfn.TEXTJOIN(",",TRUE,$B205:$E205),SF_Output!$Q$1:$Q$400,"yearly"))/R205),-((SUMIFS(SF_Output!$T$1:$T$400,SF_Output!$AC$1:$AC$400,_xlfn.TEXTJOIN(",",TRUE,$B205:$E205),SF_Output!$Q$1:$Q$400,"yearly")/R205))))</f>
        <v/>
      </c>
      <c r="T205" s="6" t="str">
        <f t="shared" si="37"/>
        <v/>
      </c>
      <c r="V205" s="6" t="str" cm="1">
        <f t="array" ref="V205">_xlfn.IFS(B205="","",AND(B205&lt;&gt;"",H205=SF_Output!$Y$2,SUMIFS(SF_Output!$T$1:$T$400,SF_Output!$AC$1:$AC$400,_xlfn.TEXTJOIN(",",TRUE,B205:E205),SF_Output!$Q$1:$Q$400,"monthly")=0),(SUMIFS(SF_Output!$F$1:$F$400,SF_Output!$AC$1:$AC$400,_xlfn.TEXTJOIN(",",TRUE,B205:E205),SF_Output!$Q$1:$Q$400,"monthly")+SUMIFS(SF_Output!$G$1:$G$400,SF_Output!$AC$1:$AC$400,_xlfn.TEXTJOIN(",",TRUE,B205:E205),SF_Output!$Q$1:$Q$400,"monthly"))*H205,AND(B205&lt;&gt;"",H205=SF_Output!$Y$2,SUMIFS(SF_Output!$T$1:$T$400,SF_Output!$AC$1:$AC$400,_xlfn.TEXTJOIN(",",TRUE,B205:E205),SF_Output!$Q$1:$Q$400,"monthly")&lt;&gt;0),SUMIFS(SF_Output!$S$1:$S$400,SF_Output!$AC$1:$AC$400,_xlfn.TEXTJOIN(",",TRUE,B205:E205),SF_Output!$Q$1:$Q$400,"monthly"),AND(B205&lt;&gt;"",H205&lt;&gt;SF_Output!$Y$2),SUMIFS(SF_Output!$S$1:$S$400,SF_Output!$AC$1:$AC$400,_xlfn.TEXTJOIN(",",TRUE,B205:E205),SF_Output!$Q$1:$Q$400,"monthly"))</f>
        <v/>
      </c>
      <c r="W205" s="112" t="str" cm="1">
        <f t="array" ref="W205">_xlfn.IFS(OR(B205=0,B205="",V205=0),"",AF205&lt;&gt;"exclusion",MAX($W$9,$W$7,(-(SUMIFS(SF_Output!$T$1:$T$400,SF_Output!$AC$1:$AC$400,_xlfn.TEXTJOIN(",",TRUE,$B205:$E205),SF_Output!$Q$1:$Q$400,"monthly"))/V205)),AF205="exclusion",-(SUMIFS(SF_Output!$T$1:$T$400,SF_Output!$AC$1:$AC$400,_xlfn.TEXTJOIN(",",TRUE,$B205:$E205),SF_Output!$Q$1:$Q$400,"monthly"))/V205)</f>
        <v/>
      </c>
      <c r="X205" s="6" t="str" cm="1">
        <f t="array" ref="X205">IFERROR(_xlfn.IFS(V205=0,0,V205="","",W205=0,V205,OR(V205&lt;&gt;0,V205&lt;&gt;""),H205*I205),V205*(1-W205))</f>
        <v/>
      </c>
      <c r="Z205" s="6" t="str">
        <f>IFERROR(IF(B205="","",SUMIFS(Billing_Fallout!H:H,Billing_Fallout!N:N,B205)),0)</f>
        <v/>
      </c>
      <c r="AA205" s="6" t="str">
        <f t="shared" si="38"/>
        <v/>
      </c>
      <c r="AB205" s="6" t="str">
        <f>IFERROR(IF(B205="","",SUMIFS(Billing_Fallout!J:J,Billing_Fallout!N:N,B205)),0)</f>
        <v/>
      </c>
      <c r="AD205" s="6" t="str">
        <f t="shared" si="39"/>
        <v/>
      </c>
      <c r="AF205" t="str">
        <f>IFERROR(INDEX(H_Tables!$B$1:$B$1500,MATCH(INDEX(SF_Output!$J$1:$J$400,MATCH(B205,SF_Output!$M$1:$M$400,0)),H_Tables!$A$1:$A$1500,0)),"")</f>
        <v/>
      </c>
      <c r="AI205" s="119" t="str">
        <f t="shared" si="40"/>
        <v/>
      </c>
      <c r="AJ205" s="121">
        <f>IFERROR(INDEX(SF_Output!AD:AD,MATCH(_xlfn.TEXTJOIN(",",TRUE,B205:E205),SF_Output!AC1:AC400,0)),0.05)</f>
        <v>241</v>
      </c>
      <c r="AK205" t="str">
        <f>IF(SUMIFS(SF_Output!$F$1:$F$400,SF_Output!$AC$1:$AC$400,_xlfn.TEXTJOIN(",",TRUE,B205:E205))+SUMIFS(SF_Output!$G$1:$G$400,SF_Output!$AC$1:$AC$400,_xlfn.TEXTJOIN(",",TRUE,B205:E205))=0,"","PAP")</f>
        <v/>
      </c>
      <c r="AQ205" s="35"/>
      <c r="AR205" s="35" t="str" cm="1">
        <f t="array" ref="AR205">IFERROR(_xlfn.IFS(AND(E205*1=1,F205="Included"),"Change to Included",AND(E205*1=0,F205="Optional"),"Change to Optional",OR(B205="",F205="replaced"),""),"")</f>
        <v/>
      </c>
      <c r="AS205" s="35" t="str">
        <f t="shared" si="41"/>
        <v/>
      </c>
      <c r="AT205" s="35" t="str">
        <f t="shared" si="42"/>
        <v/>
      </c>
      <c r="AU205" s="35" t="str">
        <f t="shared" si="43"/>
        <v/>
      </c>
      <c r="AV205" s="35" t="str">
        <f t="shared" si="44"/>
        <v/>
      </c>
      <c r="AW205" s="35" t="str">
        <f t="shared" si="45"/>
        <v/>
      </c>
      <c r="AX205" s="35" t="str">
        <f t="shared" si="46"/>
        <v/>
      </c>
      <c r="AY205" s="35" t="str">
        <f t="shared" si="47"/>
        <v/>
      </c>
      <c r="AZ205" s="35" t="str">
        <f t="shared" si="48"/>
        <v/>
      </c>
      <c r="BA205" s="35" t="str">
        <f t="shared" si="49"/>
        <v/>
      </c>
      <c r="BB205" s="35" t="str">
        <f t="shared" si="50"/>
        <v/>
      </c>
      <c r="BC205" s="35"/>
      <c r="BE205" s="35" t="e">
        <f>INDEX(SF_Output!$AA$2:$AA$400,MATCH($B205,SF_Output!$M$2:$M$400,0))</f>
        <v>#N/A</v>
      </c>
      <c r="BF205" s="35" t="e">
        <f>INDEX(SF_Output!$AB$2:$AB$400,MATCH($B205,SF_Output!$M$2:$M$400,0))</f>
        <v>#N/A</v>
      </c>
    </row>
    <row r="206" spans="6:58" x14ac:dyDescent="0.25">
      <c r="F206" s="116" t="str">
        <f t="shared" ref="F206:F250" si="51">IF(B206="","",IF(E206*1=0,"Included","Optional"))</f>
        <v/>
      </c>
      <c r="G206" t="str">
        <f>IF(B206="","",INDEX(SF_Output!$K$1:$K$400,MATCH(B206,SF_Output!$M$1:$M$400,0)))</f>
        <v/>
      </c>
      <c r="H206" t="str" cm="1">
        <f t="array" ref="H206">_xlfn.IFS(B206="","",(SUMIFS(SF_Output!$F$1:$F$400,SF_Output!$AC$1:$AC$400,_xlfn.TEXTJOIN(",",TRUE,B206:E206))+SUMIFS(SF_Output!$G$1:$G$400,SF_Output!$AC$1:$AC$400,_xlfn.TEXTJOIN(",",TRUE,B206:E206)))&lt;&gt;0,SF_Output!$Y$2,INDEX(SF_Output!$F$1:$F$400,MATCH(_xlfn.TEXTJOIN(",",TRUE,B206:E206),SF_Output!$AC$1:$AC$400,0))=0,INDEX(SF_Output!$R$1:$R$400,MATCH(_xlfn.TEXTJOIN(",",TRUE,B206:E206),SF_Output!$AC$1:$AC$400,0)))</f>
        <v/>
      </c>
      <c r="I206" s="125" t="str">
        <f>IFERROR(IF(AND(H206&gt;1,H206&lt;&gt;""),ROUND(SUMIFS(SF_Output!$S$1:$S$400,SF_Output!$AC$1:$AC$400,_xlfn.TEXTJOIN(",",TRUE,B206:E206),SF_Output!$Q$1:$Q$400,"monthly")*(1-W206)/H206,4),""),"")</f>
        <v/>
      </c>
      <c r="J206" s="6" t="str">
        <f>IF(B206="","",SUMIFS(SF_Output!$S$1:$S$400,SF_Output!$AC$1:$AC$400,_xlfn.TEXTJOIN(",",TRUE,B206:E206),SF_Output!$Q$1:$Q$400,"One Time",SF_Output!$L$1:$L$400,"license fee")+SUMIFS(SF_Output!$S$1:$S$400,SF_Output!$AC$1:$AC$400,_xlfn.TEXTJOIN(",",TRUE,B206:E206),SF_Output!$Q$1:$Q$400,"One Time",SF_Output!$L$1:$L$400,"software license")+SUMIFS(SF_Output!$S$1:$S$400,SF_Output!$AC$1:$AC$400,_xlfn.TEXTJOIN(",",TRUE,B206:E206),SF_Output!$Q$1:$Q$400,"One Time",SF_Output!$L$1:$L$400,"hardware"))</f>
        <v/>
      </c>
      <c r="K206" s="112" t="str">
        <f>IF(OR(B206=0,B206="",G206="hardware",J206=0),"",IF(AF206&lt;&gt;"exclusion",MAX(K$9,-((SUMIFS(SF_Output!$T$1:$T$400,SF_Output!$AC$1:$AC$400,_xlfn.TEXTJOIN(",",TRUE,$B206:$E206),SF_Output!$Q$1:$Q$400,"One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license"))/J206)))</f>
        <v/>
      </c>
      <c r="L206" s="6" t="str">
        <f t="shared" ref="L206:L250" si="52">IF(K206="",J206,J206*(1-K206))</f>
        <v/>
      </c>
      <c r="N206" s="6" t="str">
        <f>IF(B206="","",SUMIFS(SF_Output!$S$1:$S$400,SF_Output!$AC$1:$AC$400,_xlfn.TEXTJOIN(",",TRUE,B206:E206),SF_Output!$Q$1:$Q$400,"One Time",SF_Output!$L$1:$L$400,"professional service"))</f>
        <v/>
      </c>
      <c r="O206" s="112" t="str">
        <f>IF(OR(B206=0,B206="",N206=0),"",IF(AF206&lt;&gt;"exclusion",MAX(O$9,-(SUMIFS(SF_Output!$T$1:$T$400,SF_Output!$AC$1:$AC$400,_xlfn.TEXTJOIN(",",TRUE,$B206:$E206),SF_Output!$Q$1:$Q$400,"One Time",SF_Output!$L$1:$L$400,"professional service"))/N206),-((SUMIFS(SF_Output!$T$1:$T$400,SF_Output!$AC$1:$AC$400,_xlfn.TEXTJOIN(",",TRUE,$B206:$E206),SF_Output!$Q$1:$Q$400,"One Time",SF_Output!$L$1:$L$400,"professional service")/N206))))</f>
        <v/>
      </c>
      <c r="P206" s="6" t="str">
        <f t="shared" ref="P206:P250" si="53">IF(O206="",N206,N206*(1-O206))</f>
        <v/>
      </c>
      <c r="R206" s="6" t="str">
        <f>IF(B206="","",SUMIFS(SF_Output!$S$1:$S$400,SF_Output!$AC$1:$AC$400,_xlfn.TEXTJOIN(",",TRUE,B206:E206),SF_Output!$Q$1:$Q$400,"yearly")+SUMIFS(SF_Output!$S$1:$S$400,SF_Output!$AC$1:$AC$400,_xlfn.TEXTJOIN(",",TRUE,B206:E206),SF_Output!$Q$1:$Q$400,"quarterly")*4)</f>
        <v/>
      </c>
      <c r="S206" s="112" t="str">
        <f>IF(OR(B206=0,B206="",G206="hardware",R206=0),"",IF(AF206&lt;&gt;"exclusion",MAX(S$9,-(SUMIFS(SF_Output!$T$1:$T$400,SF_Output!$AC$1:$AC$400,_xlfn.TEXTJOIN(",",TRUE,$B206:$E206),SF_Output!$Q$1:$Q$400,"yearly"))/R206),-((SUMIFS(SF_Output!$T$1:$T$400,SF_Output!$AC$1:$AC$400,_xlfn.TEXTJOIN(",",TRUE,$B206:$E206),SF_Output!$Q$1:$Q$400,"yearly")/R206))))</f>
        <v/>
      </c>
      <c r="T206" s="6" t="str">
        <f t="shared" ref="T206:T250" si="54">IF(S206="",R206,R206*(1-S206))</f>
        <v/>
      </c>
      <c r="V206" s="6" t="str" cm="1">
        <f t="array" ref="V206">_xlfn.IFS(B206="","",AND(B206&lt;&gt;"",H206=SF_Output!$Y$2,SUMIFS(SF_Output!$T$1:$T$400,SF_Output!$AC$1:$AC$400,_xlfn.TEXTJOIN(",",TRUE,B206:E206),SF_Output!$Q$1:$Q$400,"monthly")=0),(SUMIFS(SF_Output!$F$1:$F$400,SF_Output!$AC$1:$AC$400,_xlfn.TEXTJOIN(",",TRUE,B206:E206),SF_Output!$Q$1:$Q$400,"monthly")+SUMIFS(SF_Output!$G$1:$G$400,SF_Output!$AC$1:$AC$400,_xlfn.TEXTJOIN(",",TRUE,B206:E206),SF_Output!$Q$1:$Q$400,"monthly"))*H206,AND(B206&lt;&gt;"",H206=SF_Output!$Y$2,SUMIFS(SF_Output!$T$1:$T$400,SF_Output!$AC$1:$AC$400,_xlfn.TEXTJOIN(",",TRUE,B206:E206),SF_Output!$Q$1:$Q$400,"monthly")&lt;&gt;0),SUMIFS(SF_Output!$S$1:$S$400,SF_Output!$AC$1:$AC$400,_xlfn.TEXTJOIN(",",TRUE,B206:E206),SF_Output!$Q$1:$Q$400,"monthly"),AND(B206&lt;&gt;"",H206&lt;&gt;SF_Output!$Y$2),SUMIFS(SF_Output!$S$1:$S$400,SF_Output!$AC$1:$AC$400,_xlfn.TEXTJOIN(",",TRUE,B206:E206),SF_Output!$Q$1:$Q$400,"monthly"))</f>
        <v/>
      </c>
      <c r="W206" s="112" t="str" cm="1">
        <f t="array" ref="W206">_xlfn.IFS(OR(B206=0,B206="",V206=0),"",AF206&lt;&gt;"exclusion",MAX($W$9,$W$7,(-(SUMIFS(SF_Output!$T$1:$T$400,SF_Output!$AC$1:$AC$400,_xlfn.TEXTJOIN(",",TRUE,$B206:$E206),SF_Output!$Q$1:$Q$400,"monthly"))/V206)),AF206="exclusion",-(SUMIFS(SF_Output!$T$1:$T$400,SF_Output!$AC$1:$AC$400,_xlfn.TEXTJOIN(",",TRUE,$B206:$E206),SF_Output!$Q$1:$Q$400,"monthly"))/V206)</f>
        <v/>
      </c>
      <c r="X206" s="6" t="str" cm="1">
        <f t="array" ref="X206">IFERROR(_xlfn.IFS(V206=0,0,V206="","",W206=0,V206,OR(V206&lt;&gt;0,V206&lt;&gt;""),H206*I206),V206*(1-W206))</f>
        <v/>
      </c>
      <c r="Z206" s="6" t="str">
        <f>IFERROR(IF(B206="","",SUMIFS(Billing_Fallout!H:H,Billing_Fallout!N:N,B206)),0)</f>
        <v/>
      </c>
      <c r="AA206" s="6" t="str">
        <f t="shared" ref="AA206:AA250" si="55">IF(Z206="","",AB206-Z206)</f>
        <v/>
      </c>
      <c r="AB206" s="6" t="str">
        <f>IFERROR(IF(B206="","",SUMIFS(Billing_Fallout!J:J,Billing_Fallout!N:N,B206)),0)</f>
        <v/>
      </c>
      <c r="AD206" s="6" t="str">
        <f t="shared" ref="AD206:AD250" si="56">IFERROR(X206-AB206,"")</f>
        <v/>
      </c>
      <c r="AF206" t="str">
        <f>IFERROR(INDEX(H_Tables!$B$1:$B$1500,MATCH(INDEX(SF_Output!$J$1:$J$400,MATCH(B206,SF_Output!$M$1:$M$400,0)),H_Tables!$A$1:$A$1500,0)),"")</f>
        <v/>
      </c>
      <c r="AI206" s="119" t="str">
        <f t="shared" ref="AI206:AI250" si="57">IF(B206="","",IF(F206="remove","Remove Product",IF(F206="add","Add Product",_xlfn.TEXTJOIN(", ",TRUE,AQ206,AR206,AS206,AT206,AU206,AV206,AW206,AX206,AY206,AZ206,BA206,BB206,BC206))))</f>
        <v/>
      </c>
      <c r="AJ206" s="121">
        <f>IFERROR(INDEX(SF_Output!AD:AD,MATCH(_xlfn.TEXTJOIN(",",TRUE,B206:E206),SF_Output!AC1:AC400,0)),0.05)</f>
        <v>241</v>
      </c>
      <c r="AK206" t="str">
        <f>IF(SUMIFS(SF_Output!$F$1:$F$400,SF_Output!$AC$1:$AC$400,_xlfn.TEXTJOIN(",",TRUE,B206:E206))+SUMIFS(SF_Output!$G$1:$G$400,SF_Output!$AC$1:$AC$400,_xlfn.TEXTJOIN(",",TRUE,B206:E206))=0,"","PAP")</f>
        <v/>
      </c>
      <c r="AQ206" s="35"/>
      <c r="AR206" s="35" t="str" cm="1">
        <f t="array" ref="AR206">IFERROR(_xlfn.IFS(AND(E206*1=1,F206="Included"),"Change to Included",AND(E206*1=0,F206="Optional"),"Change to Optional",OR(B206="",F206="replaced"),""),"")</f>
        <v/>
      </c>
      <c r="AS206" s="35" t="str">
        <f t="shared" ref="AS206:AS250" si="58">IF((OR(NOT(_xlfn.ISFORMULA(J206)),NOT(_xlfn.ISFORMULA(L206)))),"Check License Price Override","")</f>
        <v/>
      </c>
      <c r="AT206" s="35" t="str">
        <f t="shared" ref="AT206:AT250" si="59">IF(OR(AND(K206=$K$9,K206&lt;&gt;0),NOT(_xlfn.ISFORMULA(K206))),"License Discount "&amp;K206*100&amp;"%","")</f>
        <v/>
      </c>
      <c r="AU206" s="35" t="str">
        <f t="shared" ref="AU206:AU250" si="60">IF((OR(NOT(_xlfn.ISFORMULA(N206)),NOT(_xlfn.ISFORMULA(P206)))),"Check Install Price Override","")</f>
        <v/>
      </c>
      <c r="AV206" s="35" t="str">
        <f t="shared" ref="AV206:AV250" si="61">IF(OR(AND(O206=$O$9,O206&lt;&gt;0),NOT(_xlfn.ISFORMULA(O206))),"Install Discount "&amp;O206*100&amp;"%","")</f>
        <v/>
      </c>
      <c r="AW206" s="35" t="str">
        <f t="shared" ref="AW206:AW250" si="62">IF((OR(NOT(_xlfn.ISFORMULA(R206)),NOT(_xlfn.ISFORMULA(T206)))),"Check Maintenance Price Override","")</f>
        <v/>
      </c>
      <c r="AX206" s="35" t="str">
        <f t="shared" ref="AX206:AX250" si="63">IF(OR(AND(S206=$S$9,S206&lt;&gt;0),NOT(_xlfn.ISFORMULA(S206))),"Maintenance Discount "&amp;S206*100&amp;"%","")</f>
        <v/>
      </c>
      <c r="AY206" s="35" t="str">
        <f t="shared" ref="AY206:AY250" si="64">IF((OR(NOT(_xlfn.ISFORMULA(V206)),NOT(_xlfn.ISFORMULA(X206)))),"Check Monthly Price Override","")</f>
        <v/>
      </c>
      <c r="AZ206" s="35" t="str">
        <f t="shared" ref="AZ206:AZ250" si="65">IF(OR((AND(W206=$W$9,W206&lt;&gt;0)),(AND(W206=$W$7,W206&lt;&gt;0)),(NOT(_xlfn.ISFORMULA(W206))),AND($W$7+0.2=W206,$W$7&lt;&gt;0)),"Monthly Discount "&amp;W206*100&amp;"%","")</f>
        <v/>
      </c>
      <c r="BA206" s="35" t="str">
        <f t="shared" ref="BA206:BA250" si="66">IF(NOT(_xlfn.ISFORMULA(H206)),"Check Quantity","")</f>
        <v/>
      </c>
      <c r="BB206" s="35" t="str">
        <f t="shared" ref="BB206:BB250" si="67">IF(NOT(_xlfn.ISFORMULA(I206)),"Check Unit Price Override","")</f>
        <v/>
      </c>
      <c r="BC206" s="35"/>
      <c r="BE206" s="35" t="e">
        <f>INDEX(SF_Output!$AA$2:$AA$400,MATCH($B206,SF_Output!$M$2:$M$400,0))</f>
        <v>#N/A</v>
      </c>
      <c r="BF206" s="35" t="e">
        <f>INDEX(SF_Output!$AB$2:$AB$400,MATCH($B206,SF_Output!$M$2:$M$400,0))</f>
        <v>#N/A</v>
      </c>
    </row>
    <row r="207" spans="6:58" x14ac:dyDescent="0.25">
      <c r="F207" s="116" t="str">
        <f t="shared" si="51"/>
        <v/>
      </c>
      <c r="G207" t="str">
        <f>IF(B207="","",INDEX(SF_Output!$K$1:$K$400,MATCH(B207,SF_Output!$M$1:$M$400,0)))</f>
        <v/>
      </c>
      <c r="H207" t="str" cm="1">
        <f t="array" ref="H207">_xlfn.IFS(B207="","",(SUMIFS(SF_Output!$F$1:$F$400,SF_Output!$AC$1:$AC$400,_xlfn.TEXTJOIN(",",TRUE,B207:E207))+SUMIFS(SF_Output!$G$1:$G$400,SF_Output!$AC$1:$AC$400,_xlfn.TEXTJOIN(",",TRUE,B207:E207)))&lt;&gt;0,SF_Output!$Y$2,INDEX(SF_Output!$F$1:$F$400,MATCH(_xlfn.TEXTJOIN(",",TRUE,B207:E207),SF_Output!$AC$1:$AC$400,0))=0,INDEX(SF_Output!$R$1:$R$400,MATCH(_xlfn.TEXTJOIN(",",TRUE,B207:E207),SF_Output!$AC$1:$AC$400,0)))</f>
        <v/>
      </c>
      <c r="I207" s="125" t="str">
        <f>IFERROR(IF(AND(H207&gt;1,H207&lt;&gt;""),ROUND(SUMIFS(SF_Output!$S$1:$S$400,SF_Output!$AC$1:$AC$400,_xlfn.TEXTJOIN(",",TRUE,B207:E207),SF_Output!$Q$1:$Q$400,"monthly")*(1-W207)/H207,4),""),"")</f>
        <v/>
      </c>
      <c r="J207" s="6" t="str">
        <f>IF(B207="","",SUMIFS(SF_Output!$S$1:$S$400,SF_Output!$AC$1:$AC$400,_xlfn.TEXTJOIN(",",TRUE,B207:E207),SF_Output!$Q$1:$Q$400,"One Time",SF_Output!$L$1:$L$400,"license fee")+SUMIFS(SF_Output!$S$1:$S$400,SF_Output!$AC$1:$AC$400,_xlfn.TEXTJOIN(",",TRUE,B207:E207),SF_Output!$Q$1:$Q$400,"One Time",SF_Output!$L$1:$L$400,"software license")+SUMIFS(SF_Output!$S$1:$S$400,SF_Output!$AC$1:$AC$400,_xlfn.TEXTJOIN(",",TRUE,B207:E207),SF_Output!$Q$1:$Q$400,"One Time",SF_Output!$L$1:$L$400,"hardware"))</f>
        <v/>
      </c>
      <c r="K207" s="112" t="str">
        <f>IF(OR(B207=0,B207="",G207="hardware",J207=0),"",IF(AF207&lt;&gt;"exclusion",MAX(K$9,-((SUMIFS(SF_Output!$T$1:$T$400,SF_Output!$AC$1:$AC$400,_xlfn.TEXTJOIN(",",TRUE,$B207:$E207),SF_Output!$Q$1:$Q$400,"One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license"))/J207)))</f>
        <v/>
      </c>
      <c r="L207" s="6" t="str">
        <f t="shared" si="52"/>
        <v/>
      </c>
      <c r="N207" s="6" t="str">
        <f>IF(B207="","",SUMIFS(SF_Output!$S$1:$S$400,SF_Output!$AC$1:$AC$400,_xlfn.TEXTJOIN(",",TRUE,B207:E207),SF_Output!$Q$1:$Q$400,"One Time",SF_Output!$L$1:$L$400,"professional service"))</f>
        <v/>
      </c>
      <c r="O207" s="112" t="str">
        <f>IF(OR(B207=0,B207="",N207=0),"",IF(AF207&lt;&gt;"exclusion",MAX(O$9,-(SUMIFS(SF_Output!$T$1:$T$400,SF_Output!$AC$1:$AC$400,_xlfn.TEXTJOIN(",",TRUE,$B207:$E207),SF_Output!$Q$1:$Q$400,"One Time",SF_Output!$L$1:$L$400,"professional service"))/N207),-((SUMIFS(SF_Output!$T$1:$T$400,SF_Output!$AC$1:$AC$400,_xlfn.TEXTJOIN(",",TRUE,$B207:$E207),SF_Output!$Q$1:$Q$400,"One Time",SF_Output!$L$1:$L$400,"professional service")/N207))))</f>
        <v/>
      </c>
      <c r="P207" s="6" t="str">
        <f t="shared" si="53"/>
        <v/>
      </c>
      <c r="R207" s="6" t="str">
        <f>IF(B207="","",SUMIFS(SF_Output!$S$1:$S$400,SF_Output!$AC$1:$AC$400,_xlfn.TEXTJOIN(",",TRUE,B207:E207),SF_Output!$Q$1:$Q$400,"yearly")+SUMIFS(SF_Output!$S$1:$S$400,SF_Output!$AC$1:$AC$400,_xlfn.TEXTJOIN(",",TRUE,B207:E207),SF_Output!$Q$1:$Q$400,"quarterly")*4)</f>
        <v/>
      </c>
      <c r="S207" s="112" t="str">
        <f>IF(OR(B207=0,B207="",G207="hardware",R207=0),"",IF(AF207&lt;&gt;"exclusion",MAX(S$9,-(SUMIFS(SF_Output!$T$1:$T$400,SF_Output!$AC$1:$AC$400,_xlfn.TEXTJOIN(",",TRUE,$B207:$E207),SF_Output!$Q$1:$Q$400,"yearly"))/R207),-((SUMIFS(SF_Output!$T$1:$T$400,SF_Output!$AC$1:$AC$400,_xlfn.TEXTJOIN(",",TRUE,$B207:$E207),SF_Output!$Q$1:$Q$400,"yearly")/R207))))</f>
        <v/>
      </c>
      <c r="T207" s="6" t="str">
        <f t="shared" si="54"/>
        <v/>
      </c>
      <c r="V207" s="6" t="str" cm="1">
        <f t="array" ref="V207">_xlfn.IFS(B207="","",AND(B207&lt;&gt;"",H207=SF_Output!$Y$2,SUMIFS(SF_Output!$T$1:$T$400,SF_Output!$AC$1:$AC$400,_xlfn.TEXTJOIN(",",TRUE,B207:E207),SF_Output!$Q$1:$Q$400,"monthly")=0),(SUMIFS(SF_Output!$F$1:$F$400,SF_Output!$AC$1:$AC$400,_xlfn.TEXTJOIN(",",TRUE,B207:E207),SF_Output!$Q$1:$Q$400,"monthly")+SUMIFS(SF_Output!$G$1:$G$400,SF_Output!$AC$1:$AC$400,_xlfn.TEXTJOIN(",",TRUE,B207:E207),SF_Output!$Q$1:$Q$400,"monthly"))*H207,AND(B207&lt;&gt;"",H207=SF_Output!$Y$2,SUMIFS(SF_Output!$T$1:$T$400,SF_Output!$AC$1:$AC$400,_xlfn.TEXTJOIN(",",TRUE,B207:E207),SF_Output!$Q$1:$Q$400,"monthly")&lt;&gt;0),SUMIFS(SF_Output!$S$1:$S$400,SF_Output!$AC$1:$AC$400,_xlfn.TEXTJOIN(",",TRUE,B207:E207),SF_Output!$Q$1:$Q$400,"monthly"),AND(B207&lt;&gt;"",H207&lt;&gt;SF_Output!$Y$2),SUMIFS(SF_Output!$S$1:$S$400,SF_Output!$AC$1:$AC$400,_xlfn.TEXTJOIN(",",TRUE,B207:E207),SF_Output!$Q$1:$Q$400,"monthly"))</f>
        <v/>
      </c>
      <c r="W207" s="112" t="str" cm="1">
        <f t="array" ref="W207">_xlfn.IFS(OR(B207=0,B207="",V207=0),"",AF207&lt;&gt;"exclusion",MAX($W$9,$W$7,(-(SUMIFS(SF_Output!$T$1:$T$400,SF_Output!$AC$1:$AC$400,_xlfn.TEXTJOIN(",",TRUE,$B207:$E207),SF_Output!$Q$1:$Q$400,"monthly"))/V207)),AF207="exclusion",-(SUMIFS(SF_Output!$T$1:$T$400,SF_Output!$AC$1:$AC$400,_xlfn.TEXTJOIN(",",TRUE,$B207:$E207),SF_Output!$Q$1:$Q$400,"monthly"))/V207)</f>
        <v/>
      </c>
      <c r="X207" s="6" t="str" cm="1">
        <f t="array" ref="X207">IFERROR(_xlfn.IFS(V207=0,0,V207="","",W207=0,V207,OR(V207&lt;&gt;0,V207&lt;&gt;""),H207*I207),V207*(1-W207))</f>
        <v/>
      </c>
      <c r="Z207" s="6" t="str">
        <f>IFERROR(IF(B207="","",SUMIFS(Billing_Fallout!H:H,Billing_Fallout!N:N,B207)),0)</f>
        <v/>
      </c>
      <c r="AA207" s="6" t="str">
        <f t="shared" si="55"/>
        <v/>
      </c>
      <c r="AB207" s="6" t="str">
        <f>IFERROR(IF(B207="","",SUMIFS(Billing_Fallout!J:J,Billing_Fallout!N:N,B207)),0)</f>
        <v/>
      </c>
      <c r="AD207" s="6" t="str">
        <f t="shared" si="56"/>
        <v/>
      </c>
      <c r="AF207" t="str">
        <f>IFERROR(INDEX(H_Tables!$B$1:$B$1500,MATCH(INDEX(SF_Output!$J$1:$J$400,MATCH(B207,SF_Output!$M$1:$M$400,0)),H_Tables!$A$1:$A$1500,0)),"")</f>
        <v/>
      </c>
      <c r="AI207" s="119" t="str">
        <f t="shared" si="57"/>
        <v/>
      </c>
      <c r="AJ207" s="121">
        <f>IFERROR(INDEX(SF_Output!AD:AD,MATCH(_xlfn.TEXTJOIN(",",TRUE,B207:E207),SF_Output!AC1:AC400,0)),0.05)</f>
        <v>241</v>
      </c>
      <c r="AK207" t="str">
        <f>IF(SUMIFS(SF_Output!$F$1:$F$400,SF_Output!$AC$1:$AC$400,_xlfn.TEXTJOIN(",",TRUE,B207:E207))+SUMIFS(SF_Output!$G$1:$G$400,SF_Output!$AC$1:$AC$400,_xlfn.TEXTJOIN(",",TRUE,B207:E207))=0,"","PAP")</f>
        <v/>
      </c>
      <c r="AQ207" s="35"/>
      <c r="AR207" s="35" t="str" cm="1">
        <f t="array" ref="AR207">IFERROR(_xlfn.IFS(AND(E207*1=1,F207="Included"),"Change to Included",AND(E207*1=0,F207="Optional"),"Change to Optional",OR(B207="",F207="replaced"),""),"")</f>
        <v/>
      </c>
      <c r="AS207" s="35" t="str">
        <f t="shared" si="58"/>
        <v/>
      </c>
      <c r="AT207" s="35" t="str">
        <f t="shared" si="59"/>
        <v/>
      </c>
      <c r="AU207" s="35" t="str">
        <f t="shared" si="60"/>
        <v/>
      </c>
      <c r="AV207" s="35" t="str">
        <f t="shared" si="61"/>
        <v/>
      </c>
      <c r="AW207" s="35" t="str">
        <f t="shared" si="62"/>
        <v/>
      </c>
      <c r="AX207" s="35" t="str">
        <f t="shared" si="63"/>
        <v/>
      </c>
      <c r="AY207" s="35" t="str">
        <f t="shared" si="64"/>
        <v/>
      </c>
      <c r="AZ207" s="35" t="str">
        <f t="shared" si="65"/>
        <v/>
      </c>
      <c r="BA207" s="35" t="str">
        <f t="shared" si="66"/>
        <v/>
      </c>
      <c r="BB207" s="35" t="str">
        <f t="shared" si="67"/>
        <v/>
      </c>
      <c r="BC207" s="35"/>
      <c r="BE207" s="35" t="e">
        <f>INDEX(SF_Output!$AA$2:$AA$400,MATCH($B207,SF_Output!$M$2:$M$400,0))</f>
        <v>#N/A</v>
      </c>
      <c r="BF207" s="35" t="e">
        <f>INDEX(SF_Output!$AB$2:$AB$400,MATCH($B207,SF_Output!$M$2:$M$400,0))</f>
        <v>#N/A</v>
      </c>
    </row>
    <row r="208" spans="6:58" x14ac:dyDescent="0.25">
      <c r="F208" s="116" t="str">
        <f t="shared" si="51"/>
        <v/>
      </c>
      <c r="G208" t="str">
        <f>IF(B208="","",INDEX(SF_Output!$K$1:$K$400,MATCH(B208,SF_Output!$M$1:$M$400,0)))</f>
        <v/>
      </c>
      <c r="H208" t="str" cm="1">
        <f t="array" ref="H208">_xlfn.IFS(B208="","",(SUMIFS(SF_Output!$F$1:$F$400,SF_Output!$AC$1:$AC$400,_xlfn.TEXTJOIN(",",TRUE,B208:E208))+SUMIFS(SF_Output!$G$1:$G$400,SF_Output!$AC$1:$AC$400,_xlfn.TEXTJOIN(",",TRUE,B208:E208)))&lt;&gt;0,SF_Output!$Y$2,INDEX(SF_Output!$F$1:$F$400,MATCH(_xlfn.TEXTJOIN(",",TRUE,B208:E208),SF_Output!$AC$1:$AC$400,0))=0,INDEX(SF_Output!$R$1:$R$400,MATCH(_xlfn.TEXTJOIN(",",TRUE,B208:E208),SF_Output!$AC$1:$AC$400,0)))</f>
        <v/>
      </c>
      <c r="I208" s="125" t="str">
        <f>IFERROR(IF(AND(H208&gt;1,H208&lt;&gt;""),ROUND(SUMIFS(SF_Output!$S$1:$S$400,SF_Output!$AC$1:$AC$400,_xlfn.TEXTJOIN(",",TRUE,B208:E208),SF_Output!$Q$1:$Q$400,"monthly")*(1-W208)/H208,4),""),"")</f>
        <v/>
      </c>
      <c r="J208" s="6" t="str">
        <f>IF(B208="","",SUMIFS(SF_Output!$S$1:$S$400,SF_Output!$AC$1:$AC$400,_xlfn.TEXTJOIN(",",TRUE,B208:E208),SF_Output!$Q$1:$Q$400,"One Time",SF_Output!$L$1:$L$400,"license fee")+SUMIFS(SF_Output!$S$1:$S$400,SF_Output!$AC$1:$AC$400,_xlfn.TEXTJOIN(",",TRUE,B208:E208),SF_Output!$Q$1:$Q$400,"One Time",SF_Output!$L$1:$L$400,"software license")+SUMIFS(SF_Output!$S$1:$S$400,SF_Output!$AC$1:$AC$400,_xlfn.TEXTJOIN(",",TRUE,B208:E208),SF_Output!$Q$1:$Q$400,"One Time",SF_Output!$L$1:$L$400,"hardware"))</f>
        <v/>
      </c>
      <c r="K208" s="112" t="str">
        <f>IF(OR(B208=0,B208="",G208="hardware",J208=0),"",IF(AF208&lt;&gt;"exclusion",MAX(K$9,-((SUMIFS(SF_Output!$T$1:$T$400,SF_Output!$AC$1:$AC$400,_xlfn.TEXTJOIN(",",TRUE,$B208:$E208),SF_Output!$Q$1:$Q$400,"One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license"))/J208)))</f>
        <v/>
      </c>
      <c r="L208" s="6" t="str">
        <f t="shared" si="52"/>
        <v/>
      </c>
      <c r="N208" s="6" t="str">
        <f>IF(B208="","",SUMIFS(SF_Output!$S$1:$S$400,SF_Output!$AC$1:$AC$400,_xlfn.TEXTJOIN(",",TRUE,B208:E208),SF_Output!$Q$1:$Q$400,"One Time",SF_Output!$L$1:$L$400,"professional service"))</f>
        <v/>
      </c>
      <c r="O208" s="112" t="str">
        <f>IF(OR(B208=0,B208="",N208=0),"",IF(AF208&lt;&gt;"exclusion",MAX(O$9,-(SUMIFS(SF_Output!$T$1:$T$400,SF_Output!$AC$1:$AC$400,_xlfn.TEXTJOIN(",",TRUE,$B208:$E208),SF_Output!$Q$1:$Q$400,"One Time",SF_Output!$L$1:$L$400,"professional service"))/N208),-((SUMIFS(SF_Output!$T$1:$T$400,SF_Output!$AC$1:$AC$400,_xlfn.TEXTJOIN(",",TRUE,$B208:$E208),SF_Output!$Q$1:$Q$400,"One Time",SF_Output!$L$1:$L$400,"professional service")/N208))))</f>
        <v/>
      </c>
      <c r="P208" s="6" t="str">
        <f t="shared" si="53"/>
        <v/>
      </c>
      <c r="R208" s="6" t="str">
        <f>IF(B208="","",SUMIFS(SF_Output!$S$1:$S$400,SF_Output!$AC$1:$AC$400,_xlfn.TEXTJOIN(",",TRUE,B208:E208),SF_Output!$Q$1:$Q$400,"yearly")+SUMIFS(SF_Output!$S$1:$S$400,SF_Output!$AC$1:$AC$400,_xlfn.TEXTJOIN(",",TRUE,B208:E208),SF_Output!$Q$1:$Q$400,"quarterly")*4)</f>
        <v/>
      </c>
      <c r="S208" s="112" t="str">
        <f>IF(OR(B208=0,B208="",G208="hardware",R208=0),"",IF(AF208&lt;&gt;"exclusion",MAX(S$9,-(SUMIFS(SF_Output!$T$1:$T$400,SF_Output!$AC$1:$AC$400,_xlfn.TEXTJOIN(",",TRUE,$B208:$E208),SF_Output!$Q$1:$Q$400,"yearly"))/R208),-((SUMIFS(SF_Output!$T$1:$T$400,SF_Output!$AC$1:$AC$400,_xlfn.TEXTJOIN(",",TRUE,$B208:$E208),SF_Output!$Q$1:$Q$400,"yearly")/R208))))</f>
        <v/>
      </c>
      <c r="T208" s="6" t="str">
        <f t="shared" si="54"/>
        <v/>
      </c>
      <c r="V208" s="6" t="str" cm="1">
        <f t="array" ref="V208">_xlfn.IFS(B208="","",AND(B208&lt;&gt;"",H208=SF_Output!$Y$2,SUMIFS(SF_Output!$T$1:$T$400,SF_Output!$AC$1:$AC$400,_xlfn.TEXTJOIN(",",TRUE,B208:E208),SF_Output!$Q$1:$Q$400,"monthly")=0),(SUMIFS(SF_Output!$F$1:$F$400,SF_Output!$AC$1:$AC$400,_xlfn.TEXTJOIN(",",TRUE,B208:E208),SF_Output!$Q$1:$Q$400,"monthly")+SUMIFS(SF_Output!$G$1:$G$400,SF_Output!$AC$1:$AC$400,_xlfn.TEXTJOIN(",",TRUE,B208:E208),SF_Output!$Q$1:$Q$400,"monthly"))*H208,AND(B208&lt;&gt;"",H208=SF_Output!$Y$2,SUMIFS(SF_Output!$T$1:$T$400,SF_Output!$AC$1:$AC$400,_xlfn.TEXTJOIN(",",TRUE,B208:E208),SF_Output!$Q$1:$Q$400,"monthly")&lt;&gt;0),SUMIFS(SF_Output!$S$1:$S$400,SF_Output!$AC$1:$AC$400,_xlfn.TEXTJOIN(",",TRUE,B208:E208),SF_Output!$Q$1:$Q$400,"monthly"),AND(B208&lt;&gt;"",H208&lt;&gt;SF_Output!$Y$2),SUMIFS(SF_Output!$S$1:$S$400,SF_Output!$AC$1:$AC$400,_xlfn.TEXTJOIN(",",TRUE,B208:E208),SF_Output!$Q$1:$Q$400,"monthly"))</f>
        <v/>
      </c>
      <c r="W208" s="112" t="str" cm="1">
        <f t="array" ref="W208">_xlfn.IFS(OR(B208=0,B208="",V208=0),"",AF208&lt;&gt;"exclusion",MAX($W$9,$W$7,(-(SUMIFS(SF_Output!$T$1:$T$400,SF_Output!$AC$1:$AC$400,_xlfn.TEXTJOIN(",",TRUE,$B208:$E208),SF_Output!$Q$1:$Q$400,"monthly"))/V208)),AF208="exclusion",-(SUMIFS(SF_Output!$T$1:$T$400,SF_Output!$AC$1:$AC$400,_xlfn.TEXTJOIN(",",TRUE,$B208:$E208),SF_Output!$Q$1:$Q$400,"monthly"))/V208)</f>
        <v/>
      </c>
      <c r="X208" s="6" t="str" cm="1">
        <f t="array" ref="X208">IFERROR(_xlfn.IFS(V208=0,0,V208="","",W208=0,V208,OR(V208&lt;&gt;0,V208&lt;&gt;""),H208*I208),V208*(1-W208))</f>
        <v/>
      </c>
      <c r="Z208" s="6" t="str">
        <f>IFERROR(IF(B208="","",SUMIFS(Billing_Fallout!H:H,Billing_Fallout!N:N,B208)),0)</f>
        <v/>
      </c>
      <c r="AA208" s="6" t="str">
        <f t="shared" si="55"/>
        <v/>
      </c>
      <c r="AB208" s="6" t="str">
        <f>IFERROR(IF(B208="","",SUMIFS(Billing_Fallout!J:J,Billing_Fallout!N:N,B208)),0)</f>
        <v/>
      </c>
      <c r="AD208" s="6" t="str">
        <f t="shared" si="56"/>
        <v/>
      </c>
      <c r="AF208" t="str">
        <f>IFERROR(INDEX(H_Tables!$B$1:$B$1500,MATCH(INDEX(SF_Output!$J$1:$J$400,MATCH(B208,SF_Output!$M$1:$M$400,0)),H_Tables!$A$1:$A$1500,0)),"")</f>
        <v/>
      </c>
      <c r="AI208" s="119" t="str">
        <f t="shared" si="57"/>
        <v/>
      </c>
      <c r="AJ208" s="121">
        <f>IFERROR(INDEX(SF_Output!AD:AD,MATCH(_xlfn.TEXTJOIN(",",TRUE,B208:E208),SF_Output!AC1:AC400,0)),0.05)</f>
        <v>241</v>
      </c>
      <c r="AK208" t="str">
        <f>IF(SUMIFS(SF_Output!$F$1:$F$400,SF_Output!$AC$1:$AC$400,_xlfn.TEXTJOIN(",",TRUE,B208:E208))+SUMIFS(SF_Output!$G$1:$G$400,SF_Output!$AC$1:$AC$400,_xlfn.TEXTJOIN(",",TRUE,B208:E208))=0,"","PAP")</f>
        <v/>
      </c>
      <c r="AQ208" s="35"/>
      <c r="AR208" s="35" t="str" cm="1">
        <f t="array" ref="AR208">IFERROR(_xlfn.IFS(AND(E208*1=1,F208="Included"),"Change to Included",AND(E208*1=0,F208="Optional"),"Change to Optional",OR(B208="",F208="replaced"),""),"")</f>
        <v/>
      </c>
      <c r="AS208" s="35" t="str">
        <f t="shared" si="58"/>
        <v/>
      </c>
      <c r="AT208" s="35" t="str">
        <f t="shared" si="59"/>
        <v/>
      </c>
      <c r="AU208" s="35" t="str">
        <f t="shared" si="60"/>
        <v/>
      </c>
      <c r="AV208" s="35" t="str">
        <f t="shared" si="61"/>
        <v/>
      </c>
      <c r="AW208" s="35" t="str">
        <f t="shared" si="62"/>
        <v/>
      </c>
      <c r="AX208" s="35" t="str">
        <f t="shared" si="63"/>
        <v/>
      </c>
      <c r="AY208" s="35" t="str">
        <f t="shared" si="64"/>
        <v/>
      </c>
      <c r="AZ208" s="35" t="str">
        <f t="shared" si="65"/>
        <v/>
      </c>
      <c r="BA208" s="35" t="str">
        <f t="shared" si="66"/>
        <v/>
      </c>
      <c r="BB208" s="35" t="str">
        <f t="shared" si="67"/>
        <v/>
      </c>
      <c r="BC208" s="35"/>
      <c r="BE208" s="35" t="e">
        <f>INDEX(SF_Output!$AA$2:$AA$400,MATCH($B208,SF_Output!$M$2:$M$400,0))</f>
        <v>#N/A</v>
      </c>
      <c r="BF208" s="35" t="e">
        <f>INDEX(SF_Output!$AB$2:$AB$400,MATCH($B208,SF_Output!$M$2:$M$400,0))</f>
        <v>#N/A</v>
      </c>
    </row>
    <row r="209" spans="6:58" x14ac:dyDescent="0.25">
      <c r="F209" s="116" t="str">
        <f t="shared" si="51"/>
        <v/>
      </c>
      <c r="G209" t="str">
        <f>IF(B209="","",INDEX(SF_Output!$K$1:$K$400,MATCH(B209,SF_Output!$M$1:$M$400,0)))</f>
        <v/>
      </c>
      <c r="H209" t="str" cm="1">
        <f t="array" ref="H209">_xlfn.IFS(B209="","",(SUMIFS(SF_Output!$F$1:$F$400,SF_Output!$AC$1:$AC$400,_xlfn.TEXTJOIN(",",TRUE,B209:E209))+SUMIFS(SF_Output!$G$1:$G$400,SF_Output!$AC$1:$AC$400,_xlfn.TEXTJOIN(",",TRUE,B209:E209)))&lt;&gt;0,SF_Output!$Y$2,INDEX(SF_Output!$F$1:$F$400,MATCH(_xlfn.TEXTJOIN(",",TRUE,B209:E209),SF_Output!$AC$1:$AC$400,0))=0,INDEX(SF_Output!$R$1:$R$400,MATCH(_xlfn.TEXTJOIN(",",TRUE,B209:E209),SF_Output!$AC$1:$AC$400,0)))</f>
        <v/>
      </c>
      <c r="I209" s="125" t="str">
        <f>IFERROR(IF(AND(H209&gt;1,H209&lt;&gt;""),ROUND(SUMIFS(SF_Output!$S$1:$S$400,SF_Output!$AC$1:$AC$400,_xlfn.TEXTJOIN(",",TRUE,B209:E209),SF_Output!$Q$1:$Q$400,"monthly")*(1-W209)/H209,4),""),"")</f>
        <v/>
      </c>
      <c r="J209" s="6" t="str">
        <f>IF(B209="","",SUMIFS(SF_Output!$S$1:$S$400,SF_Output!$AC$1:$AC$400,_xlfn.TEXTJOIN(",",TRUE,B209:E209),SF_Output!$Q$1:$Q$400,"One Time",SF_Output!$L$1:$L$400,"license fee")+SUMIFS(SF_Output!$S$1:$S$400,SF_Output!$AC$1:$AC$400,_xlfn.TEXTJOIN(",",TRUE,B209:E209),SF_Output!$Q$1:$Q$400,"One Time",SF_Output!$L$1:$L$400,"software license")+SUMIFS(SF_Output!$S$1:$S$400,SF_Output!$AC$1:$AC$400,_xlfn.TEXTJOIN(",",TRUE,B209:E209),SF_Output!$Q$1:$Q$400,"One Time",SF_Output!$L$1:$L$400,"hardware"))</f>
        <v/>
      </c>
      <c r="K209" s="112" t="str">
        <f>IF(OR(B209=0,B209="",G209="hardware",J209=0),"",IF(AF209&lt;&gt;"exclusion",MAX(K$9,-((SUMIFS(SF_Output!$T$1:$T$400,SF_Output!$AC$1:$AC$400,_xlfn.TEXTJOIN(",",TRUE,$B209:$E209),SF_Output!$Q$1:$Q$400,"One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license"))/J209)))</f>
        <v/>
      </c>
      <c r="L209" s="6" t="str">
        <f t="shared" si="52"/>
        <v/>
      </c>
      <c r="N209" s="6" t="str">
        <f>IF(B209="","",SUMIFS(SF_Output!$S$1:$S$400,SF_Output!$AC$1:$AC$400,_xlfn.TEXTJOIN(",",TRUE,B209:E209),SF_Output!$Q$1:$Q$400,"One Time",SF_Output!$L$1:$L$400,"professional service"))</f>
        <v/>
      </c>
      <c r="O209" s="112" t="str">
        <f>IF(OR(B209=0,B209="",N209=0),"",IF(AF209&lt;&gt;"exclusion",MAX(O$9,-(SUMIFS(SF_Output!$T$1:$T$400,SF_Output!$AC$1:$AC$400,_xlfn.TEXTJOIN(",",TRUE,$B209:$E209),SF_Output!$Q$1:$Q$400,"One Time",SF_Output!$L$1:$L$400,"professional service"))/N209),-((SUMIFS(SF_Output!$T$1:$T$400,SF_Output!$AC$1:$AC$400,_xlfn.TEXTJOIN(",",TRUE,$B209:$E209),SF_Output!$Q$1:$Q$400,"One Time",SF_Output!$L$1:$L$400,"professional service")/N209))))</f>
        <v/>
      </c>
      <c r="P209" s="6" t="str">
        <f t="shared" si="53"/>
        <v/>
      </c>
      <c r="R209" s="6" t="str">
        <f>IF(B209="","",SUMIFS(SF_Output!$S$1:$S$400,SF_Output!$AC$1:$AC$400,_xlfn.TEXTJOIN(",",TRUE,B209:E209),SF_Output!$Q$1:$Q$400,"yearly")+SUMIFS(SF_Output!$S$1:$S$400,SF_Output!$AC$1:$AC$400,_xlfn.TEXTJOIN(",",TRUE,B209:E209),SF_Output!$Q$1:$Q$400,"quarterly")*4)</f>
        <v/>
      </c>
      <c r="S209" s="112" t="str">
        <f>IF(OR(B209=0,B209="",G209="hardware",R209=0),"",IF(AF209&lt;&gt;"exclusion",MAX(S$9,-(SUMIFS(SF_Output!$T$1:$T$400,SF_Output!$AC$1:$AC$400,_xlfn.TEXTJOIN(",",TRUE,$B209:$E209),SF_Output!$Q$1:$Q$400,"yearly"))/R209),-((SUMIFS(SF_Output!$T$1:$T$400,SF_Output!$AC$1:$AC$400,_xlfn.TEXTJOIN(",",TRUE,$B209:$E209),SF_Output!$Q$1:$Q$400,"yearly")/R209))))</f>
        <v/>
      </c>
      <c r="T209" s="6" t="str">
        <f t="shared" si="54"/>
        <v/>
      </c>
      <c r="V209" s="6" t="str" cm="1">
        <f t="array" ref="V209">_xlfn.IFS(B209="","",AND(B209&lt;&gt;"",H209=SF_Output!$Y$2,SUMIFS(SF_Output!$T$1:$T$400,SF_Output!$AC$1:$AC$400,_xlfn.TEXTJOIN(",",TRUE,B209:E209),SF_Output!$Q$1:$Q$400,"monthly")=0),(SUMIFS(SF_Output!$F$1:$F$400,SF_Output!$AC$1:$AC$400,_xlfn.TEXTJOIN(",",TRUE,B209:E209),SF_Output!$Q$1:$Q$400,"monthly")+SUMIFS(SF_Output!$G$1:$G$400,SF_Output!$AC$1:$AC$400,_xlfn.TEXTJOIN(",",TRUE,B209:E209),SF_Output!$Q$1:$Q$400,"monthly"))*H209,AND(B209&lt;&gt;"",H209=SF_Output!$Y$2,SUMIFS(SF_Output!$T$1:$T$400,SF_Output!$AC$1:$AC$400,_xlfn.TEXTJOIN(",",TRUE,B209:E209),SF_Output!$Q$1:$Q$400,"monthly")&lt;&gt;0),SUMIFS(SF_Output!$S$1:$S$400,SF_Output!$AC$1:$AC$400,_xlfn.TEXTJOIN(",",TRUE,B209:E209),SF_Output!$Q$1:$Q$400,"monthly"),AND(B209&lt;&gt;"",H209&lt;&gt;SF_Output!$Y$2),SUMIFS(SF_Output!$S$1:$S$400,SF_Output!$AC$1:$AC$400,_xlfn.TEXTJOIN(",",TRUE,B209:E209),SF_Output!$Q$1:$Q$400,"monthly"))</f>
        <v/>
      </c>
      <c r="W209" s="112" t="str" cm="1">
        <f t="array" ref="W209">_xlfn.IFS(OR(B209=0,B209="",V209=0),"",AF209&lt;&gt;"exclusion",MAX($W$9,$W$7,(-(SUMIFS(SF_Output!$T$1:$T$400,SF_Output!$AC$1:$AC$400,_xlfn.TEXTJOIN(",",TRUE,$B209:$E209),SF_Output!$Q$1:$Q$400,"monthly"))/V209)),AF209="exclusion",-(SUMIFS(SF_Output!$T$1:$T$400,SF_Output!$AC$1:$AC$400,_xlfn.TEXTJOIN(",",TRUE,$B209:$E209),SF_Output!$Q$1:$Q$400,"monthly"))/V209)</f>
        <v/>
      </c>
      <c r="X209" s="6" t="str" cm="1">
        <f t="array" ref="X209">IFERROR(_xlfn.IFS(V209=0,0,V209="","",W209=0,V209,OR(V209&lt;&gt;0,V209&lt;&gt;""),H209*I209),V209*(1-W209))</f>
        <v/>
      </c>
      <c r="Z209" s="6" t="str">
        <f>IFERROR(IF(B209="","",SUMIFS(Billing_Fallout!H:H,Billing_Fallout!N:N,B209)),0)</f>
        <v/>
      </c>
      <c r="AA209" s="6" t="str">
        <f t="shared" si="55"/>
        <v/>
      </c>
      <c r="AB209" s="6" t="str">
        <f>IFERROR(IF(B209="","",SUMIFS(Billing_Fallout!J:J,Billing_Fallout!N:N,B209)),0)</f>
        <v/>
      </c>
      <c r="AD209" s="6" t="str">
        <f t="shared" si="56"/>
        <v/>
      </c>
      <c r="AF209" t="str">
        <f>IFERROR(INDEX(H_Tables!$B$1:$B$1500,MATCH(INDEX(SF_Output!$J$1:$J$400,MATCH(B209,SF_Output!$M$1:$M$400,0)),H_Tables!$A$1:$A$1500,0)),"")</f>
        <v/>
      </c>
      <c r="AI209" s="119" t="str">
        <f t="shared" si="57"/>
        <v/>
      </c>
      <c r="AJ209" s="121">
        <f>IFERROR(INDEX(SF_Output!AD:AD,MATCH(_xlfn.TEXTJOIN(",",TRUE,B209:E209),SF_Output!AC1:AC400,0)),0.05)</f>
        <v>241</v>
      </c>
      <c r="AK209" t="str">
        <f>IF(SUMIFS(SF_Output!$F$1:$F$400,SF_Output!$AC$1:$AC$400,_xlfn.TEXTJOIN(",",TRUE,B209:E209))+SUMIFS(SF_Output!$G$1:$G$400,SF_Output!$AC$1:$AC$400,_xlfn.TEXTJOIN(",",TRUE,B209:E209))=0,"","PAP")</f>
        <v/>
      </c>
      <c r="AQ209" s="35"/>
      <c r="AR209" s="35" t="str" cm="1">
        <f t="array" ref="AR209">IFERROR(_xlfn.IFS(AND(E209*1=1,F209="Included"),"Change to Included",AND(E209*1=0,F209="Optional"),"Change to Optional",OR(B209="",F209="replaced"),""),"")</f>
        <v/>
      </c>
      <c r="AS209" s="35" t="str">
        <f t="shared" si="58"/>
        <v/>
      </c>
      <c r="AT209" s="35" t="str">
        <f t="shared" si="59"/>
        <v/>
      </c>
      <c r="AU209" s="35" t="str">
        <f t="shared" si="60"/>
        <v/>
      </c>
      <c r="AV209" s="35" t="str">
        <f t="shared" si="61"/>
        <v/>
      </c>
      <c r="AW209" s="35" t="str">
        <f t="shared" si="62"/>
        <v/>
      </c>
      <c r="AX209" s="35" t="str">
        <f t="shared" si="63"/>
        <v/>
      </c>
      <c r="AY209" s="35" t="str">
        <f t="shared" si="64"/>
        <v/>
      </c>
      <c r="AZ209" s="35" t="str">
        <f t="shared" si="65"/>
        <v/>
      </c>
      <c r="BA209" s="35" t="str">
        <f t="shared" si="66"/>
        <v/>
      </c>
      <c r="BB209" s="35" t="str">
        <f t="shared" si="67"/>
        <v/>
      </c>
      <c r="BC209" s="35"/>
      <c r="BE209" s="35" t="e">
        <f>INDEX(SF_Output!$AA$2:$AA$400,MATCH($B209,SF_Output!$M$2:$M$400,0))</f>
        <v>#N/A</v>
      </c>
      <c r="BF209" s="35" t="e">
        <f>INDEX(SF_Output!$AB$2:$AB$400,MATCH($B209,SF_Output!$M$2:$M$400,0))</f>
        <v>#N/A</v>
      </c>
    </row>
    <row r="210" spans="6:58" x14ac:dyDescent="0.25">
      <c r="F210" s="116" t="str">
        <f t="shared" si="51"/>
        <v/>
      </c>
      <c r="G210" t="str">
        <f>IF(B210="","",INDEX(SF_Output!$K$1:$K$400,MATCH(B210,SF_Output!$M$1:$M$400,0)))</f>
        <v/>
      </c>
      <c r="H210" t="str" cm="1">
        <f t="array" ref="H210">_xlfn.IFS(B210="","",(SUMIFS(SF_Output!$F$1:$F$400,SF_Output!$AC$1:$AC$400,_xlfn.TEXTJOIN(",",TRUE,B210:E210))+SUMIFS(SF_Output!$G$1:$G$400,SF_Output!$AC$1:$AC$400,_xlfn.TEXTJOIN(",",TRUE,B210:E210)))&lt;&gt;0,SF_Output!$Y$2,INDEX(SF_Output!$F$1:$F$400,MATCH(_xlfn.TEXTJOIN(",",TRUE,B210:E210),SF_Output!$AC$1:$AC$400,0))=0,INDEX(SF_Output!$R$1:$R$400,MATCH(_xlfn.TEXTJOIN(",",TRUE,B210:E210),SF_Output!$AC$1:$AC$400,0)))</f>
        <v/>
      </c>
      <c r="I210" s="125" t="str">
        <f>IFERROR(IF(AND(H210&gt;1,H210&lt;&gt;""),ROUND(SUMIFS(SF_Output!$S$1:$S$400,SF_Output!$AC$1:$AC$400,_xlfn.TEXTJOIN(",",TRUE,B210:E210),SF_Output!$Q$1:$Q$400,"monthly")*(1-W210)/H210,4),""),"")</f>
        <v/>
      </c>
      <c r="J210" s="6" t="str">
        <f>IF(B210="","",SUMIFS(SF_Output!$S$1:$S$400,SF_Output!$AC$1:$AC$400,_xlfn.TEXTJOIN(",",TRUE,B210:E210),SF_Output!$Q$1:$Q$400,"One Time",SF_Output!$L$1:$L$400,"license fee")+SUMIFS(SF_Output!$S$1:$S$400,SF_Output!$AC$1:$AC$400,_xlfn.TEXTJOIN(",",TRUE,B210:E210),SF_Output!$Q$1:$Q$400,"One Time",SF_Output!$L$1:$L$400,"software license")+SUMIFS(SF_Output!$S$1:$S$400,SF_Output!$AC$1:$AC$400,_xlfn.TEXTJOIN(",",TRUE,B210:E210),SF_Output!$Q$1:$Q$400,"One Time",SF_Output!$L$1:$L$400,"hardware"))</f>
        <v/>
      </c>
      <c r="K210" s="112" t="str">
        <f>IF(OR(B210=0,B210="",G210="hardware",J210=0),"",IF(AF210&lt;&gt;"exclusion",MAX(K$9,-((SUMIFS(SF_Output!$T$1:$T$400,SF_Output!$AC$1:$AC$400,_xlfn.TEXTJOIN(",",TRUE,$B210:$E210),SF_Output!$Q$1:$Q$400,"One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license"))/J210)))</f>
        <v/>
      </c>
      <c r="L210" s="6" t="str">
        <f t="shared" si="52"/>
        <v/>
      </c>
      <c r="N210" s="6" t="str">
        <f>IF(B210="","",SUMIFS(SF_Output!$S$1:$S$400,SF_Output!$AC$1:$AC$400,_xlfn.TEXTJOIN(",",TRUE,B210:E210),SF_Output!$Q$1:$Q$400,"One Time",SF_Output!$L$1:$L$400,"professional service"))</f>
        <v/>
      </c>
      <c r="O210" s="112" t="str">
        <f>IF(OR(B210=0,B210="",N210=0),"",IF(AF210&lt;&gt;"exclusion",MAX(O$9,-(SUMIFS(SF_Output!$T$1:$T$400,SF_Output!$AC$1:$AC$400,_xlfn.TEXTJOIN(",",TRUE,$B210:$E210),SF_Output!$Q$1:$Q$400,"One Time",SF_Output!$L$1:$L$400,"professional service"))/N210),-((SUMIFS(SF_Output!$T$1:$T$400,SF_Output!$AC$1:$AC$400,_xlfn.TEXTJOIN(",",TRUE,$B210:$E210),SF_Output!$Q$1:$Q$400,"One Time",SF_Output!$L$1:$L$400,"professional service")/N210))))</f>
        <v/>
      </c>
      <c r="P210" s="6" t="str">
        <f t="shared" si="53"/>
        <v/>
      </c>
      <c r="R210" s="6" t="str">
        <f>IF(B210="","",SUMIFS(SF_Output!$S$1:$S$400,SF_Output!$AC$1:$AC$400,_xlfn.TEXTJOIN(",",TRUE,B210:E210),SF_Output!$Q$1:$Q$400,"yearly")+SUMIFS(SF_Output!$S$1:$S$400,SF_Output!$AC$1:$AC$400,_xlfn.TEXTJOIN(",",TRUE,B210:E210),SF_Output!$Q$1:$Q$400,"quarterly")*4)</f>
        <v/>
      </c>
      <c r="S210" s="112" t="str">
        <f>IF(OR(B210=0,B210="",G210="hardware",R210=0),"",IF(AF210&lt;&gt;"exclusion",MAX(S$9,-(SUMIFS(SF_Output!$T$1:$T$400,SF_Output!$AC$1:$AC$400,_xlfn.TEXTJOIN(",",TRUE,$B210:$E210),SF_Output!$Q$1:$Q$400,"yearly"))/R210),-((SUMIFS(SF_Output!$T$1:$T$400,SF_Output!$AC$1:$AC$400,_xlfn.TEXTJOIN(",",TRUE,$B210:$E210),SF_Output!$Q$1:$Q$400,"yearly")/R210))))</f>
        <v/>
      </c>
      <c r="T210" s="6" t="str">
        <f t="shared" si="54"/>
        <v/>
      </c>
      <c r="V210" s="6" t="str" cm="1">
        <f t="array" ref="V210">_xlfn.IFS(B210="","",AND(B210&lt;&gt;"",H210=SF_Output!$Y$2,SUMIFS(SF_Output!$T$1:$T$400,SF_Output!$AC$1:$AC$400,_xlfn.TEXTJOIN(",",TRUE,B210:E210),SF_Output!$Q$1:$Q$400,"monthly")=0),(SUMIFS(SF_Output!$F$1:$F$400,SF_Output!$AC$1:$AC$400,_xlfn.TEXTJOIN(",",TRUE,B210:E210),SF_Output!$Q$1:$Q$400,"monthly")+SUMIFS(SF_Output!$G$1:$G$400,SF_Output!$AC$1:$AC$400,_xlfn.TEXTJOIN(",",TRUE,B210:E210),SF_Output!$Q$1:$Q$400,"monthly"))*H210,AND(B210&lt;&gt;"",H210=SF_Output!$Y$2,SUMIFS(SF_Output!$T$1:$T$400,SF_Output!$AC$1:$AC$400,_xlfn.TEXTJOIN(",",TRUE,B210:E210),SF_Output!$Q$1:$Q$400,"monthly")&lt;&gt;0),SUMIFS(SF_Output!$S$1:$S$400,SF_Output!$AC$1:$AC$400,_xlfn.TEXTJOIN(",",TRUE,B210:E210),SF_Output!$Q$1:$Q$400,"monthly"),AND(B210&lt;&gt;"",H210&lt;&gt;SF_Output!$Y$2),SUMIFS(SF_Output!$S$1:$S$400,SF_Output!$AC$1:$AC$400,_xlfn.TEXTJOIN(",",TRUE,B210:E210),SF_Output!$Q$1:$Q$400,"monthly"))</f>
        <v/>
      </c>
      <c r="W210" s="112" t="str" cm="1">
        <f t="array" ref="W210">_xlfn.IFS(OR(B210=0,B210="",V210=0),"",AF210&lt;&gt;"exclusion",MAX($W$9,$W$7,(-(SUMIFS(SF_Output!$T$1:$T$400,SF_Output!$AC$1:$AC$400,_xlfn.TEXTJOIN(",",TRUE,$B210:$E210),SF_Output!$Q$1:$Q$400,"monthly"))/V210)),AF210="exclusion",-(SUMIFS(SF_Output!$T$1:$T$400,SF_Output!$AC$1:$AC$400,_xlfn.TEXTJOIN(",",TRUE,$B210:$E210),SF_Output!$Q$1:$Q$400,"monthly"))/V210)</f>
        <v/>
      </c>
      <c r="X210" s="6" t="str" cm="1">
        <f t="array" ref="X210">IFERROR(_xlfn.IFS(V210=0,0,V210="","",W210=0,V210,OR(V210&lt;&gt;0,V210&lt;&gt;""),H210*I210),V210*(1-W210))</f>
        <v/>
      </c>
      <c r="Z210" s="6" t="str">
        <f>IFERROR(IF(B210="","",SUMIFS(Billing_Fallout!H:H,Billing_Fallout!N:N,B210)),0)</f>
        <v/>
      </c>
      <c r="AA210" s="6" t="str">
        <f t="shared" si="55"/>
        <v/>
      </c>
      <c r="AB210" s="6" t="str">
        <f>IFERROR(IF(B210="","",SUMIFS(Billing_Fallout!J:J,Billing_Fallout!N:N,B210)),0)</f>
        <v/>
      </c>
      <c r="AD210" s="6" t="str">
        <f t="shared" si="56"/>
        <v/>
      </c>
      <c r="AF210" t="str">
        <f>IFERROR(INDEX(H_Tables!$B$1:$B$1500,MATCH(INDEX(SF_Output!$J$1:$J$400,MATCH(B210,SF_Output!$M$1:$M$400,0)),H_Tables!$A$1:$A$1500,0)),"")</f>
        <v/>
      </c>
      <c r="AI210" s="119" t="str">
        <f t="shared" si="57"/>
        <v/>
      </c>
      <c r="AJ210" s="121">
        <f>IFERROR(INDEX(SF_Output!AD:AD,MATCH(_xlfn.TEXTJOIN(",",TRUE,B210:E210),SF_Output!AC1:AC400,0)),0.05)</f>
        <v>241</v>
      </c>
      <c r="AK210" t="str">
        <f>IF(SUMIFS(SF_Output!$F$1:$F$400,SF_Output!$AC$1:$AC$400,_xlfn.TEXTJOIN(",",TRUE,B210:E210))+SUMIFS(SF_Output!$G$1:$G$400,SF_Output!$AC$1:$AC$400,_xlfn.TEXTJOIN(",",TRUE,B210:E210))=0,"","PAP")</f>
        <v/>
      </c>
      <c r="AQ210" s="35"/>
      <c r="AR210" s="35" t="str" cm="1">
        <f t="array" ref="AR210">IFERROR(_xlfn.IFS(AND(E210*1=1,F210="Included"),"Change to Included",AND(E210*1=0,F210="Optional"),"Change to Optional",OR(B210="",F210="replaced"),""),"")</f>
        <v/>
      </c>
      <c r="AS210" s="35" t="str">
        <f t="shared" si="58"/>
        <v/>
      </c>
      <c r="AT210" s="35" t="str">
        <f t="shared" si="59"/>
        <v/>
      </c>
      <c r="AU210" s="35" t="str">
        <f t="shared" si="60"/>
        <v/>
      </c>
      <c r="AV210" s="35" t="str">
        <f t="shared" si="61"/>
        <v/>
      </c>
      <c r="AW210" s="35" t="str">
        <f t="shared" si="62"/>
        <v/>
      </c>
      <c r="AX210" s="35" t="str">
        <f t="shared" si="63"/>
        <v/>
      </c>
      <c r="AY210" s="35" t="str">
        <f t="shared" si="64"/>
        <v/>
      </c>
      <c r="AZ210" s="35" t="str">
        <f t="shared" si="65"/>
        <v/>
      </c>
      <c r="BA210" s="35" t="str">
        <f t="shared" si="66"/>
        <v/>
      </c>
      <c r="BB210" s="35" t="str">
        <f t="shared" si="67"/>
        <v/>
      </c>
      <c r="BC210" s="35"/>
      <c r="BE210" s="35" t="e">
        <f>INDEX(SF_Output!$AA$2:$AA$400,MATCH($B210,SF_Output!$M$2:$M$400,0))</f>
        <v>#N/A</v>
      </c>
      <c r="BF210" s="35" t="e">
        <f>INDEX(SF_Output!$AB$2:$AB$400,MATCH($B210,SF_Output!$M$2:$M$400,0))</f>
        <v>#N/A</v>
      </c>
    </row>
    <row r="211" spans="6:58" x14ac:dyDescent="0.25">
      <c r="F211" s="116" t="str">
        <f t="shared" si="51"/>
        <v/>
      </c>
      <c r="G211" t="str">
        <f>IF(B211="","",INDEX(SF_Output!$K$1:$K$400,MATCH(B211,SF_Output!$M$1:$M$400,0)))</f>
        <v/>
      </c>
      <c r="H211" t="str" cm="1">
        <f t="array" ref="H211">_xlfn.IFS(B211="","",(SUMIFS(SF_Output!$F$1:$F$400,SF_Output!$AC$1:$AC$400,_xlfn.TEXTJOIN(",",TRUE,B211:E211))+SUMIFS(SF_Output!$G$1:$G$400,SF_Output!$AC$1:$AC$400,_xlfn.TEXTJOIN(",",TRUE,B211:E211)))&lt;&gt;0,SF_Output!$Y$2,INDEX(SF_Output!$F$1:$F$400,MATCH(_xlfn.TEXTJOIN(",",TRUE,B211:E211),SF_Output!$AC$1:$AC$400,0))=0,INDEX(SF_Output!$R$1:$R$400,MATCH(_xlfn.TEXTJOIN(",",TRUE,B211:E211),SF_Output!$AC$1:$AC$400,0)))</f>
        <v/>
      </c>
      <c r="I211" s="125" t="str">
        <f>IFERROR(IF(AND(H211&gt;1,H211&lt;&gt;""),ROUND(SUMIFS(SF_Output!$S$1:$S$400,SF_Output!$AC$1:$AC$400,_xlfn.TEXTJOIN(",",TRUE,B211:E211),SF_Output!$Q$1:$Q$400,"monthly")*(1-W211)/H211,4),""),"")</f>
        <v/>
      </c>
      <c r="J211" s="6" t="str">
        <f>IF(B211="","",SUMIFS(SF_Output!$S$1:$S$400,SF_Output!$AC$1:$AC$400,_xlfn.TEXTJOIN(",",TRUE,B211:E211),SF_Output!$Q$1:$Q$400,"One Time",SF_Output!$L$1:$L$400,"license fee")+SUMIFS(SF_Output!$S$1:$S$400,SF_Output!$AC$1:$AC$400,_xlfn.TEXTJOIN(",",TRUE,B211:E211),SF_Output!$Q$1:$Q$400,"One Time",SF_Output!$L$1:$L$400,"software license")+SUMIFS(SF_Output!$S$1:$S$400,SF_Output!$AC$1:$AC$400,_xlfn.TEXTJOIN(",",TRUE,B211:E211),SF_Output!$Q$1:$Q$400,"One Time",SF_Output!$L$1:$L$400,"hardware"))</f>
        <v/>
      </c>
      <c r="K211" s="112" t="str">
        <f>IF(OR(B211=0,B211="",G211="hardware",J211=0),"",IF(AF211&lt;&gt;"exclusion",MAX(K$9,-((SUMIFS(SF_Output!$T$1:$T$400,SF_Output!$AC$1:$AC$400,_xlfn.TEXTJOIN(",",TRUE,$B211:$E211),SF_Output!$Q$1:$Q$400,"One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license"))/J211)))</f>
        <v/>
      </c>
      <c r="L211" s="6" t="str">
        <f t="shared" si="52"/>
        <v/>
      </c>
      <c r="N211" s="6" t="str">
        <f>IF(B211="","",SUMIFS(SF_Output!$S$1:$S$400,SF_Output!$AC$1:$AC$400,_xlfn.TEXTJOIN(",",TRUE,B211:E211),SF_Output!$Q$1:$Q$400,"One Time",SF_Output!$L$1:$L$400,"professional service"))</f>
        <v/>
      </c>
      <c r="O211" s="112" t="str">
        <f>IF(OR(B211=0,B211="",N211=0),"",IF(AF211&lt;&gt;"exclusion",MAX(O$9,-(SUMIFS(SF_Output!$T$1:$T$400,SF_Output!$AC$1:$AC$400,_xlfn.TEXTJOIN(",",TRUE,$B211:$E211),SF_Output!$Q$1:$Q$400,"One Time",SF_Output!$L$1:$L$400,"professional service"))/N211),-((SUMIFS(SF_Output!$T$1:$T$400,SF_Output!$AC$1:$AC$400,_xlfn.TEXTJOIN(",",TRUE,$B211:$E211),SF_Output!$Q$1:$Q$400,"One Time",SF_Output!$L$1:$L$400,"professional service")/N211))))</f>
        <v/>
      </c>
      <c r="P211" s="6" t="str">
        <f t="shared" si="53"/>
        <v/>
      </c>
      <c r="R211" s="6" t="str">
        <f>IF(B211="","",SUMIFS(SF_Output!$S$1:$S$400,SF_Output!$AC$1:$AC$400,_xlfn.TEXTJOIN(",",TRUE,B211:E211),SF_Output!$Q$1:$Q$400,"yearly")+SUMIFS(SF_Output!$S$1:$S$400,SF_Output!$AC$1:$AC$400,_xlfn.TEXTJOIN(",",TRUE,B211:E211),SF_Output!$Q$1:$Q$400,"quarterly")*4)</f>
        <v/>
      </c>
      <c r="S211" s="112" t="str">
        <f>IF(OR(B211=0,B211="",G211="hardware",R211=0),"",IF(AF211&lt;&gt;"exclusion",MAX(S$9,-(SUMIFS(SF_Output!$T$1:$T$400,SF_Output!$AC$1:$AC$400,_xlfn.TEXTJOIN(",",TRUE,$B211:$E211),SF_Output!$Q$1:$Q$400,"yearly"))/R211),-((SUMIFS(SF_Output!$T$1:$T$400,SF_Output!$AC$1:$AC$400,_xlfn.TEXTJOIN(",",TRUE,$B211:$E211),SF_Output!$Q$1:$Q$400,"yearly")/R211))))</f>
        <v/>
      </c>
      <c r="T211" s="6" t="str">
        <f t="shared" si="54"/>
        <v/>
      </c>
      <c r="V211" s="6" t="str" cm="1">
        <f t="array" ref="V211">_xlfn.IFS(B211="","",AND(B211&lt;&gt;"",H211=SF_Output!$Y$2,SUMIFS(SF_Output!$T$1:$T$400,SF_Output!$AC$1:$AC$400,_xlfn.TEXTJOIN(",",TRUE,B211:E211),SF_Output!$Q$1:$Q$400,"monthly")=0),(SUMIFS(SF_Output!$F$1:$F$400,SF_Output!$AC$1:$AC$400,_xlfn.TEXTJOIN(",",TRUE,B211:E211),SF_Output!$Q$1:$Q$400,"monthly")+SUMIFS(SF_Output!$G$1:$G$400,SF_Output!$AC$1:$AC$400,_xlfn.TEXTJOIN(",",TRUE,B211:E211),SF_Output!$Q$1:$Q$400,"monthly"))*H211,AND(B211&lt;&gt;"",H211=SF_Output!$Y$2,SUMIFS(SF_Output!$T$1:$T$400,SF_Output!$AC$1:$AC$400,_xlfn.TEXTJOIN(",",TRUE,B211:E211),SF_Output!$Q$1:$Q$400,"monthly")&lt;&gt;0),SUMIFS(SF_Output!$S$1:$S$400,SF_Output!$AC$1:$AC$400,_xlfn.TEXTJOIN(",",TRUE,B211:E211),SF_Output!$Q$1:$Q$400,"monthly"),AND(B211&lt;&gt;"",H211&lt;&gt;SF_Output!$Y$2),SUMIFS(SF_Output!$S$1:$S$400,SF_Output!$AC$1:$AC$400,_xlfn.TEXTJOIN(",",TRUE,B211:E211),SF_Output!$Q$1:$Q$400,"monthly"))</f>
        <v/>
      </c>
      <c r="W211" s="112" t="str" cm="1">
        <f t="array" ref="W211">_xlfn.IFS(OR(B211=0,B211="",V211=0),"",AF211&lt;&gt;"exclusion",MAX($W$9,$W$7,(-(SUMIFS(SF_Output!$T$1:$T$400,SF_Output!$AC$1:$AC$400,_xlfn.TEXTJOIN(",",TRUE,$B211:$E211),SF_Output!$Q$1:$Q$400,"monthly"))/V211)),AF211="exclusion",-(SUMIFS(SF_Output!$T$1:$T$400,SF_Output!$AC$1:$AC$400,_xlfn.TEXTJOIN(",",TRUE,$B211:$E211),SF_Output!$Q$1:$Q$400,"monthly"))/V211)</f>
        <v/>
      </c>
      <c r="X211" s="6" t="str" cm="1">
        <f t="array" ref="X211">IFERROR(_xlfn.IFS(V211=0,0,V211="","",W211=0,V211,OR(V211&lt;&gt;0,V211&lt;&gt;""),H211*I211),V211*(1-W211))</f>
        <v/>
      </c>
      <c r="Z211" s="6" t="str">
        <f>IFERROR(IF(B211="","",SUMIFS(Billing_Fallout!H:H,Billing_Fallout!N:N,B211)),0)</f>
        <v/>
      </c>
      <c r="AA211" s="6" t="str">
        <f t="shared" si="55"/>
        <v/>
      </c>
      <c r="AB211" s="6" t="str">
        <f>IFERROR(IF(B211="","",SUMIFS(Billing_Fallout!J:J,Billing_Fallout!N:N,B211)),0)</f>
        <v/>
      </c>
      <c r="AD211" s="6" t="str">
        <f t="shared" si="56"/>
        <v/>
      </c>
      <c r="AF211" t="str">
        <f>IFERROR(INDEX(H_Tables!$B$1:$B$1500,MATCH(INDEX(SF_Output!$J$1:$J$400,MATCH(B211,SF_Output!$M$1:$M$400,0)),H_Tables!$A$1:$A$1500,0)),"")</f>
        <v/>
      </c>
      <c r="AI211" s="119" t="str">
        <f t="shared" si="57"/>
        <v/>
      </c>
      <c r="AJ211" s="121">
        <f>IFERROR(INDEX(SF_Output!AD:AD,MATCH(_xlfn.TEXTJOIN(",",TRUE,B211:E211),SF_Output!AC1:AC400,0)),0.05)</f>
        <v>241</v>
      </c>
      <c r="AK211" t="str">
        <f>IF(SUMIFS(SF_Output!$F$1:$F$400,SF_Output!$AC$1:$AC$400,_xlfn.TEXTJOIN(",",TRUE,B211:E211))+SUMIFS(SF_Output!$G$1:$G$400,SF_Output!$AC$1:$AC$400,_xlfn.TEXTJOIN(",",TRUE,B211:E211))=0,"","PAP")</f>
        <v/>
      </c>
      <c r="AQ211" s="35"/>
      <c r="AR211" s="35" t="str" cm="1">
        <f t="array" ref="AR211">IFERROR(_xlfn.IFS(AND(E211*1=1,F211="Included"),"Change to Included",AND(E211*1=0,F211="Optional"),"Change to Optional",OR(B211="",F211="replaced"),""),"")</f>
        <v/>
      </c>
      <c r="AS211" s="35" t="str">
        <f t="shared" si="58"/>
        <v/>
      </c>
      <c r="AT211" s="35" t="str">
        <f t="shared" si="59"/>
        <v/>
      </c>
      <c r="AU211" s="35" t="str">
        <f t="shared" si="60"/>
        <v/>
      </c>
      <c r="AV211" s="35" t="str">
        <f t="shared" si="61"/>
        <v/>
      </c>
      <c r="AW211" s="35" t="str">
        <f t="shared" si="62"/>
        <v/>
      </c>
      <c r="AX211" s="35" t="str">
        <f t="shared" si="63"/>
        <v/>
      </c>
      <c r="AY211" s="35" t="str">
        <f t="shared" si="64"/>
        <v/>
      </c>
      <c r="AZ211" s="35" t="str">
        <f t="shared" si="65"/>
        <v/>
      </c>
      <c r="BA211" s="35" t="str">
        <f t="shared" si="66"/>
        <v/>
      </c>
      <c r="BB211" s="35" t="str">
        <f t="shared" si="67"/>
        <v/>
      </c>
      <c r="BC211" s="35"/>
      <c r="BE211" s="35" t="e">
        <f>INDEX(SF_Output!$AA$2:$AA$400,MATCH($B211,SF_Output!$M$2:$M$400,0))</f>
        <v>#N/A</v>
      </c>
      <c r="BF211" s="35" t="e">
        <f>INDEX(SF_Output!$AB$2:$AB$400,MATCH($B211,SF_Output!$M$2:$M$400,0))</f>
        <v>#N/A</v>
      </c>
    </row>
    <row r="212" spans="6:58" x14ac:dyDescent="0.25">
      <c r="F212" s="116" t="str">
        <f t="shared" si="51"/>
        <v/>
      </c>
      <c r="G212" t="str">
        <f>IF(B212="","",INDEX(SF_Output!$K$1:$K$400,MATCH(B212,SF_Output!$M$1:$M$400,0)))</f>
        <v/>
      </c>
      <c r="H212" t="str" cm="1">
        <f t="array" ref="H212">_xlfn.IFS(B212="","",(SUMIFS(SF_Output!$F$1:$F$400,SF_Output!$AC$1:$AC$400,_xlfn.TEXTJOIN(",",TRUE,B212:E212))+SUMIFS(SF_Output!$G$1:$G$400,SF_Output!$AC$1:$AC$400,_xlfn.TEXTJOIN(",",TRUE,B212:E212)))&lt;&gt;0,SF_Output!$Y$2,INDEX(SF_Output!$F$1:$F$400,MATCH(_xlfn.TEXTJOIN(",",TRUE,B212:E212),SF_Output!$AC$1:$AC$400,0))=0,INDEX(SF_Output!$R$1:$R$400,MATCH(_xlfn.TEXTJOIN(",",TRUE,B212:E212),SF_Output!$AC$1:$AC$400,0)))</f>
        <v/>
      </c>
      <c r="I212" s="125" t="str">
        <f>IFERROR(IF(AND(H212&gt;1,H212&lt;&gt;""),ROUND(SUMIFS(SF_Output!$S$1:$S$400,SF_Output!$AC$1:$AC$400,_xlfn.TEXTJOIN(",",TRUE,B212:E212),SF_Output!$Q$1:$Q$400,"monthly")*(1-W212)/H212,4),""),"")</f>
        <v/>
      </c>
      <c r="J212" s="6" t="str">
        <f>IF(B212="","",SUMIFS(SF_Output!$S$1:$S$400,SF_Output!$AC$1:$AC$400,_xlfn.TEXTJOIN(",",TRUE,B212:E212),SF_Output!$Q$1:$Q$400,"One Time",SF_Output!$L$1:$L$400,"license fee")+SUMIFS(SF_Output!$S$1:$S$400,SF_Output!$AC$1:$AC$400,_xlfn.TEXTJOIN(",",TRUE,B212:E212),SF_Output!$Q$1:$Q$400,"One Time",SF_Output!$L$1:$L$400,"software license")+SUMIFS(SF_Output!$S$1:$S$400,SF_Output!$AC$1:$AC$400,_xlfn.TEXTJOIN(",",TRUE,B212:E212),SF_Output!$Q$1:$Q$400,"One Time",SF_Output!$L$1:$L$400,"hardware"))</f>
        <v/>
      </c>
      <c r="K212" s="112" t="str">
        <f>IF(OR(B212=0,B212="",G212="hardware",J212=0),"",IF(AF212&lt;&gt;"exclusion",MAX(K$9,-((SUMIFS(SF_Output!$T$1:$T$400,SF_Output!$AC$1:$AC$400,_xlfn.TEXTJOIN(",",TRUE,$B212:$E212),SF_Output!$Q$1:$Q$400,"One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license"))/J212)))</f>
        <v/>
      </c>
      <c r="L212" s="6" t="str">
        <f t="shared" si="52"/>
        <v/>
      </c>
      <c r="N212" s="6" t="str">
        <f>IF(B212="","",SUMIFS(SF_Output!$S$1:$S$400,SF_Output!$AC$1:$AC$400,_xlfn.TEXTJOIN(",",TRUE,B212:E212),SF_Output!$Q$1:$Q$400,"One Time",SF_Output!$L$1:$L$400,"professional service"))</f>
        <v/>
      </c>
      <c r="O212" s="112" t="str">
        <f>IF(OR(B212=0,B212="",N212=0),"",IF(AF212&lt;&gt;"exclusion",MAX(O$9,-(SUMIFS(SF_Output!$T$1:$T$400,SF_Output!$AC$1:$AC$400,_xlfn.TEXTJOIN(",",TRUE,$B212:$E212),SF_Output!$Q$1:$Q$400,"One Time",SF_Output!$L$1:$L$400,"professional service"))/N212),-((SUMIFS(SF_Output!$T$1:$T$400,SF_Output!$AC$1:$AC$400,_xlfn.TEXTJOIN(",",TRUE,$B212:$E212),SF_Output!$Q$1:$Q$400,"One Time",SF_Output!$L$1:$L$400,"professional service")/N212))))</f>
        <v/>
      </c>
      <c r="P212" s="6" t="str">
        <f t="shared" si="53"/>
        <v/>
      </c>
      <c r="R212" s="6" t="str">
        <f>IF(B212="","",SUMIFS(SF_Output!$S$1:$S$400,SF_Output!$AC$1:$AC$400,_xlfn.TEXTJOIN(",",TRUE,B212:E212),SF_Output!$Q$1:$Q$400,"yearly")+SUMIFS(SF_Output!$S$1:$S$400,SF_Output!$AC$1:$AC$400,_xlfn.TEXTJOIN(",",TRUE,B212:E212),SF_Output!$Q$1:$Q$400,"quarterly")*4)</f>
        <v/>
      </c>
      <c r="S212" s="112" t="str">
        <f>IF(OR(B212=0,B212="",G212="hardware",R212=0),"",IF(AF212&lt;&gt;"exclusion",MAX(S$9,-(SUMIFS(SF_Output!$T$1:$T$400,SF_Output!$AC$1:$AC$400,_xlfn.TEXTJOIN(",",TRUE,$B212:$E212),SF_Output!$Q$1:$Q$400,"yearly"))/R212),-((SUMIFS(SF_Output!$T$1:$T$400,SF_Output!$AC$1:$AC$400,_xlfn.TEXTJOIN(",",TRUE,$B212:$E212),SF_Output!$Q$1:$Q$400,"yearly")/R212))))</f>
        <v/>
      </c>
      <c r="T212" s="6" t="str">
        <f t="shared" si="54"/>
        <v/>
      </c>
      <c r="V212" s="6" t="str" cm="1">
        <f t="array" ref="V212">_xlfn.IFS(B212="","",AND(B212&lt;&gt;"",H212=SF_Output!$Y$2,SUMIFS(SF_Output!$T$1:$T$400,SF_Output!$AC$1:$AC$400,_xlfn.TEXTJOIN(",",TRUE,B212:E212),SF_Output!$Q$1:$Q$400,"monthly")=0),(SUMIFS(SF_Output!$F$1:$F$400,SF_Output!$AC$1:$AC$400,_xlfn.TEXTJOIN(",",TRUE,B212:E212),SF_Output!$Q$1:$Q$400,"monthly")+SUMIFS(SF_Output!$G$1:$G$400,SF_Output!$AC$1:$AC$400,_xlfn.TEXTJOIN(",",TRUE,B212:E212),SF_Output!$Q$1:$Q$400,"monthly"))*H212,AND(B212&lt;&gt;"",H212=SF_Output!$Y$2,SUMIFS(SF_Output!$T$1:$T$400,SF_Output!$AC$1:$AC$400,_xlfn.TEXTJOIN(",",TRUE,B212:E212),SF_Output!$Q$1:$Q$400,"monthly")&lt;&gt;0),SUMIFS(SF_Output!$S$1:$S$400,SF_Output!$AC$1:$AC$400,_xlfn.TEXTJOIN(",",TRUE,B212:E212),SF_Output!$Q$1:$Q$400,"monthly"),AND(B212&lt;&gt;"",H212&lt;&gt;SF_Output!$Y$2),SUMIFS(SF_Output!$S$1:$S$400,SF_Output!$AC$1:$AC$400,_xlfn.TEXTJOIN(",",TRUE,B212:E212),SF_Output!$Q$1:$Q$400,"monthly"))</f>
        <v/>
      </c>
      <c r="W212" s="112" t="str" cm="1">
        <f t="array" ref="W212">_xlfn.IFS(OR(B212=0,B212="",V212=0),"",AF212&lt;&gt;"exclusion",MAX($W$9,$W$7,(-(SUMIFS(SF_Output!$T$1:$T$400,SF_Output!$AC$1:$AC$400,_xlfn.TEXTJOIN(",",TRUE,$B212:$E212),SF_Output!$Q$1:$Q$400,"monthly"))/V212)),AF212="exclusion",-(SUMIFS(SF_Output!$T$1:$T$400,SF_Output!$AC$1:$AC$400,_xlfn.TEXTJOIN(",",TRUE,$B212:$E212),SF_Output!$Q$1:$Q$400,"monthly"))/V212)</f>
        <v/>
      </c>
      <c r="X212" s="6" t="str" cm="1">
        <f t="array" ref="X212">IFERROR(_xlfn.IFS(V212=0,0,V212="","",W212=0,V212,OR(V212&lt;&gt;0,V212&lt;&gt;""),H212*I212),V212*(1-W212))</f>
        <v/>
      </c>
      <c r="Z212" s="6" t="str">
        <f>IFERROR(IF(B212="","",SUMIFS(Billing_Fallout!H:H,Billing_Fallout!N:N,B212)),0)</f>
        <v/>
      </c>
      <c r="AA212" s="6" t="str">
        <f t="shared" si="55"/>
        <v/>
      </c>
      <c r="AB212" s="6" t="str">
        <f>IFERROR(IF(B212="","",SUMIFS(Billing_Fallout!J:J,Billing_Fallout!N:N,B212)),0)</f>
        <v/>
      </c>
      <c r="AD212" s="6" t="str">
        <f t="shared" si="56"/>
        <v/>
      </c>
      <c r="AF212" t="str">
        <f>IFERROR(INDEX(H_Tables!$B$1:$B$1500,MATCH(INDEX(SF_Output!$J$1:$J$400,MATCH(B212,SF_Output!$M$1:$M$400,0)),H_Tables!$A$1:$A$1500,0)),"")</f>
        <v/>
      </c>
      <c r="AI212" s="119" t="str">
        <f t="shared" si="57"/>
        <v/>
      </c>
      <c r="AJ212" s="121">
        <f>IFERROR(INDEX(SF_Output!AD:AD,MATCH(_xlfn.TEXTJOIN(",",TRUE,B212:E212),SF_Output!AC1:AC400,0)),0.05)</f>
        <v>241</v>
      </c>
      <c r="AK212" t="str">
        <f>IF(SUMIFS(SF_Output!$F$1:$F$400,SF_Output!$AC$1:$AC$400,_xlfn.TEXTJOIN(",",TRUE,B212:E212))+SUMIFS(SF_Output!$G$1:$G$400,SF_Output!$AC$1:$AC$400,_xlfn.TEXTJOIN(",",TRUE,B212:E212))=0,"","PAP")</f>
        <v/>
      </c>
      <c r="AQ212" s="35"/>
      <c r="AR212" s="35" t="str" cm="1">
        <f t="array" ref="AR212">IFERROR(_xlfn.IFS(AND(E212*1=1,F212="Included"),"Change to Included",AND(E212*1=0,F212="Optional"),"Change to Optional",OR(B212="",F212="replaced"),""),"")</f>
        <v/>
      </c>
      <c r="AS212" s="35" t="str">
        <f t="shared" si="58"/>
        <v/>
      </c>
      <c r="AT212" s="35" t="str">
        <f t="shared" si="59"/>
        <v/>
      </c>
      <c r="AU212" s="35" t="str">
        <f t="shared" si="60"/>
        <v/>
      </c>
      <c r="AV212" s="35" t="str">
        <f t="shared" si="61"/>
        <v/>
      </c>
      <c r="AW212" s="35" t="str">
        <f t="shared" si="62"/>
        <v/>
      </c>
      <c r="AX212" s="35" t="str">
        <f t="shared" si="63"/>
        <v/>
      </c>
      <c r="AY212" s="35" t="str">
        <f t="shared" si="64"/>
        <v/>
      </c>
      <c r="AZ212" s="35" t="str">
        <f t="shared" si="65"/>
        <v/>
      </c>
      <c r="BA212" s="35" t="str">
        <f t="shared" si="66"/>
        <v/>
      </c>
      <c r="BB212" s="35" t="str">
        <f t="shared" si="67"/>
        <v/>
      </c>
      <c r="BC212" s="35"/>
      <c r="BE212" s="35" t="e">
        <f>INDEX(SF_Output!$AA$2:$AA$400,MATCH($B212,SF_Output!$M$2:$M$400,0))</f>
        <v>#N/A</v>
      </c>
      <c r="BF212" s="35" t="e">
        <f>INDEX(SF_Output!$AB$2:$AB$400,MATCH($B212,SF_Output!$M$2:$M$400,0))</f>
        <v>#N/A</v>
      </c>
    </row>
    <row r="213" spans="6:58" x14ac:dyDescent="0.25">
      <c r="F213" s="116" t="str">
        <f t="shared" si="51"/>
        <v/>
      </c>
      <c r="G213" t="str">
        <f>IF(B213="","",INDEX(SF_Output!$K$1:$K$400,MATCH(B213,SF_Output!$M$1:$M$400,0)))</f>
        <v/>
      </c>
      <c r="H213" t="str" cm="1">
        <f t="array" ref="H213">_xlfn.IFS(B213="","",(SUMIFS(SF_Output!$F$1:$F$400,SF_Output!$AC$1:$AC$400,_xlfn.TEXTJOIN(",",TRUE,B213:E213))+SUMIFS(SF_Output!$G$1:$G$400,SF_Output!$AC$1:$AC$400,_xlfn.TEXTJOIN(",",TRUE,B213:E213)))&lt;&gt;0,SF_Output!$Y$2,INDEX(SF_Output!$F$1:$F$400,MATCH(_xlfn.TEXTJOIN(",",TRUE,B213:E213),SF_Output!$AC$1:$AC$400,0))=0,INDEX(SF_Output!$R$1:$R$400,MATCH(_xlfn.TEXTJOIN(",",TRUE,B213:E213),SF_Output!$AC$1:$AC$400,0)))</f>
        <v/>
      </c>
      <c r="I213" s="125" t="str">
        <f>IFERROR(IF(AND(H213&gt;1,H213&lt;&gt;""),ROUND(SUMIFS(SF_Output!$S$1:$S$400,SF_Output!$AC$1:$AC$400,_xlfn.TEXTJOIN(",",TRUE,B213:E213),SF_Output!$Q$1:$Q$400,"monthly")*(1-W213)/H213,4),""),"")</f>
        <v/>
      </c>
      <c r="J213" s="6" t="str">
        <f>IF(B213="","",SUMIFS(SF_Output!$S$1:$S$400,SF_Output!$AC$1:$AC$400,_xlfn.TEXTJOIN(",",TRUE,B213:E213),SF_Output!$Q$1:$Q$400,"One Time",SF_Output!$L$1:$L$400,"license fee")+SUMIFS(SF_Output!$S$1:$S$400,SF_Output!$AC$1:$AC$400,_xlfn.TEXTJOIN(",",TRUE,B213:E213),SF_Output!$Q$1:$Q$400,"One Time",SF_Output!$L$1:$L$400,"software license")+SUMIFS(SF_Output!$S$1:$S$400,SF_Output!$AC$1:$AC$400,_xlfn.TEXTJOIN(",",TRUE,B213:E213),SF_Output!$Q$1:$Q$400,"One Time",SF_Output!$L$1:$L$400,"hardware"))</f>
        <v/>
      </c>
      <c r="K213" s="112" t="str">
        <f>IF(OR(B213=0,B213="",G213="hardware",J213=0),"",IF(AF213&lt;&gt;"exclusion",MAX(K$9,-((SUMIFS(SF_Output!$T$1:$T$400,SF_Output!$AC$1:$AC$400,_xlfn.TEXTJOIN(",",TRUE,$B213:$E213),SF_Output!$Q$1:$Q$400,"One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license"))/J213)))</f>
        <v/>
      </c>
      <c r="L213" s="6" t="str">
        <f t="shared" si="52"/>
        <v/>
      </c>
      <c r="N213" s="6" t="str">
        <f>IF(B213="","",SUMIFS(SF_Output!$S$1:$S$400,SF_Output!$AC$1:$AC$400,_xlfn.TEXTJOIN(",",TRUE,B213:E213),SF_Output!$Q$1:$Q$400,"One Time",SF_Output!$L$1:$L$400,"professional service"))</f>
        <v/>
      </c>
      <c r="O213" s="112" t="str">
        <f>IF(OR(B213=0,B213="",N213=0),"",IF(AF213&lt;&gt;"exclusion",MAX(O$9,-(SUMIFS(SF_Output!$T$1:$T$400,SF_Output!$AC$1:$AC$400,_xlfn.TEXTJOIN(",",TRUE,$B213:$E213),SF_Output!$Q$1:$Q$400,"One Time",SF_Output!$L$1:$L$400,"professional service"))/N213),-((SUMIFS(SF_Output!$T$1:$T$400,SF_Output!$AC$1:$AC$400,_xlfn.TEXTJOIN(",",TRUE,$B213:$E213),SF_Output!$Q$1:$Q$400,"One Time",SF_Output!$L$1:$L$400,"professional service")/N213))))</f>
        <v/>
      </c>
      <c r="P213" s="6" t="str">
        <f t="shared" si="53"/>
        <v/>
      </c>
      <c r="R213" s="6" t="str">
        <f>IF(B213="","",SUMIFS(SF_Output!$S$1:$S$400,SF_Output!$AC$1:$AC$400,_xlfn.TEXTJOIN(",",TRUE,B213:E213),SF_Output!$Q$1:$Q$400,"yearly")+SUMIFS(SF_Output!$S$1:$S$400,SF_Output!$AC$1:$AC$400,_xlfn.TEXTJOIN(",",TRUE,B213:E213),SF_Output!$Q$1:$Q$400,"quarterly")*4)</f>
        <v/>
      </c>
      <c r="S213" s="112" t="str">
        <f>IF(OR(B213=0,B213="",G213="hardware",R213=0),"",IF(AF213&lt;&gt;"exclusion",MAX(S$9,-(SUMIFS(SF_Output!$T$1:$T$400,SF_Output!$AC$1:$AC$400,_xlfn.TEXTJOIN(",",TRUE,$B213:$E213),SF_Output!$Q$1:$Q$400,"yearly"))/R213),-((SUMIFS(SF_Output!$T$1:$T$400,SF_Output!$AC$1:$AC$400,_xlfn.TEXTJOIN(",",TRUE,$B213:$E213),SF_Output!$Q$1:$Q$400,"yearly")/R213))))</f>
        <v/>
      </c>
      <c r="T213" s="6" t="str">
        <f t="shared" si="54"/>
        <v/>
      </c>
      <c r="V213" s="6" t="str" cm="1">
        <f t="array" ref="V213">_xlfn.IFS(B213="","",AND(B213&lt;&gt;"",H213=SF_Output!$Y$2,SUMIFS(SF_Output!$T$1:$T$400,SF_Output!$AC$1:$AC$400,_xlfn.TEXTJOIN(",",TRUE,B213:E213),SF_Output!$Q$1:$Q$400,"monthly")=0),(SUMIFS(SF_Output!$F$1:$F$400,SF_Output!$AC$1:$AC$400,_xlfn.TEXTJOIN(",",TRUE,B213:E213),SF_Output!$Q$1:$Q$400,"monthly")+SUMIFS(SF_Output!$G$1:$G$400,SF_Output!$AC$1:$AC$400,_xlfn.TEXTJOIN(",",TRUE,B213:E213),SF_Output!$Q$1:$Q$400,"monthly"))*H213,AND(B213&lt;&gt;"",H213=SF_Output!$Y$2,SUMIFS(SF_Output!$T$1:$T$400,SF_Output!$AC$1:$AC$400,_xlfn.TEXTJOIN(",",TRUE,B213:E213),SF_Output!$Q$1:$Q$400,"monthly")&lt;&gt;0),SUMIFS(SF_Output!$S$1:$S$400,SF_Output!$AC$1:$AC$400,_xlfn.TEXTJOIN(",",TRUE,B213:E213),SF_Output!$Q$1:$Q$400,"monthly"),AND(B213&lt;&gt;"",H213&lt;&gt;SF_Output!$Y$2),SUMIFS(SF_Output!$S$1:$S$400,SF_Output!$AC$1:$AC$400,_xlfn.TEXTJOIN(",",TRUE,B213:E213),SF_Output!$Q$1:$Q$400,"monthly"))</f>
        <v/>
      </c>
      <c r="W213" s="112" t="str" cm="1">
        <f t="array" ref="W213">_xlfn.IFS(OR(B213=0,B213="",V213=0),"",AF213&lt;&gt;"exclusion",MAX($W$9,$W$7,(-(SUMIFS(SF_Output!$T$1:$T$400,SF_Output!$AC$1:$AC$400,_xlfn.TEXTJOIN(",",TRUE,$B213:$E213),SF_Output!$Q$1:$Q$400,"monthly"))/V213)),AF213="exclusion",-(SUMIFS(SF_Output!$T$1:$T$400,SF_Output!$AC$1:$AC$400,_xlfn.TEXTJOIN(",",TRUE,$B213:$E213),SF_Output!$Q$1:$Q$400,"monthly"))/V213)</f>
        <v/>
      </c>
      <c r="X213" s="6" t="str" cm="1">
        <f t="array" ref="X213">IFERROR(_xlfn.IFS(V213=0,0,V213="","",W213=0,V213,OR(V213&lt;&gt;0,V213&lt;&gt;""),H213*I213),V213*(1-W213))</f>
        <v/>
      </c>
      <c r="Z213" s="6" t="str">
        <f>IFERROR(IF(B213="","",SUMIFS(Billing_Fallout!H:H,Billing_Fallout!N:N,B213)),0)</f>
        <v/>
      </c>
      <c r="AA213" s="6" t="str">
        <f t="shared" si="55"/>
        <v/>
      </c>
      <c r="AB213" s="6" t="str">
        <f>IFERROR(IF(B213="","",SUMIFS(Billing_Fallout!J:J,Billing_Fallout!N:N,B213)),0)</f>
        <v/>
      </c>
      <c r="AD213" s="6" t="str">
        <f t="shared" si="56"/>
        <v/>
      </c>
      <c r="AF213" t="str">
        <f>IFERROR(INDEX(H_Tables!$B$1:$B$1500,MATCH(INDEX(SF_Output!$J$1:$J$400,MATCH(B213,SF_Output!$M$1:$M$400,0)),H_Tables!$A$1:$A$1500,0)),"")</f>
        <v/>
      </c>
      <c r="AI213" s="119" t="str">
        <f t="shared" si="57"/>
        <v/>
      </c>
      <c r="AJ213" s="121">
        <f>IFERROR(INDEX(SF_Output!AD:AD,MATCH(_xlfn.TEXTJOIN(",",TRUE,B213:E213),SF_Output!AC1:AC400,0)),0.05)</f>
        <v>241</v>
      </c>
      <c r="AK213" t="str">
        <f>IF(SUMIFS(SF_Output!$F$1:$F$400,SF_Output!$AC$1:$AC$400,_xlfn.TEXTJOIN(",",TRUE,B213:E213))+SUMIFS(SF_Output!$G$1:$G$400,SF_Output!$AC$1:$AC$400,_xlfn.TEXTJOIN(",",TRUE,B213:E213))=0,"","PAP")</f>
        <v/>
      </c>
      <c r="AQ213" s="35"/>
      <c r="AR213" s="35" t="str" cm="1">
        <f t="array" ref="AR213">IFERROR(_xlfn.IFS(AND(E213*1=1,F213="Included"),"Change to Included",AND(E213*1=0,F213="Optional"),"Change to Optional",OR(B213="",F213="replaced"),""),"")</f>
        <v/>
      </c>
      <c r="AS213" s="35" t="str">
        <f t="shared" si="58"/>
        <v/>
      </c>
      <c r="AT213" s="35" t="str">
        <f t="shared" si="59"/>
        <v/>
      </c>
      <c r="AU213" s="35" t="str">
        <f t="shared" si="60"/>
        <v/>
      </c>
      <c r="AV213" s="35" t="str">
        <f t="shared" si="61"/>
        <v/>
      </c>
      <c r="AW213" s="35" t="str">
        <f t="shared" si="62"/>
        <v/>
      </c>
      <c r="AX213" s="35" t="str">
        <f t="shared" si="63"/>
        <v/>
      </c>
      <c r="AY213" s="35" t="str">
        <f t="shared" si="64"/>
        <v/>
      </c>
      <c r="AZ213" s="35" t="str">
        <f t="shared" si="65"/>
        <v/>
      </c>
      <c r="BA213" s="35" t="str">
        <f t="shared" si="66"/>
        <v/>
      </c>
      <c r="BB213" s="35" t="str">
        <f t="shared" si="67"/>
        <v/>
      </c>
      <c r="BC213" s="35"/>
      <c r="BE213" s="35" t="e">
        <f>INDEX(SF_Output!$AA$2:$AA$400,MATCH($B213,SF_Output!$M$2:$M$400,0))</f>
        <v>#N/A</v>
      </c>
      <c r="BF213" s="35" t="e">
        <f>INDEX(SF_Output!$AB$2:$AB$400,MATCH($B213,SF_Output!$M$2:$M$400,0))</f>
        <v>#N/A</v>
      </c>
    </row>
    <row r="214" spans="6:58" x14ac:dyDescent="0.25">
      <c r="F214" s="116" t="str">
        <f t="shared" si="51"/>
        <v/>
      </c>
      <c r="G214" t="str">
        <f>IF(B214="","",INDEX(SF_Output!$K$1:$K$400,MATCH(B214,SF_Output!$M$1:$M$400,0)))</f>
        <v/>
      </c>
      <c r="H214" t="str" cm="1">
        <f t="array" ref="H214">_xlfn.IFS(B214="","",(SUMIFS(SF_Output!$F$1:$F$400,SF_Output!$AC$1:$AC$400,_xlfn.TEXTJOIN(",",TRUE,B214:E214))+SUMIFS(SF_Output!$G$1:$G$400,SF_Output!$AC$1:$AC$400,_xlfn.TEXTJOIN(",",TRUE,B214:E214)))&lt;&gt;0,SF_Output!$Y$2,INDEX(SF_Output!$F$1:$F$400,MATCH(_xlfn.TEXTJOIN(",",TRUE,B214:E214),SF_Output!$AC$1:$AC$400,0))=0,INDEX(SF_Output!$R$1:$R$400,MATCH(_xlfn.TEXTJOIN(",",TRUE,B214:E214),SF_Output!$AC$1:$AC$400,0)))</f>
        <v/>
      </c>
      <c r="I214" s="125" t="str">
        <f>IFERROR(IF(AND(H214&gt;1,H214&lt;&gt;""),ROUND(SUMIFS(SF_Output!$S$1:$S$400,SF_Output!$AC$1:$AC$400,_xlfn.TEXTJOIN(",",TRUE,B214:E214),SF_Output!$Q$1:$Q$400,"monthly")*(1-W214)/H214,4),""),"")</f>
        <v/>
      </c>
      <c r="J214" s="6" t="str">
        <f>IF(B214="","",SUMIFS(SF_Output!$S$1:$S$400,SF_Output!$AC$1:$AC$400,_xlfn.TEXTJOIN(",",TRUE,B214:E214),SF_Output!$Q$1:$Q$400,"One Time",SF_Output!$L$1:$L$400,"license fee")+SUMIFS(SF_Output!$S$1:$S$400,SF_Output!$AC$1:$AC$400,_xlfn.TEXTJOIN(",",TRUE,B214:E214),SF_Output!$Q$1:$Q$400,"One Time",SF_Output!$L$1:$L$400,"software license")+SUMIFS(SF_Output!$S$1:$S$400,SF_Output!$AC$1:$AC$400,_xlfn.TEXTJOIN(",",TRUE,B214:E214),SF_Output!$Q$1:$Q$400,"One Time",SF_Output!$L$1:$L$400,"hardware"))</f>
        <v/>
      </c>
      <c r="K214" s="112" t="str">
        <f>IF(OR(B214=0,B214="",G214="hardware",J214=0),"",IF(AF214&lt;&gt;"exclusion",MAX(K$9,-((SUMIFS(SF_Output!$T$1:$T$400,SF_Output!$AC$1:$AC$400,_xlfn.TEXTJOIN(",",TRUE,$B214:$E214),SF_Output!$Q$1:$Q$400,"One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license"))/J214)))</f>
        <v/>
      </c>
      <c r="L214" s="6" t="str">
        <f t="shared" si="52"/>
        <v/>
      </c>
      <c r="N214" s="6" t="str">
        <f>IF(B214="","",SUMIFS(SF_Output!$S$1:$S$400,SF_Output!$AC$1:$AC$400,_xlfn.TEXTJOIN(",",TRUE,B214:E214),SF_Output!$Q$1:$Q$400,"One Time",SF_Output!$L$1:$L$400,"professional service"))</f>
        <v/>
      </c>
      <c r="O214" s="112" t="str">
        <f>IF(OR(B214=0,B214="",N214=0),"",IF(AF214&lt;&gt;"exclusion",MAX(O$9,-(SUMIFS(SF_Output!$T$1:$T$400,SF_Output!$AC$1:$AC$400,_xlfn.TEXTJOIN(",",TRUE,$B214:$E214),SF_Output!$Q$1:$Q$400,"One Time",SF_Output!$L$1:$L$400,"professional service"))/N214),-((SUMIFS(SF_Output!$T$1:$T$400,SF_Output!$AC$1:$AC$400,_xlfn.TEXTJOIN(",",TRUE,$B214:$E214),SF_Output!$Q$1:$Q$400,"One Time",SF_Output!$L$1:$L$400,"professional service")/N214))))</f>
        <v/>
      </c>
      <c r="P214" s="6" t="str">
        <f t="shared" si="53"/>
        <v/>
      </c>
      <c r="R214" s="6" t="str">
        <f>IF(B214="","",SUMIFS(SF_Output!$S$1:$S$400,SF_Output!$AC$1:$AC$400,_xlfn.TEXTJOIN(",",TRUE,B214:E214),SF_Output!$Q$1:$Q$400,"yearly")+SUMIFS(SF_Output!$S$1:$S$400,SF_Output!$AC$1:$AC$400,_xlfn.TEXTJOIN(",",TRUE,B214:E214),SF_Output!$Q$1:$Q$400,"quarterly")*4)</f>
        <v/>
      </c>
      <c r="S214" s="112" t="str">
        <f>IF(OR(B214=0,B214="",G214="hardware",R214=0),"",IF(AF214&lt;&gt;"exclusion",MAX(S$9,-(SUMIFS(SF_Output!$T$1:$T$400,SF_Output!$AC$1:$AC$400,_xlfn.TEXTJOIN(",",TRUE,$B214:$E214),SF_Output!$Q$1:$Q$400,"yearly"))/R214),-((SUMIFS(SF_Output!$T$1:$T$400,SF_Output!$AC$1:$AC$400,_xlfn.TEXTJOIN(",",TRUE,$B214:$E214),SF_Output!$Q$1:$Q$400,"yearly")/R214))))</f>
        <v/>
      </c>
      <c r="T214" s="6" t="str">
        <f t="shared" si="54"/>
        <v/>
      </c>
      <c r="V214" s="6" t="str" cm="1">
        <f t="array" ref="V214">_xlfn.IFS(B214="","",AND(B214&lt;&gt;"",H214=SF_Output!$Y$2,SUMIFS(SF_Output!$T$1:$T$400,SF_Output!$AC$1:$AC$400,_xlfn.TEXTJOIN(",",TRUE,B214:E214),SF_Output!$Q$1:$Q$400,"monthly")=0),(SUMIFS(SF_Output!$F$1:$F$400,SF_Output!$AC$1:$AC$400,_xlfn.TEXTJOIN(",",TRUE,B214:E214),SF_Output!$Q$1:$Q$400,"monthly")+SUMIFS(SF_Output!$G$1:$G$400,SF_Output!$AC$1:$AC$400,_xlfn.TEXTJOIN(",",TRUE,B214:E214),SF_Output!$Q$1:$Q$400,"monthly"))*H214,AND(B214&lt;&gt;"",H214=SF_Output!$Y$2,SUMIFS(SF_Output!$T$1:$T$400,SF_Output!$AC$1:$AC$400,_xlfn.TEXTJOIN(",",TRUE,B214:E214),SF_Output!$Q$1:$Q$400,"monthly")&lt;&gt;0),SUMIFS(SF_Output!$S$1:$S$400,SF_Output!$AC$1:$AC$400,_xlfn.TEXTJOIN(",",TRUE,B214:E214),SF_Output!$Q$1:$Q$400,"monthly"),AND(B214&lt;&gt;"",H214&lt;&gt;SF_Output!$Y$2),SUMIFS(SF_Output!$S$1:$S$400,SF_Output!$AC$1:$AC$400,_xlfn.TEXTJOIN(",",TRUE,B214:E214),SF_Output!$Q$1:$Q$400,"monthly"))</f>
        <v/>
      </c>
      <c r="W214" s="112" t="str" cm="1">
        <f t="array" ref="W214">_xlfn.IFS(OR(B214=0,B214="",V214=0),"",AF214&lt;&gt;"exclusion",MAX($W$9,$W$7,(-(SUMIFS(SF_Output!$T$1:$T$400,SF_Output!$AC$1:$AC$400,_xlfn.TEXTJOIN(",",TRUE,$B214:$E214),SF_Output!$Q$1:$Q$400,"monthly"))/V214)),AF214="exclusion",-(SUMIFS(SF_Output!$T$1:$T$400,SF_Output!$AC$1:$AC$400,_xlfn.TEXTJOIN(",",TRUE,$B214:$E214),SF_Output!$Q$1:$Q$400,"monthly"))/V214)</f>
        <v/>
      </c>
      <c r="X214" s="6" t="str" cm="1">
        <f t="array" ref="X214">IFERROR(_xlfn.IFS(V214=0,0,V214="","",W214=0,V214,OR(V214&lt;&gt;0,V214&lt;&gt;""),H214*I214),V214*(1-W214))</f>
        <v/>
      </c>
      <c r="Z214" s="6" t="str">
        <f>IFERROR(IF(B214="","",SUMIFS(Billing_Fallout!H:H,Billing_Fallout!N:N,B214)),0)</f>
        <v/>
      </c>
      <c r="AA214" s="6" t="str">
        <f t="shared" si="55"/>
        <v/>
      </c>
      <c r="AB214" s="6" t="str">
        <f>IFERROR(IF(B214="","",SUMIFS(Billing_Fallout!J:J,Billing_Fallout!N:N,B214)),0)</f>
        <v/>
      </c>
      <c r="AD214" s="6" t="str">
        <f t="shared" si="56"/>
        <v/>
      </c>
      <c r="AF214" t="str">
        <f>IFERROR(INDEX(H_Tables!$B$1:$B$1500,MATCH(INDEX(SF_Output!$J$1:$J$400,MATCH(B214,SF_Output!$M$1:$M$400,0)),H_Tables!$A$1:$A$1500,0)),"")</f>
        <v/>
      </c>
      <c r="AI214" s="119" t="str">
        <f t="shared" si="57"/>
        <v/>
      </c>
      <c r="AJ214" s="121">
        <f>IFERROR(INDEX(SF_Output!AD:AD,MATCH(_xlfn.TEXTJOIN(",",TRUE,B214:E214),SF_Output!AC1:AC400,0)),0.05)</f>
        <v>241</v>
      </c>
      <c r="AK214" t="str">
        <f>IF(SUMIFS(SF_Output!$F$1:$F$400,SF_Output!$AC$1:$AC$400,_xlfn.TEXTJOIN(",",TRUE,B214:E214))+SUMIFS(SF_Output!$G$1:$G$400,SF_Output!$AC$1:$AC$400,_xlfn.TEXTJOIN(",",TRUE,B214:E214))=0,"","PAP")</f>
        <v/>
      </c>
      <c r="AQ214" s="35"/>
      <c r="AR214" s="35" t="str" cm="1">
        <f t="array" ref="AR214">IFERROR(_xlfn.IFS(AND(E214*1=1,F214="Included"),"Change to Included",AND(E214*1=0,F214="Optional"),"Change to Optional",OR(B214="",F214="replaced"),""),"")</f>
        <v/>
      </c>
      <c r="AS214" s="35" t="str">
        <f t="shared" si="58"/>
        <v/>
      </c>
      <c r="AT214" s="35" t="str">
        <f t="shared" si="59"/>
        <v/>
      </c>
      <c r="AU214" s="35" t="str">
        <f t="shared" si="60"/>
        <v/>
      </c>
      <c r="AV214" s="35" t="str">
        <f t="shared" si="61"/>
        <v/>
      </c>
      <c r="AW214" s="35" t="str">
        <f t="shared" si="62"/>
        <v/>
      </c>
      <c r="AX214" s="35" t="str">
        <f t="shared" si="63"/>
        <v/>
      </c>
      <c r="AY214" s="35" t="str">
        <f t="shared" si="64"/>
        <v/>
      </c>
      <c r="AZ214" s="35" t="str">
        <f t="shared" si="65"/>
        <v/>
      </c>
      <c r="BA214" s="35" t="str">
        <f t="shared" si="66"/>
        <v/>
      </c>
      <c r="BB214" s="35" t="str">
        <f t="shared" si="67"/>
        <v/>
      </c>
      <c r="BC214" s="35"/>
      <c r="BE214" s="35" t="e">
        <f>INDEX(SF_Output!$AA$2:$AA$400,MATCH($B214,SF_Output!$M$2:$M$400,0))</f>
        <v>#N/A</v>
      </c>
      <c r="BF214" s="35" t="e">
        <f>INDEX(SF_Output!$AB$2:$AB$400,MATCH($B214,SF_Output!$M$2:$M$400,0))</f>
        <v>#N/A</v>
      </c>
    </row>
    <row r="215" spans="6:58" x14ac:dyDescent="0.25">
      <c r="F215" s="116" t="str">
        <f t="shared" si="51"/>
        <v/>
      </c>
      <c r="G215" t="str">
        <f>IF(B215="","",INDEX(SF_Output!$K$1:$K$400,MATCH(B215,SF_Output!$M$1:$M$400,0)))</f>
        <v/>
      </c>
      <c r="H215" t="str" cm="1">
        <f t="array" ref="H215">_xlfn.IFS(B215="","",(SUMIFS(SF_Output!$F$1:$F$400,SF_Output!$AC$1:$AC$400,_xlfn.TEXTJOIN(",",TRUE,B215:E215))+SUMIFS(SF_Output!$G$1:$G$400,SF_Output!$AC$1:$AC$400,_xlfn.TEXTJOIN(",",TRUE,B215:E215)))&lt;&gt;0,SF_Output!$Y$2,INDEX(SF_Output!$F$1:$F$400,MATCH(_xlfn.TEXTJOIN(",",TRUE,B215:E215),SF_Output!$AC$1:$AC$400,0))=0,INDEX(SF_Output!$R$1:$R$400,MATCH(_xlfn.TEXTJOIN(",",TRUE,B215:E215),SF_Output!$AC$1:$AC$400,0)))</f>
        <v/>
      </c>
      <c r="I215" s="125" t="str">
        <f>IFERROR(IF(AND(H215&gt;1,H215&lt;&gt;""),ROUND(SUMIFS(SF_Output!$S$1:$S$400,SF_Output!$AC$1:$AC$400,_xlfn.TEXTJOIN(",",TRUE,B215:E215),SF_Output!$Q$1:$Q$400,"monthly")*(1-W215)/H215,4),""),"")</f>
        <v/>
      </c>
      <c r="J215" s="6" t="str">
        <f>IF(B215="","",SUMIFS(SF_Output!$S$1:$S$400,SF_Output!$AC$1:$AC$400,_xlfn.TEXTJOIN(",",TRUE,B215:E215),SF_Output!$Q$1:$Q$400,"One Time",SF_Output!$L$1:$L$400,"license fee")+SUMIFS(SF_Output!$S$1:$S$400,SF_Output!$AC$1:$AC$400,_xlfn.TEXTJOIN(",",TRUE,B215:E215),SF_Output!$Q$1:$Q$400,"One Time",SF_Output!$L$1:$L$400,"software license")+SUMIFS(SF_Output!$S$1:$S$400,SF_Output!$AC$1:$AC$400,_xlfn.TEXTJOIN(",",TRUE,B215:E215),SF_Output!$Q$1:$Q$400,"One Time",SF_Output!$L$1:$L$400,"hardware"))</f>
        <v/>
      </c>
      <c r="K215" s="112" t="str">
        <f>IF(OR(B215=0,B215="",G215="hardware",J215=0),"",IF(AF215&lt;&gt;"exclusion",MAX(K$9,-((SUMIFS(SF_Output!$T$1:$T$400,SF_Output!$AC$1:$AC$400,_xlfn.TEXTJOIN(",",TRUE,$B215:$E215),SF_Output!$Q$1:$Q$400,"One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license"))/J215)))</f>
        <v/>
      </c>
      <c r="L215" s="6" t="str">
        <f t="shared" si="52"/>
        <v/>
      </c>
      <c r="N215" s="6" t="str">
        <f>IF(B215="","",SUMIFS(SF_Output!$S$1:$S$400,SF_Output!$AC$1:$AC$400,_xlfn.TEXTJOIN(",",TRUE,B215:E215),SF_Output!$Q$1:$Q$400,"One Time",SF_Output!$L$1:$L$400,"professional service"))</f>
        <v/>
      </c>
      <c r="O215" s="112" t="str">
        <f>IF(OR(B215=0,B215="",N215=0),"",IF(AF215&lt;&gt;"exclusion",MAX(O$9,-(SUMIFS(SF_Output!$T$1:$T$400,SF_Output!$AC$1:$AC$400,_xlfn.TEXTJOIN(",",TRUE,$B215:$E215),SF_Output!$Q$1:$Q$400,"One Time",SF_Output!$L$1:$L$400,"professional service"))/N215),-((SUMIFS(SF_Output!$T$1:$T$400,SF_Output!$AC$1:$AC$400,_xlfn.TEXTJOIN(",",TRUE,$B215:$E215),SF_Output!$Q$1:$Q$400,"One Time",SF_Output!$L$1:$L$400,"professional service")/N215))))</f>
        <v/>
      </c>
      <c r="P215" s="6" t="str">
        <f t="shared" si="53"/>
        <v/>
      </c>
      <c r="R215" s="6" t="str">
        <f>IF(B215="","",SUMIFS(SF_Output!$S$1:$S$400,SF_Output!$AC$1:$AC$400,_xlfn.TEXTJOIN(",",TRUE,B215:E215),SF_Output!$Q$1:$Q$400,"yearly")+SUMIFS(SF_Output!$S$1:$S$400,SF_Output!$AC$1:$AC$400,_xlfn.TEXTJOIN(",",TRUE,B215:E215),SF_Output!$Q$1:$Q$400,"quarterly")*4)</f>
        <v/>
      </c>
      <c r="S215" s="112" t="str">
        <f>IF(OR(B215=0,B215="",G215="hardware",R215=0),"",IF(AF215&lt;&gt;"exclusion",MAX(S$9,-(SUMIFS(SF_Output!$T$1:$T$400,SF_Output!$AC$1:$AC$400,_xlfn.TEXTJOIN(",",TRUE,$B215:$E215),SF_Output!$Q$1:$Q$400,"yearly"))/R215),-((SUMIFS(SF_Output!$T$1:$T$400,SF_Output!$AC$1:$AC$400,_xlfn.TEXTJOIN(",",TRUE,$B215:$E215),SF_Output!$Q$1:$Q$400,"yearly")/R215))))</f>
        <v/>
      </c>
      <c r="T215" s="6" t="str">
        <f t="shared" si="54"/>
        <v/>
      </c>
      <c r="V215" s="6" t="str" cm="1">
        <f t="array" ref="V215">_xlfn.IFS(B215="","",AND(B215&lt;&gt;"",H215=SF_Output!$Y$2,SUMIFS(SF_Output!$T$1:$T$400,SF_Output!$AC$1:$AC$400,_xlfn.TEXTJOIN(",",TRUE,B215:E215),SF_Output!$Q$1:$Q$400,"monthly")=0),(SUMIFS(SF_Output!$F$1:$F$400,SF_Output!$AC$1:$AC$400,_xlfn.TEXTJOIN(",",TRUE,B215:E215),SF_Output!$Q$1:$Q$400,"monthly")+SUMIFS(SF_Output!$G$1:$G$400,SF_Output!$AC$1:$AC$400,_xlfn.TEXTJOIN(",",TRUE,B215:E215),SF_Output!$Q$1:$Q$400,"monthly"))*H215,AND(B215&lt;&gt;"",H215=SF_Output!$Y$2,SUMIFS(SF_Output!$T$1:$T$400,SF_Output!$AC$1:$AC$400,_xlfn.TEXTJOIN(",",TRUE,B215:E215),SF_Output!$Q$1:$Q$400,"monthly")&lt;&gt;0),SUMIFS(SF_Output!$S$1:$S$400,SF_Output!$AC$1:$AC$400,_xlfn.TEXTJOIN(",",TRUE,B215:E215),SF_Output!$Q$1:$Q$400,"monthly"),AND(B215&lt;&gt;"",H215&lt;&gt;SF_Output!$Y$2),SUMIFS(SF_Output!$S$1:$S$400,SF_Output!$AC$1:$AC$400,_xlfn.TEXTJOIN(",",TRUE,B215:E215),SF_Output!$Q$1:$Q$400,"monthly"))</f>
        <v/>
      </c>
      <c r="W215" s="112" t="str" cm="1">
        <f t="array" ref="W215">_xlfn.IFS(OR(B215=0,B215="",V215=0),"",AF215&lt;&gt;"exclusion",MAX($W$9,$W$7,(-(SUMIFS(SF_Output!$T$1:$T$400,SF_Output!$AC$1:$AC$400,_xlfn.TEXTJOIN(",",TRUE,$B215:$E215),SF_Output!$Q$1:$Q$400,"monthly"))/V215)),AF215="exclusion",-(SUMIFS(SF_Output!$T$1:$T$400,SF_Output!$AC$1:$AC$400,_xlfn.TEXTJOIN(",",TRUE,$B215:$E215),SF_Output!$Q$1:$Q$400,"monthly"))/V215)</f>
        <v/>
      </c>
      <c r="X215" s="6" t="str" cm="1">
        <f t="array" ref="X215">IFERROR(_xlfn.IFS(V215=0,0,V215="","",W215=0,V215,OR(V215&lt;&gt;0,V215&lt;&gt;""),H215*I215),V215*(1-W215))</f>
        <v/>
      </c>
      <c r="Z215" s="6" t="str">
        <f>IFERROR(IF(B215="","",SUMIFS(Billing_Fallout!H:H,Billing_Fallout!N:N,B215)),0)</f>
        <v/>
      </c>
      <c r="AA215" s="6" t="str">
        <f t="shared" si="55"/>
        <v/>
      </c>
      <c r="AB215" s="6" t="str">
        <f>IFERROR(IF(B215="","",SUMIFS(Billing_Fallout!J:J,Billing_Fallout!N:N,B215)),0)</f>
        <v/>
      </c>
      <c r="AD215" s="6" t="str">
        <f t="shared" si="56"/>
        <v/>
      </c>
      <c r="AF215" t="str">
        <f>IFERROR(INDEX(H_Tables!$B$1:$B$1500,MATCH(INDEX(SF_Output!$J$1:$J$400,MATCH(B215,SF_Output!$M$1:$M$400,0)),H_Tables!$A$1:$A$1500,0)),"")</f>
        <v/>
      </c>
      <c r="AI215" s="119" t="str">
        <f t="shared" si="57"/>
        <v/>
      </c>
      <c r="AJ215" s="121">
        <f>IFERROR(INDEX(SF_Output!AD:AD,MATCH(_xlfn.TEXTJOIN(",",TRUE,B215:E215),SF_Output!AC1:AC400,0)),0.05)</f>
        <v>241</v>
      </c>
      <c r="AK215" t="str">
        <f>IF(SUMIFS(SF_Output!$F$1:$F$400,SF_Output!$AC$1:$AC$400,_xlfn.TEXTJOIN(",",TRUE,B215:E215))+SUMIFS(SF_Output!$G$1:$G$400,SF_Output!$AC$1:$AC$400,_xlfn.TEXTJOIN(",",TRUE,B215:E215))=0,"","PAP")</f>
        <v/>
      </c>
      <c r="AQ215" s="35"/>
      <c r="AR215" s="35" t="str" cm="1">
        <f t="array" ref="AR215">IFERROR(_xlfn.IFS(AND(E215*1=1,F215="Included"),"Change to Included",AND(E215*1=0,F215="Optional"),"Change to Optional",OR(B215="",F215="replaced"),""),"")</f>
        <v/>
      </c>
      <c r="AS215" s="35" t="str">
        <f t="shared" si="58"/>
        <v/>
      </c>
      <c r="AT215" s="35" t="str">
        <f t="shared" si="59"/>
        <v/>
      </c>
      <c r="AU215" s="35" t="str">
        <f t="shared" si="60"/>
        <v/>
      </c>
      <c r="AV215" s="35" t="str">
        <f t="shared" si="61"/>
        <v/>
      </c>
      <c r="AW215" s="35" t="str">
        <f t="shared" si="62"/>
        <v/>
      </c>
      <c r="AX215" s="35" t="str">
        <f t="shared" si="63"/>
        <v/>
      </c>
      <c r="AY215" s="35" t="str">
        <f t="shared" si="64"/>
        <v/>
      </c>
      <c r="AZ215" s="35" t="str">
        <f t="shared" si="65"/>
        <v/>
      </c>
      <c r="BA215" s="35" t="str">
        <f t="shared" si="66"/>
        <v/>
      </c>
      <c r="BB215" s="35" t="str">
        <f t="shared" si="67"/>
        <v/>
      </c>
      <c r="BC215" s="35"/>
      <c r="BE215" s="35" t="e">
        <f>INDEX(SF_Output!$AA$2:$AA$400,MATCH($B215,SF_Output!$M$2:$M$400,0))</f>
        <v>#N/A</v>
      </c>
      <c r="BF215" s="35" t="e">
        <f>INDEX(SF_Output!$AB$2:$AB$400,MATCH($B215,SF_Output!$M$2:$M$400,0))</f>
        <v>#N/A</v>
      </c>
    </row>
    <row r="216" spans="6:58" x14ac:dyDescent="0.25">
      <c r="F216" s="116" t="str">
        <f t="shared" si="51"/>
        <v/>
      </c>
      <c r="G216" t="str">
        <f>IF(B216="","",INDEX(SF_Output!$K$1:$K$400,MATCH(B216,SF_Output!$M$1:$M$400,0)))</f>
        <v/>
      </c>
      <c r="H216" t="str" cm="1">
        <f t="array" ref="H216">_xlfn.IFS(B216="","",(SUMIFS(SF_Output!$F$1:$F$400,SF_Output!$AC$1:$AC$400,_xlfn.TEXTJOIN(",",TRUE,B216:E216))+SUMIFS(SF_Output!$G$1:$G$400,SF_Output!$AC$1:$AC$400,_xlfn.TEXTJOIN(",",TRUE,B216:E216)))&lt;&gt;0,SF_Output!$Y$2,INDEX(SF_Output!$F$1:$F$400,MATCH(_xlfn.TEXTJOIN(",",TRUE,B216:E216),SF_Output!$AC$1:$AC$400,0))=0,INDEX(SF_Output!$R$1:$R$400,MATCH(_xlfn.TEXTJOIN(",",TRUE,B216:E216),SF_Output!$AC$1:$AC$400,0)))</f>
        <v/>
      </c>
      <c r="I216" s="125" t="str">
        <f>IFERROR(IF(AND(H216&gt;1,H216&lt;&gt;""),ROUND(SUMIFS(SF_Output!$S$1:$S$400,SF_Output!$AC$1:$AC$400,_xlfn.TEXTJOIN(",",TRUE,B216:E216),SF_Output!$Q$1:$Q$400,"monthly")*(1-W216)/H216,4),""),"")</f>
        <v/>
      </c>
      <c r="J216" s="6" t="str">
        <f>IF(B216="","",SUMIFS(SF_Output!$S$1:$S$400,SF_Output!$AC$1:$AC$400,_xlfn.TEXTJOIN(",",TRUE,B216:E216),SF_Output!$Q$1:$Q$400,"One Time",SF_Output!$L$1:$L$400,"license fee")+SUMIFS(SF_Output!$S$1:$S$400,SF_Output!$AC$1:$AC$400,_xlfn.TEXTJOIN(",",TRUE,B216:E216),SF_Output!$Q$1:$Q$400,"One Time",SF_Output!$L$1:$L$400,"software license")+SUMIFS(SF_Output!$S$1:$S$400,SF_Output!$AC$1:$AC$400,_xlfn.TEXTJOIN(",",TRUE,B216:E216),SF_Output!$Q$1:$Q$400,"One Time",SF_Output!$L$1:$L$400,"hardware"))</f>
        <v/>
      </c>
      <c r="K216" s="112" t="str">
        <f>IF(OR(B216=0,B216="",G216="hardware",J216=0),"",IF(AF216&lt;&gt;"exclusion",MAX(K$9,-((SUMIFS(SF_Output!$T$1:$T$400,SF_Output!$AC$1:$AC$400,_xlfn.TEXTJOIN(",",TRUE,$B216:$E216),SF_Output!$Q$1:$Q$400,"One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license"))/J216)))</f>
        <v/>
      </c>
      <c r="L216" s="6" t="str">
        <f t="shared" si="52"/>
        <v/>
      </c>
      <c r="N216" s="6" t="str">
        <f>IF(B216="","",SUMIFS(SF_Output!$S$1:$S$400,SF_Output!$AC$1:$AC$400,_xlfn.TEXTJOIN(",",TRUE,B216:E216),SF_Output!$Q$1:$Q$400,"One Time",SF_Output!$L$1:$L$400,"professional service"))</f>
        <v/>
      </c>
      <c r="O216" s="112" t="str">
        <f>IF(OR(B216=0,B216="",N216=0),"",IF(AF216&lt;&gt;"exclusion",MAX(O$9,-(SUMIFS(SF_Output!$T$1:$T$400,SF_Output!$AC$1:$AC$400,_xlfn.TEXTJOIN(",",TRUE,$B216:$E216),SF_Output!$Q$1:$Q$400,"One Time",SF_Output!$L$1:$L$400,"professional service"))/N216),-((SUMIFS(SF_Output!$T$1:$T$400,SF_Output!$AC$1:$AC$400,_xlfn.TEXTJOIN(",",TRUE,$B216:$E216),SF_Output!$Q$1:$Q$400,"One Time",SF_Output!$L$1:$L$400,"professional service")/N216))))</f>
        <v/>
      </c>
      <c r="P216" s="6" t="str">
        <f t="shared" si="53"/>
        <v/>
      </c>
      <c r="R216" s="6" t="str">
        <f>IF(B216="","",SUMIFS(SF_Output!$S$1:$S$400,SF_Output!$AC$1:$AC$400,_xlfn.TEXTJOIN(",",TRUE,B216:E216),SF_Output!$Q$1:$Q$400,"yearly")+SUMIFS(SF_Output!$S$1:$S$400,SF_Output!$AC$1:$AC$400,_xlfn.TEXTJOIN(",",TRUE,B216:E216),SF_Output!$Q$1:$Q$400,"quarterly")*4)</f>
        <v/>
      </c>
      <c r="S216" s="112" t="str">
        <f>IF(OR(B216=0,B216="",G216="hardware",R216=0),"",IF(AF216&lt;&gt;"exclusion",MAX(S$9,-(SUMIFS(SF_Output!$T$1:$T$400,SF_Output!$AC$1:$AC$400,_xlfn.TEXTJOIN(",",TRUE,$B216:$E216),SF_Output!$Q$1:$Q$400,"yearly"))/R216),-((SUMIFS(SF_Output!$T$1:$T$400,SF_Output!$AC$1:$AC$400,_xlfn.TEXTJOIN(",",TRUE,$B216:$E216),SF_Output!$Q$1:$Q$400,"yearly")/R216))))</f>
        <v/>
      </c>
      <c r="T216" s="6" t="str">
        <f t="shared" si="54"/>
        <v/>
      </c>
      <c r="V216" s="6" t="str" cm="1">
        <f t="array" ref="V216">_xlfn.IFS(B216="","",AND(B216&lt;&gt;"",H216=SF_Output!$Y$2,SUMIFS(SF_Output!$T$1:$T$400,SF_Output!$AC$1:$AC$400,_xlfn.TEXTJOIN(",",TRUE,B216:E216),SF_Output!$Q$1:$Q$400,"monthly")=0),(SUMIFS(SF_Output!$F$1:$F$400,SF_Output!$AC$1:$AC$400,_xlfn.TEXTJOIN(",",TRUE,B216:E216),SF_Output!$Q$1:$Q$400,"monthly")+SUMIFS(SF_Output!$G$1:$G$400,SF_Output!$AC$1:$AC$400,_xlfn.TEXTJOIN(",",TRUE,B216:E216),SF_Output!$Q$1:$Q$400,"monthly"))*H216,AND(B216&lt;&gt;"",H216=SF_Output!$Y$2,SUMIFS(SF_Output!$T$1:$T$400,SF_Output!$AC$1:$AC$400,_xlfn.TEXTJOIN(",",TRUE,B216:E216),SF_Output!$Q$1:$Q$400,"monthly")&lt;&gt;0),SUMIFS(SF_Output!$S$1:$S$400,SF_Output!$AC$1:$AC$400,_xlfn.TEXTJOIN(",",TRUE,B216:E216),SF_Output!$Q$1:$Q$400,"monthly"),AND(B216&lt;&gt;"",H216&lt;&gt;SF_Output!$Y$2),SUMIFS(SF_Output!$S$1:$S$400,SF_Output!$AC$1:$AC$400,_xlfn.TEXTJOIN(",",TRUE,B216:E216),SF_Output!$Q$1:$Q$400,"monthly"))</f>
        <v/>
      </c>
      <c r="W216" s="112" t="str" cm="1">
        <f t="array" ref="W216">_xlfn.IFS(OR(B216=0,B216="",V216=0),"",AF216&lt;&gt;"exclusion",MAX($W$9,$W$7,(-(SUMIFS(SF_Output!$T$1:$T$400,SF_Output!$AC$1:$AC$400,_xlfn.TEXTJOIN(",",TRUE,$B216:$E216),SF_Output!$Q$1:$Q$400,"monthly"))/V216)),AF216="exclusion",-(SUMIFS(SF_Output!$T$1:$T$400,SF_Output!$AC$1:$AC$400,_xlfn.TEXTJOIN(",",TRUE,$B216:$E216),SF_Output!$Q$1:$Q$400,"monthly"))/V216)</f>
        <v/>
      </c>
      <c r="X216" s="6" t="str" cm="1">
        <f t="array" ref="X216">IFERROR(_xlfn.IFS(V216=0,0,V216="","",W216=0,V216,OR(V216&lt;&gt;0,V216&lt;&gt;""),H216*I216),V216*(1-W216))</f>
        <v/>
      </c>
      <c r="Z216" s="6" t="str">
        <f>IFERROR(IF(B216="","",SUMIFS(Billing_Fallout!H:H,Billing_Fallout!N:N,B216)),0)</f>
        <v/>
      </c>
      <c r="AA216" s="6" t="str">
        <f t="shared" si="55"/>
        <v/>
      </c>
      <c r="AB216" s="6" t="str">
        <f>IFERROR(IF(B216="","",SUMIFS(Billing_Fallout!J:J,Billing_Fallout!N:N,B216)),0)</f>
        <v/>
      </c>
      <c r="AD216" s="6" t="str">
        <f t="shared" si="56"/>
        <v/>
      </c>
      <c r="AF216" t="str">
        <f>IFERROR(INDEX(H_Tables!$B$1:$B$1500,MATCH(INDEX(SF_Output!$J$1:$J$400,MATCH(B216,SF_Output!$M$1:$M$400,0)),H_Tables!$A$1:$A$1500,0)),"")</f>
        <v/>
      </c>
      <c r="AI216" s="119" t="str">
        <f t="shared" si="57"/>
        <v/>
      </c>
      <c r="AJ216" s="121">
        <f>IFERROR(INDEX(SF_Output!AD:AD,MATCH(_xlfn.TEXTJOIN(",",TRUE,B216:E216),SF_Output!AC1:AC400,0)),0.05)</f>
        <v>241</v>
      </c>
      <c r="AK216" t="str">
        <f>IF(SUMIFS(SF_Output!$F$1:$F$400,SF_Output!$AC$1:$AC$400,_xlfn.TEXTJOIN(",",TRUE,B216:E216))+SUMIFS(SF_Output!$G$1:$G$400,SF_Output!$AC$1:$AC$400,_xlfn.TEXTJOIN(",",TRUE,B216:E216))=0,"","PAP")</f>
        <v/>
      </c>
      <c r="AQ216" s="35"/>
      <c r="AR216" s="35" t="str" cm="1">
        <f t="array" ref="AR216">IFERROR(_xlfn.IFS(AND(E216*1=1,F216="Included"),"Change to Included",AND(E216*1=0,F216="Optional"),"Change to Optional",OR(B216="",F216="replaced"),""),"")</f>
        <v/>
      </c>
      <c r="AS216" s="35" t="str">
        <f t="shared" si="58"/>
        <v/>
      </c>
      <c r="AT216" s="35" t="str">
        <f t="shared" si="59"/>
        <v/>
      </c>
      <c r="AU216" s="35" t="str">
        <f t="shared" si="60"/>
        <v/>
      </c>
      <c r="AV216" s="35" t="str">
        <f t="shared" si="61"/>
        <v/>
      </c>
      <c r="AW216" s="35" t="str">
        <f t="shared" si="62"/>
        <v/>
      </c>
      <c r="AX216" s="35" t="str">
        <f t="shared" si="63"/>
        <v/>
      </c>
      <c r="AY216" s="35" t="str">
        <f t="shared" si="64"/>
        <v/>
      </c>
      <c r="AZ216" s="35" t="str">
        <f t="shared" si="65"/>
        <v/>
      </c>
      <c r="BA216" s="35" t="str">
        <f t="shared" si="66"/>
        <v/>
      </c>
      <c r="BB216" s="35" t="str">
        <f t="shared" si="67"/>
        <v/>
      </c>
      <c r="BC216" s="35"/>
      <c r="BE216" s="35" t="e">
        <f>INDEX(SF_Output!$AA$2:$AA$400,MATCH($B216,SF_Output!$M$2:$M$400,0))</f>
        <v>#N/A</v>
      </c>
      <c r="BF216" s="35" t="e">
        <f>INDEX(SF_Output!$AB$2:$AB$400,MATCH($B216,SF_Output!$M$2:$M$400,0))</f>
        <v>#N/A</v>
      </c>
    </row>
    <row r="217" spans="6:58" x14ac:dyDescent="0.25">
      <c r="F217" s="116" t="str">
        <f t="shared" si="51"/>
        <v/>
      </c>
      <c r="G217" t="str">
        <f>IF(B217="","",INDEX(SF_Output!$K$1:$K$400,MATCH(B217,SF_Output!$M$1:$M$400,0)))</f>
        <v/>
      </c>
      <c r="H217" t="str" cm="1">
        <f t="array" ref="H217">_xlfn.IFS(B217="","",(SUMIFS(SF_Output!$F$1:$F$400,SF_Output!$AC$1:$AC$400,_xlfn.TEXTJOIN(",",TRUE,B217:E217))+SUMIFS(SF_Output!$G$1:$G$400,SF_Output!$AC$1:$AC$400,_xlfn.TEXTJOIN(",",TRUE,B217:E217)))&lt;&gt;0,SF_Output!$Y$2,INDEX(SF_Output!$F$1:$F$400,MATCH(_xlfn.TEXTJOIN(",",TRUE,B217:E217),SF_Output!$AC$1:$AC$400,0))=0,INDEX(SF_Output!$R$1:$R$400,MATCH(_xlfn.TEXTJOIN(",",TRUE,B217:E217),SF_Output!$AC$1:$AC$400,0)))</f>
        <v/>
      </c>
      <c r="I217" s="125" t="str">
        <f>IFERROR(IF(AND(H217&gt;1,H217&lt;&gt;""),ROUND(SUMIFS(SF_Output!$S$1:$S$400,SF_Output!$AC$1:$AC$400,_xlfn.TEXTJOIN(",",TRUE,B217:E217),SF_Output!$Q$1:$Q$400,"monthly")*(1-W217)/H217,4),""),"")</f>
        <v/>
      </c>
      <c r="J217" s="6" t="str">
        <f>IF(B217="","",SUMIFS(SF_Output!$S$1:$S$400,SF_Output!$AC$1:$AC$400,_xlfn.TEXTJOIN(",",TRUE,B217:E217),SF_Output!$Q$1:$Q$400,"One Time",SF_Output!$L$1:$L$400,"license fee")+SUMIFS(SF_Output!$S$1:$S$400,SF_Output!$AC$1:$AC$400,_xlfn.TEXTJOIN(",",TRUE,B217:E217),SF_Output!$Q$1:$Q$400,"One Time",SF_Output!$L$1:$L$400,"software license")+SUMIFS(SF_Output!$S$1:$S$400,SF_Output!$AC$1:$AC$400,_xlfn.TEXTJOIN(",",TRUE,B217:E217),SF_Output!$Q$1:$Q$400,"One Time",SF_Output!$L$1:$L$400,"hardware"))</f>
        <v/>
      </c>
      <c r="K217" s="112" t="str">
        <f>IF(OR(B217=0,B217="",G217="hardware",J217=0),"",IF(AF217&lt;&gt;"exclusion",MAX(K$9,-((SUMIFS(SF_Output!$T$1:$T$400,SF_Output!$AC$1:$AC$400,_xlfn.TEXTJOIN(",",TRUE,$B217:$E217),SF_Output!$Q$1:$Q$400,"One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license"))/J217)))</f>
        <v/>
      </c>
      <c r="L217" s="6" t="str">
        <f t="shared" si="52"/>
        <v/>
      </c>
      <c r="N217" s="6" t="str">
        <f>IF(B217="","",SUMIFS(SF_Output!$S$1:$S$400,SF_Output!$AC$1:$AC$400,_xlfn.TEXTJOIN(",",TRUE,B217:E217),SF_Output!$Q$1:$Q$400,"One Time",SF_Output!$L$1:$L$400,"professional service"))</f>
        <v/>
      </c>
      <c r="O217" s="112" t="str">
        <f>IF(OR(B217=0,B217="",N217=0),"",IF(AF217&lt;&gt;"exclusion",MAX(O$9,-(SUMIFS(SF_Output!$T$1:$T$400,SF_Output!$AC$1:$AC$400,_xlfn.TEXTJOIN(",",TRUE,$B217:$E217),SF_Output!$Q$1:$Q$400,"One Time",SF_Output!$L$1:$L$400,"professional service"))/N217),-((SUMIFS(SF_Output!$T$1:$T$400,SF_Output!$AC$1:$AC$400,_xlfn.TEXTJOIN(",",TRUE,$B217:$E217),SF_Output!$Q$1:$Q$400,"One Time",SF_Output!$L$1:$L$400,"professional service")/N217))))</f>
        <v/>
      </c>
      <c r="P217" s="6" t="str">
        <f t="shared" si="53"/>
        <v/>
      </c>
      <c r="R217" s="6" t="str">
        <f>IF(B217="","",SUMIFS(SF_Output!$S$1:$S$400,SF_Output!$AC$1:$AC$400,_xlfn.TEXTJOIN(",",TRUE,B217:E217),SF_Output!$Q$1:$Q$400,"yearly")+SUMIFS(SF_Output!$S$1:$S$400,SF_Output!$AC$1:$AC$400,_xlfn.TEXTJOIN(",",TRUE,B217:E217),SF_Output!$Q$1:$Q$400,"quarterly")*4)</f>
        <v/>
      </c>
      <c r="S217" s="112" t="str">
        <f>IF(OR(B217=0,B217="",G217="hardware",R217=0),"",IF(AF217&lt;&gt;"exclusion",MAX(S$9,-(SUMIFS(SF_Output!$T$1:$T$400,SF_Output!$AC$1:$AC$400,_xlfn.TEXTJOIN(",",TRUE,$B217:$E217),SF_Output!$Q$1:$Q$400,"yearly"))/R217),-((SUMIFS(SF_Output!$T$1:$T$400,SF_Output!$AC$1:$AC$400,_xlfn.TEXTJOIN(",",TRUE,$B217:$E217),SF_Output!$Q$1:$Q$400,"yearly")/R217))))</f>
        <v/>
      </c>
      <c r="T217" s="6" t="str">
        <f t="shared" si="54"/>
        <v/>
      </c>
      <c r="V217" s="6" t="str" cm="1">
        <f t="array" ref="V217">_xlfn.IFS(B217="","",AND(B217&lt;&gt;"",H217=SF_Output!$Y$2,SUMIFS(SF_Output!$T$1:$T$400,SF_Output!$AC$1:$AC$400,_xlfn.TEXTJOIN(",",TRUE,B217:E217),SF_Output!$Q$1:$Q$400,"monthly")=0),(SUMIFS(SF_Output!$F$1:$F$400,SF_Output!$AC$1:$AC$400,_xlfn.TEXTJOIN(",",TRUE,B217:E217),SF_Output!$Q$1:$Q$400,"monthly")+SUMIFS(SF_Output!$G$1:$G$400,SF_Output!$AC$1:$AC$400,_xlfn.TEXTJOIN(",",TRUE,B217:E217),SF_Output!$Q$1:$Q$400,"monthly"))*H217,AND(B217&lt;&gt;"",H217=SF_Output!$Y$2,SUMIFS(SF_Output!$T$1:$T$400,SF_Output!$AC$1:$AC$400,_xlfn.TEXTJOIN(",",TRUE,B217:E217),SF_Output!$Q$1:$Q$400,"monthly")&lt;&gt;0),SUMIFS(SF_Output!$S$1:$S$400,SF_Output!$AC$1:$AC$400,_xlfn.TEXTJOIN(",",TRUE,B217:E217),SF_Output!$Q$1:$Q$400,"monthly"),AND(B217&lt;&gt;"",H217&lt;&gt;SF_Output!$Y$2),SUMIFS(SF_Output!$S$1:$S$400,SF_Output!$AC$1:$AC$400,_xlfn.TEXTJOIN(",",TRUE,B217:E217),SF_Output!$Q$1:$Q$400,"monthly"))</f>
        <v/>
      </c>
      <c r="W217" s="112" t="str" cm="1">
        <f t="array" ref="W217">_xlfn.IFS(OR(B217=0,B217="",V217=0),"",AF217&lt;&gt;"exclusion",MAX($W$9,$W$7,(-(SUMIFS(SF_Output!$T$1:$T$400,SF_Output!$AC$1:$AC$400,_xlfn.TEXTJOIN(",",TRUE,$B217:$E217),SF_Output!$Q$1:$Q$400,"monthly"))/V217)),AF217="exclusion",-(SUMIFS(SF_Output!$T$1:$T$400,SF_Output!$AC$1:$AC$400,_xlfn.TEXTJOIN(",",TRUE,$B217:$E217),SF_Output!$Q$1:$Q$400,"monthly"))/V217)</f>
        <v/>
      </c>
      <c r="X217" s="6" t="str" cm="1">
        <f t="array" ref="X217">IFERROR(_xlfn.IFS(V217=0,0,V217="","",W217=0,V217,OR(V217&lt;&gt;0,V217&lt;&gt;""),H217*I217),V217*(1-W217))</f>
        <v/>
      </c>
      <c r="Z217" s="6" t="str">
        <f>IFERROR(IF(B217="","",SUMIFS(Billing_Fallout!H:H,Billing_Fallout!N:N,B217)),0)</f>
        <v/>
      </c>
      <c r="AA217" s="6" t="str">
        <f t="shared" si="55"/>
        <v/>
      </c>
      <c r="AB217" s="6" t="str">
        <f>IFERROR(IF(B217="","",SUMIFS(Billing_Fallout!J:J,Billing_Fallout!N:N,B217)),0)</f>
        <v/>
      </c>
      <c r="AD217" s="6" t="str">
        <f t="shared" si="56"/>
        <v/>
      </c>
      <c r="AF217" t="str">
        <f>IFERROR(INDEX(H_Tables!$B$1:$B$1500,MATCH(INDEX(SF_Output!$J$1:$J$400,MATCH(B217,SF_Output!$M$1:$M$400,0)),H_Tables!$A$1:$A$1500,0)),"")</f>
        <v/>
      </c>
      <c r="AI217" s="119" t="str">
        <f t="shared" si="57"/>
        <v/>
      </c>
      <c r="AJ217" s="121">
        <f>IFERROR(INDEX(SF_Output!AD:AD,MATCH(_xlfn.TEXTJOIN(",",TRUE,B217:E217),SF_Output!AC1:AC400,0)),0.05)</f>
        <v>241</v>
      </c>
      <c r="AK217" t="str">
        <f>IF(SUMIFS(SF_Output!$F$1:$F$400,SF_Output!$AC$1:$AC$400,_xlfn.TEXTJOIN(",",TRUE,B217:E217))+SUMIFS(SF_Output!$G$1:$G$400,SF_Output!$AC$1:$AC$400,_xlfn.TEXTJOIN(",",TRUE,B217:E217))=0,"","PAP")</f>
        <v/>
      </c>
      <c r="AQ217" s="35"/>
      <c r="AR217" s="35" t="str" cm="1">
        <f t="array" ref="AR217">IFERROR(_xlfn.IFS(AND(E217*1=1,F217="Included"),"Change to Included",AND(E217*1=0,F217="Optional"),"Change to Optional",OR(B217="",F217="replaced"),""),"")</f>
        <v/>
      </c>
      <c r="AS217" s="35" t="str">
        <f t="shared" si="58"/>
        <v/>
      </c>
      <c r="AT217" s="35" t="str">
        <f t="shared" si="59"/>
        <v/>
      </c>
      <c r="AU217" s="35" t="str">
        <f t="shared" si="60"/>
        <v/>
      </c>
      <c r="AV217" s="35" t="str">
        <f t="shared" si="61"/>
        <v/>
      </c>
      <c r="AW217" s="35" t="str">
        <f t="shared" si="62"/>
        <v/>
      </c>
      <c r="AX217" s="35" t="str">
        <f t="shared" si="63"/>
        <v/>
      </c>
      <c r="AY217" s="35" t="str">
        <f t="shared" si="64"/>
        <v/>
      </c>
      <c r="AZ217" s="35" t="str">
        <f t="shared" si="65"/>
        <v/>
      </c>
      <c r="BA217" s="35" t="str">
        <f t="shared" si="66"/>
        <v/>
      </c>
      <c r="BB217" s="35" t="str">
        <f t="shared" si="67"/>
        <v/>
      </c>
      <c r="BC217" s="35"/>
      <c r="BE217" s="35" t="e">
        <f>INDEX(SF_Output!$AA$2:$AA$400,MATCH($B217,SF_Output!$M$2:$M$400,0))</f>
        <v>#N/A</v>
      </c>
      <c r="BF217" s="35" t="e">
        <f>INDEX(SF_Output!$AB$2:$AB$400,MATCH($B217,SF_Output!$M$2:$M$400,0))</f>
        <v>#N/A</v>
      </c>
    </row>
    <row r="218" spans="6:58" x14ac:dyDescent="0.25">
      <c r="F218" s="116" t="str">
        <f t="shared" si="51"/>
        <v/>
      </c>
      <c r="G218" t="str">
        <f>IF(B218="","",INDEX(SF_Output!$K$1:$K$400,MATCH(B218,SF_Output!$M$1:$M$400,0)))</f>
        <v/>
      </c>
      <c r="H218" t="str" cm="1">
        <f t="array" ref="H218">_xlfn.IFS(B218="","",(SUMIFS(SF_Output!$F$1:$F$400,SF_Output!$AC$1:$AC$400,_xlfn.TEXTJOIN(",",TRUE,B218:E218))+SUMIFS(SF_Output!$G$1:$G$400,SF_Output!$AC$1:$AC$400,_xlfn.TEXTJOIN(",",TRUE,B218:E218)))&lt;&gt;0,SF_Output!$Y$2,INDEX(SF_Output!$F$1:$F$400,MATCH(_xlfn.TEXTJOIN(",",TRUE,B218:E218),SF_Output!$AC$1:$AC$400,0))=0,INDEX(SF_Output!$R$1:$R$400,MATCH(_xlfn.TEXTJOIN(",",TRUE,B218:E218),SF_Output!$AC$1:$AC$400,0)))</f>
        <v/>
      </c>
      <c r="I218" s="125" t="str">
        <f>IFERROR(IF(AND(H218&gt;1,H218&lt;&gt;""),ROUND(SUMIFS(SF_Output!$S$1:$S$400,SF_Output!$AC$1:$AC$400,_xlfn.TEXTJOIN(",",TRUE,B218:E218),SF_Output!$Q$1:$Q$400,"monthly")*(1-W218)/H218,4),""),"")</f>
        <v/>
      </c>
      <c r="J218" s="6" t="str">
        <f>IF(B218="","",SUMIFS(SF_Output!$S$1:$S$400,SF_Output!$AC$1:$AC$400,_xlfn.TEXTJOIN(",",TRUE,B218:E218),SF_Output!$Q$1:$Q$400,"One Time",SF_Output!$L$1:$L$400,"license fee")+SUMIFS(SF_Output!$S$1:$S$400,SF_Output!$AC$1:$AC$400,_xlfn.TEXTJOIN(",",TRUE,B218:E218),SF_Output!$Q$1:$Q$400,"One Time",SF_Output!$L$1:$L$400,"software license")+SUMIFS(SF_Output!$S$1:$S$400,SF_Output!$AC$1:$AC$400,_xlfn.TEXTJOIN(",",TRUE,B218:E218),SF_Output!$Q$1:$Q$400,"One Time",SF_Output!$L$1:$L$400,"hardware"))</f>
        <v/>
      </c>
      <c r="K218" s="112" t="str">
        <f>IF(OR(B218=0,B218="",G218="hardware",J218=0),"",IF(AF218&lt;&gt;"exclusion",MAX(K$9,-((SUMIFS(SF_Output!$T$1:$T$400,SF_Output!$AC$1:$AC$400,_xlfn.TEXTJOIN(",",TRUE,$B218:$E218),SF_Output!$Q$1:$Q$400,"One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license"))/J218)))</f>
        <v/>
      </c>
      <c r="L218" s="6" t="str">
        <f t="shared" si="52"/>
        <v/>
      </c>
      <c r="N218" s="6" t="str">
        <f>IF(B218="","",SUMIFS(SF_Output!$S$1:$S$400,SF_Output!$AC$1:$AC$400,_xlfn.TEXTJOIN(",",TRUE,B218:E218),SF_Output!$Q$1:$Q$400,"One Time",SF_Output!$L$1:$L$400,"professional service"))</f>
        <v/>
      </c>
      <c r="O218" s="112" t="str">
        <f>IF(OR(B218=0,B218="",N218=0),"",IF(AF218&lt;&gt;"exclusion",MAX(O$9,-(SUMIFS(SF_Output!$T$1:$T$400,SF_Output!$AC$1:$AC$400,_xlfn.TEXTJOIN(",",TRUE,$B218:$E218),SF_Output!$Q$1:$Q$400,"One Time",SF_Output!$L$1:$L$400,"professional service"))/N218),-((SUMIFS(SF_Output!$T$1:$T$400,SF_Output!$AC$1:$AC$400,_xlfn.TEXTJOIN(",",TRUE,$B218:$E218),SF_Output!$Q$1:$Q$400,"One Time",SF_Output!$L$1:$L$400,"professional service")/N218))))</f>
        <v/>
      </c>
      <c r="P218" s="6" t="str">
        <f t="shared" si="53"/>
        <v/>
      </c>
      <c r="R218" s="6" t="str">
        <f>IF(B218="","",SUMIFS(SF_Output!$S$1:$S$400,SF_Output!$AC$1:$AC$400,_xlfn.TEXTJOIN(",",TRUE,B218:E218),SF_Output!$Q$1:$Q$400,"yearly")+SUMIFS(SF_Output!$S$1:$S$400,SF_Output!$AC$1:$AC$400,_xlfn.TEXTJOIN(",",TRUE,B218:E218),SF_Output!$Q$1:$Q$400,"quarterly")*4)</f>
        <v/>
      </c>
      <c r="S218" s="112" t="str">
        <f>IF(OR(B218=0,B218="",G218="hardware",R218=0),"",IF(AF218&lt;&gt;"exclusion",MAX(S$9,-(SUMIFS(SF_Output!$T$1:$T$400,SF_Output!$AC$1:$AC$400,_xlfn.TEXTJOIN(",",TRUE,$B218:$E218),SF_Output!$Q$1:$Q$400,"yearly"))/R218),-((SUMIFS(SF_Output!$T$1:$T$400,SF_Output!$AC$1:$AC$400,_xlfn.TEXTJOIN(",",TRUE,$B218:$E218),SF_Output!$Q$1:$Q$400,"yearly")/R218))))</f>
        <v/>
      </c>
      <c r="T218" s="6" t="str">
        <f t="shared" si="54"/>
        <v/>
      </c>
      <c r="V218" s="6" t="str" cm="1">
        <f t="array" ref="V218">_xlfn.IFS(B218="","",AND(B218&lt;&gt;"",H218=SF_Output!$Y$2,SUMIFS(SF_Output!$T$1:$T$400,SF_Output!$AC$1:$AC$400,_xlfn.TEXTJOIN(",",TRUE,B218:E218),SF_Output!$Q$1:$Q$400,"monthly")=0),(SUMIFS(SF_Output!$F$1:$F$400,SF_Output!$AC$1:$AC$400,_xlfn.TEXTJOIN(",",TRUE,B218:E218),SF_Output!$Q$1:$Q$400,"monthly")+SUMIFS(SF_Output!$G$1:$G$400,SF_Output!$AC$1:$AC$400,_xlfn.TEXTJOIN(",",TRUE,B218:E218),SF_Output!$Q$1:$Q$400,"monthly"))*H218,AND(B218&lt;&gt;"",H218=SF_Output!$Y$2,SUMIFS(SF_Output!$T$1:$T$400,SF_Output!$AC$1:$AC$400,_xlfn.TEXTJOIN(",",TRUE,B218:E218),SF_Output!$Q$1:$Q$400,"monthly")&lt;&gt;0),SUMIFS(SF_Output!$S$1:$S$400,SF_Output!$AC$1:$AC$400,_xlfn.TEXTJOIN(",",TRUE,B218:E218),SF_Output!$Q$1:$Q$400,"monthly"),AND(B218&lt;&gt;"",H218&lt;&gt;SF_Output!$Y$2),SUMIFS(SF_Output!$S$1:$S$400,SF_Output!$AC$1:$AC$400,_xlfn.TEXTJOIN(",",TRUE,B218:E218),SF_Output!$Q$1:$Q$400,"monthly"))</f>
        <v/>
      </c>
      <c r="W218" s="112" t="str" cm="1">
        <f t="array" ref="W218">_xlfn.IFS(OR(B218=0,B218="",V218=0),"",AF218&lt;&gt;"exclusion",MAX($W$9,$W$7,(-(SUMIFS(SF_Output!$T$1:$T$400,SF_Output!$AC$1:$AC$400,_xlfn.TEXTJOIN(",",TRUE,$B218:$E218),SF_Output!$Q$1:$Q$400,"monthly"))/V218)),AF218="exclusion",-(SUMIFS(SF_Output!$T$1:$T$400,SF_Output!$AC$1:$AC$400,_xlfn.TEXTJOIN(",",TRUE,$B218:$E218),SF_Output!$Q$1:$Q$400,"monthly"))/V218)</f>
        <v/>
      </c>
      <c r="X218" s="6" t="str" cm="1">
        <f t="array" ref="X218">IFERROR(_xlfn.IFS(V218=0,0,V218="","",W218=0,V218,OR(V218&lt;&gt;0,V218&lt;&gt;""),H218*I218),V218*(1-W218))</f>
        <v/>
      </c>
      <c r="Z218" s="6" t="str">
        <f>IFERROR(IF(B218="","",SUMIFS(Billing_Fallout!H:H,Billing_Fallout!N:N,B218)),0)</f>
        <v/>
      </c>
      <c r="AA218" s="6" t="str">
        <f t="shared" si="55"/>
        <v/>
      </c>
      <c r="AB218" s="6" t="str">
        <f>IFERROR(IF(B218="","",SUMIFS(Billing_Fallout!J:J,Billing_Fallout!N:N,B218)),0)</f>
        <v/>
      </c>
      <c r="AD218" s="6" t="str">
        <f t="shared" si="56"/>
        <v/>
      </c>
      <c r="AF218" t="str">
        <f>IFERROR(INDEX(H_Tables!$B$1:$B$1500,MATCH(INDEX(SF_Output!$J$1:$J$400,MATCH(B218,SF_Output!$M$1:$M$400,0)),H_Tables!$A$1:$A$1500,0)),"")</f>
        <v/>
      </c>
      <c r="AI218" s="119" t="str">
        <f t="shared" si="57"/>
        <v/>
      </c>
      <c r="AJ218" s="121">
        <f>IFERROR(INDEX(SF_Output!AD:AD,MATCH(_xlfn.TEXTJOIN(",",TRUE,B218:E218),SF_Output!AC1:AC400,0)),0.05)</f>
        <v>241</v>
      </c>
      <c r="AK218" t="str">
        <f>IF(SUMIFS(SF_Output!$F$1:$F$400,SF_Output!$AC$1:$AC$400,_xlfn.TEXTJOIN(",",TRUE,B218:E218))+SUMIFS(SF_Output!$G$1:$G$400,SF_Output!$AC$1:$AC$400,_xlfn.TEXTJOIN(",",TRUE,B218:E218))=0,"","PAP")</f>
        <v/>
      </c>
      <c r="AQ218" s="35"/>
      <c r="AR218" s="35" t="str" cm="1">
        <f t="array" ref="AR218">IFERROR(_xlfn.IFS(AND(E218*1=1,F218="Included"),"Change to Included",AND(E218*1=0,F218="Optional"),"Change to Optional",OR(B218="",F218="replaced"),""),"")</f>
        <v/>
      </c>
      <c r="AS218" s="35" t="str">
        <f t="shared" si="58"/>
        <v/>
      </c>
      <c r="AT218" s="35" t="str">
        <f t="shared" si="59"/>
        <v/>
      </c>
      <c r="AU218" s="35" t="str">
        <f t="shared" si="60"/>
        <v/>
      </c>
      <c r="AV218" s="35" t="str">
        <f t="shared" si="61"/>
        <v/>
      </c>
      <c r="AW218" s="35" t="str">
        <f t="shared" si="62"/>
        <v/>
      </c>
      <c r="AX218" s="35" t="str">
        <f t="shared" si="63"/>
        <v/>
      </c>
      <c r="AY218" s="35" t="str">
        <f t="shared" si="64"/>
        <v/>
      </c>
      <c r="AZ218" s="35" t="str">
        <f t="shared" si="65"/>
        <v/>
      </c>
      <c r="BA218" s="35" t="str">
        <f t="shared" si="66"/>
        <v/>
      </c>
      <c r="BB218" s="35" t="str">
        <f t="shared" si="67"/>
        <v/>
      </c>
      <c r="BC218" s="35"/>
      <c r="BE218" s="35" t="e">
        <f>INDEX(SF_Output!$AA$2:$AA$400,MATCH($B218,SF_Output!$M$2:$M$400,0))</f>
        <v>#N/A</v>
      </c>
      <c r="BF218" s="35" t="e">
        <f>INDEX(SF_Output!$AB$2:$AB$400,MATCH($B218,SF_Output!$M$2:$M$400,0))</f>
        <v>#N/A</v>
      </c>
    </row>
    <row r="219" spans="6:58" x14ac:dyDescent="0.25">
      <c r="F219" s="116" t="str">
        <f t="shared" si="51"/>
        <v/>
      </c>
      <c r="G219" t="str">
        <f>IF(B219="","",INDEX(SF_Output!$K$1:$K$400,MATCH(B219,SF_Output!$M$1:$M$400,0)))</f>
        <v/>
      </c>
      <c r="H219" t="str" cm="1">
        <f t="array" ref="H219">_xlfn.IFS(B219="","",(SUMIFS(SF_Output!$F$1:$F$400,SF_Output!$AC$1:$AC$400,_xlfn.TEXTJOIN(",",TRUE,B219:E219))+SUMIFS(SF_Output!$G$1:$G$400,SF_Output!$AC$1:$AC$400,_xlfn.TEXTJOIN(",",TRUE,B219:E219)))&lt;&gt;0,SF_Output!$Y$2,INDEX(SF_Output!$F$1:$F$400,MATCH(_xlfn.TEXTJOIN(",",TRUE,B219:E219),SF_Output!$AC$1:$AC$400,0))=0,INDEX(SF_Output!$R$1:$R$400,MATCH(_xlfn.TEXTJOIN(",",TRUE,B219:E219),SF_Output!$AC$1:$AC$400,0)))</f>
        <v/>
      </c>
      <c r="I219" s="125" t="str">
        <f>IFERROR(IF(AND(H219&gt;1,H219&lt;&gt;""),ROUND(SUMIFS(SF_Output!$S$1:$S$400,SF_Output!$AC$1:$AC$400,_xlfn.TEXTJOIN(",",TRUE,B219:E219),SF_Output!$Q$1:$Q$400,"monthly")*(1-W219)/H219,4),""),"")</f>
        <v/>
      </c>
      <c r="J219" s="6" t="str">
        <f>IF(B219="","",SUMIFS(SF_Output!$S$1:$S$400,SF_Output!$AC$1:$AC$400,_xlfn.TEXTJOIN(",",TRUE,B219:E219),SF_Output!$Q$1:$Q$400,"One Time",SF_Output!$L$1:$L$400,"license fee")+SUMIFS(SF_Output!$S$1:$S$400,SF_Output!$AC$1:$AC$400,_xlfn.TEXTJOIN(",",TRUE,B219:E219),SF_Output!$Q$1:$Q$400,"One Time",SF_Output!$L$1:$L$400,"software license")+SUMIFS(SF_Output!$S$1:$S$400,SF_Output!$AC$1:$AC$400,_xlfn.TEXTJOIN(",",TRUE,B219:E219),SF_Output!$Q$1:$Q$400,"One Time",SF_Output!$L$1:$L$400,"hardware"))</f>
        <v/>
      </c>
      <c r="K219" s="112" t="str">
        <f>IF(OR(B219=0,B219="",G219="hardware",J219=0),"",IF(AF219&lt;&gt;"exclusion",MAX(K$9,-((SUMIFS(SF_Output!$T$1:$T$400,SF_Output!$AC$1:$AC$400,_xlfn.TEXTJOIN(",",TRUE,$B219:$E219),SF_Output!$Q$1:$Q$400,"One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license"))/J219)))</f>
        <v/>
      </c>
      <c r="L219" s="6" t="str">
        <f t="shared" si="52"/>
        <v/>
      </c>
      <c r="N219" s="6" t="str">
        <f>IF(B219="","",SUMIFS(SF_Output!$S$1:$S$400,SF_Output!$AC$1:$AC$400,_xlfn.TEXTJOIN(",",TRUE,B219:E219),SF_Output!$Q$1:$Q$400,"One Time",SF_Output!$L$1:$L$400,"professional service"))</f>
        <v/>
      </c>
      <c r="O219" s="112" t="str">
        <f>IF(OR(B219=0,B219="",N219=0),"",IF(AF219&lt;&gt;"exclusion",MAX(O$9,-(SUMIFS(SF_Output!$T$1:$T$400,SF_Output!$AC$1:$AC$400,_xlfn.TEXTJOIN(",",TRUE,$B219:$E219),SF_Output!$Q$1:$Q$400,"One Time",SF_Output!$L$1:$L$400,"professional service"))/N219),-((SUMIFS(SF_Output!$T$1:$T$400,SF_Output!$AC$1:$AC$400,_xlfn.TEXTJOIN(",",TRUE,$B219:$E219),SF_Output!$Q$1:$Q$400,"One Time",SF_Output!$L$1:$L$400,"professional service")/N219))))</f>
        <v/>
      </c>
      <c r="P219" s="6" t="str">
        <f t="shared" si="53"/>
        <v/>
      </c>
      <c r="R219" s="6" t="str">
        <f>IF(B219="","",SUMIFS(SF_Output!$S$1:$S$400,SF_Output!$AC$1:$AC$400,_xlfn.TEXTJOIN(",",TRUE,B219:E219),SF_Output!$Q$1:$Q$400,"yearly")+SUMIFS(SF_Output!$S$1:$S$400,SF_Output!$AC$1:$AC$400,_xlfn.TEXTJOIN(",",TRUE,B219:E219),SF_Output!$Q$1:$Q$400,"quarterly")*4)</f>
        <v/>
      </c>
      <c r="S219" s="112" t="str">
        <f>IF(OR(B219=0,B219="",G219="hardware",R219=0),"",IF(AF219&lt;&gt;"exclusion",MAX(S$9,-(SUMIFS(SF_Output!$T$1:$T$400,SF_Output!$AC$1:$AC$400,_xlfn.TEXTJOIN(",",TRUE,$B219:$E219),SF_Output!$Q$1:$Q$400,"yearly"))/R219),-((SUMIFS(SF_Output!$T$1:$T$400,SF_Output!$AC$1:$AC$400,_xlfn.TEXTJOIN(",",TRUE,$B219:$E219),SF_Output!$Q$1:$Q$400,"yearly")/R219))))</f>
        <v/>
      </c>
      <c r="T219" s="6" t="str">
        <f t="shared" si="54"/>
        <v/>
      </c>
      <c r="V219" s="6" t="str" cm="1">
        <f t="array" ref="V219">_xlfn.IFS(B219="","",AND(B219&lt;&gt;"",H219=SF_Output!$Y$2,SUMIFS(SF_Output!$T$1:$T$400,SF_Output!$AC$1:$AC$400,_xlfn.TEXTJOIN(",",TRUE,B219:E219),SF_Output!$Q$1:$Q$400,"monthly")=0),(SUMIFS(SF_Output!$F$1:$F$400,SF_Output!$AC$1:$AC$400,_xlfn.TEXTJOIN(",",TRUE,B219:E219),SF_Output!$Q$1:$Q$400,"monthly")+SUMIFS(SF_Output!$G$1:$G$400,SF_Output!$AC$1:$AC$400,_xlfn.TEXTJOIN(",",TRUE,B219:E219),SF_Output!$Q$1:$Q$400,"monthly"))*H219,AND(B219&lt;&gt;"",H219=SF_Output!$Y$2,SUMIFS(SF_Output!$T$1:$T$400,SF_Output!$AC$1:$AC$400,_xlfn.TEXTJOIN(",",TRUE,B219:E219),SF_Output!$Q$1:$Q$400,"monthly")&lt;&gt;0),SUMIFS(SF_Output!$S$1:$S$400,SF_Output!$AC$1:$AC$400,_xlfn.TEXTJOIN(",",TRUE,B219:E219),SF_Output!$Q$1:$Q$400,"monthly"),AND(B219&lt;&gt;"",H219&lt;&gt;SF_Output!$Y$2),SUMIFS(SF_Output!$S$1:$S$400,SF_Output!$AC$1:$AC$400,_xlfn.TEXTJOIN(",",TRUE,B219:E219),SF_Output!$Q$1:$Q$400,"monthly"))</f>
        <v/>
      </c>
      <c r="W219" s="112" t="str" cm="1">
        <f t="array" ref="W219">_xlfn.IFS(OR(B219=0,B219="",V219=0),"",AF219&lt;&gt;"exclusion",MAX($W$9,$W$7,(-(SUMIFS(SF_Output!$T$1:$T$400,SF_Output!$AC$1:$AC$400,_xlfn.TEXTJOIN(",",TRUE,$B219:$E219),SF_Output!$Q$1:$Q$400,"monthly"))/V219)),AF219="exclusion",-(SUMIFS(SF_Output!$T$1:$T$400,SF_Output!$AC$1:$AC$400,_xlfn.TEXTJOIN(",",TRUE,$B219:$E219),SF_Output!$Q$1:$Q$400,"monthly"))/V219)</f>
        <v/>
      </c>
      <c r="X219" s="6" t="str" cm="1">
        <f t="array" ref="X219">IFERROR(_xlfn.IFS(V219=0,0,V219="","",W219=0,V219,OR(V219&lt;&gt;0,V219&lt;&gt;""),H219*I219),V219*(1-W219))</f>
        <v/>
      </c>
      <c r="Z219" s="6" t="str">
        <f>IFERROR(IF(B219="","",SUMIFS(Billing_Fallout!H:H,Billing_Fallout!N:N,B219)),0)</f>
        <v/>
      </c>
      <c r="AA219" s="6" t="str">
        <f t="shared" si="55"/>
        <v/>
      </c>
      <c r="AB219" s="6" t="str">
        <f>IFERROR(IF(B219="","",SUMIFS(Billing_Fallout!J:J,Billing_Fallout!N:N,B219)),0)</f>
        <v/>
      </c>
      <c r="AD219" s="6" t="str">
        <f t="shared" si="56"/>
        <v/>
      </c>
      <c r="AF219" t="str">
        <f>IFERROR(INDEX(H_Tables!$B$1:$B$1500,MATCH(INDEX(SF_Output!$J$1:$J$400,MATCH(B219,SF_Output!$M$1:$M$400,0)),H_Tables!$A$1:$A$1500,0)),"")</f>
        <v/>
      </c>
      <c r="AI219" s="119" t="str">
        <f t="shared" si="57"/>
        <v/>
      </c>
      <c r="AJ219" s="121">
        <f>IFERROR(INDEX(SF_Output!AD:AD,MATCH(_xlfn.TEXTJOIN(",",TRUE,B219:E219),SF_Output!AC1:AC400,0)),0.05)</f>
        <v>241</v>
      </c>
      <c r="AK219" t="str">
        <f>IF(SUMIFS(SF_Output!$F$1:$F$400,SF_Output!$AC$1:$AC$400,_xlfn.TEXTJOIN(",",TRUE,B219:E219))+SUMIFS(SF_Output!$G$1:$G$400,SF_Output!$AC$1:$AC$400,_xlfn.TEXTJOIN(",",TRUE,B219:E219))=0,"","PAP")</f>
        <v/>
      </c>
      <c r="AQ219" s="35"/>
      <c r="AR219" s="35" t="str" cm="1">
        <f t="array" ref="AR219">IFERROR(_xlfn.IFS(AND(E219*1=1,F219="Included"),"Change to Included",AND(E219*1=0,F219="Optional"),"Change to Optional",OR(B219="",F219="replaced"),""),"")</f>
        <v/>
      </c>
      <c r="AS219" s="35" t="str">
        <f t="shared" si="58"/>
        <v/>
      </c>
      <c r="AT219" s="35" t="str">
        <f t="shared" si="59"/>
        <v/>
      </c>
      <c r="AU219" s="35" t="str">
        <f t="shared" si="60"/>
        <v/>
      </c>
      <c r="AV219" s="35" t="str">
        <f t="shared" si="61"/>
        <v/>
      </c>
      <c r="AW219" s="35" t="str">
        <f t="shared" si="62"/>
        <v/>
      </c>
      <c r="AX219" s="35" t="str">
        <f t="shared" si="63"/>
        <v/>
      </c>
      <c r="AY219" s="35" t="str">
        <f t="shared" si="64"/>
        <v/>
      </c>
      <c r="AZ219" s="35" t="str">
        <f t="shared" si="65"/>
        <v/>
      </c>
      <c r="BA219" s="35" t="str">
        <f t="shared" si="66"/>
        <v/>
      </c>
      <c r="BB219" s="35" t="str">
        <f t="shared" si="67"/>
        <v/>
      </c>
      <c r="BC219" s="35"/>
      <c r="BE219" s="35" t="e">
        <f>INDEX(SF_Output!$AA$2:$AA$400,MATCH($B219,SF_Output!$M$2:$M$400,0))</f>
        <v>#N/A</v>
      </c>
      <c r="BF219" s="35" t="e">
        <f>INDEX(SF_Output!$AB$2:$AB$400,MATCH($B219,SF_Output!$M$2:$M$400,0))</f>
        <v>#N/A</v>
      </c>
    </row>
    <row r="220" spans="6:58" x14ac:dyDescent="0.25">
      <c r="F220" s="116" t="str">
        <f t="shared" si="51"/>
        <v/>
      </c>
      <c r="G220" t="str">
        <f>IF(B220="","",INDEX(SF_Output!$K$1:$K$400,MATCH(B220,SF_Output!$M$1:$M$400,0)))</f>
        <v/>
      </c>
      <c r="H220" t="str" cm="1">
        <f t="array" ref="H220">_xlfn.IFS(B220="","",(SUMIFS(SF_Output!$F$1:$F$400,SF_Output!$AC$1:$AC$400,_xlfn.TEXTJOIN(",",TRUE,B220:E220))+SUMIFS(SF_Output!$G$1:$G$400,SF_Output!$AC$1:$AC$400,_xlfn.TEXTJOIN(",",TRUE,B220:E220)))&lt;&gt;0,SF_Output!$Y$2,INDEX(SF_Output!$F$1:$F$400,MATCH(_xlfn.TEXTJOIN(",",TRUE,B220:E220),SF_Output!$AC$1:$AC$400,0))=0,INDEX(SF_Output!$R$1:$R$400,MATCH(_xlfn.TEXTJOIN(",",TRUE,B220:E220),SF_Output!$AC$1:$AC$400,0)))</f>
        <v/>
      </c>
      <c r="I220" s="125" t="str">
        <f>IFERROR(IF(AND(H220&gt;1,H220&lt;&gt;""),ROUND(SUMIFS(SF_Output!$S$1:$S$400,SF_Output!$AC$1:$AC$400,_xlfn.TEXTJOIN(",",TRUE,B220:E220),SF_Output!$Q$1:$Q$400,"monthly")*(1-W220)/H220,4),""),"")</f>
        <v/>
      </c>
      <c r="J220" s="6" t="str">
        <f>IF(B220="","",SUMIFS(SF_Output!$S$1:$S$400,SF_Output!$AC$1:$AC$400,_xlfn.TEXTJOIN(",",TRUE,B220:E220),SF_Output!$Q$1:$Q$400,"One Time",SF_Output!$L$1:$L$400,"license fee")+SUMIFS(SF_Output!$S$1:$S$400,SF_Output!$AC$1:$AC$400,_xlfn.TEXTJOIN(",",TRUE,B220:E220),SF_Output!$Q$1:$Q$400,"One Time",SF_Output!$L$1:$L$400,"software license")+SUMIFS(SF_Output!$S$1:$S$400,SF_Output!$AC$1:$AC$400,_xlfn.TEXTJOIN(",",TRUE,B220:E220),SF_Output!$Q$1:$Q$400,"One Time",SF_Output!$L$1:$L$400,"hardware"))</f>
        <v/>
      </c>
      <c r="K220" s="112" t="str">
        <f>IF(OR(B220=0,B220="",G220="hardware",J220=0),"",IF(AF220&lt;&gt;"exclusion",MAX(K$9,-((SUMIFS(SF_Output!$T$1:$T$400,SF_Output!$AC$1:$AC$400,_xlfn.TEXTJOIN(",",TRUE,$B220:$E220),SF_Output!$Q$1:$Q$400,"One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license"))/J220)))</f>
        <v/>
      </c>
      <c r="L220" s="6" t="str">
        <f t="shared" si="52"/>
        <v/>
      </c>
      <c r="N220" s="6" t="str">
        <f>IF(B220="","",SUMIFS(SF_Output!$S$1:$S$400,SF_Output!$AC$1:$AC$400,_xlfn.TEXTJOIN(",",TRUE,B220:E220),SF_Output!$Q$1:$Q$400,"One Time",SF_Output!$L$1:$L$400,"professional service"))</f>
        <v/>
      </c>
      <c r="O220" s="112" t="str">
        <f>IF(OR(B220=0,B220="",N220=0),"",IF(AF220&lt;&gt;"exclusion",MAX(O$9,-(SUMIFS(SF_Output!$T$1:$T$400,SF_Output!$AC$1:$AC$400,_xlfn.TEXTJOIN(",",TRUE,$B220:$E220),SF_Output!$Q$1:$Q$400,"One Time",SF_Output!$L$1:$L$400,"professional service"))/N220),-((SUMIFS(SF_Output!$T$1:$T$400,SF_Output!$AC$1:$AC$400,_xlfn.TEXTJOIN(",",TRUE,$B220:$E220),SF_Output!$Q$1:$Q$400,"One Time",SF_Output!$L$1:$L$400,"professional service")/N220))))</f>
        <v/>
      </c>
      <c r="P220" s="6" t="str">
        <f t="shared" si="53"/>
        <v/>
      </c>
      <c r="R220" s="6" t="str">
        <f>IF(B220="","",SUMIFS(SF_Output!$S$1:$S$400,SF_Output!$AC$1:$AC$400,_xlfn.TEXTJOIN(",",TRUE,B220:E220),SF_Output!$Q$1:$Q$400,"yearly")+SUMIFS(SF_Output!$S$1:$S$400,SF_Output!$AC$1:$AC$400,_xlfn.TEXTJOIN(",",TRUE,B220:E220),SF_Output!$Q$1:$Q$400,"quarterly")*4)</f>
        <v/>
      </c>
      <c r="S220" s="112" t="str">
        <f>IF(OR(B220=0,B220="",G220="hardware",R220=0),"",IF(AF220&lt;&gt;"exclusion",MAX(S$9,-(SUMIFS(SF_Output!$T$1:$T$400,SF_Output!$AC$1:$AC$400,_xlfn.TEXTJOIN(",",TRUE,$B220:$E220),SF_Output!$Q$1:$Q$400,"yearly"))/R220),-((SUMIFS(SF_Output!$T$1:$T$400,SF_Output!$AC$1:$AC$400,_xlfn.TEXTJOIN(",",TRUE,$B220:$E220),SF_Output!$Q$1:$Q$400,"yearly")/R220))))</f>
        <v/>
      </c>
      <c r="T220" s="6" t="str">
        <f t="shared" si="54"/>
        <v/>
      </c>
      <c r="V220" s="6" t="str" cm="1">
        <f t="array" ref="V220">_xlfn.IFS(B220="","",AND(B220&lt;&gt;"",H220=SF_Output!$Y$2,SUMIFS(SF_Output!$T$1:$T$400,SF_Output!$AC$1:$AC$400,_xlfn.TEXTJOIN(",",TRUE,B220:E220),SF_Output!$Q$1:$Q$400,"monthly")=0),(SUMIFS(SF_Output!$F$1:$F$400,SF_Output!$AC$1:$AC$400,_xlfn.TEXTJOIN(",",TRUE,B220:E220),SF_Output!$Q$1:$Q$400,"monthly")+SUMIFS(SF_Output!$G$1:$G$400,SF_Output!$AC$1:$AC$400,_xlfn.TEXTJOIN(",",TRUE,B220:E220),SF_Output!$Q$1:$Q$400,"monthly"))*H220,AND(B220&lt;&gt;"",H220=SF_Output!$Y$2,SUMIFS(SF_Output!$T$1:$T$400,SF_Output!$AC$1:$AC$400,_xlfn.TEXTJOIN(",",TRUE,B220:E220),SF_Output!$Q$1:$Q$400,"monthly")&lt;&gt;0),SUMIFS(SF_Output!$S$1:$S$400,SF_Output!$AC$1:$AC$400,_xlfn.TEXTJOIN(",",TRUE,B220:E220),SF_Output!$Q$1:$Q$400,"monthly"),AND(B220&lt;&gt;"",H220&lt;&gt;SF_Output!$Y$2),SUMIFS(SF_Output!$S$1:$S$400,SF_Output!$AC$1:$AC$400,_xlfn.TEXTJOIN(",",TRUE,B220:E220),SF_Output!$Q$1:$Q$400,"monthly"))</f>
        <v/>
      </c>
      <c r="W220" s="112" t="str" cm="1">
        <f t="array" ref="W220">_xlfn.IFS(OR(B220=0,B220="",V220=0),"",AF220&lt;&gt;"exclusion",MAX($W$9,$W$7,(-(SUMIFS(SF_Output!$T$1:$T$400,SF_Output!$AC$1:$AC$400,_xlfn.TEXTJOIN(",",TRUE,$B220:$E220),SF_Output!$Q$1:$Q$400,"monthly"))/V220)),AF220="exclusion",-(SUMIFS(SF_Output!$T$1:$T$400,SF_Output!$AC$1:$AC$400,_xlfn.TEXTJOIN(",",TRUE,$B220:$E220),SF_Output!$Q$1:$Q$400,"monthly"))/V220)</f>
        <v/>
      </c>
      <c r="X220" s="6" t="str" cm="1">
        <f t="array" ref="X220">IFERROR(_xlfn.IFS(V220=0,0,V220="","",W220=0,V220,OR(V220&lt;&gt;0,V220&lt;&gt;""),H220*I220),V220*(1-W220))</f>
        <v/>
      </c>
      <c r="Z220" s="6" t="str">
        <f>IFERROR(IF(B220="","",SUMIFS(Billing_Fallout!H:H,Billing_Fallout!N:N,B220)),0)</f>
        <v/>
      </c>
      <c r="AA220" s="6" t="str">
        <f t="shared" si="55"/>
        <v/>
      </c>
      <c r="AB220" s="6" t="str">
        <f>IFERROR(IF(B220="","",SUMIFS(Billing_Fallout!J:J,Billing_Fallout!N:N,B220)),0)</f>
        <v/>
      </c>
      <c r="AD220" s="6" t="str">
        <f t="shared" si="56"/>
        <v/>
      </c>
      <c r="AF220" t="str">
        <f>IFERROR(INDEX(H_Tables!$B$1:$B$1500,MATCH(INDEX(SF_Output!$J$1:$J$400,MATCH(B220,SF_Output!$M$1:$M$400,0)),H_Tables!$A$1:$A$1500,0)),"")</f>
        <v/>
      </c>
      <c r="AI220" s="119" t="str">
        <f t="shared" si="57"/>
        <v/>
      </c>
      <c r="AJ220" s="121">
        <f>IFERROR(INDEX(SF_Output!AD:AD,MATCH(_xlfn.TEXTJOIN(",",TRUE,B220:E220),SF_Output!AC1:AC400,0)),0.05)</f>
        <v>241</v>
      </c>
      <c r="AK220" t="str">
        <f>IF(SUMIFS(SF_Output!$F$1:$F$400,SF_Output!$AC$1:$AC$400,_xlfn.TEXTJOIN(",",TRUE,B220:E220))+SUMIFS(SF_Output!$G$1:$G$400,SF_Output!$AC$1:$AC$400,_xlfn.TEXTJOIN(",",TRUE,B220:E220))=0,"","PAP")</f>
        <v/>
      </c>
      <c r="AQ220" s="35"/>
      <c r="AR220" s="35" t="str" cm="1">
        <f t="array" ref="AR220">IFERROR(_xlfn.IFS(AND(E220*1=1,F220="Included"),"Change to Included",AND(E220*1=0,F220="Optional"),"Change to Optional",OR(B220="",F220="replaced"),""),"")</f>
        <v/>
      </c>
      <c r="AS220" s="35" t="str">
        <f t="shared" si="58"/>
        <v/>
      </c>
      <c r="AT220" s="35" t="str">
        <f t="shared" si="59"/>
        <v/>
      </c>
      <c r="AU220" s="35" t="str">
        <f t="shared" si="60"/>
        <v/>
      </c>
      <c r="AV220" s="35" t="str">
        <f t="shared" si="61"/>
        <v/>
      </c>
      <c r="AW220" s="35" t="str">
        <f t="shared" si="62"/>
        <v/>
      </c>
      <c r="AX220" s="35" t="str">
        <f t="shared" si="63"/>
        <v/>
      </c>
      <c r="AY220" s="35" t="str">
        <f t="shared" si="64"/>
        <v/>
      </c>
      <c r="AZ220" s="35" t="str">
        <f t="shared" si="65"/>
        <v/>
      </c>
      <c r="BA220" s="35" t="str">
        <f t="shared" si="66"/>
        <v/>
      </c>
      <c r="BB220" s="35" t="str">
        <f t="shared" si="67"/>
        <v/>
      </c>
      <c r="BC220" s="35"/>
      <c r="BE220" s="35" t="e">
        <f>INDEX(SF_Output!$AA$2:$AA$400,MATCH($B220,SF_Output!$M$2:$M$400,0))</f>
        <v>#N/A</v>
      </c>
      <c r="BF220" s="35" t="e">
        <f>INDEX(SF_Output!$AB$2:$AB$400,MATCH($B220,SF_Output!$M$2:$M$400,0))</f>
        <v>#N/A</v>
      </c>
    </row>
    <row r="221" spans="6:58" x14ac:dyDescent="0.25">
      <c r="F221" s="116" t="str">
        <f t="shared" si="51"/>
        <v/>
      </c>
      <c r="G221" t="str">
        <f>IF(B221="","",INDEX(SF_Output!$K$1:$K$400,MATCH(B221,SF_Output!$M$1:$M$400,0)))</f>
        <v/>
      </c>
      <c r="H221" t="str" cm="1">
        <f t="array" ref="H221">_xlfn.IFS(B221="","",(SUMIFS(SF_Output!$F$1:$F$400,SF_Output!$AC$1:$AC$400,_xlfn.TEXTJOIN(",",TRUE,B221:E221))+SUMIFS(SF_Output!$G$1:$G$400,SF_Output!$AC$1:$AC$400,_xlfn.TEXTJOIN(",",TRUE,B221:E221)))&lt;&gt;0,SF_Output!$Y$2,INDEX(SF_Output!$F$1:$F$400,MATCH(_xlfn.TEXTJOIN(",",TRUE,B221:E221),SF_Output!$AC$1:$AC$400,0))=0,INDEX(SF_Output!$R$1:$R$400,MATCH(_xlfn.TEXTJOIN(",",TRUE,B221:E221),SF_Output!$AC$1:$AC$400,0)))</f>
        <v/>
      </c>
      <c r="I221" s="125" t="str">
        <f>IFERROR(IF(AND(H221&gt;1,H221&lt;&gt;""),ROUND(SUMIFS(SF_Output!$S$1:$S$400,SF_Output!$AC$1:$AC$400,_xlfn.TEXTJOIN(",",TRUE,B221:E221),SF_Output!$Q$1:$Q$400,"monthly")*(1-W221)/H221,4),""),"")</f>
        <v/>
      </c>
      <c r="J221" s="6" t="str">
        <f>IF(B221="","",SUMIFS(SF_Output!$S$1:$S$400,SF_Output!$AC$1:$AC$400,_xlfn.TEXTJOIN(",",TRUE,B221:E221),SF_Output!$Q$1:$Q$400,"One Time",SF_Output!$L$1:$L$400,"license fee")+SUMIFS(SF_Output!$S$1:$S$400,SF_Output!$AC$1:$AC$400,_xlfn.TEXTJOIN(",",TRUE,B221:E221),SF_Output!$Q$1:$Q$400,"One Time",SF_Output!$L$1:$L$400,"software license")+SUMIFS(SF_Output!$S$1:$S$400,SF_Output!$AC$1:$AC$400,_xlfn.TEXTJOIN(",",TRUE,B221:E221),SF_Output!$Q$1:$Q$400,"One Time",SF_Output!$L$1:$L$400,"hardware"))</f>
        <v/>
      </c>
      <c r="K221" s="112" t="str">
        <f>IF(OR(B221=0,B221="",G221="hardware",J221=0),"",IF(AF221&lt;&gt;"exclusion",MAX(K$9,-((SUMIFS(SF_Output!$T$1:$T$400,SF_Output!$AC$1:$AC$400,_xlfn.TEXTJOIN(",",TRUE,$B221:$E221),SF_Output!$Q$1:$Q$400,"One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license"))/J221)))</f>
        <v/>
      </c>
      <c r="L221" s="6" t="str">
        <f t="shared" si="52"/>
        <v/>
      </c>
      <c r="N221" s="6" t="str">
        <f>IF(B221="","",SUMIFS(SF_Output!$S$1:$S$400,SF_Output!$AC$1:$AC$400,_xlfn.TEXTJOIN(",",TRUE,B221:E221),SF_Output!$Q$1:$Q$400,"One Time",SF_Output!$L$1:$L$400,"professional service"))</f>
        <v/>
      </c>
      <c r="O221" s="112" t="str">
        <f>IF(OR(B221=0,B221="",N221=0),"",IF(AF221&lt;&gt;"exclusion",MAX(O$9,-(SUMIFS(SF_Output!$T$1:$T$400,SF_Output!$AC$1:$AC$400,_xlfn.TEXTJOIN(",",TRUE,$B221:$E221),SF_Output!$Q$1:$Q$400,"One Time",SF_Output!$L$1:$L$400,"professional service"))/N221),-((SUMIFS(SF_Output!$T$1:$T$400,SF_Output!$AC$1:$AC$400,_xlfn.TEXTJOIN(",",TRUE,$B221:$E221),SF_Output!$Q$1:$Q$400,"One Time",SF_Output!$L$1:$L$400,"professional service")/N221))))</f>
        <v/>
      </c>
      <c r="P221" s="6" t="str">
        <f t="shared" si="53"/>
        <v/>
      </c>
      <c r="R221" s="6" t="str">
        <f>IF(B221="","",SUMIFS(SF_Output!$S$1:$S$400,SF_Output!$AC$1:$AC$400,_xlfn.TEXTJOIN(",",TRUE,B221:E221),SF_Output!$Q$1:$Q$400,"yearly")+SUMIFS(SF_Output!$S$1:$S$400,SF_Output!$AC$1:$AC$400,_xlfn.TEXTJOIN(",",TRUE,B221:E221),SF_Output!$Q$1:$Q$400,"quarterly")*4)</f>
        <v/>
      </c>
      <c r="S221" s="112" t="str">
        <f>IF(OR(B221=0,B221="",G221="hardware",R221=0),"",IF(AF221&lt;&gt;"exclusion",MAX(S$9,-(SUMIFS(SF_Output!$T$1:$T$400,SF_Output!$AC$1:$AC$400,_xlfn.TEXTJOIN(",",TRUE,$B221:$E221),SF_Output!$Q$1:$Q$400,"yearly"))/R221),-((SUMIFS(SF_Output!$T$1:$T$400,SF_Output!$AC$1:$AC$400,_xlfn.TEXTJOIN(",",TRUE,$B221:$E221),SF_Output!$Q$1:$Q$400,"yearly")/R221))))</f>
        <v/>
      </c>
      <c r="T221" s="6" t="str">
        <f t="shared" si="54"/>
        <v/>
      </c>
      <c r="V221" s="6" t="str" cm="1">
        <f t="array" ref="V221">_xlfn.IFS(B221="","",AND(B221&lt;&gt;"",H221=SF_Output!$Y$2,SUMIFS(SF_Output!$T$1:$T$400,SF_Output!$AC$1:$AC$400,_xlfn.TEXTJOIN(",",TRUE,B221:E221),SF_Output!$Q$1:$Q$400,"monthly")=0),(SUMIFS(SF_Output!$F$1:$F$400,SF_Output!$AC$1:$AC$400,_xlfn.TEXTJOIN(",",TRUE,B221:E221),SF_Output!$Q$1:$Q$400,"monthly")+SUMIFS(SF_Output!$G$1:$G$400,SF_Output!$AC$1:$AC$400,_xlfn.TEXTJOIN(",",TRUE,B221:E221),SF_Output!$Q$1:$Q$400,"monthly"))*H221,AND(B221&lt;&gt;"",H221=SF_Output!$Y$2,SUMIFS(SF_Output!$T$1:$T$400,SF_Output!$AC$1:$AC$400,_xlfn.TEXTJOIN(",",TRUE,B221:E221),SF_Output!$Q$1:$Q$400,"monthly")&lt;&gt;0),SUMIFS(SF_Output!$S$1:$S$400,SF_Output!$AC$1:$AC$400,_xlfn.TEXTJOIN(",",TRUE,B221:E221),SF_Output!$Q$1:$Q$400,"monthly"),AND(B221&lt;&gt;"",H221&lt;&gt;SF_Output!$Y$2),SUMIFS(SF_Output!$S$1:$S$400,SF_Output!$AC$1:$AC$400,_xlfn.TEXTJOIN(",",TRUE,B221:E221),SF_Output!$Q$1:$Q$400,"monthly"))</f>
        <v/>
      </c>
      <c r="W221" s="112" t="str" cm="1">
        <f t="array" ref="W221">_xlfn.IFS(OR(B221=0,B221="",V221=0),"",AF221&lt;&gt;"exclusion",MAX($W$9,$W$7,(-(SUMIFS(SF_Output!$T$1:$T$400,SF_Output!$AC$1:$AC$400,_xlfn.TEXTJOIN(",",TRUE,$B221:$E221),SF_Output!$Q$1:$Q$400,"monthly"))/V221)),AF221="exclusion",-(SUMIFS(SF_Output!$T$1:$T$400,SF_Output!$AC$1:$AC$400,_xlfn.TEXTJOIN(",",TRUE,$B221:$E221),SF_Output!$Q$1:$Q$400,"monthly"))/V221)</f>
        <v/>
      </c>
      <c r="X221" s="6" t="str" cm="1">
        <f t="array" ref="X221">IFERROR(_xlfn.IFS(V221=0,0,V221="","",W221=0,V221,OR(V221&lt;&gt;0,V221&lt;&gt;""),H221*I221),V221*(1-W221))</f>
        <v/>
      </c>
      <c r="Z221" s="6" t="str">
        <f>IFERROR(IF(B221="","",SUMIFS(Billing_Fallout!H:H,Billing_Fallout!N:N,B221)),0)</f>
        <v/>
      </c>
      <c r="AA221" s="6" t="str">
        <f t="shared" si="55"/>
        <v/>
      </c>
      <c r="AB221" s="6" t="str">
        <f>IFERROR(IF(B221="","",SUMIFS(Billing_Fallout!J:J,Billing_Fallout!N:N,B221)),0)</f>
        <v/>
      </c>
      <c r="AD221" s="6" t="str">
        <f t="shared" si="56"/>
        <v/>
      </c>
      <c r="AF221" t="str">
        <f>IFERROR(INDEX(H_Tables!$B$1:$B$1500,MATCH(INDEX(SF_Output!$J$1:$J$400,MATCH(B221,SF_Output!$M$1:$M$400,0)),H_Tables!$A$1:$A$1500,0)),"")</f>
        <v/>
      </c>
      <c r="AI221" s="119" t="str">
        <f t="shared" si="57"/>
        <v/>
      </c>
      <c r="AJ221" s="121">
        <f>IFERROR(INDEX(SF_Output!AD:AD,MATCH(_xlfn.TEXTJOIN(",",TRUE,B221:E221),SF_Output!AC1:AC400,0)),0.05)</f>
        <v>241</v>
      </c>
      <c r="AK221" t="str">
        <f>IF(SUMIFS(SF_Output!$F$1:$F$400,SF_Output!$AC$1:$AC$400,_xlfn.TEXTJOIN(",",TRUE,B221:E221))+SUMIFS(SF_Output!$G$1:$G$400,SF_Output!$AC$1:$AC$400,_xlfn.TEXTJOIN(",",TRUE,B221:E221))=0,"","PAP")</f>
        <v/>
      </c>
      <c r="AQ221" s="35"/>
      <c r="AR221" s="35" t="str" cm="1">
        <f t="array" ref="AR221">IFERROR(_xlfn.IFS(AND(E221*1=1,F221="Included"),"Change to Included",AND(E221*1=0,F221="Optional"),"Change to Optional",OR(B221="",F221="replaced"),""),"")</f>
        <v/>
      </c>
      <c r="AS221" s="35" t="str">
        <f t="shared" si="58"/>
        <v/>
      </c>
      <c r="AT221" s="35" t="str">
        <f t="shared" si="59"/>
        <v/>
      </c>
      <c r="AU221" s="35" t="str">
        <f t="shared" si="60"/>
        <v/>
      </c>
      <c r="AV221" s="35" t="str">
        <f t="shared" si="61"/>
        <v/>
      </c>
      <c r="AW221" s="35" t="str">
        <f t="shared" si="62"/>
        <v/>
      </c>
      <c r="AX221" s="35" t="str">
        <f t="shared" si="63"/>
        <v/>
      </c>
      <c r="AY221" s="35" t="str">
        <f t="shared" si="64"/>
        <v/>
      </c>
      <c r="AZ221" s="35" t="str">
        <f t="shared" si="65"/>
        <v/>
      </c>
      <c r="BA221" s="35" t="str">
        <f t="shared" si="66"/>
        <v/>
      </c>
      <c r="BB221" s="35" t="str">
        <f t="shared" si="67"/>
        <v/>
      </c>
      <c r="BC221" s="35"/>
      <c r="BE221" s="35" t="e">
        <f>INDEX(SF_Output!$AA$2:$AA$400,MATCH($B221,SF_Output!$M$2:$M$400,0))</f>
        <v>#N/A</v>
      </c>
      <c r="BF221" s="35" t="e">
        <f>INDEX(SF_Output!$AB$2:$AB$400,MATCH($B221,SF_Output!$M$2:$M$400,0))</f>
        <v>#N/A</v>
      </c>
    </row>
    <row r="222" spans="6:58" x14ac:dyDescent="0.25">
      <c r="F222" s="116" t="str">
        <f t="shared" si="51"/>
        <v/>
      </c>
      <c r="G222" t="str">
        <f>IF(B222="","",INDEX(SF_Output!$K$1:$K$400,MATCH(B222,SF_Output!$M$1:$M$400,0)))</f>
        <v/>
      </c>
      <c r="H222" t="str" cm="1">
        <f t="array" ref="H222">_xlfn.IFS(B222="","",(SUMIFS(SF_Output!$F$1:$F$400,SF_Output!$AC$1:$AC$400,_xlfn.TEXTJOIN(",",TRUE,B222:E222))+SUMIFS(SF_Output!$G$1:$G$400,SF_Output!$AC$1:$AC$400,_xlfn.TEXTJOIN(",",TRUE,B222:E222)))&lt;&gt;0,SF_Output!$Y$2,INDEX(SF_Output!$F$1:$F$400,MATCH(_xlfn.TEXTJOIN(",",TRUE,B222:E222),SF_Output!$AC$1:$AC$400,0))=0,INDEX(SF_Output!$R$1:$R$400,MATCH(_xlfn.TEXTJOIN(",",TRUE,B222:E222),SF_Output!$AC$1:$AC$400,0)))</f>
        <v/>
      </c>
      <c r="I222" s="125" t="str">
        <f>IFERROR(IF(AND(H222&gt;1,H222&lt;&gt;""),ROUND(SUMIFS(SF_Output!$S$1:$S$400,SF_Output!$AC$1:$AC$400,_xlfn.TEXTJOIN(",",TRUE,B222:E222),SF_Output!$Q$1:$Q$400,"monthly")*(1-W222)/H222,4),""),"")</f>
        <v/>
      </c>
      <c r="J222" s="6" t="str">
        <f>IF(B222="","",SUMIFS(SF_Output!$S$1:$S$400,SF_Output!$AC$1:$AC$400,_xlfn.TEXTJOIN(",",TRUE,B222:E222),SF_Output!$Q$1:$Q$400,"One Time",SF_Output!$L$1:$L$400,"license fee")+SUMIFS(SF_Output!$S$1:$S$400,SF_Output!$AC$1:$AC$400,_xlfn.TEXTJOIN(",",TRUE,B222:E222),SF_Output!$Q$1:$Q$400,"One Time",SF_Output!$L$1:$L$400,"software license")+SUMIFS(SF_Output!$S$1:$S$400,SF_Output!$AC$1:$AC$400,_xlfn.TEXTJOIN(",",TRUE,B222:E222),SF_Output!$Q$1:$Q$400,"One Time",SF_Output!$L$1:$L$400,"hardware"))</f>
        <v/>
      </c>
      <c r="K222" s="112" t="str">
        <f>IF(OR(B222=0,B222="",G222="hardware",J222=0),"",IF(AF222&lt;&gt;"exclusion",MAX(K$9,-((SUMIFS(SF_Output!$T$1:$T$400,SF_Output!$AC$1:$AC$400,_xlfn.TEXTJOIN(",",TRUE,$B222:$E222),SF_Output!$Q$1:$Q$400,"One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license"))/J222)))</f>
        <v/>
      </c>
      <c r="L222" s="6" t="str">
        <f t="shared" si="52"/>
        <v/>
      </c>
      <c r="N222" s="6" t="str">
        <f>IF(B222="","",SUMIFS(SF_Output!$S$1:$S$400,SF_Output!$AC$1:$AC$400,_xlfn.TEXTJOIN(",",TRUE,B222:E222),SF_Output!$Q$1:$Q$400,"One Time",SF_Output!$L$1:$L$400,"professional service"))</f>
        <v/>
      </c>
      <c r="O222" s="112" t="str">
        <f>IF(OR(B222=0,B222="",N222=0),"",IF(AF222&lt;&gt;"exclusion",MAX(O$9,-(SUMIFS(SF_Output!$T$1:$T$400,SF_Output!$AC$1:$AC$400,_xlfn.TEXTJOIN(",",TRUE,$B222:$E222),SF_Output!$Q$1:$Q$400,"One Time",SF_Output!$L$1:$L$400,"professional service"))/N222),-((SUMIFS(SF_Output!$T$1:$T$400,SF_Output!$AC$1:$AC$400,_xlfn.TEXTJOIN(",",TRUE,$B222:$E222),SF_Output!$Q$1:$Q$400,"One Time",SF_Output!$L$1:$L$400,"professional service")/N222))))</f>
        <v/>
      </c>
      <c r="P222" s="6" t="str">
        <f t="shared" si="53"/>
        <v/>
      </c>
      <c r="R222" s="6" t="str">
        <f>IF(B222="","",SUMIFS(SF_Output!$S$1:$S$400,SF_Output!$AC$1:$AC$400,_xlfn.TEXTJOIN(",",TRUE,B222:E222),SF_Output!$Q$1:$Q$400,"yearly")+SUMIFS(SF_Output!$S$1:$S$400,SF_Output!$AC$1:$AC$400,_xlfn.TEXTJOIN(",",TRUE,B222:E222),SF_Output!$Q$1:$Q$400,"quarterly")*4)</f>
        <v/>
      </c>
      <c r="S222" s="112" t="str">
        <f>IF(OR(B222=0,B222="",G222="hardware",R222=0),"",IF(AF222&lt;&gt;"exclusion",MAX(S$9,-(SUMIFS(SF_Output!$T$1:$T$400,SF_Output!$AC$1:$AC$400,_xlfn.TEXTJOIN(",",TRUE,$B222:$E222),SF_Output!$Q$1:$Q$400,"yearly"))/R222),-((SUMIFS(SF_Output!$T$1:$T$400,SF_Output!$AC$1:$AC$400,_xlfn.TEXTJOIN(",",TRUE,$B222:$E222),SF_Output!$Q$1:$Q$400,"yearly")/R222))))</f>
        <v/>
      </c>
      <c r="T222" s="6" t="str">
        <f t="shared" si="54"/>
        <v/>
      </c>
      <c r="V222" s="6" t="str" cm="1">
        <f t="array" ref="V222">_xlfn.IFS(B222="","",AND(B222&lt;&gt;"",H222=SF_Output!$Y$2,SUMIFS(SF_Output!$T$1:$T$400,SF_Output!$AC$1:$AC$400,_xlfn.TEXTJOIN(",",TRUE,B222:E222),SF_Output!$Q$1:$Q$400,"monthly")=0),(SUMIFS(SF_Output!$F$1:$F$400,SF_Output!$AC$1:$AC$400,_xlfn.TEXTJOIN(",",TRUE,B222:E222),SF_Output!$Q$1:$Q$400,"monthly")+SUMIFS(SF_Output!$G$1:$G$400,SF_Output!$AC$1:$AC$400,_xlfn.TEXTJOIN(",",TRUE,B222:E222),SF_Output!$Q$1:$Q$400,"monthly"))*H222,AND(B222&lt;&gt;"",H222=SF_Output!$Y$2,SUMIFS(SF_Output!$T$1:$T$400,SF_Output!$AC$1:$AC$400,_xlfn.TEXTJOIN(",",TRUE,B222:E222),SF_Output!$Q$1:$Q$400,"monthly")&lt;&gt;0),SUMIFS(SF_Output!$S$1:$S$400,SF_Output!$AC$1:$AC$400,_xlfn.TEXTJOIN(",",TRUE,B222:E222),SF_Output!$Q$1:$Q$400,"monthly"),AND(B222&lt;&gt;"",H222&lt;&gt;SF_Output!$Y$2),SUMIFS(SF_Output!$S$1:$S$400,SF_Output!$AC$1:$AC$400,_xlfn.TEXTJOIN(",",TRUE,B222:E222),SF_Output!$Q$1:$Q$400,"monthly"))</f>
        <v/>
      </c>
      <c r="W222" s="112" t="str" cm="1">
        <f t="array" ref="W222">_xlfn.IFS(OR(B222=0,B222="",V222=0),"",AF222&lt;&gt;"exclusion",MAX($W$9,$W$7,(-(SUMIFS(SF_Output!$T$1:$T$400,SF_Output!$AC$1:$AC$400,_xlfn.TEXTJOIN(",",TRUE,$B222:$E222),SF_Output!$Q$1:$Q$400,"monthly"))/V222)),AF222="exclusion",-(SUMIFS(SF_Output!$T$1:$T$400,SF_Output!$AC$1:$AC$400,_xlfn.TEXTJOIN(",",TRUE,$B222:$E222),SF_Output!$Q$1:$Q$400,"monthly"))/V222)</f>
        <v/>
      </c>
      <c r="X222" s="6" t="str" cm="1">
        <f t="array" ref="X222">IFERROR(_xlfn.IFS(V222=0,0,V222="","",W222=0,V222,OR(V222&lt;&gt;0,V222&lt;&gt;""),H222*I222),V222*(1-W222))</f>
        <v/>
      </c>
      <c r="Z222" s="6" t="str">
        <f>IFERROR(IF(B222="","",SUMIFS(Billing_Fallout!H:H,Billing_Fallout!N:N,B222)),0)</f>
        <v/>
      </c>
      <c r="AA222" s="6" t="str">
        <f t="shared" si="55"/>
        <v/>
      </c>
      <c r="AB222" s="6" t="str">
        <f>IFERROR(IF(B222="","",SUMIFS(Billing_Fallout!J:J,Billing_Fallout!N:N,B222)),0)</f>
        <v/>
      </c>
      <c r="AD222" s="6" t="str">
        <f t="shared" si="56"/>
        <v/>
      </c>
      <c r="AF222" t="str">
        <f>IFERROR(INDEX(H_Tables!$B$1:$B$1500,MATCH(INDEX(SF_Output!$J$1:$J$400,MATCH(B222,SF_Output!$M$1:$M$400,0)),H_Tables!$A$1:$A$1500,0)),"")</f>
        <v/>
      </c>
      <c r="AI222" s="119" t="str">
        <f t="shared" si="57"/>
        <v/>
      </c>
      <c r="AJ222" s="121">
        <f>IFERROR(INDEX(SF_Output!AD:AD,MATCH(_xlfn.TEXTJOIN(",",TRUE,B222:E222),SF_Output!AC1:AC400,0)),0.05)</f>
        <v>241</v>
      </c>
      <c r="AK222" t="str">
        <f>IF(SUMIFS(SF_Output!$F$1:$F$400,SF_Output!$AC$1:$AC$400,_xlfn.TEXTJOIN(",",TRUE,B222:E222))+SUMIFS(SF_Output!$G$1:$G$400,SF_Output!$AC$1:$AC$400,_xlfn.TEXTJOIN(",",TRUE,B222:E222))=0,"","PAP")</f>
        <v/>
      </c>
      <c r="AQ222" s="35"/>
      <c r="AR222" s="35" t="str" cm="1">
        <f t="array" ref="AR222">IFERROR(_xlfn.IFS(AND(E222*1=1,F222="Included"),"Change to Included",AND(E222*1=0,F222="Optional"),"Change to Optional",OR(B222="",F222="replaced"),""),"")</f>
        <v/>
      </c>
      <c r="AS222" s="35" t="str">
        <f t="shared" si="58"/>
        <v/>
      </c>
      <c r="AT222" s="35" t="str">
        <f t="shared" si="59"/>
        <v/>
      </c>
      <c r="AU222" s="35" t="str">
        <f t="shared" si="60"/>
        <v/>
      </c>
      <c r="AV222" s="35" t="str">
        <f t="shared" si="61"/>
        <v/>
      </c>
      <c r="AW222" s="35" t="str">
        <f t="shared" si="62"/>
        <v/>
      </c>
      <c r="AX222" s="35" t="str">
        <f t="shared" si="63"/>
        <v/>
      </c>
      <c r="AY222" s="35" t="str">
        <f t="shared" si="64"/>
        <v/>
      </c>
      <c r="AZ222" s="35" t="str">
        <f t="shared" si="65"/>
        <v/>
      </c>
      <c r="BA222" s="35" t="str">
        <f t="shared" si="66"/>
        <v/>
      </c>
      <c r="BB222" s="35" t="str">
        <f t="shared" si="67"/>
        <v/>
      </c>
      <c r="BC222" s="35"/>
      <c r="BE222" s="35" t="e">
        <f>INDEX(SF_Output!$AA$2:$AA$400,MATCH($B222,SF_Output!$M$2:$M$400,0))</f>
        <v>#N/A</v>
      </c>
      <c r="BF222" s="35" t="e">
        <f>INDEX(SF_Output!$AB$2:$AB$400,MATCH($B222,SF_Output!$M$2:$M$400,0))</f>
        <v>#N/A</v>
      </c>
    </row>
    <row r="223" spans="6:58" x14ac:dyDescent="0.25">
      <c r="F223" s="116" t="str">
        <f t="shared" si="51"/>
        <v/>
      </c>
      <c r="G223" t="str">
        <f>IF(B223="","",INDEX(SF_Output!$K$1:$K$400,MATCH(B223,SF_Output!$M$1:$M$400,0)))</f>
        <v/>
      </c>
      <c r="H223" t="str" cm="1">
        <f t="array" ref="H223">_xlfn.IFS(B223="","",(SUMIFS(SF_Output!$F$1:$F$400,SF_Output!$AC$1:$AC$400,_xlfn.TEXTJOIN(",",TRUE,B223:E223))+SUMIFS(SF_Output!$G$1:$G$400,SF_Output!$AC$1:$AC$400,_xlfn.TEXTJOIN(",",TRUE,B223:E223)))&lt;&gt;0,SF_Output!$Y$2,INDEX(SF_Output!$F$1:$F$400,MATCH(_xlfn.TEXTJOIN(",",TRUE,B223:E223),SF_Output!$AC$1:$AC$400,0))=0,INDEX(SF_Output!$R$1:$R$400,MATCH(_xlfn.TEXTJOIN(",",TRUE,B223:E223),SF_Output!$AC$1:$AC$400,0)))</f>
        <v/>
      </c>
      <c r="I223" s="125" t="str">
        <f>IFERROR(IF(AND(H223&gt;1,H223&lt;&gt;""),ROUND(SUMIFS(SF_Output!$S$1:$S$400,SF_Output!$AC$1:$AC$400,_xlfn.TEXTJOIN(",",TRUE,B223:E223),SF_Output!$Q$1:$Q$400,"monthly")*(1-W223)/H223,4),""),"")</f>
        <v/>
      </c>
      <c r="J223" s="6" t="str">
        <f>IF(B223="","",SUMIFS(SF_Output!$S$1:$S$400,SF_Output!$AC$1:$AC$400,_xlfn.TEXTJOIN(",",TRUE,B223:E223),SF_Output!$Q$1:$Q$400,"One Time",SF_Output!$L$1:$L$400,"license fee")+SUMIFS(SF_Output!$S$1:$S$400,SF_Output!$AC$1:$AC$400,_xlfn.TEXTJOIN(",",TRUE,B223:E223),SF_Output!$Q$1:$Q$400,"One Time",SF_Output!$L$1:$L$400,"software license")+SUMIFS(SF_Output!$S$1:$S$400,SF_Output!$AC$1:$AC$400,_xlfn.TEXTJOIN(",",TRUE,B223:E223),SF_Output!$Q$1:$Q$400,"One Time",SF_Output!$L$1:$L$400,"hardware"))</f>
        <v/>
      </c>
      <c r="K223" s="112" t="str">
        <f>IF(OR(B223=0,B223="",G223="hardware",J223=0),"",IF(AF223&lt;&gt;"exclusion",MAX(K$9,-((SUMIFS(SF_Output!$T$1:$T$400,SF_Output!$AC$1:$AC$400,_xlfn.TEXTJOIN(",",TRUE,$B223:$E223),SF_Output!$Q$1:$Q$400,"One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license"))/J223)))</f>
        <v/>
      </c>
      <c r="L223" s="6" t="str">
        <f t="shared" si="52"/>
        <v/>
      </c>
      <c r="N223" s="6" t="str">
        <f>IF(B223="","",SUMIFS(SF_Output!$S$1:$S$400,SF_Output!$AC$1:$AC$400,_xlfn.TEXTJOIN(",",TRUE,B223:E223),SF_Output!$Q$1:$Q$400,"One Time",SF_Output!$L$1:$L$400,"professional service"))</f>
        <v/>
      </c>
      <c r="O223" s="112" t="str">
        <f>IF(OR(B223=0,B223="",N223=0),"",IF(AF223&lt;&gt;"exclusion",MAX(O$9,-(SUMIFS(SF_Output!$T$1:$T$400,SF_Output!$AC$1:$AC$400,_xlfn.TEXTJOIN(",",TRUE,$B223:$E223),SF_Output!$Q$1:$Q$400,"One Time",SF_Output!$L$1:$L$400,"professional service"))/N223),-((SUMIFS(SF_Output!$T$1:$T$400,SF_Output!$AC$1:$AC$400,_xlfn.TEXTJOIN(",",TRUE,$B223:$E223),SF_Output!$Q$1:$Q$400,"One Time",SF_Output!$L$1:$L$400,"professional service")/N223))))</f>
        <v/>
      </c>
      <c r="P223" s="6" t="str">
        <f t="shared" si="53"/>
        <v/>
      </c>
      <c r="R223" s="6" t="str">
        <f>IF(B223="","",SUMIFS(SF_Output!$S$1:$S$400,SF_Output!$AC$1:$AC$400,_xlfn.TEXTJOIN(",",TRUE,B223:E223),SF_Output!$Q$1:$Q$400,"yearly")+SUMIFS(SF_Output!$S$1:$S$400,SF_Output!$AC$1:$AC$400,_xlfn.TEXTJOIN(",",TRUE,B223:E223),SF_Output!$Q$1:$Q$400,"quarterly")*4)</f>
        <v/>
      </c>
      <c r="S223" s="112" t="str">
        <f>IF(OR(B223=0,B223="",G223="hardware",R223=0),"",IF(AF223&lt;&gt;"exclusion",MAX(S$9,-(SUMIFS(SF_Output!$T$1:$T$400,SF_Output!$AC$1:$AC$400,_xlfn.TEXTJOIN(",",TRUE,$B223:$E223),SF_Output!$Q$1:$Q$400,"yearly"))/R223),-((SUMIFS(SF_Output!$T$1:$T$400,SF_Output!$AC$1:$AC$400,_xlfn.TEXTJOIN(",",TRUE,$B223:$E223),SF_Output!$Q$1:$Q$400,"yearly")/R223))))</f>
        <v/>
      </c>
      <c r="T223" s="6" t="str">
        <f t="shared" si="54"/>
        <v/>
      </c>
      <c r="V223" s="6" t="str" cm="1">
        <f t="array" ref="V223">_xlfn.IFS(B223="","",AND(B223&lt;&gt;"",H223=SF_Output!$Y$2,SUMIFS(SF_Output!$T$1:$T$400,SF_Output!$AC$1:$AC$400,_xlfn.TEXTJOIN(",",TRUE,B223:E223),SF_Output!$Q$1:$Q$400,"monthly")=0),(SUMIFS(SF_Output!$F$1:$F$400,SF_Output!$AC$1:$AC$400,_xlfn.TEXTJOIN(",",TRUE,B223:E223),SF_Output!$Q$1:$Q$400,"monthly")+SUMIFS(SF_Output!$G$1:$G$400,SF_Output!$AC$1:$AC$400,_xlfn.TEXTJOIN(",",TRUE,B223:E223),SF_Output!$Q$1:$Q$400,"monthly"))*H223,AND(B223&lt;&gt;"",H223=SF_Output!$Y$2,SUMIFS(SF_Output!$T$1:$T$400,SF_Output!$AC$1:$AC$400,_xlfn.TEXTJOIN(",",TRUE,B223:E223),SF_Output!$Q$1:$Q$400,"monthly")&lt;&gt;0),SUMIFS(SF_Output!$S$1:$S$400,SF_Output!$AC$1:$AC$400,_xlfn.TEXTJOIN(",",TRUE,B223:E223),SF_Output!$Q$1:$Q$400,"monthly"),AND(B223&lt;&gt;"",H223&lt;&gt;SF_Output!$Y$2),SUMIFS(SF_Output!$S$1:$S$400,SF_Output!$AC$1:$AC$400,_xlfn.TEXTJOIN(",",TRUE,B223:E223),SF_Output!$Q$1:$Q$400,"monthly"))</f>
        <v/>
      </c>
      <c r="W223" s="112" t="str" cm="1">
        <f t="array" ref="W223">_xlfn.IFS(OR(B223=0,B223="",V223=0),"",AF223&lt;&gt;"exclusion",MAX($W$9,$W$7,(-(SUMIFS(SF_Output!$T$1:$T$400,SF_Output!$AC$1:$AC$400,_xlfn.TEXTJOIN(",",TRUE,$B223:$E223),SF_Output!$Q$1:$Q$400,"monthly"))/V223)),AF223="exclusion",-(SUMIFS(SF_Output!$T$1:$T$400,SF_Output!$AC$1:$AC$400,_xlfn.TEXTJOIN(",",TRUE,$B223:$E223),SF_Output!$Q$1:$Q$400,"monthly"))/V223)</f>
        <v/>
      </c>
      <c r="X223" s="6" t="str" cm="1">
        <f t="array" ref="X223">IFERROR(_xlfn.IFS(V223=0,0,V223="","",W223=0,V223,OR(V223&lt;&gt;0,V223&lt;&gt;""),H223*I223),V223*(1-W223))</f>
        <v/>
      </c>
      <c r="Z223" s="6" t="str">
        <f>IFERROR(IF(B223="","",SUMIFS(Billing_Fallout!H:H,Billing_Fallout!N:N,B223)),0)</f>
        <v/>
      </c>
      <c r="AA223" s="6" t="str">
        <f t="shared" si="55"/>
        <v/>
      </c>
      <c r="AB223" s="6" t="str">
        <f>IFERROR(IF(B223="","",SUMIFS(Billing_Fallout!J:J,Billing_Fallout!N:N,B223)),0)</f>
        <v/>
      </c>
      <c r="AD223" s="6" t="str">
        <f t="shared" si="56"/>
        <v/>
      </c>
      <c r="AF223" t="str">
        <f>IFERROR(INDEX(H_Tables!$B$1:$B$1500,MATCH(INDEX(SF_Output!$J$1:$J$400,MATCH(B223,SF_Output!$M$1:$M$400,0)),H_Tables!$A$1:$A$1500,0)),"")</f>
        <v/>
      </c>
      <c r="AI223" s="119" t="str">
        <f t="shared" si="57"/>
        <v/>
      </c>
      <c r="AJ223" s="121">
        <f>IFERROR(INDEX(SF_Output!AD:AD,MATCH(_xlfn.TEXTJOIN(",",TRUE,B223:E223),SF_Output!AC1:AC400,0)),0.05)</f>
        <v>241</v>
      </c>
      <c r="AK223" t="str">
        <f>IF(SUMIFS(SF_Output!$F$1:$F$400,SF_Output!$AC$1:$AC$400,_xlfn.TEXTJOIN(",",TRUE,B223:E223))+SUMIFS(SF_Output!$G$1:$G$400,SF_Output!$AC$1:$AC$400,_xlfn.TEXTJOIN(",",TRUE,B223:E223))=0,"","PAP")</f>
        <v/>
      </c>
      <c r="AQ223" s="35"/>
      <c r="AR223" s="35" t="str" cm="1">
        <f t="array" ref="AR223">IFERROR(_xlfn.IFS(AND(E223*1=1,F223="Included"),"Change to Included",AND(E223*1=0,F223="Optional"),"Change to Optional",OR(B223="",F223="replaced"),""),"")</f>
        <v/>
      </c>
      <c r="AS223" s="35" t="str">
        <f t="shared" si="58"/>
        <v/>
      </c>
      <c r="AT223" s="35" t="str">
        <f t="shared" si="59"/>
        <v/>
      </c>
      <c r="AU223" s="35" t="str">
        <f t="shared" si="60"/>
        <v/>
      </c>
      <c r="AV223" s="35" t="str">
        <f t="shared" si="61"/>
        <v/>
      </c>
      <c r="AW223" s="35" t="str">
        <f t="shared" si="62"/>
        <v/>
      </c>
      <c r="AX223" s="35" t="str">
        <f t="shared" si="63"/>
        <v/>
      </c>
      <c r="AY223" s="35" t="str">
        <f t="shared" si="64"/>
        <v/>
      </c>
      <c r="AZ223" s="35" t="str">
        <f t="shared" si="65"/>
        <v/>
      </c>
      <c r="BA223" s="35" t="str">
        <f t="shared" si="66"/>
        <v/>
      </c>
      <c r="BB223" s="35" t="str">
        <f t="shared" si="67"/>
        <v/>
      </c>
      <c r="BC223" s="35"/>
      <c r="BE223" s="35" t="e">
        <f>INDEX(SF_Output!$AA$2:$AA$400,MATCH($B223,SF_Output!$M$2:$M$400,0))</f>
        <v>#N/A</v>
      </c>
      <c r="BF223" s="35" t="e">
        <f>INDEX(SF_Output!$AB$2:$AB$400,MATCH($B223,SF_Output!$M$2:$M$400,0))</f>
        <v>#N/A</v>
      </c>
    </row>
    <row r="224" spans="6:58" x14ac:dyDescent="0.25">
      <c r="F224" s="116" t="str">
        <f t="shared" si="51"/>
        <v/>
      </c>
      <c r="G224" t="str">
        <f>IF(B224="","",INDEX(SF_Output!$K$1:$K$400,MATCH(B224,SF_Output!$M$1:$M$400,0)))</f>
        <v/>
      </c>
      <c r="H224" t="str" cm="1">
        <f t="array" ref="H224">_xlfn.IFS(B224="","",(SUMIFS(SF_Output!$F$1:$F$400,SF_Output!$AC$1:$AC$400,_xlfn.TEXTJOIN(",",TRUE,B224:E224))+SUMIFS(SF_Output!$G$1:$G$400,SF_Output!$AC$1:$AC$400,_xlfn.TEXTJOIN(",",TRUE,B224:E224)))&lt;&gt;0,SF_Output!$Y$2,INDEX(SF_Output!$F$1:$F$400,MATCH(_xlfn.TEXTJOIN(",",TRUE,B224:E224),SF_Output!$AC$1:$AC$400,0))=0,INDEX(SF_Output!$R$1:$R$400,MATCH(_xlfn.TEXTJOIN(",",TRUE,B224:E224),SF_Output!$AC$1:$AC$400,0)))</f>
        <v/>
      </c>
      <c r="I224" s="125" t="str">
        <f>IFERROR(IF(AND(H224&gt;1,H224&lt;&gt;""),ROUND(SUMIFS(SF_Output!$S$1:$S$400,SF_Output!$AC$1:$AC$400,_xlfn.TEXTJOIN(",",TRUE,B224:E224),SF_Output!$Q$1:$Q$400,"monthly")*(1-W224)/H224,4),""),"")</f>
        <v/>
      </c>
      <c r="J224" s="6" t="str">
        <f>IF(B224="","",SUMIFS(SF_Output!$S$1:$S$400,SF_Output!$AC$1:$AC$400,_xlfn.TEXTJOIN(",",TRUE,B224:E224),SF_Output!$Q$1:$Q$400,"One Time",SF_Output!$L$1:$L$400,"license fee")+SUMIFS(SF_Output!$S$1:$S$400,SF_Output!$AC$1:$AC$400,_xlfn.TEXTJOIN(",",TRUE,B224:E224),SF_Output!$Q$1:$Q$400,"One Time",SF_Output!$L$1:$L$400,"software license")+SUMIFS(SF_Output!$S$1:$S$400,SF_Output!$AC$1:$AC$400,_xlfn.TEXTJOIN(",",TRUE,B224:E224),SF_Output!$Q$1:$Q$400,"One Time",SF_Output!$L$1:$L$400,"hardware"))</f>
        <v/>
      </c>
      <c r="K224" s="112" t="str">
        <f>IF(OR(B224=0,B224="",G224="hardware",J224=0),"",IF(AF224&lt;&gt;"exclusion",MAX(K$9,-((SUMIFS(SF_Output!$T$1:$T$400,SF_Output!$AC$1:$AC$400,_xlfn.TEXTJOIN(",",TRUE,$B224:$E224),SF_Output!$Q$1:$Q$400,"One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license"))/J224)))</f>
        <v/>
      </c>
      <c r="L224" s="6" t="str">
        <f t="shared" si="52"/>
        <v/>
      </c>
      <c r="N224" s="6" t="str">
        <f>IF(B224="","",SUMIFS(SF_Output!$S$1:$S$400,SF_Output!$AC$1:$AC$400,_xlfn.TEXTJOIN(",",TRUE,B224:E224),SF_Output!$Q$1:$Q$400,"One Time",SF_Output!$L$1:$L$400,"professional service"))</f>
        <v/>
      </c>
      <c r="O224" s="112" t="str">
        <f>IF(OR(B224=0,B224="",N224=0),"",IF(AF224&lt;&gt;"exclusion",MAX(O$9,-(SUMIFS(SF_Output!$T$1:$T$400,SF_Output!$AC$1:$AC$400,_xlfn.TEXTJOIN(",",TRUE,$B224:$E224),SF_Output!$Q$1:$Q$400,"One Time",SF_Output!$L$1:$L$400,"professional service"))/N224),-((SUMIFS(SF_Output!$T$1:$T$400,SF_Output!$AC$1:$AC$400,_xlfn.TEXTJOIN(",",TRUE,$B224:$E224),SF_Output!$Q$1:$Q$400,"One Time",SF_Output!$L$1:$L$400,"professional service")/N224))))</f>
        <v/>
      </c>
      <c r="P224" s="6" t="str">
        <f t="shared" si="53"/>
        <v/>
      </c>
      <c r="R224" s="6" t="str">
        <f>IF(B224="","",SUMIFS(SF_Output!$S$1:$S$400,SF_Output!$AC$1:$AC$400,_xlfn.TEXTJOIN(",",TRUE,B224:E224),SF_Output!$Q$1:$Q$400,"yearly")+SUMIFS(SF_Output!$S$1:$S$400,SF_Output!$AC$1:$AC$400,_xlfn.TEXTJOIN(",",TRUE,B224:E224),SF_Output!$Q$1:$Q$400,"quarterly")*4)</f>
        <v/>
      </c>
      <c r="S224" s="112" t="str">
        <f>IF(OR(B224=0,B224="",G224="hardware",R224=0),"",IF(AF224&lt;&gt;"exclusion",MAX(S$9,-(SUMIFS(SF_Output!$T$1:$T$400,SF_Output!$AC$1:$AC$400,_xlfn.TEXTJOIN(",",TRUE,$B224:$E224),SF_Output!$Q$1:$Q$400,"yearly"))/R224),-((SUMIFS(SF_Output!$T$1:$T$400,SF_Output!$AC$1:$AC$400,_xlfn.TEXTJOIN(",",TRUE,$B224:$E224),SF_Output!$Q$1:$Q$400,"yearly")/R224))))</f>
        <v/>
      </c>
      <c r="T224" s="6" t="str">
        <f t="shared" si="54"/>
        <v/>
      </c>
      <c r="V224" s="6" t="str" cm="1">
        <f t="array" ref="V224">_xlfn.IFS(B224="","",AND(B224&lt;&gt;"",H224=SF_Output!$Y$2,SUMIFS(SF_Output!$T$1:$T$400,SF_Output!$AC$1:$AC$400,_xlfn.TEXTJOIN(",",TRUE,B224:E224),SF_Output!$Q$1:$Q$400,"monthly")=0),(SUMIFS(SF_Output!$F$1:$F$400,SF_Output!$AC$1:$AC$400,_xlfn.TEXTJOIN(",",TRUE,B224:E224),SF_Output!$Q$1:$Q$400,"monthly")+SUMIFS(SF_Output!$G$1:$G$400,SF_Output!$AC$1:$AC$400,_xlfn.TEXTJOIN(",",TRUE,B224:E224),SF_Output!$Q$1:$Q$400,"monthly"))*H224,AND(B224&lt;&gt;"",H224=SF_Output!$Y$2,SUMIFS(SF_Output!$T$1:$T$400,SF_Output!$AC$1:$AC$400,_xlfn.TEXTJOIN(",",TRUE,B224:E224),SF_Output!$Q$1:$Q$400,"monthly")&lt;&gt;0),SUMIFS(SF_Output!$S$1:$S$400,SF_Output!$AC$1:$AC$400,_xlfn.TEXTJOIN(",",TRUE,B224:E224),SF_Output!$Q$1:$Q$400,"monthly"),AND(B224&lt;&gt;"",H224&lt;&gt;SF_Output!$Y$2),SUMIFS(SF_Output!$S$1:$S$400,SF_Output!$AC$1:$AC$400,_xlfn.TEXTJOIN(",",TRUE,B224:E224),SF_Output!$Q$1:$Q$400,"monthly"))</f>
        <v/>
      </c>
      <c r="W224" s="112" t="str" cm="1">
        <f t="array" ref="W224">_xlfn.IFS(OR(B224=0,B224="",V224=0),"",AF224&lt;&gt;"exclusion",MAX($W$9,$W$7,(-(SUMIFS(SF_Output!$T$1:$T$400,SF_Output!$AC$1:$AC$400,_xlfn.TEXTJOIN(",",TRUE,$B224:$E224),SF_Output!$Q$1:$Q$400,"monthly"))/V224)),AF224="exclusion",-(SUMIFS(SF_Output!$T$1:$T$400,SF_Output!$AC$1:$AC$400,_xlfn.TEXTJOIN(",",TRUE,$B224:$E224),SF_Output!$Q$1:$Q$400,"monthly"))/V224)</f>
        <v/>
      </c>
      <c r="X224" s="6" t="str" cm="1">
        <f t="array" ref="X224">IFERROR(_xlfn.IFS(V224=0,0,V224="","",W224=0,V224,OR(V224&lt;&gt;0,V224&lt;&gt;""),H224*I224),V224*(1-W224))</f>
        <v/>
      </c>
      <c r="Z224" s="6" t="str">
        <f>IFERROR(IF(B224="","",SUMIFS(Billing_Fallout!H:H,Billing_Fallout!N:N,B224)),0)</f>
        <v/>
      </c>
      <c r="AA224" s="6" t="str">
        <f t="shared" si="55"/>
        <v/>
      </c>
      <c r="AB224" s="6" t="str">
        <f>IFERROR(IF(B224="","",SUMIFS(Billing_Fallout!J:J,Billing_Fallout!N:N,B224)),0)</f>
        <v/>
      </c>
      <c r="AD224" s="6" t="str">
        <f t="shared" si="56"/>
        <v/>
      </c>
      <c r="AF224" t="str">
        <f>IFERROR(INDEX(H_Tables!$B$1:$B$1500,MATCH(INDEX(SF_Output!$J$1:$J$400,MATCH(B224,SF_Output!$M$1:$M$400,0)),H_Tables!$A$1:$A$1500,0)),"")</f>
        <v/>
      </c>
      <c r="AI224" s="119" t="str">
        <f t="shared" si="57"/>
        <v/>
      </c>
      <c r="AJ224" s="121">
        <f>IFERROR(INDEX(SF_Output!AD:AD,MATCH(_xlfn.TEXTJOIN(",",TRUE,B224:E224),SF_Output!AC1:AC400,0)),0.05)</f>
        <v>241</v>
      </c>
      <c r="AK224" t="str">
        <f>IF(SUMIFS(SF_Output!$F$1:$F$400,SF_Output!$AC$1:$AC$400,_xlfn.TEXTJOIN(",",TRUE,B224:E224))+SUMIFS(SF_Output!$G$1:$G$400,SF_Output!$AC$1:$AC$400,_xlfn.TEXTJOIN(",",TRUE,B224:E224))=0,"","PAP")</f>
        <v/>
      </c>
      <c r="AQ224" s="35"/>
      <c r="AR224" s="35" t="str" cm="1">
        <f t="array" ref="AR224">IFERROR(_xlfn.IFS(AND(E224*1=1,F224="Included"),"Change to Included",AND(E224*1=0,F224="Optional"),"Change to Optional",OR(B224="",F224="replaced"),""),"")</f>
        <v/>
      </c>
      <c r="AS224" s="35" t="str">
        <f t="shared" si="58"/>
        <v/>
      </c>
      <c r="AT224" s="35" t="str">
        <f t="shared" si="59"/>
        <v/>
      </c>
      <c r="AU224" s="35" t="str">
        <f t="shared" si="60"/>
        <v/>
      </c>
      <c r="AV224" s="35" t="str">
        <f t="shared" si="61"/>
        <v/>
      </c>
      <c r="AW224" s="35" t="str">
        <f t="shared" si="62"/>
        <v/>
      </c>
      <c r="AX224" s="35" t="str">
        <f t="shared" si="63"/>
        <v/>
      </c>
      <c r="AY224" s="35" t="str">
        <f t="shared" si="64"/>
        <v/>
      </c>
      <c r="AZ224" s="35" t="str">
        <f t="shared" si="65"/>
        <v/>
      </c>
      <c r="BA224" s="35" t="str">
        <f t="shared" si="66"/>
        <v/>
      </c>
      <c r="BB224" s="35" t="str">
        <f t="shared" si="67"/>
        <v/>
      </c>
      <c r="BC224" s="35"/>
      <c r="BE224" s="35" t="e">
        <f>INDEX(SF_Output!$AA$2:$AA$400,MATCH($B224,SF_Output!$M$2:$M$400,0))</f>
        <v>#N/A</v>
      </c>
      <c r="BF224" s="35" t="e">
        <f>INDEX(SF_Output!$AB$2:$AB$400,MATCH($B224,SF_Output!$M$2:$M$400,0))</f>
        <v>#N/A</v>
      </c>
    </row>
    <row r="225" spans="6:58" x14ac:dyDescent="0.25">
      <c r="F225" s="116" t="str">
        <f t="shared" si="51"/>
        <v/>
      </c>
      <c r="G225" t="str">
        <f>IF(B225="","",INDEX(SF_Output!$K$1:$K$400,MATCH(B225,SF_Output!$M$1:$M$400,0)))</f>
        <v/>
      </c>
      <c r="H225" t="str" cm="1">
        <f t="array" ref="H225">_xlfn.IFS(B225="","",(SUMIFS(SF_Output!$F$1:$F$400,SF_Output!$AC$1:$AC$400,_xlfn.TEXTJOIN(",",TRUE,B225:E225))+SUMIFS(SF_Output!$G$1:$G$400,SF_Output!$AC$1:$AC$400,_xlfn.TEXTJOIN(",",TRUE,B225:E225)))&lt;&gt;0,SF_Output!$Y$2,INDEX(SF_Output!$F$1:$F$400,MATCH(_xlfn.TEXTJOIN(",",TRUE,B225:E225),SF_Output!$AC$1:$AC$400,0))=0,INDEX(SF_Output!$R$1:$R$400,MATCH(_xlfn.TEXTJOIN(",",TRUE,B225:E225),SF_Output!$AC$1:$AC$400,0)))</f>
        <v/>
      </c>
      <c r="I225" s="125" t="str">
        <f>IFERROR(IF(AND(H225&gt;1,H225&lt;&gt;""),ROUND(SUMIFS(SF_Output!$S$1:$S$400,SF_Output!$AC$1:$AC$400,_xlfn.TEXTJOIN(",",TRUE,B225:E225),SF_Output!$Q$1:$Q$400,"monthly")*(1-W225)/H225,4),""),"")</f>
        <v/>
      </c>
      <c r="J225" s="6" t="str">
        <f>IF(B225="","",SUMIFS(SF_Output!$S$1:$S$400,SF_Output!$AC$1:$AC$400,_xlfn.TEXTJOIN(",",TRUE,B225:E225),SF_Output!$Q$1:$Q$400,"One Time",SF_Output!$L$1:$L$400,"license fee")+SUMIFS(SF_Output!$S$1:$S$400,SF_Output!$AC$1:$AC$400,_xlfn.TEXTJOIN(",",TRUE,B225:E225),SF_Output!$Q$1:$Q$400,"One Time",SF_Output!$L$1:$L$400,"software license")+SUMIFS(SF_Output!$S$1:$S$400,SF_Output!$AC$1:$AC$400,_xlfn.TEXTJOIN(",",TRUE,B225:E225),SF_Output!$Q$1:$Q$400,"One Time",SF_Output!$L$1:$L$400,"hardware"))</f>
        <v/>
      </c>
      <c r="K225" s="112" t="str">
        <f>IF(OR(B225=0,B225="",G225="hardware",J225=0),"",IF(AF225&lt;&gt;"exclusion",MAX(K$9,-((SUMIFS(SF_Output!$T$1:$T$400,SF_Output!$AC$1:$AC$400,_xlfn.TEXTJOIN(",",TRUE,$B225:$E225),SF_Output!$Q$1:$Q$400,"One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license"))/J225)))</f>
        <v/>
      </c>
      <c r="L225" s="6" t="str">
        <f t="shared" si="52"/>
        <v/>
      </c>
      <c r="N225" s="6" t="str">
        <f>IF(B225="","",SUMIFS(SF_Output!$S$1:$S$400,SF_Output!$AC$1:$AC$400,_xlfn.TEXTJOIN(",",TRUE,B225:E225),SF_Output!$Q$1:$Q$400,"One Time",SF_Output!$L$1:$L$400,"professional service"))</f>
        <v/>
      </c>
      <c r="O225" s="112" t="str">
        <f>IF(OR(B225=0,B225="",N225=0),"",IF(AF225&lt;&gt;"exclusion",MAX(O$9,-(SUMIFS(SF_Output!$T$1:$T$400,SF_Output!$AC$1:$AC$400,_xlfn.TEXTJOIN(",",TRUE,$B225:$E225),SF_Output!$Q$1:$Q$400,"One Time",SF_Output!$L$1:$L$400,"professional service"))/N225),-((SUMIFS(SF_Output!$T$1:$T$400,SF_Output!$AC$1:$AC$400,_xlfn.TEXTJOIN(",",TRUE,$B225:$E225),SF_Output!$Q$1:$Q$400,"One Time",SF_Output!$L$1:$L$400,"professional service")/N225))))</f>
        <v/>
      </c>
      <c r="P225" s="6" t="str">
        <f t="shared" si="53"/>
        <v/>
      </c>
      <c r="R225" s="6" t="str">
        <f>IF(B225="","",SUMIFS(SF_Output!$S$1:$S$400,SF_Output!$AC$1:$AC$400,_xlfn.TEXTJOIN(",",TRUE,B225:E225),SF_Output!$Q$1:$Q$400,"yearly")+SUMIFS(SF_Output!$S$1:$S$400,SF_Output!$AC$1:$AC$400,_xlfn.TEXTJOIN(",",TRUE,B225:E225),SF_Output!$Q$1:$Q$400,"quarterly")*4)</f>
        <v/>
      </c>
      <c r="S225" s="112" t="str">
        <f>IF(OR(B225=0,B225="",G225="hardware",R225=0),"",IF(AF225&lt;&gt;"exclusion",MAX(S$9,-(SUMIFS(SF_Output!$T$1:$T$400,SF_Output!$AC$1:$AC$400,_xlfn.TEXTJOIN(",",TRUE,$B225:$E225),SF_Output!$Q$1:$Q$400,"yearly"))/R225),-((SUMIFS(SF_Output!$T$1:$T$400,SF_Output!$AC$1:$AC$400,_xlfn.TEXTJOIN(",",TRUE,$B225:$E225),SF_Output!$Q$1:$Q$400,"yearly")/R225))))</f>
        <v/>
      </c>
      <c r="T225" s="6" t="str">
        <f t="shared" si="54"/>
        <v/>
      </c>
      <c r="V225" s="6" t="str" cm="1">
        <f t="array" ref="V225">_xlfn.IFS(B225="","",AND(B225&lt;&gt;"",H225=SF_Output!$Y$2,SUMIFS(SF_Output!$T$1:$T$400,SF_Output!$AC$1:$AC$400,_xlfn.TEXTJOIN(",",TRUE,B225:E225),SF_Output!$Q$1:$Q$400,"monthly")=0),(SUMIFS(SF_Output!$F$1:$F$400,SF_Output!$AC$1:$AC$400,_xlfn.TEXTJOIN(",",TRUE,B225:E225),SF_Output!$Q$1:$Q$400,"monthly")+SUMIFS(SF_Output!$G$1:$G$400,SF_Output!$AC$1:$AC$400,_xlfn.TEXTJOIN(",",TRUE,B225:E225),SF_Output!$Q$1:$Q$400,"monthly"))*H225,AND(B225&lt;&gt;"",H225=SF_Output!$Y$2,SUMIFS(SF_Output!$T$1:$T$400,SF_Output!$AC$1:$AC$400,_xlfn.TEXTJOIN(",",TRUE,B225:E225),SF_Output!$Q$1:$Q$400,"monthly")&lt;&gt;0),SUMIFS(SF_Output!$S$1:$S$400,SF_Output!$AC$1:$AC$400,_xlfn.TEXTJOIN(",",TRUE,B225:E225),SF_Output!$Q$1:$Q$400,"monthly"),AND(B225&lt;&gt;"",H225&lt;&gt;SF_Output!$Y$2),SUMIFS(SF_Output!$S$1:$S$400,SF_Output!$AC$1:$AC$400,_xlfn.TEXTJOIN(",",TRUE,B225:E225),SF_Output!$Q$1:$Q$400,"monthly"))</f>
        <v/>
      </c>
      <c r="W225" s="112" t="str" cm="1">
        <f t="array" ref="W225">_xlfn.IFS(OR(B225=0,B225="",V225=0),"",AF225&lt;&gt;"exclusion",MAX($W$9,$W$7,(-(SUMIFS(SF_Output!$T$1:$T$400,SF_Output!$AC$1:$AC$400,_xlfn.TEXTJOIN(",",TRUE,$B225:$E225),SF_Output!$Q$1:$Q$400,"monthly"))/V225)),AF225="exclusion",-(SUMIFS(SF_Output!$T$1:$T$400,SF_Output!$AC$1:$AC$400,_xlfn.TEXTJOIN(",",TRUE,$B225:$E225),SF_Output!$Q$1:$Q$400,"monthly"))/V225)</f>
        <v/>
      </c>
      <c r="X225" s="6" t="str" cm="1">
        <f t="array" ref="X225">IFERROR(_xlfn.IFS(V225=0,0,V225="","",W225=0,V225,OR(V225&lt;&gt;0,V225&lt;&gt;""),H225*I225),V225*(1-W225))</f>
        <v/>
      </c>
      <c r="Z225" s="6" t="str">
        <f>IFERROR(IF(B225="","",SUMIFS(Billing_Fallout!H:H,Billing_Fallout!N:N,B225)),0)</f>
        <v/>
      </c>
      <c r="AA225" s="6" t="str">
        <f t="shared" si="55"/>
        <v/>
      </c>
      <c r="AB225" s="6" t="str">
        <f>IFERROR(IF(B225="","",SUMIFS(Billing_Fallout!J:J,Billing_Fallout!N:N,B225)),0)</f>
        <v/>
      </c>
      <c r="AD225" s="6" t="str">
        <f t="shared" si="56"/>
        <v/>
      </c>
      <c r="AF225" t="str">
        <f>IFERROR(INDEX(H_Tables!$B$1:$B$1500,MATCH(INDEX(SF_Output!$J$1:$J$400,MATCH(B225,SF_Output!$M$1:$M$400,0)),H_Tables!$A$1:$A$1500,0)),"")</f>
        <v/>
      </c>
      <c r="AI225" s="119" t="str">
        <f t="shared" si="57"/>
        <v/>
      </c>
      <c r="AJ225" s="121">
        <f>IFERROR(INDEX(SF_Output!AD:AD,MATCH(_xlfn.TEXTJOIN(",",TRUE,B225:E225),SF_Output!AC1:AC400,0)),0.05)</f>
        <v>241</v>
      </c>
      <c r="AK225" t="str">
        <f>IF(SUMIFS(SF_Output!$F$1:$F$400,SF_Output!$AC$1:$AC$400,_xlfn.TEXTJOIN(",",TRUE,B225:E225))+SUMIFS(SF_Output!$G$1:$G$400,SF_Output!$AC$1:$AC$400,_xlfn.TEXTJOIN(",",TRUE,B225:E225))=0,"","PAP")</f>
        <v/>
      </c>
      <c r="AQ225" s="35"/>
      <c r="AR225" s="35" t="str" cm="1">
        <f t="array" ref="AR225">IFERROR(_xlfn.IFS(AND(E225*1=1,F225="Included"),"Change to Included",AND(E225*1=0,F225="Optional"),"Change to Optional",OR(B225="",F225="replaced"),""),"")</f>
        <v/>
      </c>
      <c r="AS225" s="35" t="str">
        <f t="shared" si="58"/>
        <v/>
      </c>
      <c r="AT225" s="35" t="str">
        <f t="shared" si="59"/>
        <v/>
      </c>
      <c r="AU225" s="35" t="str">
        <f t="shared" si="60"/>
        <v/>
      </c>
      <c r="AV225" s="35" t="str">
        <f t="shared" si="61"/>
        <v/>
      </c>
      <c r="AW225" s="35" t="str">
        <f t="shared" si="62"/>
        <v/>
      </c>
      <c r="AX225" s="35" t="str">
        <f t="shared" si="63"/>
        <v/>
      </c>
      <c r="AY225" s="35" t="str">
        <f t="shared" si="64"/>
        <v/>
      </c>
      <c r="AZ225" s="35" t="str">
        <f t="shared" si="65"/>
        <v/>
      </c>
      <c r="BA225" s="35" t="str">
        <f t="shared" si="66"/>
        <v/>
      </c>
      <c r="BB225" s="35" t="str">
        <f t="shared" si="67"/>
        <v/>
      </c>
      <c r="BC225" s="35"/>
      <c r="BE225" s="35" t="e">
        <f>INDEX(SF_Output!$AA$2:$AA$400,MATCH($B225,SF_Output!$M$2:$M$400,0))</f>
        <v>#N/A</v>
      </c>
      <c r="BF225" s="35" t="e">
        <f>INDEX(SF_Output!$AB$2:$AB$400,MATCH($B225,SF_Output!$M$2:$M$400,0))</f>
        <v>#N/A</v>
      </c>
    </row>
    <row r="226" spans="6:58" x14ac:dyDescent="0.25">
      <c r="F226" s="116" t="str">
        <f t="shared" si="51"/>
        <v/>
      </c>
      <c r="G226" t="str">
        <f>IF(B226="","",INDEX(SF_Output!$K$1:$K$400,MATCH(B226,SF_Output!$M$1:$M$400,0)))</f>
        <v/>
      </c>
      <c r="H226" t="str" cm="1">
        <f t="array" ref="H226">_xlfn.IFS(B226="","",(SUMIFS(SF_Output!$F$1:$F$400,SF_Output!$AC$1:$AC$400,_xlfn.TEXTJOIN(",",TRUE,B226:E226))+SUMIFS(SF_Output!$G$1:$G$400,SF_Output!$AC$1:$AC$400,_xlfn.TEXTJOIN(",",TRUE,B226:E226)))&lt;&gt;0,SF_Output!$Y$2,INDEX(SF_Output!$F$1:$F$400,MATCH(_xlfn.TEXTJOIN(",",TRUE,B226:E226),SF_Output!$AC$1:$AC$400,0))=0,INDEX(SF_Output!$R$1:$R$400,MATCH(_xlfn.TEXTJOIN(",",TRUE,B226:E226),SF_Output!$AC$1:$AC$400,0)))</f>
        <v/>
      </c>
      <c r="I226" s="125" t="str">
        <f>IFERROR(IF(AND(H226&gt;1,H226&lt;&gt;""),ROUND(SUMIFS(SF_Output!$S$1:$S$400,SF_Output!$AC$1:$AC$400,_xlfn.TEXTJOIN(",",TRUE,B226:E226),SF_Output!$Q$1:$Q$400,"monthly")*(1-W226)/H226,4),""),"")</f>
        <v/>
      </c>
      <c r="J226" s="6" t="str">
        <f>IF(B226="","",SUMIFS(SF_Output!$S$1:$S$400,SF_Output!$AC$1:$AC$400,_xlfn.TEXTJOIN(",",TRUE,B226:E226),SF_Output!$Q$1:$Q$400,"One Time",SF_Output!$L$1:$L$400,"license fee")+SUMIFS(SF_Output!$S$1:$S$400,SF_Output!$AC$1:$AC$400,_xlfn.TEXTJOIN(",",TRUE,B226:E226),SF_Output!$Q$1:$Q$400,"One Time",SF_Output!$L$1:$L$400,"software license")+SUMIFS(SF_Output!$S$1:$S$400,SF_Output!$AC$1:$AC$400,_xlfn.TEXTJOIN(",",TRUE,B226:E226),SF_Output!$Q$1:$Q$400,"One Time",SF_Output!$L$1:$L$400,"hardware"))</f>
        <v/>
      </c>
      <c r="K226" s="112" t="str">
        <f>IF(OR(B226=0,B226="",G226="hardware",J226=0),"",IF(AF226&lt;&gt;"exclusion",MAX(K$9,-((SUMIFS(SF_Output!$T$1:$T$400,SF_Output!$AC$1:$AC$400,_xlfn.TEXTJOIN(",",TRUE,$B226:$E226),SF_Output!$Q$1:$Q$400,"One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license"))/J226)))</f>
        <v/>
      </c>
      <c r="L226" s="6" t="str">
        <f t="shared" si="52"/>
        <v/>
      </c>
      <c r="N226" s="6" t="str">
        <f>IF(B226="","",SUMIFS(SF_Output!$S$1:$S$400,SF_Output!$AC$1:$AC$400,_xlfn.TEXTJOIN(",",TRUE,B226:E226),SF_Output!$Q$1:$Q$400,"One Time",SF_Output!$L$1:$L$400,"professional service"))</f>
        <v/>
      </c>
      <c r="O226" s="112" t="str">
        <f>IF(OR(B226=0,B226="",N226=0),"",IF(AF226&lt;&gt;"exclusion",MAX(O$9,-(SUMIFS(SF_Output!$T$1:$T$400,SF_Output!$AC$1:$AC$400,_xlfn.TEXTJOIN(",",TRUE,$B226:$E226),SF_Output!$Q$1:$Q$400,"One Time",SF_Output!$L$1:$L$400,"professional service"))/N226),-((SUMIFS(SF_Output!$T$1:$T$400,SF_Output!$AC$1:$AC$400,_xlfn.TEXTJOIN(",",TRUE,$B226:$E226),SF_Output!$Q$1:$Q$400,"One Time",SF_Output!$L$1:$L$400,"professional service")/N226))))</f>
        <v/>
      </c>
      <c r="P226" s="6" t="str">
        <f t="shared" si="53"/>
        <v/>
      </c>
      <c r="R226" s="6" t="str">
        <f>IF(B226="","",SUMIFS(SF_Output!$S$1:$S$400,SF_Output!$AC$1:$AC$400,_xlfn.TEXTJOIN(",",TRUE,B226:E226),SF_Output!$Q$1:$Q$400,"yearly")+SUMIFS(SF_Output!$S$1:$S$400,SF_Output!$AC$1:$AC$400,_xlfn.TEXTJOIN(",",TRUE,B226:E226),SF_Output!$Q$1:$Q$400,"quarterly")*4)</f>
        <v/>
      </c>
      <c r="S226" s="112" t="str">
        <f>IF(OR(B226=0,B226="",G226="hardware",R226=0),"",IF(AF226&lt;&gt;"exclusion",MAX(S$9,-(SUMIFS(SF_Output!$T$1:$T$400,SF_Output!$AC$1:$AC$400,_xlfn.TEXTJOIN(",",TRUE,$B226:$E226),SF_Output!$Q$1:$Q$400,"yearly"))/R226),-((SUMIFS(SF_Output!$T$1:$T$400,SF_Output!$AC$1:$AC$400,_xlfn.TEXTJOIN(",",TRUE,$B226:$E226),SF_Output!$Q$1:$Q$400,"yearly")/R226))))</f>
        <v/>
      </c>
      <c r="T226" s="6" t="str">
        <f t="shared" si="54"/>
        <v/>
      </c>
      <c r="V226" s="6" t="str" cm="1">
        <f t="array" ref="V226">_xlfn.IFS(B226="","",AND(B226&lt;&gt;"",H226=SF_Output!$Y$2,SUMIFS(SF_Output!$T$1:$T$400,SF_Output!$AC$1:$AC$400,_xlfn.TEXTJOIN(",",TRUE,B226:E226),SF_Output!$Q$1:$Q$400,"monthly")=0),(SUMIFS(SF_Output!$F$1:$F$400,SF_Output!$AC$1:$AC$400,_xlfn.TEXTJOIN(",",TRUE,B226:E226),SF_Output!$Q$1:$Q$400,"monthly")+SUMIFS(SF_Output!$G$1:$G$400,SF_Output!$AC$1:$AC$400,_xlfn.TEXTJOIN(",",TRUE,B226:E226),SF_Output!$Q$1:$Q$400,"monthly"))*H226,AND(B226&lt;&gt;"",H226=SF_Output!$Y$2,SUMIFS(SF_Output!$T$1:$T$400,SF_Output!$AC$1:$AC$400,_xlfn.TEXTJOIN(",",TRUE,B226:E226),SF_Output!$Q$1:$Q$400,"monthly")&lt;&gt;0),SUMIFS(SF_Output!$S$1:$S$400,SF_Output!$AC$1:$AC$400,_xlfn.TEXTJOIN(",",TRUE,B226:E226),SF_Output!$Q$1:$Q$400,"monthly"),AND(B226&lt;&gt;"",H226&lt;&gt;SF_Output!$Y$2),SUMIFS(SF_Output!$S$1:$S$400,SF_Output!$AC$1:$AC$400,_xlfn.TEXTJOIN(",",TRUE,B226:E226),SF_Output!$Q$1:$Q$400,"monthly"))</f>
        <v/>
      </c>
      <c r="W226" s="112" t="str" cm="1">
        <f t="array" ref="W226">_xlfn.IFS(OR(B226=0,B226="",V226=0),"",AF226&lt;&gt;"exclusion",MAX($W$9,$W$7,(-(SUMIFS(SF_Output!$T$1:$T$400,SF_Output!$AC$1:$AC$400,_xlfn.TEXTJOIN(",",TRUE,$B226:$E226),SF_Output!$Q$1:$Q$400,"monthly"))/V226)),AF226="exclusion",-(SUMIFS(SF_Output!$T$1:$T$400,SF_Output!$AC$1:$AC$400,_xlfn.TEXTJOIN(",",TRUE,$B226:$E226),SF_Output!$Q$1:$Q$400,"monthly"))/V226)</f>
        <v/>
      </c>
      <c r="X226" s="6" t="str" cm="1">
        <f t="array" ref="X226">IFERROR(_xlfn.IFS(V226=0,0,V226="","",W226=0,V226,OR(V226&lt;&gt;0,V226&lt;&gt;""),H226*I226),V226*(1-W226))</f>
        <v/>
      </c>
      <c r="Z226" s="6" t="str">
        <f>IFERROR(IF(B226="","",SUMIFS(Billing_Fallout!H:H,Billing_Fallout!N:N,B226)),0)</f>
        <v/>
      </c>
      <c r="AA226" s="6" t="str">
        <f t="shared" si="55"/>
        <v/>
      </c>
      <c r="AB226" s="6" t="str">
        <f>IFERROR(IF(B226="","",SUMIFS(Billing_Fallout!J:J,Billing_Fallout!N:N,B226)),0)</f>
        <v/>
      </c>
      <c r="AD226" s="6" t="str">
        <f t="shared" si="56"/>
        <v/>
      </c>
      <c r="AF226" t="str">
        <f>IFERROR(INDEX(H_Tables!$B$1:$B$1500,MATCH(INDEX(SF_Output!$J$1:$J$400,MATCH(B226,SF_Output!$M$1:$M$400,0)),H_Tables!$A$1:$A$1500,0)),"")</f>
        <v/>
      </c>
      <c r="AI226" s="119" t="str">
        <f t="shared" si="57"/>
        <v/>
      </c>
      <c r="AJ226" s="121">
        <f>IFERROR(INDEX(SF_Output!AD:AD,MATCH(_xlfn.TEXTJOIN(",",TRUE,B226:E226),SF_Output!AC1:AC400,0)),0.05)</f>
        <v>241</v>
      </c>
      <c r="AK226" t="str">
        <f>IF(SUMIFS(SF_Output!$F$1:$F$400,SF_Output!$AC$1:$AC$400,_xlfn.TEXTJOIN(",",TRUE,B226:E226))+SUMIFS(SF_Output!$G$1:$G$400,SF_Output!$AC$1:$AC$400,_xlfn.TEXTJOIN(",",TRUE,B226:E226))=0,"","PAP")</f>
        <v/>
      </c>
      <c r="AQ226" s="35"/>
      <c r="AR226" s="35" t="str" cm="1">
        <f t="array" ref="AR226">IFERROR(_xlfn.IFS(AND(E226*1=1,F226="Included"),"Change to Included",AND(E226*1=0,F226="Optional"),"Change to Optional",OR(B226="",F226="replaced"),""),"")</f>
        <v/>
      </c>
      <c r="AS226" s="35" t="str">
        <f t="shared" si="58"/>
        <v/>
      </c>
      <c r="AT226" s="35" t="str">
        <f t="shared" si="59"/>
        <v/>
      </c>
      <c r="AU226" s="35" t="str">
        <f t="shared" si="60"/>
        <v/>
      </c>
      <c r="AV226" s="35" t="str">
        <f t="shared" si="61"/>
        <v/>
      </c>
      <c r="AW226" s="35" t="str">
        <f t="shared" si="62"/>
        <v/>
      </c>
      <c r="AX226" s="35" t="str">
        <f t="shared" si="63"/>
        <v/>
      </c>
      <c r="AY226" s="35" t="str">
        <f t="shared" si="64"/>
        <v/>
      </c>
      <c r="AZ226" s="35" t="str">
        <f t="shared" si="65"/>
        <v/>
      </c>
      <c r="BA226" s="35" t="str">
        <f t="shared" si="66"/>
        <v/>
      </c>
      <c r="BB226" s="35" t="str">
        <f t="shared" si="67"/>
        <v/>
      </c>
      <c r="BC226" s="35"/>
      <c r="BE226" s="35" t="e">
        <f>INDEX(SF_Output!$AA$2:$AA$400,MATCH($B226,SF_Output!$M$2:$M$400,0))</f>
        <v>#N/A</v>
      </c>
      <c r="BF226" s="35" t="e">
        <f>INDEX(SF_Output!$AB$2:$AB$400,MATCH($B226,SF_Output!$M$2:$M$400,0))</f>
        <v>#N/A</v>
      </c>
    </row>
    <row r="227" spans="6:58" x14ac:dyDescent="0.25">
      <c r="F227" s="116" t="str">
        <f t="shared" si="51"/>
        <v/>
      </c>
      <c r="G227" t="str">
        <f>IF(B227="","",INDEX(SF_Output!$K$1:$K$400,MATCH(B227,SF_Output!$M$1:$M$400,0)))</f>
        <v/>
      </c>
      <c r="H227" t="str" cm="1">
        <f t="array" ref="H227">_xlfn.IFS(B227="","",(SUMIFS(SF_Output!$F$1:$F$400,SF_Output!$AC$1:$AC$400,_xlfn.TEXTJOIN(",",TRUE,B227:E227))+SUMIFS(SF_Output!$G$1:$G$400,SF_Output!$AC$1:$AC$400,_xlfn.TEXTJOIN(",",TRUE,B227:E227)))&lt;&gt;0,SF_Output!$Y$2,INDEX(SF_Output!$F$1:$F$400,MATCH(_xlfn.TEXTJOIN(",",TRUE,B227:E227),SF_Output!$AC$1:$AC$400,0))=0,INDEX(SF_Output!$R$1:$R$400,MATCH(_xlfn.TEXTJOIN(",",TRUE,B227:E227),SF_Output!$AC$1:$AC$400,0)))</f>
        <v/>
      </c>
      <c r="I227" s="125" t="str">
        <f>IFERROR(IF(AND(H227&gt;1,H227&lt;&gt;""),ROUND(SUMIFS(SF_Output!$S$1:$S$400,SF_Output!$AC$1:$AC$400,_xlfn.TEXTJOIN(",",TRUE,B227:E227),SF_Output!$Q$1:$Q$400,"monthly")*(1-W227)/H227,4),""),"")</f>
        <v/>
      </c>
      <c r="J227" s="6" t="str">
        <f>IF(B227="","",SUMIFS(SF_Output!$S$1:$S$400,SF_Output!$AC$1:$AC$400,_xlfn.TEXTJOIN(",",TRUE,B227:E227),SF_Output!$Q$1:$Q$400,"One Time",SF_Output!$L$1:$L$400,"license fee")+SUMIFS(SF_Output!$S$1:$S$400,SF_Output!$AC$1:$AC$400,_xlfn.TEXTJOIN(",",TRUE,B227:E227),SF_Output!$Q$1:$Q$400,"One Time",SF_Output!$L$1:$L$400,"software license")+SUMIFS(SF_Output!$S$1:$S$400,SF_Output!$AC$1:$AC$400,_xlfn.TEXTJOIN(",",TRUE,B227:E227),SF_Output!$Q$1:$Q$400,"One Time",SF_Output!$L$1:$L$400,"hardware"))</f>
        <v/>
      </c>
      <c r="K227" s="112" t="str">
        <f>IF(OR(B227=0,B227="",G227="hardware",J227=0),"",IF(AF227&lt;&gt;"exclusion",MAX(K$9,-((SUMIFS(SF_Output!$T$1:$T$400,SF_Output!$AC$1:$AC$400,_xlfn.TEXTJOIN(",",TRUE,$B227:$E227),SF_Output!$Q$1:$Q$400,"One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license"))/J227)))</f>
        <v/>
      </c>
      <c r="L227" s="6" t="str">
        <f t="shared" si="52"/>
        <v/>
      </c>
      <c r="N227" s="6" t="str">
        <f>IF(B227="","",SUMIFS(SF_Output!$S$1:$S$400,SF_Output!$AC$1:$AC$400,_xlfn.TEXTJOIN(",",TRUE,B227:E227),SF_Output!$Q$1:$Q$400,"One Time",SF_Output!$L$1:$L$400,"professional service"))</f>
        <v/>
      </c>
      <c r="O227" s="112" t="str">
        <f>IF(OR(B227=0,B227="",N227=0),"",IF(AF227&lt;&gt;"exclusion",MAX(O$9,-(SUMIFS(SF_Output!$T$1:$T$400,SF_Output!$AC$1:$AC$400,_xlfn.TEXTJOIN(",",TRUE,$B227:$E227),SF_Output!$Q$1:$Q$400,"One Time",SF_Output!$L$1:$L$400,"professional service"))/N227),-((SUMIFS(SF_Output!$T$1:$T$400,SF_Output!$AC$1:$AC$400,_xlfn.TEXTJOIN(",",TRUE,$B227:$E227),SF_Output!$Q$1:$Q$400,"One Time",SF_Output!$L$1:$L$400,"professional service")/N227))))</f>
        <v/>
      </c>
      <c r="P227" s="6" t="str">
        <f t="shared" si="53"/>
        <v/>
      </c>
      <c r="R227" s="6" t="str">
        <f>IF(B227="","",SUMIFS(SF_Output!$S$1:$S$400,SF_Output!$AC$1:$AC$400,_xlfn.TEXTJOIN(",",TRUE,B227:E227),SF_Output!$Q$1:$Q$400,"yearly")+SUMIFS(SF_Output!$S$1:$S$400,SF_Output!$AC$1:$AC$400,_xlfn.TEXTJOIN(",",TRUE,B227:E227),SF_Output!$Q$1:$Q$400,"quarterly")*4)</f>
        <v/>
      </c>
      <c r="S227" s="112" t="str">
        <f>IF(OR(B227=0,B227="",G227="hardware",R227=0),"",IF(AF227&lt;&gt;"exclusion",MAX(S$9,-(SUMIFS(SF_Output!$T$1:$T$400,SF_Output!$AC$1:$AC$400,_xlfn.TEXTJOIN(",",TRUE,$B227:$E227),SF_Output!$Q$1:$Q$400,"yearly"))/R227),-((SUMIFS(SF_Output!$T$1:$T$400,SF_Output!$AC$1:$AC$400,_xlfn.TEXTJOIN(",",TRUE,$B227:$E227),SF_Output!$Q$1:$Q$400,"yearly")/R227))))</f>
        <v/>
      </c>
      <c r="T227" s="6" t="str">
        <f t="shared" si="54"/>
        <v/>
      </c>
      <c r="V227" s="6" t="str" cm="1">
        <f t="array" ref="V227">_xlfn.IFS(B227="","",AND(B227&lt;&gt;"",H227=SF_Output!$Y$2,SUMIFS(SF_Output!$T$1:$T$400,SF_Output!$AC$1:$AC$400,_xlfn.TEXTJOIN(",",TRUE,B227:E227),SF_Output!$Q$1:$Q$400,"monthly")=0),(SUMIFS(SF_Output!$F$1:$F$400,SF_Output!$AC$1:$AC$400,_xlfn.TEXTJOIN(",",TRUE,B227:E227),SF_Output!$Q$1:$Q$400,"monthly")+SUMIFS(SF_Output!$G$1:$G$400,SF_Output!$AC$1:$AC$400,_xlfn.TEXTJOIN(",",TRUE,B227:E227),SF_Output!$Q$1:$Q$400,"monthly"))*H227,AND(B227&lt;&gt;"",H227=SF_Output!$Y$2,SUMIFS(SF_Output!$T$1:$T$400,SF_Output!$AC$1:$AC$400,_xlfn.TEXTJOIN(",",TRUE,B227:E227),SF_Output!$Q$1:$Q$400,"monthly")&lt;&gt;0),SUMIFS(SF_Output!$S$1:$S$400,SF_Output!$AC$1:$AC$400,_xlfn.TEXTJOIN(",",TRUE,B227:E227),SF_Output!$Q$1:$Q$400,"monthly"),AND(B227&lt;&gt;"",H227&lt;&gt;SF_Output!$Y$2),SUMIFS(SF_Output!$S$1:$S$400,SF_Output!$AC$1:$AC$400,_xlfn.TEXTJOIN(",",TRUE,B227:E227),SF_Output!$Q$1:$Q$400,"monthly"))</f>
        <v/>
      </c>
      <c r="W227" s="112" t="str" cm="1">
        <f t="array" ref="W227">_xlfn.IFS(OR(B227=0,B227="",V227=0),"",AF227&lt;&gt;"exclusion",MAX($W$9,$W$7,(-(SUMIFS(SF_Output!$T$1:$T$400,SF_Output!$AC$1:$AC$400,_xlfn.TEXTJOIN(",",TRUE,$B227:$E227),SF_Output!$Q$1:$Q$400,"monthly"))/V227)),AF227="exclusion",-(SUMIFS(SF_Output!$T$1:$T$400,SF_Output!$AC$1:$AC$400,_xlfn.TEXTJOIN(",",TRUE,$B227:$E227),SF_Output!$Q$1:$Q$400,"monthly"))/V227)</f>
        <v/>
      </c>
      <c r="X227" s="6" t="str" cm="1">
        <f t="array" ref="X227">IFERROR(_xlfn.IFS(V227=0,0,V227="","",W227=0,V227,OR(V227&lt;&gt;0,V227&lt;&gt;""),H227*I227),V227*(1-W227))</f>
        <v/>
      </c>
      <c r="Z227" s="6" t="str">
        <f>IFERROR(IF(B227="","",SUMIFS(Billing_Fallout!H:H,Billing_Fallout!N:N,B227)),0)</f>
        <v/>
      </c>
      <c r="AA227" s="6" t="str">
        <f t="shared" si="55"/>
        <v/>
      </c>
      <c r="AB227" s="6" t="str">
        <f>IFERROR(IF(B227="","",SUMIFS(Billing_Fallout!J:J,Billing_Fallout!N:N,B227)),0)</f>
        <v/>
      </c>
      <c r="AD227" s="6" t="str">
        <f t="shared" si="56"/>
        <v/>
      </c>
      <c r="AF227" t="str">
        <f>IFERROR(INDEX(H_Tables!$B$1:$B$1500,MATCH(INDEX(SF_Output!$J$1:$J$400,MATCH(B227,SF_Output!$M$1:$M$400,0)),H_Tables!$A$1:$A$1500,0)),"")</f>
        <v/>
      </c>
      <c r="AI227" s="119" t="str">
        <f t="shared" si="57"/>
        <v/>
      </c>
      <c r="AJ227" s="121">
        <f>IFERROR(INDEX(SF_Output!AD:AD,MATCH(_xlfn.TEXTJOIN(",",TRUE,B227:E227),SF_Output!AC1:AC400,0)),0.05)</f>
        <v>241</v>
      </c>
      <c r="AK227" t="str">
        <f>IF(SUMIFS(SF_Output!$F$1:$F$400,SF_Output!$AC$1:$AC$400,_xlfn.TEXTJOIN(",",TRUE,B227:E227))+SUMIFS(SF_Output!$G$1:$G$400,SF_Output!$AC$1:$AC$400,_xlfn.TEXTJOIN(",",TRUE,B227:E227))=0,"","PAP")</f>
        <v/>
      </c>
      <c r="AQ227" s="35"/>
      <c r="AR227" s="35" t="str" cm="1">
        <f t="array" ref="AR227">IFERROR(_xlfn.IFS(AND(E227*1=1,F227="Included"),"Change to Included",AND(E227*1=0,F227="Optional"),"Change to Optional",OR(B227="",F227="replaced"),""),"")</f>
        <v/>
      </c>
      <c r="AS227" s="35" t="str">
        <f t="shared" si="58"/>
        <v/>
      </c>
      <c r="AT227" s="35" t="str">
        <f t="shared" si="59"/>
        <v/>
      </c>
      <c r="AU227" s="35" t="str">
        <f t="shared" si="60"/>
        <v/>
      </c>
      <c r="AV227" s="35" t="str">
        <f t="shared" si="61"/>
        <v/>
      </c>
      <c r="AW227" s="35" t="str">
        <f t="shared" si="62"/>
        <v/>
      </c>
      <c r="AX227" s="35" t="str">
        <f t="shared" si="63"/>
        <v/>
      </c>
      <c r="AY227" s="35" t="str">
        <f t="shared" si="64"/>
        <v/>
      </c>
      <c r="AZ227" s="35" t="str">
        <f t="shared" si="65"/>
        <v/>
      </c>
      <c r="BA227" s="35" t="str">
        <f t="shared" si="66"/>
        <v/>
      </c>
      <c r="BB227" s="35" t="str">
        <f t="shared" si="67"/>
        <v/>
      </c>
      <c r="BC227" s="35"/>
      <c r="BE227" s="35" t="e">
        <f>INDEX(SF_Output!$AA$2:$AA$400,MATCH($B227,SF_Output!$M$2:$M$400,0))</f>
        <v>#N/A</v>
      </c>
      <c r="BF227" s="35" t="e">
        <f>INDEX(SF_Output!$AB$2:$AB$400,MATCH($B227,SF_Output!$M$2:$M$400,0))</f>
        <v>#N/A</v>
      </c>
    </row>
    <row r="228" spans="6:58" x14ac:dyDescent="0.25">
      <c r="F228" s="116" t="str">
        <f t="shared" si="51"/>
        <v/>
      </c>
      <c r="G228" t="str">
        <f>IF(B228="","",INDEX(SF_Output!$K$1:$K$400,MATCH(B228,SF_Output!$M$1:$M$400,0)))</f>
        <v/>
      </c>
      <c r="H228" t="str" cm="1">
        <f t="array" ref="H228">_xlfn.IFS(B228="","",(SUMIFS(SF_Output!$F$1:$F$400,SF_Output!$AC$1:$AC$400,_xlfn.TEXTJOIN(",",TRUE,B228:E228))+SUMIFS(SF_Output!$G$1:$G$400,SF_Output!$AC$1:$AC$400,_xlfn.TEXTJOIN(",",TRUE,B228:E228)))&lt;&gt;0,SF_Output!$Y$2,INDEX(SF_Output!$F$1:$F$400,MATCH(_xlfn.TEXTJOIN(",",TRUE,B228:E228),SF_Output!$AC$1:$AC$400,0))=0,INDEX(SF_Output!$R$1:$R$400,MATCH(_xlfn.TEXTJOIN(",",TRUE,B228:E228),SF_Output!$AC$1:$AC$400,0)))</f>
        <v/>
      </c>
      <c r="I228" s="125" t="str">
        <f>IFERROR(IF(AND(H228&gt;1,H228&lt;&gt;""),ROUND(SUMIFS(SF_Output!$S$1:$S$400,SF_Output!$AC$1:$AC$400,_xlfn.TEXTJOIN(",",TRUE,B228:E228),SF_Output!$Q$1:$Q$400,"monthly")*(1-W228)/H228,4),""),"")</f>
        <v/>
      </c>
      <c r="J228" s="6" t="str">
        <f>IF(B228="","",SUMIFS(SF_Output!$S$1:$S$400,SF_Output!$AC$1:$AC$400,_xlfn.TEXTJOIN(",",TRUE,B228:E228),SF_Output!$Q$1:$Q$400,"One Time",SF_Output!$L$1:$L$400,"license fee")+SUMIFS(SF_Output!$S$1:$S$400,SF_Output!$AC$1:$AC$400,_xlfn.TEXTJOIN(",",TRUE,B228:E228),SF_Output!$Q$1:$Q$400,"One Time",SF_Output!$L$1:$L$400,"software license")+SUMIFS(SF_Output!$S$1:$S$400,SF_Output!$AC$1:$AC$400,_xlfn.TEXTJOIN(",",TRUE,B228:E228),SF_Output!$Q$1:$Q$400,"One Time",SF_Output!$L$1:$L$400,"hardware"))</f>
        <v/>
      </c>
      <c r="K228" s="112" t="str">
        <f>IF(OR(B228=0,B228="",G228="hardware",J228=0),"",IF(AF228&lt;&gt;"exclusion",MAX(K$9,-((SUMIFS(SF_Output!$T$1:$T$400,SF_Output!$AC$1:$AC$400,_xlfn.TEXTJOIN(",",TRUE,$B228:$E228),SF_Output!$Q$1:$Q$400,"One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license"))/J228)))</f>
        <v/>
      </c>
      <c r="L228" s="6" t="str">
        <f t="shared" si="52"/>
        <v/>
      </c>
      <c r="N228" s="6" t="str">
        <f>IF(B228="","",SUMIFS(SF_Output!$S$1:$S$400,SF_Output!$AC$1:$AC$400,_xlfn.TEXTJOIN(",",TRUE,B228:E228),SF_Output!$Q$1:$Q$400,"One Time",SF_Output!$L$1:$L$400,"professional service"))</f>
        <v/>
      </c>
      <c r="O228" s="112" t="str">
        <f>IF(OR(B228=0,B228="",N228=0),"",IF(AF228&lt;&gt;"exclusion",MAX(O$9,-(SUMIFS(SF_Output!$T$1:$T$400,SF_Output!$AC$1:$AC$400,_xlfn.TEXTJOIN(",",TRUE,$B228:$E228),SF_Output!$Q$1:$Q$400,"One Time",SF_Output!$L$1:$L$400,"professional service"))/N228),-((SUMIFS(SF_Output!$T$1:$T$400,SF_Output!$AC$1:$AC$400,_xlfn.TEXTJOIN(",",TRUE,$B228:$E228),SF_Output!$Q$1:$Q$400,"One Time",SF_Output!$L$1:$L$400,"professional service")/N228))))</f>
        <v/>
      </c>
      <c r="P228" s="6" t="str">
        <f t="shared" si="53"/>
        <v/>
      </c>
      <c r="R228" s="6" t="str">
        <f>IF(B228="","",SUMIFS(SF_Output!$S$1:$S$400,SF_Output!$AC$1:$AC$400,_xlfn.TEXTJOIN(",",TRUE,B228:E228),SF_Output!$Q$1:$Q$400,"yearly")+SUMIFS(SF_Output!$S$1:$S$400,SF_Output!$AC$1:$AC$400,_xlfn.TEXTJOIN(",",TRUE,B228:E228),SF_Output!$Q$1:$Q$400,"quarterly")*4)</f>
        <v/>
      </c>
      <c r="S228" s="112" t="str">
        <f>IF(OR(B228=0,B228="",G228="hardware",R228=0),"",IF(AF228&lt;&gt;"exclusion",MAX(S$9,-(SUMIFS(SF_Output!$T$1:$T$400,SF_Output!$AC$1:$AC$400,_xlfn.TEXTJOIN(",",TRUE,$B228:$E228),SF_Output!$Q$1:$Q$400,"yearly"))/R228),-((SUMIFS(SF_Output!$T$1:$T$400,SF_Output!$AC$1:$AC$400,_xlfn.TEXTJOIN(",",TRUE,$B228:$E228),SF_Output!$Q$1:$Q$400,"yearly")/R228))))</f>
        <v/>
      </c>
      <c r="T228" s="6" t="str">
        <f t="shared" si="54"/>
        <v/>
      </c>
      <c r="V228" s="6" t="str" cm="1">
        <f t="array" ref="V228">_xlfn.IFS(B228="","",AND(B228&lt;&gt;"",H228=SF_Output!$Y$2,SUMIFS(SF_Output!$T$1:$T$400,SF_Output!$AC$1:$AC$400,_xlfn.TEXTJOIN(",",TRUE,B228:E228),SF_Output!$Q$1:$Q$400,"monthly")=0),(SUMIFS(SF_Output!$F$1:$F$400,SF_Output!$AC$1:$AC$400,_xlfn.TEXTJOIN(",",TRUE,B228:E228),SF_Output!$Q$1:$Q$400,"monthly")+SUMIFS(SF_Output!$G$1:$G$400,SF_Output!$AC$1:$AC$400,_xlfn.TEXTJOIN(",",TRUE,B228:E228),SF_Output!$Q$1:$Q$400,"monthly"))*H228,AND(B228&lt;&gt;"",H228=SF_Output!$Y$2,SUMIFS(SF_Output!$T$1:$T$400,SF_Output!$AC$1:$AC$400,_xlfn.TEXTJOIN(",",TRUE,B228:E228),SF_Output!$Q$1:$Q$400,"monthly")&lt;&gt;0),SUMIFS(SF_Output!$S$1:$S$400,SF_Output!$AC$1:$AC$400,_xlfn.TEXTJOIN(",",TRUE,B228:E228),SF_Output!$Q$1:$Q$400,"monthly"),AND(B228&lt;&gt;"",H228&lt;&gt;SF_Output!$Y$2),SUMIFS(SF_Output!$S$1:$S$400,SF_Output!$AC$1:$AC$400,_xlfn.TEXTJOIN(",",TRUE,B228:E228),SF_Output!$Q$1:$Q$400,"monthly"))</f>
        <v/>
      </c>
      <c r="W228" s="112" t="str" cm="1">
        <f t="array" ref="W228">_xlfn.IFS(OR(B228=0,B228="",V228=0),"",AF228&lt;&gt;"exclusion",MAX($W$9,$W$7,(-(SUMIFS(SF_Output!$T$1:$T$400,SF_Output!$AC$1:$AC$400,_xlfn.TEXTJOIN(",",TRUE,$B228:$E228),SF_Output!$Q$1:$Q$400,"monthly"))/V228)),AF228="exclusion",-(SUMIFS(SF_Output!$T$1:$T$400,SF_Output!$AC$1:$AC$400,_xlfn.TEXTJOIN(",",TRUE,$B228:$E228),SF_Output!$Q$1:$Q$400,"monthly"))/V228)</f>
        <v/>
      </c>
      <c r="X228" s="6" t="str" cm="1">
        <f t="array" ref="X228">IFERROR(_xlfn.IFS(V228=0,0,V228="","",W228=0,V228,OR(V228&lt;&gt;0,V228&lt;&gt;""),H228*I228),V228*(1-W228))</f>
        <v/>
      </c>
      <c r="Z228" s="6" t="str">
        <f>IFERROR(IF(B228="","",SUMIFS(Billing_Fallout!H:H,Billing_Fallout!N:N,B228)),0)</f>
        <v/>
      </c>
      <c r="AA228" s="6" t="str">
        <f t="shared" si="55"/>
        <v/>
      </c>
      <c r="AB228" s="6" t="str">
        <f>IFERROR(IF(B228="","",SUMIFS(Billing_Fallout!J:J,Billing_Fallout!N:N,B228)),0)</f>
        <v/>
      </c>
      <c r="AD228" s="6" t="str">
        <f t="shared" si="56"/>
        <v/>
      </c>
      <c r="AF228" t="str">
        <f>IFERROR(INDEX(H_Tables!$B$1:$B$1500,MATCH(INDEX(SF_Output!$J$1:$J$400,MATCH(B228,SF_Output!$M$1:$M$400,0)),H_Tables!$A$1:$A$1500,0)),"")</f>
        <v/>
      </c>
      <c r="AI228" s="119" t="str">
        <f t="shared" si="57"/>
        <v/>
      </c>
      <c r="AJ228" s="121">
        <f>IFERROR(INDEX(SF_Output!AD:AD,MATCH(_xlfn.TEXTJOIN(",",TRUE,B228:E228),SF_Output!AC1:AC400,0)),0.05)</f>
        <v>241</v>
      </c>
      <c r="AK228" t="str">
        <f>IF(SUMIFS(SF_Output!$F$1:$F$400,SF_Output!$AC$1:$AC$400,_xlfn.TEXTJOIN(",",TRUE,B228:E228))+SUMIFS(SF_Output!$G$1:$G$400,SF_Output!$AC$1:$AC$400,_xlfn.TEXTJOIN(",",TRUE,B228:E228))=0,"","PAP")</f>
        <v/>
      </c>
      <c r="AQ228" s="35"/>
      <c r="AR228" s="35" t="str" cm="1">
        <f t="array" ref="AR228">IFERROR(_xlfn.IFS(AND(E228*1=1,F228="Included"),"Change to Included",AND(E228*1=0,F228="Optional"),"Change to Optional",OR(B228="",F228="replaced"),""),"")</f>
        <v/>
      </c>
      <c r="AS228" s="35" t="str">
        <f t="shared" si="58"/>
        <v/>
      </c>
      <c r="AT228" s="35" t="str">
        <f t="shared" si="59"/>
        <v/>
      </c>
      <c r="AU228" s="35" t="str">
        <f t="shared" si="60"/>
        <v/>
      </c>
      <c r="AV228" s="35" t="str">
        <f t="shared" si="61"/>
        <v/>
      </c>
      <c r="AW228" s="35" t="str">
        <f t="shared" si="62"/>
        <v/>
      </c>
      <c r="AX228" s="35" t="str">
        <f t="shared" si="63"/>
        <v/>
      </c>
      <c r="AY228" s="35" t="str">
        <f t="shared" si="64"/>
        <v/>
      </c>
      <c r="AZ228" s="35" t="str">
        <f t="shared" si="65"/>
        <v/>
      </c>
      <c r="BA228" s="35" t="str">
        <f t="shared" si="66"/>
        <v/>
      </c>
      <c r="BB228" s="35" t="str">
        <f t="shared" si="67"/>
        <v/>
      </c>
      <c r="BC228" s="35"/>
      <c r="BE228" s="35" t="e">
        <f>INDEX(SF_Output!$AA$2:$AA$400,MATCH($B228,SF_Output!$M$2:$M$400,0))</f>
        <v>#N/A</v>
      </c>
      <c r="BF228" s="35" t="e">
        <f>INDEX(SF_Output!$AB$2:$AB$400,MATCH($B228,SF_Output!$M$2:$M$400,0))</f>
        <v>#N/A</v>
      </c>
    </row>
    <row r="229" spans="6:58" x14ac:dyDescent="0.25">
      <c r="F229" s="116" t="str">
        <f t="shared" si="51"/>
        <v/>
      </c>
      <c r="G229" t="str">
        <f>IF(B229="","",INDEX(SF_Output!$K$1:$K$400,MATCH(B229,SF_Output!$M$1:$M$400,0)))</f>
        <v/>
      </c>
      <c r="H229" t="str" cm="1">
        <f t="array" ref="H229">_xlfn.IFS(B229="","",(SUMIFS(SF_Output!$F$1:$F$400,SF_Output!$AC$1:$AC$400,_xlfn.TEXTJOIN(",",TRUE,B229:E229))+SUMIFS(SF_Output!$G$1:$G$400,SF_Output!$AC$1:$AC$400,_xlfn.TEXTJOIN(",",TRUE,B229:E229)))&lt;&gt;0,SF_Output!$Y$2,INDEX(SF_Output!$F$1:$F$400,MATCH(_xlfn.TEXTJOIN(",",TRUE,B229:E229),SF_Output!$AC$1:$AC$400,0))=0,INDEX(SF_Output!$R$1:$R$400,MATCH(_xlfn.TEXTJOIN(",",TRUE,B229:E229),SF_Output!$AC$1:$AC$400,0)))</f>
        <v/>
      </c>
      <c r="I229" s="125" t="str">
        <f>IFERROR(IF(AND(H229&gt;1,H229&lt;&gt;""),ROUND(SUMIFS(SF_Output!$S$1:$S$400,SF_Output!$AC$1:$AC$400,_xlfn.TEXTJOIN(",",TRUE,B229:E229),SF_Output!$Q$1:$Q$400,"monthly")*(1-W229)/H229,4),""),"")</f>
        <v/>
      </c>
      <c r="J229" s="6" t="str">
        <f>IF(B229="","",SUMIFS(SF_Output!$S$1:$S$400,SF_Output!$AC$1:$AC$400,_xlfn.TEXTJOIN(",",TRUE,B229:E229),SF_Output!$Q$1:$Q$400,"One Time",SF_Output!$L$1:$L$400,"license fee")+SUMIFS(SF_Output!$S$1:$S$400,SF_Output!$AC$1:$AC$400,_xlfn.TEXTJOIN(",",TRUE,B229:E229),SF_Output!$Q$1:$Q$400,"One Time",SF_Output!$L$1:$L$400,"software license")+SUMIFS(SF_Output!$S$1:$S$400,SF_Output!$AC$1:$AC$400,_xlfn.TEXTJOIN(",",TRUE,B229:E229),SF_Output!$Q$1:$Q$400,"One Time",SF_Output!$L$1:$L$400,"hardware"))</f>
        <v/>
      </c>
      <c r="K229" s="112" t="str">
        <f>IF(OR(B229=0,B229="",G229="hardware",J229=0),"",IF(AF229&lt;&gt;"exclusion",MAX(K$9,-((SUMIFS(SF_Output!$T$1:$T$400,SF_Output!$AC$1:$AC$400,_xlfn.TEXTJOIN(",",TRUE,$B229:$E229),SF_Output!$Q$1:$Q$400,"One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license"))/J229)))</f>
        <v/>
      </c>
      <c r="L229" s="6" t="str">
        <f t="shared" si="52"/>
        <v/>
      </c>
      <c r="N229" s="6" t="str">
        <f>IF(B229="","",SUMIFS(SF_Output!$S$1:$S$400,SF_Output!$AC$1:$AC$400,_xlfn.TEXTJOIN(",",TRUE,B229:E229),SF_Output!$Q$1:$Q$400,"One Time",SF_Output!$L$1:$L$400,"professional service"))</f>
        <v/>
      </c>
      <c r="O229" s="112" t="str">
        <f>IF(OR(B229=0,B229="",N229=0),"",IF(AF229&lt;&gt;"exclusion",MAX(O$9,-(SUMIFS(SF_Output!$T$1:$T$400,SF_Output!$AC$1:$AC$400,_xlfn.TEXTJOIN(",",TRUE,$B229:$E229),SF_Output!$Q$1:$Q$400,"One Time",SF_Output!$L$1:$L$400,"professional service"))/N229),-((SUMIFS(SF_Output!$T$1:$T$400,SF_Output!$AC$1:$AC$400,_xlfn.TEXTJOIN(",",TRUE,$B229:$E229),SF_Output!$Q$1:$Q$400,"One Time",SF_Output!$L$1:$L$400,"professional service")/N229))))</f>
        <v/>
      </c>
      <c r="P229" s="6" t="str">
        <f t="shared" si="53"/>
        <v/>
      </c>
      <c r="R229" s="6" t="str">
        <f>IF(B229="","",SUMIFS(SF_Output!$S$1:$S$400,SF_Output!$AC$1:$AC$400,_xlfn.TEXTJOIN(",",TRUE,B229:E229),SF_Output!$Q$1:$Q$400,"yearly")+SUMIFS(SF_Output!$S$1:$S$400,SF_Output!$AC$1:$AC$400,_xlfn.TEXTJOIN(",",TRUE,B229:E229),SF_Output!$Q$1:$Q$400,"quarterly")*4)</f>
        <v/>
      </c>
      <c r="S229" s="112" t="str">
        <f>IF(OR(B229=0,B229="",G229="hardware",R229=0),"",IF(AF229&lt;&gt;"exclusion",MAX(S$9,-(SUMIFS(SF_Output!$T$1:$T$400,SF_Output!$AC$1:$AC$400,_xlfn.TEXTJOIN(",",TRUE,$B229:$E229),SF_Output!$Q$1:$Q$400,"yearly"))/R229),-((SUMIFS(SF_Output!$T$1:$T$400,SF_Output!$AC$1:$AC$400,_xlfn.TEXTJOIN(",",TRUE,$B229:$E229),SF_Output!$Q$1:$Q$400,"yearly")/R229))))</f>
        <v/>
      </c>
      <c r="T229" s="6" t="str">
        <f t="shared" si="54"/>
        <v/>
      </c>
      <c r="V229" s="6" t="str" cm="1">
        <f t="array" ref="V229">_xlfn.IFS(B229="","",AND(B229&lt;&gt;"",H229=SF_Output!$Y$2,SUMIFS(SF_Output!$T$1:$T$400,SF_Output!$AC$1:$AC$400,_xlfn.TEXTJOIN(",",TRUE,B229:E229),SF_Output!$Q$1:$Q$400,"monthly")=0),(SUMIFS(SF_Output!$F$1:$F$400,SF_Output!$AC$1:$AC$400,_xlfn.TEXTJOIN(",",TRUE,B229:E229),SF_Output!$Q$1:$Q$400,"monthly")+SUMIFS(SF_Output!$G$1:$G$400,SF_Output!$AC$1:$AC$400,_xlfn.TEXTJOIN(",",TRUE,B229:E229),SF_Output!$Q$1:$Q$400,"monthly"))*H229,AND(B229&lt;&gt;"",H229=SF_Output!$Y$2,SUMIFS(SF_Output!$T$1:$T$400,SF_Output!$AC$1:$AC$400,_xlfn.TEXTJOIN(",",TRUE,B229:E229),SF_Output!$Q$1:$Q$400,"monthly")&lt;&gt;0),SUMIFS(SF_Output!$S$1:$S$400,SF_Output!$AC$1:$AC$400,_xlfn.TEXTJOIN(",",TRUE,B229:E229),SF_Output!$Q$1:$Q$400,"monthly"),AND(B229&lt;&gt;"",H229&lt;&gt;SF_Output!$Y$2),SUMIFS(SF_Output!$S$1:$S$400,SF_Output!$AC$1:$AC$400,_xlfn.TEXTJOIN(",",TRUE,B229:E229),SF_Output!$Q$1:$Q$400,"monthly"))</f>
        <v/>
      </c>
      <c r="W229" s="112" t="str" cm="1">
        <f t="array" ref="W229">_xlfn.IFS(OR(B229=0,B229="",V229=0),"",AF229&lt;&gt;"exclusion",MAX($W$9,$W$7,(-(SUMIFS(SF_Output!$T$1:$T$400,SF_Output!$AC$1:$AC$400,_xlfn.TEXTJOIN(",",TRUE,$B229:$E229),SF_Output!$Q$1:$Q$400,"monthly"))/V229)),AF229="exclusion",-(SUMIFS(SF_Output!$T$1:$T$400,SF_Output!$AC$1:$AC$400,_xlfn.TEXTJOIN(",",TRUE,$B229:$E229),SF_Output!$Q$1:$Q$400,"monthly"))/V229)</f>
        <v/>
      </c>
      <c r="X229" s="6" t="str" cm="1">
        <f t="array" ref="X229">IFERROR(_xlfn.IFS(V229=0,0,V229="","",W229=0,V229,OR(V229&lt;&gt;0,V229&lt;&gt;""),H229*I229),V229*(1-W229))</f>
        <v/>
      </c>
      <c r="Z229" s="6" t="str">
        <f>IFERROR(IF(B229="","",SUMIFS(Billing_Fallout!H:H,Billing_Fallout!N:N,B229)),0)</f>
        <v/>
      </c>
      <c r="AA229" s="6" t="str">
        <f t="shared" si="55"/>
        <v/>
      </c>
      <c r="AB229" s="6" t="str">
        <f>IFERROR(IF(B229="","",SUMIFS(Billing_Fallout!J:J,Billing_Fallout!N:N,B229)),0)</f>
        <v/>
      </c>
      <c r="AD229" s="6" t="str">
        <f t="shared" si="56"/>
        <v/>
      </c>
      <c r="AF229" t="str">
        <f>IFERROR(INDEX(H_Tables!$B$1:$B$1500,MATCH(INDEX(SF_Output!$J$1:$J$400,MATCH(B229,SF_Output!$M$1:$M$400,0)),H_Tables!$A$1:$A$1500,0)),"")</f>
        <v/>
      </c>
      <c r="AI229" s="119" t="str">
        <f t="shared" si="57"/>
        <v/>
      </c>
      <c r="AJ229" s="121">
        <f>IFERROR(INDEX(SF_Output!AD:AD,MATCH(_xlfn.TEXTJOIN(",",TRUE,B229:E229),SF_Output!AC1:AC400,0)),0.05)</f>
        <v>241</v>
      </c>
      <c r="AK229" t="str">
        <f>IF(SUMIFS(SF_Output!$F$1:$F$400,SF_Output!$AC$1:$AC$400,_xlfn.TEXTJOIN(",",TRUE,B229:E229))+SUMIFS(SF_Output!$G$1:$G$400,SF_Output!$AC$1:$AC$400,_xlfn.TEXTJOIN(",",TRUE,B229:E229))=0,"","PAP")</f>
        <v/>
      </c>
      <c r="AQ229" s="35"/>
      <c r="AR229" s="35" t="str" cm="1">
        <f t="array" ref="AR229">IFERROR(_xlfn.IFS(AND(E229*1=1,F229="Included"),"Change to Included",AND(E229*1=0,F229="Optional"),"Change to Optional",OR(B229="",F229="replaced"),""),"")</f>
        <v/>
      </c>
      <c r="AS229" s="35" t="str">
        <f t="shared" si="58"/>
        <v/>
      </c>
      <c r="AT229" s="35" t="str">
        <f t="shared" si="59"/>
        <v/>
      </c>
      <c r="AU229" s="35" t="str">
        <f t="shared" si="60"/>
        <v/>
      </c>
      <c r="AV229" s="35" t="str">
        <f t="shared" si="61"/>
        <v/>
      </c>
      <c r="AW229" s="35" t="str">
        <f t="shared" si="62"/>
        <v/>
      </c>
      <c r="AX229" s="35" t="str">
        <f t="shared" si="63"/>
        <v/>
      </c>
      <c r="AY229" s="35" t="str">
        <f t="shared" si="64"/>
        <v/>
      </c>
      <c r="AZ229" s="35" t="str">
        <f t="shared" si="65"/>
        <v/>
      </c>
      <c r="BA229" s="35" t="str">
        <f t="shared" si="66"/>
        <v/>
      </c>
      <c r="BB229" s="35" t="str">
        <f t="shared" si="67"/>
        <v/>
      </c>
      <c r="BC229" s="35"/>
      <c r="BE229" s="35" t="e">
        <f>INDEX(SF_Output!$AA$2:$AA$400,MATCH($B229,SF_Output!$M$2:$M$400,0))</f>
        <v>#N/A</v>
      </c>
      <c r="BF229" s="35" t="e">
        <f>INDEX(SF_Output!$AB$2:$AB$400,MATCH($B229,SF_Output!$M$2:$M$400,0))</f>
        <v>#N/A</v>
      </c>
    </row>
    <row r="230" spans="6:58" x14ac:dyDescent="0.25">
      <c r="F230" s="116" t="str">
        <f t="shared" si="51"/>
        <v/>
      </c>
      <c r="G230" t="str">
        <f>IF(B230="","",INDEX(SF_Output!$K$1:$K$400,MATCH(B230,SF_Output!$M$1:$M$400,0)))</f>
        <v/>
      </c>
      <c r="H230" t="str" cm="1">
        <f t="array" ref="H230">_xlfn.IFS(B230="","",(SUMIFS(SF_Output!$F$1:$F$400,SF_Output!$AC$1:$AC$400,_xlfn.TEXTJOIN(",",TRUE,B230:E230))+SUMIFS(SF_Output!$G$1:$G$400,SF_Output!$AC$1:$AC$400,_xlfn.TEXTJOIN(",",TRUE,B230:E230)))&lt;&gt;0,SF_Output!$Y$2,INDEX(SF_Output!$F$1:$F$400,MATCH(_xlfn.TEXTJOIN(",",TRUE,B230:E230),SF_Output!$AC$1:$AC$400,0))=0,INDEX(SF_Output!$R$1:$R$400,MATCH(_xlfn.TEXTJOIN(",",TRUE,B230:E230),SF_Output!$AC$1:$AC$400,0)))</f>
        <v/>
      </c>
      <c r="I230" s="125" t="str">
        <f>IFERROR(IF(AND(H230&gt;1,H230&lt;&gt;""),ROUND(SUMIFS(SF_Output!$S$1:$S$400,SF_Output!$AC$1:$AC$400,_xlfn.TEXTJOIN(",",TRUE,B230:E230),SF_Output!$Q$1:$Q$400,"monthly")*(1-W230)/H230,4),""),"")</f>
        <v/>
      </c>
      <c r="J230" s="6" t="str">
        <f>IF(B230="","",SUMIFS(SF_Output!$S$1:$S$400,SF_Output!$AC$1:$AC$400,_xlfn.TEXTJOIN(",",TRUE,B230:E230),SF_Output!$Q$1:$Q$400,"One Time",SF_Output!$L$1:$L$400,"license fee")+SUMIFS(SF_Output!$S$1:$S$400,SF_Output!$AC$1:$AC$400,_xlfn.TEXTJOIN(",",TRUE,B230:E230),SF_Output!$Q$1:$Q$400,"One Time",SF_Output!$L$1:$L$400,"software license")+SUMIFS(SF_Output!$S$1:$S$400,SF_Output!$AC$1:$AC$400,_xlfn.TEXTJOIN(",",TRUE,B230:E230),SF_Output!$Q$1:$Q$400,"One Time",SF_Output!$L$1:$L$400,"hardware"))</f>
        <v/>
      </c>
      <c r="K230" s="112" t="str">
        <f>IF(OR(B230=0,B230="",G230="hardware",J230=0),"",IF(AF230&lt;&gt;"exclusion",MAX(K$9,-((SUMIFS(SF_Output!$T$1:$T$400,SF_Output!$AC$1:$AC$400,_xlfn.TEXTJOIN(",",TRUE,$B230:$E230),SF_Output!$Q$1:$Q$400,"One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license"))/J230)))</f>
        <v/>
      </c>
      <c r="L230" s="6" t="str">
        <f t="shared" si="52"/>
        <v/>
      </c>
      <c r="N230" s="6" t="str">
        <f>IF(B230="","",SUMIFS(SF_Output!$S$1:$S$400,SF_Output!$AC$1:$AC$400,_xlfn.TEXTJOIN(",",TRUE,B230:E230),SF_Output!$Q$1:$Q$400,"One Time",SF_Output!$L$1:$L$400,"professional service"))</f>
        <v/>
      </c>
      <c r="O230" s="112" t="str">
        <f>IF(OR(B230=0,B230="",N230=0),"",IF(AF230&lt;&gt;"exclusion",MAX(O$9,-(SUMIFS(SF_Output!$T$1:$T$400,SF_Output!$AC$1:$AC$400,_xlfn.TEXTJOIN(",",TRUE,$B230:$E230),SF_Output!$Q$1:$Q$400,"One Time",SF_Output!$L$1:$L$400,"professional service"))/N230),-((SUMIFS(SF_Output!$T$1:$T$400,SF_Output!$AC$1:$AC$400,_xlfn.TEXTJOIN(",",TRUE,$B230:$E230),SF_Output!$Q$1:$Q$400,"One Time",SF_Output!$L$1:$L$400,"professional service")/N230))))</f>
        <v/>
      </c>
      <c r="P230" s="6" t="str">
        <f t="shared" si="53"/>
        <v/>
      </c>
      <c r="R230" s="6" t="str">
        <f>IF(B230="","",SUMIFS(SF_Output!$S$1:$S$400,SF_Output!$AC$1:$AC$400,_xlfn.TEXTJOIN(",",TRUE,B230:E230),SF_Output!$Q$1:$Q$400,"yearly")+SUMIFS(SF_Output!$S$1:$S$400,SF_Output!$AC$1:$AC$400,_xlfn.TEXTJOIN(",",TRUE,B230:E230),SF_Output!$Q$1:$Q$400,"quarterly")*4)</f>
        <v/>
      </c>
      <c r="S230" s="112" t="str">
        <f>IF(OR(B230=0,B230="",G230="hardware",R230=0),"",IF(AF230&lt;&gt;"exclusion",MAX(S$9,-(SUMIFS(SF_Output!$T$1:$T$400,SF_Output!$AC$1:$AC$400,_xlfn.TEXTJOIN(",",TRUE,$B230:$E230),SF_Output!$Q$1:$Q$400,"yearly"))/R230),-((SUMIFS(SF_Output!$T$1:$T$400,SF_Output!$AC$1:$AC$400,_xlfn.TEXTJOIN(",",TRUE,$B230:$E230),SF_Output!$Q$1:$Q$400,"yearly")/R230))))</f>
        <v/>
      </c>
      <c r="T230" s="6" t="str">
        <f t="shared" si="54"/>
        <v/>
      </c>
      <c r="V230" s="6" t="str" cm="1">
        <f t="array" ref="V230">_xlfn.IFS(B230="","",AND(B230&lt;&gt;"",H230=SF_Output!$Y$2,SUMIFS(SF_Output!$T$1:$T$400,SF_Output!$AC$1:$AC$400,_xlfn.TEXTJOIN(",",TRUE,B230:E230),SF_Output!$Q$1:$Q$400,"monthly")=0),(SUMIFS(SF_Output!$F$1:$F$400,SF_Output!$AC$1:$AC$400,_xlfn.TEXTJOIN(",",TRUE,B230:E230),SF_Output!$Q$1:$Q$400,"monthly")+SUMIFS(SF_Output!$G$1:$G$400,SF_Output!$AC$1:$AC$400,_xlfn.TEXTJOIN(",",TRUE,B230:E230),SF_Output!$Q$1:$Q$400,"monthly"))*H230,AND(B230&lt;&gt;"",H230=SF_Output!$Y$2,SUMIFS(SF_Output!$T$1:$T$400,SF_Output!$AC$1:$AC$400,_xlfn.TEXTJOIN(",",TRUE,B230:E230),SF_Output!$Q$1:$Q$400,"monthly")&lt;&gt;0),SUMIFS(SF_Output!$S$1:$S$400,SF_Output!$AC$1:$AC$400,_xlfn.TEXTJOIN(",",TRUE,B230:E230),SF_Output!$Q$1:$Q$400,"monthly"),AND(B230&lt;&gt;"",H230&lt;&gt;SF_Output!$Y$2),SUMIFS(SF_Output!$S$1:$S$400,SF_Output!$AC$1:$AC$400,_xlfn.TEXTJOIN(",",TRUE,B230:E230),SF_Output!$Q$1:$Q$400,"monthly"))</f>
        <v/>
      </c>
      <c r="W230" s="112" t="str" cm="1">
        <f t="array" ref="W230">_xlfn.IFS(OR(B230=0,B230="",V230=0),"",AF230&lt;&gt;"exclusion",MAX($W$9,$W$7,(-(SUMIFS(SF_Output!$T$1:$T$400,SF_Output!$AC$1:$AC$400,_xlfn.TEXTJOIN(",",TRUE,$B230:$E230),SF_Output!$Q$1:$Q$400,"monthly"))/V230)),AF230="exclusion",-(SUMIFS(SF_Output!$T$1:$T$400,SF_Output!$AC$1:$AC$400,_xlfn.TEXTJOIN(",",TRUE,$B230:$E230),SF_Output!$Q$1:$Q$400,"monthly"))/V230)</f>
        <v/>
      </c>
      <c r="X230" s="6" t="str" cm="1">
        <f t="array" ref="X230">IFERROR(_xlfn.IFS(V230=0,0,V230="","",W230=0,V230,OR(V230&lt;&gt;0,V230&lt;&gt;""),H230*I230),V230*(1-W230))</f>
        <v/>
      </c>
      <c r="Z230" s="6" t="str">
        <f>IFERROR(IF(B230="","",SUMIFS(Billing_Fallout!H:H,Billing_Fallout!N:N,B230)),0)</f>
        <v/>
      </c>
      <c r="AA230" s="6" t="str">
        <f t="shared" si="55"/>
        <v/>
      </c>
      <c r="AB230" s="6" t="str">
        <f>IFERROR(IF(B230="","",SUMIFS(Billing_Fallout!J:J,Billing_Fallout!N:N,B230)),0)</f>
        <v/>
      </c>
      <c r="AD230" s="6" t="str">
        <f t="shared" si="56"/>
        <v/>
      </c>
      <c r="AF230" t="str">
        <f>IFERROR(INDEX(H_Tables!$B$1:$B$1500,MATCH(INDEX(SF_Output!$J$1:$J$400,MATCH(B230,SF_Output!$M$1:$M$400,0)),H_Tables!$A$1:$A$1500,0)),"")</f>
        <v/>
      </c>
      <c r="AI230" s="119" t="str">
        <f t="shared" si="57"/>
        <v/>
      </c>
      <c r="AJ230" s="121">
        <f>IFERROR(INDEX(SF_Output!AD:AD,MATCH(_xlfn.TEXTJOIN(",",TRUE,B230:E230),SF_Output!AC1:AC400,0)),0.05)</f>
        <v>241</v>
      </c>
      <c r="AK230" t="str">
        <f>IF(SUMIFS(SF_Output!$F$1:$F$400,SF_Output!$AC$1:$AC$400,_xlfn.TEXTJOIN(",",TRUE,B230:E230))+SUMIFS(SF_Output!$G$1:$G$400,SF_Output!$AC$1:$AC$400,_xlfn.TEXTJOIN(",",TRUE,B230:E230))=0,"","PAP")</f>
        <v/>
      </c>
      <c r="AQ230" s="35"/>
      <c r="AR230" s="35" t="str" cm="1">
        <f t="array" ref="AR230">IFERROR(_xlfn.IFS(AND(E230*1=1,F230="Included"),"Change to Included",AND(E230*1=0,F230="Optional"),"Change to Optional",OR(B230="",F230="replaced"),""),"")</f>
        <v/>
      </c>
      <c r="AS230" s="35" t="str">
        <f t="shared" si="58"/>
        <v/>
      </c>
      <c r="AT230" s="35" t="str">
        <f t="shared" si="59"/>
        <v/>
      </c>
      <c r="AU230" s="35" t="str">
        <f t="shared" si="60"/>
        <v/>
      </c>
      <c r="AV230" s="35" t="str">
        <f t="shared" si="61"/>
        <v/>
      </c>
      <c r="AW230" s="35" t="str">
        <f t="shared" si="62"/>
        <v/>
      </c>
      <c r="AX230" s="35" t="str">
        <f t="shared" si="63"/>
        <v/>
      </c>
      <c r="AY230" s="35" t="str">
        <f t="shared" si="64"/>
        <v/>
      </c>
      <c r="AZ230" s="35" t="str">
        <f t="shared" si="65"/>
        <v/>
      </c>
      <c r="BA230" s="35" t="str">
        <f t="shared" si="66"/>
        <v/>
      </c>
      <c r="BB230" s="35" t="str">
        <f t="shared" si="67"/>
        <v/>
      </c>
      <c r="BC230" s="35"/>
      <c r="BE230" s="35" t="e">
        <f>INDEX(SF_Output!$AA$2:$AA$400,MATCH($B230,SF_Output!$M$2:$M$400,0))</f>
        <v>#N/A</v>
      </c>
      <c r="BF230" s="35" t="e">
        <f>INDEX(SF_Output!$AB$2:$AB$400,MATCH($B230,SF_Output!$M$2:$M$400,0))</f>
        <v>#N/A</v>
      </c>
    </row>
    <row r="231" spans="6:58" x14ac:dyDescent="0.25">
      <c r="F231" s="116" t="str">
        <f t="shared" si="51"/>
        <v/>
      </c>
      <c r="G231" t="str">
        <f>IF(B231="","",INDEX(SF_Output!$K$1:$K$400,MATCH(B231,SF_Output!$M$1:$M$400,0)))</f>
        <v/>
      </c>
      <c r="H231" t="str" cm="1">
        <f t="array" ref="H231">_xlfn.IFS(B231="","",(SUMIFS(SF_Output!$F$1:$F$400,SF_Output!$AC$1:$AC$400,_xlfn.TEXTJOIN(",",TRUE,B231:E231))+SUMIFS(SF_Output!$G$1:$G$400,SF_Output!$AC$1:$AC$400,_xlfn.TEXTJOIN(",",TRUE,B231:E231)))&lt;&gt;0,SF_Output!$Y$2,INDEX(SF_Output!$F$1:$F$400,MATCH(_xlfn.TEXTJOIN(",",TRUE,B231:E231),SF_Output!$AC$1:$AC$400,0))=0,INDEX(SF_Output!$R$1:$R$400,MATCH(_xlfn.TEXTJOIN(",",TRUE,B231:E231),SF_Output!$AC$1:$AC$400,0)))</f>
        <v/>
      </c>
      <c r="I231" s="125" t="str">
        <f>IFERROR(IF(AND(H231&gt;1,H231&lt;&gt;""),ROUND(SUMIFS(SF_Output!$S$1:$S$400,SF_Output!$AC$1:$AC$400,_xlfn.TEXTJOIN(",",TRUE,B231:E231),SF_Output!$Q$1:$Q$400,"monthly")*(1-W231)/H231,4),""),"")</f>
        <v/>
      </c>
      <c r="J231" s="6" t="str">
        <f>IF(B231="","",SUMIFS(SF_Output!$S$1:$S$400,SF_Output!$AC$1:$AC$400,_xlfn.TEXTJOIN(",",TRUE,B231:E231),SF_Output!$Q$1:$Q$400,"One Time",SF_Output!$L$1:$L$400,"license fee")+SUMIFS(SF_Output!$S$1:$S$400,SF_Output!$AC$1:$AC$400,_xlfn.TEXTJOIN(",",TRUE,B231:E231),SF_Output!$Q$1:$Q$400,"One Time",SF_Output!$L$1:$L$400,"software license")+SUMIFS(SF_Output!$S$1:$S$400,SF_Output!$AC$1:$AC$400,_xlfn.TEXTJOIN(",",TRUE,B231:E231),SF_Output!$Q$1:$Q$400,"One Time",SF_Output!$L$1:$L$400,"hardware"))</f>
        <v/>
      </c>
      <c r="K231" s="112" t="str">
        <f>IF(OR(B231=0,B231="",G231="hardware",J231=0),"",IF(AF231&lt;&gt;"exclusion",MAX(K$9,-((SUMIFS(SF_Output!$T$1:$T$400,SF_Output!$AC$1:$AC$400,_xlfn.TEXTJOIN(",",TRUE,$B231:$E231),SF_Output!$Q$1:$Q$400,"One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license"))/J231)))</f>
        <v/>
      </c>
      <c r="L231" s="6" t="str">
        <f t="shared" si="52"/>
        <v/>
      </c>
      <c r="N231" s="6" t="str">
        <f>IF(B231="","",SUMIFS(SF_Output!$S$1:$S$400,SF_Output!$AC$1:$AC$400,_xlfn.TEXTJOIN(",",TRUE,B231:E231),SF_Output!$Q$1:$Q$400,"One Time",SF_Output!$L$1:$L$400,"professional service"))</f>
        <v/>
      </c>
      <c r="O231" s="112" t="str">
        <f>IF(OR(B231=0,B231="",N231=0),"",IF(AF231&lt;&gt;"exclusion",MAX(O$9,-(SUMIFS(SF_Output!$T$1:$T$400,SF_Output!$AC$1:$AC$400,_xlfn.TEXTJOIN(",",TRUE,$B231:$E231),SF_Output!$Q$1:$Q$400,"One Time",SF_Output!$L$1:$L$400,"professional service"))/N231),-((SUMIFS(SF_Output!$T$1:$T$400,SF_Output!$AC$1:$AC$400,_xlfn.TEXTJOIN(",",TRUE,$B231:$E231),SF_Output!$Q$1:$Q$400,"One Time",SF_Output!$L$1:$L$400,"professional service")/N231))))</f>
        <v/>
      </c>
      <c r="P231" s="6" t="str">
        <f t="shared" si="53"/>
        <v/>
      </c>
      <c r="R231" s="6" t="str">
        <f>IF(B231="","",SUMIFS(SF_Output!$S$1:$S$400,SF_Output!$AC$1:$AC$400,_xlfn.TEXTJOIN(",",TRUE,B231:E231),SF_Output!$Q$1:$Q$400,"yearly")+SUMIFS(SF_Output!$S$1:$S$400,SF_Output!$AC$1:$AC$400,_xlfn.TEXTJOIN(",",TRUE,B231:E231),SF_Output!$Q$1:$Q$400,"quarterly")*4)</f>
        <v/>
      </c>
      <c r="S231" s="112" t="str">
        <f>IF(OR(B231=0,B231="",G231="hardware",R231=0),"",IF(AF231&lt;&gt;"exclusion",MAX(S$9,-(SUMIFS(SF_Output!$T$1:$T$400,SF_Output!$AC$1:$AC$400,_xlfn.TEXTJOIN(",",TRUE,$B231:$E231),SF_Output!$Q$1:$Q$400,"yearly"))/R231),-((SUMIFS(SF_Output!$T$1:$T$400,SF_Output!$AC$1:$AC$400,_xlfn.TEXTJOIN(",",TRUE,$B231:$E231),SF_Output!$Q$1:$Q$400,"yearly")/R231))))</f>
        <v/>
      </c>
      <c r="T231" s="6" t="str">
        <f t="shared" si="54"/>
        <v/>
      </c>
      <c r="V231" s="6" t="str" cm="1">
        <f t="array" ref="V231">_xlfn.IFS(B231="","",AND(B231&lt;&gt;"",H231=SF_Output!$Y$2,SUMIFS(SF_Output!$T$1:$T$400,SF_Output!$AC$1:$AC$400,_xlfn.TEXTJOIN(",",TRUE,B231:E231),SF_Output!$Q$1:$Q$400,"monthly")=0),(SUMIFS(SF_Output!$F$1:$F$400,SF_Output!$AC$1:$AC$400,_xlfn.TEXTJOIN(",",TRUE,B231:E231),SF_Output!$Q$1:$Q$400,"monthly")+SUMIFS(SF_Output!$G$1:$G$400,SF_Output!$AC$1:$AC$400,_xlfn.TEXTJOIN(",",TRUE,B231:E231),SF_Output!$Q$1:$Q$400,"monthly"))*H231,AND(B231&lt;&gt;"",H231=SF_Output!$Y$2,SUMIFS(SF_Output!$T$1:$T$400,SF_Output!$AC$1:$AC$400,_xlfn.TEXTJOIN(",",TRUE,B231:E231),SF_Output!$Q$1:$Q$400,"monthly")&lt;&gt;0),SUMIFS(SF_Output!$S$1:$S$400,SF_Output!$AC$1:$AC$400,_xlfn.TEXTJOIN(",",TRUE,B231:E231),SF_Output!$Q$1:$Q$400,"monthly"),AND(B231&lt;&gt;"",H231&lt;&gt;SF_Output!$Y$2),SUMIFS(SF_Output!$S$1:$S$400,SF_Output!$AC$1:$AC$400,_xlfn.TEXTJOIN(",",TRUE,B231:E231),SF_Output!$Q$1:$Q$400,"monthly"))</f>
        <v/>
      </c>
      <c r="W231" s="112" t="str" cm="1">
        <f t="array" ref="W231">_xlfn.IFS(OR(B231=0,B231="",V231=0),"",AF231&lt;&gt;"exclusion",MAX($W$9,$W$7,(-(SUMIFS(SF_Output!$T$1:$T$400,SF_Output!$AC$1:$AC$400,_xlfn.TEXTJOIN(",",TRUE,$B231:$E231),SF_Output!$Q$1:$Q$400,"monthly"))/V231)),AF231="exclusion",-(SUMIFS(SF_Output!$T$1:$T$400,SF_Output!$AC$1:$AC$400,_xlfn.TEXTJOIN(",",TRUE,$B231:$E231),SF_Output!$Q$1:$Q$400,"monthly"))/V231)</f>
        <v/>
      </c>
      <c r="X231" s="6" t="str" cm="1">
        <f t="array" ref="X231">IFERROR(_xlfn.IFS(V231=0,0,V231="","",W231=0,V231,OR(V231&lt;&gt;0,V231&lt;&gt;""),H231*I231),V231*(1-W231))</f>
        <v/>
      </c>
      <c r="Z231" s="6" t="str">
        <f>IFERROR(IF(B231="","",SUMIFS(Billing_Fallout!H:H,Billing_Fallout!N:N,B231)),0)</f>
        <v/>
      </c>
      <c r="AA231" s="6" t="str">
        <f t="shared" si="55"/>
        <v/>
      </c>
      <c r="AB231" s="6" t="str">
        <f>IFERROR(IF(B231="","",SUMIFS(Billing_Fallout!J:J,Billing_Fallout!N:N,B231)),0)</f>
        <v/>
      </c>
      <c r="AD231" s="6" t="str">
        <f t="shared" si="56"/>
        <v/>
      </c>
      <c r="AF231" t="str">
        <f>IFERROR(INDEX(H_Tables!$B$1:$B$1500,MATCH(INDEX(SF_Output!$J$1:$J$400,MATCH(B231,SF_Output!$M$1:$M$400,0)),H_Tables!$A$1:$A$1500,0)),"")</f>
        <v/>
      </c>
      <c r="AI231" s="119" t="str">
        <f t="shared" si="57"/>
        <v/>
      </c>
      <c r="AJ231" s="121">
        <f>IFERROR(INDEX(SF_Output!AD:AD,MATCH(_xlfn.TEXTJOIN(",",TRUE,B231:E231),SF_Output!AC1:AC400,0)),0.05)</f>
        <v>241</v>
      </c>
      <c r="AK231" t="str">
        <f>IF(SUMIFS(SF_Output!$F$1:$F$400,SF_Output!$AC$1:$AC$400,_xlfn.TEXTJOIN(",",TRUE,B231:E231))+SUMIFS(SF_Output!$G$1:$G$400,SF_Output!$AC$1:$AC$400,_xlfn.TEXTJOIN(",",TRUE,B231:E231))=0,"","PAP")</f>
        <v/>
      </c>
      <c r="AQ231" s="35"/>
      <c r="AR231" s="35" t="str" cm="1">
        <f t="array" ref="AR231">IFERROR(_xlfn.IFS(AND(E231*1=1,F231="Included"),"Change to Included",AND(E231*1=0,F231="Optional"),"Change to Optional",OR(B231="",F231="replaced"),""),"")</f>
        <v/>
      </c>
      <c r="AS231" s="35" t="str">
        <f t="shared" si="58"/>
        <v/>
      </c>
      <c r="AT231" s="35" t="str">
        <f t="shared" si="59"/>
        <v/>
      </c>
      <c r="AU231" s="35" t="str">
        <f t="shared" si="60"/>
        <v/>
      </c>
      <c r="AV231" s="35" t="str">
        <f t="shared" si="61"/>
        <v/>
      </c>
      <c r="AW231" s="35" t="str">
        <f t="shared" si="62"/>
        <v/>
      </c>
      <c r="AX231" s="35" t="str">
        <f t="shared" si="63"/>
        <v/>
      </c>
      <c r="AY231" s="35" t="str">
        <f t="shared" si="64"/>
        <v/>
      </c>
      <c r="AZ231" s="35" t="str">
        <f t="shared" si="65"/>
        <v/>
      </c>
      <c r="BA231" s="35" t="str">
        <f t="shared" si="66"/>
        <v/>
      </c>
      <c r="BB231" s="35" t="str">
        <f t="shared" si="67"/>
        <v/>
      </c>
      <c r="BC231" s="35"/>
      <c r="BE231" s="35" t="e">
        <f>INDEX(SF_Output!$AA$2:$AA$400,MATCH($B231,SF_Output!$M$2:$M$400,0))</f>
        <v>#N/A</v>
      </c>
      <c r="BF231" s="35" t="e">
        <f>INDEX(SF_Output!$AB$2:$AB$400,MATCH($B231,SF_Output!$M$2:$M$400,0))</f>
        <v>#N/A</v>
      </c>
    </row>
    <row r="232" spans="6:58" x14ac:dyDescent="0.25">
      <c r="F232" s="116" t="str">
        <f t="shared" si="51"/>
        <v/>
      </c>
      <c r="G232" t="str">
        <f>IF(B232="","",INDEX(SF_Output!$K$1:$K$400,MATCH(B232,SF_Output!$M$1:$M$400,0)))</f>
        <v/>
      </c>
      <c r="H232" t="str" cm="1">
        <f t="array" ref="H232">_xlfn.IFS(B232="","",(SUMIFS(SF_Output!$F$1:$F$400,SF_Output!$AC$1:$AC$400,_xlfn.TEXTJOIN(",",TRUE,B232:E232))+SUMIFS(SF_Output!$G$1:$G$400,SF_Output!$AC$1:$AC$400,_xlfn.TEXTJOIN(",",TRUE,B232:E232)))&lt;&gt;0,SF_Output!$Y$2,INDEX(SF_Output!$F$1:$F$400,MATCH(_xlfn.TEXTJOIN(",",TRUE,B232:E232),SF_Output!$AC$1:$AC$400,0))=0,INDEX(SF_Output!$R$1:$R$400,MATCH(_xlfn.TEXTJOIN(",",TRUE,B232:E232),SF_Output!$AC$1:$AC$400,0)))</f>
        <v/>
      </c>
      <c r="I232" s="125" t="str">
        <f>IFERROR(IF(AND(H232&gt;1,H232&lt;&gt;""),ROUND(SUMIFS(SF_Output!$S$1:$S$400,SF_Output!$AC$1:$AC$400,_xlfn.TEXTJOIN(",",TRUE,B232:E232),SF_Output!$Q$1:$Q$400,"monthly")*(1-W232)/H232,4),""),"")</f>
        <v/>
      </c>
      <c r="J232" s="6" t="str">
        <f>IF(B232="","",SUMIFS(SF_Output!$S$1:$S$400,SF_Output!$AC$1:$AC$400,_xlfn.TEXTJOIN(",",TRUE,B232:E232),SF_Output!$Q$1:$Q$400,"One Time",SF_Output!$L$1:$L$400,"license fee")+SUMIFS(SF_Output!$S$1:$S$400,SF_Output!$AC$1:$AC$400,_xlfn.TEXTJOIN(",",TRUE,B232:E232),SF_Output!$Q$1:$Q$400,"One Time",SF_Output!$L$1:$L$400,"software license")+SUMIFS(SF_Output!$S$1:$S$400,SF_Output!$AC$1:$AC$400,_xlfn.TEXTJOIN(",",TRUE,B232:E232),SF_Output!$Q$1:$Q$400,"One Time",SF_Output!$L$1:$L$400,"hardware"))</f>
        <v/>
      </c>
      <c r="K232" s="112" t="str">
        <f>IF(OR(B232=0,B232="",G232="hardware",J232=0),"",IF(AF232&lt;&gt;"exclusion",MAX(K$9,-((SUMIFS(SF_Output!$T$1:$T$400,SF_Output!$AC$1:$AC$400,_xlfn.TEXTJOIN(",",TRUE,$B232:$E232),SF_Output!$Q$1:$Q$400,"One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license"))/J232)))</f>
        <v/>
      </c>
      <c r="L232" s="6" t="str">
        <f t="shared" si="52"/>
        <v/>
      </c>
      <c r="N232" s="6" t="str">
        <f>IF(B232="","",SUMIFS(SF_Output!$S$1:$S$400,SF_Output!$AC$1:$AC$400,_xlfn.TEXTJOIN(",",TRUE,B232:E232),SF_Output!$Q$1:$Q$400,"One Time",SF_Output!$L$1:$L$400,"professional service"))</f>
        <v/>
      </c>
      <c r="O232" s="112" t="str">
        <f>IF(OR(B232=0,B232="",N232=0),"",IF(AF232&lt;&gt;"exclusion",MAX(O$9,-(SUMIFS(SF_Output!$T$1:$T$400,SF_Output!$AC$1:$AC$400,_xlfn.TEXTJOIN(",",TRUE,$B232:$E232),SF_Output!$Q$1:$Q$400,"One Time",SF_Output!$L$1:$L$400,"professional service"))/N232),-((SUMIFS(SF_Output!$T$1:$T$400,SF_Output!$AC$1:$AC$400,_xlfn.TEXTJOIN(",",TRUE,$B232:$E232),SF_Output!$Q$1:$Q$400,"One Time",SF_Output!$L$1:$L$400,"professional service")/N232))))</f>
        <v/>
      </c>
      <c r="P232" s="6" t="str">
        <f t="shared" si="53"/>
        <v/>
      </c>
      <c r="R232" s="6" t="str">
        <f>IF(B232="","",SUMIFS(SF_Output!$S$1:$S$400,SF_Output!$AC$1:$AC$400,_xlfn.TEXTJOIN(",",TRUE,B232:E232),SF_Output!$Q$1:$Q$400,"yearly")+SUMIFS(SF_Output!$S$1:$S$400,SF_Output!$AC$1:$AC$400,_xlfn.TEXTJOIN(",",TRUE,B232:E232),SF_Output!$Q$1:$Q$400,"quarterly")*4)</f>
        <v/>
      </c>
      <c r="S232" s="112" t="str">
        <f>IF(OR(B232=0,B232="",G232="hardware",R232=0),"",IF(AF232&lt;&gt;"exclusion",MAX(S$9,-(SUMIFS(SF_Output!$T$1:$T$400,SF_Output!$AC$1:$AC$400,_xlfn.TEXTJOIN(",",TRUE,$B232:$E232),SF_Output!$Q$1:$Q$400,"yearly"))/R232),-((SUMIFS(SF_Output!$T$1:$T$400,SF_Output!$AC$1:$AC$400,_xlfn.TEXTJOIN(",",TRUE,$B232:$E232),SF_Output!$Q$1:$Q$400,"yearly")/R232))))</f>
        <v/>
      </c>
      <c r="T232" s="6" t="str">
        <f t="shared" si="54"/>
        <v/>
      </c>
      <c r="V232" s="6" t="str" cm="1">
        <f t="array" ref="V232">_xlfn.IFS(B232="","",AND(B232&lt;&gt;"",H232=SF_Output!$Y$2,SUMIFS(SF_Output!$T$1:$T$400,SF_Output!$AC$1:$AC$400,_xlfn.TEXTJOIN(",",TRUE,B232:E232),SF_Output!$Q$1:$Q$400,"monthly")=0),(SUMIFS(SF_Output!$F$1:$F$400,SF_Output!$AC$1:$AC$400,_xlfn.TEXTJOIN(",",TRUE,B232:E232),SF_Output!$Q$1:$Q$400,"monthly")+SUMIFS(SF_Output!$G$1:$G$400,SF_Output!$AC$1:$AC$400,_xlfn.TEXTJOIN(",",TRUE,B232:E232),SF_Output!$Q$1:$Q$400,"monthly"))*H232,AND(B232&lt;&gt;"",H232=SF_Output!$Y$2,SUMIFS(SF_Output!$T$1:$T$400,SF_Output!$AC$1:$AC$400,_xlfn.TEXTJOIN(",",TRUE,B232:E232),SF_Output!$Q$1:$Q$400,"monthly")&lt;&gt;0),SUMIFS(SF_Output!$S$1:$S$400,SF_Output!$AC$1:$AC$400,_xlfn.TEXTJOIN(",",TRUE,B232:E232),SF_Output!$Q$1:$Q$400,"monthly"),AND(B232&lt;&gt;"",H232&lt;&gt;SF_Output!$Y$2),SUMIFS(SF_Output!$S$1:$S$400,SF_Output!$AC$1:$AC$400,_xlfn.TEXTJOIN(",",TRUE,B232:E232),SF_Output!$Q$1:$Q$400,"monthly"))</f>
        <v/>
      </c>
      <c r="W232" s="112" t="str" cm="1">
        <f t="array" ref="W232">_xlfn.IFS(OR(B232=0,B232="",V232=0),"",AF232&lt;&gt;"exclusion",MAX($W$9,$W$7,(-(SUMIFS(SF_Output!$T$1:$T$400,SF_Output!$AC$1:$AC$400,_xlfn.TEXTJOIN(",",TRUE,$B232:$E232),SF_Output!$Q$1:$Q$400,"monthly"))/V232)),AF232="exclusion",-(SUMIFS(SF_Output!$T$1:$T$400,SF_Output!$AC$1:$AC$400,_xlfn.TEXTJOIN(",",TRUE,$B232:$E232),SF_Output!$Q$1:$Q$400,"monthly"))/V232)</f>
        <v/>
      </c>
      <c r="X232" s="6" t="str" cm="1">
        <f t="array" ref="X232">IFERROR(_xlfn.IFS(V232=0,0,V232="","",W232=0,V232,OR(V232&lt;&gt;0,V232&lt;&gt;""),H232*I232),V232*(1-W232))</f>
        <v/>
      </c>
      <c r="Z232" s="6" t="str">
        <f>IFERROR(IF(B232="","",SUMIFS(Billing_Fallout!H:H,Billing_Fallout!N:N,B232)),0)</f>
        <v/>
      </c>
      <c r="AA232" s="6" t="str">
        <f t="shared" si="55"/>
        <v/>
      </c>
      <c r="AB232" s="6" t="str">
        <f>IFERROR(IF(B232="","",SUMIFS(Billing_Fallout!J:J,Billing_Fallout!N:N,B232)),0)</f>
        <v/>
      </c>
      <c r="AD232" s="6" t="str">
        <f t="shared" si="56"/>
        <v/>
      </c>
      <c r="AF232" t="str">
        <f>IFERROR(INDEX(H_Tables!$B$1:$B$1500,MATCH(INDEX(SF_Output!$J$1:$J$400,MATCH(B232,SF_Output!$M$1:$M$400,0)),H_Tables!$A$1:$A$1500,0)),"")</f>
        <v/>
      </c>
      <c r="AI232" s="119" t="str">
        <f t="shared" si="57"/>
        <v/>
      </c>
      <c r="AJ232" s="121">
        <f>IFERROR(INDEX(SF_Output!AD:AD,MATCH(_xlfn.TEXTJOIN(",",TRUE,B232:E232),SF_Output!AC1:AC400,0)),0.05)</f>
        <v>241</v>
      </c>
      <c r="AK232" t="str">
        <f>IF(SUMIFS(SF_Output!$F$1:$F$400,SF_Output!$AC$1:$AC$400,_xlfn.TEXTJOIN(",",TRUE,B232:E232))+SUMIFS(SF_Output!$G$1:$G$400,SF_Output!$AC$1:$AC$400,_xlfn.TEXTJOIN(",",TRUE,B232:E232))=0,"","PAP")</f>
        <v/>
      </c>
      <c r="AQ232" s="35"/>
      <c r="AR232" s="35" t="str" cm="1">
        <f t="array" ref="AR232">IFERROR(_xlfn.IFS(AND(E232*1=1,F232="Included"),"Change to Included",AND(E232*1=0,F232="Optional"),"Change to Optional",OR(B232="",F232="replaced"),""),"")</f>
        <v/>
      </c>
      <c r="AS232" s="35" t="str">
        <f t="shared" si="58"/>
        <v/>
      </c>
      <c r="AT232" s="35" t="str">
        <f t="shared" si="59"/>
        <v/>
      </c>
      <c r="AU232" s="35" t="str">
        <f t="shared" si="60"/>
        <v/>
      </c>
      <c r="AV232" s="35" t="str">
        <f t="shared" si="61"/>
        <v/>
      </c>
      <c r="AW232" s="35" t="str">
        <f t="shared" si="62"/>
        <v/>
      </c>
      <c r="AX232" s="35" t="str">
        <f t="shared" si="63"/>
        <v/>
      </c>
      <c r="AY232" s="35" t="str">
        <f t="shared" si="64"/>
        <v/>
      </c>
      <c r="AZ232" s="35" t="str">
        <f t="shared" si="65"/>
        <v/>
      </c>
      <c r="BA232" s="35" t="str">
        <f t="shared" si="66"/>
        <v/>
      </c>
      <c r="BB232" s="35" t="str">
        <f t="shared" si="67"/>
        <v/>
      </c>
      <c r="BC232" s="35"/>
      <c r="BE232" s="35" t="e">
        <f>INDEX(SF_Output!$AA$2:$AA$400,MATCH($B232,SF_Output!$M$2:$M$400,0))</f>
        <v>#N/A</v>
      </c>
      <c r="BF232" s="35" t="e">
        <f>INDEX(SF_Output!$AB$2:$AB$400,MATCH($B232,SF_Output!$M$2:$M$400,0))</f>
        <v>#N/A</v>
      </c>
    </row>
    <row r="233" spans="6:58" x14ac:dyDescent="0.25">
      <c r="F233" s="116" t="str">
        <f t="shared" si="51"/>
        <v/>
      </c>
      <c r="G233" t="str">
        <f>IF(B233="","",INDEX(SF_Output!$K$1:$K$400,MATCH(B233,SF_Output!$M$1:$M$400,0)))</f>
        <v/>
      </c>
      <c r="H233" t="str" cm="1">
        <f t="array" ref="H233">_xlfn.IFS(B233="","",(SUMIFS(SF_Output!$F$1:$F$400,SF_Output!$AC$1:$AC$400,_xlfn.TEXTJOIN(",",TRUE,B233:E233))+SUMIFS(SF_Output!$G$1:$G$400,SF_Output!$AC$1:$AC$400,_xlfn.TEXTJOIN(",",TRUE,B233:E233)))&lt;&gt;0,SF_Output!$Y$2,INDEX(SF_Output!$F$1:$F$400,MATCH(_xlfn.TEXTJOIN(",",TRUE,B233:E233),SF_Output!$AC$1:$AC$400,0))=0,INDEX(SF_Output!$R$1:$R$400,MATCH(_xlfn.TEXTJOIN(",",TRUE,B233:E233),SF_Output!$AC$1:$AC$400,0)))</f>
        <v/>
      </c>
      <c r="I233" s="125" t="str">
        <f>IFERROR(IF(AND(H233&gt;1,H233&lt;&gt;""),ROUND(SUMIFS(SF_Output!$S$1:$S$400,SF_Output!$AC$1:$AC$400,_xlfn.TEXTJOIN(",",TRUE,B233:E233),SF_Output!$Q$1:$Q$400,"monthly")*(1-W233)/H233,4),""),"")</f>
        <v/>
      </c>
      <c r="J233" s="6" t="str">
        <f>IF(B233="","",SUMIFS(SF_Output!$S$1:$S$400,SF_Output!$AC$1:$AC$400,_xlfn.TEXTJOIN(",",TRUE,B233:E233),SF_Output!$Q$1:$Q$400,"One Time",SF_Output!$L$1:$L$400,"license fee")+SUMIFS(SF_Output!$S$1:$S$400,SF_Output!$AC$1:$AC$400,_xlfn.TEXTJOIN(",",TRUE,B233:E233),SF_Output!$Q$1:$Q$400,"One Time",SF_Output!$L$1:$L$400,"software license")+SUMIFS(SF_Output!$S$1:$S$400,SF_Output!$AC$1:$AC$400,_xlfn.TEXTJOIN(",",TRUE,B233:E233),SF_Output!$Q$1:$Q$400,"One Time",SF_Output!$L$1:$L$400,"hardware"))</f>
        <v/>
      </c>
      <c r="K233" s="112" t="str">
        <f>IF(OR(B233=0,B233="",G233="hardware",J233=0),"",IF(AF233&lt;&gt;"exclusion",MAX(K$9,-((SUMIFS(SF_Output!$T$1:$T$400,SF_Output!$AC$1:$AC$400,_xlfn.TEXTJOIN(",",TRUE,$B233:$E233),SF_Output!$Q$1:$Q$400,"One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license"))/J233)))</f>
        <v/>
      </c>
      <c r="L233" s="6" t="str">
        <f t="shared" si="52"/>
        <v/>
      </c>
      <c r="N233" s="6" t="str">
        <f>IF(B233="","",SUMIFS(SF_Output!$S$1:$S$400,SF_Output!$AC$1:$AC$400,_xlfn.TEXTJOIN(",",TRUE,B233:E233),SF_Output!$Q$1:$Q$400,"One Time",SF_Output!$L$1:$L$400,"professional service"))</f>
        <v/>
      </c>
      <c r="O233" s="112" t="str">
        <f>IF(OR(B233=0,B233="",N233=0),"",IF(AF233&lt;&gt;"exclusion",MAX(O$9,-(SUMIFS(SF_Output!$T$1:$T$400,SF_Output!$AC$1:$AC$400,_xlfn.TEXTJOIN(",",TRUE,$B233:$E233),SF_Output!$Q$1:$Q$400,"One Time",SF_Output!$L$1:$L$400,"professional service"))/N233),-((SUMIFS(SF_Output!$T$1:$T$400,SF_Output!$AC$1:$AC$400,_xlfn.TEXTJOIN(",",TRUE,$B233:$E233),SF_Output!$Q$1:$Q$400,"One Time",SF_Output!$L$1:$L$400,"professional service")/N233))))</f>
        <v/>
      </c>
      <c r="P233" s="6" t="str">
        <f t="shared" si="53"/>
        <v/>
      </c>
      <c r="R233" s="6" t="str">
        <f>IF(B233="","",SUMIFS(SF_Output!$S$1:$S$400,SF_Output!$AC$1:$AC$400,_xlfn.TEXTJOIN(",",TRUE,B233:E233),SF_Output!$Q$1:$Q$400,"yearly")+SUMIFS(SF_Output!$S$1:$S$400,SF_Output!$AC$1:$AC$400,_xlfn.TEXTJOIN(",",TRUE,B233:E233),SF_Output!$Q$1:$Q$400,"quarterly")*4)</f>
        <v/>
      </c>
      <c r="S233" s="112" t="str">
        <f>IF(OR(B233=0,B233="",G233="hardware",R233=0),"",IF(AF233&lt;&gt;"exclusion",MAX(S$9,-(SUMIFS(SF_Output!$T$1:$T$400,SF_Output!$AC$1:$AC$400,_xlfn.TEXTJOIN(",",TRUE,$B233:$E233),SF_Output!$Q$1:$Q$400,"yearly"))/R233),-((SUMIFS(SF_Output!$T$1:$T$400,SF_Output!$AC$1:$AC$400,_xlfn.TEXTJOIN(",",TRUE,$B233:$E233),SF_Output!$Q$1:$Q$400,"yearly")/R233))))</f>
        <v/>
      </c>
      <c r="T233" s="6" t="str">
        <f t="shared" si="54"/>
        <v/>
      </c>
      <c r="V233" s="6" t="str" cm="1">
        <f t="array" ref="V233">_xlfn.IFS(B233="","",AND(B233&lt;&gt;"",H233=SF_Output!$Y$2,SUMIFS(SF_Output!$T$1:$T$400,SF_Output!$AC$1:$AC$400,_xlfn.TEXTJOIN(",",TRUE,B233:E233),SF_Output!$Q$1:$Q$400,"monthly")=0),(SUMIFS(SF_Output!$F$1:$F$400,SF_Output!$AC$1:$AC$400,_xlfn.TEXTJOIN(",",TRUE,B233:E233),SF_Output!$Q$1:$Q$400,"monthly")+SUMIFS(SF_Output!$G$1:$G$400,SF_Output!$AC$1:$AC$400,_xlfn.TEXTJOIN(",",TRUE,B233:E233),SF_Output!$Q$1:$Q$400,"monthly"))*H233,AND(B233&lt;&gt;"",H233=SF_Output!$Y$2,SUMIFS(SF_Output!$T$1:$T$400,SF_Output!$AC$1:$AC$400,_xlfn.TEXTJOIN(",",TRUE,B233:E233),SF_Output!$Q$1:$Q$400,"monthly")&lt;&gt;0),SUMIFS(SF_Output!$S$1:$S$400,SF_Output!$AC$1:$AC$400,_xlfn.TEXTJOIN(",",TRUE,B233:E233),SF_Output!$Q$1:$Q$400,"monthly"),AND(B233&lt;&gt;"",H233&lt;&gt;SF_Output!$Y$2),SUMIFS(SF_Output!$S$1:$S$400,SF_Output!$AC$1:$AC$400,_xlfn.TEXTJOIN(",",TRUE,B233:E233),SF_Output!$Q$1:$Q$400,"monthly"))</f>
        <v/>
      </c>
      <c r="W233" s="112" t="str" cm="1">
        <f t="array" ref="W233">_xlfn.IFS(OR(B233=0,B233="",V233=0),"",AF233&lt;&gt;"exclusion",MAX($W$9,$W$7,(-(SUMIFS(SF_Output!$T$1:$T$400,SF_Output!$AC$1:$AC$400,_xlfn.TEXTJOIN(",",TRUE,$B233:$E233),SF_Output!$Q$1:$Q$400,"monthly"))/V233)),AF233="exclusion",-(SUMIFS(SF_Output!$T$1:$T$400,SF_Output!$AC$1:$AC$400,_xlfn.TEXTJOIN(",",TRUE,$B233:$E233),SF_Output!$Q$1:$Q$400,"monthly"))/V233)</f>
        <v/>
      </c>
      <c r="X233" s="6" t="str" cm="1">
        <f t="array" ref="X233">IFERROR(_xlfn.IFS(V233=0,0,V233="","",W233=0,V233,OR(V233&lt;&gt;0,V233&lt;&gt;""),H233*I233),V233*(1-W233))</f>
        <v/>
      </c>
      <c r="Z233" s="6" t="str">
        <f>IFERROR(IF(B233="","",SUMIFS(Billing_Fallout!H:H,Billing_Fallout!N:N,B233)),0)</f>
        <v/>
      </c>
      <c r="AA233" s="6" t="str">
        <f t="shared" si="55"/>
        <v/>
      </c>
      <c r="AB233" s="6" t="str">
        <f>IFERROR(IF(B233="","",SUMIFS(Billing_Fallout!J:J,Billing_Fallout!N:N,B233)),0)</f>
        <v/>
      </c>
      <c r="AD233" s="6" t="str">
        <f t="shared" si="56"/>
        <v/>
      </c>
      <c r="AF233" t="str">
        <f>IFERROR(INDEX(H_Tables!$B$1:$B$1500,MATCH(INDEX(SF_Output!$J$1:$J$400,MATCH(B233,SF_Output!$M$1:$M$400,0)),H_Tables!$A$1:$A$1500,0)),"")</f>
        <v/>
      </c>
      <c r="AI233" s="119" t="str">
        <f t="shared" si="57"/>
        <v/>
      </c>
      <c r="AJ233" s="121">
        <f>IFERROR(INDEX(SF_Output!AD:AD,MATCH(_xlfn.TEXTJOIN(",",TRUE,B233:E233),SF_Output!AC1:AC400,0)),0.05)</f>
        <v>241</v>
      </c>
      <c r="AK233" t="str">
        <f>IF(SUMIFS(SF_Output!$F$1:$F$400,SF_Output!$AC$1:$AC$400,_xlfn.TEXTJOIN(",",TRUE,B233:E233))+SUMIFS(SF_Output!$G$1:$G$400,SF_Output!$AC$1:$AC$400,_xlfn.TEXTJOIN(",",TRUE,B233:E233))=0,"","PAP")</f>
        <v/>
      </c>
      <c r="AQ233" s="35"/>
      <c r="AR233" s="35" t="str" cm="1">
        <f t="array" ref="AR233">IFERROR(_xlfn.IFS(AND(E233*1=1,F233="Included"),"Change to Included",AND(E233*1=0,F233="Optional"),"Change to Optional",OR(B233="",F233="replaced"),""),"")</f>
        <v/>
      </c>
      <c r="AS233" s="35" t="str">
        <f t="shared" si="58"/>
        <v/>
      </c>
      <c r="AT233" s="35" t="str">
        <f t="shared" si="59"/>
        <v/>
      </c>
      <c r="AU233" s="35" t="str">
        <f t="shared" si="60"/>
        <v/>
      </c>
      <c r="AV233" s="35" t="str">
        <f t="shared" si="61"/>
        <v/>
      </c>
      <c r="AW233" s="35" t="str">
        <f t="shared" si="62"/>
        <v/>
      </c>
      <c r="AX233" s="35" t="str">
        <f t="shared" si="63"/>
        <v/>
      </c>
      <c r="AY233" s="35" t="str">
        <f t="shared" si="64"/>
        <v/>
      </c>
      <c r="AZ233" s="35" t="str">
        <f t="shared" si="65"/>
        <v/>
      </c>
      <c r="BA233" s="35" t="str">
        <f t="shared" si="66"/>
        <v/>
      </c>
      <c r="BB233" s="35" t="str">
        <f t="shared" si="67"/>
        <v/>
      </c>
      <c r="BC233" s="35"/>
      <c r="BE233" s="35" t="e">
        <f>INDEX(SF_Output!$AA$2:$AA$400,MATCH($B233,SF_Output!$M$2:$M$400,0))</f>
        <v>#N/A</v>
      </c>
      <c r="BF233" s="35" t="e">
        <f>INDEX(SF_Output!$AB$2:$AB$400,MATCH($B233,SF_Output!$M$2:$M$400,0))</f>
        <v>#N/A</v>
      </c>
    </row>
    <row r="234" spans="6:58" x14ac:dyDescent="0.25">
      <c r="F234" s="116" t="str">
        <f t="shared" si="51"/>
        <v/>
      </c>
      <c r="G234" t="str">
        <f>IF(B234="","",INDEX(SF_Output!$K$1:$K$400,MATCH(B234,SF_Output!$M$1:$M$400,0)))</f>
        <v/>
      </c>
      <c r="H234" t="str" cm="1">
        <f t="array" ref="H234">_xlfn.IFS(B234="","",(SUMIFS(SF_Output!$F$1:$F$400,SF_Output!$AC$1:$AC$400,_xlfn.TEXTJOIN(",",TRUE,B234:E234))+SUMIFS(SF_Output!$G$1:$G$400,SF_Output!$AC$1:$AC$400,_xlfn.TEXTJOIN(",",TRUE,B234:E234)))&lt;&gt;0,SF_Output!$Y$2,INDEX(SF_Output!$F$1:$F$400,MATCH(_xlfn.TEXTJOIN(",",TRUE,B234:E234),SF_Output!$AC$1:$AC$400,0))=0,INDEX(SF_Output!$R$1:$R$400,MATCH(_xlfn.TEXTJOIN(",",TRUE,B234:E234),SF_Output!$AC$1:$AC$400,0)))</f>
        <v/>
      </c>
      <c r="I234" s="125" t="str">
        <f>IFERROR(IF(AND(H234&gt;1,H234&lt;&gt;""),ROUND(SUMIFS(SF_Output!$S$1:$S$400,SF_Output!$AC$1:$AC$400,_xlfn.TEXTJOIN(",",TRUE,B234:E234),SF_Output!$Q$1:$Q$400,"monthly")*(1-W234)/H234,4),""),"")</f>
        <v/>
      </c>
      <c r="J234" s="6" t="str">
        <f>IF(B234="","",SUMIFS(SF_Output!$S$1:$S$400,SF_Output!$AC$1:$AC$400,_xlfn.TEXTJOIN(",",TRUE,B234:E234),SF_Output!$Q$1:$Q$400,"One Time",SF_Output!$L$1:$L$400,"license fee")+SUMIFS(SF_Output!$S$1:$S$400,SF_Output!$AC$1:$AC$400,_xlfn.TEXTJOIN(",",TRUE,B234:E234),SF_Output!$Q$1:$Q$400,"One Time",SF_Output!$L$1:$L$400,"software license")+SUMIFS(SF_Output!$S$1:$S$400,SF_Output!$AC$1:$AC$400,_xlfn.TEXTJOIN(",",TRUE,B234:E234),SF_Output!$Q$1:$Q$400,"One Time",SF_Output!$L$1:$L$400,"hardware"))</f>
        <v/>
      </c>
      <c r="K234" s="112" t="str">
        <f>IF(OR(B234=0,B234="",G234="hardware",J234=0),"",IF(AF234&lt;&gt;"exclusion",MAX(K$9,-((SUMIFS(SF_Output!$T$1:$T$400,SF_Output!$AC$1:$AC$400,_xlfn.TEXTJOIN(",",TRUE,$B234:$E234),SF_Output!$Q$1:$Q$400,"One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license"))/J234)))</f>
        <v/>
      </c>
      <c r="L234" s="6" t="str">
        <f t="shared" si="52"/>
        <v/>
      </c>
      <c r="N234" s="6" t="str">
        <f>IF(B234="","",SUMIFS(SF_Output!$S$1:$S$400,SF_Output!$AC$1:$AC$400,_xlfn.TEXTJOIN(",",TRUE,B234:E234),SF_Output!$Q$1:$Q$400,"One Time",SF_Output!$L$1:$L$400,"professional service"))</f>
        <v/>
      </c>
      <c r="O234" s="112" t="str">
        <f>IF(OR(B234=0,B234="",N234=0),"",IF(AF234&lt;&gt;"exclusion",MAX(O$9,-(SUMIFS(SF_Output!$T$1:$T$400,SF_Output!$AC$1:$AC$400,_xlfn.TEXTJOIN(",",TRUE,$B234:$E234),SF_Output!$Q$1:$Q$400,"One Time",SF_Output!$L$1:$L$400,"professional service"))/N234),-((SUMIFS(SF_Output!$T$1:$T$400,SF_Output!$AC$1:$AC$400,_xlfn.TEXTJOIN(",",TRUE,$B234:$E234),SF_Output!$Q$1:$Q$400,"One Time",SF_Output!$L$1:$L$400,"professional service")/N234))))</f>
        <v/>
      </c>
      <c r="P234" s="6" t="str">
        <f t="shared" si="53"/>
        <v/>
      </c>
      <c r="R234" s="6" t="str">
        <f>IF(B234="","",SUMIFS(SF_Output!$S$1:$S$400,SF_Output!$AC$1:$AC$400,_xlfn.TEXTJOIN(",",TRUE,B234:E234),SF_Output!$Q$1:$Q$400,"yearly")+SUMIFS(SF_Output!$S$1:$S$400,SF_Output!$AC$1:$AC$400,_xlfn.TEXTJOIN(",",TRUE,B234:E234),SF_Output!$Q$1:$Q$400,"quarterly")*4)</f>
        <v/>
      </c>
      <c r="S234" s="112" t="str">
        <f>IF(OR(B234=0,B234="",G234="hardware",R234=0),"",IF(AF234&lt;&gt;"exclusion",MAX(S$9,-(SUMIFS(SF_Output!$T$1:$T$400,SF_Output!$AC$1:$AC$400,_xlfn.TEXTJOIN(",",TRUE,$B234:$E234),SF_Output!$Q$1:$Q$400,"yearly"))/R234),-((SUMIFS(SF_Output!$T$1:$T$400,SF_Output!$AC$1:$AC$400,_xlfn.TEXTJOIN(",",TRUE,$B234:$E234),SF_Output!$Q$1:$Q$400,"yearly")/R234))))</f>
        <v/>
      </c>
      <c r="T234" s="6" t="str">
        <f t="shared" si="54"/>
        <v/>
      </c>
      <c r="V234" s="6" t="str" cm="1">
        <f t="array" ref="V234">_xlfn.IFS(B234="","",AND(B234&lt;&gt;"",H234=SF_Output!$Y$2,SUMIFS(SF_Output!$T$1:$T$400,SF_Output!$AC$1:$AC$400,_xlfn.TEXTJOIN(",",TRUE,B234:E234),SF_Output!$Q$1:$Q$400,"monthly")=0),(SUMIFS(SF_Output!$F$1:$F$400,SF_Output!$AC$1:$AC$400,_xlfn.TEXTJOIN(",",TRUE,B234:E234),SF_Output!$Q$1:$Q$400,"monthly")+SUMIFS(SF_Output!$G$1:$G$400,SF_Output!$AC$1:$AC$400,_xlfn.TEXTJOIN(",",TRUE,B234:E234),SF_Output!$Q$1:$Q$400,"monthly"))*H234,AND(B234&lt;&gt;"",H234=SF_Output!$Y$2,SUMIFS(SF_Output!$T$1:$T$400,SF_Output!$AC$1:$AC$400,_xlfn.TEXTJOIN(",",TRUE,B234:E234),SF_Output!$Q$1:$Q$400,"monthly")&lt;&gt;0),SUMIFS(SF_Output!$S$1:$S$400,SF_Output!$AC$1:$AC$400,_xlfn.TEXTJOIN(",",TRUE,B234:E234),SF_Output!$Q$1:$Q$400,"monthly"),AND(B234&lt;&gt;"",H234&lt;&gt;SF_Output!$Y$2),SUMIFS(SF_Output!$S$1:$S$400,SF_Output!$AC$1:$AC$400,_xlfn.TEXTJOIN(",",TRUE,B234:E234),SF_Output!$Q$1:$Q$400,"monthly"))</f>
        <v/>
      </c>
      <c r="W234" s="112" t="str" cm="1">
        <f t="array" ref="W234">_xlfn.IFS(OR(B234=0,B234="",V234=0),"",AF234&lt;&gt;"exclusion",MAX($W$9,$W$7,(-(SUMIFS(SF_Output!$T$1:$T$400,SF_Output!$AC$1:$AC$400,_xlfn.TEXTJOIN(",",TRUE,$B234:$E234),SF_Output!$Q$1:$Q$400,"monthly"))/V234)),AF234="exclusion",-(SUMIFS(SF_Output!$T$1:$T$400,SF_Output!$AC$1:$AC$400,_xlfn.TEXTJOIN(",",TRUE,$B234:$E234),SF_Output!$Q$1:$Q$400,"monthly"))/V234)</f>
        <v/>
      </c>
      <c r="X234" s="6" t="str" cm="1">
        <f t="array" ref="X234">IFERROR(_xlfn.IFS(V234=0,0,V234="","",W234=0,V234,OR(V234&lt;&gt;0,V234&lt;&gt;""),H234*I234),V234*(1-W234))</f>
        <v/>
      </c>
      <c r="Z234" s="6" t="str">
        <f>IFERROR(IF(B234="","",SUMIFS(Billing_Fallout!H:H,Billing_Fallout!N:N,B234)),0)</f>
        <v/>
      </c>
      <c r="AA234" s="6" t="str">
        <f t="shared" si="55"/>
        <v/>
      </c>
      <c r="AB234" s="6" t="str">
        <f>IFERROR(IF(B234="","",SUMIFS(Billing_Fallout!J:J,Billing_Fallout!N:N,B234)),0)</f>
        <v/>
      </c>
      <c r="AD234" s="6" t="str">
        <f t="shared" si="56"/>
        <v/>
      </c>
      <c r="AF234" t="str">
        <f>IFERROR(INDEX(H_Tables!$B$1:$B$1500,MATCH(INDEX(SF_Output!$J$1:$J$400,MATCH(B234,SF_Output!$M$1:$M$400,0)),H_Tables!$A$1:$A$1500,0)),"")</f>
        <v/>
      </c>
      <c r="AI234" s="119" t="str">
        <f t="shared" si="57"/>
        <v/>
      </c>
      <c r="AJ234" s="121">
        <f>IFERROR(INDEX(SF_Output!AD:AD,MATCH(_xlfn.TEXTJOIN(",",TRUE,B234:E234),SF_Output!AC1:AC400,0)),0.05)</f>
        <v>241</v>
      </c>
      <c r="AK234" t="str">
        <f>IF(SUMIFS(SF_Output!$F$1:$F$400,SF_Output!$AC$1:$AC$400,_xlfn.TEXTJOIN(",",TRUE,B234:E234))+SUMIFS(SF_Output!$G$1:$G$400,SF_Output!$AC$1:$AC$400,_xlfn.TEXTJOIN(",",TRUE,B234:E234))=0,"","PAP")</f>
        <v/>
      </c>
      <c r="AQ234" s="35"/>
      <c r="AR234" s="35" t="str" cm="1">
        <f t="array" ref="AR234">IFERROR(_xlfn.IFS(AND(E234*1=1,F234="Included"),"Change to Included",AND(E234*1=0,F234="Optional"),"Change to Optional",OR(B234="",F234="replaced"),""),"")</f>
        <v/>
      </c>
      <c r="AS234" s="35" t="str">
        <f t="shared" si="58"/>
        <v/>
      </c>
      <c r="AT234" s="35" t="str">
        <f t="shared" si="59"/>
        <v/>
      </c>
      <c r="AU234" s="35" t="str">
        <f t="shared" si="60"/>
        <v/>
      </c>
      <c r="AV234" s="35" t="str">
        <f t="shared" si="61"/>
        <v/>
      </c>
      <c r="AW234" s="35" t="str">
        <f t="shared" si="62"/>
        <v/>
      </c>
      <c r="AX234" s="35" t="str">
        <f t="shared" si="63"/>
        <v/>
      </c>
      <c r="AY234" s="35" t="str">
        <f t="shared" si="64"/>
        <v/>
      </c>
      <c r="AZ234" s="35" t="str">
        <f t="shared" si="65"/>
        <v/>
      </c>
      <c r="BA234" s="35" t="str">
        <f t="shared" si="66"/>
        <v/>
      </c>
      <c r="BB234" s="35" t="str">
        <f t="shared" si="67"/>
        <v/>
      </c>
      <c r="BC234" s="35"/>
      <c r="BE234" s="35" t="e">
        <f>INDEX(SF_Output!$AA$2:$AA$400,MATCH($B234,SF_Output!$M$2:$M$400,0))</f>
        <v>#N/A</v>
      </c>
      <c r="BF234" s="35" t="e">
        <f>INDEX(SF_Output!$AB$2:$AB$400,MATCH($B234,SF_Output!$M$2:$M$400,0))</f>
        <v>#N/A</v>
      </c>
    </row>
    <row r="235" spans="6:58" x14ac:dyDescent="0.25">
      <c r="F235" s="116" t="str">
        <f t="shared" si="51"/>
        <v/>
      </c>
      <c r="G235" t="str">
        <f>IF(B235="","",INDEX(SF_Output!$K$1:$K$400,MATCH(B235,SF_Output!$M$1:$M$400,0)))</f>
        <v/>
      </c>
      <c r="H235" t="str" cm="1">
        <f t="array" ref="H235">_xlfn.IFS(B235="","",(SUMIFS(SF_Output!$F$1:$F$400,SF_Output!$AC$1:$AC$400,_xlfn.TEXTJOIN(",",TRUE,B235:E235))+SUMIFS(SF_Output!$G$1:$G$400,SF_Output!$AC$1:$AC$400,_xlfn.TEXTJOIN(",",TRUE,B235:E235)))&lt;&gt;0,SF_Output!$Y$2,INDEX(SF_Output!$F$1:$F$400,MATCH(_xlfn.TEXTJOIN(",",TRUE,B235:E235),SF_Output!$AC$1:$AC$400,0))=0,INDEX(SF_Output!$R$1:$R$400,MATCH(_xlfn.TEXTJOIN(",",TRUE,B235:E235),SF_Output!$AC$1:$AC$400,0)))</f>
        <v/>
      </c>
      <c r="I235" s="125" t="str">
        <f>IFERROR(IF(AND(H235&gt;1,H235&lt;&gt;""),ROUND(SUMIFS(SF_Output!$S$1:$S$400,SF_Output!$AC$1:$AC$400,_xlfn.TEXTJOIN(",",TRUE,B235:E235),SF_Output!$Q$1:$Q$400,"monthly")*(1-W235)/H235,4),""),"")</f>
        <v/>
      </c>
      <c r="J235" s="6" t="str">
        <f>IF(B235="","",SUMIFS(SF_Output!$S$1:$S$400,SF_Output!$AC$1:$AC$400,_xlfn.TEXTJOIN(",",TRUE,B235:E235),SF_Output!$Q$1:$Q$400,"One Time",SF_Output!$L$1:$L$400,"license fee")+SUMIFS(SF_Output!$S$1:$S$400,SF_Output!$AC$1:$AC$400,_xlfn.TEXTJOIN(",",TRUE,B235:E235),SF_Output!$Q$1:$Q$400,"One Time",SF_Output!$L$1:$L$400,"software license")+SUMIFS(SF_Output!$S$1:$S$400,SF_Output!$AC$1:$AC$400,_xlfn.TEXTJOIN(",",TRUE,B235:E235),SF_Output!$Q$1:$Q$400,"One Time",SF_Output!$L$1:$L$400,"hardware"))</f>
        <v/>
      </c>
      <c r="K235" s="112" t="str">
        <f>IF(OR(B235=0,B235="",G235="hardware",J235=0),"",IF(AF235&lt;&gt;"exclusion",MAX(K$9,-((SUMIFS(SF_Output!$T$1:$T$400,SF_Output!$AC$1:$AC$400,_xlfn.TEXTJOIN(",",TRUE,$B235:$E235),SF_Output!$Q$1:$Q$400,"One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license"))/J235)))</f>
        <v/>
      </c>
      <c r="L235" s="6" t="str">
        <f t="shared" si="52"/>
        <v/>
      </c>
      <c r="N235" s="6" t="str">
        <f>IF(B235="","",SUMIFS(SF_Output!$S$1:$S$400,SF_Output!$AC$1:$AC$400,_xlfn.TEXTJOIN(",",TRUE,B235:E235),SF_Output!$Q$1:$Q$400,"One Time",SF_Output!$L$1:$L$400,"professional service"))</f>
        <v/>
      </c>
      <c r="O235" s="112" t="str">
        <f>IF(OR(B235=0,B235="",N235=0),"",IF(AF235&lt;&gt;"exclusion",MAX(O$9,-(SUMIFS(SF_Output!$T$1:$T$400,SF_Output!$AC$1:$AC$400,_xlfn.TEXTJOIN(",",TRUE,$B235:$E235),SF_Output!$Q$1:$Q$400,"One Time",SF_Output!$L$1:$L$400,"professional service"))/N235),-((SUMIFS(SF_Output!$T$1:$T$400,SF_Output!$AC$1:$AC$400,_xlfn.TEXTJOIN(",",TRUE,$B235:$E235),SF_Output!$Q$1:$Q$400,"One Time",SF_Output!$L$1:$L$400,"professional service")/N235))))</f>
        <v/>
      </c>
      <c r="P235" s="6" t="str">
        <f t="shared" si="53"/>
        <v/>
      </c>
      <c r="R235" s="6" t="str">
        <f>IF(B235="","",SUMIFS(SF_Output!$S$1:$S$400,SF_Output!$AC$1:$AC$400,_xlfn.TEXTJOIN(",",TRUE,B235:E235),SF_Output!$Q$1:$Q$400,"yearly")+SUMIFS(SF_Output!$S$1:$S$400,SF_Output!$AC$1:$AC$400,_xlfn.TEXTJOIN(",",TRUE,B235:E235),SF_Output!$Q$1:$Q$400,"quarterly")*4)</f>
        <v/>
      </c>
      <c r="S235" s="112" t="str">
        <f>IF(OR(B235=0,B235="",G235="hardware",R235=0),"",IF(AF235&lt;&gt;"exclusion",MAX(S$9,-(SUMIFS(SF_Output!$T$1:$T$400,SF_Output!$AC$1:$AC$400,_xlfn.TEXTJOIN(",",TRUE,$B235:$E235),SF_Output!$Q$1:$Q$400,"yearly"))/R235),-((SUMIFS(SF_Output!$T$1:$T$400,SF_Output!$AC$1:$AC$400,_xlfn.TEXTJOIN(",",TRUE,$B235:$E235),SF_Output!$Q$1:$Q$400,"yearly")/R235))))</f>
        <v/>
      </c>
      <c r="T235" s="6" t="str">
        <f t="shared" si="54"/>
        <v/>
      </c>
      <c r="V235" s="6" t="str" cm="1">
        <f t="array" ref="V235">_xlfn.IFS(B235="","",AND(B235&lt;&gt;"",H235=SF_Output!$Y$2,SUMIFS(SF_Output!$T$1:$T$400,SF_Output!$AC$1:$AC$400,_xlfn.TEXTJOIN(",",TRUE,B235:E235),SF_Output!$Q$1:$Q$400,"monthly")=0),(SUMIFS(SF_Output!$F$1:$F$400,SF_Output!$AC$1:$AC$400,_xlfn.TEXTJOIN(",",TRUE,B235:E235),SF_Output!$Q$1:$Q$400,"monthly")+SUMIFS(SF_Output!$G$1:$G$400,SF_Output!$AC$1:$AC$400,_xlfn.TEXTJOIN(",",TRUE,B235:E235),SF_Output!$Q$1:$Q$400,"monthly"))*H235,AND(B235&lt;&gt;"",H235=SF_Output!$Y$2,SUMIFS(SF_Output!$T$1:$T$400,SF_Output!$AC$1:$AC$400,_xlfn.TEXTJOIN(",",TRUE,B235:E235),SF_Output!$Q$1:$Q$400,"monthly")&lt;&gt;0),SUMIFS(SF_Output!$S$1:$S$400,SF_Output!$AC$1:$AC$400,_xlfn.TEXTJOIN(",",TRUE,B235:E235),SF_Output!$Q$1:$Q$400,"monthly"),AND(B235&lt;&gt;"",H235&lt;&gt;SF_Output!$Y$2),SUMIFS(SF_Output!$S$1:$S$400,SF_Output!$AC$1:$AC$400,_xlfn.TEXTJOIN(",",TRUE,B235:E235),SF_Output!$Q$1:$Q$400,"monthly"))</f>
        <v/>
      </c>
      <c r="W235" s="112" t="str" cm="1">
        <f t="array" ref="W235">_xlfn.IFS(OR(B235=0,B235="",V235=0),"",AF235&lt;&gt;"exclusion",MAX($W$9,$W$7,(-(SUMIFS(SF_Output!$T$1:$T$400,SF_Output!$AC$1:$AC$400,_xlfn.TEXTJOIN(",",TRUE,$B235:$E235),SF_Output!$Q$1:$Q$400,"monthly"))/V235)),AF235="exclusion",-(SUMIFS(SF_Output!$T$1:$T$400,SF_Output!$AC$1:$AC$400,_xlfn.TEXTJOIN(",",TRUE,$B235:$E235),SF_Output!$Q$1:$Q$400,"monthly"))/V235)</f>
        <v/>
      </c>
      <c r="X235" s="6" t="str" cm="1">
        <f t="array" ref="X235">IFERROR(_xlfn.IFS(V235=0,0,V235="","",W235=0,V235,OR(V235&lt;&gt;0,V235&lt;&gt;""),H235*I235),V235*(1-W235))</f>
        <v/>
      </c>
      <c r="Z235" s="6" t="str">
        <f>IFERROR(IF(B235="","",SUMIFS(Billing_Fallout!H:H,Billing_Fallout!N:N,B235)),0)</f>
        <v/>
      </c>
      <c r="AA235" s="6" t="str">
        <f t="shared" si="55"/>
        <v/>
      </c>
      <c r="AB235" s="6" t="str">
        <f>IFERROR(IF(B235="","",SUMIFS(Billing_Fallout!J:J,Billing_Fallout!N:N,B235)),0)</f>
        <v/>
      </c>
      <c r="AD235" s="6" t="str">
        <f t="shared" si="56"/>
        <v/>
      </c>
      <c r="AF235" t="str">
        <f>IFERROR(INDEX(H_Tables!$B$1:$B$1500,MATCH(INDEX(SF_Output!$J$1:$J$400,MATCH(B235,SF_Output!$M$1:$M$400,0)),H_Tables!$A$1:$A$1500,0)),"")</f>
        <v/>
      </c>
      <c r="AI235" s="119" t="str">
        <f t="shared" si="57"/>
        <v/>
      </c>
      <c r="AJ235" s="121">
        <f>IFERROR(INDEX(SF_Output!AD:AD,MATCH(_xlfn.TEXTJOIN(",",TRUE,B235:E235),SF_Output!AC1:AC400,0)),0.05)</f>
        <v>241</v>
      </c>
      <c r="AK235" t="str">
        <f>IF(SUMIFS(SF_Output!$F$1:$F$400,SF_Output!$AC$1:$AC$400,_xlfn.TEXTJOIN(",",TRUE,B235:E235))+SUMIFS(SF_Output!$G$1:$G$400,SF_Output!$AC$1:$AC$400,_xlfn.TEXTJOIN(",",TRUE,B235:E235))=0,"","PAP")</f>
        <v/>
      </c>
      <c r="AQ235" s="35"/>
      <c r="AR235" s="35" t="str" cm="1">
        <f t="array" ref="AR235">IFERROR(_xlfn.IFS(AND(E235*1=1,F235="Included"),"Change to Included",AND(E235*1=0,F235="Optional"),"Change to Optional",OR(B235="",F235="replaced"),""),"")</f>
        <v/>
      </c>
      <c r="AS235" s="35" t="str">
        <f t="shared" si="58"/>
        <v/>
      </c>
      <c r="AT235" s="35" t="str">
        <f t="shared" si="59"/>
        <v/>
      </c>
      <c r="AU235" s="35" t="str">
        <f t="shared" si="60"/>
        <v/>
      </c>
      <c r="AV235" s="35" t="str">
        <f t="shared" si="61"/>
        <v/>
      </c>
      <c r="AW235" s="35" t="str">
        <f t="shared" si="62"/>
        <v/>
      </c>
      <c r="AX235" s="35" t="str">
        <f t="shared" si="63"/>
        <v/>
      </c>
      <c r="AY235" s="35" t="str">
        <f t="shared" si="64"/>
        <v/>
      </c>
      <c r="AZ235" s="35" t="str">
        <f t="shared" si="65"/>
        <v/>
      </c>
      <c r="BA235" s="35" t="str">
        <f t="shared" si="66"/>
        <v/>
      </c>
      <c r="BB235" s="35" t="str">
        <f t="shared" si="67"/>
        <v/>
      </c>
      <c r="BC235" s="35"/>
      <c r="BE235" s="35" t="e">
        <f>INDEX(SF_Output!$AA$2:$AA$400,MATCH($B235,SF_Output!$M$2:$M$400,0))</f>
        <v>#N/A</v>
      </c>
      <c r="BF235" s="35" t="e">
        <f>INDEX(SF_Output!$AB$2:$AB$400,MATCH($B235,SF_Output!$M$2:$M$400,0))</f>
        <v>#N/A</v>
      </c>
    </row>
    <row r="236" spans="6:58" x14ac:dyDescent="0.25">
      <c r="F236" s="116" t="str">
        <f t="shared" si="51"/>
        <v/>
      </c>
      <c r="G236" t="str">
        <f>IF(B236="","",INDEX(SF_Output!$K$1:$K$400,MATCH(B236,SF_Output!$M$1:$M$400,0)))</f>
        <v/>
      </c>
      <c r="H236" t="str" cm="1">
        <f t="array" ref="H236">_xlfn.IFS(B236="","",(SUMIFS(SF_Output!$F$1:$F$400,SF_Output!$AC$1:$AC$400,_xlfn.TEXTJOIN(",",TRUE,B236:E236))+SUMIFS(SF_Output!$G$1:$G$400,SF_Output!$AC$1:$AC$400,_xlfn.TEXTJOIN(",",TRUE,B236:E236)))&lt;&gt;0,SF_Output!$Y$2,INDEX(SF_Output!$F$1:$F$400,MATCH(_xlfn.TEXTJOIN(",",TRUE,B236:E236),SF_Output!$AC$1:$AC$400,0))=0,INDEX(SF_Output!$R$1:$R$400,MATCH(_xlfn.TEXTJOIN(",",TRUE,B236:E236),SF_Output!$AC$1:$AC$400,0)))</f>
        <v/>
      </c>
      <c r="I236" s="125" t="str">
        <f>IFERROR(IF(AND(H236&gt;1,H236&lt;&gt;""),ROUND(SUMIFS(SF_Output!$S$1:$S$400,SF_Output!$AC$1:$AC$400,_xlfn.TEXTJOIN(",",TRUE,B236:E236),SF_Output!$Q$1:$Q$400,"monthly")*(1-W236)/H236,4),""),"")</f>
        <v/>
      </c>
      <c r="J236" s="6" t="str">
        <f>IF(B236="","",SUMIFS(SF_Output!$S$1:$S$400,SF_Output!$AC$1:$AC$400,_xlfn.TEXTJOIN(",",TRUE,B236:E236),SF_Output!$Q$1:$Q$400,"One Time",SF_Output!$L$1:$L$400,"license fee")+SUMIFS(SF_Output!$S$1:$S$400,SF_Output!$AC$1:$AC$400,_xlfn.TEXTJOIN(",",TRUE,B236:E236),SF_Output!$Q$1:$Q$400,"One Time",SF_Output!$L$1:$L$400,"software license")+SUMIFS(SF_Output!$S$1:$S$400,SF_Output!$AC$1:$AC$400,_xlfn.TEXTJOIN(",",TRUE,B236:E236),SF_Output!$Q$1:$Q$400,"One Time",SF_Output!$L$1:$L$400,"hardware"))</f>
        <v/>
      </c>
      <c r="K236" s="112" t="str">
        <f>IF(OR(B236=0,B236="",G236="hardware",J236=0),"",IF(AF236&lt;&gt;"exclusion",MAX(K$9,-((SUMIFS(SF_Output!$T$1:$T$400,SF_Output!$AC$1:$AC$400,_xlfn.TEXTJOIN(",",TRUE,$B236:$E236),SF_Output!$Q$1:$Q$400,"One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license"))/J236)))</f>
        <v/>
      </c>
      <c r="L236" s="6" t="str">
        <f t="shared" si="52"/>
        <v/>
      </c>
      <c r="N236" s="6" t="str">
        <f>IF(B236="","",SUMIFS(SF_Output!$S$1:$S$400,SF_Output!$AC$1:$AC$400,_xlfn.TEXTJOIN(",",TRUE,B236:E236),SF_Output!$Q$1:$Q$400,"One Time",SF_Output!$L$1:$L$400,"professional service"))</f>
        <v/>
      </c>
      <c r="O236" s="112" t="str">
        <f>IF(OR(B236=0,B236="",N236=0),"",IF(AF236&lt;&gt;"exclusion",MAX(O$9,-(SUMIFS(SF_Output!$T$1:$T$400,SF_Output!$AC$1:$AC$400,_xlfn.TEXTJOIN(",",TRUE,$B236:$E236),SF_Output!$Q$1:$Q$400,"One Time",SF_Output!$L$1:$L$400,"professional service"))/N236),-((SUMIFS(SF_Output!$T$1:$T$400,SF_Output!$AC$1:$AC$400,_xlfn.TEXTJOIN(",",TRUE,$B236:$E236),SF_Output!$Q$1:$Q$400,"One Time",SF_Output!$L$1:$L$400,"professional service")/N236))))</f>
        <v/>
      </c>
      <c r="P236" s="6" t="str">
        <f t="shared" si="53"/>
        <v/>
      </c>
      <c r="R236" s="6" t="str">
        <f>IF(B236="","",SUMIFS(SF_Output!$S$1:$S$400,SF_Output!$AC$1:$AC$400,_xlfn.TEXTJOIN(",",TRUE,B236:E236),SF_Output!$Q$1:$Q$400,"yearly")+SUMIFS(SF_Output!$S$1:$S$400,SF_Output!$AC$1:$AC$400,_xlfn.TEXTJOIN(",",TRUE,B236:E236),SF_Output!$Q$1:$Q$400,"quarterly")*4)</f>
        <v/>
      </c>
      <c r="S236" s="112" t="str">
        <f>IF(OR(B236=0,B236="",G236="hardware",R236=0),"",IF(AF236&lt;&gt;"exclusion",MAX(S$9,-(SUMIFS(SF_Output!$T$1:$T$400,SF_Output!$AC$1:$AC$400,_xlfn.TEXTJOIN(",",TRUE,$B236:$E236),SF_Output!$Q$1:$Q$400,"yearly"))/R236),-((SUMIFS(SF_Output!$T$1:$T$400,SF_Output!$AC$1:$AC$400,_xlfn.TEXTJOIN(",",TRUE,$B236:$E236),SF_Output!$Q$1:$Q$400,"yearly")/R236))))</f>
        <v/>
      </c>
      <c r="T236" s="6" t="str">
        <f t="shared" si="54"/>
        <v/>
      </c>
      <c r="V236" s="6" t="str" cm="1">
        <f t="array" ref="V236">_xlfn.IFS(B236="","",AND(B236&lt;&gt;"",H236=SF_Output!$Y$2,SUMIFS(SF_Output!$T$1:$T$400,SF_Output!$AC$1:$AC$400,_xlfn.TEXTJOIN(",",TRUE,B236:E236),SF_Output!$Q$1:$Q$400,"monthly")=0),(SUMIFS(SF_Output!$F$1:$F$400,SF_Output!$AC$1:$AC$400,_xlfn.TEXTJOIN(",",TRUE,B236:E236),SF_Output!$Q$1:$Q$400,"monthly")+SUMIFS(SF_Output!$G$1:$G$400,SF_Output!$AC$1:$AC$400,_xlfn.TEXTJOIN(",",TRUE,B236:E236),SF_Output!$Q$1:$Q$400,"monthly"))*H236,AND(B236&lt;&gt;"",H236=SF_Output!$Y$2,SUMIFS(SF_Output!$T$1:$T$400,SF_Output!$AC$1:$AC$400,_xlfn.TEXTJOIN(",",TRUE,B236:E236),SF_Output!$Q$1:$Q$400,"monthly")&lt;&gt;0),SUMIFS(SF_Output!$S$1:$S$400,SF_Output!$AC$1:$AC$400,_xlfn.TEXTJOIN(",",TRUE,B236:E236),SF_Output!$Q$1:$Q$400,"monthly"),AND(B236&lt;&gt;"",H236&lt;&gt;SF_Output!$Y$2),SUMIFS(SF_Output!$S$1:$S$400,SF_Output!$AC$1:$AC$400,_xlfn.TEXTJOIN(",",TRUE,B236:E236),SF_Output!$Q$1:$Q$400,"monthly"))</f>
        <v/>
      </c>
      <c r="W236" s="112" t="str" cm="1">
        <f t="array" ref="W236">_xlfn.IFS(OR(B236=0,B236="",V236=0),"",AF236&lt;&gt;"exclusion",MAX($W$9,$W$7,(-(SUMIFS(SF_Output!$T$1:$T$400,SF_Output!$AC$1:$AC$400,_xlfn.TEXTJOIN(",",TRUE,$B236:$E236),SF_Output!$Q$1:$Q$400,"monthly"))/V236)),AF236="exclusion",-(SUMIFS(SF_Output!$T$1:$T$400,SF_Output!$AC$1:$AC$400,_xlfn.TEXTJOIN(",",TRUE,$B236:$E236),SF_Output!$Q$1:$Q$400,"monthly"))/V236)</f>
        <v/>
      </c>
      <c r="X236" s="6" t="str" cm="1">
        <f t="array" ref="X236">IFERROR(_xlfn.IFS(V236=0,0,V236="","",W236=0,V236,OR(V236&lt;&gt;0,V236&lt;&gt;""),H236*I236),V236*(1-W236))</f>
        <v/>
      </c>
      <c r="Z236" s="6" t="str">
        <f>IFERROR(IF(B236="","",SUMIFS(Billing_Fallout!H:H,Billing_Fallout!N:N,B236)),0)</f>
        <v/>
      </c>
      <c r="AA236" s="6" t="str">
        <f t="shared" si="55"/>
        <v/>
      </c>
      <c r="AB236" s="6" t="str">
        <f>IFERROR(IF(B236="","",SUMIFS(Billing_Fallout!J:J,Billing_Fallout!N:N,B236)),0)</f>
        <v/>
      </c>
      <c r="AD236" s="6" t="str">
        <f t="shared" si="56"/>
        <v/>
      </c>
      <c r="AF236" t="str">
        <f>IFERROR(INDEX(H_Tables!$B$1:$B$1500,MATCH(INDEX(SF_Output!$J$1:$J$400,MATCH(B236,SF_Output!$M$1:$M$400,0)),H_Tables!$A$1:$A$1500,0)),"")</f>
        <v/>
      </c>
      <c r="AI236" s="119" t="str">
        <f t="shared" si="57"/>
        <v/>
      </c>
      <c r="AJ236" s="121">
        <f>IFERROR(INDEX(SF_Output!AD:AD,MATCH(_xlfn.TEXTJOIN(",",TRUE,B236:E236),SF_Output!AC1:AC400,0)),0.05)</f>
        <v>241</v>
      </c>
      <c r="AK236" t="str">
        <f>IF(SUMIFS(SF_Output!$F$1:$F$400,SF_Output!$AC$1:$AC$400,_xlfn.TEXTJOIN(",",TRUE,B236:E236))+SUMIFS(SF_Output!$G$1:$G$400,SF_Output!$AC$1:$AC$400,_xlfn.TEXTJOIN(",",TRUE,B236:E236))=0,"","PAP")</f>
        <v/>
      </c>
      <c r="AQ236" s="35"/>
      <c r="AR236" s="35" t="str" cm="1">
        <f t="array" ref="AR236">IFERROR(_xlfn.IFS(AND(E236*1=1,F236="Included"),"Change to Included",AND(E236*1=0,F236="Optional"),"Change to Optional",OR(B236="",F236="replaced"),""),"")</f>
        <v/>
      </c>
      <c r="AS236" s="35" t="str">
        <f t="shared" si="58"/>
        <v/>
      </c>
      <c r="AT236" s="35" t="str">
        <f t="shared" si="59"/>
        <v/>
      </c>
      <c r="AU236" s="35" t="str">
        <f t="shared" si="60"/>
        <v/>
      </c>
      <c r="AV236" s="35" t="str">
        <f t="shared" si="61"/>
        <v/>
      </c>
      <c r="AW236" s="35" t="str">
        <f t="shared" si="62"/>
        <v/>
      </c>
      <c r="AX236" s="35" t="str">
        <f t="shared" si="63"/>
        <v/>
      </c>
      <c r="AY236" s="35" t="str">
        <f t="shared" si="64"/>
        <v/>
      </c>
      <c r="AZ236" s="35" t="str">
        <f t="shared" si="65"/>
        <v/>
      </c>
      <c r="BA236" s="35" t="str">
        <f t="shared" si="66"/>
        <v/>
      </c>
      <c r="BB236" s="35" t="str">
        <f t="shared" si="67"/>
        <v/>
      </c>
      <c r="BC236" s="35"/>
      <c r="BE236" s="35" t="e">
        <f>INDEX(SF_Output!$AA$2:$AA$400,MATCH($B236,SF_Output!$M$2:$M$400,0))</f>
        <v>#N/A</v>
      </c>
      <c r="BF236" s="35" t="e">
        <f>INDEX(SF_Output!$AB$2:$AB$400,MATCH($B236,SF_Output!$M$2:$M$400,0))</f>
        <v>#N/A</v>
      </c>
    </row>
    <row r="237" spans="6:58" x14ac:dyDescent="0.25">
      <c r="F237" s="116" t="str">
        <f t="shared" si="51"/>
        <v/>
      </c>
      <c r="G237" t="str">
        <f>IF(B237="","",INDEX(SF_Output!$K$1:$K$400,MATCH(B237,SF_Output!$M$1:$M$400,0)))</f>
        <v/>
      </c>
      <c r="H237" t="str" cm="1">
        <f t="array" ref="H237">_xlfn.IFS(B237="","",(SUMIFS(SF_Output!$F$1:$F$400,SF_Output!$AC$1:$AC$400,_xlfn.TEXTJOIN(",",TRUE,B237:E237))+SUMIFS(SF_Output!$G$1:$G$400,SF_Output!$AC$1:$AC$400,_xlfn.TEXTJOIN(",",TRUE,B237:E237)))&lt;&gt;0,SF_Output!$Y$2,INDEX(SF_Output!$F$1:$F$400,MATCH(_xlfn.TEXTJOIN(",",TRUE,B237:E237),SF_Output!$AC$1:$AC$400,0))=0,INDEX(SF_Output!$R$1:$R$400,MATCH(_xlfn.TEXTJOIN(",",TRUE,B237:E237),SF_Output!$AC$1:$AC$400,0)))</f>
        <v/>
      </c>
      <c r="I237" s="125" t="str">
        <f>IFERROR(IF(AND(H237&gt;1,H237&lt;&gt;""),ROUND(SUMIFS(SF_Output!$S$1:$S$400,SF_Output!$AC$1:$AC$400,_xlfn.TEXTJOIN(",",TRUE,B237:E237),SF_Output!$Q$1:$Q$400,"monthly")*(1-W237)/H237,4),""),"")</f>
        <v/>
      </c>
      <c r="J237" s="6" t="str">
        <f>IF(B237="","",SUMIFS(SF_Output!$S$1:$S$400,SF_Output!$AC$1:$AC$400,_xlfn.TEXTJOIN(",",TRUE,B237:E237),SF_Output!$Q$1:$Q$400,"One Time",SF_Output!$L$1:$L$400,"license fee")+SUMIFS(SF_Output!$S$1:$S$400,SF_Output!$AC$1:$AC$400,_xlfn.TEXTJOIN(",",TRUE,B237:E237),SF_Output!$Q$1:$Q$400,"One Time",SF_Output!$L$1:$L$400,"software license")+SUMIFS(SF_Output!$S$1:$S$400,SF_Output!$AC$1:$AC$400,_xlfn.TEXTJOIN(",",TRUE,B237:E237),SF_Output!$Q$1:$Q$400,"One Time",SF_Output!$L$1:$L$400,"hardware"))</f>
        <v/>
      </c>
      <c r="K237" s="112" t="str">
        <f>IF(OR(B237=0,B237="",G237="hardware",J237=0),"",IF(AF237&lt;&gt;"exclusion",MAX(K$9,-((SUMIFS(SF_Output!$T$1:$T$400,SF_Output!$AC$1:$AC$400,_xlfn.TEXTJOIN(",",TRUE,$B237:$E237),SF_Output!$Q$1:$Q$400,"One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license"))/J237)))</f>
        <v/>
      </c>
      <c r="L237" s="6" t="str">
        <f t="shared" si="52"/>
        <v/>
      </c>
      <c r="N237" s="6" t="str">
        <f>IF(B237="","",SUMIFS(SF_Output!$S$1:$S$400,SF_Output!$AC$1:$AC$400,_xlfn.TEXTJOIN(",",TRUE,B237:E237),SF_Output!$Q$1:$Q$400,"One Time",SF_Output!$L$1:$L$400,"professional service"))</f>
        <v/>
      </c>
      <c r="O237" s="112" t="str">
        <f>IF(OR(B237=0,B237="",N237=0),"",IF(AF237&lt;&gt;"exclusion",MAX(O$9,-(SUMIFS(SF_Output!$T$1:$T$400,SF_Output!$AC$1:$AC$400,_xlfn.TEXTJOIN(",",TRUE,$B237:$E237),SF_Output!$Q$1:$Q$400,"One Time",SF_Output!$L$1:$L$400,"professional service"))/N237),-((SUMIFS(SF_Output!$T$1:$T$400,SF_Output!$AC$1:$AC$400,_xlfn.TEXTJOIN(",",TRUE,$B237:$E237),SF_Output!$Q$1:$Q$400,"One Time",SF_Output!$L$1:$L$400,"professional service")/N237))))</f>
        <v/>
      </c>
      <c r="P237" s="6" t="str">
        <f t="shared" si="53"/>
        <v/>
      </c>
      <c r="R237" s="6" t="str">
        <f>IF(B237="","",SUMIFS(SF_Output!$S$1:$S$400,SF_Output!$AC$1:$AC$400,_xlfn.TEXTJOIN(",",TRUE,B237:E237),SF_Output!$Q$1:$Q$400,"yearly")+SUMIFS(SF_Output!$S$1:$S$400,SF_Output!$AC$1:$AC$400,_xlfn.TEXTJOIN(",",TRUE,B237:E237),SF_Output!$Q$1:$Q$400,"quarterly")*4)</f>
        <v/>
      </c>
      <c r="S237" s="112" t="str">
        <f>IF(OR(B237=0,B237="",G237="hardware",R237=0),"",IF(AF237&lt;&gt;"exclusion",MAX(S$9,-(SUMIFS(SF_Output!$T$1:$T$400,SF_Output!$AC$1:$AC$400,_xlfn.TEXTJOIN(",",TRUE,$B237:$E237),SF_Output!$Q$1:$Q$400,"yearly"))/R237),-((SUMIFS(SF_Output!$T$1:$T$400,SF_Output!$AC$1:$AC$400,_xlfn.TEXTJOIN(",",TRUE,$B237:$E237),SF_Output!$Q$1:$Q$400,"yearly")/R237))))</f>
        <v/>
      </c>
      <c r="T237" s="6" t="str">
        <f t="shared" si="54"/>
        <v/>
      </c>
      <c r="V237" s="6" t="str" cm="1">
        <f t="array" ref="V237">_xlfn.IFS(B237="","",AND(B237&lt;&gt;"",H237=SF_Output!$Y$2,SUMIFS(SF_Output!$T$1:$T$400,SF_Output!$AC$1:$AC$400,_xlfn.TEXTJOIN(",",TRUE,B237:E237),SF_Output!$Q$1:$Q$400,"monthly")=0),(SUMIFS(SF_Output!$F$1:$F$400,SF_Output!$AC$1:$AC$400,_xlfn.TEXTJOIN(",",TRUE,B237:E237),SF_Output!$Q$1:$Q$400,"monthly")+SUMIFS(SF_Output!$G$1:$G$400,SF_Output!$AC$1:$AC$400,_xlfn.TEXTJOIN(",",TRUE,B237:E237),SF_Output!$Q$1:$Q$400,"monthly"))*H237,AND(B237&lt;&gt;"",H237=SF_Output!$Y$2,SUMIFS(SF_Output!$T$1:$T$400,SF_Output!$AC$1:$AC$400,_xlfn.TEXTJOIN(",",TRUE,B237:E237),SF_Output!$Q$1:$Q$400,"monthly")&lt;&gt;0),SUMIFS(SF_Output!$S$1:$S$400,SF_Output!$AC$1:$AC$400,_xlfn.TEXTJOIN(",",TRUE,B237:E237),SF_Output!$Q$1:$Q$400,"monthly"),AND(B237&lt;&gt;"",H237&lt;&gt;SF_Output!$Y$2),SUMIFS(SF_Output!$S$1:$S$400,SF_Output!$AC$1:$AC$400,_xlfn.TEXTJOIN(",",TRUE,B237:E237),SF_Output!$Q$1:$Q$400,"monthly"))</f>
        <v/>
      </c>
      <c r="W237" s="112" t="str" cm="1">
        <f t="array" ref="W237">_xlfn.IFS(OR(B237=0,B237="",V237=0),"",AF237&lt;&gt;"exclusion",MAX($W$9,$W$7,(-(SUMIFS(SF_Output!$T$1:$T$400,SF_Output!$AC$1:$AC$400,_xlfn.TEXTJOIN(",",TRUE,$B237:$E237),SF_Output!$Q$1:$Q$400,"monthly"))/V237)),AF237="exclusion",-(SUMIFS(SF_Output!$T$1:$T$400,SF_Output!$AC$1:$AC$400,_xlfn.TEXTJOIN(",",TRUE,$B237:$E237),SF_Output!$Q$1:$Q$400,"monthly"))/V237)</f>
        <v/>
      </c>
      <c r="X237" s="6" t="str" cm="1">
        <f t="array" ref="X237">IFERROR(_xlfn.IFS(V237=0,0,V237="","",W237=0,V237,OR(V237&lt;&gt;0,V237&lt;&gt;""),H237*I237),V237*(1-W237))</f>
        <v/>
      </c>
      <c r="Z237" s="6" t="str">
        <f>IFERROR(IF(B237="","",SUMIFS(Billing_Fallout!H:H,Billing_Fallout!N:N,B237)),0)</f>
        <v/>
      </c>
      <c r="AA237" s="6" t="str">
        <f t="shared" si="55"/>
        <v/>
      </c>
      <c r="AB237" s="6" t="str">
        <f>IFERROR(IF(B237="","",SUMIFS(Billing_Fallout!J:J,Billing_Fallout!N:N,B237)),0)</f>
        <v/>
      </c>
      <c r="AD237" s="6" t="str">
        <f t="shared" si="56"/>
        <v/>
      </c>
      <c r="AF237" t="str">
        <f>IFERROR(INDEX(H_Tables!$B$1:$B$1500,MATCH(INDEX(SF_Output!$J$1:$J$400,MATCH(B237,SF_Output!$M$1:$M$400,0)),H_Tables!$A$1:$A$1500,0)),"")</f>
        <v/>
      </c>
      <c r="AI237" s="119" t="str">
        <f t="shared" si="57"/>
        <v/>
      </c>
      <c r="AJ237" s="121">
        <f>IFERROR(INDEX(SF_Output!AD:AD,MATCH(_xlfn.TEXTJOIN(",",TRUE,B237:E237),SF_Output!AC1:AC400,0)),0.05)</f>
        <v>241</v>
      </c>
      <c r="AK237" t="str">
        <f>IF(SUMIFS(SF_Output!$F$1:$F$400,SF_Output!$AC$1:$AC$400,_xlfn.TEXTJOIN(",",TRUE,B237:E237))+SUMIFS(SF_Output!$G$1:$G$400,SF_Output!$AC$1:$AC$400,_xlfn.TEXTJOIN(",",TRUE,B237:E237))=0,"","PAP")</f>
        <v/>
      </c>
      <c r="AQ237" s="35"/>
      <c r="AR237" s="35" t="str" cm="1">
        <f t="array" ref="AR237">IFERROR(_xlfn.IFS(AND(E237*1=1,F237="Included"),"Change to Included",AND(E237*1=0,F237="Optional"),"Change to Optional",OR(B237="",F237="replaced"),""),"")</f>
        <v/>
      </c>
      <c r="AS237" s="35" t="str">
        <f t="shared" si="58"/>
        <v/>
      </c>
      <c r="AT237" s="35" t="str">
        <f t="shared" si="59"/>
        <v/>
      </c>
      <c r="AU237" s="35" t="str">
        <f t="shared" si="60"/>
        <v/>
      </c>
      <c r="AV237" s="35" t="str">
        <f t="shared" si="61"/>
        <v/>
      </c>
      <c r="AW237" s="35" t="str">
        <f t="shared" si="62"/>
        <v/>
      </c>
      <c r="AX237" s="35" t="str">
        <f t="shared" si="63"/>
        <v/>
      </c>
      <c r="AY237" s="35" t="str">
        <f t="shared" si="64"/>
        <v/>
      </c>
      <c r="AZ237" s="35" t="str">
        <f t="shared" si="65"/>
        <v/>
      </c>
      <c r="BA237" s="35" t="str">
        <f t="shared" si="66"/>
        <v/>
      </c>
      <c r="BB237" s="35" t="str">
        <f t="shared" si="67"/>
        <v/>
      </c>
      <c r="BC237" s="35"/>
      <c r="BE237" s="35" t="e">
        <f>INDEX(SF_Output!$AA$2:$AA$400,MATCH($B237,SF_Output!$M$2:$M$400,0))</f>
        <v>#N/A</v>
      </c>
      <c r="BF237" s="35" t="e">
        <f>INDEX(SF_Output!$AB$2:$AB$400,MATCH($B237,SF_Output!$M$2:$M$400,0))</f>
        <v>#N/A</v>
      </c>
    </row>
    <row r="238" spans="6:58" x14ac:dyDescent="0.25">
      <c r="F238" s="116" t="str">
        <f t="shared" si="51"/>
        <v/>
      </c>
      <c r="G238" t="str">
        <f>IF(B238="","",INDEX(SF_Output!$K$1:$K$400,MATCH(B238,SF_Output!$M$1:$M$400,0)))</f>
        <v/>
      </c>
      <c r="H238" t="str" cm="1">
        <f t="array" ref="H238">_xlfn.IFS(B238="","",(SUMIFS(SF_Output!$F$1:$F$400,SF_Output!$AC$1:$AC$400,_xlfn.TEXTJOIN(",",TRUE,B238:E238))+SUMIFS(SF_Output!$G$1:$G$400,SF_Output!$AC$1:$AC$400,_xlfn.TEXTJOIN(",",TRUE,B238:E238)))&lt;&gt;0,SF_Output!$Y$2,INDEX(SF_Output!$F$1:$F$400,MATCH(_xlfn.TEXTJOIN(",",TRUE,B238:E238),SF_Output!$AC$1:$AC$400,0))=0,INDEX(SF_Output!$R$1:$R$400,MATCH(_xlfn.TEXTJOIN(",",TRUE,B238:E238),SF_Output!$AC$1:$AC$400,0)))</f>
        <v/>
      </c>
      <c r="I238" s="125" t="str">
        <f>IFERROR(IF(AND(H238&gt;1,H238&lt;&gt;""),ROUND(SUMIFS(SF_Output!$S$1:$S$400,SF_Output!$AC$1:$AC$400,_xlfn.TEXTJOIN(",",TRUE,B238:E238),SF_Output!$Q$1:$Q$400,"monthly")*(1-W238)/H238,4),""),"")</f>
        <v/>
      </c>
      <c r="J238" s="6" t="str">
        <f>IF(B238="","",SUMIFS(SF_Output!$S$1:$S$400,SF_Output!$AC$1:$AC$400,_xlfn.TEXTJOIN(",",TRUE,B238:E238),SF_Output!$Q$1:$Q$400,"One Time",SF_Output!$L$1:$L$400,"license fee")+SUMIFS(SF_Output!$S$1:$S$400,SF_Output!$AC$1:$AC$400,_xlfn.TEXTJOIN(",",TRUE,B238:E238),SF_Output!$Q$1:$Q$400,"One Time",SF_Output!$L$1:$L$400,"software license")+SUMIFS(SF_Output!$S$1:$S$400,SF_Output!$AC$1:$AC$400,_xlfn.TEXTJOIN(",",TRUE,B238:E238),SF_Output!$Q$1:$Q$400,"One Time",SF_Output!$L$1:$L$400,"hardware"))</f>
        <v/>
      </c>
      <c r="K238" s="112" t="str">
        <f>IF(OR(B238=0,B238="",G238="hardware",J238=0),"",IF(AF238&lt;&gt;"exclusion",MAX(K$9,-((SUMIFS(SF_Output!$T$1:$T$400,SF_Output!$AC$1:$AC$400,_xlfn.TEXTJOIN(",",TRUE,$B238:$E238),SF_Output!$Q$1:$Q$400,"One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license"))/J238)))</f>
        <v/>
      </c>
      <c r="L238" s="6" t="str">
        <f t="shared" si="52"/>
        <v/>
      </c>
      <c r="N238" s="6" t="str">
        <f>IF(B238="","",SUMIFS(SF_Output!$S$1:$S$400,SF_Output!$AC$1:$AC$400,_xlfn.TEXTJOIN(",",TRUE,B238:E238),SF_Output!$Q$1:$Q$400,"One Time",SF_Output!$L$1:$L$400,"professional service"))</f>
        <v/>
      </c>
      <c r="O238" s="112" t="str">
        <f>IF(OR(B238=0,B238="",N238=0),"",IF(AF238&lt;&gt;"exclusion",MAX(O$9,-(SUMIFS(SF_Output!$T$1:$T$400,SF_Output!$AC$1:$AC$400,_xlfn.TEXTJOIN(",",TRUE,$B238:$E238),SF_Output!$Q$1:$Q$400,"One Time",SF_Output!$L$1:$L$400,"professional service"))/N238),-((SUMIFS(SF_Output!$T$1:$T$400,SF_Output!$AC$1:$AC$400,_xlfn.TEXTJOIN(",",TRUE,$B238:$E238),SF_Output!$Q$1:$Q$400,"One Time",SF_Output!$L$1:$L$400,"professional service")/N238))))</f>
        <v/>
      </c>
      <c r="P238" s="6" t="str">
        <f t="shared" si="53"/>
        <v/>
      </c>
      <c r="R238" s="6" t="str">
        <f>IF(B238="","",SUMIFS(SF_Output!$S$1:$S$400,SF_Output!$AC$1:$AC$400,_xlfn.TEXTJOIN(",",TRUE,B238:E238),SF_Output!$Q$1:$Q$400,"yearly")+SUMIFS(SF_Output!$S$1:$S$400,SF_Output!$AC$1:$AC$400,_xlfn.TEXTJOIN(",",TRUE,B238:E238),SF_Output!$Q$1:$Q$400,"quarterly")*4)</f>
        <v/>
      </c>
      <c r="S238" s="112" t="str">
        <f>IF(OR(B238=0,B238="",G238="hardware",R238=0),"",IF(AF238&lt;&gt;"exclusion",MAX(S$9,-(SUMIFS(SF_Output!$T$1:$T$400,SF_Output!$AC$1:$AC$400,_xlfn.TEXTJOIN(",",TRUE,$B238:$E238),SF_Output!$Q$1:$Q$400,"yearly"))/R238),-((SUMIFS(SF_Output!$T$1:$T$400,SF_Output!$AC$1:$AC$400,_xlfn.TEXTJOIN(",",TRUE,$B238:$E238),SF_Output!$Q$1:$Q$400,"yearly")/R238))))</f>
        <v/>
      </c>
      <c r="T238" s="6" t="str">
        <f t="shared" si="54"/>
        <v/>
      </c>
      <c r="V238" s="6" t="str" cm="1">
        <f t="array" ref="V238">_xlfn.IFS(B238="","",AND(B238&lt;&gt;"",H238=SF_Output!$Y$2,SUMIFS(SF_Output!$T$1:$T$400,SF_Output!$AC$1:$AC$400,_xlfn.TEXTJOIN(",",TRUE,B238:E238),SF_Output!$Q$1:$Q$400,"monthly")=0),(SUMIFS(SF_Output!$F$1:$F$400,SF_Output!$AC$1:$AC$400,_xlfn.TEXTJOIN(",",TRUE,B238:E238),SF_Output!$Q$1:$Q$400,"monthly")+SUMIFS(SF_Output!$G$1:$G$400,SF_Output!$AC$1:$AC$400,_xlfn.TEXTJOIN(",",TRUE,B238:E238),SF_Output!$Q$1:$Q$400,"monthly"))*H238,AND(B238&lt;&gt;"",H238=SF_Output!$Y$2,SUMIFS(SF_Output!$T$1:$T$400,SF_Output!$AC$1:$AC$400,_xlfn.TEXTJOIN(",",TRUE,B238:E238),SF_Output!$Q$1:$Q$400,"monthly")&lt;&gt;0),SUMIFS(SF_Output!$S$1:$S$400,SF_Output!$AC$1:$AC$400,_xlfn.TEXTJOIN(",",TRUE,B238:E238),SF_Output!$Q$1:$Q$400,"monthly"),AND(B238&lt;&gt;"",H238&lt;&gt;SF_Output!$Y$2),SUMIFS(SF_Output!$S$1:$S$400,SF_Output!$AC$1:$AC$400,_xlfn.TEXTJOIN(",",TRUE,B238:E238),SF_Output!$Q$1:$Q$400,"monthly"))</f>
        <v/>
      </c>
      <c r="W238" s="112" t="str" cm="1">
        <f t="array" ref="W238">_xlfn.IFS(OR(B238=0,B238="",V238=0),"",AF238&lt;&gt;"exclusion",MAX($W$9,$W$7,(-(SUMIFS(SF_Output!$T$1:$T$400,SF_Output!$AC$1:$AC$400,_xlfn.TEXTJOIN(",",TRUE,$B238:$E238),SF_Output!$Q$1:$Q$400,"monthly"))/V238)),AF238="exclusion",-(SUMIFS(SF_Output!$T$1:$T$400,SF_Output!$AC$1:$AC$400,_xlfn.TEXTJOIN(",",TRUE,$B238:$E238),SF_Output!$Q$1:$Q$400,"monthly"))/V238)</f>
        <v/>
      </c>
      <c r="X238" s="6" t="str" cm="1">
        <f t="array" ref="X238">IFERROR(_xlfn.IFS(V238=0,0,V238="","",W238=0,V238,OR(V238&lt;&gt;0,V238&lt;&gt;""),H238*I238),V238*(1-W238))</f>
        <v/>
      </c>
      <c r="Z238" s="6" t="str">
        <f>IFERROR(IF(B238="","",SUMIFS(Billing_Fallout!H:H,Billing_Fallout!N:N,B238)),0)</f>
        <v/>
      </c>
      <c r="AA238" s="6" t="str">
        <f t="shared" si="55"/>
        <v/>
      </c>
      <c r="AB238" s="6" t="str">
        <f>IFERROR(IF(B238="","",SUMIFS(Billing_Fallout!J:J,Billing_Fallout!N:N,B238)),0)</f>
        <v/>
      </c>
      <c r="AD238" s="6" t="str">
        <f t="shared" si="56"/>
        <v/>
      </c>
      <c r="AF238" t="str">
        <f>IFERROR(INDEX(H_Tables!$B$1:$B$1500,MATCH(INDEX(SF_Output!$J$1:$J$400,MATCH(B238,SF_Output!$M$1:$M$400,0)),H_Tables!$A$1:$A$1500,0)),"")</f>
        <v/>
      </c>
      <c r="AI238" s="119" t="str">
        <f t="shared" si="57"/>
        <v/>
      </c>
      <c r="AJ238" s="121">
        <f>IFERROR(INDEX(SF_Output!AD:AD,MATCH(_xlfn.TEXTJOIN(",",TRUE,B238:E238),SF_Output!AC1:AC400,0)),0.05)</f>
        <v>241</v>
      </c>
      <c r="AK238" t="str">
        <f>IF(SUMIFS(SF_Output!$F$1:$F$400,SF_Output!$AC$1:$AC$400,_xlfn.TEXTJOIN(",",TRUE,B238:E238))+SUMIFS(SF_Output!$G$1:$G$400,SF_Output!$AC$1:$AC$400,_xlfn.TEXTJOIN(",",TRUE,B238:E238))=0,"","PAP")</f>
        <v/>
      </c>
      <c r="AQ238" s="35"/>
      <c r="AR238" s="35" t="str" cm="1">
        <f t="array" ref="AR238">IFERROR(_xlfn.IFS(AND(E238*1=1,F238="Included"),"Change to Included",AND(E238*1=0,F238="Optional"),"Change to Optional",OR(B238="",F238="replaced"),""),"")</f>
        <v/>
      </c>
      <c r="AS238" s="35" t="str">
        <f t="shared" si="58"/>
        <v/>
      </c>
      <c r="AT238" s="35" t="str">
        <f t="shared" si="59"/>
        <v/>
      </c>
      <c r="AU238" s="35" t="str">
        <f t="shared" si="60"/>
        <v/>
      </c>
      <c r="AV238" s="35" t="str">
        <f t="shared" si="61"/>
        <v/>
      </c>
      <c r="AW238" s="35" t="str">
        <f t="shared" si="62"/>
        <v/>
      </c>
      <c r="AX238" s="35" t="str">
        <f t="shared" si="63"/>
        <v/>
      </c>
      <c r="AY238" s="35" t="str">
        <f t="shared" si="64"/>
        <v/>
      </c>
      <c r="AZ238" s="35" t="str">
        <f t="shared" si="65"/>
        <v/>
      </c>
      <c r="BA238" s="35" t="str">
        <f t="shared" si="66"/>
        <v/>
      </c>
      <c r="BB238" s="35" t="str">
        <f t="shared" si="67"/>
        <v/>
      </c>
      <c r="BC238" s="35"/>
      <c r="BE238" s="35" t="e">
        <f>INDEX(SF_Output!$AA$2:$AA$400,MATCH($B238,SF_Output!$M$2:$M$400,0))</f>
        <v>#N/A</v>
      </c>
      <c r="BF238" s="35" t="e">
        <f>INDEX(SF_Output!$AB$2:$AB$400,MATCH($B238,SF_Output!$M$2:$M$400,0))</f>
        <v>#N/A</v>
      </c>
    </row>
    <row r="239" spans="6:58" x14ac:dyDescent="0.25">
      <c r="F239" s="116" t="str">
        <f t="shared" si="51"/>
        <v/>
      </c>
      <c r="G239" t="str">
        <f>IF(B239="","",INDEX(SF_Output!$K$1:$K$400,MATCH(B239,SF_Output!$M$1:$M$400,0)))</f>
        <v/>
      </c>
      <c r="H239" t="str" cm="1">
        <f t="array" ref="H239">_xlfn.IFS(B239="","",(SUMIFS(SF_Output!$F$1:$F$400,SF_Output!$AC$1:$AC$400,_xlfn.TEXTJOIN(",",TRUE,B239:E239))+SUMIFS(SF_Output!$G$1:$G$400,SF_Output!$AC$1:$AC$400,_xlfn.TEXTJOIN(",",TRUE,B239:E239)))&lt;&gt;0,SF_Output!$Y$2,INDEX(SF_Output!$F$1:$F$400,MATCH(_xlfn.TEXTJOIN(",",TRUE,B239:E239),SF_Output!$AC$1:$AC$400,0))=0,INDEX(SF_Output!$R$1:$R$400,MATCH(_xlfn.TEXTJOIN(",",TRUE,B239:E239),SF_Output!$AC$1:$AC$400,0)))</f>
        <v/>
      </c>
      <c r="I239" s="125" t="str">
        <f>IFERROR(IF(AND(H239&gt;1,H239&lt;&gt;""),ROUND(SUMIFS(SF_Output!$S$1:$S$400,SF_Output!$AC$1:$AC$400,_xlfn.TEXTJOIN(",",TRUE,B239:E239),SF_Output!$Q$1:$Q$400,"monthly")*(1-W239)/H239,4),""),"")</f>
        <v/>
      </c>
      <c r="J239" s="6" t="str">
        <f>IF(B239="","",SUMIFS(SF_Output!$S$1:$S$400,SF_Output!$AC$1:$AC$400,_xlfn.TEXTJOIN(",",TRUE,B239:E239),SF_Output!$Q$1:$Q$400,"One Time",SF_Output!$L$1:$L$400,"license fee")+SUMIFS(SF_Output!$S$1:$S$400,SF_Output!$AC$1:$AC$400,_xlfn.TEXTJOIN(",",TRUE,B239:E239),SF_Output!$Q$1:$Q$400,"One Time",SF_Output!$L$1:$L$400,"software license")+SUMIFS(SF_Output!$S$1:$S$400,SF_Output!$AC$1:$AC$400,_xlfn.TEXTJOIN(",",TRUE,B239:E239),SF_Output!$Q$1:$Q$400,"One Time",SF_Output!$L$1:$L$400,"hardware"))</f>
        <v/>
      </c>
      <c r="K239" s="112" t="str">
        <f>IF(OR(B239=0,B239="",G239="hardware",J239=0),"",IF(AF239&lt;&gt;"exclusion",MAX(K$9,-((SUMIFS(SF_Output!$T$1:$T$400,SF_Output!$AC$1:$AC$400,_xlfn.TEXTJOIN(",",TRUE,$B239:$E239),SF_Output!$Q$1:$Q$400,"One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license"))/J239)))</f>
        <v/>
      </c>
      <c r="L239" s="6" t="str">
        <f t="shared" si="52"/>
        <v/>
      </c>
      <c r="N239" s="6" t="str">
        <f>IF(B239="","",SUMIFS(SF_Output!$S$1:$S$400,SF_Output!$AC$1:$AC$400,_xlfn.TEXTJOIN(",",TRUE,B239:E239),SF_Output!$Q$1:$Q$400,"One Time",SF_Output!$L$1:$L$400,"professional service"))</f>
        <v/>
      </c>
      <c r="O239" s="112" t="str">
        <f>IF(OR(B239=0,B239="",N239=0),"",IF(AF239&lt;&gt;"exclusion",MAX(O$9,-(SUMIFS(SF_Output!$T$1:$T$400,SF_Output!$AC$1:$AC$400,_xlfn.TEXTJOIN(",",TRUE,$B239:$E239),SF_Output!$Q$1:$Q$400,"One Time",SF_Output!$L$1:$L$400,"professional service"))/N239),-((SUMIFS(SF_Output!$T$1:$T$400,SF_Output!$AC$1:$AC$400,_xlfn.TEXTJOIN(",",TRUE,$B239:$E239),SF_Output!$Q$1:$Q$400,"One Time",SF_Output!$L$1:$L$400,"professional service")/N239))))</f>
        <v/>
      </c>
      <c r="P239" s="6" t="str">
        <f t="shared" si="53"/>
        <v/>
      </c>
      <c r="R239" s="6" t="str">
        <f>IF(B239="","",SUMIFS(SF_Output!$S$1:$S$400,SF_Output!$AC$1:$AC$400,_xlfn.TEXTJOIN(",",TRUE,B239:E239),SF_Output!$Q$1:$Q$400,"yearly")+SUMIFS(SF_Output!$S$1:$S$400,SF_Output!$AC$1:$AC$400,_xlfn.TEXTJOIN(",",TRUE,B239:E239),SF_Output!$Q$1:$Q$400,"quarterly")*4)</f>
        <v/>
      </c>
      <c r="S239" s="112" t="str">
        <f>IF(OR(B239=0,B239="",G239="hardware",R239=0),"",IF(AF239&lt;&gt;"exclusion",MAX(S$9,-(SUMIFS(SF_Output!$T$1:$T$400,SF_Output!$AC$1:$AC$400,_xlfn.TEXTJOIN(",",TRUE,$B239:$E239),SF_Output!$Q$1:$Q$400,"yearly"))/R239),-((SUMIFS(SF_Output!$T$1:$T$400,SF_Output!$AC$1:$AC$400,_xlfn.TEXTJOIN(",",TRUE,$B239:$E239),SF_Output!$Q$1:$Q$400,"yearly")/R239))))</f>
        <v/>
      </c>
      <c r="T239" s="6" t="str">
        <f t="shared" si="54"/>
        <v/>
      </c>
      <c r="V239" s="6" t="str" cm="1">
        <f t="array" ref="V239">_xlfn.IFS(B239="","",AND(B239&lt;&gt;"",H239=SF_Output!$Y$2,SUMIFS(SF_Output!$T$1:$T$400,SF_Output!$AC$1:$AC$400,_xlfn.TEXTJOIN(",",TRUE,B239:E239),SF_Output!$Q$1:$Q$400,"monthly")=0),(SUMIFS(SF_Output!$F$1:$F$400,SF_Output!$AC$1:$AC$400,_xlfn.TEXTJOIN(",",TRUE,B239:E239),SF_Output!$Q$1:$Q$400,"monthly")+SUMIFS(SF_Output!$G$1:$G$400,SF_Output!$AC$1:$AC$400,_xlfn.TEXTJOIN(",",TRUE,B239:E239),SF_Output!$Q$1:$Q$400,"monthly"))*H239,AND(B239&lt;&gt;"",H239=SF_Output!$Y$2,SUMIFS(SF_Output!$T$1:$T$400,SF_Output!$AC$1:$AC$400,_xlfn.TEXTJOIN(",",TRUE,B239:E239),SF_Output!$Q$1:$Q$400,"monthly")&lt;&gt;0),SUMIFS(SF_Output!$S$1:$S$400,SF_Output!$AC$1:$AC$400,_xlfn.TEXTJOIN(",",TRUE,B239:E239),SF_Output!$Q$1:$Q$400,"monthly"),AND(B239&lt;&gt;"",H239&lt;&gt;SF_Output!$Y$2),SUMIFS(SF_Output!$S$1:$S$400,SF_Output!$AC$1:$AC$400,_xlfn.TEXTJOIN(",",TRUE,B239:E239),SF_Output!$Q$1:$Q$400,"monthly"))</f>
        <v/>
      </c>
      <c r="W239" s="112" t="str" cm="1">
        <f t="array" ref="W239">_xlfn.IFS(OR(B239=0,B239="",V239=0),"",AF239&lt;&gt;"exclusion",MAX($W$9,$W$7,(-(SUMIFS(SF_Output!$T$1:$T$400,SF_Output!$AC$1:$AC$400,_xlfn.TEXTJOIN(",",TRUE,$B239:$E239),SF_Output!$Q$1:$Q$400,"monthly"))/V239)),AF239="exclusion",-(SUMIFS(SF_Output!$T$1:$T$400,SF_Output!$AC$1:$AC$400,_xlfn.TEXTJOIN(",",TRUE,$B239:$E239),SF_Output!$Q$1:$Q$400,"monthly"))/V239)</f>
        <v/>
      </c>
      <c r="X239" s="6" t="str" cm="1">
        <f t="array" ref="X239">IFERROR(_xlfn.IFS(V239=0,0,V239="","",W239=0,V239,OR(V239&lt;&gt;0,V239&lt;&gt;""),H239*I239),V239*(1-W239))</f>
        <v/>
      </c>
      <c r="Z239" s="6" t="str">
        <f>IFERROR(IF(B239="","",SUMIFS(Billing_Fallout!H:H,Billing_Fallout!N:N,B239)),0)</f>
        <v/>
      </c>
      <c r="AA239" s="6" t="str">
        <f t="shared" si="55"/>
        <v/>
      </c>
      <c r="AB239" s="6" t="str">
        <f>IFERROR(IF(B239="","",SUMIFS(Billing_Fallout!J:J,Billing_Fallout!N:N,B239)),0)</f>
        <v/>
      </c>
      <c r="AD239" s="6" t="str">
        <f t="shared" si="56"/>
        <v/>
      </c>
      <c r="AF239" t="str">
        <f>IFERROR(INDEX(H_Tables!$B$1:$B$1500,MATCH(INDEX(SF_Output!$J$1:$J$400,MATCH(B239,SF_Output!$M$1:$M$400,0)),H_Tables!$A$1:$A$1500,0)),"")</f>
        <v/>
      </c>
      <c r="AI239" s="119" t="str">
        <f t="shared" si="57"/>
        <v/>
      </c>
      <c r="AJ239" s="121">
        <f>IFERROR(INDEX(SF_Output!AD:AD,MATCH(_xlfn.TEXTJOIN(",",TRUE,B239:E239),SF_Output!AC1:AC400,0)),0.05)</f>
        <v>241</v>
      </c>
      <c r="AK239" t="str">
        <f>IF(SUMIFS(SF_Output!$F$1:$F$400,SF_Output!$AC$1:$AC$400,_xlfn.TEXTJOIN(",",TRUE,B239:E239))+SUMIFS(SF_Output!$G$1:$G$400,SF_Output!$AC$1:$AC$400,_xlfn.TEXTJOIN(",",TRUE,B239:E239))=0,"","PAP")</f>
        <v/>
      </c>
      <c r="AQ239" s="35"/>
      <c r="AR239" s="35" t="str" cm="1">
        <f t="array" ref="AR239">IFERROR(_xlfn.IFS(AND(E239*1=1,F239="Included"),"Change to Included",AND(E239*1=0,F239="Optional"),"Change to Optional",OR(B239="",F239="replaced"),""),"")</f>
        <v/>
      </c>
      <c r="AS239" s="35" t="str">
        <f t="shared" si="58"/>
        <v/>
      </c>
      <c r="AT239" s="35" t="str">
        <f t="shared" si="59"/>
        <v/>
      </c>
      <c r="AU239" s="35" t="str">
        <f t="shared" si="60"/>
        <v/>
      </c>
      <c r="AV239" s="35" t="str">
        <f t="shared" si="61"/>
        <v/>
      </c>
      <c r="AW239" s="35" t="str">
        <f t="shared" si="62"/>
        <v/>
      </c>
      <c r="AX239" s="35" t="str">
        <f t="shared" si="63"/>
        <v/>
      </c>
      <c r="AY239" s="35" t="str">
        <f t="shared" si="64"/>
        <v/>
      </c>
      <c r="AZ239" s="35" t="str">
        <f t="shared" si="65"/>
        <v/>
      </c>
      <c r="BA239" s="35" t="str">
        <f t="shared" si="66"/>
        <v/>
      </c>
      <c r="BB239" s="35" t="str">
        <f t="shared" si="67"/>
        <v/>
      </c>
      <c r="BC239" s="35"/>
      <c r="BE239" s="35" t="e">
        <f>INDEX(SF_Output!$AA$2:$AA$400,MATCH($B239,SF_Output!$M$2:$M$400,0))</f>
        <v>#N/A</v>
      </c>
      <c r="BF239" s="35" t="e">
        <f>INDEX(SF_Output!$AB$2:$AB$400,MATCH($B239,SF_Output!$M$2:$M$400,0))</f>
        <v>#N/A</v>
      </c>
    </row>
    <row r="240" spans="6:58" x14ac:dyDescent="0.25">
      <c r="F240" s="116" t="str">
        <f t="shared" si="51"/>
        <v/>
      </c>
      <c r="G240" t="str">
        <f>IF(B240="","",INDEX(SF_Output!$K$1:$K$400,MATCH(B240,SF_Output!$M$1:$M$400,0)))</f>
        <v/>
      </c>
      <c r="H240" t="str" cm="1">
        <f t="array" ref="H240">_xlfn.IFS(B240="","",(SUMIFS(SF_Output!$F$1:$F$400,SF_Output!$AC$1:$AC$400,_xlfn.TEXTJOIN(",",TRUE,B240:E240))+SUMIFS(SF_Output!$G$1:$G$400,SF_Output!$AC$1:$AC$400,_xlfn.TEXTJOIN(",",TRUE,B240:E240)))&lt;&gt;0,SF_Output!$Y$2,INDEX(SF_Output!$F$1:$F$400,MATCH(_xlfn.TEXTJOIN(",",TRUE,B240:E240),SF_Output!$AC$1:$AC$400,0))=0,INDEX(SF_Output!$R$1:$R$400,MATCH(_xlfn.TEXTJOIN(",",TRUE,B240:E240),SF_Output!$AC$1:$AC$400,0)))</f>
        <v/>
      </c>
      <c r="I240" s="125" t="str">
        <f>IFERROR(IF(AND(H240&gt;1,H240&lt;&gt;""),ROUND(SUMIFS(SF_Output!$S$1:$S$400,SF_Output!$AC$1:$AC$400,_xlfn.TEXTJOIN(",",TRUE,B240:E240),SF_Output!$Q$1:$Q$400,"monthly")*(1-W240)/H240,4),""),"")</f>
        <v/>
      </c>
      <c r="J240" s="6" t="str">
        <f>IF(B240="","",SUMIFS(SF_Output!$S$1:$S$400,SF_Output!$AC$1:$AC$400,_xlfn.TEXTJOIN(",",TRUE,B240:E240),SF_Output!$Q$1:$Q$400,"One Time",SF_Output!$L$1:$L$400,"license fee")+SUMIFS(SF_Output!$S$1:$S$400,SF_Output!$AC$1:$AC$400,_xlfn.TEXTJOIN(",",TRUE,B240:E240),SF_Output!$Q$1:$Q$400,"One Time",SF_Output!$L$1:$L$400,"software license")+SUMIFS(SF_Output!$S$1:$S$400,SF_Output!$AC$1:$AC$400,_xlfn.TEXTJOIN(",",TRUE,B240:E240),SF_Output!$Q$1:$Q$400,"One Time",SF_Output!$L$1:$L$400,"hardware"))</f>
        <v/>
      </c>
      <c r="K240" s="112" t="str">
        <f>IF(OR(B240=0,B240="",G240="hardware",J240=0),"",IF(AF240&lt;&gt;"exclusion",MAX(K$9,-((SUMIFS(SF_Output!$T$1:$T$400,SF_Output!$AC$1:$AC$400,_xlfn.TEXTJOIN(",",TRUE,$B240:$E240),SF_Output!$Q$1:$Q$400,"One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license"))/J240)))</f>
        <v/>
      </c>
      <c r="L240" s="6" t="str">
        <f t="shared" si="52"/>
        <v/>
      </c>
      <c r="N240" s="6" t="str">
        <f>IF(B240="","",SUMIFS(SF_Output!$S$1:$S$400,SF_Output!$AC$1:$AC$400,_xlfn.TEXTJOIN(",",TRUE,B240:E240),SF_Output!$Q$1:$Q$400,"One Time",SF_Output!$L$1:$L$400,"professional service"))</f>
        <v/>
      </c>
      <c r="O240" s="112" t="str">
        <f>IF(OR(B240=0,B240="",N240=0),"",IF(AF240&lt;&gt;"exclusion",MAX(O$9,-(SUMIFS(SF_Output!$T$1:$T$400,SF_Output!$AC$1:$AC$400,_xlfn.TEXTJOIN(",",TRUE,$B240:$E240),SF_Output!$Q$1:$Q$400,"One Time",SF_Output!$L$1:$L$400,"professional service"))/N240),-((SUMIFS(SF_Output!$T$1:$T$400,SF_Output!$AC$1:$AC$400,_xlfn.TEXTJOIN(",",TRUE,$B240:$E240),SF_Output!$Q$1:$Q$400,"One Time",SF_Output!$L$1:$L$400,"professional service")/N240))))</f>
        <v/>
      </c>
      <c r="P240" s="6" t="str">
        <f t="shared" si="53"/>
        <v/>
      </c>
      <c r="R240" s="6" t="str">
        <f>IF(B240="","",SUMIFS(SF_Output!$S$1:$S$400,SF_Output!$AC$1:$AC$400,_xlfn.TEXTJOIN(",",TRUE,B240:E240),SF_Output!$Q$1:$Q$400,"yearly")+SUMIFS(SF_Output!$S$1:$S$400,SF_Output!$AC$1:$AC$400,_xlfn.TEXTJOIN(",",TRUE,B240:E240),SF_Output!$Q$1:$Q$400,"quarterly")*4)</f>
        <v/>
      </c>
      <c r="S240" s="112" t="str">
        <f>IF(OR(B240=0,B240="",G240="hardware",R240=0),"",IF(AF240&lt;&gt;"exclusion",MAX(S$9,-(SUMIFS(SF_Output!$T$1:$T$400,SF_Output!$AC$1:$AC$400,_xlfn.TEXTJOIN(",",TRUE,$B240:$E240),SF_Output!$Q$1:$Q$400,"yearly"))/R240),-((SUMIFS(SF_Output!$T$1:$T$400,SF_Output!$AC$1:$AC$400,_xlfn.TEXTJOIN(",",TRUE,$B240:$E240),SF_Output!$Q$1:$Q$400,"yearly")/R240))))</f>
        <v/>
      </c>
      <c r="T240" s="6" t="str">
        <f t="shared" si="54"/>
        <v/>
      </c>
      <c r="V240" s="6" t="str" cm="1">
        <f t="array" ref="V240">_xlfn.IFS(B240="","",AND(B240&lt;&gt;"",H240=SF_Output!$Y$2,SUMIFS(SF_Output!$T$1:$T$400,SF_Output!$AC$1:$AC$400,_xlfn.TEXTJOIN(",",TRUE,B240:E240),SF_Output!$Q$1:$Q$400,"monthly")=0),(SUMIFS(SF_Output!$F$1:$F$400,SF_Output!$AC$1:$AC$400,_xlfn.TEXTJOIN(",",TRUE,B240:E240),SF_Output!$Q$1:$Q$400,"monthly")+SUMIFS(SF_Output!$G$1:$G$400,SF_Output!$AC$1:$AC$400,_xlfn.TEXTJOIN(",",TRUE,B240:E240),SF_Output!$Q$1:$Q$400,"monthly"))*H240,AND(B240&lt;&gt;"",H240=SF_Output!$Y$2,SUMIFS(SF_Output!$T$1:$T$400,SF_Output!$AC$1:$AC$400,_xlfn.TEXTJOIN(",",TRUE,B240:E240),SF_Output!$Q$1:$Q$400,"monthly")&lt;&gt;0),SUMIFS(SF_Output!$S$1:$S$400,SF_Output!$AC$1:$AC$400,_xlfn.TEXTJOIN(",",TRUE,B240:E240),SF_Output!$Q$1:$Q$400,"monthly"),AND(B240&lt;&gt;"",H240&lt;&gt;SF_Output!$Y$2),SUMIFS(SF_Output!$S$1:$S$400,SF_Output!$AC$1:$AC$400,_xlfn.TEXTJOIN(",",TRUE,B240:E240),SF_Output!$Q$1:$Q$400,"monthly"))</f>
        <v/>
      </c>
      <c r="W240" s="112" t="str" cm="1">
        <f t="array" ref="W240">_xlfn.IFS(OR(B240=0,B240="",V240=0),"",AF240&lt;&gt;"exclusion",MAX($W$9,$W$7,(-(SUMIFS(SF_Output!$T$1:$T$400,SF_Output!$AC$1:$AC$400,_xlfn.TEXTJOIN(",",TRUE,$B240:$E240),SF_Output!$Q$1:$Q$400,"monthly"))/V240)),AF240="exclusion",-(SUMIFS(SF_Output!$T$1:$T$400,SF_Output!$AC$1:$AC$400,_xlfn.TEXTJOIN(",",TRUE,$B240:$E240),SF_Output!$Q$1:$Q$400,"monthly"))/V240)</f>
        <v/>
      </c>
      <c r="X240" s="6" t="str" cm="1">
        <f t="array" ref="X240">IFERROR(_xlfn.IFS(V240=0,0,V240="","",W240=0,V240,OR(V240&lt;&gt;0,V240&lt;&gt;""),H240*I240),V240*(1-W240))</f>
        <v/>
      </c>
      <c r="Z240" s="6" t="str">
        <f>IFERROR(IF(B240="","",SUMIFS(Billing_Fallout!H:H,Billing_Fallout!N:N,B240)),0)</f>
        <v/>
      </c>
      <c r="AA240" s="6" t="str">
        <f t="shared" si="55"/>
        <v/>
      </c>
      <c r="AB240" s="6" t="str">
        <f>IFERROR(IF(B240="","",SUMIFS(Billing_Fallout!J:J,Billing_Fallout!N:N,B240)),0)</f>
        <v/>
      </c>
      <c r="AD240" s="6" t="str">
        <f t="shared" si="56"/>
        <v/>
      </c>
      <c r="AF240" t="str">
        <f>IFERROR(INDEX(H_Tables!$B$1:$B$1500,MATCH(INDEX(SF_Output!$J$1:$J$400,MATCH(B240,SF_Output!$M$1:$M$400,0)),H_Tables!$A$1:$A$1500,0)),"")</f>
        <v/>
      </c>
      <c r="AI240" s="119" t="str">
        <f t="shared" si="57"/>
        <v/>
      </c>
      <c r="AJ240" s="121">
        <f>IFERROR(INDEX(SF_Output!AD:AD,MATCH(_xlfn.TEXTJOIN(",",TRUE,B240:E240),SF_Output!AC1:AC400,0)),0.05)</f>
        <v>241</v>
      </c>
      <c r="AK240" t="str">
        <f>IF(SUMIFS(SF_Output!$F$1:$F$400,SF_Output!$AC$1:$AC$400,_xlfn.TEXTJOIN(",",TRUE,B240:E240))+SUMIFS(SF_Output!$G$1:$G$400,SF_Output!$AC$1:$AC$400,_xlfn.TEXTJOIN(",",TRUE,B240:E240))=0,"","PAP")</f>
        <v/>
      </c>
      <c r="AQ240" s="35"/>
      <c r="AR240" s="35" t="str" cm="1">
        <f t="array" ref="AR240">IFERROR(_xlfn.IFS(AND(E240*1=1,F240="Included"),"Change to Included",AND(E240*1=0,F240="Optional"),"Change to Optional",OR(B240="",F240="replaced"),""),"")</f>
        <v/>
      </c>
      <c r="AS240" s="35" t="str">
        <f t="shared" si="58"/>
        <v/>
      </c>
      <c r="AT240" s="35" t="str">
        <f t="shared" si="59"/>
        <v/>
      </c>
      <c r="AU240" s="35" t="str">
        <f t="shared" si="60"/>
        <v/>
      </c>
      <c r="AV240" s="35" t="str">
        <f t="shared" si="61"/>
        <v/>
      </c>
      <c r="AW240" s="35" t="str">
        <f t="shared" si="62"/>
        <v/>
      </c>
      <c r="AX240" s="35" t="str">
        <f t="shared" si="63"/>
        <v/>
      </c>
      <c r="AY240" s="35" t="str">
        <f t="shared" si="64"/>
        <v/>
      </c>
      <c r="AZ240" s="35" t="str">
        <f t="shared" si="65"/>
        <v/>
      </c>
      <c r="BA240" s="35" t="str">
        <f t="shared" si="66"/>
        <v/>
      </c>
      <c r="BB240" s="35" t="str">
        <f t="shared" si="67"/>
        <v/>
      </c>
      <c r="BC240" s="35"/>
      <c r="BE240" s="35" t="e">
        <f>INDEX(SF_Output!$AA$2:$AA$400,MATCH($B240,SF_Output!$M$2:$M$400,0))</f>
        <v>#N/A</v>
      </c>
      <c r="BF240" s="35" t="e">
        <f>INDEX(SF_Output!$AB$2:$AB$400,MATCH($B240,SF_Output!$M$2:$M$400,0))</f>
        <v>#N/A</v>
      </c>
    </row>
    <row r="241" spans="6:58" x14ac:dyDescent="0.25">
      <c r="F241" s="116" t="str">
        <f t="shared" si="51"/>
        <v/>
      </c>
      <c r="G241" t="str">
        <f>IF(B241="","",INDEX(SF_Output!$K$1:$K$400,MATCH(B241,SF_Output!$M$1:$M$400,0)))</f>
        <v/>
      </c>
      <c r="H241" t="str" cm="1">
        <f t="array" ref="H241">_xlfn.IFS(B241="","",(SUMIFS(SF_Output!$F$1:$F$400,SF_Output!$AC$1:$AC$400,_xlfn.TEXTJOIN(",",TRUE,B241:E241))+SUMIFS(SF_Output!$G$1:$G$400,SF_Output!$AC$1:$AC$400,_xlfn.TEXTJOIN(",",TRUE,B241:E241)))&lt;&gt;0,SF_Output!$Y$2,INDEX(SF_Output!$F$1:$F$400,MATCH(_xlfn.TEXTJOIN(",",TRUE,B241:E241),SF_Output!$AC$1:$AC$400,0))=0,INDEX(SF_Output!$R$1:$R$400,MATCH(_xlfn.TEXTJOIN(",",TRUE,B241:E241),SF_Output!$AC$1:$AC$400,0)))</f>
        <v/>
      </c>
      <c r="I241" s="125" t="str">
        <f>IFERROR(IF(AND(H241&gt;1,H241&lt;&gt;""),ROUND(SUMIFS(SF_Output!$S$1:$S$400,SF_Output!$AC$1:$AC$400,_xlfn.TEXTJOIN(",",TRUE,B241:E241),SF_Output!$Q$1:$Q$400,"monthly")*(1-W241)/H241,4),""),"")</f>
        <v/>
      </c>
      <c r="J241" s="6" t="str">
        <f>IF(B241="","",SUMIFS(SF_Output!$S$1:$S$400,SF_Output!$AC$1:$AC$400,_xlfn.TEXTJOIN(",",TRUE,B241:E241),SF_Output!$Q$1:$Q$400,"One Time",SF_Output!$L$1:$L$400,"license fee")+SUMIFS(SF_Output!$S$1:$S$400,SF_Output!$AC$1:$AC$400,_xlfn.TEXTJOIN(",",TRUE,B241:E241),SF_Output!$Q$1:$Q$400,"One Time",SF_Output!$L$1:$L$400,"software license")+SUMIFS(SF_Output!$S$1:$S$400,SF_Output!$AC$1:$AC$400,_xlfn.TEXTJOIN(",",TRUE,B241:E241),SF_Output!$Q$1:$Q$400,"One Time",SF_Output!$L$1:$L$400,"hardware"))</f>
        <v/>
      </c>
      <c r="K241" s="112" t="str">
        <f>IF(OR(B241=0,B241="",G241="hardware",J241=0),"",IF(AF241&lt;&gt;"exclusion",MAX(K$9,-((SUMIFS(SF_Output!$T$1:$T$400,SF_Output!$AC$1:$AC$400,_xlfn.TEXTJOIN(",",TRUE,$B241:$E241),SF_Output!$Q$1:$Q$400,"One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license"))/J241)))</f>
        <v/>
      </c>
      <c r="L241" s="6" t="str">
        <f t="shared" si="52"/>
        <v/>
      </c>
      <c r="N241" s="6" t="str">
        <f>IF(B241="","",SUMIFS(SF_Output!$S$1:$S$400,SF_Output!$AC$1:$AC$400,_xlfn.TEXTJOIN(",",TRUE,B241:E241),SF_Output!$Q$1:$Q$400,"One Time",SF_Output!$L$1:$L$400,"professional service"))</f>
        <v/>
      </c>
      <c r="O241" s="112" t="str">
        <f>IF(OR(B241=0,B241="",N241=0),"",IF(AF241&lt;&gt;"exclusion",MAX(O$9,-(SUMIFS(SF_Output!$T$1:$T$400,SF_Output!$AC$1:$AC$400,_xlfn.TEXTJOIN(",",TRUE,$B241:$E241),SF_Output!$Q$1:$Q$400,"One Time",SF_Output!$L$1:$L$400,"professional service"))/N241),-((SUMIFS(SF_Output!$T$1:$T$400,SF_Output!$AC$1:$AC$400,_xlfn.TEXTJOIN(",",TRUE,$B241:$E241),SF_Output!$Q$1:$Q$400,"One Time",SF_Output!$L$1:$L$400,"professional service")/N241))))</f>
        <v/>
      </c>
      <c r="P241" s="6" t="str">
        <f t="shared" si="53"/>
        <v/>
      </c>
      <c r="R241" s="6" t="str">
        <f>IF(B241="","",SUMIFS(SF_Output!$S$1:$S$400,SF_Output!$AC$1:$AC$400,_xlfn.TEXTJOIN(",",TRUE,B241:E241),SF_Output!$Q$1:$Q$400,"yearly")+SUMIFS(SF_Output!$S$1:$S$400,SF_Output!$AC$1:$AC$400,_xlfn.TEXTJOIN(",",TRUE,B241:E241),SF_Output!$Q$1:$Q$400,"quarterly")*4)</f>
        <v/>
      </c>
      <c r="S241" s="112" t="str">
        <f>IF(OR(B241=0,B241="",G241="hardware",R241=0),"",IF(AF241&lt;&gt;"exclusion",MAX(S$9,-(SUMIFS(SF_Output!$T$1:$T$400,SF_Output!$AC$1:$AC$400,_xlfn.TEXTJOIN(",",TRUE,$B241:$E241),SF_Output!$Q$1:$Q$400,"yearly"))/R241),-((SUMIFS(SF_Output!$T$1:$T$400,SF_Output!$AC$1:$AC$400,_xlfn.TEXTJOIN(",",TRUE,$B241:$E241),SF_Output!$Q$1:$Q$400,"yearly")/R241))))</f>
        <v/>
      </c>
      <c r="T241" s="6" t="str">
        <f t="shared" si="54"/>
        <v/>
      </c>
      <c r="V241" s="6" t="str" cm="1">
        <f t="array" ref="V241">_xlfn.IFS(B241="","",AND(B241&lt;&gt;"",H241=SF_Output!$Y$2,SUMIFS(SF_Output!$T$1:$T$400,SF_Output!$AC$1:$AC$400,_xlfn.TEXTJOIN(",",TRUE,B241:E241),SF_Output!$Q$1:$Q$400,"monthly")=0),(SUMIFS(SF_Output!$F$1:$F$400,SF_Output!$AC$1:$AC$400,_xlfn.TEXTJOIN(",",TRUE,B241:E241),SF_Output!$Q$1:$Q$400,"monthly")+SUMIFS(SF_Output!$G$1:$G$400,SF_Output!$AC$1:$AC$400,_xlfn.TEXTJOIN(",",TRUE,B241:E241),SF_Output!$Q$1:$Q$400,"monthly"))*H241,AND(B241&lt;&gt;"",H241=SF_Output!$Y$2,SUMIFS(SF_Output!$T$1:$T$400,SF_Output!$AC$1:$AC$400,_xlfn.TEXTJOIN(",",TRUE,B241:E241),SF_Output!$Q$1:$Q$400,"monthly")&lt;&gt;0),SUMIFS(SF_Output!$S$1:$S$400,SF_Output!$AC$1:$AC$400,_xlfn.TEXTJOIN(",",TRUE,B241:E241),SF_Output!$Q$1:$Q$400,"monthly"),AND(B241&lt;&gt;"",H241&lt;&gt;SF_Output!$Y$2),SUMIFS(SF_Output!$S$1:$S$400,SF_Output!$AC$1:$AC$400,_xlfn.TEXTJOIN(",",TRUE,B241:E241),SF_Output!$Q$1:$Q$400,"monthly"))</f>
        <v/>
      </c>
      <c r="W241" s="112" t="str" cm="1">
        <f t="array" ref="W241">_xlfn.IFS(OR(B241=0,B241="",V241=0),"",AF241&lt;&gt;"exclusion",MAX($W$9,$W$7,(-(SUMIFS(SF_Output!$T$1:$T$400,SF_Output!$AC$1:$AC$400,_xlfn.TEXTJOIN(",",TRUE,$B241:$E241),SF_Output!$Q$1:$Q$400,"monthly"))/V241)),AF241="exclusion",-(SUMIFS(SF_Output!$T$1:$T$400,SF_Output!$AC$1:$AC$400,_xlfn.TEXTJOIN(",",TRUE,$B241:$E241),SF_Output!$Q$1:$Q$400,"monthly"))/V241)</f>
        <v/>
      </c>
      <c r="X241" s="6" t="str" cm="1">
        <f t="array" ref="X241">IFERROR(_xlfn.IFS(V241=0,0,V241="","",W241=0,V241,OR(V241&lt;&gt;0,V241&lt;&gt;""),H241*I241),V241*(1-W241))</f>
        <v/>
      </c>
      <c r="Z241" s="6" t="str">
        <f>IFERROR(IF(B241="","",SUMIFS(Billing_Fallout!H:H,Billing_Fallout!N:N,B241)),0)</f>
        <v/>
      </c>
      <c r="AA241" s="6" t="str">
        <f t="shared" si="55"/>
        <v/>
      </c>
      <c r="AB241" s="6" t="str">
        <f>IFERROR(IF(B241="","",SUMIFS(Billing_Fallout!J:J,Billing_Fallout!N:N,B241)),0)</f>
        <v/>
      </c>
      <c r="AD241" s="6" t="str">
        <f t="shared" si="56"/>
        <v/>
      </c>
      <c r="AF241" t="str">
        <f>IFERROR(INDEX(H_Tables!$B$1:$B$1500,MATCH(INDEX(SF_Output!$J$1:$J$400,MATCH(B241,SF_Output!$M$1:$M$400,0)),H_Tables!$A$1:$A$1500,0)),"")</f>
        <v/>
      </c>
      <c r="AI241" s="119" t="str">
        <f t="shared" si="57"/>
        <v/>
      </c>
      <c r="AJ241" s="121">
        <f>IFERROR(INDEX(SF_Output!AD:AD,MATCH(_xlfn.TEXTJOIN(",",TRUE,B241:E241),SF_Output!AC1:AC400,0)),0.05)</f>
        <v>241</v>
      </c>
      <c r="AK241" t="str">
        <f>IF(SUMIFS(SF_Output!$F$1:$F$400,SF_Output!$AC$1:$AC$400,_xlfn.TEXTJOIN(",",TRUE,B241:E241))+SUMIFS(SF_Output!$G$1:$G$400,SF_Output!$AC$1:$AC$400,_xlfn.TEXTJOIN(",",TRUE,B241:E241))=0,"","PAP")</f>
        <v/>
      </c>
      <c r="AQ241" s="35"/>
      <c r="AR241" s="35" t="str" cm="1">
        <f t="array" ref="AR241">IFERROR(_xlfn.IFS(AND(E241*1=1,F241="Included"),"Change to Included",AND(E241*1=0,F241="Optional"),"Change to Optional",OR(B241="",F241="replaced"),""),"")</f>
        <v/>
      </c>
      <c r="AS241" s="35" t="str">
        <f t="shared" si="58"/>
        <v/>
      </c>
      <c r="AT241" s="35" t="str">
        <f t="shared" si="59"/>
        <v/>
      </c>
      <c r="AU241" s="35" t="str">
        <f t="shared" si="60"/>
        <v/>
      </c>
      <c r="AV241" s="35" t="str">
        <f t="shared" si="61"/>
        <v/>
      </c>
      <c r="AW241" s="35" t="str">
        <f t="shared" si="62"/>
        <v/>
      </c>
      <c r="AX241" s="35" t="str">
        <f t="shared" si="63"/>
        <v/>
      </c>
      <c r="AY241" s="35" t="str">
        <f t="shared" si="64"/>
        <v/>
      </c>
      <c r="AZ241" s="35" t="str">
        <f t="shared" si="65"/>
        <v/>
      </c>
      <c r="BA241" s="35" t="str">
        <f t="shared" si="66"/>
        <v/>
      </c>
      <c r="BB241" s="35" t="str">
        <f t="shared" si="67"/>
        <v/>
      </c>
      <c r="BC241" s="35"/>
      <c r="BE241" s="35" t="e">
        <f>INDEX(SF_Output!$AA$2:$AA$400,MATCH($B241,SF_Output!$M$2:$M$400,0))</f>
        <v>#N/A</v>
      </c>
      <c r="BF241" s="35" t="e">
        <f>INDEX(SF_Output!$AB$2:$AB$400,MATCH($B241,SF_Output!$M$2:$M$400,0))</f>
        <v>#N/A</v>
      </c>
    </row>
    <row r="242" spans="6:58" x14ac:dyDescent="0.25">
      <c r="F242" s="116" t="str">
        <f t="shared" si="51"/>
        <v/>
      </c>
      <c r="G242" t="str">
        <f>IF(B242="","",INDEX(SF_Output!$K$1:$K$400,MATCH(B242,SF_Output!$M$1:$M$400,0)))</f>
        <v/>
      </c>
      <c r="H242" t="str" cm="1">
        <f t="array" ref="H242">_xlfn.IFS(B242="","",(SUMIFS(SF_Output!$F$1:$F$400,SF_Output!$AC$1:$AC$400,_xlfn.TEXTJOIN(",",TRUE,B242:E242))+SUMIFS(SF_Output!$G$1:$G$400,SF_Output!$AC$1:$AC$400,_xlfn.TEXTJOIN(",",TRUE,B242:E242)))&lt;&gt;0,SF_Output!$Y$2,INDEX(SF_Output!$F$1:$F$400,MATCH(_xlfn.TEXTJOIN(",",TRUE,B242:E242),SF_Output!$AC$1:$AC$400,0))=0,INDEX(SF_Output!$R$1:$R$400,MATCH(_xlfn.TEXTJOIN(",",TRUE,B242:E242),SF_Output!$AC$1:$AC$400,0)))</f>
        <v/>
      </c>
      <c r="I242" s="125" t="str">
        <f>IFERROR(IF(AND(H242&gt;1,H242&lt;&gt;""),ROUND(SUMIFS(SF_Output!$S$1:$S$400,SF_Output!$AC$1:$AC$400,_xlfn.TEXTJOIN(",",TRUE,B242:E242),SF_Output!$Q$1:$Q$400,"monthly")*(1-W242)/H242,4),""),"")</f>
        <v/>
      </c>
      <c r="J242" s="6" t="str">
        <f>IF(B242="","",SUMIFS(SF_Output!$S$1:$S$400,SF_Output!$AC$1:$AC$400,_xlfn.TEXTJOIN(",",TRUE,B242:E242),SF_Output!$Q$1:$Q$400,"One Time",SF_Output!$L$1:$L$400,"license fee")+SUMIFS(SF_Output!$S$1:$S$400,SF_Output!$AC$1:$AC$400,_xlfn.TEXTJOIN(",",TRUE,B242:E242),SF_Output!$Q$1:$Q$400,"One Time",SF_Output!$L$1:$L$400,"software license")+SUMIFS(SF_Output!$S$1:$S$400,SF_Output!$AC$1:$AC$400,_xlfn.TEXTJOIN(",",TRUE,B242:E242),SF_Output!$Q$1:$Q$400,"One Time",SF_Output!$L$1:$L$400,"hardware"))</f>
        <v/>
      </c>
      <c r="K242" s="112" t="str">
        <f>IF(OR(B242=0,B242="",G242="hardware",J242=0),"",IF(AF242&lt;&gt;"exclusion",MAX(K$9,-((SUMIFS(SF_Output!$T$1:$T$400,SF_Output!$AC$1:$AC$400,_xlfn.TEXTJOIN(",",TRUE,$B242:$E242),SF_Output!$Q$1:$Q$400,"One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license"))/J242)))</f>
        <v/>
      </c>
      <c r="L242" s="6" t="str">
        <f t="shared" si="52"/>
        <v/>
      </c>
      <c r="N242" s="6" t="str">
        <f>IF(B242="","",SUMIFS(SF_Output!$S$1:$S$400,SF_Output!$AC$1:$AC$400,_xlfn.TEXTJOIN(",",TRUE,B242:E242),SF_Output!$Q$1:$Q$400,"One Time",SF_Output!$L$1:$L$400,"professional service"))</f>
        <v/>
      </c>
      <c r="O242" s="112" t="str">
        <f>IF(OR(B242=0,B242="",N242=0),"",IF(AF242&lt;&gt;"exclusion",MAX(O$9,-(SUMIFS(SF_Output!$T$1:$T$400,SF_Output!$AC$1:$AC$400,_xlfn.TEXTJOIN(",",TRUE,$B242:$E242),SF_Output!$Q$1:$Q$400,"One Time",SF_Output!$L$1:$L$400,"professional service"))/N242),-((SUMIFS(SF_Output!$T$1:$T$400,SF_Output!$AC$1:$AC$400,_xlfn.TEXTJOIN(",",TRUE,$B242:$E242),SF_Output!$Q$1:$Q$400,"One Time",SF_Output!$L$1:$L$400,"professional service")/N242))))</f>
        <v/>
      </c>
      <c r="P242" s="6" t="str">
        <f t="shared" si="53"/>
        <v/>
      </c>
      <c r="R242" s="6" t="str">
        <f>IF(B242="","",SUMIFS(SF_Output!$S$1:$S$400,SF_Output!$AC$1:$AC$400,_xlfn.TEXTJOIN(",",TRUE,B242:E242),SF_Output!$Q$1:$Q$400,"yearly")+SUMIFS(SF_Output!$S$1:$S$400,SF_Output!$AC$1:$AC$400,_xlfn.TEXTJOIN(",",TRUE,B242:E242),SF_Output!$Q$1:$Q$400,"quarterly")*4)</f>
        <v/>
      </c>
      <c r="S242" s="112" t="str">
        <f>IF(OR(B242=0,B242="",G242="hardware",R242=0),"",IF(AF242&lt;&gt;"exclusion",MAX(S$9,-(SUMIFS(SF_Output!$T$1:$T$400,SF_Output!$AC$1:$AC$400,_xlfn.TEXTJOIN(",",TRUE,$B242:$E242),SF_Output!$Q$1:$Q$400,"yearly"))/R242),-((SUMIFS(SF_Output!$T$1:$T$400,SF_Output!$AC$1:$AC$400,_xlfn.TEXTJOIN(",",TRUE,$B242:$E242),SF_Output!$Q$1:$Q$400,"yearly")/R242))))</f>
        <v/>
      </c>
      <c r="T242" s="6" t="str">
        <f t="shared" si="54"/>
        <v/>
      </c>
      <c r="V242" s="6" t="str" cm="1">
        <f t="array" ref="V242">_xlfn.IFS(B242="","",AND(B242&lt;&gt;"",H242=SF_Output!$Y$2,SUMIFS(SF_Output!$T$1:$T$400,SF_Output!$AC$1:$AC$400,_xlfn.TEXTJOIN(",",TRUE,B242:E242),SF_Output!$Q$1:$Q$400,"monthly")=0),(SUMIFS(SF_Output!$F$1:$F$400,SF_Output!$AC$1:$AC$400,_xlfn.TEXTJOIN(",",TRUE,B242:E242),SF_Output!$Q$1:$Q$400,"monthly")+SUMIFS(SF_Output!$G$1:$G$400,SF_Output!$AC$1:$AC$400,_xlfn.TEXTJOIN(",",TRUE,B242:E242),SF_Output!$Q$1:$Q$400,"monthly"))*H242,AND(B242&lt;&gt;"",H242=SF_Output!$Y$2,SUMIFS(SF_Output!$T$1:$T$400,SF_Output!$AC$1:$AC$400,_xlfn.TEXTJOIN(",",TRUE,B242:E242),SF_Output!$Q$1:$Q$400,"monthly")&lt;&gt;0),SUMIFS(SF_Output!$S$1:$S$400,SF_Output!$AC$1:$AC$400,_xlfn.TEXTJOIN(",",TRUE,B242:E242),SF_Output!$Q$1:$Q$400,"monthly"),AND(B242&lt;&gt;"",H242&lt;&gt;SF_Output!$Y$2),SUMIFS(SF_Output!$S$1:$S$400,SF_Output!$AC$1:$AC$400,_xlfn.TEXTJOIN(",",TRUE,B242:E242),SF_Output!$Q$1:$Q$400,"monthly"))</f>
        <v/>
      </c>
      <c r="W242" s="112" t="str" cm="1">
        <f t="array" ref="W242">_xlfn.IFS(OR(B242=0,B242="",V242=0),"",AF242&lt;&gt;"exclusion",MAX($W$9,$W$7,(-(SUMIFS(SF_Output!$T$1:$T$400,SF_Output!$AC$1:$AC$400,_xlfn.TEXTJOIN(",",TRUE,$B242:$E242),SF_Output!$Q$1:$Q$400,"monthly"))/V242)),AF242="exclusion",-(SUMIFS(SF_Output!$T$1:$T$400,SF_Output!$AC$1:$AC$400,_xlfn.TEXTJOIN(",",TRUE,$B242:$E242),SF_Output!$Q$1:$Q$400,"monthly"))/V242)</f>
        <v/>
      </c>
      <c r="X242" s="6" t="str" cm="1">
        <f t="array" ref="X242">IFERROR(_xlfn.IFS(V242=0,0,V242="","",W242=0,V242,OR(V242&lt;&gt;0,V242&lt;&gt;""),H242*I242),V242*(1-W242))</f>
        <v/>
      </c>
      <c r="Z242" s="6" t="str">
        <f>IFERROR(IF(B242="","",SUMIFS(Billing_Fallout!H:H,Billing_Fallout!N:N,B242)),0)</f>
        <v/>
      </c>
      <c r="AA242" s="6" t="str">
        <f t="shared" si="55"/>
        <v/>
      </c>
      <c r="AB242" s="6" t="str">
        <f>IFERROR(IF(B242="","",SUMIFS(Billing_Fallout!J:J,Billing_Fallout!N:N,B242)),0)</f>
        <v/>
      </c>
      <c r="AD242" s="6" t="str">
        <f t="shared" si="56"/>
        <v/>
      </c>
      <c r="AF242" t="str">
        <f>IFERROR(INDEX(H_Tables!$B$1:$B$1500,MATCH(INDEX(SF_Output!$J$1:$J$400,MATCH(B242,SF_Output!$M$1:$M$400,0)),H_Tables!$A$1:$A$1500,0)),"")</f>
        <v/>
      </c>
      <c r="AI242" s="119" t="str">
        <f t="shared" si="57"/>
        <v/>
      </c>
      <c r="AJ242" s="121">
        <f>IFERROR(INDEX(SF_Output!AD:AD,MATCH(_xlfn.TEXTJOIN(",",TRUE,B242:E242),SF_Output!AC1:AC400,0)),0.05)</f>
        <v>241</v>
      </c>
      <c r="AK242" t="str">
        <f>IF(SUMIFS(SF_Output!$F$1:$F$400,SF_Output!$AC$1:$AC$400,_xlfn.TEXTJOIN(",",TRUE,B242:E242))+SUMIFS(SF_Output!$G$1:$G$400,SF_Output!$AC$1:$AC$400,_xlfn.TEXTJOIN(",",TRUE,B242:E242))=0,"","PAP")</f>
        <v/>
      </c>
      <c r="AQ242" s="35"/>
      <c r="AR242" s="35" t="str" cm="1">
        <f t="array" ref="AR242">IFERROR(_xlfn.IFS(AND(E242*1=1,F242="Included"),"Change to Included",AND(E242*1=0,F242="Optional"),"Change to Optional",OR(B242="",F242="replaced"),""),"")</f>
        <v/>
      </c>
      <c r="AS242" s="35" t="str">
        <f t="shared" si="58"/>
        <v/>
      </c>
      <c r="AT242" s="35" t="str">
        <f t="shared" si="59"/>
        <v/>
      </c>
      <c r="AU242" s="35" t="str">
        <f t="shared" si="60"/>
        <v/>
      </c>
      <c r="AV242" s="35" t="str">
        <f t="shared" si="61"/>
        <v/>
      </c>
      <c r="AW242" s="35" t="str">
        <f t="shared" si="62"/>
        <v/>
      </c>
      <c r="AX242" s="35" t="str">
        <f t="shared" si="63"/>
        <v/>
      </c>
      <c r="AY242" s="35" t="str">
        <f t="shared" si="64"/>
        <v/>
      </c>
      <c r="AZ242" s="35" t="str">
        <f t="shared" si="65"/>
        <v/>
      </c>
      <c r="BA242" s="35" t="str">
        <f t="shared" si="66"/>
        <v/>
      </c>
      <c r="BB242" s="35" t="str">
        <f t="shared" si="67"/>
        <v/>
      </c>
      <c r="BC242" s="35"/>
      <c r="BE242" s="35" t="e">
        <f>INDEX(SF_Output!$AA$2:$AA$400,MATCH($B242,SF_Output!$M$2:$M$400,0))</f>
        <v>#N/A</v>
      </c>
      <c r="BF242" s="35" t="e">
        <f>INDEX(SF_Output!$AB$2:$AB$400,MATCH($B242,SF_Output!$M$2:$M$400,0))</f>
        <v>#N/A</v>
      </c>
    </row>
    <row r="243" spans="6:58" x14ac:dyDescent="0.25">
      <c r="F243" s="116" t="str">
        <f t="shared" si="51"/>
        <v/>
      </c>
      <c r="G243" t="str">
        <f>IF(B243="","",INDEX(SF_Output!$K$1:$K$400,MATCH(B243,SF_Output!$M$1:$M$400,0)))</f>
        <v/>
      </c>
      <c r="H243" t="str" cm="1">
        <f t="array" ref="H243">_xlfn.IFS(B243="","",(SUMIFS(SF_Output!$F$1:$F$400,SF_Output!$AC$1:$AC$400,_xlfn.TEXTJOIN(",",TRUE,B243:E243))+SUMIFS(SF_Output!$G$1:$G$400,SF_Output!$AC$1:$AC$400,_xlfn.TEXTJOIN(",",TRUE,B243:E243)))&lt;&gt;0,SF_Output!$Y$2,INDEX(SF_Output!$F$1:$F$400,MATCH(_xlfn.TEXTJOIN(",",TRUE,B243:E243),SF_Output!$AC$1:$AC$400,0))=0,INDEX(SF_Output!$R$1:$R$400,MATCH(_xlfn.TEXTJOIN(",",TRUE,B243:E243),SF_Output!$AC$1:$AC$400,0)))</f>
        <v/>
      </c>
      <c r="I243" s="125" t="str">
        <f>IFERROR(IF(AND(H243&gt;1,H243&lt;&gt;""),ROUND(SUMIFS(SF_Output!$S$1:$S$400,SF_Output!$AC$1:$AC$400,_xlfn.TEXTJOIN(",",TRUE,B243:E243),SF_Output!$Q$1:$Q$400,"monthly")*(1-W243)/H243,4),""),"")</f>
        <v/>
      </c>
      <c r="J243" s="6" t="str">
        <f>IF(B243="","",SUMIFS(SF_Output!$S$1:$S$400,SF_Output!$AC$1:$AC$400,_xlfn.TEXTJOIN(",",TRUE,B243:E243),SF_Output!$Q$1:$Q$400,"One Time",SF_Output!$L$1:$L$400,"license fee")+SUMIFS(SF_Output!$S$1:$S$400,SF_Output!$AC$1:$AC$400,_xlfn.TEXTJOIN(",",TRUE,B243:E243),SF_Output!$Q$1:$Q$400,"One Time",SF_Output!$L$1:$L$400,"software license")+SUMIFS(SF_Output!$S$1:$S$400,SF_Output!$AC$1:$AC$400,_xlfn.TEXTJOIN(",",TRUE,B243:E243),SF_Output!$Q$1:$Q$400,"One Time",SF_Output!$L$1:$L$400,"hardware"))</f>
        <v/>
      </c>
      <c r="K243" s="112" t="str">
        <f>IF(OR(B243=0,B243="",G243="hardware",J243=0),"",IF(AF243&lt;&gt;"exclusion",MAX(K$9,-((SUMIFS(SF_Output!$T$1:$T$400,SF_Output!$AC$1:$AC$400,_xlfn.TEXTJOIN(",",TRUE,$B243:$E243),SF_Output!$Q$1:$Q$400,"One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license"))/J243)))</f>
        <v/>
      </c>
      <c r="L243" s="6" t="str">
        <f t="shared" si="52"/>
        <v/>
      </c>
      <c r="N243" s="6" t="str">
        <f>IF(B243="","",SUMIFS(SF_Output!$S$1:$S$400,SF_Output!$AC$1:$AC$400,_xlfn.TEXTJOIN(",",TRUE,B243:E243),SF_Output!$Q$1:$Q$400,"One Time",SF_Output!$L$1:$L$400,"professional service"))</f>
        <v/>
      </c>
      <c r="O243" s="112" t="str">
        <f>IF(OR(B243=0,B243="",N243=0),"",IF(AF243&lt;&gt;"exclusion",MAX(O$9,-(SUMIFS(SF_Output!$T$1:$T$400,SF_Output!$AC$1:$AC$400,_xlfn.TEXTJOIN(",",TRUE,$B243:$E243),SF_Output!$Q$1:$Q$400,"One Time",SF_Output!$L$1:$L$400,"professional service"))/N243),-((SUMIFS(SF_Output!$T$1:$T$400,SF_Output!$AC$1:$AC$400,_xlfn.TEXTJOIN(",",TRUE,$B243:$E243),SF_Output!$Q$1:$Q$400,"One Time",SF_Output!$L$1:$L$400,"professional service")/N243))))</f>
        <v/>
      </c>
      <c r="P243" s="6" t="str">
        <f t="shared" si="53"/>
        <v/>
      </c>
      <c r="R243" s="6" t="str">
        <f>IF(B243="","",SUMIFS(SF_Output!$S$1:$S$400,SF_Output!$AC$1:$AC$400,_xlfn.TEXTJOIN(",",TRUE,B243:E243),SF_Output!$Q$1:$Q$400,"yearly")+SUMIFS(SF_Output!$S$1:$S$400,SF_Output!$AC$1:$AC$400,_xlfn.TEXTJOIN(",",TRUE,B243:E243),SF_Output!$Q$1:$Q$400,"quarterly")*4)</f>
        <v/>
      </c>
      <c r="S243" s="112" t="str">
        <f>IF(OR(B243=0,B243="",G243="hardware",R243=0),"",IF(AF243&lt;&gt;"exclusion",MAX(S$9,-(SUMIFS(SF_Output!$T$1:$T$400,SF_Output!$AC$1:$AC$400,_xlfn.TEXTJOIN(",",TRUE,$B243:$E243),SF_Output!$Q$1:$Q$400,"yearly"))/R243),-((SUMIFS(SF_Output!$T$1:$T$400,SF_Output!$AC$1:$AC$400,_xlfn.TEXTJOIN(",",TRUE,$B243:$E243),SF_Output!$Q$1:$Q$400,"yearly")/R243))))</f>
        <v/>
      </c>
      <c r="T243" s="6" t="str">
        <f t="shared" si="54"/>
        <v/>
      </c>
      <c r="V243" s="6" t="str" cm="1">
        <f t="array" ref="V243">_xlfn.IFS(B243="","",AND(B243&lt;&gt;"",H243=SF_Output!$Y$2,SUMIFS(SF_Output!$T$1:$T$400,SF_Output!$AC$1:$AC$400,_xlfn.TEXTJOIN(",",TRUE,B243:E243),SF_Output!$Q$1:$Q$400,"monthly")=0),(SUMIFS(SF_Output!$F$1:$F$400,SF_Output!$AC$1:$AC$400,_xlfn.TEXTJOIN(",",TRUE,B243:E243),SF_Output!$Q$1:$Q$400,"monthly")+SUMIFS(SF_Output!$G$1:$G$400,SF_Output!$AC$1:$AC$400,_xlfn.TEXTJOIN(",",TRUE,B243:E243),SF_Output!$Q$1:$Q$400,"monthly"))*H243,AND(B243&lt;&gt;"",H243=SF_Output!$Y$2,SUMIFS(SF_Output!$T$1:$T$400,SF_Output!$AC$1:$AC$400,_xlfn.TEXTJOIN(",",TRUE,B243:E243),SF_Output!$Q$1:$Q$400,"monthly")&lt;&gt;0),SUMIFS(SF_Output!$S$1:$S$400,SF_Output!$AC$1:$AC$400,_xlfn.TEXTJOIN(",",TRUE,B243:E243),SF_Output!$Q$1:$Q$400,"monthly"),AND(B243&lt;&gt;"",H243&lt;&gt;SF_Output!$Y$2),SUMIFS(SF_Output!$S$1:$S$400,SF_Output!$AC$1:$AC$400,_xlfn.TEXTJOIN(",",TRUE,B243:E243),SF_Output!$Q$1:$Q$400,"monthly"))</f>
        <v/>
      </c>
      <c r="W243" s="112" t="str" cm="1">
        <f t="array" ref="W243">_xlfn.IFS(OR(B243=0,B243="",V243=0),"",AF243&lt;&gt;"exclusion",MAX($W$9,$W$7,(-(SUMIFS(SF_Output!$T$1:$T$400,SF_Output!$AC$1:$AC$400,_xlfn.TEXTJOIN(",",TRUE,$B243:$E243),SF_Output!$Q$1:$Q$400,"monthly"))/V243)),AF243="exclusion",-(SUMIFS(SF_Output!$T$1:$T$400,SF_Output!$AC$1:$AC$400,_xlfn.TEXTJOIN(",",TRUE,$B243:$E243),SF_Output!$Q$1:$Q$400,"monthly"))/V243)</f>
        <v/>
      </c>
      <c r="X243" s="6" t="str" cm="1">
        <f t="array" ref="X243">IFERROR(_xlfn.IFS(V243=0,0,V243="","",W243=0,V243,OR(V243&lt;&gt;0,V243&lt;&gt;""),H243*I243),V243*(1-W243))</f>
        <v/>
      </c>
      <c r="Z243" s="6" t="str">
        <f>IFERROR(IF(B243="","",SUMIFS(Billing_Fallout!H:H,Billing_Fallout!N:N,B243)),0)</f>
        <v/>
      </c>
      <c r="AA243" s="6" t="str">
        <f t="shared" si="55"/>
        <v/>
      </c>
      <c r="AB243" s="6" t="str">
        <f>IFERROR(IF(B243="","",SUMIFS(Billing_Fallout!J:J,Billing_Fallout!N:N,B243)),0)</f>
        <v/>
      </c>
      <c r="AD243" s="6" t="str">
        <f t="shared" si="56"/>
        <v/>
      </c>
      <c r="AF243" t="str">
        <f>IFERROR(INDEX(H_Tables!$B$1:$B$1500,MATCH(INDEX(SF_Output!$J$1:$J$400,MATCH(B243,SF_Output!$M$1:$M$400,0)),H_Tables!$A$1:$A$1500,0)),"")</f>
        <v/>
      </c>
      <c r="AI243" s="119" t="str">
        <f t="shared" si="57"/>
        <v/>
      </c>
      <c r="AJ243" s="121">
        <f>IFERROR(INDEX(SF_Output!AD:AD,MATCH(_xlfn.TEXTJOIN(",",TRUE,B243:E243),SF_Output!AC1:AC400,0)),0.05)</f>
        <v>241</v>
      </c>
      <c r="AK243" t="str">
        <f>IF(SUMIFS(SF_Output!$F$1:$F$400,SF_Output!$AC$1:$AC$400,_xlfn.TEXTJOIN(",",TRUE,B243:E243))+SUMIFS(SF_Output!$G$1:$G$400,SF_Output!$AC$1:$AC$400,_xlfn.TEXTJOIN(",",TRUE,B243:E243))=0,"","PAP")</f>
        <v/>
      </c>
      <c r="AQ243" s="35"/>
      <c r="AR243" s="35" t="str" cm="1">
        <f t="array" ref="AR243">IFERROR(_xlfn.IFS(AND(E243*1=1,F243="Included"),"Change to Included",AND(E243*1=0,F243="Optional"),"Change to Optional",OR(B243="",F243="replaced"),""),"")</f>
        <v/>
      </c>
      <c r="AS243" s="35" t="str">
        <f t="shared" si="58"/>
        <v/>
      </c>
      <c r="AT243" s="35" t="str">
        <f t="shared" si="59"/>
        <v/>
      </c>
      <c r="AU243" s="35" t="str">
        <f t="shared" si="60"/>
        <v/>
      </c>
      <c r="AV243" s="35" t="str">
        <f t="shared" si="61"/>
        <v/>
      </c>
      <c r="AW243" s="35" t="str">
        <f t="shared" si="62"/>
        <v/>
      </c>
      <c r="AX243" s="35" t="str">
        <f t="shared" si="63"/>
        <v/>
      </c>
      <c r="AY243" s="35" t="str">
        <f t="shared" si="64"/>
        <v/>
      </c>
      <c r="AZ243" s="35" t="str">
        <f t="shared" si="65"/>
        <v/>
      </c>
      <c r="BA243" s="35" t="str">
        <f t="shared" si="66"/>
        <v/>
      </c>
      <c r="BB243" s="35" t="str">
        <f t="shared" si="67"/>
        <v/>
      </c>
      <c r="BC243" s="35"/>
      <c r="BE243" s="35" t="e">
        <f>INDEX(SF_Output!$AA$2:$AA$400,MATCH($B243,SF_Output!$M$2:$M$400,0))</f>
        <v>#N/A</v>
      </c>
      <c r="BF243" s="35" t="e">
        <f>INDEX(SF_Output!$AB$2:$AB$400,MATCH($B243,SF_Output!$M$2:$M$400,0))</f>
        <v>#N/A</v>
      </c>
    </row>
    <row r="244" spans="6:58" x14ac:dyDescent="0.25">
      <c r="F244" s="116" t="str">
        <f t="shared" si="51"/>
        <v/>
      </c>
      <c r="G244" t="str">
        <f>IF(B244="","",INDEX(SF_Output!$K$1:$K$400,MATCH(B244,SF_Output!$M$1:$M$400,0)))</f>
        <v/>
      </c>
      <c r="H244" t="str" cm="1">
        <f t="array" ref="H244">_xlfn.IFS(B244="","",(SUMIFS(SF_Output!$F$1:$F$400,SF_Output!$AC$1:$AC$400,_xlfn.TEXTJOIN(",",TRUE,B244:E244))+SUMIFS(SF_Output!$G$1:$G$400,SF_Output!$AC$1:$AC$400,_xlfn.TEXTJOIN(",",TRUE,B244:E244)))&lt;&gt;0,SF_Output!$Y$2,INDEX(SF_Output!$F$1:$F$400,MATCH(_xlfn.TEXTJOIN(",",TRUE,B244:E244),SF_Output!$AC$1:$AC$400,0))=0,INDEX(SF_Output!$R$1:$R$400,MATCH(_xlfn.TEXTJOIN(",",TRUE,B244:E244),SF_Output!$AC$1:$AC$400,0)))</f>
        <v/>
      </c>
      <c r="I244" s="125" t="str">
        <f>IFERROR(IF(AND(H244&gt;1,H244&lt;&gt;""),ROUND(SUMIFS(SF_Output!$S$1:$S$400,SF_Output!$AC$1:$AC$400,_xlfn.TEXTJOIN(",",TRUE,B244:E244),SF_Output!$Q$1:$Q$400,"monthly")*(1-W244)/H244,4),""),"")</f>
        <v/>
      </c>
      <c r="J244" s="6" t="str">
        <f>IF(B244="","",SUMIFS(SF_Output!$S$1:$S$400,SF_Output!$AC$1:$AC$400,_xlfn.TEXTJOIN(",",TRUE,B244:E244),SF_Output!$Q$1:$Q$400,"One Time",SF_Output!$L$1:$L$400,"license fee")+SUMIFS(SF_Output!$S$1:$S$400,SF_Output!$AC$1:$AC$400,_xlfn.TEXTJOIN(",",TRUE,B244:E244),SF_Output!$Q$1:$Q$400,"One Time",SF_Output!$L$1:$L$400,"software license")+SUMIFS(SF_Output!$S$1:$S$400,SF_Output!$AC$1:$AC$400,_xlfn.TEXTJOIN(",",TRUE,B244:E244),SF_Output!$Q$1:$Q$400,"One Time",SF_Output!$L$1:$L$400,"hardware"))</f>
        <v/>
      </c>
      <c r="K244" s="112" t="str">
        <f>IF(OR(B244=0,B244="",G244="hardware",J244=0),"",IF(AF244&lt;&gt;"exclusion",MAX(K$9,-((SUMIFS(SF_Output!$T$1:$T$400,SF_Output!$AC$1:$AC$400,_xlfn.TEXTJOIN(",",TRUE,$B244:$E244),SF_Output!$Q$1:$Q$400,"One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license"))/J244)))</f>
        <v/>
      </c>
      <c r="L244" s="6" t="str">
        <f t="shared" si="52"/>
        <v/>
      </c>
      <c r="N244" s="6" t="str">
        <f>IF(B244="","",SUMIFS(SF_Output!$S$1:$S$400,SF_Output!$AC$1:$AC$400,_xlfn.TEXTJOIN(",",TRUE,B244:E244),SF_Output!$Q$1:$Q$400,"One Time",SF_Output!$L$1:$L$400,"professional service"))</f>
        <v/>
      </c>
      <c r="O244" s="112" t="str">
        <f>IF(OR(B244=0,B244="",N244=0),"",IF(AF244&lt;&gt;"exclusion",MAX(O$9,-(SUMIFS(SF_Output!$T$1:$T$400,SF_Output!$AC$1:$AC$400,_xlfn.TEXTJOIN(",",TRUE,$B244:$E244),SF_Output!$Q$1:$Q$400,"One Time",SF_Output!$L$1:$L$400,"professional service"))/N244),-((SUMIFS(SF_Output!$T$1:$T$400,SF_Output!$AC$1:$AC$400,_xlfn.TEXTJOIN(",",TRUE,$B244:$E244),SF_Output!$Q$1:$Q$400,"One Time",SF_Output!$L$1:$L$400,"professional service")/N244))))</f>
        <v/>
      </c>
      <c r="P244" s="6" t="str">
        <f t="shared" si="53"/>
        <v/>
      </c>
      <c r="R244" s="6" t="str">
        <f>IF(B244="","",SUMIFS(SF_Output!$S$1:$S$400,SF_Output!$AC$1:$AC$400,_xlfn.TEXTJOIN(",",TRUE,B244:E244),SF_Output!$Q$1:$Q$400,"yearly")+SUMIFS(SF_Output!$S$1:$S$400,SF_Output!$AC$1:$AC$400,_xlfn.TEXTJOIN(",",TRUE,B244:E244),SF_Output!$Q$1:$Q$400,"quarterly")*4)</f>
        <v/>
      </c>
      <c r="S244" s="112" t="str">
        <f>IF(OR(B244=0,B244="",G244="hardware",R244=0),"",IF(AF244&lt;&gt;"exclusion",MAX(S$9,-(SUMIFS(SF_Output!$T$1:$T$400,SF_Output!$AC$1:$AC$400,_xlfn.TEXTJOIN(",",TRUE,$B244:$E244),SF_Output!$Q$1:$Q$400,"yearly"))/R244),-((SUMIFS(SF_Output!$T$1:$T$400,SF_Output!$AC$1:$AC$400,_xlfn.TEXTJOIN(",",TRUE,$B244:$E244),SF_Output!$Q$1:$Q$400,"yearly")/R244))))</f>
        <v/>
      </c>
      <c r="T244" s="6" t="str">
        <f t="shared" si="54"/>
        <v/>
      </c>
      <c r="V244" s="6" t="str" cm="1">
        <f t="array" ref="V244">_xlfn.IFS(B244="","",AND(B244&lt;&gt;"",H244=SF_Output!$Y$2,SUMIFS(SF_Output!$T$1:$T$400,SF_Output!$AC$1:$AC$400,_xlfn.TEXTJOIN(",",TRUE,B244:E244),SF_Output!$Q$1:$Q$400,"monthly")=0),(SUMIFS(SF_Output!$F$1:$F$400,SF_Output!$AC$1:$AC$400,_xlfn.TEXTJOIN(",",TRUE,B244:E244),SF_Output!$Q$1:$Q$400,"monthly")+SUMIFS(SF_Output!$G$1:$G$400,SF_Output!$AC$1:$AC$400,_xlfn.TEXTJOIN(",",TRUE,B244:E244),SF_Output!$Q$1:$Q$400,"monthly"))*H244,AND(B244&lt;&gt;"",H244=SF_Output!$Y$2,SUMIFS(SF_Output!$T$1:$T$400,SF_Output!$AC$1:$AC$400,_xlfn.TEXTJOIN(",",TRUE,B244:E244),SF_Output!$Q$1:$Q$400,"monthly")&lt;&gt;0),SUMIFS(SF_Output!$S$1:$S$400,SF_Output!$AC$1:$AC$400,_xlfn.TEXTJOIN(",",TRUE,B244:E244),SF_Output!$Q$1:$Q$400,"monthly"),AND(B244&lt;&gt;"",H244&lt;&gt;SF_Output!$Y$2),SUMIFS(SF_Output!$S$1:$S$400,SF_Output!$AC$1:$AC$400,_xlfn.TEXTJOIN(",",TRUE,B244:E244),SF_Output!$Q$1:$Q$400,"monthly"))</f>
        <v/>
      </c>
      <c r="W244" s="112" t="str" cm="1">
        <f t="array" ref="W244">_xlfn.IFS(OR(B244=0,B244="",V244=0),"",AF244&lt;&gt;"exclusion",MAX($W$9,$W$7,(-(SUMIFS(SF_Output!$T$1:$T$400,SF_Output!$AC$1:$AC$400,_xlfn.TEXTJOIN(",",TRUE,$B244:$E244),SF_Output!$Q$1:$Q$400,"monthly"))/V244)),AF244="exclusion",-(SUMIFS(SF_Output!$T$1:$T$400,SF_Output!$AC$1:$AC$400,_xlfn.TEXTJOIN(",",TRUE,$B244:$E244),SF_Output!$Q$1:$Q$400,"monthly"))/V244)</f>
        <v/>
      </c>
      <c r="X244" s="6" t="str" cm="1">
        <f t="array" ref="X244">IFERROR(_xlfn.IFS(V244=0,0,V244="","",W244=0,V244,OR(V244&lt;&gt;0,V244&lt;&gt;""),H244*I244),V244*(1-W244))</f>
        <v/>
      </c>
      <c r="Z244" s="6" t="str">
        <f>IFERROR(IF(B244="","",SUMIFS(Billing_Fallout!H:H,Billing_Fallout!N:N,B244)),0)</f>
        <v/>
      </c>
      <c r="AA244" s="6" t="str">
        <f t="shared" si="55"/>
        <v/>
      </c>
      <c r="AB244" s="6" t="str">
        <f>IFERROR(IF(B244="","",SUMIFS(Billing_Fallout!J:J,Billing_Fallout!N:N,B244)),0)</f>
        <v/>
      </c>
      <c r="AD244" s="6" t="str">
        <f t="shared" si="56"/>
        <v/>
      </c>
      <c r="AF244" t="str">
        <f>IFERROR(INDEX(H_Tables!$B$1:$B$1500,MATCH(INDEX(SF_Output!$J$1:$J$400,MATCH(B244,SF_Output!$M$1:$M$400,0)),H_Tables!$A$1:$A$1500,0)),"")</f>
        <v/>
      </c>
      <c r="AI244" s="119" t="str">
        <f t="shared" si="57"/>
        <v/>
      </c>
      <c r="AJ244" s="121">
        <f>IFERROR(INDEX(SF_Output!AD:AD,MATCH(_xlfn.TEXTJOIN(",",TRUE,B244:E244),SF_Output!AC1:AC400,0)),0.05)</f>
        <v>241</v>
      </c>
      <c r="AK244" t="str">
        <f>IF(SUMIFS(SF_Output!$F$1:$F$400,SF_Output!$AC$1:$AC$400,_xlfn.TEXTJOIN(",",TRUE,B244:E244))+SUMIFS(SF_Output!$G$1:$G$400,SF_Output!$AC$1:$AC$400,_xlfn.TEXTJOIN(",",TRUE,B244:E244))=0,"","PAP")</f>
        <v/>
      </c>
      <c r="AQ244" s="35"/>
      <c r="AR244" s="35" t="str" cm="1">
        <f t="array" ref="AR244">IFERROR(_xlfn.IFS(AND(E244*1=1,F244="Included"),"Change to Included",AND(E244*1=0,F244="Optional"),"Change to Optional",OR(B244="",F244="replaced"),""),"")</f>
        <v/>
      </c>
      <c r="AS244" s="35" t="str">
        <f t="shared" si="58"/>
        <v/>
      </c>
      <c r="AT244" s="35" t="str">
        <f t="shared" si="59"/>
        <v/>
      </c>
      <c r="AU244" s="35" t="str">
        <f t="shared" si="60"/>
        <v/>
      </c>
      <c r="AV244" s="35" t="str">
        <f t="shared" si="61"/>
        <v/>
      </c>
      <c r="AW244" s="35" t="str">
        <f t="shared" si="62"/>
        <v/>
      </c>
      <c r="AX244" s="35" t="str">
        <f t="shared" si="63"/>
        <v/>
      </c>
      <c r="AY244" s="35" t="str">
        <f t="shared" si="64"/>
        <v/>
      </c>
      <c r="AZ244" s="35" t="str">
        <f t="shared" si="65"/>
        <v/>
      </c>
      <c r="BA244" s="35" t="str">
        <f t="shared" si="66"/>
        <v/>
      </c>
      <c r="BB244" s="35" t="str">
        <f t="shared" si="67"/>
        <v/>
      </c>
      <c r="BC244" s="35"/>
      <c r="BE244" s="35" t="e">
        <f>INDEX(SF_Output!$AA$2:$AA$400,MATCH($B244,SF_Output!$M$2:$M$400,0))</f>
        <v>#N/A</v>
      </c>
      <c r="BF244" s="35" t="e">
        <f>INDEX(SF_Output!$AB$2:$AB$400,MATCH($B244,SF_Output!$M$2:$M$400,0))</f>
        <v>#N/A</v>
      </c>
    </row>
    <row r="245" spans="6:58" x14ac:dyDescent="0.25">
      <c r="F245" s="116" t="str">
        <f t="shared" si="51"/>
        <v/>
      </c>
      <c r="G245" t="str">
        <f>IF(B245="","",INDEX(SF_Output!$K$1:$K$400,MATCH(B245,SF_Output!$M$1:$M$400,0)))</f>
        <v/>
      </c>
      <c r="H245" t="str" cm="1">
        <f t="array" ref="H245">_xlfn.IFS(B245="","",(SUMIFS(SF_Output!$F$1:$F$400,SF_Output!$AC$1:$AC$400,_xlfn.TEXTJOIN(",",TRUE,B245:E245))+SUMIFS(SF_Output!$G$1:$G$400,SF_Output!$AC$1:$AC$400,_xlfn.TEXTJOIN(",",TRUE,B245:E245)))&lt;&gt;0,SF_Output!$Y$2,INDEX(SF_Output!$F$1:$F$400,MATCH(_xlfn.TEXTJOIN(",",TRUE,B245:E245),SF_Output!$AC$1:$AC$400,0))=0,INDEX(SF_Output!$R$1:$R$400,MATCH(_xlfn.TEXTJOIN(",",TRUE,B245:E245),SF_Output!$AC$1:$AC$400,0)))</f>
        <v/>
      </c>
      <c r="I245" s="125" t="str">
        <f>IFERROR(IF(AND(H245&gt;1,H245&lt;&gt;""),ROUND(SUMIFS(SF_Output!$S$1:$S$400,SF_Output!$AC$1:$AC$400,_xlfn.TEXTJOIN(",",TRUE,B245:E245),SF_Output!$Q$1:$Q$400,"monthly")*(1-W245)/H245,4),""),"")</f>
        <v/>
      </c>
      <c r="J245" s="6" t="str">
        <f>IF(B245="","",SUMIFS(SF_Output!$S$1:$S$400,SF_Output!$AC$1:$AC$400,_xlfn.TEXTJOIN(",",TRUE,B245:E245),SF_Output!$Q$1:$Q$400,"One Time",SF_Output!$L$1:$L$400,"license fee")+SUMIFS(SF_Output!$S$1:$S$400,SF_Output!$AC$1:$AC$400,_xlfn.TEXTJOIN(",",TRUE,B245:E245),SF_Output!$Q$1:$Q$400,"One Time",SF_Output!$L$1:$L$400,"software license")+SUMIFS(SF_Output!$S$1:$S$400,SF_Output!$AC$1:$AC$400,_xlfn.TEXTJOIN(",",TRUE,B245:E245),SF_Output!$Q$1:$Q$400,"One Time",SF_Output!$L$1:$L$400,"hardware"))</f>
        <v/>
      </c>
      <c r="K245" s="112" t="str">
        <f>IF(OR(B245=0,B245="",G245="hardware",J245=0),"",IF(AF245&lt;&gt;"exclusion",MAX(K$9,-((SUMIFS(SF_Output!$T$1:$T$400,SF_Output!$AC$1:$AC$400,_xlfn.TEXTJOIN(",",TRUE,$B245:$E245),SF_Output!$Q$1:$Q$400,"One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license"))/J245)))</f>
        <v/>
      </c>
      <c r="L245" s="6" t="str">
        <f t="shared" si="52"/>
        <v/>
      </c>
      <c r="N245" s="6" t="str">
        <f>IF(B245="","",SUMIFS(SF_Output!$S$1:$S$400,SF_Output!$AC$1:$AC$400,_xlfn.TEXTJOIN(",",TRUE,B245:E245),SF_Output!$Q$1:$Q$400,"One Time",SF_Output!$L$1:$L$400,"professional service"))</f>
        <v/>
      </c>
      <c r="O245" s="112" t="str">
        <f>IF(OR(B245=0,B245="",N245=0),"",IF(AF245&lt;&gt;"exclusion",MAX(O$9,-(SUMIFS(SF_Output!$T$1:$T$400,SF_Output!$AC$1:$AC$400,_xlfn.TEXTJOIN(",",TRUE,$B245:$E245),SF_Output!$Q$1:$Q$400,"One Time",SF_Output!$L$1:$L$400,"professional service"))/N245),-((SUMIFS(SF_Output!$T$1:$T$400,SF_Output!$AC$1:$AC$400,_xlfn.TEXTJOIN(",",TRUE,$B245:$E245),SF_Output!$Q$1:$Q$400,"One Time",SF_Output!$L$1:$L$400,"professional service")/N245))))</f>
        <v/>
      </c>
      <c r="P245" s="6" t="str">
        <f t="shared" si="53"/>
        <v/>
      </c>
      <c r="R245" s="6" t="str">
        <f>IF(B245="","",SUMIFS(SF_Output!$S$1:$S$400,SF_Output!$AC$1:$AC$400,_xlfn.TEXTJOIN(",",TRUE,B245:E245),SF_Output!$Q$1:$Q$400,"yearly")+SUMIFS(SF_Output!$S$1:$S$400,SF_Output!$AC$1:$AC$400,_xlfn.TEXTJOIN(",",TRUE,B245:E245),SF_Output!$Q$1:$Q$400,"quarterly")*4)</f>
        <v/>
      </c>
      <c r="S245" s="112" t="str">
        <f>IF(OR(B245=0,B245="",G245="hardware",R245=0),"",IF(AF245&lt;&gt;"exclusion",MAX(S$9,-(SUMIFS(SF_Output!$T$1:$T$400,SF_Output!$AC$1:$AC$400,_xlfn.TEXTJOIN(",",TRUE,$B245:$E245),SF_Output!$Q$1:$Q$400,"yearly"))/R245),-((SUMIFS(SF_Output!$T$1:$T$400,SF_Output!$AC$1:$AC$400,_xlfn.TEXTJOIN(",",TRUE,$B245:$E245),SF_Output!$Q$1:$Q$400,"yearly")/R245))))</f>
        <v/>
      </c>
      <c r="T245" s="6" t="str">
        <f t="shared" si="54"/>
        <v/>
      </c>
      <c r="V245" s="6" t="str" cm="1">
        <f t="array" ref="V245">_xlfn.IFS(B245="","",AND(B245&lt;&gt;"",H245=SF_Output!$Y$2,SUMIFS(SF_Output!$T$1:$T$400,SF_Output!$AC$1:$AC$400,_xlfn.TEXTJOIN(",",TRUE,B245:E245),SF_Output!$Q$1:$Q$400,"monthly")=0),(SUMIFS(SF_Output!$F$1:$F$400,SF_Output!$AC$1:$AC$400,_xlfn.TEXTJOIN(",",TRUE,B245:E245),SF_Output!$Q$1:$Q$400,"monthly")+SUMIFS(SF_Output!$G$1:$G$400,SF_Output!$AC$1:$AC$400,_xlfn.TEXTJOIN(",",TRUE,B245:E245),SF_Output!$Q$1:$Q$400,"monthly"))*H245,AND(B245&lt;&gt;"",H245=SF_Output!$Y$2,SUMIFS(SF_Output!$T$1:$T$400,SF_Output!$AC$1:$AC$400,_xlfn.TEXTJOIN(",",TRUE,B245:E245),SF_Output!$Q$1:$Q$400,"monthly")&lt;&gt;0),SUMIFS(SF_Output!$S$1:$S$400,SF_Output!$AC$1:$AC$400,_xlfn.TEXTJOIN(",",TRUE,B245:E245),SF_Output!$Q$1:$Q$400,"monthly"),AND(B245&lt;&gt;"",H245&lt;&gt;SF_Output!$Y$2),SUMIFS(SF_Output!$S$1:$S$400,SF_Output!$AC$1:$AC$400,_xlfn.TEXTJOIN(",",TRUE,B245:E245),SF_Output!$Q$1:$Q$400,"monthly"))</f>
        <v/>
      </c>
      <c r="W245" s="112" t="str" cm="1">
        <f t="array" ref="W245">_xlfn.IFS(OR(B245=0,B245="",V245=0),"",AF245&lt;&gt;"exclusion",MAX($W$9,$W$7,(-(SUMIFS(SF_Output!$T$1:$T$400,SF_Output!$AC$1:$AC$400,_xlfn.TEXTJOIN(",",TRUE,$B245:$E245),SF_Output!$Q$1:$Q$400,"monthly"))/V245)),AF245="exclusion",-(SUMIFS(SF_Output!$T$1:$T$400,SF_Output!$AC$1:$AC$400,_xlfn.TEXTJOIN(",",TRUE,$B245:$E245),SF_Output!$Q$1:$Q$400,"monthly"))/V245)</f>
        <v/>
      </c>
      <c r="X245" s="6" t="str" cm="1">
        <f t="array" ref="X245">IFERROR(_xlfn.IFS(V245=0,0,V245="","",W245=0,V245,OR(V245&lt;&gt;0,V245&lt;&gt;""),H245*I245),V245*(1-W245))</f>
        <v/>
      </c>
      <c r="Z245" s="6" t="str">
        <f>IFERROR(IF(B245="","",SUMIFS(Billing_Fallout!H:H,Billing_Fallout!N:N,B245)),0)</f>
        <v/>
      </c>
      <c r="AA245" s="6" t="str">
        <f t="shared" si="55"/>
        <v/>
      </c>
      <c r="AB245" s="6" t="str">
        <f>IFERROR(IF(B245="","",SUMIFS(Billing_Fallout!J:J,Billing_Fallout!N:N,B245)),0)</f>
        <v/>
      </c>
      <c r="AD245" s="6" t="str">
        <f t="shared" si="56"/>
        <v/>
      </c>
      <c r="AF245" t="str">
        <f>IFERROR(INDEX(H_Tables!$B$1:$B$1500,MATCH(INDEX(SF_Output!$J$1:$J$400,MATCH(B245,SF_Output!$M$1:$M$400,0)),H_Tables!$A$1:$A$1500,0)),"")</f>
        <v/>
      </c>
      <c r="AI245" s="119" t="str">
        <f t="shared" si="57"/>
        <v/>
      </c>
      <c r="AJ245" s="121">
        <f>IFERROR(INDEX(SF_Output!AD:AD,MATCH(_xlfn.TEXTJOIN(",",TRUE,B245:E245),SF_Output!AC1:AC400,0)),0.05)</f>
        <v>241</v>
      </c>
      <c r="AK245" t="str">
        <f>IF(SUMIFS(SF_Output!$F$1:$F$400,SF_Output!$AC$1:$AC$400,_xlfn.TEXTJOIN(",",TRUE,B245:E245))+SUMIFS(SF_Output!$G$1:$G$400,SF_Output!$AC$1:$AC$400,_xlfn.TEXTJOIN(",",TRUE,B245:E245))=0,"","PAP")</f>
        <v/>
      </c>
      <c r="AQ245" s="35"/>
      <c r="AR245" s="35" t="str" cm="1">
        <f t="array" ref="AR245">IFERROR(_xlfn.IFS(AND(E245*1=1,F245="Included"),"Change to Included",AND(E245*1=0,F245="Optional"),"Change to Optional",OR(B245="",F245="replaced"),""),"")</f>
        <v/>
      </c>
      <c r="AS245" s="35" t="str">
        <f t="shared" si="58"/>
        <v/>
      </c>
      <c r="AT245" s="35" t="str">
        <f t="shared" si="59"/>
        <v/>
      </c>
      <c r="AU245" s="35" t="str">
        <f t="shared" si="60"/>
        <v/>
      </c>
      <c r="AV245" s="35" t="str">
        <f t="shared" si="61"/>
        <v/>
      </c>
      <c r="AW245" s="35" t="str">
        <f t="shared" si="62"/>
        <v/>
      </c>
      <c r="AX245" s="35" t="str">
        <f t="shared" si="63"/>
        <v/>
      </c>
      <c r="AY245" s="35" t="str">
        <f t="shared" si="64"/>
        <v/>
      </c>
      <c r="AZ245" s="35" t="str">
        <f t="shared" si="65"/>
        <v/>
      </c>
      <c r="BA245" s="35" t="str">
        <f t="shared" si="66"/>
        <v/>
      </c>
      <c r="BB245" s="35" t="str">
        <f t="shared" si="67"/>
        <v/>
      </c>
      <c r="BC245" s="35"/>
      <c r="BE245" s="35" t="e">
        <f>INDEX(SF_Output!$AA$2:$AA$400,MATCH($B245,SF_Output!$M$2:$M$400,0))</f>
        <v>#N/A</v>
      </c>
      <c r="BF245" s="35" t="e">
        <f>INDEX(SF_Output!$AB$2:$AB$400,MATCH($B245,SF_Output!$M$2:$M$400,0))</f>
        <v>#N/A</v>
      </c>
    </row>
    <row r="246" spans="6:58" x14ac:dyDescent="0.25">
      <c r="F246" s="116" t="str">
        <f t="shared" si="51"/>
        <v/>
      </c>
      <c r="G246" t="str">
        <f>IF(B246="","",INDEX(SF_Output!$K$1:$K$400,MATCH(B246,SF_Output!$M$1:$M$400,0)))</f>
        <v/>
      </c>
      <c r="H246" t="str" cm="1">
        <f t="array" ref="H246">_xlfn.IFS(B246="","",(SUMIFS(SF_Output!$F$1:$F$400,SF_Output!$AC$1:$AC$400,_xlfn.TEXTJOIN(",",TRUE,B246:E246))+SUMIFS(SF_Output!$G$1:$G$400,SF_Output!$AC$1:$AC$400,_xlfn.TEXTJOIN(",",TRUE,B246:E246)))&lt;&gt;0,SF_Output!$Y$2,INDEX(SF_Output!$F$1:$F$400,MATCH(_xlfn.TEXTJOIN(",",TRUE,B246:E246),SF_Output!$AC$1:$AC$400,0))=0,INDEX(SF_Output!$R$1:$R$400,MATCH(_xlfn.TEXTJOIN(",",TRUE,B246:E246),SF_Output!$AC$1:$AC$400,0)))</f>
        <v/>
      </c>
      <c r="I246" s="125" t="str">
        <f>IFERROR(IF(AND(H246&gt;1,H246&lt;&gt;""),ROUND(SUMIFS(SF_Output!$S$1:$S$400,SF_Output!$AC$1:$AC$400,_xlfn.TEXTJOIN(",",TRUE,B246:E246),SF_Output!$Q$1:$Q$400,"monthly")*(1-W246)/H246,4),""),"")</f>
        <v/>
      </c>
      <c r="J246" s="6" t="str">
        <f>IF(B246="","",SUMIFS(SF_Output!$S$1:$S$400,SF_Output!$AC$1:$AC$400,_xlfn.TEXTJOIN(",",TRUE,B246:E246),SF_Output!$Q$1:$Q$400,"One Time",SF_Output!$L$1:$L$400,"license fee")+SUMIFS(SF_Output!$S$1:$S$400,SF_Output!$AC$1:$AC$400,_xlfn.TEXTJOIN(",",TRUE,B246:E246),SF_Output!$Q$1:$Q$400,"One Time",SF_Output!$L$1:$L$400,"software license")+SUMIFS(SF_Output!$S$1:$S$400,SF_Output!$AC$1:$AC$400,_xlfn.TEXTJOIN(",",TRUE,B246:E246),SF_Output!$Q$1:$Q$400,"One Time",SF_Output!$L$1:$L$400,"hardware"))</f>
        <v/>
      </c>
      <c r="K246" s="112" t="str">
        <f>IF(OR(B246=0,B246="",G246="hardware",J246=0),"",IF(AF246&lt;&gt;"exclusion",MAX(K$9,-((SUMIFS(SF_Output!$T$1:$T$400,SF_Output!$AC$1:$AC$400,_xlfn.TEXTJOIN(",",TRUE,$B246:$E246),SF_Output!$Q$1:$Q$400,"One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license"))/J246)))</f>
        <v/>
      </c>
      <c r="L246" s="6" t="str">
        <f t="shared" si="52"/>
        <v/>
      </c>
      <c r="N246" s="6" t="str">
        <f>IF(B246="","",SUMIFS(SF_Output!$S$1:$S$400,SF_Output!$AC$1:$AC$400,_xlfn.TEXTJOIN(",",TRUE,B246:E246),SF_Output!$Q$1:$Q$400,"One Time",SF_Output!$L$1:$L$400,"professional service"))</f>
        <v/>
      </c>
      <c r="O246" s="112" t="str">
        <f>IF(OR(B246=0,B246="",N246=0),"",IF(AF246&lt;&gt;"exclusion",MAX(O$9,-(SUMIFS(SF_Output!$T$1:$T$400,SF_Output!$AC$1:$AC$400,_xlfn.TEXTJOIN(",",TRUE,$B246:$E246),SF_Output!$Q$1:$Q$400,"One Time",SF_Output!$L$1:$L$400,"professional service"))/N246),-((SUMIFS(SF_Output!$T$1:$T$400,SF_Output!$AC$1:$AC$400,_xlfn.TEXTJOIN(",",TRUE,$B246:$E246),SF_Output!$Q$1:$Q$400,"One Time",SF_Output!$L$1:$L$400,"professional service")/N246))))</f>
        <v/>
      </c>
      <c r="P246" s="6" t="str">
        <f t="shared" si="53"/>
        <v/>
      </c>
      <c r="R246" s="6" t="str">
        <f>IF(B246="","",SUMIFS(SF_Output!$S$1:$S$400,SF_Output!$AC$1:$AC$400,_xlfn.TEXTJOIN(",",TRUE,B246:E246),SF_Output!$Q$1:$Q$400,"yearly")+SUMIFS(SF_Output!$S$1:$S$400,SF_Output!$AC$1:$AC$400,_xlfn.TEXTJOIN(",",TRUE,B246:E246),SF_Output!$Q$1:$Q$400,"quarterly")*4)</f>
        <v/>
      </c>
      <c r="S246" s="112" t="str">
        <f>IF(OR(B246=0,B246="",G246="hardware",R246=0),"",IF(AF246&lt;&gt;"exclusion",MAX(S$9,-(SUMIFS(SF_Output!$T$1:$T$400,SF_Output!$AC$1:$AC$400,_xlfn.TEXTJOIN(",",TRUE,$B246:$E246),SF_Output!$Q$1:$Q$400,"yearly"))/R246),-((SUMIFS(SF_Output!$T$1:$T$400,SF_Output!$AC$1:$AC$400,_xlfn.TEXTJOIN(",",TRUE,$B246:$E246),SF_Output!$Q$1:$Q$400,"yearly")/R246))))</f>
        <v/>
      </c>
      <c r="T246" s="6" t="str">
        <f t="shared" si="54"/>
        <v/>
      </c>
      <c r="V246" s="6" t="str" cm="1">
        <f t="array" ref="V246">_xlfn.IFS(B246="","",AND(B246&lt;&gt;"",H246=SF_Output!$Y$2,SUMIFS(SF_Output!$T$1:$T$400,SF_Output!$AC$1:$AC$400,_xlfn.TEXTJOIN(",",TRUE,B246:E246),SF_Output!$Q$1:$Q$400,"monthly")=0),(SUMIFS(SF_Output!$F$1:$F$400,SF_Output!$AC$1:$AC$400,_xlfn.TEXTJOIN(",",TRUE,B246:E246),SF_Output!$Q$1:$Q$400,"monthly")+SUMIFS(SF_Output!$G$1:$G$400,SF_Output!$AC$1:$AC$400,_xlfn.TEXTJOIN(",",TRUE,B246:E246),SF_Output!$Q$1:$Q$400,"monthly"))*H246,AND(B246&lt;&gt;"",H246=SF_Output!$Y$2,SUMIFS(SF_Output!$T$1:$T$400,SF_Output!$AC$1:$AC$400,_xlfn.TEXTJOIN(",",TRUE,B246:E246),SF_Output!$Q$1:$Q$400,"monthly")&lt;&gt;0),SUMIFS(SF_Output!$S$1:$S$400,SF_Output!$AC$1:$AC$400,_xlfn.TEXTJOIN(",",TRUE,B246:E246),SF_Output!$Q$1:$Q$400,"monthly"),AND(B246&lt;&gt;"",H246&lt;&gt;SF_Output!$Y$2),SUMIFS(SF_Output!$S$1:$S$400,SF_Output!$AC$1:$AC$400,_xlfn.TEXTJOIN(",",TRUE,B246:E246),SF_Output!$Q$1:$Q$400,"monthly"))</f>
        <v/>
      </c>
      <c r="W246" s="112" t="str" cm="1">
        <f t="array" ref="W246">_xlfn.IFS(OR(B246=0,B246="",V246=0),"",AF246&lt;&gt;"exclusion",MAX($W$9,$W$7,(-(SUMIFS(SF_Output!$T$1:$T$400,SF_Output!$AC$1:$AC$400,_xlfn.TEXTJOIN(",",TRUE,$B246:$E246),SF_Output!$Q$1:$Q$400,"monthly"))/V246)),AF246="exclusion",-(SUMIFS(SF_Output!$T$1:$T$400,SF_Output!$AC$1:$AC$400,_xlfn.TEXTJOIN(",",TRUE,$B246:$E246),SF_Output!$Q$1:$Q$400,"monthly"))/V246)</f>
        <v/>
      </c>
      <c r="X246" s="6" t="str" cm="1">
        <f t="array" ref="X246">IFERROR(_xlfn.IFS(V246=0,0,V246="","",W246=0,V246,OR(V246&lt;&gt;0,V246&lt;&gt;""),H246*I246),V246*(1-W246))</f>
        <v/>
      </c>
      <c r="Z246" s="6" t="str">
        <f>IFERROR(IF(B246="","",SUMIFS(Billing_Fallout!H:H,Billing_Fallout!N:N,B246)),0)</f>
        <v/>
      </c>
      <c r="AA246" s="6" t="str">
        <f t="shared" si="55"/>
        <v/>
      </c>
      <c r="AB246" s="6" t="str">
        <f>IFERROR(IF(B246="","",SUMIFS(Billing_Fallout!J:J,Billing_Fallout!N:N,B246)),0)</f>
        <v/>
      </c>
      <c r="AD246" s="6" t="str">
        <f t="shared" si="56"/>
        <v/>
      </c>
      <c r="AF246" t="str">
        <f>IFERROR(INDEX(H_Tables!$B$1:$B$1500,MATCH(INDEX(SF_Output!$J$1:$J$400,MATCH(B246,SF_Output!$M$1:$M$400,0)),H_Tables!$A$1:$A$1500,0)),"")</f>
        <v/>
      </c>
      <c r="AI246" s="119" t="str">
        <f t="shared" si="57"/>
        <v/>
      </c>
      <c r="AJ246" s="121">
        <f>IFERROR(INDEX(SF_Output!AD:AD,MATCH(_xlfn.TEXTJOIN(",",TRUE,B246:E246),SF_Output!AC1:AC400,0)),0.05)</f>
        <v>241</v>
      </c>
      <c r="AK246" t="str">
        <f>IF(SUMIFS(SF_Output!$F$1:$F$400,SF_Output!$AC$1:$AC$400,_xlfn.TEXTJOIN(",",TRUE,B246:E246))+SUMIFS(SF_Output!$G$1:$G$400,SF_Output!$AC$1:$AC$400,_xlfn.TEXTJOIN(",",TRUE,B246:E246))=0,"","PAP")</f>
        <v/>
      </c>
      <c r="AQ246" s="35"/>
      <c r="AR246" s="35" t="str" cm="1">
        <f t="array" ref="AR246">IFERROR(_xlfn.IFS(AND(E246*1=1,F246="Included"),"Change to Included",AND(E246*1=0,F246="Optional"),"Change to Optional",OR(B246="",F246="replaced"),""),"")</f>
        <v/>
      </c>
      <c r="AS246" s="35" t="str">
        <f t="shared" si="58"/>
        <v/>
      </c>
      <c r="AT246" s="35" t="str">
        <f t="shared" si="59"/>
        <v/>
      </c>
      <c r="AU246" s="35" t="str">
        <f t="shared" si="60"/>
        <v/>
      </c>
      <c r="AV246" s="35" t="str">
        <f t="shared" si="61"/>
        <v/>
      </c>
      <c r="AW246" s="35" t="str">
        <f t="shared" si="62"/>
        <v/>
      </c>
      <c r="AX246" s="35" t="str">
        <f t="shared" si="63"/>
        <v/>
      </c>
      <c r="AY246" s="35" t="str">
        <f t="shared" si="64"/>
        <v/>
      </c>
      <c r="AZ246" s="35" t="str">
        <f t="shared" si="65"/>
        <v/>
      </c>
      <c r="BA246" s="35" t="str">
        <f t="shared" si="66"/>
        <v/>
      </c>
      <c r="BB246" s="35" t="str">
        <f t="shared" si="67"/>
        <v/>
      </c>
      <c r="BC246" s="35"/>
      <c r="BE246" s="35" t="e">
        <f>INDEX(SF_Output!$AA$2:$AA$400,MATCH($B246,SF_Output!$M$2:$M$400,0))</f>
        <v>#N/A</v>
      </c>
      <c r="BF246" s="35" t="e">
        <f>INDEX(SF_Output!$AB$2:$AB$400,MATCH($B246,SF_Output!$M$2:$M$400,0))</f>
        <v>#N/A</v>
      </c>
    </row>
    <row r="247" spans="6:58" x14ac:dyDescent="0.25">
      <c r="F247" s="116" t="str">
        <f t="shared" si="51"/>
        <v/>
      </c>
      <c r="G247" t="str">
        <f>IF(B247="","",INDEX(SF_Output!$K$1:$K$400,MATCH(B247,SF_Output!$M$1:$M$400,0)))</f>
        <v/>
      </c>
      <c r="H247" t="str" cm="1">
        <f t="array" ref="H247">_xlfn.IFS(B247="","",(SUMIFS(SF_Output!$F$1:$F$400,SF_Output!$AC$1:$AC$400,_xlfn.TEXTJOIN(",",TRUE,B247:E247))+SUMIFS(SF_Output!$G$1:$G$400,SF_Output!$AC$1:$AC$400,_xlfn.TEXTJOIN(",",TRUE,B247:E247)))&lt;&gt;0,SF_Output!$Y$2,INDEX(SF_Output!$F$1:$F$400,MATCH(_xlfn.TEXTJOIN(",",TRUE,B247:E247),SF_Output!$AC$1:$AC$400,0))=0,INDEX(SF_Output!$R$1:$R$400,MATCH(_xlfn.TEXTJOIN(",",TRUE,B247:E247),SF_Output!$AC$1:$AC$400,0)))</f>
        <v/>
      </c>
      <c r="I247" s="125" t="str">
        <f>IFERROR(IF(AND(H247&gt;1,H247&lt;&gt;""),ROUND(SUMIFS(SF_Output!$S$1:$S$400,SF_Output!$AC$1:$AC$400,_xlfn.TEXTJOIN(",",TRUE,B247:E247),SF_Output!$Q$1:$Q$400,"monthly")*(1-W247)/H247,4),""),"")</f>
        <v/>
      </c>
      <c r="J247" s="6" t="str">
        <f>IF(B247="","",SUMIFS(SF_Output!$S$1:$S$400,SF_Output!$AC$1:$AC$400,_xlfn.TEXTJOIN(",",TRUE,B247:E247),SF_Output!$Q$1:$Q$400,"One Time",SF_Output!$L$1:$L$400,"license fee")+SUMIFS(SF_Output!$S$1:$S$400,SF_Output!$AC$1:$AC$400,_xlfn.TEXTJOIN(",",TRUE,B247:E247),SF_Output!$Q$1:$Q$400,"One Time",SF_Output!$L$1:$L$400,"software license")+SUMIFS(SF_Output!$S$1:$S$400,SF_Output!$AC$1:$AC$400,_xlfn.TEXTJOIN(",",TRUE,B247:E247),SF_Output!$Q$1:$Q$400,"One Time",SF_Output!$L$1:$L$400,"hardware"))</f>
        <v/>
      </c>
      <c r="K247" s="112" t="str">
        <f>IF(OR(B247=0,B247="",G247="hardware",J247=0),"",IF(AF247&lt;&gt;"exclusion",MAX(K$9,-((SUMIFS(SF_Output!$T$1:$T$400,SF_Output!$AC$1:$AC$400,_xlfn.TEXTJOIN(",",TRUE,$B247:$E247),SF_Output!$Q$1:$Q$400,"One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license"))/J247)))</f>
        <v/>
      </c>
      <c r="L247" s="6" t="str">
        <f t="shared" si="52"/>
        <v/>
      </c>
      <c r="N247" s="6" t="str">
        <f>IF(B247="","",SUMIFS(SF_Output!$S$1:$S$400,SF_Output!$AC$1:$AC$400,_xlfn.TEXTJOIN(",",TRUE,B247:E247),SF_Output!$Q$1:$Q$400,"One Time",SF_Output!$L$1:$L$400,"professional service"))</f>
        <v/>
      </c>
      <c r="O247" s="112" t="str">
        <f>IF(OR(B247=0,B247="",N247=0),"",IF(AF247&lt;&gt;"exclusion",MAX(O$9,-(SUMIFS(SF_Output!$T$1:$T$400,SF_Output!$AC$1:$AC$400,_xlfn.TEXTJOIN(",",TRUE,$B247:$E247),SF_Output!$Q$1:$Q$400,"One Time",SF_Output!$L$1:$L$400,"professional service"))/N247),-((SUMIFS(SF_Output!$T$1:$T$400,SF_Output!$AC$1:$AC$400,_xlfn.TEXTJOIN(",",TRUE,$B247:$E247),SF_Output!$Q$1:$Q$400,"One Time",SF_Output!$L$1:$L$400,"professional service")/N247))))</f>
        <v/>
      </c>
      <c r="P247" s="6" t="str">
        <f t="shared" si="53"/>
        <v/>
      </c>
      <c r="R247" s="6" t="str">
        <f>IF(B247="","",SUMIFS(SF_Output!$S$1:$S$400,SF_Output!$AC$1:$AC$400,_xlfn.TEXTJOIN(",",TRUE,B247:E247),SF_Output!$Q$1:$Q$400,"yearly")+SUMIFS(SF_Output!$S$1:$S$400,SF_Output!$AC$1:$AC$400,_xlfn.TEXTJOIN(",",TRUE,B247:E247),SF_Output!$Q$1:$Q$400,"quarterly")*4)</f>
        <v/>
      </c>
      <c r="S247" s="112" t="str">
        <f>IF(OR(B247=0,B247="",G247="hardware",R247=0),"",IF(AF247&lt;&gt;"exclusion",MAX(S$9,-(SUMIFS(SF_Output!$T$1:$T$400,SF_Output!$AC$1:$AC$400,_xlfn.TEXTJOIN(",",TRUE,$B247:$E247),SF_Output!$Q$1:$Q$400,"yearly"))/R247),-((SUMIFS(SF_Output!$T$1:$T$400,SF_Output!$AC$1:$AC$400,_xlfn.TEXTJOIN(",",TRUE,$B247:$E247),SF_Output!$Q$1:$Q$400,"yearly")/R247))))</f>
        <v/>
      </c>
      <c r="T247" s="6" t="str">
        <f t="shared" si="54"/>
        <v/>
      </c>
      <c r="V247" s="6" t="str" cm="1">
        <f t="array" ref="V247">_xlfn.IFS(B247="","",AND(B247&lt;&gt;"",H247=SF_Output!$Y$2,SUMIFS(SF_Output!$T$1:$T$400,SF_Output!$AC$1:$AC$400,_xlfn.TEXTJOIN(",",TRUE,B247:E247),SF_Output!$Q$1:$Q$400,"monthly")=0),(SUMIFS(SF_Output!$F$1:$F$400,SF_Output!$AC$1:$AC$400,_xlfn.TEXTJOIN(",",TRUE,B247:E247),SF_Output!$Q$1:$Q$400,"monthly")+SUMIFS(SF_Output!$G$1:$G$400,SF_Output!$AC$1:$AC$400,_xlfn.TEXTJOIN(",",TRUE,B247:E247),SF_Output!$Q$1:$Q$400,"monthly"))*H247,AND(B247&lt;&gt;"",H247=SF_Output!$Y$2,SUMIFS(SF_Output!$T$1:$T$400,SF_Output!$AC$1:$AC$400,_xlfn.TEXTJOIN(",",TRUE,B247:E247),SF_Output!$Q$1:$Q$400,"monthly")&lt;&gt;0),SUMIFS(SF_Output!$S$1:$S$400,SF_Output!$AC$1:$AC$400,_xlfn.TEXTJOIN(",",TRUE,B247:E247),SF_Output!$Q$1:$Q$400,"monthly"),AND(B247&lt;&gt;"",H247&lt;&gt;SF_Output!$Y$2),SUMIFS(SF_Output!$S$1:$S$400,SF_Output!$AC$1:$AC$400,_xlfn.TEXTJOIN(",",TRUE,B247:E247),SF_Output!$Q$1:$Q$400,"monthly"))</f>
        <v/>
      </c>
      <c r="W247" s="112" t="str" cm="1">
        <f t="array" ref="W247">_xlfn.IFS(OR(B247=0,B247="",V247=0),"",AF247&lt;&gt;"exclusion",MAX($W$9,$W$7,(-(SUMIFS(SF_Output!$T$1:$T$400,SF_Output!$AC$1:$AC$400,_xlfn.TEXTJOIN(",",TRUE,$B247:$E247),SF_Output!$Q$1:$Q$400,"monthly"))/V247)),AF247="exclusion",-(SUMIFS(SF_Output!$T$1:$T$400,SF_Output!$AC$1:$AC$400,_xlfn.TEXTJOIN(",",TRUE,$B247:$E247),SF_Output!$Q$1:$Q$400,"monthly"))/V247)</f>
        <v/>
      </c>
      <c r="X247" s="6" t="str" cm="1">
        <f t="array" ref="X247">IFERROR(_xlfn.IFS(V247=0,0,V247="","",W247=0,V247,OR(V247&lt;&gt;0,V247&lt;&gt;""),H247*I247),V247*(1-W247))</f>
        <v/>
      </c>
      <c r="Z247" s="6" t="str">
        <f>IFERROR(IF(B247="","",SUMIFS(Billing_Fallout!H:H,Billing_Fallout!N:N,B247)),0)</f>
        <v/>
      </c>
      <c r="AA247" s="6" t="str">
        <f t="shared" si="55"/>
        <v/>
      </c>
      <c r="AB247" s="6" t="str">
        <f>IFERROR(IF(B247="","",SUMIFS(Billing_Fallout!J:J,Billing_Fallout!N:N,B247)),0)</f>
        <v/>
      </c>
      <c r="AD247" s="6" t="str">
        <f t="shared" si="56"/>
        <v/>
      </c>
      <c r="AF247" t="str">
        <f>IFERROR(INDEX(H_Tables!$B$1:$B$1500,MATCH(INDEX(SF_Output!$J$1:$J$400,MATCH(B247,SF_Output!$M$1:$M$400,0)),H_Tables!$A$1:$A$1500,0)),"")</f>
        <v/>
      </c>
      <c r="AI247" s="119" t="str">
        <f t="shared" si="57"/>
        <v/>
      </c>
      <c r="AJ247" s="121">
        <f>IFERROR(INDEX(SF_Output!AD:AD,MATCH(_xlfn.TEXTJOIN(",",TRUE,B247:E247),SF_Output!AC1:AC400,0)),0.05)</f>
        <v>241</v>
      </c>
      <c r="AK247" t="str">
        <f>IF(SUMIFS(SF_Output!$F$1:$F$400,SF_Output!$AC$1:$AC$400,_xlfn.TEXTJOIN(",",TRUE,B247:E247))+SUMIFS(SF_Output!$G$1:$G$400,SF_Output!$AC$1:$AC$400,_xlfn.TEXTJOIN(",",TRUE,B247:E247))=0,"","PAP")</f>
        <v/>
      </c>
      <c r="AQ247" s="35"/>
      <c r="AR247" s="35" t="str" cm="1">
        <f t="array" ref="AR247">IFERROR(_xlfn.IFS(AND(E247*1=1,F247="Included"),"Change to Included",AND(E247*1=0,F247="Optional"),"Change to Optional",OR(B247="",F247="replaced"),""),"")</f>
        <v/>
      </c>
      <c r="AS247" s="35" t="str">
        <f t="shared" si="58"/>
        <v/>
      </c>
      <c r="AT247" s="35" t="str">
        <f t="shared" si="59"/>
        <v/>
      </c>
      <c r="AU247" s="35" t="str">
        <f t="shared" si="60"/>
        <v/>
      </c>
      <c r="AV247" s="35" t="str">
        <f t="shared" si="61"/>
        <v/>
      </c>
      <c r="AW247" s="35" t="str">
        <f t="shared" si="62"/>
        <v/>
      </c>
      <c r="AX247" s="35" t="str">
        <f t="shared" si="63"/>
        <v/>
      </c>
      <c r="AY247" s="35" t="str">
        <f t="shared" si="64"/>
        <v/>
      </c>
      <c r="AZ247" s="35" t="str">
        <f t="shared" si="65"/>
        <v/>
      </c>
      <c r="BA247" s="35" t="str">
        <f t="shared" si="66"/>
        <v/>
      </c>
      <c r="BB247" s="35" t="str">
        <f t="shared" si="67"/>
        <v/>
      </c>
      <c r="BC247" s="35"/>
      <c r="BE247" s="35" t="e">
        <f>INDEX(SF_Output!$AA$2:$AA$400,MATCH($B247,SF_Output!$M$2:$M$400,0))</f>
        <v>#N/A</v>
      </c>
      <c r="BF247" s="35" t="e">
        <f>INDEX(SF_Output!$AB$2:$AB$400,MATCH($B247,SF_Output!$M$2:$M$400,0))</f>
        <v>#N/A</v>
      </c>
    </row>
    <row r="248" spans="6:58" x14ac:dyDescent="0.25">
      <c r="F248" s="116" t="str">
        <f t="shared" si="51"/>
        <v/>
      </c>
      <c r="G248" t="str">
        <f>IF(B248="","",INDEX(SF_Output!$K$1:$K$400,MATCH(B248,SF_Output!$M$1:$M$400,0)))</f>
        <v/>
      </c>
      <c r="H248" t="str" cm="1">
        <f t="array" ref="H248">_xlfn.IFS(B248="","",(SUMIFS(SF_Output!$F$1:$F$400,SF_Output!$AC$1:$AC$400,_xlfn.TEXTJOIN(",",TRUE,B248:E248))+SUMIFS(SF_Output!$G$1:$G$400,SF_Output!$AC$1:$AC$400,_xlfn.TEXTJOIN(",",TRUE,B248:E248)))&lt;&gt;0,SF_Output!$Y$2,INDEX(SF_Output!$F$1:$F$400,MATCH(_xlfn.TEXTJOIN(",",TRUE,B248:E248),SF_Output!$AC$1:$AC$400,0))=0,INDEX(SF_Output!$R$1:$R$400,MATCH(_xlfn.TEXTJOIN(",",TRUE,B248:E248),SF_Output!$AC$1:$AC$400,0)))</f>
        <v/>
      </c>
      <c r="I248" s="125" t="str">
        <f>IFERROR(IF(AND(H248&gt;1,H248&lt;&gt;""),ROUND(SUMIFS(SF_Output!$S$1:$S$400,SF_Output!$AC$1:$AC$400,_xlfn.TEXTJOIN(",",TRUE,B248:E248),SF_Output!$Q$1:$Q$400,"monthly")*(1-W248)/H248,4),""),"")</f>
        <v/>
      </c>
      <c r="J248" s="6" t="str">
        <f>IF(B248="","",SUMIFS(SF_Output!$S$1:$S$400,SF_Output!$AC$1:$AC$400,_xlfn.TEXTJOIN(",",TRUE,B248:E248),SF_Output!$Q$1:$Q$400,"One Time",SF_Output!$L$1:$L$400,"license fee")+SUMIFS(SF_Output!$S$1:$S$400,SF_Output!$AC$1:$AC$400,_xlfn.TEXTJOIN(",",TRUE,B248:E248),SF_Output!$Q$1:$Q$400,"One Time",SF_Output!$L$1:$L$400,"software license")+SUMIFS(SF_Output!$S$1:$S$400,SF_Output!$AC$1:$AC$400,_xlfn.TEXTJOIN(",",TRUE,B248:E248),SF_Output!$Q$1:$Q$400,"One Time",SF_Output!$L$1:$L$400,"hardware"))</f>
        <v/>
      </c>
      <c r="K248" s="112" t="str">
        <f>IF(OR(B248=0,B248="",G248="hardware",J248=0),"",IF(AF248&lt;&gt;"exclusion",MAX(K$9,-((SUMIFS(SF_Output!$T$1:$T$400,SF_Output!$AC$1:$AC$400,_xlfn.TEXTJOIN(",",TRUE,$B248:$E248),SF_Output!$Q$1:$Q$400,"One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license"))/J248)))</f>
        <v/>
      </c>
      <c r="L248" s="6" t="str">
        <f t="shared" si="52"/>
        <v/>
      </c>
      <c r="N248" s="6" t="str">
        <f>IF(B248="","",SUMIFS(SF_Output!$S$1:$S$400,SF_Output!$AC$1:$AC$400,_xlfn.TEXTJOIN(",",TRUE,B248:E248),SF_Output!$Q$1:$Q$400,"One Time",SF_Output!$L$1:$L$400,"professional service"))</f>
        <v/>
      </c>
      <c r="O248" s="112" t="str">
        <f>IF(OR(B248=0,B248="",N248=0),"",IF(AF248&lt;&gt;"exclusion",MAX(O$9,-(SUMIFS(SF_Output!$T$1:$T$400,SF_Output!$AC$1:$AC$400,_xlfn.TEXTJOIN(",",TRUE,$B248:$E248),SF_Output!$Q$1:$Q$400,"One Time",SF_Output!$L$1:$L$400,"professional service"))/N248),-((SUMIFS(SF_Output!$T$1:$T$400,SF_Output!$AC$1:$AC$400,_xlfn.TEXTJOIN(",",TRUE,$B248:$E248),SF_Output!$Q$1:$Q$400,"One Time",SF_Output!$L$1:$L$400,"professional service")/N248))))</f>
        <v/>
      </c>
      <c r="P248" s="6" t="str">
        <f t="shared" si="53"/>
        <v/>
      </c>
      <c r="R248" s="6" t="str">
        <f>IF(B248="","",SUMIFS(SF_Output!$S$1:$S$400,SF_Output!$AC$1:$AC$400,_xlfn.TEXTJOIN(",",TRUE,B248:E248),SF_Output!$Q$1:$Q$400,"yearly")+SUMIFS(SF_Output!$S$1:$S$400,SF_Output!$AC$1:$AC$400,_xlfn.TEXTJOIN(",",TRUE,B248:E248),SF_Output!$Q$1:$Q$400,"quarterly")*4)</f>
        <v/>
      </c>
      <c r="S248" s="112" t="str">
        <f>IF(OR(B248=0,B248="",G248="hardware",R248=0),"",IF(AF248&lt;&gt;"exclusion",MAX(S$9,-(SUMIFS(SF_Output!$T$1:$T$400,SF_Output!$AC$1:$AC$400,_xlfn.TEXTJOIN(",",TRUE,$B248:$E248),SF_Output!$Q$1:$Q$400,"yearly"))/R248),-((SUMIFS(SF_Output!$T$1:$T$400,SF_Output!$AC$1:$AC$400,_xlfn.TEXTJOIN(",",TRUE,$B248:$E248),SF_Output!$Q$1:$Q$400,"yearly")/R248))))</f>
        <v/>
      </c>
      <c r="T248" s="6" t="str">
        <f t="shared" si="54"/>
        <v/>
      </c>
      <c r="V248" s="6" t="str" cm="1">
        <f t="array" ref="V248">_xlfn.IFS(B248="","",AND(B248&lt;&gt;"",H248=SF_Output!$Y$2,SUMIFS(SF_Output!$T$1:$T$400,SF_Output!$AC$1:$AC$400,_xlfn.TEXTJOIN(",",TRUE,B248:E248),SF_Output!$Q$1:$Q$400,"monthly")=0),(SUMIFS(SF_Output!$F$1:$F$400,SF_Output!$AC$1:$AC$400,_xlfn.TEXTJOIN(",",TRUE,B248:E248),SF_Output!$Q$1:$Q$400,"monthly")+SUMIFS(SF_Output!$G$1:$G$400,SF_Output!$AC$1:$AC$400,_xlfn.TEXTJOIN(",",TRUE,B248:E248),SF_Output!$Q$1:$Q$400,"monthly"))*H248,AND(B248&lt;&gt;"",H248=SF_Output!$Y$2,SUMIFS(SF_Output!$T$1:$T$400,SF_Output!$AC$1:$AC$400,_xlfn.TEXTJOIN(",",TRUE,B248:E248),SF_Output!$Q$1:$Q$400,"monthly")&lt;&gt;0),SUMIFS(SF_Output!$S$1:$S$400,SF_Output!$AC$1:$AC$400,_xlfn.TEXTJOIN(",",TRUE,B248:E248),SF_Output!$Q$1:$Q$400,"monthly"),AND(B248&lt;&gt;"",H248&lt;&gt;SF_Output!$Y$2),SUMIFS(SF_Output!$S$1:$S$400,SF_Output!$AC$1:$AC$400,_xlfn.TEXTJOIN(",",TRUE,B248:E248),SF_Output!$Q$1:$Q$400,"monthly"))</f>
        <v/>
      </c>
      <c r="W248" s="112" t="str" cm="1">
        <f t="array" ref="W248">_xlfn.IFS(OR(B248=0,B248="",V248=0),"",AF248&lt;&gt;"exclusion",MAX($W$9,$W$7,(-(SUMIFS(SF_Output!$T$1:$T$400,SF_Output!$AC$1:$AC$400,_xlfn.TEXTJOIN(",",TRUE,$B248:$E248),SF_Output!$Q$1:$Q$400,"monthly"))/V248)),AF248="exclusion",-(SUMIFS(SF_Output!$T$1:$T$400,SF_Output!$AC$1:$AC$400,_xlfn.TEXTJOIN(",",TRUE,$B248:$E248),SF_Output!$Q$1:$Q$400,"monthly"))/V248)</f>
        <v/>
      </c>
      <c r="X248" s="6" t="str" cm="1">
        <f t="array" ref="X248">IFERROR(_xlfn.IFS(V248=0,0,V248="","",W248=0,V248,OR(V248&lt;&gt;0,V248&lt;&gt;""),H248*I248),V248*(1-W248))</f>
        <v/>
      </c>
      <c r="Z248" s="6" t="str">
        <f>IFERROR(IF(B248="","",SUMIFS(Billing_Fallout!H:H,Billing_Fallout!N:N,B248)),0)</f>
        <v/>
      </c>
      <c r="AA248" s="6" t="str">
        <f t="shared" si="55"/>
        <v/>
      </c>
      <c r="AB248" s="6" t="str">
        <f>IFERROR(IF(B248="","",SUMIFS(Billing_Fallout!J:J,Billing_Fallout!N:N,B248)),0)</f>
        <v/>
      </c>
      <c r="AD248" s="6" t="str">
        <f t="shared" si="56"/>
        <v/>
      </c>
      <c r="AF248" t="str">
        <f>IFERROR(INDEX(H_Tables!$B$1:$B$1500,MATCH(INDEX(SF_Output!$J$1:$J$400,MATCH(B248,SF_Output!$M$1:$M$400,0)),H_Tables!$A$1:$A$1500,0)),"")</f>
        <v/>
      </c>
      <c r="AI248" s="119" t="str">
        <f t="shared" si="57"/>
        <v/>
      </c>
      <c r="AJ248" s="121">
        <f>IFERROR(INDEX(SF_Output!AD:AD,MATCH(_xlfn.TEXTJOIN(",",TRUE,B248:E248),SF_Output!AC1:AC400,0)),0.05)</f>
        <v>241</v>
      </c>
      <c r="AK248" t="str">
        <f>IF(SUMIFS(SF_Output!$F$1:$F$400,SF_Output!$AC$1:$AC$400,_xlfn.TEXTJOIN(",",TRUE,B248:E248))+SUMIFS(SF_Output!$G$1:$G$400,SF_Output!$AC$1:$AC$400,_xlfn.TEXTJOIN(",",TRUE,B248:E248))=0,"","PAP")</f>
        <v/>
      </c>
      <c r="AQ248" s="35"/>
      <c r="AR248" s="35" t="str" cm="1">
        <f t="array" ref="AR248">IFERROR(_xlfn.IFS(AND(E248*1=1,F248="Included"),"Change to Included",AND(E248*1=0,F248="Optional"),"Change to Optional",OR(B248="",F248="replaced"),""),"")</f>
        <v/>
      </c>
      <c r="AS248" s="35" t="str">
        <f t="shared" si="58"/>
        <v/>
      </c>
      <c r="AT248" s="35" t="str">
        <f t="shared" si="59"/>
        <v/>
      </c>
      <c r="AU248" s="35" t="str">
        <f t="shared" si="60"/>
        <v/>
      </c>
      <c r="AV248" s="35" t="str">
        <f t="shared" si="61"/>
        <v/>
      </c>
      <c r="AW248" s="35" t="str">
        <f t="shared" si="62"/>
        <v/>
      </c>
      <c r="AX248" s="35" t="str">
        <f t="shared" si="63"/>
        <v/>
      </c>
      <c r="AY248" s="35" t="str">
        <f t="shared" si="64"/>
        <v/>
      </c>
      <c r="AZ248" s="35" t="str">
        <f t="shared" si="65"/>
        <v/>
      </c>
      <c r="BA248" s="35" t="str">
        <f t="shared" si="66"/>
        <v/>
      </c>
      <c r="BB248" s="35" t="str">
        <f t="shared" si="67"/>
        <v/>
      </c>
      <c r="BC248" s="35"/>
      <c r="BE248" s="35" t="e">
        <f>INDEX(SF_Output!$AA$2:$AA$400,MATCH($B248,SF_Output!$M$2:$M$400,0))</f>
        <v>#N/A</v>
      </c>
      <c r="BF248" s="35" t="e">
        <f>INDEX(SF_Output!$AB$2:$AB$400,MATCH($B248,SF_Output!$M$2:$M$400,0))</f>
        <v>#N/A</v>
      </c>
    </row>
    <row r="249" spans="6:58" x14ac:dyDescent="0.25">
      <c r="F249" s="116" t="str">
        <f t="shared" si="51"/>
        <v/>
      </c>
      <c r="G249" t="str">
        <f>IF(B249="","",INDEX(SF_Output!$K$1:$K$400,MATCH(B249,SF_Output!$M$1:$M$400,0)))</f>
        <v/>
      </c>
      <c r="H249" t="str" cm="1">
        <f t="array" ref="H249">_xlfn.IFS(B249="","",(SUMIFS(SF_Output!$F$1:$F$400,SF_Output!$AC$1:$AC$400,_xlfn.TEXTJOIN(",",TRUE,B249:E249))+SUMIFS(SF_Output!$G$1:$G$400,SF_Output!$AC$1:$AC$400,_xlfn.TEXTJOIN(",",TRUE,B249:E249)))&lt;&gt;0,SF_Output!$Y$2,INDEX(SF_Output!$F$1:$F$400,MATCH(_xlfn.TEXTJOIN(",",TRUE,B249:E249),SF_Output!$AC$1:$AC$400,0))=0,INDEX(SF_Output!$R$1:$R$400,MATCH(_xlfn.TEXTJOIN(",",TRUE,B249:E249),SF_Output!$AC$1:$AC$400,0)))</f>
        <v/>
      </c>
      <c r="I249" s="125" t="str">
        <f>IFERROR(IF(AND(H249&gt;1,H249&lt;&gt;""),ROUND(SUMIFS(SF_Output!$S$1:$S$400,SF_Output!$AC$1:$AC$400,_xlfn.TEXTJOIN(",",TRUE,B249:E249),SF_Output!$Q$1:$Q$400,"monthly")*(1-W249)/H249,4),""),"")</f>
        <v/>
      </c>
      <c r="J249" s="6" t="str">
        <f>IF(B249="","",SUMIFS(SF_Output!$S$1:$S$400,SF_Output!$AC$1:$AC$400,_xlfn.TEXTJOIN(",",TRUE,B249:E249),SF_Output!$Q$1:$Q$400,"One Time",SF_Output!$L$1:$L$400,"license fee")+SUMIFS(SF_Output!$S$1:$S$400,SF_Output!$AC$1:$AC$400,_xlfn.TEXTJOIN(",",TRUE,B249:E249),SF_Output!$Q$1:$Q$400,"One Time",SF_Output!$L$1:$L$400,"software license")+SUMIFS(SF_Output!$S$1:$S$400,SF_Output!$AC$1:$AC$400,_xlfn.TEXTJOIN(",",TRUE,B249:E249),SF_Output!$Q$1:$Q$400,"One Time",SF_Output!$L$1:$L$400,"hardware"))</f>
        <v/>
      </c>
      <c r="K249" s="112" t="str">
        <f>IF(OR(B249=0,B249="",G249="hardware",J249=0),"",IF(AF249&lt;&gt;"exclusion",MAX(K$9,-((SUMIFS(SF_Output!$T$1:$T$400,SF_Output!$AC$1:$AC$400,_xlfn.TEXTJOIN(",",TRUE,$B249:$E249),SF_Output!$Q$1:$Q$400,"One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license"))/J249)))</f>
        <v/>
      </c>
      <c r="L249" s="6" t="str">
        <f t="shared" si="52"/>
        <v/>
      </c>
      <c r="N249" s="6" t="str">
        <f>IF(B249="","",SUMIFS(SF_Output!$S$1:$S$400,SF_Output!$AC$1:$AC$400,_xlfn.TEXTJOIN(",",TRUE,B249:E249),SF_Output!$Q$1:$Q$400,"One Time",SF_Output!$L$1:$L$400,"professional service"))</f>
        <v/>
      </c>
      <c r="O249" s="112" t="str">
        <f>IF(OR(B249=0,B249="",N249=0),"",IF(AF249&lt;&gt;"exclusion",MAX(O$9,-(SUMIFS(SF_Output!$T$1:$T$400,SF_Output!$AC$1:$AC$400,_xlfn.TEXTJOIN(",",TRUE,$B249:$E249),SF_Output!$Q$1:$Q$400,"One Time",SF_Output!$L$1:$L$400,"professional service"))/N249),-((SUMIFS(SF_Output!$T$1:$T$400,SF_Output!$AC$1:$AC$400,_xlfn.TEXTJOIN(",",TRUE,$B249:$E249),SF_Output!$Q$1:$Q$400,"One Time",SF_Output!$L$1:$L$400,"professional service")/N249))))</f>
        <v/>
      </c>
      <c r="P249" s="6" t="str">
        <f t="shared" si="53"/>
        <v/>
      </c>
      <c r="R249" s="6" t="str">
        <f>IF(B249="","",SUMIFS(SF_Output!$S$1:$S$400,SF_Output!$AC$1:$AC$400,_xlfn.TEXTJOIN(",",TRUE,B249:E249),SF_Output!$Q$1:$Q$400,"yearly")+SUMIFS(SF_Output!$S$1:$S$400,SF_Output!$AC$1:$AC$400,_xlfn.TEXTJOIN(",",TRUE,B249:E249),SF_Output!$Q$1:$Q$400,"quarterly")*4)</f>
        <v/>
      </c>
      <c r="S249" s="112" t="str">
        <f>IF(OR(B249=0,B249="",G249="hardware",R249=0),"",IF(AF249&lt;&gt;"exclusion",MAX(S$9,-(SUMIFS(SF_Output!$T$1:$T$400,SF_Output!$AC$1:$AC$400,_xlfn.TEXTJOIN(",",TRUE,$B249:$E249),SF_Output!$Q$1:$Q$400,"yearly"))/R249),-((SUMIFS(SF_Output!$T$1:$T$400,SF_Output!$AC$1:$AC$400,_xlfn.TEXTJOIN(",",TRUE,$B249:$E249),SF_Output!$Q$1:$Q$400,"yearly")/R249))))</f>
        <v/>
      </c>
      <c r="T249" s="6" t="str">
        <f t="shared" si="54"/>
        <v/>
      </c>
      <c r="V249" s="6" t="str" cm="1">
        <f t="array" ref="V249">_xlfn.IFS(B249="","",AND(B249&lt;&gt;"",H249=SF_Output!$Y$2,SUMIFS(SF_Output!$T$1:$T$400,SF_Output!$AC$1:$AC$400,_xlfn.TEXTJOIN(",",TRUE,B249:E249),SF_Output!$Q$1:$Q$400,"monthly")=0),(SUMIFS(SF_Output!$F$1:$F$400,SF_Output!$AC$1:$AC$400,_xlfn.TEXTJOIN(",",TRUE,B249:E249),SF_Output!$Q$1:$Q$400,"monthly")+SUMIFS(SF_Output!$G$1:$G$400,SF_Output!$AC$1:$AC$400,_xlfn.TEXTJOIN(",",TRUE,B249:E249),SF_Output!$Q$1:$Q$400,"monthly"))*H249,AND(B249&lt;&gt;"",H249=SF_Output!$Y$2,SUMIFS(SF_Output!$T$1:$T$400,SF_Output!$AC$1:$AC$400,_xlfn.TEXTJOIN(",",TRUE,B249:E249),SF_Output!$Q$1:$Q$400,"monthly")&lt;&gt;0),SUMIFS(SF_Output!$S$1:$S$400,SF_Output!$AC$1:$AC$400,_xlfn.TEXTJOIN(",",TRUE,B249:E249),SF_Output!$Q$1:$Q$400,"monthly"),AND(B249&lt;&gt;"",H249&lt;&gt;SF_Output!$Y$2),SUMIFS(SF_Output!$S$1:$S$400,SF_Output!$AC$1:$AC$400,_xlfn.TEXTJOIN(",",TRUE,B249:E249),SF_Output!$Q$1:$Q$400,"monthly"))</f>
        <v/>
      </c>
      <c r="W249" s="112" t="str" cm="1">
        <f t="array" ref="W249">_xlfn.IFS(OR(B249=0,B249="",V249=0),"",AF249&lt;&gt;"exclusion",MAX($W$9,$W$7,(-(SUMIFS(SF_Output!$T$1:$T$400,SF_Output!$AC$1:$AC$400,_xlfn.TEXTJOIN(",",TRUE,$B249:$E249),SF_Output!$Q$1:$Q$400,"monthly"))/V249)),AF249="exclusion",-(SUMIFS(SF_Output!$T$1:$T$400,SF_Output!$AC$1:$AC$400,_xlfn.TEXTJOIN(",",TRUE,$B249:$E249),SF_Output!$Q$1:$Q$400,"monthly"))/V249)</f>
        <v/>
      </c>
      <c r="X249" s="6" t="str" cm="1">
        <f t="array" ref="X249">IFERROR(_xlfn.IFS(V249=0,0,V249="","",W249=0,V249,OR(V249&lt;&gt;0,V249&lt;&gt;""),H249*I249),V249*(1-W249))</f>
        <v/>
      </c>
      <c r="Z249" s="6" t="str">
        <f>IFERROR(IF(B249="","",SUMIFS(Billing_Fallout!H:H,Billing_Fallout!N:N,B249)),0)</f>
        <v/>
      </c>
      <c r="AA249" s="6" t="str">
        <f t="shared" si="55"/>
        <v/>
      </c>
      <c r="AB249" s="6" t="str">
        <f>IFERROR(IF(B249="","",SUMIFS(Billing_Fallout!J:J,Billing_Fallout!N:N,B249)),0)</f>
        <v/>
      </c>
      <c r="AD249" s="6" t="str">
        <f t="shared" si="56"/>
        <v/>
      </c>
      <c r="AF249" t="str">
        <f>IFERROR(INDEX(H_Tables!$B$1:$B$1500,MATCH(INDEX(SF_Output!$J$1:$J$400,MATCH(B249,SF_Output!$M$1:$M$400,0)),H_Tables!$A$1:$A$1500,0)),"")</f>
        <v/>
      </c>
      <c r="AI249" s="119" t="str">
        <f t="shared" si="57"/>
        <v/>
      </c>
      <c r="AJ249" s="121">
        <f>IFERROR(INDEX(SF_Output!AD:AD,MATCH(_xlfn.TEXTJOIN(",",TRUE,B249:E249),SF_Output!AC1:AC400,0)),0.05)</f>
        <v>241</v>
      </c>
      <c r="AK249" t="str">
        <f>IF(SUMIFS(SF_Output!$F$1:$F$400,SF_Output!$AC$1:$AC$400,_xlfn.TEXTJOIN(",",TRUE,B249:E249))+SUMIFS(SF_Output!$G$1:$G$400,SF_Output!$AC$1:$AC$400,_xlfn.TEXTJOIN(",",TRUE,B249:E249))=0,"","PAP")</f>
        <v/>
      </c>
      <c r="AQ249" s="35"/>
      <c r="AR249" s="35" t="str" cm="1">
        <f t="array" ref="AR249">IFERROR(_xlfn.IFS(AND(E249*1=1,F249="Included"),"Change to Included",AND(E249*1=0,F249="Optional"),"Change to Optional",OR(B249="",F249="replaced"),""),"")</f>
        <v/>
      </c>
      <c r="AS249" s="35" t="str">
        <f t="shared" si="58"/>
        <v/>
      </c>
      <c r="AT249" s="35" t="str">
        <f t="shared" si="59"/>
        <v/>
      </c>
      <c r="AU249" s="35" t="str">
        <f t="shared" si="60"/>
        <v/>
      </c>
      <c r="AV249" s="35" t="str">
        <f t="shared" si="61"/>
        <v/>
      </c>
      <c r="AW249" s="35" t="str">
        <f t="shared" si="62"/>
        <v/>
      </c>
      <c r="AX249" s="35" t="str">
        <f t="shared" si="63"/>
        <v/>
      </c>
      <c r="AY249" s="35" t="str">
        <f t="shared" si="64"/>
        <v/>
      </c>
      <c r="AZ249" s="35" t="str">
        <f t="shared" si="65"/>
        <v/>
      </c>
      <c r="BA249" s="35" t="str">
        <f t="shared" si="66"/>
        <v/>
      </c>
      <c r="BB249" s="35" t="str">
        <f t="shared" si="67"/>
        <v/>
      </c>
      <c r="BC249" s="35"/>
      <c r="BE249" s="35" t="e">
        <f>INDEX(SF_Output!$AA$2:$AA$400,MATCH($B249,SF_Output!$M$2:$M$400,0))</f>
        <v>#N/A</v>
      </c>
      <c r="BF249" s="35" t="e">
        <f>INDEX(SF_Output!$AB$2:$AB$400,MATCH($B249,SF_Output!$M$2:$M$400,0))</f>
        <v>#N/A</v>
      </c>
    </row>
    <row r="250" spans="6:58" x14ac:dyDescent="0.25">
      <c r="F250" s="116" t="str">
        <f t="shared" si="51"/>
        <v/>
      </c>
      <c r="G250" t="str">
        <f>IF(B250="","",INDEX(SF_Output!$K$1:$K$400,MATCH(B250,SF_Output!$M$1:$M$400,0)))</f>
        <v/>
      </c>
      <c r="H250" t="str" cm="1">
        <f t="array" ref="H250">_xlfn.IFS(B250="","",(SUMIFS(SF_Output!$F$1:$F$400,SF_Output!$AC$1:$AC$400,_xlfn.TEXTJOIN(",",TRUE,B250:E250))+SUMIFS(SF_Output!$G$1:$G$400,SF_Output!$AC$1:$AC$400,_xlfn.TEXTJOIN(",",TRUE,B250:E250)))&lt;&gt;0,SF_Output!$Y$2,INDEX(SF_Output!$F$1:$F$400,MATCH(_xlfn.TEXTJOIN(",",TRUE,B250:E250),SF_Output!$AC$1:$AC$400,0))=0,INDEX(SF_Output!$R$1:$R$400,MATCH(_xlfn.TEXTJOIN(",",TRUE,B250:E250),SF_Output!$AC$1:$AC$400,0)))</f>
        <v/>
      </c>
      <c r="I250" s="125" t="str">
        <f>IFERROR(IF(AND(H250&gt;1,H250&lt;&gt;""),ROUND(SUMIFS(SF_Output!$S$1:$S$400,SF_Output!$AC$1:$AC$400,_xlfn.TEXTJOIN(",",TRUE,B250:E250),SF_Output!$Q$1:$Q$400,"monthly")*(1-W250)/H250,4),""),"")</f>
        <v/>
      </c>
      <c r="J250" s="6" t="str">
        <f>IF(B250="","",SUMIFS(SF_Output!$S$1:$S$400,SF_Output!$AC$1:$AC$400,_xlfn.TEXTJOIN(",",TRUE,B250:E250),SF_Output!$Q$1:$Q$400,"One Time",SF_Output!$L$1:$L$400,"license fee")+SUMIFS(SF_Output!$S$1:$S$400,SF_Output!$AC$1:$AC$400,_xlfn.TEXTJOIN(",",TRUE,B250:E250),SF_Output!$Q$1:$Q$400,"One Time",SF_Output!$L$1:$L$400,"software license")+SUMIFS(SF_Output!$S$1:$S$400,SF_Output!$AC$1:$AC$400,_xlfn.TEXTJOIN(",",TRUE,B250:E250),SF_Output!$Q$1:$Q$400,"One Time",SF_Output!$L$1:$L$400,"hardware"))</f>
        <v/>
      </c>
      <c r="K250" s="112" t="str">
        <f>IF(OR(B250=0,B250="",G250="hardware",J250=0),"",IF(AF250&lt;&gt;"exclusion",MAX(K$9,-((SUMIFS(SF_Output!$T$1:$T$400,SF_Output!$AC$1:$AC$400,_xlfn.TEXTJOIN(",",TRUE,$B250:$E250),SF_Output!$Q$1:$Q$400,"One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license"))/J250)))</f>
        <v/>
      </c>
      <c r="L250" s="6" t="str">
        <f t="shared" si="52"/>
        <v/>
      </c>
      <c r="N250" s="6" t="str">
        <f>IF(B250="","",SUMIFS(SF_Output!$S$1:$S$400,SF_Output!$AC$1:$AC$400,_xlfn.TEXTJOIN(",",TRUE,B250:E250),SF_Output!$Q$1:$Q$400,"One Time",SF_Output!$L$1:$L$400,"professional service"))</f>
        <v/>
      </c>
      <c r="O250" s="112" t="str">
        <f>IF(OR(B250=0,B250="",N250=0),"",IF(AF250&lt;&gt;"exclusion",MAX(O$9,-(SUMIFS(SF_Output!$T$1:$T$400,SF_Output!$AC$1:$AC$400,_xlfn.TEXTJOIN(",",TRUE,$B250:$E250),SF_Output!$Q$1:$Q$400,"One Time",SF_Output!$L$1:$L$400,"professional service"))/N250),-((SUMIFS(SF_Output!$T$1:$T$400,SF_Output!$AC$1:$AC$400,_xlfn.TEXTJOIN(",",TRUE,$B250:$E250),SF_Output!$Q$1:$Q$400,"One Time",SF_Output!$L$1:$L$400,"professional service")/N250))))</f>
        <v/>
      </c>
      <c r="P250" s="6" t="str">
        <f t="shared" si="53"/>
        <v/>
      </c>
      <c r="R250" s="6" t="str">
        <f>IF(B250="","",SUMIFS(SF_Output!$S$1:$S$400,SF_Output!$AC$1:$AC$400,_xlfn.TEXTJOIN(",",TRUE,B250:E250),SF_Output!$Q$1:$Q$400,"yearly")+SUMIFS(SF_Output!$S$1:$S$400,SF_Output!$AC$1:$AC$400,_xlfn.TEXTJOIN(",",TRUE,B250:E250),SF_Output!$Q$1:$Q$400,"quarterly")*4)</f>
        <v/>
      </c>
      <c r="S250" s="112" t="str">
        <f>IF(OR(B250=0,B250="",G250="hardware",R250=0),"",IF(AF250&lt;&gt;"exclusion",MAX(S$9,-(SUMIFS(SF_Output!$T$1:$T$400,SF_Output!$AC$1:$AC$400,_xlfn.TEXTJOIN(",",TRUE,$B250:$E250),SF_Output!$Q$1:$Q$400,"yearly"))/R250),-((SUMIFS(SF_Output!$T$1:$T$400,SF_Output!$AC$1:$AC$400,_xlfn.TEXTJOIN(",",TRUE,$B250:$E250),SF_Output!$Q$1:$Q$400,"yearly")/R250))))</f>
        <v/>
      </c>
      <c r="T250" s="6" t="str">
        <f t="shared" si="54"/>
        <v/>
      </c>
      <c r="V250" s="6" t="str" cm="1">
        <f t="array" ref="V250">_xlfn.IFS(B250="","",AND(B250&lt;&gt;"",H250=SF_Output!$Y$2,SUMIFS(SF_Output!$T$1:$T$400,SF_Output!$AC$1:$AC$400,_xlfn.TEXTJOIN(",",TRUE,B250:E250),SF_Output!$Q$1:$Q$400,"monthly")=0),(SUMIFS(SF_Output!$F$1:$F$400,SF_Output!$AC$1:$AC$400,_xlfn.TEXTJOIN(",",TRUE,B250:E250),SF_Output!$Q$1:$Q$400,"monthly")+SUMIFS(SF_Output!$G$1:$G$400,SF_Output!$AC$1:$AC$400,_xlfn.TEXTJOIN(",",TRUE,B250:E250),SF_Output!$Q$1:$Q$400,"monthly"))*H250,AND(B250&lt;&gt;"",H250=SF_Output!$Y$2,SUMIFS(SF_Output!$T$1:$T$400,SF_Output!$AC$1:$AC$400,_xlfn.TEXTJOIN(",",TRUE,B250:E250),SF_Output!$Q$1:$Q$400,"monthly")&lt;&gt;0),SUMIFS(SF_Output!$S$1:$S$400,SF_Output!$AC$1:$AC$400,_xlfn.TEXTJOIN(",",TRUE,B250:E250),SF_Output!$Q$1:$Q$400,"monthly"),AND(B250&lt;&gt;"",H250&lt;&gt;SF_Output!$Y$2),SUMIFS(SF_Output!$S$1:$S$400,SF_Output!$AC$1:$AC$400,_xlfn.TEXTJOIN(",",TRUE,B250:E250),SF_Output!$Q$1:$Q$400,"monthly"))</f>
        <v/>
      </c>
      <c r="W250" s="112" t="str" cm="1">
        <f t="array" ref="W250">_xlfn.IFS(OR(B250=0,B250="",V250=0),"",AF250&lt;&gt;"exclusion",MAX($W$9,$W$7,(-(SUMIFS(SF_Output!$T$1:$T$400,SF_Output!$AC$1:$AC$400,_xlfn.TEXTJOIN(",",TRUE,$B250:$E250),SF_Output!$Q$1:$Q$400,"monthly"))/V250)),AF250="exclusion",-(SUMIFS(SF_Output!$T$1:$T$400,SF_Output!$AC$1:$AC$400,_xlfn.TEXTJOIN(",",TRUE,$B250:$E250),SF_Output!$Q$1:$Q$400,"monthly"))/V250)</f>
        <v/>
      </c>
      <c r="X250" s="6" t="str" cm="1">
        <f t="array" ref="X250">IFERROR(_xlfn.IFS(V250=0,0,V250="","",W250=0,V250,OR(V250&lt;&gt;0,V250&lt;&gt;""),H250*I250),V250*(1-W250))</f>
        <v/>
      </c>
      <c r="Z250" s="6" t="str">
        <f>IFERROR(IF(B250="","",SUMIFS(Billing_Fallout!H:H,Billing_Fallout!N:N,B250)),0)</f>
        <v/>
      </c>
      <c r="AA250" s="6" t="str">
        <f t="shared" si="55"/>
        <v/>
      </c>
      <c r="AB250" s="6" t="str">
        <f>IFERROR(IF(B250="","",SUMIFS(Billing_Fallout!J:J,Billing_Fallout!N:N,B250)),0)</f>
        <v/>
      </c>
      <c r="AD250" s="6" t="str">
        <f t="shared" si="56"/>
        <v/>
      </c>
      <c r="AF250" t="str">
        <f>IFERROR(INDEX(H_Tables!$B$1:$B$1500,MATCH(INDEX(SF_Output!$J$1:$J$400,MATCH(B250,SF_Output!$M$1:$M$400,0)),H_Tables!$A$1:$A$1500,0)),"")</f>
        <v/>
      </c>
      <c r="AI250" s="119" t="str">
        <f t="shared" si="57"/>
        <v/>
      </c>
      <c r="AJ250" s="121">
        <f>IFERROR(INDEX(SF_Output!AD:AD,MATCH(_xlfn.TEXTJOIN(",",TRUE,B250:E250),SF_Output!AC1:AC400,0)),0.05)</f>
        <v>241</v>
      </c>
      <c r="AK250" t="str">
        <f>IF(SUMIFS(SF_Output!$F$1:$F$400,SF_Output!$AC$1:$AC$400,_xlfn.TEXTJOIN(",",TRUE,B250:E250))+SUMIFS(SF_Output!$G$1:$G$400,SF_Output!$AC$1:$AC$400,_xlfn.TEXTJOIN(",",TRUE,B250:E250))=0,"","PAP")</f>
        <v/>
      </c>
      <c r="AQ250" s="35"/>
      <c r="AR250" s="35" t="str" cm="1">
        <f t="array" ref="AR250">IFERROR(_xlfn.IFS(AND(E250*1=1,F250="Included"),"Change to Included",AND(E250*1=0,F250="Optional"),"Change to Optional",OR(B250="",F250="replaced"),""),"")</f>
        <v/>
      </c>
      <c r="AS250" s="35" t="str">
        <f t="shared" si="58"/>
        <v/>
      </c>
      <c r="AT250" s="35" t="str">
        <f t="shared" si="59"/>
        <v/>
      </c>
      <c r="AU250" s="35" t="str">
        <f t="shared" si="60"/>
        <v/>
      </c>
      <c r="AV250" s="35" t="str">
        <f t="shared" si="61"/>
        <v/>
      </c>
      <c r="AW250" s="35" t="str">
        <f t="shared" si="62"/>
        <v/>
      </c>
      <c r="AX250" s="35" t="str">
        <f t="shared" si="63"/>
        <v/>
      </c>
      <c r="AY250" s="35" t="str">
        <f t="shared" si="64"/>
        <v/>
      </c>
      <c r="AZ250" s="35" t="str">
        <f t="shared" si="65"/>
        <v/>
      </c>
      <c r="BA250" s="35" t="str">
        <f t="shared" si="66"/>
        <v/>
      </c>
      <c r="BB250" s="35" t="str">
        <f t="shared" si="67"/>
        <v/>
      </c>
      <c r="BC250" s="35"/>
      <c r="BE250" s="35" t="e">
        <f>INDEX(SF_Output!$AA$2:$AA$400,MATCH($B250,SF_Output!$M$2:$M$400,0))</f>
        <v>#N/A</v>
      </c>
      <c r="BF250" s="35" t="e">
        <f>INDEX(SF_Output!$AB$2:$AB$400,MATCH($B250,SF_Output!$M$2:$M$400,0))</f>
        <v>#N/A</v>
      </c>
    </row>
    <row r="251" spans="6:58" x14ac:dyDescent="0.25">
      <c r="F251" s="116" t="str">
        <f t="shared" ref="F251:F300" si="68">IF(B251="","",IF(E251*1=0,"Included","Optional"))</f>
        <v/>
      </c>
      <c r="G251" t="str">
        <f>IF(B251="","",INDEX(SF_Output!$K$1:$K$400,MATCH(B251,SF_Output!$M$1:$M$400,0)))</f>
        <v/>
      </c>
      <c r="H251" t="str" cm="1">
        <f t="array" ref="H251">_xlfn.IFS(B251="","",(SUMIFS(SF_Output!$F$1:$F$400,SF_Output!$AC$1:$AC$400,_xlfn.TEXTJOIN(",",TRUE,B251:E251))+SUMIFS(SF_Output!$G$1:$G$400,SF_Output!$AC$1:$AC$400,_xlfn.TEXTJOIN(",",TRUE,B251:E251)))&lt;&gt;0,SF_Output!$Y$2,INDEX(SF_Output!$F$1:$F$400,MATCH(_xlfn.TEXTJOIN(",",TRUE,B251:E251),SF_Output!$AC$1:$AC$400,0))=0,INDEX(SF_Output!$R$1:$R$400,MATCH(_xlfn.TEXTJOIN(",",TRUE,B251:E251),SF_Output!$AC$1:$AC$400,0)))</f>
        <v/>
      </c>
      <c r="I251" s="125" t="str">
        <f>IFERROR(IF(AND(H251&gt;1,H251&lt;&gt;""),ROUND(SUMIFS(SF_Output!$S$1:$S$400,SF_Output!$AC$1:$AC$400,_xlfn.TEXTJOIN(",",TRUE,B251:E251),SF_Output!$Q$1:$Q$400,"monthly")*(1-W251)/H251,4),""),"")</f>
        <v/>
      </c>
      <c r="J251" s="6" t="str">
        <f>IF(B251="","",SUMIFS(SF_Output!$S$1:$S$400,SF_Output!$AC$1:$AC$400,_xlfn.TEXTJOIN(",",TRUE,B251:E251),SF_Output!$Q$1:$Q$400,"One Time",SF_Output!$L$1:$L$400,"license fee")+SUMIFS(SF_Output!$S$1:$S$400,SF_Output!$AC$1:$AC$400,_xlfn.TEXTJOIN(",",TRUE,B251:E251),SF_Output!$Q$1:$Q$400,"One Time",SF_Output!$L$1:$L$400,"software license")+SUMIFS(SF_Output!$S$1:$S$400,SF_Output!$AC$1:$AC$400,_xlfn.TEXTJOIN(",",TRUE,B251:E251),SF_Output!$Q$1:$Q$400,"One Time",SF_Output!$L$1:$L$400,"hardware"))</f>
        <v/>
      </c>
      <c r="K251" s="112" t="str">
        <f>IF(OR(B251=0,B251="",G251="hardware",J251=0),"",IF(AF251&lt;&gt;"exclusion",MAX(K$9,-((SUMIFS(SF_Output!$T$1:$T$400,SF_Output!$AC$1:$AC$400,_xlfn.TEXTJOIN(",",TRUE,$B251:$E251),SF_Output!$Q$1:$Q$400,"One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license"))/J251)))</f>
        <v/>
      </c>
      <c r="L251" s="6" t="str">
        <f t="shared" ref="L251:L300" si="69">IF(K251="",J251,J251*(1-K251))</f>
        <v/>
      </c>
      <c r="N251" s="6" t="str">
        <f>IF(B251="","",SUMIFS(SF_Output!$S$1:$S$400,SF_Output!$AC$1:$AC$400,_xlfn.TEXTJOIN(",",TRUE,B251:E251),SF_Output!$Q$1:$Q$400,"One Time",SF_Output!$L$1:$L$400,"professional service"))</f>
        <v/>
      </c>
      <c r="O251" s="112" t="str">
        <f>IF(OR(B251=0,B251="",N251=0),"",IF(AF251&lt;&gt;"exclusion",MAX(O$9,-(SUMIFS(SF_Output!$T$1:$T$400,SF_Output!$AC$1:$AC$400,_xlfn.TEXTJOIN(",",TRUE,$B251:$E251),SF_Output!$Q$1:$Q$400,"One Time",SF_Output!$L$1:$L$400,"professional service"))/N251),-((SUMIFS(SF_Output!$T$1:$T$400,SF_Output!$AC$1:$AC$400,_xlfn.TEXTJOIN(",",TRUE,$B251:$E251),SF_Output!$Q$1:$Q$400,"One Time",SF_Output!$L$1:$L$400,"professional service")/N251))))</f>
        <v/>
      </c>
      <c r="P251" s="6" t="str">
        <f t="shared" ref="P251:P300" si="70">IF(O251="",N251,N251*(1-O251))</f>
        <v/>
      </c>
      <c r="R251" s="6" t="str">
        <f>IF(B251="","",SUMIFS(SF_Output!$S$1:$S$400,SF_Output!$AC$1:$AC$400,_xlfn.TEXTJOIN(",",TRUE,B251:E251),SF_Output!$Q$1:$Q$400,"yearly")+SUMIFS(SF_Output!$S$1:$S$400,SF_Output!$AC$1:$AC$400,_xlfn.TEXTJOIN(",",TRUE,B251:E251),SF_Output!$Q$1:$Q$400,"quarterly")*4)</f>
        <v/>
      </c>
      <c r="S251" s="112" t="str">
        <f>IF(OR(B251=0,B251="",G251="hardware",R251=0),"",IF(AF251&lt;&gt;"exclusion",MAX(S$9,-(SUMIFS(SF_Output!$T$1:$T$400,SF_Output!$AC$1:$AC$400,_xlfn.TEXTJOIN(",",TRUE,$B251:$E251),SF_Output!$Q$1:$Q$400,"yearly"))/R251),-((SUMIFS(SF_Output!$T$1:$T$400,SF_Output!$AC$1:$AC$400,_xlfn.TEXTJOIN(",",TRUE,$B251:$E251),SF_Output!$Q$1:$Q$400,"yearly")/R251))))</f>
        <v/>
      </c>
      <c r="T251" s="6" t="str">
        <f t="shared" ref="T251:T300" si="71">IF(S251="",R251,R251*(1-S251))</f>
        <v/>
      </c>
      <c r="V251" s="6" t="str" cm="1">
        <f t="array" ref="V251">_xlfn.IFS(B251="","",AND(B251&lt;&gt;"",H251=SF_Output!$Y$2,SUMIFS(SF_Output!$T$1:$T$400,SF_Output!$AC$1:$AC$400,_xlfn.TEXTJOIN(",",TRUE,B251:E251),SF_Output!$Q$1:$Q$400,"monthly")=0),(SUMIFS(SF_Output!$F$1:$F$400,SF_Output!$AC$1:$AC$400,_xlfn.TEXTJOIN(",",TRUE,B251:E251),SF_Output!$Q$1:$Q$400,"monthly")+SUMIFS(SF_Output!$G$1:$G$400,SF_Output!$AC$1:$AC$400,_xlfn.TEXTJOIN(",",TRUE,B251:E251),SF_Output!$Q$1:$Q$400,"monthly"))*H251,AND(B251&lt;&gt;"",H251=SF_Output!$Y$2,SUMIFS(SF_Output!$T$1:$T$400,SF_Output!$AC$1:$AC$400,_xlfn.TEXTJOIN(",",TRUE,B251:E251),SF_Output!$Q$1:$Q$400,"monthly")&lt;&gt;0),SUMIFS(SF_Output!$S$1:$S$400,SF_Output!$AC$1:$AC$400,_xlfn.TEXTJOIN(",",TRUE,B251:E251),SF_Output!$Q$1:$Q$400,"monthly"),AND(B251&lt;&gt;"",H251&lt;&gt;SF_Output!$Y$2),SUMIFS(SF_Output!$S$1:$S$400,SF_Output!$AC$1:$AC$400,_xlfn.TEXTJOIN(",",TRUE,B251:E251),SF_Output!$Q$1:$Q$400,"monthly"))</f>
        <v/>
      </c>
      <c r="W251" s="112" t="str" cm="1">
        <f t="array" ref="W251">_xlfn.IFS(OR(B251=0,B251="",V251=0),"",AF251&lt;&gt;"exclusion",MAX($W$9,$W$7,(-(SUMIFS(SF_Output!$T$1:$T$400,SF_Output!$AC$1:$AC$400,_xlfn.TEXTJOIN(",",TRUE,$B251:$E251),SF_Output!$Q$1:$Q$400,"monthly"))/V251)),AF251="exclusion",-(SUMIFS(SF_Output!$T$1:$T$400,SF_Output!$AC$1:$AC$400,_xlfn.TEXTJOIN(",",TRUE,$B251:$E251),SF_Output!$Q$1:$Q$400,"monthly"))/V251)</f>
        <v/>
      </c>
      <c r="X251" s="6" t="str" cm="1">
        <f t="array" ref="X251">IFERROR(_xlfn.IFS(V251=0,0,V251="","",W251=0,V251,OR(V251&lt;&gt;0,V251&lt;&gt;""),H251*I251),V251*(1-W251))</f>
        <v/>
      </c>
      <c r="Z251" s="6" t="str">
        <f>IFERROR(IF(B251="","",SUMIFS(Billing_Fallout!H:H,Billing_Fallout!N:N,B251)),0)</f>
        <v/>
      </c>
      <c r="AA251" s="6" t="str">
        <f t="shared" ref="AA251:AA300" si="72">IF(Z251="","",AB251-Z251)</f>
        <v/>
      </c>
      <c r="AB251" s="6" t="str">
        <f>IFERROR(IF(B251="","",SUMIFS(Billing_Fallout!J:J,Billing_Fallout!N:N,B251)),0)</f>
        <v/>
      </c>
      <c r="AD251" s="6" t="str">
        <f t="shared" ref="AD251:AD300" si="73">IFERROR(X251-AB251,"")</f>
        <v/>
      </c>
      <c r="AF251" t="str">
        <f>IFERROR(INDEX(H_Tables!$B$1:$B$1500,MATCH(INDEX(SF_Output!$J$1:$J$400,MATCH(B251,SF_Output!$M$1:$M$400,0)),H_Tables!$A$1:$A$1500,0)),"")</f>
        <v/>
      </c>
      <c r="AI251" s="119" t="str">
        <f t="shared" ref="AI251:AI300" si="74">IF(B251="","",IF(F251="remove","Remove Product",IF(F251="add","Add Product",_xlfn.TEXTJOIN(", ",TRUE,AQ251,AR251,AS251,AT251,AU251,AV251,AW251,AX251,AY251,AZ251,BA251,BB251,BC251))))</f>
        <v/>
      </c>
      <c r="AJ251" s="121">
        <f>IFERROR(INDEX(SF_Output!AD:AD,MATCH(_xlfn.TEXTJOIN(",",TRUE,B251:E251),SF_Output!AC2:AC401,0)),0.05)</f>
        <v>240</v>
      </c>
      <c r="AK251" t="str">
        <f>IF(SUMIFS(SF_Output!$F$1:$F$400,SF_Output!$AC$1:$AC$400,_xlfn.TEXTJOIN(",",TRUE,B251:E251))+SUMIFS(SF_Output!$G$1:$G$400,SF_Output!$AC$1:$AC$400,_xlfn.TEXTJOIN(",",TRUE,B251:E251))=0,"","PAP")</f>
        <v/>
      </c>
      <c r="AQ251" s="35"/>
      <c r="AR251" s="35" t="str" cm="1">
        <f t="array" ref="AR251">IFERROR(_xlfn.IFS(AND(E251*1=1,F251="Included"),"Change to Included",AND(E251*1=0,F251="Optional"),"Change to Optional",OR(B251="",F251="replaced"),""),"")</f>
        <v/>
      </c>
      <c r="AS251" s="35" t="str">
        <f t="shared" ref="AS251:AS300" si="75">IF((OR(NOT(_xlfn.ISFORMULA(J251)),NOT(_xlfn.ISFORMULA(L251)))),"Check License Price Override","")</f>
        <v/>
      </c>
      <c r="AT251" s="35" t="str">
        <f t="shared" ref="AT251:AT300" si="76">IF(OR(AND(K251=$K$9,K251&lt;&gt;0),NOT(_xlfn.ISFORMULA(K251))),"License Discount "&amp;K251*100&amp;"%","")</f>
        <v/>
      </c>
      <c r="AU251" s="35" t="str">
        <f t="shared" ref="AU251:AU300" si="77">IF((OR(NOT(_xlfn.ISFORMULA(N251)),NOT(_xlfn.ISFORMULA(P251)))),"Check Install Price Override","")</f>
        <v/>
      </c>
      <c r="AV251" s="35" t="str">
        <f t="shared" ref="AV251:AV300" si="78">IF(OR(AND(O251=$O$9,O251&lt;&gt;0),NOT(_xlfn.ISFORMULA(O251))),"Install Discount "&amp;O251*100&amp;"%","")</f>
        <v/>
      </c>
      <c r="AW251" s="35" t="str">
        <f t="shared" ref="AW251:AW300" si="79">IF((OR(NOT(_xlfn.ISFORMULA(R251)),NOT(_xlfn.ISFORMULA(T251)))),"Check Maintenance Price Override","")</f>
        <v/>
      </c>
      <c r="AX251" s="35" t="str">
        <f t="shared" ref="AX251:AX300" si="80">IF(OR(AND(S251=$S$9,S251&lt;&gt;0),NOT(_xlfn.ISFORMULA(S251))),"Maintenance Discount "&amp;S251*100&amp;"%","")</f>
        <v/>
      </c>
      <c r="AY251" s="35" t="str">
        <f t="shared" ref="AY251:AY300" si="81">IF((OR(NOT(_xlfn.ISFORMULA(V251)),NOT(_xlfn.ISFORMULA(X251)))),"Check Monthly Price Override","")</f>
        <v/>
      </c>
      <c r="AZ251" s="35" t="str">
        <f t="shared" ref="AZ251:AZ300" si="82">IF(OR((AND(W251=$W$9,W251&lt;&gt;0)),(AND(W251=$W$7,W251&lt;&gt;0)),(NOT(_xlfn.ISFORMULA(W251))),AND($W$7+0.2=W251,$W$7&lt;&gt;0)),"Monthly Discount "&amp;W251*100&amp;"%","")</f>
        <v/>
      </c>
      <c r="BA251" s="35" t="str">
        <f t="shared" ref="BA251:BA300" si="83">IF(NOT(_xlfn.ISFORMULA(H251)),"Check Quantity","")</f>
        <v/>
      </c>
      <c r="BB251" s="35" t="str">
        <f t="shared" ref="BB251:BB300" si="84">IF(NOT(_xlfn.ISFORMULA(I251)),"Check Unit Price Override","")</f>
        <v/>
      </c>
      <c r="BC251" s="35"/>
      <c r="BE251" s="35" t="e">
        <f>INDEX(SF_Output!$AA$2:$AA$400,MATCH($B251,SF_Output!$M$2:$M$400,0))</f>
        <v>#N/A</v>
      </c>
      <c r="BF251" s="35" t="e">
        <f>INDEX(SF_Output!$AB$2:$AB$400,MATCH($B251,SF_Output!$M$2:$M$400,0))</f>
        <v>#N/A</v>
      </c>
    </row>
    <row r="252" spans="6:58" x14ac:dyDescent="0.25">
      <c r="F252" s="116" t="str">
        <f t="shared" si="68"/>
        <v/>
      </c>
      <c r="G252" t="str">
        <f>IF(B252="","",INDEX(SF_Output!$K$1:$K$400,MATCH(B252,SF_Output!$M$1:$M$400,0)))</f>
        <v/>
      </c>
      <c r="H252" t="str" cm="1">
        <f t="array" ref="H252">_xlfn.IFS(B252="","",(SUMIFS(SF_Output!$F$1:$F$400,SF_Output!$AC$1:$AC$400,_xlfn.TEXTJOIN(",",TRUE,B252:E252))+SUMIFS(SF_Output!$G$1:$G$400,SF_Output!$AC$1:$AC$400,_xlfn.TEXTJOIN(",",TRUE,B252:E252)))&lt;&gt;0,SF_Output!$Y$2,INDEX(SF_Output!$F$1:$F$400,MATCH(_xlfn.TEXTJOIN(",",TRUE,B252:E252),SF_Output!$AC$1:$AC$400,0))=0,INDEX(SF_Output!$R$1:$R$400,MATCH(_xlfn.TEXTJOIN(",",TRUE,B252:E252),SF_Output!$AC$1:$AC$400,0)))</f>
        <v/>
      </c>
      <c r="I252" s="125" t="str">
        <f>IFERROR(IF(AND(H252&gt;1,H252&lt;&gt;""),ROUND(SUMIFS(SF_Output!$S$1:$S$400,SF_Output!$AC$1:$AC$400,_xlfn.TEXTJOIN(",",TRUE,B252:E252),SF_Output!$Q$1:$Q$400,"monthly")*(1-W252)/H252,4),""),"")</f>
        <v/>
      </c>
      <c r="J252" s="6" t="str">
        <f>IF(B252="","",SUMIFS(SF_Output!$S$1:$S$400,SF_Output!$AC$1:$AC$400,_xlfn.TEXTJOIN(",",TRUE,B252:E252),SF_Output!$Q$1:$Q$400,"One Time",SF_Output!$L$1:$L$400,"license fee")+SUMIFS(SF_Output!$S$1:$S$400,SF_Output!$AC$1:$AC$400,_xlfn.TEXTJOIN(",",TRUE,B252:E252),SF_Output!$Q$1:$Q$400,"One Time",SF_Output!$L$1:$L$400,"software license")+SUMIFS(SF_Output!$S$1:$S$400,SF_Output!$AC$1:$AC$400,_xlfn.TEXTJOIN(",",TRUE,B252:E252),SF_Output!$Q$1:$Q$400,"One Time",SF_Output!$L$1:$L$400,"hardware"))</f>
        <v/>
      </c>
      <c r="K252" s="112" t="str">
        <f>IF(OR(B252=0,B252="",G252="hardware",J252=0),"",IF(AF252&lt;&gt;"exclusion",MAX(K$9,-((SUMIFS(SF_Output!$T$1:$T$400,SF_Output!$AC$1:$AC$400,_xlfn.TEXTJOIN(",",TRUE,$B252:$E252),SF_Output!$Q$1:$Q$400,"One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license"))/J252)))</f>
        <v/>
      </c>
      <c r="L252" s="6" t="str">
        <f t="shared" si="69"/>
        <v/>
      </c>
      <c r="N252" s="6" t="str">
        <f>IF(B252="","",SUMIFS(SF_Output!$S$1:$S$400,SF_Output!$AC$1:$AC$400,_xlfn.TEXTJOIN(",",TRUE,B252:E252),SF_Output!$Q$1:$Q$400,"One Time",SF_Output!$L$1:$L$400,"professional service"))</f>
        <v/>
      </c>
      <c r="O252" s="112" t="str">
        <f>IF(OR(B252=0,B252="",N252=0),"",IF(AF252&lt;&gt;"exclusion",MAX(O$9,-(SUMIFS(SF_Output!$T$1:$T$400,SF_Output!$AC$1:$AC$400,_xlfn.TEXTJOIN(",",TRUE,$B252:$E252),SF_Output!$Q$1:$Q$400,"One Time",SF_Output!$L$1:$L$400,"professional service"))/N252),-((SUMIFS(SF_Output!$T$1:$T$400,SF_Output!$AC$1:$AC$400,_xlfn.TEXTJOIN(",",TRUE,$B252:$E252),SF_Output!$Q$1:$Q$400,"One Time",SF_Output!$L$1:$L$400,"professional service")/N252))))</f>
        <v/>
      </c>
      <c r="P252" s="6" t="str">
        <f t="shared" si="70"/>
        <v/>
      </c>
      <c r="R252" s="6" t="str">
        <f>IF(B252="","",SUMIFS(SF_Output!$S$1:$S$400,SF_Output!$AC$1:$AC$400,_xlfn.TEXTJOIN(",",TRUE,B252:E252),SF_Output!$Q$1:$Q$400,"yearly")+SUMIFS(SF_Output!$S$1:$S$400,SF_Output!$AC$1:$AC$400,_xlfn.TEXTJOIN(",",TRUE,B252:E252),SF_Output!$Q$1:$Q$400,"quarterly")*4)</f>
        <v/>
      </c>
      <c r="S252" s="112" t="str">
        <f>IF(OR(B252=0,B252="",G252="hardware",R252=0),"",IF(AF252&lt;&gt;"exclusion",MAX(S$9,-(SUMIFS(SF_Output!$T$1:$T$400,SF_Output!$AC$1:$AC$400,_xlfn.TEXTJOIN(",",TRUE,$B252:$E252),SF_Output!$Q$1:$Q$400,"yearly"))/R252),-((SUMIFS(SF_Output!$T$1:$T$400,SF_Output!$AC$1:$AC$400,_xlfn.TEXTJOIN(",",TRUE,$B252:$E252),SF_Output!$Q$1:$Q$400,"yearly")/R252))))</f>
        <v/>
      </c>
      <c r="T252" s="6" t="str">
        <f t="shared" si="71"/>
        <v/>
      </c>
      <c r="V252" s="6" t="str" cm="1">
        <f t="array" ref="V252">_xlfn.IFS(B252="","",AND(B252&lt;&gt;"",H252=SF_Output!$Y$2,SUMIFS(SF_Output!$T$1:$T$400,SF_Output!$AC$1:$AC$400,_xlfn.TEXTJOIN(",",TRUE,B252:E252),SF_Output!$Q$1:$Q$400,"monthly")=0),(SUMIFS(SF_Output!$F$1:$F$400,SF_Output!$AC$1:$AC$400,_xlfn.TEXTJOIN(",",TRUE,B252:E252),SF_Output!$Q$1:$Q$400,"monthly")+SUMIFS(SF_Output!$G$1:$G$400,SF_Output!$AC$1:$AC$400,_xlfn.TEXTJOIN(",",TRUE,B252:E252),SF_Output!$Q$1:$Q$400,"monthly"))*H252,AND(B252&lt;&gt;"",H252=SF_Output!$Y$2,SUMIFS(SF_Output!$T$1:$T$400,SF_Output!$AC$1:$AC$400,_xlfn.TEXTJOIN(",",TRUE,B252:E252),SF_Output!$Q$1:$Q$400,"monthly")&lt;&gt;0),SUMIFS(SF_Output!$S$1:$S$400,SF_Output!$AC$1:$AC$400,_xlfn.TEXTJOIN(",",TRUE,B252:E252),SF_Output!$Q$1:$Q$400,"monthly"),AND(B252&lt;&gt;"",H252&lt;&gt;SF_Output!$Y$2),SUMIFS(SF_Output!$S$1:$S$400,SF_Output!$AC$1:$AC$400,_xlfn.TEXTJOIN(",",TRUE,B252:E252),SF_Output!$Q$1:$Q$400,"monthly"))</f>
        <v/>
      </c>
      <c r="W252" s="112" t="str" cm="1">
        <f t="array" ref="W252">_xlfn.IFS(OR(B252=0,B252="",V252=0),"",AF252&lt;&gt;"exclusion",MAX($W$9,$W$7,(-(SUMIFS(SF_Output!$T$1:$T$400,SF_Output!$AC$1:$AC$400,_xlfn.TEXTJOIN(",",TRUE,$B252:$E252),SF_Output!$Q$1:$Q$400,"monthly"))/V252)),AF252="exclusion",-(SUMIFS(SF_Output!$T$1:$T$400,SF_Output!$AC$1:$AC$400,_xlfn.TEXTJOIN(",",TRUE,$B252:$E252),SF_Output!$Q$1:$Q$400,"monthly"))/V252)</f>
        <v/>
      </c>
      <c r="X252" s="6" t="str" cm="1">
        <f t="array" ref="X252">IFERROR(_xlfn.IFS(V252=0,0,V252="","",W252=0,V252,OR(V252&lt;&gt;0,V252&lt;&gt;""),H252*I252),V252*(1-W252))</f>
        <v/>
      </c>
      <c r="Z252" s="6" t="str">
        <f>IFERROR(IF(B252="","",SUMIFS(Billing_Fallout!H:H,Billing_Fallout!N:N,B252)),0)</f>
        <v/>
      </c>
      <c r="AA252" s="6" t="str">
        <f t="shared" si="72"/>
        <v/>
      </c>
      <c r="AB252" s="6" t="str">
        <f>IFERROR(IF(B252="","",SUMIFS(Billing_Fallout!J:J,Billing_Fallout!N:N,B252)),0)</f>
        <v/>
      </c>
      <c r="AD252" s="6" t="str">
        <f t="shared" si="73"/>
        <v/>
      </c>
      <c r="AF252" t="str">
        <f>IFERROR(INDEX(H_Tables!$B$1:$B$1500,MATCH(INDEX(SF_Output!$J$1:$J$400,MATCH(B252,SF_Output!$M$1:$M$400,0)),H_Tables!$A$1:$A$1500,0)),"")</f>
        <v/>
      </c>
      <c r="AI252" s="119" t="str">
        <f t="shared" si="74"/>
        <v/>
      </c>
      <c r="AJ252" s="121">
        <f>IFERROR(INDEX(SF_Output!AD:AD,MATCH(_xlfn.TEXTJOIN(",",TRUE,B252:E252),SF_Output!AC3:AC402,0)),0.05)</f>
        <v>239</v>
      </c>
      <c r="AK252" t="str">
        <f>IF(SUMIFS(SF_Output!$F$1:$F$400,SF_Output!$AC$1:$AC$400,_xlfn.TEXTJOIN(",",TRUE,B252:E252))+SUMIFS(SF_Output!$G$1:$G$400,SF_Output!$AC$1:$AC$400,_xlfn.TEXTJOIN(",",TRUE,B252:E252))=0,"","PAP")</f>
        <v/>
      </c>
      <c r="AQ252" s="35"/>
      <c r="AR252" s="35" t="str" cm="1">
        <f t="array" ref="AR252">IFERROR(_xlfn.IFS(AND(E252*1=1,F252="Included"),"Change to Included",AND(E252*1=0,F252="Optional"),"Change to Optional",OR(B252="",F252="replaced"),""),"")</f>
        <v/>
      </c>
      <c r="AS252" s="35" t="str">
        <f t="shared" si="75"/>
        <v/>
      </c>
      <c r="AT252" s="35" t="str">
        <f t="shared" si="76"/>
        <v/>
      </c>
      <c r="AU252" s="35" t="str">
        <f t="shared" si="77"/>
        <v/>
      </c>
      <c r="AV252" s="35" t="str">
        <f t="shared" si="78"/>
        <v/>
      </c>
      <c r="AW252" s="35" t="str">
        <f t="shared" si="79"/>
        <v/>
      </c>
      <c r="AX252" s="35" t="str">
        <f t="shared" si="80"/>
        <v/>
      </c>
      <c r="AY252" s="35" t="str">
        <f t="shared" si="81"/>
        <v/>
      </c>
      <c r="AZ252" s="35" t="str">
        <f t="shared" si="82"/>
        <v/>
      </c>
      <c r="BA252" s="35" t="str">
        <f t="shared" si="83"/>
        <v/>
      </c>
      <c r="BB252" s="35" t="str">
        <f t="shared" si="84"/>
        <v/>
      </c>
      <c r="BC252" s="35"/>
      <c r="BE252" s="35" t="e">
        <f>INDEX(SF_Output!$AA$2:$AA$400,MATCH($B252,SF_Output!$M$2:$M$400,0))</f>
        <v>#N/A</v>
      </c>
      <c r="BF252" s="35" t="e">
        <f>INDEX(SF_Output!$AB$2:$AB$400,MATCH($B252,SF_Output!$M$2:$M$400,0))</f>
        <v>#N/A</v>
      </c>
    </row>
    <row r="253" spans="6:58" x14ac:dyDescent="0.25">
      <c r="F253" s="116" t="str">
        <f t="shared" si="68"/>
        <v/>
      </c>
      <c r="G253" t="str">
        <f>IF(B253="","",INDEX(SF_Output!$K$1:$K$400,MATCH(B253,SF_Output!$M$1:$M$400,0)))</f>
        <v/>
      </c>
      <c r="H253" t="str" cm="1">
        <f t="array" ref="H253">_xlfn.IFS(B253="","",(SUMIFS(SF_Output!$F$1:$F$400,SF_Output!$AC$1:$AC$400,_xlfn.TEXTJOIN(",",TRUE,B253:E253))+SUMIFS(SF_Output!$G$1:$G$400,SF_Output!$AC$1:$AC$400,_xlfn.TEXTJOIN(",",TRUE,B253:E253)))&lt;&gt;0,SF_Output!$Y$2,INDEX(SF_Output!$F$1:$F$400,MATCH(_xlfn.TEXTJOIN(",",TRUE,B253:E253),SF_Output!$AC$1:$AC$400,0))=0,INDEX(SF_Output!$R$1:$R$400,MATCH(_xlfn.TEXTJOIN(",",TRUE,B253:E253),SF_Output!$AC$1:$AC$400,0)))</f>
        <v/>
      </c>
      <c r="I253" s="125" t="str">
        <f>IFERROR(IF(AND(H253&gt;1,H253&lt;&gt;""),ROUND(SUMIFS(SF_Output!$S$1:$S$400,SF_Output!$AC$1:$AC$400,_xlfn.TEXTJOIN(",",TRUE,B253:E253),SF_Output!$Q$1:$Q$400,"monthly")*(1-W253)/H253,4),""),"")</f>
        <v/>
      </c>
      <c r="J253" s="6" t="str">
        <f>IF(B253="","",SUMIFS(SF_Output!$S$1:$S$400,SF_Output!$AC$1:$AC$400,_xlfn.TEXTJOIN(",",TRUE,B253:E253),SF_Output!$Q$1:$Q$400,"One Time",SF_Output!$L$1:$L$400,"license fee")+SUMIFS(SF_Output!$S$1:$S$400,SF_Output!$AC$1:$AC$400,_xlfn.TEXTJOIN(",",TRUE,B253:E253),SF_Output!$Q$1:$Q$400,"One Time",SF_Output!$L$1:$L$400,"software license")+SUMIFS(SF_Output!$S$1:$S$400,SF_Output!$AC$1:$AC$400,_xlfn.TEXTJOIN(",",TRUE,B253:E253),SF_Output!$Q$1:$Q$400,"One Time",SF_Output!$L$1:$L$400,"hardware"))</f>
        <v/>
      </c>
      <c r="K253" s="112" t="str">
        <f>IF(OR(B253=0,B253="",G253="hardware",J253=0),"",IF(AF253&lt;&gt;"exclusion",MAX(K$9,-((SUMIFS(SF_Output!$T$1:$T$400,SF_Output!$AC$1:$AC$400,_xlfn.TEXTJOIN(",",TRUE,$B253:$E253),SF_Output!$Q$1:$Q$400,"One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license"))/J253)))</f>
        <v/>
      </c>
      <c r="L253" s="6" t="str">
        <f t="shared" si="69"/>
        <v/>
      </c>
      <c r="N253" s="6" t="str">
        <f>IF(B253="","",SUMIFS(SF_Output!$S$1:$S$400,SF_Output!$AC$1:$AC$400,_xlfn.TEXTJOIN(",",TRUE,B253:E253),SF_Output!$Q$1:$Q$400,"One Time",SF_Output!$L$1:$L$400,"professional service"))</f>
        <v/>
      </c>
      <c r="O253" s="112" t="str">
        <f>IF(OR(B253=0,B253="",N253=0),"",IF(AF253&lt;&gt;"exclusion",MAX(O$9,-(SUMIFS(SF_Output!$T$1:$T$400,SF_Output!$AC$1:$AC$400,_xlfn.TEXTJOIN(",",TRUE,$B253:$E253),SF_Output!$Q$1:$Q$400,"One Time",SF_Output!$L$1:$L$400,"professional service"))/N253),-((SUMIFS(SF_Output!$T$1:$T$400,SF_Output!$AC$1:$AC$400,_xlfn.TEXTJOIN(",",TRUE,$B253:$E253),SF_Output!$Q$1:$Q$400,"One Time",SF_Output!$L$1:$L$400,"professional service")/N253))))</f>
        <v/>
      </c>
      <c r="P253" s="6" t="str">
        <f t="shared" si="70"/>
        <v/>
      </c>
      <c r="R253" s="6" t="str">
        <f>IF(B253="","",SUMIFS(SF_Output!$S$1:$S$400,SF_Output!$AC$1:$AC$400,_xlfn.TEXTJOIN(",",TRUE,B253:E253),SF_Output!$Q$1:$Q$400,"yearly")+SUMIFS(SF_Output!$S$1:$S$400,SF_Output!$AC$1:$AC$400,_xlfn.TEXTJOIN(",",TRUE,B253:E253),SF_Output!$Q$1:$Q$400,"quarterly")*4)</f>
        <v/>
      </c>
      <c r="S253" s="112" t="str">
        <f>IF(OR(B253=0,B253="",G253="hardware",R253=0),"",IF(AF253&lt;&gt;"exclusion",MAX(S$9,-(SUMIFS(SF_Output!$T$1:$T$400,SF_Output!$AC$1:$AC$400,_xlfn.TEXTJOIN(",",TRUE,$B253:$E253),SF_Output!$Q$1:$Q$400,"yearly"))/R253),-((SUMIFS(SF_Output!$T$1:$T$400,SF_Output!$AC$1:$AC$400,_xlfn.TEXTJOIN(",",TRUE,$B253:$E253),SF_Output!$Q$1:$Q$400,"yearly")/R253))))</f>
        <v/>
      </c>
      <c r="T253" s="6" t="str">
        <f t="shared" si="71"/>
        <v/>
      </c>
      <c r="V253" s="6" t="str" cm="1">
        <f t="array" ref="V253">_xlfn.IFS(B253="","",AND(B253&lt;&gt;"",H253=SF_Output!$Y$2,SUMIFS(SF_Output!$T$1:$T$400,SF_Output!$AC$1:$AC$400,_xlfn.TEXTJOIN(",",TRUE,B253:E253),SF_Output!$Q$1:$Q$400,"monthly")=0),(SUMIFS(SF_Output!$F$1:$F$400,SF_Output!$AC$1:$AC$400,_xlfn.TEXTJOIN(",",TRUE,B253:E253),SF_Output!$Q$1:$Q$400,"monthly")+SUMIFS(SF_Output!$G$1:$G$400,SF_Output!$AC$1:$AC$400,_xlfn.TEXTJOIN(",",TRUE,B253:E253),SF_Output!$Q$1:$Q$400,"monthly"))*H253,AND(B253&lt;&gt;"",H253=SF_Output!$Y$2,SUMIFS(SF_Output!$T$1:$T$400,SF_Output!$AC$1:$AC$400,_xlfn.TEXTJOIN(",",TRUE,B253:E253),SF_Output!$Q$1:$Q$400,"monthly")&lt;&gt;0),SUMIFS(SF_Output!$S$1:$S$400,SF_Output!$AC$1:$AC$400,_xlfn.TEXTJOIN(",",TRUE,B253:E253),SF_Output!$Q$1:$Q$400,"monthly"),AND(B253&lt;&gt;"",H253&lt;&gt;SF_Output!$Y$2),SUMIFS(SF_Output!$S$1:$S$400,SF_Output!$AC$1:$AC$400,_xlfn.TEXTJOIN(",",TRUE,B253:E253),SF_Output!$Q$1:$Q$400,"monthly"))</f>
        <v/>
      </c>
      <c r="W253" s="112" t="str" cm="1">
        <f t="array" ref="W253">_xlfn.IFS(OR(B253=0,B253="",V253=0),"",AF253&lt;&gt;"exclusion",MAX($W$9,$W$7,(-(SUMIFS(SF_Output!$T$1:$T$400,SF_Output!$AC$1:$AC$400,_xlfn.TEXTJOIN(",",TRUE,$B253:$E253),SF_Output!$Q$1:$Q$400,"monthly"))/V253)),AF253="exclusion",-(SUMIFS(SF_Output!$T$1:$T$400,SF_Output!$AC$1:$AC$400,_xlfn.TEXTJOIN(",",TRUE,$B253:$E253),SF_Output!$Q$1:$Q$400,"monthly"))/V253)</f>
        <v/>
      </c>
      <c r="X253" s="6" t="str" cm="1">
        <f t="array" ref="X253">IFERROR(_xlfn.IFS(V253=0,0,V253="","",W253=0,V253,OR(V253&lt;&gt;0,V253&lt;&gt;""),H253*I253),V253*(1-W253))</f>
        <v/>
      </c>
      <c r="Z253" s="6" t="str">
        <f>IFERROR(IF(B253="","",SUMIFS(Billing_Fallout!H:H,Billing_Fallout!N:N,B253)),0)</f>
        <v/>
      </c>
      <c r="AA253" s="6" t="str">
        <f t="shared" si="72"/>
        <v/>
      </c>
      <c r="AB253" s="6" t="str">
        <f>IFERROR(IF(B253="","",SUMIFS(Billing_Fallout!J:J,Billing_Fallout!N:N,B253)),0)</f>
        <v/>
      </c>
      <c r="AD253" s="6" t="str">
        <f t="shared" si="73"/>
        <v/>
      </c>
      <c r="AF253" t="str">
        <f>IFERROR(INDEX(H_Tables!$B$1:$B$1500,MATCH(INDEX(SF_Output!$J$1:$J$400,MATCH(B253,SF_Output!$M$1:$M$400,0)),H_Tables!$A$1:$A$1500,0)),"")</f>
        <v/>
      </c>
      <c r="AI253" s="119" t="str">
        <f t="shared" si="74"/>
        <v/>
      </c>
      <c r="AJ253" s="121">
        <f>IFERROR(INDEX(SF_Output!AD:AD,MATCH(_xlfn.TEXTJOIN(",",TRUE,B253:E253),SF_Output!AC4:AC403,0)),0.05)</f>
        <v>238</v>
      </c>
      <c r="AK253" t="str">
        <f>IF(SUMIFS(SF_Output!$F$1:$F$400,SF_Output!$AC$1:$AC$400,_xlfn.TEXTJOIN(",",TRUE,B253:E253))+SUMIFS(SF_Output!$G$1:$G$400,SF_Output!$AC$1:$AC$400,_xlfn.TEXTJOIN(",",TRUE,B253:E253))=0,"","PAP")</f>
        <v/>
      </c>
      <c r="AQ253" s="35"/>
      <c r="AR253" s="35" t="str" cm="1">
        <f t="array" ref="AR253">IFERROR(_xlfn.IFS(AND(E253*1=1,F253="Included"),"Change to Included",AND(E253*1=0,F253="Optional"),"Change to Optional",OR(B253="",F253="replaced"),""),"")</f>
        <v/>
      </c>
      <c r="AS253" s="35" t="str">
        <f t="shared" si="75"/>
        <v/>
      </c>
      <c r="AT253" s="35" t="str">
        <f t="shared" si="76"/>
        <v/>
      </c>
      <c r="AU253" s="35" t="str">
        <f t="shared" si="77"/>
        <v/>
      </c>
      <c r="AV253" s="35" t="str">
        <f t="shared" si="78"/>
        <v/>
      </c>
      <c r="AW253" s="35" t="str">
        <f t="shared" si="79"/>
        <v/>
      </c>
      <c r="AX253" s="35" t="str">
        <f t="shared" si="80"/>
        <v/>
      </c>
      <c r="AY253" s="35" t="str">
        <f t="shared" si="81"/>
        <v/>
      </c>
      <c r="AZ253" s="35" t="str">
        <f t="shared" si="82"/>
        <v/>
      </c>
      <c r="BA253" s="35" t="str">
        <f t="shared" si="83"/>
        <v/>
      </c>
      <c r="BB253" s="35" t="str">
        <f t="shared" si="84"/>
        <v/>
      </c>
      <c r="BC253" s="35"/>
      <c r="BE253" s="35" t="e">
        <f>INDEX(SF_Output!$AA$2:$AA$400,MATCH($B253,SF_Output!$M$2:$M$400,0))</f>
        <v>#N/A</v>
      </c>
      <c r="BF253" s="35" t="e">
        <f>INDEX(SF_Output!$AB$2:$AB$400,MATCH($B253,SF_Output!$M$2:$M$400,0))</f>
        <v>#N/A</v>
      </c>
    </row>
    <row r="254" spans="6:58" x14ac:dyDescent="0.25">
      <c r="F254" s="116" t="str">
        <f t="shared" si="68"/>
        <v/>
      </c>
      <c r="G254" t="str">
        <f>IF(B254="","",INDEX(SF_Output!$K$1:$K$400,MATCH(B254,SF_Output!$M$1:$M$400,0)))</f>
        <v/>
      </c>
      <c r="H254" t="str" cm="1">
        <f t="array" ref="H254">_xlfn.IFS(B254="","",(SUMIFS(SF_Output!$F$1:$F$400,SF_Output!$AC$1:$AC$400,_xlfn.TEXTJOIN(",",TRUE,B254:E254))+SUMIFS(SF_Output!$G$1:$G$400,SF_Output!$AC$1:$AC$400,_xlfn.TEXTJOIN(",",TRUE,B254:E254)))&lt;&gt;0,SF_Output!$Y$2,INDEX(SF_Output!$F$1:$F$400,MATCH(_xlfn.TEXTJOIN(",",TRUE,B254:E254),SF_Output!$AC$1:$AC$400,0))=0,INDEX(SF_Output!$R$1:$R$400,MATCH(_xlfn.TEXTJOIN(",",TRUE,B254:E254),SF_Output!$AC$1:$AC$400,0)))</f>
        <v/>
      </c>
      <c r="I254" s="125" t="str">
        <f>IFERROR(IF(AND(H254&gt;1,H254&lt;&gt;""),ROUND(SUMIFS(SF_Output!$S$1:$S$400,SF_Output!$AC$1:$AC$400,_xlfn.TEXTJOIN(",",TRUE,B254:E254),SF_Output!$Q$1:$Q$400,"monthly")*(1-W254)/H254,4),""),"")</f>
        <v/>
      </c>
      <c r="J254" s="6" t="str">
        <f>IF(B254="","",SUMIFS(SF_Output!$S$1:$S$400,SF_Output!$AC$1:$AC$400,_xlfn.TEXTJOIN(",",TRUE,B254:E254),SF_Output!$Q$1:$Q$400,"One Time",SF_Output!$L$1:$L$400,"license fee")+SUMIFS(SF_Output!$S$1:$S$400,SF_Output!$AC$1:$AC$400,_xlfn.TEXTJOIN(",",TRUE,B254:E254),SF_Output!$Q$1:$Q$400,"One Time",SF_Output!$L$1:$L$400,"software license")+SUMIFS(SF_Output!$S$1:$S$400,SF_Output!$AC$1:$AC$400,_xlfn.TEXTJOIN(",",TRUE,B254:E254),SF_Output!$Q$1:$Q$400,"One Time",SF_Output!$L$1:$L$400,"hardware"))</f>
        <v/>
      </c>
      <c r="K254" s="112" t="str">
        <f>IF(OR(B254=0,B254="",G254="hardware",J254=0),"",IF(AF254&lt;&gt;"exclusion",MAX(K$9,-((SUMIFS(SF_Output!$T$1:$T$400,SF_Output!$AC$1:$AC$400,_xlfn.TEXTJOIN(",",TRUE,$B254:$E254),SF_Output!$Q$1:$Q$400,"One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license"))/J254)))</f>
        <v/>
      </c>
      <c r="L254" s="6" t="str">
        <f t="shared" si="69"/>
        <v/>
      </c>
      <c r="N254" s="6" t="str">
        <f>IF(B254="","",SUMIFS(SF_Output!$S$1:$S$400,SF_Output!$AC$1:$AC$400,_xlfn.TEXTJOIN(",",TRUE,B254:E254),SF_Output!$Q$1:$Q$400,"One Time",SF_Output!$L$1:$L$400,"professional service"))</f>
        <v/>
      </c>
      <c r="O254" s="112" t="str">
        <f>IF(OR(B254=0,B254="",N254=0),"",IF(AF254&lt;&gt;"exclusion",MAX(O$9,-(SUMIFS(SF_Output!$T$1:$T$400,SF_Output!$AC$1:$AC$400,_xlfn.TEXTJOIN(",",TRUE,$B254:$E254),SF_Output!$Q$1:$Q$400,"One Time",SF_Output!$L$1:$L$400,"professional service"))/N254),-((SUMIFS(SF_Output!$T$1:$T$400,SF_Output!$AC$1:$AC$400,_xlfn.TEXTJOIN(",",TRUE,$B254:$E254),SF_Output!$Q$1:$Q$400,"One Time",SF_Output!$L$1:$L$400,"professional service")/N254))))</f>
        <v/>
      </c>
      <c r="P254" s="6" t="str">
        <f t="shared" si="70"/>
        <v/>
      </c>
      <c r="R254" s="6" t="str">
        <f>IF(B254="","",SUMIFS(SF_Output!$S$1:$S$400,SF_Output!$AC$1:$AC$400,_xlfn.TEXTJOIN(",",TRUE,B254:E254),SF_Output!$Q$1:$Q$400,"yearly")+SUMIFS(SF_Output!$S$1:$S$400,SF_Output!$AC$1:$AC$400,_xlfn.TEXTJOIN(",",TRUE,B254:E254),SF_Output!$Q$1:$Q$400,"quarterly")*4)</f>
        <v/>
      </c>
      <c r="S254" s="112" t="str">
        <f>IF(OR(B254=0,B254="",G254="hardware",R254=0),"",IF(AF254&lt;&gt;"exclusion",MAX(S$9,-(SUMIFS(SF_Output!$T$1:$T$400,SF_Output!$AC$1:$AC$400,_xlfn.TEXTJOIN(",",TRUE,$B254:$E254),SF_Output!$Q$1:$Q$400,"yearly"))/R254),-((SUMIFS(SF_Output!$T$1:$T$400,SF_Output!$AC$1:$AC$400,_xlfn.TEXTJOIN(",",TRUE,$B254:$E254),SF_Output!$Q$1:$Q$400,"yearly")/R254))))</f>
        <v/>
      </c>
      <c r="T254" s="6" t="str">
        <f t="shared" si="71"/>
        <v/>
      </c>
      <c r="V254" s="6" t="str" cm="1">
        <f t="array" ref="V254">_xlfn.IFS(B254="","",AND(B254&lt;&gt;"",H254=SF_Output!$Y$2,SUMIFS(SF_Output!$T$1:$T$400,SF_Output!$AC$1:$AC$400,_xlfn.TEXTJOIN(",",TRUE,B254:E254),SF_Output!$Q$1:$Q$400,"monthly")=0),(SUMIFS(SF_Output!$F$1:$F$400,SF_Output!$AC$1:$AC$400,_xlfn.TEXTJOIN(",",TRUE,B254:E254),SF_Output!$Q$1:$Q$400,"monthly")+SUMIFS(SF_Output!$G$1:$G$400,SF_Output!$AC$1:$AC$400,_xlfn.TEXTJOIN(",",TRUE,B254:E254),SF_Output!$Q$1:$Q$400,"monthly"))*H254,AND(B254&lt;&gt;"",H254=SF_Output!$Y$2,SUMIFS(SF_Output!$T$1:$T$400,SF_Output!$AC$1:$AC$400,_xlfn.TEXTJOIN(",",TRUE,B254:E254),SF_Output!$Q$1:$Q$400,"monthly")&lt;&gt;0),SUMIFS(SF_Output!$S$1:$S$400,SF_Output!$AC$1:$AC$400,_xlfn.TEXTJOIN(",",TRUE,B254:E254),SF_Output!$Q$1:$Q$400,"monthly"),AND(B254&lt;&gt;"",H254&lt;&gt;SF_Output!$Y$2),SUMIFS(SF_Output!$S$1:$S$400,SF_Output!$AC$1:$AC$400,_xlfn.TEXTJOIN(",",TRUE,B254:E254),SF_Output!$Q$1:$Q$400,"monthly"))</f>
        <v/>
      </c>
      <c r="W254" s="112" t="str" cm="1">
        <f t="array" ref="W254">_xlfn.IFS(OR(B254=0,B254="",V254=0),"",AF254&lt;&gt;"exclusion",MAX($W$9,$W$7,(-(SUMIFS(SF_Output!$T$1:$T$400,SF_Output!$AC$1:$AC$400,_xlfn.TEXTJOIN(",",TRUE,$B254:$E254),SF_Output!$Q$1:$Q$400,"monthly"))/V254)),AF254="exclusion",-(SUMIFS(SF_Output!$T$1:$T$400,SF_Output!$AC$1:$AC$400,_xlfn.TEXTJOIN(",",TRUE,$B254:$E254),SF_Output!$Q$1:$Q$400,"monthly"))/V254)</f>
        <v/>
      </c>
      <c r="X254" s="6" t="str" cm="1">
        <f t="array" ref="X254">IFERROR(_xlfn.IFS(V254=0,0,V254="","",W254=0,V254,OR(V254&lt;&gt;0,V254&lt;&gt;""),H254*I254),V254*(1-W254))</f>
        <v/>
      </c>
      <c r="Z254" s="6" t="str">
        <f>IFERROR(IF(B254="","",SUMIFS(Billing_Fallout!H:H,Billing_Fallout!N:N,B254)),0)</f>
        <v/>
      </c>
      <c r="AA254" s="6" t="str">
        <f t="shared" si="72"/>
        <v/>
      </c>
      <c r="AB254" s="6" t="str">
        <f>IFERROR(IF(B254="","",SUMIFS(Billing_Fallout!J:J,Billing_Fallout!N:N,B254)),0)</f>
        <v/>
      </c>
      <c r="AD254" s="6" t="str">
        <f t="shared" si="73"/>
        <v/>
      </c>
      <c r="AF254" t="str">
        <f>IFERROR(INDEX(H_Tables!$B$1:$B$1500,MATCH(INDEX(SF_Output!$J$1:$J$400,MATCH(B254,SF_Output!$M$1:$M$400,0)),H_Tables!$A$1:$A$1500,0)),"")</f>
        <v/>
      </c>
      <c r="AI254" s="119" t="str">
        <f t="shared" si="74"/>
        <v/>
      </c>
      <c r="AJ254" s="121">
        <f>IFERROR(INDEX(SF_Output!AD:AD,MATCH(_xlfn.TEXTJOIN(",",TRUE,B254:E254),SF_Output!AC5:AC404,0)),0.05)</f>
        <v>237</v>
      </c>
      <c r="AK254" t="str">
        <f>IF(SUMIFS(SF_Output!$F$1:$F$400,SF_Output!$AC$1:$AC$400,_xlfn.TEXTJOIN(",",TRUE,B254:E254))+SUMIFS(SF_Output!$G$1:$G$400,SF_Output!$AC$1:$AC$400,_xlfn.TEXTJOIN(",",TRUE,B254:E254))=0,"","PAP")</f>
        <v/>
      </c>
      <c r="AQ254" s="35"/>
      <c r="AR254" s="35" t="str" cm="1">
        <f t="array" ref="AR254">IFERROR(_xlfn.IFS(AND(E254*1=1,F254="Included"),"Change to Included",AND(E254*1=0,F254="Optional"),"Change to Optional",OR(B254="",F254="replaced"),""),"")</f>
        <v/>
      </c>
      <c r="AS254" s="35" t="str">
        <f t="shared" si="75"/>
        <v/>
      </c>
      <c r="AT254" s="35" t="str">
        <f t="shared" si="76"/>
        <v/>
      </c>
      <c r="AU254" s="35" t="str">
        <f t="shared" si="77"/>
        <v/>
      </c>
      <c r="AV254" s="35" t="str">
        <f t="shared" si="78"/>
        <v/>
      </c>
      <c r="AW254" s="35" t="str">
        <f t="shared" si="79"/>
        <v/>
      </c>
      <c r="AX254" s="35" t="str">
        <f t="shared" si="80"/>
        <v/>
      </c>
      <c r="AY254" s="35" t="str">
        <f t="shared" si="81"/>
        <v/>
      </c>
      <c r="AZ254" s="35" t="str">
        <f t="shared" si="82"/>
        <v/>
      </c>
      <c r="BA254" s="35" t="str">
        <f t="shared" si="83"/>
        <v/>
      </c>
      <c r="BB254" s="35" t="str">
        <f t="shared" si="84"/>
        <v/>
      </c>
      <c r="BC254" s="35"/>
      <c r="BE254" s="35" t="e">
        <f>INDEX(SF_Output!$AA$2:$AA$400,MATCH($B254,SF_Output!$M$2:$M$400,0))</f>
        <v>#N/A</v>
      </c>
      <c r="BF254" s="35" t="e">
        <f>INDEX(SF_Output!$AB$2:$AB$400,MATCH($B254,SF_Output!$M$2:$M$400,0))</f>
        <v>#N/A</v>
      </c>
    </row>
    <row r="255" spans="6:58" x14ac:dyDescent="0.25">
      <c r="F255" s="116" t="str">
        <f t="shared" si="68"/>
        <v/>
      </c>
      <c r="G255" t="str">
        <f>IF(B255="","",INDEX(SF_Output!$K$1:$K$400,MATCH(B255,SF_Output!$M$1:$M$400,0)))</f>
        <v/>
      </c>
      <c r="H255" t="str" cm="1">
        <f t="array" ref="H255">_xlfn.IFS(B255="","",(SUMIFS(SF_Output!$F$1:$F$400,SF_Output!$AC$1:$AC$400,_xlfn.TEXTJOIN(",",TRUE,B255:E255))+SUMIFS(SF_Output!$G$1:$G$400,SF_Output!$AC$1:$AC$400,_xlfn.TEXTJOIN(",",TRUE,B255:E255)))&lt;&gt;0,SF_Output!$Y$2,INDEX(SF_Output!$F$1:$F$400,MATCH(_xlfn.TEXTJOIN(",",TRUE,B255:E255),SF_Output!$AC$1:$AC$400,0))=0,INDEX(SF_Output!$R$1:$R$400,MATCH(_xlfn.TEXTJOIN(",",TRUE,B255:E255),SF_Output!$AC$1:$AC$400,0)))</f>
        <v/>
      </c>
      <c r="I255" s="125" t="str">
        <f>IFERROR(IF(AND(H255&gt;1,H255&lt;&gt;""),ROUND(SUMIFS(SF_Output!$S$1:$S$400,SF_Output!$AC$1:$AC$400,_xlfn.TEXTJOIN(",",TRUE,B255:E255),SF_Output!$Q$1:$Q$400,"monthly")*(1-W255)/H255,4),""),"")</f>
        <v/>
      </c>
      <c r="J255" s="6" t="str">
        <f>IF(B255="","",SUMIFS(SF_Output!$S$1:$S$400,SF_Output!$AC$1:$AC$400,_xlfn.TEXTJOIN(",",TRUE,B255:E255),SF_Output!$Q$1:$Q$400,"One Time",SF_Output!$L$1:$L$400,"license fee")+SUMIFS(SF_Output!$S$1:$S$400,SF_Output!$AC$1:$AC$400,_xlfn.TEXTJOIN(",",TRUE,B255:E255),SF_Output!$Q$1:$Q$400,"One Time",SF_Output!$L$1:$L$400,"software license")+SUMIFS(SF_Output!$S$1:$S$400,SF_Output!$AC$1:$AC$400,_xlfn.TEXTJOIN(",",TRUE,B255:E255),SF_Output!$Q$1:$Q$400,"One Time",SF_Output!$L$1:$L$400,"hardware"))</f>
        <v/>
      </c>
      <c r="K255" s="112" t="str">
        <f>IF(OR(B255=0,B255="",G255="hardware",J255=0),"",IF(AF255&lt;&gt;"exclusion",MAX(K$9,-((SUMIFS(SF_Output!$T$1:$T$400,SF_Output!$AC$1:$AC$400,_xlfn.TEXTJOIN(",",TRUE,$B255:$E255),SF_Output!$Q$1:$Q$400,"One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license"))/J255)))</f>
        <v/>
      </c>
      <c r="L255" s="6" t="str">
        <f t="shared" si="69"/>
        <v/>
      </c>
      <c r="N255" s="6" t="str">
        <f>IF(B255="","",SUMIFS(SF_Output!$S$1:$S$400,SF_Output!$AC$1:$AC$400,_xlfn.TEXTJOIN(",",TRUE,B255:E255),SF_Output!$Q$1:$Q$400,"One Time",SF_Output!$L$1:$L$400,"professional service"))</f>
        <v/>
      </c>
      <c r="O255" s="112" t="str">
        <f>IF(OR(B255=0,B255="",N255=0),"",IF(AF255&lt;&gt;"exclusion",MAX(O$9,-(SUMIFS(SF_Output!$T$1:$T$400,SF_Output!$AC$1:$AC$400,_xlfn.TEXTJOIN(",",TRUE,$B255:$E255),SF_Output!$Q$1:$Q$400,"One Time",SF_Output!$L$1:$L$400,"professional service"))/N255),-((SUMIFS(SF_Output!$T$1:$T$400,SF_Output!$AC$1:$AC$400,_xlfn.TEXTJOIN(",",TRUE,$B255:$E255),SF_Output!$Q$1:$Q$400,"One Time",SF_Output!$L$1:$L$400,"professional service")/N255))))</f>
        <v/>
      </c>
      <c r="P255" s="6" t="str">
        <f t="shared" si="70"/>
        <v/>
      </c>
      <c r="R255" s="6" t="str">
        <f>IF(B255="","",SUMIFS(SF_Output!$S$1:$S$400,SF_Output!$AC$1:$AC$400,_xlfn.TEXTJOIN(",",TRUE,B255:E255),SF_Output!$Q$1:$Q$400,"yearly")+SUMIFS(SF_Output!$S$1:$S$400,SF_Output!$AC$1:$AC$400,_xlfn.TEXTJOIN(",",TRUE,B255:E255),SF_Output!$Q$1:$Q$400,"quarterly")*4)</f>
        <v/>
      </c>
      <c r="S255" s="112" t="str">
        <f>IF(OR(B255=0,B255="",G255="hardware",R255=0),"",IF(AF255&lt;&gt;"exclusion",MAX(S$9,-(SUMIFS(SF_Output!$T$1:$T$400,SF_Output!$AC$1:$AC$400,_xlfn.TEXTJOIN(",",TRUE,$B255:$E255),SF_Output!$Q$1:$Q$400,"yearly"))/R255),-((SUMIFS(SF_Output!$T$1:$T$400,SF_Output!$AC$1:$AC$400,_xlfn.TEXTJOIN(",",TRUE,$B255:$E255),SF_Output!$Q$1:$Q$400,"yearly")/R255))))</f>
        <v/>
      </c>
      <c r="T255" s="6" t="str">
        <f t="shared" si="71"/>
        <v/>
      </c>
      <c r="V255" s="6" t="str" cm="1">
        <f t="array" ref="V255">_xlfn.IFS(B255="","",AND(B255&lt;&gt;"",H255=SF_Output!$Y$2,SUMIFS(SF_Output!$T$1:$T$400,SF_Output!$AC$1:$AC$400,_xlfn.TEXTJOIN(",",TRUE,B255:E255),SF_Output!$Q$1:$Q$400,"monthly")=0),(SUMIFS(SF_Output!$F$1:$F$400,SF_Output!$AC$1:$AC$400,_xlfn.TEXTJOIN(",",TRUE,B255:E255),SF_Output!$Q$1:$Q$400,"monthly")+SUMIFS(SF_Output!$G$1:$G$400,SF_Output!$AC$1:$AC$400,_xlfn.TEXTJOIN(",",TRUE,B255:E255),SF_Output!$Q$1:$Q$400,"monthly"))*H255,AND(B255&lt;&gt;"",H255=SF_Output!$Y$2,SUMIFS(SF_Output!$T$1:$T$400,SF_Output!$AC$1:$AC$400,_xlfn.TEXTJOIN(",",TRUE,B255:E255),SF_Output!$Q$1:$Q$400,"monthly")&lt;&gt;0),SUMIFS(SF_Output!$S$1:$S$400,SF_Output!$AC$1:$AC$400,_xlfn.TEXTJOIN(",",TRUE,B255:E255),SF_Output!$Q$1:$Q$400,"monthly"),AND(B255&lt;&gt;"",H255&lt;&gt;SF_Output!$Y$2),SUMIFS(SF_Output!$S$1:$S$400,SF_Output!$AC$1:$AC$400,_xlfn.TEXTJOIN(",",TRUE,B255:E255),SF_Output!$Q$1:$Q$400,"monthly"))</f>
        <v/>
      </c>
      <c r="W255" s="112" t="str" cm="1">
        <f t="array" ref="W255">_xlfn.IFS(OR(B255=0,B255="",V255=0),"",AF255&lt;&gt;"exclusion",MAX($W$9,$W$7,(-(SUMIFS(SF_Output!$T$1:$T$400,SF_Output!$AC$1:$AC$400,_xlfn.TEXTJOIN(",",TRUE,$B255:$E255),SF_Output!$Q$1:$Q$400,"monthly"))/V255)),AF255="exclusion",-(SUMIFS(SF_Output!$T$1:$T$400,SF_Output!$AC$1:$AC$400,_xlfn.TEXTJOIN(",",TRUE,$B255:$E255),SF_Output!$Q$1:$Q$400,"monthly"))/V255)</f>
        <v/>
      </c>
      <c r="X255" s="6" t="str" cm="1">
        <f t="array" ref="X255">IFERROR(_xlfn.IFS(V255=0,0,V255="","",W255=0,V255,OR(V255&lt;&gt;0,V255&lt;&gt;""),H255*I255),V255*(1-W255))</f>
        <v/>
      </c>
      <c r="Z255" s="6" t="str">
        <f>IFERROR(IF(B255="","",SUMIFS(Billing_Fallout!H:H,Billing_Fallout!N:N,B255)),0)</f>
        <v/>
      </c>
      <c r="AA255" s="6" t="str">
        <f t="shared" si="72"/>
        <v/>
      </c>
      <c r="AB255" s="6" t="str">
        <f>IFERROR(IF(B255="","",SUMIFS(Billing_Fallout!J:J,Billing_Fallout!N:N,B255)),0)</f>
        <v/>
      </c>
      <c r="AD255" s="6" t="str">
        <f t="shared" si="73"/>
        <v/>
      </c>
      <c r="AF255" t="str">
        <f>IFERROR(INDEX(H_Tables!$B$1:$B$1500,MATCH(INDEX(SF_Output!$J$1:$J$400,MATCH(B255,SF_Output!$M$1:$M$400,0)),H_Tables!$A$1:$A$1500,0)),"")</f>
        <v/>
      </c>
      <c r="AI255" s="119" t="str">
        <f t="shared" si="74"/>
        <v/>
      </c>
      <c r="AJ255" s="121">
        <f>IFERROR(INDEX(SF_Output!AD:AD,MATCH(_xlfn.TEXTJOIN(",",TRUE,B255:E255),SF_Output!AC6:AC405,0)),0.05)</f>
        <v>236</v>
      </c>
      <c r="AK255" t="str">
        <f>IF(SUMIFS(SF_Output!$F$1:$F$400,SF_Output!$AC$1:$AC$400,_xlfn.TEXTJOIN(",",TRUE,B255:E255))+SUMIFS(SF_Output!$G$1:$G$400,SF_Output!$AC$1:$AC$400,_xlfn.TEXTJOIN(",",TRUE,B255:E255))=0,"","PAP")</f>
        <v/>
      </c>
      <c r="AQ255" s="35"/>
      <c r="AR255" s="35" t="str" cm="1">
        <f t="array" ref="AR255">IFERROR(_xlfn.IFS(AND(E255*1=1,F255="Included"),"Change to Included",AND(E255*1=0,F255="Optional"),"Change to Optional",OR(B255="",F255="replaced"),""),"")</f>
        <v/>
      </c>
      <c r="AS255" s="35" t="str">
        <f t="shared" si="75"/>
        <v/>
      </c>
      <c r="AT255" s="35" t="str">
        <f t="shared" si="76"/>
        <v/>
      </c>
      <c r="AU255" s="35" t="str">
        <f t="shared" si="77"/>
        <v/>
      </c>
      <c r="AV255" s="35" t="str">
        <f t="shared" si="78"/>
        <v/>
      </c>
      <c r="AW255" s="35" t="str">
        <f t="shared" si="79"/>
        <v/>
      </c>
      <c r="AX255" s="35" t="str">
        <f t="shared" si="80"/>
        <v/>
      </c>
      <c r="AY255" s="35" t="str">
        <f t="shared" si="81"/>
        <v/>
      </c>
      <c r="AZ255" s="35" t="str">
        <f t="shared" si="82"/>
        <v/>
      </c>
      <c r="BA255" s="35" t="str">
        <f t="shared" si="83"/>
        <v/>
      </c>
      <c r="BB255" s="35" t="str">
        <f t="shared" si="84"/>
        <v/>
      </c>
      <c r="BC255" s="35"/>
      <c r="BE255" s="35" t="e">
        <f>INDEX(SF_Output!$AA$2:$AA$400,MATCH($B255,SF_Output!$M$2:$M$400,0))</f>
        <v>#N/A</v>
      </c>
      <c r="BF255" s="35" t="e">
        <f>INDEX(SF_Output!$AB$2:$AB$400,MATCH($B255,SF_Output!$M$2:$M$400,0))</f>
        <v>#N/A</v>
      </c>
    </row>
    <row r="256" spans="6:58" x14ac:dyDescent="0.25">
      <c r="F256" s="116" t="str">
        <f t="shared" si="68"/>
        <v/>
      </c>
      <c r="G256" t="str">
        <f>IF(B256="","",INDEX(SF_Output!$K$1:$K$400,MATCH(B256,SF_Output!$M$1:$M$400,0)))</f>
        <v/>
      </c>
      <c r="H256" t="str" cm="1">
        <f t="array" ref="H256">_xlfn.IFS(B256="","",(SUMIFS(SF_Output!$F$1:$F$400,SF_Output!$AC$1:$AC$400,_xlfn.TEXTJOIN(",",TRUE,B256:E256))+SUMIFS(SF_Output!$G$1:$G$400,SF_Output!$AC$1:$AC$400,_xlfn.TEXTJOIN(",",TRUE,B256:E256)))&lt;&gt;0,SF_Output!$Y$2,INDEX(SF_Output!$F$1:$F$400,MATCH(_xlfn.TEXTJOIN(",",TRUE,B256:E256),SF_Output!$AC$1:$AC$400,0))=0,INDEX(SF_Output!$R$1:$R$400,MATCH(_xlfn.TEXTJOIN(",",TRUE,B256:E256),SF_Output!$AC$1:$AC$400,0)))</f>
        <v/>
      </c>
      <c r="I256" s="125" t="str">
        <f>IFERROR(IF(AND(H256&gt;1,H256&lt;&gt;""),ROUND(SUMIFS(SF_Output!$S$1:$S$400,SF_Output!$AC$1:$AC$400,_xlfn.TEXTJOIN(",",TRUE,B256:E256),SF_Output!$Q$1:$Q$400,"monthly")*(1-W256)/H256,4),""),"")</f>
        <v/>
      </c>
      <c r="J256" s="6" t="str">
        <f>IF(B256="","",SUMIFS(SF_Output!$S$1:$S$400,SF_Output!$AC$1:$AC$400,_xlfn.TEXTJOIN(",",TRUE,B256:E256),SF_Output!$Q$1:$Q$400,"One Time",SF_Output!$L$1:$L$400,"license fee")+SUMIFS(SF_Output!$S$1:$S$400,SF_Output!$AC$1:$AC$400,_xlfn.TEXTJOIN(",",TRUE,B256:E256),SF_Output!$Q$1:$Q$400,"One Time",SF_Output!$L$1:$L$400,"software license")+SUMIFS(SF_Output!$S$1:$S$400,SF_Output!$AC$1:$AC$400,_xlfn.TEXTJOIN(",",TRUE,B256:E256),SF_Output!$Q$1:$Q$400,"One Time",SF_Output!$L$1:$L$400,"hardware"))</f>
        <v/>
      </c>
      <c r="K256" s="112" t="str">
        <f>IF(OR(B256=0,B256="",G256="hardware",J256=0),"",IF(AF256&lt;&gt;"exclusion",MAX(K$9,-((SUMIFS(SF_Output!$T$1:$T$400,SF_Output!$AC$1:$AC$400,_xlfn.TEXTJOIN(",",TRUE,$B256:$E256),SF_Output!$Q$1:$Q$400,"One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license"))/J256)))</f>
        <v/>
      </c>
      <c r="L256" s="6" t="str">
        <f t="shared" si="69"/>
        <v/>
      </c>
      <c r="N256" s="6" t="str">
        <f>IF(B256="","",SUMIFS(SF_Output!$S$1:$S$400,SF_Output!$AC$1:$AC$400,_xlfn.TEXTJOIN(",",TRUE,B256:E256),SF_Output!$Q$1:$Q$400,"One Time",SF_Output!$L$1:$L$400,"professional service"))</f>
        <v/>
      </c>
      <c r="O256" s="112" t="str">
        <f>IF(OR(B256=0,B256="",N256=0),"",IF(AF256&lt;&gt;"exclusion",MAX(O$9,-(SUMIFS(SF_Output!$T$1:$T$400,SF_Output!$AC$1:$AC$400,_xlfn.TEXTJOIN(",",TRUE,$B256:$E256),SF_Output!$Q$1:$Q$400,"One Time",SF_Output!$L$1:$L$400,"professional service"))/N256),-((SUMIFS(SF_Output!$T$1:$T$400,SF_Output!$AC$1:$AC$400,_xlfn.TEXTJOIN(",",TRUE,$B256:$E256),SF_Output!$Q$1:$Q$400,"One Time",SF_Output!$L$1:$L$400,"professional service")/N256))))</f>
        <v/>
      </c>
      <c r="P256" s="6" t="str">
        <f t="shared" si="70"/>
        <v/>
      </c>
      <c r="R256" s="6" t="str">
        <f>IF(B256="","",SUMIFS(SF_Output!$S$1:$S$400,SF_Output!$AC$1:$AC$400,_xlfn.TEXTJOIN(",",TRUE,B256:E256),SF_Output!$Q$1:$Q$400,"yearly")+SUMIFS(SF_Output!$S$1:$S$400,SF_Output!$AC$1:$AC$400,_xlfn.TEXTJOIN(",",TRUE,B256:E256),SF_Output!$Q$1:$Q$400,"quarterly")*4)</f>
        <v/>
      </c>
      <c r="S256" s="112" t="str">
        <f>IF(OR(B256=0,B256="",G256="hardware",R256=0),"",IF(AF256&lt;&gt;"exclusion",MAX(S$9,-(SUMIFS(SF_Output!$T$1:$T$400,SF_Output!$AC$1:$AC$400,_xlfn.TEXTJOIN(",",TRUE,$B256:$E256),SF_Output!$Q$1:$Q$400,"yearly"))/R256),-((SUMIFS(SF_Output!$T$1:$T$400,SF_Output!$AC$1:$AC$400,_xlfn.TEXTJOIN(",",TRUE,$B256:$E256),SF_Output!$Q$1:$Q$400,"yearly")/R256))))</f>
        <v/>
      </c>
      <c r="T256" s="6" t="str">
        <f t="shared" si="71"/>
        <v/>
      </c>
      <c r="V256" s="6" t="str" cm="1">
        <f t="array" ref="V256">_xlfn.IFS(B256="","",AND(B256&lt;&gt;"",H256=SF_Output!$Y$2,SUMIFS(SF_Output!$T$1:$T$400,SF_Output!$AC$1:$AC$400,_xlfn.TEXTJOIN(",",TRUE,B256:E256),SF_Output!$Q$1:$Q$400,"monthly")=0),(SUMIFS(SF_Output!$F$1:$F$400,SF_Output!$AC$1:$AC$400,_xlfn.TEXTJOIN(",",TRUE,B256:E256),SF_Output!$Q$1:$Q$400,"monthly")+SUMIFS(SF_Output!$G$1:$G$400,SF_Output!$AC$1:$AC$400,_xlfn.TEXTJOIN(",",TRUE,B256:E256),SF_Output!$Q$1:$Q$400,"monthly"))*H256,AND(B256&lt;&gt;"",H256=SF_Output!$Y$2,SUMIFS(SF_Output!$T$1:$T$400,SF_Output!$AC$1:$AC$400,_xlfn.TEXTJOIN(",",TRUE,B256:E256),SF_Output!$Q$1:$Q$400,"monthly")&lt;&gt;0),SUMIFS(SF_Output!$S$1:$S$400,SF_Output!$AC$1:$AC$400,_xlfn.TEXTJOIN(",",TRUE,B256:E256),SF_Output!$Q$1:$Q$400,"monthly"),AND(B256&lt;&gt;"",H256&lt;&gt;SF_Output!$Y$2),SUMIFS(SF_Output!$S$1:$S$400,SF_Output!$AC$1:$AC$400,_xlfn.TEXTJOIN(",",TRUE,B256:E256),SF_Output!$Q$1:$Q$400,"monthly"))</f>
        <v/>
      </c>
      <c r="W256" s="112" t="str" cm="1">
        <f t="array" ref="W256">_xlfn.IFS(OR(B256=0,B256="",V256=0),"",AF256&lt;&gt;"exclusion",MAX($W$9,$W$7,(-(SUMIFS(SF_Output!$T$1:$T$400,SF_Output!$AC$1:$AC$400,_xlfn.TEXTJOIN(",",TRUE,$B256:$E256),SF_Output!$Q$1:$Q$400,"monthly"))/V256)),AF256="exclusion",-(SUMIFS(SF_Output!$T$1:$T$400,SF_Output!$AC$1:$AC$400,_xlfn.TEXTJOIN(",",TRUE,$B256:$E256),SF_Output!$Q$1:$Q$400,"monthly"))/V256)</f>
        <v/>
      </c>
      <c r="X256" s="6" t="str" cm="1">
        <f t="array" ref="X256">IFERROR(_xlfn.IFS(V256=0,0,V256="","",W256=0,V256,OR(V256&lt;&gt;0,V256&lt;&gt;""),H256*I256),V256*(1-W256))</f>
        <v/>
      </c>
      <c r="Z256" s="6" t="str">
        <f>IFERROR(IF(B256="","",SUMIFS(Billing_Fallout!H:H,Billing_Fallout!N:N,B256)),0)</f>
        <v/>
      </c>
      <c r="AA256" s="6" t="str">
        <f t="shared" si="72"/>
        <v/>
      </c>
      <c r="AB256" s="6" t="str">
        <f>IFERROR(IF(B256="","",SUMIFS(Billing_Fallout!J:J,Billing_Fallout!N:N,B256)),0)</f>
        <v/>
      </c>
      <c r="AD256" s="6" t="str">
        <f t="shared" si="73"/>
        <v/>
      </c>
      <c r="AF256" t="str">
        <f>IFERROR(INDEX(H_Tables!$B$1:$B$1500,MATCH(INDEX(SF_Output!$J$1:$J$400,MATCH(B256,SF_Output!$M$1:$M$400,0)),H_Tables!$A$1:$A$1500,0)),"")</f>
        <v/>
      </c>
      <c r="AI256" s="119" t="str">
        <f t="shared" si="74"/>
        <v/>
      </c>
      <c r="AJ256" s="121">
        <f>IFERROR(INDEX(SF_Output!AD:AD,MATCH(_xlfn.TEXTJOIN(",",TRUE,B256:E256),SF_Output!AC7:AC406,0)),0.05)</f>
        <v>235</v>
      </c>
      <c r="AK256" t="str">
        <f>IF(SUMIFS(SF_Output!$F$1:$F$400,SF_Output!$AC$1:$AC$400,_xlfn.TEXTJOIN(",",TRUE,B256:E256))+SUMIFS(SF_Output!$G$1:$G$400,SF_Output!$AC$1:$AC$400,_xlfn.TEXTJOIN(",",TRUE,B256:E256))=0,"","PAP")</f>
        <v/>
      </c>
      <c r="AQ256" s="35"/>
      <c r="AR256" s="35" t="str" cm="1">
        <f t="array" ref="AR256">IFERROR(_xlfn.IFS(AND(E256*1=1,F256="Included"),"Change to Included",AND(E256*1=0,F256="Optional"),"Change to Optional",OR(B256="",F256="replaced"),""),"")</f>
        <v/>
      </c>
      <c r="AS256" s="35" t="str">
        <f t="shared" si="75"/>
        <v/>
      </c>
      <c r="AT256" s="35" t="str">
        <f t="shared" si="76"/>
        <v/>
      </c>
      <c r="AU256" s="35" t="str">
        <f t="shared" si="77"/>
        <v/>
      </c>
      <c r="AV256" s="35" t="str">
        <f t="shared" si="78"/>
        <v/>
      </c>
      <c r="AW256" s="35" t="str">
        <f t="shared" si="79"/>
        <v/>
      </c>
      <c r="AX256" s="35" t="str">
        <f t="shared" si="80"/>
        <v/>
      </c>
      <c r="AY256" s="35" t="str">
        <f t="shared" si="81"/>
        <v/>
      </c>
      <c r="AZ256" s="35" t="str">
        <f t="shared" si="82"/>
        <v/>
      </c>
      <c r="BA256" s="35" t="str">
        <f t="shared" si="83"/>
        <v/>
      </c>
      <c r="BB256" s="35" t="str">
        <f t="shared" si="84"/>
        <v/>
      </c>
      <c r="BC256" s="35"/>
      <c r="BE256" s="35" t="e">
        <f>INDEX(SF_Output!$AA$2:$AA$400,MATCH($B256,SF_Output!$M$2:$M$400,0))</f>
        <v>#N/A</v>
      </c>
      <c r="BF256" s="35" t="e">
        <f>INDEX(SF_Output!$AB$2:$AB$400,MATCH($B256,SF_Output!$M$2:$M$400,0))</f>
        <v>#N/A</v>
      </c>
    </row>
    <row r="257" spans="6:58" x14ac:dyDescent="0.25">
      <c r="F257" s="116" t="str">
        <f t="shared" si="68"/>
        <v/>
      </c>
      <c r="G257" t="str">
        <f>IF(B257="","",INDEX(SF_Output!$K$1:$K$400,MATCH(B257,SF_Output!$M$1:$M$400,0)))</f>
        <v/>
      </c>
      <c r="H257" t="str" cm="1">
        <f t="array" ref="H257">_xlfn.IFS(B257="","",(SUMIFS(SF_Output!$F$1:$F$400,SF_Output!$AC$1:$AC$400,_xlfn.TEXTJOIN(",",TRUE,B257:E257))+SUMIFS(SF_Output!$G$1:$G$400,SF_Output!$AC$1:$AC$400,_xlfn.TEXTJOIN(",",TRUE,B257:E257)))&lt;&gt;0,SF_Output!$Y$2,INDEX(SF_Output!$F$1:$F$400,MATCH(_xlfn.TEXTJOIN(",",TRUE,B257:E257),SF_Output!$AC$1:$AC$400,0))=0,INDEX(SF_Output!$R$1:$R$400,MATCH(_xlfn.TEXTJOIN(",",TRUE,B257:E257),SF_Output!$AC$1:$AC$400,0)))</f>
        <v/>
      </c>
      <c r="I257" s="125" t="str">
        <f>IFERROR(IF(AND(H257&gt;1,H257&lt;&gt;""),ROUND(SUMIFS(SF_Output!$S$1:$S$400,SF_Output!$AC$1:$AC$400,_xlfn.TEXTJOIN(",",TRUE,B257:E257),SF_Output!$Q$1:$Q$400,"monthly")*(1-W257)/H257,4),""),"")</f>
        <v/>
      </c>
      <c r="J257" s="6" t="str">
        <f>IF(B257="","",SUMIFS(SF_Output!$S$1:$S$400,SF_Output!$AC$1:$AC$400,_xlfn.TEXTJOIN(",",TRUE,B257:E257),SF_Output!$Q$1:$Q$400,"One Time",SF_Output!$L$1:$L$400,"license fee")+SUMIFS(SF_Output!$S$1:$S$400,SF_Output!$AC$1:$AC$400,_xlfn.TEXTJOIN(",",TRUE,B257:E257),SF_Output!$Q$1:$Q$400,"One Time",SF_Output!$L$1:$L$400,"software license")+SUMIFS(SF_Output!$S$1:$S$400,SF_Output!$AC$1:$AC$400,_xlfn.TEXTJOIN(",",TRUE,B257:E257),SF_Output!$Q$1:$Q$400,"One Time",SF_Output!$L$1:$L$400,"hardware"))</f>
        <v/>
      </c>
      <c r="K257" s="112" t="str">
        <f>IF(OR(B257=0,B257="",G257="hardware",J257=0),"",IF(AF257&lt;&gt;"exclusion",MAX(K$9,-((SUMIFS(SF_Output!$T$1:$T$400,SF_Output!$AC$1:$AC$400,_xlfn.TEXTJOIN(",",TRUE,$B257:$E257),SF_Output!$Q$1:$Q$400,"One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license"))/J257)))</f>
        <v/>
      </c>
      <c r="L257" s="6" t="str">
        <f t="shared" si="69"/>
        <v/>
      </c>
      <c r="N257" s="6" t="str">
        <f>IF(B257="","",SUMIFS(SF_Output!$S$1:$S$400,SF_Output!$AC$1:$AC$400,_xlfn.TEXTJOIN(",",TRUE,B257:E257),SF_Output!$Q$1:$Q$400,"One Time",SF_Output!$L$1:$L$400,"professional service"))</f>
        <v/>
      </c>
      <c r="O257" s="112" t="str">
        <f>IF(OR(B257=0,B257="",N257=0),"",IF(AF257&lt;&gt;"exclusion",MAX(O$9,-(SUMIFS(SF_Output!$T$1:$T$400,SF_Output!$AC$1:$AC$400,_xlfn.TEXTJOIN(",",TRUE,$B257:$E257),SF_Output!$Q$1:$Q$400,"One Time",SF_Output!$L$1:$L$400,"professional service"))/N257),-((SUMIFS(SF_Output!$T$1:$T$400,SF_Output!$AC$1:$AC$400,_xlfn.TEXTJOIN(",",TRUE,$B257:$E257),SF_Output!$Q$1:$Q$400,"One Time",SF_Output!$L$1:$L$400,"professional service")/N257))))</f>
        <v/>
      </c>
      <c r="P257" s="6" t="str">
        <f t="shared" si="70"/>
        <v/>
      </c>
      <c r="R257" s="6" t="str">
        <f>IF(B257="","",SUMIFS(SF_Output!$S$1:$S$400,SF_Output!$AC$1:$AC$400,_xlfn.TEXTJOIN(",",TRUE,B257:E257),SF_Output!$Q$1:$Q$400,"yearly")+SUMIFS(SF_Output!$S$1:$S$400,SF_Output!$AC$1:$AC$400,_xlfn.TEXTJOIN(",",TRUE,B257:E257),SF_Output!$Q$1:$Q$400,"quarterly")*4)</f>
        <v/>
      </c>
      <c r="S257" s="112" t="str">
        <f>IF(OR(B257=0,B257="",G257="hardware",R257=0),"",IF(AF257&lt;&gt;"exclusion",MAX(S$9,-(SUMIFS(SF_Output!$T$1:$T$400,SF_Output!$AC$1:$AC$400,_xlfn.TEXTJOIN(",",TRUE,$B257:$E257),SF_Output!$Q$1:$Q$400,"yearly"))/R257),-((SUMIFS(SF_Output!$T$1:$T$400,SF_Output!$AC$1:$AC$400,_xlfn.TEXTJOIN(",",TRUE,$B257:$E257),SF_Output!$Q$1:$Q$400,"yearly")/R257))))</f>
        <v/>
      </c>
      <c r="T257" s="6" t="str">
        <f t="shared" si="71"/>
        <v/>
      </c>
      <c r="V257" s="6" t="str" cm="1">
        <f t="array" ref="V257">_xlfn.IFS(B257="","",AND(B257&lt;&gt;"",H257=SF_Output!$Y$2,SUMIFS(SF_Output!$T$1:$T$400,SF_Output!$AC$1:$AC$400,_xlfn.TEXTJOIN(",",TRUE,B257:E257),SF_Output!$Q$1:$Q$400,"monthly")=0),(SUMIFS(SF_Output!$F$1:$F$400,SF_Output!$AC$1:$AC$400,_xlfn.TEXTJOIN(",",TRUE,B257:E257),SF_Output!$Q$1:$Q$400,"monthly")+SUMIFS(SF_Output!$G$1:$G$400,SF_Output!$AC$1:$AC$400,_xlfn.TEXTJOIN(",",TRUE,B257:E257),SF_Output!$Q$1:$Q$400,"monthly"))*H257,AND(B257&lt;&gt;"",H257=SF_Output!$Y$2,SUMIFS(SF_Output!$T$1:$T$400,SF_Output!$AC$1:$AC$400,_xlfn.TEXTJOIN(",",TRUE,B257:E257),SF_Output!$Q$1:$Q$400,"monthly")&lt;&gt;0),SUMIFS(SF_Output!$S$1:$S$400,SF_Output!$AC$1:$AC$400,_xlfn.TEXTJOIN(",",TRUE,B257:E257),SF_Output!$Q$1:$Q$400,"monthly"),AND(B257&lt;&gt;"",H257&lt;&gt;SF_Output!$Y$2),SUMIFS(SF_Output!$S$1:$S$400,SF_Output!$AC$1:$AC$400,_xlfn.TEXTJOIN(",",TRUE,B257:E257),SF_Output!$Q$1:$Q$400,"monthly"))</f>
        <v/>
      </c>
      <c r="W257" s="112" t="str" cm="1">
        <f t="array" ref="W257">_xlfn.IFS(OR(B257=0,B257="",V257=0),"",AF257&lt;&gt;"exclusion",MAX($W$9,$W$7,(-(SUMIFS(SF_Output!$T$1:$T$400,SF_Output!$AC$1:$AC$400,_xlfn.TEXTJOIN(",",TRUE,$B257:$E257),SF_Output!$Q$1:$Q$400,"monthly"))/V257)),AF257="exclusion",-(SUMIFS(SF_Output!$T$1:$T$400,SF_Output!$AC$1:$AC$400,_xlfn.TEXTJOIN(",",TRUE,$B257:$E257),SF_Output!$Q$1:$Q$400,"monthly"))/V257)</f>
        <v/>
      </c>
      <c r="X257" s="6" t="str" cm="1">
        <f t="array" ref="X257">IFERROR(_xlfn.IFS(V257=0,0,V257="","",W257=0,V257,OR(V257&lt;&gt;0,V257&lt;&gt;""),H257*I257),V257*(1-W257))</f>
        <v/>
      </c>
      <c r="Z257" s="6" t="str">
        <f>IFERROR(IF(B257="","",SUMIFS(Billing_Fallout!H:H,Billing_Fallout!N:N,B257)),0)</f>
        <v/>
      </c>
      <c r="AA257" s="6" t="str">
        <f t="shared" si="72"/>
        <v/>
      </c>
      <c r="AB257" s="6" t="str">
        <f>IFERROR(IF(B257="","",SUMIFS(Billing_Fallout!J:J,Billing_Fallout!N:N,B257)),0)</f>
        <v/>
      </c>
      <c r="AD257" s="6" t="str">
        <f t="shared" si="73"/>
        <v/>
      </c>
      <c r="AF257" t="str">
        <f>IFERROR(INDEX(H_Tables!$B$1:$B$1500,MATCH(INDEX(SF_Output!$J$1:$J$400,MATCH(B257,SF_Output!$M$1:$M$400,0)),H_Tables!$A$1:$A$1500,0)),"")</f>
        <v/>
      </c>
      <c r="AI257" s="119" t="str">
        <f t="shared" si="74"/>
        <v/>
      </c>
      <c r="AJ257" s="121">
        <f>IFERROR(INDEX(SF_Output!AD:AD,MATCH(_xlfn.TEXTJOIN(",",TRUE,B257:E257),SF_Output!AC8:AC407,0)),0.05)</f>
        <v>234</v>
      </c>
      <c r="AK257" t="str">
        <f>IF(SUMIFS(SF_Output!$F$1:$F$400,SF_Output!$AC$1:$AC$400,_xlfn.TEXTJOIN(",",TRUE,B257:E257))+SUMIFS(SF_Output!$G$1:$G$400,SF_Output!$AC$1:$AC$400,_xlfn.TEXTJOIN(",",TRUE,B257:E257))=0,"","PAP")</f>
        <v/>
      </c>
      <c r="AQ257" s="35"/>
      <c r="AR257" s="35" t="str" cm="1">
        <f t="array" ref="AR257">IFERROR(_xlfn.IFS(AND(E257*1=1,F257="Included"),"Change to Included",AND(E257*1=0,F257="Optional"),"Change to Optional",OR(B257="",F257="replaced"),""),"")</f>
        <v/>
      </c>
      <c r="AS257" s="35" t="str">
        <f t="shared" si="75"/>
        <v/>
      </c>
      <c r="AT257" s="35" t="str">
        <f t="shared" si="76"/>
        <v/>
      </c>
      <c r="AU257" s="35" t="str">
        <f t="shared" si="77"/>
        <v/>
      </c>
      <c r="AV257" s="35" t="str">
        <f t="shared" si="78"/>
        <v/>
      </c>
      <c r="AW257" s="35" t="str">
        <f t="shared" si="79"/>
        <v/>
      </c>
      <c r="AX257" s="35" t="str">
        <f t="shared" si="80"/>
        <v/>
      </c>
      <c r="AY257" s="35" t="str">
        <f t="shared" si="81"/>
        <v/>
      </c>
      <c r="AZ257" s="35" t="str">
        <f t="shared" si="82"/>
        <v/>
      </c>
      <c r="BA257" s="35" t="str">
        <f t="shared" si="83"/>
        <v/>
      </c>
      <c r="BB257" s="35" t="str">
        <f t="shared" si="84"/>
        <v/>
      </c>
      <c r="BC257" s="35"/>
      <c r="BE257" s="35" t="e">
        <f>INDEX(SF_Output!$AA$2:$AA$400,MATCH($B257,SF_Output!$M$2:$M$400,0))</f>
        <v>#N/A</v>
      </c>
      <c r="BF257" s="35" t="e">
        <f>INDEX(SF_Output!$AB$2:$AB$400,MATCH($B257,SF_Output!$M$2:$M$400,0))</f>
        <v>#N/A</v>
      </c>
    </row>
    <row r="258" spans="6:58" x14ac:dyDescent="0.25">
      <c r="F258" s="116" t="str">
        <f t="shared" si="68"/>
        <v/>
      </c>
      <c r="G258" t="str">
        <f>IF(B258="","",INDEX(SF_Output!$K$1:$K$400,MATCH(B258,SF_Output!$M$1:$M$400,0)))</f>
        <v/>
      </c>
      <c r="H258" t="str" cm="1">
        <f t="array" ref="H258">_xlfn.IFS(B258="","",(SUMIFS(SF_Output!$F$1:$F$400,SF_Output!$AC$1:$AC$400,_xlfn.TEXTJOIN(",",TRUE,B258:E258))+SUMIFS(SF_Output!$G$1:$G$400,SF_Output!$AC$1:$AC$400,_xlfn.TEXTJOIN(",",TRUE,B258:E258)))&lt;&gt;0,SF_Output!$Y$2,INDEX(SF_Output!$F$1:$F$400,MATCH(_xlfn.TEXTJOIN(",",TRUE,B258:E258),SF_Output!$AC$1:$AC$400,0))=0,INDEX(SF_Output!$R$1:$R$400,MATCH(_xlfn.TEXTJOIN(",",TRUE,B258:E258),SF_Output!$AC$1:$AC$400,0)))</f>
        <v/>
      </c>
      <c r="I258" s="125" t="str">
        <f>IFERROR(IF(AND(H258&gt;1,H258&lt;&gt;""),ROUND(SUMIFS(SF_Output!$S$1:$S$400,SF_Output!$AC$1:$AC$400,_xlfn.TEXTJOIN(",",TRUE,B258:E258),SF_Output!$Q$1:$Q$400,"monthly")*(1-W258)/H258,4),""),"")</f>
        <v/>
      </c>
      <c r="J258" s="6" t="str">
        <f>IF(B258="","",SUMIFS(SF_Output!$S$1:$S$400,SF_Output!$AC$1:$AC$400,_xlfn.TEXTJOIN(",",TRUE,B258:E258),SF_Output!$Q$1:$Q$400,"One Time",SF_Output!$L$1:$L$400,"license fee")+SUMIFS(SF_Output!$S$1:$S$400,SF_Output!$AC$1:$AC$400,_xlfn.TEXTJOIN(",",TRUE,B258:E258),SF_Output!$Q$1:$Q$400,"One Time",SF_Output!$L$1:$L$400,"software license")+SUMIFS(SF_Output!$S$1:$S$400,SF_Output!$AC$1:$AC$400,_xlfn.TEXTJOIN(",",TRUE,B258:E258),SF_Output!$Q$1:$Q$400,"One Time",SF_Output!$L$1:$L$400,"hardware"))</f>
        <v/>
      </c>
      <c r="K258" s="112" t="str">
        <f>IF(OR(B258=0,B258="",G258="hardware",J258=0),"",IF(AF258&lt;&gt;"exclusion",MAX(K$9,-((SUMIFS(SF_Output!$T$1:$T$400,SF_Output!$AC$1:$AC$400,_xlfn.TEXTJOIN(",",TRUE,$B258:$E258),SF_Output!$Q$1:$Q$400,"One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license"))/J258)))</f>
        <v/>
      </c>
      <c r="L258" s="6" t="str">
        <f t="shared" si="69"/>
        <v/>
      </c>
      <c r="N258" s="6" t="str">
        <f>IF(B258="","",SUMIFS(SF_Output!$S$1:$S$400,SF_Output!$AC$1:$AC$400,_xlfn.TEXTJOIN(",",TRUE,B258:E258),SF_Output!$Q$1:$Q$400,"One Time",SF_Output!$L$1:$L$400,"professional service"))</f>
        <v/>
      </c>
      <c r="O258" s="112" t="str">
        <f>IF(OR(B258=0,B258="",N258=0),"",IF(AF258&lt;&gt;"exclusion",MAX(O$9,-(SUMIFS(SF_Output!$T$1:$T$400,SF_Output!$AC$1:$AC$400,_xlfn.TEXTJOIN(",",TRUE,$B258:$E258),SF_Output!$Q$1:$Q$400,"One Time",SF_Output!$L$1:$L$400,"professional service"))/N258),-((SUMIFS(SF_Output!$T$1:$T$400,SF_Output!$AC$1:$AC$400,_xlfn.TEXTJOIN(",",TRUE,$B258:$E258),SF_Output!$Q$1:$Q$400,"One Time",SF_Output!$L$1:$L$400,"professional service")/N258))))</f>
        <v/>
      </c>
      <c r="P258" s="6" t="str">
        <f t="shared" si="70"/>
        <v/>
      </c>
      <c r="R258" s="6" t="str">
        <f>IF(B258="","",SUMIFS(SF_Output!$S$1:$S$400,SF_Output!$AC$1:$AC$400,_xlfn.TEXTJOIN(",",TRUE,B258:E258),SF_Output!$Q$1:$Q$400,"yearly")+SUMIFS(SF_Output!$S$1:$S$400,SF_Output!$AC$1:$AC$400,_xlfn.TEXTJOIN(",",TRUE,B258:E258),SF_Output!$Q$1:$Q$400,"quarterly")*4)</f>
        <v/>
      </c>
      <c r="S258" s="112" t="str">
        <f>IF(OR(B258=0,B258="",G258="hardware",R258=0),"",IF(AF258&lt;&gt;"exclusion",MAX(S$9,-(SUMIFS(SF_Output!$T$1:$T$400,SF_Output!$AC$1:$AC$400,_xlfn.TEXTJOIN(",",TRUE,$B258:$E258),SF_Output!$Q$1:$Q$400,"yearly"))/R258),-((SUMIFS(SF_Output!$T$1:$T$400,SF_Output!$AC$1:$AC$400,_xlfn.TEXTJOIN(",",TRUE,$B258:$E258),SF_Output!$Q$1:$Q$400,"yearly")/R258))))</f>
        <v/>
      </c>
      <c r="T258" s="6" t="str">
        <f t="shared" si="71"/>
        <v/>
      </c>
      <c r="V258" s="6" t="str" cm="1">
        <f t="array" ref="V258">_xlfn.IFS(B258="","",AND(B258&lt;&gt;"",H258=SF_Output!$Y$2,SUMIFS(SF_Output!$T$1:$T$400,SF_Output!$AC$1:$AC$400,_xlfn.TEXTJOIN(",",TRUE,B258:E258),SF_Output!$Q$1:$Q$400,"monthly")=0),(SUMIFS(SF_Output!$F$1:$F$400,SF_Output!$AC$1:$AC$400,_xlfn.TEXTJOIN(",",TRUE,B258:E258),SF_Output!$Q$1:$Q$400,"monthly")+SUMIFS(SF_Output!$G$1:$G$400,SF_Output!$AC$1:$AC$400,_xlfn.TEXTJOIN(",",TRUE,B258:E258),SF_Output!$Q$1:$Q$400,"monthly"))*H258,AND(B258&lt;&gt;"",H258=SF_Output!$Y$2,SUMIFS(SF_Output!$T$1:$T$400,SF_Output!$AC$1:$AC$400,_xlfn.TEXTJOIN(",",TRUE,B258:E258),SF_Output!$Q$1:$Q$400,"monthly")&lt;&gt;0),SUMIFS(SF_Output!$S$1:$S$400,SF_Output!$AC$1:$AC$400,_xlfn.TEXTJOIN(",",TRUE,B258:E258),SF_Output!$Q$1:$Q$400,"monthly"),AND(B258&lt;&gt;"",H258&lt;&gt;SF_Output!$Y$2),SUMIFS(SF_Output!$S$1:$S$400,SF_Output!$AC$1:$AC$400,_xlfn.TEXTJOIN(",",TRUE,B258:E258),SF_Output!$Q$1:$Q$400,"monthly"))</f>
        <v/>
      </c>
      <c r="W258" s="112" t="str" cm="1">
        <f t="array" ref="W258">_xlfn.IFS(OR(B258=0,B258="",V258=0),"",AF258&lt;&gt;"exclusion",MAX($W$9,$W$7,(-(SUMIFS(SF_Output!$T$1:$T$400,SF_Output!$AC$1:$AC$400,_xlfn.TEXTJOIN(",",TRUE,$B258:$E258),SF_Output!$Q$1:$Q$400,"monthly"))/V258)),AF258="exclusion",-(SUMIFS(SF_Output!$T$1:$T$400,SF_Output!$AC$1:$AC$400,_xlfn.TEXTJOIN(",",TRUE,$B258:$E258),SF_Output!$Q$1:$Q$400,"monthly"))/V258)</f>
        <v/>
      </c>
      <c r="X258" s="6" t="str" cm="1">
        <f t="array" ref="X258">IFERROR(_xlfn.IFS(V258=0,0,V258="","",W258=0,V258,OR(V258&lt;&gt;0,V258&lt;&gt;""),H258*I258),V258*(1-W258))</f>
        <v/>
      </c>
      <c r="Z258" s="6" t="str">
        <f>IFERROR(IF(B258="","",SUMIFS(Billing_Fallout!H:H,Billing_Fallout!N:N,B258)),0)</f>
        <v/>
      </c>
      <c r="AA258" s="6" t="str">
        <f t="shared" si="72"/>
        <v/>
      </c>
      <c r="AB258" s="6" t="str">
        <f>IFERROR(IF(B258="","",SUMIFS(Billing_Fallout!J:J,Billing_Fallout!N:N,B258)),0)</f>
        <v/>
      </c>
      <c r="AD258" s="6" t="str">
        <f t="shared" si="73"/>
        <v/>
      </c>
      <c r="AF258" t="str">
        <f>IFERROR(INDEX(H_Tables!$B$1:$B$1500,MATCH(INDEX(SF_Output!$J$1:$J$400,MATCH(B258,SF_Output!$M$1:$M$400,0)),H_Tables!$A$1:$A$1500,0)),"")</f>
        <v/>
      </c>
      <c r="AI258" s="119" t="str">
        <f t="shared" si="74"/>
        <v/>
      </c>
      <c r="AJ258" s="121">
        <f>IFERROR(INDEX(SF_Output!AD:AD,MATCH(_xlfn.TEXTJOIN(",",TRUE,B258:E258),SF_Output!AC9:AC408,0)),0.05)</f>
        <v>233</v>
      </c>
      <c r="AK258" t="str">
        <f>IF(SUMIFS(SF_Output!$F$1:$F$400,SF_Output!$AC$1:$AC$400,_xlfn.TEXTJOIN(",",TRUE,B258:E258))+SUMIFS(SF_Output!$G$1:$G$400,SF_Output!$AC$1:$AC$400,_xlfn.TEXTJOIN(",",TRUE,B258:E258))=0,"","PAP")</f>
        <v/>
      </c>
      <c r="AQ258" s="35"/>
      <c r="AR258" s="35" t="str" cm="1">
        <f t="array" ref="AR258">IFERROR(_xlfn.IFS(AND(E258*1=1,F258="Included"),"Change to Included",AND(E258*1=0,F258="Optional"),"Change to Optional",OR(B258="",F258="replaced"),""),"")</f>
        <v/>
      </c>
      <c r="AS258" s="35" t="str">
        <f t="shared" si="75"/>
        <v/>
      </c>
      <c r="AT258" s="35" t="str">
        <f t="shared" si="76"/>
        <v/>
      </c>
      <c r="AU258" s="35" t="str">
        <f t="shared" si="77"/>
        <v/>
      </c>
      <c r="AV258" s="35" t="str">
        <f t="shared" si="78"/>
        <v/>
      </c>
      <c r="AW258" s="35" t="str">
        <f t="shared" si="79"/>
        <v/>
      </c>
      <c r="AX258" s="35" t="str">
        <f t="shared" si="80"/>
        <v/>
      </c>
      <c r="AY258" s="35" t="str">
        <f t="shared" si="81"/>
        <v/>
      </c>
      <c r="AZ258" s="35" t="str">
        <f t="shared" si="82"/>
        <v/>
      </c>
      <c r="BA258" s="35" t="str">
        <f t="shared" si="83"/>
        <v/>
      </c>
      <c r="BB258" s="35" t="str">
        <f t="shared" si="84"/>
        <v/>
      </c>
      <c r="BC258" s="35"/>
      <c r="BE258" s="35" t="e">
        <f>INDEX(SF_Output!$AA$2:$AA$400,MATCH($B258,SF_Output!$M$2:$M$400,0))</f>
        <v>#N/A</v>
      </c>
      <c r="BF258" s="35" t="e">
        <f>INDEX(SF_Output!$AB$2:$AB$400,MATCH($B258,SF_Output!$M$2:$M$400,0))</f>
        <v>#N/A</v>
      </c>
    </row>
    <row r="259" spans="6:58" x14ac:dyDescent="0.25">
      <c r="F259" s="116" t="str">
        <f t="shared" si="68"/>
        <v/>
      </c>
      <c r="G259" t="str">
        <f>IF(B259="","",INDEX(SF_Output!$K$1:$K$400,MATCH(B259,SF_Output!$M$1:$M$400,0)))</f>
        <v/>
      </c>
      <c r="H259" t="str" cm="1">
        <f t="array" ref="H259">_xlfn.IFS(B259="","",(SUMIFS(SF_Output!$F$1:$F$400,SF_Output!$AC$1:$AC$400,_xlfn.TEXTJOIN(",",TRUE,B259:E259))+SUMIFS(SF_Output!$G$1:$G$400,SF_Output!$AC$1:$AC$400,_xlfn.TEXTJOIN(",",TRUE,B259:E259)))&lt;&gt;0,SF_Output!$Y$2,INDEX(SF_Output!$F$1:$F$400,MATCH(_xlfn.TEXTJOIN(",",TRUE,B259:E259),SF_Output!$AC$1:$AC$400,0))=0,INDEX(SF_Output!$R$1:$R$400,MATCH(_xlfn.TEXTJOIN(",",TRUE,B259:E259),SF_Output!$AC$1:$AC$400,0)))</f>
        <v/>
      </c>
      <c r="I259" s="125" t="str">
        <f>IFERROR(IF(AND(H259&gt;1,H259&lt;&gt;""),ROUND(SUMIFS(SF_Output!$S$1:$S$400,SF_Output!$AC$1:$AC$400,_xlfn.TEXTJOIN(",",TRUE,B259:E259),SF_Output!$Q$1:$Q$400,"monthly")*(1-W259)/H259,4),""),"")</f>
        <v/>
      </c>
      <c r="J259" s="6" t="str">
        <f>IF(B259="","",SUMIFS(SF_Output!$S$1:$S$400,SF_Output!$AC$1:$AC$400,_xlfn.TEXTJOIN(",",TRUE,B259:E259),SF_Output!$Q$1:$Q$400,"One Time",SF_Output!$L$1:$L$400,"license fee")+SUMIFS(SF_Output!$S$1:$S$400,SF_Output!$AC$1:$AC$400,_xlfn.TEXTJOIN(",",TRUE,B259:E259),SF_Output!$Q$1:$Q$400,"One Time",SF_Output!$L$1:$L$400,"software license")+SUMIFS(SF_Output!$S$1:$S$400,SF_Output!$AC$1:$AC$400,_xlfn.TEXTJOIN(",",TRUE,B259:E259),SF_Output!$Q$1:$Q$400,"One Time",SF_Output!$L$1:$L$400,"hardware"))</f>
        <v/>
      </c>
      <c r="K259" s="112" t="str">
        <f>IF(OR(B259=0,B259="",G259="hardware",J259=0),"",IF(AF259&lt;&gt;"exclusion",MAX(K$9,-((SUMIFS(SF_Output!$T$1:$T$400,SF_Output!$AC$1:$AC$400,_xlfn.TEXTJOIN(",",TRUE,$B259:$E259),SF_Output!$Q$1:$Q$400,"One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license"))/J259)))</f>
        <v/>
      </c>
      <c r="L259" s="6" t="str">
        <f t="shared" si="69"/>
        <v/>
      </c>
      <c r="N259" s="6" t="str">
        <f>IF(B259="","",SUMIFS(SF_Output!$S$1:$S$400,SF_Output!$AC$1:$AC$400,_xlfn.TEXTJOIN(",",TRUE,B259:E259),SF_Output!$Q$1:$Q$400,"One Time",SF_Output!$L$1:$L$400,"professional service"))</f>
        <v/>
      </c>
      <c r="O259" s="112" t="str">
        <f>IF(OR(B259=0,B259="",N259=0),"",IF(AF259&lt;&gt;"exclusion",MAX(O$9,-(SUMIFS(SF_Output!$T$1:$T$400,SF_Output!$AC$1:$AC$400,_xlfn.TEXTJOIN(",",TRUE,$B259:$E259),SF_Output!$Q$1:$Q$400,"One Time",SF_Output!$L$1:$L$400,"professional service"))/N259),-((SUMIFS(SF_Output!$T$1:$T$400,SF_Output!$AC$1:$AC$400,_xlfn.TEXTJOIN(",",TRUE,$B259:$E259),SF_Output!$Q$1:$Q$400,"One Time",SF_Output!$L$1:$L$400,"professional service")/N259))))</f>
        <v/>
      </c>
      <c r="P259" s="6" t="str">
        <f t="shared" si="70"/>
        <v/>
      </c>
      <c r="R259" s="6" t="str">
        <f>IF(B259="","",SUMIFS(SF_Output!$S$1:$S$400,SF_Output!$AC$1:$AC$400,_xlfn.TEXTJOIN(",",TRUE,B259:E259),SF_Output!$Q$1:$Q$400,"yearly")+SUMIFS(SF_Output!$S$1:$S$400,SF_Output!$AC$1:$AC$400,_xlfn.TEXTJOIN(",",TRUE,B259:E259),SF_Output!$Q$1:$Q$400,"quarterly")*4)</f>
        <v/>
      </c>
      <c r="S259" s="112" t="str">
        <f>IF(OR(B259=0,B259="",G259="hardware",R259=0),"",IF(AF259&lt;&gt;"exclusion",MAX(S$9,-(SUMIFS(SF_Output!$T$1:$T$400,SF_Output!$AC$1:$AC$400,_xlfn.TEXTJOIN(",",TRUE,$B259:$E259),SF_Output!$Q$1:$Q$400,"yearly"))/R259),-((SUMIFS(SF_Output!$T$1:$T$400,SF_Output!$AC$1:$AC$400,_xlfn.TEXTJOIN(",",TRUE,$B259:$E259),SF_Output!$Q$1:$Q$400,"yearly")/R259))))</f>
        <v/>
      </c>
      <c r="T259" s="6" t="str">
        <f t="shared" si="71"/>
        <v/>
      </c>
      <c r="V259" s="6" t="str" cm="1">
        <f t="array" ref="V259">_xlfn.IFS(B259="","",AND(B259&lt;&gt;"",H259=SF_Output!$Y$2,SUMIFS(SF_Output!$T$1:$T$400,SF_Output!$AC$1:$AC$400,_xlfn.TEXTJOIN(",",TRUE,B259:E259),SF_Output!$Q$1:$Q$400,"monthly")=0),(SUMIFS(SF_Output!$F$1:$F$400,SF_Output!$AC$1:$AC$400,_xlfn.TEXTJOIN(",",TRUE,B259:E259),SF_Output!$Q$1:$Q$400,"monthly")+SUMIFS(SF_Output!$G$1:$G$400,SF_Output!$AC$1:$AC$400,_xlfn.TEXTJOIN(",",TRUE,B259:E259),SF_Output!$Q$1:$Q$400,"monthly"))*H259,AND(B259&lt;&gt;"",H259=SF_Output!$Y$2,SUMIFS(SF_Output!$T$1:$T$400,SF_Output!$AC$1:$AC$400,_xlfn.TEXTJOIN(",",TRUE,B259:E259),SF_Output!$Q$1:$Q$400,"monthly")&lt;&gt;0),SUMIFS(SF_Output!$S$1:$S$400,SF_Output!$AC$1:$AC$400,_xlfn.TEXTJOIN(",",TRUE,B259:E259),SF_Output!$Q$1:$Q$400,"monthly"),AND(B259&lt;&gt;"",H259&lt;&gt;SF_Output!$Y$2),SUMIFS(SF_Output!$S$1:$S$400,SF_Output!$AC$1:$AC$400,_xlfn.TEXTJOIN(",",TRUE,B259:E259),SF_Output!$Q$1:$Q$400,"monthly"))</f>
        <v/>
      </c>
      <c r="W259" s="112" t="str" cm="1">
        <f t="array" ref="W259">_xlfn.IFS(OR(B259=0,B259="",V259=0),"",AF259&lt;&gt;"exclusion",MAX($W$9,$W$7,(-(SUMIFS(SF_Output!$T$1:$T$400,SF_Output!$AC$1:$AC$400,_xlfn.TEXTJOIN(",",TRUE,$B259:$E259),SF_Output!$Q$1:$Q$400,"monthly"))/V259)),AF259="exclusion",-(SUMIFS(SF_Output!$T$1:$T$400,SF_Output!$AC$1:$AC$400,_xlfn.TEXTJOIN(",",TRUE,$B259:$E259),SF_Output!$Q$1:$Q$400,"monthly"))/V259)</f>
        <v/>
      </c>
      <c r="X259" s="6" t="str" cm="1">
        <f t="array" ref="X259">IFERROR(_xlfn.IFS(V259=0,0,V259="","",W259=0,V259,OR(V259&lt;&gt;0,V259&lt;&gt;""),H259*I259),V259*(1-W259))</f>
        <v/>
      </c>
      <c r="Z259" s="6" t="str">
        <f>IFERROR(IF(B259="","",SUMIFS(Billing_Fallout!H:H,Billing_Fallout!N:N,B259)),0)</f>
        <v/>
      </c>
      <c r="AA259" s="6" t="str">
        <f t="shared" si="72"/>
        <v/>
      </c>
      <c r="AB259" s="6" t="str">
        <f>IFERROR(IF(B259="","",SUMIFS(Billing_Fallout!J:J,Billing_Fallout!N:N,B259)),0)</f>
        <v/>
      </c>
      <c r="AD259" s="6" t="str">
        <f t="shared" si="73"/>
        <v/>
      </c>
      <c r="AF259" t="str">
        <f>IFERROR(INDEX(H_Tables!$B$1:$B$1500,MATCH(INDEX(SF_Output!$J$1:$J$400,MATCH(B259,SF_Output!$M$1:$M$400,0)),H_Tables!$A$1:$A$1500,0)),"")</f>
        <v/>
      </c>
      <c r="AI259" s="119" t="str">
        <f t="shared" si="74"/>
        <v/>
      </c>
      <c r="AJ259" s="121">
        <f>IFERROR(INDEX(SF_Output!AD:AD,MATCH(_xlfn.TEXTJOIN(",",TRUE,B259:E259),SF_Output!AC10:AC409,0)),0.05)</f>
        <v>232</v>
      </c>
      <c r="AK259" t="str">
        <f>IF(SUMIFS(SF_Output!$F$1:$F$400,SF_Output!$AC$1:$AC$400,_xlfn.TEXTJOIN(",",TRUE,B259:E259))+SUMIFS(SF_Output!$G$1:$G$400,SF_Output!$AC$1:$AC$400,_xlfn.TEXTJOIN(",",TRUE,B259:E259))=0,"","PAP")</f>
        <v/>
      </c>
      <c r="AQ259" s="35"/>
      <c r="AR259" s="35" t="str" cm="1">
        <f t="array" ref="AR259">IFERROR(_xlfn.IFS(AND(E259*1=1,F259="Included"),"Change to Included",AND(E259*1=0,F259="Optional"),"Change to Optional",OR(B259="",F259="replaced"),""),"")</f>
        <v/>
      </c>
      <c r="AS259" s="35" t="str">
        <f t="shared" si="75"/>
        <v/>
      </c>
      <c r="AT259" s="35" t="str">
        <f t="shared" si="76"/>
        <v/>
      </c>
      <c r="AU259" s="35" t="str">
        <f t="shared" si="77"/>
        <v/>
      </c>
      <c r="AV259" s="35" t="str">
        <f t="shared" si="78"/>
        <v/>
      </c>
      <c r="AW259" s="35" t="str">
        <f t="shared" si="79"/>
        <v/>
      </c>
      <c r="AX259" s="35" t="str">
        <f t="shared" si="80"/>
        <v/>
      </c>
      <c r="AY259" s="35" t="str">
        <f t="shared" si="81"/>
        <v/>
      </c>
      <c r="AZ259" s="35" t="str">
        <f t="shared" si="82"/>
        <v/>
      </c>
      <c r="BA259" s="35" t="str">
        <f t="shared" si="83"/>
        <v/>
      </c>
      <c r="BB259" s="35" t="str">
        <f t="shared" si="84"/>
        <v/>
      </c>
      <c r="BC259" s="35"/>
      <c r="BE259" s="35" t="e">
        <f>INDEX(SF_Output!$AA$2:$AA$400,MATCH($B259,SF_Output!$M$2:$M$400,0))</f>
        <v>#N/A</v>
      </c>
      <c r="BF259" s="35" t="e">
        <f>INDEX(SF_Output!$AB$2:$AB$400,MATCH($B259,SF_Output!$M$2:$M$400,0))</f>
        <v>#N/A</v>
      </c>
    </row>
    <row r="260" spans="6:58" x14ac:dyDescent="0.25">
      <c r="F260" s="116" t="str">
        <f t="shared" si="68"/>
        <v/>
      </c>
      <c r="G260" t="str">
        <f>IF(B260="","",INDEX(SF_Output!$K$1:$K$400,MATCH(B260,SF_Output!$M$1:$M$400,0)))</f>
        <v/>
      </c>
      <c r="H260" t="str" cm="1">
        <f t="array" ref="H260">_xlfn.IFS(B260="","",(SUMIFS(SF_Output!$F$1:$F$400,SF_Output!$AC$1:$AC$400,_xlfn.TEXTJOIN(",",TRUE,B260:E260))+SUMIFS(SF_Output!$G$1:$G$400,SF_Output!$AC$1:$AC$400,_xlfn.TEXTJOIN(",",TRUE,B260:E260)))&lt;&gt;0,SF_Output!$Y$2,INDEX(SF_Output!$F$1:$F$400,MATCH(_xlfn.TEXTJOIN(",",TRUE,B260:E260),SF_Output!$AC$1:$AC$400,0))=0,INDEX(SF_Output!$R$1:$R$400,MATCH(_xlfn.TEXTJOIN(",",TRUE,B260:E260),SF_Output!$AC$1:$AC$400,0)))</f>
        <v/>
      </c>
      <c r="I260" s="125" t="str">
        <f>IFERROR(IF(AND(H260&gt;1,H260&lt;&gt;""),ROUND(SUMIFS(SF_Output!$S$1:$S$400,SF_Output!$AC$1:$AC$400,_xlfn.TEXTJOIN(",",TRUE,B260:E260),SF_Output!$Q$1:$Q$400,"monthly")*(1-W260)/H260,4),""),"")</f>
        <v/>
      </c>
      <c r="J260" s="6" t="str">
        <f>IF(B260="","",SUMIFS(SF_Output!$S$1:$S$400,SF_Output!$AC$1:$AC$400,_xlfn.TEXTJOIN(",",TRUE,B260:E260),SF_Output!$Q$1:$Q$400,"One Time",SF_Output!$L$1:$L$400,"license fee")+SUMIFS(SF_Output!$S$1:$S$400,SF_Output!$AC$1:$AC$400,_xlfn.TEXTJOIN(",",TRUE,B260:E260),SF_Output!$Q$1:$Q$400,"One Time",SF_Output!$L$1:$L$400,"software license")+SUMIFS(SF_Output!$S$1:$S$400,SF_Output!$AC$1:$AC$400,_xlfn.TEXTJOIN(",",TRUE,B260:E260),SF_Output!$Q$1:$Q$400,"One Time",SF_Output!$L$1:$L$400,"hardware"))</f>
        <v/>
      </c>
      <c r="K260" s="112" t="str">
        <f>IF(OR(B260=0,B260="",G260="hardware",J260=0),"",IF(AF260&lt;&gt;"exclusion",MAX(K$9,-((SUMIFS(SF_Output!$T$1:$T$400,SF_Output!$AC$1:$AC$400,_xlfn.TEXTJOIN(",",TRUE,$B260:$E260),SF_Output!$Q$1:$Q$400,"One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license"))/J260)))</f>
        <v/>
      </c>
      <c r="L260" s="6" t="str">
        <f t="shared" si="69"/>
        <v/>
      </c>
      <c r="N260" s="6" t="str">
        <f>IF(B260="","",SUMIFS(SF_Output!$S$1:$S$400,SF_Output!$AC$1:$AC$400,_xlfn.TEXTJOIN(",",TRUE,B260:E260),SF_Output!$Q$1:$Q$400,"One Time",SF_Output!$L$1:$L$400,"professional service"))</f>
        <v/>
      </c>
      <c r="O260" s="112" t="str">
        <f>IF(OR(B260=0,B260="",N260=0),"",IF(AF260&lt;&gt;"exclusion",MAX(O$9,-(SUMIFS(SF_Output!$T$1:$T$400,SF_Output!$AC$1:$AC$400,_xlfn.TEXTJOIN(",",TRUE,$B260:$E260),SF_Output!$Q$1:$Q$400,"One Time",SF_Output!$L$1:$L$400,"professional service"))/N260),-((SUMIFS(SF_Output!$T$1:$T$400,SF_Output!$AC$1:$AC$400,_xlfn.TEXTJOIN(",",TRUE,$B260:$E260),SF_Output!$Q$1:$Q$400,"One Time",SF_Output!$L$1:$L$400,"professional service")/N260))))</f>
        <v/>
      </c>
      <c r="P260" s="6" t="str">
        <f t="shared" si="70"/>
        <v/>
      </c>
      <c r="R260" s="6" t="str">
        <f>IF(B260="","",SUMIFS(SF_Output!$S$1:$S$400,SF_Output!$AC$1:$AC$400,_xlfn.TEXTJOIN(",",TRUE,B260:E260),SF_Output!$Q$1:$Q$400,"yearly")+SUMIFS(SF_Output!$S$1:$S$400,SF_Output!$AC$1:$AC$400,_xlfn.TEXTJOIN(",",TRUE,B260:E260),SF_Output!$Q$1:$Q$400,"quarterly")*4)</f>
        <v/>
      </c>
      <c r="S260" s="112" t="str">
        <f>IF(OR(B260=0,B260="",G260="hardware",R260=0),"",IF(AF260&lt;&gt;"exclusion",MAX(S$9,-(SUMIFS(SF_Output!$T$1:$T$400,SF_Output!$AC$1:$AC$400,_xlfn.TEXTJOIN(",",TRUE,$B260:$E260),SF_Output!$Q$1:$Q$400,"yearly"))/R260),-((SUMIFS(SF_Output!$T$1:$T$400,SF_Output!$AC$1:$AC$400,_xlfn.TEXTJOIN(",",TRUE,$B260:$E260),SF_Output!$Q$1:$Q$400,"yearly")/R260))))</f>
        <v/>
      </c>
      <c r="T260" s="6" t="str">
        <f t="shared" si="71"/>
        <v/>
      </c>
      <c r="V260" s="6" t="str" cm="1">
        <f t="array" ref="V260">_xlfn.IFS(B260="","",AND(B260&lt;&gt;"",H260=SF_Output!$Y$2,SUMIFS(SF_Output!$T$1:$T$400,SF_Output!$AC$1:$AC$400,_xlfn.TEXTJOIN(",",TRUE,B260:E260),SF_Output!$Q$1:$Q$400,"monthly")=0),(SUMIFS(SF_Output!$F$1:$F$400,SF_Output!$AC$1:$AC$400,_xlfn.TEXTJOIN(",",TRUE,B260:E260),SF_Output!$Q$1:$Q$400,"monthly")+SUMIFS(SF_Output!$G$1:$G$400,SF_Output!$AC$1:$AC$400,_xlfn.TEXTJOIN(",",TRUE,B260:E260),SF_Output!$Q$1:$Q$400,"monthly"))*H260,AND(B260&lt;&gt;"",H260=SF_Output!$Y$2,SUMIFS(SF_Output!$T$1:$T$400,SF_Output!$AC$1:$AC$400,_xlfn.TEXTJOIN(",",TRUE,B260:E260),SF_Output!$Q$1:$Q$400,"monthly")&lt;&gt;0),SUMIFS(SF_Output!$S$1:$S$400,SF_Output!$AC$1:$AC$400,_xlfn.TEXTJOIN(",",TRUE,B260:E260),SF_Output!$Q$1:$Q$400,"monthly"),AND(B260&lt;&gt;"",H260&lt;&gt;SF_Output!$Y$2),SUMIFS(SF_Output!$S$1:$S$400,SF_Output!$AC$1:$AC$400,_xlfn.TEXTJOIN(",",TRUE,B260:E260),SF_Output!$Q$1:$Q$400,"monthly"))</f>
        <v/>
      </c>
      <c r="W260" s="112" t="str" cm="1">
        <f t="array" ref="W260">_xlfn.IFS(OR(B260=0,B260="",V260=0),"",AF260&lt;&gt;"exclusion",MAX($W$9,$W$7,(-(SUMIFS(SF_Output!$T$1:$T$400,SF_Output!$AC$1:$AC$400,_xlfn.TEXTJOIN(",",TRUE,$B260:$E260),SF_Output!$Q$1:$Q$400,"monthly"))/V260)),AF260="exclusion",-(SUMIFS(SF_Output!$T$1:$T$400,SF_Output!$AC$1:$AC$400,_xlfn.TEXTJOIN(",",TRUE,$B260:$E260),SF_Output!$Q$1:$Q$400,"monthly"))/V260)</f>
        <v/>
      </c>
      <c r="X260" s="6" t="str" cm="1">
        <f t="array" ref="X260">IFERROR(_xlfn.IFS(V260=0,0,V260="","",W260=0,V260,OR(V260&lt;&gt;0,V260&lt;&gt;""),H260*I260),V260*(1-W260))</f>
        <v/>
      </c>
      <c r="Z260" s="6" t="str">
        <f>IFERROR(IF(B260="","",SUMIFS(Billing_Fallout!H:H,Billing_Fallout!N:N,B260)),0)</f>
        <v/>
      </c>
      <c r="AA260" s="6" t="str">
        <f t="shared" si="72"/>
        <v/>
      </c>
      <c r="AB260" s="6" t="str">
        <f>IFERROR(IF(B260="","",SUMIFS(Billing_Fallout!J:J,Billing_Fallout!N:N,B260)),0)</f>
        <v/>
      </c>
      <c r="AD260" s="6" t="str">
        <f t="shared" si="73"/>
        <v/>
      </c>
      <c r="AF260" t="str">
        <f>IFERROR(INDEX(H_Tables!$B$1:$B$1500,MATCH(INDEX(SF_Output!$J$1:$J$400,MATCH(B260,SF_Output!$M$1:$M$400,0)),H_Tables!$A$1:$A$1500,0)),"")</f>
        <v/>
      </c>
      <c r="AI260" s="119" t="str">
        <f t="shared" si="74"/>
        <v/>
      </c>
      <c r="AJ260" s="121">
        <f>IFERROR(INDEX(SF_Output!AD:AD,MATCH(_xlfn.TEXTJOIN(",",TRUE,B260:E260),SF_Output!AC11:AC410,0)),0.05)</f>
        <v>231</v>
      </c>
      <c r="AK260" t="str">
        <f>IF(SUMIFS(SF_Output!$F$1:$F$400,SF_Output!$AC$1:$AC$400,_xlfn.TEXTJOIN(",",TRUE,B260:E260))+SUMIFS(SF_Output!$G$1:$G$400,SF_Output!$AC$1:$AC$400,_xlfn.TEXTJOIN(",",TRUE,B260:E260))=0,"","PAP")</f>
        <v/>
      </c>
      <c r="AQ260" s="35"/>
      <c r="AR260" s="35" t="str" cm="1">
        <f t="array" ref="AR260">IFERROR(_xlfn.IFS(AND(E260*1=1,F260="Included"),"Change to Included",AND(E260*1=0,F260="Optional"),"Change to Optional",OR(B260="",F260="replaced"),""),"")</f>
        <v/>
      </c>
      <c r="AS260" s="35" t="str">
        <f t="shared" si="75"/>
        <v/>
      </c>
      <c r="AT260" s="35" t="str">
        <f t="shared" si="76"/>
        <v/>
      </c>
      <c r="AU260" s="35" t="str">
        <f t="shared" si="77"/>
        <v/>
      </c>
      <c r="AV260" s="35" t="str">
        <f t="shared" si="78"/>
        <v/>
      </c>
      <c r="AW260" s="35" t="str">
        <f t="shared" si="79"/>
        <v/>
      </c>
      <c r="AX260" s="35" t="str">
        <f t="shared" si="80"/>
        <v/>
      </c>
      <c r="AY260" s="35" t="str">
        <f t="shared" si="81"/>
        <v/>
      </c>
      <c r="AZ260" s="35" t="str">
        <f t="shared" si="82"/>
        <v/>
      </c>
      <c r="BA260" s="35" t="str">
        <f t="shared" si="83"/>
        <v/>
      </c>
      <c r="BB260" s="35" t="str">
        <f t="shared" si="84"/>
        <v/>
      </c>
      <c r="BC260" s="35"/>
      <c r="BE260" s="35" t="e">
        <f>INDEX(SF_Output!$AA$2:$AA$400,MATCH($B260,SF_Output!$M$2:$M$400,0))</f>
        <v>#N/A</v>
      </c>
      <c r="BF260" s="35" t="e">
        <f>INDEX(SF_Output!$AB$2:$AB$400,MATCH($B260,SF_Output!$M$2:$M$400,0))</f>
        <v>#N/A</v>
      </c>
    </row>
    <row r="261" spans="6:58" x14ac:dyDescent="0.25">
      <c r="F261" s="116" t="str">
        <f t="shared" si="68"/>
        <v/>
      </c>
      <c r="G261" t="str">
        <f>IF(B261="","",INDEX(SF_Output!$K$1:$K$400,MATCH(B261,SF_Output!$M$1:$M$400,0)))</f>
        <v/>
      </c>
      <c r="H261" t="str" cm="1">
        <f t="array" ref="H261">_xlfn.IFS(B261="","",(SUMIFS(SF_Output!$F$1:$F$400,SF_Output!$AC$1:$AC$400,_xlfn.TEXTJOIN(",",TRUE,B261:E261))+SUMIFS(SF_Output!$G$1:$G$400,SF_Output!$AC$1:$AC$400,_xlfn.TEXTJOIN(",",TRUE,B261:E261)))&lt;&gt;0,SF_Output!$Y$2,INDEX(SF_Output!$F$1:$F$400,MATCH(_xlfn.TEXTJOIN(",",TRUE,B261:E261),SF_Output!$AC$1:$AC$400,0))=0,INDEX(SF_Output!$R$1:$R$400,MATCH(_xlfn.TEXTJOIN(",",TRUE,B261:E261),SF_Output!$AC$1:$AC$400,0)))</f>
        <v/>
      </c>
      <c r="I261" s="125" t="str">
        <f>IFERROR(IF(AND(H261&gt;1,H261&lt;&gt;""),ROUND(SUMIFS(SF_Output!$S$1:$S$400,SF_Output!$AC$1:$AC$400,_xlfn.TEXTJOIN(",",TRUE,B261:E261),SF_Output!$Q$1:$Q$400,"monthly")*(1-W261)/H261,4),""),"")</f>
        <v/>
      </c>
      <c r="J261" s="6" t="str">
        <f>IF(B261="","",SUMIFS(SF_Output!$S$1:$S$400,SF_Output!$AC$1:$AC$400,_xlfn.TEXTJOIN(",",TRUE,B261:E261),SF_Output!$Q$1:$Q$400,"One Time",SF_Output!$L$1:$L$400,"license fee")+SUMIFS(SF_Output!$S$1:$S$400,SF_Output!$AC$1:$AC$400,_xlfn.TEXTJOIN(",",TRUE,B261:E261),SF_Output!$Q$1:$Q$400,"One Time",SF_Output!$L$1:$L$400,"software license")+SUMIFS(SF_Output!$S$1:$S$400,SF_Output!$AC$1:$AC$400,_xlfn.TEXTJOIN(",",TRUE,B261:E261),SF_Output!$Q$1:$Q$400,"One Time",SF_Output!$L$1:$L$400,"hardware"))</f>
        <v/>
      </c>
      <c r="K261" s="112" t="str">
        <f>IF(OR(B261=0,B261="",G261="hardware",J261=0),"",IF(AF261&lt;&gt;"exclusion",MAX(K$9,-((SUMIFS(SF_Output!$T$1:$T$400,SF_Output!$AC$1:$AC$400,_xlfn.TEXTJOIN(",",TRUE,$B261:$E261),SF_Output!$Q$1:$Q$400,"One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license"))/J261)))</f>
        <v/>
      </c>
      <c r="L261" s="6" t="str">
        <f t="shared" si="69"/>
        <v/>
      </c>
      <c r="N261" s="6" t="str">
        <f>IF(B261="","",SUMIFS(SF_Output!$S$1:$S$400,SF_Output!$AC$1:$AC$400,_xlfn.TEXTJOIN(",",TRUE,B261:E261),SF_Output!$Q$1:$Q$400,"One Time",SF_Output!$L$1:$L$400,"professional service"))</f>
        <v/>
      </c>
      <c r="O261" s="112" t="str">
        <f>IF(OR(B261=0,B261="",N261=0),"",IF(AF261&lt;&gt;"exclusion",MAX(O$9,-(SUMIFS(SF_Output!$T$1:$T$400,SF_Output!$AC$1:$AC$400,_xlfn.TEXTJOIN(",",TRUE,$B261:$E261),SF_Output!$Q$1:$Q$400,"One Time",SF_Output!$L$1:$L$400,"professional service"))/N261),-((SUMIFS(SF_Output!$T$1:$T$400,SF_Output!$AC$1:$AC$400,_xlfn.TEXTJOIN(",",TRUE,$B261:$E261),SF_Output!$Q$1:$Q$400,"One Time",SF_Output!$L$1:$L$400,"professional service")/N261))))</f>
        <v/>
      </c>
      <c r="P261" s="6" t="str">
        <f t="shared" si="70"/>
        <v/>
      </c>
      <c r="R261" s="6" t="str">
        <f>IF(B261="","",SUMIFS(SF_Output!$S$1:$S$400,SF_Output!$AC$1:$AC$400,_xlfn.TEXTJOIN(",",TRUE,B261:E261),SF_Output!$Q$1:$Q$400,"yearly")+SUMIFS(SF_Output!$S$1:$S$400,SF_Output!$AC$1:$AC$400,_xlfn.TEXTJOIN(",",TRUE,B261:E261),SF_Output!$Q$1:$Q$400,"quarterly")*4)</f>
        <v/>
      </c>
      <c r="S261" s="112" t="str">
        <f>IF(OR(B261=0,B261="",G261="hardware",R261=0),"",IF(AF261&lt;&gt;"exclusion",MAX(S$9,-(SUMIFS(SF_Output!$T$1:$T$400,SF_Output!$AC$1:$AC$400,_xlfn.TEXTJOIN(",",TRUE,$B261:$E261),SF_Output!$Q$1:$Q$400,"yearly"))/R261),-((SUMIFS(SF_Output!$T$1:$T$400,SF_Output!$AC$1:$AC$400,_xlfn.TEXTJOIN(",",TRUE,$B261:$E261),SF_Output!$Q$1:$Q$400,"yearly")/R261))))</f>
        <v/>
      </c>
      <c r="T261" s="6" t="str">
        <f t="shared" si="71"/>
        <v/>
      </c>
      <c r="V261" s="6" t="str" cm="1">
        <f t="array" ref="V261">_xlfn.IFS(B261="","",AND(B261&lt;&gt;"",H261=SF_Output!$Y$2,SUMIFS(SF_Output!$T$1:$T$400,SF_Output!$AC$1:$AC$400,_xlfn.TEXTJOIN(",",TRUE,B261:E261),SF_Output!$Q$1:$Q$400,"monthly")=0),(SUMIFS(SF_Output!$F$1:$F$400,SF_Output!$AC$1:$AC$400,_xlfn.TEXTJOIN(",",TRUE,B261:E261),SF_Output!$Q$1:$Q$400,"monthly")+SUMIFS(SF_Output!$G$1:$G$400,SF_Output!$AC$1:$AC$400,_xlfn.TEXTJOIN(",",TRUE,B261:E261),SF_Output!$Q$1:$Q$400,"monthly"))*H261,AND(B261&lt;&gt;"",H261=SF_Output!$Y$2,SUMIFS(SF_Output!$T$1:$T$400,SF_Output!$AC$1:$AC$400,_xlfn.TEXTJOIN(",",TRUE,B261:E261),SF_Output!$Q$1:$Q$400,"monthly")&lt;&gt;0),SUMIFS(SF_Output!$S$1:$S$400,SF_Output!$AC$1:$AC$400,_xlfn.TEXTJOIN(",",TRUE,B261:E261),SF_Output!$Q$1:$Q$400,"monthly"),AND(B261&lt;&gt;"",H261&lt;&gt;SF_Output!$Y$2),SUMIFS(SF_Output!$S$1:$S$400,SF_Output!$AC$1:$AC$400,_xlfn.TEXTJOIN(",",TRUE,B261:E261),SF_Output!$Q$1:$Q$400,"monthly"))</f>
        <v/>
      </c>
      <c r="W261" s="112" t="str" cm="1">
        <f t="array" ref="W261">_xlfn.IFS(OR(B261=0,B261="",V261=0),"",AF261&lt;&gt;"exclusion",MAX($W$9,$W$7,(-(SUMIFS(SF_Output!$T$1:$T$400,SF_Output!$AC$1:$AC$400,_xlfn.TEXTJOIN(",",TRUE,$B261:$E261),SF_Output!$Q$1:$Q$400,"monthly"))/V261)),AF261="exclusion",-(SUMIFS(SF_Output!$T$1:$T$400,SF_Output!$AC$1:$AC$400,_xlfn.TEXTJOIN(",",TRUE,$B261:$E261),SF_Output!$Q$1:$Q$400,"monthly"))/V261)</f>
        <v/>
      </c>
      <c r="X261" s="6" t="str" cm="1">
        <f t="array" ref="X261">IFERROR(_xlfn.IFS(V261=0,0,V261="","",W261=0,V261,OR(V261&lt;&gt;0,V261&lt;&gt;""),H261*I261),V261*(1-W261))</f>
        <v/>
      </c>
      <c r="Z261" s="6" t="str">
        <f>IFERROR(IF(B261="","",SUMIFS(Billing_Fallout!H:H,Billing_Fallout!N:N,B261)),0)</f>
        <v/>
      </c>
      <c r="AA261" s="6" t="str">
        <f t="shared" si="72"/>
        <v/>
      </c>
      <c r="AB261" s="6" t="str">
        <f>IFERROR(IF(B261="","",SUMIFS(Billing_Fallout!J:J,Billing_Fallout!N:N,B261)),0)</f>
        <v/>
      </c>
      <c r="AD261" s="6" t="str">
        <f t="shared" si="73"/>
        <v/>
      </c>
      <c r="AF261" t="str">
        <f>IFERROR(INDEX(H_Tables!$B$1:$B$1500,MATCH(INDEX(SF_Output!$J$1:$J$400,MATCH(B261,SF_Output!$M$1:$M$400,0)),H_Tables!$A$1:$A$1500,0)),"")</f>
        <v/>
      </c>
      <c r="AI261" s="119" t="str">
        <f t="shared" si="74"/>
        <v/>
      </c>
      <c r="AJ261" s="121">
        <f>IFERROR(INDEX(SF_Output!AD:AD,MATCH(_xlfn.TEXTJOIN(",",TRUE,B261:E261),SF_Output!AC12:AC411,0)),0.05)</f>
        <v>230</v>
      </c>
      <c r="AK261" t="str">
        <f>IF(SUMIFS(SF_Output!$F$1:$F$400,SF_Output!$AC$1:$AC$400,_xlfn.TEXTJOIN(",",TRUE,B261:E261))+SUMIFS(SF_Output!$G$1:$G$400,SF_Output!$AC$1:$AC$400,_xlfn.TEXTJOIN(",",TRUE,B261:E261))=0,"","PAP")</f>
        <v/>
      </c>
      <c r="AQ261" s="35"/>
      <c r="AR261" s="35" t="str" cm="1">
        <f t="array" ref="AR261">IFERROR(_xlfn.IFS(AND(E261*1=1,F261="Included"),"Change to Included",AND(E261*1=0,F261="Optional"),"Change to Optional",OR(B261="",F261="replaced"),""),"")</f>
        <v/>
      </c>
      <c r="AS261" s="35" t="str">
        <f t="shared" si="75"/>
        <v/>
      </c>
      <c r="AT261" s="35" t="str">
        <f t="shared" si="76"/>
        <v/>
      </c>
      <c r="AU261" s="35" t="str">
        <f t="shared" si="77"/>
        <v/>
      </c>
      <c r="AV261" s="35" t="str">
        <f t="shared" si="78"/>
        <v/>
      </c>
      <c r="AW261" s="35" t="str">
        <f t="shared" si="79"/>
        <v/>
      </c>
      <c r="AX261" s="35" t="str">
        <f t="shared" si="80"/>
        <v/>
      </c>
      <c r="AY261" s="35" t="str">
        <f t="shared" si="81"/>
        <v/>
      </c>
      <c r="AZ261" s="35" t="str">
        <f t="shared" si="82"/>
        <v/>
      </c>
      <c r="BA261" s="35" t="str">
        <f t="shared" si="83"/>
        <v/>
      </c>
      <c r="BB261" s="35" t="str">
        <f t="shared" si="84"/>
        <v/>
      </c>
      <c r="BC261" s="35"/>
      <c r="BE261" s="35" t="e">
        <f>INDEX(SF_Output!$AA$2:$AA$400,MATCH($B261,SF_Output!$M$2:$M$400,0))</f>
        <v>#N/A</v>
      </c>
      <c r="BF261" s="35" t="e">
        <f>INDEX(SF_Output!$AB$2:$AB$400,MATCH($B261,SF_Output!$M$2:$M$400,0))</f>
        <v>#N/A</v>
      </c>
    </row>
    <row r="262" spans="6:58" x14ac:dyDescent="0.25">
      <c r="F262" s="116" t="str">
        <f t="shared" si="68"/>
        <v/>
      </c>
      <c r="G262" t="str">
        <f>IF(B262="","",INDEX(SF_Output!$K$1:$K$400,MATCH(B262,SF_Output!$M$1:$M$400,0)))</f>
        <v/>
      </c>
      <c r="H262" t="str" cm="1">
        <f t="array" ref="H262">_xlfn.IFS(B262="","",(SUMIFS(SF_Output!$F$1:$F$400,SF_Output!$AC$1:$AC$400,_xlfn.TEXTJOIN(",",TRUE,B262:E262))+SUMIFS(SF_Output!$G$1:$G$400,SF_Output!$AC$1:$AC$400,_xlfn.TEXTJOIN(",",TRUE,B262:E262)))&lt;&gt;0,SF_Output!$Y$2,INDEX(SF_Output!$F$1:$F$400,MATCH(_xlfn.TEXTJOIN(",",TRUE,B262:E262),SF_Output!$AC$1:$AC$400,0))=0,INDEX(SF_Output!$R$1:$R$400,MATCH(_xlfn.TEXTJOIN(",",TRUE,B262:E262),SF_Output!$AC$1:$AC$400,0)))</f>
        <v/>
      </c>
      <c r="I262" s="125" t="str">
        <f>IFERROR(IF(AND(H262&gt;1,H262&lt;&gt;""),ROUND(SUMIFS(SF_Output!$S$1:$S$400,SF_Output!$AC$1:$AC$400,_xlfn.TEXTJOIN(",",TRUE,B262:E262),SF_Output!$Q$1:$Q$400,"monthly")*(1-W262)/H262,4),""),"")</f>
        <v/>
      </c>
      <c r="J262" s="6" t="str">
        <f>IF(B262="","",SUMIFS(SF_Output!$S$1:$S$400,SF_Output!$AC$1:$AC$400,_xlfn.TEXTJOIN(",",TRUE,B262:E262),SF_Output!$Q$1:$Q$400,"One Time",SF_Output!$L$1:$L$400,"license fee")+SUMIFS(SF_Output!$S$1:$S$400,SF_Output!$AC$1:$AC$400,_xlfn.TEXTJOIN(",",TRUE,B262:E262),SF_Output!$Q$1:$Q$400,"One Time",SF_Output!$L$1:$L$400,"software license")+SUMIFS(SF_Output!$S$1:$S$400,SF_Output!$AC$1:$AC$400,_xlfn.TEXTJOIN(",",TRUE,B262:E262),SF_Output!$Q$1:$Q$400,"One Time",SF_Output!$L$1:$L$400,"hardware"))</f>
        <v/>
      </c>
      <c r="K262" s="112" t="str">
        <f>IF(OR(B262=0,B262="",G262="hardware",J262=0),"",IF(AF262&lt;&gt;"exclusion",MAX(K$9,-((SUMIFS(SF_Output!$T$1:$T$400,SF_Output!$AC$1:$AC$400,_xlfn.TEXTJOIN(",",TRUE,$B262:$E262),SF_Output!$Q$1:$Q$400,"One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license"))/J262)))</f>
        <v/>
      </c>
      <c r="L262" s="6" t="str">
        <f t="shared" si="69"/>
        <v/>
      </c>
      <c r="N262" s="6" t="str">
        <f>IF(B262="","",SUMIFS(SF_Output!$S$1:$S$400,SF_Output!$AC$1:$AC$400,_xlfn.TEXTJOIN(",",TRUE,B262:E262),SF_Output!$Q$1:$Q$400,"One Time",SF_Output!$L$1:$L$400,"professional service"))</f>
        <v/>
      </c>
      <c r="O262" s="112" t="str">
        <f>IF(OR(B262=0,B262="",N262=0),"",IF(AF262&lt;&gt;"exclusion",MAX(O$9,-(SUMIFS(SF_Output!$T$1:$T$400,SF_Output!$AC$1:$AC$400,_xlfn.TEXTJOIN(",",TRUE,$B262:$E262),SF_Output!$Q$1:$Q$400,"One Time",SF_Output!$L$1:$L$400,"professional service"))/N262),-((SUMIFS(SF_Output!$T$1:$T$400,SF_Output!$AC$1:$AC$400,_xlfn.TEXTJOIN(",",TRUE,$B262:$E262),SF_Output!$Q$1:$Q$400,"One Time",SF_Output!$L$1:$L$400,"professional service")/N262))))</f>
        <v/>
      </c>
      <c r="P262" s="6" t="str">
        <f t="shared" si="70"/>
        <v/>
      </c>
      <c r="R262" s="6" t="str">
        <f>IF(B262="","",SUMIFS(SF_Output!$S$1:$S$400,SF_Output!$AC$1:$AC$400,_xlfn.TEXTJOIN(",",TRUE,B262:E262),SF_Output!$Q$1:$Q$400,"yearly")+SUMIFS(SF_Output!$S$1:$S$400,SF_Output!$AC$1:$AC$400,_xlfn.TEXTJOIN(",",TRUE,B262:E262),SF_Output!$Q$1:$Q$400,"quarterly")*4)</f>
        <v/>
      </c>
      <c r="S262" s="112" t="str">
        <f>IF(OR(B262=0,B262="",G262="hardware",R262=0),"",IF(AF262&lt;&gt;"exclusion",MAX(S$9,-(SUMIFS(SF_Output!$T$1:$T$400,SF_Output!$AC$1:$AC$400,_xlfn.TEXTJOIN(",",TRUE,$B262:$E262),SF_Output!$Q$1:$Q$400,"yearly"))/R262),-((SUMIFS(SF_Output!$T$1:$T$400,SF_Output!$AC$1:$AC$400,_xlfn.TEXTJOIN(",",TRUE,$B262:$E262),SF_Output!$Q$1:$Q$400,"yearly")/R262))))</f>
        <v/>
      </c>
      <c r="T262" s="6" t="str">
        <f t="shared" si="71"/>
        <v/>
      </c>
      <c r="V262" s="6" t="str" cm="1">
        <f t="array" ref="V262">_xlfn.IFS(B262="","",AND(B262&lt;&gt;"",H262=SF_Output!$Y$2,SUMIFS(SF_Output!$T$1:$T$400,SF_Output!$AC$1:$AC$400,_xlfn.TEXTJOIN(",",TRUE,B262:E262),SF_Output!$Q$1:$Q$400,"monthly")=0),(SUMIFS(SF_Output!$F$1:$F$400,SF_Output!$AC$1:$AC$400,_xlfn.TEXTJOIN(",",TRUE,B262:E262),SF_Output!$Q$1:$Q$400,"monthly")+SUMIFS(SF_Output!$G$1:$G$400,SF_Output!$AC$1:$AC$400,_xlfn.TEXTJOIN(",",TRUE,B262:E262),SF_Output!$Q$1:$Q$400,"monthly"))*H262,AND(B262&lt;&gt;"",H262=SF_Output!$Y$2,SUMIFS(SF_Output!$T$1:$T$400,SF_Output!$AC$1:$AC$400,_xlfn.TEXTJOIN(",",TRUE,B262:E262),SF_Output!$Q$1:$Q$400,"monthly")&lt;&gt;0),SUMIFS(SF_Output!$S$1:$S$400,SF_Output!$AC$1:$AC$400,_xlfn.TEXTJOIN(",",TRUE,B262:E262),SF_Output!$Q$1:$Q$400,"monthly"),AND(B262&lt;&gt;"",H262&lt;&gt;SF_Output!$Y$2),SUMIFS(SF_Output!$S$1:$S$400,SF_Output!$AC$1:$AC$400,_xlfn.TEXTJOIN(",",TRUE,B262:E262),SF_Output!$Q$1:$Q$400,"monthly"))</f>
        <v/>
      </c>
      <c r="W262" s="112" t="str" cm="1">
        <f t="array" ref="W262">_xlfn.IFS(OR(B262=0,B262="",V262=0),"",AF262&lt;&gt;"exclusion",MAX($W$9,$W$7,(-(SUMIFS(SF_Output!$T$1:$T$400,SF_Output!$AC$1:$AC$400,_xlfn.TEXTJOIN(",",TRUE,$B262:$E262),SF_Output!$Q$1:$Q$400,"monthly"))/V262)),AF262="exclusion",-(SUMIFS(SF_Output!$T$1:$T$400,SF_Output!$AC$1:$AC$400,_xlfn.TEXTJOIN(",",TRUE,$B262:$E262),SF_Output!$Q$1:$Q$400,"monthly"))/V262)</f>
        <v/>
      </c>
      <c r="X262" s="6" t="str" cm="1">
        <f t="array" ref="X262">IFERROR(_xlfn.IFS(V262=0,0,V262="","",W262=0,V262,OR(V262&lt;&gt;0,V262&lt;&gt;""),H262*I262),V262*(1-W262))</f>
        <v/>
      </c>
      <c r="Z262" s="6" t="str">
        <f>IFERROR(IF(B262="","",SUMIFS(Billing_Fallout!H:H,Billing_Fallout!N:N,B262)),0)</f>
        <v/>
      </c>
      <c r="AA262" s="6" t="str">
        <f t="shared" si="72"/>
        <v/>
      </c>
      <c r="AB262" s="6" t="str">
        <f>IFERROR(IF(B262="","",SUMIFS(Billing_Fallout!J:J,Billing_Fallout!N:N,B262)),0)</f>
        <v/>
      </c>
      <c r="AD262" s="6" t="str">
        <f t="shared" si="73"/>
        <v/>
      </c>
      <c r="AF262" t="str">
        <f>IFERROR(INDEX(H_Tables!$B$1:$B$1500,MATCH(INDEX(SF_Output!$J$1:$J$400,MATCH(B262,SF_Output!$M$1:$M$400,0)),H_Tables!$A$1:$A$1500,0)),"")</f>
        <v/>
      </c>
      <c r="AI262" s="119" t="str">
        <f t="shared" si="74"/>
        <v/>
      </c>
      <c r="AJ262" s="121">
        <f>IFERROR(INDEX(SF_Output!AD:AD,MATCH(_xlfn.TEXTJOIN(",",TRUE,B262:E262),SF_Output!AC13:AC412,0)),0.05)</f>
        <v>229</v>
      </c>
      <c r="AK262" t="str">
        <f>IF(SUMIFS(SF_Output!$F$1:$F$400,SF_Output!$AC$1:$AC$400,_xlfn.TEXTJOIN(",",TRUE,B262:E262))+SUMIFS(SF_Output!$G$1:$G$400,SF_Output!$AC$1:$AC$400,_xlfn.TEXTJOIN(",",TRUE,B262:E262))=0,"","PAP")</f>
        <v/>
      </c>
      <c r="AQ262" s="35"/>
      <c r="AR262" s="35" t="str" cm="1">
        <f t="array" ref="AR262">IFERROR(_xlfn.IFS(AND(E262*1=1,F262="Included"),"Change to Included",AND(E262*1=0,F262="Optional"),"Change to Optional",OR(B262="",F262="replaced"),""),"")</f>
        <v/>
      </c>
      <c r="AS262" s="35" t="str">
        <f t="shared" si="75"/>
        <v/>
      </c>
      <c r="AT262" s="35" t="str">
        <f t="shared" si="76"/>
        <v/>
      </c>
      <c r="AU262" s="35" t="str">
        <f t="shared" si="77"/>
        <v/>
      </c>
      <c r="AV262" s="35" t="str">
        <f t="shared" si="78"/>
        <v/>
      </c>
      <c r="AW262" s="35" t="str">
        <f t="shared" si="79"/>
        <v/>
      </c>
      <c r="AX262" s="35" t="str">
        <f t="shared" si="80"/>
        <v/>
      </c>
      <c r="AY262" s="35" t="str">
        <f t="shared" si="81"/>
        <v/>
      </c>
      <c r="AZ262" s="35" t="str">
        <f t="shared" si="82"/>
        <v/>
      </c>
      <c r="BA262" s="35" t="str">
        <f t="shared" si="83"/>
        <v/>
      </c>
      <c r="BB262" s="35" t="str">
        <f t="shared" si="84"/>
        <v/>
      </c>
      <c r="BC262" s="35"/>
      <c r="BE262" s="35" t="e">
        <f>INDEX(SF_Output!$AA$2:$AA$400,MATCH($B262,SF_Output!$M$2:$M$400,0))</f>
        <v>#N/A</v>
      </c>
      <c r="BF262" s="35" t="e">
        <f>INDEX(SF_Output!$AB$2:$AB$400,MATCH($B262,SF_Output!$M$2:$M$400,0))</f>
        <v>#N/A</v>
      </c>
    </row>
    <row r="263" spans="6:58" x14ac:dyDescent="0.25">
      <c r="F263" s="116" t="str">
        <f t="shared" si="68"/>
        <v/>
      </c>
      <c r="G263" t="str">
        <f>IF(B263="","",INDEX(SF_Output!$K$1:$K$400,MATCH(B263,SF_Output!$M$1:$M$400,0)))</f>
        <v/>
      </c>
      <c r="H263" t="str" cm="1">
        <f t="array" ref="H263">_xlfn.IFS(B263="","",(SUMIFS(SF_Output!$F$1:$F$400,SF_Output!$AC$1:$AC$400,_xlfn.TEXTJOIN(",",TRUE,B263:E263))+SUMIFS(SF_Output!$G$1:$G$400,SF_Output!$AC$1:$AC$400,_xlfn.TEXTJOIN(",",TRUE,B263:E263)))&lt;&gt;0,SF_Output!$Y$2,INDEX(SF_Output!$F$1:$F$400,MATCH(_xlfn.TEXTJOIN(",",TRUE,B263:E263),SF_Output!$AC$1:$AC$400,0))=0,INDEX(SF_Output!$R$1:$R$400,MATCH(_xlfn.TEXTJOIN(",",TRUE,B263:E263),SF_Output!$AC$1:$AC$400,0)))</f>
        <v/>
      </c>
      <c r="I263" s="125" t="str">
        <f>IFERROR(IF(AND(H263&gt;1,H263&lt;&gt;""),ROUND(SUMIFS(SF_Output!$S$1:$S$400,SF_Output!$AC$1:$AC$400,_xlfn.TEXTJOIN(",",TRUE,B263:E263),SF_Output!$Q$1:$Q$400,"monthly")*(1-W263)/H263,4),""),"")</f>
        <v/>
      </c>
      <c r="J263" s="6" t="str">
        <f>IF(B263="","",SUMIFS(SF_Output!$S$1:$S$400,SF_Output!$AC$1:$AC$400,_xlfn.TEXTJOIN(",",TRUE,B263:E263),SF_Output!$Q$1:$Q$400,"One Time",SF_Output!$L$1:$L$400,"license fee")+SUMIFS(SF_Output!$S$1:$S$400,SF_Output!$AC$1:$AC$400,_xlfn.TEXTJOIN(",",TRUE,B263:E263),SF_Output!$Q$1:$Q$400,"One Time",SF_Output!$L$1:$L$400,"software license")+SUMIFS(SF_Output!$S$1:$S$400,SF_Output!$AC$1:$AC$400,_xlfn.TEXTJOIN(",",TRUE,B263:E263),SF_Output!$Q$1:$Q$400,"One Time",SF_Output!$L$1:$L$400,"hardware"))</f>
        <v/>
      </c>
      <c r="K263" s="112" t="str">
        <f>IF(OR(B263=0,B263="",G263="hardware",J263=0),"",IF(AF263&lt;&gt;"exclusion",MAX(K$9,-((SUMIFS(SF_Output!$T$1:$T$400,SF_Output!$AC$1:$AC$400,_xlfn.TEXTJOIN(",",TRUE,$B263:$E263),SF_Output!$Q$1:$Q$400,"One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license"))/J263)))</f>
        <v/>
      </c>
      <c r="L263" s="6" t="str">
        <f t="shared" si="69"/>
        <v/>
      </c>
      <c r="N263" s="6" t="str">
        <f>IF(B263="","",SUMIFS(SF_Output!$S$1:$S$400,SF_Output!$AC$1:$AC$400,_xlfn.TEXTJOIN(",",TRUE,B263:E263),SF_Output!$Q$1:$Q$400,"One Time",SF_Output!$L$1:$L$400,"professional service"))</f>
        <v/>
      </c>
      <c r="O263" s="112" t="str">
        <f>IF(OR(B263=0,B263="",N263=0),"",IF(AF263&lt;&gt;"exclusion",MAX(O$9,-(SUMIFS(SF_Output!$T$1:$T$400,SF_Output!$AC$1:$AC$400,_xlfn.TEXTJOIN(",",TRUE,$B263:$E263),SF_Output!$Q$1:$Q$400,"One Time",SF_Output!$L$1:$L$400,"professional service"))/N263),-((SUMIFS(SF_Output!$T$1:$T$400,SF_Output!$AC$1:$AC$400,_xlfn.TEXTJOIN(",",TRUE,$B263:$E263),SF_Output!$Q$1:$Q$400,"One Time",SF_Output!$L$1:$L$400,"professional service")/N263))))</f>
        <v/>
      </c>
      <c r="P263" s="6" t="str">
        <f t="shared" si="70"/>
        <v/>
      </c>
      <c r="R263" s="6" t="str">
        <f>IF(B263="","",SUMIFS(SF_Output!$S$1:$S$400,SF_Output!$AC$1:$AC$400,_xlfn.TEXTJOIN(",",TRUE,B263:E263),SF_Output!$Q$1:$Q$400,"yearly")+SUMIFS(SF_Output!$S$1:$S$400,SF_Output!$AC$1:$AC$400,_xlfn.TEXTJOIN(",",TRUE,B263:E263),SF_Output!$Q$1:$Q$400,"quarterly")*4)</f>
        <v/>
      </c>
      <c r="S263" s="112" t="str">
        <f>IF(OR(B263=0,B263="",G263="hardware",R263=0),"",IF(AF263&lt;&gt;"exclusion",MAX(S$9,-(SUMIFS(SF_Output!$T$1:$T$400,SF_Output!$AC$1:$AC$400,_xlfn.TEXTJOIN(",",TRUE,$B263:$E263),SF_Output!$Q$1:$Q$400,"yearly"))/R263),-((SUMIFS(SF_Output!$T$1:$T$400,SF_Output!$AC$1:$AC$400,_xlfn.TEXTJOIN(",",TRUE,$B263:$E263),SF_Output!$Q$1:$Q$400,"yearly")/R263))))</f>
        <v/>
      </c>
      <c r="T263" s="6" t="str">
        <f t="shared" si="71"/>
        <v/>
      </c>
      <c r="V263" s="6" t="str" cm="1">
        <f t="array" ref="V263">_xlfn.IFS(B263="","",AND(B263&lt;&gt;"",H263=SF_Output!$Y$2,SUMIFS(SF_Output!$T$1:$T$400,SF_Output!$AC$1:$AC$400,_xlfn.TEXTJOIN(",",TRUE,B263:E263),SF_Output!$Q$1:$Q$400,"monthly")=0),(SUMIFS(SF_Output!$F$1:$F$400,SF_Output!$AC$1:$AC$400,_xlfn.TEXTJOIN(",",TRUE,B263:E263),SF_Output!$Q$1:$Q$400,"monthly")+SUMIFS(SF_Output!$G$1:$G$400,SF_Output!$AC$1:$AC$400,_xlfn.TEXTJOIN(",",TRUE,B263:E263),SF_Output!$Q$1:$Q$400,"monthly"))*H263,AND(B263&lt;&gt;"",H263=SF_Output!$Y$2,SUMIFS(SF_Output!$T$1:$T$400,SF_Output!$AC$1:$AC$400,_xlfn.TEXTJOIN(",",TRUE,B263:E263),SF_Output!$Q$1:$Q$400,"monthly")&lt;&gt;0),SUMIFS(SF_Output!$S$1:$S$400,SF_Output!$AC$1:$AC$400,_xlfn.TEXTJOIN(",",TRUE,B263:E263),SF_Output!$Q$1:$Q$400,"monthly"),AND(B263&lt;&gt;"",H263&lt;&gt;SF_Output!$Y$2),SUMIFS(SF_Output!$S$1:$S$400,SF_Output!$AC$1:$AC$400,_xlfn.TEXTJOIN(",",TRUE,B263:E263),SF_Output!$Q$1:$Q$400,"monthly"))</f>
        <v/>
      </c>
      <c r="W263" s="112" t="str" cm="1">
        <f t="array" ref="W263">_xlfn.IFS(OR(B263=0,B263="",V263=0),"",AF263&lt;&gt;"exclusion",MAX($W$9,$W$7,(-(SUMIFS(SF_Output!$T$1:$T$400,SF_Output!$AC$1:$AC$400,_xlfn.TEXTJOIN(",",TRUE,$B263:$E263),SF_Output!$Q$1:$Q$400,"monthly"))/V263)),AF263="exclusion",-(SUMIFS(SF_Output!$T$1:$T$400,SF_Output!$AC$1:$AC$400,_xlfn.TEXTJOIN(",",TRUE,$B263:$E263),SF_Output!$Q$1:$Q$400,"monthly"))/V263)</f>
        <v/>
      </c>
      <c r="X263" s="6" t="str" cm="1">
        <f t="array" ref="X263">IFERROR(_xlfn.IFS(V263=0,0,V263="","",W263=0,V263,OR(V263&lt;&gt;0,V263&lt;&gt;""),H263*I263),V263*(1-W263))</f>
        <v/>
      </c>
      <c r="Z263" s="6" t="str">
        <f>IFERROR(IF(B263="","",SUMIFS(Billing_Fallout!H:H,Billing_Fallout!N:N,B263)),0)</f>
        <v/>
      </c>
      <c r="AA263" s="6" t="str">
        <f t="shared" si="72"/>
        <v/>
      </c>
      <c r="AB263" s="6" t="str">
        <f>IFERROR(IF(B263="","",SUMIFS(Billing_Fallout!J:J,Billing_Fallout!N:N,B263)),0)</f>
        <v/>
      </c>
      <c r="AD263" s="6" t="str">
        <f t="shared" si="73"/>
        <v/>
      </c>
      <c r="AF263" t="str">
        <f>IFERROR(INDEX(H_Tables!$B$1:$B$1500,MATCH(INDEX(SF_Output!$J$1:$J$400,MATCH(B263,SF_Output!$M$1:$M$400,0)),H_Tables!$A$1:$A$1500,0)),"")</f>
        <v/>
      </c>
      <c r="AI263" s="119" t="str">
        <f t="shared" si="74"/>
        <v/>
      </c>
      <c r="AJ263" s="121">
        <f>IFERROR(INDEX(SF_Output!AD:AD,MATCH(_xlfn.TEXTJOIN(",",TRUE,B263:E263),SF_Output!AC14:AC413,0)),0.05)</f>
        <v>228</v>
      </c>
      <c r="AK263" t="str">
        <f>IF(SUMIFS(SF_Output!$F$1:$F$400,SF_Output!$AC$1:$AC$400,_xlfn.TEXTJOIN(",",TRUE,B263:E263))+SUMIFS(SF_Output!$G$1:$G$400,SF_Output!$AC$1:$AC$400,_xlfn.TEXTJOIN(",",TRUE,B263:E263))=0,"","PAP")</f>
        <v/>
      </c>
      <c r="AQ263" s="35"/>
      <c r="AR263" s="35" t="str" cm="1">
        <f t="array" ref="AR263">IFERROR(_xlfn.IFS(AND(E263*1=1,F263="Included"),"Change to Included",AND(E263*1=0,F263="Optional"),"Change to Optional",OR(B263="",F263="replaced"),""),"")</f>
        <v/>
      </c>
      <c r="AS263" s="35" t="str">
        <f t="shared" si="75"/>
        <v/>
      </c>
      <c r="AT263" s="35" t="str">
        <f t="shared" si="76"/>
        <v/>
      </c>
      <c r="AU263" s="35" t="str">
        <f t="shared" si="77"/>
        <v/>
      </c>
      <c r="AV263" s="35" t="str">
        <f t="shared" si="78"/>
        <v/>
      </c>
      <c r="AW263" s="35" t="str">
        <f t="shared" si="79"/>
        <v/>
      </c>
      <c r="AX263" s="35" t="str">
        <f t="shared" si="80"/>
        <v/>
      </c>
      <c r="AY263" s="35" t="str">
        <f t="shared" si="81"/>
        <v/>
      </c>
      <c r="AZ263" s="35" t="str">
        <f t="shared" si="82"/>
        <v/>
      </c>
      <c r="BA263" s="35" t="str">
        <f t="shared" si="83"/>
        <v/>
      </c>
      <c r="BB263" s="35" t="str">
        <f t="shared" si="84"/>
        <v/>
      </c>
      <c r="BC263" s="35"/>
      <c r="BE263" s="35" t="e">
        <f>INDEX(SF_Output!$AA$2:$AA$400,MATCH($B263,SF_Output!$M$2:$M$400,0))</f>
        <v>#N/A</v>
      </c>
      <c r="BF263" s="35" t="e">
        <f>INDEX(SF_Output!$AB$2:$AB$400,MATCH($B263,SF_Output!$M$2:$M$400,0))</f>
        <v>#N/A</v>
      </c>
    </row>
    <row r="264" spans="6:58" x14ac:dyDescent="0.25">
      <c r="F264" s="116" t="str">
        <f t="shared" si="68"/>
        <v/>
      </c>
      <c r="G264" t="str">
        <f>IF(B264="","",INDEX(SF_Output!$K$1:$K$400,MATCH(B264,SF_Output!$M$1:$M$400,0)))</f>
        <v/>
      </c>
      <c r="H264" t="str" cm="1">
        <f t="array" ref="H264">_xlfn.IFS(B264="","",(SUMIFS(SF_Output!$F$1:$F$400,SF_Output!$AC$1:$AC$400,_xlfn.TEXTJOIN(",",TRUE,B264:E264))+SUMIFS(SF_Output!$G$1:$G$400,SF_Output!$AC$1:$AC$400,_xlfn.TEXTJOIN(",",TRUE,B264:E264)))&lt;&gt;0,SF_Output!$Y$2,INDEX(SF_Output!$F$1:$F$400,MATCH(_xlfn.TEXTJOIN(",",TRUE,B264:E264),SF_Output!$AC$1:$AC$400,0))=0,INDEX(SF_Output!$R$1:$R$400,MATCH(_xlfn.TEXTJOIN(",",TRUE,B264:E264),SF_Output!$AC$1:$AC$400,0)))</f>
        <v/>
      </c>
      <c r="I264" s="125" t="str">
        <f>IFERROR(IF(AND(H264&gt;1,H264&lt;&gt;""),ROUND(SUMIFS(SF_Output!$S$1:$S$400,SF_Output!$AC$1:$AC$400,_xlfn.TEXTJOIN(",",TRUE,B264:E264),SF_Output!$Q$1:$Q$400,"monthly")*(1-W264)/H264,4),""),"")</f>
        <v/>
      </c>
      <c r="J264" s="6" t="str">
        <f>IF(B264="","",SUMIFS(SF_Output!$S$1:$S$400,SF_Output!$AC$1:$AC$400,_xlfn.TEXTJOIN(",",TRUE,B264:E264),SF_Output!$Q$1:$Q$400,"One Time",SF_Output!$L$1:$L$400,"license fee")+SUMIFS(SF_Output!$S$1:$S$400,SF_Output!$AC$1:$AC$400,_xlfn.TEXTJOIN(",",TRUE,B264:E264),SF_Output!$Q$1:$Q$400,"One Time",SF_Output!$L$1:$L$400,"software license")+SUMIFS(SF_Output!$S$1:$S$400,SF_Output!$AC$1:$AC$400,_xlfn.TEXTJOIN(",",TRUE,B264:E264),SF_Output!$Q$1:$Q$400,"One Time",SF_Output!$L$1:$L$400,"hardware"))</f>
        <v/>
      </c>
      <c r="K264" s="112" t="str">
        <f>IF(OR(B264=0,B264="",G264="hardware",J264=0),"",IF(AF264&lt;&gt;"exclusion",MAX(K$9,-((SUMIFS(SF_Output!$T$1:$T$400,SF_Output!$AC$1:$AC$400,_xlfn.TEXTJOIN(",",TRUE,$B264:$E264),SF_Output!$Q$1:$Q$400,"One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license"))/J264)))</f>
        <v/>
      </c>
      <c r="L264" s="6" t="str">
        <f t="shared" si="69"/>
        <v/>
      </c>
      <c r="N264" s="6" t="str">
        <f>IF(B264="","",SUMIFS(SF_Output!$S$1:$S$400,SF_Output!$AC$1:$AC$400,_xlfn.TEXTJOIN(",",TRUE,B264:E264),SF_Output!$Q$1:$Q$400,"One Time",SF_Output!$L$1:$L$400,"professional service"))</f>
        <v/>
      </c>
      <c r="O264" s="112" t="str">
        <f>IF(OR(B264=0,B264="",N264=0),"",IF(AF264&lt;&gt;"exclusion",MAX(O$9,-(SUMIFS(SF_Output!$T$1:$T$400,SF_Output!$AC$1:$AC$400,_xlfn.TEXTJOIN(",",TRUE,$B264:$E264),SF_Output!$Q$1:$Q$400,"One Time",SF_Output!$L$1:$L$400,"professional service"))/N264),-((SUMIFS(SF_Output!$T$1:$T$400,SF_Output!$AC$1:$AC$400,_xlfn.TEXTJOIN(",",TRUE,$B264:$E264),SF_Output!$Q$1:$Q$400,"One Time",SF_Output!$L$1:$L$400,"professional service")/N264))))</f>
        <v/>
      </c>
      <c r="P264" s="6" t="str">
        <f t="shared" si="70"/>
        <v/>
      </c>
      <c r="R264" s="6" t="str">
        <f>IF(B264="","",SUMIFS(SF_Output!$S$1:$S$400,SF_Output!$AC$1:$AC$400,_xlfn.TEXTJOIN(",",TRUE,B264:E264),SF_Output!$Q$1:$Q$400,"yearly")+SUMIFS(SF_Output!$S$1:$S$400,SF_Output!$AC$1:$AC$400,_xlfn.TEXTJOIN(",",TRUE,B264:E264),SF_Output!$Q$1:$Q$400,"quarterly")*4)</f>
        <v/>
      </c>
      <c r="S264" s="112" t="str">
        <f>IF(OR(B264=0,B264="",G264="hardware",R264=0),"",IF(AF264&lt;&gt;"exclusion",MAX(S$9,-(SUMIFS(SF_Output!$T$1:$T$400,SF_Output!$AC$1:$AC$400,_xlfn.TEXTJOIN(",",TRUE,$B264:$E264),SF_Output!$Q$1:$Q$400,"yearly"))/R264),-((SUMIFS(SF_Output!$T$1:$T$400,SF_Output!$AC$1:$AC$400,_xlfn.TEXTJOIN(",",TRUE,$B264:$E264),SF_Output!$Q$1:$Q$400,"yearly")/R264))))</f>
        <v/>
      </c>
      <c r="T264" s="6" t="str">
        <f t="shared" si="71"/>
        <v/>
      </c>
      <c r="V264" s="6" t="str" cm="1">
        <f t="array" ref="V264">_xlfn.IFS(B264="","",AND(B264&lt;&gt;"",H264=SF_Output!$Y$2,SUMIFS(SF_Output!$T$1:$T$400,SF_Output!$AC$1:$AC$400,_xlfn.TEXTJOIN(",",TRUE,B264:E264),SF_Output!$Q$1:$Q$400,"monthly")=0),(SUMIFS(SF_Output!$F$1:$F$400,SF_Output!$AC$1:$AC$400,_xlfn.TEXTJOIN(",",TRUE,B264:E264),SF_Output!$Q$1:$Q$400,"monthly")+SUMIFS(SF_Output!$G$1:$G$400,SF_Output!$AC$1:$AC$400,_xlfn.TEXTJOIN(",",TRUE,B264:E264),SF_Output!$Q$1:$Q$400,"monthly"))*H264,AND(B264&lt;&gt;"",H264=SF_Output!$Y$2,SUMIFS(SF_Output!$T$1:$T$400,SF_Output!$AC$1:$AC$400,_xlfn.TEXTJOIN(",",TRUE,B264:E264),SF_Output!$Q$1:$Q$400,"monthly")&lt;&gt;0),SUMIFS(SF_Output!$S$1:$S$400,SF_Output!$AC$1:$AC$400,_xlfn.TEXTJOIN(",",TRUE,B264:E264),SF_Output!$Q$1:$Q$400,"monthly"),AND(B264&lt;&gt;"",H264&lt;&gt;SF_Output!$Y$2),SUMIFS(SF_Output!$S$1:$S$400,SF_Output!$AC$1:$AC$400,_xlfn.TEXTJOIN(",",TRUE,B264:E264),SF_Output!$Q$1:$Q$400,"monthly"))</f>
        <v/>
      </c>
      <c r="W264" s="112" t="str" cm="1">
        <f t="array" ref="W264">_xlfn.IFS(OR(B264=0,B264="",V264=0),"",AF264&lt;&gt;"exclusion",MAX($W$9,$W$7,(-(SUMIFS(SF_Output!$T$1:$T$400,SF_Output!$AC$1:$AC$400,_xlfn.TEXTJOIN(",",TRUE,$B264:$E264),SF_Output!$Q$1:$Q$400,"monthly"))/V264)),AF264="exclusion",-(SUMIFS(SF_Output!$T$1:$T$400,SF_Output!$AC$1:$AC$400,_xlfn.TEXTJOIN(",",TRUE,$B264:$E264),SF_Output!$Q$1:$Q$400,"monthly"))/V264)</f>
        <v/>
      </c>
      <c r="X264" s="6" t="str" cm="1">
        <f t="array" ref="X264">IFERROR(_xlfn.IFS(V264=0,0,V264="","",W264=0,V264,OR(V264&lt;&gt;0,V264&lt;&gt;""),H264*I264),V264*(1-W264))</f>
        <v/>
      </c>
      <c r="Z264" s="6" t="str">
        <f>IFERROR(IF(B264="","",SUMIFS(Billing_Fallout!H:H,Billing_Fallout!N:N,B264)),0)</f>
        <v/>
      </c>
      <c r="AA264" s="6" t="str">
        <f t="shared" si="72"/>
        <v/>
      </c>
      <c r="AB264" s="6" t="str">
        <f>IFERROR(IF(B264="","",SUMIFS(Billing_Fallout!J:J,Billing_Fallout!N:N,B264)),0)</f>
        <v/>
      </c>
      <c r="AD264" s="6" t="str">
        <f t="shared" si="73"/>
        <v/>
      </c>
      <c r="AF264" t="str">
        <f>IFERROR(INDEX(H_Tables!$B$1:$B$1500,MATCH(INDEX(SF_Output!$J$1:$J$400,MATCH(B264,SF_Output!$M$1:$M$400,0)),H_Tables!$A$1:$A$1500,0)),"")</f>
        <v/>
      </c>
      <c r="AI264" s="119" t="str">
        <f t="shared" si="74"/>
        <v/>
      </c>
      <c r="AJ264" s="121">
        <f>IFERROR(INDEX(SF_Output!AD:AD,MATCH(_xlfn.TEXTJOIN(",",TRUE,B264:E264),SF_Output!AC15:AC414,0)),0.05)</f>
        <v>227</v>
      </c>
      <c r="AK264" t="str">
        <f>IF(SUMIFS(SF_Output!$F$1:$F$400,SF_Output!$AC$1:$AC$400,_xlfn.TEXTJOIN(",",TRUE,B264:E264))+SUMIFS(SF_Output!$G$1:$G$400,SF_Output!$AC$1:$AC$400,_xlfn.TEXTJOIN(",",TRUE,B264:E264))=0,"","PAP")</f>
        <v/>
      </c>
      <c r="AQ264" s="35"/>
      <c r="AR264" s="35" t="str" cm="1">
        <f t="array" ref="AR264">IFERROR(_xlfn.IFS(AND(E264*1=1,F264="Included"),"Change to Included",AND(E264*1=0,F264="Optional"),"Change to Optional",OR(B264="",F264="replaced"),""),"")</f>
        <v/>
      </c>
      <c r="AS264" s="35" t="str">
        <f t="shared" si="75"/>
        <v/>
      </c>
      <c r="AT264" s="35" t="str">
        <f t="shared" si="76"/>
        <v/>
      </c>
      <c r="AU264" s="35" t="str">
        <f t="shared" si="77"/>
        <v/>
      </c>
      <c r="AV264" s="35" t="str">
        <f t="shared" si="78"/>
        <v/>
      </c>
      <c r="AW264" s="35" t="str">
        <f t="shared" si="79"/>
        <v/>
      </c>
      <c r="AX264" s="35" t="str">
        <f t="shared" si="80"/>
        <v/>
      </c>
      <c r="AY264" s="35" t="str">
        <f t="shared" si="81"/>
        <v/>
      </c>
      <c r="AZ264" s="35" t="str">
        <f t="shared" si="82"/>
        <v/>
      </c>
      <c r="BA264" s="35" t="str">
        <f t="shared" si="83"/>
        <v/>
      </c>
      <c r="BB264" s="35" t="str">
        <f t="shared" si="84"/>
        <v/>
      </c>
      <c r="BC264" s="35"/>
      <c r="BE264" s="35" t="e">
        <f>INDEX(SF_Output!$AA$2:$AA$400,MATCH($B264,SF_Output!$M$2:$M$400,0))</f>
        <v>#N/A</v>
      </c>
      <c r="BF264" s="35" t="e">
        <f>INDEX(SF_Output!$AB$2:$AB$400,MATCH($B264,SF_Output!$M$2:$M$400,0))</f>
        <v>#N/A</v>
      </c>
    </row>
    <row r="265" spans="6:58" x14ac:dyDescent="0.25">
      <c r="F265" s="116" t="str">
        <f t="shared" si="68"/>
        <v/>
      </c>
      <c r="G265" t="str">
        <f>IF(B265="","",INDEX(SF_Output!$K$1:$K$400,MATCH(B265,SF_Output!$M$1:$M$400,0)))</f>
        <v/>
      </c>
      <c r="H265" t="str" cm="1">
        <f t="array" ref="H265">_xlfn.IFS(B265="","",(SUMIFS(SF_Output!$F$1:$F$400,SF_Output!$AC$1:$AC$400,_xlfn.TEXTJOIN(",",TRUE,B265:E265))+SUMIFS(SF_Output!$G$1:$G$400,SF_Output!$AC$1:$AC$400,_xlfn.TEXTJOIN(",",TRUE,B265:E265)))&lt;&gt;0,SF_Output!$Y$2,INDEX(SF_Output!$F$1:$F$400,MATCH(_xlfn.TEXTJOIN(",",TRUE,B265:E265),SF_Output!$AC$1:$AC$400,0))=0,INDEX(SF_Output!$R$1:$R$400,MATCH(_xlfn.TEXTJOIN(",",TRUE,B265:E265),SF_Output!$AC$1:$AC$400,0)))</f>
        <v/>
      </c>
      <c r="I265" s="125" t="str">
        <f>IFERROR(IF(AND(H265&gt;1,H265&lt;&gt;""),ROUND(SUMIFS(SF_Output!$S$1:$S$400,SF_Output!$AC$1:$AC$400,_xlfn.TEXTJOIN(",",TRUE,B265:E265),SF_Output!$Q$1:$Q$400,"monthly")*(1-W265)/H265,4),""),"")</f>
        <v/>
      </c>
      <c r="J265" s="6" t="str">
        <f>IF(B265="","",SUMIFS(SF_Output!$S$1:$S$400,SF_Output!$AC$1:$AC$400,_xlfn.TEXTJOIN(",",TRUE,B265:E265),SF_Output!$Q$1:$Q$400,"One Time",SF_Output!$L$1:$L$400,"license fee")+SUMIFS(SF_Output!$S$1:$S$400,SF_Output!$AC$1:$AC$400,_xlfn.TEXTJOIN(",",TRUE,B265:E265),SF_Output!$Q$1:$Q$400,"One Time",SF_Output!$L$1:$L$400,"software license")+SUMIFS(SF_Output!$S$1:$S$400,SF_Output!$AC$1:$AC$400,_xlfn.TEXTJOIN(",",TRUE,B265:E265),SF_Output!$Q$1:$Q$400,"One Time",SF_Output!$L$1:$L$400,"hardware"))</f>
        <v/>
      </c>
      <c r="K265" s="112" t="str">
        <f>IF(OR(B265=0,B265="",G265="hardware",J265=0),"",IF(AF265&lt;&gt;"exclusion",MAX(K$9,-((SUMIFS(SF_Output!$T$1:$T$400,SF_Output!$AC$1:$AC$400,_xlfn.TEXTJOIN(",",TRUE,$B265:$E265),SF_Output!$Q$1:$Q$400,"One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license"))/J265)))</f>
        <v/>
      </c>
      <c r="L265" s="6" t="str">
        <f t="shared" si="69"/>
        <v/>
      </c>
      <c r="N265" s="6" t="str">
        <f>IF(B265="","",SUMIFS(SF_Output!$S$1:$S$400,SF_Output!$AC$1:$AC$400,_xlfn.TEXTJOIN(",",TRUE,B265:E265),SF_Output!$Q$1:$Q$400,"One Time",SF_Output!$L$1:$L$400,"professional service"))</f>
        <v/>
      </c>
      <c r="O265" s="112" t="str">
        <f>IF(OR(B265=0,B265="",N265=0),"",IF(AF265&lt;&gt;"exclusion",MAX(O$9,-(SUMIFS(SF_Output!$T$1:$T$400,SF_Output!$AC$1:$AC$400,_xlfn.TEXTJOIN(",",TRUE,$B265:$E265),SF_Output!$Q$1:$Q$400,"One Time",SF_Output!$L$1:$L$400,"professional service"))/N265),-((SUMIFS(SF_Output!$T$1:$T$400,SF_Output!$AC$1:$AC$400,_xlfn.TEXTJOIN(",",TRUE,$B265:$E265),SF_Output!$Q$1:$Q$400,"One Time",SF_Output!$L$1:$L$400,"professional service")/N265))))</f>
        <v/>
      </c>
      <c r="P265" s="6" t="str">
        <f t="shared" si="70"/>
        <v/>
      </c>
      <c r="R265" s="6" t="str">
        <f>IF(B265="","",SUMIFS(SF_Output!$S$1:$S$400,SF_Output!$AC$1:$AC$400,_xlfn.TEXTJOIN(",",TRUE,B265:E265),SF_Output!$Q$1:$Q$400,"yearly")+SUMIFS(SF_Output!$S$1:$S$400,SF_Output!$AC$1:$AC$400,_xlfn.TEXTJOIN(",",TRUE,B265:E265),SF_Output!$Q$1:$Q$400,"quarterly")*4)</f>
        <v/>
      </c>
      <c r="S265" s="112" t="str">
        <f>IF(OR(B265=0,B265="",G265="hardware",R265=0),"",IF(AF265&lt;&gt;"exclusion",MAX(S$9,-(SUMIFS(SF_Output!$T$1:$T$400,SF_Output!$AC$1:$AC$400,_xlfn.TEXTJOIN(",",TRUE,$B265:$E265),SF_Output!$Q$1:$Q$400,"yearly"))/R265),-((SUMIFS(SF_Output!$T$1:$T$400,SF_Output!$AC$1:$AC$400,_xlfn.TEXTJOIN(",",TRUE,$B265:$E265),SF_Output!$Q$1:$Q$400,"yearly")/R265))))</f>
        <v/>
      </c>
      <c r="T265" s="6" t="str">
        <f t="shared" si="71"/>
        <v/>
      </c>
      <c r="V265" s="6" t="str" cm="1">
        <f t="array" ref="V265">_xlfn.IFS(B265="","",AND(B265&lt;&gt;"",H265=SF_Output!$Y$2,SUMIFS(SF_Output!$T$1:$T$400,SF_Output!$AC$1:$AC$400,_xlfn.TEXTJOIN(",",TRUE,B265:E265),SF_Output!$Q$1:$Q$400,"monthly")=0),(SUMIFS(SF_Output!$F$1:$F$400,SF_Output!$AC$1:$AC$400,_xlfn.TEXTJOIN(",",TRUE,B265:E265),SF_Output!$Q$1:$Q$400,"monthly")+SUMIFS(SF_Output!$G$1:$G$400,SF_Output!$AC$1:$AC$400,_xlfn.TEXTJOIN(",",TRUE,B265:E265),SF_Output!$Q$1:$Q$400,"monthly"))*H265,AND(B265&lt;&gt;"",H265=SF_Output!$Y$2,SUMIFS(SF_Output!$T$1:$T$400,SF_Output!$AC$1:$AC$400,_xlfn.TEXTJOIN(",",TRUE,B265:E265),SF_Output!$Q$1:$Q$400,"monthly")&lt;&gt;0),SUMIFS(SF_Output!$S$1:$S$400,SF_Output!$AC$1:$AC$400,_xlfn.TEXTJOIN(",",TRUE,B265:E265),SF_Output!$Q$1:$Q$400,"monthly"),AND(B265&lt;&gt;"",H265&lt;&gt;SF_Output!$Y$2),SUMIFS(SF_Output!$S$1:$S$400,SF_Output!$AC$1:$AC$400,_xlfn.TEXTJOIN(",",TRUE,B265:E265),SF_Output!$Q$1:$Q$400,"monthly"))</f>
        <v/>
      </c>
      <c r="W265" s="112" t="str" cm="1">
        <f t="array" ref="W265">_xlfn.IFS(OR(B265=0,B265="",V265=0),"",AF265&lt;&gt;"exclusion",MAX($W$9,$W$7,(-(SUMIFS(SF_Output!$T$1:$T$400,SF_Output!$AC$1:$AC$400,_xlfn.TEXTJOIN(",",TRUE,$B265:$E265),SF_Output!$Q$1:$Q$400,"monthly"))/V265)),AF265="exclusion",-(SUMIFS(SF_Output!$T$1:$T$400,SF_Output!$AC$1:$AC$400,_xlfn.TEXTJOIN(",",TRUE,$B265:$E265),SF_Output!$Q$1:$Q$400,"monthly"))/V265)</f>
        <v/>
      </c>
      <c r="X265" s="6" t="str" cm="1">
        <f t="array" ref="X265">IFERROR(_xlfn.IFS(V265=0,0,V265="","",W265=0,V265,OR(V265&lt;&gt;0,V265&lt;&gt;""),H265*I265),V265*(1-W265))</f>
        <v/>
      </c>
      <c r="Z265" s="6" t="str">
        <f>IFERROR(IF(B265="","",SUMIFS(Billing_Fallout!H:H,Billing_Fallout!N:N,B265)),0)</f>
        <v/>
      </c>
      <c r="AA265" s="6" t="str">
        <f t="shared" si="72"/>
        <v/>
      </c>
      <c r="AB265" s="6" t="str">
        <f>IFERROR(IF(B265="","",SUMIFS(Billing_Fallout!J:J,Billing_Fallout!N:N,B265)),0)</f>
        <v/>
      </c>
      <c r="AD265" s="6" t="str">
        <f t="shared" si="73"/>
        <v/>
      </c>
      <c r="AF265" t="str">
        <f>IFERROR(INDEX(H_Tables!$B$1:$B$1500,MATCH(INDEX(SF_Output!$J$1:$J$400,MATCH(B265,SF_Output!$M$1:$M$400,0)),H_Tables!$A$1:$A$1500,0)),"")</f>
        <v/>
      </c>
      <c r="AI265" s="119" t="str">
        <f t="shared" si="74"/>
        <v/>
      </c>
      <c r="AJ265" s="121">
        <f>IFERROR(INDEX(SF_Output!AD:AD,MATCH(_xlfn.TEXTJOIN(",",TRUE,B265:E265),SF_Output!AC16:AC415,0)),0.05)</f>
        <v>226</v>
      </c>
      <c r="AK265" t="str">
        <f>IF(SUMIFS(SF_Output!$F$1:$F$400,SF_Output!$AC$1:$AC$400,_xlfn.TEXTJOIN(",",TRUE,B265:E265))+SUMIFS(SF_Output!$G$1:$G$400,SF_Output!$AC$1:$AC$400,_xlfn.TEXTJOIN(",",TRUE,B265:E265))=0,"","PAP")</f>
        <v/>
      </c>
      <c r="AQ265" s="35"/>
      <c r="AR265" s="35" t="str" cm="1">
        <f t="array" ref="AR265">IFERROR(_xlfn.IFS(AND(E265*1=1,F265="Included"),"Change to Included",AND(E265*1=0,F265="Optional"),"Change to Optional",OR(B265="",F265="replaced"),""),"")</f>
        <v/>
      </c>
      <c r="AS265" s="35" t="str">
        <f t="shared" si="75"/>
        <v/>
      </c>
      <c r="AT265" s="35" t="str">
        <f t="shared" si="76"/>
        <v/>
      </c>
      <c r="AU265" s="35" t="str">
        <f t="shared" si="77"/>
        <v/>
      </c>
      <c r="AV265" s="35" t="str">
        <f t="shared" si="78"/>
        <v/>
      </c>
      <c r="AW265" s="35" t="str">
        <f t="shared" si="79"/>
        <v/>
      </c>
      <c r="AX265" s="35" t="str">
        <f t="shared" si="80"/>
        <v/>
      </c>
      <c r="AY265" s="35" t="str">
        <f t="shared" si="81"/>
        <v/>
      </c>
      <c r="AZ265" s="35" t="str">
        <f t="shared" si="82"/>
        <v/>
      </c>
      <c r="BA265" s="35" t="str">
        <f t="shared" si="83"/>
        <v/>
      </c>
      <c r="BB265" s="35" t="str">
        <f t="shared" si="84"/>
        <v/>
      </c>
      <c r="BC265" s="35"/>
      <c r="BE265" s="35" t="e">
        <f>INDEX(SF_Output!$AA$2:$AA$400,MATCH($B265,SF_Output!$M$2:$M$400,0))</f>
        <v>#N/A</v>
      </c>
      <c r="BF265" s="35" t="e">
        <f>INDEX(SF_Output!$AB$2:$AB$400,MATCH($B265,SF_Output!$M$2:$M$400,0))</f>
        <v>#N/A</v>
      </c>
    </row>
    <row r="266" spans="6:58" x14ac:dyDescent="0.25">
      <c r="F266" s="116" t="str">
        <f t="shared" si="68"/>
        <v/>
      </c>
      <c r="G266" t="str">
        <f>IF(B266="","",INDEX(SF_Output!$K$1:$K$400,MATCH(B266,SF_Output!$M$1:$M$400,0)))</f>
        <v/>
      </c>
      <c r="H266" t="str" cm="1">
        <f t="array" ref="H266">_xlfn.IFS(B266="","",(SUMIFS(SF_Output!$F$1:$F$400,SF_Output!$AC$1:$AC$400,_xlfn.TEXTJOIN(",",TRUE,B266:E266))+SUMIFS(SF_Output!$G$1:$G$400,SF_Output!$AC$1:$AC$400,_xlfn.TEXTJOIN(",",TRUE,B266:E266)))&lt;&gt;0,SF_Output!$Y$2,INDEX(SF_Output!$F$1:$F$400,MATCH(_xlfn.TEXTJOIN(",",TRUE,B266:E266),SF_Output!$AC$1:$AC$400,0))=0,INDEX(SF_Output!$R$1:$R$400,MATCH(_xlfn.TEXTJOIN(",",TRUE,B266:E266),SF_Output!$AC$1:$AC$400,0)))</f>
        <v/>
      </c>
      <c r="I266" s="125" t="str">
        <f>IFERROR(IF(AND(H266&gt;1,H266&lt;&gt;""),ROUND(SUMIFS(SF_Output!$S$1:$S$400,SF_Output!$AC$1:$AC$400,_xlfn.TEXTJOIN(",",TRUE,B266:E266),SF_Output!$Q$1:$Q$400,"monthly")*(1-W266)/H266,4),""),"")</f>
        <v/>
      </c>
      <c r="J266" s="6" t="str">
        <f>IF(B266="","",SUMIFS(SF_Output!$S$1:$S$400,SF_Output!$AC$1:$AC$400,_xlfn.TEXTJOIN(",",TRUE,B266:E266),SF_Output!$Q$1:$Q$400,"One Time",SF_Output!$L$1:$L$400,"license fee")+SUMIFS(SF_Output!$S$1:$S$400,SF_Output!$AC$1:$AC$400,_xlfn.TEXTJOIN(",",TRUE,B266:E266),SF_Output!$Q$1:$Q$400,"One Time",SF_Output!$L$1:$L$400,"software license")+SUMIFS(SF_Output!$S$1:$S$400,SF_Output!$AC$1:$AC$400,_xlfn.TEXTJOIN(",",TRUE,B266:E266),SF_Output!$Q$1:$Q$400,"One Time",SF_Output!$L$1:$L$400,"hardware"))</f>
        <v/>
      </c>
      <c r="K266" s="112" t="str">
        <f>IF(OR(B266=0,B266="",G266="hardware",J266=0),"",IF(AF266&lt;&gt;"exclusion",MAX(K$9,-((SUMIFS(SF_Output!$T$1:$T$400,SF_Output!$AC$1:$AC$400,_xlfn.TEXTJOIN(",",TRUE,$B266:$E266),SF_Output!$Q$1:$Q$400,"One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license"))/J266)))</f>
        <v/>
      </c>
      <c r="L266" s="6" t="str">
        <f t="shared" si="69"/>
        <v/>
      </c>
      <c r="N266" s="6" t="str">
        <f>IF(B266="","",SUMIFS(SF_Output!$S$1:$S$400,SF_Output!$AC$1:$AC$400,_xlfn.TEXTJOIN(",",TRUE,B266:E266),SF_Output!$Q$1:$Q$400,"One Time",SF_Output!$L$1:$L$400,"professional service"))</f>
        <v/>
      </c>
      <c r="O266" s="112" t="str">
        <f>IF(OR(B266=0,B266="",N266=0),"",IF(AF266&lt;&gt;"exclusion",MAX(O$9,-(SUMIFS(SF_Output!$T$1:$T$400,SF_Output!$AC$1:$AC$400,_xlfn.TEXTJOIN(",",TRUE,$B266:$E266),SF_Output!$Q$1:$Q$400,"One Time",SF_Output!$L$1:$L$400,"professional service"))/N266),-((SUMIFS(SF_Output!$T$1:$T$400,SF_Output!$AC$1:$AC$400,_xlfn.TEXTJOIN(",",TRUE,$B266:$E266),SF_Output!$Q$1:$Q$400,"One Time",SF_Output!$L$1:$L$400,"professional service")/N266))))</f>
        <v/>
      </c>
      <c r="P266" s="6" t="str">
        <f t="shared" si="70"/>
        <v/>
      </c>
      <c r="R266" s="6" t="str">
        <f>IF(B266="","",SUMIFS(SF_Output!$S$1:$S$400,SF_Output!$AC$1:$AC$400,_xlfn.TEXTJOIN(",",TRUE,B266:E266),SF_Output!$Q$1:$Q$400,"yearly")+SUMIFS(SF_Output!$S$1:$S$400,SF_Output!$AC$1:$AC$400,_xlfn.TEXTJOIN(",",TRUE,B266:E266),SF_Output!$Q$1:$Q$400,"quarterly")*4)</f>
        <v/>
      </c>
      <c r="S266" s="112" t="str">
        <f>IF(OR(B266=0,B266="",G266="hardware",R266=0),"",IF(AF266&lt;&gt;"exclusion",MAX(S$9,-(SUMIFS(SF_Output!$T$1:$T$400,SF_Output!$AC$1:$AC$400,_xlfn.TEXTJOIN(",",TRUE,$B266:$E266),SF_Output!$Q$1:$Q$400,"yearly"))/R266),-((SUMIFS(SF_Output!$T$1:$T$400,SF_Output!$AC$1:$AC$400,_xlfn.TEXTJOIN(",",TRUE,$B266:$E266),SF_Output!$Q$1:$Q$400,"yearly")/R266))))</f>
        <v/>
      </c>
      <c r="T266" s="6" t="str">
        <f t="shared" si="71"/>
        <v/>
      </c>
      <c r="V266" s="6" t="str" cm="1">
        <f t="array" ref="V266">_xlfn.IFS(B266="","",AND(B266&lt;&gt;"",H266=SF_Output!$Y$2,SUMIFS(SF_Output!$T$1:$T$400,SF_Output!$AC$1:$AC$400,_xlfn.TEXTJOIN(",",TRUE,B266:E266),SF_Output!$Q$1:$Q$400,"monthly")=0),(SUMIFS(SF_Output!$F$1:$F$400,SF_Output!$AC$1:$AC$400,_xlfn.TEXTJOIN(",",TRUE,B266:E266),SF_Output!$Q$1:$Q$400,"monthly")+SUMIFS(SF_Output!$G$1:$G$400,SF_Output!$AC$1:$AC$400,_xlfn.TEXTJOIN(",",TRUE,B266:E266),SF_Output!$Q$1:$Q$400,"monthly"))*H266,AND(B266&lt;&gt;"",H266=SF_Output!$Y$2,SUMIFS(SF_Output!$T$1:$T$400,SF_Output!$AC$1:$AC$400,_xlfn.TEXTJOIN(",",TRUE,B266:E266),SF_Output!$Q$1:$Q$400,"monthly")&lt;&gt;0),SUMIFS(SF_Output!$S$1:$S$400,SF_Output!$AC$1:$AC$400,_xlfn.TEXTJOIN(",",TRUE,B266:E266),SF_Output!$Q$1:$Q$400,"monthly"),AND(B266&lt;&gt;"",H266&lt;&gt;SF_Output!$Y$2),SUMIFS(SF_Output!$S$1:$S$400,SF_Output!$AC$1:$AC$400,_xlfn.TEXTJOIN(",",TRUE,B266:E266),SF_Output!$Q$1:$Q$400,"monthly"))</f>
        <v/>
      </c>
      <c r="W266" s="112" t="str" cm="1">
        <f t="array" ref="W266">_xlfn.IFS(OR(B266=0,B266="",V266=0),"",AF266&lt;&gt;"exclusion",MAX($W$9,$W$7,(-(SUMIFS(SF_Output!$T$1:$T$400,SF_Output!$AC$1:$AC$400,_xlfn.TEXTJOIN(",",TRUE,$B266:$E266),SF_Output!$Q$1:$Q$400,"monthly"))/V266)),AF266="exclusion",-(SUMIFS(SF_Output!$T$1:$T$400,SF_Output!$AC$1:$AC$400,_xlfn.TEXTJOIN(",",TRUE,$B266:$E266),SF_Output!$Q$1:$Q$400,"monthly"))/V266)</f>
        <v/>
      </c>
      <c r="X266" s="6" t="str" cm="1">
        <f t="array" ref="X266">IFERROR(_xlfn.IFS(V266=0,0,V266="","",W266=0,V266,OR(V266&lt;&gt;0,V266&lt;&gt;""),H266*I266),V266*(1-W266))</f>
        <v/>
      </c>
      <c r="Z266" s="6" t="str">
        <f>IFERROR(IF(B266="","",SUMIFS(Billing_Fallout!H:H,Billing_Fallout!N:N,B266)),0)</f>
        <v/>
      </c>
      <c r="AA266" s="6" t="str">
        <f t="shared" si="72"/>
        <v/>
      </c>
      <c r="AB266" s="6" t="str">
        <f>IFERROR(IF(B266="","",SUMIFS(Billing_Fallout!J:J,Billing_Fallout!N:N,B266)),0)</f>
        <v/>
      </c>
      <c r="AD266" s="6" t="str">
        <f t="shared" si="73"/>
        <v/>
      </c>
      <c r="AF266" t="str">
        <f>IFERROR(INDEX(H_Tables!$B$1:$B$1500,MATCH(INDEX(SF_Output!$J$1:$J$400,MATCH(B266,SF_Output!$M$1:$M$400,0)),H_Tables!$A$1:$A$1500,0)),"")</f>
        <v/>
      </c>
      <c r="AI266" s="119" t="str">
        <f t="shared" si="74"/>
        <v/>
      </c>
      <c r="AJ266" s="121">
        <f>IFERROR(INDEX(SF_Output!AD:AD,MATCH(_xlfn.TEXTJOIN(",",TRUE,B266:E266),SF_Output!AC17:AC416,0)),0.05)</f>
        <v>225</v>
      </c>
      <c r="AK266" t="str">
        <f>IF(SUMIFS(SF_Output!$F$1:$F$400,SF_Output!$AC$1:$AC$400,_xlfn.TEXTJOIN(",",TRUE,B266:E266))+SUMIFS(SF_Output!$G$1:$G$400,SF_Output!$AC$1:$AC$400,_xlfn.TEXTJOIN(",",TRUE,B266:E266))=0,"","PAP")</f>
        <v/>
      </c>
      <c r="AQ266" s="35"/>
      <c r="AR266" s="35" t="str" cm="1">
        <f t="array" ref="AR266">IFERROR(_xlfn.IFS(AND(E266*1=1,F266="Included"),"Change to Included",AND(E266*1=0,F266="Optional"),"Change to Optional",OR(B266="",F266="replaced"),""),"")</f>
        <v/>
      </c>
      <c r="AS266" s="35" t="str">
        <f t="shared" si="75"/>
        <v/>
      </c>
      <c r="AT266" s="35" t="str">
        <f t="shared" si="76"/>
        <v/>
      </c>
      <c r="AU266" s="35" t="str">
        <f t="shared" si="77"/>
        <v/>
      </c>
      <c r="AV266" s="35" t="str">
        <f t="shared" si="78"/>
        <v/>
      </c>
      <c r="AW266" s="35" t="str">
        <f t="shared" si="79"/>
        <v/>
      </c>
      <c r="AX266" s="35" t="str">
        <f t="shared" si="80"/>
        <v/>
      </c>
      <c r="AY266" s="35" t="str">
        <f t="shared" si="81"/>
        <v/>
      </c>
      <c r="AZ266" s="35" t="str">
        <f t="shared" si="82"/>
        <v/>
      </c>
      <c r="BA266" s="35" t="str">
        <f t="shared" si="83"/>
        <v/>
      </c>
      <c r="BB266" s="35" t="str">
        <f t="shared" si="84"/>
        <v/>
      </c>
      <c r="BC266" s="35"/>
      <c r="BE266" s="35" t="e">
        <f>INDEX(SF_Output!$AA$2:$AA$400,MATCH($B266,SF_Output!$M$2:$M$400,0))</f>
        <v>#N/A</v>
      </c>
      <c r="BF266" s="35" t="e">
        <f>INDEX(SF_Output!$AB$2:$AB$400,MATCH($B266,SF_Output!$M$2:$M$400,0))</f>
        <v>#N/A</v>
      </c>
    </row>
    <row r="267" spans="6:58" x14ac:dyDescent="0.25">
      <c r="F267" s="116" t="str">
        <f t="shared" si="68"/>
        <v/>
      </c>
      <c r="G267" t="str">
        <f>IF(B267="","",INDEX(SF_Output!$K$1:$K$400,MATCH(B267,SF_Output!$M$1:$M$400,0)))</f>
        <v/>
      </c>
      <c r="H267" t="str" cm="1">
        <f t="array" ref="H267">_xlfn.IFS(B267="","",(SUMIFS(SF_Output!$F$1:$F$400,SF_Output!$AC$1:$AC$400,_xlfn.TEXTJOIN(",",TRUE,B267:E267))+SUMIFS(SF_Output!$G$1:$G$400,SF_Output!$AC$1:$AC$400,_xlfn.TEXTJOIN(",",TRUE,B267:E267)))&lt;&gt;0,SF_Output!$Y$2,INDEX(SF_Output!$F$1:$F$400,MATCH(_xlfn.TEXTJOIN(",",TRUE,B267:E267),SF_Output!$AC$1:$AC$400,0))=0,INDEX(SF_Output!$R$1:$R$400,MATCH(_xlfn.TEXTJOIN(",",TRUE,B267:E267),SF_Output!$AC$1:$AC$400,0)))</f>
        <v/>
      </c>
      <c r="I267" s="125" t="str">
        <f>IFERROR(IF(AND(H267&gt;1,H267&lt;&gt;""),ROUND(SUMIFS(SF_Output!$S$1:$S$400,SF_Output!$AC$1:$AC$400,_xlfn.TEXTJOIN(",",TRUE,B267:E267),SF_Output!$Q$1:$Q$400,"monthly")*(1-W267)/H267,4),""),"")</f>
        <v/>
      </c>
      <c r="J267" s="6" t="str">
        <f>IF(B267="","",SUMIFS(SF_Output!$S$1:$S$400,SF_Output!$AC$1:$AC$400,_xlfn.TEXTJOIN(",",TRUE,B267:E267),SF_Output!$Q$1:$Q$400,"One Time",SF_Output!$L$1:$L$400,"license fee")+SUMIFS(SF_Output!$S$1:$S$400,SF_Output!$AC$1:$AC$400,_xlfn.TEXTJOIN(",",TRUE,B267:E267),SF_Output!$Q$1:$Q$400,"One Time",SF_Output!$L$1:$L$400,"software license")+SUMIFS(SF_Output!$S$1:$S$400,SF_Output!$AC$1:$AC$400,_xlfn.TEXTJOIN(",",TRUE,B267:E267),SF_Output!$Q$1:$Q$400,"One Time",SF_Output!$L$1:$L$400,"hardware"))</f>
        <v/>
      </c>
      <c r="K267" s="112" t="str">
        <f>IF(OR(B267=0,B267="",G267="hardware",J267=0),"",IF(AF267&lt;&gt;"exclusion",MAX(K$9,-((SUMIFS(SF_Output!$T$1:$T$400,SF_Output!$AC$1:$AC$400,_xlfn.TEXTJOIN(",",TRUE,$B267:$E267),SF_Output!$Q$1:$Q$400,"One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license"))/J267)))</f>
        <v/>
      </c>
      <c r="L267" s="6" t="str">
        <f t="shared" si="69"/>
        <v/>
      </c>
      <c r="N267" s="6" t="str">
        <f>IF(B267="","",SUMIFS(SF_Output!$S$1:$S$400,SF_Output!$AC$1:$AC$400,_xlfn.TEXTJOIN(",",TRUE,B267:E267),SF_Output!$Q$1:$Q$400,"One Time",SF_Output!$L$1:$L$400,"professional service"))</f>
        <v/>
      </c>
      <c r="O267" s="112" t="str">
        <f>IF(OR(B267=0,B267="",N267=0),"",IF(AF267&lt;&gt;"exclusion",MAX(O$9,-(SUMIFS(SF_Output!$T$1:$T$400,SF_Output!$AC$1:$AC$400,_xlfn.TEXTJOIN(",",TRUE,$B267:$E267),SF_Output!$Q$1:$Q$400,"One Time",SF_Output!$L$1:$L$400,"professional service"))/N267),-((SUMIFS(SF_Output!$T$1:$T$400,SF_Output!$AC$1:$AC$400,_xlfn.TEXTJOIN(",",TRUE,$B267:$E267),SF_Output!$Q$1:$Q$400,"One Time",SF_Output!$L$1:$L$400,"professional service")/N267))))</f>
        <v/>
      </c>
      <c r="P267" s="6" t="str">
        <f t="shared" si="70"/>
        <v/>
      </c>
      <c r="R267" s="6" t="str">
        <f>IF(B267="","",SUMIFS(SF_Output!$S$1:$S$400,SF_Output!$AC$1:$AC$400,_xlfn.TEXTJOIN(",",TRUE,B267:E267),SF_Output!$Q$1:$Q$400,"yearly")+SUMIFS(SF_Output!$S$1:$S$400,SF_Output!$AC$1:$AC$400,_xlfn.TEXTJOIN(",",TRUE,B267:E267),SF_Output!$Q$1:$Q$400,"quarterly")*4)</f>
        <v/>
      </c>
      <c r="S267" s="112" t="str">
        <f>IF(OR(B267=0,B267="",G267="hardware",R267=0),"",IF(AF267&lt;&gt;"exclusion",MAX(S$9,-(SUMIFS(SF_Output!$T$1:$T$400,SF_Output!$AC$1:$AC$400,_xlfn.TEXTJOIN(",",TRUE,$B267:$E267),SF_Output!$Q$1:$Q$400,"yearly"))/R267),-((SUMIFS(SF_Output!$T$1:$T$400,SF_Output!$AC$1:$AC$400,_xlfn.TEXTJOIN(",",TRUE,$B267:$E267),SF_Output!$Q$1:$Q$400,"yearly")/R267))))</f>
        <v/>
      </c>
      <c r="T267" s="6" t="str">
        <f t="shared" si="71"/>
        <v/>
      </c>
      <c r="V267" s="6" t="str" cm="1">
        <f t="array" ref="V267">_xlfn.IFS(B267="","",AND(B267&lt;&gt;"",H267=SF_Output!$Y$2,SUMIFS(SF_Output!$T$1:$T$400,SF_Output!$AC$1:$AC$400,_xlfn.TEXTJOIN(",",TRUE,B267:E267),SF_Output!$Q$1:$Q$400,"monthly")=0),(SUMIFS(SF_Output!$F$1:$F$400,SF_Output!$AC$1:$AC$400,_xlfn.TEXTJOIN(",",TRUE,B267:E267),SF_Output!$Q$1:$Q$400,"monthly")+SUMIFS(SF_Output!$G$1:$G$400,SF_Output!$AC$1:$AC$400,_xlfn.TEXTJOIN(",",TRUE,B267:E267),SF_Output!$Q$1:$Q$400,"monthly"))*H267,AND(B267&lt;&gt;"",H267=SF_Output!$Y$2,SUMIFS(SF_Output!$T$1:$T$400,SF_Output!$AC$1:$AC$400,_xlfn.TEXTJOIN(",",TRUE,B267:E267),SF_Output!$Q$1:$Q$400,"monthly")&lt;&gt;0),SUMIFS(SF_Output!$S$1:$S$400,SF_Output!$AC$1:$AC$400,_xlfn.TEXTJOIN(",",TRUE,B267:E267),SF_Output!$Q$1:$Q$400,"monthly"),AND(B267&lt;&gt;"",H267&lt;&gt;SF_Output!$Y$2),SUMIFS(SF_Output!$S$1:$S$400,SF_Output!$AC$1:$AC$400,_xlfn.TEXTJOIN(",",TRUE,B267:E267),SF_Output!$Q$1:$Q$400,"monthly"))</f>
        <v/>
      </c>
      <c r="W267" s="112" t="str" cm="1">
        <f t="array" ref="W267">_xlfn.IFS(OR(B267=0,B267="",V267=0),"",AF267&lt;&gt;"exclusion",MAX($W$9,$W$7,(-(SUMIFS(SF_Output!$T$1:$T$400,SF_Output!$AC$1:$AC$400,_xlfn.TEXTJOIN(",",TRUE,$B267:$E267),SF_Output!$Q$1:$Q$400,"monthly"))/V267)),AF267="exclusion",-(SUMIFS(SF_Output!$T$1:$T$400,SF_Output!$AC$1:$AC$400,_xlfn.TEXTJOIN(",",TRUE,$B267:$E267),SF_Output!$Q$1:$Q$400,"monthly"))/V267)</f>
        <v/>
      </c>
      <c r="X267" s="6" t="str" cm="1">
        <f t="array" ref="X267">IFERROR(_xlfn.IFS(V267=0,0,V267="","",W267=0,V267,OR(V267&lt;&gt;0,V267&lt;&gt;""),H267*I267),V267*(1-W267))</f>
        <v/>
      </c>
      <c r="Z267" s="6" t="str">
        <f>IFERROR(IF(B267="","",SUMIFS(Billing_Fallout!H:H,Billing_Fallout!N:N,B267)),0)</f>
        <v/>
      </c>
      <c r="AA267" s="6" t="str">
        <f t="shared" si="72"/>
        <v/>
      </c>
      <c r="AB267" s="6" t="str">
        <f>IFERROR(IF(B267="","",SUMIFS(Billing_Fallout!J:J,Billing_Fallout!N:N,B267)),0)</f>
        <v/>
      </c>
      <c r="AD267" s="6" t="str">
        <f t="shared" si="73"/>
        <v/>
      </c>
      <c r="AF267" t="str">
        <f>IFERROR(INDEX(H_Tables!$B$1:$B$1500,MATCH(INDEX(SF_Output!$J$1:$J$400,MATCH(B267,SF_Output!$M$1:$M$400,0)),H_Tables!$A$1:$A$1500,0)),"")</f>
        <v/>
      </c>
      <c r="AI267" s="119" t="str">
        <f t="shared" si="74"/>
        <v/>
      </c>
      <c r="AJ267" s="121">
        <f>IFERROR(INDEX(SF_Output!AD:AD,MATCH(_xlfn.TEXTJOIN(",",TRUE,B267:E267),SF_Output!AC18:AC417,0)),0.05)</f>
        <v>224</v>
      </c>
      <c r="AK267" t="str">
        <f>IF(SUMIFS(SF_Output!$F$1:$F$400,SF_Output!$AC$1:$AC$400,_xlfn.TEXTJOIN(",",TRUE,B267:E267))+SUMIFS(SF_Output!$G$1:$G$400,SF_Output!$AC$1:$AC$400,_xlfn.TEXTJOIN(",",TRUE,B267:E267))=0,"","PAP")</f>
        <v/>
      </c>
      <c r="AQ267" s="35"/>
      <c r="AR267" s="35" t="str" cm="1">
        <f t="array" ref="AR267">IFERROR(_xlfn.IFS(AND(E267*1=1,F267="Included"),"Change to Included",AND(E267*1=0,F267="Optional"),"Change to Optional",OR(B267="",F267="replaced"),""),"")</f>
        <v/>
      </c>
      <c r="AS267" s="35" t="str">
        <f t="shared" si="75"/>
        <v/>
      </c>
      <c r="AT267" s="35" t="str">
        <f t="shared" si="76"/>
        <v/>
      </c>
      <c r="AU267" s="35" t="str">
        <f t="shared" si="77"/>
        <v/>
      </c>
      <c r="AV267" s="35" t="str">
        <f t="shared" si="78"/>
        <v/>
      </c>
      <c r="AW267" s="35" t="str">
        <f t="shared" si="79"/>
        <v/>
      </c>
      <c r="AX267" s="35" t="str">
        <f t="shared" si="80"/>
        <v/>
      </c>
      <c r="AY267" s="35" t="str">
        <f t="shared" si="81"/>
        <v/>
      </c>
      <c r="AZ267" s="35" t="str">
        <f t="shared" si="82"/>
        <v/>
      </c>
      <c r="BA267" s="35" t="str">
        <f t="shared" si="83"/>
        <v/>
      </c>
      <c r="BB267" s="35" t="str">
        <f t="shared" si="84"/>
        <v/>
      </c>
      <c r="BC267" s="35"/>
      <c r="BE267" s="35" t="e">
        <f>INDEX(SF_Output!$AA$2:$AA$400,MATCH($B267,SF_Output!$M$2:$M$400,0))</f>
        <v>#N/A</v>
      </c>
      <c r="BF267" s="35" t="e">
        <f>INDEX(SF_Output!$AB$2:$AB$400,MATCH($B267,SF_Output!$M$2:$M$400,0))</f>
        <v>#N/A</v>
      </c>
    </row>
    <row r="268" spans="6:58" x14ac:dyDescent="0.25">
      <c r="F268" s="116" t="str">
        <f t="shared" si="68"/>
        <v/>
      </c>
      <c r="G268" t="str">
        <f>IF(B268="","",INDEX(SF_Output!$K$1:$K$400,MATCH(B268,SF_Output!$M$1:$M$400,0)))</f>
        <v/>
      </c>
      <c r="H268" t="str" cm="1">
        <f t="array" ref="H268">_xlfn.IFS(B268="","",(SUMIFS(SF_Output!$F$1:$F$400,SF_Output!$AC$1:$AC$400,_xlfn.TEXTJOIN(",",TRUE,B268:E268))+SUMIFS(SF_Output!$G$1:$G$400,SF_Output!$AC$1:$AC$400,_xlfn.TEXTJOIN(",",TRUE,B268:E268)))&lt;&gt;0,SF_Output!$Y$2,INDEX(SF_Output!$F$1:$F$400,MATCH(_xlfn.TEXTJOIN(",",TRUE,B268:E268),SF_Output!$AC$1:$AC$400,0))=0,INDEX(SF_Output!$R$1:$R$400,MATCH(_xlfn.TEXTJOIN(",",TRUE,B268:E268),SF_Output!$AC$1:$AC$400,0)))</f>
        <v/>
      </c>
      <c r="I268" s="125" t="str">
        <f>IFERROR(IF(AND(H268&gt;1,H268&lt;&gt;""),ROUND(SUMIFS(SF_Output!$S$1:$S$400,SF_Output!$AC$1:$AC$400,_xlfn.TEXTJOIN(",",TRUE,B268:E268),SF_Output!$Q$1:$Q$400,"monthly")*(1-W268)/H268,4),""),"")</f>
        <v/>
      </c>
      <c r="J268" s="6" t="str">
        <f>IF(B268="","",SUMIFS(SF_Output!$S$1:$S$400,SF_Output!$AC$1:$AC$400,_xlfn.TEXTJOIN(",",TRUE,B268:E268),SF_Output!$Q$1:$Q$400,"One Time",SF_Output!$L$1:$L$400,"license fee")+SUMIFS(SF_Output!$S$1:$S$400,SF_Output!$AC$1:$AC$400,_xlfn.TEXTJOIN(",",TRUE,B268:E268),SF_Output!$Q$1:$Q$400,"One Time",SF_Output!$L$1:$L$400,"software license")+SUMIFS(SF_Output!$S$1:$S$400,SF_Output!$AC$1:$AC$400,_xlfn.TEXTJOIN(",",TRUE,B268:E268),SF_Output!$Q$1:$Q$400,"One Time",SF_Output!$L$1:$L$400,"hardware"))</f>
        <v/>
      </c>
      <c r="K268" s="112" t="str">
        <f>IF(OR(B268=0,B268="",G268="hardware",J268=0),"",IF(AF268&lt;&gt;"exclusion",MAX(K$9,-((SUMIFS(SF_Output!$T$1:$T$400,SF_Output!$AC$1:$AC$400,_xlfn.TEXTJOIN(",",TRUE,$B268:$E268),SF_Output!$Q$1:$Q$400,"One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license"))/J268)))</f>
        <v/>
      </c>
      <c r="L268" s="6" t="str">
        <f t="shared" si="69"/>
        <v/>
      </c>
      <c r="N268" s="6" t="str">
        <f>IF(B268="","",SUMIFS(SF_Output!$S$1:$S$400,SF_Output!$AC$1:$AC$400,_xlfn.TEXTJOIN(",",TRUE,B268:E268),SF_Output!$Q$1:$Q$400,"One Time",SF_Output!$L$1:$L$400,"professional service"))</f>
        <v/>
      </c>
      <c r="O268" s="112" t="str">
        <f>IF(OR(B268=0,B268="",N268=0),"",IF(AF268&lt;&gt;"exclusion",MAX(O$9,-(SUMIFS(SF_Output!$T$1:$T$400,SF_Output!$AC$1:$AC$400,_xlfn.TEXTJOIN(",",TRUE,$B268:$E268),SF_Output!$Q$1:$Q$400,"One Time",SF_Output!$L$1:$L$400,"professional service"))/N268),-((SUMIFS(SF_Output!$T$1:$T$400,SF_Output!$AC$1:$AC$400,_xlfn.TEXTJOIN(",",TRUE,$B268:$E268),SF_Output!$Q$1:$Q$400,"One Time",SF_Output!$L$1:$L$400,"professional service")/N268))))</f>
        <v/>
      </c>
      <c r="P268" s="6" t="str">
        <f t="shared" si="70"/>
        <v/>
      </c>
      <c r="R268" s="6" t="str">
        <f>IF(B268="","",SUMIFS(SF_Output!$S$1:$S$400,SF_Output!$AC$1:$AC$400,_xlfn.TEXTJOIN(",",TRUE,B268:E268),SF_Output!$Q$1:$Q$400,"yearly")+SUMIFS(SF_Output!$S$1:$S$400,SF_Output!$AC$1:$AC$400,_xlfn.TEXTJOIN(",",TRUE,B268:E268),SF_Output!$Q$1:$Q$400,"quarterly")*4)</f>
        <v/>
      </c>
      <c r="S268" s="112" t="str">
        <f>IF(OR(B268=0,B268="",G268="hardware",R268=0),"",IF(AF268&lt;&gt;"exclusion",MAX(S$9,-(SUMIFS(SF_Output!$T$1:$T$400,SF_Output!$AC$1:$AC$400,_xlfn.TEXTJOIN(",",TRUE,$B268:$E268),SF_Output!$Q$1:$Q$400,"yearly"))/R268),-((SUMIFS(SF_Output!$T$1:$T$400,SF_Output!$AC$1:$AC$400,_xlfn.TEXTJOIN(",",TRUE,$B268:$E268),SF_Output!$Q$1:$Q$400,"yearly")/R268))))</f>
        <v/>
      </c>
      <c r="T268" s="6" t="str">
        <f t="shared" si="71"/>
        <v/>
      </c>
      <c r="V268" s="6" t="str" cm="1">
        <f t="array" ref="V268">_xlfn.IFS(B268="","",AND(B268&lt;&gt;"",H268=SF_Output!$Y$2,SUMIFS(SF_Output!$T$1:$T$400,SF_Output!$AC$1:$AC$400,_xlfn.TEXTJOIN(",",TRUE,B268:E268),SF_Output!$Q$1:$Q$400,"monthly")=0),(SUMIFS(SF_Output!$F$1:$F$400,SF_Output!$AC$1:$AC$400,_xlfn.TEXTJOIN(",",TRUE,B268:E268),SF_Output!$Q$1:$Q$400,"monthly")+SUMIFS(SF_Output!$G$1:$G$400,SF_Output!$AC$1:$AC$400,_xlfn.TEXTJOIN(",",TRUE,B268:E268),SF_Output!$Q$1:$Q$400,"monthly"))*H268,AND(B268&lt;&gt;"",H268=SF_Output!$Y$2,SUMIFS(SF_Output!$T$1:$T$400,SF_Output!$AC$1:$AC$400,_xlfn.TEXTJOIN(",",TRUE,B268:E268),SF_Output!$Q$1:$Q$400,"monthly")&lt;&gt;0),SUMIFS(SF_Output!$S$1:$S$400,SF_Output!$AC$1:$AC$400,_xlfn.TEXTJOIN(",",TRUE,B268:E268),SF_Output!$Q$1:$Q$400,"monthly"),AND(B268&lt;&gt;"",H268&lt;&gt;SF_Output!$Y$2),SUMIFS(SF_Output!$S$1:$S$400,SF_Output!$AC$1:$AC$400,_xlfn.TEXTJOIN(",",TRUE,B268:E268),SF_Output!$Q$1:$Q$400,"monthly"))</f>
        <v/>
      </c>
      <c r="W268" s="112" t="str" cm="1">
        <f t="array" ref="W268">_xlfn.IFS(OR(B268=0,B268="",V268=0),"",AF268&lt;&gt;"exclusion",MAX($W$9,$W$7,(-(SUMIFS(SF_Output!$T$1:$T$400,SF_Output!$AC$1:$AC$400,_xlfn.TEXTJOIN(",",TRUE,$B268:$E268),SF_Output!$Q$1:$Q$400,"monthly"))/V268)),AF268="exclusion",-(SUMIFS(SF_Output!$T$1:$T$400,SF_Output!$AC$1:$AC$400,_xlfn.TEXTJOIN(",",TRUE,$B268:$E268),SF_Output!$Q$1:$Q$400,"monthly"))/V268)</f>
        <v/>
      </c>
      <c r="X268" s="6" t="str" cm="1">
        <f t="array" ref="X268">IFERROR(_xlfn.IFS(V268=0,0,V268="","",W268=0,V268,OR(V268&lt;&gt;0,V268&lt;&gt;""),H268*I268),V268*(1-W268))</f>
        <v/>
      </c>
      <c r="Z268" s="6" t="str">
        <f>IFERROR(IF(B268="","",SUMIFS(Billing_Fallout!H:H,Billing_Fallout!N:N,B268)),0)</f>
        <v/>
      </c>
      <c r="AA268" s="6" t="str">
        <f t="shared" si="72"/>
        <v/>
      </c>
      <c r="AB268" s="6" t="str">
        <f>IFERROR(IF(B268="","",SUMIFS(Billing_Fallout!J:J,Billing_Fallout!N:N,B268)),0)</f>
        <v/>
      </c>
      <c r="AD268" s="6" t="str">
        <f t="shared" si="73"/>
        <v/>
      </c>
      <c r="AF268" t="str">
        <f>IFERROR(INDEX(H_Tables!$B$1:$B$1500,MATCH(INDEX(SF_Output!$J$1:$J$400,MATCH(B268,SF_Output!$M$1:$M$400,0)),H_Tables!$A$1:$A$1500,0)),"")</f>
        <v/>
      </c>
      <c r="AI268" s="119" t="str">
        <f t="shared" si="74"/>
        <v/>
      </c>
      <c r="AJ268" s="121">
        <f>IFERROR(INDEX(SF_Output!AD:AD,MATCH(_xlfn.TEXTJOIN(",",TRUE,B268:E268),SF_Output!AC19:AC418,0)),0.05)</f>
        <v>223</v>
      </c>
      <c r="AK268" t="str">
        <f>IF(SUMIFS(SF_Output!$F$1:$F$400,SF_Output!$AC$1:$AC$400,_xlfn.TEXTJOIN(",",TRUE,B268:E268))+SUMIFS(SF_Output!$G$1:$G$400,SF_Output!$AC$1:$AC$400,_xlfn.TEXTJOIN(",",TRUE,B268:E268))=0,"","PAP")</f>
        <v/>
      </c>
      <c r="AQ268" s="35"/>
      <c r="AR268" s="35" t="str" cm="1">
        <f t="array" ref="AR268">IFERROR(_xlfn.IFS(AND(E268*1=1,F268="Included"),"Change to Included",AND(E268*1=0,F268="Optional"),"Change to Optional",OR(B268="",F268="replaced"),""),"")</f>
        <v/>
      </c>
      <c r="AS268" s="35" t="str">
        <f t="shared" si="75"/>
        <v/>
      </c>
      <c r="AT268" s="35" t="str">
        <f t="shared" si="76"/>
        <v/>
      </c>
      <c r="AU268" s="35" t="str">
        <f t="shared" si="77"/>
        <v/>
      </c>
      <c r="AV268" s="35" t="str">
        <f t="shared" si="78"/>
        <v/>
      </c>
      <c r="AW268" s="35" t="str">
        <f t="shared" si="79"/>
        <v/>
      </c>
      <c r="AX268" s="35" t="str">
        <f t="shared" si="80"/>
        <v/>
      </c>
      <c r="AY268" s="35" t="str">
        <f t="shared" si="81"/>
        <v/>
      </c>
      <c r="AZ268" s="35" t="str">
        <f t="shared" si="82"/>
        <v/>
      </c>
      <c r="BA268" s="35" t="str">
        <f t="shared" si="83"/>
        <v/>
      </c>
      <c r="BB268" s="35" t="str">
        <f t="shared" si="84"/>
        <v/>
      </c>
      <c r="BC268" s="35"/>
      <c r="BE268" s="35" t="e">
        <f>INDEX(SF_Output!$AA$2:$AA$400,MATCH($B268,SF_Output!$M$2:$M$400,0))</f>
        <v>#N/A</v>
      </c>
      <c r="BF268" s="35" t="e">
        <f>INDEX(SF_Output!$AB$2:$AB$400,MATCH($B268,SF_Output!$M$2:$M$400,0))</f>
        <v>#N/A</v>
      </c>
    </row>
    <row r="269" spans="6:58" x14ac:dyDescent="0.25">
      <c r="F269" s="116" t="str">
        <f t="shared" si="68"/>
        <v/>
      </c>
      <c r="G269" t="str">
        <f>IF(B269="","",INDEX(SF_Output!$K$1:$K$400,MATCH(B269,SF_Output!$M$1:$M$400,0)))</f>
        <v/>
      </c>
      <c r="H269" t="str" cm="1">
        <f t="array" ref="H269">_xlfn.IFS(B269="","",(SUMIFS(SF_Output!$F$1:$F$400,SF_Output!$AC$1:$AC$400,_xlfn.TEXTJOIN(",",TRUE,B269:E269))+SUMIFS(SF_Output!$G$1:$G$400,SF_Output!$AC$1:$AC$400,_xlfn.TEXTJOIN(",",TRUE,B269:E269)))&lt;&gt;0,SF_Output!$Y$2,INDEX(SF_Output!$F$1:$F$400,MATCH(_xlfn.TEXTJOIN(",",TRUE,B269:E269),SF_Output!$AC$1:$AC$400,0))=0,INDEX(SF_Output!$R$1:$R$400,MATCH(_xlfn.TEXTJOIN(",",TRUE,B269:E269),SF_Output!$AC$1:$AC$400,0)))</f>
        <v/>
      </c>
      <c r="I269" s="125" t="str">
        <f>IFERROR(IF(AND(H269&gt;1,H269&lt;&gt;""),ROUND(SUMIFS(SF_Output!$S$1:$S$400,SF_Output!$AC$1:$AC$400,_xlfn.TEXTJOIN(",",TRUE,B269:E269),SF_Output!$Q$1:$Q$400,"monthly")*(1-W269)/H269,4),""),"")</f>
        <v/>
      </c>
      <c r="J269" s="6" t="str">
        <f>IF(B269="","",SUMIFS(SF_Output!$S$1:$S$400,SF_Output!$AC$1:$AC$400,_xlfn.TEXTJOIN(",",TRUE,B269:E269),SF_Output!$Q$1:$Q$400,"One Time",SF_Output!$L$1:$L$400,"license fee")+SUMIFS(SF_Output!$S$1:$S$400,SF_Output!$AC$1:$AC$400,_xlfn.TEXTJOIN(",",TRUE,B269:E269),SF_Output!$Q$1:$Q$400,"One Time",SF_Output!$L$1:$L$400,"software license")+SUMIFS(SF_Output!$S$1:$S$400,SF_Output!$AC$1:$AC$400,_xlfn.TEXTJOIN(",",TRUE,B269:E269),SF_Output!$Q$1:$Q$400,"One Time",SF_Output!$L$1:$L$400,"hardware"))</f>
        <v/>
      </c>
      <c r="K269" s="112" t="str">
        <f>IF(OR(B269=0,B269="",G269="hardware",J269=0),"",IF(AF269&lt;&gt;"exclusion",MAX(K$9,-((SUMIFS(SF_Output!$T$1:$T$400,SF_Output!$AC$1:$AC$400,_xlfn.TEXTJOIN(",",TRUE,$B269:$E269),SF_Output!$Q$1:$Q$400,"One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license"))/J269)))</f>
        <v/>
      </c>
      <c r="L269" s="6" t="str">
        <f t="shared" si="69"/>
        <v/>
      </c>
      <c r="N269" s="6" t="str">
        <f>IF(B269="","",SUMIFS(SF_Output!$S$1:$S$400,SF_Output!$AC$1:$AC$400,_xlfn.TEXTJOIN(",",TRUE,B269:E269),SF_Output!$Q$1:$Q$400,"One Time",SF_Output!$L$1:$L$400,"professional service"))</f>
        <v/>
      </c>
      <c r="O269" s="112" t="str">
        <f>IF(OR(B269=0,B269="",N269=0),"",IF(AF269&lt;&gt;"exclusion",MAX(O$9,-(SUMIFS(SF_Output!$T$1:$T$400,SF_Output!$AC$1:$AC$400,_xlfn.TEXTJOIN(",",TRUE,$B269:$E269),SF_Output!$Q$1:$Q$400,"One Time",SF_Output!$L$1:$L$400,"professional service"))/N269),-((SUMIFS(SF_Output!$T$1:$T$400,SF_Output!$AC$1:$AC$400,_xlfn.TEXTJOIN(",",TRUE,$B269:$E269),SF_Output!$Q$1:$Q$400,"One Time",SF_Output!$L$1:$L$400,"professional service")/N269))))</f>
        <v/>
      </c>
      <c r="P269" s="6" t="str">
        <f t="shared" si="70"/>
        <v/>
      </c>
      <c r="R269" s="6" t="str">
        <f>IF(B269="","",SUMIFS(SF_Output!$S$1:$S$400,SF_Output!$AC$1:$AC$400,_xlfn.TEXTJOIN(",",TRUE,B269:E269),SF_Output!$Q$1:$Q$400,"yearly")+SUMIFS(SF_Output!$S$1:$S$400,SF_Output!$AC$1:$AC$400,_xlfn.TEXTJOIN(",",TRUE,B269:E269),SF_Output!$Q$1:$Q$400,"quarterly")*4)</f>
        <v/>
      </c>
      <c r="S269" s="112" t="str">
        <f>IF(OR(B269=0,B269="",G269="hardware",R269=0),"",IF(AF269&lt;&gt;"exclusion",MAX(S$9,-(SUMIFS(SF_Output!$T$1:$T$400,SF_Output!$AC$1:$AC$400,_xlfn.TEXTJOIN(",",TRUE,$B269:$E269),SF_Output!$Q$1:$Q$400,"yearly"))/R269),-((SUMIFS(SF_Output!$T$1:$T$400,SF_Output!$AC$1:$AC$400,_xlfn.TEXTJOIN(",",TRUE,$B269:$E269),SF_Output!$Q$1:$Q$400,"yearly")/R269))))</f>
        <v/>
      </c>
      <c r="T269" s="6" t="str">
        <f t="shared" si="71"/>
        <v/>
      </c>
      <c r="V269" s="6" t="str" cm="1">
        <f t="array" ref="V269">_xlfn.IFS(B269="","",AND(B269&lt;&gt;"",H269=SF_Output!$Y$2,SUMIFS(SF_Output!$T$1:$T$400,SF_Output!$AC$1:$AC$400,_xlfn.TEXTJOIN(",",TRUE,B269:E269),SF_Output!$Q$1:$Q$400,"monthly")=0),(SUMIFS(SF_Output!$F$1:$F$400,SF_Output!$AC$1:$AC$400,_xlfn.TEXTJOIN(",",TRUE,B269:E269),SF_Output!$Q$1:$Q$400,"monthly")+SUMIFS(SF_Output!$G$1:$G$400,SF_Output!$AC$1:$AC$400,_xlfn.TEXTJOIN(",",TRUE,B269:E269),SF_Output!$Q$1:$Q$400,"monthly"))*H269,AND(B269&lt;&gt;"",H269=SF_Output!$Y$2,SUMIFS(SF_Output!$T$1:$T$400,SF_Output!$AC$1:$AC$400,_xlfn.TEXTJOIN(",",TRUE,B269:E269),SF_Output!$Q$1:$Q$400,"monthly")&lt;&gt;0),SUMIFS(SF_Output!$S$1:$S$400,SF_Output!$AC$1:$AC$400,_xlfn.TEXTJOIN(",",TRUE,B269:E269),SF_Output!$Q$1:$Q$400,"monthly"),AND(B269&lt;&gt;"",H269&lt;&gt;SF_Output!$Y$2),SUMIFS(SF_Output!$S$1:$S$400,SF_Output!$AC$1:$AC$400,_xlfn.TEXTJOIN(",",TRUE,B269:E269),SF_Output!$Q$1:$Q$400,"monthly"))</f>
        <v/>
      </c>
      <c r="W269" s="112" t="str" cm="1">
        <f t="array" ref="W269">_xlfn.IFS(OR(B269=0,B269="",V269=0),"",AF269&lt;&gt;"exclusion",MAX($W$9,$W$7,(-(SUMIFS(SF_Output!$T$1:$T$400,SF_Output!$AC$1:$AC$400,_xlfn.TEXTJOIN(",",TRUE,$B269:$E269),SF_Output!$Q$1:$Q$400,"monthly"))/V269)),AF269="exclusion",-(SUMIFS(SF_Output!$T$1:$T$400,SF_Output!$AC$1:$AC$400,_xlfn.TEXTJOIN(",",TRUE,$B269:$E269),SF_Output!$Q$1:$Q$400,"monthly"))/V269)</f>
        <v/>
      </c>
      <c r="X269" s="6" t="str" cm="1">
        <f t="array" ref="X269">IFERROR(_xlfn.IFS(V269=0,0,V269="","",W269=0,V269,OR(V269&lt;&gt;0,V269&lt;&gt;""),H269*I269),V269*(1-W269))</f>
        <v/>
      </c>
      <c r="Z269" s="6" t="str">
        <f>IFERROR(IF(B269="","",SUMIFS(Billing_Fallout!H:H,Billing_Fallout!N:N,B269)),0)</f>
        <v/>
      </c>
      <c r="AA269" s="6" t="str">
        <f t="shared" si="72"/>
        <v/>
      </c>
      <c r="AB269" s="6" t="str">
        <f>IFERROR(IF(B269="","",SUMIFS(Billing_Fallout!J:J,Billing_Fallout!N:N,B269)),0)</f>
        <v/>
      </c>
      <c r="AD269" s="6" t="str">
        <f t="shared" si="73"/>
        <v/>
      </c>
      <c r="AF269" t="str">
        <f>IFERROR(INDEX(H_Tables!$B$1:$B$1500,MATCH(INDEX(SF_Output!$J$1:$J$400,MATCH(B269,SF_Output!$M$1:$M$400,0)),H_Tables!$A$1:$A$1500,0)),"")</f>
        <v/>
      </c>
      <c r="AI269" s="119" t="str">
        <f t="shared" si="74"/>
        <v/>
      </c>
      <c r="AJ269" s="121">
        <f>IFERROR(INDEX(SF_Output!AD:AD,MATCH(_xlfn.TEXTJOIN(",",TRUE,B269:E269),SF_Output!AC20:AC419,0)),0.05)</f>
        <v>222</v>
      </c>
      <c r="AK269" t="str">
        <f>IF(SUMIFS(SF_Output!$F$1:$F$400,SF_Output!$AC$1:$AC$400,_xlfn.TEXTJOIN(",",TRUE,B269:E269))+SUMIFS(SF_Output!$G$1:$G$400,SF_Output!$AC$1:$AC$400,_xlfn.TEXTJOIN(",",TRUE,B269:E269))=0,"","PAP")</f>
        <v/>
      </c>
      <c r="AQ269" s="35"/>
      <c r="AR269" s="35" t="str" cm="1">
        <f t="array" ref="AR269">IFERROR(_xlfn.IFS(AND(E269*1=1,F269="Included"),"Change to Included",AND(E269*1=0,F269="Optional"),"Change to Optional",OR(B269="",F269="replaced"),""),"")</f>
        <v/>
      </c>
      <c r="AS269" s="35" t="str">
        <f t="shared" si="75"/>
        <v/>
      </c>
      <c r="AT269" s="35" t="str">
        <f t="shared" si="76"/>
        <v/>
      </c>
      <c r="AU269" s="35" t="str">
        <f t="shared" si="77"/>
        <v/>
      </c>
      <c r="AV269" s="35" t="str">
        <f t="shared" si="78"/>
        <v/>
      </c>
      <c r="AW269" s="35" t="str">
        <f t="shared" si="79"/>
        <v/>
      </c>
      <c r="AX269" s="35" t="str">
        <f t="shared" si="80"/>
        <v/>
      </c>
      <c r="AY269" s="35" t="str">
        <f t="shared" si="81"/>
        <v/>
      </c>
      <c r="AZ269" s="35" t="str">
        <f t="shared" si="82"/>
        <v/>
      </c>
      <c r="BA269" s="35" t="str">
        <f t="shared" si="83"/>
        <v/>
      </c>
      <c r="BB269" s="35" t="str">
        <f t="shared" si="84"/>
        <v/>
      </c>
      <c r="BC269" s="35"/>
      <c r="BE269" s="35" t="e">
        <f>INDEX(SF_Output!$AA$2:$AA$400,MATCH($B269,SF_Output!$M$2:$M$400,0))</f>
        <v>#N/A</v>
      </c>
      <c r="BF269" s="35" t="e">
        <f>INDEX(SF_Output!$AB$2:$AB$400,MATCH($B269,SF_Output!$M$2:$M$400,0))</f>
        <v>#N/A</v>
      </c>
    </row>
    <row r="270" spans="6:58" x14ac:dyDescent="0.25">
      <c r="F270" s="116" t="str">
        <f t="shared" si="68"/>
        <v/>
      </c>
      <c r="G270" t="str">
        <f>IF(B270="","",INDEX(SF_Output!$K$1:$K$400,MATCH(B270,SF_Output!$M$1:$M$400,0)))</f>
        <v/>
      </c>
      <c r="H270" t="str" cm="1">
        <f t="array" ref="H270">_xlfn.IFS(B270="","",(SUMIFS(SF_Output!$F$1:$F$400,SF_Output!$AC$1:$AC$400,_xlfn.TEXTJOIN(",",TRUE,B270:E270))+SUMIFS(SF_Output!$G$1:$G$400,SF_Output!$AC$1:$AC$400,_xlfn.TEXTJOIN(",",TRUE,B270:E270)))&lt;&gt;0,SF_Output!$Y$2,INDEX(SF_Output!$F$1:$F$400,MATCH(_xlfn.TEXTJOIN(",",TRUE,B270:E270),SF_Output!$AC$1:$AC$400,0))=0,INDEX(SF_Output!$R$1:$R$400,MATCH(_xlfn.TEXTJOIN(",",TRUE,B270:E270),SF_Output!$AC$1:$AC$400,0)))</f>
        <v/>
      </c>
      <c r="I270" s="125" t="str">
        <f>IFERROR(IF(AND(H270&gt;1,H270&lt;&gt;""),ROUND(SUMIFS(SF_Output!$S$1:$S$400,SF_Output!$AC$1:$AC$400,_xlfn.TEXTJOIN(",",TRUE,B270:E270),SF_Output!$Q$1:$Q$400,"monthly")*(1-W270)/H270,4),""),"")</f>
        <v/>
      </c>
      <c r="J270" s="6" t="str">
        <f>IF(B270="","",SUMIFS(SF_Output!$S$1:$S$400,SF_Output!$AC$1:$AC$400,_xlfn.TEXTJOIN(",",TRUE,B270:E270),SF_Output!$Q$1:$Q$400,"One Time",SF_Output!$L$1:$L$400,"license fee")+SUMIFS(SF_Output!$S$1:$S$400,SF_Output!$AC$1:$AC$400,_xlfn.TEXTJOIN(",",TRUE,B270:E270),SF_Output!$Q$1:$Q$400,"One Time",SF_Output!$L$1:$L$400,"software license")+SUMIFS(SF_Output!$S$1:$S$400,SF_Output!$AC$1:$AC$400,_xlfn.TEXTJOIN(",",TRUE,B270:E270),SF_Output!$Q$1:$Q$400,"One Time",SF_Output!$L$1:$L$400,"hardware"))</f>
        <v/>
      </c>
      <c r="K270" s="112" t="str">
        <f>IF(OR(B270=0,B270="",G270="hardware",J270=0),"",IF(AF270&lt;&gt;"exclusion",MAX(K$9,-((SUMIFS(SF_Output!$T$1:$T$400,SF_Output!$AC$1:$AC$400,_xlfn.TEXTJOIN(",",TRUE,$B270:$E270),SF_Output!$Q$1:$Q$400,"One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license"))/J270)))</f>
        <v/>
      </c>
      <c r="L270" s="6" t="str">
        <f t="shared" si="69"/>
        <v/>
      </c>
      <c r="N270" s="6" t="str">
        <f>IF(B270="","",SUMIFS(SF_Output!$S$1:$S$400,SF_Output!$AC$1:$AC$400,_xlfn.TEXTJOIN(",",TRUE,B270:E270),SF_Output!$Q$1:$Q$400,"One Time",SF_Output!$L$1:$L$400,"professional service"))</f>
        <v/>
      </c>
      <c r="O270" s="112" t="str">
        <f>IF(OR(B270=0,B270="",N270=0),"",IF(AF270&lt;&gt;"exclusion",MAX(O$9,-(SUMIFS(SF_Output!$T$1:$T$400,SF_Output!$AC$1:$AC$400,_xlfn.TEXTJOIN(",",TRUE,$B270:$E270),SF_Output!$Q$1:$Q$400,"One Time",SF_Output!$L$1:$L$400,"professional service"))/N270),-((SUMIFS(SF_Output!$T$1:$T$400,SF_Output!$AC$1:$AC$400,_xlfn.TEXTJOIN(",",TRUE,$B270:$E270),SF_Output!$Q$1:$Q$400,"One Time",SF_Output!$L$1:$L$400,"professional service")/N270))))</f>
        <v/>
      </c>
      <c r="P270" s="6" t="str">
        <f t="shared" si="70"/>
        <v/>
      </c>
      <c r="R270" s="6" t="str">
        <f>IF(B270="","",SUMIFS(SF_Output!$S$1:$S$400,SF_Output!$AC$1:$AC$400,_xlfn.TEXTJOIN(",",TRUE,B270:E270),SF_Output!$Q$1:$Q$400,"yearly")+SUMIFS(SF_Output!$S$1:$S$400,SF_Output!$AC$1:$AC$400,_xlfn.TEXTJOIN(",",TRUE,B270:E270),SF_Output!$Q$1:$Q$400,"quarterly")*4)</f>
        <v/>
      </c>
      <c r="S270" s="112" t="str">
        <f>IF(OR(B270=0,B270="",G270="hardware",R270=0),"",IF(AF270&lt;&gt;"exclusion",MAX(S$9,-(SUMIFS(SF_Output!$T$1:$T$400,SF_Output!$AC$1:$AC$400,_xlfn.TEXTJOIN(",",TRUE,$B270:$E270),SF_Output!$Q$1:$Q$400,"yearly"))/R270),-((SUMIFS(SF_Output!$T$1:$T$400,SF_Output!$AC$1:$AC$400,_xlfn.TEXTJOIN(",",TRUE,$B270:$E270),SF_Output!$Q$1:$Q$400,"yearly")/R270))))</f>
        <v/>
      </c>
      <c r="T270" s="6" t="str">
        <f t="shared" si="71"/>
        <v/>
      </c>
      <c r="V270" s="6" t="str" cm="1">
        <f t="array" ref="V270">_xlfn.IFS(B270="","",AND(B270&lt;&gt;"",H270=SF_Output!$Y$2,SUMIFS(SF_Output!$T$1:$T$400,SF_Output!$AC$1:$AC$400,_xlfn.TEXTJOIN(",",TRUE,B270:E270),SF_Output!$Q$1:$Q$400,"monthly")=0),(SUMIFS(SF_Output!$F$1:$F$400,SF_Output!$AC$1:$AC$400,_xlfn.TEXTJOIN(",",TRUE,B270:E270),SF_Output!$Q$1:$Q$400,"monthly")+SUMIFS(SF_Output!$G$1:$G$400,SF_Output!$AC$1:$AC$400,_xlfn.TEXTJOIN(",",TRUE,B270:E270),SF_Output!$Q$1:$Q$400,"monthly"))*H270,AND(B270&lt;&gt;"",H270=SF_Output!$Y$2,SUMIFS(SF_Output!$T$1:$T$400,SF_Output!$AC$1:$AC$400,_xlfn.TEXTJOIN(",",TRUE,B270:E270),SF_Output!$Q$1:$Q$400,"monthly")&lt;&gt;0),SUMIFS(SF_Output!$S$1:$S$400,SF_Output!$AC$1:$AC$400,_xlfn.TEXTJOIN(",",TRUE,B270:E270),SF_Output!$Q$1:$Q$400,"monthly"),AND(B270&lt;&gt;"",H270&lt;&gt;SF_Output!$Y$2),SUMIFS(SF_Output!$S$1:$S$400,SF_Output!$AC$1:$AC$400,_xlfn.TEXTJOIN(",",TRUE,B270:E270),SF_Output!$Q$1:$Q$400,"monthly"))</f>
        <v/>
      </c>
      <c r="W270" s="112" t="str" cm="1">
        <f t="array" ref="W270">_xlfn.IFS(OR(B270=0,B270="",V270=0),"",AF270&lt;&gt;"exclusion",MAX($W$9,$W$7,(-(SUMIFS(SF_Output!$T$1:$T$400,SF_Output!$AC$1:$AC$400,_xlfn.TEXTJOIN(",",TRUE,$B270:$E270),SF_Output!$Q$1:$Q$400,"monthly"))/V270)),AF270="exclusion",-(SUMIFS(SF_Output!$T$1:$T$400,SF_Output!$AC$1:$AC$400,_xlfn.TEXTJOIN(",",TRUE,$B270:$E270),SF_Output!$Q$1:$Q$400,"monthly"))/V270)</f>
        <v/>
      </c>
      <c r="X270" s="6" t="str" cm="1">
        <f t="array" ref="X270">IFERROR(_xlfn.IFS(V270=0,0,V270="","",W270=0,V270,OR(V270&lt;&gt;0,V270&lt;&gt;""),H270*I270),V270*(1-W270))</f>
        <v/>
      </c>
      <c r="Z270" s="6" t="str">
        <f>IFERROR(IF(B270="","",SUMIFS(Billing_Fallout!H:H,Billing_Fallout!N:N,B270)),0)</f>
        <v/>
      </c>
      <c r="AA270" s="6" t="str">
        <f t="shared" si="72"/>
        <v/>
      </c>
      <c r="AB270" s="6" t="str">
        <f>IFERROR(IF(B270="","",SUMIFS(Billing_Fallout!J:J,Billing_Fallout!N:N,B270)),0)</f>
        <v/>
      </c>
      <c r="AD270" s="6" t="str">
        <f t="shared" si="73"/>
        <v/>
      </c>
      <c r="AF270" t="str">
        <f>IFERROR(INDEX(H_Tables!$B$1:$B$1500,MATCH(INDEX(SF_Output!$J$1:$J$400,MATCH(B270,SF_Output!$M$1:$M$400,0)),H_Tables!$A$1:$A$1500,0)),"")</f>
        <v/>
      </c>
      <c r="AI270" s="119" t="str">
        <f t="shared" si="74"/>
        <v/>
      </c>
      <c r="AJ270" s="121">
        <f>IFERROR(INDEX(SF_Output!AD:AD,MATCH(_xlfn.TEXTJOIN(",",TRUE,B270:E270),SF_Output!AC21:AC420,0)),0.05)</f>
        <v>221</v>
      </c>
      <c r="AK270" t="str">
        <f>IF(SUMIFS(SF_Output!$F$1:$F$400,SF_Output!$AC$1:$AC$400,_xlfn.TEXTJOIN(",",TRUE,B270:E270))+SUMIFS(SF_Output!$G$1:$G$400,SF_Output!$AC$1:$AC$400,_xlfn.TEXTJOIN(",",TRUE,B270:E270))=0,"","PAP")</f>
        <v/>
      </c>
      <c r="AQ270" s="35"/>
      <c r="AR270" s="35" t="str" cm="1">
        <f t="array" ref="AR270">IFERROR(_xlfn.IFS(AND(E270*1=1,F270="Included"),"Change to Included",AND(E270*1=0,F270="Optional"),"Change to Optional",OR(B270="",F270="replaced"),""),"")</f>
        <v/>
      </c>
      <c r="AS270" s="35" t="str">
        <f t="shared" si="75"/>
        <v/>
      </c>
      <c r="AT270" s="35" t="str">
        <f t="shared" si="76"/>
        <v/>
      </c>
      <c r="AU270" s="35" t="str">
        <f t="shared" si="77"/>
        <v/>
      </c>
      <c r="AV270" s="35" t="str">
        <f t="shared" si="78"/>
        <v/>
      </c>
      <c r="AW270" s="35" t="str">
        <f t="shared" si="79"/>
        <v/>
      </c>
      <c r="AX270" s="35" t="str">
        <f t="shared" si="80"/>
        <v/>
      </c>
      <c r="AY270" s="35" t="str">
        <f t="shared" si="81"/>
        <v/>
      </c>
      <c r="AZ270" s="35" t="str">
        <f t="shared" si="82"/>
        <v/>
      </c>
      <c r="BA270" s="35" t="str">
        <f t="shared" si="83"/>
        <v/>
      </c>
      <c r="BB270" s="35" t="str">
        <f t="shared" si="84"/>
        <v/>
      </c>
      <c r="BC270" s="35"/>
      <c r="BE270" s="35" t="e">
        <f>INDEX(SF_Output!$AA$2:$AA$400,MATCH($B270,SF_Output!$M$2:$M$400,0))</f>
        <v>#N/A</v>
      </c>
      <c r="BF270" s="35" t="e">
        <f>INDEX(SF_Output!$AB$2:$AB$400,MATCH($B270,SF_Output!$M$2:$M$400,0))</f>
        <v>#N/A</v>
      </c>
    </row>
    <row r="271" spans="6:58" x14ac:dyDescent="0.25">
      <c r="F271" s="116" t="str">
        <f t="shared" si="68"/>
        <v/>
      </c>
      <c r="G271" t="str">
        <f>IF(B271="","",INDEX(SF_Output!$K$1:$K$400,MATCH(B271,SF_Output!$M$1:$M$400,0)))</f>
        <v/>
      </c>
      <c r="H271" t="str" cm="1">
        <f t="array" ref="H271">_xlfn.IFS(B271="","",(SUMIFS(SF_Output!$F$1:$F$400,SF_Output!$AC$1:$AC$400,_xlfn.TEXTJOIN(",",TRUE,B271:E271))+SUMIFS(SF_Output!$G$1:$G$400,SF_Output!$AC$1:$AC$400,_xlfn.TEXTJOIN(",",TRUE,B271:E271)))&lt;&gt;0,SF_Output!$Y$2,INDEX(SF_Output!$F$1:$F$400,MATCH(_xlfn.TEXTJOIN(",",TRUE,B271:E271),SF_Output!$AC$1:$AC$400,0))=0,INDEX(SF_Output!$R$1:$R$400,MATCH(_xlfn.TEXTJOIN(",",TRUE,B271:E271),SF_Output!$AC$1:$AC$400,0)))</f>
        <v/>
      </c>
      <c r="I271" s="125" t="str">
        <f>IFERROR(IF(AND(H271&gt;1,H271&lt;&gt;""),ROUND(SUMIFS(SF_Output!$S$1:$S$400,SF_Output!$AC$1:$AC$400,_xlfn.TEXTJOIN(",",TRUE,B271:E271),SF_Output!$Q$1:$Q$400,"monthly")*(1-W271)/H271,4),""),"")</f>
        <v/>
      </c>
      <c r="J271" s="6" t="str">
        <f>IF(B271="","",SUMIFS(SF_Output!$S$1:$S$400,SF_Output!$AC$1:$AC$400,_xlfn.TEXTJOIN(",",TRUE,B271:E271),SF_Output!$Q$1:$Q$400,"One Time",SF_Output!$L$1:$L$400,"license fee")+SUMIFS(SF_Output!$S$1:$S$400,SF_Output!$AC$1:$AC$400,_xlfn.TEXTJOIN(",",TRUE,B271:E271),SF_Output!$Q$1:$Q$400,"One Time",SF_Output!$L$1:$L$400,"software license")+SUMIFS(SF_Output!$S$1:$S$400,SF_Output!$AC$1:$AC$400,_xlfn.TEXTJOIN(",",TRUE,B271:E271),SF_Output!$Q$1:$Q$400,"One Time",SF_Output!$L$1:$L$400,"hardware"))</f>
        <v/>
      </c>
      <c r="K271" s="112" t="str">
        <f>IF(OR(B271=0,B271="",G271="hardware",J271=0),"",IF(AF271&lt;&gt;"exclusion",MAX(K$9,-((SUMIFS(SF_Output!$T$1:$T$400,SF_Output!$AC$1:$AC$400,_xlfn.TEXTJOIN(",",TRUE,$B271:$E271),SF_Output!$Q$1:$Q$400,"One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license"))/J271)))</f>
        <v/>
      </c>
      <c r="L271" s="6" t="str">
        <f t="shared" si="69"/>
        <v/>
      </c>
      <c r="N271" s="6" t="str">
        <f>IF(B271="","",SUMIFS(SF_Output!$S$1:$S$400,SF_Output!$AC$1:$AC$400,_xlfn.TEXTJOIN(",",TRUE,B271:E271),SF_Output!$Q$1:$Q$400,"One Time",SF_Output!$L$1:$L$400,"professional service"))</f>
        <v/>
      </c>
      <c r="O271" s="112" t="str">
        <f>IF(OR(B271=0,B271="",N271=0),"",IF(AF271&lt;&gt;"exclusion",MAX(O$9,-(SUMIFS(SF_Output!$T$1:$T$400,SF_Output!$AC$1:$AC$400,_xlfn.TEXTJOIN(",",TRUE,$B271:$E271),SF_Output!$Q$1:$Q$400,"One Time",SF_Output!$L$1:$L$400,"professional service"))/N271),-((SUMIFS(SF_Output!$T$1:$T$400,SF_Output!$AC$1:$AC$400,_xlfn.TEXTJOIN(",",TRUE,$B271:$E271),SF_Output!$Q$1:$Q$400,"One Time",SF_Output!$L$1:$L$400,"professional service")/N271))))</f>
        <v/>
      </c>
      <c r="P271" s="6" t="str">
        <f t="shared" si="70"/>
        <v/>
      </c>
      <c r="R271" s="6" t="str">
        <f>IF(B271="","",SUMIFS(SF_Output!$S$1:$S$400,SF_Output!$AC$1:$AC$400,_xlfn.TEXTJOIN(",",TRUE,B271:E271),SF_Output!$Q$1:$Q$400,"yearly")+SUMIFS(SF_Output!$S$1:$S$400,SF_Output!$AC$1:$AC$400,_xlfn.TEXTJOIN(",",TRUE,B271:E271),SF_Output!$Q$1:$Q$400,"quarterly")*4)</f>
        <v/>
      </c>
      <c r="S271" s="112" t="str">
        <f>IF(OR(B271=0,B271="",G271="hardware",R271=0),"",IF(AF271&lt;&gt;"exclusion",MAX(S$9,-(SUMIFS(SF_Output!$T$1:$T$400,SF_Output!$AC$1:$AC$400,_xlfn.TEXTJOIN(",",TRUE,$B271:$E271),SF_Output!$Q$1:$Q$400,"yearly"))/R271),-((SUMIFS(SF_Output!$T$1:$T$400,SF_Output!$AC$1:$AC$400,_xlfn.TEXTJOIN(",",TRUE,$B271:$E271),SF_Output!$Q$1:$Q$400,"yearly")/R271))))</f>
        <v/>
      </c>
      <c r="T271" s="6" t="str">
        <f t="shared" si="71"/>
        <v/>
      </c>
      <c r="V271" s="6" t="str" cm="1">
        <f t="array" ref="V271">_xlfn.IFS(B271="","",AND(B271&lt;&gt;"",H271=SF_Output!$Y$2,SUMIFS(SF_Output!$T$1:$T$400,SF_Output!$AC$1:$AC$400,_xlfn.TEXTJOIN(",",TRUE,B271:E271),SF_Output!$Q$1:$Q$400,"monthly")=0),(SUMIFS(SF_Output!$F$1:$F$400,SF_Output!$AC$1:$AC$400,_xlfn.TEXTJOIN(",",TRUE,B271:E271),SF_Output!$Q$1:$Q$400,"monthly")+SUMIFS(SF_Output!$G$1:$G$400,SF_Output!$AC$1:$AC$400,_xlfn.TEXTJOIN(",",TRUE,B271:E271),SF_Output!$Q$1:$Q$400,"monthly"))*H271,AND(B271&lt;&gt;"",H271=SF_Output!$Y$2,SUMIFS(SF_Output!$T$1:$T$400,SF_Output!$AC$1:$AC$400,_xlfn.TEXTJOIN(",",TRUE,B271:E271),SF_Output!$Q$1:$Q$400,"monthly")&lt;&gt;0),SUMIFS(SF_Output!$S$1:$S$400,SF_Output!$AC$1:$AC$400,_xlfn.TEXTJOIN(",",TRUE,B271:E271),SF_Output!$Q$1:$Q$400,"monthly"),AND(B271&lt;&gt;"",H271&lt;&gt;SF_Output!$Y$2),SUMIFS(SF_Output!$S$1:$S$400,SF_Output!$AC$1:$AC$400,_xlfn.TEXTJOIN(",",TRUE,B271:E271),SF_Output!$Q$1:$Q$400,"monthly"))</f>
        <v/>
      </c>
      <c r="W271" s="112" t="str" cm="1">
        <f t="array" ref="W271">_xlfn.IFS(OR(B271=0,B271="",V271=0),"",AF271&lt;&gt;"exclusion",MAX($W$9,$W$7,(-(SUMIFS(SF_Output!$T$1:$T$400,SF_Output!$AC$1:$AC$400,_xlfn.TEXTJOIN(",",TRUE,$B271:$E271),SF_Output!$Q$1:$Q$400,"monthly"))/V271)),AF271="exclusion",-(SUMIFS(SF_Output!$T$1:$T$400,SF_Output!$AC$1:$AC$400,_xlfn.TEXTJOIN(",",TRUE,$B271:$E271),SF_Output!$Q$1:$Q$400,"monthly"))/V271)</f>
        <v/>
      </c>
      <c r="X271" s="6" t="str" cm="1">
        <f t="array" ref="X271">IFERROR(_xlfn.IFS(V271=0,0,V271="","",W271=0,V271,OR(V271&lt;&gt;0,V271&lt;&gt;""),H271*I271),V271*(1-W271))</f>
        <v/>
      </c>
      <c r="Z271" s="6" t="str">
        <f>IFERROR(IF(B271="","",SUMIFS(Billing_Fallout!H:H,Billing_Fallout!N:N,B271)),0)</f>
        <v/>
      </c>
      <c r="AA271" s="6" t="str">
        <f t="shared" si="72"/>
        <v/>
      </c>
      <c r="AB271" s="6" t="str">
        <f>IFERROR(IF(B271="","",SUMIFS(Billing_Fallout!J:J,Billing_Fallout!N:N,B271)),0)</f>
        <v/>
      </c>
      <c r="AD271" s="6" t="str">
        <f t="shared" si="73"/>
        <v/>
      </c>
      <c r="AF271" t="str">
        <f>IFERROR(INDEX(H_Tables!$B$1:$B$1500,MATCH(INDEX(SF_Output!$J$1:$J$400,MATCH(B271,SF_Output!$M$1:$M$400,0)),H_Tables!$A$1:$A$1500,0)),"")</f>
        <v/>
      </c>
      <c r="AI271" s="119" t="str">
        <f t="shared" si="74"/>
        <v/>
      </c>
      <c r="AJ271" s="121">
        <f>IFERROR(INDEX(SF_Output!AD:AD,MATCH(_xlfn.TEXTJOIN(",",TRUE,B271:E271),SF_Output!AC22:AC421,0)),0.05)</f>
        <v>220</v>
      </c>
      <c r="AK271" t="str">
        <f>IF(SUMIFS(SF_Output!$F$1:$F$400,SF_Output!$AC$1:$AC$400,_xlfn.TEXTJOIN(",",TRUE,B271:E271))+SUMIFS(SF_Output!$G$1:$G$400,SF_Output!$AC$1:$AC$400,_xlfn.TEXTJOIN(",",TRUE,B271:E271))=0,"","PAP")</f>
        <v/>
      </c>
      <c r="AQ271" s="35"/>
      <c r="AR271" s="35" t="str" cm="1">
        <f t="array" ref="AR271">IFERROR(_xlfn.IFS(AND(E271*1=1,F271="Included"),"Change to Included",AND(E271*1=0,F271="Optional"),"Change to Optional",OR(B271="",F271="replaced"),""),"")</f>
        <v/>
      </c>
      <c r="AS271" s="35" t="str">
        <f t="shared" si="75"/>
        <v/>
      </c>
      <c r="AT271" s="35" t="str">
        <f t="shared" si="76"/>
        <v/>
      </c>
      <c r="AU271" s="35" t="str">
        <f t="shared" si="77"/>
        <v/>
      </c>
      <c r="AV271" s="35" t="str">
        <f t="shared" si="78"/>
        <v/>
      </c>
      <c r="AW271" s="35" t="str">
        <f t="shared" si="79"/>
        <v/>
      </c>
      <c r="AX271" s="35" t="str">
        <f t="shared" si="80"/>
        <v/>
      </c>
      <c r="AY271" s="35" t="str">
        <f t="shared" si="81"/>
        <v/>
      </c>
      <c r="AZ271" s="35" t="str">
        <f t="shared" si="82"/>
        <v/>
      </c>
      <c r="BA271" s="35" t="str">
        <f t="shared" si="83"/>
        <v/>
      </c>
      <c r="BB271" s="35" t="str">
        <f t="shared" si="84"/>
        <v/>
      </c>
      <c r="BC271" s="35"/>
      <c r="BE271" s="35" t="e">
        <f>INDEX(SF_Output!$AA$2:$AA$400,MATCH($B271,SF_Output!$M$2:$M$400,0))</f>
        <v>#N/A</v>
      </c>
      <c r="BF271" s="35" t="e">
        <f>INDEX(SF_Output!$AB$2:$AB$400,MATCH($B271,SF_Output!$M$2:$M$400,0))</f>
        <v>#N/A</v>
      </c>
    </row>
    <row r="272" spans="6:58" x14ac:dyDescent="0.25">
      <c r="F272" s="116" t="str">
        <f t="shared" si="68"/>
        <v/>
      </c>
      <c r="G272" t="str">
        <f>IF(B272="","",INDEX(SF_Output!$K$1:$K$400,MATCH(B272,SF_Output!$M$1:$M$400,0)))</f>
        <v/>
      </c>
      <c r="H272" t="str" cm="1">
        <f t="array" ref="H272">_xlfn.IFS(B272="","",(SUMIFS(SF_Output!$F$1:$F$400,SF_Output!$AC$1:$AC$400,_xlfn.TEXTJOIN(",",TRUE,B272:E272))+SUMIFS(SF_Output!$G$1:$G$400,SF_Output!$AC$1:$AC$400,_xlfn.TEXTJOIN(",",TRUE,B272:E272)))&lt;&gt;0,SF_Output!$Y$2,INDEX(SF_Output!$F$1:$F$400,MATCH(_xlfn.TEXTJOIN(",",TRUE,B272:E272),SF_Output!$AC$1:$AC$400,0))=0,INDEX(SF_Output!$R$1:$R$400,MATCH(_xlfn.TEXTJOIN(",",TRUE,B272:E272),SF_Output!$AC$1:$AC$400,0)))</f>
        <v/>
      </c>
      <c r="I272" s="125" t="str">
        <f>IFERROR(IF(AND(H272&gt;1,H272&lt;&gt;""),ROUND(SUMIFS(SF_Output!$S$1:$S$400,SF_Output!$AC$1:$AC$400,_xlfn.TEXTJOIN(",",TRUE,B272:E272),SF_Output!$Q$1:$Q$400,"monthly")*(1-W272)/H272,4),""),"")</f>
        <v/>
      </c>
      <c r="J272" s="6" t="str">
        <f>IF(B272="","",SUMIFS(SF_Output!$S$1:$S$400,SF_Output!$AC$1:$AC$400,_xlfn.TEXTJOIN(",",TRUE,B272:E272),SF_Output!$Q$1:$Q$400,"One Time",SF_Output!$L$1:$L$400,"license fee")+SUMIFS(SF_Output!$S$1:$S$400,SF_Output!$AC$1:$AC$400,_xlfn.TEXTJOIN(",",TRUE,B272:E272),SF_Output!$Q$1:$Q$400,"One Time",SF_Output!$L$1:$L$400,"software license")+SUMIFS(SF_Output!$S$1:$S$400,SF_Output!$AC$1:$AC$400,_xlfn.TEXTJOIN(",",TRUE,B272:E272),SF_Output!$Q$1:$Q$400,"One Time",SF_Output!$L$1:$L$400,"hardware"))</f>
        <v/>
      </c>
      <c r="K272" s="112" t="str">
        <f>IF(OR(B272=0,B272="",G272="hardware",J272=0),"",IF(AF272&lt;&gt;"exclusion",MAX(K$9,-((SUMIFS(SF_Output!$T$1:$T$400,SF_Output!$AC$1:$AC$400,_xlfn.TEXTJOIN(",",TRUE,$B272:$E272),SF_Output!$Q$1:$Q$400,"One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license"))/J272)))</f>
        <v/>
      </c>
      <c r="L272" s="6" t="str">
        <f t="shared" si="69"/>
        <v/>
      </c>
      <c r="N272" s="6" t="str">
        <f>IF(B272="","",SUMIFS(SF_Output!$S$1:$S$400,SF_Output!$AC$1:$AC$400,_xlfn.TEXTJOIN(",",TRUE,B272:E272),SF_Output!$Q$1:$Q$400,"One Time",SF_Output!$L$1:$L$400,"professional service"))</f>
        <v/>
      </c>
      <c r="O272" s="112" t="str">
        <f>IF(OR(B272=0,B272="",N272=0),"",IF(AF272&lt;&gt;"exclusion",MAX(O$9,-(SUMIFS(SF_Output!$T$1:$T$400,SF_Output!$AC$1:$AC$400,_xlfn.TEXTJOIN(",",TRUE,$B272:$E272),SF_Output!$Q$1:$Q$400,"One Time",SF_Output!$L$1:$L$400,"professional service"))/N272),-((SUMIFS(SF_Output!$T$1:$T$400,SF_Output!$AC$1:$AC$400,_xlfn.TEXTJOIN(",",TRUE,$B272:$E272),SF_Output!$Q$1:$Q$400,"One Time",SF_Output!$L$1:$L$400,"professional service")/N272))))</f>
        <v/>
      </c>
      <c r="P272" s="6" t="str">
        <f t="shared" si="70"/>
        <v/>
      </c>
      <c r="R272" s="6" t="str">
        <f>IF(B272="","",SUMIFS(SF_Output!$S$1:$S$400,SF_Output!$AC$1:$AC$400,_xlfn.TEXTJOIN(",",TRUE,B272:E272),SF_Output!$Q$1:$Q$400,"yearly")+SUMIFS(SF_Output!$S$1:$S$400,SF_Output!$AC$1:$AC$400,_xlfn.TEXTJOIN(",",TRUE,B272:E272),SF_Output!$Q$1:$Q$400,"quarterly")*4)</f>
        <v/>
      </c>
      <c r="S272" s="112" t="str">
        <f>IF(OR(B272=0,B272="",G272="hardware",R272=0),"",IF(AF272&lt;&gt;"exclusion",MAX(S$9,-(SUMIFS(SF_Output!$T$1:$T$400,SF_Output!$AC$1:$AC$400,_xlfn.TEXTJOIN(",",TRUE,$B272:$E272),SF_Output!$Q$1:$Q$400,"yearly"))/R272),-((SUMIFS(SF_Output!$T$1:$T$400,SF_Output!$AC$1:$AC$400,_xlfn.TEXTJOIN(",",TRUE,$B272:$E272),SF_Output!$Q$1:$Q$400,"yearly")/R272))))</f>
        <v/>
      </c>
      <c r="T272" s="6" t="str">
        <f t="shared" si="71"/>
        <v/>
      </c>
      <c r="V272" s="6" t="str" cm="1">
        <f t="array" ref="V272">_xlfn.IFS(B272="","",AND(B272&lt;&gt;"",H272=SF_Output!$Y$2,SUMIFS(SF_Output!$T$1:$T$400,SF_Output!$AC$1:$AC$400,_xlfn.TEXTJOIN(",",TRUE,B272:E272),SF_Output!$Q$1:$Q$400,"monthly")=0),(SUMIFS(SF_Output!$F$1:$F$400,SF_Output!$AC$1:$AC$400,_xlfn.TEXTJOIN(",",TRUE,B272:E272),SF_Output!$Q$1:$Q$400,"monthly")+SUMIFS(SF_Output!$G$1:$G$400,SF_Output!$AC$1:$AC$400,_xlfn.TEXTJOIN(",",TRUE,B272:E272),SF_Output!$Q$1:$Q$400,"monthly"))*H272,AND(B272&lt;&gt;"",H272=SF_Output!$Y$2,SUMIFS(SF_Output!$T$1:$T$400,SF_Output!$AC$1:$AC$400,_xlfn.TEXTJOIN(",",TRUE,B272:E272),SF_Output!$Q$1:$Q$400,"monthly")&lt;&gt;0),SUMIFS(SF_Output!$S$1:$S$400,SF_Output!$AC$1:$AC$400,_xlfn.TEXTJOIN(",",TRUE,B272:E272),SF_Output!$Q$1:$Q$400,"monthly"),AND(B272&lt;&gt;"",H272&lt;&gt;SF_Output!$Y$2),SUMIFS(SF_Output!$S$1:$S$400,SF_Output!$AC$1:$AC$400,_xlfn.TEXTJOIN(",",TRUE,B272:E272),SF_Output!$Q$1:$Q$400,"monthly"))</f>
        <v/>
      </c>
      <c r="W272" s="112" t="str" cm="1">
        <f t="array" ref="W272">_xlfn.IFS(OR(B272=0,B272="",V272=0),"",AF272&lt;&gt;"exclusion",MAX($W$9,$W$7,(-(SUMIFS(SF_Output!$T$1:$T$400,SF_Output!$AC$1:$AC$400,_xlfn.TEXTJOIN(",",TRUE,$B272:$E272),SF_Output!$Q$1:$Q$400,"monthly"))/V272)),AF272="exclusion",-(SUMIFS(SF_Output!$T$1:$T$400,SF_Output!$AC$1:$AC$400,_xlfn.TEXTJOIN(",",TRUE,$B272:$E272),SF_Output!$Q$1:$Q$400,"monthly"))/V272)</f>
        <v/>
      </c>
      <c r="X272" s="6" t="str" cm="1">
        <f t="array" ref="X272">IFERROR(_xlfn.IFS(V272=0,0,V272="","",W272=0,V272,OR(V272&lt;&gt;0,V272&lt;&gt;""),H272*I272),V272*(1-W272))</f>
        <v/>
      </c>
      <c r="Z272" s="6" t="str">
        <f>IFERROR(IF(B272="","",SUMIFS(Billing_Fallout!H:H,Billing_Fallout!N:N,B272)),0)</f>
        <v/>
      </c>
      <c r="AA272" s="6" t="str">
        <f t="shared" si="72"/>
        <v/>
      </c>
      <c r="AB272" s="6" t="str">
        <f>IFERROR(IF(B272="","",SUMIFS(Billing_Fallout!J:J,Billing_Fallout!N:N,B272)),0)</f>
        <v/>
      </c>
      <c r="AD272" s="6" t="str">
        <f t="shared" si="73"/>
        <v/>
      </c>
      <c r="AF272" t="str">
        <f>IFERROR(INDEX(H_Tables!$B$1:$B$1500,MATCH(INDEX(SF_Output!$J$1:$J$400,MATCH(B272,SF_Output!$M$1:$M$400,0)),H_Tables!$A$1:$A$1500,0)),"")</f>
        <v/>
      </c>
      <c r="AI272" s="119" t="str">
        <f t="shared" si="74"/>
        <v/>
      </c>
      <c r="AJ272" s="121">
        <f>IFERROR(INDEX(SF_Output!AD:AD,MATCH(_xlfn.TEXTJOIN(",",TRUE,B272:E272),SF_Output!AC23:AC422,0)),0.05)</f>
        <v>219</v>
      </c>
      <c r="AK272" t="str">
        <f>IF(SUMIFS(SF_Output!$F$1:$F$400,SF_Output!$AC$1:$AC$400,_xlfn.TEXTJOIN(",",TRUE,B272:E272))+SUMIFS(SF_Output!$G$1:$G$400,SF_Output!$AC$1:$AC$400,_xlfn.TEXTJOIN(",",TRUE,B272:E272))=0,"","PAP")</f>
        <v/>
      </c>
      <c r="AQ272" s="35"/>
      <c r="AR272" s="35" t="str" cm="1">
        <f t="array" ref="AR272">IFERROR(_xlfn.IFS(AND(E272*1=1,F272="Included"),"Change to Included",AND(E272*1=0,F272="Optional"),"Change to Optional",OR(B272="",F272="replaced"),""),"")</f>
        <v/>
      </c>
      <c r="AS272" s="35" t="str">
        <f t="shared" si="75"/>
        <v/>
      </c>
      <c r="AT272" s="35" t="str">
        <f t="shared" si="76"/>
        <v/>
      </c>
      <c r="AU272" s="35" t="str">
        <f t="shared" si="77"/>
        <v/>
      </c>
      <c r="AV272" s="35" t="str">
        <f t="shared" si="78"/>
        <v/>
      </c>
      <c r="AW272" s="35" t="str">
        <f t="shared" si="79"/>
        <v/>
      </c>
      <c r="AX272" s="35" t="str">
        <f t="shared" si="80"/>
        <v/>
      </c>
      <c r="AY272" s="35" t="str">
        <f t="shared" si="81"/>
        <v/>
      </c>
      <c r="AZ272" s="35" t="str">
        <f t="shared" si="82"/>
        <v/>
      </c>
      <c r="BA272" s="35" t="str">
        <f t="shared" si="83"/>
        <v/>
      </c>
      <c r="BB272" s="35" t="str">
        <f t="shared" si="84"/>
        <v/>
      </c>
      <c r="BC272" s="35"/>
      <c r="BE272" s="35" t="e">
        <f>INDEX(SF_Output!$AA$2:$AA$400,MATCH($B272,SF_Output!$M$2:$M$400,0))</f>
        <v>#N/A</v>
      </c>
      <c r="BF272" s="35" t="e">
        <f>INDEX(SF_Output!$AB$2:$AB$400,MATCH($B272,SF_Output!$M$2:$M$400,0))</f>
        <v>#N/A</v>
      </c>
    </row>
    <row r="273" spans="6:58" x14ac:dyDescent="0.25">
      <c r="F273" s="116" t="str">
        <f t="shared" si="68"/>
        <v/>
      </c>
      <c r="G273" t="str">
        <f>IF(B273="","",INDEX(SF_Output!$K$1:$K$400,MATCH(B273,SF_Output!$M$1:$M$400,0)))</f>
        <v/>
      </c>
      <c r="H273" t="str" cm="1">
        <f t="array" ref="H273">_xlfn.IFS(B273="","",(SUMIFS(SF_Output!$F$1:$F$400,SF_Output!$AC$1:$AC$400,_xlfn.TEXTJOIN(",",TRUE,B273:E273))+SUMIFS(SF_Output!$G$1:$G$400,SF_Output!$AC$1:$AC$400,_xlfn.TEXTJOIN(",",TRUE,B273:E273)))&lt;&gt;0,SF_Output!$Y$2,INDEX(SF_Output!$F$1:$F$400,MATCH(_xlfn.TEXTJOIN(",",TRUE,B273:E273),SF_Output!$AC$1:$AC$400,0))=0,INDEX(SF_Output!$R$1:$R$400,MATCH(_xlfn.TEXTJOIN(",",TRUE,B273:E273),SF_Output!$AC$1:$AC$400,0)))</f>
        <v/>
      </c>
      <c r="I273" s="125" t="str">
        <f>IFERROR(IF(AND(H273&gt;1,H273&lt;&gt;""),ROUND(SUMIFS(SF_Output!$S$1:$S$400,SF_Output!$AC$1:$AC$400,_xlfn.TEXTJOIN(",",TRUE,B273:E273),SF_Output!$Q$1:$Q$400,"monthly")*(1-W273)/H273,4),""),"")</f>
        <v/>
      </c>
      <c r="J273" s="6" t="str">
        <f>IF(B273="","",SUMIFS(SF_Output!$S$1:$S$400,SF_Output!$AC$1:$AC$400,_xlfn.TEXTJOIN(",",TRUE,B273:E273),SF_Output!$Q$1:$Q$400,"One Time",SF_Output!$L$1:$L$400,"license fee")+SUMIFS(SF_Output!$S$1:$S$400,SF_Output!$AC$1:$AC$400,_xlfn.TEXTJOIN(",",TRUE,B273:E273),SF_Output!$Q$1:$Q$400,"One Time",SF_Output!$L$1:$L$400,"software license")+SUMIFS(SF_Output!$S$1:$S$400,SF_Output!$AC$1:$AC$400,_xlfn.TEXTJOIN(",",TRUE,B273:E273),SF_Output!$Q$1:$Q$400,"One Time",SF_Output!$L$1:$L$400,"hardware"))</f>
        <v/>
      </c>
      <c r="K273" s="112" t="str">
        <f>IF(OR(B273=0,B273="",G273="hardware",J273=0),"",IF(AF273&lt;&gt;"exclusion",MAX(K$9,-((SUMIFS(SF_Output!$T$1:$T$400,SF_Output!$AC$1:$AC$400,_xlfn.TEXTJOIN(",",TRUE,$B273:$E273),SF_Output!$Q$1:$Q$400,"One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license"))/J273)))</f>
        <v/>
      </c>
      <c r="L273" s="6" t="str">
        <f t="shared" si="69"/>
        <v/>
      </c>
      <c r="N273" s="6" t="str">
        <f>IF(B273="","",SUMIFS(SF_Output!$S$1:$S$400,SF_Output!$AC$1:$AC$400,_xlfn.TEXTJOIN(",",TRUE,B273:E273),SF_Output!$Q$1:$Q$400,"One Time",SF_Output!$L$1:$L$400,"professional service"))</f>
        <v/>
      </c>
      <c r="O273" s="112" t="str">
        <f>IF(OR(B273=0,B273="",N273=0),"",IF(AF273&lt;&gt;"exclusion",MAX(O$9,-(SUMIFS(SF_Output!$T$1:$T$400,SF_Output!$AC$1:$AC$400,_xlfn.TEXTJOIN(",",TRUE,$B273:$E273),SF_Output!$Q$1:$Q$400,"One Time",SF_Output!$L$1:$L$400,"professional service"))/N273),-((SUMIFS(SF_Output!$T$1:$T$400,SF_Output!$AC$1:$AC$400,_xlfn.TEXTJOIN(",",TRUE,$B273:$E273),SF_Output!$Q$1:$Q$400,"One Time",SF_Output!$L$1:$L$400,"professional service")/N273))))</f>
        <v/>
      </c>
      <c r="P273" s="6" t="str">
        <f t="shared" si="70"/>
        <v/>
      </c>
      <c r="R273" s="6" t="str">
        <f>IF(B273="","",SUMIFS(SF_Output!$S$1:$S$400,SF_Output!$AC$1:$AC$400,_xlfn.TEXTJOIN(",",TRUE,B273:E273),SF_Output!$Q$1:$Q$400,"yearly")+SUMIFS(SF_Output!$S$1:$S$400,SF_Output!$AC$1:$AC$400,_xlfn.TEXTJOIN(",",TRUE,B273:E273),SF_Output!$Q$1:$Q$400,"quarterly")*4)</f>
        <v/>
      </c>
      <c r="S273" s="112" t="str">
        <f>IF(OR(B273=0,B273="",G273="hardware",R273=0),"",IF(AF273&lt;&gt;"exclusion",MAX(S$9,-(SUMIFS(SF_Output!$T$1:$T$400,SF_Output!$AC$1:$AC$400,_xlfn.TEXTJOIN(",",TRUE,$B273:$E273),SF_Output!$Q$1:$Q$400,"yearly"))/R273),-((SUMIFS(SF_Output!$T$1:$T$400,SF_Output!$AC$1:$AC$400,_xlfn.TEXTJOIN(",",TRUE,$B273:$E273),SF_Output!$Q$1:$Q$400,"yearly")/R273))))</f>
        <v/>
      </c>
      <c r="T273" s="6" t="str">
        <f t="shared" si="71"/>
        <v/>
      </c>
      <c r="V273" s="6" t="str" cm="1">
        <f t="array" ref="V273">_xlfn.IFS(B273="","",AND(B273&lt;&gt;"",H273=SF_Output!$Y$2,SUMIFS(SF_Output!$T$1:$T$400,SF_Output!$AC$1:$AC$400,_xlfn.TEXTJOIN(",",TRUE,B273:E273),SF_Output!$Q$1:$Q$400,"monthly")=0),(SUMIFS(SF_Output!$F$1:$F$400,SF_Output!$AC$1:$AC$400,_xlfn.TEXTJOIN(",",TRUE,B273:E273),SF_Output!$Q$1:$Q$400,"monthly")+SUMIFS(SF_Output!$G$1:$G$400,SF_Output!$AC$1:$AC$400,_xlfn.TEXTJOIN(",",TRUE,B273:E273),SF_Output!$Q$1:$Q$400,"monthly"))*H273,AND(B273&lt;&gt;"",H273=SF_Output!$Y$2,SUMIFS(SF_Output!$T$1:$T$400,SF_Output!$AC$1:$AC$400,_xlfn.TEXTJOIN(",",TRUE,B273:E273),SF_Output!$Q$1:$Q$400,"monthly")&lt;&gt;0),SUMIFS(SF_Output!$S$1:$S$400,SF_Output!$AC$1:$AC$400,_xlfn.TEXTJOIN(",",TRUE,B273:E273),SF_Output!$Q$1:$Q$400,"monthly"),AND(B273&lt;&gt;"",H273&lt;&gt;SF_Output!$Y$2),SUMIFS(SF_Output!$S$1:$S$400,SF_Output!$AC$1:$AC$400,_xlfn.TEXTJOIN(",",TRUE,B273:E273),SF_Output!$Q$1:$Q$400,"monthly"))</f>
        <v/>
      </c>
      <c r="W273" s="112" t="str" cm="1">
        <f t="array" ref="W273">_xlfn.IFS(OR(B273=0,B273="",V273=0),"",AF273&lt;&gt;"exclusion",MAX($W$9,$W$7,(-(SUMIFS(SF_Output!$T$1:$T$400,SF_Output!$AC$1:$AC$400,_xlfn.TEXTJOIN(",",TRUE,$B273:$E273),SF_Output!$Q$1:$Q$400,"monthly"))/V273)),AF273="exclusion",-(SUMIFS(SF_Output!$T$1:$T$400,SF_Output!$AC$1:$AC$400,_xlfn.TEXTJOIN(",",TRUE,$B273:$E273),SF_Output!$Q$1:$Q$400,"monthly"))/V273)</f>
        <v/>
      </c>
      <c r="X273" s="6" t="str" cm="1">
        <f t="array" ref="X273">IFERROR(_xlfn.IFS(V273=0,0,V273="","",W273=0,V273,OR(V273&lt;&gt;0,V273&lt;&gt;""),H273*I273),V273*(1-W273))</f>
        <v/>
      </c>
      <c r="Z273" s="6" t="str">
        <f>IFERROR(IF(B273="","",SUMIFS(Billing_Fallout!H:H,Billing_Fallout!N:N,B273)),0)</f>
        <v/>
      </c>
      <c r="AA273" s="6" t="str">
        <f t="shared" si="72"/>
        <v/>
      </c>
      <c r="AB273" s="6" t="str">
        <f>IFERROR(IF(B273="","",SUMIFS(Billing_Fallout!J:J,Billing_Fallout!N:N,B273)),0)</f>
        <v/>
      </c>
      <c r="AD273" s="6" t="str">
        <f t="shared" si="73"/>
        <v/>
      </c>
      <c r="AF273" t="str">
        <f>IFERROR(INDEX(H_Tables!$B$1:$B$1500,MATCH(INDEX(SF_Output!$J$1:$J$400,MATCH(B273,SF_Output!$M$1:$M$400,0)),H_Tables!$A$1:$A$1500,0)),"")</f>
        <v/>
      </c>
      <c r="AI273" s="119" t="str">
        <f t="shared" si="74"/>
        <v/>
      </c>
      <c r="AJ273" s="121">
        <f>IFERROR(INDEX(SF_Output!AD:AD,MATCH(_xlfn.TEXTJOIN(",",TRUE,B273:E273),SF_Output!AC24:AC423,0)),0.05)</f>
        <v>218</v>
      </c>
      <c r="AK273" t="str">
        <f>IF(SUMIFS(SF_Output!$F$1:$F$400,SF_Output!$AC$1:$AC$400,_xlfn.TEXTJOIN(",",TRUE,B273:E273))+SUMIFS(SF_Output!$G$1:$G$400,SF_Output!$AC$1:$AC$400,_xlfn.TEXTJOIN(",",TRUE,B273:E273))=0,"","PAP")</f>
        <v/>
      </c>
      <c r="AQ273" s="35"/>
      <c r="AR273" s="35" t="str" cm="1">
        <f t="array" ref="AR273">IFERROR(_xlfn.IFS(AND(E273*1=1,F273="Included"),"Change to Included",AND(E273*1=0,F273="Optional"),"Change to Optional",OR(B273="",F273="replaced"),""),"")</f>
        <v/>
      </c>
      <c r="AS273" s="35" t="str">
        <f t="shared" si="75"/>
        <v/>
      </c>
      <c r="AT273" s="35" t="str">
        <f t="shared" si="76"/>
        <v/>
      </c>
      <c r="AU273" s="35" t="str">
        <f t="shared" si="77"/>
        <v/>
      </c>
      <c r="AV273" s="35" t="str">
        <f t="shared" si="78"/>
        <v/>
      </c>
      <c r="AW273" s="35" t="str">
        <f t="shared" si="79"/>
        <v/>
      </c>
      <c r="AX273" s="35" t="str">
        <f t="shared" si="80"/>
        <v/>
      </c>
      <c r="AY273" s="35" t="str">
        <f t="shared" si="81"/>
        <v/>
      </c>
      <c r="AZ273" s="35" t="str">
        <f t="shared" si="82"/>
        <v/>
      </c>
      <c r="BA273" s="35" t="str">
        <f t="shared" si="83"/>
        <v/>
      </c>
      <c r="BB273" s="35" t="str">
        <f t="shared" si="84"/>
        <v/>
      </c>
      <c r="BC273" s="35"/>
      <c r="BE273" s="35" t="e">
        <f>INDEX(SF_Output!$AA$2:$AA$400,MATCH($B273,SF_Output!$M$2:$M$400,0))</f>
        <v>#N/A</v>
      </c>
      <c r="BF273" s="35" t="e">
        <f>INDEX(SF_Output!$AB$2:$AB$400,MATCH($B273,SF_Output!$M$2:$M$400,0))</f>
        <v>#N/A</v>
      </c>
    </row>
    <row r="274" spans="6:58" x14ac:dyDescent="0.25">
      <c r="F274" s="116" t="str">
        <f t="shared" si="68"/>
        <v/>
      </c>
      <c r="G274" t="str">
        <f>IF(B274="","",INDEX(SF_Output!$K$1:$K$400,MATCH(B274,SF_Output!$M$1:$M$400,0)))</f>
        <v/>
      </c>
      <c r="H274" t="str" cm="1">
        <f t="array" ref="H274">_xlfn.IFS(B274="","",(SUMIFS(SF_Output!$F$1:$F$400,SF_Output!$AC$1:$AC$400,_xlfn.TEXTJOIN(",",TRUE,B274:E274))+SUMIFS(SF_Output!$G$1:$G$400,SF_Output!$AC$1:$AC$400,_xlfn.TEXTJOIN(",",TRUE,B274:E274)))&lt;&gt;0,SF_Output!$Y$2,INDEX(SF_Output!$F$1:$F$400,MATCH(_xlfn.TEXTJOIN(",",TRUE,B274:E274),SF_Output!$AC$1:$AC$400,0))=0,INDEX(SF_Output!$R$1:$R$400,MATCH(_xlfn.TEXTJOIN(",",TRUE,B274:E274),SF_Output!$AC$1:$AC$400,0)))</f>
        <v/>
      </c>
      <c r="I274" s="125" t="str">
        <f>IFERROR(IF(AND(H274&gt;1,H274&lt;&gt;""),ROUND(SUMIFS(SF_Output!$S$1:$S$400,SF_Output!$AC$1:$AC$400,_xlfn.TEXTJOIN(",",TRUE,B274:E274),SF_Output!$Q$1:$Q$400,"monthly")*(1-W274)/H274,4),""),"")</f>
        <v/>
      </c>
      <c r="J274" s="6" t="str">
        <f>IF(B274="","",SUMIFS(SF_Output!$S$1:$S$400,SF_Output!$AC$1:$AC$400,_xlfn.TEXTJOIN(",",TRUE,B274:E274),SF_Output!$Q$1:$Q$400,"One Time",SF_Output!$L$1:$L$400,"license fee")+SUMIFS(SF_Output!$S$1:$S$400,SF_Output!$AC$1:$AC$400,_xlfn.TEXTJOIN(",",TRUE,B274:E274),SF_Output!$Q$1:$Q$400,"One Time",SF_Output!$L$1:$L$400,"software license")+SUMIFS(SF_Output!$S$1:$S$400,SF_Output!$AC$1:$AC$400,_xlfn.TEXTJOIN(",",TRUE,B274:E274),SF_Output!$Q$1:$Q$400,"One Time",SF_Output!$L$1:$L$400,"hardware"))</f>
        <v/>
      </c>
      <c r="K274" s="112" t="str">
        <f>IF(OR(B274=0,B274="",G274="hardware",J274=0),"",IF(AF274&lt;&gt;"exclusion",MAX(K$9,-((SUMIFS(SF_Output!$T$1:$T$400,SF_Output!$AC$1:$AC$400,_xlfn.TEXTJOIN(",",TRUE,$B274:$E274),SF_Output!$Q$1:$Q$400,"One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license"))/J274)))</f>
        <v/>
      </c>
      <c r="L274" s="6" t="str">
        <f t="shared" si="69"/>
        <v/>
      </c>
      <c r="N274" s="6" t="str">
        <f>IF(B274="","",SUMIFS(SF_Output!$S$1:$S$400,SF_Output!$AC$1:$AC$400,_xlfn.TEXTJOIN(",",TRUE,B274:E274),SF_Output!$Q$1:$Q$400,"One Time",SF_Output!$L$1:$L$400,"professional service"))</f>
        <v/>
      </c>
      <c r="O274" s="112" t="str">
        <f>IF(OR(B274=0,B274="",N274=0),"",IF(AF274&lt;&gt;"exclusion",MAX(O$9,-(SUMIFS(SF_Output!$T$1:$T$400,SF_Output!$AC$1:$AC$400,_xlfn.TEXTJOIN(",",TRUE,$B274:$E274),SF_Output!$Q$1:$Q$400,"One Time",SF_Output!$L$1:$L$400,"professional service"))/N274),-((SUMIFS(SF_Output!$T$1:$T$400,SF_Output!$AC$1:$AC$400,_xlfn.TEXTJOIN(",",TRUE,$B274:$E274),SF_Output!$Q$1:$Q$400,"One Time",SF_Output!$L$1:$L$400,"professional service")/N274))))</f>
        <v/>
      </c>
      <c r="P274" s="6" t="str">
        <f t="shared" si="70"/>
        <v/>
      </c>
      <c r="R274" s="6" t="str">
        <f>IF(B274="","",SUMIFS(SF_Output!$S$1:$S$400,SF_Output!$AC$1:$AC$400,_xlfn.TEXTJOIN(",",TRUE,B274:E274),SF_Output!$Q$1:$Q$400,"yearly")+SUMIFS(SF_Output!$S$1:$S$400,SF_Output!$AC$1:$AC$400,_xlfn.TEXTJOIN(",",TRUE,B274:E274),SF_Output!$Q$1:$Q$400,"quarterly")*4)</f>
        <v/>
      </c>
      <c r="S274" s="112" t="str">
        <f>IF(OR(B274=0,B274="",G274="hardware",R274=0),"",IF(AF274&lt;&gt;"exclusion",MAX(S$9,-(SUMIFS(SF_Output!$T$1:$T$400,SF_Output!$AC$1:$AC$400,_xlfn.TEXTJOIN(",",TRUE,$B274:$E274),SF_Output!$Q$1:$Q$400,"yearly"))/R274),-((SUMIFS(SF_Output!$T$1:$T$400,SF_Output!$AC$1:$AC$400,_xlfn.TEXTJOIN(",",TRUE,$B274:$E274),SF_Output!$Q$1:$Q$400,"yearly")/R274))))</f>
        <v/>
      </c>
      <c r="T274" s="6" t="str">
        <f t="shared" si="71"/>
        <v/>
      </c>
      <c r="V274" s="6" t="str" cm="1">
        <f t="array" ref="V274">_xlfn.IFS(B274="","",AND(B274&lt;&gt;"",H274=SF_Output!$Y$2,SUMIFS(SF_Output!$T$1:$T$400,SF_Output!$AC$1:$AC$400,_xlfn.TEXTJOIN(",",TRUE,B274:E274),SF_Output!$Q$1:$Q$400,"monthly")=0),(SUMIFS(SF_Output!$F$1:$F$400,SF_Output!$AC$1:$AC$400,_xlfn.TEXTJOIN(",",TRUE,B274:E274),SF_Output!$Q$1:$Q$400,"monthly")+SUMIFS(SF_Output!$G$1:$G$400,SF_Output!$AC$1:$AC$400,_xlfn.TEXTJOIN(",",TRUE,B274:E274),SF_Output!$Q$1:$Q$400,"monthly"))*H274,AND(B274&lt;&gt;"",H274=SF_Output!$Y$2,SUMIFS(SF_Output!$T$1:$T$400,SF_Output!$AC$1:$AC$400,_xlfn.TEXTJOIN(",",TRUE,B274:E274),SF_Output!$Q$1:$Q$400,"monthly")&lt;&gt;0),SUMIFS(SF_Output!$S$1:$S$400,SF_Output!$AC$1:$AC$400,_xlfn.TEXTJOIN(",",TRUE,B274:E274),SF_Output!$Q$1:$Q$400,"monthly"),AND(B274&lt;&gt;"",H274&lt;&gt;SF_Output!$Y$2),SUMIFS(SF_Output!$S$1:$S$400,SF_Output!$AC$1:$AC$400,_xlfn.TEXTJOIN(",",TRUE,B274:E274),SF_Output!$Q$1:$Q$400,"monthly"))</f>
        <v/>
      </c>
      <c r="W274" s="112" t="str" cm="1">
        <f t="array" ref="W274">_xlfn.IFS(OR(B274=0,B274="",V274=0),"",AF274&lt;&gt;"exclusion",MAX($W$9,$W$7,(-(SUMIFS(SF_Output!$T$1:$T$400,SF_Output!$AC$1:$AC$400,_xlfn.TEXTJOIN(",",TRUE,$B274:$E274),SF_Output!$Q$1:$Q$400,"monthly"))/V274)),AF274="exclusion",-(SUMIFS(SF_Output!$T$1:$T$400,SF_Output!$AC$1:$AC$400,_xlfn.TEXTJOIN(",",TRUE,$B274:$E274),SF_Output!$Q$1:$Q$400,"monthly"))/V274)</f>
        <v/>
      </c>
      <c r="X274" s="6" t="str" cm="1">
        <f t="array" ref="X274">IFERROR(_xlfn.IFS(V274=0,0,V274="","",W274=0,V274,OR(V274&lt;&gt;0,V274&lt;&gt;""),H274*I274),V274*(1-W274))</f>
        <v/>
      </c>
      <c r="Z274" s="6" t="str">
        <f>IFERROR(IF(B274="","",SUMIFS(Billing_Fallout!H:H,Billing_Fallout!N:N,B274)),0)</f>
        <v/>
      </c>
      <c r="AA274" s="6" t="str">
        <f t="shared" si="72"/>
        <v/>
      </c>
      <c r="AB274" s="6" t="str">
        <f>IFERROR(IF(B274="","",SUMIFS(Billing_Fallout!J:J,Billing_Fallout!N:N,B274)),0)</f>
        <v/>
      </c>
      <c r="AD274" s="6" t="str">
        <f t="shared" si="73"/>
        <v/>
      </c>
      <c r="AF274" t="str">
        <f>IFERROR(INDEX(H_Tables!$B$1:$B$1500,MATCH(INDEX(SF_Output!$J$1:$J$400,MATCH(B274,SF_Output!$M$1:$M$400,0)),H_Tables!$A$1:$A$1500,0)),"")</f>
        <v/>
      </c>
      <c r="AI274" s="119" t="str">
        <f t="shared" si="74"/>
        <v/>
      </c>
      <c r="AJ274" s="121">
        <f>IFERROR(INDEX(SF_Output!AD:AD,MATCH(_xlfn.TEXTJOIN(",",TRUE,B274:E274),SF_Output!AC25:AC424,0)),0.05)</f>
        <v>217</v>
      </c>
      <c r="AK274" t="str">
        <f>IF(SUMIFS(SF_Output!$F$1:$F$400,SF_Output!$AC$1:$AC$400,_xlfn.TEXTJOIN(",",TRUE,B274:E274))+SUMIFS(SF_Output!$G$1:$G$400,SF_Output!$AC$1:$AC$400,_xlfn.TEXTJOIN(",",TRUE,B274:E274))=0,"","PAP")</f>
        <v/>
      </c>
      <c r="AQ274" s="35"/>
      <c r="AR274" s="35" t="str" cm="1">
        <f t="array" ref="AR274">IFERROR(_xlfn.IFS(AND(E274*1=1,F274="Included"),"Change to Included",AND(E274*1=0,F274="Optional"),"Change to Optional",OR(B274="",F274="replaced"),""),"")</f>
        <v/>
      </c>
      <c r="AS274" s="35" t="str">
        <f t="shared" si="75"/>
        <v/>
      </c>
      <c r="AT274" s="35" t="str">
        <f t="shared" si="76"/>
        <v/>
      </c>
      <c r="AU274" s="35" t="str">
        <f t="shared" si="77"/>
        <v/>
      </c>
      <c r="AV274" s="35" t="str">
        <f t="shared" si="78"/>
        <v/>
      </c>
      <c r="AW274" s="35" t="str">
        <f t="shared" si="79"/>
        <v/>
      </c>
      <c r="AX274" s="35" t="str">
        <f t="shared" si="80"/>
        <v/>
      </c>
      <c r="AY274" s="35" t="str">
        <f t="shared" si="81"/>
        <v/>
      </c>
      <c r="AZ274" s="35" t="str">
        <f t="shared" si="82"/>
        <v/>
      </c>
      <c r="BA274" s="35" t="str">
        <f t="shared" si="83"/>
        <v/>
      </c>
      <c r="BB274" s="35" t="str">
        <f t="shared" si="84"/>
        <v/>
      </c>
      <c r="BC274" s="35"/>
      <c r="BE274" s="35" t="e">
        <f>INDEX(SF_Output!$AA$2:$AA$400,MATCH($B274,SF_Output!$M$2:$M$400,0))</f>
        <v>#N/A</v>
      </c>
      <c r="BF274" s="35" t="e">
        <f>INDEX(SF_Output!$AB$2:$AB$400,MATCH($B274,SF_Output!$M$2:$M$400,0))</f>
        <v>#N/A</v>
      </c>
    </row>
    <row r="275" spans="6:58" x14ac:dyDescent="0.25">
      <c r="F275" s="116" t="str">
        <f t="shared" si="68"/>
        <v/>
      </c>
      <c r="G275" t="str">
        <f>IF(B275="","",INDEX(SF_Output!$K$1:$K$400,MATCH(B275,SF_Output!$M$1:$M$400,0)))</f>
        <v/>
      </c>
      <c r="H275" t="str" cm="1">
        <f t="array" ref="H275">_xlfn.IFS(B275="","",(SUMIFS(SF_Output!$F$1:$F$400,SF_Output!$AC$1:$AC$400,_xlfn.TEXTJOIN(",",TRUE,B275:E275))+SUMIFS(SF_Output!$G$1:$G$400,SF_Output!$AC$1:$AC$400,_xlfn.TEXTJOIN(",",TRUE,B275:E275)))&lt;&gt;0,SF_Output!$Y$2,INDEX(SF_Output!$F$1:$F$400,MATCH(_xlfn.TEXTJOIN(",",TRUE,B275:E275),SF_Output!$AC$1:$AC$400,0))=0,INDEX(SF_Output!$R$1:$R$400,MATCH(_xlfn.TEXTJOIN(",",TRUE,B275:E275),SF_Output!$AC$1:$AC$400,0)))</f>
        <v/>
      </c>
      <c r="I275" s="125" t="str">
        <f>IFERROR(IF(AND(H275&gt;1,H275&lt;&gt;""),ROUND(SUMIFS(SF_Output!$S$1:$S$400,SF_Output!$AC$1:$AC$400,_xlfn.TEXTJOIN(",",TRUE,B275:E275),SF_Output!$Q$1:$Q$400,"monthly")*(1-W275)/H275,4),""),"")</f>
        <v/>
      </c>
      <c r="J275" s="6" t="str">
        <f>IF(B275="","",SUMIFS(SF_Output!$S$1:$S$400,SF_Output!$AC$1:$AC$400,_xlfn.TEXTJOIN(",",TRUE,B275:E275),SF_Output!$Q$1:$Q$400,"One Time",SF_Output!$L$1:$L$400,"license fee")+SUMIFS(SF_Output!$S$1:$S$400,SF_Output!$AC$1:$AC$400,_xlfn.TEXTJOIN(",",TRUE,B275:E275),SF_Output!$Q$1:$Q$400,"One Time",SF_Output!$L$1:$L$400,"software license")+SUMIFS(SF_Output!$S$1:$S$400,SF_Output!$AC$1:$AC$400,_xlfn.TEXTJOIN(",",TRUE,B275:E275),SF_Output!$Q$1:$Q$400,"One Time",SF_Output!$L$1:$L$400,"hardware"))</f>
        <v/>
      </c>
      <c r="K275" s="112" t="str">
        <f>IF(OR(B275=0,B275="",G275="hardware",J275=0),"",IF(AF275&lt;&gt;"exclusion",MAX(K$9,-((SUMIFS(SF_Output!$T$1:$T$400,SF_Output!$AC$1:$AC$400,_xlfn.TEXTJOIN(",",TRUE,$B275:$E275),SF_Output!$Q$1:$Q$400,"One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license"))/J275)))</f>
        <v/>
      </c>
      <c r="L275" s="6" t="str">
        <f t="shared" si="69"/>
        <v/>
      </c>
      <c r="N275" s="6" t="str">
        <f>IF(B275="","",SUMIFS(SF_Output!$S$1:$S$400,SF_Output!$AC$1:$AC$400,_xlfn.TEXTJOIN(",",TRUE,B275:E275),SF_Output!$Q$1:$Q$400,"One Time",SF_Output!$L$1:$L$400,"professional service"))</f>
        <v/>
      </c>
      <c r="O275" s="112" t="str">
        <f>IF(OR(B275=0,B275="",N275=0),"",IF(AF275&lt;&gt;"exclusion",MAX(O$9,-(SUMIFS(SF_Output!$T$1:$T$400,SF_Output!$AC$1:$AC$400,_xlfn.TEXTJOIN(",",TRUE,$B275:$E275),SF_Output!$Q$1:$Q$400,"One Time",SF_Output!$L$1:$L$400,"professional service"))/N275),-((SUMIFS(SF_Output!$T$1:$T$400,SF_Output!$AC$1:$AC$400,_xlfn.TEXTJOIN(",",TRUE,$B275:$E275),SF_Output!$Q$1:$Q$400,"One Time",SF_Output!$L$1:$L$400,"professional service")/N275))))</f>
        <v/>
      </c>
      <c r="P275" s="6" t="str">
        <f t="shared" si="70"/>
        <v/>
      </c>
      <c r="R275" s="6" t="str">
        <f>IF(B275="","",SUMIFS(SF_Output!$S$1:$S$400,SF_Output!$AC$1:$AC$400,_xlfn.TEXTJOIN(",",TRUE,B275:E275),SF_Output!$Q$1:$Q$400,"yearly")+SUMIFS(SF_Output!$S$1:$S$400,SF_Output!$AC$1:$AC$400,_xlfn.TEXTJOIN(",",TRUE,B275:E275),SF_Output!$Q$1:$Q$400,"quarterly")*4)</f>
        <v/>
      </c>
      <c r="S275" s="112" t="str">
        <f>IF(OR(B275=0,B275="",G275="hardware",R275=0),"",IF(AF275&lt;&gt;"exclusion",MAX(S$9,-(SUMIFS(SF_Output!$T$1:$T$400,SF_Output!$AC$1:$AC$400,_xlfn.TEXTJOIN(",",TRUE,$B275:$E275),SF_Output!$Q$1:$Q$400,"yearly"))/R275),-((SUMIFS(SF_Output!$T$1:$T$400,SF_Output!$AC$1:$AC$400,_xlfn.TEXTJOIN(",",TRUE,$B275:$E275),SF_Output!$Q$1:$Q$400,"yearly")/R275))))</f>
        <v/>
      </c>
      <c r="T275" s="6" t="str">
        <f t="shared" si="71"/>
        <v/>
      </c>
      <c r="V275" s="6" t="str" cm="1">
        <f t="array" ref="V275">_xlfn.IFS(B275="","",AND(B275&lt;&gt;"",H275=SF_Output!$Y$2,SUMIFS(SF_Output!$T$1:$T$400,SF_Output!$AC$1:$AC$400,_xlfn.TEXTJOIN(",",TRUE,B275:E275),SF_Output!$Q$1:$Q$400,"monthly")=0),(SUMIFS(SF_Output!$F$1:$F$400,SF_Output!$AC$1:$AC$400,_xlfn.TEXTJOIN(",",TRUE,B275:E275),SF_Output!$Q$1:$Q$400,"monthly")+SUMIFS(SF_Output!$G$1:$G$400,SF_Output!$AC$1:$AC$400,_xlfn.TEXTJOIN(",",TRUE,B275:E275),SF_Output!$Q$1:$Q$400,"monthly"))*H275,AND(B275&lt;&gt;"",H275=SF_Output!$Y$2,SUMIFS(SF_Output!$T$1:$T$400,SF_Output!$AC$1:$AC$400,_xlfn.TEXTJOIN(",",TRUE,B275:E275),SF_Output!$Q$1:$Q$400,"monthly")&lt;&gt;0),SUMIFS(SF_Output!$S$1:$S$400,SF_Output!$AC$1:$AC$400,_xlfn.TEXTJOIN(",",TRUE,B275:E275),SF_Output!$Q$1:$Q$400,"monthly"),AND(B275&lt;&gt;"",H275&lt;&gt;SF_Output!$Y$2),SUMIFS(SF_Output!$S$1:$S$400,SF_Output!$AC$1:$AC$400,_xlfn.TEXTJOIN(",",TRUE,B275:E275),SF_Output!$Q$1:$Q$400,"monthly"))</f>
        <v/>
      </c>
      <c r="W275" s="112" t="str" cm="1">
        <f t="array" ref="W275">_xlfn.IFS(OR(B275=0,B275="",V275=0),"",AF275&lt;&gt;"exclusion",MAX($W$9,$W$7,(-(SUMIFS(SF_Output!$T$1:$T$400,SF_Output!$AC$1:$AC$400,_xlfn.TEXTJOIN(",",TRUE,$B275:$E275),SF_Output!$Q$1:$Q$400,"monthly"))/V275)),AF275="exclusion",-(SUMIFS(SF_Output!$T$1:$T$400,SF_Output!$AC$1:$AC$400,_xlfn.TEXTJOIN(",",TRUE,$B275:$E275),SF_Output!$Q$1:$Q$400,"monthly"))/V275)</f>
        <v/>
      </c>
      <c r="X275" s="6" t="str" cm="1">
        <f t="array" ref="X275">IFERROR(_xlfn.IFS(V275=0,0,V275="","",W275=0,V275,OR(V275&lt;&gt;0,V275&lt;&gt;""),H275*I275),V275*(1-W275))</f>
        <v/>
      </c>
      <c r="Z275" s="6" t="str">
        <f>IFERROR(IF(B275="","",SUMIFS(Billing_Fallout!H:H,Billing_Fallout!N:N,B275)),0)</f>
        <v/>
      </c>
      <c r="AA275" s="6" t="str">
        <f t="shared" si="72"/>
        <v/>
      </c>
      <c r="AB275" s="6" t="str">
        <f>IFERROR(IF(B275="","",SUMIFS(Billing_Fallout!J:J,Billing_Fallout!N:N,B275)),0)</f>
        <v/>
      </c>
      <c r="AD275" s="6" t="str">
        <f t="shared" si="73"/>
        <v/>
      </c>
      <c r="AF275" t="str">
        <f>IFERROR(INDEX(H_Tables!$B$1:$B$1500,MATCH(INDEX(SF_Output!$J$1:$J$400,MATCH(B275,SF_Output!$M$1:$M$400,0)),H_Tables!$A$1:$A$1500,0)),"")</f>
        <v/>
      </c>
      <c r="AI275" s="119" t="str">
        <f t="shared" si="74"/>
        <v/>
      </c>
      <c r="AJ275" s="121">
        <f>IFERROR(INDEX(SF_Output!AD:AD,MATCH(_xlfn.TEXTJOIN(",",TRUE,B275:E275),SF_Output!AC26:AC425,0)),0.05)</f>
        <v>216</v>
      </c>
      <c r="AK275" t="str">
        <f>IF(SUMIFS(SF_Output!$F$1:$F$400,SF_Output!$AC$1:$AC$400,_xlfn.TEXTJOIN(",",TRUE,B275:E275))+SUMIFS(SF_Output!$G$1:$G$400,SF_Output!$AC$1:$AC$400,_xlfn.TEXTJOIN(",",TRUE,B275:E275))=0,"","PAP")</f>
        <v/>
      </c>
      <c r="AQ275" s="35"/>
      <c r="AR275" s="35" t="str" cm="1">
        <f t="array" ref="AR275">IFERROR(_xlfn.IFS(AND(E275*1=1,F275="Included"),"Change to Included",AND(E275*1=0,F275="Optional"),"Change to Optional",OR(B275="",F275="replaced"),""),"")</f>
        <v/>
      </c>
      <c r="AS275" s="35" t="str">
        <f t="shared" si="75"/>
        <v/>
      </c>
      <c r="AT275" s="35" t="str">
        <f t="shared" si="76"/>
        <v/>
      </c>
      <c r="AU275" s="35" t="str">
        <f t="shared" si="77"/>
        <v/>
      </c>
      <c r="AV275" s="35" t="str">
        <f t="shared" si="78"/>
        <v/>
      </c>
      <c r="AW275" s="35" t="str">
        <f t="shared" si="79"/>
        <v/>
      </c>
      <c r="AX275" s="35" t="str">
        <f t="shared" si="80"/>
        <v/>
      </c>
      <c r="AY275" s="35" t="str">
        <f t="shared" si="81"/>
        <v/>
      </c>
      <c r="AZ275" s="35" t="str">
        <f t="shared" si="82"/>
        <v/>
      </c>
      <c r="BA275" s="35" t="str">
        <f t="shared" si="83"/>
        <v/>
      </c>
      <c r="BB275" s="35" t="str">
        <f t="shared" si="84"/>
        <v/>
      </c>
      <c r="BC275" s="35"/>
      <c r="BE275" s="35" t="e">
        <f>INDEX(SF_Output!$AA$2:$AA$400,MATCH($B275,SF_Output!$M$2:$M$400,0))</f>
        <v>#N/A</v>
      </c>
      <c r="BF275" s="35" t="e">
        <f>INDEX(SF_Output!$AB$2:$AB$400,MATCH($B275,SF_Output!$M$2:$M$400,0))</f>
        <v>#N/A</v>
      </c>
    </row>
    <row r="276" spans="6:58" x14ac:dyDescent="0.25">
      <c r="F276" s="116" t="str">
        <f t="shared" si="68"/>
        <v/>
      </c>
      <c r="G276" t="str">
        <f>IF(B276="","",INDEX(SF_Output!$K$1:$K$400,MATCH(B276,SF_Output!$M$1:$M$400,0)))</f>
        <v/>
      </c>
      <c r="H276" t="str" cm="1">
        <f t="array" ref="H276">_xlfn.IFS(B276="","",(SUMIFS(SF_Output!$F$1:$F$400,SF_Output!$AC$1:$AC$400,_xlfn.TEXTJOIN(",",TRUE,B276:E276))+SUMIFS(SF_Output!$G$1:$G$400,SF_Output!$AC$1:$AC$400,_xlfn.TEXTJOIN(",",TRUE,B276:E276)))&lt;&gt;0,SF_Output!$Y$2,INDEX(SF_Output!$F$1:$F$400,MATCH(_xlfn.TEXTJOIN(",",TRUE,B276:E276),SF_Output!$AC$1:$AC$400,0))=0,INDEX(SF_Output!$R$1:$R$400,MATCH(_xlfn.TEXTJOIN(",",TRUE,B276:E276),SF_Output!$AC$1:$AC$400,0)))</f>
        <v/>
      </c>
      <c r="I276" s="125" t="str">
        <f>IFERROR(IF(AND(H276&gt;1,H276&lt;&gt;""),ROUND(SUMIFS(SF_Output!$S$1:$S$400,SF_Output!$AC$1:$AC$400,_xlfn.TEXTJOIN(",",TRUE,B276:E276),SF_Output!$Q$1:$Q$400,"monthly")*(1-W276)/H276,4),""),"")</f>
        <v/>
      </c>
      <c r="J276" s="6" t="str">
        <f>IF(B276="","",SUMIFS(SF_Output!$S$1:$S$400,SF_Output!$AC$1:$AC$400,_xlfn.TEXTJOIN(",",TRUE,B276:E276),SF_Output!$Q$1:$Q$400,"One Time",SF_Output!$L$1:$L$400,"license fee")+SUMIFS(SF_Output!$S$1:$S$400,SF_Output!$AC$1:$AC$400,_xlfn.TEXTJOIN(",",TRUE,B276:E276),SF_Output!$Q$1:$Q$400,"One Time",SF_Output!$L$1:$L$400,"software license")+SUMIFS(SF_Output!$S$1:$S$400,SF_Output!$AC$1:$AC$400,_xlfn.TEXTJOIN(",",TRUE,B276:E276),SF_Output!$Q$1:$Q$400,"One Time",SF_Output!$L$1:$L$400,"hardware"))</f>
        <v/>
      </c>
      <c r="K276" s="112" t="str">
        <f>IF(OR(B276=0,B276="",G276="hardware",J276=0),"",IF(AF276&lt;&gt;"exclusion",MAX(K$9,-((SUMIFS(SF_Output!$T$1:$T$400,SF_Output!$AC$1:$AC$400,_xlfn.TEXTJOIN(",",TRUE,$B276:$E276),SF_Output!$Q$1:$Q$400,"One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license"))/J276)))</f>
        <v/>
      </c>
      <c r="L276" s="6" t="str">
        <f t="shared" si="69"/>
        <v/>
      </c>
      <c r="N276" s="6" t="str">
        <f>IF(B276="","",SUMIFS(SF_Output!$S$1:$S$400,SF_Output!$AC$1:$AC$400,_xlfn.TEXTJOIN(",",TRUE,B276:E276),SF_Output!$Q$1:$Q$400,"One Time",SF_Output!$L$1:$L$400,"professional service"))</f>
        <v/>
      </c>
      <c r="O276" s="112" t="str">
        <f>IF(OR(B276=0,B276="",N276=0),"",IF(AF276&lt;&gt;"exclusion",MAX(O$9,-(SUMIFS(SF_Output!$T$1:$T$400,SF_Output!$AC$1:$AC$400,_xlfn.TEXTJOIN(",",TRUE,$B276:$E276),SF_Output!$Q$1:$Q$400,"One Time",SF_Output!$L$1:$L$400,"professional service"))/N276),-((SUMIFS(SF_Output!$T$1:$T$400,SF_Output!$AC$1:$AC$400,_xlfn.TEXTJOIN(",",TRUE,$B276:$E276),SF_Output!$Q$1:$Q$400,"One Time",SF_Output!$L$1:$L$400,"professional service")/N276))))</f>
        <v/>
      </c>
      <c r="P276" s="6" t="str">
        <f t="shared" si="70"/>
        <v/>
      </c>
      <c r="R276" s="6" t="str">
        <f>IF(B276="","",SUMIFS(SF_Output!$S$1:$S$400,SF_Output!$AC$1:$AC$400,_xlfn.TEXTJOIN(",",TRUE,B276:E276),SF_Output!$Q$1:$Q$400,"yearly")+SUMIFS(SF_Output!$S$1:$S$400,SF_Output!$AC$1:$AC$400,_xlfn.TEXTJOIN(",",TRUE,B276:E276),SF_Output!$Q$1:$Q$400,"quarterly")*4)</f>
        <v/>
      </c>
      <c r="S276" s="112" t="str">
        <f>IF(OR(B276=0,B276="",G276="hardware",R276=0),"",IF(AF276&lt;&gt;"exclusion",MAX(S$9,-(SUMIFS(SF_Output!$T$1:$T$400,SF_Output!$AC$1:$AC$400,_xlfn.TEXTJOIN(",",TRUE,$B276:$E276),SF_Output!$Q$1:$Q$400,"yearly"))/R276),-((SUMIFS(SF_Output!$T$1:$T$400,SF_Output!$AC$1:$AC$400,_xlfn.TEXTJOIN(",",TRUE,$B276:$E276),SF_Output!$Q$1:$Q$400,"yearly")/R276))))</f>
        <v/>
      </c>
      <c r="T276" s="6" t="str">
        <f t="shared" si="71"/>
        <v/>
      </c>
      <c r="V276" s="6" t="str" cm="1">
        <f t="array" ref="V276">_xlfn.IFS(B276="","",AND(B276&lt;&gt;"",H276=SF_Output!$Y$2,SUMIFS(SF_Output!$T$1:$T$400,SF_Output!$AC$1:$AC$400,_xlfn.TEXTJOIN(",",TRUE,B276:E276),SF_Output!$Q$1:$Q$400,"monthly")=0),(SUMIFS(SF_Output!$F$1:$F$400,SF_Output!$AC$1:$AC$400,_xlfn.TEXTJOIN(",",TRUE,B276:E276),SF_Output!$Q$1:$Q$400,"monthly")+SUMIFS(SF_Output!$G$1:$G$400,SF_Output!$AC$1:$AC$400,_xlfn.TEXTJOIN(",",TRUE,B276:E276),SF_Output!$Q$1:$Q$400,"monthly"))*H276,AND(B276&lt;&gt;"",H276=SF_Output!$Y$2,SUMIFS(SF_Output!$T$1:$T$400,SF_Output!$AC$1:$AC$400,_xlfn.TEXTJOIN(",",TRUE,B276:E276),SF_Output!$Q$1:$Q$400,"monthly")&lt;&gt;0),SUMIFS(SF_Output!$S$1:$S$400,SF_Output!$AC$1:$AC$400,_xlfn.TEXTJOIN(",",TRUE,B276:E276),SF_Output!$Q$1:$Q$400,"monthly"),AND(B276&lt;&gt;"",H276&lt;&gt;SF_Output!$Y$2),SUMIFS(SF_Output!$S$1:$S$400,SF_Output!$AC$1:$AC$400,_xlfn.TEXTJOIN(",",TRUE,B276:E276),SF_Output!$Q$1:$Q$400,"monthly"))</f>
        <v/>
      </c>
      <c r="W276" s="112" t="str" cm="1">
        <f t="array" ref="W276">_xlfn.IFS(OR(B276=0,B276="",V276=0),"",AF276&lt;&gt;"exclusion",MAX($W$9,$W$7,(-(SUMIFS(SF_Output!$T$1:$T$400,SF_Output!$AC$1:$AC$400,_xlfn.TEXTJOIN(",",TRUE,$B276:$E276),SF_Output!$Q$1:$Q$400,"monthly"))/V276)),AF276="exclusion",-(SUMIFS(SF_Output!$T$1:$T$400,SF_Output!$AC$1:$AC$400,_xlfn.TEXTJOIN(",",TRUE,$B276:$E276),SF_Output!$Q$1:$Q$400,"monthly"))/V276)</f>
        <v/>
      </c>
      <c r="X276" s="6" t="str" cm="1">
        <f t="array" ref="X276">IFERROR(_xlfn.IFS(V276=0,0,V276="","",W276=0,V276,OR(V276&lt;&gt;0,V276&lt;&gt;""),H276*I276),V276*(1-W276))</f>
        <v/>
      </c>
      <c r="Z276" s="6" t="str">
        <f>IFERROR(IF(B276="","",SUMIFS(Billing_Fallout!H:H,Billing_Fallout!N:N,B276)),0)</f>
        <v/>
      </c>
      <c r="AA276" s="6" t="str">
        <f t="shared" si="72"/>
        <v/>
      </c>
      <c r="AB276" s="6" t="str">
        <f>IFERROR(IF(B276="","",SUMIFS(Billing_Fallout!J:J,Billing_Fallout!N:N,B276)),0)</f>
        <v/>
      </c>
      <c r="AD276" s="6" t="str">
        <f t="shared" si="73"/>
        <v/>
      </c>
      <c r="AF276" t="str">
        <f>IFERROR(INDEX(H_Tables!$B$1:$B$1500,MATCH(INDEX(SF_Output!$J$1:$J$400,MATCH(B276,SF_Output!$M$1:$M$400,0)),H_Tables!$A$1:$A$1500,0)),"")</f>
        <v/>
      </c>
      <c r="AI276" s="119" t="str">
        <f t="shared" si="74"/>
        <v/>
      </c>
      <c r="AJ276" s="121">
        <f>IFERROR(INDEX(SF_Output!AD:AD,MATCH(_xlfn.TEXTJOIN(",",TRUE,B276:E276),SF_Output!AC27:AC426,0)),0.05)</f>
        <v>215</v>
      </c>
      <c r="AK276" t="str">
        <f>IF(SUMIFS(SF_Output!$F$1:$F$400,SF_Output!$AC$1:$AC$400,_xlfn.TEXTJOIN(",",TRUE,B276:E276))+SUMIFS(SF_Output!$G$1:$G$400,SF_Output!$AC$1:$AC$400,_xlfn.TEXTJOIN(",",TRUE,B276:E276))=0,"","PAP")</f>
        <v/>
      </c>
      <c r="AQ276" s="35"/>
      <c r="AR276" s="35" t="str" cm="1">
        <f t="array" ref="AR276">IFERROR(_xlfn.IFS(AND(E276*1=1,F276="Included"),"Change to Included",AND(E276*1=0,F276="Optional"),"Change to Optional",OR(B276="",F276="replaced"),""),"")</f>
        <v/>
      </c>
      <c r="AS276" s="35" t="str">
        <f t="shared" si="75"/>
        <v/>
      </c>
      <c r="AT276" s="35" t="str">
        <f t="shared" si="76"/>
        <v/>
      </c>
      <c r="AU276" s="35" t="str">
        <f t="shared" si="77"/>
        <v/>
      </c>
      <c r="AV276" s="35" t="str">
        <f t="shared" si="78"/>
        <v/>
      </c>
      <c r="AW276" s="35" t="str">
        <f t="shared" si="79"/>
        <v/>
      </c>
      <c r="AX276" s="35" t="str">
        <f t="shared" si="80"/>
        <v/>
      </c>
      <c r="AY276" s="35" t="str">
        <f t="shared" si="81"/>
        <v/>
      </c>
      <c r="AZ276" s="35" t="str">
        <f t="shared" si="82"/>
        <v/>
      </c>
      <c r="BA276" s="35" t="str">
        <f t="shared" si="83"/>
        <v/>
      </c>
      <c r="BB276" s="35" t="str">
        <f t="shared" si="84"/>
        <v/>
      </c>
      <c r="BC276" s="35"/>
      <c r="BE276" s="35" t="e">
        <f>INDEX(SF_Output!$AA$2:$AA$400,MATCH($B276,SF_Output!$M$2:$M$400,0))</f>
        <v>#N/A</v>
      </c>
      <c r="BF276" s="35" t="e">
        <f>INDEX(SF_Output!$AB$2:$AB$400,MATCH($B276,SF_Output!$M$2:$M$400,0))</f>
        <v>#N/A</v>
      </c>
    </row>
    <row r="277" spans="6:58" x14ac:dyDescent="0.25">
      <c r="F277" s="116" t="str">
        <f t="shared" si="68"/>
        <v/>
      </c>
      <c r="G277" t="str">
        <f>IF(B277="","",INDEX(SF_Output!$K$1:$K$400,MATCH(B277,SF_Output!$M$1:$M$400,0)))</f>
        <v/>
      </c>
      <c r="H277" t="str" cm="1">
        <f t="array" ref="H277">_xlfn.IFS(B277="","",(SUMIFS(SF_Output!$F$1:$F$400,SF_Output!$AC$1:$AC$400,_xlfn.TEXTJOIN(",",TRUE,B277:E277))+SUMIFS(SF_Output!$G$1:$G$400,SF_Output!$AC$1:$AC$400,_xlfn.TEXTJOIN(",",TRUE,B277:E277)))&lt;&gt;0,SF_Output!$Y$2,INDEX(SF_Output!$F$1:$F$400,MATCH(_xlfn.TEXTJOIN(",",TRUE,B277:E277),SF_Output!$AC$1:$AC$400,0))=0,INDEX(SF_Output!$R$1:$R$400,MATCH(_xlfn.TEXTJOIN(",",TRUE,B277:E277),SF_Output!$AC$1:$AC$400,0)))</f>
        <v/>
      </c>
      <c r="I277" s="125" t="str">
        <f>IFERROR(IF(AND(H277&gt;1,H277&lt;&gt;""),ROUND(SUMIFS(SF_Output!$S$1:$S$400,SF_Output!$AC$1:$AC$400,_xlfn.TEXTJOIN(",",TRUE,B277:E277),SF_Output!$Q$1:$Q$400,"monthly")*(1-W277)/H277,4),""),"")</f>
        <v/>
      </c>
      <c r="J277" s="6" t="str">
        <f>IF(B277="","",SUMIFS(SF_Output!$S$1:$S$400,SF_Output!$AC$1:$AC$400,_xlfn.TEXTJOIN(",",TRUE,B277:E277),SF_Output!$Q$1:$Q$400,"One Time",SF_Output!$L$1:$L$400,"license fee")+SUMIFS(SF_Output!$S$1:$S$400,SF_Output!$AC$1:$AC$400,_xlfn.TEXTJOIN(",",TRUE,B277:E277),SF_Output!$Q$1:$Q$400,"One Time",SF_Output!$L$1:$L$400,"software license")+SUMIFS(SF_Output!$S$1:$S$400,SF_Output!$AC$1:$AC$400,_xlfn.TEXTJOIN(",",TRUE,B277:E277),SF_Output!$Q$1:$Q$400,"One Time",SF_Output!$L$1:$L$400,"hardware"))</f>
        <v/>
      </c>
      <c r="K277" s="112" t="str">
        <f>IF(OR(B277=0,B277="",G277="hardware",J277=0),"",IF(AF277&lt;&gt;"exclusion",MAX(K$9,-((SUMIFS(SF_Output!$T$1:$T$400,SF_Output!$AC$1:$AC$400,_xlfn.TEXTJOIN(",",TRUE,$B277:$E277),SF_Output!$Q$1:$Q$400,"One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license"))/J277)))</f>
        <v/>
      </c>
      <c r="L277" s="6" t="str">
        <f t="shared" si="69"/>
        <v/>
      </c>
      <c r="N277" s="6" t="str">
        <f>IF(B277="","",SUMIFS(SF_Output!$S$1:$S$400,SF_Output!$AC$1:$AC$400,_xlfn.TEXTJOIN(",",TRUE,B277:E277),SF_Output!$Q$1:$Q$400,"One Time",SF_Output!$L$1:$L$400,"professional service"))</f>
        <v/>
      </c>
      <c r="O277" s="112" t="str">
        <f>IF(OR(B277=0,B277="",N277=0),"",IF(AF277&lt;&gt;"exclusion",MAX(O$9,-(SUMIFS(SF_Output!$T$1:$T$400,SF_Output!$AC$1:$AC$400,_xlfn.TEXTJOIN(",",TRUE,$B277:$E277),SF_Output!$Q$1:$Q$400,"One Time",SF_Output!$L$1:$L$400,"professional service"))/N277),-((SUMIFS(SF_Output!$T$1:$T$400,SF_Output!$AC$1:$AC$400,_xlfn.TEXTJOIN(",",TRUE,$B277:$E277),SF_Output!$Q$1:$Q$400,"One Time",SF_Output!$L$1:$L$400,"professional service")/N277))))</f>
        <v/>
      </c>
      <c r="P277" s="6" t="str">
        <f t="shared" si="70"/>
        <v/>
      </c>
      <c r="R277" s="6" t="str">
        <f>IF(B277="","",SUMIFS(SF_Output!$S$1:$S$400,SF_Output!$AC$1:$AC$400,_xlfn.TEXTJOIN(",",TRUE,B277:E277),SF_Output!$Q$1:$Q$400,"yearly")+SUMIFS(SF_Output!$S$1:$S$400,SF_Output!$AC$1:$AC$400,_xlfn.TEXTJOIN(",",TRUE,B277:E277),SF_Output!$Q$1:$Q$400,"quarterly")*4)</f>
        <v/>
      </c>
      <c r="S277" s="112" t="str">
        <f>IF(OR(B277=0,B277="",G277="hardware",R277=0),"",IF(AF277&lt;&gt;"exclusion",MAX(S$9,-(SUMIFS(SF_Output!$T$1:$T$400,SF_Output!$AC$1:$AC$400,_xlfn.TEXTJOIN(",",TRUE,$B277:$E277),SF_Output!$Q$1:$Q$400,"yearly"))/R277),-((SUMIFS(SF_Output!$T$1:$T$400,SF_Output!$AC$1:$AC$400,_xlfn.TEXTJOIN(",",TRUE,$B277:$E277),SF_Output!$Q$1:$Q$400,"yearly")/R277))))</f>
        <v/>
      </c>
      <c r="T277" s="6" t="str">
        <f t="shared" si="71"/>
        <v/>
      </c>
      <c r="V277" s="6" t="str" cm="1">
        <f t="array" ref="V277">_xlfn.IFS(B277="","",AND(B277&lt;&gt;"",H277=SF_Output!$Y$2,SUMIFS(SF_Output!$T$1:$T$400,SF_Output!$AC$1:$AC$400,_xlfn.TEXTJOIN(",",TRUE,B277:E277),SF_Output!$Q$1:$Q$400,"monthly")=0),(SUMIFS(SF_Output!$F$1:$F$400,SF_Output!$AC$1:$AC$400,_xlfn.TEXTJOIN(",",TRUE,B277:E277),SF_Output!$Q$1:$Q$400,"monthly")+SUMIFS(SF_Output!$G$1:$G$400,SF_Output!$AC$1:$AC$400,_xlfn.TEXTJOIN(",",TRUE,B277:E277),SF_Output!$Q$1:$Q$400,"monthly"))*H277,AND(B277&lt;&gt;"",H277=SF_Output!$Y$2,SUMIFS(SF_Output!$T$1:$T$400,SF_Output!$AC$1:$AC$400,_xlfn.TEXTJOIN(",",TRUE,B277:E277),SF_Output!$Q$1:$Q$400,"monthly")&lt;&gt;0),SUMIFS(SF_Output!$S$1:$S$400,SF_Output!$AC$1:$AC$400,_xlfn.TEXTJOIN(",",TRUE,B277:E277),SF_Output!$Q$1:$Q$400,"monthly"),AND(B277&lt;&gt;"",H277&lt;&gt;SF_Output!$Y$2),SUMIFS(SF_Output!$S$1:$S$400,SF_Output!$AC$1:$AC$400,_xlfn.TEXTJOIN(",",TRUE,B277:E277),SF_Output!$Q$1:$Q$400,"monthly"))</f>
        <v/>
      </c>
      <c r="W277" s="112" t="str" cm="1">
        <f t="array" ref="W277">_xlfn.IFS(OR(B277=0,B277="",V277=0),"",AF277&lt;&gt;"exclusion",MAX($W$9,$W$7,(-(SUMIFS(SF_Output!$T$1:$T$400,SF_Output!$AC$1:$AC$400,_xlfn.TEXTJOIN(",",TRUE,$B277:$E277),SF_Output!$Q$1:$Q$400,"monthly"))/V277)),AF277="exclusion",-(SUMIFS(SF_Output!$T$1:$T$400,SF_Output!$AC$1:$AC$400,_xlfn.TEXTJOIN(",",TRUE,$B277:$E277),SF_Output!$Q$1:$Q$400,"monthly"))/V277)</f>
        <v/>
      </c>
      <c r="X277" s="6" t="str" cm="1">
        <f t="array" ref="X277">IFERROR(_xlfn.IFS(V277=0,0,V277="","",W277=0,V277,OR(V277&lt;&gt;0,V277&lt;&gt;""),H277*I277),V277*(1-W277))</f>
        <v/>
      </c>
      <c r="Z277" s="6" t="str">
        <f>IFERROR(IF(B277="","",SUMIFS(Billing_Fallout!H:H,Billing_Fallout!N:N,B277)),0)</f>
        <v/>
      </c>
      <c r="AA277" s="6" t="str">
        <f t="shared" si="72"/>
        <v/>
      </c>
      <c r="AB277" s="6" t="str">
        <f>IFERROR(IF(B277="","",SUMIFS(Billing_Fallout!J:J,Billing_Fallout!N:N,B277)),0)</f>
        <v/>
      </c>
      <c r="AD277" s="6" t="str">
        <f t="shared" si="73"/>
        <v/>
      </c>
      <c r="AF277" t="str">
        <f>IFERROR(INDEX(H_Tables!$B$1:$B$1500,MATCH(INDEX(SF_Output!$J$1:$J$400,MATCH(B277,SF_Output!$M$1:$M$400,0)),H_Tables!$A$1:$A$1500,0)),"")</f>
        <v/>
      </c>
      <c r="AI277" s="119" t="str">
        <f t="shared" si="74"/>
        <v/>
      </c>
      <c r="AJ277" s="121">
        <f>IFERROR(INDEX(SF_Output!AD:AD,MATCH(_xlfn.TEXTJOIN(",",TRUE,B277:E277),SF_Output!AC28:AC427,0)),0.05)</f>
        <v>214</v>
      </c>
      <c r="AK277" t="str">
        <f>IF(SUMIFS(SF_Output!$F$1:$F$400,SF_Output!$AC$1:$AC$400,_xlfn.TEXTJOIN(",",TRUE,B277:E277))+SUMIFS(SF_Output!$G$1:$G$400,SF_Output!$AC$1:$AC$400,_xlfn.TEXTJOIN(",",TRUE,B277:E277))=0,"","PAP")</f>
        <v/>
      </c>
      <c r="AQ277" s="35"/>
      <c r="AR277" s="35" t="str" cm="1">
        <f t="array" ref="AR277">IFERROR(_xlfn.IFS(AND(E277*1=1,F277="Included"),"Change to Included",AND(E277*1=0,F277="Optional"),"Change to Optional",OR(B277="",F277="replaced"),""),"")</f>
        <v/>
      </c>
      <c r="AS277" s="35" t="str">
        <f t="shared" si="75"/>
        <v/>
      </c>
      <c r="AT277" s="35" t="str">
        <f t="shared" si="76"/>
        <v/>
      </c>
      <c r="AU277" s="35" t="str">
        <f t="shared" si="77"/>
        <v/>
      </c>
      <c r="AV277" s="35" t="str">
        <f t="shared" si="78"/>
        <v/>
      </c>
      <c r="AW277" s="35" t="str">
        <f t="shared" si="79"/>
        <v/>
      </c>
      <c r="AX277" s="35" t="str">
        <f t="shared" si="80"/>
        <v/>
      </c>
      <c r="AY277" s="35" t="str">
        <f t="shared" si="81"/>
        <v/>
      </c>
      <c r="AZ277" s="35" t="str">
        <f t="shared" si="82"/>
        <v/>
      </c>
      <c r="BA277" s="35" t="str">
        <f t="shared" si="83"/>
        <v/>
      </c>
      <c r="BB277" s="35" t="str">
        <f t="shared" si="84"/>
        <v/>
      </c>
      <c r="BC277" s="35"/>
      <c r="BE277" s="35" t="e">
        <f>INDEX(SF_Output!$AA$2:$AA$400,MATCH($B277,SF_Output!$M$2:$M$400,0))</f>
        <v>#N/A</v>
      </c>
      <c r="BF277" s="35" t="e">
        <f>INDEX(SF_Output!$AB$2:$AB$400,MATCH($B277,SF_Output!$M$2:$M$400,0))</f>
        <v>#N/A</v>
      </c>
    </row>
    <row r="278" spans="6:58" x14ac:dyDescent="0.25">
      <c r="F278" s="116" t="str">
        <f t="shared" si="68"/>
        <v/>
      </c>
      <c r="G278" t="str">
        <f>IF(B278="","",INDEX(SF_Output!$K$1:$K$400,MATCH(B278,SF_Output!$M$1:$M$400,0)))</f>
        <v/>
      </c>
      <c r="H278" t="str" cm="1">
        <f t="array" ref="H278">_xlfn.IFS(B278="","",(SUMIFS(SF_Output!$F$1:$F$400,SF_Output!$AC$1:$AC$400,_xlfn.TEXTJOIN(",",TRUE,B278:E278))+SUMIFS(SF_Output!$G$1:$G$400,SF_Output!$AC$1:$AC$400,_xlfn.TEXTJOIN(",",TRUE,B278:E278)))&lt;&gt;0,SF_Output!$Y$2,INDEX(SF_Output!$F$1:$F$400,MATCH(_xlfn.TEXTJOIN(",",TRUE,B278:E278),SF_Output!$AC$1:$AC$400,0))=0,INDEX(SF_Output!$R$1:$R$400,MATCH(_xlfn.TEXTJOIN(",",TRUE,B278:E278),SF_Output!$AC$1:$AC$400,0)))</f>
        <v/>
      </c>
      <c r="I278" s="125" t="str">
        <f>IFERROR(IF(AND(H278&gt;1,H278&lt;&gt;""),ROUND(SUMIFS(SF_Output!$S$1:$S$400,SF_Output!$AC$1:$AC$400,_xlfn.TEXTJOIN(",",TRUE,B278:E278),SF_Output!$Q$1:$Q$400,"monthly")*(1-W278)/H278,4),""),"")</f>
        <v/>
      </c>
      <c r="J278" s="6" t="str">
        <f>IF(B278="","",SUMIFS(SF_Output!$S$1:$S$400,SF_Output!$AC$1:$AC$400,_xlfn.TEXTJOIN(",",TRUE,B278:E278),SF_Output!$Q$1:$Q$400,"One Time",SF_Output!$L$1:$L$400,"license fee")+SUMIFS(SF_Output!$S$1:$S$400,SF_Output!$AC$1:$AC$400,_xlfn.TEXTJOIN(",",TRUE,B278:E278),SF_Output!$Q$1:$Q$400,"One Time",SF_Output!$L$1:$L$400,"software license")+SUMIFS(SF_Output!$S$1:$S$400,SF_Output!$AC$1:$AC$400,_xlfn.TEXTJOIN(",",TRUE,B278:E278),SF_Output!$Q$1:$Q$400,"One Time",SF_Output!$L$1:$L$400,"hardware"))</f>
        <v/>
      </c>
      <c r="K278" s="112" t="str">
        <f>IF(OR(B278=0,B278="",G278="hardware",J278=0),"",IF(AF278&lt;&gt;"exclusion",MAX(K$9,-((SUMIFS(SF_Output!$T$1:$T$400,SF_Output!$AC$1:$AC$400,_xlfn.TEXTJOIN(",",TRUE,$B278:$E278),SF_Output!$Q$1:$Q$400,"One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license"))/J278)))</f>
        <v/>
      </c>
      <c r="L278" s="6" t="str">
        <f t="shared" si="69"/>
        <v/>
      </c>
      <c r="N278" s="6" t="str">
        <f>IF(B278="","",SUMIFS(SF_Output!$S$1:$S$400,SF_Output!$AC$1:$AC$400,_xlfn.TEXTJOIN(",",TRUE,B278:E278),SF_Output!$Q$1:$Q$400,"One Time",SF_Output!$L$1:$L$400,"professional service"))</f>
        <v/>
      </c>
      <c r="O278" s="112" t="str">
        <f>IF(OR(B278=0,B278="",N278=0),"",IF(AF278&lt;&gt;"exclusion",MAX(O$9,-(SUMIFS(SF_Output!$T$1:$T$400,SF_Output!$AC$1:$AC$400,_xlfn.TEXTJOIN(",",TRUE,$B278:$E278),SF_Output!$Q$1:$Q$400,"One Time",SF_Output!$L$1:$L$400,"professional service"))/N278),-((SUMIFS(SF_Output!$T$1:$T$400,SF_Output!$AC$1:$AC$400,_xlfn.TEXTJOIN(",",TRUE,$B278:$E278),SF_Output!$Q$1:$Q$400,"One Time",SF_Output!$L$1:$L$400,"professional service")/N278))))</f>
        <v/>
      </c>
      <c r="P278" s="6" t="str">
        <f t="shared" si="70"/>
        <v/>
      </c>
      <c r="R278" s="6" t="str">
        <f>IF(B278="","",SUMIFS(SF_Output!$S$1:$S$400,SF_Output!$AC$1:$AC$400,_xlfn.TEXTJOIN(",",TRUE,B278:E278),SF_Output!$Q$1:$Q$400,"yearly")+SUMIFS(SF_Output!$S$1:$S$400,SF_Output!$AC$1:$AC$400,_xlfn.TEXTJOIN(",",TRUE,B278:E278),SF_Output!$Q$1:$Q$400,"quarterly")*4)</f>
        <v/>
      </c>
      <c r="S278" s="112" t="str">
        <f>IF(OR(B278=0,B278="",G278="hardware",R278=0),"",IF(AF278&lt;&gt;"exclusion",MAX(S$9,-(SUMIFS(SF_Output!$T$1:$T$400,SF_Output!$AC$1:$AC$400,_xlfn.TEXTJOIN(",",TRUE,$B278:$E278),SF_Output!$Q$1:$Q$400,"yearly"))/R278),-((SUMIFS(SF_Output!$T$1:$T$400,SF_Output!$AC$1:$AC$400,_xlfn.TEXTJOIN(",",TRUE,$B278:$E278),SF_Output!$Q$1:$Q$400,"yearly")/R278))))</f>
        <v/>
      </c>
      <c r="T278" s="6" t="str">
        <f t="shared" si="71"/>
        <v/>
      </c>
      <c r="V278" s="6" t="str" cm="1">
        <f t="array" ref="V278">_xlfn.IFS(B278="","",AND(B278&lt;&gt;"",H278=SF_Output!$Y$2,SUMIFS(SF_Output!$T$1:$T$400,SF_Output!$AC$1:$AC$400,_xlfn.TEXTJOIN(",",TRUE,B278:E278),SF_Output!$Q$1:$Q$400,"monthly")=0),(SUMIFS(SF_Output!$F$1:$F$400,SF_Output!$AC$1:$AC$400,_xlfn.TEXTJOIN(",",TRUE,B278:E278),SF_Output!$Q$1:$Q$400,"monthly")+SUMIFS(SF_Output!$G$1:$G$400,SF_Output!$AC$1:$AC$400,_xlfn.TEXTJOIN(",",TRUE,B278:E278),SF_Output!$Q$1:$Q$400,"monthly"))*H278,AND(B278&lt;&gt;"",H278=SF_Output!$Y$2,SUMIFS(SF_Output!$T$1:$T$400,SF_Output!$AC$1:$AC$400,_xlfn.TEXTJOIN(",",TRUE,B278:E278),SF_Output!$Q$1:$Q$400,"monthly")&lt;&gt;0),SUMIFS(SF_Output!$S$1:$S$400,SF_Output!$AC$1:$AC$400,_xlfn.TEXTJOIN(",",TRUE,B278:E278),SF_Output!$Q$1:$Q$400,"monthly"),AND(B278&lt;&gt;"",H278&lt;&gt;SF_Output!$Y$2),SUMIFS(SF_Output!$S$1:$S$400,SF_Output!$AC$1:$AC$400,_xlfn.TEXTJOIN(",",TRUE,B278:E278),SF_Output!$Q$1:$Q$400,"monthly"))</f>
        <v/>
      </c>
      <c r="W278" s="112" t="str" cm="1">
        <f t="array" ref="W278">_xlfn.IFS(OR(B278=0,B278="",V278=0),"",AF278&lt;&gt;"exclusion",MAX($W$9,$W$7,(-(SUMIFS(SF_Output!$T$1:$T$400,SF_Output!$AC$1:$AC$400,_xlfn.TEXTJOIN(",",TRUE,$B278:$E278),SF_Output!$Q$1:$Q$400,"monthly"))/V278)),AF278="exclusion",-(SUMIFS(SF_Output!$T$1:$T$400,SF_Output!$AC$1:$AC$400,_xlfn.TEXTJOIN(",",TRUE,$B278:$E278),SF_Output!$Q$1:$Q$400,"monthly"))/V278)</f>
        <v/>
      </c>
      <c r="X278" s="6" t="str" cm="1">
        <f t="array" ref="X278">IFERROR(_xlfn.IFS(V278=0,0,V278="","",W278=0,V278,OR(V278&lt;&gt;0,V278&lt;&gt;""),H278*I278),V278*(1-W278))</f>
        <v/>
      </c>
      <c r="Z278" s="6" t="str">
        <f>IFERROR(IF(B278="","",SUMIFS(Billing_Fallout!H:H,Billing_Fallout!N:N,B278)),0)</f>
        <v/>
      </c>
      <c r="AA278" s="6" t="str">
        <f t="shared" si="72"/>
        <v/>
      </c>
      <c r="AB278" s="6" t="str">
        <f>IFERROR(IF(B278="","",SUMIFS(Billing_Fallout!J:J,Billing_Fallout!N:N,B278)),0)</f>
        <v/>
      </c>
      <c r="AD278" s="6" t="str">
        <f t="shared" si="73"/>
        <v/>
      </c>
      <c r="AF278" t="str">
        <f>IFERROR(INDEX(H_Tables!$B$1:$B$1500,MATCH(INDEX(SF_Output!$J$1:$J$400,MATCH(B278,SF_Output!$M$1:$M$400,0)),H_Tables!$A$1:$A$1500,0)),"")</f>
        <v/>
      </c>
      <c r="AI278" s="119" t="str">
        <f t="shared" si="74"/>
        <v/>
      </c>
      <c r="AJ278" s="121">
        <f>IFERROR(INDEX(SF_Output!AD:AD,MATCH(_xlfn.TEXTJOIN(",",TRUE,B278:E278),SF_Output!AC29:AC428,0)),0.05)</f>
        <v>213</v>
      </c>
      <c r="AK278" t="str">
        <f>IF(SUMIFS(SF_Output!$F$1:$F$400,SF_Output!$AC$1:$AC$400,_xlfn.TEXTJOIN(",",TRUE,B278:E278))+SUMIFS(SF_Output!$G$1:$G$400,SF_Output!$AC$1:$AC$400,_xlfn.TEXTJOIN(",",TRUE,B278:E278))=0,"","PAP")</f>
        <v/>
      </c>
      <c r="AQ278" s="35"/>
      <c r="AR278" s="35" t="str" cm="1">
        <f t="array" ref="AR278">IFERROR(_xlfn.IFS(AND(E278*1=1,F278="Included"),"Change to Included",AND(E278*1=0,F278="Optional"),"Change to Optional",OR(B278="",F278="replaced"),""),"")</f>
        <v/>
      </c>
      <c r="AS278" s="35" t="str">
        <f t="shared" si="75"/>
        <v/>
      </c>
      <c r="AT278" s="35" t="str">
        <f t="shared" si="76"/>
        <v/>
      </c>
      <c r="AU278" s="35" t="str">
        <f t="shared" si="77"/>
        <v/>
      </c>
      <c r="AV278" s="35" t="str">
        <f t="shared" si="78"/>
        <v/>
      </c>
      <c r="AW278" s="35" t="str">
        <f t="shared" si="79"/>
        <v/>
      </c>
      <c r="AX278" s="35" t="str">
        <f t="shared" si="80"/>
        <v/>
      </c>
      <c r="AY278" s="35" t="str">
        <f t="shared" si="81"/>
        <v/>
      </c>
      <c r="AZ278" s="35" t="str">
        <f t="shared" si="82"/>
        <v/>
      </c>
      <c r="BA278" s="35" t="str">
        <f t="shared" si="83"/>
        <v/>
      </c>
      <c r="BB278" s="35" t="str">
        <f t="shared" si="84"/>
        <v/>
      </c>
      <c r="BC278" s="35"/>
      <c r="BE278" s="35" t="e">
        <f>INDEX(SF_Output!$AA$2:$AA$400,MATCH($B278,SF_Output!$M$2:$M$400,0))</f>
        <v>#N/A</v>
      </c>
      <c r="BF278" s="35" t="e">
        <f>INDEX(SF_Output!$AB$2:$AB$400,MATCH($B278,SF_Output!$M$2:$M$400,0))</f>
        <v>#N/A</v>
      </c>
    </row>
    <row r="279" spans="6:58" x14ac:dyDescent="0.25">
      <c r="F279" s="116" t="str">
        <f t="shared" si="68"/>
        <v/>
      </c>
      <c r="G279" t="str">
        <f>IF(B279="","",INDEX(SF_Output!$K$1:$K$400,MATCH(B279,SF_Output!$M$1:$M$400,0)))</f>
        <v/>
      </c>
      <c r="H279" t="str" cm="1">
        <f t="array" ref="H279">_xlfn.IFS(B279="","",(SUMIFS(SF_Output!$F$1:$F$400,SF_Output!$AC$1:$AC$400,_xlfn.TEXTJOIN(",",TRUE,B279:E279))+SUMIFS(SF_Output!$G$1:$G$400,SF_Output!$AC$1:$AC$400,_xlfn.TEXTJOIN(",",TRUE,B279:E279)))&lt;&gt;0,SF_Output!$Y$2,INDEX(SF_Output!$F$1:$F$400,MATCH(_xlfn.TEXTJOIN(",",TRUE,B279:E279),SF_Output!$AC$1:$AC$400,0))=0,INDEX(SF_Output!$R$1:$R$400,MATCH(_xlfn.TEXTJOIN(",",TRUE,B279:E279),SF_Output!$AC$1:$AC$400,0)))</f>
        <v/>
      </c>
      <c r="I279" s="125" t="str">
        <f>IFERROR(IF(AND(H279&gt;1,H279&lt;&gt;""),ROUND(SUMIFS(SF_Output!$S$1:$S$400,SF_Output!$AC$1:$AC$400,_xlfn.TEXTJOIN(",",TRUE,B279:E279),SF_Output!$Q$1:$Q$400,"monthly")*(1-W279)/H279,4),""),"")</f>
        <v/>
      </c>
      <c r="J279" s="6" t="str">
        <f>IF(B279="","",SUMIFS(SF_Output!$S$1:$S$400,SF_Output!$AC$1:$AC$400,_xlfn.TEXTJOIN(",",TRUE,B279:E279),SF_Output!$Q$1:$Q$400,"One Time",SF_Output!$L$1:$L$400,"license fee")+SUMIFS(SF_Output!$S$1:$S$400,SF_Output!$AC$1:$AC$400,_xlfn.TEXTJOIN(",",TRUE,B279:E279),SF_Output!$Q$1:$Q$400,"One Time",SF_Output!$L$1:$L$400,"software license")+SUMIFS(SF_Output!$S$1:$S$400,SF_Output!$AC$1:$AC$400,_xlfn.TEXTJOIN(",",TRUE,B279:E279),SF_Output!$Q$1:$Q$400,"One Time",SF_Output!$L$1:$L$400,"hardware"))</f>
        <v/>
      </c>
      <c r="K279" s="112" t="str">
        <f>IF(OR(B279=0,B279="",G279="hardware",J279=0),"",IF(AF279&lt;&gt;"exclusion",MAX(K$9,-((SUMIFS(SF_Output!$T$1:$T$400,SF_Output!$AC$1:$AC$400,_xlfn.TEXTJOIN(",",TRUE,$B279:$E279),SF_Output!$Q$1:$Q$400,"One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license"))/J279)))</f>
        <v/>
      </c>
      <c r="L279" s="6" t="str">
        <f t="shared" si="69"/>
        <v/>
      </c>
      <c r="N279" s="6" t="str">
        <f>IF(B279="","",SUMIFS(SF_Output!$S$1:$S$400,SF_Output!$AC$1:$AC$400,_xlfn.TEXTJOIN(",",TRUE,B279:E279),SF_Output!$Q$1:$Q$400,"One Time",SF_Output!$L$1:$L$400,"professional service"))</f>
        <v/>
      </c>
      <c r="O279" s="112" t="str">
        <f>IF(OR(B279=0,B279="",N279=0),"",IF(AF279&lt;&gt;"exclusion",MAX(O$9,-(SUMIFS(SF_Output!$T$1:$T$400,SF_Output!$AC$1:$AC$400,_xlfn.TEXTJOIN(",",TRUE,$B279:$E279),SF_Output!$Q$1:$Q$400,"One Time",SF_Output!$L$1:$L$400,"professional service"))/N279),-((SUMIFS(SF_Output!$T$1:$T$400,SF_Output!$AC$1:$AC$400,_xlfn.TEXTJOIN(",",TRUE,$B279:$E279),SF_Output!$Q$1:$Q$400,"One Time",SF_Output!$L$1:$L$400,"professional service")/N279))))</f>
        <v/>
      </c>
      <c r="P279" s="6" t="str">
        <f t="shared" si="70"/>
        <v/>
      </c>
      <c r="R279" s="6" t="str">
        <f>IF(B279="","",SUMIFS(SF_Output!$S$1:$S$400,SF_Output!$AC$1:$AC$400,_xlfn.TEXTJOIN(",",TRUE,B279:E279),SF_Output!$Q$1:$Q$400,"yearly")+SUMIFS(SF_Output!$S$1:$S$400,SF_Output!$AC$1:$AC$400,_xlfn.TEXTJOIN(",",TRUE,B279:E279),SF_Output!$Q$1:$Q$400,"quarterly")*4)</f>
        <v/>
      </c>
      <c r="S279" s="112" t="str">
        <f>IF(OR(B279=0,B279="",G279="hardware",R279=0),"",IF(AF279&lt;&gt;"exclusion",MAX(S$9,-(SUMIFS(SF_Output!$T$1:$T$400,SF_Output!$AC$1:$AC$400,_xlfn.TEXTJOIN(",",TRUE,$B279:$E279),SF_Output!$Q$1:$Q$400,"yearly"))/R279),-((SUMIFS(SF_Output!$T$1:$T$400,SF_Output!$AC$1:$AC$400,_xlfn.TEXTJOIN(",",TRUE,$B279:$E279),SF_Output!$Q$1:$Q$400,"yearly")/R279))))</f>
        <v/>
      </c>
      <c r="T279" s="6" t="str">
        <f t="shared" si="71"/>
        <v/>
      </c>
      <c r="V279" s="6" t="str" cm="1">
        <f t="array" ref="V279">_xlfn.IFS(B279="","",AND(B279&lt;&gt;"",H279=SF_Output!$Y$2,SUMIFS(SF_Output!$T$1:$T$400,SF_Output!$AC$1:$AC$400,_xlfn.TEXTJOIN(",",TRUE,B279:E279),SF_Output!$Q$1:$Q$400,"monthly")=0),(SUMIFS(SF_Output!$F$1:$F$400,SF_Output!$AC$1:$AC$400,_xlfn.TEXTJOIN(",",TRUE,B279:E279),SF_Output!$Q$1:$Q$400,"monthly")+SUMIFS(SF_Output!$G$1:$G$400,SF_Output!$AC$1:$AC$400,_xlfn.TEXTJOIN(",",TRUE,B279:E279),SF_Output!$Q$1:$Q$400,"monthly"))*H279,AND(B279&lt;&gt;"",H279=SF_Output!$Y$2,SUMIFS(SF_Output!$T$1:$T$400,SF_Output!$AC$1:$AC$400,_xlfn.TEXTJOIN(",",TRUE,B279:E279),SF_Output!$Q$1:$Q$400,"monthly")&lt;&gt;0),SUMIFS(SF_Output!$S$1:$S$400,SF_Output!$AC$1:$AC$400,_xlfn.TEXTJOIN(",",TRUE,B279:E279),SF_Output!$Q$1:$Q$400,"monthly"),AND(B279&lt;&gt;"",H279&lt;&gt;SF_Output!$Y$2),SUMIFS(SF_Output!$S$1:$S$400,SF_Output!$AC$1:$AC$400,_xlfn.TEXTJOIN(",",TRUE,B279:E279),SF_Output!$Q$1:$Q$400,"monthly"))</f>
        <v/>
      </c>
      <c r="W279" s="112" t="str" cm="1">
        <f t="array" ref="W279">_xlfn.IFS(OR(B279=0,B279="",V279=0),"",AF279&lt;&gt;"exclusion",MAX($W$9,$W$7,(-(SUMIFS(SF_Output!$T$1:$T$400,SF_Output!$AC$1:$AC$400,_xlfn.TEXTJOIN(",",TRUE,$B279:$E279),SF_Output!$Q$1:$Q$400,"monthly"))/V279)),AF279="exclusion",-(SUMIFS(SF_Output!$T$1:$T$400,SF_Output!$AC$1:$AC$400,_xlfn.TEXTJOIN(",",TRUE,$B279:$E279),SF_Output!$Q$1:$Q$400,"monthly"))/V279)</f>
        <v/>
      </c>
      <c r="X279" s="6" t="str" cm="1">
        <f t="array" ref="X279">IFERROR(_xlfn.IFS(V279=0,0,V279="","",W279=0,V279,OR(V279&lt;&gt;0,V279&lt;&gt;""),H279*I279),V279*(1-W279))</f>
        <v/>
      </c>
      <c r="Z279" s="6" t="str">
        <f>IFERROR(IF(B279="","",SUMIFS(Billing_Fallout!H:H,Billing_Fallout!N:N,B279)),0)</f>
        <v/>
      </c>
      <c r="AA279" s="6" t="str">
        <f t="shared" si="72"/>
        <v/>
      </c>
      <c r="AB279" s="6" t="str">
        <f>IFERROR(IF(B279="","",SUMIFS(Billing_Fallout!J:J,Billing_Fallout!N:N,B279)),0)</f>
        <v/>
      </c>
      <c r="AD279" s="6" t="str">
        <f t="shared" si="73"/>
        <v/>
      </c>
      <c r="AF279" t="str">
        <f>IFERROR(INDEX(H_Tables!$B$1:$B$1500,MATCH(INDEX(SF_Output!$J$1:$J$400,MATCH(B279,SF_Output!$M$1:$M$400,0)),H_Tables!$A$1:$A$1500,0)),"")</f>
        <v/>
      </c>
      <c r="AI279" s="119" t="str">
        <f t="shared" si="74"/>
        <v/>
      </c>
      <c r="AJ279" s="121">
        <f>IFERROR(INDEX(SF_Output!AD:AD,MATCH(_xlfn.TEXTJOIN(",",TRUE,B279:E279),SF_Output!AC30:AC429,0)),0.05)</f>
        <v>212</v>
      </c>
      <c r="AK279" t="str">
        <f>IF(SUMIFS(SF_Output!$F$1:$F$400,SF_Output!$AC$1:$AC$400,_xlfn.TEXTJOIN(",",TRUE,B279:E279))+SUMIFS(SF_Output!$G$1:$G$400,SF_Output!$AC$1:$AC$400,_xlfn.TEXTJOIN(",",TRUE,B279:E279))=0,"","PAP")</f>
        <v/>
      </c>
      <c r="AQ279" s="35"/>
      <c r="AR279" s="35" t="str" cm="1">
        <f t="array" ref="AR279">IFERROR(_xlfn.IFS(AND(E279*1=1,F279="Included"),"Change to Included",AND(E279*1=0,F279="Optional"),"Change to Optional",OR(B279="",F279="replaced"),""),"")</f>
        <v/>
      </c>
      <c r="AS279" s="35" t="str">
        <f t="shared" si="75"/>
        <v/>
      </c>
      <c r="AT279" s="35" t="str">
        <f t="shared" si="76"/>
        <v/>
      </c>
      <c r="AU279" s="35" t="str">
        <f t="shared" si="77"/>
        <v/>
      </c>
      <c r="AV279" s="35" t="str">
        <f t="shared" si="78"/>
        <v/>
      </c>
      <c r="AW279" s="35" t="str">
        <f t="shared" si="79"/>
        <v/>
      </c>
      <c r="AX279" s="35" t="str">
        <f t="shared" si="80"/>
        <v/>
      </c>
      <c r="AY279" s="35" t="str">
        <f t="shared" si="81"/>
        <v/>
      </c>
      <c r="AZ279" s="35" t="str">
        <f t="shared" si="82"/>
        <v/>
      </c>
      <c r="BA279" s="35" t="str">
        <f t="shared" si="83"/>
        <v/>
      </c>
      <c r="BB279" s="35" t="str">
        <f t="shared" si="84"/>
        <v/>
      </c>
      <c r="BC279" s="35"/>
      <c r="BE279" s="35" t="e">
        <f>INDEX(SF_Output!$AA$2:$AA$400,MATCH($B279,SF_Output!$M$2:$M$400,0))</f>
        <v>#N/A</v>
      </c>
      <c r="BF279" s="35" t="e">
        <f>INDEX(SF_Output!$AB$2:$AB$400,MATCH($B279,SF_Output!$M$2:$M$400,0))</f>
        <v>#N/A</v>
      </c>
    </row>
    <row r="280" spans="6:58" x14ac:dyDescent="0.25">
      <c r="F280" s="116" t="str">
        <f t="shared" si="68"/>
        <v/>
      </c>
      <c r="G280" t="str">
        <f>IF(B280="","",INDEX(SF_Output!$K$1:$K$400,MATCH(B280,SF_Output!$M$1:$M$400,0)))</f>
        <v/>
      </c>
      <c r="H280" t="str" cm="1">
        <f t="array" ref="H280">_xlfn.IFS(B280="","",(SUMIFS(SF_Output!$F$1:$F$400,SF_Output!$AC$1:$AC$400,_xlfn.TEXTJOIN(",",TRUE,B280:E280))+SUMIFS(SF_Output!$G$1:$G$400,SF_Output!$AC$1:$AC$400,_xlfn.TEXTJOIN(",",TRUE,B280:E280)))&lt;&gt;0,SF_Output!$Y$2,INDEX(SF_Output!$F$1:$F$400,MATCH(_xlfn.TEXTJOIN(",",TRUE,B280:E280),SF_Output!$AC$1:$AC$400,0))=0,INDEX(SF_Output!$R$1:$R$400,MATCH(_xlfn.TEXTJOIN(",",TRUE,B280:E280),SF_Output!$AC$1:$AC$400,0)))</f>
        <v/>
      </c>
      <c r="I280" s="125" t="str">
        <f>IFERROR(IF(AND(H280&gt;1,H280&lt;&gt;""),ROUND(SUMIFS(SF_Output!$S$1:$S$400,SF_Output!$AC$1:$AC$400,_xlfn.TEXTJOIN(",",TRUE,B280:E280),SF_Output!$Q$1:$Q$400,"monthly")*(1-W280)/H280,4),""),"")</f>
        <v/>
      </c>
      <c r="J280" s="6" t="str">
        <f>IF(B280="","",SUMIFS(SF_Output!$S$1:$S$400,SF_Output!$AC$1:$AC$400,_xlfn.TEXTJOIN(",",TRUE,B280:E280),SF_Output!$Q$1:$Q$400,"One Time",SF_Output!$L$1:$L$400,"license fee")+SUMIFS(SF_Output!$S$1:$S$400,SF_Output!$AC$1:$AC$400,_xlfn.TEXTJOIN(",",TRUE,B280:E280),SF_Output!$Q$1:$Q$400,"One Time",SF_Output!$L$1:$L$400,"software license")+SUMIFS(SF_Output!$S$1:$S$400,SF_Output!$AC$1:$AC$400,_xlfn.TEXTJOIN(",",TRUE,B280:E280),SF_Output!$Q$1:$Q$400,"One Time",SF_Output!$L$1:$L$400,"hardware"))</f>
        <v/>
      </c>
      <c r="K280" s="112" t="str">
        <f>IF(OR(B280=0,B280="",G280="hardware",J280=0),"",IF(AF280&lt;&gt;"exclusion",MAX(K$9,-((SUMIFS(SF_Output!$T$1:$T$400,SF_Output!$AC$1:$AC$400,_xlfn.TEXTJOIN(",",TRUE,$B280:$E280),SF_Output!$Q$1:$Q$400,"One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license"))/J280)))</f>
        <v/>
      </c>
      <c r="L280" s="6" t="str">
        <f t="shared" si="69"/>
        <v/>
      </c>
      <c r="N280" s="6" t="str">
        <f>IF(B280="","",SUMIFS(SF_Output!$S$1:$S$400,SF_Output!$AC$1:$AC$400,_xlfn.TEXTJOIN(",",TRUE,B280:E280),SF_Output!$Q$1:$Q$400,"One Time",SF_Output!$L$1:$L$400,"professional service"))</f>
        <v/>
      </c>
      <c r="O280" s="112" t="str">
        <f>IF(OR(B280=0,B280="",N280=0),"",IF(AF280&lt;&gt;"exclusion",MAX(O$9,-(SUMIFS(SF_Output!$T$1:$T$400,SF_Output!$AC$1:$AC$400,_xlfn.TEXTJOIN(",",TRUE,$B280:$E280),SF_Output!$Q$1:$Q$400,"One Time",SF_Output!$L$1:$L$400,"professional service"))/N280),-((SUMIFS(SF_Output!$T$1:$T$400,SF_Output!$AC$1:$AC$400,_xlfn.TEXTJOIN(",",TRUE,$B280:$E280),SF_Output!$Q$1:$Q$400,"One Time",SF_Output!$L$1:$L$400,"professional service")/N280))))</f>
        <v/>
      </c>
      <c r="P280" s="6" t="str">
        <f t="shared" si="70"/>
        <v/>
      </c>
      <c r="R280" s="6" t="str">
        <f>IF(B280="","",SUMIFS(SF_Output!$S$1:$S$400,SF_Output!$AC$1:$AC$400,_xlfn.TEXTJOIN(",",TRUE,B280:E280),SF_Output!$Q$1:$Q$400,"yearly")+SUMIFS(SF_Output!$S$1:$S$400,SF_Output!$AC$1:$AC$400,_xlfn.TEXTJOIN(",",TRUE,B280:E280),SF_Output!$Q$1:$Q$400,"quarterly")*4)</f>
        <v/>
      </c>
      <c r="S280" s="112" t="str">
        <f>IF(OR(B280=0,B280="",G280="hardware",R280=0),"",IF(AF280&lt;&gt;"exclusion",MAX(S$9,-(SUMIFS(SF_Output!$T$1:$T$400,SF_Output!$AC$1:$AC$400,_xlfn.TEXTJOIN(",",TRUE,$B280:$E280),SF_Output!$Q$1:$Q$400,"yearly"))/R280),-((SUMIFS(SF_Output!$T$1:$T$400,SF_Output!$AC$1:$AC$400,_xlfn.TEXTJOIN(",",TRUE,$B280:$E280),SF_Output!$Q$1:$Q$400,"yearly")/R280))))</f>
        <v/>
      </c>
      <c r="T280" s="6" t="str">
        <f t="shared" si="71"/>
        <v/>
      </c>
      <c r="V280" s="6" t="str" cm="1">
        <f t="array" ref="V280">_xlfn.IFS(B280="","",AND(B280&lt;&gt;"",H280=SF_Output!$Y$2,SUMIFS(SF_Output!$T$1:$T$400,SF_Output!$AC$1:$AC$400,_xlfn.TEXTJOIN(",",TRUE,B280:E280),SF_Output!$Q$1:$Q$400,"monthly")=0),(SUMIFS(SF_Output!$F$1:$F$400,SF_Output!$AC$1:$AC$400,_xlfn.TEXTJOIN(",",TRUE,B280:E280),SF_Output!$Q$1:$Q$400,"monthly")+SUMIFS(SF_Output!$G$1:$G$400,SF_Output!$AC$1:$AC$400,_xlfn.TEXTJOIN(",",TRUE,B280:E280),SF_Output!$Q$1:$Q$400,"monthly"))*H280,AND(B280&lt;&gt;"",H280=SF_Output!$Y$2,SUMIFS(SF_Output!$T$1:$T$400,SF_Output!$AC$1:$AC$400,_xlfn.TEXTJOIN(",",TRUE,B280:E280),SF_Output!$Q$1:$Q$400,"monthly")&lt;&gt;0),SUMIFS(SF_Output!$S$1:$S$400,SF_Output!$AC$1:$AC$400,_xlfn.TEXTJOIN(",",TRUE,B280:E280),SF_Output!$Q$1:$Q$400,"monthly"),AND(B280&lt;&gt;"",H280&lt;&gt;SF_Output!$Y$2),SUMIFS(SF_Output!$S$1:$S$400,SF_Output!$AC$1:$AC$400,_xlfn.TEXTJOIN(",",TRUE,B280:E280),SF_Output!$Q$1:$Q$400,"monthly"))</f>
        <v/>
      </c>
      <c r="W280" s="112" t="str" cm="1">
        <f t="array" ref="W280">_xlfn.IFS(OR(B280=0,B280="",V280=0),"",AF280&lt;&gt;"exclusion",MAX($W$9,$W$7,(-(SUMIFS(SF_Output!$T$1:$T$400,SF_Output!$AC$1:$AC$400,_xlfn.TEXTJOIN(",",TRUE,$B280:$E280),SF_Output!$Q$1:$Q$400,"monthly"))/V280)),AF280="exclusion",-(SUMIFS(SF_Output!$T$1:$T$400,SF_Output!$AC$1:$AC$400,_xlfn.TEXTJOIN(",",TRUE,$B280:$E280),SF_Output!$Q$1:$Q$400,"monthly"))/V280)</f>
        <v/>
      </c>
      <c r="X280" s="6" t="str" cm="1">
        <f t="array" ref="X280">IFERROR(_xlfn.IFS(V280=0,0,V280="","",W280=0,V280,OR(V280&lt;&gt;0,V280&lt;&gt;""),H280*I280),V280*(1-W280))</f>
        <v/>
      </c>
      <c r="Z280" s="6" t="str">
        <f>IFERROR(IF(B280="","",SUMIFS(Billing_Fallout!H:H,Billing_Fallout!N:N,B280)),0)</f>
        <v/>
      </c>
      <c r="AA280" s="6" t="str">
        <f t="shared" si="72"/>
        <v/>
      </c>
      <c r="AB280" s="6" t="str">
        <f>IFERROR(IF(B280="","",SUMIFS(Billing_Fallout!J:J,Billing_Fallout!N:N,B280)),0)</f>
        <v/>
      </c>
      <c r="AD280" s="6" t="str">
        <f t="shared" si="73"/>
        <v/>
      </c>
      <c r="AF280" t="str">
        <f>IFERROR(INDEX(H_Tables!$B$1:$B$1500,MATCH(INDEX(SF_Output!$J$1:$J$400,MATCH(B280,SF_Output!$M$1:$M$400,0)),H_Tables!$A$1:$A$1500,0)),"")</f>
        <v/>
      </c>
      <c r="AI280" s="119" t="str">
        <f t="shared" si="74"/>
        <v/>
      </c>
      <c r="AJ280" s="121">
        <f>IFERROR(INDEX(SF_Output!AD:AD,MATCH(_xlfn.TEXTJOIN(",",TRUE,B280:E280),SF_Output!AC31:AC430,0)),0.05)</f>
        <v>211</v>
      </c>
      <c r="AK280" t="str">
        <f>IF(SUMIFS(SF_Output!$F$1:$F$400,SF_Output!$AC$1:$AC$400,_xlfn.TEXTJOIN(",",TRUE,B280:E280))+SUMIFS(SF_Output!$G$1:$G$400,SF_Output!$AC$1:$AC$400,_xlfn.TEXTJOIN(",",TRUE,B280:E280))=0,"","PAP")</f>
        <v/>
      </c>
      <c r="AQ280" s="35"/>
      <c r="AR280" s="35" t="str" cm="1">
        <f t="array" ref="AR280">IFERROR(_xlfn.IFS(AND(E280*1=1,F280="Included"),"Change to Included",AND(E280*1=0,F280="Optional"),"Change to Optional",OR(B280="",F280="replaced"),""),"")</f>
        <v/>
      </c>
      <c r="AS280" s="35" t="str">
        <f t="shared" si="75"/>
        <v/>
      </c>
      <c r="AT280" s="35" t="str">
        <f t="shared" si="76"/>
        <v/>
      </c>
      <c r="AU280" s="35" t="str">
        <f t="shared" si="77"/>
        <v/>
      </c>
      <c r="AV280" s="35" t="str">
        <f t="shared" si="78"/>
        <v/>
      </c>
      <c r="AW280" s="35" t="str">
        <f t="shared" si="79"/>
        <v/>
      </c>
      <c r="AX280" s="35" t="str">
        <f t="shared" si="80"/>
        <v/>
      </c>
      <c r="AY280" s="35" t="str">
        <f t="shared" si="81"/>
        <v/>
      </c>
      <c r="AZ280" s="35" t="str">
        <f t="shared" si="82"/>
        <v/>
      </c>
      <c r="BA280" s="35" t="str">
        <f t="shared" si="83"/>
        <v/>
      </c>
      <c r="BB280" s="35" t="str">
        <f t="shared" si="84"/>
        <v/>
      </c>
      <c r="BC280" s="35"/>
      <c r="BE280" s="35" t="e">
        <f>INDEX(SF_Output!$AA$2:$AA$400,MATCH($B280,SF_Output!$M$2:$M$400,0))</f>
        <v>#N/A</v>
      </c>
      <c r="BF280" s="35" t="e">
        <f>INDEX(SF_Output!$AB$2:$AB$400,MATCH($B280,SF_Output!$M$2:$M$400,0))</f>
        <v>#N/A</v>
      </c>
    </row>
    <row r="281" spans="6:58" x14ac:dyDescent="0.25">
      <c r="F281" s="116" t="str">
        <f t="shared" si="68"/>
        <v/>
      </c>
      <c r="G281" t="str">
        <f>IF(B281="","",INDEX(SF_Output!$K$1:$K$400,MATCH(B281,SF_Output!$M$1:$M$400,0)))</f>
        <v/>
      </c>
      <c r="H281" t="str" cm="1">
        <f t="array" ref="H281">_xlfn.IFS(B281="","",(SUMIFS(SF_Output!$F$1:$F$400,SF_Output!$AC$1:$AC$400,_xlfn.TEXTJOIN(",",TRUE,B281:E281))+SUMIFS(SF_Output!$G$1:$G$400,SF_Output!$AC$1:$AC$400,_xlfn.TEXTJOIN(",",TRUE,B281:E281)))&lt;&gt;0,SF_Output!$Y$2,INDEX(SF_Output!$F$1:$F$400,MATCH(_xlfn.TEXTJOIN(",",TRUE,B281:E281),SF_Output!$AC$1:$AC$400,0))=0,INDEX(SF_Output!$R$1:$R$400,MATCH(_xlfn.TEXTJOIN(",",TRUE,B281:E281),SF_Output!$AC$1:$AC$400,0)))</f>
        <v/>
      </c>
      <c r="I281" s="125" t="str">
        <f>IFERROR(IF(AND(H281&gt;1,H281&lt;&gt;""),ROUND(SUMIFS(SF_Output!$S$1:$S$400,SF_Output!$AC$1:$AC$400,_xlfn.TEXTJOIN(",",TRUE,B281:E281),SF_Output!$Q$1:$Q$400,"monthly")*(1-W281)/H281,4),""),"")</f>
        <v/>
      </c>
      <c r="J281" s="6" t="str">
        <f>IF(B281="","",SUMIFS(SF_Output!$S$1:$S$400,SF_Output!$AC$1:$AC$400,_xlfn.TEXTJOIN(",",TRUE,B281:E281),SF_Output!$Q$1:$Q$400,"One Time",SF_Output!$L$1:$L$400,"license fee")+SUMIFS(SF_Output!$S$1:$S$400,SF_Output!$AC$1:$AC$400,_xlfn.TEXTJOIN(",",TRUE,B281:E281),SF_Output!$Q$1:$Q$400,"One Time",SF_Output!$L$1:$L$400,"software license")+SUMIFS(SF_Output!$S$1:$S$400,SF_Output!$AC$1:$AC$400,_xlfn.TEXTJOIN(",",TRUE,B281:E281),SF_Output!$Q$1:$Q$400,"One Time",SF_Output!$L$1:$L$400,"hardware"))</f>
        <v/>
      </c>
      <c r="K281" s="112" t="str">
        <f>IF(OR(B281=0,B281="",G281="hardware",J281=0),"",IF(AF281&lt;&gt;"exclusion",MAX(K$9,-((SUMIFS(SF_Output!$T$1:$T$400,SF_Output!$AC$1:$AC$400,_xlfn.TEXTJOIN(",",TRUE,$B281:$E281),SF_Output!$Q$1:$Q$400,"One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license"))/J281)))</f>
        <v/>
      </c>
      <c r="L281" s="6" t="str">
        <f t="shared" si="69"/>
        <v/>
      </c>
      <c r="N281" s="6" t="str">
        <f>IF(B281="","",SUMIFS(SF_Output!$S$1:$S$400,SF_Output!$AC$1:$AC$400,_xlfn.TEXTJOIN(",",TRUE,B281:E281),SF_Output!$Q$1:$Q$400,"One Time",SF_Output!$L$1:$L$400,"professional service"))</f>
        <v/>
      </c>
      <c r="O281" s="112" t="str">
        <f>IF(OR(B281=0,B281="",N281=0),"",IF(AF281&lt;&gt;"exclusion",MAX(O$9,-(SUMIFS(SF_Output!$T$1:$T$400,SF_Output!$AC$1:$AC$400,_xlfn.TEXTJOIN(",",TRUE,$B281:$E281),SF_Output!$Q$1:$Q$400,"One Time",SF_Output!$L$1:$L$400,"professional service"))/N281),-((SUMIFS(SF_Output!$T$1:$T$400,SF_Output!$AC$1:$AC$400,_xlfn.TEXTJOIN(",",TRUE,$B281:$E281),SF_Output!$Q$1:$Q$400,"One Time",SF_Output!$L$1:$L$400,"professional service")/N281))))</f>
        <v/>
      </c>
      <c r="P281" s="6" t="str">
        <f t="shared" si="70"/>
        <v/>
      </c>
      <c r="R281" s="6" t="str">
        <f>IF(B281="","",SUMIFS(SF_Output!$S$1:$S$400,SF_Output!$AC$1:$AC$400,_xlfn.TEXTJOIN(",",TRUE,B281:E281),SF_Output!$Q$1:$Q$400,"yearly")+SUMIFS(SF_Output!$S$1:$S$400,SF_Output!$AC$1:$AC$400,_xlfn.TEXTJOIN(",",TRUE,B281:E281),SF_Output!$Q$1:$Q$400,"quarterly")*4)</f>
        <v/>
      </c>
      <c r="S281" s="112" t="str">
        <f>IF(OR(B281=0,B281="",G281="hardware",R281=0),"",IF(AF281&lt;&gt;"exclusion",MAX(S$9,-(SUMIFS(SF_Output!$T$1:$T$400,SF_Output!$AC$1:$AC$400,_xlfn.TEXTJOIN(",",TRUE,$B281:$E281),SF_Output!$Q$1:$Q$400,"yearly"))/R281),-((SUMIFS(SF_Output!$T$1:$T$400,SF_Output!$AC$1:$AC$400,_xlfn.TEXTJOIN(",",TRUE,$B281:$E281),SF_Output!$Q$1:$Q$400,"yearly")/R281))))</f>
        <v/>
      </c>
      <c r="T281" s="6" t="str">
        <f t="shared" si="71"/>
        <v/>
      </c>
      <c r="V281" s="6" t="str" cm="1">
        <f t="array" ref="V281">_xlfn.IFS(B281="","",AND(B281&lt;&gt;"",H281=SF_Output!$Y$2,SUMIFS(SF_Output!$T$1:$T$400,SF_Output!$AC$1:$AC$400,_xlfn.TEXTJOIN(",",TRUE,B281:E281),SF_Output!$Q$1:$Q$400,"monthly")=0),(SUMIFS(SF_Output!$F$1:$F$400,SF_Output!$AC$1:$AC$400,_xlfn.TEXTJOIN(",",TRUE,B281:E281),SF_Output!$Q$1:$Q$400,"monthly")+SUMIFS(SF_Output!$G$1:$G$400,SF_Output!$AC$1:$AC$400,_xlfn.TEXTJOIN(",",TRUE,B281:E281),SF_Output!$Q$1:$Q$400,"monthly"))*H281,AND(B281&lt;&gt;"",H281=SF_Output!$Y$2,SUMIFS(SF_Output!$T$1:$T$400,SF_Output!$AC$1:$AC$400,_xlfn.TEXTJOIN(",",TRUE,B281:E281),SF_Output!$Q$1:$Q$400,"monthly")&lt;&gt;0),SUMIFS(SF_Output!$S$1:$S$400,SF_Output!$AC$1:$AC$400,_xlfn.TEXTJOIN(",",TRUE,B281:E281),SF_Output!$Q$1:$Q$400,"monthly"),AND(B281&lt;&gt;"",H281&lt;&gt;SF_Output!$Y$2),SUMIFS(SF_Output!$S$1:$S$400,SF_Output!$AC$1:$AC$400,_xlfn.TEXTJOIN(",",TRUE,B281:E281),SF_Output!$Q$1:$Q$400,"monthly"))</f>
        <v/>
      </c>
      <c r="W281" s="112" t="str" cm="1">
        <f t="array" ref="W281">_xlfn.IFS(OR(B281=0,B281="",V281=0),"",AF281&lt;&gt;"exclusion",MAX($W$9,$W$7,(-(SUMIFS(SF_Output!$T$1:$T$400,SF_Output!$AC$1:$AC$400,_xlfn.TEXTJOIN(",",TRUE,$B281:$E281),SF_Output!$Q$1:$Q$400,"monthly"))/V281)),AF281="exclusion",-(SUMIFS(SF_Output!$T$1:$T$400,SF_Output!$AC$1:$AC$400,_xlfn.TEXTJOIN(",",TRUE,$B281:$E281),SF_Output!$Q$1:$Q$400,"monthly"))/V281)</f>
        <v/>
      </c>
      <c r="X281" s="6" t="str" cm="1">
        <f t="array" ref="X281">IFERROR(_xlfn.IFS(V281=0,0,V281="","",W281=0,V281,OR(V281&lt;&gt;0,V281&lt;&gt;""),H281*I281),V281*(1-W281))</f>
        <v/>
      </c>
      <c r="Z281" s="6" t="str">
        <f>IFERROR(IF(B281="","",SUMIFS(Billing_Fallout!H:H,Billing_Fallout!N:N,B281)),0)</f>
        <v/>
      </c>
      <c r="AA281" s="6" t="str">
        <f t="shared" si="72"/>
        <v/>
      </c>
      <c r="AB281" s="6" t="str">
        <f>IFERROR(IF(B281="","",SUMIFS(Billing_Fallout!J:J,Billing_Fallout!N:N,B281)),0)</f>
        <v/>
      </c>
      <c r="AD281" s="6" t="str">
        <f t="shared" si="73"/>
        <v/>
      </c>
      <c r="AF281" t="str">
        <f>IFERROR(INDEX(H_Tables!$B$1:$B$1500,MATCH(INDEX(SF_Output!$J$1:$J$400,MATCH(B281,SF_Output!$M$1:$M$400,0)),H_Tables!$A$1:$A$1500,0)),"")</f>
        <v/>
      </c>
      <c r="AI281" s="119" t="str">
        <f t="shared" si="74"/>
        <v/>
      </c>
      <c r="AJ281" s="121">
        <f>IFERROR(INDEX(SF_Output!AD:AD,MATCH(_xlfn.TEXTJOIN(",",TRUE,B281:E281),SF_Output!AC32:AC431,0)),0.05)</f>
        <v>210</v>
      </c>
      <c r="AK281" t="str">
        <f>IF(SUMIFS(SF_Output!$F$1:$F$400,SF_Output!$AC$1:$AC$400,_xlfn.TEXTJOIN(",",TRUE,B281:E281))+SUMIFS(SF_Output!$G$1:$G$400,SF_Output!$AC$1:$AC$400,_xlfn.TEXTJOIN(",",TRUE,B281:E281))=0,"","PAP")</f>
        <v/>
      </c>
      <c r="AQ281" s="35"/>
      <c r="AR281" s="35" t="str" cm="1">
        <f t="array" ref="AR281">IFERROR(_xlfn.IFS(AND(E281*1=1,F281="Included"),"Change to Included",AND(E281*1=0,F281="Optional"),"Change to Optional",OR(B281="",F281="replaced"),""),"")</f>
        <v/>
      </c>
      <c r="AS281" s="35" t="str">
        <f t="shared" si="75"/>
        <v/>
      </c>
      <c r="AT281" s="35" t="str">
        <f t="shared" si="76"/>
        <v/>
      </c>
      <c r="AU281" s="35" t="str">
        <f t="shared" si="77"/>
        <v/>
      </c>
      <c r="AV281" s="35" t="str">
        <f t="shared" si="78"/>
        <v/>
      </c>
      <c r="AW281" s="35" t="str">
        <f t="shared" si="79"/>
        <v/>
      </c>
      <c r="AX281" s="35" t="str">
        <f t="shared" si="80"/>
        <v/>
      </c>
      <c r="AY281" s="35" t="str">
        <f t="shared" si="81"/>
        <v/>
      </c>
      <c r="AZ281" s="35" t="str">
        <f t="shared" si="82"/>
        <v/>
      </c>
      <c r="BA281" s="35" t="str">
        <f t="shared" si="83"/>
        <v/>
      </c>
      <c r="BB281" s="35" t="str">
        <f t="shared" si="84"/>
        <v/>
      </c>
      <c r="BC281" s="35"/>
      <c r="BE281" s="35" t="e">
        <f>INDEX(SF_Output!$AA$2:$AA$400,MATCH($B281,SF_Output!$M$2:$M$400,0))</f>
        <v>#N/A</v>
      </c>
      <c r="BF281" s="35" t="e">
        <f>INDEX(SF_Output!$AB$2:$AB$400,MATCH($B281,SF_Output!$M$2:$M$400,0))</f>
        <v>#N/A</v>
      </c>
    </row>
    <row r="282" spans="6:58" x14ac:dyDescent="0.25">
      <c r="F282" s="116" t="str">
        <f t="shared" si="68"/>
        <v/>
      </c>
      <c r="G282" t="str">
        <f>IF(B282="","",INDEX(SF_Output!$K$1:$K$400,MATCH(B282,SF_Output!$M$1:$M$400,0)))</f>
        <v/>
      </c>
      <c r="H282" t="str" cm="1">
        <f t="array" ref="H282">_xlfn.IFS(B282="","",(SUMIFS(SF_Output!$F$1:$F$400,SF_Output!$AC$1:$AC$400,_xlfn.TEXTJOIN(",",TRUE,B282:E282))+SUMIFS(SF_Output!$G$1:$G$400,SF_Output!$AC$1:$AC$400,_xlfn.TEXTJOIN(",",TRUE,B282:E282)))&lt;&gt;0,SF_Output!$Y$2,INDEX(SF_Output!$F$1:$F$400,MATCH(_xlfn.TEXTJOIN(",",TRUE,B282:E282),SF_Output!$AC$1:$AC$400,0))=0,INDEX(SF_Output!$R$1:$R$400,MATCH(_xlfn.TEXTJOIN(",",TRUE,B282:E282),SF_Output!$AC$1:$AC$400,0)))</f>
        <v/>
      </c>
      <c r="I282" s="125" t="str">
        <f>IFERROR(IF(AND(H282&gt;1,H282&lt;&gt;""),ROUND(SUMIFS(SF_Output!$S$1:$S$400,SF_Output!$AC$1:$AC$400,_xlfn.TEXTJOIN(",",TRUE,B282:E282),SF_Output!$Q$1:$Q$400,"monthly")*(1-W282)/H282,4),""),"")</f>
        <v/>
      </c>
      <c r="J282" s="6" t="str">
        <f>IF(B282="","",SUMIFS(SF_Output!$S$1:$S$400,SF_Output!$AC$1:$AC$400,_xlfn.TEXTJOIN(",",TRUE,B282:E282),SF_Output!$Q$1:$Q$400,"One Time",SF_Output!$L$1:$L$400,"license fee")+SUMIFS(SF_Output!$S$1:$S$400,SF_Output!$AC$1:$AC$400,_xlfn.TEXTJOIN(",",TRUE,B282:E282),SF_Output!$Q$1:$Q$400,"One Time",SF_Output!$L$1:$L$400,"software license")+SUMIFS(SF_Output!$S$1:$S$400,SF_Output!$AC$1:$AC$400,_xlfn.TEXTJOIN(",",TRUE,B282:E282),SF_Output!$Q$1:$Q$400,"One Time",SF_Output!$L$1:$L$400,"hardware"))</f>
        <v/>
      </c>
      <c r="K282" s="112" t="str">
        <f>IF(OR(B282=0,B282="",G282="hardware",J282=0),"",IF(AF282&lt;&gt;"exclusion",MAX(K$9,-((SUMIFS(SF_Output!$T$1:$T$400,SF_Output!$AC$1:$AC$400,_xlfn.TEXTJOIN(",",TRUE,$B282:$E282),SF_Output!$Q$1:$Q$400,"One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license"))/J282)))</f>
        <v/>
      </c>
      <c r="L282" s="6" t="str">
        <f t="shared" si="69"/>
        <v/>
      </c>
      <c r="N282" s="6" t="str">
        <f>IF(B282="","",SUMIFS(SF_Output!$S$1:$S$400,SF_Output!$AC$1:$AC$400,_xlfn.TEXTJOIN(",",TRUE,B282:E282),SF_Output!$Q$1:$Q$400,"One Time",SF_Output!$L$1:$L$400,"professional service"))</f>
        <v/>
      </c>
      <c r="O282" s="112" t="str">
        <f>IF(OR(B282=0,B282="",N282=0),"",IF(AF282&lt;&gt;"exclusion",MAX(O$9,-(SUMIFS(SF_Output!$T$1:$T$400,SF_Output!$AC$1:$AC$400,_xlfn.TEXTJOIN(",",TRUE,$B282:$E282),SF_Output!$Q$1:$Q$400,"One Time",SF_Output!$L$1:$L$400,"professional service"))/N282),-((SUMIFS(SF_Output!$T$1:$T$400,SF_Output!$AC$1:$AC$400,_xlfn.TEXTJOIN(",",TRUE,$B282:$E282),SF_Output!$Q$1:$Q$400,"One Time",SF_Output!$L$1:$L$400,"professional service")/N282))))</f>
        <v/>
      </c>
      <c r="P282" s="6" t="str">
        <f t="shared" si="70"/>
        <v/>
      </c>
      <c r="R282" s="6" t="str">
        <f>IF(B282="","",SUMIFS(SF_Output!$S$1:$S$400,SF_Output!$AC$1:$AC$400,_xlfn.TEXTJOIN(",",TRUE,B282:E282),SF_Output!$Q$1:$Q$400,"yearly")+SUMIFS(SF_Output!$S$1:$S$400,SF_Output!$AC$1:$AC$400,_xlfn.TEXTJOIN(",",TRUE,B282:E282),SF_Output!$Q$1:$Q$400,"quarterly")*4)</f>
        <v/>
      </c>
      <c r="S282" s="112" t="str">
        <f>IF(OR(B282=0,B282="",G282="hardware",R282=0),"",IF(AF282&lt;&gt;"exclusion",MAX(S$9,-(SUMIFS(SF_Output!$T$1:$T$400,SF_Output!$AC$1:$AC$400,_xlfn.TEXTJOIN(",",TRUE,$B282:$E282),SF_Output!$Q$1:$Q$400,"yearly"))/R282),-((SUMIFS(SF_Output!$T$1:$T$400,SF_Output!$AC$1:$AC$400,_xlfn.TEXTJOIN(",",TRUE,$B282:$E282),SF_Output!$Q$1:$Q$400,"yearly")/R282))))</f>
        <v/>
      </c>
      <c r="T282" s="6" t="str">
        <f t="shared" si="71"/>
        <v/>
      </c>
      <c r="V282" s="6" t="str" cm="1">
        <f t="array" ref="V282">_xlfn.IFS(B282="","",AND(B282&lt;&gt;"",H282=SF_Output!$Y$2,SUMIFS(SF_Output!$T$1:$T$400,SF_Output!$AC$1:$AC$400,_xlfn.TEXTJOIN(",",TRUE,B282:E282),SF_Output!$Q$1:$Q$400,"monthly")=0),(SUMIFS(SF_Output!$F$1:$F$400,SF_Output!$AC$1:$AC$400,_xlfn.TEXTJOIN(",",TRUE,B282:E282),SF_Output!$Q$1:$Q$400,"monthly")+SUMIFS(SF_Output!$G$1:$G$400,SF_Output!$AC$1:$AC$400,_xlfn.TEXTJOIN(",",TRUE,B282:E282),SF_Output!$Q$1:$Q$400,"monthly"))*H282,AND(B282&lt;&gt;"",H282=SF_Output!$Y$2,SUMIFS(SF_Output!$T$1:$T$400,SF_Output!$AC$1:$AC$400,_xlfn.TEXTJOIN(",",TRUE,B282:E282),SF_Output!$Q$1:$Q$400,"monthly")&lt;&gt;0),SUMIFS(SF_Output!$S$1:$S$400,SF_Output!$AC$1:$AC$400,_xlfn.TEXTJOIN(",",TRUE,B282:E282),SF_Output!$Q$1:$Q$400,"monthly"),AND(B282&lt;&gt;"",H282&lt;&gt;SF_Output!$Y$2),SUMIFS(SF_Output!$S$1:$S$400,SF_Output!$AC$1:$AC$400,_xlfn.TEXTJOIN(",",TRUE,B282:E282),SF_Output!$Q$1:$Q$400,"monthly"))</f>
        <v/>
      </c>
      <c r="W282" s="112" t="str" cm="1">
        <f t="array" ref="W282">_xlfn.IFS(OR(B282=0,B282="",V282=0),"",AF282&lt;&gt;"exclusion",MAX($W$9,$W$7,(-(SUMIFS(SF_Output!$T$1:$T$400,SF_Output!$AC$1:$AC$400,_xlfn.TEXTJOIN(",",TRUE,$B282:$E282),SF_Output!$Q$1:$Q$400,"monthly"))/V282)),AF282="exclusion",-(SUMIFS(SF_Output!$T$1:$T$400,SF_Output!$AC$1:$AC$400,_xlfn.TEXTJOIN(",",TRUE,$B282:$E282),SF_Output!$Q$1:$Q$400,"monthly"))/V282)</f>
        <v/>
      </c>
      <c r="X282" s="6" t="str" cm="1">
        <f t="array" ref="X282">IFERROR(_xlfn.IFS(V282=0,0,V282="","",W282=0,V282,OR(V282&lt;&gt;0,V282&lt;&gt;""),H282*I282),V282*(1-W282))</f>
        <v/>
      </c>
      <c r="Z282" s="6" t="str">
        <f>IFERROR(IF(B282="","",SUMIFS(Billing_Fallout!H:H,Billing_Fallout!N:N,B282)),0)</f>
        <v/>
      </c>
      <c r="AA282" s="6" t="str">
        <f t="shared" si="72"/>
        <v/>
      </c>
      <c r="AB282" s="6" t="str">
        <f>IFERROR(IF(B282="","",SUMIFS(Billing_Fallout!J:J,Billing_Fallout!N:N,B282)),0)</f>
        <v/>
      </c>
      <c r="AD282" s="6" t="str">
        <f t="shared" si="73"/>
        <v/>
      </c>
      <c r="AF282" t="str">
        <f>IFERROR(INDEX(H_Tables!$B$1:$B$1500,MATCH(INDEX(SF_Output!$J$1:$J$400,MATCH(B282,SF_Output!$M$1:$M$400,0)),H_Tables!$A$1:$A$1500,0)),"")</f>
        <v/>
      </c>
      <c r="AI282" s="119" t="str">
        <f t="shared" si="74"/>
        <v/>
      </c>
      <c r="AJ282" s="121">
        <f>IFERROR(INDEX(SF_Output!AD:AD,MATCH(_xlfn.TEXTJOIN(",",TRUE,B282:E282),SF_Output!AC33:AC432,0)),0.05)</f>
        <v>209</v>
      </c>
      <c r="AK282" t="str">
        <f>IF(SUMIFS(SF_Output!$F$1:$F$400,SF_Output!$AC$1:$AC$400,_xlfn.TEXTJOIN(",",TRUE,B282:E282))+SUMIFS(SF_Output!$G$1:$G$400,SF_Output!$AC$1:$AC$400,_xlfn.TEXTJOIN(",",TRUE,B282:E282))=0,"","PAP")</f>
        <v/>
      </c>
      <c r="AQ282" s="35"/>
      <c r="AR282" s="35" t="str" cm="1">
        <f t="array" ref="AR282">IFERROR(_xlfn.IFS(AND(E282*1=1,F282="Included"),"Change to Included",AND(E282*1=0,F282="Optional"),"Change to Optional",OR(B282="",F282="replaced"),""),"")</f>
        <v/>
      </c>
      <c r="AS282" s="35" t="str">
        <f t="shared" si="75"/>
        <v/>
      </c>
      <c r="AT282" s="35" t="str">
        <f t="shared" si="76"/>
        <v/>
      </c>
      <c r="AU282" s="35" t="str">
        <f t="shared" si="77"/>
        <v/>
      </c>
      <c r="AV282" s="35" t="str">
        <f t="shared" si="78"/>
        <v/>
      </c>
      <c r="AW282" s="35" t="str">
        <f t="shared" si="79"/>
        <v/>
      </c>
      <c r="AX282" s="35" t="str">
        <f t="shared" si="80"/>
        <v/>
      </c>
      <c r="AY282" s="35" t="str">
        <f t="shared" si="81"/>
        <v/>
      </c>
      <c r="AZ282" s="35" t="str">
        <f t="shared" si="82"/>
        <v/>
      </c>
      <c r="BA282" s="35" t="str">
        <f t="shared" si="83"/>
        <v/>
      </c>
      <c r="BB282" s="35" t="str">
        <f t="shared" si="84"/>
        <v/>
      </c>
      <c r="BC282" s="35"/>
      <c r="BE282" s="35" t="e">
        <f>INDEX(SF_Output!$AA$2:$AA$400,MATCH($B282,SF_Output!$M$2:$M$400,0))</f>
        <v>#N/A</v>
      </c>
      <c r="BF282" s="35" t="e">
        <f>INDEX(SF_Output!$AB$2:$AB$400,MATCH($B282,SF_Output!$M$2:$M$400,0))</f>
        <v>#N/A</v>
      </c>
    </row>
    <row r="283" spans="6:58" x14ac:dyDescent="0.25">
      <c r="F283" s="116" t="str">
        <f t="shared" si="68"/>
        <v/>
      </c>
      <c r="G283" t="str">
        <f>IF(B283="","",INDEX(SF_Output!$K$1:$K$400,MATCH(B283,SF_Output!$M$1:$M$400,0)))</f>
        <v/>
      </c>
      <c r="H283" t="str" cm="1">
        <f t="array" ref="H283">_xlfn.IFS(B283="","",(SUMIFS(SF_Output!$F$1:$F$400,SF_Output!$AC$1:$AC$400,_xlfn.TEXTJOIN(",",TRUE,B283:E283))+SUMIFS(SF_Output!$G$1:$G$400,SF_Output!$AC$1:$AC$400,_xlfn.TEXTJOIN(",",TRUE,B283:E283)))&lt;&gt;0,SF_Output!$Y$2,INDEX(SF_Output!$F$1:$F$400,MATCH(_xlfn.TEXTJOIN(",",TRUE,B283:E283),SF_Output!$AC$1:$AC$400,0))=0,INDEX(SF_Output!$R$1:$R$400,MATCH(_xlfn.TEXTJOIN(",",TRUE,B283:E283),SF_Output!$AC$1:$AC$400,0)))</f>
        <v/>
      </c>
      <c r="I283" s="125" t="str">
        <f>IFERROR(IF(AND(H283&gt;1,H283&lt;&gt;""),ROUND(SUMIFS(SF_Output!$S$1:$S$400,SF_Output!$AC$1:$AC$400,_xlfn.TEXTJOIN(",",TRUE,B283:E283),SF_Output!$Q$1:$Q$400,"monthly")*(1-W283)/H283,4),""),"")</f>
        <v/>
      </c>
      <c r="J283" s="6" t="str">
        <f>IF(B283="","",SUMIFS(SF_Output!$S$1:$S$400,SF_Output!$AC$1:$AC$400,_xlfn.TEXTJOIN(",",TRUE,B283:E283),SF_Output!$Q$1:$Q$400,"One Time",SF_Output!$L$1:$L$400,"license fee")+SUMIFS(SF_Output!$S$1:$S$400,SF_Output!$AC$1:$AC$400,_xlfn.TEXTJOIN(",",TRUE,B283:E283),SF_Output!$Q$1:$Q$400,"One Time",SF_Output!$L$1:$L$400,"software license")+SUMIFS(SF_Output!$S$1:$S$400,SF_Output!$AC$1:$AC$400,_xlfn.TEXTJOIN(",",TRUE,B283:E283),SF_Output!$Q$1:$Q$400,"One Time",SF_Output!$L$1:$L$400,"hardware"))</f>
        <v/>
      </c>
      <c r="K283" s="112" t="str">
        <f>IF(OR(B283=0,B283="",G283="hardware",J283=0),"",IF(AF283&lt;&gt;"exclusion",MAX(K$9,-((SUMIFS(SF_Output!$T$1:$T$400,SF_Output!$AC$1:$AC$400,_xlfn.TEXTJOIN(",",TRUE,$B283:$E283),SF_Output!$Q$1:$Q$400,"One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license"))/J283)))</f>
        <v/>
      </c>
      <c r="L283" s="6" t="str">
        <f t="shared" si="69"/>
        <v/>
      </c>
      <c r="N283" s="6" t="str">
        <f>IF(B283="","",SUMIFS(SF_Output!$S$1:$S$400,SF_Output!$AC$1:$AC$400,_xlfn.TEXTJOIN(",",TRUE,B283:E283),SF_Output!$Q$1:$Q$400,"One Time",SF_Output!$L$1:$L$400,"professional service"))</f>
        <v/>
      </c>
      <c r="O283" s="112" t="str">
        <f>IF(OR(B283=0,B283="",N283=0),"",IF(AF283&lt;&gt;"exclusion",MAX(O$9,-(SUMIFS(SF_Output!$T$1:$T$400,SF_Output!$AC$1:$AC$400,_xlfn.TEXTJOIN(",",TRUE,$B283:$E283),SF_Output!$Q$1:$Q$400,"One Time",SF_Output!$L$1:$L$400,"professional service"))/N283),-((SUMIFS(SF_Output!$T$1:$T$400,SF_Output!$AC$1:$AC$400,_xlfn.TEXTJOIN(",",TRUE,$B283:$E283),SF_Output!$Q$1:$Q$400,"One Time",SF_Output!$L$1:$L$400,"professional service")/N283))))</f>
        <v/>
      </c>
      <c r="P283" s="6" t="str">
        <f t="shared" si="70"/>
        <v/>
      </c>
      <c r="R283" s="6" t="str">
        <f>IF(B283="","",SUMIFS(SF_Output!$S$1:$S$400,SF_Output!$AC$1:$AC$400,_xlfn.TEXTJOIN(",",TRUE,B283:E283),SF_Output!$Q$1:$Q$400,"yearly")+SUMIFS(SF_Output!$S$1:$S$400,SF_Output!$AC$1:$AC$400,_xlfn.TEXTJOIN(",",TRUE,B283:E283),SF_Output!$Q$1:$Q$400,"quarterly")*4)</f>
        <v/>
      </c>
      <c r="S283" s="112" t="str">
        <f>IF(OR(B283=0,B283="",G283="hardware",R283=0),"",IF(AF283&lt;&gt;"exclusion",MAX(S$9,-(SUMIFS(SF_Output!$T$1:$T$400,SF_Output!$AC$1:$AC$400,_xlfn.TEXTJOIN(",",TRUE,$B283:$E283),SF_Output!$Q$1:$Q$400,"yearly"))/R283),-((SUMIFS(SF_Output!$T$1:$T$400,SF_Output!$AC$1:$AC$400,_xlfn.TEXTJOIN(",",TRUE,$B283:$E283),SF_Output!$Q$1:$Q$400,"yearly")/R283))))</f>
        <v/>
      </c>
      <c r="T283" s="6" t="str">
        <f t="shared" si="71"/>
        <v/>
      </c>
      <c r="V283" s="6" t="str" cm="1">
        <f t="array" ref="V283">_xlfn.IFS(B283="","",AND(B283&lt;&gt;"",H283=SF_Output!$Y$2,SUMIFS(SF_Output!$T$1:$T$400,SF_Output!$AC$1:$AC$400,_xlfn.TEXTJOIN(",",TRUE,B283:E283),SF_Output!$Q$1:$Q$400,"monthly")=0),(SUMIFS(SF_Output!$F$1:$F$400,SF_Output!$AC$1:$AC$400,_xlfn.TEXTJOIN(",",TRUE,B283:E283),SF_Output!$Q$1:$Q$400,"monthly")+SUMIFS(SF_Output!$G$1:$G$400,SF_Output!$AC$1:$AC$400,_xlfn.TEXTJOIN(",",TRUE,B283:E283),SF_Output!$Q$1:$Q$400,"monthly"))*H283,AND(B283&lt;&gt;"",H283=SF_Output!$Y$2,SUMIFS(SF_Output!$T$1:$T$400,SF_Output!$AC$1:$AC$400,_xlfn.TEXTJOIN(",",TRUE,B283:E283),SF_Output!$Q$1:$Q$400,"monthly")&lt;&gt;0),SUMIFS(SF_Output!$S$1:$S$400,SF_Output!$AC$1:$AC$400,_xlfn.TEXTJOIN(",",TRUE,B283:E283),SF_Output!$Q$1:$Q$400,"monthly"),AND(B283&lt;&gt;"",H283&lt;&gt;SF_Output!$Y$2),SUMIFS(SF_Output!$S$1:$S$400,SF_Output!$AC$1:$AC$400,_xlfn.TEXTJOIN(",",TRUE,B283:E283),SF_Output!$Q$1:$Q$400,"monthly"))</f>
        <v/>
      </c>
      <c r="W283" s="112" t="str" cm="1">
        <f t="array" ref="W283">_xlfn.IFS(OR(B283=0,B283="",V283=0),"",AF283&lt;&gt;"exclusion",MAX($W$9,$W$7,(-(SUMIFS(SF_Output!$T$1:$T$400,SF_Output!$AC$1:$AC$400,_xlfn.TEXTJOIN(",",TRUE,$B283:$E283),SF_Output!$Q$1:$Q$400,"monthly"))/V283)),AF283="exclusion",-(SUMIFS(SF_Output!$T$1:$T$400,SF_Output!$AC$1:$AC$400,_xlfn.TEXTJOIN(",",TRUE,$B283:$E283),SF_Output!$Q$1:$Q$400,"monthly"))/V283)</f>
        <v/>
      </c>
      <c r="X283" s="6" t="str" cm="1">
        <f t="array" ref="X283">IFERROR(_xlfn.IFS(V283=0,0,V283="","",W283=0,V283,OR(V283&lt;&gt;0,V283&lt;&gt;""),H283*I283),V283*(1-W283))</f>
        <v/>
      </c>
      <c r="Z283" s="6" t="str">
        <f>IFERROR(IF(B283="","",SUMIFS(Billing_Fallout!H:H,Billing_Fallout!N:N,B283)),0)</f>
        <v/>
      </c>
      <c r="AA283" s="6" t="str">
        <f t="shared" si="72"/>
        <v/>
      </c>
      <c r="AB283" s="6" t="str">
        <f>IFERROR(IF(B283="","",SUMIFS(Billing_Fallout!J:J,Billing_Fallout!N:N,B283)),0)</f>
        <v/>
      </c>
      <c r="AD283" s="6" t="str">
        <f t="shared" si="73"/>
        <v/>
      </c>
      <c r="AF283" t="str">
        <f>IFERROR(INDEX(H_Tables!$B$1:$B$1500,MATCH(INDEX(SF_Output!$J$1:$J$400,MATCH(B283,SF_Output!$M$1:$M$400,0)),H_Tables!$A$1:$A$1500,0)),"")</f>
        <v/>
      </c>
      <c r="AI283" s="119" t="str">
        <f t="shared" si="74"/>
        <v/>
      </c>
      <c r="AJ283" s="121">
        <f>IFERROR(INDEX(SF_Output!AD:AD,MATCH(_xlfn.TEXTJOIN(",",TRUE,B283:E283),SF_Output!AC34:AC433,0)),0.05)</f>
        <v>208</v>
      </c>
      <c r="AK283" t="str">
        <f>IF(SUMIFS(SF_Output!$F$1:$F$400,SF_Output!$AC$1:$AC$400,_xlfn.TEXTJOIN(",",TRUE,B283:E283))+SUMIFS(SF_Output!$G$1:$G$400,SF_Output!$AC$1:$AC$400,_xlfn.TEXTJOIN(",",TRUE,B283:E283))=0,"","PAP")</f>
        <v/>
      </c>
      <c r="AQ283" s="35"/>
      <c r="AR283" s="35" t="str" cm="1">
        <f t="array" ref="AR283">IFERROR(_xlfn.IFS(AND(E283*1=1,F283="Included"),"Change to Included",AND(E283*1=0,F283="Optional"),"Change to Optional",OR(B283="",F283="replaced"),""),"")</f>
        <v/>
      </c>
      <c r="AS283" s="35" t="str">
        <f t="shared" si="75"/>
        <v/>
      </c>
      <c r="AT283" s="35" t="str">
        <f t="shared" si="76"/>
        <v/>
      </c>
      <c r="AU283" s="35" t="str">
        <f t="shared" si="77"/>
        <v/>
      </c>
      <c r="AV283" s="35" t="str">
        <f t="shared" si="78"/>
        <v/>
      </c>
      <c r="AW283" s="35" t="str">
        <f t="shared" si="79"/>
        <v/>
      </c>
      <c r="AX283" s="35" t="str">
        <f t="shared" si="80"/>
        <v/>
      </c>
      <c r="AY283" s="35" t="str">
        <f t="shared" si="81"/>
        <v/>
      </c>
      <c r="AZ283" s="35" t="str">
        <f t="shared" si="82"/>
        <v/>
      </c>
      <c r="BA283" s="35" t="str">
        <f t="shared" si="83"/>
        <v/>
      </c>
      <c r="BB283" s="35" t="str">
        <f t="shared" si="84"/>
        <v/>
      </c>
      <c r="BC283" s="35"/>
      <c r="BE283" s="35" t="e">
        <f>INDEX(SF_Output!$AA$2:$AA$400,MATCH($B283,SF_Output!$M$2:$M$400,0))</f>
        <v>#N/A</v>
      </c>
      <c r="BF283" s="35" t="e">
        <f>INDEX(SF_Output!$AB$2:$AB$400,MATCH($B283,SF_Output!$M$2:$M$400,0))</f>
        <v>#N/A</v>
      </c>
    </row>
    <row r="284" spans="6:58" x14ac:dyDescent="0.25">
      <c r="F284" s="116" t="str">
        <f t="shared" si="68"/>
        <v/>
      </c>
      <c r="G284" t="str">
        <f>IF(B284="","",INDEX(SF_Output!$K$1:$K$400,MATCH(B284,SF_Output!$M$1:$M$400,0)))</f>
        <v/>
      </c>
      <c r="H284" t="str" cm="1">
        <f t="array" ref="H284">_xlfn.IFS(B284="","",(SUMIFS(SF_Output!$F$1:$F$400,SF_Output!$AC$1:$AC$400,_xlfn.TEXTJOIN(",",TRUE,B284:E284))+SUMIFS(SF_Output!$G$1:$G$400,SF_Output!$AC$1:$AC$400,_xlfn.TEXTJOIN(",",TRUE,B284:E284)))&lt;&gt;0,SF_Output!$Y$2,INDEX(SF_Output!$F$1:$F$400,MATCH(_xlfn.TEXTJOIN(",",TRUE,B284:E284),SF_Output!$AC$1:$AC$400,0))=0,INDEX(SF_Output!$R$1:$R$400,MATCH(_xlfn.TEXTJOIN(",",TRUE,B284:E284),SF_Output!$AC$1:$AC$400,0)))</f>
        <v/>
      </c>
      <c r="I284" s="125" t="str">
        <f>IFERROR(IF(AND(H284&gt;1,H284&lt;&gt;""),ROUND(SUMIFS(SF_Output!$S$1:$S$400,SF_Output!$AC$1:$AC$400,_xlfn.TEXTJOIN(",",TRUE,B284:E284),SF_Output!$Q$1:$Q$400,"monthly")*(1-W284)/H284,4),""),"")</f>
        <v/>
      </c>
      <c r="J284" s="6" t="str">
        <f>IF(B284="","",SUMIFS(SF_Output!$S$1:$S$400,SF_Output!$AC$1:$AC$400,_xlfn.TEXTJOIN(",",TRUE,B284:E284),SF_Output!$Q$1:$Q$400,"One Time",SF_Output!$L$1:$L$400,"license fee")+SUMIFS(SF_Output!$S$1:$S$400,SF_Output!$AC$1:$AC$400,_xlfn.TEXTJOIN(",",TRUE,B284:E284),SF_Output!$Q$1:$Q$400,"One Time",SF_Output!$L$1:$L$400,"software license")+SUMIFS(SF_Output!$S$1:$S$400,SF_Output!$AC$1:$AC$400,_xlfn.TEXTJOIN(",",TRUE,B284:E284),SF_Output!$Q$1:$Q$400,"One Time",SF_Output!$L$1:$L$400,"hardware"))</f>
        <v/>
      </c>
      <c r="K284" s="112" t="str">
        <f>IF(OR(B284=0,B284="",G284="hardware",J284=0),"",IF(AF284&lt;&gt;"exclusion",MAX(K$9,-((SUMIFS(SF_Output!$T$1:$T$400,SF_Output!$AC$1:$AC$400,_xlfn.TEXTJOIN(",",TRUE,$B284:$E284),SF_Output!$Q$1:$Q$400,"One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license"))/J284)))</f>
        <v/>
      </c>
      <c r="L284" s="6" t="str">
        <f t="shared" si="69"/>
        <v/>
      </c>
      <c r="N284" s="6" t="str">
        <f>IF(B284="","",SUMIFS(SF_Output!$S$1:$S$400,SF_Output!$AC$1:$AC$400,_xlfn.TEXTJOIN(",",TRUE,B284:E284),SF_Output!$Q$1:$Q$400,"One Time",SF_Output!$L$1:$L$400,"professional service"))</f>
        <v/>
      </c>
      <c r="O284" s="112" t="str">
        <f>IF(OR(B284=0,B284="",N284=0),"",IF(AF284&lt;&gt;"exclusion",MAX(O$9,-(SUMIFS(SF_Output!$T$1:$T$400,SF_Output!$AC$1:$AC$400,_xlfn.TEXTJOIN(",",TRUE,$B284:$E284),SF_Output!$Q$1:$Q$400,"One Time",SF_Output!$L$1:$L$400,"professional service"))/N284),-((SUMIFS(SF_Output!$T$1:$T$400,SF_Output!$AC$1:$AC$400,_xlfn.TEXTJOIN(",",TRUE,$B284:$E284),SF_Output!$Q$1:$Q$400,"One Time",SF_Output!$L$1:$L$400,"professional service")/N284))))</f>
        <v/>
      </c>
      <c r="P284" s="6" t="str">
        <f t="shared" si="70"/>
        <v/>
      </c>
      <c r="R284" s="6" t="str">
        <f>IF(B284="","",SUMIFS(SF_Output!$S$1:$S$400,SF_Output!$AC$1:$AC$400,_xlfn.TEXTJOIN(",",TRUE,B284:E284),SF_Output!$Q$1:$Q$400,"yearly")+SUMIFS(SF_Output!$S$1:$S$400,SF_Output!$AC$1:$AC$400,_xlfn.TEXTJOIN(",",TRUE,B284:E284),SF_Output!$Q$1:$Q$400,"quarterly")*4)</f>
        <v/>
      </c>
      <c r="S284" s="112" t="str">
        <f>IF(OR(B284=0,B284="",G284="hardware",R284=0),"",IF(AF284&lt;&gt;"exclusion",MAX(S$9,-(SUMIFS(SF_Output!$T$1:$T$400,SF_Output!$AC$1:$AC$400,_xlfn.TEXTJOIN(",",TRUE,$B284:$E284),SF_Output!$Q$1:$Q$400,"yearly"))/R284),-((SUMIFS(SF_Output!$T$1:$T$400,SF_Output!$AC$1:$AC$400,_xlfn.TEXTJOIN(",",TRUE,$B284:$E284),SF_Output!$Q$1:$Q$400,"yearly")/R284))))</f>
        <v/>
      </c>
      <c r="T284" s="6" t="str">
        <f t="shared" si="71"/>
        <v/>
      </c>
      <c r="V284" s="6" t="str" cm="1">
        <f t="array" ref="V284">_xlfn.IFS(B284="","",AND(B284&lt;&gt;"",H284=SF_Output!$Y$2,SUMIFS(SF_Output!$T$1:$T$400,SF_Output!$AC$1:$AC$400,_xlfn.TEXTJOIN(",",TRUE,B284:E284),SF_Output!$Q$1:$Q$400,"monthly")=0),(SUMIFS(SF_Output!$F$1:$F$400,SF_Output!$AC$1:$AC$400,_xlfn.TEXTJOIN(",",TRUE,B284:E284),SF_Output!$Q$1:$Q$400,"monthly")+SUMIFS(SF_Output!$G$1:$G$400,SF_Output!$AC$1:$AC$400,_xlfn.TEXTJOIN(",",TRUE,B284:E284),SF_Output!$Q$1:$Q$400,"monthly"))*H284,AND(B284&lt;&gt;"",H284=SF_Output!$Y$2,SUMIFS(SF_Output!$T$1:$T$400,SF_Output!$AC$1:$AC$400,_xlfn.TEXTJOIN(",",TRUE,B284:E284),SF_Output!$Q$1:$Q$400,"monthly")&lt;&gt;0),SUMIFS(SF_Output!$S$1:$S$400,SF_Output!$AC$1:$AC$400,_xlfn.TEXTJOIN(",",TRUE,B284:E284),SF_Output!$Q$1:$Q$400,"monthly"),AND(B284&lt;&gt;"",H284&lt;&gt;SF_Output!$Y$2),SUMIFS(SF_Output!$S$1:$S$400,SF_Output!$AC$1:$AC$400,_xlfn.TEXTJOIN(",",TRUE,B284:E284),SF_Output!$Q$1:$Q$400,"monthly"))</f>
        <v/>
      </c>
      <c r="W284" s="112" t="str" cm="1">
        <f t="array" ref="W284">_xlfn.IFS(OR(B284=0,B284="",V284=0),"",AF284&lt;&gt;"exclusion",MAX($W$9,$W$7,(-(SUMIFS(SF_Output!$T$1:$T$400,SF_Output!$AC$1:$AC$400,_xlfn.TEXTJOIN(",",TRUE,$B284:$E284),SF_Output!$Q$1:$Q$400,"monthly"))/V284)),AF284="exclusion",-(SUMIFS(SF_Output!$T$1:$T$400,SF_Output!$AC$1:$AC$400,_xlfn.TEXTJOIN(",",TRUE,$B284:$E284),SF_Output!$Q$1:$Q$400,"monthly"))/V284)</f>
        <v/>
      </c>
      <c r="X284" s="6" t="str" cm="1">
        <f t="array" ref="X284">IFERROR(_xlfn.IFS(V284=0,0,V284="","",W284=0,V284,OR(V284&lt;&gt;0,V284&lt;&gt;""),H284*I284),V284*(1-W284))</f>
        <v/>
      </c>
      <c r="Z284" s="6" t="str">
        <f>IFERROR(IF(B284="","",SUMIFS(Billing_Fallout!H:H,Billing_Fallout!N:N,B284)),0)</f>
        <v/>
      </c>
      <c r="AA284" s="6" t="str">
        <f t="shared" si="72"/>
        <v/>
      </c>
      <c r="AB284" s="6" t="str">
        <f>IFERROR(IF(B284="","",SUMIFS(Billing_Fallout!J:J,Billing_Fallout!N:N,B284)),0)</f>
        <v/>
      </c>
      <c r="AD284" s="6" t="str">
        <f t="shared" si="73"/>
        <v/>
      </c>
      <c r="AF284" t="str">
        <f>IFERROR(INDEX(H_Tables!$B$1:$B$1500,MATCH(INDEX(SF_Output!$J$1:$J$400,MATCH(B284,SF_Output!$M$1:$M$400,0)),H_Tables!$A$1:$A$1500,0)),"")</f>
        <v/>
      </c>
      <c r="AI284" s="119" t="str">
        <f t="shared" si="74"/>
        <v/>
      </c>
      <c r="AJ284" s="121">
        <f>IFERROR(INDEX(SF_Output!AD:AD,MATCH(_xlfn.TEXTJOIN(",",TRUE,B284:E284),SF_Output!AC35:AC434,0)),0.05)</f>
        <v>207</v>
      </c>
      <c r="AK284" t="str">
        <f>IF(SUMIFS(SF_Output!$F$1:$F$400,SF_Output!$AC$1:$AC$400,_xlfn.TEXTJOIN(",",TRUE,B284:E284))+SUMIFS(SF_Output!$G$1:$G$400,SF_Output!$AC$1:$AC$400,_xlfn.TEXTJOIN(",",TRUE,B284:E284))=0,"","PAP")</f>
        <v/>
      </c>
      <c r="AQ284" s="35"/>
      <c r="AR284" s="35" t="str" cm="1">
        <f t="array" ref="AR284">IFERROR(_xlfn.IFS(AND(E284*1=1,F284="Included"),"Change to Included",AND(E284*1=0,F284="Optional"),"Change to Optional",OR(B284="",F284="replaced"),""),"")</f>
        <v/>
      </c>
      <c r="AS284" s="35" t="str">
        <f t="shared" si="75"/>
        <v/>
      </c>
      <c r="AT284" s="35" t="str">
        <f t="shared" si="76"/>
        <v/>
      </c>
      <c r="AU284" s="35" t="str">
        <f t="shared" si="77"/>
        <v/>
      </c>
      <c r="AV284" s="35" t="str">
        <f t="shared" si="78"/>
        <v/>
      </c>
      <c r="AW284" s="35" t="str">
        <f t="shared" si="79"/>
        <v/>
      </c>
      <c r="AX284" s="35" t="str">
        <f t="shared" si="80"/>
        <v/>
      </c>
      <c r="AY284" s="35" t="str">
        <f t="shared" si="81"/>
        <v/>
      </c>
      <c r="AZ284" s="35" t="str">
        <f t="shared" si="82"/>
        <v/>
      </c>
      <c r="BA284" s="35" t="str">
        <f t="shared" si="83"/>
        <v/>
      </c>
      <c r="BB284" s="35" t="str">
        <f t="shared" si="84"/>
        <v/>
      </c>
      <c r="BC284" s="35"/>
      <c r="BE284" s="35" t="e">
        <f>INDEX(SF_Output!$AA$2:$AA$400,MATCH($B284,SF_Output!$M$2:$M$400,0))</f>
        <v>#N/A</v>
      </c>
      <c r="BF284" s="35" t="e">
        <f>INDEX(SF_Output!$AB$2:$AB$400,MATCH($B284,SF_Output!$M$2:$M$400,0))</f>
        <v>#N/A</v>
      </c>
    </row>
    <row r="285" spans="6:58" x14ac:dyDescent="0.25">
      <c r="F285" s="116" t="str">
        <f t="shared" si="68"/>
        <v/>
      </c>
      <c r="G285" t="str">
        <f>IF(B285="","",INDEX(SF_Output!$K$1:$K$400,MATCH(B285,SF_Output!$M$1:$M$400,0)))</f>
        <v/>
      </c>
      <c r="H285" t="str" cm="1">
        <f t="array" ref="H285">_xlfn.IFS(B285="","",(SUMIFS(SF_Output!$F$1:$F$400,SF_Output!$AC$1:$AC$400,_xlfn.TEXTJOIN(",",TRUE,B285:E285))+SUMIFS(SF_Output!$G$1:$G$400,SF_Output!$AC$1:$AC$400,_xlfn.TEXTJOIN(",",TRUE,B285:E285)))&lt;&gt;0,SF_Output!$Y$2,INDEX(SF_Output!$F$1:$F$400,MATCH(_xlfn.TEXTJOIN(",",TRUE,B285:E285),SF_Output!$AC$1:$AC$400,0))=0,INDEX(SF_Output!$R$1:$R$400,MATCH(_xlfn.TEXTJOIN(",",TRUE,B285:E285),SF_Output!$AC$1:$AC$400,0)))</f>
        <v/>
      </c>
      <c r="I285" s="125" t="str">
        <f>IFERROR(IF(AND(H285&gt;1,H285&lt;&gt;""),ROUND(SUMIFS(SF_Output!$S$1:$S$400,SF_Output!$AC$1:$AC$400,_xlfn.TEXTJOIN(",",TRUE,B285:E285),SF_Output!$Q$1:$Q$400,"monthly")*(1-W285)/H285,4),""),"")</f>
        <v/>
      </c>
      <c r="J285" s="6" t="str">
        <f>IF(B285="","",SUMIFS(SF_Output!$S$1:$S$400,SF_Output!$AC$1:$AC$400,_xlfn.TEXTJOIN(",",TRUE,B285:E285),SF_Output!$Q$1:$Q$400,"One Time",SF_Output!$L$1:$L$400,"license fee")+SUMIFS(SF_Output!$S$1:$S$400,SF_Output!$AC$1:$AC$400,_xlfn.TEXTJOIN(",",TRUE,B285:E285),SF_Output!$Q$1:$Q$400,"One Time",SF_Output!$L$1:$L$400,"software license")+SUMIFS(SF_Output!$S$1:$S$400,SF_Output!$AC$1:$AC$400,_xlfn.TEXTJOIN(",",TRUE,B285:E285),SF_Output!$Q$1:$Q$400,"One Time",SF_Output!$L$1:$L$400,"hardware"))</f>
        <v/>
      </c>
      <c r="K285" s="112" t="str">
        <f>IF(OR(B285=0,B285="",G285="hardware",J285=0),"",IF(AF285&lt;&gt;"exclusion",MAX(K$9,-((SUMIFS(SF_Output!$T$1:$T$400,SF_Output!$AC$1:$AC$400,_xlfn.TEXTJOIN(",",TRUE,$B285:$E285),SF_Output!$Q$1:$Q$400,"One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license"))/J285)))</f>
        <v/>
      </c>
      <c r="L285" s="6" t="str">
        <f t="shared" si="69"/>
        <v/>
      </c>
      <c r="N285" s="6" t="str">
        <f>IF(B285="","",SUMIFS(SF_Output!$S$1:$S$400,SF_Output!$AC$1:$AC$400,_xlfn.TEXTJOIN(",",TRUE,B285:E285),SF_Output!$Q$1:$Q$400,"One Time",SF_Output!$L$1:$L$400,"professional service"))</f>
        <v/>
      </c>
      <c r="O285" s="112" t="str">
        <f>IF(OR(B285=0,B285="",N285=0),"",IF(AF285&lt;&gt;"exclusion",MAX(O$9,-(SUMIFS(SF_Output!$T$1:$T$400,SF_Output!$AC$1:$AC$400,_xlfn.TEXTJOIN(",",TRUE,$B285:$E285),SF_Output!$Q$1:$Q$400,"One Time",SF_Output!$L$1:$L$400,"professional service"))/N285),-((SUMIFS(SF_Output!$T$1:$T$400,SF_Output!$AC$1:$AC$400,_xlfn.TEXTJOIN(",",TRUE,$B285:$E285),SF_Output!$Q$1:$Q$400,"One Time",SF_Output!$L$1:$L$400,"professional service")/N285))))</f>
        <v/>
      </c>
      <c r="P285" s="6" t="str">
        <f t="shared" si="70"/>
        <v/>
      </c>
      <c r="R285" s="6" t="str">
        <f>IF(B285="","",SUMIFS(SF_Output!$S$1:$S$400,SF_Output!$AC$1:$AC$400,_xlfn.TEXTJOIN(",",TRUE,B285:E285),SF_Output!$Q$1:$Q$400,"yearly")+SUMIFS(SF_Output!$S$1:$S$400,SF_Output!$AC$1:$AC$400,_xlfn.TEXTJOIN(",",TRUE,B285:E285),SF_Output!$Q$1:$Q$400,"quarterly")*4)</f>
        <v/>
      </c>
      <c r="S285" s="112" t="str">
        <f>IF(OR(B285=0,B285="",G285="hardware",R285=0),"",IF(AF285&lt;&gt;"exclusion",MAX(S$9,-(SUMIFS(SF_Output!$T$1:$T$400,SF_Output!$AC$1:$AC$400,_xlfn.TEXTJOIN(",",TRUE,$B285:$E285),SF_Output!$Q$1:$Q$400,"yearly"))/R285),-((SUMIFS(SF_Output!$T$1:$T$400,SF_Output!$AC$1:$AC$400,_xlfn.TEXTJOIN(",",TRUE,$B285:$E285),SF_Output!$Q$1:$Q$400,"yearly")/R285))))</f>
        <v/>
      </c>
      <c r="T285" s="6" t="str">
        <f t="shared" si="71"/>
        <v/>
      </c>
      <c r="V285" s="6" t="str" cm="1">
        <f t="array" ref="V285">_xlfn.IFS(B285="","",AND(B285&lt;&gt;"",H285=SF_Output!$Y$2,SUMIFS(SF_Output!$T$1:$T$400,SF_Output!$AC$1:$AC$400,_xlfn.TEXTJOIN(",",TRUE,B285:E285),SF_Output!$Q$1:$Q$400,"monthly")=0),(SUMIFS(SF_Output!$F$1:$F$400,SF_Output!$AC$1:$AC$400,_xlfn.TEXTJOIN(",",TRUE,B285:E285),SF_Output!$Q$1:$Q$400,"monthly")+SUMIFS(SF_Output!$G$1:$G$400,SF_Output!$AC$1:$AC$400,_xlfn.TEXTJOIN(",",TRUE,B285:E285),SF_Output!$Q$1:$Q$400,"monthly"))*H285,AND(B285&lt;&gt;"",H285=SF_Output!$Y$2,SUMIFS(SF_Output!$T$1:$T$400,SF_Output!$AC$1:$AC$400,_xlfn.TEXTJOIN(",",TRUE,B285:E285),SF_Output!$Q$1:$Q$400,"monthly")&lt;&gt;0),SUMIFS(SF_Output!$S$1:$S$400,SF_Output!$AC$1:$AC$400,_xlfn.TEXTJOIN(",",TRUE,B285:E285),SF_Output!$Q$1:$Q$400,"monthly"),AND(B285&lt;&gt;"",H285&lt;&gt;SF_Output!$Y$2),SUMIFS(SF_Output!$S$1:$S$400,SF_Output!$AC$1:$AC$400,_xlfn.TEXTJOIN(",",TRUE,B285:E285),SF_Output!$Q$1:$Q$400,"monthly"))</f>
        <v/>
      </c>
      <c r="W285" s="112" t="str" cm="1">
        <f t="array" ref="W285">_xlfn.IFS(OR(B285=0,B285="",V285=0),"",AF285&lt;&gt;"exclusion",MAX($W$9,$W$7,(-(SUMIFS(SF_Output!$T$1:$T$400,SF_Output!$AC$1:$AC$400,_xlfn.TEXTJOIN(",",TRUE,$B285:$E285),SF_Output!$Q$1:$Q$400,"monthly"))/V285)),AF285="exclusion",-(SUMIFS(SF_Output!$T$1:$T$400,SF_Output!$AC$1:$AC$400,_xlfn.TEXTJOIN(",",TRUE,$B285:$E285),SF_Output!$Q$1:$Q$400,"monthly"))/V285)</f>
        <v/>
      </c>
      <c r="X285" s="6" t="str" cm="1">
        <f t="array" ref="X285">IFERROR(_xlfn.IFS(V285=0,0,V285="","",W285=0,V285,OR(V285&lt;&gt;0,V285&lt;&gt;""),H285*I285),V285*(1-W285))</f>
        <v/>
      </c>
      <c r="Z285" s="6" t="str">
        <f>IFERROR(IF(B285="","",SUMIFS(Billing_Fallout!H:H,Billing_Fallout!N:N,B285)),0)</f>
        <v/>
      </c>
      <c r="AA285" s="6" t="str">
        <f t="shared" si="72"/>
        <v/>
      </c>
      <c r="AB285" s="6" t="str">
        <f>IFERROR(IF(B285="","",SUMIFS(Billing_Fallout!J:J,Billing_Fallout!N:N,B285)),0)</f>
        <v/>
      </c>
      <c r="AD285" s="6" t="str">
        <f t="shared" si="73"/>
        <v/>
      </c>
      <c r="AF285" t="str">
        <f>IFERROR(INDEX(H_Tables!$B$1:$B$1500,MATCH(INDEX(SF_Output!$J$1:$J$400,MATCH(B285,SF_Output!$M$1:$M$400,0)),H_Tables!$A$1:$A$1500,0)),"")</f>
        <v/>
      </c>
      <c r="AI285" s="119" t="str">
        <f t="shared" si="74"/>
        <v/>
      </c>
      <c r="AJ285" s="121">
        <f>IFERROR(INDEX(SF_Output!AD:AD,MATCH(_xlfn.TEXTJOIN(",",TRUE,B285:E285),SF_Output!AC36:AC435,0)),0.05)</f>
        <v>206</v>
      </c>
      <c r="AK285" t="str">
        <f>IF(SUMIFS(SF_Output!$F$1:$F$400,SF_Output!$AC$1:$AC$400,_xlfn.TEXTJOIN(",",TRUE,B285:E285))+SUMIFS(SF_Output!$G$1:$G$400,SF_Output!$AC$1:$AC$400,_xlfn.TEXTJOIN(",",TRUE,B285:E285))=0,"","PAP")</f>
        <v/>
      </c>
      <c r="AQ285" s="35"/>
      <c r="AR285" s="35" t="str" cm="1">
        <f t="array" ref="AR285">IFERROR(_xlfn.IFS(AND(E285*1=1,F285="Included"),"Change to Included",AND(E285*1=0,F285="Optional"),"Change to Optional",OR(B285="",F285="replaced"),""),"")</f>
        <v/>
      </c>
      <c r="AS285" s="35" t="str">
        <f t="shared" si="75"/>
        <v/>
      </c>
      <c r="AT285" s="35" t="str">
        <f t="shared" si="76"/>
        <v/>
      </c>
      <c r="AU285" s="35" t="str">
        <f t="shared" si="77"/>
        <v/>
      </c>
      <c r="AV285" s="35" t="str">
        <f t="shared" si="78"/>
        <v/>
      </c>
      <c r="AW285" s="35" t="str">
        <f t="shared" si="79"/>
        <v/>
      </c>
      <c r="AX285" s="35" t="str">
        <f t="shared" si="80"/>
        <v/>
      </c>
      <c r="AY285" s="35" t="str">
        <f t="shared" si="81"/>
        <v/>
      </c>
      <c r="AZ285" s="35" t="str">
        <f t="shared" si="82"/>
        <v/>
      </c>
      <c r="BA285" s="35" t="str">
        <f t="shared" si="83"/>
        <v/>
      </c>
      <c r="BB285" s="35" t="str">
        <f t="shared" si="84"/>
        <v/>
      </c>
      <c r="BC285" s="35"/>
      <c r="BE285" s="35" t="e">
        <f>INDEX(SF_Output!$AA$2:$AA$400,MATCH($B285,SF_Output!$M$2:$M$400,0))</f>
        <v>#N/A</v>
      </c>
      <c r="BF285" s="35" t="e">
        <f>INDEX(SF_Output!$AB$2:$AB$400,MATCH($B285,SF_Output!$M$2:$M$400,0))</f>
        <v>#N/A</v>
      </c>
    </row>
    <row r="286" spans="6:58" x14ac:dyDescent="0.25">
      <c r="F286" s="116" t="str">
        <f t="shared" si="68"/>
        <v/>
      </c>
      <c r="G286" t="str">
        <f>IF(B286="","",INDEX(SF_Output!$K$1:$K$400,MATCH(B286,SF_Output!$M$1:$M$400,0)))</f>
        <v/>
      </c>
      <c r="H286" t="str" cm="1">
        <f t="array" ref="H286">_xlfn.IFS(B286="","",(SUMIFS(SF_Output!$F$1:$F$400,SF_Output!$AC$1:$AC$400,_xlfn.TEXTJOIN(",",TRUE,B286:E286))+SUMIFS(SF_Output!$G$1:$G$400,SF_Output!$AC$1:$AC$400,_xlfn.TEXTJOIN(",",TRUE,B286:E286)))&lt;&gt;0,SF_Output!$Y$2,INDEX(SF_Output!$F$1:$F$400,MATCH(_xlfn.TEXTJOIN(",",TRUE,B286:E286),SF_Output!$AC$1:$AC$400,0))=0,INDEX(SF_Output!$R$1:$R$400,MATCH(_xlfn.TEXTJOIN(",",TRUE,B286:E286),SF_Output!$AC$1:$AC$400,0)))</f>
        <v/>
      </c>
      <c r="I286" s="125" t="str">
        <f>IFERROR(IF(AND(H286&gt;1,H286&lt;&gt;""),ROUND(SUMIFS(SF_Output!$S$1:$S$400,SF_Output!$AC$1:$AC$400,_xlfn.TEXTJOIN(",",TRUE,B286:E286),SF_Output!$Q$1:$Q$400,"monthly")*(1-W286)/H286,4),""),"")</f>
        <v/>
      </c>
      <c r="J286" s="6" t="str">
        <f>IF(B286="","",SUMIFS(SF_Output!$S$1:$S$400,SF_Output!$AC$1:$AC$400,_xlfn.TEXTJOIN(",",TRUE,B286:E286),SF_Output!$Q$1:$Q$400,"One Time",SF_Output!$L$1:$L$400,"license fee")+SUMIFS(SF_Output!$S$1:$S$400,SF_Output!$AC$1:$AC$400,_xlfn.TEXTJOIN(",",TRUE,B286:E286),SF_Output!$Q$1:$Q$400,"One Time",SF_Output!$L$1:$L$400,"software license")+SUMIFS(SF_Output!$S$1:$S$400,SF_Output!$AC$1:$AC$400,_xlfn.TEXTJOIN(",",TRUE,B286:E286),SF_Output!$Q$1:$Q$400,"One Time",SF_Output!$L$1:$L$400,"hardware"))</f>
        <v/>
      </c>
      <c r="K286" s="112" t="str">
        <f>IF(OR(B286=0,B286="",G286="hardware",J286=0),"",IF(AF286&lt;&gt;"exclusion",MAX(K$9,-((SUMIFS(SF_Output!$T$1:$T$400,SF_Output!$AC$1:$AC$400,_xlfn.TEXTJOIN(",",TRUE,$B286:$E286),SF_Output!$Q$1:$Q$400,"One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license"))/J286)))</f>
        <v/>
      </c>
      <c r="L286" s="6" t="str">
        <f t="shared" si="69"/>
        <v/>
      </c>
      <c r="N286" s="6" t="str">
        <f>IF(B286="","",SUMIFS(SF_Output!$S$1:$S$400,SF_Output!$AC$1:$AC$400,_xlfn.TEXTJOIN(",",TRUE,B286:E286),SF_Output!$Q$1:$Q$400,"One Time",SF_Output!$L$1:$L$400,"professional service"))</f>
        <v/>
      </c>
      <c r="O286" s="112" t="str">
        <f>IF(OR(B286=0,B286="",N286=0),"",IF(AF286&lt;&gt;"exclusion",MAX(O$9,-(SUMIFS(SF_Output!$T$1:$T$400,SF_Output!$AC$1:$AC$400,_xlfn.TEXTJOIN(",",TRUE,$B286:$E286),SF_Output!$Q$1:$Q$400,"One Time",SF_Output!$L$1:$L$400,"professional service"))/N286),-((SUMIFS(SF_Output!$T$1:$T$400,SF_Output!$AC$1:$AC$400,_xlfn.TEXTJOIN(",",TRUE,$B286:$E286),SF_Output!$Q$1:$Q$400,"One Time",SF_Output!$L$1:$L$400,"professional service")/N286))))</f>
        <v/>
      </c>
      <c r="P286" s="6" t="str">
        <f t="shared" si="70"/>
        <v/>
      </c>
      <c r="R286" s="6" t="str">
        <f>IF(B286="","",SUMIFS(SF_Output!$S$1:$S$400,SF_Output!$AC$1:$AC$400,_xlfn.TEXTJOIN(",",TRUE,B286:E286),SF_Output!$Q$1:$Q$400,"yearly")+SUMIFS(SF_Output!$S$1:$S$400,SF_Output!$AC$1:$AC$400,_xlfn.TEXTJOIN(",",TRUE,B286:E286),SF_Output!$Q$1:$Q$400,"quarterly")*4)</f>
        <v/>
      </c>
      <c r="S286" s="112" t="str">
        <f>IF(OR(B286=0,B286="",G286="hardware",R286=0),"",IF(AF286&lt;&gt;"exclusion",MAX(S$9,-(SUMIFS(SF_Output!$T$1:$T$400,SF_Output!$AC$1:$AC$400,_xlfn.TEXTJOIN(",",TRUE,$B286:$E286),SF_Output!$Q$1:$Q$400,"yearly"))/R286),-((SUMIFS(SF_Output!$T$1:$T$400,SF_Output!$AC$1:$AC$400,_xlfn.TEXTJOIN(",",TRUE,$B286:$E286),SF_Output!$Q$1:$Q$400,"yearly")/R286))))</f>
        <v/>
      </c>
      <c r="T286" s="6" t="str">
        <f t="shared" si="71"/>
        <v/>
      </c>
      <c r="V286" s="6" t="str" cm="1">
        <f t="array" ref="V286">_xlfn.IFS(B286="","",AND(B286&lt;&gt;"",H286=SF_Output!$Y$2,SUMIFS(SF_Output!$T$1:$T$400,SF_Output!$AC$1:$AC$400,_xlfn.TEXTJOIN(",",TRUE,B286:E286),SF_Output!$Q$1:$Q$400,"monthly")=0),(SUMIFS(SF_Output!$F$1:$F$400,SF_Output!$AC$1:$AC$400,_xlfn.TEXTJOIN(",",TRUE,B286:E286),SF_Output!$Q$1:$Q$400,"monthly")+SUMIFS(SF_Output!$G$1:$G$400,SF_Output!$AC$1:$AC$400,_xlfn.TEXTJOIN(",",TRUE,B286:E286),SF_Output!$Q$1:$Q$400,"monthly"))*H286,AND(B286&lt;&gt;"",H286=SF_Output!$Y$2,SUMIFS(SF_Output!$T$1:$T$400,SF_Output!$AC$1:$AC$400,_xlfn.TEXTJOIN(",",TRUE,B286:E286),SF_Output!$Q$1:$Q$400,"monthly")&lt;&gt;0),SUMIFS(SF_Output!$S$1:$S$400,SF_Output!$AC$1:$AC$400,_xlfn.TEXTJOIN(",",TRUE,B286:E286),SF_Output!$Q$1:$Q$400,"monthly"),AND(B286&lt;&gt;"",H286&lt;&gt;SF_Output!$Y$2),SUMIFS(SF_Output!$S$1:$S$400,SF_Output!$AC$1:$AC$400,_xlfn.TEXTJOIN(",",TRUE,B286:E286),SF_Output!$Q$1:$Q$400,"monthly"))</f>
        <v/>
      </c>
      <c r="W286" s="112" t="str" cm="1">
        <f t="array" ref="W286">_xlfn.IFS(OR(B286=0,B286="",V286=0),"",AF286&lt;&gt;"exclusion",MAX($W$9,$W$7,(-(SUMIFS(SF_Output!$T$1:$T$400,SF_Output!$AC$1:$AC$400,_xlfn.TEXTJOIN(",",TRUE,$B286:$E286),SF_Output!$Q$1:$Q$400,"monthly"))/V286)),AF286="exclusion",-(SUMIFS(SF_Output!$T$1:$T$400,SF_Output!$AC$1:$AC$400,_xlfn.TEXTJOIN(",",TRUE,$B286:$E286),SF_Output!$Q$1:$Q$400,"monthly"))/V286)</f>
        <v/>
      </c>
      <c r="X286" s="6" t="str" cm="1">
        <f t="array" ref="X286">IFERROR(_xlfn.IFS(V286=0,0,V286="","",W286=0,V286,OR(V286&lt;&gt;0,V286&lt;&gt;""),H286*I286),V286*(1-W286))</f>
        <v/>
      </c>
      <c r="Z286" s="6" t="str">
        <f>IFERROR(IF(B286="","",SUMIFS(Billing_Fallout!H:H,Billing_Fallout!N:N,B286)),0)</f>
        <v/>
      </c>
      <c r="AA286" s="6" t="str">
        <f t="shared" si="72"/>
        <v/>
      </c>
      <c r="AB286" s="6" t="str">
        <f>IFERROR(IF(B286="","",SUMIFS(Billing_Fallout!J:J,Billing_Fallout!N:N,B286)),0)</f>
        <v/>
      </c>
      <c r="AD286" s="6" t="str">
        <f t="shared" si="73"/>
        <v/>
      </c>
      <c r="AF286" t="str">
        <f>IFERROR(INDEX(H_Tables!$B$1:$B$1500,MATCH(INDEX(SF_Output!$J$1:$J$400,MATCH(B286,SF_Output!$M$1:$M$400,0)),H_Tables!$A$1:$A$1500,0)),"")</f>
        <v/>
      </c>
      <c r="AI286" s="119" t="str">
        <f t="shared" si="74"/>
        <v/>
      </c>
      <c r="AJ286" s="121">
        <f>IFERROR(INDEX(SF_Output!AD:AD,MATCH(_xlfn.TEXTJOIN(",",TRUE,B286:E286),SF_Output!AC37:AC436,0)),0.05)</f>
        <v>205</v>
      </c>
      <c r="AK286" t="str">
        <f>IF(SUMIFS(SF_Output!$F$1:$F$400,SF_Output!$AC$1:$AC$400,_xlfn.TEXTJOIN(",",TRUE,B286:E286))+SUMIFS(SF_Output!$G$1:$G$400,SF_Output!$AC$1:$AC$400,_xlfn.TEXTJOIN(",",TRUE,B286:E286))=0,"","PAP")</f>
        <v/>
      </c>
      <c r="AQ286" s="35"/>
      <c r="AR286" s="35" t="str" cm="1">
        <f t="array" ref="AR286">IFERROR(_xlfn.IFS(AND(E286*1=1,F286="Included"),"Change to Included",AND(E286*1=0,F286="Optional"),"Change to Optional",OR(B286="",F286="replaced"),""),"")</f>
        <v/>
      </c>
      <c r="AS286" s="35" t="str">
        <f t="shared" si="75"/>
        <v/>
      </c>
      <c r="AT286" s="35" t="str">
        <f t="shared" si="76"/>
        <v/>
      </c>
      <c r="AU286" s="35" t="str">
        <f t="shared" si="77"/>
        <v/>
      </c>
      <c r="AV286" s="35" t="str">
        <f t="shared" si="78"/>
        <v/>
      </c>
      <c r="AW286" s="35" t="str">
        <f t="shared" si="79"/>
        <v/>
      </c>
      <c r="AX286" s="35" t="str">
        <f t="shared" si="80"/>
        <v/>
      </c>
      <c r="AY286" s="35" t="str">
        <f t="shared" si="81"/>
        <v/>
      </c>
      <c r="AZ286" s="35" t="str">
        <f t="shared" si="82"/>
        <v/>
      </c>
      <c r="BA286" s="35" t="str">
        <f t="shared" si="83"/>
        <v/>
      </c>
      <c r="BB286" s="35" t="str">
        <f t="shared" si="84"/>
        <v/>
      </c>
      <c r="BC286" s="35"/>
      <c r="BE286" s="35" t="e">
        <f>INDEX(SF_Output!$AA$2:$AA$400,MATCH($B286,SF_Output!$M$2:$M$400,0))</f>
        <v>#N/A</v>
      </c>
      <c r="BF286" s="35" t="e">
        <f>INDEX(SF_Output!$AB$2:$AB$400,MATCH($B286,SF_Output!$M$2:$M$400,0))</f>
        <v>#N/A</v>
      </c>
    </row>
    <row r="287" spans="6:58" x14ac:dyDescent="0.25">
      <c r="F287" s="116" t="str">
        <f t="shared" si="68"/>
        <v/>
      </c>
      <c r="G287" t="str">
        <f>IF(B287="","",INDEX(SF_Output!$K$1:$K$400,MATCH(B287,SF_Output!$M$1:$M$400,0)))</f>
        <v/>
      </c>
      <c r="H287" t="str" cm="1">
        <f t="array" ref="H287">_xlfn.IFS(B287="","",(SUMIFS(SF_Output!$F$1:$F$400,SF_Output!$AC$1:$AC$400,_xlfn.TEXTJOIN(",",TRUE,B287:E287))+SUMIFS(SF_Output!$G$1:$G$400,SF_Output!$AC$1:$AC$400,_xlfn.TEXTJOIN(",",TRUE,B287:E287)))&lt;&gt;0,SF_Output!$Y$2,INDEX(SF_Output!$F$1:$F$400,MATCH(_xlfn.TEXTJOIN(",",TRUE,B287:E287),SF_Output!$AC$1:$AC$400,0))=0,INDEX(SF_Output!$R$1:$R$400,MATCH(_xlfn.TEXTJOIN(",",TRUE,B287:E287),SF_Output!$AC$1:$AC$400,0)))</f>
        <v/>
      </c>
      <c r="I287" s="125" t="str">
        <f>IFERROR(IF(AND(H287&gt;1,H287&lt;&gt;""),ROUND(SUMIFS(SF_Output!$S$1:$S$400,SF_Output!$AC$1:$AC$400,_xlfn.TEXTJOIN(",",TRUE,B287:E287),SF_Output!$Q$1:$Q$400,"monthly")*(1-W287)/H287,4),""),"")</f>
        <v/>
      </c>
      <c r="J287" s="6" t="str">
        <f>IF(B287="","",SUMIFS(SF_Output!$S$1:$S$400,SF_Output!$AC$1:$AC$400,_xlfn.TEXTJOIN(",",TRUE,B287:E287),SF_Output!$Q$1:$Q$400,"One Time",SF_Output!$L$1:$L$400,"license fee")+SUMIFS(SF_Output!$S$1:$S$400,SF_Output!$AC$1:$AC$400,_xlfn.TEXTJOIN(",",TRUE,B287:E287),SF_Output!$Q$1:$Q$400,"One Time",SF_Output!$L$1:$L$400,"software license")+SUMIFS(SF_Output!$S$1:$S$400,SF_Output!$AC$1:$AC$400,_xlfn.TEXTJOIN(",",TRUE,B287:E287),SF_Output!$Q$1:$Q$400,"One Time",SF_Output!$L$1:$L$400,"hardware"))</f>
        <v/>
      </c>
      <c r="K287" s="112" t="str">
        <f>IF(OR(B287=0,B287="",G287="hardware",J287=0),"",IF(AF287&lt;&gt;"exclusion",MAX(K$9,-((SUMIFS(SF_Output!$T$1:$T$400,SF_Output!$AC$1:$AC$400,_xlfn.TEXTJOIN(",",TRUE,$B287:$E287),SF_Output!$Q$1:$Q$400,"One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license"))/J287)))</f>
        <v/>
      </c>
      <c r="L287" s="6" t="str">
        <f t="shared" si="69"/>
        <v/>
      </c>
      <c r="N287" s="6" t="str">
        <f>IF(B287="","",SUMIFS(SF_Output!$S$1:$S$400,SF_Output!$AC$1:$AC$400,_xlfn.TEXTJOIN(",",TRUE,B287:E287),SF_Output!$Q$1:$Q$400,"One Time",SF_Output!$L$1:$L$400,"professional service"))</f>
        <v/>
      </c>
      <c r="O287" s="112" t="str">
        <f>IF(OR(B287=0,B287="",N287=0),"",IF(AF287&lt;&gt;"exclusion",MAX(O$9,-(SUMIFS(SF_Output!$T$1:$T$400,SF_Output!$AC$1:$AC$400,_xlfn.TEXTJOIN(",",TRUE,$B287:$E287),SF_Output!$Q$1:$Q$400,"One Time",SF_Output!$L$1:$L$400,"professional service"))/N287),-((SUMIFS(SF_Output!$T$1:$T$400,SF_Output!$AC$1:$AC$400,_xlfn.TEXTJOIN(",",TRUE,$B287:$E287),SF_Output!$Q$1:$Q$400,"One Time",SF_Output!$L$1:$L$400,"professional service")/N287))))</f>
        <v/>
      </c>
      <c r="P287" s="6" t="str">
        <f t="shared" si="70"/>
        <v/>
      </c>
      <c r="R287" s="6" t="str">
        <f>IF(B287="","",SUMIFS(SF_Output!$S$1:$S$400,SF_Output!$AC$1:$AC$400,_xlfn.TEXTJOIN(",",TRUE,B287:E287),SF_Output!$Q$1:$Q$400,"yearly")+SUMIFS(SF_Output!$S$1:$S$400,SF_Output!$AC$1:$AC$400,_xlfn.TEXTJOIN(",",TRUE,B287:E287),SF_Output!$Q$1:$Q$400,"quarterly")*4)</f>
        <v/>
      </c>
      <c r="S287" s="112" t="str">
        <f>IF(OR(B287=0,B287="",G287="hardware",R287=0),"",IF(AF287&lt;&gt;"exclusion",MAX(S$9,-(SUMIFS(SF_Output!$T$1:$T$400,SF_Output!$AC$1:$AC$400,_xlfn.TEXTJOIN(",",TRUE,$B287:$E287),SF_Output!$Q$1:$Q$400,"yearly"))/R287),-((SUMIFS(SF_Output!$T$1:$T$400,SF_Output!$AC$1:$AC$400,_xlfn.TEXTJOIN(",",TRUE,$B287:$E287),SF_Output!$Q$1:$Q$400,"yearly")/R287))))</f>
        <v/>
      </c>
      <c r="T287" s="6" t="str">
        <f t="shared" si="71"/>
        <v/>
      </c>
      <c r="V287" s="6" t="str" cm="1">
        <f t="array" ref="V287">_xlfn.IFS(B287="","",AND(B287&lt;&gt;"",H287=SF_Output!$Y$2,SUMIFS(SF_Output!$T$1:$T$400,SF_Output!$AC$1:$AC$400,_xlfn.TEXTJOIN(",",TRUE,B287:E287),SF_Output!$Q$1:$Q$400,"monthly")=0),(SUMIFS(SF_Output!$F$1:$F$400,SF_Output!$AC$1:$AC$400,_xlfn.TEXTJOIN(",",TRUE,B287:E287),SF_Output!$Q$1:$Q$400,"monthly")+SUMIFS(SF_Output!$G$1:$G$400,SF_Output!$AC$1:$AC$400,_xlfn.TEXTJOIN(",",TRUE,B287:E287),SF_Output!$Q$1:$Q$400,"monthly"))*H287,AND(B287&lt;&gt;"",H287=SF_Output!$Y$2,SUMIFS(SF_Output!$T$1:$T$400,SF_Output!$AC$1:$AC$400,_xlfn.TEXTJOIN(",",TRUE,B287:E287),SF_Output!$Q$1:$Q$400,"monthly")&lt;&gt;0),SUMIFS(SF_Output!$S$1:$S$400,SF_Output!$AC$1:$AC$400,_xlfn.TEXTJOIN(",",TRUE,B287:E287),SF_Output!$Q$1:$Q$400,"monthly"),AND(B287&lt;&gt;"",H287&lt;&gt;SF_Output!$Y$2),SUMIFS(SF_Output!$S$1:$S$400,SF_Output!$AC$1:$AC$400,_xlfn.TEXTJOIN(",",TRUE,B287:E287),SF_Output!$Q$1:$Q$400,"monthly"))</f>
        <v/>
      </c>
      <c r="W287" s="112" t="str" cm="1">
        <f t="array" ref="W287">_xlfn.IFS(OR(B287=0,B287="",V287=0),"",AF287&lt;&gt;"exclusion",MAX($W$9,$W$7,(-(SUMIFS(SF_Output!$T$1:$T$400,SF_Output!$AC$1:$AC$400,_xlfn.TEXTJOIN(",",TRUE,$B287:$E287),SF_Output!$Q$1:$Q$400,"monthly"))/V287)),AF287="exclusion",-(SUMIFS(SF_Output!$T$1:$T$400,SF_Output!$AC$1:$AC$400,_xlfn.TEXTJOIN(",",TRUE,$B287:$E287),SF_Output!$Q$1:$Q$400,"monthly"))/V287)</f>
        <v/>
      </c>
      <c r="X287" s="6" t="str" cm="1">
        <f t="array" ref="X287">IFERROR(_xlfn.IFS(V287=0,0,V287="","",W287=0,V287,OR(V287&lt;&gt;0,V287&lt;&gt;""),H287*I287),V287*(1-W287))</f>
        <v/>
      </c>
      <c r="Z287" s="6" t="str">
        <f>IFERROR(IF(B287="","",SUMIFS(Billing_Fallout!H:H,Billing_Fallout!N:N,B287)),0)</f>
        <v/>
      </c>
      <c r="AA287" s="6" t="str">
        <f t="shared" si="72"/>
        <v/>
      </c>
      <c r="AB287" s="6" t="str">
        <f>IFERROR(IF(B287="","",SUMIFS(Billing_Fallout!J:J,Billing_Fallout!N:N,B287)),0)</f>
        <v/>
      </c>
      <c r="AD287" s="6" t="str">
        <f t="shared" si="73"/>
        <v/>
      </c>
      <c r="AF287" t="str">
        <f>IFERROR(INDEX(H_Tables!$B$1:$B$1500,MATCH(INDEX(SF_Output!$J$1:$J$400,MATCH(B287,SF_Output!$M$1:$M$400,0)),H_Tables!$A$1:$A$1500,0)),"")</f>
        <v/>
      </c>
      <c r="AI287" s="119" t="str">
        <f t="shared" si="74"/>
        <v/>
      </c>
      <c r="AJ287" s="121">
        <f>IFERROR(INDEX(SF_Output!AD:AD,MATCH(_xlfn.TEXTJOIN(",",TRUE,B287:E287),SF_Output!AC38:AC437,0)),0.05)</f>
        <v>204</v>
      </c>
      <c r="AK287" t="str">
        <f>IF(SUMIFS(SF_Output!$F$1:$F$400,SF_Output!$AC$1:$AC$400,_xlfn.TEXTJOIN(",",TRUE,B287:E287))+SUMIFS(SF_Output!$G$1:$G$400,SF_Output!$AC$1:$AC$400,_xlfn.TEXTJOIN(",",TRUE,B287:E287))=0,"","PAP")</f>
        <v/>
      </c>
      <c r="AQ287" s="35"/>
      <c r="AR287" s="35" t="str" cm="1">
        <f t="array" ref="AR287">IFERROR(_xlfn.IFS(AND(E287*1=1,F287="Included"),"Change to Included",AND(E287*1=0,F287="Optional"),"Change to Optional",OR(B287="",F287="replaced"),""),"")</f>
        <v/>
      </c>
      <c r="AS287" s="35" t="str">
        <f t="shared" si="75"/>
        <v/>
      </c>
      <c r="AT287" s="35" t="str">
        <f t="shared" si="76"/>
        <v/>
      </c>
      <c r="AU287" s="35" t="str">
        <f t="shared" si="77"/>
        <v/>
      </c>
      <c r="AV287" s="35" t="str">
        <f t="shared" si="78"/>
        <v/>
      </c>
      <c r="AW287" s="35" t="str">
        <f t="shared" si="79"/>
        <v/>
      </c>
      <c r="AX287" s="35" t="str">
        <f t="shared" si="80"/>
        <v/>
      </c>
      <c r="AY287" s="35" t="str">
        <f t="shared" si="81"/>
        <v/>
      </c>
      <c r="AZ287" s="35" t="str">
        <f t="shared" si="82"/>
        <v/>
      </c>
      <c r="BA287" s="35" t="str">
        <f t="shared" si="83"/>
        <v/>
      </c>
      <c r="BB287" s="35" t="str">
        <f t="shared" si="84"/>
        <v/>
      </c>
      <c r="BC287" s="35"/>
      <c r="BE287" s="35" t="e">
        <f>INDEX(SF_Output!$AA$2:$AA$400,MATCH($B287,SF_Output!$M$2:$M$400,0))</f>
        <v>#N/A</v>
      </c>
      <c r="BF287" s="35" t="e">
        <f>INDEX(SF_Output!$AB$2:$AB$400,MATCH($B287,SF_Output!$M$2:$M$400,0))</f>
        <v>#N/A</v>
      </c>
    </row>
    <row r="288" spans="6:58" x14ac:dyDescent="0.25">
      <c r="F288" s="116" t="str">
        <f t="shared" si="68"/>
        <v/>
      </c>
      <c r="G288" t="str">
        <f>IF(B288="","",INDEX(SF_Output!$K$1:$K$400,MATCH(B288,SF_Output!$M$1:$M$400,0)))</f>
        <v/>
      </c>
      <c r="H288" t="str" cm="1">
        <f t="array" ref="H288">_xlfn.IFS(B288="","",(SUMIFS(SF_Output!$F$1:$F$400,SF_Output!$AC$1:$AC$400,_xlfn.TEXTJOIN(",",TRUE,B288:E288))+SUMIFS(SF_Output!$G$1:$G$400,SF_Output!$AC$1:$AC$400,_xlfn.TEXTJOIN(",",TRUE,B288:E288)))&lt;&gt;0,SF_Output!$Y$2,INDEX(SF_Output!$F$1:$F$400,MATCH(_xlfn.TEXTJOIN(",",TRUE,B288:E288),SF_Output!$AC$1:$AC$400,0))=0,INDEX(SF_Output!$R$1:$R$400,MATCH(_xlfn.TEXTJOIN(",",TRUE,B288:E288),SF_Output!$AC$1:$AC$400,0)))</f>
        <v/>
      </c>
      <c r="I288" s="125" t="str">
        <f>IFERROR(IF(AND(H288&gt;1,H288&lt;&gt;""),ROUND(SUMIFS(SF_Output!$S$1:$S$400,SF_Output!$AC$1:$AC$400,_xlfn.TEXTJOIN(",",TRUE,B288:E288),SF_Output!$Q$1:$Q$400,"monthly")*(1-W288)/H288,4),""),"")</f>
        <v/>
      </c>
      <c r="J288" s="6" t="str">
        <f>IF(B288="","",SUMIFS(SF_Output!$S$1:$S$400,SF_Output!$AC$1:$AC$400,_xlfn.TEXTJOIN(",",TRUE,B288:E288),SF_Output!$Q$1:$Q$400,"One Time",SF_Output!$L$1:$L$400,"license fee")+SUMIFS(SF_Output!$S$1:$S$400,SF_Output!$AC$1:$AC$400,_xlfn.TEXTJOIN(",",TRUE,B288:E288),SF_Output!$Q$1:$Q$400,"One Time",SF_Output!$L$1:$L$400,"software license")+SUMIFS(SF_Output!$S$1:$S$400,SF_Output!$AC$1:$AC$400,_xlfn.TEXTJOIN(",",TRUE,B288:E288),SF_Output!$Q$1:$Q$400,"One Time",SF_Output!$L$1:$L$400,"hardware"))</f>
        <v/>
      </c>
      <c r="K288" s="112" t="str">
        <f>IF(OR(B288=0,B288="",G288="hardware",J288=0),"",IF(AF288&lt;&gt;"exclusion",MAX(K$9,-((SUMIFS(SF_Output!$T$1:$T$400,SF_Output!$AC$1:$AC$400,_xlfn.TEXTJOIN(",",TRUE,$B288:$E288),SF_Output!$Q$1:$Q$400,"One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license"))/J288)))</f>
        <v/>
      </c>
      <c r="L288" s="6" t="str">
        <f t="shared" si="69"/>
        <v/>
      </c>
      <c r="N288" s="6" t="str">
        <f>IF(B288="","",SUMIFS(SF_Output!$S$1:$S$400,SF_Output!$AC$1:$AC$400,_xlfn.TEXTJOIN(",",TRUE,B288:E288),SF_Output!$Q$1:$Q$400,"One Time",SF_Output!$L$1:$L$400,"professional service"))</f>
        <v/>
      </c>
      <c r="O288" s="112" t="str">
        <f>IF(OR(B288=0,B288="",N288=0),"",IF(AF288&lt;&gt;"exclusion",MAX(O$9,-(SUMIFS(SF_Output!$T$1:$T$400,SF_Output!$AC$1:$AC$400,_xlfn.TEXTJOIN(",",TRUE,$B288:$E288),SF_Output!$Q$1:$Q$400,"One Time",SF_Output!$L$1:$L$400,"professional service"))/N288),-((SUMIFS(SF_Output!$T$1:$T$400,SF_Output!$AC$1:$AC$400,_xlfn.TEXTJOIN(",",TRUE,$B288:$E288),SF_Output!$Q$1:$Q$400,"One Time",SF_Output!$L$1:$L$400,"professional service")/N288))))</f>
        <v/>
      </c>
      <c r="P288" s="6" t="str">
        <f t="shared" si="70"/>
        <v/>
      </c>
      <c r="R288" s="6" t="str">
        <f>IF(B288="","",SUMIFS(SF_Output!$S$1:$S$400,SF_Output!$AC$1:$AC$400,_xlfn.TEXTJOIN(",",TRUE,B288:E288),SF_Output!$Q$1:$Q$400,"yearly")+SUMIFS(SF_Output!$S$1:$S$400,SF_Output!$AC$1:$AC$400,_xlfn.TEXTJOIN(",",TRUE,B288:E288),SF_Output!$Q$1:$Q$400,"quarterly")*4)</f>
        <v/>
      </c>
      <c r="S288" s="112" t="str">
        <f>IF(OR(B288=0,B288="",G288="hardware",R288=0),"",IF(AF288&lt;&gt;"exclusion",MAX(S$9,-(SUMIFS(SF_Output!$T$1:$T$400,SF_Output!$AC$1:$AC$400,_xlfn.TEXTJOIN(",",TRUE,$B288:$E288),SF_Output!$Q$1:$Q$400,"yearly"))/R288),-((SUMIFS(SF_Output!$T$1:$T$400,SF_Output!$AC$1:$AC$400,_xlfn.TEXTJOIN(",",TRUE,$B288:$E288),SF_Output!$Q$1:$Q$400,"yearly")/R288))))</f>
        <v/>
      </c>
      <c r="T288" s="6" t="str">
        <f t="shared" si="71"/>
        <v/>
      </c>
      <c r="V288" s="6" t="str" cm="1">
        <f t="array" ref="V288">_xlfn.IFS(B288="","",AND(B288&lt;&gt;"",H288=SF_Output!$Y$2,SUMIFS(SF_Output!$T$1:$T$400,SF_Output!$AC$1:$AC$400,_xlfn.TEXTJOIN(",",TRUE,B288:E288),SF_Output!$Q$1:$Q$400,"monthly")=0),(SUMIFS(SF_Output!$F$1:$F$400,SF_Output!$AC$1:$AC$400,_xlfn.TEXTJOIN(",",TRUE,B288:E288),SF_Output!$Q$1:$Q$400,"monthly")+SUMIFS(SF_Output!$G$1:$G$400,SF_Output!$AC$1:$AC$400,_xlfn.TEXTJOIN(",",TRUE,B288:E288),SF_Output!$Q$1:$Q$400,"monthly"))*H288,AND(B288&lt;&gt;"",H288=SF_Output!$Y$2,SUMIFS(SF_Output!$T$1:$T$400,SF_Output!$AC$1:$AC$400,_xlfn.TEXTJOIN(",",TRUE,B288:E288),SF_Output!$Q$1:$Q$400,"monthly")&lt;&gt;0),SUMIFS(SF_Output!$S$1:$S$400,SF_Output!$AC$1:$AC$400,_xlfn.TEXTJOIN(",",TRUE,B288:E288),SF_Output!$Q$1:$Q$400,"monthly"),AND(B288&lt;&gt;"",H288&lt;&gt;SF_Output!$Y$2),SUMIFS(SF_Output!$S$1:$S$400,SF_Output!$AC$1:$AC$400,_xlfn.TEXTJOIN(",",TRUE,B288:E288),SF_Output!$Q$1:$Q$400,"monthly"))</f>
        <v/>
      </c>
      <c r="W288" s="112" t="str" cm="1">
        <f t="array" ref="W288">_xlfn.IFS(OR(B288=0,B288="",V288=0),"",AF288&lt;&gt;"exclusion",MAX($W$9,$W$7,(-(SUMIFS(SF_Output!$T$1:$T$400,SF_Output!$AC$1:$AC$400,_xlfn.TEXTJOIN(",",TRUE,$B288:$E288),SF_Output!$Q$1:$Q$400,"monthly"))/V288)),AF288="exclusion",-(SUMIFS(SF_Output!$T$1:$T$400,SF_Output!$AC$1:$AC$400,_xlfn.TEXTJOIN(",",TRUE,$B288:$E288),SF_Output!$Q$1:$Q$400,"monthly"))/V288)</f>
        <v/>
      </c>
      <c r="X288" s="6" t="str" cm="1">
        <f t="array" ref="X288">IFERROR(_xlfn.IFS(V288=0,0,V288="","",W288=0,V288,OR(V288&lt;&gt;0,V288&lt;&gt;""),H288*I288),V288*(1-W288))</f>
        <v/>
      </c>
      <c r="Z288" s="6" t="str">
        <f>IFERROR(IF(B288="","",SUMIFS(Billing_Fallout!H:H,Billing_Fallout!N:N,B288)),0)</f>
        <v/>
      </c>
      <c r="AA288" s="6" t="str">
        <f t="shared" si="72"/>
        <v/>
      </c>
      <c r="AB288" s="6" t="str">
        <f>IFERROR(IF(B288="","",SUMIFS(Billing_Fallout!J:J,Billing_Fallout!N:N,B288)),0)</f>
        <v/>
      </c>
      <c r="AD288" s="6" t="str">
        <f t="shared" si="73"/>
        <v/>
      </c>
      <c r="AF288" t="str">
        <f>IFERROR(INDEX(H_Tables!$B$1:$B$1500,MATCH(INDEX(SF_Output!$J$1:$J$400,MATCH(B288,SF_Output!$M$1:$M$400,0)),H_Tables!$A$1:$A$1500,0)),"")</f>
        <v/>
      </c>
      <c r="AI288" s="119" t="str">
        <f t="shared" si="74"/>
        <v/>
      </c>
      <c r="AJ288" s="121">
        <f>IFERROR(INDEX(SF_Output!AD:AD,MATCH(_xlfn.TEXTJOIN(",",TRUE,B288:E288),SF_Output!AC39:AC438,0)),0.05)</f>
        <v>203</v>
      </c>
      <c r="AK288" t="str">
        <f>IF(SUMIFS(SF_Output!$F$1:$F$400,SF_Output!$AC$1:$AC$400,_xlfn.TEXTJOIN(",",TRUE,B288:E288))+SUMIFS(SF_Output!$G$1:$G$400,SF_Output!$AC$1:$AC$400,_xlfn.TEXTJOIN(",",TRUE,B288:E288))=0,"","PAP")</f>
        <v/>
      </c>
      <c r="AQ288" s="35"/>
      <c r="AR288" s="35" t="str" cm="1">
        <f t="array" ref="AR288">IFERROR(_xlfn.IFS(AND(E288*1=1,F288="Included"),"Change to Included",AND(E288*1=0,F288="Optional"),"Change to Optional",OR(B288="",F288="replaced"),""),"")</f>
        <v/>
      </c>
      <c r="AS288" s="35" t="str">
        <f t="shared" si="75"/>
        <v/>
      </c>
      <c r="AT288" s="35" t="str">
        <f t="shared" si="76"/>
        <v/>
      </c>
      <c r="AU288" s="35" t="str">
        <f t="shared" si="77"/>
        <v/>
      </c>
      <c r="AV288" s="35" t="str">
        <f t="shared" si="78"/>
        <v/>
      </c>
      <c r="AW288" s="35" t="str">
        <f t="shared" si="79"/>
        <v/>
      </c>
      <c r="AX288" s="35" t="str">
        <f t="shared" si="80"/>
        <v/>
      </c>
      <c r="AY288" s="35" t="str">
        <f t="shared" si="81"/>
        <v/>
      </c>
      <c r="AZ288" s="35" t="str">
        <f t="shared" si="82"/>
        <v/>
      </c>
      <c r="BA288" s="35" t="str">
        <f t="shared" si="83"/>
        <v/>
      </c>
      <c r="BB288" s="35" t="str">
        <f t="shared" si="84"/>
        <v/>
      </c>
      <c r="BC288" s="35"/>
      <c r="BE288" s="35" t="e">
        <f>INDEX(SF_Output!$AA$2:$AA$400,MATCH($B288,SF_Output!$M$2:$M$400,0))</f>
        <v>#N/A</v>
      </c>
      <c r="BF288" s="35" t="e">
        <f>INDEX(SF_Output!$AB$2:$AB$400,MATCH($B288,SF_Output!$M$2:$M$400,0))</f>
        <v>#N/A</v>
      </c>
    </row>
    <row r="289" spans="6:58" x14ac:dyDescent="0.25">
      <c r="F289" s="116" t="str">
        <f t="shared" si="68"/>
        <v/>
      </c>
      <c r="G289" t="str">
        <f>IF(B289="","",INDEX(SF_Output!$K$1:$K$400,MATCH(B289,SF_Output!$M$1:$M$400,0)))</f>
        <v/>
      </c>
      <c r="H289" t="str" cm="1">
        <f t="array" ref="H289">_xlfn.IFS(B289="","",(SUMIFS(SF_Output!$F$1:$F$400,SF_Output!$AC$1:$AC$400,_xlfn.TEXTJOIN(",",TRUE,B289:E289))+SUMIFS(SF_Output!$G$1:$G$400,SF_Output!$AC$1:$AC$400,_xlfn.TEXTJOIN(",",TRUE,B289:E289)))&lt;&gt;0,SF_Output!$Y$2,INDEX(SF_Output!$F$1:$F$400,MATCH(_xlfn.TEXTJOIN(",",TRUE,B289:E289),SF_Output!$AC$1:$AC$400,0))=0,INDEX(SF_Output!$R$1:$R$400,MATCH(_xlfn.TEXTJOIN(",",TRUE,B289:E289),SF_Output!$AC$1:$AC$400,0)))</f>
        <v/>
      </c>
      <c r="I289" s="125" t="str">
        <f>IFERROR(IF(AND(H289&gt;1,H289&lt;&gt;""),ROUND(SUMIFS(SF_Output!$S$1:$S$400,SF_Output!$AC$1:$AC$400,_xlfn.TEXTJOIN(",",TRUE,B289:E289),SF_Output!$Q$1:$Q$400,"monthly")*(1-W289)/H289,4),""),"")</f>
        <v/>
      </c>
      <c r="J289" s="6" t="str">
        <f>IF(B289="","",SUMIFS(SF_Output!$S$1:$S$400,SF_Output!$AC$1:$AC$400,_xlfn.TEXTJOIN(",",TRUE,B289:E289),SF_Output!$Q$1:$Q$400,"One Time",SF_Output!$L$1:$L$400,"license fee")+SUMIFS(SF_Output!$S$1:$S$400,SF_Output!$AC$1:$AC$400,_xlfn.TEXTJOIN(",",TRUE,B289:E289),SF_Output!$Q$1:$Q$400,"One Time",SF_Output!$L$1:$L$400,"software license")+SUMIFS(SF_Output!$S$1:$S$400,SF_Output!$AC$1:$AC$400,_xlfn.TEXTJOIN(",",TRUE,B289:E289),SF_Output!$Q$1:$Q$400,"One Time",SF_Output!$L$1:$L$400,"hardware"))</f>
        <v/>
      </c>
      <c r="K289" s="112" t="str">
        <f>IF(OR(B289=0,B289="",G289="hardware",J289=0),"",IF(AF289&lt;&gt;"exclusion",MAX(K$9,-((SUMIFS(SF_Output!$T$1:$T$400,SF_Output!$AC$1:$AC$400,_xlfn.TEXTJOIN(",",TRUE,$B289:$E289),SF_Output!$Q$1:$Q$400,"One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license"))/J289)))</f>
        <v/>
      </c>
      <c r="L289" s="6" t="str">
        <f t="shared" si="69"/>
        <v/>
      </c>
      <c r="N289" s="6" t="str">
        <f>IF(B289="","",SUMIFS(SF_Output!$S$1:$S$400,SF_Output!$AC$1:$AC$400,_xlfn.TEXTJOIN(",",TRUE,B289:E289),SF_Output!$Q$1:$Q$400,"One Time",SF_Output!$L$1:$L$400,"professional service"))</f>
        <v/>
      </c>
      <c r="O289" s="112" t="str">
        <f>IF(OR(B289=0,B289="",N289=0),"",IF(AF289&lt;&gt;"exclusion",MAX(O$9,-(SUMIFS(SF_Output!$T$1:$T$400,SF_Output!$AC$1:$AC$400,_xlfn.TEXTJOIN(",",TRUE,$B289:$E289),SF_Output!$Q$1:$Q$400,"One Time",SF_Output!$L$1:$L$400,"professional service"))/N289),-((SUMIFS(SF_Output!$T$1:$T$400,SF_Output!$AC$1:$AC$400,_xlfn.TEXTJOIN(",",TRUE,$B289:$E289),SF_Output!$Q$1:$Q$400,"One Time",SF_Output!$L$1:$L$400,"professional service")/N289))))</f>
        <v/>
      </c>
      <c r="P289" s="6" t="str">
        <f t="shared" si="70"/>
        <v/>
      </c>
      <c r="R289" s="6" t="str">
        <f>IF(B289="","",SUMIFS(SF_Output!$S$1:$S$400,SF_Output!$AC$1:$AC$400,_xlfn.TEXTJOIN(",",TRUE,B289:E289),SF_Output!$Q$1:$Q$400,"yearly")+SUMIFS(SF_Output!$S$1:$S$400,SF_Output!$AC$1:$AC$400,_xlfn.TEXTJOIN(",",TRUE,B289:E289),SF_Output!$Q$1:$Q$400,"quarterly")*4)</f>
        <v/>
      </c>
      <c r="S289" s="112" t="str">
        <f>IF(OR(B289=0,B289="",G289="hardware",R289=0),"",IF(AF289&lt;&gt;"exclusion",MAX(S$9,-(SUMIFS(SF_Output!$T$1:$T$400,SF_Output!$AC$1:$AC$400,_xlfn.TEXTJOIN(",",TRUE,$B289:$E289),SF_Output!$Q$1:$Q$400,"yearly"))/R289),-((SUMIFS(SF_Output!$T$1:$T$400,SF_Output!$AC$1:$AC$400,_xlfn.TEXTJOIN(",",TRUE,$B289:$E289),SF_Output!$Q$1:$Q$400,"yearly")/R289))))</f>
        <v/>
      </c>
      <c r="T289" s="6" t="str">
        <f t="shared" si="71"/>
        <v/>
      </c>
      <c r="V289" s="6" t="str" cm="1">
        <f t="array" ref="V289">_xlfn.IFS(B289="","",AND(B289&lt;&gt;"",H289=SF_Output!$Y$2,SUMIFS(SF_Output!$T$1:$T$400,SF_Output!$AC$1:$AC$400,_xlfn.TEXTJOIN(",",TRUE,B289:E289),SF_Output!$Q$1:$Q$400,"monthly")=0),(SUMIFS(SF_Output!$F$1:$F$400,SF_Output!$AC$1:$AC$400,_xlfn.TEXTJOIN(",",TRUE,B289:E289),SF_Output!$Q$1:$Q$400,"monthly")+SUMIFS(SF_Output!$G$1:$G$400,SF_Output!$AC$1:$AC$400,_xlfn.TEXTJOIN(",",TRUE,B289:E289),SF_Output!$Q$1:$Q$400,"monthly"))*H289,AND(B289&lt;&gt;"",H289=SF_Output!$Y$2,SUMIFS(SF_Output!$T$1:$T$400,SF_Output!$AC$1:$AC$400,_xlfn.TEXTJOIN(",",TRUE,B289:E289),SF_Output!$Q$1:$Q$400,"monthly")&lt;&gt;0),SUMIFS(SF_Output!$S$1:$S$400,SF_Output!$AC$1:$AC$400,_xlfn.TEXTJOIN(",",TRUE,B289:E289),SF_Output!$Q$1:$Q$400,"monthly"),AND(B289&lt;&gt;"",H289&lt;&gt;SF_Output!$Y$2),SUMIFS(SF_Output!$S$1:$S$400,SF_Output!$AC$1:$AC$400,_xlfn.TEXTJOIN(",",TRUE,B289:E289),SF_Output!$Q$1:$Q$400,"monthly"))</f>
        <v/>
      </c>
      <c r="W289" s="112" t="str" cm="1">
        <f t="array" ref="W289">_xlfn.IFS(OR(B289=0,B289="",V289=0),"",AF289&lt;&gt;"exclusion",MAX($W$9,$W$7,(-(SUMIFS(SF_Output!$T$1:$T$400,SF_Output!$AC$1:$AC$400,_xlfn.TEXTJOIN(",",TRUE,$B289:$E289),SF_Output!$Q$1:$Q$400,"monthly"))/V289)),AF289="exclusion",-(SUMIFS(SF_Output!$T$1:$T$400,SF_Output!$AC$1:$AC$400,_xlfn.TEXTJOIN(",",TRUE,$B289:$E289),SF_Output!$Q$1:$Q$400,"monthly"))/V289)</f>
        <v/>
      </c>
      <c r="X289" s="6" t="str" cm="1">
        <f t="array" ref="X289">IFERROR(_xlfn.IFS(V289=0,0,V289="","",W289=0,V289,OR(V289&lt;&gt;0,V289&lt;&gt;""),H289*I289),V289*(1-W289))</f>
        <v/>
      </c>
      <c r="Z289" s="6" t="str">
        <f>IFERROR(IF(B289="","",SUMIFS(Billing_Fallout!H:H,Billing_Fallout!N:N,B289)),0)</f>
        <v/>
      </c>
      <c r="AA289" s="6" t="str">
        <f t="shared" si="72"/>
        <v/>
      </c>
      <c r="AB289" s="6" t="str">
        <f>IFERROR(IF(B289="","",SUMIFS(Billing_Fallout!J:J,Billing_Fallout!N:N,B289)),0)</f>
        <v/>
      </c>
      <c r="AD289" s="6" t="str">
        <f t="shared" si="73"/>
        <v/>
      </c>
      <c r="AF289" t="str">
        <f>IFERROR(INDEX(H_Tables!$B$1:$B$1500,MATCH(INDEX(SF_Output!$J$1:$J$400,MATCH(B289,SF_Output!$M$1:$M$400,0)),H_Tables!$A$1:$A$1500,0)),"")</f>
        <v/>
      </c>
      <c r="AI289" s="119" t="str">
        <f t="shared" si="74"/>
        <v/>
      </c>
      <c r="AJ289" s="121">
        <f>IFERROR(INDEX(SF_Output!AD:AD,MATCH(_xlfn.TEXTJOIN(",",TRUE,B289:E289),SF_Output!AC40:AC439,0)),0.05)</f>
        <v>202</v>
      </c>
      <c r="AK289" t="str">
        <f>IF(SUMIFS(SF_Output!$F$1:$F$400,SF_Output!$AC$1:$AC$400,_xlfn.TEXTJOIN(",",TRUE,B289:E289))+SUMIFS(SF_Output!$G$1:$G$400,SF_Output!$AC$1:$AC$400,_xlfn.TEXTJOIN(",",TRUE,B289:E289))=0,"","PAP")</f>
        <v/>
      </c>
      <c r="AQ289" s="35"/>
      <c r="AR289" s="35" t="str" cm="1">
        <f t="array" ref="AR289">IFERROR(_xlfn.IFS(AND(E289*1=1,F289="Included"),"Change to Included",AND(E289*1=0,F289="Optional"),"Change to Optional",OR(B289="",F289="replaced"),""),"")</f>
        <v/>
      </c>
      <c r="AS289" s="35" t="str">
        <f t="shared" si="75"/>
        <v/>
      </c>
      <c r="AT289" s="35" t="str">
        <f t="shared" si="76"/>
        <v/>
      </c>
      <c r="AU289" s="35" t="str">
        <f t="shared" si="77"/>
        <v/>
      </c>
      <c r="AV289" s="35" t="str">
        <f t="shared" si="78"/>
        <v/>
      </c>
      <c r="AW289" s="35" t="str">
        <f t="shared" si="79"/>
        <v/>
      </c>
      <c r="AX289" s="35" t="str">
        <f t="shared" si="80"/>
        <v/>
      </c>
      <c r="AY289" s="35" t="str">
        <f t="shared" si="81"/>
        <v/>
      </c>
      <c r="AZ289" s="35" t="str">
        <f t="shared" si="82"/>
        <v/>
      </c>
      <c r="BA289" s="35" t="str">
        <f t="shared" si="83"/>
        <v/>
      </c>
      <c r="BB289" s="35" t="str">
        <f t="shared" si="84"/>
        <v/>
      </c>
      <c r="BC289" s="35"/>
      <c r="BE289" s="35" t="e">
        <f>INDEX(SF_Output!$AA$2:$AA$400,MATCH($B289,SF_Output!$M$2:$M$400,0))</f>
        <v>#N/A</v>
      </c>
      <c r="BF289" s="35" t="e">
        <f>INDEX(SF_Output!$AB$2:$AB$400,MATCH($B289,SF_Output!$M$2:$M$400,0))</f>
        <v>#N/A</v>
      </c>
    </row>
    <row r="290" spans="6:58" x14ac:dyDescent="0.25">
      <c r="F290" s="116" t="str">
        <f t="shared" si="68"/>
        <v/>
      </c>
      <c r="G290" t="str">
        <f>IF(B290="","",INDEX(SF_Output!$K$1:$K$400,MATCH(B290,SF_Output!$M$1:$M$400,0)))</f>
        <v/>
      </c>
      <c r="H290" t="str" cm="1">
        <f t="array" ref="H290">_xlfn.IFS(B290="","",(SUMIFS(SF_Output!$F$1:$F$400,SF_Output!$AC$1:$AC$400,_xlfn.TEXTJOIN(",",TRUE,B290:E290))+SUMIFS(SF_Output!$G$1:$G$400,SF_Output!$AC$1:$AC$400,_xlfn.TEXTJOIN(",",TRUE,B290:E290)))&lt;&gt;0,SF_Output!$Y$2,INDEX(SF_Output!$F$1:$F$400,MATCH(_xlfn.TEXTJOIN(",",TRUE,B290:E290),SF_Output!$AC$1:$AC$400,0))=0,INDEX(SF_Output!$R$1:$R$400,MATCH(_xlfn.TEXTJOIN(",",TRUE,B290:E290),SF_Output!$AC$1:$AC$400,0)))</f>
        <v/>
      </c>
      <c r="I290" s="125" t="str">
        <f>IFERROR(IF(AND(H290&gt;1,H290&lt;&gt;""),ROUND(SUMIFS(SF_Output!$S$1:$S$400,SF_Output!$AC$1:$AC$400,_xlfn.TEXTJOIN(",",TRUE,B290:E290),SF_Output!$Q$1:$Q$400,"monthly")*(1-W290)/H290,4),""),"")</f>
        <v/>
      </c>
      <c r="J290" s="6" t="str">
        <f>IF(B290="","",SUMIFS(SF_Output!$S$1:$S$400,SF_Output!$AC$1:$AC$400,_xlfn.TEXTJOIN(",",TRUE,B290:E290),SF_Output!$Q$1:$Q$400,"One Time",SF_Output!$L$1:$L$400,"license fee")+SUMIFS(SF_Output!$S$1:$S$400,SF_Output!$AC$1:$AC$400,_xlfn.TEXTJOIN(",",TRUE,B290:E290),SF_Output!$Q$1:$Q$400,"One Time",SF_Output!$L$1:$L$400,"software license")+SUMIFS(SF_Output!$S$1:$S$400,SF_Output!$AC$1:$AC$400,_xlfn.TEXTJOIN(",",TRUE,B290:E290),SF_Output!$Q$1:$Q$400,"One Time",SF_Output!$L$1:$L$400,"hardware"))</f>
        <v/>
      </c>
      <c r="K290" s="112" t="str">
        <f>IF(OR(B290=0,B290="",G290="hardware",J290=0),"",IF(AF290&lt;&gt;"exclusion",MAX(K$9,-((SUMIFS(SF_Output!$T$1:$T$400,SF_Output!$AC$1:$AC$400,_xlfn.TEXTJOIN(",",TRUE,$B290:$E290),SF_Output!$Q$1:$Q$400,"One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license"))/J290)))</f>
        <v/>
      </c>
      <c r="L290" s="6" t="str">
        <f t="shared" si="69"/>
        <v/>
      </c>
      <c r="N290" s="6" t="str">
        <f>IF(B290="","",SUMIFS(SF_Output!$S$1:$S$400,SF_Output!$AC$1:$AC$400,_xlfn.TEXTJOIN(",",TRUE,B290:E290),SF_Output!$Q$1:$Q$400,"One Time",SF_Output!$L$1:$L$400,"professional service"))</f>
        <v/>
      </c>
      <c r="O290" s="112" t="str">
        <f>IF(OR(B290=0,B290="",N290=0),"",IF(AF290&lt;&gt;"exclusion",MAX(O$9,-(SUMIFS(SF_Output!$T$1:$T$400,SF_Output!$AC$1:$AC$400,_xlfn.TEXTJOIN(",",TRUE,$B290:$E290),SF_Output!$Q$1:$Q$400,"One Time",SF_Output!$L$1:$L$400,"professional service"))/N290),-((SUMIFS(SF_Output!$T$1:$T$400,SF_Output!$AC$1:$AC$400,_xlfn.TEXTJOIN(",",TRUE,$B290:$E290),SF_Output!$Q$1:$Q$400,"One Time",SF_Output!$L$1:$L$400,"professional service")/N290))))</f>
        <v/>
      </c>
      <c r="P290" s="6" t="str">
        <f t="shared" si="70"/>
        <v/>
      </c>
      <c r="R290" s="6" t="str">
        <f>IF(B290="","",SUMIFS(SF_Output!$S$1:$S$400,SF_Output!$AC$1:$AC$400,_xlfn.TEXTJOIN(",",TRUE,B290:E290),SF_Output!$Q$1:$Q$400,"yearly")+SUMIFS(SF_Output!$S$1:$S$400,SF_Output!$AC$1:$AC$400,_xlfn.TEXTJOIN(",",TRUE,B290:E290),SF_Output!$Q$1:$Q$400,"quarterly")*4)</f>
        <v/>
      </c>
      <c r="S290" s="112" t="str">
        <f>IF(OR(B290=0,B290="",G290="hardware",R290=0),"",IF(AF290&lt;&gt;"exclusion",MAX(S$9,-(SUMIFS(SF_Output!$T$1:$T$400,SF_Output!$AC$1:$AC$400,_xlfn.TEXTJOIN(",",TRUE,$B290:$E290),SF_Output!$Q$1:$Q$400,"yearly"))/R290),-((SUMIFS(SF_Output!$T$1:$T$400,SF_Output!$AC$1:$AC$400,_xlfn.TEXTJOIN(",",TRUE,$B290:$E290),SF_Output!$Q$1:$Q$400,"yearly")/R290))))</f>
        <v/>
      </c>
      <c r="T290" s="6" t="str">
        <f t="shared" si="71"/>
        <v/>
      </c>
      <c r="V290" s="6" t="str" cm="1">
        <f t="array" ref="V290">_xlfn.IFS(B290="","",AND(B290&lt;&gt;"",H290=SF_Output!$Y$2,SUMIFS(SF_Output!$T$1:$T$400,SF_Output!$AC$1:$AC$400,_xlfn.TEXTJOIN(",",TRUE,B290:E290),SF_Output!$Q$1:$Q$400,"monthly")=0),(SUMIFS(SF_Output!$F$1:$F$400,SF_Output!$AC$1:$AC$400,_xlfn.TEXTJOIN(",",TRUE,B290:E290),SF_Output!$Q$1:$Q$400,"monthly")+SUMIFS(SF_Output!$G$1:$G$400,SF_Output!$AC$1:$AC$400,_xlfn.TEXTJOIN(",",TRUE,B290:E290),SF_Output!$Q$1:$Q$400,"monthly"))*H290,AND(B290&lt;&gt;"",H290=SF_Output!$Y$2,SUMIFS(SF_Output!$T$1:$T$400,SF_Output!$AC$1:$AC$400,_xlfn.TEXTJOIN(",",TRUE,B290:E290),SF_Output!$Q$1:$Q$400,"monthly")&lt;&gt;0),SUMIFS(SF_Output!$S$1:$S$400,SF_Output!$AC$1:$AC$400,_xlfn.TEXTJOIN(",",TRUE,B290:E290),SF_Output!$Q$1:$Q$400,"monthly"),AND(B290&lt;&gt;"",H290&lt;&gt;SF_Output!$Y$2),SUMIFS(SF_Output!$S$1:$S$400,SF_Output!$AC$1:$AC$400,_xlfn.TEXTJOIN(",",TRUE,B290:E290),SF_Output!$Q$1:$Q$400,"monthly"))</f>
        <v/>
      </c>
      <c r="W290" s="112" t="str" cm="1">
        <f t="array" ref="W290">_xlfn.IFS(OR(B290=0,B290="",V290=0),"",AF290&lt;&gt;"exclusion",MAX($W$9,$W$7,(-(SUMIFS(SF_Output!$T$1:$T$400,SF_Output!$AC$1:$AC$400,_xlfn.TEXTJOIN(",",TRUE,$B290:$E290),SF_Output!$Q$1:$Q$400,"monthly"))/V290)),AF290="exclusion",-(SUMIFS(SF_Output!$T$1:$T$400,SF_Output!$AC$1:$AC$400,_xlfn.TEXTJOIN(",",TRUE,$B290:$E290),SF_Output!$Q$1:$Q$400,"monthly"))/V290)</f>
        <v/>
      </c>
      <c r="X290" s="6" t="str" cm="1">
        <f t="array" ref="X290">IFERROR(_xlfn.IFS(V290=0,0,V290="","",W290=0,V290,OR(V290&lt;&gt;0,V290&lt;&gt;""),H290*I290),V290*(1-W290))</f>
        <v/>
      </c>
      <c r="Z290" s="6" t="str">
        <f>IFERROR(IF(B290="","",SUMIFS(Billing_Fallout!H:H,Billing_Fallout!N:N,B290)),0)</f>
        <v/>
      </c>
      <c r="AA290" s="6" t="str">
        <f t="shared" si="72"/>
        <v/>
      </c>
      <c r="AB290" s="6" t="str">
        <f>IFERROR(IF(B290="","",SUMIFS(Billing_Fallout!J:J,Billing_Fallout!N:N,B290)),0)</f>
        <v/>
      </c>
      <c r="AD290" s="6" t="str">
        <f t="shared" si="73"/>
        <v/>
      </c>
      <c r="AF290" t="str">
        <f>IFERROR(INDEX(H_Tables!$B$1:$B$1500,MATCH(INDEX(SF_Output!$J$1:$J$400,MATCH(B290,SF_Output!$M$1:$M$400,0)),H_Tables!$A$1:$A$1500,0)),"")</f>
        <v/>
      </c>
      <c r="AI290" s="119" t="str">
        <f t="shared" si="74"/>
        <v/>
      </c>
      <c r="AJ290" s="121">
        <f>IFERROR(INDEX(SF_Output!AD:AD,MATCH(_xlfn.TEXTJOIN(",",TRUE,B290:E290),SF_Output!AC41:AC440,0)),0.05)</f>
        <v>201</v>
      </c>
      <c r="AK290" t="str">
        <f>IF(SUMIFS(SF_Output!$F$1:$F$400,SF_Output!$AC$1:$AC$400,_xlfn.TEXTJOIN(",",TRUE,B290:E290))+SUMIFS(SF_Output!$G$1:$G$400,SF_Output!$AC$1:$AC$400,_xlfn.TEXTJOIN(",",TRUE,B290:E290))=0,"","PAP")</f>
        <v/>
      </c>
      <c r="AQ290" s="35"/>
      <c r="AR290" s="35" t="str" cm="1">
        <f t="array" ref="AR290">IFERROR(_xlfn.IFS(AND(E290*1=1,F290="Included"),"Change to Included",AND(E290*1=0,F290="Optional"),"Change to Optional",OR(B290="",F290="replaced"),""),"")</f>
        <v/>
      </c>
      <c r="AS290" s="35" t="str">
        <f t="shared" si="75"/>
        <v/>
      </c>
      <c r="AT290" s="35" t="str">
        <f t="shared" si="76"/>
        <v/>
      </c>
      <c r="AU290" s="35" t="str">
        <f t="shared" si="77"/>
        <v/>
      </c>
      <c r="AV290" s="35" t="str">
        <f t="shared" si="78"/>
        <v/>
      </c>
      <c r="AW290" s="35" t="str">
        <f t="shared" si="79"/>
        <v/>
      </c>
      <c r="AX290" s="35" t="str">
        <f t="shared" si="80"/>
        <v/>
      </c>
      <c r="AY290" s="35" t="str">
        <f t="shared" si="81"/>
        <v/>
      </c>
      <c r="AZ290" s="35" t="str">
        <f t="shared" si="82"/>
        <v/>
      </c>
      <c r="BA290" s="35" t="str">
        <f t="shared" si="83"/>
        <v/>
      </c>
      <c r="BB290" s="35" t="str">
        <f t="shared" si="84"/>
        <v/>
      </c>
      <c r="BC290" s="35"/>
      <c r="BE290" s="35" t="e">
        <f>INDEX(SF_Output!$AA$2:$AA$400,MATCH($B290,SF_Output!$M$2:$M$400,0))</f>
        <v>#N/A</v>
      </c>
      <c r="BF290" s="35" t="e">
        <f>INDEX(SF_Output!$AB$2:$AB$400,MATCH($B290,SF_Output!$M$2:$M$400,0))</f>
        <v>#N/A</v>
      </c>
    </row>
    <row r="291" spans="6:58" x14ac:dyDescent="0.25">
      <c r="F291" s="116" t="str">
        <f t="shared" si="68"/>
        <v/>
      </c>
      <c r="G291" t="str">
        <f>IF(B291="","",INDEX(SF_Output!$K$1:$K$400,MATCH(B291,SF_Output!$M$1:$M$400,0)))</f>
        <v/>
      </c>
      <c r="H291" t="str" cm="1">
        <f t="array" ref="H291">_xlfn.IFS(B291="","",(SUMIFS(SF_Output!$F$1:$F$400,SF_Output!$AC$1:$AC$400,_xlfn.TEXTJOIN(",",TRUE,B291:E291))+SUMIFS(SF_Output!$G$1:$G$400,SF_Output!$AC$1:$AC$400,_xlfn.TEXTJOIN(",",TRUE,B291:E291)))&lt;&gt;0,SF_Output!$Y$2,INDEX(SF_Output!$F$1:$F$400,MATCH(_xlfn.TEXTJOIN(",",TRUE,B291:E291),SF_Output!$AC$1:$AC$400,0))=0,INDEX(SF_Output!$R$1:$R$400,MATCH(_xlfn.TEXTJOIN(",",TRUE,B291:E291),SF_Output!$AC$1:$AC$400,0)))</f>
        <v/>
      </c>
      <c r="I291" s="125" t="str">
        <f>IFERROR(IF(AND(H291&gt;1,H291&lt;&gt;""),ROUND(SUMIFS(SF_Output!$S$1:$S$400,SF_Output!$AC$1:$AC$400,_xlfn.TEXTJOIN(",",TRUE,B291:E291),SF_Output!$Q$1:$Q$400,"monthly")*(1-W291)/H291,4),""),"")</f>
        <v/>
      </c>
      <c r="J291" s="6" t="str">
        <f>IF(B291="","",SUMIFS(SF_Output!$S$1:$S$400,SF_Output!$AC$1:$AC$400,_xlfn.TEXTJOIN(",",TRUE,B291:E291),SF_Output!$Q$1:$Q$400,"One Time",SF_Output!$L$1:$L$400,"license fee")+SUMIFS(SF_Output!$S$1:$S$400,SF_Output!$AC$1:$AC$400,_xlfn.TEXTJOIN(",",TRUE,B291:E291),SF_Output!$Q$1:$Q$400,"One Time",SF_Output!$L$1:$L$400,"software license")+SUMIFS(SF_Output!$S$1:$S$400,SF_Output!$AC$1:$AC$400,_xlfn.TEXTJOIN(",",TRUE,B291:E291),SF_Output!$Q$1:$Q$400,"One Time",SF_Output!$L$1:$L$400,"hardware"))</f>
        <v/>
      </c>
      <c r="K291" s="112" t="str">
        <f>IF(OR(B291=0,B291="",G291="hardware",J291=0),"",IF(AF291&lt;&gt;"exclusion",MAX(K$9,-((SUMIFS(SF_Output!$T$1:$T$400,SF_Output!$AC$1:$AC$400,_xlfn.TEXTJOIN(",",TRUE,$B291:$E291),SF_Output!$Q$1:$Q$400,"One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license"))/J291)))</f>
        <v/>
      </c>
      <c r="L291" s="6" t="str">
        <f t="shared" si="69"/>
        <v/>
      </c>
      <c r="N291" s="6" t="str">
        <f>IF(B291="","",SUMIFS(SF_Output!$S$1:$S$400,SF_Output!$AC$1:$AC$400,_xlfn.TEXTJOIN(",",TRUE,B291:E291),SF_Output!$Q$1:$Q$400,"One Time",SF_Output!$L$1:$L$400,"professional service"))</f>
        <v/>
      </c>
      <c r="O291" s="112" t="str">
        <f>IF(OR(B291=0,B291="",N291=0),"",IF(AF291&lt;&gt;"exclusion",MAX(O$9,-(SUMIFS(SF_Output!$T$1:$T$400,SF_Output!$AC$1:$AC$400,_xlfn.TEXTJOIN(",",TRUE,$B291:$E291),SF_Output!$Q$1:$Q$400,"One Time",SF_Output!$L$1:$L$400,"professional service"))/N291),-((SUMIFS(SF_Output!$T$1:$T$400,SF_Output!$AC$1:$AC$400,_xlfn.TEXTJOIN(",",TRUE,$B291:$E291),SF_Output!$Q$1:$Q$400,"One Time",SF_Output!$L$1:$L$400,"professional service")/N291))))</f>
        <v/>
      </c>
      <c r="P291" s="6" t="str">
        <f t="shared" si="70"/>
        <v/>
      </c>
      <c r="R291" s="6" t="str">
        <f>IF(B291="","",SUMIFS(SF_Output!$S$1:$S$400,SF_Output!$AC$1:$AC$400,_xlfn.TEXTJOIN(",",TRUE,B291:E291),SF_Output!$Q$1:$Q$400,"yearly")+SUMIFS(SF_Output!$S$1:$S$400,SF_Output!$AC$1:$AC$400,_xlfn.TEXTJOIN(",",TRUE,B291:E291),SF_Output!$Q$1:$Q$400,"quarterly")*4)</f>
        <v/>
      </c>
      <c r="S291" s="112" t="str">
        <f>IF(OR(B291=0,B291="",G291="hardware",R291=0),"",IF(AF291&lt;&gt;"exclusion",MAX(S$9,-(SUMIFS(SF_Output!$T$1:$T$400,SF_Output!$AC$1:$AC$400,_xlfn.TEXTJOIN(",",TRUE,$B291:$E291),SF_Output!$Q$1:$Q$400,"yearly"))/R291),-((SUMIFS(SF_Output!$T$1:$T$400,SF_Output!$AC$1:$AC$400,_xlfn.TEXTJOIN(",",TRUE,$B291:$E291),SF_Output!$Q$1:$Q$400,"yearly")/R291))))</f>
        <v/>
      </c>
      <c r="T291" s="6" t="str">
        <f t="shared" si="71"/>
        <v/>
      </c>
      <c r="V291" s="6" t="str" cm="1">
        <f t="array" ref="V291">_xlfn.IFS(B291="","",AND(B291&lt;&gt;"",H291=SF_Output!$Y$2,SUMIFS(SF_Output!$T$1:$T$400,SF_Output!$AC$1:$AC$400,_xlfn.TEXTJOIN(",",TRUE,B291:E291),SF_Output!$Q$1:$Q$400,"monthly")=0),(SUMIFS(SF_Output!$F$1:$F$400,SF_Output!$AC$1:$AC$400,_xlfn.TEXTJOIN(",",TRUE,B291:E291),SF_Output!$Q$1:$Q$400,"monthly")+SUMIFS(SF_Output!$G$1:$G$400,SF_Output!$AC$1:$AC$400,_xlfn.TEXTJOIN(",",TRUE,B291:E291),SF_Output!$Q$1:$Q$400,"monthly"))*H291,AND(B291&lt;&gt;"",H291=SF_Output!$Y$2,SUMIFS(SF_Output!$T$1:$T$400,SF_Output!$AC$1:$AC$400,_xlfn.TEXTJOIN(",",TRUE,B291:E291),SF_Output!$Q$1:$Q$400,"monthly")&lt;&gt;0),SUMIFS(SF_Output!$S$1:$S$400,SF_Output!$AC$1:$AC$400,_xlfn.TEXTJOIN(",",TRUE,B291:E291),SF_Output!$Q$1:$Q$400,"monthly"),AND(B291&lt;&gt;"",H291&lt;&gt;SF_Output!$Y$2),SUMIFS(SF_Output!$S$1:$S$400,SF_Output!$AC$1:$AC$400,_xlfn.TEXTJOIN(",",TRUE,B291:E291),SF_Output!$Q$1:$Q$400,"monthly"))</f>
        <v/>
      </c>
      <c r="W291" s="112" t="str" cm="1">
        <f t="array" ref="W291">_xlfn.IFS(OR(B291=0,B291="",V291=0),"",AF291&lt;&gt;"exclusion",MAX($W$9,$W$7,(-(SUMIFS(SF_Output!$T$1:$T$400,SF_Output!$AC$1:$AC$400,_xlfn.TEXTJOIN(",",TRUE,$B291:$E291),SF_Output!$Q$1:$Q$400,"monthly"))/V291)),AF291="exclusion",-(SUMIFS(SF_Output!$T$1:$T$400,SF_Output!$AC$1:$AC$400,_xlfn.TEXTJOIN(",",TRUE,$B291:$E291),SF_Output!$Q$1:$Q$400,"monthly"))/V291)</f>
        <v/>
      </c>
      <c r="X291" s="6" t="str" cm="1">
        <f t="array" ref="X291">IFERROR(_xlfn.IFS(V291=0,0,V291="","",W291=0,V291,OR(V291&lt;&gt;0,V291&lt;&gt;""),H291*I291),V291*(1-W291))</f>
        <v/>
      </c>
      <c r="Z291" s="6" t="str">
        <f>IFERROR(IF(B291="","",SUMIFS(Billing_Fallout!H:H,Billing_Fallout!N:N,B291)),0)</f>
        <v/>
      </c>
      <c r="AA291" s="6" t="str">
        <f t="shared" si="72"/>
        <v/>
      </c>
      <c r="AB291" s="6" t="str">
        <f>IFERROR(IF(B291="","",SUMIFS(Billing_Fallout!J:J,Billing_Fallout!N:N,B291)),0)</f>
        <v/>
      </c>
      <c r="AD291" s="6" t="str">
        <f t="shared" si="73"/>
        <v/>
      </c>
      <c r="AF291" t="str">
        <f>IFERROR(INDEX(H_Tables!$B$1:$B$1500,MATCH(INDEX(SF_Output!$J$1:$J$400,MATCH(B291,SF_Output!$M$1:$M$400,0)),H_Tables!$A$1:$A$1500,0)),"")</f>
        <v/>
      </c>
      <c r="AI291" s="119" t="str">
        <f t="shared" si="74"/>
        <v/>
      </c>
      <c r="AJ291" s="121">
        <f>IFERROR(INDEX(SF_Output!AD:AD,MATCH(_xlfn.TEXTJOIN(",",TRUE,B291:E291),SF_Output!AC42:AC441,0)),0.05)</f>
        <v>200</v>
      </c>
      <c r="AK291" t="str">
        <f>IF(SUMIFS(SF_Output!$F$1:$F$400,SF_Output!$AC$1:$AC$400,_xlfn.TEXTJOIN(",",TRUE,B291:E291))+SUMIFS(SF_Output!$G$1:$G$400,SF_Output!$AC$1:$AC$400,_xlfn.TEXTJOIN(",",TRUE,B291:E291))=0,"","PAP")</f>
        <v/>
      </c>
      <c r="AQ291" s="35"/>
      <c r="AR291" s="35" t="str" cm="1">
        <f t="array" ref="AR291">IFERROR(_xlfn.IFS(AND(E291*1=1,F291="Included"),"Change to Included",AND(E291*1=0,F291="Optional"),"Change to Optional",OR(B291="",F291="replaced"),""),"")</f>
        <v/>
      </c>
      <c r="AS291" s="35" t="str">
        <f t="shared" si="75"/>
        <v/>
      </c>
      <c r="AT291" s="35" t="str">
        <f t="shared" si="76"/>
        <v/>
      </c>
      <c r="AU291" s="35" t="str">
        <f t="shared" si="77"/>
        <v/>
      </c>
      <c r="AV291" s="35" t="str">
        <f t="shared" si="78"/>
        <v/>
      </c>
      <c r="AW291" s="35" t="str">
        <f t="shared" si="79"/>
        <v/>
      </c>
      <c r="AX291" s="35" t="str">
        <f t="shared" si="80"/>
        <v/>
      </c>
      <c r="AY291" s="35" t="str">
        <f t="shared" si="81"/>
        <v/>
      </c>
      <c r="AZ291" s="35" t="str">
        <f t="shared" si="82"/>
        <v/>
      </c>
      <c r="BA291" s="35" t="str">
        <f t="shared" si="83"/>
        <v/>
      </c>
      <c r="BB291" s="35" t="str">
        <f t="shared" si="84"/>
        <v/>
      </c>
      <c r="BC291" s="35"/>
      <c r="BE291" s="35" t="e">
        <f>INDEX(SF_Output!$AA$2:$AA$400,MATCH($B291,SF_Output!$M$2:$M$400,0))</f>
        <v>#N/A</v>
      </c>
      <c r="BF291" s="35" t="e">
        <f>INDEX(SF_Output!$AB$2:$AB$400,MATCH($B291,SF_Output!$M$2:$M$400,0))</f>
        <v>#N/A</v>
      </c>
    </row>
    <row r="292" spans="6:58" x14ac:dyDescent="0.25">
      <c r="F292" s="116" t="str">
        <f t="shared" si="68"/>
        <v/>
      </c>
      <c r="G292" t="str">
        <f>IF(B292="","",INDEX(SF_Output!$K$1:$K$400,MATCH(B292,SF_Output!$M$1:$M$400,0)))</f>
        <v/>
      </c>
      <c r="H292" t="str" cm="1">
        <f t="array" ref="H292">_xlfn.IFS(B292="","",(SUMIFS(SF_Output!$F$1:$F$400,SF_Output!$AC$1:$AC$400,_xlfn.TEXTJOIN(",",TRUE,B292:E292))+SUMIFS(SF_Output!$G$1:$G$400,SF_Output!$AC$1:$AC$400,_xlfn.TEXTJOIN(",",TRUE,B292:E292)))&lt;&gt;0,SF_Output!$Y$2,INDEX(SF_Output!$F$1:$F$400,MATCH(_xlfn.TEXTJOIN(",",TRUE,B292:E292),SF_Output!$AC$1:$AC$400,0))=0,INDEX(SF_Output!$R$1:$R$400,MATCH(_xlfn.TEXTJOIN(",",TRUE,B292:E292),SF_Output!$AC$1:$AC$400,0)))</f>
        <v/>
      </c>
      <c r="I292" s="125" t="str">
        <f>IFERROR(IF(AND(H292&gt;1,H292&lt;&gt;""),ROUND(SUMIFS(SF_Output!$S$1:$S$400,SF_Output!$AC$1:$AC$400,_xlfn.TEXTJOIN(",",TRUE,B292:E292),SF_Output!$Q$1:$Q$400,"monthly")*(1-W292)/H292,4),""),"")</f>
        <v/>
      </c>
      <c r="J292" s="6" t="str">
        <f>IF(B292="","",SUMIFS(SF_Output!$S$1:$S$400,SF_Output!$AC$1:$AC$400,_xlfn.TEXTJOIN(",",TRUE,B292:E292),SF_Output!$Q$1:$Q$400,"One Time",SF_Output!$L$1:$L$400,"license fee")+SUMIFS(SF_Output!$S$1:$S$400,SF_Output!$AC$1:$AC$400,_xlfn.TEXTJOIN(",",TRUE,B292:E292),SF_Output!$Q$1:$Q$400,"One Time",SF_Output!$L$1:$L$400,"software license")+SUMIFS(SF_Output!$S$1:$S$400,SF_Output!$AC$1:$AC$400,_xlfn.TEXTJOIN(",",TRUE,B292:E292),SF_Output!$Q$1:$Q$400,"One Time",SF_Output!$L$1:$L$400,"hardware"))</f>
        <v/>
      </c>
      <c r="K292" s="112" t="str">
        <f>IF(OR(B292=0,B292="",G292="hardware",J292=0),"",IF(AF292&lt;&gt;"exclusion",MAX(K$9,-((SUMIFS(SF_Output!$T$1:$T$400,SF_Output!$AC$1:$AC$400,_xlfn.TEXTJOIN(",",TRUE,$B292:$E292),SF_Output!$Q$1:$Q$400,"One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license"))/J292)))</f>
        <v/>
      </c>
      <c r="L292" s="6" t="str">
        <f t="shared" si="69"/>
        <v/>
      </c>
      <c r="N292" s="6" t="str">
        <f>IF(B292="","",SUMIFS(SF_Output!$S$1:$S$400,SF_Output!$AC$1:$AC$400,_xlfn.TEXTJOIN(",",TRUE,B292:E292),SF_Output!$Q$1:$Q$400,"One Time",SF_Output!$L$1:$L$400,"professional service"))</f>
        <v/>
      </c>
      <c r="O292" s="112" t="str">
        <f>IF(OR(B292=0,B292="",N292=0),"",IF(AF292&lt;&gt;"exclusion",MAX(O$9,-(SUMIFS(SF_Output!$T$1:$T$400,SF_Output!$AC$1:$AC$400,_xlfn.TEXTJOIN(",",TRUE,$B292:$E292),SF_Output!$Q$1:$Q$400,"One Time",SF_Output!$L$1:$L$400,"professional service"))/N292),-((SUMIFS(SF_Output!$T$1:$T$400,SF_Output!$AC$1:$AC$400,_xlfn.TEXTJOIN(",",TRUE,$B292:$E292),SF_Output!$Q$1:$Q$400,"One Time",SF_Output!$L$1:$L$400,"professional service")/N292))))</f>
        <v/>
      </c>
      <c r="P292" s="6" t="str">
        <f t="shared" si="70"/>
        <v/>
      </c>
      <c r="R292" s="6" t="str">
        <f>IF(B292="","",SUMIFS(SF_Output!$S$1:$S$400,SF_Output!$AC$1:$AC$400,_xlfn.TEXTJOIN(",",TRUE,B292:E292),SF_Output!$Q$1:$Q$400,"yearly")+SUMIFS(SF_Output!$S$1:$S$400,SF_Output!$AC$1:$AC$400,_xlfn.TEXTJOIN(",",TRUE,B292:E292),SF_Output!$Q$1:$Q$400,"quarterly")*4)</f>
        <v/>
      </c>
      <c r="S292" s="112" t="str">
        <f>IF(OR(B292=0,B292="",G292="hardware",R292=0),"",IF(AF292&lt;&gt;"exclusion",MAX(S$9,-(SUMIFS(SF_Output!$T$1:$T$400,SF_Output!$AC$1:$AC$400,_xlfn.TEXTJOIN(",",TRUE,$B292:$E292),SF_Output!$Q$1:$Q$400,"yearly"))/R292),-((SUMIFS(SF_Output!$T$1:$T$400,SF_Output!$AC$1:$AC$400,_xlfn.TEXTJOIN(",",TRUE,$B292:$E292),SF_Output!$Q$1:$Q$400,"yearly")/R292))))</f>
        <v/>
      </c>
      <c r="T292" s="6" t="str">
        <f t="shared" si="71"/>
        <v/>
      </c>
      <c r="V292" s="6" t="str" cm="1">
        <f t="array" ref="V292">_xlfn.IFS(B292="","",AND(B292&lt;&gt;"",H292=SF_Output!$Y$2,SUMIFS(SF_Output!$T$1:$T$400,SF_Output!$AC$1:$AC$400,_xlfn.TEXTJOIN(",",TRUE,B292:E292),SF_Output!$Q$1:$Q$400,"monthly")=0),(SUMIFS(SF_Output!$F$1:$F$400,SF_Output!$AC$1:$AC$400,_xlfn.TEXTJOIN(",",TRUE,B292:E292),SF_Output!$Q$1:$Q$400,"monthly")+SUMIFS(SF_Output!$G$1:$G$400,SF_Output!$AC$1:$AC$400,_xlfn.TEXTJOIN(",",TRUE,B292:E292),SF_Output!$Q$1:$Q$400,"monthly"))*H292,AND(B292&lt;&gt;"",H292=SF_Output!$Y$2,SUMIFS(SF_Output!$T$1:$T$400,SF_Output!$AC$1:$AC$400,_xlfn.TEXTJOIN(",",TRUE,B292:E292),SF_Output!$Q$1:$Q$400,"monthly")&lt;&gt;0),SUMIFS(SF_Output!$S$1:$S$400,SF_Output!$AC$1:$AC$400,_xlfn.TEXTJOIN(",",TRUE,B292:E292),SF_Output!$Q$1:$Q$400,"monthly"),AND(B292&lt;&gt;"",H292&lt;&gt;SF_Output!$Y$2),SUMIFS(SF_Output!$S$1:$S$400,SF_Output!$AC$1:$AC$400,_xlfn.TEXTJOIN(",",TRUE,B292:E292),SF_Output!$Q$1:$Q$400,"monthly"))</f>
        <v/>
      </c>
      <c r="W292" s="112" t="str" cm="1">
        <f t="array" ref="W292">_xlfn.IFS(OR(B292=0,B292="",V292=0),"",AF292&lt;&gt;"exclusion",MAX($W$9,$W$7,(-(SUMIFS(SF_Output!$T$1:$T$400,SF_Output!$AC$1:$AC$400,_xlfn.TEXTJOIN(",",TRUE,$B292:$E292),SF_Output!$Q$1:$Q$400,"monthly"))/V292)),AF292="exclusion",-(SUMIFS(SF_Output!$T$1:$T$400,SF_Output!$AC$1:$AC$400,_xlfn.TEXTJOIN(",",TRUE,$B292:$E292),SF_Output!$Q$1:$Q$400,"monthly"))/V292)</f>
        <v/>
      </c>
      <c r="X292" s="6" t="str" cm="1">
        <f t="array" ref="X292">IFERROR(_xlfn.IFS(V292=0,0,V292="","",W292=0,V292,OR(V292&lt;&gt;0,V292&lt;&gt;""),H292*I292),V292*(1-W292))</f>
        <v/>
      </c>
      <c r="Z292" s="6" t="str">
        <f>IFERROR(IF(B292="","",SUMIFS(Billing_Fallout!H:H,Billing_Fallout!N:N,B292)),0)</f>
        <v/>
      </c>
      <c r="AA292" s="6" t="str">
        <f t="shared" si="72"/>
        <v/>
      </c>
      <c r="AB292" s="6" t="str">
        <f>IFERROR(IF(B292="","",SUMIFS(Billing_Fallout!J:J,Billing_Fallout!N:N,B292)),0)</f>
        <v/>
      </c>
      <c r="AD292" s="6" t="str">
        <f t="shared" si="73"/>
        <v/>
      </c>
      <c r="AF292" t="str">
        <f>IFERROR(INDEX(H_Tables!$B$1:$B$1500,MATCH(INDEX(SF_Output!$J$1:$J$400,MATCH(B292,SF_Output!$M$1:$M$400,0)),H_Tables!$A$1:$A$1500,0)),"")</f>
        <v/>
      </c>
      <c r="AI292" s="119" t="str">
        <f t="shared" si="74"/>
        <v/>
      </c>
      <c r="AJ292" s="121">
        <f>IFERROR(INDEX(SF_Output!AD:AD,MATCH(_xlfn.TEXTJOIN(",",TRUE,B292:E292),SF_Output!AC43:AC442,0)),0.05)</f>
        <v>199</v>
      </c>
      <c r="AK292" t="str">
        <f>IF(SUMIFS(SF_Output!$F$1:$F$400,SF_Output!$AC$1:$AC$400,_xlfn.TEXTJOIN(",",TRUE,B292:E292))+SUMIFS(SF_Output!$G$1:$G$400,SF_Output!$AC$1:$AC$400,_xlfn.TEXTJOIN(",",TRUE,B292:E292))=0,"","PAP")</f>
        <v/>
      </c>
      <c r="AQ292" s="35"/>
      <c r="AR292" s="35" t="str" cm="1">
        <f t="array" ref="AR292">IFERROR(_xlfn.IFS(AND(E292*1=1,F292="Included"),"Change to Included",AND(E292*1=0,F292="Optional"),"Change to Optional",OR(B292="",F292="replaced"),""),"")</f>
        <v/>
      </c>
      <c r="AS292" s="35" t="str">
        <f t="shared" si="75"/>
        <v/>
      </c>
      <c r="AT292" s="35" t="str">
        <f t="shared" si="76"/>
        <v/>
      </c>
      <c r="AU292" s="35" t="str">
        <f t="shared" si="77"/>
        <v/>
      </c>
      <c r="AV292" s="35" t="str">
        <f t="shared" si="78"/>
        <v/>
      </c>
      <c r="AW292" s="35" t="str">
        <f t="shared" si="79"/>
        <v/>
      </c>
      <c r="AX292" s="35" t="str">
        <f t="shared" si="80"/>
        <v/>
      </c>
      <c r="AY292" s="35" t="str">
        <f t="shared" si="81"/>
        <v/>
      </c>
      <c r="AZ292" s="35" t="str">
        <f t="shared" si="82"/>
        <v/>
      </c>
      <c r="BA292" s="35" t="str">
        <f t="shared" si="83"/>
        <v/>
      </c>
      <c r="BB292" s="35" t="str">
        <f t="shared" si="84"/>
        <v/>
      </c>
      <c r="BC292" s="35"/>
      <c r="BE292" s="35" t="e">
        <f>INDEX(SF_Output!$AA$2:$AA$400,MATCH($B292,SF_Output!$M$2:$M$400,0))</f>
        <v>#N/A</v>
      </c>
      <c r="BF292" s="35" t="e">
        <f>INDEX(SF_Output!$AB$2:$AB$400,MATCH($B292,SF_Output!$M$2:$M$400,0))</f>
        <v>#N/A</v>
      </c>
    </row>
    <row r="293" spans="6:58" x14ac:dyDescent="0.25">
      <c r="F293" s="116" t="str">
        <f t="shared" si="68"/>
        <v/>
      </c>
      <c r="G293" t="str">
        <f>IF(B293="","",INDEX(SF_Output!$K$1:$K$400,MATCH(B293,SF_Output!$M$1:$M$400,0)))</f>
        <v/>
      </c>
      <c r="H293" t="str" cm="1">
        <f t="array" ref="H293">_xlfn.IFS(B293="","",(SUMIFS(SF_Output!$F$1:$F$400,SF_Output!$AC$1:$AC$400,_xlfn.TEXTJOIN(",",TRUE,B293:E293))+SUMIFS(SF_Output!$G$1:$G$400,SF_Output!$AC$1:$AC$400,_xlfn.TEXTJOIN(",",TRUE,B293:E293)))&lt;&gt;0,SF_Output!$Y$2,INDEX(SF_Output!$F$1:$F$400,MATCH(_xlfn.TEXTJOIN(",",TRUE,B293:E293),SF_Output!$AC$1:$AC$400,0))=0,INDEX(SF_Output!$R$1:$R$400,MATCH(_xlfn.TEXTJOIN(",",TRUE,B293:E293),SF_Output!$AC$1:$AC$400,0)))</f>
        <v/>
      </c>
      <c r="I293" s="125" t="str">
        <f>IFERROR(IF(AND(H293&gt;1,H293&lt;&gt;""),ROUND(SUMIFS(SF_Output!$S$1:$S$400,SF_Output!$AC$1:$AC$400,_xlfn.TEXTJOIN(",",TRUE,B293:E293),SF_Output!$Q$1:$Q$400,"monthly")*(1-W293)/H293,4),""),"")</f>
        <v/>
      </c>
      <c r="J293" s="6" t="str">
        <f>IF(B293="","",SUMIFS(SF_Output!$S$1:$S$400,SF_Output!$AC$1:$AC$400,_xlfn.TEXTJOIN(",",TRUE,B293:E293),SF_Output!$Q$1:$Q$400,"One Time",SF_Output!$L$1:$L$400,"license fee")+SUMIFS(SF_Output!$S$1:$S$400,SF_Output!$AC$1:$AC$400,_xlfn.TEXTJOIN(",",TRUE,B293:E293),SF_Output!$Q$1:$Q$400,"One Time",SF_Output!$L$1:$L$400,"software license")+SUMIFS(SF_Output!$S$1:$S$400,SF_Output!$AC$1:$AC$400,_xlfn.TEXTJOIN(",",TRUE,B293:E293),SF_Output!$Q$1:$Q$400,"One Time",SF_Output!$L$1:$L$400,"hardware"))</f>
        <v/>
      </c>
      <c r="K293" s="112" t="str">
        <f>IF(OR(B293=0,B293="",G293="hardware",J293=0),"",IF(AF293&lt;&gt;"exclusion",MAX(K$9,-((SUMIFS(SF_Output!$T$1:$T$400,SF_Output!$AC$1:$AC$400,_xlfn.TEXTJOIN(",",TRUE,$B293:$E293),SF_Output!$Q$1:$Q$400,"One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license"))/J293)))</f>
        <v/>
      </c>
      <c r="L293" s="6" t="str">
        <f t="shared" si="69"/>
        <v/>
      </c>
      <c r="N293" s="6" t="str">
        <f>IF(B293="","",SUMIFS(SF_Output!$S$1:$S$400,SF_Output!$AC$1:$AC$400,_xlfn.TEXTJOIN(",",TRUE,B293:E293),SF_Output!$Q$1:$Q$400,"One Time",SF_Output!$L$1:$L$400,"professional service"))</f>
        <v/>
      </c>
      <c r="O293" s="112" t="str">
        <f>IF(OR(B293=0,B293="",N293=0),"",IF(AF293&lt;&gt;"exclusion",MAX(O$9,-(SUMIFS(SF_Output!$T$1:$T$400,SF_Output!$AC$1:$AC$400,_xlfn.TEXTJOIN(",",TRUE,$B293:$E293),SF_Output!$Q$1:$Q$400,"One Time",SF_Output!$L$1:$L$400,"professional service"))/N293),-((SUMIFS(SF_Output!$T$1:$T$400,SF_Output!$AC$1:$AC$400,_xlfn.TEXTJOIN(",",TRUE,$B293:$E293),SF_Output!$Q$1:$Q$400,"One Time",SF_Output!$L$1:$L$400,"professional service")/N293))))</f>
        <v/>
      </c>
      <c r="P293" s="6" t="str">
        <f t="shared" si="70"/>
        <v/>
      </c>
      <c r="R293" s="6" t="str">
        <f>IF(B293="","",SUMIFS(SF_Output!$S$1:$S$400,SF_Output!$AC$1:$AC$400,_xlfn.TEXTJOIN(",",TRUE,B293:E293),SF_Output!$Q$1:$Q$400,"yearly")+SUMIFS(SF_Output!$S$1:$S$400,SF_Output!$AC$1:$AC$400,_xlfn.TEXTJOIN(",",TRUE,B293:E293),SF_Output!$Q$1:$Q$400,"quarterly")*4)</f>
        <v/>
      </c>
      <c r="S293" s="112" t="str">
        <f>IF(OR(B293=0,B293="",G293="hardware",R293=0),"",IF(AF293&lt;&gt;"exclusion",MAX(S$9,-(SUMIFS(SF_Output!$T$1:$T$400,SF_Output!$AC$1:$AC$400,_xlfn.TEXTJOIN(",",TRUE,$B293:$E293),SF_Output!$Q$1:$Q$400,"yearly"))/R293),-((SUMIFS(SF_Output!$T$1:$T$400,SF_Output!$AC$1:$AC$400,_xlfn.TEXTJOIN(",",TRUE,$B293:$E293),SF_Output!$Q$1:$Q$400,"yearly")/R293))))</f>
        <v/>
      </c>
      <c r="T293" s="6" t="str">
        <f t="shared" si="71"/>
        <v/>
      </c>
      <c r="V293" s="6" t="str" cm="1">
        <f t="array" ref="V293">_xlfn.IFS(B293="","",AND(B293&lt;&gt;"",H293=SF_Output!$Y$2,SUMIFS(SF_Output!$T$1:$T$400,SF_Output!$AC$1:$AC$400,_xlfn.TEXTJOIN(",",TRUE,B293:E293),SF_Output!$Q$1:$Q$400,"monthly")=0),(SUMIFS(SF_Output!$F$1:$F$400,SF_Output!$AC$1:$AC$400,_xlfn.TEXTJOIN(",",TRUE,B293:E293),SF_Output!$Q$1:$Q$400,"monthly")+SUMIFS(SF_Output!$G$1:$G$400,SF_Output!$AC$1:$AC$400,_xlfn.TEXTJOIN(",",TRUE,B293:E293),SF_Output!$Q$1:$Q$400,"monthly"))*H293,AND(B293&lt;&gt;"",H293=SF_Output!$Y$2,SUMIFS(SF_Output!$T$1:$T$400,SF_Output!$AC$1:$AC$400,_xlfn.TEXTJOIN(",",TRUE,B293:E293),SF_Output!$Q$1:$Q$400,"monthly")&lt;&gt;0),SUMIFS(SF_Output!$S$1:$S$400,SF_Output!$AC$1:$AC$400,_xlfn.TEXTJOIN(",",TRUE,B293:E293),SF_Output!$Q$1:$Q$400,"monthly"),AND(B293&lt;&gt;"",H293&lt;&gt;SF_Output!$Y$2),SUMIFS(SF_Output!$S$1:$S$400,SF_Output!$AC$1:$AC$400,_xlfn.TEXTJOIN(",",TRUE,B293:E293),SF_Output!$Q$1:$Q$400,"monthly"))</f>
        <v/>
      </c>
      <c r="W293" s="112" t="str" cm="1">
        <f t="array" ref="W293">_xlfn.IFS(OR(B293=0,B293="",V293=0),"",AF293&lt;&gt;"exclusion",MAX($W$9,$W$7,(-(SUMIFS(SF_Output!$T$1:$T$400,SF_Output!$AC$1:$AC$400,_xlfn.TEXTJOIN(",",TRUE,$B293:$E293),SF_Output!$Q$1:$Q$400,"monthly"))/V293)),AF293="exclusion",-(SUMIFS(SF_Output!$T$1:$T$400,SF_Output!$AC$1:$AC$400,_xlfn.TEXTJOIN(",",TRUE,$B293:$E293),SF_Output!$Q$1:$Q$400,"monthly"))/V293)</f>
        <v/>
      </c>
      <c r="X293" s="6" t="str" cm="1">
        <f t="array" ref="X293">IFERROR(_xlfn.IFS(V293=0,0,V293="","",W293=0,V293,OR(V293&lt;&gt;0,V293&lt;&gt;""),H293*I293),V293*(1-W293))</f>
        <v/>
      </c>
      <c r="Z293" s="6" t="str">
        <f>IFERROR(IF(B293="","",SUMIFS(Billing_Fallout!H:H,Billing_Fallout!N:N,B293)),0)</f>
        <v/>
      </c>
      <c r="AA293" s="6" t="str">
        <f t="shared" si="72"/>
        <v/>
      </c>
      <c r="AB293" s="6" t="str">
        <f>IFERROR(IF(B293="","",SUMIFS(Billing_Fallout!J:J,Billing_Fallout!N:N,B293)),0)</f>
        <v/>
      </c>
      <c r="AD293" s="6" t="str">
        <f t="shared" si="73"/>
        <v/>
      </c>
      <c r="AF293" t="str">
        <f>IFERROR(INDEX(H_Tables!$B$1:$B$1500,MATCH(INDEX(SF_Output!$J$1:$J$400,MATCH(B293,SF_Output!$M$1:$M$400,0)),H_Tables!$A$1:$A$1500,0)),"")</f>
        <v/>
      </c>
      <c r="AI293" s="119" t="str">
        <f t="shared" si="74"/>
        <v/>
      </c>
      <c r="AJ293" s="121">
        <f>IFERROR(INDEX(SF_Output!AD:AD,MATCH(_xlfn.TEXTJOIN(",",TRUE,B293:E293),SF_Output!AC44:AC443,0)),0.05)</f>
        <v>198</v>
      </c>
      <c r="AK293" t="str">
        <f>IF(SUMIFS(SF_Output!$F$1:$F$400,SF_Output!$AC$1:$AC$400,_xlfn.TEXTJOIN(",",TRUE,B293:E293))+SUMIFS(SF_Output!$G$1:$G$400,SF_Output!$AC$1:$AC$400,_xlfn.TEXTJOIN(",",TRUE,B293:E293))=0,"","PAP")</f>
        <v/>
      </c>
      <c r="AQ293" s="35"/>
      <c r="AR293" s="35" t="str" cm="1">
        <f t="array" ref="AR293">IFERROR(_xlfn.IFS(AND(E293*1=1,F293="Included"),"Change to Included",AND(E293*1=0,F293="Optional"),"Change to Optional",OR(B293="",F293="replaced"),""),"")</f>
        <v/>
      </c>
      <c r="AS293" s="35" t="str">
        <f t="shared" si="75"/>
        <v/>
      </c>
      <c r="AT293" s="35" t="str">
        <f t="shared" si="76"/>
        <v/>
      </c>
      <c r="AU293" s="35" t="str">
        <f t="shared" si="77"/>
        <v/>
      </c>
      <c r="AV293" s="35" t="str">
        <f t="shared" si="78"/>
        <v/>
      </c>
      <c r="AW293" s="35" t="str">
        <f t="shared" si="79"/>
        <v/>
      </c>
      <c r="AX293" s="35" t="str">
        <f t="shared" si="80"/>
        <v/>
      </c>
      <c r="AY293" s="35" t="str">
        <f t="shared" si="81"/>
        <v/>
      </c>
      <c r="AZ293" s="35" t="str">
        <f t="shared" si="82"/>
        <v/>
      </c>
      <c r="BA293" s="35" t="str">
        <f t="shared" si="83"/>
        <v/>
      </c>
      <c r="BB293" s="35" t="str">
        <f t="shared" si="84"/>
        <v/>
      </c>
      <c r="BC293" s="35"/>
      <c r="BE293" s="35" t="e">
        <f>INDEX(SF_Output!$AA$2:$AA$400,MATCH($B293,SF_Output!$M$2:$M$400,0))</f>
        <v>#N/A</v>
      </c>
      <c r="BF293" s="35" t="e">
        <f>INDEX(SF_Output!$AB$2:$AB$400,MATCH($B293,SF_Output!$M$2:$M$400,0))</f>
        <v>#N/A</v>
      </c>
    </row>
    <row r="294" spans="6:58" x14ac:dyDescent="0.25">
      <c r="F294" s="116" t="str">
        <f t="shared" si="68"/>
        <v/>
      </c>
      <c r="G294" t="str">
        <f>IF(B294="","",INDEX(SF_Output!$K$1:$K$400,MATCH(B294,SF_Output!$M$1:$M$400,0)))</f>
        <v/>
      </c>
      <c r="H294" t="str" cm="1">
        <f t="array" ref="H294">_xlfn.IFS(B294="","",(SUMIFS(SF_Output!$F$1:$F$400,SF_Output!$AC$1:$AC$400,_xlfn.TEXTJOIN(",",TRUE,B294:E294))+SUMIFS(SF_Output!$G$1:$G$400,SF_Output!$AC$1:$AC$400,_xlfn.TEXTJOIN(",",TRUE,B294:E294)))&lt;&gt;0,SF_Output!$Y$2,INDEX(SF_Output!$F$1:$F$400,MATCH(_xlfn.TEXTJOIN(",",TRUE,B294:E294),SF_Output!$AC$1:$AC$400,0))=0,INDEX(SF_Output!$R$1:$R$400,MATCH(_xlfn.TEXTJOIN(",",TRUE,B294:E294),SF_Output!$AC$1:$AC$400,0)))</f>
        <v/>
      </c>
      <c r="I294" s="125" t="str">
        <f>IFERROR(IF(AND(H294&gt;1,H294&lt;&gt;""),ROUND(SUMIFS(SF_Output!$S$1:$S$400,SF_Output!$AC$1:$AC$400,_xlfn.TEXTJOIN(",",TRUE,B294:E294),SF_Output!$Q$1:$Q$400,"monthly")*(1-W294)/H294,4),""),"")</f>
        <v/>
      </c>
      <c r="J294" s="6" t="str">
        <f>IF(B294="","",SUMIFS(SF_Output!$S$1:$S$400,SF_Output!$AC$1:$AC$400,_xlfn.TEXTJOIN(",",TRUE,B294:E294),SF_Output!$Q$1:$Q$400,"One Time",SF_Output!$L$1:$L$400,"license fee")+SUMIFS(SF_Output!$S$1:$S$400,SF_Output!$AC$1:$AC$400,_xlfn.TEXTJOIN(",",TRUE,B294:E294),SF_Output!$Q$1:$Q$400,"One Time",SF_Output!$L$1:$L$400,"software license")+SUMIFS(SF_Output!$S$1:$S$400,SF_Output!$AC$1:$AC$400,_xlfn.TEXTJOIN(",",TRUE,B294:E294),SF_Output!$Q$1:$Q$400,"One Time",SF_Output!$L$1:$L$400,"hardware"))</f>
        <v/>
      </c>
      <c r="K294" s="112" t="str">
        <f>IF(OR(B294=0,B294="",G294="hardware",J294=0),"",IF(AF294&lt;&gt;"exclusion",MAX(K$9,-((SUMIFS(SF_Output!$T$1:$T$400,SF_Output!$AC$1:$AC$400,_xlfn.TEXTJOIN(",",TRUE,$B294:$E294),SF_Output!$Q$1:$Q$400,"One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license"))/J294)))</f>
        <v/>
      </c>
      <c r="L294" s="6" t="str">
        <f t="shared" si="69"/>
        <v/>
      </c>
      <c r="N294" s="6" t="str">
        <f>IF(B294="","",SUMIFS(SF_Output!$S$1:$S$400,SF_Output!$AC$1:$AC$400,_xlfn.TEXTJOIN(",",TRUE,B294:E294),SF_Output!$Q$1:$Q$400,"One Time",SF_Output!$L$1:$L$400,"professional service"))</f>
        <v/>
      </c>
      <c r="O294" s="112" t="str">
        <f>IF(OR(B294=0,B294="",N294=0),"",IF(AF294&lt;&gt;"exclusion",MAX(O$9,-(SUMIFS(SF_Output!$T$1:$T$400,SF_Output!$AC$1:$AC$400,_xlfn.TEXTJOIN(",",TRUE,$B294:$E294),SF_Output!$Q$1:$Q$400,"One Time",SF_Output!$L$1:$L$400,"professional service"))/N294),-((SUMIFS(SF_Output!$T$1:$T$400,SF_Output!$AC$1:$AC$400,_xlfn.TEXTJOIN(",",TRUE,$B294:$E294),SF_Output!$Q$1:$Q$400,"One Time",SF_Output!$L$1:$L$400,"professional service")/N294))))</f>
        <v/>
      </c>
      <c r="P294" s="6" t="str">
        <f t="shared" si="70"/>
        <v/>
      </c>
      <c r="R294" s="6" t="str">
        <f>IF(B294="","",SUMIFS(SF_Output!$S$1:$S$400,SF_Output!$AC$1:$AC$400,_xlfn.TEXTJOIN(",",TRUE,B294:E294),SF_Output!$Q$1:$Q$400,"yearly")+SUMIFS(SF_Output!$S$1:$S$400,SF_Output!$AC$1:$AC$400,_xlfn.TEXTJOIN(",",TRUE,B294:E294),SF_Output!$Q$1:$Q$400,"quarterly")*4)</f>
        <v/>
      </c>
      <c r="S294" s="112" t="str">
        <f>IF(OR(B294=0,B294="",G294="hardware",R294=0),"",IF(AF294&lt;&gt;"exclusion",MAX(S$9,-(SUMIFS(SF_Output!$T$1:$T$400,SF_Output!$AC$1:$AC$400,_xlfn.TEXTJOIN(",",TRUE,$B294:$E294),SF_Output!$Q$1:$Q$400,"yearly"))/R294),-((SUMIFS(SF_Output!$T$1:$T$400,SF_Output!$AC$1:$AC$400,_xlfn.TEXTJOIN(",",TRUE,$B294:$E294),SF_Output!$Q$1:$Q$400,"yearly")/R294))))</f>
        <v/>
      </c>
      <c r="T294" s="6" t="str">
        <f t="shared" si="71"/>
        <v/>
      </c>
      <c r="V294" s="6" t="str" cm="1">
        <f t="array" ref="V294">_xlfn.IFS(B294="","",AND(B294&lt;&gt;"",H294=SF_Output!$Y$2,SUMIFS(SF_Output!$T$1:$T$400,SF_Output!$AC$1:$AC$400,_xlfn.TEXTJOIN(",",TRUE,B294:E294),SF_Output!$Q$1:$Q$400,"monthly")=0),(SUMIFS(SF_Output!$F$1:$F$400,SF_Output!$AC$1:$AC$400,_xlfn.TEXTJOIN(",",TRUE,B294:E294),SF_Output!$Q$1:$Q$400,"monthly")+SUMIFS(SF_Output!$G$1:$G$400,SF_Output!$AC$1:$AC$400,_xlfn.TEXTJOIN(",",TRUE,B294:E294),SF_Output!$Q$1:$Q$400,"monthly"))*H294,AND(B294&lt;&gt;"",H294=SF_Output!$Y$2,SUMIFS(SF_Output!$T$1:$T$400,SF_Output!$AC$1:$AC$400,_xlfn.TEXTJOIN(",",TRUE,B294:E294),SF_Output!$Q$1:$Q$400,"monthly")&lt;&gt;0),SUMIFS(SF_Output!$S$1:$S$400,SF_Output!$AC$1:$AC$400,_xlfn.TEXTJOIN(",",TRUE,B294:E294),SF_Output!$Q$1:$Q$400,"monthly"),AND(B294&lt;&gt;"",H294&lt;&gt;SF_Output!$Y$2),SUMIFS(SF_Output!$S$1:$S$400,SF_Output!$AC$1:$AC$400,_xlfn.TEXTJOIN(",",TRUE,B294:E294),SF_Output!$Q$1:$Q$400,"monthly"))</f>
        <v/>
      </c>
      <c r="W294" s="112" t="str" cm="1">
        <f t="array" ref="W294">_xlfn.IFS(OR(B294=0,B294="",V294=0),"",AF294&lt;&gt;"exclusion",MAX($W$9,$W$7,(-(SUMIFS(SF_Output!$T$1:$T$400,SF_Output!$AC$1:$AC$400,_xlfn.TEXTJOIN(",",TRUE,$B294:$E294),SF_Output!$Q$1:$Q$400,"monthly"))/V294)),AF294="exclusion",-(SUMIFS(SF_Output!$T$1:$T$400,SF_Output!$AC$1:$AC$400,_xlfn.TEXTJOIN(",",TRUE,$B294:$E294),SF_Output!$Q$1:$Q$400,"monthly"))/V294)</f>
        <v/>
      </c>
      <c r="X294" s="6" t="str" cm="1">
        <f t="array" ref="X294">IFERROR(_xlfn.IFS(V294=0,0,V294="","",W294=0,V294,OR(V294&lt;&gt;0,V294&lt;&gt;""),H294*I294),V294*(1-W294))</f>
        <v/>
      </c>
      <c r="Z294" s="6" t="str">
        <f>IFERROR(IF(B294="","",SUMIFS(Billing_Fallout!H:H,Billing_Fallout!N:N,B294)),0)</f>
        <v/>
      </c>
      <c r="AA294" s="6" t="str">
        <f t="shared" si="72"/>
        <v/>
      </c>
      <c r="AB294" s="6" t="str">
        <f>IFERROR(IF(B294="","",SUMIFS(Billing_Fallout!J:J,Billing_Fallout!N:N,B294)),0)</f>
        <v/>
      </c>
      <c r="AD294" s="6" t="str">
        <f t="shared" si="73"/>
        <v/>
      </c>
      <c r="AF294" t="str">
        <f>IFERROR(INDEX(H_Tables!$B$1:$B$1500,MATCH(INDEX(SF_Output!$J$1:$J$400,MATCH(B294,SF_Output!$M$1:$M$400,0)),H_Tables!$A$1:$A$1500,0)),"")</f>
        <v/>
      </c>
      <c r="AI294" s="119" t="str">
        <f t="shared" si="74"/>
        <v/>
      </c>
      <c r="AJ294" s="121">
        <f>IFERROR(INDEX(SF_Output!AD:AD,MATCH(_xlfn.TEXTJOIN(",",TRUE,B294:E294),SF_Output!AC45:AC444,0)),0.05)</f>
        <v>197</v>
      </c>
      <c r="AK294" t="str">
        <f>IF(SUMIFS(SF_Output!$F$1:$F$400,SF_Output!$AC$1:$AC$400,_xlfn.TEXTJOIN(",",TRUE,B294:E294))+SUMIFS(SF_Output!$G$1:$G$400,SF_Output!$AC$1:$AC$400,_xlfn.TEXTJOIN(",",TRUE,B294:E294))=0,"","PAP")</f>
        <v/>
      </c>
      <c r="AQ294" s="35"/>
      <c r="AR294" s="35" t="str" cm="1">
        <f t="array" ref="AR294">IFERROR(_xlfn.IFS(AND(E294*1=1,F294="Included"),"Change to Included",AND(E294*1=0,F294="Optional"),"Change to Optional",OR(B294="",F294="replaced"),""),"")</f>
        <v/>
      </c>
      <c r="AS294" s="35" t="str">
        <f t="shared" si="75"/>
        <v/>
      </c>
      <c r="AT294" s="35" t="str">
        <f t="shared" si="76"/>
        <v/>
      </c>
      <c r="AU294" s="35" t="str">
        <f t="shared" si="77"/>
        <v/>
      </c>
      <c r="AV294" s="35" t="str">
        <f t="shared" si="78"/>
        <v/>
      </c>
      <c r="AW294" s="35" t="str">
        <f t="shared" si="79"/>
        <v/>
      </c>
      <c r="AX294" s="35" t="str">
        <f t="shared" si="80"/>
        <v/>
      </c>
      <c r="AY294" s="35" t="str">
        <f t="shared" si="81"/>
        <v/>
      </c>
      <c r="AZ294" s="35" t="str">
        <f t="shared" si="82"/>
        <v/>
      </c>
      <c r="BA294" s="35" t="str">
        <f t="shared" si="83"/>
        <v/>
      </c>
      <c r="BB294" s="35" t="str">
        <f t="shared" si="84"/>
        <v/>
      </c>
      <c r="BC294" s="35"/>
      <c r="BE294" s="35" t="e">
        <f>INDEX(SF_Output!$AA$2:$AA$400,MATCH($B294,SF_Output!$M$2:$M$400,0))</f>
        <v>#N/A</v>
      </c>
      <c r="BF294" s="35" t="e">
        <f>INDEX(SF_Output!$AB$2:$AB$400,MATCH($B294,SF_Output!$M$2:$M$400,0))</f>
        <v>#N/A</v>
      </c>
    </row>
    <row r="295" spans="6:58" x14ac:dyDescent="0.25">
      <c r="F295" s="116" t="str">
        <f t="shared" si="68"/>
        <v/>
      </c>
      <c r="G295" t="str">
        <f>IF(B295="","",INDEX(SF_Output!$K$1:$K$400,MATCH(B295,SF_Output!$M$1:$M$400,0)))</f>
        <v/>
      </c>
      <c r="H295" t="str" cm="1">
        <f t="array" ref="H295">_xlfn.IFS(B295="","",(SUMIFS(SF_Output!$F$1:$F$400,SF_Output!$AC$1:$AC$400,_xlfn.TEXTJOIN(",",TRUE,B295:E295))+SUMIFS(SF_Output!$G$1:$G$400,SF_Output!$AC$1:$AC$400,_xlfn.TEXTJOIN(",",TRUE,B295:E295)))&lt;&gt;0,SF_Output!$Y$2,INDEX(SF_Output!$F$1:$F$400,MATCH(_xlfn.TEXTJOIN(",",TRUE,B295:E295),SF_Output!$AC$1:$AC$400,0))=0,INDEX(SF_Output!$R$1:$R$400,MATCH(_xlfn.TEXTJOIN(",",TRUE,B295:E295),SF_Output!$AC$1:$AC$400,0)))</f>
        <v/>
      </c>
      <c r="I295" s="125" t="str">
        <f>IFERROR(IF(AND(H295&gt;1,H295&lt;&gt;""),ROUND(SUMIFS(SF_Output!$S$1:$S$400,SF_Output!$AC$1:$AC$400,_xlfn.TEXTJOIN(",",TRUE,B295:E295),SF_Output!$Q$1:$Q$400,"monthly")*(1-W295)/H295,4),""),"")</f>
        <v/>
      </c>
      <c r="J295" s="6" t="str">
        <f>IF(B295="","",SUMIFS(SF_Output!$S$1:$S$400,SF_Output!$AC$1:$AC$400,_xlfn.TEXTJOIN(",",TRUE,B295:E295),SF_Output!$Q$1:$Q$400,"One Time",SF_Output!$L$1:$L$400,"license fee")+SUMIFS(SF_Output!$S$1:$S$400,SF_Output!$AC$1:$AC$400,_xlfn.TEXTJOIN(",",TRUE,B295:E295),SF_Output!$Q$1:$Q$400,"One Time",SF_Output!$L$1:$L$400,"software license")+SUMIFS(SF_Output!$S$1:$S$400,SF_Output!$AC$1:$AC$400,_xlfn.TEXTJOIN(",",TRUE,B295:E295),SF_Output!$Q$1:$Q$400,"One Time",SF_Output!$L$1:$L$400,"hardware"))</f>
        <v/>
      </c>
      <c r="K295" s="112" t="str">
        <f>IF(OR(B295=0,B295="",G295="hardware",J295=0),"",IF(AF295&lt;&gt;"exclusion",MAX(K$9,-((SUMIFS(SF_Output!$T$1:$T$400,SF_Output!$AC$1:$AC$400,_xlfn.TEXTJOIN(",",TRUE,$B295:$E295),SF_Output!$Q$1:$Q$400,"One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license"))/J295)))</f>
        <v/>
      </c>
      <c r="L295" s="6" t="str">
        <f t="shared" si="69"/>
        <v/>
      </c>
      <c r="N295" s="6" t="str">
        <f>IF(B295="","",SUMIFS(SF_Output!$S$1:$S$400,SF_Output!$AC$1:$AC$400,_xlfn.TEXTJOIN(",",TRUE,B295:E295),SF_Output!$Q$1:$Q$400,"One Time",SF_Output!$L$1:$L$400,"professional service"))</f>
        <v/>
      </c>
      <c r="O295" s="112" t="str">
        <f>IF(OR(B295=0,B295="",N295=0),"",IF(AF295&lt;&gt;"exclusion",MAX(O$9,-(SUMIFS(SF_Output!$T$1:$T$400,SF_Output!$AC$1:$AC$400,_xlfn.TEXTJOIN(",",TRUE,$B295:$E295),SF_Output!$Q$1:$Q$400,"One Time",SF_Output!$L$1:$L$400,"professional service"))/N295),-((SUMIFS(SF_Output!$T$1:$T$400,SF_Output!$AC$1:$AC$400,_xlfn.TEXTJOIN(",",TRUE,$B295:$E295),SF_Output!$Q$1:$Q$400,"One Time",SF_Output!$L$1:$L$400,"professional service")/N295))))</f>
        <v/>
      </c>
      <c r="P295" s="6" t="str">
        <f t="shared" si="70"/>
        <v/>
      </c>
      <c r="R295" s="6" t="str">
        <f>IF(B295="","",SUMIFS(SF_Output!$S$1:$S$400,SF_Output!$AC$1:$AC$400,_xlfn.TEXTJOIN(",",TRUE,B295:E295),SF_Output!$Q$1:$Q$400,"yearly")+SUMIFS(SF_Output!$S$1:$S$400,SF_Output!$AC$1:$AC$400,_xlfn.TEXTJOIN(",",TRUE,B295:E295),SF_Output!$Q$1:$Q$400,"quarterly")*4)</f>
        <v/>
      </c>
      <c r="S295" s="112" t="str">
        <f>IF(OR(B295=0,B295="",G295="hardware",R295=0),"",IF(AF295&lt;&gt;"exclusion",MAX(S$9,-(SUMIFS(SF_Output!$T$1:$T$400,SF_Output!$AC$1:$AC$400,_xlfn.TEXTJOIN(",",TRUE,$B295:$E295),SF_Output!$Q$1:$Q$400,"yearly"))/R295),-((SUMIFS(SF_Output!$T$1:$T$400,SF_Output!$AC$1:$AC$400,_xlfn.TEXTJOIN(",",TRUE,$B295:$E295),SF_Output!$Q$1:$Q$400,"yearly")/R295))))</f>
        <v/>
      </c>
      <c r="T295" s="6" t="str">
        <f t="shared" si="71"/>
        <v/>
      </c>
      <c r="V295" s="6" t="str" cm="1">
        <f t="array" ref="V295">_xlfn.IFS(B295="","",AND(B295&lt;&gt;"",H295=SF_Output!$Y$2,SUMIFS(SF_Output!$T$1:$T$400,SF_Output!$AC$1:$AC$400,_xlfn.TEXTJOIN(",",TRUE,B295:E295),SF_Output!$Q$1:$Q$400,"monthly")=0),(SUMIFS(SF_Output!$F$1:$F$400,SF_Output!$AC$1:$AC$400,_xlfn.TEXTJOIN(",",TRUE,B295:E295),SF_Output!$Q$1:$Q$400,"monthly")+SUMIFS(SF_Output!$G$1:$G$400,SF_Output!$AC$1:$AC$400,_xlfn.TEXTJOIN(",",TRUE,B295:E295),SF_Output!$Q$1:$Q$400,"monthly"))*H295,AND(B295&lt;&gt;"",H295=SF_Output!$Y$2,SUMIFS(SF_Output!$T$1:$T$400,SF_Output!$AC$1:$AC$400,_xlfn.TEXTJOIN(",",TRUE,B295:E295),SF_Output!$Q$1:$Q$400,"monthly")&lt;&gt;0),SUMIFS(SF_Output!$S$1:$S$400,SF_Output!$AC$1:$AC$400,_xlfn.TEXTJOIN(",",TRUE,B295:E295),SF_Output!$Q$1:$Q$400,"monthly"),AND(B295&lt;&gt;"",H295&lt;&gt;SF_Output!$Y$2),SUMIFS(SF_Output!$S$1:$S$400,SF_Output!$AC$1:$AC$400,_xlfn.TEXTJOIN(",",TRUE,B295:E295),SF_Output!$Q$1:$Q$400,"monthly"))</f>
        <v/>
      </c>
      <c r="W295" s="112" t="str" cm="1">
        <f t="array" ref="W295">_xlfn.IFS(OR(B295=0,B295="",V295=0),"",AF295&lt;&gt;"exclusion",MAX($W$9,$W$7,(-(SUMIFS(SF_Output!$T$1:$T$400,SF_Output!$AC$1:$AC$400,_xlfn.TEXTJOIN(",",TRUE,$B295:$E295),SF_Output!$Q$1:$Q$400,"monthly"))/V295)),AF295="exclusion",-(SUMIFS(SF_Output!$T$1:$T$400,SF_Output!$AC$1:$AC$400,_xlfn.TEXTJOIN(",",TRUE,$B295:$E295),SF_Output!$Q$1:$Q$400,"monthly"))/V295)</f>
        <v/>
      </c>
      <c r="X295" s="6" t="str" cm="1">
        <f t="array" ref="X295">IFERROR(_xlfn.IFS(V295=0,0,V295="","",W295=0,V295,OR(V295&lt;&gt;0,V295&lt;&gt;""),H295*I295),V295*(1-W295))</f>
        <v/>
      </c>
      <c r="Z295" s="6" t="str">
        <f>IFERROR(IF(B295="","",SUMIFS(Billing_Fallout!H:H,Billing_Fallout!N:N,B295)),0)</f>
        <v/>
      </c>
      <c r="AA295" s="6" t="str">
        <f t="shared" si="72"/>
        <v/>
      </c>
      <c r="AB295" s="6" t="str">
        <f>IFERROR(IF(B295="","",SUMIFS(Billing_Fallout!J:J,Billing_Fallout!N:N,B295)),0)</f>
        <v/>
      </c>
      <c r="AD295" s="6" t="str">
        <f t="shared" si="73"/>
        <v/>
      </c>
      <c r="AF295" t="str">
        <f>IFERROR(INDEX(H_Tables!$B$1:$B$1500,MATCH(INDEX(SF_Output!$J$1:$J$400,MATCH(B295,SF_Output!$M$1:$M$400,0)),H_Tables!$A$1:$A$1500,0)),"")</f>
        <v/>
      </c>
      <c r="AI295" s="119" t="str">
        <f t="shared" si="74"/>
        <v/>
      </c>
      <c r="AJ295" s="121">
        <f>IFERROR(INDEX(SF_Output!AD:AD,MATCH(_xlfn.TEXTJOIN(",",TRUE,B295:E295),SF_Output!AC46:AC445,0)),0.05)</f>
        <v>196</v>
      </c>
      <c r="AK295" t="str">
        <f>IF(SUMIFS(SF_Output!$F$1:$F$400,SF_Output!$AC$1:$AC$400,_xlfn.TEXTJOIN(",",TRUE,B295:E295))+SUMIFS(SF_Output!$G$1:$G$400,SF_Output!$AC$1:$AC$400,_xlfn.TEXTJOIN(",",TRUE,B295:E295))=0,"","PAP")</f>
        <v/>
      </c>
      <c r="AQ295" s="35"/>
      <c r="AR295" s="35" t="str" cm="1">
        <f t="array" ref="AR295">IFERROR(_xlfn.IFS(AND(E295*1=1,F295="Included"),"Change to Included",AND(E295*1=0,F295="Optional"),"Change to Optional",OR(B295="",F295="replaced"),""),"")</f>
        <v/>
      </c>
      <c r="AS295" s="35" t="str">
        <f t="shared" si="75"/>
        <v/>
      </c>
      <c r="AT295" s="35" t="str">
        <f t="shared" si="76"/>
        <v/>
      </c>
      <c r="AU295" s="35" t="str">
        <f t="shared" si="77"/>
        <v/>
      </c>
      <c r="AV295" s="35" t="str">
        <f t="shared" si="78"/>
        <v/>
      </c>
      <c r="AW295" s="35" t="str">
        <f t="shared" si="79"/>
        <v/>
      </c>
      <c r="AX295" s="35" t="str">
        <f t="shared" si="80"/>
        <v/>
      </c>
      <c r="AY295" s="35" t="str">
        <f t="shared" si="81"/>
        <v/>
      </c>
      <c r="AZ295" s="35" t="str">
        <f t="shared" si="82"/>
        <v/>
      </c>
      <c r="BA295" s="35" t="str">
        <f t="shared" si="83"/>
        <v/>
      </c>
      <c r="BB295" s="35" t="str">
        <f t="shared" si="84"/>
        <v/>
      </c>
      <c r="BC295" s="35"/>
      <c r="BE295" s="35" t="e">
        <f>INDEX(SF_Output!$AA$2:$AA$400,MATCH($B295,SF_Output!$M$2:$M$400,0))</f>
        <v>#N/A</v>
      </c>
      <c r="BF295" s="35" t="e">
        <f>INDEX(SF_Output!$AB$2:$AB$400,MATCH($B295,SF_Output!$M$2:$M$400,0))</f>
        <v>#N/A</v>
      </c>
    </row>
    <row r="296" spans="6:58" x14ac:dyDescent="0.25">
      <c r="F296" s="116" t="str">
        <f t="shared" si="68"/>
        <v/>
      </c>
      <c r="G296" t="str">
        <f>IF(B296="","",INDEX(SF_Output!$K$1:$K$400,MATCH(B296,SF_Output!$M$1:$M$400,0)))</f>
        <v/>
      </c>
      <c r="H296" t="str" cm="1">
        <f t="array" ref="H296">_xlfn.IFS(B296="","",(SUMIFS(SF_Output!$F$1:$F$400,SF_Output!$AC$1:$AC$400,_xlfn.TEXTJOIN(",",TRUE,B296:E296))+SUMIFS(SF_Output!$G$1:$G$400,SF_Output!$AC$1:$AC$400,_xlfn.TEXTJOIN(",",TRUE,B296:E296)))&lt;&gt;0,SF_Output!$Y$2,INDEX(SF_Output!$F$1:$F$400,MATCH(_xlfn.TEXTJOIN(",",TRUE,B296:E296),SF_Output!$AC$1:$AC$400,0))=0,INDEX(SF_Output!$R$1:$R$400,MATCH(_xlfn.TEXTJOIN(",",TRUE,B296:E296),SF_Output!$AC$1:$AC$400,0)))</f>
        <v/>
      </c>
      <c r="I296" s="125" t="str">
        <f>IFERROR(IF(AND(H296&gt;1,H296&lt;&gt;""),ROUND(SUMIFS(SF_Output!$S$1:$S$400,SF_Output!$AC$1:$AC$400,_xlfn.TEXTJOIN(",",TRUE,B296:E296),SF_Output!$Q$1:$Q$400,"monthly")*(1-W296)/H296,4),""),"")</f>
        <v/>
      </c>
      <c r="J296" s="6" t="str">
        <f>IF(B296="","",SUMIFS(SF_Output!$S$1:$S$400,SF_Output!$AC$1:$AC$400,_xlfn.TEXTJOIN(",",TRUE,B296:E296),SF_Output!$Q$1:$Q$400,"One Time",SF_Output!$L$1:$L$400,"license fee")+SUMIFS(SF_Output!$S$1:$S$400,SF_Output!$AC$1:$AC$400,_xlfn.TEXTJOIN(",",TRUE,B296:E296),SF_Output!$Q$1:$Q$400,"One Time",SF_Output!$L$1:$L$400,"software license")+SUMIFS(SF_Output!$S$1:$S$400,SF_Output!$AC$1:$AC$400,_xlfn.TEXTJOIN(",",TRUE,B296:E296),SF_Output!$Q$1:$Q$400,"One Time",SF_Output!$L$1:$L$400,"hardware"))</f>
        <v/>
      </c>
      <c r="K296" s="112" t="str">
        <f>IF(OR(B296=0,B296="",G296="hardware",J296=0),"",IF(AF296&lt;&gt;"exclusion",MAX(K$9,-((SUMIFS(SF_Output!$T$1:$T$400,SF_Output!$AC$1:$AC$400,_xlfn.TEXTJOIN(",",TRUE,$B296:$E296),SF_Output!$Q$1:$Q$400,"One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license"))/J296)))</f>
        <v/>
      </c>
      <c r="L296" s="6" t="str">
        <f t="shared" si="69"/>
        <v/>
      </c>
      <c r="N296" s="6" t="str">
        <f>IF(B296="","",SUMIFS(SF_Output!$S$1:$S$400,SF_Output!$AC$1:$AC$400,_xlfn.TEXTJOIN(",",TRUE,B296:E296),SF_Output!$Q$1:$Q$400,"One Time",SF_Output!$L$1:$L$400,"professional service"))</f>
        <v/>
      </c>
      <c r="O296" s="112" t="str">
        <f>IF(OR(B296=0,B296="",N296=0),"",IF(AF296&lt;&gt;"exclusion",MAX(O$9,-(SUMIFS(SF_Output!$T$1:$T$400,SF_Output!$AC$1:$AC$400,_xlfn.TEXTJOIN(",",TRUE,$B296:$E296),SF_Output!$Q$1:$Q$400,"One Time",SF_Output!$L$1:$L$400,"professional service"))/N296),-((SUMIFS(SF_Output!$T$1:$T$400,SF_Output!$AC$1:$AC$400,_xlfn.TEXTJOIN(",",TRUE,$B296:$E296),SF_Output!$Q$1:$Q$400,"One Time",SF_Output!$L$1:$L$400,"professional service")/N296))))</f>
        <v/>
      </c>
      <c r="P296" s="6" t="str">
        <f t="shared" si="70"/>
        <v/>
      </c>
      <c r="R296" s="6" t="str">
        <f>IF(B296="","",SUMIFS(SF_Output!$S$1:$S$400,SF_Output!$AC$1:$AC$400,_xlfn.TEXTJOIN(",",TRUE,B296:E296),SF_Output!$Q$1:$Q$400,"yearly")+SUMIFS(SF_Output!$S$1:$S$400,SF_Output!$AC$1:$AC$400,_xlfn.TEXTJOIN(",",TRUE,B296:E296),SF_Output!$Q$1:$Q$400,"quarterly")*4)</f>
        <v/>
      </c>
      <c r="S296" s="112" t="str">
        <f>IF(OR(B296=0,B296="",G296="hardware",R296=0),"",IF(AF296&lt;&gt;"exclusion",MAX(S$9,-(SUMIFS(SF_Output!$T$1:$T$400,SF_Output!$AC$1:$AC$400,_xlfn.TEXTJOIN(",",TRUE,$B296:$E296),SF_Output!$Q$1:$Q$400,"yearly"))/R296),-((SUMIFS(SF_Output!$T$1:$T$400,SF_Output!$AC$1:$AC$400,_xlfn.TEXTJOIN(",",TRUE,$B296:$E296),SF_Output!$Q$1:$Q$400,"yearly")/R296))))</f>
        <v/>
      </c>
      <c r="T296" s="6" t="str">
        <f t="shared" si="71"/>
        <v/>
      </c>
      <c r="V296" s="6" t="str" cm="1">
        <f t="array" ref="V296">_xlfn.IFS(B296="","",AND(B296&lt;&gt;"",H296=SF_Output!$Y$2,SUMIFS(SF_Output!$T$1:$T$400,SF_Output!$AC$1:$AC$400,_xlfn.TEXTJOIN(",",TRUE,B296:E296),SF_Output!$Q$1:$Q$400,"monthly")=0),(SUMIFS(SF_Output!$F$1:$F$400,SF_Output!$AC$1:$AC$400,_xlfn.TEXTJOIN(",",TRUE,B296:E296),SF_Output!$Q$1:$Q$400,"monthly")+SUMIFS(SF_Output!$G$1:$G$400,SF_Output!$AC$1:$AC$400,_xlfn.TEXTJOIN(",",TRUE,B296:E296),SF_Output!$Q$1:$Q$400,"monthly"))*H296,AND(B296&lt;&gt;"",H296=SF_Output!$Y$2,SUMIFS(SF_Output!$T$1:$T$400,SF_Output!$AC$1:$AC$400,_xlfn.TEXTJOIN(",",TRUE,B296:E296),SF_Output!$Q$1:$Q$400,"monthly")&lt;&gt;0),SUMIFS(SF_Output!$S$1:$S$400,SF_Output!$AC$1:$AC$400,_xlfn.TEXTJOIN(",",TRUE,B296:E296),SF_Output!$Q$1:$Q$400,"monthly"),AND(B296&lt;&gt;"",H296&lt;&gt;SF_Output!$Y$2),SUMIFS(SF_Output!$S$1:$S$400,SF_Output!$AC$1:$AC$400,_xlfn.TEXTJOIN(",",TRUE,B296:E296),SF_Output!$Q$1:$Q$400,"monthly"))</f>
        <v/>
      </c>
      <c r="W296" s="112" t="str" cm="1">
        <f t="array" ref="W296">_xlfn.IFS(OR(B296=0,B296="",V296=0),"",AF296&lt;&gt;"exclusion",MAX($W$9,$W$7,(-(SUMIFS(SF_Output!$T$1:$T$400,SF_Output!$AC$1:$AC$400,_xlfn.TEXTJOIN(",",TRUE,$B296:$E296),SF_Output!$Q$1:$Q$400,"monthly"))/V296)),AF296="exclusion",-(SUMIFS(SF_Output!$T$1:$T$400,SF_Output!$AC$1:$AC$400,_xlfn.TEXTJOIN(",",TRUE,$B296:$E296),SF_Output!$Q$1:$Q$400,"monthly"))/V296)</f>
        <v/>
      </c>
      <c r="X296" s="6" t="str" cm="1">
        <f t="array" ref="X296">IFERROR(_xlfn.IFS(V296=0,0,V296="","",W296=0,V296,OR(V296&lt;&gt;0,V296&lt;&gt;""),H296*I296),V296*(1-W296))</f>
        <v/>
      </c>
      <c r="Z296" s="6" t="str">
        <f>IFERROR(IF(B296="","",SUMIFS(Billing_Fallout!H:H,Billing_Fallout!N:N,B296)),0)</f>
        <v/>
      </c>
      <c r="AA296" s="6" t="str">
        <f t="shared" si="72"/>
        <v/>
      </c>
      <c r="AB296" s="6" t="str">
        <f>IFERROR(IF(B296="","",SUMIFS(Billing_Fallout!J:J,Billing_Fallout!N:N,B296)),0)</f>
        <v/>
      </c>
      <c r="AD296" s="6" t="str">
        <f t="shared" si="73"/>
        <v/>
      </c>
      <c r="AF296" t="str">
        <f>IFERROR(INDEX(H_Tables!$B$1:$B$1500,MATCH(INDEX(SF_Output!$J$1:$J$400,MATCH(B296,SF_Output!$M$1:$M$400,0)),H_Tables!$A$1:$A$1500,0)),"")</f>
        <v/>
      </c>
      <c r="AI296" s="119" t="str">
        <f t="shared" si="74"/>
        <v/>
      </c>
      <c r="AJ296" s="121">
        <f>IFERROR(INDEX(SF_Output!AD:AD,MATCH(_xlfn.TEXTJOIN(",",TRUE,B296:E296),SF_Output!AC47:AC446,0)),0.05)</f>
        <v>195</v>
      </c>
      <c r="AK296" t="str">
        <f>IF(SUMIFS(SF_Output!$F$1:$F$400,SF_Output!$AC$1:$AC$400,_xlfn.TEXTJOIN(",",TRUE,B296:E296))+SUMIFS(SF_Output!$G$1:$G$400,SF_Output!$AC$1:$AC$400,_xlfn.TEXTJOIN(",",TRUE,B296:E296))=0,"","PAP")</f>
        <v/>
      </c>
      <c r="AQ296" s="35"/>
      <c r="AR296" s="35" t="str" cm="1">
        <f t="array" ref="AR296">IFERROR(_xlfn.IFS(AND(E296*1=1,F296="Included"),"Change to Included",AND(E296*1=0,F296="Optional"),"Change to Optional",OR(B296="",F296="replaced"),""),"")</f>
        <v/>
      </c>
      <c r="AS296" s="35" t="str">
        <f t="shared" si="75"/>
        <v/>
      </c>
      <c r="AT296" s="35" t="str">
        <f t="shared" si="76"/>
        <v/>
      </c>
      <c r="AU296" s="35" t="str">
        <f t="shared" si="77"/>
        <v/>
      </c>
      <c r="AV296" s="35" t="str">
        <f t="shared" si="78"/>
        <v/>
      </c>
      <c r="AW296" s="35" t="str">
        <f t="shared" si="79"/>
        <v/>
      </c>
      <c r="AX296" s="35" t="str">
        <f t="shared" si="80"/>
        <v/>
      </c>
      <c r="AY296" s="35" t="str">
        <f t="shared" si="81"/>
        <v/>
      </c>
      <c r="AZ296" s="35" t="str">
        <f t="shared" si="82"/>
        <v/>
      </c>
      <c r="BA296" s="35" t="str">
        <f t="shared" si="83"/>
        <v/>
      </c>
      <c r="BB296" s="35" t="str">
        <f t="shared" si="84"/>
        <v/>
      </c>
      <c r="BC296" s="35"/>
      <c r="BE296" s="35" t="e">
        <f>INDEX(SF_Output!$AA$2:$AA$400,MATCH($B296,SF_Output!$M$2:$M$400,0))</f>
        <v>#N/A</v>
      </c>
      <c r="BF296" s="35" t="e">
        <f>INDEX(SF_Output!$AB$2:$AB$400,MATCH($B296,SF_Output!$M$2:$M$400,0))</f>
        <v>#N/A</v>
      </c>
    </row>
    <row r="297" spans="6:58" x14ac:dyDescent="0.25">
      <c r="F297" s="116" t="str">
        <f t="shared" si="68"/>
        <v/>
      </c>
      <c r="G297" t="str">
        <f>IF(B297="","",INDEX(SF_Output!$K$1:$K$400,MATCH(B297,SF_Output!$M$1:$M$400,0)))</f>
        <v/>
      </c>
      <c r="H297" t="str" cm="1">
        <f t="array" ref="H297">_xlfn.IFS(B297="","",(SUMIFS(SF_Output!$F$1:$F$400,SF_Output!$AC$1:$AC$400,_xlfn.TEXTJOIN(",",TRUE,B297:E297))+SUMIFS(SF_Output!$G$1:$G$400,SF_Output!$AC$1:$AC$400,_xlfn.TEXTJOIN(",",TRUE,B297:E297)))&lt;&gt;0,SF_Output!$Y$2,INDEX(SF_Output!$F$1:$F$400,MATCH(_xlfn.TEXTJOIN(",",TRUE,B297:E297),SF_Output!$AC$1:$AC$400,0))=0,INDEX(SF_Output!$R$1:$R$400,MATCH(_xlfn.TEXTJOIN(",",TRUE,B297:E297),SF_Output!$AC$1:$AC$400,0)))</f>
        <v/>
      </c>
      <c r="I297" s="125" t="str">
        <f>IFERROR(IF(AND(H297&gt;1,H297&lt;&gt;""),ROUND(SUMIFS(SF_Output!$S$1:$S$400,SF_Output!$AC$1:$AC$400,_xlfn.TEXTJOIN(",",TRUE,B297:E297),SF_Output!$Q$1:$Q$400,"monthly")*(1-W297)/H297,4),""),"")</f>
        <v/>
      </c>
      <c r="J297" s="6" t="str">
        <f>IF(B297="","",SUMIFS(SF_Output!$S$1:$S$400,SF_Output!$AC$1:$AC$400,_xlfn.TEXTJOIN(",",TRUE,B297:E297),SF_Output!$Q$1:$Q$400,"One Time",SF_Output!$L$1:$L$400,"license fee")+SUMIFS(SF_Output!$S$1:$S$400,SF_Output!$AC$1:$AC$400,_xlfn.TEXTJOIN(",",TRUE,B297:E297),SF_Output!$Q$1:$Q$400,"One Time",SF_Output!$L$1:$L$400,"software license")+SUMIFS(SF_Output!$S$1:$S$400,SF_Output!$AC$1:$AC$400,_xlfn.TEXTJOIN(",",TRUE,B297:E297),SF_Output!$Q$1:$Q$400,"One Time",SF_Output!$L$1:$L$400,"hardware"))</f>
        <v/>
      </c>
      <c r="K297" s="112" t="str">
        <f>IF(OR(B297=0,B297="",G297="hardware",J297=0),"",IF(AF297&lt;&gt;"exclusion",MAX(K$9,-((SUMIFS(SF_Output!$T$1:$T$400,SF_Output!$AC$1:$AC$400,_xlfn.TEXTJOIN(",",TRUE,$B297:$E297),SF_Output!$Q$1:$Q$400,"One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license"))/J297)))</f>
        <v/>
      </c>
      <c r="L297" s="6" t="str">
        <f t="shared" si="69"/>
        <v/>
      </c>
      <c r="N297" s="6" t="str">
        <f>IF(B297="","",SUMIFS(SF_Output!$S$1:$S$400,SF_Output!$AC$1:$AC$400,_xlfn.TEXTJOIN(",",TRUE,B297:E297),SF_Output!$Q$1:$Q$400,"One Time",SF_Output!$L$1:$L$400,"professional service"))</f>
        <v/>
      </c>
      <c r="O297" s="112" t="str">
        <f>IF(OR(B297=0,B297="",N297=0),"",IF(AF297&lt;&gt;"exclusion",MAX(O$9,-(SUMIFS(SF_Output!$T$1:$T$400,SF_Output!$AC$1:$AC$400,_xlfn.TEXTJOIN(",",TRUE,$B297:$E297),SF_Output!$Q$1:$Q$400,"One Time",SF_Output!$L$1:$L$400,"professional service"))/N297),-((SUMIFS(SF_Output!$T$1:$T$400,SF_Output!$AC$1:$AC$400,_xlfn.TEXTJOIN(",",TRUE,$B297:$E297),SF_Output!$Q$1:$Q$400,"One Time",SF_Output!$L$1:$L$400,"professional service")/N297))))</f>
        <v/>
      </c>
      <c r="P297" s="6" t="str">
        <f t="shared" si="70"/>
        <v/>
      </c>
      <c r="R297" s="6" t="str">
        <f>IF(B297="","",SUMIFS(SF_Output!$S$1:$S$400,SF_Output!$AC$1:$AC$400,_xlfn.TEXTJOIN(",",TRUE,B297:E297),SF_Output!$Q$1:$Q$400,"yearly")+SUMIFS(SF_Output!$S$1:$S$400,SF_Output!$AC$1:$AC$400,_xlfn.TEXTJOIN(",",TRUE,B297:E297),SF_Output!$Q$1:$Q$400,"quarterly")*4)</f>
        <v/>
      </c>
      <c r="S297" s="112" t="str">
        <f>IF(OR(B297=0,B297="",G297="hardware",R297=0),"",IF(AF297&lt;&gt;"exclusion",MAX(S$9,-(SUMIFS(SF_Output!$T$1:$T$400,SF_Output!$AC$1:$AC$400,_xlfn.TEXTJOIN(",",TRUE,$B297:$E297),SF_Output!$Q$1:$Q$400,"yearly"))/R297),-((SUMIFS(SF_Output!$T$1:$T$400,SF_Output!$AC$1:$AC$400,_xlfn.TEXTJOIN(",",TRUE,$B297:$E297),SF_Output!$Q$1:$Q$400,"yearly")/R297))))</f>
        <v/>
      </c>
      <c r="T297" s="6" t="str">
        <f t="shared" si="71"/>
        <v/>
      </c>
      <c r="V297" s="6" t="str" cm="1">
        <f t="array" ref="V297">_xlfn.IFS(B297="","",AND(B297&lt;&gt;"",H297=SF_Output!$Y$2,SUMIFS(SF_Output!$T$1:$T$400,SF_Output!$AC$1:$AC$400,_xlfn.TEXTJOIN(",",TRUE,B297:E297),SF_Output!$Q$1:$Q$400,"monthly")=0),(SUMIFS(SF_Output!$F$1:$F$400,SF_Output!$AC$1:$AC$400,_xlfn.TEXTJOIN(",",TRUE,B297:E297),SF_Output!$Q$1:$Q$400,"monthly")+SUMIFS(SF_Output!$G$1:$G$400,SF_Output!$AC$1:$AC$400,_xlfn.TEXTJOIN(",",TRUE,B297:E297),SF_Output!$Q$1:$Q$400,"monthly"))*H297,AND(B297&lt;&gt;"",H297=SF_Output!$Y$2,SUMIFS(SF_Output!$T$1:$T$400,SF_Output!$AC$1:$AC$400,_xlfn.TEXTJOIN(",",TRUE,B297:E297),SF_Output!$Q$1:$Q$400,"monthly")&lt;&gt;0),SUMIFS(SF_Output!$S$1:$S$400,SF_Output!$AC$1:$AC$400,_xlfn.TEXTJOIN(",",TRUE,B297:E297),SF_Output!$Q$1:$Q$400,"monthly"),AND(B297&lt;&gt;"",H297&lt;&gt;SF_Output!$Y$2),SUMIFS(SF_Output!$S$1:$S$400,SF_Output!$AC$1:$AC$400,_xlfn.TEXTJOIN(",",TRUE,B297:E297),SF_Output!$Q$1:$Q$400,"monthly"))</f>
        <v/>
      </c>
      <c r="W297" s="112" t="str" cm="1">
        <f t="array" ref="W297">_xlfn.IFS(OR(B297=0,B297="",V297=0),"",AF297&lt;&gt;"exclusion",MAX($W$9,$W$7,(-(SUMIFS(SF_Output!$T$1:$T$400,SF_Output!$AC$1:$AC$400,_xlfn.TEXTJOIN(",",TRUE,$B297:$E297),SF_Output!$Q$1:$Q$400,"monthly"))/V297)),AF297="exclusion",-(SUMIFS(SF_Output!$T$1:$T$400,SF_Output!$AC$1:$AC$400,_xlfn.TEXTJOIN(",",TRUE,$B297:$E297),SF_Output!$Q$1:$Q$400,"monthly"))/V297)</f>
        <v/>
      </c>
      <c r="X297" s="6" t="str" cm="1">
        <f t="array" ref="X297">IFERROR(_xlfn.IFS(V297=0,0,V297="","",W297=0,V297,OR(V297&lt;&gt;0,V297&lt;&gt;""),H297*I297),V297*(1-W297))</f>
        <v/>
      </c>
      <c r="Z297" s="6" t="str">
        <f>IFERROR(IF(B297="","",SUMIFS(Billing_Fallout!H:H,Billing_Fallout!N:N,B297)),0)</f>
        <v/>
      </c>
      <c r="AA297" s="6" t="str">
        <f t="shared" si="72"/>
        <v/>
      </c>
      <c r="AB297" s="6" t="str">
        <f>IFERROR(IF(B297="","",SUMIFS(Billing_Fallout!J:J,Billing_Fallout!N:N,B297)),0)</f>
        <v/>
      </c>
      <c r="AD297" s="6" t="str">
        <f t="shared" si="73"/>
        <v/>
      </c>
      <c r="AF297" t="str">
        <f>IFERROR(INDEX(H_Tables!$B$1:$B$1500,MATCH(INDEX(SF_Output!$J$1:$J$400,MATCH(B297,SF_Output!$M$1:$M$400,0)),H_Tables!$A$1:$A$1500,0)),"")</f>
        <v/>
      </c>
      <c r="AI297" s="119" t="str">
        <f t="shared" si="74"/>
        <v/>
      </c>
      <c r="AJ297" s="121">
        <f>IFERROR(INDEX(SF_Output!AD:AD,MATCH(_xlfn.TEXTJOIN(",",TRUE,B297:E297),SF_Output!AC48:AC447,0)),0.05)</f>
        <v>194</v>
      </c>
      <c r="AK297" t="str">
        <f>IF(SUMIFS(SF_Output!$F$1:$F$400,SF_Output!$AC$1:$AC$400,_xlfn.TEXTJOIN(",",TRUE,B297:E297))+SUMIFS(SF_Output!$G$1:$G$400,SF_Output!$AC$1:$AC$400,_xlfn.TEXTJOIN(",",TRUE,B297:E297))=0,"","PAP")</f>
        <v/>
      </c>
      <c r="AQ297" s="35"/>
      <c r="AR297" s="35" t="str" cm="1">
        <f t="array" ref="AR297">IFERROR(_xlfn.IFS(AND(E297*1=1,F297="Included"),"Change to Included",AND(E297*1=0,F297="Optional"),"Change to Optional",OR(B297="",F297="replaced"),""),"")</f>
        <v/>
      </c>
      <c r="AS297" s="35" t="str">
        <f t="shared" si="75"/>
        <v/>
      </c>
      <c r="AT297" s="35" t="str">
        <f t="shared" si="76"/>
        <v/>
      </c>
      <c r="AU297" s="35" t="str">
        <f t="shared" si="77"/>
        <v/>
      </c>
      <c r="AV297" s="35" t="str">
        <f t="shared" si="78"/>
        <v/>
      </c>
      <c r="AW297" s="35" t="str">
        <f t="shared" si="79"/>
        <v/>
      </c>
      <c r="AX297" s="35" t="str">
        <f t="shared" si="80"/>
        <v/>
      </c>
      <c r="AY297" s="35" t="str">
        <f t="shared" si="81"/>
        <v/>
      </c>
      <c r="AZ297" s="35" t="str">
        <f t="shared" si="82"/>
        <v/>
      </c>
      <c r="BA297" s="35" t="str">
        <f t="shared" si="83"/>
        <v/>
      </c>
      <c r="BB297" s="35" t="str">
        <f t="shared" si="84"/>
        <v/>
      </c>
      <c r="BC297" s="35"/>
      <c r="BE297" s="35" t="e">
        <f>INDEX(SF_Output!$AA$2:$AA$400,MATCH($B297,SF_Output!$M$2:$M$400,0))</f>
        <v>#N/A</v>
      </c>
      <c r="BF297" s="35" t="e">
        <f>INDEX(SF_Output!$AB$2:$AB$400,MATCH($B297,SF_Output!$M$2:$M$400,0))</f>
        <v>#N/A</v>
      </c>
    </row>
    <row r="298" spans="6:58" x14ac:dyDescent="0.25">
      <c r="F298" s="116" t="str">
        <f t="shared" si="68"/>
        <v/>
      </c>
      <c r="G298" t="str">
        <f>IF(B298="","",INDEX(SF_Output!$K$1:$K$400,MATCH(B298,SF_Output!$M$1:$M$400,0)))</f>
        <v/>
      </c>
      <c r="H298" t="str" cm="1">
        <f t="array" ref="H298">_xlfn.IFS(B298="","",(SUMIFS(SF_Output!$F$1:$F$400,SF_Output!$AC$1:$AC$400,_xlfn.TEXTJOIN(",",TRUE,B298:E298))+SUMIFS(SF_Output!$G$1:$G$400,SF_Output!$AC$1:$AC$400,_xlfn.TEXTJOIN(",",TRUE,B298:E298)))&lt;&gt;0,SF_Output!$Y$2,INDEX(SF_Output!$F$1:$F$400,MATCH(_xlfn.TEXTJOIN(",",TRUE,B298:E298),SF_Output!$AC$1:$AC$400,0))=0,INDEX(SF_Output!$R$1:$R$400,MATCH(_xlfn.TEXTJOIN(",",TRUE,B298:E298),SF_Output!$AC$1:$AC$400,0)))</f>
        <v/>
      </c>
      <c r="I298" s="125" t="str">
        <f>IFERROR(IF(AND(H298&gt;1,H298&lt;&gt;""),ROUND(SUMIFS(SF_Output!$S$1:$S$400,SF_Output!$AC$1:$AC$400,_xlfn.TEXTJOIN(",",TRUE,B298:E298),SF_Output!$Q$1:$Q$400,"monthly")*(1-W298)/H298,4),""),"")</f>
        <v/>
      </c>
      <c r="J298" s="6" t="str">
        <f>IF(B298="","",SUMIFS(SF_Output!$S$1:$S$400,SF_Output!$AC$1:$AC$400,_xlfn.TEXTJOIN(",",TRUE,B298:E298),SF_Output!$Q$1:$Q$400,"One Time",SF_Output!$L$1:$L$400,"license fee")+SUMIFS(SF_Output!$S$1:$S$400,SF_Output!$AC$1:$AC$400,_xlfn.TEXTJOIN(",",TRUE,B298:E298),SF_Output!$Q$1:$Q$400,"One Time",SF_Output!$L$1:$L$400,"software license")+SUMIFS(SF_Output!$S$1:$S$400,SF_Output!$AC$1:$AC$400,_xlfn.TEXTJOIN(",",TRUE,B298:E298),SF_Output!$Q$1:$Q$400,"One Time",SF_Output!$L$1:$L$400,"hardware"))</f>
        <v/>
      </c>
      <c r="K298" s="112" t="str">
        <f>IF(OR(B298=0,B298="",G298="hardware",J298=0),"",IF(AF298&lt;&gt;"exclusion",MAX(K$9,-((SUMIFS(SF_Output!$T$1:$T$400,SF_Output!$AC$1:$AC$400,_xlfn.TEXTJOIN(",",TRUE,$B298:$E298),SF_Output!$Q$1:$Q$400,"One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license"))/J298)))</f>
        <v/>
      </c>
      <c r="L298" s="6" t="str">
        <f t="shared" si="69"/>
        <v/>
      </c>
      <c r="N298" s="6" t="str">
        <f>IF(B298="","",SUMIFS(SF_Output!$S$1:$S$400,SF_Output!$AC$1:$AC$400,_xlfn.TEXTJOIN(",",TRUE,B298:E298),SF_Output!$Q$1:$Q$400,"One Time",SF_Output!$L$1:$L$400,"professional service"))</f>
        <v/>
      </c>
      <c r="O298" s="112" t="str">
        <f>IF(OR(B298=0,B298="",N298=0),"",IF(AF298&lt;&gt;"exclusion",MAX(O$9,-(SUMIFS(SF_Output!$T$1:$T$400,SF_Output!$AC$1:$AC$400,_xlfn.TEXTJOIN(",",TRUE,$B298:$E298),SF_Output!$Q$1:$Q$400,"One Time",SF_Output!$L$1:$L$400,"professional service"))/N298),-((SUMIFS(SF_Output!$T$1:$T$400,SF_Output!$AC$1:$AC$400,_xlfn.TEXTJOIN(",",TRUE,$B298:$E298),SF_Output!$Q$1:$Q$400,"One Time",SF_Output!$L$1:$L$400,"professional service")/N298))))</f>
        <v/>
      </c>
      <c r="P298" s="6" t="str">
        <f t="shared" si="70"/>
        <v/>
      </c>
      <c r="R298" s="6" t="str">
        <f>IF(B298="","",SUMIFS(SF_Output!$S$1:$S$400,SF_Output!$AC$1:$AC$400,_xlfn.TEXTJOIN(",",TRUE,B298:E298),SF_Output!$Q$1:$Q$400,"yearly")+SUMIFS(SF_Output!$S$1:$S$400,SF_Output!$AC$1:$AC$400,_xlfn.TEXTJOIN(",",TRUE,B298:E298),SF_Output!$Q$1:$Q$400,"quarterly")*4)</f>
        <v/>
      </c>
      <c r="S298" s="112" t="str">
        <f>IF(OR(B298=0,B298="",G298="hardware",R298=0),"",IF(AF298&lt;&gt;"exclusion",MAX(S$9,-(SUMIFS(SF_Output!$T$1:$T$400,SF_Output!$AC$1:$AC$400,_xlfn.TEXTJOIN(",",TRUE,$B298:$E298),SF_Output!$Q$1:$Q$400,"yearly"))/R298),-((SUMIFS(SF_Output!$T$1:$T$400,SF_Output!$AC$1:$AC$400,_xlfn.TEXTJOIN(",",TRUE,$B298:$E298),SF_Output!$Q$1:$Q$400,"yearly")/R298))))</f>
        <v/>
      </c>
      <c r="T298" s="6" t="str">
        <f t="shared" si="71"/>
        <v/>
      </c>
      <c r="V298" s="6" t="str" cm="1">
        <f t="array" ref="V298">_xlfn.IFS(B298="","",AND(B298&lt;&gt;"",H298=SF_Output!$Y$2,SUMIFS(SF_Output!$T$1:$T$400,SF_Output!$AC$1:$AC$400,_xlfn.TEXTJOIN(",",TRUE,B298:E298),SF_Output!$Q$1:$Q$400,"monthly")=0),(SUMIFS(SF_Output!$F$1:$F$400,SF_Output!$AC$1:$AC$400,_xlfn.TEXTJOIN(",",TRUE,B298:E298),SF_Output!$Q$1:$Q$400,"monthly")+SUMIFS(SF_Output!$G$1:$G$400,SF_Output!$AC$1:$AC$400,_xlfn.TEXTJOIN(",",TRUE,B298:E298),SF_Output!$Q$1:$Q$400,"monthly"))*H298,AND(B298&lt;&gt;"",H298=SF_Output!$Y$2,SUMIFS(SF_Output!$T$1:$T$400,SF_Output!$AC$1:$AC$400,_xlfn.TEXTJOIN(",",TRUE,B298:E298),SF_Output!$Q$1:$Q$400,"monthly")&lt;&gt;0),SUMIFS(SF_Output!$S$1:$S$400,SF_Output!$AC$1:$AC$400,_xlfn.TEXTJOIN(",",TRUE,B298:E298),SF_Output!$Q$1:$Q$400,"monthly"),AND(B298&lt;&gt;"",H298&lt;&gt;SF_Output!$Y$2),SUMIFS(SF_Output!$S$1:$S$400,SF_Output!$AC$1:$AC$400,_xlfn.TEXTJOIN(",",TRUE,B298:E298),SF_Output!$Q$1:$Q$400,"monthly"))</f>
        <v/>
      </c>
      <c r="W298" s="112" t="str" cm="1">
        <f t="array" ref="W298">_xlfn.IFS(OR(B298=0,B298="",V298=0),"",AF298&lt;&gt;"exclusion",MAX($W$9,$W$7,(-(SUMIFS(SF_Output!$T$1:$T$400,SF_Output!$AC$1:$AC$400,_xlfn.TEXTJOIN(",",TRUE,$B298:$E298),SF_Output!$Q$1:$Q$400,"monthly"))/V298)),AF298="exclusion",-(SUMIFS(SF_Output!$T$1:$T$400,SF_Output!$AC$1:$AC$400,_xlfn.TEXTJOIN(",",TRUE,$B298:$E298),SF_Output!$Q$1:$Q$400,"monthly"))/V298)</f>
        <v/>
      </c>
      <c r="X298" s="6" t="str" cm="1">
        <f t="array" ref="X298">IFERROR(_xlfn.IFS(V298=0,0,V298="","",W298=0,V298,OR(V298&lt;&gt;0,V298&lt;&gt;""),H298*I298),V298*(1-W298))</f>
        <v/>
      </c>
      <c r="Z298" s="6" t="str">
        <f>IFERROR(IF(B298="","",SUMIFS(Billing_Fallout!H:H,Billing_Fallout!N:N,B298)),0)</f>
        <v/>
      </c>
      <c r="AA298" s="6" t="str">
        <f t="shared" si="72"/>
        <v/>
      </c>
      <c r="AB298" s="6" t="str">
        <f>IFERROR(IF(B298="","",SUMIFS(Billing_Fallout!J:J,Billing_Fallout!N:N,B298)),0)</f>
        <v/>
      </c>
      <c r="AD298" s="6" t="str">
        <f t="shared" si="73"/>
        <v/>
      </c>
      <c r="AF298" t="str">
        <f>IFERROR(INDEX(H_Tables!$B$1:$B$1500,MATCH(INDEX(SF_Output!$J$1:$J$400,MATCH(B298,SF_Output!$M$1:$M$400,0)),H_Tables!$A$1:$A$1500,0)),"")</f>
        <v/>
      </c>
      <c r="AI298" s="119" t="str">
        <f t="shared" si="74"/>
        <v/>
      </c>
      <c r="AJ298" s="121">
        <f>IFERROR(INDEX(SF_Output!AD:AD,MATCH(_xlfn.TEXTJOIN(",",TRUE,B298:E298),SF_Output!AC49:AC448,0)),0.05)</f>
        <v>193</v>
      </c>
      <c r="AK298" t="str">
        <f>IF(SUMIFS(SF_Output!$F$1:$F$400,SF_Output!$AC$1:$AC$400,_xlfn.TEXTJOIN(",",TRUE,B298:E298))+SUMIFS(SF_Output!$G$1:$G$400,SF_Output!$AC$1:$AC$400,_xlfn.TEXTJOIN(",",TRUE,B298:E298))=0,"","PAP")</f>
        <v/>
      </c>
      <c r="AQ298" s="35"/>
      <c r="AR298" s="35" t="str" cm="1">
        <f t="array" ref="AR298">IFERROR(_xlfn.IFS(AND(E298*1=1,F298="Included"),"Change to Included",AND(E298*1=0,F298="Optional"),"Change to Optional",OR(B298="",F298="replaced"),""),"")</f>
        <v/>
      </c>
      <c r="AS298" s="35" t="str">
        <f t="shared" si="75"/>
        <v/>
      </c>
      <c r="AT298" s="35" t="str">
        <f t="shared" si="76"/>
        <v/>
      </c>
      <c r="AU298" s="35" t="str">
        <f t="shared" si="77"/>
        <v/>
      </c>
      <c r="AV298" s="35" t="str">
        <f t="shared" si="78"/>
        <v/>
      </c>
      <c r="AW298" s="35" t="str">
        <f t="shared" si="79"/>
        <v/>
      </c>
      <c r="AX298" s="35" t="str">
        <f t="shared" si="80"/>
        <v/>
      </c>
      <c r="AY298" s="35" t="str">
        <f t="shared" si="81"/>
        <v/>
      </c>
      <c r="AZ298" s="35" t="str">
        <f t="shared" si="82"/>
        <v/>
      </c>
      <c r="BA298" s="35" t="str">
        <f t="shared" si="83"/>
        <v/>
      </c>
      <c r="BB298" s="35" t="str">
        <f t="shared" si="84"/>
        <v/>
      </c>
      <c r="BC298" s="35"/>
      <c r="BE298" s="35" t="e">
        <f>INDEX(SF_Output!$AA$2:$AA$400,MATCH($B298,SF_Output!$M$2:$M$400,0))</f>
        <v>#N/A</v>
      </c>
      <c r="BF298" s="35" t="e">
        <f>INDEX(SF_Output!$AB$2:$AB$400,MATCH($B298,SF_Output!$M$2:$M$400,0))</f>
        <v>#N/A</v>
      </c>
    </row>
    <row r="299" spans="6:58" x14ac:dyDescent="0.25">
      <c r="F299" s="116" t="str">
        <f t="shared" si="68"/>
        <v/>
      </c>
      <c r="G299" t="str">
        <f>IF(B299="","",INDEX(SF_Output!$K$1:$K$400,MATCH(B299,SF_Output!$M$1:$M$400,0)))</f>
        <v/>
      </c>
      <c r="H299" t="str" cm="1">
        <f t="array" ref="H299">_xlfn.IFS(B299="","",(SUMIFS(SF_Output!$F$1:$F$400,SF_Output!$AC$1:$AC$400,_xlfn.TEXTJOIN(",",TRUE,B299:E299))+SUMIFS(SF_Output!$G$1:$G$400,SF_Output!$AC$1:$AC$400,_xlfn.TEXTJOIN(",",TRUE,B299:E299)))&lt;&gt;0,SF_Output!$Y$2,INDEX(SF_Output!$F$1:$F$400,MATCH(_xlfn.TEXTJOIN(",",TRUE,B299:E299),SF_Output!$AC$1:$AC$400,0))=0,INDEX(SF_Output!$R$1:$R$400,MATCH(_xlfn.TEXTJOIN(",",TRUE,B299:E299),SF_Output!$AC$1:$AC$400,0)))</f>
        <v/>
      </c>
      <c r="I299" s="125" t="str">
        <f>IFERROR(IF(AND(H299&gt;1,H299&lt;&gt;""),ROUND(SUMIFS(SF_Output!$S$1:$S$400,SF_Output!$AC$1:$AC$400,_xlfn.TEXTJOIN(",",TRUE,B299:E299),SF_Output!$Q$1:$Q$400,"monthly")*(1-W299)/H299,4),""),"")</f>
        <v/>
      </c>
      <c r="J299" s="6" t="str">
        <f>IF(B299="","",SUMIFS(SF_Output!$S$1:$S$400,SF_Output!$AC$1:$AC$400,_xlfn.TEXTJOIN(",",TRUE,B299:E299),SF_Output!$Q$1:$Q$400,"One Time",SF_Output!$L$1:$L$400,"license fee")+SUMIFS(SF_Output!$S$1:$S$400,SF_Output!$AC$1:$AC$400,_xlfn.TEXTJOIN(",",TRUE,B299:E299),SF_Output!$Q$1:$Q$400,"One Time",SF_Output!$L$1:$L$400,"software license")+SUMIFS(SF_Output!$S$1:$S$400,SF_Output!$AC$1:$AC$400,_xlfn.TEXTJOIN(",",TRUE,B299:E299),SF_Output!$Q$1:$Q$400,"One Time",SF_Output!$L$1:$L$400,"hardware"))</f>
        <v/>
      </c>
      <c r="K299" s="112" t="str">
        <f>IF(OR(B299=0,B299="",G299="hardware",J299=0),"",IF(AF299&lt;&gt;"exclusion",MAX(K$9,-((SUMIFS(SF_Output!$T$1:$T$400,SF_Output!$AC$1:$AC$400,_xlfn.TEXTJOIN(",",TRUE,$B299:$E299),SF_Output!$Q$1:$Q$400,"One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license"))/J299)))</f>
        <v/>
      </c>
      <c r="L299" s="6" t="str">
        <f t="shared" si="69"/>
        <v/>
      </c>
      <c r="N299" s="6" t="str">
        <f>IF(B299="","",SUMIFS(SF_Output!$S$1:$S$400,SF_Output!$AC$1:$AC$400,_xlfn.TEXTJOIN(",",TRUE,B299:E299),SF_Output!$Q$1:$Q$400,"One Time",SF_Output!$L$1:$L$400,"professional service"))</f>
        <v/>
      </c>
      <c r="O299" s="112" t="str">
        <f>IF(OR(B299=0,B299="",N299=0),"",IF(AF299&lt;&gt;"exclusion",MAX(O$9,-(SUMIFS(SF_Output!$T$1:$T$400,SF_Output!$AC$1:$AC$400,_xlfn.TEXTJOIN(",",TRUE,$B299:$E299),SF_Output!$Q$1:$Q$400,"One Time",SF_Output!$L$1:$L$400,"professional service"))/N299),-((SUMIFS(SF_Output!$T$1:$T$400,SF_Output!$AC$1:$AC$400,_xlfn.TEXTJOIN(",",TRUE,$B299:$E299),SF_Output!$Q$1:$Q$400,"One Time",SF_Output!$L$1:$L$400,"professional service")/N299))))</f>
        <v/>
      </c>
      <c r="P299" s="6" t="str">
        <f t="shared" si="70"/>
        <v/>
      </c>
      <c r="R299" s="6" t="str">
        <f>IF(B299="","",SUMIFS(SF_Output!$S$1:$S$400,SF_Output!$AC$1:$AC$400,_xlfn.TEXTJOIN(",",TRUE,B299:E299),SF_Output!$Q$1:$Q$400,"yearly")+SUMIFS(SF_Output!$S$1:$S$400,SF_Output!$AC$1:$AC$400,_xlfn.TEXTJOIN(",",TRUE,B299:E299),SF_Output!$Q$1:$Q$400,"quarterly")*4)</f>
        <v/>
      </c>
      <c r="S299" s="112" t="str">
        <f>IF(OR(B299=0,B299="",G299="hardware",R299=0),"",IF(AF299&lt;&gt;"exclusion",MAX(S$9,-(SUMIFS(SF_Output!$T$1:$T$400,SF_Output!$AC$1:$AC$400,_xlfn.TEXTJOIN(",",TRUE,$B299:$E299),SF_Output!$Q$1:$Q$400,"yearly"))/R299),-((SUMIFS(SF_Output!$T$1:$T$400,SF_Output!$AC$1:$AC$400,_xlfn.TEXTJOIN(",",TRUE,$B299:$E299),SF_Output!$Q$1:$Q$400,"yearly")/R299))))</f>
        <v/>
      </c>
      <c r="T299" s="6" t="str">
        <f t="shared" si="71"/>
        <v/>
      </c>
      <c r="V299" s="6" t="str" cm="1">
        <f t="array" ref="V299">_xlfn.IFS(B299="","",AND(B299&lt;&gt;"",H299=SF_Output!$Y$2,SUMIFS(SF_Output!$T$1:$T$400,SF_Output!$AC$1:$AC$400,_xlfn.TEXTJOIN(",",TRUE,B299:E299),SF_Output!$Q$1:$Q$400,"monthly")=0),(SUMIFS(SF_Output!$F$1:$F$400,SF_Output!$AC$1:$AC$400,_xlfn.TEXTJOIN(",",TRUE,B299:E299),SF_Output!$Q$1:$Q$400,"monthly")+SUMIFS(SF_Output!$G$1:$G$400,SF_Output!$AC$1:$AC$400,_xlfn.TEXTJOIN(",",TRUE,B299:E299),SF_Output!$Q$1:$Q$400,"monthly"))*H299,AND(B299&lt;&gt;"",H299=SF_Output!$Y$2,SUMIFS(SF_Output!$T$1:$T$400,SF_Output!$AC$1:$AC$400,_xlfn.TEXTJOIN(",",TRUE,B299:E299),SF_Output!$Q$1:$Q$400,"monthly")&lt;&gt;0),SUMIFS(SF_Output!$S$1:$S$400,SF_Output!$AC$1:$AC$400,_xlfn.TEXTJOIN(",",TRUE,B299:E299),SF_Output!$Q$1:$Q$400,"monthly"),AND(B299&lt;&gt;"",H299&lt;&gt;SF_Output!$Y$2),SUMIFS(SF_Output!$S$1:$S$400,SF_Output!$AC$1:$AC$400,_xlfn.TEXTJOIN(",",TRUE,B299:E299),SF_Output!$Q$1:$Q$400,"monthly"))</f>
        <v/>
      </c>
      <c r="W299" s="112" t="str" cm="1">
        <f t="array" ref="W299">_xlfn.IFS(OR(B299=0,B299="",V299=0),"",AF299&lt;&gt;"exclusion",MAX($W$9,$W$7,(-(SUMIFS(SF_Output!$T$1:$T$400,SF_Output!$AC$1:$AC$400,_xlfn.TEXTJOIN(",",TRUE,$B299:$E299),SF_Output!$Q$1:$Q$400,"monthly"))/V299)),AF299="exclusion",-(SUMIFS(SF_Output!$T$1:$T$400,SF_Output!$AC$1:$AC$400,_xlfn.TEXTJOIN(",",TRUE,$B299:$E299),SF_Output!$Q$1:$Q$400,"monthly"))/V299)</f>
        <v/>
      </c>
      <c r="X299" s="6" t="str" cm="1">
        <f t="array" ref="X299">IFERROR(_xlfn.IFS(V299=0,0,V299="","",W299=0,V299,OR(V299&lt;&gt;0,V299&lt;&gt;""),H299*I299),V299*(1-W299))</f>
        <v/>
      </c>
      <c r="Z299" s="6" t="str">
        <f>IFERROR(IF(B299="","",SUMIFS(Billing_Fallout!H:H,Billing_Fallout!N:N,B299)),0)</f>
        <v/>
      </c>
      <c r="AA299" s="6" t="str">
        <f t="shared" si="72"/>
        <v/>
      </c>
      <c r="AB299" s="6" t="str">
        <f>IFERROR(IF(B299="","",SUMIFS(Billing_Fallout!J:J,Billing_Fallout!N:N,B299)),0)</f>
        <v/>
      </c>
      <c r="AD299" s="6" t="str">
        <f t="shared" si="73"/>
        <v/>
      </c>
      <c r="AF299" t="str">
        <f>IFERROR(INDEX(H_Tables!$B$1:$B$1500,MATCH(INDEX(SF_Output!$J$1:$J$400,MATCH(B299,SF_Output!$M$1:$M$400,0)),H_Tables!$A$1:$A$1500,0)),"")</f>
        <v/>
      </c>
      <c r="AI299" s="119" t="str">
        <f t="shared" si="74"/>
        <v/>
      </c>
      <c r="AJ299" s="121">
        <f>IFERROR(INDEX(SF_Output!AD:AD,MATCH(_xlfn.TEXTJOIN(",",TRUE,B299:E299),SF_Output!AC50:AC449,0)),0.05)</f>
        <v>192</v>
      </c>
      <c r="AK299" t="str">
        <f>IF(SUMIFS(SF_Output!$F$1:$F$400,SF_Output!$AC$1:$AC$400,_xlfn.TEXTJOIN(",",TRUE,B299:E299))+SUMIFS(SF_Output!$G$1:$G$400,SF_Output!$AC$1:$AC$400,_xlfn.TEXTJOIN(",",TRUE,B299:E299))=0,"","PAP")</f>
        <v/>
      </c>
      <c r="AQ299" s="35"/>
      <c r="AR299" s="35" t="str" cm="1">
        <f t="array" ref="AR299">IFERROR(_xlfn.IFS(AND(E299*1=1,F299="Included"),"Change to Included",AND(E299*1=0,F299="Optional"),"Change to Optional",OR(B299="",F299="replaced"),""),"")</f>
        <v/>
      </c>
      <c r="AS299" s="35" t="str">
        <f t="shared" si="75"/>
        <v/>
      </c>
      <c r="AT299" s="35" t="str">
        <f t="shared" si="76"/>
        <v/>
      </c>
      <c r="AU299" s="35" t="str">
        <f t="shared" si="77"/>
        <v/>
      </c>
      <c r="AV299" s="35" t="str">
        <f t="shared" si="78"/>
        <v/>
      </c>
      <c r="AW299" s="35" t="str">
        <f t="shared" si="79"/>
        <v/>
      </c>
      <c r="AX299" s="35" t="str">
        <f t="shared" si="80"/>
        <v/>
      </c>
      <c r="AY299" s="35" t="str">
        <f t="shared" si="81"/>
        <v/>
      </c>
      <c r="AZ299" s="35" t="str">
        <f t="shared" si="82"/>
        <v/>
      </c>
      <c r="BA299" s="35" t="str">
        <f t="shared" si="83"/>
        <v/>
      </c>
      <c r="BB299" s="35" t="str">
        <f t="shared" si="84"/>
        <v/>
      </c>
      <c r="BC299" s="35"/>
      <c r="BE299" s="35" t="e">
        <f>INDEX(SF_Output!$AA$2:$AA$400,MATCH($B299,SF_Output!$M$2:$M$400,0))</f>
        <v>#N/A</v>
      </c>
      <c r="BF299" s="35" t="e">
        <f>INDEX(SF_Output!$AB$2:$AB$400,MATCH($B299,SF_Output!$M$2:$M$400,0))</f>
        <v>#N/A</v>
      </c>
    </row>
    <row r="300" spans="6:58" x14ac:dyDescent="0.25">
      <c r="F300" s="116" t="str">
        <f t="shared" si="68"/>
        <v/>
      </c>
      <c r="G300" t="str">
        <f>IF(B300="","",INDEX(SF_Output!$K$1:$K$400,MATCH(B300,SF_Output!$M$1:$M$400,0)))</f>
        <v/>
      </c>
      <c r="H300" t="str" cm="1">
        <f t="array" ref="H300">_xlfn.IFS(B300="","",(SUMIFS(SF_Output!$F$1:$F$400,SF_Output!$AC$1:$AC$400,_xlfn.TEXTJOIN(",",TRUE,B300:E300))+SUMIFS(SF_Output!$G$1:$G$400,SF_Output!$AC$1:$AC$400,_xlfn.TEXTJOIN(",",TRUE,B300:E300)))&lt;&gt;0,SF_Output!$Y$2,INDEX(SF_Output!$F$1:$F$400,MATCH(_xlfn.TEXTJOIN(",",TRUE,B300:E300),SF_Output!$AC$1:$AC$400,0))=0,INDEX(SF_Output!$R$1:$R$400,MATCH(_xlfn.TEXTJOIN(",",TRUE,B300:E300),SF_Output!$AC$1:$AC$400,0)))</f>
        <v/>
      </c>
      <c r="I300" s="125" t="str">
        <f>IFERROR(IF(AND(H300&gt;1,H300&lt;&gt;""),ROUND(SUMIFS(SF_Output!$S$1:$S$400,SF_Output!$AC$1:$AC$400,_xlfn.TEXTJOIN(",",TRUE,B300:E300),SF_Output!$Q$1:$Q$400,"monthly")*(1-W300)/H300,4),""),"")</f>
        <v/>
      </c>
      <c r="J300" s="6" t="str">
        <f>IF(B300="","",SUMIFS(SF_Output!$S$1:$S$400,SF_Output!$AC$1:$AC$400,_xlfn.TEXTJOIN(",",TRUE,B300:E300),SF_Output!$Q$1:$Q$400,"One Time",SF_Output!$L$1:$L$400,"license fee")+SUMIFS(SF_Output!$S$1:$S$400,SF_Output!$AC$1:$AC$400,_xlfn.TEXTJOIN(",",TRUE,B300:E300),SF_Output!$Q$1:$Q$400,"One Time",SF_Output!$L$1:$L$400,"software license")+SUMIFS(SF_Output!$S$1:$S$400,SF_Output!$AC$1:$AC$400,_xlfn.TEXTJOIN(",",TRUE,B300:E300),SF_Output!$Q$1:$Q$400,"One Time",SF_Output!$L$1:$L$400,"hardware"))</f>
        <v/>
      </c>
      <c r="K300" s="112" t="str">
        <f>IF(OR(B300=0,B300="",G300="hardware",J300=0),"",IF(AF300&lt;&gt;"exclusion",MAX(K$9,-((SUMIFS(SF_Output!$T$1:$T$400,SF_Output!$AC$1:$AC$400,_xlfn.TEXTJOIN(",",TRUE,$B300:$E300),SF_Output!$Q$1:$Q$400,"One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license"))/J300)))</f>
        <v/>
      </c>
      <c r="L300" s="6" t="str">
        <f t="shared" si="69"/>
        <v/>
      </c>
      <c r="N300" s="6" t="str">
        <f>IF(B300="","",SUMIFS(SF_Output!$S$1:$S$400,SF_Output!$AC$1:$AC$400,_xlfn.TEXTJOIN(",",TRUE,B300:E300),SF_Output!$Q$1:$Q$400,"One Time",SF_Output!$L$1:$L$400,"professional service"))</f>
        <v/>
      </c>
      <c r="O300" s="112" t="str">
        <f>IF(OR(B300=0,B300="",N300=0),"",IF(AF300&lt;&gt;"exclusion",MAX(O$9,-(SUMIFS(SF_Output!$T$1:$T$400,SF_Output!$AC$1:$AC$400,_xlfn.TEXTJOIN(",",TRUE,$B300:$E300),SF_Output!$Q$1:$Q$400,"One Time",SF_Output!$L$1:$L$400,"professional service"))/N300),-((SUMIFS(SF_Output!$T$1:$T$400,SF_Output!$AC$1:$AC$400,_xlfn.TEXTJOIN(",",TRUE,$B300:$E300),SF_Output!$Q$1:$Q$400,"One Time",SF_Output!$L$1:$L$400,"professional service")/N300))))</f>
        <v/>
      </c>
      <c r="P300" s="6" t="str">
        <f t="shared" si="70"/>
        <v/>
      </c>
      <c r="R300" s="6" t="str">
        <f>IF(B300="","",SUMIFS(SF_Output!$S$1:$S$400,SF_Output!$AC$1:$AC$400,_xlfn.TEXTJOIN(",",TRUE,B300:E300),SF_Output!$Q$1:$Q$400,"yearly")+SUMIFS(SF_Output!$S$1:$S$400,SF_Output!$AC$1:$AC$400,_xlfn.TEXTJOIN(",",TRUE,B300:E300),SF_Output!$Q$1:$Q$400,"quarterly")*4)</f>
        <v/>
      </c>
      <c r="S300" s="112" t="str">
        <f>IF(OR(B300=0,B300="",G300="hardware",R300=0),"",IF(AF300&lt;&gt;"exclusion",MAX(S$9,-(SUMIFS(SF_Output!$T$1:$T$400,SF_Output!$AC$1:$AC$400,_xlfn.TEXTJOIN(",",TRUE,$B300:$E300),SF_Output!$Q$1:$Q$400,"yearly"))/R300),-((SUMIFS(SF_Output!$T$1:$T$400,SF_Output!$AC$1:$AC$400,_xlfn.TEXTJOIN(",",TRUE,$B300:$E300),SF_Output!$Q$1:$Q$400,"yearly")/R300))))</f>
        <v/>
      </c>
      <c r="T300" s="6" t="str">
        <f t="shared" si="71"/>
        <v/>
      </c>
      <c r="V300" s="6" t="str" cm="1">
        <f t="array" ref="V300">_xlfn.IFS(B300="","",AND(B300&lt;&gt;"",H300=SF_Output!$Y$2,SUMIFS(SF_Output!$T$1:$T$400,SF_Output!$AC$1:$AC$400,_xlfn.TEXTJOIN(",",TRUE,B300:E300),SF_Output!$Q$1:$Q$400,"monthly")=0),(SUMIFS(SF_Output!$F$1:$F$400,SF_Output!$AC$1:$AC$400,_xlfn.TEXTJOIN(",",TRUE,B300:E300),SF_Output!$Q$1:$Q$400,"monthly")+SUMIFS(SF_Output!$G$1:$G$400,SF_Output!$AC$1:$AC$400,_xlfn.TEXTJOIN(",",TRUE,B300:E300),SF_Output!$Q$1:$Q$400,"monthly"))*H300,AND(B300&lt;&gt;"",H300=SF_Output!$Y$2,SUMIFS(SF_Output!$T$1:$T$400,SF_Output!$AC$1:$AC$400,_xlfn.TEXTJOIN(",",TRUE,B300:E300),SF_Output!$Q$1:$Q$400,"monthly")&lt;&gt;0),SUMIFS(SF_Output!$S$1:$S$400,SF_Output!$AC$1:$AC$400,_xlfn.TEXTJOIN(",",TRUE,B300:E300),SF_Output!$Q$1:$Q$400,"monthly"),AND(B300&lt;&gt;"",H300&lt;&gt;SF_Output!$Y$2),SUMIFS(SF_Output!$S$1:$S$400,SF_Output!$AC$1:$AC$400,_xlfn.TEXTJOIN(",",TRUE,B300:E300),SF_Output!$Q$1:$Q$400,"monthly"))</f>
        <v/>
      </c>
      <c r="W300" s="112" t="str" cm="1">
        <f t="array" ref="W300">_xlfn.IFS(OR(B300=0,B300="",V300=0),"",AF300&lt;&gt;"exclusion",MAX($W$9,$W$7,(-(SUMIFS(SF_Output!$T$1:$T$400,SF_Output!$AC$1:$AC$400,_xlfn.TEXTJOIN(",",TRUE,$B300:$E300),SF_Output!$Q$1:$Q$400,"monthly"))/V300)),AF300="exclusion",-(SUMIFS(SF_Output!$T$1:$T$400,SF_Output!$AC$1:$AC$400,_xlfn.TEXTJOIN(",",TRUE,$B300:$E300),SF_Output!$Q$1:$Q$400,"monthly"))/V300)</f>
        <v/>
      </c>
      <c r="X300" s="6" t="str" cm="1">
        <f t="array" ref="X300">IFERROR(_xlfn.IFS(V300=0,0,V300="","",W300=0,V300,OR(V300&lt;&gt;0,V300&lt;&gt;""),H300*I300),V300*(1-W300))</f>
        <v/>
      </c>
      <c r="Z300" s="6" t="str">
        <f>IFERROR(IF(B300="","",SUMIFS(Billing_Fallout!H:H,Billing_Fallout!N:N,B300)),0)</f>
        <v/>
      </c>
      <c r="AA300" s="6" t="str">
        <f t="shared" si="72"/>
        <v/>
      </c>
      <c r="AB300" s="6" t="str">
        <f>IFERROR(IF(B300="","",SUMIFS(Billing_Fallout!J:J,Billing_Fallout!N:N,B300)),0)</f>
        <v/>
      </c>
      <c r="AD300" s="6" t="str">
        <f t="shared" si="73"/>
        <v/>
      </c>
      <c r="AF300" t="str">
        <f>IFERROR(INDEX(H_Tables!$B$1:$B$1500,MATCH(INDEX(SF_Output!$J$1:$J$400,MATCH(B300,SF_Output!$M$1:$M$400,0)),H_Tables!$A$1:$A$1500,0)),"")</f>
        <v/>
      </c>
      <c r="AI300" s="119" t="str">
        <f t="shared" si="74"/>
        <v/>
      </c>
      <c r="AJ300" s="121">
        <f>IFERROR(INDEX(SF_Output!AD:AD,MATCH(_xlfn.TEXTJOIN(",",TRUE,B300:E300),SF_Output!AC51:AC450,0)),0.05)</f>
        <v>191</v>
      </c>
      <c r="AK300" t="str">
        <f>IF(SUMIFS(SF_Output!$F$1:$F$400,SF_Output!$AC$1:$AC$400,_xlfn.TEXTJOIN(",",TRUE,B300:E300))+SUMIFS(SF_Output!$G$1:$G$400,SF_Output!$AC$1:$AC$400,_xlfn.TEXTJOIN(",",TRUE,B300:E300))=0,"","PAP")</f>
        <v/>
      </c>
      <c r="AQ300" s="35"/>
      <c r="AR300" s="35" t="str" cm="1">
        <f t="array" ref="AR300">IFERROR(_xlfn.IFS(AND(E300*1=1,F300="Included"),"Change to Included",AND(E300*1=0,F300="Optional"),"Change to Optional",OR(B300="",F300="replaced"),""),"")</f>
        <v/>
      </c>
      <c r="AS300" s="35" t="str">
        <f t="shared" si="75"/>
        <v/>
      </c>
      <c r="AT300" s="35" t="str">
        <f t="shared" si="76"/>
        <v/>
      </c>
      <c r="AU300" s="35" t="str">
        <f t="shared" si="77"/>
        <v/>
      </c>
      <c r="AV300" s="35" t="str">
        <f t="shared" si="78"/>
        <v/>
      </c>
      <c r="AW300" s="35" t="str">
        <f t="shared" si="79"/>
        <v/>
      </c>
      <c r="AX300" s="35" t="str">
        <f t="shared" si="80"/>
        <v/>
      </c>
      <c r="AY300" s="35" t="str">
        <f t="shared" si="81"/>
        <v/>
      </c>
      <c r="AZ300" s="35" t="str">
        <f t="shared" si="82"/>
        <v/>
      </c>
      <c r="BA300" s="35" t="str">
        <f t="shared" si="83"/>
        <v/>
      </c>
      <c r="BB300" s="35" t="str">
        <f t="shared" si="84"/>
        <v/>
      </c>
      <c r="BC300" s="35"/>
      <c r="BE300" s="35" t="e">
        <f>INDEX(SF_Output!$AA$2:$AA$400,MATCH($B300,SF_Output!$M$2:$M$400,0))</f>
        <v>#N/A</v>
      </c>
      <c r="BF300" s="35" t="e">
        <f>INDEX(SF_Output!$AB$2:$AB$400,MATCH($B300,SF_Output!$M$2:$M$400,0))</f>
        <v>#N/A</v>
      </c>
    </row>
  </sheetData>
  <autoFilter ref="B13:BF250" xr:uid="{4A03E35A-2400-47DE-9074-D62D3288DDD4}">
    <sortState xmlns:xlrd2="http://schemas.microsoft.com/office/spreadsheetml/2017/richdata2" ref="B14:BF250">
      <sortCondition ref="BD14:BD250"/>
    </sortState>
  </autoFilter>
  <conditionalFormatting sqref="F14:F300">
    <cfRule type="expression" dxfId="59" priority="55">
      <formula>NOT(_xlfn.ISFORMULA(F14:F250))</formula>
    </cfRule>
  </conditionalFormatting>
  <conditionalFormatting sqref="J14:L300 N14:P300 R14:T300">
    <cfRule type="expression" dxfId="58" priority="5">
      <formula>NOT(_xlfn.ISFORMULA(J14:L250))</formula>
    </cfRule>
  </conditionalFormatting>
  <conditionalFormatting sqref="K14:K300">
    <cfRule type="expression" dxfId="57" priority="8">
      <formula>AND($K$9&lt;&gt;0,K14=$K$9)</formula>
    </cfRule>
  </conditionalFormatting>
  <conditionalFormatting sqref="O14:O300">
    <cfRule type="expression" dxfId="56" priority="9">
      <formula>AND($O$9&lt;&gt;0,O14=$O$9)</formula>
    </cfRule>
  </conditionalFormatting>
  <conditionalFormatting sqref="S14:S300">
    <cfRule type="expression" dxfId="55" priority="10">
      <formula>AND($S$9&lt;&gt;0,S14=$S$9)</formula>
    </cfRule>
  </conditionalFormatting>
  <conditionalFormatting sqref="V14:X300">
    <cfRule type="expression" dxfId="54" priority="6">
      <formula>NOT(_xlfn.ISFORMULA(V14:X250))</formula>
    </cfRule>
  </conditionalFormatting>
  <conditionalFormatting sqref="W7">
    <cfRule type="expression" dxfId="53" priority="1">
      <formula>$V$7=""</formula>
    </cfRule>
    <cfRule type="expression" dxfId="52" priority="4">
      <formula>V7&lt;&gt;""</formula>
    </cfRule>
  </conditionalFormatting>
  <conditionalFormatting sqref="W9">
    <cfRule type="expression" dxfId="51" priority="2">
      <formula>$V$9=""</formula>
    </cfRule>
    <cfRule type="expression" dxfId="50" priority="3">
      <formula>$V$9&lt;&gt;""</formula>
    </cfRule>
  </conditionalFormatting>
  <conditionalFormatting sqref="W14:W300">
    <cfRule type="expression" dxfId="49" priority="12">
      <formula>OR(AND($W$7&lt;&gt;0,W14&lt;&gt;0,W14-0.2=$W$7),AND($W$7=W14,W14&lt;&gt;0),AND($W$9&lt;&gt;0,W14&lt;&gt;0,W14=$W$9))</formula>
    </cfRule>
  </conditionalFormatting>
  <conditionalFormatting sqref="AH14:AI300">
    <cfRule type="expression" dxfId="48" priority="7">
      <formula>"ah14&lt;&gt;"""""</formula>
    </cfRule>
  </conditionalFormatting>
  <conditionalFormatting sqref="AM13">
    <cfRule type="expression" dxfId="47" priority="49">
      <formula>IF($AM$2="pap",TRUE())</formula>
    </cfRule>
  </conditionalFormatting>
  <dataValidations count="1">
    <dataValidation type="list" allowBlank="1" showInputMessage="1" showErrorMessage="1" sqref="F14:F300" xr:uid="{2F4145CF-FCAA-4D02-BA76-009B371DA6E8}">
      <formula1>"Optional,Included,Remove,Replaced,Add"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484D87-9DC3-4F09-A4DF-B145E10B4FBD}">
  <sheetPr codeName="Sheet5"/>
  <dimension ref="B1:BF300"/>
  <sheetViews>
    <sheetView zoomScale="85" zoomScaleNormal="85" workbookViewId="0">
      <pane xSplit="2" ySplit="13" topLeftCell="C14" activePane="bottomRight" state="frozen"/>
      <selection pane="topRight" activeCell="C1" sqref="C1"/>
      <selection pane="bottomLeft" activeCell="A13" sqref="A13"/>
      <selection pane="bottomRight" activeCell="F11" sqref="F11"/>
    </sheetView>
  </sheetViews>
  <sheetFormatPr defaultColWidth="9.140625" defaultRowHeight="15" x14ac:dyDescent="0.25"/>
  <cols>
    <col min="1" max="1" width="3.42578125" customWidth="1"/>
    <col min="2" max="2" width="50.140625" customWidth="1"/>
    <col min="3" max="3" width="15.5703125" customWidth="1"/>
    <col min="4" max="4" width="27.140625" hidden="1" customWidth="1"/>
    <col min="5" max="5" width="11.85546875" hidden="1" customWidth="1"/>
    <col min="6" max="6" width="11.85546875" style="116" customWidth="1"/>
    <col min="7" max="7" width="32.42578125" customWidth="1"/>
    <col min="8" max="8" width="10.7109375" customWidth="1"/>
    <col min="9" max="9" width="11.7109375" style="122" customWidth="1"/>
    <col min="10" max="10" width="15.7109375" style="6" customWidth="1"/>
    <col min="11" max="11" width="15.7109375" style="4" customWidth="1"/>
    <col min="12" max="12" width="15.7109375" style="6" customWidth="1"/>
    <col min="13" max="13" width="3.28515625" style="6" customWidth="1"/>
    <col min="14" max="14" width="15.7109375" style="6" customWidth="1"/>
    <col min="15" max="15" width="15.7109375" style="4" customWidth="1"/>
    <col min="16" max="16" width="15.7109375" style="6" customWidth="1"/>
    <col min="17" max="17" width="3.28515625" style="6" customWidth="1"/>
    <col min="18" max="18" width="15.7109375" style="6" customWidth="1"/>
    <col min="19" max="19" width="15.7109375" style="4" customWidth="1"/>
    <col min="20" max="20" width="15.7109375" style="6" customWidth="1"/>
    <col min="21" max="21" width="3.28515625" style="6" customWidth="1"/>
    <col min="22" max="22" width="18.5703125" style="6" customWidth="1"/>
    <col min="23" max="23" width="15.7109375" style="4" customWidth="1"/>
    <col min="24" max="24" width="18.5703125" style="6" customWidth="1"/>
    <col min="25" max="25" width="3.42578125" style="6" customWidth="1"/>
    <col min="26" max="26" width="18.5703125" style="6" customWidth="1"/>
    <col min="27" max="27" width="13.42578125" style="4" customWidth="1"/>
    <col min="28" max="28" width="18.5703125" style="6" customWidth="1"/>
    <col min="29" max="29" width="3.140625" style="6" customWidth="1"/>
    <col min="30" max="30" width="16.5703125" style="6" customWidth="1"/>
    <col min="31" max="31" width="3.28515625" style="6" customWidth="1"/>
    <col min="32" max="32" width="11.28515625" customWidth="1"/>
    <col min="33" max="33" width="3.28515625" customWidth="1"/>
    <col min="34" max="34" width="48.28515625" customWidth="1"/>
    <col min="35" max="35" width="48" customWidth="1"/>
    <col min="36" max="36" width="9.140625" customWidth="1"/>
    <col min="37" max="37" width="11.85546875" customWidth="1"/>
    <col min="42" max="42" width="9.140625" style="35"/>
    <col min="44" max="44" width="8.140625" style="35" customWidth="1"/>
    <col min="45" max="54" width="9.140625" style="35"/>
    <col min="55" max="55" width="9.140625" style="119"/>
    <col min="56" max="58" width="9.140625" style="35"/>
  </cols>
  <sheetData>
    <row r="1" spans="2:58" x14ac:dyDescent="0.25">
      <c r="H1" t="str" cm="1">
        <f t="array" aca="1" ref="H1" ca="1">MID(CELL("filename",A1),FIND("]",CELL("filename",A1))+1,255)</f>
        <v>Proposal_3</v>
      </c>
      <c r="J1"/>
      <c r="K1" s="6"/>
      <c r="L1" s="4"/>
      <c r="M1" s="4"/>
      <c r="O1" s="6"/>
      <c r="P1" s="4"/>
      <c r="Q1" s="4"/>
      <c r="S1" s="6"/>
      <c r="T1" s="4"/>
      <c r="U1" s="4"/>
      <c r="W1" s="6"/>
      <c r="X1" s="4"/>
      <c r="AA1" s="6"/>
      <c r="AB1" s="4"/>
      <c r="AC1" s="4"/>
      <c r="AD1" s="4"/>
      <c r="AE1" s="4"/>
      <c r="AF1" s="6"/>
      <c r="AG1" s="6"/>
      <c r="AH1" s="6"/>
    </row>
    <row r="2" spans="2:58" x14ac:dyDescent="0.25">
      <c r="B2" s="9"/>
      <c r="C2" s="9"/>
      <c r="D2" s="9"/>
      <c r="E2" s="9"/>
      <c r="F2" s="117"/>
      <c r="G2" s="9"/>
      <c r="H2" s="9"/>
      <c r="I2" s="123"/>
      <c r="J2" s="9" t="s">
        <v>20</v>
      </c>
      <c r="K2" s="10" t="s">
        <v>21</v>
      </c>
      <c r="L2" s="9" t="s">
        <v>22</v>
      </c>
      <c r="M2" s="9"/>
      <c r="N2" s="9" t="s">
        <v>23</v>
      </c>
      <c r="O2" s="10" t="s">
        <v>21</v>
      </c>
      <c r="P2" s="9" t="s">
        <v>24</v>
      </c>
      <c r="Q2" s="9"/>
      <c r="R2" s="9" t="s">
        <v>25</v>
      </c>
      <c r="S2" s="10" t="s">
        <v>21</v>
      </c>
      <c r="T2" s="9" t="s">
        <v>26</v>
      </c>
      <c r="U2" s="9"/>
      <c r="V2" s="9" t="s">
        <v>27</v>
      </c>
      <c r="W2" s="10" t="s">
        <v>21</v>
      </c>
      <c r="X2" s="9" t="s">
        <v>28</v>
      </c>
      <c r="Y2" s="9"/>
      <c r="Z2" s="9" t="s">
        <v>29</v>
      </c>
      <c r="AA2" s="10" t="s">
        <v>21</v>
      </c>
      <c r="AB2" s="9" t="s">
        <v>30</v>
      </c>
      <c r="AC2" s="4"/>
      <c r="AD2" s="4"/>
      <c r="AE2" s="4"/>
      <c r="AK2" s="9"/>
    </row>
    <row r="3" spans="2:58" x14ac:dyDescent="0.25">
      <c r="B3" t="s">
        <v>32</v>
      </c>
      <c r="C3" s="11">
        <v>45896</v>
      </c>
      <c r="H3" s="12"/>
      <c r="I3" s="124" t="s">
        <v>33</v>
      </c>
      <c r="J3" s="6">
        <f>SUMIFS(J$14:J$350,$F$14:$F$350,"Included")+SUMIFS(J$14:J$350,$F$14:$F$350,"Add")-J6</f>
        <v>16545</v>
      </c>
      <c r="K3" s="6">
        <f>L3-J3</f>
        <v>0</v>
      </c>
      <c r="L3" s="6">
        <f>SUMIFS(L$14:L$350,$F$14:$F$350,"Included")+SUMIFS(L$14:L$350,$F$14:$F$350,"Add")-L6</f>
        <v>16545</v>
      </c>
      <c r="N3" s="6">
        <f>SUMIFS(N$14:N$350,$F$14:$F$350,"Included")+SUMIFS(N$14:N$350,$F$14:$F$350,"Add")</f>
        <v>733815</v>
      </c>
      <c r="O3" s="6">
        <f>P3-N3</f>
        <v>-585072.5</v>
      </c>
      <c r="P3" s="6">
        <f>SUMIFS(P$14:P$350,$F$14:$F$350,"Included")+SUMIFS(P$14:P$350,$F$14:$F$350,"Add")</f>
        <v>148742.5</v>
      </c>
      <c r="R3" s="6">
        <f>SUMIFS(R$14:R$350,$F$14:$F$350,"Included")+SUMIFS(R$14:R$350,$F$14:$F$350,"Add")</f>
        <v>17759</v>
      </c>
      <c r="S3" s="6">
        <f>T3-R3</f>
        <v>0</v>
      </c>
      <c r="T3" s="6">
        <f>SUMIFS(T$14:T$350,$F$14:$F$350,"Included")+SUMIFS(T$14:T$350,$F$14:$F$350,"Add")</f>
        <v>17759</v>
      </c>
      <c r="V3" s="6">
        <f>SUMIFS(V$14:V$350,$F$14:$F$350,"Included")+SUMIFS(V$14:V$350,$F$14:$F$350,"Add")</f>
        <v>41756.400000000001</v>
      </c>
      <c r="W3" s="6">
        <f>X3-V3</f>
        <v>-5396.1500000000015</v>
      </c>
      <c r="X3" s="6">
        <f>SUMIFS(X$14:X$350,$F$14:$F$350,"Included")+SUMIFS(X$14:X$350,$F$14:$F$350,"Add")</f>
        <v>36360.25</v>
      </c>
      <c r="Y3" s="4"/>
      <c r="Z3" s="6">
        <f>SUMIFS(Z$14:Z$350,$F$14:$F$350,"Included")+SUMIFS(Z$14:Z$350,$F$14:$F$350,"Add")</f>
        <v>0</v>
      </c>
      <c r="AA3" s="6">
        <f>AB3-Z3</f>
        <v>0</v>
      </c>
      <c r="AB3" s="6">
        <f>SUMIFS(AB$14:AB$350,$F$14:$F$350,"Included")+SUMIFS(AB$14:AB$350,$F$14:$F$350,"Add")</f>
        <v>0</v>
      </c>
      <c r="AC3" s="4"/>
      <c r="AD3" s="4"/>
      <c r="AE3" s="4"/>
    </row>
    <row r="4" spans="2:58" x14ac:dyDescent="0.25">
      <c r="B4" t="s">
        <v>34</v>
      </c>
      <c r="C4" s="13" t="s">
        <v>2117</v>
      </c>
      <c r="H4" s="12"/>
      <c r="I4" s="124" t="s">
        <v>35</v>
      </c>
      <c r="J4" s="6">
        <f>SUMIFS(J$14:J$350,$F$14:$F$350,"Optional")-J7</f>
        <v>0</v>
      </c>
      <c r="K4" s="6">
        <f>L4-J4</f>
        <v>0</v>
      </c>
      <c r="L4" s="6">
        <f>SUMIFS(L$14:L$350,$F$14:$F$350,"Optional")-L7</f>
        <v>0</v>
      </c>
      <c r="N4" s="6">
        <f>SUMIFS(N$14:N$350,$F$14:$F$350,"Optional")</f>
        <v>173320</v>
      </c>
      <c r="O4" s="6">
        <f>P4-N4</f>
        <v>-98620</v>
      </c>
      <c r="P4" s="6">
        <f>SUMIFS(P$14:P$350,$F$14:$F$350,"Optional")</f>
        <v>74700</v>
      </c>
      <c r="R4" s="6">
        <f>SUMIFS(R$14:R$350,$F$14:$F$350,"Optional")</f>
        <v>3500</v>
      </c>
      <c r="S4" s="6">
        <f>T4-R4</f>
        <v>0</v>
      </c>
      <c r="T4" s="6">
        <f>SUMIFS(T$14:T$350,$F$14:$F$350,"Optional")</f>
        <v>3500</v>
      </c>
      <c r="V4" s="6">
        <f>SUMIFS(V$14:V$350,$F$14:$F$350,"Optional")</f>
        <v>9255</v>
      </c>
      <c r="W4" s="6">
        <f>X4-V4</f>
        <v>-1155.5</v>
      </c>
      <c r="X4" s="6">
        <f>SUMIFS(X$14:X$350,$F$14:$F$350,"Optional")</f>
        <v>8099.5</v>
      </c>
      <c r="Y4" s="4"/>
      <c r="Z4" s="6">
        <f>SUMIFS(Z$14:Z$350,$F$14:$F$350,"Optional")</f>
        <v>0</v>
      </c>
      <c r="AA4" s="6">
        <f>AB4-Z4</f>
        <v>0</v>
      </c>
      <c r="AB4" s="6">
        <f>SUMIFS(AB$14:AB$350,$F$14:$F$350,"Optional")</f>
        <v>0</v>
      </c>
      <c r="AC4" s="4"/>
      <c r="AD4" s="4"/>
      <c r="AE4" s="4"/>
    </row>
    <row r="5" spans="2:58" x14ac:dyDescent="0.25">
      <c r="C5" s="13" t="s">
        <v>2120</v>
      </c>
      <c r="H5" s="12"/>
      <c r="I5" s="124" t="s">
        <v>36</v>
      </c>
      <c r="J5" s="6">
        <f>SUMIFS(J$14:J$350,$F$14:$F$350,"Replaced")</f>
        <v>0</v>
      </c>
      <c r="K5" s="6">
        <f>L5-J5</f>
        <v>0</v>
      </c>
      <c r="L5" s="6">
        <f>SUMIFS(L$14:L$350,$F$14:$F$350,"Replaced")</f>
        <v>0</v>
      </c>
      <c r="N5" s="6">
        <f>SUMIFS(N$14:N$350,$F$14:$F$350,"Replaced")</f>
        <v>0</v>
      </c>
      <c r="O5" s="6">
        <f>P5-N5</f>
        <v>0</v>
      </c>
      <c r="P5" s="6">
        <f>SUMIFS(P$14:P$350,$F$14:$F$350,"Replaced")</f>
        <v>0</v>
      </c>
      <c r="R5" s="6">
        <f>SUMIFS(R$14:R$350,$F$14:$F$350,"Replaced")</f>
        <v>0</v>
      </c>
      <c r="S5" s="6">
        <f>T5-R5</f>
        <v>0</v>
      </c>
      <c r="T5" s="6">
        <f>SUMIFS(T$14:T$350,$F$14:$F$350,"Replaced")</f>
        <v>0</v>
      </c>
      <c r="V5" s="6">
        <f>SUMIFS(V$14:V$350,$F$14:$F$350,"Replaced")</f>
        <v>0</v>
      </c>
      <c r="W5" s="6">
        <f>X5-V5</f>
        <v>0</v>
      </c>
      <c r="X5" s="6">
        <f>SUMIFS(X$14:X$350,$F$14:$F$350,"Replaced")</f>
        <v>0</v>
      </c>
      <c r="Z5" s="6">
        <f>SUMIFS(Z$14:Z$350,$F$14:$F$350,"Replaced")</f>
        <v>0</v>
      </c>
      <c r="AA5" s="6">
        <f>AB5-Z5</f>
        <v>0</v>
      </c>
      <c r="AB5" s="6">
        <f>SUMIFS(AB$14:AB$350,$F$14:$F$350,"Replaced")</f>
        <v>0</v>
      </c>
      <c r="AC5" s="4"/>
      <c r="AD5" s="4"/>
      <c r="AE5" s="4"/>
    </row>
    <row r="6" spans="2:58" x14ac:dyDescent="0.25">
      <c r="H6" s="12"/>
      <c r="I6" s="124" t="s">
        <v>37</v>
      </c>
      <c r="J6" s="6">
        <f>SUMIFS($J$14:$J$350,$C$14:$C$350,"",$F$14:$F$350,"Included")</f>
        <v>0</v>
      </c>
      <c r="K6" s="6">
        <f>L6-J6</f>
        <v>0</v>
      </c>
      <c r="L6" s="6">
        <f>SUMIFS($L$14:$L$350,$C$14:$C$350,"",$F$14:$F$350,"Included")</f>
        <v>0</v>
      </c>
      <c r="W6" s="114"/>
      <c r="AE6" s="4"/>
    </row>
    <row r="7" spans="2:58" x14ac:dyDescent="0.25">
      <c r="B7" s="12" t="s">
        <v>38</v>
      </c>
      <c r="C7" s="135">
        <v>116592</v>
      </c>
      <c r="H7" s="12"/>
      <c r="I7" s="124" t="s">
        <v>39</v>
      </c>
      <c r="J7" s="6">
        <f>SUMIFS($J$14:$J$350,$C$14:$C$350,"",$F$14:$F$350,"Optional")</f>
        <v>0</v>
      </c>
      <c r="K7" s="6">
        <f>L7-J7</f>
        <v>0</v>
      </c>
      <c r="L7" s="6">
        <f>SUMIFS($L$14:$L$350,$C$14:$C$350,"",$F$14:$F$350,"Optional")</f>
        <v>0</v>
      </c>
      <c r="V7" s="118" t="str">
        <f>IF(SUM(SF_Output!F:F)&gt;0,"PAP Discount (%)","")</f>
        <v>PAP Discount (%)</v>
      </c>
      <c r="W7" s="137">
        <v>0</v>
      </c>
      <c r="X7" s="131"/>
      <c r="AA7" s="6"/>
      <c r="AE7" s="4"/>
    </row>
    <row r="8" spans="2:58" x14ac:dyDescent="0.25">
      <c r="B8" s="12" t="s">
        <v>40</v>
      </c>
      <c r="C8" s="7">
        <v>0</v>
      </c>
      <c r="X8" s="118"/>
      <c r="AE8" s="4"/>
    </row>
    <row r="9" spans="2:58" x14ac:dyDescent="0.25">
      <c r="B9" s="12" t="s">
        <v>41</v>
      </c>
      <c r="C9" t="s">
        <v>2118</v>
      </c>
      <c r="J9" s="118" t="s">
        <v>42</v>
      </c>
      <c r="K9" s="5">
        <v>0</v>
      </c>
      <c r="N9" s="118" t="s">
        <v>42</v>
      </c>
      <c r="O9" s="5">
        <v>0</v>
      </c>
      <c r="R9" s="118" t="s">
        <v>42</v>
      </c>
      <c r="S9" s="5">
        <v>0</v>
      </c>
      <c r="V9" s="118" t="str">
        <f>IF(SUM(SF_Output!F:F)&gt;0,"","Global Discount")</f>
        <v/>
      </c>
      <c r="W9" s="132">
        <v>0</v>
      </c>
      <c r="AE9" s="4"/>
    </row>
    <row r="10" spans="2:58" x14ac:dyDescent="0.25">
      <c r="B10" s="12" t="s">
        <v>43</v>
      </c>
      <c r="C10" t="s">
        <v>2119</v>
      </c>
      <c r="AE10" s="4"/>
    </row>
    <row r="11" spans="2:58" x14ac:dyDescent="0.25">
      <c r="B11" t="s">
        <v>44</v>
      </c>
      <c r="C11" s="111" t="s">
        <v>2639</v>
      </c>
      <c r="J11" s="9"/>
      <c r="K11" s="10" t="s">
        <v>45</v>
      </c>
      <c r="L11" s="9"/>
      <c r="N11" s="9"/>
      <c r="O11" s="10" t="s">
        <v>46</v>
      </c>
      <c r="P11" s="9"/>
      <c r="R11" s="9"/>
      <c r="S11" s="10" t="s">
        <v>47</v>
      </c>
      <c r="T11" s="9"/>
      <c r="V11" s="9"/>
      <c r="W11" s="10" t="s">
        <v>48</v>
      </c>
      <c r="X11" s="9"/>
      <c r="Z11" s="9"/>
      <c r="AA11" s="10" t="s">
        <v>49</v>
      </c>
      <c r="AB11" s="9"/>
      <c r="AE11" s="4"/>
    </row>
    <row r="12" spans="2:58" x14ac:dyDescent="0.25">
      <c r="C12" s="35">
        <v>5000</v>
      </c>
      <c r="J12"/>
      <c r="K12" s="6"/>
      <c r="L12" s="4"/>
      <c r="M12" s="4"/>
      <c r="O12" s="6"/>
      <c r="P12" s="4"/>
      <c r="Q12" s="4"/>
      <c r="S12" s="6"/>
      <c r="T12" s="4"/>
      <c r="U12" s="4"/>
      <c r="W12" s="6"/>
      <c r="X12" s="4"/>
      <c r="AA12" s="6"/>
      <c r="AB12" s="4"/>
      <c r="AC12" s="4"/>
      <c r="AD12" s="4"/>
      <c r="AE12" s="4"/>
      <c r="AF12" s="6"/>
      <c r="AG12" s="6"/>
      <c r="AH12" s="6"/>
    </row>
    <row r="13" spans="2:58" x14ac:dyDescent="0.25">
      <c r="B13" s="8" t="s">
        <v>50</v>
      </c>
      <c r="C13" s="8" t="s">
        <v>51</v>
      </c>
      <c r="D13" s="8" t="s">
        <v>52</v>
      </c>
      <c r="E13" s="8" t="s">
        <v>53</v>
      </c>
      <c r="F13" s="115" t="s">
        <v>54</v>
      </c>
      <c r="G13" s="8" t="s">
        <v>55</v>
      </c>
      <c r="H13" s="120" t="s">
        <v>56</v>
      </c>
      <c r="I13" s="123" t="s">
        <v>57</v>
      </c>
      <c r="J13" s="9" t="str">
        <f>J2</f>
        <v>License List</v>
      </c>
      <c r="K13" s="10" t="s">
        <v>21</v>
      </c>
      <c r="L13" s="9" t="str">
        <f>L2</f>
        <v>License Net</v>
      </c>
      <c r="M13" s="9"/>
      <c r="N13" s="9" t="str">
        <f>N2</f>
        <v>Install List</v>
      </c>
      <c r="O13" s="10" t="s">
        <v>21</v>
      </c>
      <c r="P13" s="9" t="str">
        <f>P2</f>
        <v>Install Net</v>
      </c>
      <c r="Q13" s="9"/>
      <c r="R13" s="9" t="str">
        <f>R2</f>
        <v>Maintenance List</v>
      </c>
      <c r="S13" s="10" t="s">
        <v>21</v>
      </c>
      <c r="T13" s="9" t="str">
        <f>T2</f>
        <v>Maintenance Net</v>
      </c>
      <c r="U13" s="9"/>
      <c r="V13" s="9" t="str">
        <f>V2</f>
        <v>New Monthly List</v>
      </c>
      <c r="W13" s="10" t="s">
        <v>21</v>
      </c>
      <c r="X13" s="9" t="str">
        <f>X2</f>
        <v>New Monthly Net</v>
      </c>
      <c r="Y13" s="9"/>
      <c r="Z13" s="9" t="s">
        <v>29</v>
      </c>
      <c r="AA13" s="10" t="s">
        <v>21</v>
      </c>
      <c r="AB13" s="9" t="s">
        <v>30</v>
      </c>
      <c r="AC13" s="9"/>
      <c r="AD13" s="9" t="s">
        <v>31</v>
      </c>
      <c r="AE13" s="4"/>
      <c r="AF13" s="9" t="s">
        <v>58</v>
      </c>
      <c r="AH13" s="9" t="s">
        <v>59</v>
      </c>
      <c r="AI13" s="9" t="s">
        <v>60</v>
      </c>
      <c r="AJ13" s="9" t="s">
        <v>61</v>
      </c>
      <c r="AK13" s="8" t="s">
        <v>62</v>
      </c>
      <c r="AM13" s="129"/>
    </row>
    <row r="14" spans="2:58" x14ac:dyDescent="0.25">
      <c r="B14" t="s">
        <v>1794</v>
      </c>
      <c r="C14" t="s">
        <v>2122</v>
      </c>
      <c r="D14" t="s">
        <v>2123</v>
      </c>
      <c r="E14" t="s">
        <v>2124</v>
      </c>
      <c r="F14" s="116" t="str">
        <f t="shared" ref="F14:F77" si="0">IF(B14="","",IF(E14*1=0,"Included","Optional"))</f>
        <v>Included</v>
      </c>
      <c r="G14" t="str">
        <f>IF(B14="","",INDEX(SF_Output!$K$1:$K$400,MATCH(B14,SF_Output!$M$1:$M$400,0)))</f>
        <v>SilverLake</v>
      </c>
      <c r="H14" cm="1">
        <f t="array" ref="H14">_xlfn.IFS(B14="","",(SUMIFS(SF_Output!$F$1:$F$400,SF_Output!$AC$1:$AC$400,_xlfn.TEXTJOIN(",",TRUE,B14:E14))+SUMIFS(SF_Output!$G$1:$G$400,SF_Output!$AC$1:$AC$400,_xlfn.TEXTJOIN(",",TRUE,B14:E14)))&lt;&gt;0,SF_Output!$Y$2,INDEX(SF_Output!$F$1:$F$400,MATCH(_xlfn.TEXTJOIN(",",TRUE,B14:E14),SF_Output!$AC$1:$AC$400,0))=0,INDEX(SF_Output!$R$1:$R$400,MATCH(_xlfn.TEXTJOIN(",",TRUE,B14:E14),SF_Output!$AC$1:$AC$400,0)))</f>
        <v>5000</v>
      </c>
      <c r="I14" s="125">
        <f>IFERROR(IF(AND(H14&gt;1,H14&lt;&gt;""),ROUND(SUMIFS(SF_Output!$S$1:$S$400,SF_Output!$AC$1:$AC$400,_xlfn.TEXTJOIN(",",TRUE,B14:E14),SF_Output!$Q$1:$Q$400,"monthly")*(1-W14)/H14,4),""),"")</f>
        <v>1.2181</v>
      </c>
      <c r="J14" s="6">
        <f>IF(B14="","",SUMIFS(SF_Output!$S$1:$S$400,SF_Output!$AC$1:$AC$400,_xlfn.TEXTJOIN(",",TRUE,B14:E14),SF_Output!$Q$1:$Q$400,"One Time",SF_Output!$L$1:$L$400,"license fee")+SUMIFS(SF_Output!$S$1:$S$400,SF_Output!$AC$1:$AC$400,_xlfn.TEXTJOIN(",",TRUE,B14:E14),SF_Output!$Q$1:$Q$400,"One Time",SF_Output!$L$1:$L$400,"software license")+SUMIFS(SF_Output!$S$1:$S$400,SF_Output!$AC$1:$AC$400,_xlfn.TEXTJOIN(",",TRUE,B14:E14),SF_Output!$Q$1:$Q$400,"One Time",SF_Output!$L$1:$L$400,"hardware"))</f>
        <v>0</v>
      </c>
      <c r="K14" s="112" t="str">
        <f>IF(OR(B14=0,B14="",G14="hardware",J14=0),"",IF(AF14&lt;&gt;"exclusion",MAX(K$9,-((SUMIFS(SF_Output!$T$1:$T$400,SF_Output!$AC$1:$AC$400,_xlfn.TEXTJOIN(",",TRUE,$B14:$E14),SF_Output!$Q$1:$Q$400,"One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license"))/J14)))</f>
        <v/>
      </c>
      <c r="L14" s="6">
        <f t="shared" ref="L14:L77" si="1">IF(K14="",J14,J14*(1-K14))</f>
        <v>0</v>
      </c>
      <c r="N14" s="6">
        <f>IF(B14="","",SUMIFS(SF_Output!$S$1:$S$400,SF_Output!$AC$1:$AC$400,_xlfn.TEXTJOIN(",",TRUE,B14:E14),SF_Output!$Q$1:$Q$400,"One Time",SF_Output!$L$1:$L$400,"professional service"))</f>
        <v>78700</v>
      </c>
      <c r="O14" s="112">
        <f>IF(OR(B14=0,B14="",N14=0),"",IF(AF14&lt;&gt;"exclusion",MAX(O$9,-(SUMIFS(SF_Output!$T$1:$T$400,SF_Output!$AC$1:$AC$400,_xlfn.TEXTJOIN(",",TRUE,$B14:$E14),SF_Output!$Q$1:$Q$400,"One Time",SF_Output!$L$1:$L$400,"professional service"))/N14),-((SUMIFS(SF_Output!$T$1:$T$400,SF_Output!$AC$1:$AC$400,_xlfn.TEXTJOIN(",",TRUE,$B14:$E14),SF_Output!$Q$1:$Q$400,"One Time",SF_Output!$L$1:$L$400,"professional service")/N14))))</f>
        <v>1</v>
      </c>
      <c r="P14" s="6">
        <f t="shared" ref="P14:P77" si="2">IF(O14="",N14,N14*(1-O14))</f>
        <v>0</v>
      </c>
      <c r="R14" s="6">
        <f>IF(B14="","",SUMIFS(SF_Output!$S$1:$S$400,SF_Output!$AC$1:$AC$400,_xlfn.TEXTJOIN(",",TRUE,B14:E14),SF_Output!$Q$1:$Q$400,"yearly")+SUMIFS(SF_Output!$S$1:$S$400,SF_Output!$AC$1:$AC$400,_xlfn.TEXTJOIN(",",TRUE,B14:E14),SF_Output!$Q$1:$Q$400,"quarterly")*4)</f>
        <v>0</v>
      </c>
      <c r="S14" s="112" t="str">
        <f>IF(OR(B14=0,B14="",G14="hardware",R14=0),"",IF(AF14&lt;&gt;"exclusion",MAX(S$9,-(SUMIFS(SF_Output!$T$1:$T$400,SF_Output!$AC$1:$AC$400,_xlfn.TEXTJOIN(",",TRUE,$B14:$E14),SF_Output!$Q$1:$Q$400,"yearly"))/R14),-((SUMIFS(SF_Output!$T$1:$T$400,SF_Output!$AC$1:$AC$400,_xlfn.TEXTJOIN(",",TRUE,$B14:$E14),SF_Output!$Q$1:$Q$400,"yearly")/R14))))</f>
        <v/>
      </c>
      <c r="T14" s="6">
        <f t="shared" ref="T14:T77" si="3">IF(S14="",R14,R14*(1-S14))</f>
        <v>0</v>
      </c>
      <c r="V14" s="6" cm="1">
        <f t="array" ref="V14">_xlfn.IFS(B14="","",AND(B14&lt;&gt;"",H14=SF_Output!$Y$2,SUMIFS(SF_Output!$T$1:$T$400,SF_Output!$AC$1:$AC$400,_xlfn.TEXTJOIN(",",TRUE,B14:E14),SF_Output!$Q$1:$Q$400,"monthly")=0),(SUMIFS(SF_Output!$F$1:$F$400,SF_Output!$AC$1:$AC$400,_xlfn.TEXTJOIN(",",TRUE,B14:E14),SF_Output!$Q$1:$Q$400,"monthly")+SUMIFS(SF_Output!$G$1:$G$400,SF_Output!$AC$1:$AC$400,_xlfn.TEXTJOIN(",",TRUE,B14:E14),SF_Output!$Q$1:$Q$400,"monthly"))*H14,AND(B14&lt;&gt;"",H14=SF_Output!$Y$2,SUMIFS(SF_Output!$T$1:$T$400,SF_Output!$AC$1:$AC$400,_xlfn.TEXTJOIN(",",TRUE,B14:E14),SF_Output!$Q$1:$Q$400,"monthly")&lt;&gt;0),SUMIFS(SF_Output!$S$1:$S$400,SF_Output!$AC$1:$AC$400,_xlfn.TEXTJOIN(",",TRUE,B14:E14),SF_Output!$Q$1:$Q$400,"monthly"),AND(B14&lt;&gt;"",H14&lt;&gt;SF_Output!$Y$2),SUMIFS(SF_Output!$S$1:$S$400,SF_Output!$AC$1:$AC$400,_xlfn.TEXTJOIN(",",TRUE,B14:E14),SF_Output!$Q$1:$Q$400,"monthly"))</f>
        <v>6921.15</v>
      </c>
      <c r="W14" s="112" cm="1">
        <f t="array" ref="W14">_xlfn.IFS(OR(B14=0,B14="",V14=0),"",AF14&lt;&gt;"exclusion",MAX($W$9,$W$7,(-(SUMIFS(SF_Output!$T$1:$T$400,SF_Output!$AC$1:$AC$400,_xlfn.TEXTJOIN(",",TRUE,$B14:$E14),SF_Output!$Q$1:$Q$400,"monthly"))/V14)),AF14="exclusion",-(SUMIFS(SF_Output!$T$1:$T$400,SF_Output!$AC$1:$AC$400,_xlfn.TEXTJOIN(",",TRUE,$B14:$E14),SF_Output!$Q$1:$Q$400,"monthly"))/V14)</f>
        <v>0.12000028896931868</v>
      </c>
      <c r="X14" s="6" cm="1">
        <f t="array" ref="X14">IFERROR(_xlfn.IFS(V14=0,0,V14="","",W14=0,V14,OR(V14&lt;&gt;0,V14&lt;&gt;""),H14*I14),V14*(1-W14))</f>
        <v>6090.5</v>
      </c>
      <c r="Z14" s="6">
        <f>IFERROR(IF(B14="","",SUMIFS(Billing_Fallout!H:H,Billing_Fallout!N:N,B14)),0)</f>
        <v>0</v>
      </c>
      <c r="AA14" s="6">
        <f t="shared" ref="AA14:AA77" si="4">IF(Z14="","",AB14-Z14)</f>
        <v>0</v>
      </c>
      <c r="AB14" s="6">
        <f>IFERROR(IF(B14="","",SUMIFS(Billing_Fallout!J:J,Billing_Fallout!N:N,B14)),0)</f>
        <v>0</v>
      </c>
      <c r="AD14" s="6">
        <f t="shared" ref="AD14:AD77" si="5">IFERROR(X14-AB14,"")</f>
        <v>6090.5</v>
      </c>
      <c r="AF14" t="str">
        <f>IFERROR(INDEX(H_Tables!$B$1:$B$1500,MATCH(INDEX(SF_Output!$J$1:$J$400,MATCH(B14,SF_Output!$M$1:$M$400,0)),H_Tables!$A$1:$A$1500,0)),"")</f>
        <v>Exclusion</v>
      </c>
      <c r="AI14" s="119" t="str">
        <f t="shared" ref="AI14:AI77" si="6">IF(B14="","",IF(F14="remove","Remove Product",IF(F14="add","Add Product",_xlfn.TEXTJOIN(", ",TRUE,AQ14,AR14,AS14,AT14,AU14,AV14,AW14,AX14,AY14,AZ14,BA14,BB14,BC14))))</f>
        <v/>
      </c>
      <c r="AJ14" s="121">
        <f>IFERROR(INDEX(SF_Output!AD:AD,MATCH(_xlfn.TEXTJOIN(",",TRUE,B14:E14),SF_Output!AC1:AC400,0)),0.05)</f>
        <v>8</v>
      </c>
      <c r="AK14" t="str">
        <f>IF(SUMIFS(SF_Output!$F$1:$F$400,SF_Output!$AC$1:$AC$400,_xlfn.TEXTJOIN(",",TRUE,B14:E14))+SUMIFS(SF_Output!$G$1:$G$400,SF_Output!$AC$1:$AC$400,_xlfn.TEXTJOIN(",",TRUE,B14:E14))=0,"","PAP")</f>
        <v>PAP</v>
      </c>
      <c r="AQ14" s="35"/>
      <c r="AR14" s="35" t="str" cm="1">
        <f t="array" ref="AR14">IFERROR(_xlfn.IFS(AND(E14*1=1,F14="Included"),"Change to Included",AND(E14*1=0,F14="Optional"),"Change to Optional",OR(B14="",F14="replaced"),""),"")</f>
        <v/>
      </c>
      <c r="AS14" s="35" t="str">
        <f t="shared" ref="AS14:AS77" si="7">IF((OR(NOT(_xlfn.ISFORMULA(J14)),NOT(_xlfn.ISFORMULA(L14)))),"Check License Price Override","")</f>
        <v/>
      </c>
      <c r="AT14" s="35" t="str">
        <f t="shared" ref="AT14:AT77" si="8">IF(OR(AND(K14=$K$9,K14&lt;&gt;0),NOT(_xlfn.ISFORMULA(K14))),"License Discount "&amp;K14*100&amp;"%","")</f>
        <v/>
      </c>
      <c r="AU14" s="35" t="str">
        <f t="shared" ref="AU14:AU77" si="9">IF((OR(NOT(_xlfn.ISFORMULA(N14)),NOT(_xlfn.ISFORMULA(P14)))),"Check Install Price Override","")</f>
        <v/>
      </c>
      <c r="AV14" s="35" t="str">
        <f t="shared" ref="AV14:AV77" si="10">IF(OR(AND(O14=$O$9,O14&lt;&gt;0),NOT(_xlfn.ISFORMULA(O14))),"Install Discount "&amp;O14*100&amp;"%","")</f>
        <v/>
      </c>
      <c r="AW14" s="35" t="str">
        <f t="shared" ref="AW14:AW77" si="11">IF((OR(NOT(_xlfn.ISFORMULA(R14)),NOT(_xlfn.ISFORMULA(T14)))),"Check Maintenance Price Override","")</f>
        <v/>
      </c>
      <c r="AX14" s="35" t="str">
        <f t="shared" ref="AX14:AX77" si="12">IF(OR(AND(S14=$S$9,S14&lt;&gt;0),NOT(_xlfn.ISFORMULA(S14))),"Maintenance Discount "&amp;S14*100&amp;"%","")</f>
        <v/>
      </c>
      <c r="AY14" s="35" t="str">
        <f t="shared" ref="AY14:AY77" si="13">IF((OR(NOT(_xlfn.ISFORMULA(V14)),NOT(_xlfn.ISFORMULA(X14)))),"Check Monthly Price Override","")</f>
        <v/>
      </c>
      <c r="AZ14" s="35" t="str">
        <f t="shared" ref="AZ14:AZ77" si="14">IF(OR((AND(W14=$W$9,W14&lt;&gt;0)),(AND(W14=$W$7,W14&lt;&gt;0)),(NOT(_xlfn.ISFORMULA(W14))),AND($W$7+0.2=W14,$W$7&lt;&gt;0)),"Monthly Discount "&amp;W14*100&amp;"%","")</f>
        <v/>
      </c>
      <c r="BA14" s="35" t="str">
        <f t="shared" ref="BA14:BA77" si="15">IF(NOT(_xlfn.ISFORMULA(H14)),"Check Quantity","")</f>
        <v/>
      </c>
      <c r="BB14" s="35" t="str">
        <f t="shared" ref="BB14:BB77" si="16">IF(NOT(_xlfn.ISFORMULA(I14)),"Check Unit Price Override","")</f>
        <v/>
      </c>
      <c r="BC14" s="35"/>
      <c r="BE14" s="35">
        <f ca="1">INDEX(SF_Output!$AA$2:$AA$400,MATCH($B14,SF_Output!$M$2:$M$400,0))</f>
        <v>1</v>
      </c>
      <c r="BF14" s="35">
        <f ca="1">INDEX(SF_Output!$AB$2:$AB$400,MATCH($B14,SF_Output!$M$2:$M$400,0))</f>
        <v>1</v>
      </c>
    </row>
    <row r="15" spans="2:58" x14ac:dyDescent="0.25">
      <c r="B15" t="s">
        <v>2143</v>
      </c>
      <c r="C15" t="s">
        <v>2122</v>
      </c>
      <c r="D15" t="s">
        <v>2123</v>
      </c>
      <c r="E15" t="s">
        <v>2124</v>
      </c>
      <c r="F15" s="116" t="str">
        <f t="shared" si="0"/>
        <v>Included</v>
      </c>
      <c r="G15" t="str">
        <f>IF(B15="","",INDEX(SF_Output!$K$1:$K$400,MATCH(B15,SF_Output!$M$1:$M$400,0)))</f>
        <v>SilverLake</v>
      </c>
      <c r="H15" cm="1">
        <f t="array" ref="H15">_xlfn.IFS(B15="","",(SUMIFS(SF_Output!$F$1:$F$400,SF_Output!$AC$1:$AC$400,_xlfn.TEXTJOIN(",",TRUE,B15:E15))+SUMIFS(SF_Output!$G$1:$G$400,SF_Output!$AC$1:$AC$400,_xlfn.TEXTJOIN(",",TRUE,B15:E15)))&lt;&gt;0,SF_Output!$Y$2,INDEX(SF_Output!$F$1:$F$400,MATCH(_xlfn.TEXTJOIN(",",TRUE,B15:E15),SF_Output!$AC$1:$AC$400,0))=0,INDEX(SF_Output!$R$1:$R$400,MATCH(_xlfn.TEXTJOIN(",",TRUE,B15:E15),SF_Output!$AC$1:$AC$400,0)))</f>
        <v>1</v>
      </c>
      <c r="I15" s="125" t="str">
        <f>IFERROR(IF(AND(H15&gt;1,H15&lt;&gt;""),ROUND(SUMIFS(SF_Output!$S$1:$S$400,SF_Output!$AC$1:$AC$400,_xlfn.TEXTJOIN(",",TRUE,B15:E15),SF_Output!$Q$1:$Q$400,"monthly")*(1-W15)/H15,4),""),"")</f>
        <v/>
      </c>
      <c r="J15" s="6">
        <f>IF(B15="","",SUMIFS(SF_Output!$S$1:$S$400,SF_Output!$AC$1:$AC$400,_xlfn.TEXTJOIN(",",TRUE,B15:E15),SF_Output!$Q$1:$Q$400,"One Time",SF_Output!$L$1:$L$400,"license fee")+SUMIFS(SF_Output!$S$1:$S$400,SF_Output!$AC$1:$AC$400,_xlfn.TEXTJOIN(",",TRUE,B15:E15),SF_Output!$Q$1:$Q$400,"One Time",SF_Output!$L$1:$L$400,"software license")+SUMIFS(SF_Output!$S$1:$S$400,SF_Output!$AC$1:$AC$400,_xlfn.TEXTJOIN(",",TRUE,B15:E15),SF_Output!$Q$1:$Q$400,"One Time",SF_Output!$L$1:$L$400,"hardware"))</f>
        <v>0</v>
      </c>
      <c r="K15" s="112" t="str">
        <f>IF(OR(B15=0,B15="",G15="hardware",J15=0),"",IF(AF15&lt;&gt;"exclusion",MAX(K$9,-((SUMIFS(SF_Output!$T$1:$T$400,SF_Output!$AC$1:$AC$400,_xlfn.TEXTJOIN(",",TRUE,$B15:$E15),SF_Output!$Q$1:$Q$400,"One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license"))/J15)))</f>
        <v/>
      </c>
      <c r="L15" s="6">
        <f t="shared" si="1"/>
        <v>0</v>
      </c>
      <c r="N15" s="6">
        <f>IF(B15="","",SUMIFS(SF_Output!$S$1:$S$400,SF_Output!$AC$1:$AC$400,_xlfn.TEXTJOIN(",",TRUE,B15:E15),SF_Output!$Q$1:$Q$400,"One Time",SF_Output!$L$1:$L$400,"professional service"))</f>
        <v>125405</v>
      </c>
      <c r="O15" s="112">
        <f>IF(OR(B15=0,B15="",N15=0),"",IF(AF15&lt;&gt;"exclusion",MAX(O$9,-(SUMIFS(SF_Output!$T$1:$T$400,SF_Output!$AC$1:$AC$400,_xlfn.TEXTJOIN(",",TRUE,$B15:$E15),SF_Output!$Q$1:$Q$400,"One Time",SF_Output!$L$1:$L$400,"professional service"))/N15),-((SUMIFS(SF_Output!$T$1:$T$400,SF_Output!$AC$1:$AC$400,_xlfn.TEXTJOIN(",",TRUE,$B15:$E15),SF_Output!$Q$1:$Q$400,"One Time",SF_Output!$L$1:$L$400,"professional service")/N15))))</f>
        <v>1</v>
      </c>
      <c r="P15" s="6">
        <f t="shared" si="2"/>
        <v>0</v>
      </c>
      <c r="R15" s="6">
        <f>IF(B15="","",SUMIFS(SF_Output!$S$1:$S$400,SF_Output!$AC$1:$AC$400,_xlfn.TEXTJOIN(",",TRUE,B15:E15),SF_Output!$Q$1:$Q$400,"yearly")+SUMIFS(SF_Output!$S$1:$S$400,SF_Output!$AC$1:$AC$400,_xlfn.TEXTJOIN(",",TRUE,B15:E15),SF_Output!$Q$1:$Q$400,"quarterly")*4)</f>
        <v>0</v>
      </c>
      <c r="S15" s="112" t="str">
        <f>IF(OR(B15=0,B15="",G15="hardware",R15=0),"",IF(AF15&lt;&gt;"exclusion",MAX(S$9,-(SUMIFS(SF_Output!$T$1:$T$400,SF_Output!$AC$1:$AC$400,_xlfn.TEXTJOIN(",",TRUE,$B15:$E15),SF_Output!$Q$1:$Q$400,"yearly"))/R15),-((SUMIFS(SF_Output!$T$1:$T$400,SF_Output!$AC$1:$AC$400,_xlfn.TEXTJOIN(",",TRUE,$B15:$E15),SF_Output!$Q$1:$Q$400,"yearly")/R15))))</f>
        <v/>
      </c>
      <c r="T15" s="6">
        <f t="shared" si="3"/>
        <v>0</v>
      </c>
      <c r="V15" s="6" cm="1">
        <f t="array" ref="V15">_xlfn.IFS(B15="","",AND(B15&lt;&gt;"",H15=SF_Output!$Y$2,SUMIFS(SF_Output!$T$1:$T$400,SF_Output!$AC$1:$AC$400,_xlfn.TEXTJOIN(",",TRUE,B15:E15),SF_Output!$Q$1:$Q$400,"monthly")=0),(SUMIFS(SF_Output!$F$1:$F$400,SF_Output!$AC$1:$AC$400,_xlfn.TEXTJOIN(",",TRUE,B15:E15),SF_Output!$Q$1:$Q$400,"monthly")+SUMIFS(SF_Output!$G$1:$G$400,SF_Output!$AC$1:$AC$400,_xlfn.TEXTJOIN(",",TRUE,B15:E15),SF_Output!$Q$1:$Q$400,"monthly"))*H15,AND(B15&lt;&gt;"",H15=SF_Output!$Y$2,SUMIFS(SF_Output!$T$1:$T$400,SF_Output!$AC$1:$AC$400,_xlfn.TEXTJOIN(",",TRUE,B15:E15),SF_Output!$Q$1:$Q$400,"monthly")&lt;&gt;0),SUMIFS(SF_Output!$S$1:$S$400,SF_Output!$AC$1:$AC$400,_xlfn.TEXTJOIN(",",TRUE,B15:E15),SF_Output!$Q$1:$Q$400,"monthly"),AND(B15&lt;&gt;"",H15&lt;&gt;SF_Output!$Y$2),SUMIFS(SF_Output!$S$1:$S$400,SF_Output!$AC$1:$AC$400,_xlfn.TEXTJOIN(",",TRUE,B15:E15),SF_Output!$Q$1:$Q$400,"monthly"))</f>
        <v>0</v>
      </c>
      <c r="W15" s="112" t="str" cm="1">
        <f t="array" ref="W15">_xlfn.IFS(OR(B15=0,B15="",V15=0),"",AF15&lt;&gt;"exclusion",MAX($W$9,$W$7,(-(SUMIFS(SF_Output!$T$1:$T$400,SF_Output!$AC$1:$AC$400,_xlfn.TEXTJOIN(",",TRUE,$B15:$E15),SF_Output!$Q$1:$Q$400,"monthly"))/V15)),AF15="exclusion",-(SUMIFS(SF_Output!$T$1:$T$400,SF_Output!$AC$1:$AC$400,_xlfn.TEXTJOIN(",",TRUE,$B15:$E15),SF_Output!$Q$1:$Q$400,"monthly"))/V15)</f>
        <v/>
      </c>
      <c r="X15" s="6" cm="1">
        <f t="array" ref="X15">IFERROR(_xlfn.IFS(V15=0,0,V15="","",W15=0,V15,OR(V15&lt;&gt;0,V15&lt;&gt;""),H15*I15),V15*(1-W15))</f>
        <v>0</v>
      </c>
      <c r="Z15" s="6">
        <f>IFERROR(IF(B15="","",SUMIFS(Billing_Fallout!H:H,Billing_Fallout!N:N,B15)),0)</f>
        <v>0</v>
      </c>
      <c r="AA15" s="6">
        <f t="shared" si="4"/>
        <v>0</v>
      </c>
      <c r="AB15" s="6">
        <f>IFERROR(IF(B15="","",SUMIFS(Billing_Fallout!J:J,Billing_Fallout!N:N,B15)),0)</f>
        <v>0</v>
      </c>
      <c r="AD15" s="6">
        <f t="shared" si="5"/>
        <v>0</v>
      </c>
      <c r="AF15" t="str">
        <f>IFERROR(INDEX(H_Tables!$B$1:$B$1500,MATCH(INDEX(SF_Output!$J$1:$J$400,MATCH(B15,SF_Output!$M$1:$M$400,0)),H_Tables!$A$1:$A$1500,0)),"")</f>
        <v/>
      </c>
      <c r="AI15" s="119" t="str">
        <f t="shared" si="6"/>
        <v/>
      </c>
      <c r="AJ15" s="121">
        <f>IFERROR(INDEX(SF_Output!AD:AD,MATCH(_xlfn.TEXTJOIN(",",TRUE,B15:E15),SF_Output!AC1:AC400,0)),0.05)</f>
        <v>10</v>
      </c>
      <c r="AK15" t="str">
        <f>IF(SUMIFS(SF_Output!$F$1:$F$400,SF_Output!$AC$1:$AC$400,_xlfn.TEXTJOIN(",",TRUE,B15:E15))+SUMIFS(SF_Output!$G$1:$G$400,SF_Output!$AC$1:$AC$400,_xlfn.TEXTJOIN(",",TRUE,B15:E15))=0,"","PAP")</f>
        <v/>
      </c>
      <c r="AQ15" s="35"/>
      <c r="AR15" s="35" t="str" cm="1">
        <f t="array" ref="AR15">IFERROR(_xlfn.IFS(AND(E15*1=1,F15="Included"),"Change to Included",AND(E15*1=0,F15="Optional"),"Change to Optional",OR(B15="",F15="replaced"),""),"")</f>
        <v/>
      </c>
      <c r="AS15" s="35" t="str">
        <f t="shared" si="7"/>
        <v/>
      </c>
      <c r="AT15" s="35" t="str">
        <f t="shared" si="8"/>
        <v/>
      </c>
      <c r="AU15" s="35" t="str">
        <f t="shared" si="9"/>
        <v/>
      </c>
      <c r="AV15" s="35" t="str">
        <f t="shared" si="10"/>
        <v/>
      </c>
      <c r="AW15" s="35" t="str">
        <f t="shared" si="11"/>
        <v/>
      </c>
      <c r="AX15" s="35" t="str">
        <f t="shared" si="12"/>
        <v/>
      </c>
      <c r="AY15" s="35" t="str">
        <f t="shared" si="13"/>
        <v/>
      </c>
      <c r="AZ15" s="35" t="str">
        <f t="shared" si="14"/>
        <v/>
      </c>
      <c r="BA15" s="35" t="str">
        <f t="shared" si="15"/>
        <v/>
      </c>
      <c r="BB15" s="35" t="str">
        <f t="shared" si="16"/>
        <v/>
      </c>
      <c r="BC15" s="35"/>
      <c r="BE15" s="35">
        <f ca="1">INDEX(SF_Output!$AA$2:$AA$400,MATCH($B15,SF_Output!$M$2:$M$400,0))</f>
        <v>1</v>
      </c>
      <c r="BF15" s="35">
        <f ca="1">INDEX(SF_Output!$AB$2:$AB$400,MATCH($B15,SF_Output!$M$2:$M$400,0))</f>
        <v>1</v>
      </c>
    </row>
    <row r="16" spans="2:58" x14ac:dyDescent="0.25">
      <c r="B16" t="s">
        <v>1774</v>
      </c>
      <c r="C16" t="s">
        <v>2122</v>
      </c>
      <c r="D16" t="s">
        <v>2123</v>
      </c>
      <c r="E16" t="s">
        <v>2124</v>
      </c>
      <c r="F16" s="116" t="str">
        <f t="shared" si="0"/>
        <v>Included</v>
      </c>
      <c r="G16" t="str">
        <f>IF(B16="","",INDEX(SF_Output!$K$1:$K$400,MATCH(B16,SF_Output!$M$1:$M$400,0)))</f>
        <v>SilverLake</v>
      </c>
      <c r="H16" cm="1">
        <f t="array" ref="H16">_xlfn.IFS(B16="","",(SUMIFS(SF_Output!$F$1:$F$400,SF_Output!$AC$1:$AC$400,_xlfn.TEXTJOIN(",",TRUE,B16:E16))+SUMIFS(SF_Output!$G$1:$G$400,SF_Output!$AC$1:$AC$400,_xlfn.TEXTJOIN(",",TRUE,B16:E16)))&lt;&gt;0,SF_Output!$Y$2,INDEX(SF_Output!$F$1:$F$400,MATCH(_xlfn.TEXTJOIN(",",TRUE,B16:E16),SF_Output!$AC$1:$AC$400,0))=0,INDEX(SF_Output!$R$1:$R$400,MATCH(_xlfn.TEXTJOIN(",",TRUE,B16:E16),SF_Output!$AC$1:$AC$400,0)))</f>
        <v>1</v>
      </c>
      <c r="I16" s="125" t="str">
        <f>IFERROR(IF(AND(H16&gt;1,H16&lt;&gt;""),ROUND(SUMIFS(SF_Output!$S$1:$S$400,SF_Output!$AC$1:$AC$400,_xlfn.TEXTJOIN(",",TRUE,B16:E16),SF_Output!$Q$1:$Q$400,"monthly")*(1-W16)/H16,4),""),"")</f>
        <v/>
      </c>
      <c r="J16" s="6">
        <f>IF(B16="","",SUMIFS(SF_Output!$S$1:$S$400,SF_Output!$AC$1:$AC$400,_xlfn.TEXTJOIN(",",TRUE,B16:E16),SF_Output!$Q$1:$Q$400,"One Time",SF_Output!$L$1:$L$400,"license fee")+SUMIFS(SF_Output!$S$1:$S$400,SF_Output!$AC$1:$AC$400,_xlfn.TEXTJOIN(",",TRUE,B16:E16),SF_Output!$Q$1:$Q$400,"One Time",SF_Output!$L$1:$L$400,"software license")+SUMIFS(SF_Output!$S$1:$S$400,SF_Output!$AC$1:$AC$400,_xlfn.TEXTJOIN(",",TRUE,B16:E16),SF_Output!$Q$1:$Q$400,"One Time",SF_Output!$L$1:$L$400,"hardware"))</f>
        <v>0</v>
      </c>
      <c r="K16" s="112" t="str">
        <f>IF(OR(B16=0,B16="",G16="hardware",J16=0),"",IF(AF16&lt;&gt;"exclusion",MAX(K$9,-((SUMIFS(SF_Output!$T$1:$T$400,SF_Output!$AC$1:$AC$400,_xlfn.TEXTJOIN(",",TRUE,$B16:$E16),SF_Output!$Q$1:$Q$400,"One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license"))/J16)))</f>
        <v/>
      </c>
      <c r="L16" s="6">
        <f t="shared" si="1"/>
        <v>0</v>
      </c>
      <c r="N16" s="6">
        <f>IF(B16="","",SUMIFS(SF_Output!$S$1:$S$400,SF_Output!$AC$1:$AC$400,_xlfn.TEXTJOIN(",",TRUE,B16:E16),SF_Output!$Q$1:$Q$400,"One Time",SF_Output!$L$1:$L$400,"professional service"))</f>
        <v>0</v>
      </c>
      <c r="O16" s="112" t="str">
        <f>IF(OR(B16=0,B16="",N16=0),"",IF(AF16&lt;&gt;"exclusion",MAX(O$9,-(SUMIFS(SF_Output!$T$1:$T$400,SF_Output!$AC$1:$AC$400,_xlfn.TEXTJOIN(",",TRUE,$B16:$E16),SF_Output!$Q$1:$Q$400,"One Time",SF_Output!$L$1:$L$400,"professional service"))/N16),-((SUMIFS(SF_Output!$T$1:$T$400,SF_Output!$AC$1:$AC$400,_xlfn.TEXTJOIN(",",TRUE,$B16:$E16),SF_Output!$Q$1:$Q$400,"One Time",SF_Output!$L$1:$L$400,"professional service")/N16))))</f>
        <v/>
      </c>
      <c r="P16" s="6">
        <f t="shared" si="2"/>
        <v>0</v>
      </c>
      <c r="R16" s="6">
        <f>IF(B16="","",SUMIFS(SF_Output!$S$1:$S$400,SF_Output!$AC$1:$AC$400,_xlfn.TEXTJOIN(",",TRUE,B16:E16),SF_Output!$Q$1:$Q$400,"yearly")+SUMIFS(SF_Output!$S$1:$S$400,SF_Output!$AC$1:$AC$400,_xlfn.TEXTJOIN(",",TRUE,B16:E16),SF_Output!$Q$1:$Q$400,"quarterly")*4)</f>
        <v>0</v>
      </c>
      <c r="S16" s="112" t="str">
        <f>IF(OR(B16=0,B16="",G16="hardware",R16=0),"",IF(AF16&lt;&gt;"exclusion",MAX(S$9,-(SUMIFS(SF_Output!$T$1:$T$400,SF_Output!$AC$1:$AC$400,_xlfn.TEXTJOIN(",",TRUE,$B16:$E16),SF_Output!$Q$1:$Q$400,"yearly"))/R16),-((SUMIFS(SF_Output!$T$1:$T$400,SF_Output!$AC$1:$AC$400,_xlfn.TEXTJOIN(",",TRUE,$B16:$E16),SF_Output!$Q$1:$Q$400,"yearly")/R16))))</f>
        <v/>
      </c>
      <c r="T16" s="6">
        <f t="shared" si="3"/>
        <v>0</v>
      </c>
      <c r="V16" s="6" cm="1">
        <f t="array" ref="V16">_xlfn.IFS(B16="","",AND(B16&lt;&gt;"",H16=SF_Output!$Y$2,SUMIFS(SF_Output!$T$1:$T$400,SF_Output!$AC$1:$AC$400,_xlfn.TEXTJOIN(",",TRUE,B16:E16),SF_Output!$Q$1:$Q$400,"monthly")=0),(SUMIFS(SF_Output!$F$1:$F$400,SF_Output!$AC$1:$AC$400,_xlfn.TEXTJOIN(",",TRUE,B16:E16),SF_Output!$Q$1:$Q$400,"monthly")+SUMIFS(SF_Output!$G$1:$G$400,SF_Output!$AC$1:$AC$400,_xlfn.TEXTJOIN(",",TRUE,B16:E16),SF_Output!$Q$1:$Q$400,"monthly"))*H16,AND(B16&lt;&gt;"",H16=SF_Output!$Y$2,SUMIFS(SF_Output!$T$1:$T$400,SF_Output!$AC$1:$AC$400,_xlfn.TEXTJOIN(",",TRUE,B16:E16),SF_Output!$Q$1:$Q$400,"monthly")&lt;&gt;0),SUMIFS(SF_Output!$S$1:$S$400,SF_Output!$AC$1:$AC$400,_xlfn.TEXTJOIN(",",TRUE,B16:E16),SF_Output!$Q$1:$Q$400,"monthly"),AND(B16&lt;&gt;"",H16&lt;&gt;SF_Output!$Y$2),SUMIFS(SF_Output!$S$1:$S$400,SF_Output!$AC$1:$AC$400,_xlfn.TEXTJOIN(",",TRUE,B16:E16),SF_Output!$Q$1:$Q$400,"monthly"))</f>
        <v>0.25</v>
      </c>
      <c r="W16" s="112" cm="1">
        <f t="array" ref="W16">_xlfn.IFS(OR(B16=0,B16="",V16=0),"",AF16&lt;&gt;"exclusion",MAX($W$9,$W$7,(-(SUMIFS(SF_Output!$T$1:$T$400,SF_Output!$AC$1:$AC$400,_xlfn.TEXTJOIN(",",TRUE,$B16:$E16),SF_Output!$Q$1:$Q$400,"monthly"))/V16)),AF16="exclusion",-(SUMIFS(SF_Output!$T$1:$T$400,SF_Output!$AC$1:$AC$400,_xlfn.TEXTJOIN(",",TRUE,$B16:$E16),SF_Output!$Q$1:$Q$400,"monthly"))/V16)</f>
        <v>0</v>
      </c>
      <c r="X16" s="6" cm="1">
        <f t="array" ref="X16">IFERROR(_xlfn.IFS(V16=0,0,V16="","",W16=0,V16,OR(V16&lt;&gt;0,V16&lt;&gt;""),H16*I16),V16*(1-W16))</f>
        <v>0.25</v>
      </c>
      <c r="Z16" s="6">
        <f>IFERROR(IF(B16="","",SUMIFS(Billing_Fallout!H:H,Billing_Fallout!N:N,B16)),0)</f>
        <v>0</v>
      </c>
      <c r="AA16" s="6">
        <f t="shared" si="4"/>
        <v>0</v>
      </c>
      <c r="AB16" s="6">
        <f>IFERROR(IF(B16="","",SUMIFS(Billing_Fallout!J:J,Billing_Fallout!N:N,B16)),0)</f>
        <v>0</v>
      </c>
      <c r="AD16" s="6">
        <f t="shared" si="5"/>
        <v>0.25</v>
      </c>
      <c r="AF16" t="str">
        <f>IFERROR(INDEX(H_Tables!$B$1:$B$1500,MATCH(INDEX(SF_Output!$J$1:$J$400,MATCH(B16,SF_Output!$M$1:$M$400,0)),H_Tables!$A$1:$A$1500,0)),"")</f>
        <v>Exclusion</v>
      </c>
      <c r="AI16" s="119" t="str">
        <f t="shared" si="6"/>
        <v/>
      </c>
      <c r="AJ16" s="121">
        <f>IFERROR(INDEX(SF_Output!AD:AD,MATCH(_xlfn.TEXTJOIN(",",TRUE,B16:E16),SF_Output!AC1:AC400,0)),0.05)</f>
        <v>12</v>
      </c>
      <c r="AK16" t="str">
        <f>IF(SUMIFS(SF_Output!$F$1:$F$400,SF_Output!$AC$1:$AC$400,_xlfn.TEXTJOIN(",",TRUE,B16:E16))+SUMIFS(SF_Output!$G$1:$G$400,SF_Output!$AC$1:$AC$400,_xlfn.TEXTJOIN(",",TRUE,B16:E16))=0,"","PAP")</f>
        <v/>
      </c>
      <c r="AQ16" s="35"/>
      <c r="AR16" s="35" t="str" cm="1">
        <f t="array" ref="AR16">IFERROR(_xlfn.IFS(AND(E16*1=1,F16="Included"),"Change to Included",AND(E16*1=0,F16="Optional"),"Change to Optional",OR(B16="",F16="replaced"),""),"")</f>
        <v/>
      </c>
      <c r="AS16" s="35" t="str">
        <f t="shared" si="7"/>
        <v/>
      </c>
      <c r="AT16" s="35" t="str">
        <f t="shared" si="8"/>
        <v/>
      </c>
      <c r="AU16" s="35" t="str">
        <f t="shared" si="9"/>
        <v/>
      </c>
      <c r="AV16" s="35" t="str">
        <f t="shared" si="10"/>
        <v/>
      </c>
      <c r="AW16" s="35" t="str">
        <f t="shared" si="11"/>
        <v/>
      </c>
      <c r="AX16" s="35" t="str">
        <f t="shared" si="12"/>
        <v/>
      </c>
      <c r="AY16" s="35" t="str">
        <f t="shared" si="13"/>
        <v/>
      </c>
      <c r="AZ16" s="35" t="str">
        <f t="shared" si="14"/>
        <v/>
      </c>
      <c r="BA16" s="35" t="str">
        <f t="shared" si="15"/>
        <v/>
      </c>
      <c r="BB16" s="35" t="str">
        <f t="shared" si="16"/>
        <v/>
      </c>
      <c r="BC16" s="35"/>
      <c r="BE16" s="35">
        <f ca="1">INDEX(SF_Output!$AA$2:$AA$400,MATCH($B16,SF_Output!$M$2:$M$400,0))</f>
        <v>1</v>
      </c>
      <c r="BF16" s="35">
        <f ca="1">INDEX(SF_Output!$AB$2:$AB$400,MATCH($B16,SF_Output!$M$2:$M$400,0))</f>
        <v>1</v>
      </c>
    </row>
    <row r="17" spans="2:58" x14ac:dyDescent="0.25">
      <c r="B17" t="s">
        <v>2149</v>
      </c>
      <c r="C17" t="s">
        <v>2122</v>
      </c>
      <c r="D17" t="s">
        <v>2123</v>
      </c>
      <c r="E17" t="s">
        <v>2150</v>
      </c>
      <c r="F17" s="116" t="str">
        <f t="shared" si="0"/>
        <v>Optional</v>
      </c>
      <c r="G17" t="str">
        <f>IF(B17="","",INDEX(SF_Output!$K$1:$K$400,MATCH(B17,SF_Output!$M$1:$M$400,0)))</f>
        <v>SilverLake</v>
      </c>
      <c r="H17" cm="1">
        <f t="array" ref="H17">_xlfn.IFS(B17="","",(SUMIFS(SF_Output!$F$1:$F$400,SF_Output!$AC$1:$AC$400,_xlfn.TEXTJOIN(",",TRUE,B17:E17))+SUMIFS(SF_Output!$G$1:$G$400,SF_Output!$AC$1:$AC$400,_xlfn.TEXTJOIN(",",TRUE,B17:E17)))&lt;&gt;0,SF_Output!$Y$2,INDEX(SF_Output!$F$1:$F$400,MATCH(_xlfn.TEXTJOIN(",",TRUE,B17:E17),SF_Output!$AC$1:$AC$400,0))=0,INDEX(SF_Output!$R$1:$R$400,MATCH(_xlfn.TEXTJOIN(",",TRUE,B17:E17),SF_Output!$AC$1:$AC$400,0)))</f>
        <v>1</v>
      </c>
      <c r="I17" s="125" t="str">
        <f>IFERROR(IF(AND(H17&gt;1,H17&lt;&gt;""),ROUND(SUMIFS(SF_Output!$S$1:$S$400,SF_Output!$AC$1:$AC$400,_xlfn.TEXTJOIN(",",TRUE,B17:E17),SF_Output!$Q$1:$Q$400,"monthly")*(1-W17)/H17,4),""),"")</f>
        <v/>
      </c>
      <c r="J17" s="6">
        <f>IF(B17="","",SUMIFS(SF_Output!$S$1:$S$400,SF_Output!$AC$1:$AC$400,_xlfn.TEXTJOIN(",",TRUE,B17:E17),SF_Output!$Q$1:$Q$400,"One Time",SF_Output!$L$1:$L$400,"license fee")+SUMIFS(SF_Output!$S$1:$S$400,SF_Output!$AC$1:$AC$400,_xlfn.TEXTJOIN(",",TRUE,B17:E17),SF_Output!$Q$1:$Q$400,"One Time",SF_Output!$L$1:$L$400,"software license")+SUMIFS(SF_Output!$S$1:$S$400,SF_Output!$AC$1:$AC$400,_xlfn.TEXTJOIN(",",TRUE,B17:E17),SF_Output!$Q$1:$Q$400,"One Time",SF_Output!$L$1:$L$400,"hardware"))</f>
        <v>0</v>
      </c>
      <c r="K17" s="112" t="str">
        <f>IF(OR(B17=0,B17="",G17="hardware",J17=0),"",IF(AF17&lt;&gt;"exclusion",MAX(K$9,-((SUMIFS(SF_Output!$T$1:$T$400,SF_Output!$AC$1:$AC$400,_xlfn.TEXTJOIN(",",TRUE,$B17:$E17),SF_Output!$Q$1:$Q$400,"One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license"))/J17)))</f>
        <v/>
      </c>
      <c r="L17" s="6">
        <f t="shared" si="1"/>
        <v>0</v>
      </c>
      <c r="N17" s="6">
        <f>IF(B17="","",SUMIFS(SF_Output!$S$1:$S$400,SF_Output!$AC$1:$AC$400,_xlfn.TEXTJOIN(",",TRUE,B17:E17),SF_Output!$Q$1:$Q$400,"One Time",SF_Output!$L$1:$L$400,"professional service"))</f>
        <v>6000</v>
      </c>
      <c r="O17" s="112">
        <f>IF(OR(B17=0,B17="",N17=0),"",IF(AF17&lt;&gt;"exclusion",MAX(O$9,-(SUMIFS(SF_Output!$T$1:$T$400,SF_Output!$AC$1:$AC$400,_xlfn.TEXTJOIN(",",TRUE,$B17:$E17),SF_Output!$Q$1:$Q$400,"One Time",SF_Output!$L$1:$L$400,"professional service"))/N17),-((SUMIFS(SF_Output!$T$1:$T$400,SF_Output!$AC$1:$AC$400,_xlfn.TEXTJOIN(",",TRUE,$B17:$E17),SF_Output!$Q$1:$Q$400,"One Time",SF_Output!$L$1:$L$400,"professional service")/N17))))</f>
        <v>1</v>
      </c>
      <c r="P17" s="6">
        <f t="shared" si="2"/>
        <v>0</v>
      </c>
      <c r="R17" s="6">
        <f>IF(B17="","",SUMIFS(SF_Output!$S$1:$S$400,SF_Output!$AC$1:$AC$400,_xlfn.TEXTJOIN(",",TRUE,B17:E17),SF_Output!$Q$1:$Q$400,"yearly")+SUMIFS(SF_Output!$S$1:$S$400,SF_Output!$AC$1:$AC$400,_xlfn.TEXTJOIN(",",TRUE,B17:E17),SF_Output!$Q$1:$Q$400,"quarterly")*4)</f>
        <v>0</v>
      </c>
      <c r="S17" s="112" t="str">
        <f>IF(OR(B17=0,B17="",G17="hardware",R17=0),"",IF(AF17&lt;&gt;"exclusion",MAX(S$9,-(SUMIFS(SF_Output!$T$1:$T$400,SF_Output!$AC$1:$AC$400,_xlfn.TEXTJOIN(",",TRUE,$B17:$E17),SF_Output!$Q$1:$Q$400,"yearly"))/R17),-((SUMIFS(SF_Output!$T$1:$T$400,SF_Output!$AC$1:$AC$400,_xlfn.TEXTJOIN(",",TRUE,$B17:$E17),SF_Output!$Q$1:$Q$400,"yearly")/R17))))</f>
        <v/>
      </c>
      <c r="T17" s="6">
        <f t="shared" si="3"/>
        <v>0</v>
      </c>
      <c r="V17" s="6" cm="1">
        <f t="array" ref="V17">_xlfn.IFS(B17="","",AND(B17&lt;&gt;"",H17=SF_Output!$Y$2,SUMIFS(SF_Output!$T$1:$T$400,SF_Output!$AC$1:$AC$400,_xlfn.TEXTJOIN(",",TRUE,B17:E17),SF_Output!$Q$1:$Q$400,"monthly")=0),(SUMIFS(SF_Output!$F$1:$F$400,SF_Output!$AC$1:$AC$400,_xlfn.TEXTJOIN(",",TRUE,B17:E17),SF_Output!$Q$1:$Q$400,"monthly")+SUMIFS(SF_Output!$G$1:$G$400,SF_Output!$AC$1:$AC$400,_xlfn.TEXTJOIN(",",TRUE,B17:E17),SF_Output!$Q$1:$Q$400,"monthly"))*H17,AND(B17&lt;&gt;"",H17=SF_Output!$Y$2,SUMIFS(SF_Output!$T$1:$T$400,SF_Output!$AC$1:$AC$400,_xlfn.TEXTJOIN(",",TRUE,B17:E17),SF_Output!$Q$1:$Q$400,"monthly")&lt;&gt;0),SUMIFS(SF_Output!$S$1:$S$400,SF_Output!$AC$1:$AC$400,_xlfn.TEXTJOIN(",",TRUE,B17:E17),SF_Output!$Q$1:$Q$400,"monthly"),AND(B17&lt;&gt;"",H17&lt;&gt;SF_Output!$Y$2),SUMIFS(SF_Output!$S$1:$S$400,SF_Output!$AC$1:$AC$400,_xlfn.TEXTJOIN(",",TRUE,B17:E17),SF_Output!$Q$1:$Q$400,"monthly"))</f>
        <v>530</v>
      </c>
      <c r="W17" s="112" cm="1">
        <f t="array" ref="W17">_xlfn.IFS(OR(B17=0,B17="",V17=0),"",AF17&lt;&gt;"exclusion",MAX($W$9,$W$7,(-(SUMIFS(SF_Output!$T$1:$T$400,SF_Output!$AC$1:$AC$400,_xlfn.TEXTJOIN(",",TRUE,$B17:$E17),SF_Output!$Q$1:$Q$400,"monthly"))/V17)),AF17="exclusion",-(SUMIFS(SF_Output!$T$1:$T$400,SF_Output!$AC$1:$AC$400,_xlfn.TEXTJOIN(",",TRUE,$B17:$E17),SF_Output!$Q$1:$Q$400,"monthly"))/V17)</f>
        <v>0.25</v>
      </c>
      <c r="X17" s="6" cm="1">
        <f t="array" ref="X17">IFERROR(_xlfn.IFS(V17=0,0,V17="","",W17=0,V17,OR(V17&lt;&gt;0,V17&lt;&gt;""),H17*I17),V17*(1-W17))</f>
        <v>397.5</v>
      </c>
      <c r="Z17" s="6">
        <f>IFERROR(IF(B17="","",SUMIFS(Billing_Fallout!H:H,Billing_Fallout!N:N,B17)),0)</f>
        <v>0</v>
      </c>
      <c r="AA17" s="6">
        <f t="shared" si="4"/>
        <v>0</v>
      </c>
      <c r="AB17" s="6">
        <f>IFERROR(IF(B17="","",SUMIFS(Billing_Fallout!J:J,Billing_Fallout!N:N,B17)),0)</f>
        <v>0</v>
      </c>
      <c r="AD17" s="6">
        <f t="shared" si="5"/>
        <v>397.5</v>
      </c>
      <c r="AF17" t="str">
        <f>IFERROR(INDEX(H_Tables!$B$1:$B$1500,MATCH(INDEX(SF_Output!$J$1:$J$400,MATCH(B17,SF_Output!$M$1:$M$400,0)),H_Tables!$A$1:$A$1500,0)),"")</f>
        <v/>
      </c>
      <c r="AI17" s="119" t="str">
        <f t="shared" si="6"/>
        <v/>
      </c>
      <c r="AJ17" s="121">
        <f>IFERROR(INDEX(SF_Output!AD:AD,MATCH(_xlfn.TEXTJOIN(",",TRUE,B17:E17),SF_Output!AC1:AC400,0)),0.05)</f>
        <v>14</v>
      </c>
      <c r="AK17" t="str">
        <f>IF(SUMIFS(SF_Output!$F$1:$F$400,SF_Output!$AC$1:$AC$400,_xlfn.TEXTJOIN(",",TRUE,B17:E17))+SUMIFS(SF_Output!$G$1:$G$400,SF_Output!$AC$1:$AC$400,_xlfn.TEXTJOIN(",",TRUE,B17:E17))=0,"","PAP")</f>
        <v/>
      </c>
      <c r="AQ17" s="35"/>
      <c r="AR17" s="35" t="str" cm="1">
        <f t="array" ref="AR17">IFERROR(_xlfn.IFS(AND(E17*1=1,F17="Included"),"Change to Included",AND(E17*1=0,F17="Optional"),"Change to Optional",OR(B17="",F17="replaced"),""),"")</f>
        <v/>
      </c>
      <c r="AS17" s="35" t="str">
        <f t="shared" si="7"/>
        <v/>
      </c>
      <c r="AT17" s="35" t="str">
        <f t="shared" si="8"/>
        <v/>
      </c>
      <c r="AU17" s="35" t="str">
        <f t="shared" si="9"/>
        <v/>
      </c>
      <c r="AV17" s="35" t="str">
        <f t="shared" si="10"/>
        <v/>
      </c>
      <c r="AW17" s="35" t="str">
        <f t="shared" si="11"/>
        <v/>
      </c>
      <c r="AX17" s="35" t="str">
        <f t="shared" si="12"/>
        <v/>
      </c>
      <c r="AY17" s="35" t="str">
        <f t="shared" si="13"/>
        <v/>
      </c>
      <c r="AZ17" s="35" t="str">
        <f t="shared" si="14"/>
        <v/>
      </c>
      <c r="BA17" s="35" t="str">
        <f t="shared" si="15"/>
        <v/>
      </c>
      <c r="BB17" s="35" t="str">
        <f t="shared" si="16"/>
        <v/>
      </c>
      <c r="BC17" s="35"/>
      <c r="BE17" s="35">
        <f ca="1">INDEX(SF_Output!$AA$2:$AA$400,MATCH($B17,SF_Output!$M$2:$M$400,0))</f>
        <v>1</v>
      </c>
      <c r="BF17" s="35">
        <f ca="1">INDEX(SF_Output!$AB$2:$AB$400,MATCH($B17,SF_Output!$M$2:$M$400,0))</f>
        <v>1</v>
      </c>
    </row>
    <row r="18" spans="2:58" x14ac:dyDescent="0.25">
      <c r="B18" t="s">
        <v>2156</v>
      </c>
      <c r="C18" t="s">
        <v>2122</v>
      </c>
      <c r="D18" t="s">
        <v>2123</v>
      </c>
      <c r="E18" t="s">
        <v>2150</v>
      </c>
      <c r="F18" s="116" t="str">
        <f t="shared" si="0"/>
        <v>Optional</v>
      </c>
      <c r="G18" t="str">
        <f>IF(B18="","",INDEX(SF_Output!$K$1:$K$400,MATCH(B18,SF_Output!$M$1:$M$400,0)))</f>
        <v>SilverLake</v>
      </c>
      <c r="H18" cm="1">
        <f t="array" ref="H18">_xlfn.IFS(B18="","",(SUMIFS(SF_Output!$F$1:$F$400,SF_Output!$AC$1:$AC$400,_xlfn.TEXTJOIN(",",TRUE,B18:E18))+SUMIFS(SF_Output!$G$1:$G$400,SF_Output!$AC$1:$AC$400,_xlfn.TEXTJOIN(",",TRUE,B18:E18)))&lt;&gt;0,SF_Output!$Y$2,INDEX(SF_Output!$F$1:$F$400,MATCH(_xlfn.TEXTJOIN(",",TRUE,B18:E18),SF_Output!$AC$1:$AC$400,0))=0,INDEX(SF_Output!$R$1:$R$400,MATCH(_xlfn.TEXTJOIN(",",TRUE,B18:E18),SF_Output!$AC$1:$AC$400,0)))</f>
        <v>1</v>
      </c>
      <c r="I18" s="125" t="str">
        <f>IFERROR(IF(AND(H18&gt;1,H18&lt;&gt;""),ROUND(SUMIFS(SF_Output!$S$1:$S$400,SF_Output!$AC$1:$AC$400,_xlfn.TEXTJOIN(",",TRUE,B18:E18),SF_Output!$Q$1:$Q$400,"monthly")*(1-W18)/H18,4),""),"")</f>
        <v/>
      </c>
      <c r="J18" s="6">
        <f>IF(B18="","",SUMIFS(SF_Output!$S$1:$S$400,SF_Output!$AC$1:$AC$400,_xlfn.TEXTJOIN(",",TRUE,B18:E18),SF_Output!$Q$1:$Q$400,"One Time",SF_Output!$L$1:$L$400,"license fee")+SUMIFS(SF_Output!$S$1:$S$400,SF_Output!$AC$1:$AC$400,_xlfn.TEXTJOIN(",",TRUE,B18:E18),SF_Output!$Q$1:$Q$400,"One Time",SF_Output!$L$1:$L$400,"software license")+SUMIFS(SF_Output!$S$1:$S$400,SF_Output!$AC$1:$AC$400,_xlfn.TEXTJOIN(",",TRUE,B18:E18),SF_Output!$Q$1:$Q$400,"One Time",SF_Output!$L$1:$L$400,"hardware"))</f>
        <v>0</v>
      </c>
      <c r="K18" s="112" t="str">
        <f>IF(OR(B18=0,B18="",G18="hardware",J18=0),"",IF(AF18&lt;&gt;"exclusion",MAX(K$9,-((SUMIFS(SF_Output!$T$1:$T$400,SF_Output!$AC$1:$AC$400,_xlfn.TEXTJOIN(",",TRUE,$B18:$E18),SF_Output!$Q$1:$Q$400,"One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license"))/J18)))</f>
        <v/>
      </c>
      <c r="L18" s="6">
        <f t="shared" si="1"/>
        <v>0</v>
      </c>
      <c r="N18" s="6">
        <f>IF(B18="","",SUMIFS(SF_Output!$S$1:$S$400,SF_Output!$AC$1:$AC$400,_xlfn.TEXTJOIN(",",TRUE,B18:E18),SF_Output!$Q$1:$Q$400,"One Time",SF_Output!$L$1:$L$400,"professional service"))</f>
        <v>2340</v>
      </c>
      <c r="O18" s="112">
        <f>IF(OR(B18=0,B18="",N18=0),"",IF(AF18&lt;&gt;"exclusion",MAX(O$9,-(SUMIFS(SF_Output!$T$1:$T$400,SF_Output!$AC$1:$AC$400,_xlfn.TEXTJOIN(",",TRUE,$B18:$E18),SF_Output!$Q$1:$Q$400,"One Time",SF_Output!$L$1:$L$400,"professional service"))/N18),-((SUMIFS(SF_Output!$T$1:$T$400,SF_Output!$AC$1:$AC$400,_xlfn.TEXTJOIN(",",TRUE,$B18:$E18),SF_Output!$Q$1:$Q$400,"One Time",SF_Output!$L$1:$L$400,"professional service")/N18))))</f>
        <v>1</v>
      </c>
      <c r="P18" s="6">
        <f t="shared" si="2"/>
        <v>0</v>
      </c>
      <c r="R18" s="6">
        <f>IF(B18="","",SUMIFS(SF_Output!$S$1:$S$400,SF_Output!$AC$1:$AC$400,_xlfn.TEXTJOIN(",",TRUE,B18:E18),SF_Output!$Q$1:$Q$400,"yearly")+SUMIFS(SF_Output!$S$1:$S$400,SF_Output!$AC$1:$AC$400,_xlfn.TEXTJOIN(",",TRUE,B18:E18),SF_Output!$Q$1:$Q$400,"quarterly")*4)</f>
        <v>0</v>
      </c>
      <c r="S18" s="112" t="str">
        <f>IF(OR(B18=0,B18="",G18="hardware",R18=0),"",IF(AF18&lt;&gt;"exclusion",MAX(S$9,-(SUMIFS(SF_Output!$T$1:$T$400,SF_Output!$AC$1:$AC$400,_xlfn.TEXTJOIN(",",TRUE,$B18:$E18),SF_Output!$Q$1:$Q$400,"yearly"))/R18),-((SUMIFS(SF_Output!$T$1:$T$400,SF_Output!$AC$1:$AC$400,_xlfn.TEXTJOIN(",",TRUE,$B18:$E18),SF_Output!$Q$1:$Q$400,"yearly")/R18))))</f>
        <v/>
      </c>
      <c r="T18" s="6">
        <f t="shared" si="3"/>
        <v>0</v>
      </c>
      <c r="V18" s="6" cm="1">
        <f t="array" ref="V18">_xlfn.IFS(B18="","",AND(B18&lt;&gt;"",H18=SF_Output!$Y$2,SUMIFS(SF_Output!$T$1:$T$400,SF_Output!$AC$1:$AC$400,_xlfn.TEXTJOIN(",",TRUE,B18:E18),SF_Output!$Q$1:$Q$400,"monthly")=0),(SUMIFS(SF_Output!$F$1:$F$400,SF_Output!$AC$1:$AC$400,_xlfn.TEXTJOIN(",",TRUE,B18:E18),SF_Output!$Q$1:$Q$400,"monthly")+SUMIFS(SF_Output!$G$1:$G$400,SF_Output!$AC$1:$AC$400,_xlfn.TEXTJOIN(",",TRUE,B18:E18),SF_Output!$Q$1:$Q$400,"monthly"))*H18,AND(B18&lt;&gt;"",H18=SF_Output!$Y$2,SUMIFS(SF_Output!$T$1:$T$400,SF_Output!$AC$1:$AC$400,_xlfn.TEXTJOIN(",",TRUE,B18:E18),SF_Output!$Q$1:$Q$400,"monthly")&lt;&gt;0),SUMIFS(SF_Output!$S$1:$S$400,SF_Output!$AC$1:$AC$400,_xlfn.TEXTJOIN(",",TRUE,B18:E18),SF_Output!$Q$1:$Q$400,"monthly"),AND(B18&lt;&gt;"",H18&lt;&gt;SF_Output!$Y$2),SUMIFS(SF_Output!$S$1:$S$400,SF_Output!$AC$1:$AC$400,_xlfn.TEXTJOIN(",",TRUE,B18:E18),SF_Output!$Q$1:$Q$400,"monthly"))</f>
        <v>220</v>
      </c>
      <c r="W18" s="112" cm="1">
        <f t="array" ref="W18">_xlfn.IFS(OR(B18=0,B18="",V18=0),"",AF18&lt;&gt;"exclusion",MAX($W$9,$W$7,(-(SUMIFS(SF_Output!$T$1:$T$400,SF_Output!$AC$1:$AC$400,_xlfn.TEXTJOIN(",",TRUE,$B18:$E18),SF_Output!$Q$1:$Q$400,"monthly"))/V18)),AF18="exclusion",-(SUMIFS(SF_Output!$T$1:$T$400,SF_Output!$AC$1:$AC$400,_xlfn.TEXTJOIN(",",TRUE,$B18:$E18),SF_Output!$Q$1:$Q$400,"monthly"))/V18)</f>
        <v>0.25</v>
      </c>
      <c r="X18" s="6" cm="1">
        <f t="array" ref="X18">IFERROR(_xlfn.IFS(V18=0,0,V18="","",W18=0,V18,OR(V18&lt;&gt;0,V18&lt;&gt;""),H18*I18),V18*(1-W18))</f>
        <v>165</v>
      </c>
      <c r="Z18" s="6">
        <f>IFERROR(IF(B18="","",SUMIFS(Billing_Fallout!H:H,Billing_Fallout!N:N,B18)),0)</f>
        <v>0</v>
      </c>
      <c r="AA18" s="6">
        <f t="shared" si="4"/>
        <v>0</v>
      </c>
      <c r="AB18" s="6">
        <f>IFERROR(IF(B18="","",SUMIFS(Billing_Fallout!J:J,Billing_Fallout!N:N,B18)),0)</f>
        <v>0</v>
      </c>
      <c r="AD18" s="6">
        <f t="shared" si="5"/>
        <v>165</v>
      </c>
      <c r="AF18" t="str">
        <f>IFERROR(INDEX(H_Tables!$B$1:$B$1500,MATCH(INDEX(SF_Output!$J$1:$J$400,MATCH(B18,SF_Output!$M$1:$M$400,0)),H_Tables!$A$1:$A$1500,0)),"")</f>
        <v/>
      </c>
      <c r="AI18" s="119" t="str">
        <f t="shared" si="6"/>
        <v/>
      </c>
      <c r="AJ18" s="121">
        <f>IFERROR(INDEX(SF_Output!AD:AD,MATCH(_xlfn.TEXTJOIN(",",TRUE,B18:E18),SF_Output!AC1:AC400,0)),0.05)</f>
        <v>20</v>
      </c>
      <c r="AK18" t="str">
        <f>IF(SUMIFS(SF_Output!$F$1:$F$400,SF_Output!$AC$1:$AC$400,_xlfn.TEXTJOIN(",",TRUE,B18:E18))+SUMIFS(SF_Output!$G$1:$G$400,SF_Output!$AC$1:$AC$400,_xlfn.TEXTJOIN(",",TRUE,B18:E18))=0,"","PAP")</f>
        <v/>
      </c>
      <c r="AQ18" s="35"/>
      <c r="AR18" s="35" t="str" cm="1">
        <f t="array" ref="AR18">IFERROR(_xlfn.IFS(AND(E18*1=1,F18="Included"),"Change to Included",AND(E18*1=0,F18="Optional"),"Change to Optional",OR(B18="",F18="replaced"),""),"")</f>
        <v/>
      </c>
      <c r="AS18" s="35" t="str">
        <f t="shared" si="7"/>
        <v/>
      </c>
      <c r="AT18" s="35" t="str">
        <f t="shared" si="8"/>
        <v/>
      </c>
      <c r="AU18" s="35" t="str">
        <f t="shared" si="9"/>
        <v/>
      </c>
      <c r="AV18" s="35" t="str">
        <f t="shared" si="10"/>
        <v/>
      </c>
      <c r="AW18" s="35" t="str">
        <f t="shared" si="11"/>
        <v/>
      </c>
      <c r="AX18" s="35" t="str">
        <f t="shared" si="12"/>
        <v/>
      </c>
      <c r="AY18" s="35" t="str">
        <f t="shared" si="13"/>
        <v/>
      </c>
      <c r="AZ18" s="35" t="str">
        <f t="shared" si="14"/>
        <v/>
      </c>
      <c r="BA18" s="35" t="str">
        <f t="shared" si="15"/>
        <v/>
      </c>
      <c r="BB18" s="35" t="str">
        <f t="shared" si="16"/>
        <v/>
      </c>
      <c r="BC18" s="35"/>
      <c r="BE18" s="35">
        <f ca="1">INDEX(SF_Output!$AA$2:$AA$400,MATCH($B18,SF_Output!$M$2:$M$400,0))</f>
        <v>1</v>
      </c>
      <c r="BF18" s="35">
        <f ca="1">INDEX(SF_Output!$AB$2:$AB$400,MATCH($B18,SF_Output!$M$2:$M$400,0))</f>
        <v>1</v>
      </c>
    </row>
    <row r="19" spans="2:58" x14ac:dyDescent="0.25">
      <c r="B19" t="s">
        <v>2160</v>
      </c>
      <c r="C19" t="s">
        <v>2122</v>
      </c>
      <c r="D19" t="s">
        <v>2123</v>
      </c>
      <c r="E19" t="s">
        <v>2124</v>
      </c>
      <c r="F19" s="116" t="str">
        <f t="shared" si="0"/>
        <v>Included</v>
      </c>
      <c r="G19" t="str">
        <f>IF(B19="","",INDEX(SF_Output!$K$1:$K$400,MATCH(B19,SF_Output!$M$1:$M$400,0)))</f>
        <v>SilverLake</v>
      </c>
      <c r="H19" cm="1">
        <f t="array" ref="H19">_xlfn.IFS(B19="","",(SUMIFS(SF_Output!$F$1:$F$400,SF_Output!$AC$1:$AC$400,_xlfn.TEXTJOIN(",",TRUE,B19:E19))+SUMIFS(SF_Output!$G$1:$G$400,SF_Output!$AC$1:$AC$400,_xlfn.TEXTJOIN(",",TRUE,B19:E19)))&lt;&gt;0,SF_Output!$Y$2,INDEX(SF_Output!$F$1:$F$400,MATCH(_xlfn.TEXTJOIN(",",TRUE,B19:E19),SF_Output!$AC$1:$AC$400,0))=0,INDEX(SF_Output!$R$1:$R$400,MATCH(_xlfn.TEXTJOIN(",",TRUE,B19:E19),SF_Output!$AC$1:$AC$400,0)))</f>
        <v>1</v>
      </c>
      <c r="I19" s="125" t="str">
        <f>IFERROR(IF(AND(H19&gt;1,H19&lt;&gt;""),ROUND(SUMIFS(SF_Output!$S$1:$S$400,SF_Output!$AC$1:$AC$400,_xlfn.TEXTJOIN(",",TRUE,B19:E19),SF_Output!$Q$1:$Q$400,"monthly")*(1-W19)/H19,4),""),"")</f>
        <v/>
      </c>
      <c r="J19" s="6">
        <f>IF(B19="","",SUMIFS(SF_Output!$S$1:$S$400,SF_Output!$AC$1:$AC$400,_xlfn.TEXTJOIN(",",TRUE,B19:E19),SF_Output!$Q$1:$Q$400,"One Time",SF_Output!$L$1:$L$400,"license fee")+SUMIFS(SF_Output!$S$1:$S$400,SF_Output!$AC$1:$AC$400,_xlfn.TEXTJOIN(",",TRUE,B19:E19),SF_Output!$Q$1:$Q$400,"One Time",SF_Output!$L$1:$L$400,"software license")+SUMIFS(SF_Output!$S$1:$S$400,SF_Output!$AC$1:$AC$400,_xlfn.TEXTJOIN(",",TRUE,B19:E19),SF_Output!$Q$1:$Q$400,"One Time",SF_Output!$L$1:$L$400,"hardware"))</f>
        <v>0</v>
      </c>
      <c r="K19" s="112" t="str">
        <f>IF(OR(B19=0,B19="",G19="hardware",J19=0),"",IF(AF19&lt;&gt;"exclusion",MAX(K$9,-((SUMIFS(SF_Output!$T$1:$T$400,SF_Output!$AC$1:$AC$400,_xlfn.TEXTJOIN(",",TRUE,$B19:$E19),SF_Output!$Q$1:$Q$400,"One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license"))/J19)))</f>
        <v/>
      </c>
      <c r="L19" s="6">
        <f t="shared" si="1"/>
        <v>0</v>
      </c>
      <c r="N19" s="6">
        <f>IF(B19="","",SUMIFS(SF_Output!$S$1:$S$400,SF_Output!$AC$1:$AC$400,_xlfn.TEXTJOIN(",",TRUE,B19:E19),SF_Output!$Q$1:$Q$400,"One Time",SF_Output!$L$1:$L$400,"professional service"))</f>
        <v>0</v>
      </c>
      <c r="O19" s="112" t="str">
        <f>IF(OR(B19=0,B19="",N19=0),"",IF(AF19&lt;&gt;"exclusion",MAX(O$9,-(SUMIFS(SF_Output!$T$1:$T$400,SF_Output!$AC$1:$AC$400,_xlfn.TEXTJOIN(",",TRUE,$B19:$E19),SF_Output!$Q$1:$Q$400,"One Time",SF_Output!$L$1:$L$400,"professional service"))/N19),-((SUMIFS(SF_Output!$T$1:$T$400,SF_Output!$AC$1:$AC$400,_xlfn.TEXTJOIN(",",TRUE,$B19:$E19),SF_Output!$Q$1:$Q$400,"One Time",SF_Output!$L$1:$L$400,"professional service")/N19))))</f>
        <v/>
      </c>
      <c r="P19" s="6">
        <f t="shared" si="2"/>
        <v>0</v>
      </c>
      <c r="R19" s="6">
        <f>IF(B19="","",SUMIFS(SF_Output!$S$1:$S$400,SF_Output!$AC$1:$AC$400,_xlfn.TEXTJOIN(",",TRUE,B19:E19),SF_Output!$Q$1:$Q$400,"yearly")+SUMIFS(SF_Output!$S$1:$S$400,SF_Output!$AC$1:$AC$400,_xlfn.TEXTJOIN(",",TRUE,B19:E19),SF_Output!$Q$1:$Q$400,"quarterly")*4)</f>
        <v>0</v>
      </c>
      <c r="S19" s="112" t="str">
        <f>IF(OR(B19=0,B19="",G19="hardware",R19=0),"",IF(AF19&lt;&gt;"exclusion",MAX(S$9,-(SUMIFS(SF_Output!$T$1:$T$400,SF_Output!$AC$1:$AC$400,_xlfn.TEXTJOIN(",",TRUE,$B19:$E19),SF_Output!$Q$1:$Q$400,"yearly"))/R19),-((SUMIFS(SF_Output!$T$1:$T$400,SF_Output!$AC$1:$AC$400,_xlfn.TEXTJOIN(",",TRUE,$B19:$E19),SF_Output!$Q$1:$Q$400,"yearly")/R19))))</f>
        <v/>
      </c>
      <c r="T19" s="6">
        <f t="shared" si="3"/>
        <v>0</v>
      </c>
      <c r="V19" s="6" cm="1">
        <f t="array" ref="V19">_xlfn.IFS(B19="","",AND(B19&lt;&gt;"",H19=SF_Output!$Y$2,SUMIFS(SF_Output!$T$1:$T$400,SF_Output!$AC$1:$AC$400,_xlfn.TEXTJOIN(",",TRUE,B19:E19),SF_Output!$Q$1:$Q$400,"monthly")=0),(SUMIFS(SF_Output!$F$1:$F$400,SF_Output!$AC$1:$AC$400,_xlfn.TEXTJOIN(",",TRUE,B19:E19),SF_Output!$Q$1:$Q$400,"monthly")+SUMIFS(SF_Output!$G$1:$G$400,SF_Output!$AC$1:$AC$400,_xlfn.TEXTJOIN(",",TRUE,B19:E19),SF_Output!$Q$1:$Q$400,"monthly"))*H19,AND(B19&lt;&gt;"",H19=SF_Output!$Y$2,SUMIFS(SF_Output!$T$1:$T$400,SF_Output!$AC$1:$AC$400,_xlfn.TEXTJOIN(",",TRUE,B19:E19),SF_Output!$Q$1:$Q$400,"monthly")&lt;&gt;0),SUMIFS(SF_Output!$S$1:$S$400,SF_Output!$AC$1:$AC$400,_xlfn.TEXTJOIN(",",TRUE,B19:E19),SF_Output!$Q$1:$Q$400,"monthly"),AND(B19&lt;&gt;"",H19&lt;&gt;SF_Output!$Y$2),SUMIFS(SF_Output!$S$1:$S$400,SF_Output!$AC$1:$AC$400,_xlfn.TEXTJOIN(",",TRUE,B19:E19),SF_Output!$Q$1:$Q$400,"monthly"))</f>
        <v>0</v>
      </c>
      <c r="W19" s="112" t="str" cm="1">
        <f t="array" ref="W19">_xlfn.IFS(OR(B19=0,B19="",V19=0),"",AF19&lt;&gt;"exclusion",MAX($W$9,$W$7,(-(SUMIFS(SF_Output!$T$1:$T$400,SF_Output!$AC$1:$AC$400,_xlfn.TEXTJOIN(",",TRUE,$B19:$E19),SF_Output!$Q$1:$Q$400,"monthly"))/V19)),AF19="exclusion",-(SUMIFS(SF_Output!$T$1:$T$400,SF_Output!$AC$1:$AC$400,_xlfn.TEXTJOIN(",",TRUE,$B19:$E19),SF_Output!$Q$1:$Q$400,"monthly"))/V19)</f>
        <v/>
      </c>
      <c r="X19" s="6" cm="1">
        <f t="array" ref="X19">IFERROR(_xlfn.IFS(V19=0,0,V19="","",W19=0,V19,OR(V19&lt;&gt;0,V19&lt;&gt;""),H19*I19),V19*(1-W19))</f>
        <v>0</v>
      </c>
      <c r="Z19" s="6">
        <f>IFERROR(IF(B19="","",SUMIFS(Billing_Fallout!H:H,Billing_Fallout!N:N,B19)),0)</f>
        <v>0</v>
      </c>
      <c r="AA19" s="6">
        <f t="shared" si="4"/>
        <v>0</v>
      </c>
      <c r="AB19" s="6">
        <f>IFERROR(IF(B19="","",SUMIFS(Billing_Fallout!J:J,Billing_Fallout!N:N,B19)),0)</f>
        <v>0</v>
      </c>
      <c r="AD19" s="6">
        <f t="shared" si="5"/>
        <v>0</v>
      </c>
      <c r="AF19" t="str">
        <f>IFERROR(INDEX(H_Tables!$B$1:$B$1500,MATCH(INDEX(SF_Output!$J$1:$J$400,MATCH(B19,SF_Output!$M$1:$M$400,0)),H_Tables!$A$1:$A$1500,0)),"")</f>
        <v/>
      </c>
      <c r="AI19" s="119" t="str">
        <f t="shared" si="6"/>
        <v/>
      </c>
      <c r="AJ19" s="121">
        <f>IFERROR(INDEX(SF_Output!AD:AD,MATCH(_xlfn.TEXTJOIN(",",TRUE,B19:E19),SF_Output!AC1:AC400,0)),0.05)</f>
        <v>23</v>
      </c>
      <c r="AK19" t="str">
        <f>IF(SUMIFS(SF_Output!$F$1:$F$400,SF_Output!$AC$1:$AC$400,_xlfn.TEXTJOIN(",",TRUE,B19:E19))+SUMIFS(SF_Output!$G$1:$G$400,SF_Output!$AC$1:$AC$400,_xlfn.TEXTJOIN(",",TRUE,B19:E19))=0,"","PAP")</f>
        <v/>
      </c>
      <c r="AQ19" s="35"/>
      <c r="AR19" s="35" t="str" cm="1">
        <f t="array" ref="AR19">IFERROR(_xlfn.IFS(AND(E19*1=1,F19="Included"),"Change to Included",AND(E19*1=0,F19="Optional"),"Change to Optional",OR(B19="",F19="replaced"),""),"")</f>
        <v/>
      </c>
      <c r="AS19" s="35" t="str">
        <f t="shared" si="7"/>
        <v/>
      </c>
      <c r="AT19" s="35" t="str">
        <f t="shared" si="8"/>
        <v/>
      </c>
      <c r="AU19" s="35" t="str">
        <f t="shared" si="9"/>
        <v/>
      </c>
      <c r="AV19" s="35" t="str">
        <f t="shared" si="10"/>
        <v/>
      </c>
      <c r="AW19" s="35" t="str">
        <f t="shared" si="11"/>
        <v/>
      </c>
      <c r="AX19" s="35" t="str">
        <f t="shared" si="12"/>
        <v/>
      </c>
      <c r="AY19" s="35" t="str">
        <f t="shared" si="13"/>
        <v/>
      </c>
      <c r="AZ19" s="35" t="str">
        <f t="shared" si="14"/>
        <v/>
      </c>
      <c r="BA19" s="35" t="str">
        <f t="shared" si="15"/>
        <v/>
      </c>
      <c r="BB19" s="35" t="str">
        <f t="shared" si="16"/>
        <v/>
      </c>
      <c r="BC19" s="35"/>
      <c r="BE19" s="35">
        <f ca="1">INDEX(SF_Output!$AA$2:$AA$400,MATCH($B19,SF_Output!$M$2:$M$400,0))</f>
        <v>1</v>
      </c>
      <c r="BF19" s="35">
        <f ca="1">INDEX(SF_Output!$AB$2:$AB$400,MATCH($B19,SF_Output!$M$2:$M$400,0))</f>
        <v>1</v>
      </c>
    </row>
    <row r="20" spans="2:58" x14ac:dyDescent="0.25">
      <c r="B20" t="s">
        <v>2163</v>
      </c>
      <c r="C20" t="s">
        <v>2122</v>
      </c>
      <c r="D20" t="s">
        <v>2164</v>
      </c>
      <c r="E20" t="s">
        <v>2124</v>
      </c>
      <c r="F20" s="116" t="str">
        <f t="shared" si="0"/>
        <v>Included</v>
      </c>
      <c r="G20" t="str">
        <f>IF(B20="","",INDEX(SF_Output!$K$1:$K$400,MATCH(B20,SF_Output!$M$1:$M$400,0)))</f>
        <v>SilverLake</v>
      </c>
      <c r="H20" cm="1">
        <f t="array" ref="H20">_xlfn.IFS(B20="","",(SUMIFS(SF_Output!$F$1:$F$400,SF_Output!$AC$1:$AC$400,_xlfn.TEXTJOIN(",",TRUE,B20:E20))+SUMIFS(SF_Output!$G$1:$G$400,SF_Output!$AC$1:$AC$400,_xlfn.TEXTJOIN(",",TRUE,B20:E20)))&lt;&gt;0,SF_Output!$Y$2,INDEX(SF_Output!$F$1:$F$400,MATCH(_xlfn.TEXTJOIN(",",TRUE,B20:E20),SF_Output!$AC$1:$AC$400,0))=0,INDEX(SF_Output!$R$1:$R$400,MATCH(_xlfn.TEXTJOIN(",",TRUE,B20:E20),SF_Output!$AC$1:$AC$400,0)))</f>
        <v>1</v>
      </c>
      <c r="I20" s="125" t="str">
        <f>IFERROR(IF(AND(H20&gt;1,H20&lt;&gt;""),ROUND(SUMIFS(SF_Output!$S$1:$S$400,SF_Output!$AC$1:$AC$400,_xlfn.TEXTJOIN(",",TRUE,B20:E20),SF_Output!$Q$1:$Q$400,"monthly")*(1-W20)/H20,4),""),"")</f>
        <v/>
      </c>
      <c r="J20" s="6">
        <f>IF(B20="","",SUMIFS(SF_Output!$S$1:$S$400,SF_Output!$AC$1:$AC$400,_xlfn.TEXTJOIN(",",TRUE,B20:E20),SF_Output!$Q$1:$Q$400,"One Time",SF_Output!$L$1:$L$400,"license fee")+SUMIFS(SF_Output!$S$1:$S$400,SF_Output!$AC$1:$AC$400,_xlfn.TEXTJOIN(",",TRUE,B20:E20),SF_Output!$Q$1:$Q$400,"One Time",SF_Output!$L$1:$L$400,"software license")+SUMIFS(SF_Output!$S$1:$S$400,SF_Output!$AC$1:$AC$400,_xlfn.TEXTJOIN(",",TRUE,B20:E20),SF_Output!$Q$1:$Q$400,"One Time",SF_Output!$L$1:$L$400,"hardware"))</f>
        <v>9000</v>
      </c>
      <c r="K20" s="112">
        <f>IF(OR(B20=0,B20="",G20="hardware",J20=0),"",IF(AF20&lt;&gt;"exclusion",MAX(K$9,-((SUMIFS(SF_Output!$T$1:$T$400,SF_Output!$AC$1:$AC$400,_xlfn.TEXTJOIN(",",TRUE,$B20:$E20),SF_Output!$Q$1:$Q$400,"One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license"))/J20)))</f>
        <v>0</v>
      </c>
      <c r="L20" s="6">
        <f t="shared" si="1"/>
        <v>9000</v>
      </c>
      <c r="N20" s="6">
        <f>IF(B20="","",SUMIFS(SF_Output!$S$1:$S$400,SF_Output!$AC$1:$AC$400,_xlfn.TEXTJOIN(",",TRUE,B20:E20),SF_Output!$Q$1:$Q$400,"One Time",SF_Output!$L$1:$L$400,"professional service"))</f>
        <v>0</v>
      </c>
      <c r="O20" s="112" t="str">
        <f>IF(OR(B20=0,B20="",N20=0),"",IF(AF20&lt;&gt;"exclusion",MAX(O$9,-(SUMIFS(SF_Output!$T$1:$T$400,SF_Output!$AC$1:$AC$400,_xlfn.TEXTJOIN(",",TRUE,$B20:$E20),SF_Output!$Q$1:$Q$400,"One Time",SF_Output!$L$1:$L$400,"professional service"))/N20),-((SUMIFS(SF_Output!$T$1:$T$400,SF_Output!$AC$1:$AC$400,_xlfn.TEXTJOIN(",",TRUE,$B20:$E20),SF_Output!$Q$1:$Q$400,"One Time",SF_Output!$L$1:$L$400,"professional service")/N20))))</f>
        <v/>
      </c>
      <c r="P20" s="6">
        <f t="shared" si="2"/>
        <v>0</v>
      </c>
      <c r="R20" s="6">
        <f>IF(B20="","",SUMIFS(SF_Output!$S$1:$S$400,SF_Output!$AC$1:$AC$400,_xlfn.TEXTJOIN(",",TRUE,B20:E20),SF_Output!$Q$1:$Q$400,"yearly")+SUMIFS(SF_Output!$S$1:$S$400,SF_Output!$AC$1:$AC$400,_xlfn.TEXTJOIN(",",TRUE,B20:E20),SF_Output!$Q$1:$Q$400,"quarterly")*4)</f>
        <v>0</v>
      </c>
      <c r="S20" s="112" t="str">
        <f>IF(OR(B20=0,B20="",G20="hardware",R20=0),"",IF(AF20&lt;&gt;"exclusion",MAX(S$9,-(SUMIFS(SF_Output!$T$1:$T$400,SF_Output!$AC$1:$AC$400,_xlfn.TEXTJOIN(",",TRUE,$B20:$E20),SF_Output!$Q$1:$Q$400,"yearly"))/R20),-((SUMIFS(SF_Output!$T$1:$T$400,SF_Output!$AC$1:$AC$400,_xlfn.TEXTJOIN(",",TRUE,$B20:$E20),SF_Output!$Q$1:$Q$400,"yearly")/R20))))</f>
        <v/>
      </c>
      <c r="T20" s="6">
        <f t="shared" si="3"/>
        <v>0</v>
      </c>
      <c r="V20" s="6" cm="1">
        <f t="array" ref="V20">_xlfn.IFS(B20="","",AND(B20&lt;&gt;"",H20=SF_Output!$Y$2,SUMIFS(SF_Output!$T$1:$T$400,SF_Output!$AC$1:$AC$400,_xlfn.TEXTJOIN(",",TRUE,B20:E20),SF_Output!$Q$1:$Q$400,"monthly")=0),(SUMIFS(SF_Output!$F$1:$F$400,SF_Output!$AC$1:$AC$400,_xlfn.TEXTJOIN(",",TRUE,B20:E20),SF_Output!$Q$1:$Q$400,"monthly")+SUMIFS(SF_Output!$G$1:$G$400,SF_Output!$AC$1:$AC$400,_xlfn.TEXTJOIN(",",TRUE,B20:E20),SF_Output!$Q$1:$Q$400,"monthly"))*H20,AND(B20&lt;&gt;"",H20=SF_Output!$Y$2,SUMIFS(SF_Output!$T$1:$T$400,SF_Output!$AC$1:$AC$400,_xlfn.TEXTJOIN(",",TRUE,B20:E20),SF_Output!$Q$1:$Q$400,"monthly")&lt;&gt;0),SUMIFS(SF_Output!$S$1:$S$400,SF_Output!$AC$1:$AC$400,_xlfn.TEXTJOIN(",",TRUE,B20:E20),SF_Output!$Q$1:$Q$400,"monthly"),AND(B20&lt;&gt;"",H20&lt;&gt;SF_Output!$Y$2),SUMIFS(SF_Output!$S$1:$S$400,SF_Output!$AC$1:$AC$400,_xlfn.TEXTJOIN(",",TRUE,B20:E20),SF_Output!$Q$1:$Q$400,"monthly"))</f>
        <v>0</v>
      </c>
      <c r="W20" s="112" t="str" cm="1">
        <f t="array" ref="W20">_xlfn.IFS(OR(B20=0,B20="",V20=0),"",AF20&lt;&gt;"exclusion",MAX($W$9,$W$7,(-(SUMIFS(SF_Output!$T$1:$T$400,SF_Output!$AC$1:$AC$400,_xlfn.TEXTJOIN(",",TRUE,$B20:$E20),SF_Output!$Q$1:$Q$400,"monthly"))/V20)),AF20="exclusion",-(SUMIFS(SF_Output!$T$1:$T$400,SF_Output!$AC$1:$AC$400,_xlfn.TEXTJOIN(",",TRUE,$B20:$E20),SF_Output!$Q$1:$Q$400,"monthly"))/V20)</f>
        <v/>
      </c>
      <c r="X20" s="6" cm="1">
        <f t="array" ref="X20">IFERROR(_xlfn.IFS(V20=0,0,V20="","",W20=0,V20,OR(V20&lt;&gt;0,V20&lt;&gt;""),H20*I20),V20*(1-W20))</f>
        <v>0</v>
      </c>
      <c r="Z20" s="6">
        <f>IFERROR(IF(B20="","",SUMIFS(Billing_Fallout!H:H,Billing_Fallout!N:N,B20)),0)</f>
        <v>0</v>
      </c>
      <c r="AA20" s="6">
        <f t="shared" si="4"/>
        <v>0</v>
      </c>
      <c r="AB20" s="6">
        <f>IFERROR(IF(B20="","",SUMIFS(Billing_Fallout!J:J,Billing_Fallout!N:N,B20)),0)</f>
        <v>0</v>
      </c>
      <c r="AD20" s="6">
        <f t="shared" si="5"/>
        <v>0</v>
      </c>
      <c r="AF20" t="str">
        <f>IFERROR(INDEX(H_Tables!$B$1:$B$1500,MATCH(INDEX(SF_Output!$J$1:$J$400,MATCH(B20,SF_Output!$M$1:$M$400,0)),H_Tables!$A$1:$A$1500,0)),"")</f>
        <v/>
      </c>
      <c r="AI20" s="119" t="str">
        <f t="shared" si="6"/>
        <v/>
      </c>
      <c r="AJ20" s="121">
        <f>IFERROR(INDEX(SF_Output!AD:AD,MATCH(_xlfn.TEXTJOIN(",",TRUE,B20:E20),SF_Output!AC1:AC400,0)),0.05)</f>
        <v>24</v>
      </c>
      <c r="AK20" t="str">
        <f>IF(SUMIFS(SF_Output!$F$1:$F$400,SF_Output!$AC$1:$AC$400,_xlfn.TEXTJOIN(",",TRUE,B20:E20))+SUMIFS(SF_Output!$G$1:$G$400,SF_Output!$AC$1:$AC$400,_xlfn.TEXTJOIN(",",TRUE,B20:E20))=0,"","PAP")</f>
        <v/>
      </c>
      <c r="AQ20" s="35"/>
      <c r="AR20" s="35" t="str" cm="1">
        <f t="array" ref="AR20">IFERROR(_xlfn.IFS(AND(E20*1=1,F20="Included"),"Change to Included",AND(E20*1=0,F20="Optional"),"Change to Optional",OR(B20="",F20="replaced"),""),"")</f>
        <v/>
      </c>
      <c r="AS20" s="35" t="str">
        <f t="shared" si="7"/>
        <v/>
      </c>
      <c r="AT20" s="35" t="str">
        <f t="shared" si="8"/>
        <v/>
      </c>
      <c r="AU20" s="35" t="str">
        <f t="shared" si="9"/>
        <v/>
      </c>
      <c r="AV20" s="35" t="str">
        <f t="shared" si="10"/>
        <v/>
      </c>
      <c r="AW20" s="35" t="str">
        <f t="shared" si="11"/>
        <v/>
      </c>
      <c r="AX20" s="35" t="str">
        <f t="shared" si="12"/>
        <v/>
      </c>
      <c r="AY20" s="35" t="str">
        <f t="shared" si="13"/>
        <v/>
      </c>
      <c r="AZ20" s="35" t="str">
        <f t="shared" si="14"/>
        <v/>
      </c>
      <c r="BA20" s="35" t="str">
        <f t="shared" si="15"/>
        <v/>
      </c>
      <c r="BB20" s="35" t="str">
        <f t="shared" si="16"/>
        <v/>
      </c>
      <c r="BC20" s="35"/>
      <c r="BE20" s="35">
        <f ca="1">INDEX(SF_Output!$AA$2:$AA$400,MATCH($B20,SF_Output!$M$2:$M$400,0))</f>
        <v>1</v>
      </c>
      <c r="BF20" s="35">
        <f ca="1">INDEX(SF_Output!$AB$2:$AB$400,MATCH($B20,SF_Output!$M$2:$M$400,0))</f>
        <v>1</v>
      </c>
    </row>
    <row r="21" spans="2:58" x14ac:dyDescent="0.25">
      <c r="B21" t="s">
        <v>2170</v>
      </c>
      <c r="C21" t="s">
        <v>2122</v>
      </c>
      <c r="D21" t="s">
        <v>2123</v>
      </c>
      <c r="E21" t="s">
        <v>2124</v>
      </c>
      <c r="F21" s="116" t="str">
        <f t="shared" si="0"/>
        <v>Included</v>
      </c>
      <c r="G21" t="str">
        <f>IF(B21="","",INDEX(SF_Output!$K$1:$K$400,MATCH(B21,SF_Output!$M$1:$M$400,0)))</f>
        <v>SilverLake</v>
      </c>
      <c r="H21" cm="1">
        <f t="array" ref="H21">_xlfn.IFS(B21="","",(SUMIFS(SF_Output!$F$1:$F$400,SF_Output!$AC$1:$AC$400,_xlfn.TEXTJOIN(",",TRUE,B21:E21))+SUMIFS(SF_Output!$G$1:$G$400,SF_Output!$AC$1:$AC$400,_xlfn.TEXTJOIN(",",TRUE,B21:E21)))&lt;&gt;0,SF_Output!$Y$2,INDEX(SF_Output!$F$1:$F$400,MATCH(_xlfn.TEXTJOIN(",",TRUE,B21:E21),SF_Output!$AC$1:$AC$400,0))=0,INDEX(SF_Output!$R$1:$R$400,MATCH(_xlfn.TEXTJOIN(",",TRUE,B21:E21),SF_Output!$AC$1:$AC$400,0)))</f>
        <v>1</v>
      </c>
      <c r="I21" s="125" t="str">
        <f>IFERROR(IF(AND(H21&gt;1,H21&lt;&gt;""),ROUND(SUMIFS(SF_Output!$S$1:$S$400,SF_Output!$AC$1:$AC$400,_xlfn.TEXTJOIN(",",TRUE,B21:E21),SF_Output!$Q$1:$Q$400,"monthly")*(1-W21)/H21,4),""),"")</f>
        <v/>
      </c>
      <c r="J21" s="6">
        <f>IF(B21="","",SUMIFS(SF_Output!$S$1:$S$400,SF_Output!$AC$1:$AC$400,_xlfn.TEXTJOIN(",",TRUE,B21:E21),SF_Output!$Q$1:$Q$400,"One Time",SF_Output!$L$1:$L$400,"license fee")+SUMIFS(SF_Output!$S$1:$S$400,SF_Output!$AC$1:$AC$400,_xlfn.TEXTJOIN(",",TRUE,B21:E21),SF_Output!$Q$1:$Q$400,"One Time",SF_Output!$L$1:$L$400,"software license")+SUMIFS(SF_Output!$S$1:$S$400,SF_Output!$AC$1:$AC$400,_xlfn.TEXTJOIN(",",TRUE,B21:E21),SF_Output!$Q$1:$Q$400,"One Time",SF_Output!$L$1:$L$400,"hardware"))</f>
        <v>0</v>
      </c>
      <c r="K21" s="112" t="str">
        <f>IF(OR(B21=0,B21="",G21="hardware",J21=0),"",IF(AF21&lt;&gt;"exclusion",MAX(K$9,-((SUMIFS(SF_Output!$T$1:$T$400,SF_Output!$AC$1:$AC$400,_xlfn.TEXTJOIN(",",TRUE,$B21:$E21),SF_Output!$Q$1:$Q$400,"One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license"))/J21)))</f>
        <v/>
      </c>
      <c r="L21" s="6">
        <f t="shared" si="1"/>
        <v>0</v>
      </c>
      <c r="N21" s="6">
        <f>IF(B21="","",SUMIFS(SF_Output!$S$1:$S$400,SF_Output!$AC$1:$AC$400,_xlfn.TEXTJOIN(",",TRUE,B21:E21),SF_Output!$Q$1:$Q$400,"One Time",SF_Output!$L$1:$L$400,"professional service"))</f>
        <v>2500</v>
      </c>
      <c r="O21" s="112">
        <f>IF(OR(B21=0,B21="",N21=0),"",IF(AF21&lt;&gt;"exclusion",MAX(O$9,-(SUMIFS(SF_Output!$T$1:$T$400,SF_Output!$AC$1:$AC$400,_xlfn.TEXTJOIN(",",TRUE,$B21:$E21),SF_Output!$Q$1:$Q$400,"One Time",SF_Output!$L$1:$L$400,"professional service"))/N21),-((SUMIFS(SF_Output!$T$1:$T$400,SF_Output!$AC$1:$AC$400,_xlfn.TEXTJOIN(",",TRUE,$B21:$E21),SF_Output!$Q$1:$Q$400,"One Time",SF_Output!$L$1:$L$400,"professional service")/N21))))</f>
        <v>1</v>
      </c>
      <c r="P21" s="6">
        <f t="shared" si="2"/>
        <v>0</v>
      </c>
      <c r="R21" s="6">
        <f>IF(B21="","",SUMIFS(SF_Output!$S$1:$S$400,SF_Output!$AC$1:$AC$400,_xlfn.TEXTJOIN(",",TRUE,B21:E21),SF_Output!$Q$1:$Q$400,"yearly")+SUMIFS(SF_Output!$S$1:$S$400,SF_Output!$AC$1:$AC$400,_xlfn.TEXTJOIN(",",TRUE,B21:E21),SF_Output!$Q$1:$Q$400,"quarterly")*4)</f>
        <v>0</v>
      </c>
      <c r="S21" s="112" t="str">
        <f>IF(OR(B21=0,B21="",G21="hardware",R21=0),"",IF(AF21&lt;&gt;"exclusion",MAX(S$9,-(SUMIFS(SF_Output!$T$1:$T$400,SF_Output!$AC$1:$AC$400,_xlfn.TEXTJOIN(",",TRUE,$B21:$E21),SF_Output!$Q$1:$Q$400,"yearly"))/R21),-((SUMIFS(SF_Output!$T$1:$T$400,SF_Output!$AC$1:$AC$400,_xlfn.TEXTJOIN(",",TRUE,$B21:$E21),SF_Output!$Q$1:$Q$400,"yearly")/R21))))</f>
        <v/>
      </c>
      <c r="T21" s="6">
        <f t="shared" si="3"/>
        <v>0</v>
      </c>
      <c r="V21" s="6" cm="1">
        <f t="array" ref="V21">_xlfn.IFS(B21="","",AND(B21&lt;&gt;"",H21=SF_Output!$Y$2,SUMIFS(SF_Output!$T$1:$T$400,SF_Output!$AC$1:$AC$400,_xlfn.TEXTJOIN(",",TRUE,B21:E21),SF_Output!$Q$1:$Q$400,"monthly")=0),(SUMIFS(SF_Output!$F$1:$F$400,SF_Output!$AC$1:$AC$400,_xlfn.TEXTJOIN(",",TRUE,B21:E21),SF_Output!$Q$1:$Q$400,"monthly")+SUMIFS(SF_Output!$G$1:$G$400,SF_Output!$AC$1:$AC$400,_xlfn.TEXTJOIN(",",TRUE,B21:E21),SF_Output!$Q$1:$Q$400,"monthly"))*H21,AND(B21&lt;&gt;"",H21=SF_Output!$Y$2,SUMIFS(SF_Output!$T$1:$T$400,SF_Output!$AC$1:$AC$400,_xlfn.TEXTJOIN(",",TRUE,B21:E21),SF_Output!$Q$1:$Q$400,"monthly")&lt;&gt;0),SUMIFS(SF_Output!$S$1:$S$400,SF_Output!$AC$1:$AC$400,_xlfn.TEXTJOIN(",",TRUE,B21:E21),SF_Output!$Q$1:$Q$400,"monthly"),AND(B21&lt;&gt;"",H21&lt;&gt;SF_Output!$Y$2),SUMIFS(SF_Output!$S$1:$S$400,SF_Output!$AC$1:$AC$400,_xlfn.TEXTJOIN(",",TRUE,B21:E21),SF_Output!$Q$1:$Q$400,"monthly"))</f>
        <v>300</v>
      </c>
      <c r="W21" s="112" cm="1">
        <f t="array" ref="W21">_xlfn.IFS(OR(B21=0,B21="",V21=0),"",AF21&lt;&gt;"exclusion",MAX($W$9,$W$7,(-(SUMIFS(SF_Output!$T$1:$T$400,SF_Output!$AC$1:$AC$400,_xlfn.TEXTJOIN(",",TRUE,$B21:$E21),SF_Output!$Q$1:$Q$400,"monthly"))/V21)),AF21="exclusion",-(SUMIFS(SF_Output!$T$1:$T$400,SF_Output!$AC$1:$AC$400,_xlfn.TEXTJOIN(",",TRUE,$B21:$E21),SF_Output!$Q$1:$Q$400,"monthly"))/V21)</f>
        <v>0.25</v>
      </c>
      <c r="X21" s="6" cm="1">
        <f t="array" ref="X21">IFERROR(_xlfn.IFS(V21=0,0,V21="","",W21=0,V21,OR(V21&lt;&gt;0,V21&lt;&gt;""),H21*I21),V21*(1-W21))</f>
        <v>225</v>
      </c>
      <c r="Z21" s="6">
        <f>IFERROR(IF(B21="","",SUMIFS(Billing_Fallout!H:H,Billing_Fallout!N:N,B21)),0)</f>
        <v>0</v>
      </c>
      <c r="AA21" s="6">
        <f t="shared" si="4"/>
        <v>0</v>
      </c>
      <c r="AB21" s="6">
        <f>IFERROR(IF(B21="","",SUMIFS(Billing_Fallout!J:J,Billing_Fallout!N:N,B21)),0)</f>
        <v>0</v>
      </c>
      <c r="AD21" s="6">
        <f t="shared" si="5"/>
        <v>225</v>
      </c>
      <c r="AF21" t="str">
        <f>IFERROR(INDEX(H_Tables!$B$1:$B$1500,MATCH(INDEX(SF_Output!$J$1:$J$400,MATCH(B21,SF_Output!$M$1:$M$400,0)),H_Tables!$A$1:$A$1500,0)),"")</f>
        <v>Exclusion</v>
      </c>
      <c r="AI21" s="119" t="str">
        <f t="shared" si="6"/>
        <v/>
      </c>
      <c r="AJ21" s="121">
        <f>IFERROR(INDEX(SF_Output!AD:AD,MATCH(_xlfn.TEXTJOIN(",",TRUE,B21:E21),SF_Output!AC1:AC400,0)),0.05)</f>
        <v>27</v>
      </c>
      <c r="AK21" t="str">
        <f>IF(SUMIFS(SF_Output!$F$1:$F$400,SF_Output!$AC$1:$AC$400,_xlfn.TEXTJOIN(",",TRUE,B21:E21))+SUMIFS(SF_Output!$G$1:$G$400,SF_Output!$AC$1:$AC$400,_xlfn.TEXTJOIN(",",TRUE,B21:E21))=0,"","PAP")</f>
        <v/>
      </c>
      <c r="AQ21" s="35"/>
      <c r="AR21" s="35" t="str" cm="1">
        <f t="array" ref="AR21">IFERROR(_xlfn.IFS(AND(E21*1=1,F21="Included"),"Change to Included",AND(E21*1=0,F21="Optional"),"Change to Optional",OR(B21="",F21="replaced"),""),"")</f>
        <v/>
      </c>
      <c r="AS21" s="35" t="str">
        <f t="shared" si="7"/>
        <v/>
      </c>
      <c r="AT21" s="35" t="str">
        <f t="shared" si="8"/>
        <v/>
      </c>
      <c r="AU21" s="35" t="str">
        <f t="shared" si="9"/>
        <v/>
      </c>
      <c r="AV21" s="35" t="str">
        <f t="shared" si="10"/>
        <v/>
      </c>
      <c r="AW21" s="35" t="str">
        <f t="shared" si="11"/>
        <v/>
      </c>
      <c r="AX21" s="35" t="str">
        <f t="shared" si="12"/>
        <v/>
      </c>
      <c r="AY21" s="35" t="str">
        <f t="shared" si="13"/>
        <v/>
      </c>
      <c r="AZ21" s="35" t="str">
        <f t="shared" si="14"/>
        <v/>
      </c>
      <c r="BA21" s="35" t="str">
        <f t="shared" si="15"/>
        <v/>
      </c>
      <c r="BB21" s="35" t="str">
        <f t="shared" si="16"/>
        <v/>
      </c>
      <c r="BC21" s="35"/>
      <c r="BE21" s="35">
        <f ca="1">INDEX(SF_Output!$AA$2:$AA$400,MATCH($B21,SF_Output!$M$2:$M$400,0))</f>
        <v>1</v>
      </c>
      <c r="BF21" s="35">
        <f ca="1">INDEX(SF_Output!$AB$2:$AB$400,MATCH($B21,SF_Output!$M$2:$M$400,0))</f>
        <v>1</v>
      </c>
    </row>
    <row r="22" spans="2:58" x14ac:dyDescent="0.25">
      <c r="B22" t="s">
        <v>2322</v>
      </c>
      <c r="C22" t="s">
        <v>2122</v>
      </c>
      <c r="D22" t="s">
        <v>2123</v>
      </c>
      <c r="E22" t="s">
        <v>2124</v>
      </c>
      <c r="F22" s="116" t="str">
        <f t="shared" si="0"/>
        <v>Included</v>
      </c>
      <c r="G22" t="str">
        <f>IF(B22="","",INDEX(SF_Output!$K$1:$K$400,MATCH(B22,SF_Output!$M$1:$M$400,0)))</f>
        <v>Xperience</v>
      </c>
      <c r="H22" cm="1">
        <f t="array" ref="H22">_xlfn.IFS(B22="","",(SUMIFS(SF_Output!$F$1:$F$400,SF_Output!$AC$1:$AC$400,_xlfn.TEXTJOIN(",",TRUE,B22:E22))+SUMIFS(SF_Output!$G$1:$G$400,SF_Output!$AC$1:$AC$400,_xlfn.TEXTJOIN(",",TRUE,B22:E22)))&lt;&gt;0,SF_Output!$Y$2,INDEX(SF_Output!$F$1:$F$400,MATCH(_xlfn.TEXTJOIN(",",TRUE,B22:E22),SF_Output!$AC$1:$AC$400,0))=0,INDEX(SF_Output!$R$1:$R$400,MATCH(_xlfn.TEXTJOIN(",",TRUE,B22:E22),SF_Output!$AC$1:$AC$400,0)))</f>
        <v>5000</v>
      </c>
      <c r="I22" s="125">
        <f>IFERROR(IF(AND(H22&gt;1,H22&lt;&gt;""),ROUND(SUMIFS(SF_Output!$S$1:$S$400,SF_Output!$AC$1:$AC$400,_xlfn.TEXTJOIN(",",TRUE,B22:E22),SF_Output!$Q$1:$Q$400,"monthly")*(1-W22)/H22,4),""),"")</f>
        <v>2.2499999999999999E-2</v>
      </c>
      <c r="J22" s="6">
        <f>IF(B22="","",SUMIFS(SF_Output!$S$1:$S$400,SF_Output!$AC$1:$AC$400,_xlfn.TEXTJOIN(",",TRUE,B22:E22),SF_Output!$Q$1:$Q$400,"One Time",SF_Output!$L$1:$L$400,"license fee")+SUMIFS(SF_Output!$S$1:$S$400,SF_Output!$AC$1:$AC$400,_xlfn.TEXTJOIN(",",TRUE,B22:E22),SF_Output!$Q$1:$Q$400,"One Time",SF_Output!$L$1:$L$400,"software license")+SUMIFS(SF_Output!$S$1:$S$400,SF_Output!$AC$1:$AC$400,_xlfn.TEXTJOIN(",",TRUE,B22:E22),SF_Output!$Q$1:$Q$400,"One Time",SF_Output!$L$1:$L$400,"hardware"))</f>
        <v>0</v>
      </c>
      <c r="K22" s="112" t="str">
        <f>IF(OR(B22=0,B22="",G22="hardware",J22=0),"",IF(AF22&lt;&gt;"exclusion",MAX(K$9,-((SUMIFS(SF_Output!$T$1:$T$400,SF_Output!$AC$1:$AC$400,_xlfn.TEXTJOIN(",",TRUE,$B22:$E22),SF_Output!$Q$1:$Q$400,"One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license"))/J22)))</f>
        <v/>
      </c>
      <c r="L22" s="6">
        <f t="shared" si="1"/>
        <v>0</v>
      </c>
      <c r="N22" s="6">
        <f>IF(B22="","",SUMIFS(SF_Output!$S$1:$S$400,SF_Output!$AC$1:$AC$400,_xlfn.TEXTJOIN(",",TRUE,B22:E22),SF_Output!$Q$1:$Q$400,"One Time",SF_Output!$L$1:$L$400,"professional service"))</f>
        <v>0</v>
      </c>
      <c r="O22" s="112" t="str">
        <f>IF(OR(B22=0,B22="",N22=0),"",IF(AF22&lt;&gt;"exclusion",MAX(O$9,-(SUMIFS(SF_Output!$T$1:$T$400,SF_Output!$AC$1:$AC$400,_xlfn.TEXTJOIN(",",TRUE,$B22:$E22),SF_Output!$Q$1:$Q$400,"One Time",SF_Output!$L$1:$L$400,"professional service"))/N22),-((SUMIFS(SF_Output!$T$1:$T$400,SF_Output!$AC$1:$AC$400,_xlfn.TEXTJOIN(",",TRUE,$B22:$E22),SF_Output!$Q$1:$Q$400,"One Time",SF_Output!$L$1:$L$400,"professional service")/N22))))</f>
        <v/>
      </c>
      <c r="P22" s="6">
        <f t="shared" si="2"/>
        <v>0</v>
      </c>
      <c r="R22" s="6">
        <f>IF(B22="","",SUMIFS(SF_Output!$S$1:$S$400,SF_Output!$AC$1:$AC$400,_xlfn.TEXTJOIN(",",TRUE,B22:E22),SF_Output!$Q$1:$Q$400,"yearly")+SUMIFS(SF_Output!$S$1:$S$400,SF_Output!$AC$1:$AC$400,_xlfn.TEXTJOIN(",",TRUE,B22:E22),SF_Output!$Q$1:$Q$400,"quarterly")*4)</f>
        <v>0</v>
      </c>
      <c r="S22" s="112" t="str">
        <f>IF(OR(B22=0,B22="",G22="hardware",R22=0),"",IF(AF22&lt;&gt;"exclusion",MAX(S$9,-(SUMIFS(SF_Output!$T$1:$T$400,SF_Output!$AC$1:$AC$400,_xlfn.TEXTJOIN(",",TRUE,$B22:$E22),SF_Output!$Q$1:$Q$400,"yearly"))/R22),-((SUMIFS(SF_Output!$T$1:$T$400,SF_Output!$AC$1:$AC$400,_xlfn.TEXTJOIN(",",TRUE,$B22:$E22),SF_Output!$Q$1:$Q$400,"yearly")/R22))))</f>
        <v/>
      </c>
      <c r="T22" s="6">
        <f t="shared" si="3"/>
        <v>0</v>
      </c>
      <c r="V22" s="6" cm="1">
        <f t="array" ref="V22">_xlfn.IFS(B22="","",AND(B22&lt;&gt;"",H22=SF_Output!$Y$2,SUMIFS(SF_Output!$T$1:$T$400,SF_Output!$AC$1:$AC$400,_xlfn.TEXTJOIN(",",TRUE,B22:E22),SF_Output!$Q$1:$Q$400,"monthly")=0),(SUMIFS(SF_Output!$F$1:$F$400,SF_Output!$AC$1:$AC$400,_xlfn.TEXTJOIN(",",TRUE,B22:E22),SF_Output!$Q$1:$Q$400,"monthly")+SUMIFS(SF_Output!$G$1:$G$400,SF_Output!$AC$1:$AC$400,_xlfn.TEXTJOIN(",",TRUE,B22:E22),SF_Output!$Q$1:$Q$400,"monthly"))*H22,AND(B22&lt;&gt;"",H22=SF_Output!$Y$2,SUMIFS(SF_Output!$T$1:$T$400,SF_Output!$AC$1:$AC$400,_xlfn.TEXTJOIN(",",TRUE,B22:E22),SF_Output!$Q$1:$Q$400,"monthly")&lt;&gt;0),SUMIFS(SF_Output!$S$1:$S$400,SF_Output!$AC$1:$AC$400,_xlfn.TEXTJOIN(",",TRUE,B22:E22),SF_Output!$Q$1:$Q$400,"monthly"),AND(B22&lt;&gt;"",H22&lt;&gt;SF_Output!$Y$2),SUMIFS(SF_Output!$S$1:$S$400,SF_Output!$AC$1:$AC$400,_xlfn.TEXTJOIN(",",TRUE,B22:E22),SF_Output!$Q$1:$Q$400,"monthly"))</f>
        <v>150</v>
      </c>
      <c r="W22" s="112" cm="1">
        <f t="array" ref="W22">_xlfn.IFS(OR(B22=0,B22="",V22=0),"",AF22&lt;&gt;"exclusion",MAX($W$9,$W$7,(-(SUMIFS(SF_Output!$T$1:$T$400,SF_Output!$AC$1:$AC$400,_xlfn.TEXTJOIN(",",TRUE,$B22:$E22),SF_Output!$Q$1:$Q$400,"monthly"))/V22)),AF22="exclusion",-(SUMIFS(SF_Output!$T$1:$T$400,SF_Output!$AC$1:$AC$400,_xlfn.TEXTJOIN(",",TRUE,$B22:$E22),SF_Output!$Q$1:$Q$400,"monthly"))/V22)</f>
        <v>0.25</v>
      </c>
      <c r="X22" s="6" cm="1">
        <f t="array" ref="X22">IFERROR(_xlfn.IFS(V22=0,0,V22="","",W22=0,V22,OR(V22&lt;&gt;0,V22&lt;&gt;""),H22*I22),V22*(1-W22))</f>
        <v>112.5</v>
      </c>
      <c r="Z22" s="6">
        <f>IFERROR(IF(B22="","",SUMIFS(Billing_Fallout!H:H,Billing_Fallout!N:N,B22)),0)</f>
        <v>0</v>
      </c>
      <c r="AA22" s="6">
        <f t="shared" si="4"/>
        <v>0</v>
      </c>
      <c r="AB22" s="6">
        <f>IFERROR(IF(B22="","",SUMIFS(Billing_Fallout!J:J,Billing_Fallout!N:N,B22)),0)</f>
        <v>0</v>
      </c>
      <c r="AD22" s="6">
        <f t="shared" si="5"/>
        <v>112.5</v>
      </c>
      <c r="AF22" t="str">
        <f>IFERROR(INDEX(H_Tables!$B$1:$B$1500,MATCH(INDEX(SF_Output!$J$1:$J$400,MATCH(B22,SF_Output!$M$1:$M$400,0)),H_Tables!$A$1:$A$1500,0)),"")</f>
        <v/>
      </c>
      <c r="AI22" s="119" t="str">
        <f t="shared" si="6"/>
        <v/>
      </c>
      <c r="AJ22" s="121">
        <f>IFERROR(INDEX(SF_Output!AD:AD,MATCH(_xlfn.TEXTJOIN(",",TRUE,B22:E22),SF_Output!AC1:AC400,0)),0.05)</f>
        <v>143</v>
      </c>
      <c r="AK22" t="str">
        <f>IF(SUMIFS(SF_Output!$F$1:$F$400,SF_Output!$AC$1:$AC$400,_xlfn.TEXTJOIN(",",TRUE,B22:E22))+SUMIFS(SF_Output!$G$1:$G$400,SF_Output!$AC$1:$AC$400,_xlfn.TEXTJOIN(",",TRUE,B22:E22))=0,"","PAP")</f>
        <v>PAP</v>
      </c>
      <c r="AQ22" s="35"/>
      <c r="AR22" s="35" t="str" cm="1">
        <f t="array" ref="AR22">IFERROR(_xlfn.IFS(AND(E22*1=1,F22="Included"),"Change to Included",AND(E22*1=0,F22="Optional"),"Change to Optional",OR(B22="",F22="replaced"),""),"")</f>
        <v/>
      </c>
      <c r="AS22" s="35" t="str">
        <f t="shared" si="7"/>
        <v/>
      </c>
      <c r="AT22" s="35" t="str">
        <f t="shared" si="8"/>
        <v/>
      </c>
      <c r="AU22" s="35" t="str">
        <f t="shared" si="9"/>
        <v/>
      </c>
      <c r="AV22" s="35" t="str">
        <f t="shared" si="10"/>
        <v/>
      </c>
      <c r="AW22" s="35" t="str">
        <f t="shared" si="11"/>
        <v/>
      </c>
      <c r="AX22" s="35" t="str">
        <f t="shared" si="12"/>
        <v/>
      </c>
      <c r="AY22" s="35" t="str">
        <f t="shared" si="13"/>
        <v/>
      </c>
      <c r="AZ22" s="35" t="str">
        <f t="shared" si="14"/>
        <v/>
      </c>
      <c r="BA22" s="35" t="str">
        <f t="shared" si="15"/>
        <v/>
      </c>
      <c r="BB22" s="35" t="str">
        <f t="shared" si="16"/>
        <v/>
      </c>
      <c r="BC22" s="35"/>
      <c r="BE22" s="35">
        <f ca="1">INDEX(SF_Output!$AA$2:$AA$400,MATCH($B22,SF_Output!$M$2:$M$400,0))</f>
        <v>1</v>
      </c>
      <c r="BF22" s="35">
        <f ca="1">INDEX(SF_Output!$AB$2:$AB$400,MATCH($B22,SF_Output!$M$2:$M$400,0))</f>
        <v>4</v>
      </c>
    </row>
    <row r="23" spans="2:58" x14ac:dyDescent="0.25">
      <c r="B23" t="s">
        <v>2153</v>
      </c>
      <c r="C23" t="s">
        <v>2122</v>
      </c>
      <c r="D23" t="s">
        <v>2123</v>
      </c>
      <c r="E23" t="s">
        <v>2150</v>
      </c>
      <c r="F23" s="116" t="str">
        <f t="shared" si="0"/>
        <v>Optional</v>
      </c>
      <c r="G23" t="str">
        <f>IF(B23="","",INDEX(SF_Output!$K$1:$K$400,MATCH(B23,SF_Output!$M$1:$M$400,0)))</f>
        <v>SilverLake</v>
      </c>
      <c r="H23" cm="1">
        <f t="array" ref="H23">_xlfn.IFS(B23="","",(SUMIFS(SF_Output!$F$1:$F$400,SF_Output!$AC$1:$AC$400,_xlfn.TEXTJOIN(",",TRUE,B23:E23))+SUMIFS(SF_Output!$G$1:$G$400,SF_Output!$AC$1:$AC$400,_xlfn.TEXTJOIN(",",TRUE,B23:E23)))&lt;&gt;0,SF_Output!$Y$2,INDEX(SF_Output!$F$1:$F$400,MATCH(_xlfn.TEXTJOIN(",",TRUE,B23:E23),SF_Output!$AC$1:$AC$400,0))=0,INDEX(SF_Output!$R$1:$R$400,MATCH(_xlfn.TEXTJOIN(",",TRUE,B23:E23),SF_Output!$AC$1:$AC$400,0)))</f>
        <v>1</v>
      </c>
      <c r="I23" s="125" t="str">
        <f>IFERROR(IF(AND(H23&gt;1,H23&lt;&gt;""),ROUND(SUMIFS(SF_Output!$S$1:$S$400,SF_Output!$AC$1:$AC$400,_xlfn.TEXTJOIN(",",TRUE,B23:E23),SF_Output!$Q$1:$Q$400,"monthly")*(1-W23)/H23,4),""),"")</f>
        <v/>
      </c>
      <c r="J23" s="6">
        <f>IF(B23="","",SUMIFS(SF_Output!$S$1:$S$400,SF_Output!$AC$1:$AC$400,_xlfn.TEXTJOIN(",",TRUE,B23:E23),SF_Output!$Q$1:$Q$400,"One Time",SF_Output!$L$1:$L$400,"license fee")+SUMIFS(SF_Output!$S$1:$S$400,SF_Output!$AC$1:$AC$400,_xlfn.TEXTJOIN(",",TRUE,B23:E23),SF_Output!$Q$1:$Q$400,"One Time",SF_Output!$L$1:$L$400,"software license")+SUMIFS(SF_Output!$S$1:$S$400,SF_Output!$AC$1:$AC$400,_xlfn.TEXTJOIN(",",TRUE,B23:E23),SF_Output!$Q$1:$Q$400,"One Time",SF_Output!$L$1:$L$400,"hardware"))</f>
        <v>0</v>
      </c>
      <c r="K23" s="112" t="str">
        <f>IF(OR(B23=0,B23="",G23="hardware",J23=0),"",IF(AF23&lt;&gt;"exclusion",MAX(K$9,-((SUMIFS(SF_Output!$T$1:$T$400,SF_Output!$AC$1:$AC$400,_xlfn.TEXTJOIN(",",TRUE,$B23:$E23),SF_Output!$Q$1:$Q$400,"One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license"))/J23)))</f>
        <v/>
      </c>
      <c r="L23" s="6">
        <f t="shared" si="1"/>
        <v>0</v>
      </c>
      <c r="N23" s="6">
        <f>IF(B23="","",SUMIFS(SF_Output!$S$1:$S$400,SF_Output!$AC$1:$AC$400,_xlfn.TEXTJOIN(",",TRUE,B23:E23),SF_Output!$Q$1:$Q$400,"One Time",SF_Output!$L$1:$L$400,"professional service"))</f>
        <v>5000</v>
      </c>
      <c r="O23" s="112">
        <f>IF(OR(B23=0,B23="",N23=0),"",IF(AF23&lt;&gt;"exclusion",MAX(O$9,-(SUMIFS(SF_Output!$T$1:$T$400,SF_Output!$AC$1:$AC$400,_xlfn.TEXTJOIN(",",TRUE,$B23:$E23),SF_Output!$Q$1:$Q$400,"One Time",SF_Output!$L$1:$L$400,"professional service"))/N23),-((SUMIFS(SF_Output!$T$1:$T$400,SF_Output!$AC$1:$AC$400,_xlfn.TEXTJOIN(",",TRUE,$B23:$E23),SF_Output!$Q$1:$Q$400,"One Time",SF_Output!$L$1:$L$400,"professional service")/N23))))</f>
        <v>1</v>
      </c>
      <c r="P23" s="6">
        <f t="shared" si="2"/>
        <v>0</v>
      </c>
      <c r="R23" s="6">
        <f>IF(B23="","",SUMIFS(SF_Output!$S$1:$S$400,SF_Output!$AC$1:$AC$400,_xlfn.TEXTJOIN(",",TRUE,B23:E23),SF_Output!$Q$1:$Q$400,"yearly")+SUMIFS(SF_Output!$S$1:$S$400,SF_Output!$AC$1:$AC$400,_xlfn.TEXTJOIN(",",TRUE,B23:E23),SF_Output!$Q$1:$Q$400,"quarterly")*4)</f>
        <v>0</v>
      </c>
      <c r="S23" s="112" t="str">
        <f>IF(OR(B23=0,B23="",G23="hardware",R23=0),"",IF(AF23&lt;&gt;"exclusion",MAX(S$9,-(SUMIFS(SF_Output!$T$1:$T$400,SF_Output!$AC$1:$AC$400,_xlfn.TEXTJOIN(",",TRUE,$B23:$E23),SF_Output!$Q$1:$Q$400,"yearly"))/R23),-((SUMIFS(SF_Output!$T$1:$T$400,SF_Output!$AC$1:$AC$400,_xlfn.TEXTJOIN(",",TRUE,$B23:$E23),SF_Output!$Q$1:$Q$400,"yearly")/R23))))</f>
        <v/>
      </c>
      <c r="T23" s="6">
        <f t="shared" si="3"/>
        <v>0</v>
      </c>
      <c r="V23" s="6" cm="1">
        <f t="array" ref="V23">_xlfn.IFS(B23="","",AND(B23&lt;&gt;"",H23=SF_Output!$Y$2,SUMIFS(SF_Output!$T$1:$T$400,SF_Output!$AC$1:$AC$400,_xlfn.TEXTJOIN(",",TRUE,B23:E23),SF_Output!$Q$1:$Q$400,"monthly")=0),(SUMIFS(SF_Output!$F$1:$F$400,SF_Output!$AC$1:$AC$400,_xlfn.TEXTJOIN(",",TRUE,B23:E23),SF_Output!$Q$1:$Q$400,"monthly")+SUMIFS(SF_Output!$G$1:$G$400,SF_Output!$AC$1:$AC$400,_xlfn.TEXTJOIN(",",TRUE,B23:E23),SF_Output!$Q$1:$Q$400,"monthly"))*H23,AND(B23&lt;&gt;"",H23=SF_Output!$Y$2,SUMIFS(SF_Output!$T$1:$T$400,SF_Output!$AC$1:$AC$400,_xlfn.TEXTJOIN(",",TRUE,B23:E23),SF_Output!$Q$1:$Q$400,"monthly")&lt;&gt;0),SUMIFS(SF_Output!$S$1:$S$400,SF_Output!$AC$1:$AC$400,_xlfn.TEXTJOIN(",",TRUE,B23:E23),SF_Output!$Q$1:$Q$400,"monthly"),AND(B23&lt;&gt;"",H23&lt;&gt;SF_Output!$Y$2),SUMIFS(SF_Output!$S$1:$S$400,SF_Output!$AC$1:$AC$400,_xlfn.TEXTJOIN(",",TRUE,B23:E23),SF_Output!$Q$1:$Q$400,"monthly"))</f>
        <v>220</v>
      </c>
      <c r="W23" s="112" cm="1">
        <f t="array" ref="W23">_xlfn.IFS(OR(B23=0,B23="",V23=0),"",AF23&lt;&gt;"exclusion",MAX($W$9,$W$7,(-(SUMIFS(SF_Output!$T$1:$T$400,SF_Output!$AC$1:$AC$400,_xlfn.TEXTJOIN(",",TRUE,$B23:$E23),SF_Output!$Q$1:$Q$400,"monthly"))/V23)),AF23="exclusion",-(SUMIFS(SF_Output!$T$1:$T$400,SF_Output!$AC$1:$AC$400,_xlfn.TEXTJOIN(",",TRUE,$B23:$E23),SF_Output!$Q$1:$Q$400,"monthly"))/V23)</f>
        <v>0.25</v>
      </c>
      <c r="X23" s="6" cm="1">
        <f t="array" ref="X23">IFERROR(_xlfn.IFS(V23=0,0,V23="","",W23=0,V23,OR(V23&lt;&gt;0,V23&lt;&gt;""),H23*I23),V23*(1-W23))</f>
        <v>165</v>
      </c>
      <c r="Z23" s="6">
        <f>IFERROR(IF(B23="","",SUMIFS(Billing_Fallout!H:H,Billing_Fallout!N:N,B23)),0)</f>
        <v>0</v>
      </c>
      <c r="AA23" s="6">
        <f t="shared" si="4"/>
        <v>0</v>
      </c>
      <c r="AB23" s="6">
        <f>IFERROR(IF(B23="","",SUMIFS(Billing_Fallout!J:J,Billing_Fallout!N:N,B23)),0)</f>
        <v>0</v>
      </c>
      <c r="AD23" s="6">
        <f t="shared" si="5"/>
        <v>165</v>
      </c>
      <c r="AF23" t="str">
        <f>IFERROR(INDEX(H_Tables!$B$1:$B$1500,MATCH(INDEX(SF_Output!$J$1:$J$400,MATCH(B23,SF_Output!$M$1:$M$400,0)),H_Tables!$A$1:$A$1500,0)),"")</f>
        <v/>
      </c>
      <c r="AI23" s="119" t="str">
        <f t="shared" si="6"/>
        <v/>
      </c>
      <c r="AJ23" s="121">
        <f>IFERROR(INDEX(SF_Output!AD:AD,MATCH(_xlfn.TEXTJOIN(",",TRUE,B23:E23),SF_Output!AC1:AC400,0)),0.05)</f>
        <v>16</v>
      </c>
      <c r="AK23" t="str">
        <f>IF(SUMIFS(SF_Output!$F$1:$F$400,SF_Output!$AC$1:$AC$400,_xlfn.TEXTJOIN(",",TRUE,B23:E23))+SUMIFS(SF_Output!$G$1:$G$400,SF_Output!$AC$1:$AC$400,_xlfn.TEXTJOIN(",",TRUE,B23:E23))=0,"","PAP")</f>
        <v/>
      </c>
      <c r="AQ23" s="35"/>
      <c r="AR23" s="35" t="str" cm="1">
        <f t="array" ref="AR23">IFERROR(_xlfn.IFS(AND(E23*1=1,F23="Included"),"Change to Included",AND(E23*1=0,F23="Optional"),"Change to Optional",OR(B23="",F23="replaced"),""),"")</f>
        <v/>
      </c>
      <c r="AS23" s="35" t="str">
        <f t="shared" si="7"/>
        <v/>
      </c>
      <c r="AT23" s="35" t="str">
        <f t="shared" si="8"/>
        <v/>
      </c>
      <c r="AU23" s="35" t="str">
        <f t="shared" si="9"/>
        <v/>
      </c>
      <c r="AV23" s="35" t="str">
        <f t="shared" si="10"/>
        <v/>
      </c>
      <c r="AW23" s="35" t="str">
        <f t="shared" si="11"/>
        <v/>
      </c>
      <c r="AX23" s="35" t="str">
        <f t="shared" si="12"/>
        <v/>
      </c>
      <c r="AY23" s="35" t="str">
        <f t="shared" si="13"/>
        <v/>
      </c>
      <c r="AZ23" s="35" t="str">
        <f t="shared" si="14"/>
        <v/>
      </c>
      <c r="BA23" s="35" t="str">
        <f t="shared" si="15"/>
        <v/>
      </c>
      <c r="BB23" s="35" t="str">
        <f t="shared" si="16"/>
        <v/>
      </c>
      <c r="BC23" s="35"/>
      <c r="BE23" s="35">
        <f ca="1">INDEX(SF_Output!$AA$2:$AA$400,MATCH($B23,SF_Output!$M$2:$M$400,0))</f>
        <v>2</v>
      </c>
      <c r="BF23" s="35">
        <f ca="1">INDEX(SF_Output!$AB$2:$AB$400,MATCH($B23,SF_Output!$M$2:$M$400,0))</f>
        <v>1</v>
      </c>
    </row>
    <row r="24" spans="2:58" x14ac:dyDescent="0.25">
      <c r="B24" t="s">
        <v>2177</v>
      </c>
      <c r="C24" t="s">
        <v>2122</v>
      </c>
      <c r="D24" t="s">
        <v>2123</v>
      </c>
      <c r="E24" t="s">
        <v>2124</v>
      </c>
      <c r="F24" s="116" t="str">
        <f t="shared" si="0"/>
        <v>Included</v>
      </c>
      <c r="G24" t="str">
        <f>IF(B24="","",INDEX(SF_Output!$K$1:$K$400,MATCH(B24,SF_Output!$M$1:$M$400,0)))</f>
        <v>OnBoard</v>
      </c>
      <c r="H24" cm="1">
        <f t="array" ref="H24">_xlfn.IFS(B24="","",(SUMIFS(SF_Output!$F$1:$F$400,SF_Output!$AC$1:$AC$400,_xlfn.TEXTJOIN(",",TRUE,B24:E24))+SUMIFS(SF_Output!$G$1:$G$400,SF_Output!$AC$1:$AC$400,_xlfn.TEXTJOIN(",",TRUE,B24:E24)))&lt;&gt;0,SF_Output!$Y$2,INDEX(SF_Output!$F$1:$F$400,MATCH(_xlfn.TEXTJOIN(",",TRUE,B24:E24),SF_Output!$AC$1:$AC$400,0))=0,INDEX(SF_Output!$R$1:$R$400,MATCH(_xlfn.TEXTJOIN(",",TRUE,B24:E24),SF_Output!$AC$1:$AC$400,0)))</f>
        <v>5000</v>
      </c>
      <c r="I24" s="125">
        <f>IFERROR(IF(AND(H24&gt;1,H24&lt;&gt;""),ROUND(SUMIFS(SF_Output!$S$1:$S$400,SF_Output!$AC$1:$AC$400,_xlfn.TEXTJOIN(",",TRUE,B24:E24),SF_Output!$Q$1:$Q$400,"monthly")*(1-W24)/H24,4),""),"")</f>
        <v>0.17030000000000001</v>
      </c>
      <c r="J24" s="6">
        <f>IF(B24="","",SUMIFS(SF_Output!$S$1:$S$400,SF_Output!$AC$1:$AC$400,_xlfn.TEXTJOIN(",",TRUE,B24:E24),SF_Output!$Q$1:$Q$400,"One Time",SF_Output!$L$1:$L$400,"license fee")+SUMIFS(SF_Output!$S$1:$S$400,SF_Output!$AC$1:$AC$400,_xlfn.TEXTJOIN(",",TRUE,B24:E24),SF_Output!$Q$1:$Q$400,"One Time",SF_Output!$L$1:$L$400,"software license")+SUMIFS(SF_Output!$S$1:$S$400,SF_Output!$AC$1:$AC$400,_xlfn.TEXTJOIN(",",TRUE,B24:E24),SF_Output!$Q$1:$Q$400,"One Time",SF_Output!$L$1:$L$400,"hardware"))</f>
        <v>0</v>
      </c>
      <c r="K24" s="112" t="str">
        <f>IF(OR(B24=0,B24="",G24="hardware",J24=0),"",IF(AF24&lt;&gt;"exclusion",MAX(K$9,-((SUMIFS(SF_Output!$T$1:$T$400,SF_Output!$AC$1:$AC$400,_xlfn.TEXTJOIN(",",TRUE,$B24:$E24),SF_Output!$Q$1:$Q$400,"One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license"))/J24)))</f>
        <v/>
      </c>
      <c r="L24" s="6">
        <f t="shared" si="1"/>
        <v>0</v>
      </c>
      <c r="N24" s="6">
        <f>IF(B24="","",SUMIFS(SF_Output!$S$1:$S$400,SF_Output!$AC$1:$AC$400,_xlfn.TEXTJOIN(",",TRUE,B24:E24),SF_Output!$Q$1:$Q$400,"One Time",SF_Output!$L$1:$L$400,"professional service"))</f>
        <v>23180</v>
      </c>
      <c r="O24" s="112">
        <f>IF(OR(B24=0,B24="",N24=0),"",IF(AF24&lt;&gt;"exclusion",MAX(O$9,-(SUMIFS(SF_Output!$T$1:$T$400,SF_Output!$AC$1:$AC$400,_xlfn.TEXTJOIN(",",TRUE,$B24:$E24),SF_Output!$Q$1:$Q$400,"One Time",SF_Output!$L$1:$L$400,"professional service"))/N24),-((SUMIFS(SF_Output!$T$1:$T$400,SF_Output!$AC$1:$AC$400,_xlfn.TEXTJOIN(",",TRUE,$B24:$E24),SF_Output!$Q$1:$Q$400,"One Time",SF_Output!$L$1:$L$400,"professional service")/N24))))</f>
        <v>1</v>
      </c>
      <c r="P24" s="6">
        <f t="shared" si="2"/>
        <v>0</v>
      </c>
      <c r="R24" s="6">
        <f>IF(B24="","",SUMIFS(SF_Output!$S$1:$S$400,SF_Output!$AC$1:$AC$400,_xlfn.TEXTJOIN(",",TRUE,B24:E24),SF_Output!$Q$1:$Q$400,"yearly")+SUMIFS(SF_Output!$S$1:$S$400,SF_Output!$AC$1:$AC$400,_xlfn.TEXTJOIN(",",TRUE,B24:E24),SF_Output!$Q$1:$Q$400,"quarterly")*4)</f>
        <v>0</v>
      </c>
      <c r="S24" s="112" t="str">
        <f>IF(OR(B24=0,B24="",G24="hardware",R24=0),"",IF(AF24&lt;&gt;"exclusion",MAX(S$9,-(SUMIFS(SF_Output!$T$1:$T$400,SF_Output!$AC$1:$AC$400,_xlfn.TEXTJOIN(",",TRUE,$B24:$E24),SF_Output!$Q$1:$Q$400,"yearly"))/R24),-((SUMIFS(SF_Output!$T$1:$T$400,SF_Output!$AC$1:$AC$400,_xlfn.TEXTJOIN(",",TRUE,$B24:$E24),SF_Output!$Q$1:$Q$400,"yearly")/R24))))</f>
        <v/>
      </c>
      <c r="T24" s="6">
        <f t="shared" si="3"/>
        <v>0</v>
      </c>
      <c r="V24" s="6" cm="1">
        <f t="array" ref="V24">_xlfn.IFS(B24="","",AND(B24&lt;&gt;"",H24=SF_Output!$Y$2,SUMIFS(SF_Output!$T$1:$T$400,SF_Output!$AC$1:$AC$400,_xlfn.TEXTJOIN(",",TRUE,B24:E24),SF_Output!$Q$1:$Q$400,"monthly")=0),(SUMIFS(SF_Output!$F$1:$F$400,SF_Output!$AC$1:$AC$400,_xlfn.TEXTJOIN(",",TRUE,B24:E24),SF_Output!$Q$1:$Q$400,"monthly")+SUMIFS(SF_Output!$G$1:$G$400,SF_Output!$AC$1:$AC$400,_xlfn.TEXTJOIN(",",TRUE,B24:E24),SF_Output!$Q$1:$Q$400,"monthly"))*H24,AND(B24&lt;&gt;"",H24=SF_Output!$Y$2,SUMIFS(SF_Output!$T$1:$T$400,SF_Output!$AC$1:$AC$400,_xlfn.TEXTJOIN(",",TRUE,B24:E24),SF_Output!$Q$1:$Q$400,"monthly")&lt;&gt;0),SUMIFS(SF_Output!$S$1:$S$400,SF_Output!$AC$1:$AC$400,_xlfn.TEXTJOIN(",",TRUE,B24:E24),SF_Output!$Q$1:$Q$400,"monthly"),AND(B24&lt;&gt;"",H24&lt;&gt;SF_Output!$Y$2),SUMIFS(SF_Output!$S$1:$S$400,SF_Output!$AC$1:$AC$400,_xlfn.TEXTJOIN(",",TRUE,B24:E24),SF_Output!$Q$1:$Q$400,"monthly"))</f>
        <v>1135</v>
      </c>
      <c r="W24" s="112" cm="1">
        <f t="array" ref="W24">_xlfn.IFS(OR(B24=0,B24="",V24=0),"",AF24&lt;&gt;"exclusion",MAX($W$9,$W$7,(-(SUMIFS(SF_Output!$T$1:$T$400,SF_Output!$AC$1:$AC$400,_xlfn.TEXTJOIN(",",TRUE,$B24:$E24),SF_Output!$Q$1:$Q$400,"monthly"))/V24)),AF24="exclusion",-(SUMIFS(SF_Output!$T$1:$T$400,SF_Output!$AC$1:$AC$400,_xlfn.TEXTJOIN(",",TRUE,$B24:$E24),SF_Output!$Q$1:$Q$400,"monthly"))/V24)</f>
        <v>0.25</v>
      </c>
      <c r="X24" s="6" cm="1">
        <f t="array" ref="X24">IFERROR(_xlfn.IFS(V24=0,0,V24="","",W24=0,V24,OR(V24&lt;&gt;0,V24&lt;&gt;""),H24*I24),V24*(1-W24))</f>
        <v>851.5</v>
      </c>
      <c r="Z24" s="6">
        <f>IFERROR(IF(B24="","",SUMIFS(Billing_Fallout!H:H,Billing_Fallout!N:N,B24)),0)</f>
        <v>0</v>
      </c>
      <c r="AA24" s="6">
        <f t="shared" si="4"/>
        <v>0</v>
      </c>
      <c r="AB24" s="6">
        <f>IFERROR(IF(B24="","",SUMIFS(Billing_Fallout!J:J,Billing_Fallout!N:N,B24)),0)</f>
        <v>0</v>
      </c>
      <c r="AD24" s="6">
        <f t="shared" si="5"/>
        <v>851.5</v>
      </c>
      <c r="AF24" t="str">
        <f>IFERROR(INDEX(H_Tables!$B$1:$B$1500,MATCH(INDEX(SF_Output!$J$1:$J$400,MATCH(B24,SF_Output!$M$1:$M$400,0)),H_Tables!$A$1:$A$1500,0)),"")</f>
        <v/>
      </c>
      <c r="AI24" s="119" t="str">
        <f t="shared" si="6"/>
        <v/>
      </c>
      <c r="AJ24" s="121">
        <f>IFERROR(INDEX(SF_Output!AD:AD,MATCH(_xlfn.TEXTJOIN(",",TRUE,B24:E24),SF_Output!AC1:AC400,0)),0.05)</f>
        <v>33</v>
      </c>
      <c r="AK24" t="str">
        <f>IF(SUMIFS(SF_Output!$F$1:$F$400,SF_Output!$AC$1:$AC$400,_xlfn.TEXTJOIN(",",TRUE,B24:E24))+SUMIFS(SF_Output!$G$1:$G$400,SF_Output!$AC$1:$AC$400,_xlfn.TEXTJOIN(",",TRUE,B24:E24))=0,"","PAP")</f>
        <v>PAP</v>
      </c>
      <c r="AQ24" s="35"/>
      <c r="AR24" s="35" t="str" cm="1">
        <f t="array" ref="AR24">IFERROR(_xlfn.IFS(AND(E24*1=1,F24="Included"),"Change to Included",AND(E24*1=0,F24="Optional"),"Change to Optional",OR(B24="",F24="replaced"),""),"")</f>
        <v/>
      </c>
      <c r="AS24" s="35" t="str">
        <f t="shared" si="7"/>
        <v/>
      </c>
      <c r="AT24" s="35" t="str">
        <f t="shared" si="8"/>
        <v/>
      </c>
      <c r="AU24" s="35" t="str">
        <f t="shared" si="9"/>
        <v/>
      </c>
      <c r="AV24" s="35" t="str">
        <f t="shared" si="10"/>
        <v/>
      </c>
      <c r="AW24" s="35" t="str">
        <f t="shared" si="11"/>
        <v/>
      </c>
      <c r="AX24" s="35" t="str">
        <f t="shared" si="12"/>
        <v/>
      </c>
      <c r="AY24" s="35" t="str">
        <f t="shared" si="13"/>
        <v/>
      </c>
      <c r="AZ24" s="35" t="str">
        <f t="shared" si="14"/>
        <v/>
      </c>
      <c r="BA24" s="35" t="str">
        <f t="shared" si="15"/>
        <v/>
      </c>
      <c r="BB24" s="35" t="str">
        <f t="shared" si="16"/>
        <v/>
      </c>
      <c r="BC24" s="35"/>
      <c r="BE24" s="35">
        <f ca="1">INDEX(SF_Output!$AA$2:$AA$400,MATCH($B24,SF_Output!$M$2:$M$400,0))</f>
        <v>2</v>
      </c>
      <c r="BF24" s="35">
        <f ca="1">INDEX(SF_Output!$AB$2:$AB$400,MATCH($B24,SF_Output!$M$2:$M$400,0))</f>
        <v>1</v>
      </c>
    </row>
    <row r="25" spans="2:58" x14ac:dyDescent="0.25">
      <c r="B25" t="s">
        <v>2180</v>
      </c>
      <c r="C25" t="s">
        <v>2122</v>
      </c>
      <c r="D25" t="s">
        <v>2123</v>
      </c>
      <c r="E25" t="s">
        <v>2150</v>
      </c>
      <c r="F25" s="116" t="str">
        <f t="shared" si="0"/>
        <v>Optional</v>
      </c>
      <c r="G25" t="str">
        <f>IF(B25="","",INDEX(SF_Output!$K$1:$K$400,MATCH(B25,SF_Output!$M$1:$M$400,0)))</f>
        <v>OnBoard</v>
      </c>
      <c r="H25" cm="1">
        <f t="array" ref="H25">_xlfn.IFS(B25="","",(SUMIFS(SF_Output!$F$1:$F$400,SF_Output!$AC$1:$AC$400,_xlfn.TEXTJOIN(",",TRUE,B25:E25))+SUMIFS(SF_Output!$G$1:$G$400,SF_Output!$AC$1:$AC$400,_xlfn.TEXTJOIN(",",TRUE,B25:E25)))&lt;&gt;0,SF_Output!$Y$2,INDEX(SF_Output!$F$1:$F$400,MATCH(_xlfn.TEXTJOIN(",",TRUE,B25:E25),SF_Output!$AC$1:$AC$400,0))=0,INDEX(SF_Output!$R$1:$R$400,MATCH(_xlfn.TEXTJOIN(",",TRUE,B25:E25),SF_Output!$AC$1:$AC$400,0)))</f>
        <v>5000</v>
      </c>
      <c r="I25" s="125">
        <f>IFERROR(IF(AND(H25&gt;1,H25&lt;&gt;""),ROUND(SUMIFS(SF_Output!$S$1:$S$400,SF_Output!$AC$1:$AC$400,_xlfn.TEXTJOIN(",",TRUE,B25:E25),SF_Output!$Q$1:$Q$400,"monthly")*(1-W25)/H25,4),""),"")</f>
        <v>0.2273</v>
      </c>
      <c r="J25" s="6">
        <f>IF(B25="","",SUMIFS(SF_Output!$S$1:$S$400,SF_Output!$AC$1:$AC$400,_xlfn.TEXTJOIN(",",TRUE,B25:E25),SF_Output!$Q$1:$Q$400,"One Time",SF_Output!$L$1:$L$400,"license fee")+SUMIFS(SF_Output!$S$1:$S$400,SF_Output!$AC$1:$AC$400,_xlfn.TEXTJOIN(",",TRUE,B25:E25),SF_Output!$Q$1:$Q$400,"One Time",SF_Output!$L$1:$L$400,"software license")+SUMIFS(SF_Output!$S$1:$S$400,SF_Output!$AC$1:$AC$400,_xlfn.TEXTJOIN(",",TRUE,B25:E25),SF_Output!$Q$1:$Q$400,"One Time",SF_Output!$L$1:$L$400,"hardware"))</f>
        <v>0</v>
      </c>
      <c r="K25" s="112" t="str">
        <f>IF(OR(B25=0,B25="",G25="hardware",J25=0),"",IF(AF25&lt;&gt;"exclusion",MAX(K$9,-((SUMIFS(SF_Output!$T$1:$T$400,SF_Output!$AC$1:$AC$400,_xlfn.TEXTJOIN(",",TRUE,$B25:$E25),SF_Output!$Q$1:$Q$400,"One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license"))/J25)))</f>
        <v/>
      </c>
      <c r="L25" s="6">
        <f t="shared" si="1"/>
        <v>0</v>
      </c>
      <c r="N25" s="6">
        <f>IF(B25="","",SUMIFS(SF_Output!$S$1:$S$400,SF_Output!$AC$1:$AC$400,_xlfn.TEXTJOIN(",",TRUE,B25:E25),SF_Output!$Q$1:$Q$400,"One Time",SF_Output!$L$1:$L$400,"professional service"))</f>
        <v>42480</v>
      </c>
      <c r="O25" s="112">
        <f>IF(OR(B25=0,B25="",N25=0),"",IF(AF25&lt;&gt;"exclusion",MAX(O$9,-(SUMIFS(SF_Output!$T$1:$T$400,SF_Output!$AC$1:$AC$400,_xlfn.TEXTJOIN(",",TRUE,$B25:$E25),SF_Output!$Q$1:$Q$400,"One Time",SF_Output!$L$1:$L$400,"professional service"))/N25),-((SUMIFS(SF_Output!$T$1:$T$400,SF_Output!$AC$1:$AC$400,_xlfn.TEXTJOIN(",",TRUE,$B25:$E25),SF_Output!$Q$1:$Q$400,"One Time",SF_Output!$L$1:$L$400,"professional service")/N25))))</f>
        <v>1</v>
      </c>
      <c r="P25" s="6">
        <f t="shared" si="2"/>
        <v>0</v>
      </c>
      <c r="R25" s="6">
        <f>IF(B25="","",SUMIFS(SF_Output!$S$1:$S$400,SF_Output!$AC$1:$AC$400,_xlfn.TEXTJOIN(",",TRUE,B25:E25),SF_Output!$Q$1:$Q$400,"yearly")+SUMIFS(SF_Output!$S$1:$S$400,SF_Output!$AC$1:$AC$400,_xlfn.TEXTJOIN(",",TRUE,B25:E25),SF_Output!$Q$1:$Q$400,"quarterly")*4)</f>
        <v>0</v>
      </c>
      <c r="S25" s="112" t="str">
        <f>IF(OR(B25=0,B25="",G25="hardware",R25=0),"",IF(AF25&lt;&gt;"exclusion",MAX(S$9,-(SUMIFS(SF_Output!$T$1:$T$400,SF_Output!$AC$1:$AC$400,_xlfn.TEXTJOIN(",",TRUE,$B25:$E25),SF_Output!$Q$1:$Q$400,"yearly"))/R25),-((SUMIFS(SF_Output!$T$1:$T$400,SF_Output!$AC$1:$AC$400,_xlfn.TEXTJOIN(",",TRUE,$B25:$E25),SF_Output!$Q$1:$Q$400,"yearly")/R25))))</f>
        <v/>
      </c>
      <c r="T25" s="6">
        <f t="shared" si="3"/>
        <v>0</v>
      </c>
      <c r="V25" s="6" cm="1">
        <f t="array" ref="V25">_xlfn.IFS(B25="","",AND(B25&lt;&gt;"",H25=SF_Output!$Y$2,SUMIFS(SF_Output!$T$1:$T$400,SF_Output!$AC$1:$AC$400,_xlfn.TEXTJOIN(",",TRUE,B25:E25),SF_Output!$Q$1:$Q$400,"monthly")=0),(SUMIFS(SF_Output!$F$1:$F$400,SF_Output!$AC$1:$AC$400,_xlfn.TEXTJOIN(",",TRUE,B25:E25),SF_Output!$Q$1:$Q$400,"monthly")+SUMIFS(SF_Output!$G$1:$G$400,SF_Output!$AC$1:$AC$400,_xlfn.TEXTJOIN(",",TRUE,B25:E25),SF_Output!$Q$1:$Q$400,"monthly"))*H25,AND(B25&lt;&gt;"",H25=SF_Output!$Y$2,SUMIFS(SF_Output!$T$1:$T$400,SF_Output!$AC$1:$AC$400,_xlfn.TEXTJOIN(",",TRUE,B25:E25),SF_Output!$Q$1:$Q$400,"monthly")&lt;&gt;0),SUMIFS(SF_Output!$S$1:$S$400,SF_Output!$AC$1:$AC$400,_xlfn.TEXTJOIN(",",TRUE,B25:E25),SF_Output!$Q$1:$Q$400,"monthly"),AND(B25&lt;&gt;"",H25&lt;&gt;SF_Output!$Y$2),SUMIFS(SF_Output!$S$1:$S$400,SF_Output!$AC$1:$AC$400,_xlfn.TEXTJOIN(",",TRUE,B25:E25),SF_Output!$Q$1:$Q$400,"monthly"))</f>
        <v>1515</v>
      </c>
      <c r="W25" s="112" cm="1">
        <f t="array" ref="W25">_xlfn.IFS(OR(B25=0,B25="",V25=0),"",AF25&lt;&gt;"exclusion",MAX($W$9,$W$7,(-(SUMIFS(SF_Output!$T$1:$T$400,SF_Output!$AC$1:$AC$400,_xlfn.TEXTJOIN(",",TRUE,$B25:$E25),SF_Output!$Q$1:$Q$400,"monthly"))/V25)),AF25="exclusion",-(SUMIFS(SF_Output!$T$1:$T$400,SF_Output!$AC$1:$AC$400,_xlfn.TEXTJOIN(",",TRUE,$B25:$E25),SF_Output!$Q$1:$Q$400,"monthly"))/V25)</f>
        <v>0.25</v>
      </c>
      <c r="X25" s="6" cm="1">
        <f t="array" ref="X25">IFERROR(_xlfn.IFS(V25=0,0,V25="","",W25=0,V25,OR(V25&lt;&gt;0,V25&lt;&gt;""),H25*I25),V25*(1-W25))</f>
        <v>1136.5</v>
      </c>
      <c r="Z25" s="6">
        <f>IFERROR(IF(B25="","",SUMIFS(Billing_Fallout!H:H,Billing_Fallout!N:N,B25)),0)</f>
        <v>0</v>
      </c>
      <c r="AA25" s="6">
        <f t="shared" si="4"/>
        <v>0</v>
      </c>
      <c r="AB25" s="6">
        <f>IFERROR(IF(B25="","",SUMIFS(Billing_Fallout!J:J,Billing_Fallout!N:N,B25)),0)</f>
        <v>0</v>
      </c>
      <c r="AD25" s="6">
        <f t="shared" si="5"/>
        <v>1136.5</v>
      </c>
      <c r="AF25" t="str">
        <f>IFERROR(INDEX(H_Tables!$B$1:$B$1500,MATCH(INDEX(SF_Output!$J$1:$J$400,MATCH(B25,SF_Output!$M$1:$M$400,0)),H_Tables!$A$1:$A$1500,0)),"")</f>
        <v/>
      </c>
      <c r="AI25" s="119" t="str">
        <f t="shared" si="6"/>
        <v/>
      </c>
      <c r="AJ25" s="121">
        <f>IFERROR(INDEX(SF_Output!AD:AD,MATCH(_xlfn.TEXTJOIN(",",TRUE,B25:E25),SF_Output!AC1:AC400,0)),0.05)</f>
        <v>35</v>
      </c>
      <c r="AK25" t="str">
        <f>IF(SUMIFS(SF_Output!$F$1:$F$400,SF_Output!$AC$1:$AC$400,_xlfn.TEXTJOIN(",",TRUE,B25:E25))+SUMIFS(SF_Output!$G$1:$G$400,SF_Output!$AC$1:$AC$400,_xlfn.TEXTJOIN(",",TRUE,B25:E25))=0,"","PAP")</f>
        <v>PAP</v>
      </c>
      <c r="AQ25" s="35"/>
      <c r="AR25" s="35" t="str" cm="1">
        <f t="array" ref="AR25">IFERROR(_xlfn.IFS(AND(E25*1=1,F25="Included"),"Change to Included",AND(E25*1=0,F25="Optional"),"Change to Optional",OR(B25="",F25="replaced"),""),"")</f>
        <v/>
      </c>
      <c r="AS25" s="35" t="str">
        <f t="shared" si="7"/>
        <v/>
      </c>
      <c r="AT25" s="35" t="str">
        <f t="shared" si="8"/>
        <v/>
      </c>
      <c r="AU25" s="35" t="str">
        <f t="shared" si="9"/>
        <v/>
      </c>
      <c r="AV25" s="35" t="str">
        <f t="shared" si="10"/>
        <v/>
      </c>
      <c r="AW25" s="35" t="str">
        <f t="shared" si="11"/>
        <v/>
      </c>
      <c r="AX25" s="35" t="str">
        <f t="shared" si="12"/>
        <v/>
      </c>
      <c r="AY25" s="35" t="str">
        <f t="shared" si="13"/>
        <v/>
      </c>
      <c r="AZ25" s="35" t="str">
        <f t="shared" si="14"/>
        <v/>
      </c>
      <c r="BA25" s="35" t="str">
        <f t="shared" si="15"/>
        <v/>
      </c>
      <c r="BB25" s="35" t="str">
        <f t="shared" si="16"/>
        <v/>
      </c>
      <c r="BC25" s="35"/>
      <c r="BE25" s="35">
        <f ca="1">INDEX(SF_Output!$AA$2:$AA$400,MATCH($B25,SF_Output!$M$2:$M$400,0))</f>
        <v>2</v>
      </c>
      <c r="BF25" s="35">
        <f ca="1">INDEX(SF_Output!$AB$2:$AB$400,MATCH($B25,SF_Output!$M$2:$M$400,0))</f>
        <v>1</v>
      </c>
    </row>
    <row r="26" spans="2:58" x14ac:dyDescent="0.25">
      <c r="B26" t="s">
        <v>1436</v>
      </c>
      <c r="C26" t="s">
        <v>2122</v>
      </c>
      <c r="D26" t="s">
        <v>2123</v>
      </c>
      <c r="E26" t="s">
        <v>2150</v>
      </c>
      <c r="F26" s="116" t="str">
        <f t="shared" si="0"/>
        <v>Optional</v>
      </c>
      <c r="G26" t="str">
        <f>IF(B26="","",INDEX(SF_Output!$K$1:$K$400,MATCH(B26,SF_Output!$M$1:$M$400,0)))</f>
        <v>OnBoard</v>
      </c>
      <c r="H26" cm="1">
        <f t="array" ref="H26">_xlfn.IFS(B26="","",(SUMIFS(SF_Output!$F$1:$F$400,SF_Output!$AC$1:$AC$400,_xlfn.TEXTJOIN(",",TRUE,B26:E26))+SUMIFS(SF_Output!$G$1:$G$400,SF_Output!$AC$1:$AC$400,_xlfn.TEXTJOIN(",",TRUE,B26:E26)))&lt;&gt;0,SF_Output!$Y$2,INDEX(SF_Output!$F$1:$F$400,MATCH(_xlfn.TEXTJOIN(",",TRUE,B26:E26),SF_Output!$AC$1:$AC$400,0))=0,INDEX(SF_Output!$R$1:$R$400,MATCH(_xlfn.TEXTJOIN(",",TRUE,B26:E26),SF_Output!$AC$1:$AC$400,0)))</f>
        <v>1</v>
      </c>
      <c r="I26" s="125" t="str">
        <f>IFERROR(IF(AND(H26&gt;1,H26&lt;&gt;""),ROUND(SUMIFS(SF_Output!$S$1:$S$400,SF_Output!$AC$1:$AC$400,_xlfn.TEXTJOIN(",",TRUE,B26:E26),SF_Output!$Q$1:$Q$400,"monthly")*(1-W26)/H26,4),""),"")</f>
        <v/>
      </c>
      <c r="J26" s="6">
        <f>IF(B26="","",SUMIFS(SF_Output!$S$1:$S$400,SF_Output!$AC$1:$AC$400,_xlfn.TEXTJOIN(",",TRUE,B26:E26),SF_Output!$Q$1:$Q$400,"One Time",SF_Output!$L$1:$L$400,"license fee")+SUMIFS(SF_Output!$S$1:$S$400,SF_Output!$AC$1:$AC$400,_xlfn.TEXTJOIN(",",TRUE,B26:E26),SF_Output!$Q$1:$Q$400,"One Time",SF_Output!$L$1:$L$400,"software license")+SUMIFS(SF_Output!$S$1:$S$400,SF_Output!$AC$1:$AC$400,_xlfn.TEXTJOIN(",",TRUE,B26:E26),SF_Output!$Q$1:$Q$400,"One Time",SF_Output!$L$1:$L$400,"hardware"))</f>
        <v>0</v>
      </c>
      <c r="K26" s="112" t="str">
        <f>IF(OR(B26=0,B26="",G26="hardware",J26=0),"",IF(AF26&lt;&gt;"exclusion",MAX(K$9,-((SUMIFS(SF_Output!$T$1:$T$400,SF_Output!$AC$1:$AC$400,_xlfn.TEXTJOIN(",",TRUE,$B26:$E26),SF_Output!$Q$1:$Q$400,"One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license"))/J26)))</f>
        <v/>
      </c>
      <c r="L26" s="6">
        <f t="shared" si="1"/>
        <v>0</v>
      </c>
      <c r="N26" s="6">
        <f>IF(B26="","",SUMIFS(SF_Output!$S$1:$S$400,SF_Output!$AC$1:$AC$400,_xlfn.TEXTJOIN(",",TRUE,B26:E26),SF_Output!$Q$1:$Q$400,"One Time",SF_Output!$L$1:$L$400,"professional service"))</f>
        <v>1500</v>
      </c>
      <c r="O26" s="112">
        <f>IF(OR(B26=0,B26="",N26=0),"",IF(AF26&lt;&gt;"exclusion",MAX(O$9,-(SUMIFS(SF_Output!$T$1:$T$400,SF_Output!$AC$1:$AC$400,_xlfn.TEXTJOIN(",",TRUE,$B26:$E26),SF_Output!$Q$1:$Q$400,"One Time",SF_Output!$L$1:$L$400,"professional service"))/N26),-((SUMIFS(SF_Output!$T$1:$T$400,SF_Output!$AC$1:$AC$400,_xlfn.TEXTJOIN(",",TRUE,$B26:$E26),SF_Output!$Q$1:$Q$400,"One Time",SF_Output!$L$1:$L$400,"professional service")/N26))))</f>
        <v>0</v>
      </c>
      <c r="P26" s="6">
        <f t="shared" si="2"/>
        <v>1500</v>
      </c>
      <c r="R26" s="6">
        <f>IF(B26="","",SUMIFS(SF_Output!$S$1:$S$400,SF_Output!$AC$1:$AC$400,_xlfn.TEXTJOIN(",",TRUE,B26:E26),SF_Output!$Q$1:$Q$400,"yearly")+SUMIFS(SF_Output!$S$1:$S$400,SF_Output!$AC$1:$AC$400,_xlfn.TEXTJOIN(",",TRUE,B26:E26),SF_Output!$Q$1:$Q$400,"quarterly")*4)</f>
        <v>0</v>
      </c>
      <c r="S26" s="112" t="str">
        <f>IF(OR(B26=0,B26="",G26="hardware",R26=0),"",IF(AF26&lt;&gt;"exclusion",MAX(S$9,-(SUMIFS(SF_Output!$T$1:$T$400,SF_Output!$AC$1:$AC$400,_xlfn.TEXTJOIN(",",TRUE,$B26:$E26),SF_Output!$Q$1:$Q$400,"yearly"))/R26),-((SUMIFS(SF_Output!$T$1:$T$400,SF_Output!$AC$1:$AC$400,_xlfn.TEXTJOIN(",",TRUE,$B26:$E26),SF_Output!$Q$1:$Q$400,"yearly")/R26))))</f>
        <v/>
      </c>
      <c r="T26" s="6">
        <f t="shared" si="3"/>
        <v>0</v>
      </c>
      <c r="V26" s="6" cm="1">
        <f t="array" ref="V26">_xlfn.IFS(B26="","",AND(B26&lt;&gt;"",H26=SF_Output!$Y$2,SUMIFS(SF_Output!$T$1:$T$400,SF_Output!$AC$1:$AC$400,_xlfn.TEXTJOIN(",",TRUE,B26:E26),SF_Output!$Q$1:$Q$400,"monthly")=0),(SUMIFS(SF_Output!$F$1:$F$400,SF_Output!$AC$1:$AC$400,_xlfn.TEXTJOIN(",",TRUE,B26:E26),SF_Output!$Q$1:$Q$400,"monthly")+SUMIFS(SF_Output!$G$1:$G$400,SF_Output!$AC$1:$AC$400,_xlfn.TEXTJOIN(",",TRUE,B26:E26),SF_Output!$Q$1:$Q$400,"monthly"))*H26,AND(B26&lt;&gt;"",H26=SF_Output!$Y$2,SUMIFS(SF_Output!$T$1:$T$400,SF_Output!$AC$1:$AC$400,_xlfn.TEXTJOIN(",",TRUE,B26:E26),SF_Output!$Q$1:$Q$400,"monthly")&lt;&gt;0),SUMIFS(SF_Output!$S$1:$S$400,SF_Output!$AC$1:$AC$400,_xlfn.TEXTJOIN(",",TRUE,B26:E26),SF_Output!$Q$1:$Q$400,"monthly"),AND(B26&lt;&gt;"",H26&lt;&gt;SF_Output!$Y$2),SUMIFS(SF_Output!$S$1:$S$400,SF_Output!$AC$1:$AC$400,_xlfn.TEXTJOIN(",",TRUE,B26:E26),SF_Output!$Q$1:$Q$400,"monthly"))</f>
        <v>0</v>
      </c>
      <c r="W26" s="112" t="str" cm="1">
        <f t="array" ref="W26">_xlfn.IFS(OR(B26=0,B26="",V26=0),"",AF26&lt;&gt;"exclusion",MAX($W$9,$W$7,(-(SUMIFS(SF_Output!$T$1:$T$400,SF_Output!$AC$1:$AC$400,_xlfn.TEXTJOIN(",",TRUE,$B26:$E26),SF_Output!$Q$1:$Q$400,"monthly"))/V26)),AF26="exclusion",-(SUMIFS(SF_Output!$T$1:$T$400,SF_Output!$AC$1:$AC$400,_xlfn.TEXTJOIN(",",TRUE,$B26:$E26),SF_Output!$Q$1:$Q$400,"monthly"))/V26)</f>
        <v/>
      </c>
      <c r="X26" s="6" cm="1">
        <f t="array" ref="X26">IFERROR(_xlfn.IFS(V26=0,0,V26="","",W26=0,V26,OR(V26&lt;&gt;0,V26&lt;&gt;""),H26*I26),V26*(1-W26))</f>
        <v>0</v>
      </c>
      <c r="Z26" s="6">
        <f>IFERROR(IF(B26="","",SUMIFS(Billing_Fallout!H:H,Billing_Fallout!N:N,B26)),0)</f>
        <v>0</v>
      </c>
      <c r="AA26" s="6">
        <f t="shared" si="4"/>
        <v>0</v>
      </c>
      <c r="AB26" s="6">
        <f>IFERROR(IF(B26="","",SUMIFS(Billing_Fallout!J:J,Billing_Fallout!N:N,B26)),0)</f>
        <v>0</v>
      </c>
      <c r="AD26" s="6">
        <f t="shared" si="5"/>
        <v>0</v>
      </c>
      <c r="AF26" t="str">
        <f>IFERROR(INDEX(H_Tables!$B$1:$B$1500,MATCH(INDEX(SF_Output!$J$1:$J$400,MATCH(B26,SF_Output!$M$1:$M$400,0)),H_Tables!$A$1:$A$1500,0)),"")</f>
        <v>Exclusion</v>
      </c>
      <c r="AI26" s="119" t="str">
        <f t="shared" si="6"/>
        <v/>
      </c>
      <c r="AJ26" s="121">
        <f>IFERROR(INDEX(SF_Output!AD:AD,MATCH(_xlfn.TEXTJOIN(",",TRUE,B26:E26),SF_Output!AC1:AC400,0)),0.05)</f>
        <v>37</v>
      </c>
      <c r="AK26" t="str">
        <f>IF(SUMIFS(SF_Output!$F$1:$F$400,SF_Output!$AC$1:$AC$400,_xlfn.TEXTJOIN(",",TRUE,B26:E26))+SUMIFS(SF_Output!$G$1:$G$400,SF_Output!$AC$1:$AC$400,_xlfn.TEXTJOIN(",",TRUE,B26:E26))=0,"","PAP")</f>
        <v/>
      </c>
      <c r="AQ26" s="35"/>
      <c r="AR26" s="35" t="str" cm="1">
        <f t="array" ref="AR26">IFERROR(_xlfn.IFS(AND(E26*1=1,F26="Included"),"Change to Included",AND(E26*1=0,F26="Optional"),"Change to Optional",OR(B26="",F26="replaced"),""),"")</f>
        <v/>
      </c>
      <c r="AS26" s="35" t="str">
        <f t="shared" si="7"/>
        <v/>
      </c>
      <c r="AT26" s="35" t="str">
        <f t="shared" si="8"/>
        <v/>
      </c>
      <c r="AU26" s="35" t="str">
        <f t="shared" si="9"/>
        <v/>
      </c>
      <c r="AV26" s="35" t="str">
        <f t="shared" si="10"/>
        <v/>
      </c>
      <c r="AW26" s="35" t="str">
        <f t="shared" si="11"/>
        <v/>
      </c>
      <c r="AX26" s="35" t="str">
        <f t="shared" si="12"/>
        <v/>
      </c>
      <c r="AY26" s="35" t="str">
        <f t="shared" si="13"/>
        <v/>
      </c>
      <c r="AZ26" s="35" t="str">
        <f t="shared" si="14"/>
        <v/>
      </c>
      <c r="BA26" s="35" t="str">
        <f t="shared" si="15"/>
        <v/>
      </c>
      <c r="BB26" s="35" t="str">
        <f t="shared" si="16"/>
        <v/>
      </c>
      <c r="BC26" s="35"/>
      <c r="BE26" s="35">
        <f ca="1">INDEX(SF_Output!$AA$2:$AA$400,MATCH($B26,SF_Output!$M$2:$M$400,0))</f>
        <v>2</v>
      </c>
      <c r="BF26" s="35">
        <f ca="1">INDEX(SF_Output!$AB$2:$AB$400,MATCH($B26,SF_Output!$M$2:$M$400,0))</f>
        <v>1</v>
      </c>
    </row>
    <row r="27" spans="2:58" x14ac:dyDescent="0.25">
      <c r="B27" t="s">
        <v>2192</v>
      </c>
      <c r="C27" t="s">
        <v>2122</v>
      </c>
      <c r="D27" t="s">
        <v>2123</v>
      </c>
      <c r="E27" t="s">
        <v>2124</v>
      </c>
      <c r="F27" s="116" t="str">
        <f t="shared" si="0"/>
        <v>Included</v>
      </c>
      <c r="G27" t="str">
        <f>IF(B27="","",INDEX(SF_Output!$K$1:$K$400,MATCH(B27,SF_Output!$M$1:$M$400,0)))</f>
        <v>Teller</v>
      </c>
      <c r="H27" cm="1">
        <f t="array" ref="H27">_xlfn.IFS(B27="","",(SUMIFS(SF_Output!$F$1:$F$400,SF_Output!$AC$1:$AC$400,_xlfn.TEXTJOIN(",",TRUE,B27:E27))+SUMIFS(SF_Output!$G$1:$G$400,SF_Output!$AC$1:$AC$400,_xlfn.TEXTJOIN(",",TRUE,B27:E27)))&lt;&gt;0,SF_Output!$Y$2,INDEX(SF_Output!$F$1:$F$400,MATCH(_xlfn.TEXTJOIN(",",TRUE,B27:E27),SF_Output!$AC$1:$AC$400,0))=0,INDEX(SF_Output!$R$1:$R$400,MATCH(_xlfn.TEXTJOIN(",",TRUE,B27:E27),SF_Output!$AC$1:$AC$400,0)))</f>
        <v>5000</v>
      </c>
      <c r="I27" s="125">
        <f>IFERROR(IF(AND(H27&gt;1,H27&lt;&gt;""),ROUND(SUMIFS(SF_Output!$S$1:$S$400,SF_Output!$AC$1:$AC$400,_xlfn.TEXTJOIN(",",TRUE,B27:E27),SF_Output!$Q$1:$Q$400,"monthly")*(1-W27)/H27,4),""),"")</f>
        <v>0.03</v>
      </c>
      <c r="J27" s="6">
        <f>IF(B27="","",SUMIFS(SF_Output!$S$1:$S$400,SF_Output!$AC$1:$AC$400,_xlfn.TEXTJOIN(",",TRUE,B27:E27),SF_Output!$Q$1:$Q$400,"One Time",SF_Output!$L$1:$L$400,"license fee")+SUMIFS(SF_Output!$S$1:$S$400,SF_Output!$AC$1:$AC$400,_xlfn.TEXTJOIN(",",TRUE,B27:E27),SF_Output!$Q$1:$Q$400,"One Time",SF_Output!$L$1:$L$400,"software license")+SUMIFS(SF_Output!$S$1:$S$400,SF_Output!$AC$1:$AC$400,_xlfn.TEXTJOIN(",",TRUE,B27:E27),SF_Output!$Q$1:$Q$400,"One Time",SF_Output!$L$1:$L$400,"hardware"))</f>
        <v>0</v>
      </c>
      <c r="K27" s="112" t="str">
        <f>IF(OR(B27=0,B27="",G27="hardware",J27=0),"",IF(AF27&lt;&gt;"exclusion",MAX(K$9,-((SUMIFS(SF_Output!$T$1:$T$400,SF_Output!$AC$1:$AC$400,_xlfn.TEXTJOIN(",",TRUE,$B27:$E27),SF_Output!$Q$1:$Q$400,"One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license"))/J27)))</f>
        <v/>
      </c>
      <c r="L27" s="6">
        <f t="shared" si="1"/>
        <v>0</v>
      </c>
      <c r="N27" s="6">
        <f>IF(B27="","",SUMIFS(SF_Output!$S$1:$S$400,SF_Output!$AC$1:$AC$400,_xlfn.TEXTJOIN(",",TRUE,B27:E27),SF_Output!$Q$1:$Q$400,"One Time",SF_Output!$L$1:$L$400,"professional service"))</f>
        <v>855</v>
      </c>
      <c r="O27" s="112">
        <f>IF(OR(B27=0,B27="",N27=0),"",IF(AF27&lt;&gt;"exclusion",MAX(O$9,-(SUMIFS(SF_Output!$T$1:$T$400,SF_Output!$AC$1:$AC$400,_xlfn.TEXTJOIN(",",TRUE,$B27:$E27),SF_Output!$Q$1:$Q$400,"One Time",SF_Output!$L$1:$L$400,"professional service"))/N27),-((SUMIFS(SF_Output!$T$1:$T$400,SF_Output!$AC$1:$AC$400,_xlfn.TEXTJOIN(",",TRUE,$B27:$E27),SF_Output!$Q$1:$Q$400,"One Time",SF_Output!$L$1:$L$400,"professional service")/N27))))</f>
        <v>1</v>
      </c>
      <c r="P27" s="6">
        <f t="shared" si="2"/>
        <v>0</v>
      </c>
      <c r="R27" s="6">
        <f>IF(B27="","",SUMIFS(SF_Output!$S$1:$S$400,SF_Output!$AC$1:$AC$400,_xlfn.TEXTJOIN(",",TRUE,B27:E27),SF_Output!$Q$1:$Q$400,"yearly")+SUMIFS(SF_Output!$S$1:$S$400,SF_Output!$AC$1:$AC$400,_xlfn.TEXTJOIN(",",TRUE,B27:E27),SF_Output!$Q$1:$Q$400,"quarterly")*4)</f>
        <v>0</v>
      </c>
      <c r="S27" s="112" t="str">
        <f>IF(OR(B27=0,B27="",G27="hardware",R27=0),"",IF(AF27&lt;&gt;"exclusion",MAX(S$9,-(SUMIFS(SF_Output!$T$1:$T$400,SF_Output!$AC$1:$AC$400,_xlfn.TEXTJOIN(",",TRUE,$B27:$E27),SF_Output!$Q$1:$Q$400,"yearly"))/R27),-((SUMIFS(SF_Output!$T$1:$T$400,SF_Output!$AC$1:$AC$400,_xlfn.TEXTJOIN(",",TRUE,$B27:$E27),SF_Output!$Q$1:$Q$400,"yearly")/R27))))</f>
        <v/>
      </c>
      <c r="T27" s="6">
        <f t="shared" si="3"/>
        <v>0</v>
      </c>
      <c r="V27" s="6" cm="1">
        <f t="array" ref="V27">_xlfn.IFS(B27="","",AND(B27&lt;&gt;"",H27=SF_Output!$Y$2,SUMIFS(SF_Output!$T$1:$T$400,SF_Output!$AC$1:$AC$400,_xlfn.TEXTJOIN(",",TRUE,B27:E27),SF_Output!$Q$1:$Q$400,"monthly")=0),(SUMIFS(SF_Output!$F$1:$F$400,SF_Output!$AC$1:$AC$400,_xlfn.TEXTJOIN(",",TRUE,B27:E27),SF_Output!$Q$1:$Q$400,"monthly")+SUMIFS(SF_Output!$G$1:$G$400,SF_Output!$AC$1:$AC$400,_xlfn.TEXTJOIN(",",TRUE,B27:E27),SF_Output!$Q$1:$Q$400,"monthly"))*H27,AND(B27&lt;&gt;"",H27=SF_Output!$Y$2,SUMIFS(SF_Output!$T$1:$T$400,SF_Output!$AC$1:$AC$400,_xlfn.TEXTJOIN(",",TRUE,B27:E27),SF_Output!$Q$1:$Q$400,"monthly")&lt;&gt;0),SUMIFS(SF_Output!$S$1:$S$400,SF_Output!$AC$1:$AC$400,_xlfn.TEXTJOIN(",",TRUE,B27:E27),SF_Output!$Q$1:$Q$400,"monthly"),AND(B27&lt;&gt;"",H27&lt;&gt;SF_Output!$Y$2),SUMIFS(SF_Output!$S$1:$S$400,SF_Output!$AC$1:$AC$400,_xlfn.TEXTJOIN(",",TRUE,B27:E27),SF_Output!$Q$1:$Q$400,"monthly"))</f>
        <v>200</v>
      </c>
      <c r="W27" s="112" cm="1">
        <f t="array" ref="W27">_xlfn.IFS(OR(B27=0,B27="",V27=0),"",AF27&lt;&gt;"exclusion",MAX($W$9,$W$7,(-(SUMIFS(SF_Output!$T$1:$T$400,SF_Output!$AC$1:$AC$400,_xlfn.TEXTJOIN(",",TRUE,$B27:$E27),SF_Output!$Q$1:$Q$400,"monthly"))/V27)),AF27="exclusion",-(SUMIFS(SF_Output!$T$1:$T$400,SF_Output!$AC$1:$AC$400,_xlfn.TEXTJOIN(",",TRUE,$B27:$E27),SF_Output!$Q$1:$Q$400,"monthly"))/V27)</f>
        <v>0.25</v>
      </c>
      <c r="X27" s="6" cm="1">
        <f t="array" ref="X27">IFERROR(_xlfn.IFS(V27=0,0,V27="","",W27=0,V27,OR(V27&lt;&gt;0,V27&lt;&gt;""),H27*I27),V27*(1-W27))</f>
        <v>150</v>
      </c>
      <c r="Z27" s="6">
        <f>IFERROR(IF(B27="","",SUMIFS(Billing_Fallout!H:H,Billing_Fallout!N:N,B27)),0)</f>
        <v>0</v>
      </c>
      <c r="AA27" s="6">
        <f t="shared" si="4"/>
        <v>0</v>
      </c>
      <c r="AB27" s="6">
        <f>IFERROR(IF(B27="","",SUMIFS(Billing_Fallout!J:J,Billing_Fallout!N:N,B27)),0)</f>
        <v>0</v>
      </c>
      <c r="AD27" s="6">
        <f t="shared" si="5"/>
        <v>150</v>
      </c>
      <c r="AF27" t="str">
        <f>IFERROR(INDEX(H_Tables!$B$1:$B$1500,MATCH(INDEX(SF_Output!$J$1:$J$400,MATCH(B27,SF_Output!$M$1:$M$400,0)),H_Tables!$A$1:$A$1500,0)),"")</f>
        <v/>
      </c>
      <c r="AI27" s="119" t="str">
        <f t="shared" si="6"/>
        <v/>
      </c>
      <c r="AJ27" s="121">
        <f>IFERROR(INDEX(SF_Output!AD:AD,MATCH(_xlfn.TEXTJOIN(",",TRUE,B27:E27),SF_Output!AC1:AC400,0)),0.05)</f>
        <v>46</v>
      </c>
      <c r="AK27" t="str">
        <f>IF(SUMIFS(SF_Output!$F$1:$F$400,SF_Output!$AC$1:$AC$400,_xlfn.TEXTJOIN(",",TRUE,B27:E27))+SUMIFS(SF_Output!$G$1:$G$400,SF_Output!$AC$1:$AC$400,_xlfn.TEXTJOIN(",",TRUE,B27:E27))=0,"","PAP")</f>
        <v>PAP</v>
      </c>
      <c r="AQ27" s="35"/>
      <c r="AR27" s="35" t="str" cm="1">
        <f t="array" ref="AR27">IFERROR(_xlfn.IFS(AND(E27*1=1,F27="Included"),"Change to Included",AND(E27*1=0,F27="Optional"),"Change to Optional",OR(B27="",F27="replaced"),""),"")</f>
        <v/>
      </c>
      <c r="AS27" s="35" t="str">
        <f t="shared" si="7"/>
        <v/>
      </c>
      <c r="AT27" s="35" t="str">
        <f t="shared" si="8"/>
        <v/>
      </c>
      <c r="AU27" s="35" t="str">
        <f t="shared" si="9"/>
        <v/>
      </c>
      <c r="AV27" s="35" t="str">
        <f t="shared" si="10"/>
        <v/>
      </c>
      <c r="AW27" s="35" t="str">
        <f t="shared" si="11"/>
        <v/>
      </c>
      <c r="AX27" s="35" t="str">
        <f t="shared" si="12"/>
        <v/>
      </c>
      <c r="AY27" s="35" t="str">
        <f t="shared" si="13"/>
        <v/>
      </c>
      <c r="AZ27" s="35" t="str">
        <f t="shared" si="14"/>
        <v/>
      </c>
      <c r="BA27" s="35" t="str">
        <f t="shared" si="15"/>
        <v/>
      </c>
      <c r="BB27" s="35" t="str">
        <f t="shared" si="16"/>
        <v/>
      </c>
      <c r="BC27" s="35"/>
      <c r="BE27" s="35">
        <f ca="1">INDEX(SF_Output!$AA$2:$AA$400,MATCH($B27,SF_Output!$M$2:$M$400,0))</f>
        <v>2</v>
      </c>
      <c r="BF27" s="35">
        <f ca="1">INDEX(SF_Output!$AB$2:$AB$400,MATCH($B27,SF_Output!$M$2:$M$400,0))</f>
        <v>2</v>
      </c>
    </row>
    <row r="28" spans="2:58" x14ac:dyDescent="0.25">
      <c r="B28" t="s">
        <v>2195</v>
      </c>
      <c r="C28" t="s">
        <v>2122</v>
      </c>
      <c r="D28" t="s">
        <v>2123</v>
      </c>
      <c r="E28" t="s">
        <v>2124</v>
      </c>
      <c r="F28" s="116" t="str">
        <f t="shared" si="0"/>
        <v>Included</v>
      </c>
      <c r="G28" t="str">
        <f>IF(B28="","",INDEX(SF_Output!$K$1:$K$400,MATCH(B28,SF_Output!$M$1:$M$400,0)))</f>
        <v>Teller</v>
      </c>
      <c r="H28" cm="1">
        <f t="array" ref="H28">_xlfn.IFS(B28="","",(SUMIFS(SF_Output!$F$1:$F$400,SF_Output!$AC$1:$AC$400,_xlfn.TEXTJOIN(",",TRUE,B28:E28))+SUMIFS(SF_Output!$G$1:$G$400,SF_Output!$AC$1:$AC$400,_xlfn.TEXTJOIN(",",TRUE,B28:E28)))&lt;&gt;0,SF_Output!$Y$2,INDEX(SF_Output!$F$1:$F$400,MATCH(_xlfn.TEXTJOIN(",",TRUE,B28:E28),SF_Output!$AC$1:$AC$400,0))=0,INDEX(SF_Output!$R$1:$R$400,MATCH(_xlfn.TEXTJOIN(",",TRUE,B28:E28),SF_Output!$AC$1:$AC$400,0)))</f>
        <v>5000</v>
      </c>
      <c r="I28" s="125">
        <f>IFERROR(IF(AND(H28&gt;1,H28&lt;&gt;""),ROUND(SUMIFS(SF_Output!$S$1:$S$400,SF_Output!$AC$1:$AC$400,_xlfn.TEXTJOIN(",",TRUE,B28:E28),SF_Output!$Q$1:$Q$400,"monthly")*(1-W28)/H28,4),""),"")</f>
        <v>1.35E-2</v>
      </c>
      <c r="J28" s="6">
        <f>IF(B28="","",SUMIFS(SF_Output!$S$1:$S$400,SF_Output!$AC$1:$AC$400,_xlfn.TEXTJOIN(",",TRUE,B28:E28),SF_Output!$Q$1:$Q$400,"One Time",SF_Output!$L$1:$L$400,"license fee")+SUMIFS(SF_Output!$S$1:$S$400,SF_Output!$AC$1:$AC$400,_xlfn.TEXTJOIN(",",TRUE,B28:E28),SF_Output!$Q$1:$Q$400,"One Time",SF_Output!$L$1:$L$400,"software license")+SUMIFS(SF_Output!$S$1:$S$400,SF_Output!$AC$1:$AC$400,_xlfn.TEXTJOIN(",",TRUE,B28:E28),SF_Output!$Q$1:$Q$400,"One Time",SF_Output!$L$1:$L$400,"hardware"))</f>
        <v>0</v>
      </c>
      <c r="K28" s="112" t="str">
        <f>IF(OR(B28=0,B28="",G28="hardware",J28=0),"",IF(AF28&lt;&gt;"exclusion",MAX(K$9,-((SUMIFS(SF_Output!$T$1:$T$400,SF_Output!$AC$1:$AC$400,_xlfn.TEXTJOIN(",",TRUE,$B28:$E28),SF_Output!$Q$1:$Q$400,"One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license"))/J28)))</f>
        <v/>
      </c>
      <c r="L28" s="6">
        <f t="shared" si="1"/>
        <v>0</v>
      </c>
      <c r="N28" s="6">
        <f>IF(B28="","",SUMIFS(SF_Output!$S$1:$S$400,SF_Output!$AC$1:$AC$400,_xlfn.TEXTJOIN(",",TRUE,B28:E28),SF_Output!$Q$1:$Q$400,"One Time",SF_Output!$L$1:$L$400,"professional service"))</f>
        <v>390</v>
      </c>
      <c r="O28" s="112">
        <f>IF(OR(B28=0,B28="",N28=0),"",IF(AF28&lt;&gt;"exclusion",MAX(O$9,-(SUMIFS(SF_Output!$T$1:$T$400,SF_Output!$AC$1:$AC$400,_xlfn.TEXTJOIN(",",TRUE,$B28:$E28),SF_Output!$Q$1:$Q$400,"One Time",SF_Output!$L$1:$L$400,"professional service"))/N28),-((SUMIFS(SF_Output!$T$1:$T$400,SF_Output!$AC$1:$AC$400,_xlfn.TEXTJOIN(",",TRUE,$B28:$E28),SF_Output!$Q$1:$Q$400,"One Time",SF_Output!$L$1:$L$400,"professional service")/N28))))</f>
        <v>1</v>
      </c>
      <c r="P28" s="6">
        <f t="shared" si="2"/>
        <v>0</v>
      </c>
      <c r="R28" s="6">
        <f>IF(B28="","",SUMIFS(SF_Output!$S$1:$S$400,SF_Output!$AC$1:$AC$400,_xlfn.TEXTJOIN(",",TRUE,B28:E28),SF_Output!$Q$1:$Q$400,"yearly")+SUMIFS(SF_Output!$S$1:$S$400,SF_Output!$AC$1:$AC$400,_xlfn.TEXTJOIN(",",TRUE,B28:E28),SF_Output!$Q$1:$Q$400,"quarterly")*4)</f>
        <v>0</v>
      </c>
      <c r="S28" s="112" t="str">
        <f>IF(OR(B28=0,B28="",G28="hardware",R28=0),"",IF(AF28&lt;&gt;"exclusion",MAX(S$9,-(SUMIFS(SF_Output!$T$1:$T$400,SF_Output!$AC$1:$AC$400,_xlfn.TEXTJOIN(",",TRUE,$B28:$E28),SF_Output!$Q$1:$Q$400,"yearly"))/R28),-((SUMIFS(SF_Output!$T$1:$T$400,SF_Output!$AC$1:$AC$400,_xlfn.TEXTJOIN(",",TRUE,$B28:$E28),SF_Output!$Q$1:$Q$400,"yearly")/R28))))</f>
        <v/>
      </c>
      <c r="T28" s="6">
        <f t="shared" si="3"/>
        <v>0</v>
      </c>
      <c r="V28" s="6" cm="1">
        <f t="array" ref="V28">_xlfn.IFS(B28="","",AND(B28&lt;&gt;"",H28=SF_Output!$Y$2,SUMIFS(SF_Output!$T$1:$T$400,SF_Output!$AC$1:$AC$400,_xlfn.TEXTJOIN(",",TRUE,B28:E28),SF_Output!$Q$1:$Q$400,"monthly")=0),(SUMIFS(SF_Output!$F$1:$F$400,SF_Output!$AC$1:$AC$400,_xlfn.TEXTJOIN(",",TRUE,B28:E28),SF_Output!$Q$1:$Q$400,"monthly")+SUMIFS(SF_Output!$G$1:$G$400,SF_Output!$AC$1:$AC$400,_xlfn.TEXTJOIN(",",TRUE,B28:E28),SF_Output!$Q$1:$Q$400,"monthly"))*H28,AND(B28&lt;&gt;"",H28=SF_Output!$Y$2,SUMIFS(SF_Output!$T$1:$T$400,SF_Output!$AC$1:$AC$400,_xlfn.TEXTJOIN(",",TRUE,B28:E28),SF_Output!$Q$1:$Q$400,"monthly")&lt;&gt;0),SUMIFS(SF_Output!$S$1:$S$400,SF_Output!$AC$1:$AC$400,_xlfn.TEXTJOIN(",",TRUE,B28:E28),SF_Output!$Q$1:$Q$400,"monthly"),AND(B28&lt;&gt;"",H28&lt;&gt;SF_Output!$Y$2),SUMIFS(SF_Output!$S$1:$S$400,SF_Output!$AC$1:$AC$400,_xlfn.TEXTJOIN(",",TRUE,B28:E28),SF_Output!$Q$1:$Q$400,"monthly"))</f>
        <v>90</v>
      </c>
      <c r="W28" s="112" cm="1">
        <f t="array" ref="W28">_xlfn.IFS(OR(B28=0,B28="",V28=0),"",AF28&lt;&gt;"exclusion",MAX($W$9,$W$7,(-(SUMIFS(SF_Output!$T$1:$T$400,SF_Output!$AC$1:$AC$400,_xlfn.TEXTJOIN(",",TRUE,$B28:$E28),SF_Output!$Q$1:$Q$400,"monthly"))/V28)),AF28="exclusion",-(SUMIFS(SF_Output!$T$1:$T$400,SF_Output!$AC$1:$AC$400,_xlfn.TEXTJOIN(",",TRUE,$B28:$E28),SF_Output!$Q$1:$Q$400,"monthly"))/V28)</f>
        <v>0.25</v>
      </c>
      <c r="X28" s="6" cm="1">
        <f t="array" ref="X28">IFERROR(_xlfn.IFS(V28=0,0,V28="","",W28=0,V28,OR(V28&lt;&gt;0,V28&lt;&gt;""),H28*I28),V28*(1-W28))</f>
        <v>67.5</v>
      </c>
      <c r="Z28" s="6">
        <f>IFERROR(IF(B28="","",SUMIFS(Billing_Fallout!H:H,Billing_Fallout!N:N,B28)),0)</f>
        <v>0</v>
      </c>
      <c r="AA28" s="6">
        <f t="shared" si="4"/>
        <v>0</v>
      </c>
      <c r="AB28" s="6">
        <f>IFERROR(IF(B28="","",SUMIFS(Billing_Fallout!J:J,Billing_Fallout!N:N,B28)),0)</f>
        <v>0</v>
      </c>
      <c r="AD28" s="6">
        <f t="shared" si="5"/>
        <v>67.5</v>
      </c>
      <c r="AF28" t="str">
        <f>IFERROR(INDEX(H_Tables!$B$1:$B$1500,MATCH(INDEX(SF_Output!$J$1:$J$400,MATCH(B28,SF_Output!$M$1:$M$400,0)),H_Tables!$A$1:$A$1500,0)),"")</f>
        <v/>
      </c>
      <c r="AI28" s="119" t="str">
        <f t="shared" si="6"/>
        <v/>
      </c>
      <c r="AJ28" s="121">
        <f>IFERROR(INDEX(SF_Output!AD:AD,MATCH(_xlfn.TEXTJOIN(",",TRUE,B28:E28),SF_Output!AC1:AC400,0)),0.05)</f>
        <v>48</v>
      </c>
      <c r="AK28" t="str">
        <f>IF(SUMIFS(SF_Output!$F$1:$F$400,SF_Output!$AC$1:$AC$400,_xlfn.TEXTJOIN(",",TRUE,B28:E28))+SUMIFS(SF_Output!$G$1:$G$400,SF_Output!$AC$1:$AC$400,_xlfn.TEXTJOIN(",",TRUE,B28:E28))=0,"","PAP")</f>
        <v>PAP</v>
      </c>
      <c r="AQ28" s="35"/>
      <c r="AR28" s="35" t="str" cm="1">
        <f t="array" ref="AR28">IFERROR(_xlfn.IFS(AND(E28*1=1,F28="Included"),"Change to Included",AND(E28*1=0,F28="Optional"),"Change to Optional",OR(B28="",F28="replaced"),""),"")</f>
        <v/>
      </c>
      <c r="AS28" s="35" t="str">
        <f t="shared" si="7"/>
        <v/>
      </c>
      <c r="AT28" s="35" t="str">
        <f t="shared" si="8"/>
        <v/>
      </c>
      <c r="AU28" s="35" t="str">
        <f t="shared" si="9"/>
        <v/>
      </c>
      <c r="AV28" s="35" t="str">
        <f t="shared" si="10"/>
        <v/>
      </c>
      <c r="AW28" s="35" t="str">
        <f t="shared" si="11"/>
        <v/>
      </c>
      <c r="AX28" s="35" t="str">
        <f t="shared" si="12"/>
        <v/>
      </c>
      <c r="AY28" s="35" t="str">
        <f t="shared" si="13"/>
        <v/>
      </c>
      <c r="AZ28" s="35" t="str">
        <f t="shared" si="14"/>
        <v/>
      </c>
      <c r="BA28" s="35" t="str">
        <f t="shared" si="15"/>
        <v/>
      </c>
      <c r="BB28" s="35" t="str">
        <f t="shared" si="16"/>
        <v/>
      </c>
      <c r="BC28" s="35"/>
      <c r="BE28" s="35">
        <f ca="1">INDEX(SF_Output!$AA$2:$AA$400,MATCH($B28,SF_Output!$M$2:$M$400,0))</f>
        <v>2</v>
      </c>
      <c r="BF28" s="35">
        <f ca="1">INDEX(SF_Output!$AB$2:$AB$400,MATCH($B28,SF_Output!$M$2:$M$400,0))</f>
        <v>2</v>
      </c>
    </row>
    <row r="29" spans="2:58" x14ac:dyDescent="0.25">
      <c r="B29" t="s">
        <v>2199</v>
      </c>
      <c r="C29" t="s">
        <v>2122</v>
      </c>
      <c r="D29" t="s">
        <v>2123</v>
      </c>
      <c r="E29" t="s">
        <v>2124</v>
      </c>
      <c r="F29" s="116" t="str">
        <f t="shared" si="0"/>
        <v>Included</v>
      </c>
      <c r="G29" t="str">
        <f>IF(B29="","",INDEX(SF_Output!$K$1:$K$400,MATCH(B29,SF_Output!$M$1:$M$400,0)))</f>
        <v>Teller</v>
      </c>
      <c r="H29" cm="1">
        <f t="array" ref="H29">_xlfn.IFS(B29="","",(SUMIFS(SF_Output!$F$1:$F$400,SF_Output!$AC$1:$AC$400,_xlfn.TEXTJOIN(",",TRUE,B29:E29))+SUMIFS(SF_Output!$G$1:$G$400,SF_Output!$AC$1:$AC$400,_xlfn.TEXTJOIN(",",TRUE,B29:E29)))&lt;&gt;0,SF_Output!$Y$2,INDEX(SF_Output!$F$1:$F$400,MATCH(_xlfn.TEXTJOIN(",",TRUE,B29:E29),SF_Output!$AC$1:$AC$400,0))=0,INDEX(SF_Output!$R$1:$R$400,MATCH(_xlfn.TEXTJOIN(",",TRUE,B29:E29),SF_Output!$AC$1:$AC$400,0)))</f>
        <v>1</v>
      </c>
      <c r="I29" s="125" t="str">
        <f>IFERROR(IF(AND(H29&gt;1,H29&lt;&gt;""),ROUND(SUMIFS(SF_Output!$S$1:$S$400,SF_Output!$AC$1:$AC$400,_xlfn.TEXTJOIN(",",TRUE,B29:E29),SF_Output!$Q$1:$Q$400,"monthly")*(1-W29)/H29,4),""),"")</f>
        <v/>
      </c>
      <c r="J29" s="6">
        <f>IF(B29="","",SUMIFS(SF_Output!$S$1:$S$400,SF_Output!$AC$1:$AC$400,_xlfn.TEXTJOIN(",",TRUE,B29:E29),SF_Output!$Q$1:$Q$400,"One Time",SF_Output!$L$1:$L$400,"license fee")+SUMIFS(SF_Output!$S$1:$S$400,SF_Output!$AC$1:$AC$400,_xlfn.TEXTJOIN(",",TRUE,B29:E29),SF_Output!$Q$1:$Q$400,"One Time",SF_Output!$L$1:$L$400,"software license")+SUMIFS(SF_Output!$S$1:$S$400,SF_Output!$AC$1:$AC$400,_xlfn.TEXTJOIN(",",TRUE,B29:E29),SF_Output!$Q$1:$Q$400,"One Time",SF_Output!$L$1:$L$400,"hardware"))</f>
        <v>0</v>
      </c>
      <c r="K29" s="112" t="str">
        <f>IF(OR(B29=0,B29="",G29="hardware",J29=0),"",IF(AF29&lt;&gt;"exclusion",MAX(K$9,-((SUMIFS(SF_Output!$T$1:$T$400,SF_Output!$AC$1:$AC$400,_xlfn.TEXTJOIN(",",TRUE,$B29:$E29),SF_Output!$Q$1:$Q$400,"One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license"))/J29)))</f>
        <v/>
      </c>
      <c r="L29" s="6">
        <f t="shared" si="1"/>
        <v>0</v>
      </c>
      <c r="N29" s="6">
        <f>IF(B29="","",SUMIFS(SF_Output!$S$1:$S$400,SF_Output!$AC$1:$AC$400,_xlfn.TEXTJOIN(",",TRUE,B29:E29),SF_Output!$Q$1:$Q$400,"One Time",SF_Output!$L$1:$L$400,"professional service"))</f>
        <v>3750</v>
      </c>
      <c r="O29" s="112">
        <f>IF(OR(B29=0,B29="",N29=0),"",IF(AF29&lt;&gt;"exclusion",MAX(O$9,-(SUMIFS(SF_Output!$T$1:$T$400,SF_Output!$AC$1:$AC$400,_xlfn.TEXTJOIN(",",TRUE,$B29:$E29),SF_Output!$Q$1:$Q$400,"One Time",SF_Output!$L$1:$L$400,"professional service"))/N29),-((SUMIFS(SF_Output!$T$1:$T$400,SF_Output!$AC$1:$AC$400,_xlfn.TEXTJOIN(",",TRUE,$B29:$E29),SF_Output!$Q$1:$Q$400,"One Time",SF_Output!$L$1:$L$400,"professional service")/N29))))</f>
        <v>1</v>
      </c>
      <c r="P29" s="6">
        <f t="shared" si="2"/>
        <v>0</v>
      </c>
      <c r="R29" s="6">
        <f>IF(B29="","",SUMIFS(SF_Output!$S$1:$S$400,SF_Output!$AC$1:$AC$400,_xlfn.TEXTJOIN(",",TRUE,B29:E29),SF_Output!$Q$1:$Q$400,"yearly")+SUMIFS(SF_Output!$S$1:$S$400,SF_Output!$AC$1:$AC$400,_xlfn.TEXTJOIN(",",TRUE,B29:E29),SF_Output!$Q$1:$Q$400,"quarterly")*4)</f>
        <v>0</v>
      </c>
      <c r="S29" s="112" t="str">
        <f>IF(OR(B29=0,B29="",G29="hardware",R29=0),"",IF(AF29&lt;&gt;"exclusion",MAX(S$9,-(SUMIFS(SF_Output!$T$1:$T$400,SF_Output!$AC$1:$AC$400,_xlfn.TEXTJOIN(",",TRUE,$B29:$E29),SF_Output!$Q$1:$Q$400,"yearly"))/R29),-((SUMIFS(SF_Output!$T$1:$T$400,SF_Output!$AC$1:$AC$400,_xlfn.TEXTJOIN(",",TRUE,$B29:$E29),SF_Output!$Q$1:$Q$400,"yearly")/R29))))</f>
        <v/>
      </c>
      <c r="T29" s="6">
        <f t="shared" si="3"/>
        <v>0</v>
      </c>
      <c r="V29" s="6" cm="1">
        <f t="array" ref="V29">_xlfn.IFS(B29="","",AND(B29&lt;&gt;"",H29=SF_Output!$Y$2,SUMIFS(SF_Output!$T$1:$T$400,SF_Output!$AC$1:$AC$400,_xlfn.TEXTJOIN(",",TRUE,B29:E29),SF_Output!$Q$1:$Q$400,"monthly")=0),(SUMIFS(SF_Output!$F$1:$F$400,SF_Output!$AC$1:$AC$400,_xlfn.TEXTJOIN(",",TRUE,B29:E29),SF_Output!$Q$1:$Q$400,"monthly")+SUMIFS(SF_Output!$G$1:$G$400,SF_Output!$AC$1:$AC$400,_xlfn.TEXTJOIN(",",TRUE,B29:E29),SF_Output!$Q$1:$Q$400,"monthly"))*H29,AND(B29&lt;&gt;"",H29=SF_Output!$Y$2,SUMIFS(SF_Output!$T$1:$T$400,SF_Output!$AC$1:$AC$400,_xlfn.TEXTJOIN(",",TRUE,B29:E29),SF_Output!$Q$1:$Q$400,"monthly")&lt;&gt;0),SUMIFS(SF_Output!$S$1:$S$400,SF_Output!$AC$1:$AC$400,_xlfn.TEXTJOIN(",",TRUE,B29:E29),SF_Output!$Q$1:$Q$400,"monthly"),AND(B29&lt;&gt;"",H29&lt;&gt;SF_Output!$Y$2),SUMIFS(SF_Output!$S$1:$S$400,SF_Output!$AC$1:$AC$400,_xlfn.TEXTJOIN(",",TRUE,B29:E29),SF_Output!$Q$1:$Q$400,"monthly"))</f>
        <v>0</v>
      </c>
      <c r="W29" s="112" t="str" cm="1">
        <f t="array" ref="W29">_xlfn.IFS(OR(B29=0,B29="",V29=0),"",AF29&lt;&gt;"exclusion",MAX($W$9,$W$7,(-(SUMIFS(SF_Output!$T$1:$T$400,SF_Output!$AC$1:$AC$400,_xlfn.TEXTJOIN(",",TRUE,$B29:$E29),SF_Output!$Q$1:$Q$400,"monthly"))/V29)),AF29="exclusion",-(SUMIFS(SF_Output!$T$1:$T$400,SF_Output!$AC$1:$AC$400,_xlfn.TEXTJOIN(",",TRUE,$B29:$E29),SF_Output!$Q$1:$Q$400,"monthly"))/V29)</f>
        <v/>
      </c>
      <c r="X29" s="6" cm="1">
        <f t="array" ref="X29">IFERROR(_xlfn.IFS(V29=0,0,V29="","",W29=0,V29,OR(V29&lt;&gt;0,V29&lt;&gt;""),H29*I29),V29*(1-W29))</f>
        <v>0</v>
      </c>
      <c r="Z29" s="6">
        <f>IFERROR(IF(B29="","",SUMIFS(Billing_Fallout!H:H,Billing_Fallout!N:N,B29)),0)</f>
        <v>0</v>
      </c>
      <c r="AA29" s="6">
        <f t="shared" si="4"/>
        <v>0</v>
      </c>
      <c r="AB29" s="6">
        <f>IFERROR(IF(B29="","",SUMIFS(Billing_Fallout!J:J,Billing_Fallout!N:N,B29)),0)</f>
        <v>0</v>
      </c>
      <c r="AD29" s="6">
        <f t="shared" si="5"/>
        <v>0</v>
      </c>
      <c r="AF29" t="str">
        <f>IFERROR(INDEX(H_Tables!$B$1:$B$1500,MATCH(INDEX(SF_Output!$J$1:$J$400,MATCH(B29,SF_Output!$M$1:$M$400,0)),H_Tables!$A$1:$A$1500,0)),"")</f>
        <v/>
      </c>
      <c r="AI29" s="119" t="str">
        <f t="shared" si="6"/>
        <v/>
      </c>
      <c r="AJ29" s="121">
        <f>IFERROR(INDEX(SF_Output!AD:AD,MATCH(_xlfn.TEXTJOIN(",",TRUE,B29:E29),SF_Output!AC1:AC400,0)),0.05)</f>
        <v>50</v>
      </c>
      <c r="AK29" t="str">
        <f>IF(SUMIFS(SF_Output!$F$1:$F$400,SF_Output!$AC$1:$AC$400,_xlfn.TEXTJOIN(",",TRUE,B29:E29))+SUMIFS(SF_Output!$G$1:$G$400,SF_Output!$AC$1:$AC$400,_xlfn.TEXTJOIN(",",TRUE,B29:E29))=0,"","PAP")</f>
        <v/>
      </c>
      <c r="AQ29" s="35"/>
      <c r="AR29" s="35" t="str" cm="1">
        <f t="array" ref="AR29">IFERROR(_xlfn.IFS(AND(E29*1=1,F29="Included"),"Change to Included",AND(E29*1=0,F29="Optional"),"Change to Optional",OR(B29="",F29="replaced"),""),"")</f>
        <v/>
      </c>
      <c r="AS29" s="35" t="str">
        <f t="shared" si="7"/>
        <v/>
      </c>
      <c r="AT29" s="35" t="str">
        <f t="shared" si="8"/>
        <v/>
      </c>
      <c r="AU29" s="35" t="str">
        <f t="shared" si="9"/>
        <v/>
      </c>
      <c r="AV29" s="35" t="str">
        <f t="shared" si="10"/>
        <v/>
      </c>
      <c r="AW29" s="35" t="str">
        <f t="shared" si="11"/>
        <v/>
      </c>
      <c r="AX29" s="35" t="str">
        <f t="shared" si="12"/>
        <v/>
      </c>
      <c r="AY29" s="35" t="str">
        <f t="shared" si="13"/>
        <v/>
      </c>
      <c r="AZ29" s="35" t="str">
        <f t="shared" si="14"/>
        <v/>
      </c>
      <c r="BA29" s="35" t="str">
        <f t="shared" si="15"/>
        <v/>
      </c>
      <c r="BB29" s="35" t="str">
        <f t="shared" si="16"/>
        <v/>
      </c>
      <c r="BC29" s="35"/>
      <c r="BE29" s="35">
        <f ca="1">INDEX(SF_Output!$AA$2:$AA$400,MATCH($B29,SF_Output!$M$2:$M$400,0))</f>
        <v>2</v>
      </c>
      <c r="BF29" s="35">
        <f ca="1">INDEX(SF_Output!$AB$2:$AB$400,MATCH($B29,SF_Output!$M$2:$M$400,0))</f>
        <v>2</v>
      </c>
    </row>
    <row r="30" spans="2:58" x14ac:dyDescent="0.25">
      <c r="B30" t="s">
        <v>2201</v>
      </c>
      <c r="C30" t="s">
        <v>2122</v>
      </c>
      <c r="D30" t="s">
        <v>2164</v>
      </c>
      <c r="E30" t="s">
        <v>2124</v>
      </c>
      <c r="F30" s="116" t="str">
        <f t="shared" si="0"/>
        <v>Included</v>
      </c>
      <c r="G30" t="str">
        <f>IF(B30="","",INDEX(SF_Output!$K$1:$K$400,MATCH(B30,SF_Output!$M$1:$M$400,0)))</f>
        <v>Teller</v>
      </c>
      <c r="H30" cm="1">
        <f t="array" ref="H30">_xlfn.IFS(B30="","",(SUMIFS(SF_Output!$F$1:$F$400,SF_Output!$AC$1:$AC$400,_xlfn.TEXTJOIN(",",TRUE,B30:E30))+SUMIFS(SF_Output!$G$1:$G$400,SF_Output!$AC$1:$AC$400,_xlfn.TEXTJOIN(",",TRUE,B30:E30)))&lt;&gt;0,SF_Output!$Y$2,INDEX(SF_Output!$F$1:$F$400,MATCH(_xlfn.TEXTJOIN(",",TRUE,B30:E30),SF_Output!$AC$1:$AC$400,0))=0,INDEX(SF_Output!$R$1:$R$400,MATCH(_xlfn.TEXTJOIN(",",TRUE,B30:E30),SF_Output!$AC$1:$AC$400,0)))</f>
        <v>1</v>
      </c>
      <c r="I30" s="125" t="str">
        <f>IFERROR(IF(AND(H30&gt;1,H30&lt;&gt;""),ROUND(SUMIFS(SF_Output!$S$1:$S$400,SF_Output!$AC$1:$AC$400,_xlfn.TEXTJOIN(",",TRUE,B30:E30),SF_Output!$Q$1:$Q$400,"monthly")*(1-W30)/H30,4),""),"")</f>
        <v/>
      </c>
      <c r="J30" s="6">
        <f>IF(B30="","",SUMIFS(SF_Output!$S$1:$S$400,SF_Output!$AC$1:$AC$400,_xlfn.TEXTJOIN(",",TRUE,B30:E30),SF_Output!$Q$1:$Q$400,"One Time",SF_Output!$L$1:$L$400,"license fee")+SUMIFS(SF_Output!$S$1:$S$400,SF_Output!$AC$1:$AC$400,_xlfn.TEXTJOIN(",",TRUE,B30:E30),SF_Output!$Q$1:$Q$400,"One Time",SF_Output!$L$1:$L$400,"software license")+SUMIFS(SF_Output!$S$1:$S$400,SF_Output!$AC$1:$AC$400,_xlfn.TEXTJOIN(",",TRUE,B30:E30),SF_Output!$Q$1:$Q$400,"One Time",SF_Output!$L$1:$L$400,"hardware"))</f>
        <v>4909</v>
      </c>
      <c r="K30" s="112">
        <f>IF(OR(B30=0,B30="",G30="hardware",J30=0),"",IF(AF30&lt;&gt;"exclusion",MAX(K$9,-((SUMIFS(SF_Output!$T$1:$T$400,SF_Output!$AC$1:$AC$400,_xlfn.TEXTJOIN(",",TRUE,$B30:$E30),SF_Output!$Q$1:$Q$400,"One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license"))/J30)))</f>
        <v>0</v>
      </c>
      <c r="L30" s="6">
        <f t="shared" si="1"/>
        <v>4909</v>
      </c>
      <c r="N30" s="6">
        <f>IF(B30="","",SUMIFS(SF_Output!$S$1:$S$400,SF_Output!$AC$1:$AC$400,_xlfn.TEXTJOIN(",",TRUE,B30:E30),SF_Output!$Q$1:$Q$400,"One Time",SF_Output!$L$1:$L$400,"professional service"))</f>
        <v>0</v>
      </c>
      <c r="O30" s="112" t="str">
        <f>IF(OR(B30=0,B30="",N30=0),"",IF(AF30&lt;&gt;"exclusion",MAX(O$9,-(SUMIFS(SF_Output!$T$1:$T$400,SF_Output!$AC$1:$AC$400,_xlfn.TEXTJOIN(",",TRUE,$B30:$E30),SF_Output!$Q$1:$Q$400,"One Time",SF_Output!$L$1:$L$400,"professional service"))/N30),-((SUMIFS(SF_Output!$T$1:$T$400,SF_Output!$AC$1:$AC$400,_xlfn.TEXTJOIN(",",TRUE,$B30:$E30),SF_Output!$Q$1:$Q$400,"One Time",SF_Output!$L$1:$L$400,"professional service")/N30))))</f>
        <v/>
      </c>
      <c r="P30" s="6">
        <f t="shared" si="2"/>
        <v>0</v>
      </c>
      <c r="R30" s="6">
        <f>IF(B30="","",SUMIFS(SF_Output!$S$1:$S$400,SF_Output!$AC$1:$AC$400,_xlfn.TEXTJOIN(",",TRUE,B30:E30),SF_Output!$Q$1:$Q$400,"yearly")+SUMIFS(SF_Output!$S$1:$S$400,SF_Output!$AC$1:$AC$400,_xlfn.TEXTJOIN(",",TRUE,B30:E30),SF_Output!$Q$1:$Q$400,"quarterly")*4)</f>
        <v>982</v>
      </c>
      <c r="S30" s="112">
        <f>IF(OR(B30=0,B30="",G30="hardware",R30=0),"",IF(AF30&lt;&gt;"exclusion",MAX(S$9,-(SUMIFS(SF_Output!$T$1:$T$400,SF_Output!$AC$1:$AC$400,_xlfn.TEXTJOIN(",",TRUE,$B30:$E30),SF_Output!$Q$1:$Q$400,"yearly"))/R30),-((SUMIFS(SF_Output!$T$1:$T$400,SF_Output!$AC$1:$AC$400,_xlfn.TEXTJOIN(",",TRUE,$B30:$E30),SF_Output!$Q$1:$Q$400,"yearly")/R30))))</f>
        <v>0</v>
      </c>
      <c r="T30" s="6">
        <f t="shared" si="3"/>
        <v>982</v>
      </c>
      <c r="V30" s="6" cm="1">
        <f t="array" ref="V30">_xlfn.IFS(B30="","",AND(B30&lt;&gt;"",H30=SF_Output!$Y$2,SUMIFS(SF_Output!$T$1:$T$400,SF_Output!$AC$1:$AC$400,_xlfn.TEXTJOIN(",",TRUE,B30:E30),SF_Output!$Q$1:$Q$400,"monthly")=0),(SUMIFS(SF_Output!$F$1:$F$400,SF_Output!$AC$1:$AC$400,_xlfn.TEXTJOIN(",",TRUE,B30:E30),SF_Output!$Q$1:$Q$400,"monthly")+SUMIFS(SF_Output!$G$1:$G$400,SF_Output!$AC$1:$AC$400,_xlfn.TEXTJOIN(",",TRUE,B30:E30),SF_Output!$Q$1:$Q$400,"monthly"))*H30,AND(B30&lt;&gt;"",H30=SF_Output!$Y$2,SUMIFS(SF_Output!$T$1:$T$400,SF_Output!$AC$1:$AC$400,_xlfn.TEXTJOIN(",",TRUE,B30:E30),SF_Output!$Q$1:$Q$400,"monthly")&lt;&gt;0),SUMIFS(SF_Output!$S$1:$S$400,SF_Output!$AC$1:$AC$400,_xlfn.TEXTJOIN(",",TRUE,B30:E30),SF_Output!$Q$1:$Q$400,"monthly"),AND(B30&lt;&gt;"",H30&lt;&gt;SF_Output!$Y$2),SUMIFS(SF_Output!$S$1:$S$400,SF_Output!$AC$1:$AC$400,_xlfn.TEXTJOIN(",",TRUE,B30:E30),SF_Output!$Q$1:$Q$400,"monthly"))</f>
        <v>0</v>
      </c>
      <c r="W30" s="112" t="str" cm="1">
        <f t="array" ref="W30">_xlfn.IFS(OR(B30=0,B30="",V30=0),"",AF30&lt;&gt;"exclusion",MAX($W$9,$W$7,(-(SUMIFS(SF_Output!$T$1:$T$400,SF_Output!$AC$1:$AC$400,_xlfn.TEXTJOIN(",",TRUE,$B30:$E30),SF_Output!$Q$1:$Q$400,"monthly"))/V30)),AF30="exclusion",-(SUMIFS(SF_Output!$T$1:$T$400,SF_Output!$AC$1:$AC$400,_xlfn.TEXTJOIN(",",TRUE,$B30:$E30),SF_Output!$Q$1:$Q$400,"monthly"))/V30)</f>
        <v/>
      </c>
      <c r="X30" s="6" cm="1">
        <f t="array" ref="X30">IFERROR(_xlfn.IFS(V30=0,0,V30="","",W30=0,V30,OR(V30&lt;&gt;0,V30&lt;&gt;""),H30*I30),V30*(1-W30))</f>
        <v>0</v>
      </c>
      <c r="Z30" s="6">
        <f>IFERROR(IF(B30="","",SUMIFS(Billing_Fallout!H:H,Billing_Fallout!N:N,B30)),0)</f>
        <v>0</v>
      </c>
      <c r="AA30" s="6">
        <f t="shared" si="4"/>
        <v>0</v>
      </c>
      <c r="AB30" s="6">
        <f>IFERROR(IF(B30="","",SUMIFS(Billing_Fallout!J:J,Billing_Fallout!N:N,B30)),0)</f>
        <v>0</v>
      </c>
      <c r="AD30" s="6">
        <f t="shared" si="5"/>
        <v>0</v>
      </c>
      <c r="AF30" t="str">
        <f>IFERROR(INDEX(H_Tables!$B$1:$B$1500,MATCH(INDEX(SF_Output!$J$1:$J$400,MATCH(B30,SF_Output!$M$1:$M$400,0)),H_Tables!$A$1:$A$1500,0)),"")</f>
        <v>Exclusion</v>
      </c>
      <c r="AI30" s="119" t="str">
        <f t="shared" si="6"/>
        <v/>
      </c>
      <c r="AJ30" s="121">
        <f>IFERROR(INDEX(SF_Output!AD:AD,MATCH(_xlfn.TEXTJOIN(",",TRUE,B30:E30),SF_Output!AC1:AC400,0)),0.05)</f>
        <v>51</v>
      </c>
      <c r="AK30" t="str">
        <f>IF(SUMIFS(SF_Output!$F$1:$F$400,SF_Output!$AC$1:$AC$400,_xlfn.TEXTJOIN(",",TRUE,B30:E30))+SUMIFS(SF_Output!$G$1:$G$400,SF_Output!$AC$1:$AC$400,_xlfn.TEXTJOIN(",",TRUE,B30:E30))=0,"","PAP")</f>
        <v/>
      </c>
      <c r="AQ30" s="35"/>
      <c r="AR30" s="35" t="str" cm="1">
        <f t="array" ref="AR30">IFERROR(_xlfn.IFS(AND(E30*1=1,F30="Included"),"Change to Included",AND(E30*1=0,F30="Optional"),"Change to Optional",OR(B30="",F30="replaced"),""),"")</f>
        <v/>
      </c>
      <c r="AS30" s="35" t="str">
        <f t="shared" si="7"/>
        <v/>
      </c>
      <c r="AT30" s="35" t="str">
        <f t="shared" si="8"/>
        <v/>
      </c>
      <c r="AU30" s="35" t="str">
        <f t="shared" si="9"/>
        <v/>
      </c>
      <c r="AV30" s="35" t="str">
        <f t="shared" si="10"/>
        <v/>
      </c>
      <c r="AW30" s="35" t="str">
        <f t="shared" si="11"/>
        <v/>
      </c>
      <c r="AX30" s="35" t="str">
        <f t="shared" si="12"/>
        <v/>
      </c>
      <c r="AY30" s="35" t="str">
        <f t="shared" si="13"/>
        <v/>
      </c>
      <c r="AZ30" s="35" t="str">
        <f t="shared" si="14"/>
        <v/>
      </c>
      <c r="BA30" s="35" t="str">
        <f t="shared" si="15"/>
        <v/>
      </c>
      <c r="BB30" s="35" t="str">
        <f t="shared" si="16"/>
        <v/>
      </c>
      <c r="BC30" s="35"/>
      <c r="BE30" s="35">
        <f ca="1">INDEX(SF_Output!$AA$2:$AA$400,MATCH($B30,SF_Output!$M$2:$M$400,0))</f>
        <v>2</v>
      </c>
      <c r="BF30" s="35">
        <f ca="1">INDEX(SF_Output!$AB$2:$AB$400,MATCH($B30,SF_Output!$M$2:$M$400,0))</f>
        <v>2</v>
      </c>
    </row>
    <row r="31" spans="2:58" x14ac:dyDescent="0.25">
      <c r="B31" t="s">
        <v>2204</v>
      </c>
      <c r="C31" t="s">
        <v>2122</v>
      </c>
      <c r="D31" t="s">
        <v>2164</v>
      </c>
      <c r="E31" t="s">
        <v>2124</v>
      </c>
      <c r="F31" s="116" t="str">
        <f t="shared" si="0"/>
        <v>Included</v>
      </c>
      <c r="G31" t="str">
        <f>IF(B31="","",INDEX(SF_Output!$K$1:$K$400,MATCH(B31,SF_Output!$M$1:$M$400,0)))</f>
        <v>Teller</v>
      </c>
      <c r="H31" cm="1">
        <f t="array" ref="H31">_xlfn.IFS(B31="","",(SUMIFS(SF_Output!$F$1:$F$400,SF_Output!$AC$1:$AC$400,_xlfn.TEXTJOIN(",",TRUE,B31:E31))+SUMIFS(SF_Output!$G$1:$G$400,SF_Output!$AC$1:$AC$400,_xlfn.TEXTJOIN(",",TRUE,B31:E31)))&lt;&gt;0,SF_Output!$Y$2,INDEX(SF_Output!$F$1:$F$400,MATCH(_xlfn.TEXTJOIN(",",TRUE,B31:E31),SF_Output!$AC$1:$AC$400,0))=0,INDEX(SF_Output!$R$1:$R$400,MATCH(_xlfn.TEXTJOIN(",",TRUE,B31:E31),SF_Output!$AC$1:$AC$400,0)))</f>
        <v>1</v>
      </c>
      <c r="I31" s="125" t="str">
        <f>IFERROR(IF(AND(H31&gt;1,H31&lt;&gt;""),ROUND(SUMIFS(SF_Output!$S$1:$S$400,SF_Output!$AC$1:$AC$400,_xlfn.TEXTJOIN(",",TRUE,B31:E31),SF_Output!$Q$1:$Q$400,"monthly")*(1-W31)/H31,4),""),"")</f>
        <v/>
      </c>
      <c r="J31" s="6">
        <f>IF(B31="","",SUMIFS(SF_Output!$S$1:$S$400,SF_Output!$AC$1:$AC$400,_xlfn.TEXTJOIN(",",TRUE,B31:E31),SF_Output!$Q$1:$Q$400,"One Time",SF_Output!$L$1:$L$400,"license fee")+SUMIFS(SF_Output!$S$1:$S$400,SF_Output!$AC$1:$AC$400,_xlfn.TEXTJOIN(",",TRUE,B31:E31),SF_Output!$Q$1:$Q$400,"One Time",SF_Output!$L$1:$L$400,"software license")+SUMIFS(SF_Output!$S$1:$S$400,SF_Output!$AC$1:$AC$400,_xlfn.TEXTJOIN(",",TRUE,B31:E31),SF_Output!$Q$1:$Q$400,"One Time",SF_Output!$L$1:$L$400,"hardware"))</f>
        <v>1636</v>
      </c>
      <c r="K31" s="112">
        <f>IF(OR(B31=0,B31="",G31="hardware",J31=0),"",IF(AF31&lt;&gt;"exclusion",MAX(K$9,-((SUMIFS(SF_Output!$T$1:$T$400,SF_Output!$AC$1:$AC$400,_xlfn.TEXTJOIN(",",TRUE,$B31:$E31),SF_Output!$Q$1:$Q$400,"One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license"))/J31)))</f>
        <v>0</v>
      </c>
      <c r="L31" s="6">
        <f t="shared" si="1"/>
        <v>1636</v>
      </c>
      <c r="N31" s="6">
        <f>IF(B31="","",SUMIFS(SF_Output!$S$1:$S$400,SF_Output!$AC$1:$AC$400,_xlfn.TEXTJOIN(",",TRUE,B31:E31),SF_Output!$Q$1:$Q$400,"One Time",SF_Output!$L$1:$L$400,"professional service"))</f>
        <v>0</v>
      </c>
      <c r="O31" s="112" t="str">
        <f>IF(OR(B31=0,B31="",N31=0),"",IF(AF31&lt;&gt;"exclusion",MAX(O$9,-(SUMIFS(SF_Output!$T$1:$T$400,SF_Output!$AC$1:$AC$400,_xlfn.TEXTJOIN(",",TRUE,$B31:$E31),SF_Output!$Q$1:$Q$400,"One Time",SF_Output!$L$1:$L$400,"professional service"))/N31),-((SUMIFS(SF_Output!$T$1:$T$400,SF_Output!$AC$1:$AC$400,_xlfn.TEXTJOIN(",",TRUE,$B31:$E31),SF_Output!$Q$1:$Q$400,"One Time",SF_Output!$L$1:$L$400,"professional service")/N31))))</f>
        <v/>
      </c>
      <c r="P31" s="6">
        <f t="shared" si="2"/>
        <v>0</v>
      </c>
      <c r="R31" s="6">
        <f>IF(B31="","",SUMIFS(SF_Output!$S$1:$S$400,SF_Output!$AC$1:$AC$400,_xlfn.TEXTJOIN(",",TRUE,B31:E31),SF_Output!$Q$1:$Q$400,"yearly")+SUMIFS(SF_Output!$S$1:$S$400,SF_Output!$AC$1:$AC$400,_xlfn.TEXTJOIN(",",TRUE,B31:E31),SF_Output!$Q$1:$Q$400,"quarterly")*4)</f>
        <v>327</v>
      </c>
      <c r="S31" s="112">
        <f>IF(OR(B31=0,B31="",G31="hardware",R31=0),"",IF(AF31&lt;&gt;"exclusion",MAX(S$9,-(SUMIFS(SF_Output!$T$1:$T$400,SF_Output!$AC$1:$AC$400,_xlfn.TEXTJOIN(",",TRUE,$B31:$E31),SF_Output!$Q$1:$Q$400,"yearly"))/R31),-((SUMIFS(SF_Output!$T$1:$T$400,SF_Output!$AC$1:$AC$400,_xlfn.TEXTJOIN(",",TRUE,$B31:$E31),SF_Output!$Q$1:$Q$400,"yearly")/R31))))</f>
        <v>0</v>
      </c>
      <c r="T31" s="6">
        <f t="shared" si="3"/>
        <v>327</v>
      </c>
      <c r="V31" s="6" cm="1">
        <f t="array" ref="V31">_xlfn.IFS(B31="","",AND(B31&lt;&gt;"",H31=SF_Output!$Y$2,SUMIFS(SF_Output!$T$1:$T$400,SF_Output!$AC$1:$AC$400,_xlfn.TEXTJOIN(",",TRUE,B31:E31),SF_Output!$Q$1:$Q$400,"monthly")=0),(SUMIFS(SF_Output!$F$1:$F$400,SF_Output!$AC$1:$AC$400,_xlfn.TEXTJOIN(",",TRUE,B31:E31),SF_Output!$Q$1:$Q$400,"monthly")+SUMIFS(SF_Output!$G$1:$G$400,SF_Output!$AC$1:$AC$400,_xlfn.TEXTJOIN(",",TRUE,B31:E31),SF_Output!$Q$1:$Q$400,"monthly"))*H31,AND(B31&lt;&gt;"",H31=SF_Output!$Y$2,SUMIFS(SF_Output!$T$1:$T$400,SF_Output!$AC$1:$AC$400,_xlfn.TEXTJOIN(",",TRUE,B31:E31),SF_Output!$Q$1:$Q$400,"monthly")&lt;&gt;0),SUMIFS(SF_Output!$S$1:$S$400,SF_Output!$AC$1:$AC$400,_xlfn.TEXTJOIN(",",TRUE,B31:E31),SF_Output!$Q$1:$Q$400,"monthly"),AND(B31&lt;&gt;"",H31&lt;&gt;SF_Output!$Y$2),SUMIFS(SF_Output!$S$1:$S$400,SF_Output!$AC$1:$AC$400,_xlfn.TEXTJOIN(",",TRUE,B31:E31),SF_Output!$Q$1:$Q$400,"monthly"))</f>
        <v>0</v>
      </c>
      <c r="W31" s="112" t="str" cm="1">
        <f t="array" ref="W31">_xlfn.IFS(OR(B31=0,B31="",V31=0),"",AF31&lt;&gt;"exclusion",MAX($W$9,$W$7,(-(SUMIFS(SF_Output!$T$1:$T$400,SF_Output!$AC$1:$AC$400,_xlfn.TEXTJOIN(",",TRUE,$B31:$E31),SF_Output!$Q$1:$Q$400,"monthly"))/V31)),AF31="exclusion",-(SUMIFS(SF_Output!$T$1:$T$400,SF_Output!$AC$1:$AC$400,_xlfn.TEXTJOIN(",",TRUE,$B31:$E31),SF_Output!$Q$1:$Q$400,"monthly"))/V31)</f>
        <v/>
      </c>
      <c r="X31" s="6" cm="1">
        <f t="array" ref="X31">IFERROR(_xlfn.IFS(V31=0,0,V31="","",W31=0,V31,OR(V31&lt;&gt;0,V31&lt;&gt;""),H31*I31),V31*(1-W31))</f>
        <v>0</v>
      </c>
      <c r="Z31" s="6">
        <f>IFERROR(IF(B31="","",SUMIFS(Billing_Fallout!H:H,Billing_Fallout!N:N,B31)),0)</f>
        <v>0</v>
      </c>
      <c r="AA31" s="6">
        <f t="shared" si="4"/>
        <v>0</v>
      </c>
      <c r="AB31" s="6">
        <f>IFERROR(IF(B31="","",SUMIFS(Billing_Fallout!J:J,Billing_Fallout!N:N,B31)),0)</f>
        <v>0</v>
      </c>
      <c r="AD31" s="6">
        <f t="shared" si="5"/>
        <v>0</v>
      </c>
      <c r="AF31" t="str">
        <f>IFERROR(INDEX(H_Tables!$B$1:$B$1500,MATCH(INDEX(SF_Output!$J$1:$J$400,MATCH(B31,SF_Output!$M$1:$M$400,0)),H_Tables!$A$1:$A$1500,0)),"")</f>
        <v>Exclusion</v>
      </c>
      <c r="AI31" s="119" t="str">
        <f t="shared" si="6"/>
        <v/>
      </c>
      <c r="AJ31" s="121">
        <f>IFERROR(INDEX(SF_Output!AD:AD,MATCH(_xlfn.TEXTJOIN(",",TRUE,B31:E31),SF_Output!AC1:AC400,0)),0.05)</f>
        <v>53</v>
      </c>
      <c r="AK31" t="str">
        <f>IF(SUMIFS(SF_Output!$F$1:$F$400,SF_Output!$AC$1:$AC$400,_xlfn.TEXTJOIN(",",TRUE,B31:E31))+SUMIFS(SF_Output!$G$1:$G$400,SF_Output!$AC$1:$AC$400,_xlfn.TEXTJOIN(",",TRUE,B31:E31))=0,"","PAP")</f>
        <v/>
      </c>
      <c r="AQ31" s="35"/>
      <c r="AR31" s="35" t="str" cm="1">
        <f t="array" ref="AR31">IFERROR(_xlfn.IFS(AND(E31*1=1,F31="Included"),"Change to Included",AND(E31*1=0,F31="Optional"),"Change to Optional",OR(B31="",F31="replaced"),""),"")</f>
        <v/>
      </c>
      <c r="AS31" s="35" t="str">
        <f t="shared" si="7"/>
        <v/>
      </c>
      <c r="AT31" s="35" t="str">
        <f t="shared" si="8"/>
        <v/>
      </c>
      <c r="AU31" s="35" t="str">
        <f t="shared" si="9"/>
        <v/>
      </c>
      <c r="AV31" s="35" t="str">
        <f t="shared" si="10"/>
        <v/>
      </c>
      <c r="AW31" s="35" t="str">
        <f t="shared" si="11"/>
        <v/>
      </c>
      <c r="AX31" s="35" t="str">
        <f t="shared" si="12"/>
        <v/>
      </c>
      <c r="AY31" s="35" t="str">
        <f t="shared" si="13"/>
        <v/>
      </c>
      <c r="AZ31" s="35" t="str">
        <f t="shared" si="14"/>
        <v/>
      </c>
      <c r="BA31" s="35" t="str">
        <f t="shared" si="15"/>
        <v/>
      </c>
      <c r="BB31" s="35" t="str">
        <f t="shared" si="16"/>
        <v/>
      </c>
      <c r="BC31" s="35"/>
      <c r="BE31" s="35">
        <f ca="1">INDEX(SF_Output!$AA$2:$AA$400,MATCH($B31,SF_Output!$M$2:$M$400,0))</f>
        <v>2</v>
      </c>
      <c r="BF31" s="35">
        <f ca="1">INDEX(SF_Output!$AB$2:$AB$400,MATCH($B31,SF_Output!$M$2:$M$400,0))</f>
        <v>2</v>
      </c>
    </row>
    <row r="32" spans="2:58" x14ac:dyDescent="0.25">
      <c r="B32" t="s">
        <v>1687</v>
      </c>
      <c r="C32" t="s">
        <v>2122</v>
      </c>
      <c r="D32" t="s">
        <v>2123</v>
      </c>
      <c r="E32" t="s">
        <v>2150</v>
      </c>
      <c r="F32" s="116" t="str">
        <f t="shared" si="0"/>
        <v>Optional</v>
      </c>
      <c r="G32" t="str">
        <f>IF(B32="","",INDEX(SF_Output!$K$1:$K$400,MATCH(B32,SF_Output!$M$1:$M$400,0)))</f>
        <v>AlertCenter</v>
      </c>
      <c r="H32" cm="1">
        <f t="array" ref="H32">_xlfn.IFS(B32="","",(SUMIFS(SF_Output!$F$1:$F$400,SF_Output!$AC$1:$AC$400,_xlfn.TEXTJOIN(",",TRUE,B32:E32))+SUMIFS(SF_Output!$G$1:$G$400,SF_Output!$AC$1:$AC$400,_xlfn.TEXTJOIN(",",TRUE,B32:E32)))&lt;&gt;0,SF_Output!$Y$2,INDEX(SF_Output!$F$1:$F$400,MATCH(_xlfn.TEXTJOIN(",",TRUE,B32:E32),SF_Output!$AC$1:$AC$400,0))=0,INDEX(SF_Output!$R$1:$R$400,MATCH(_xlfn.TEXTJOIN(",",TRUE,B32:E32),SF_Output!$AC$1:$AC$400,0)))</f>
        <v>1</v>
      </c>
      <c r="I32" s="125" t="str">
        <f>IFERROR(IF(AND(H32&gt;1,H32&lt;&gt;""),ROUND(SUMIFS(SF_Output!$S$1:$S$400,SF_Output!$AC$1:$AC$400,_xlfn.TEXTJOIN(",",TRUE,B32:E32),SF_Output!$Q$1:$Q$400,"monthly")*(1-W32)/H32,4),""),"")</f>
        <v/>
      </c>
      <c r="J32" s="6">
        <f>IF(B32="","",SUMIFS(SF_Output!$S$1:$S$400,SF_Output!$AC$1:$AC$400,_xlfn.TEXTJOIN(",",TRUE,B32:E32),SF_Output!$Q$1:$Q$400,"One Time",SF_Output!$L$1:$L$400,"license fee")+SUMIFS(SF_Output!$S$1:$S$400,SF_Output!$AC$1:$AC$400,_xlfn.TEXTJOIN(",",TRUE,B32:E32),SF_Output!$Q$1:$Q$400,"One Time",SF_Output!$L$1:$L$400,"software license")+SUMIFS(SF_Output!$S$1:$S$400,SF_Output!$AC$1:$AC$400,_xlfn.TEXTJOIN(",",TRUE,B32:E32),SF_Output!$Q$1:$Q$400,"One Time",SF_Output!$L$1:$L$400,"hardware"))</f>
        <v>0</v>
      </c>
      <c r="K32" s="112" t="str">
        <f>IF(OR(B32=0,B32="",G32="hardware",J32=0),"",IF(AF32&lt;&gt;"exclusion",MAX(K$9,-((SUMIFS(SF_Output!$T$1:$T$400,SF_Output!$AC$1:$AC$400,_xlfn.TEXTJOIN(",",TRUE,$B32:$E32),SF_Output!$Q$1:$Q$400,"One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license"))/J32)))</f>
        <v/>
      </c>
      <c r="L32" s="6">
        <f t="shared" si="1"/>
        <v>0</v>
      </c>
      <c r="N32" s="6">
        <f>IF(B32="","",SUMIFS(SF_Output!$S$1:$S$400,SF_Output!$AC$1:$AC$400,_xlfn.TEXTJOIN(",",TRUE,B32:E32),SF_Output!$Q$1:$Q$400,"One Time",SF_Output!$L$1:$L$400,"professional service"))</f>
        <v>3750</v>
      </c>
      <c r="O32" s="112">
        <f>IF(OR(B32=0,B32="",N32=0),"",IF(AF32&lt;&gt;"exclusion",MAX(O$9,-(SUMIFS(SF_Output!$T$1:$T$400,SF_Output!$AC$1:$AC$400,_xlfn.TEXTJOIN(",",TRUE,$B32:$E32),SF_Output!$Q$1:$Q$400,"One Time",SF_Output!$L$1:$L$400,"professional service"))/N32),-((SUMIFS(SF_Output!$T$1:$T$400,SF_Output!$AC$1:$AC$400,_xlfn.TEXTJOIN(",",TRUE,$B32:$E32),SF_Output!$Q$1:$Q$400,"One Time",SF_Output!$L$1:$L$400,"professional service")/N32))))</f>
        <v>1</v>
      </c>
      <c r="P32" s="6">
        <f t="shared" si="2"/>
        <v>0</v>
      </c>
      <c r="R32" s="6">
        <f>IF(B32="","",SUMIFS(SF_Output!$S$1:$S$400,SF_Output!$AC$1:$AC$400,_xlfn.TEXTJOIN(",",TRUE,B32:E32),SF_Output!$Q$1:$Q$400,"yearly")+SUMIFS(SF_Output!$S$1:$S$400,SF_Output!$AC$1:$AC$400,_xlfn.TEXTJOIN(",",TRUE,B32:E32),SF_Output!$Q$1:$Q$400,"quarterly")*4)</f>
        <v>0</v>
      </c>
      <c r="S32" s="112" t="str">
        <f>IF(OR(B32=0,B32="",G32="hardware",R32=0),"",IF(AF32&lt;&gt;"exclusion",MAX(S$9,-(SUMIFS(SF_Output!$T$1:$T$400,SF_Output!$AC$1:$AC$400,_xlfn.TEXTJOIN(",",TRUE,$B32:$E32),SF_Output!$Q$1:$Q$400,"yearly"))/R32),-((SUMIFS(SF_Output!$T$1:$T$400,SF_Output!$AC$1:$AC$400,_xlfn.TEXTJOIN(",",TRUE,$B32:$E32),SF_Output!$Q$1:$Q$400,"yearly")/R32))))</f>
        <v/>
      </c>
      <c r="T32" s="6">
        <f t="shared" si="3"/>
        <v>0</v>
      </c>
      <c r="V32" s="6" cm="1">
        <f t="array" ref="V32">_xlfn.IFS(B32="","",AND(B32&lt;&gt;"",H32=SF_Output!$Y$2,SUMIFS(SF_Output!$T$1:$T$400,SF_Output!$AC$1:$AC$400,_xlfn.TEXTJOIN(",",TRUE,B32:E32),SF_Output!$Q$1:$Q$400,"monthly")=0),(SUMIFS(SF_Output!$F$1:$F$400,SF_Output!$AC$1:$AC$400,_xlfn.TEXTJOIN(",",TRUE,B32:E32),SF_Output!$Q$1:$Q$400,"monthly")+SUMIFS(SF_Output!$G$1:$G$400,SF_Output!$AC$1:$AC$400,_xlfn.TEXTJOIN(",",TRUE,B32:E32),SF_Output!$Q$1:$Q$400,"monthly"))*H32,AND(B32&lt;&gt;"",H32=SF_Output!$Y$2,SUMIFS(SF_Output!$T$1:$T$400,SF_Output!$AC$1:$AC$400,_xlfn.TEXTJOIN(",",TRUE,B32:E32),SF_Output!$Q$1:$Q$400,"monthly")&lt;&gt;0),SUMIFS(SF_Output!$S$1:$S$400,SF_Output!$AC$1:$AC$400,_xlfn.TEXTJOIN(",",TRUE,B32:E32),SF_Output!$Q$1:$Q$400,"monthly"),AND(B32&lt;&gt;"",H32&lt;&gt;SF_Output!$Y$2),SUMIFS(SF_Output!$S$1:$S$400,SF_Output!$AC$1:$AC$400,_xlfn.TEXTJOIN(",",TRUE,B32:E32),SF_Output!$Q$1:$Q$400,"monthly"))</f>
        <v>0</v>
      </c>
      <c r="W32" s="112" t="str" cm="1">
        <f t="array" ref="W32">_xlfn.IFS(OR(B32=0,B32="",V32=0),"",AF32&lt;&gt;"exclusion",MAX($W$9,$W$7,(-(SUMIFS(SF_Output!$T$1:$T$400,SF_Output!$AC$1:$AC$400,_xlfn.TEXTJOIN(",",TRUE,$B32:$E32),SF_Output!$Q$1:$Q$400,"monthly"))/V32)),AF32="exclusion",-(SUMIFS(SF_Output!$T$1:$T$400,SF_Output!$AC$1:$AC$400,_xlfn.TEXTJOIN(",",TRUE,$B32:$E32),SF_Output!$Q$1:$Q$400,"monthly"))/V32)</f>
        <v/>
      </c>
      <c r="X32" s="6" cm="1">
        <f t="array" ref="X32">IFERROR(_xlfn.IFS(V32=0,0,V32="","",W32=0,V32,OR(V32&lt;&gt;0,V32&lt;&gt;""),H32*I32),V32*(1-W32))</f>
        <v>0</v>
      </c>
      <c r="Z32" s="6">
        <f>IFERROR(IF(B32="","",SUMIFS(Billing_Fallout!H:H,Billing_Fallout!N:N,B32)),0)</f>
        <v>0</v>
      </c>
      <c r="AA32" s="6">
        <f t="shared" si="4"/>
        <v>0</v>
      </c>
      <c r="AB32" s="6">
        <f>IFERROR(IF(B32="","",SUMIFS(Billing_Fallout!J:J,Billing_Fallout!N:N,B32)),0)</f>
        <v>0</v>
      </c>
      <c r="AD32" s="6">
        <f t="shared" si="5"/>
        <v>0</v>
      </c>
      <c r="AF32" t="str">
        <f>IFERROR(INDEX(H_Tables!$B$1:$B$1500,MATCH(INDEX(SF_Output!$J$1:$J$400,MATCH(B32,SF_Output!$M$1:$M$400,0)),H_Tables!$A$1:$A$1500,0)),"")</f>
        <v>Exclusion</v>
      </c>
      <c r="AI32" s="119" t="str">
        <f t="shared" si="6"/>
        <v/>
      </c>
      <c r="AJ32" s="121">
        <f>IFERROR(INDEX(SF_Output!AD:AD,MATCH(_xlfn.TEXTJOIN(",",TRUE,B32:E32),SF_Output!AC1:AC400,0)),0.05)</f>
        <v>97</v>
      </c>
      <c r="AK32" t="str">
        <f>IF(SUMIFS(SF_Output!$F$1:$F$400,SF_Output!$AC$1:$AC$400,_xlfn.TEXTJOIN(",",TRUE,B32:E32))+SUMIFS(SF_Output!$G$1:$G$400,SF_Output!$AC$1:$AC$400,_xlfn.TEXTJOIN(",",TRUE,B32:E32))=0,"","PAP")</f>
        <v/>
      </c>
      <c r="AQ32" s="35"/>
      <c r="AR32" s="35" t="str" cm="1">
        <f t="array" ref="AR32">IFERROR(_xlfn.IFS(AND(E32*1=1,F32="Included"),"Change to Included",AND(E32*1=0,F32="Optional"),"Change to Optional",OR(B32="",F32="replaced"),""),"")</f>
        <v/>
      </c>
      <c r="AS32" s="35" t="str">
        <f t="shared" si="7"/>
        <v/>
      </c>
      <c r="AT32" s="35" t="str">
        <f t="shared" si="8"/>
        <v/>
      </c>
      <c r="AU32" s="35" t="str">
        <f t="shared" si="9"/>
        <v/>
      </c>
      <c r="AV32" s="35" t="str">
        <f t="shared" si="10"/>
        <v/>
      </c>
      <c r="AW32" s="35" t="str">
        <f t="shared" si="11"/>
        <v/>
      </c>
      <c r="AX32" s="35" t="str">
        <f t="shared" si="12"/>
        <v/>
      </c>
      <c r="AY32" s="35" t="str">
        <f t="shared" si="13"/>
        <v/>
      </c>
      <c r="AZ32" s="35" t="str">
        <f t="shared" si="14"/>
        <v/>
      </c>
      <c r="BA32" s="35" t="str">
        <f t="shared" si="15"/>
        <v/>
      </c>
      <c r="BB32" s="35" t="str">
        <f t="shared" si="16"/>
        <v/>
      </c>
      <c r="BC32" s="35"/>
      <c r="BE32" s="35">
        <f ca="1">INDEX(SF_Output!$AA$2:$AA$400,MATCH($B32,SF_Output!$M$2:$M$400,0))</f>
        <v>2</v>
      </c>
      <c r="BF32" s="35">
        <f ca="1">INDEX(SF_Output!$AB$2:$AB$400,MATCH($B32,SF_Output!$M$2:$M$400,0))</f>
        <v>4</v>
      </c>
    </row>
    <row r="33" spans="2:58" x14ac:dyDescent="0.25">
      <c r="B33" t="s">
        <v>2284</v>
      </c>
      <c r="C33" t="s">
        <v>2122</v>
      </c>
      <c r="D33" t="s">
        <v>2123</v>
      </c>
      <c r="E33" t="s">
        <v>2124</v>
      </c>
      <c r="F33" s="116" t="str">
        <f t="shared" si="0"/>
        <v>Included</v>
      </c>
      <c r="G33" t="str">
        <f>IF(B33="","",INDEX(SF_Output!$K$1:$K$400,MATCH(B33,SF_Output!$M$1:$M$400,0)))</f>
        <v>Synapsys</v>
      </c>
      <c r="H33" cm="1">
        <f t="array" ref="H33">_xlfn.IFS(B33="","",(SUMIFS(SF_Output!$F$1:$F$400,SF_Output!$AC$1:$AC$400,_xlfn.TEXTJOIN(",",TRUE,B33:E33))+SUMIFS(SF_Output!$G$1:$G$400,SF_Output!$AC$1:$AC$400,_xlfn.TEXTJOIN(",",TRUE,B33:E33)))&lt;&gt;0,SF_Output!$Y$2,INDEX(SF_Output!$F$1:$F$400,MATCH(_xlfn.TEXTJOIN(",",TRUE,B33:E33),SF_Output!$AC$1:$AC$400,0))=0,INDEX(SF_Output!$R$1:$R$400,MATCH(_xlfn.TEXTJOIN(",",TRUE,B33:E33),SF_Output!$AC$1:$AC$400,0)))</f>
        <v>5000</v>
      </c>
      <c r="I33" s="125">
        <f>IFERROR(IF(AND(H33&gt;1,H33&lt;&gt;""),ROUND(SUMIFS(SF_Output!$S$1:$S$400,SF_Output!$AC$1:$AC$400,_xlfn.TEXTJOIN(",",TRUE,B33:E33),SF_Output!$Q$1:$Q$400,"monthly")*(1-W33)/H33,4),""),"")</f>
        <v>0.1643</v>
      </c>
      <c r="J33" s="6">
        <f>IF(B33="","",SUMIFS(SF_Output!$S$1:$S$400,SF_Output!$AC$1:$AC$400,_xlfn.TEXTJOIN(",",TRUE,B33:E33),SF_Output!$Q$1:$Q$400,"One Time",SF_Output!$L$1:$L$400,"license fee")+SUMIFS(SF_Output!$S$1:$S$400,SF_Output!$AC$1:$AC$400,_xlfn.TEXTJOIN(",",TRUE,B33:E33),SF_Output!$Q$1:$Q$400,"One Time",SF_Output!$L$1:$L$400,"software license")+SUMIFS(SF_Output!$S$1:$S$400,SF_Output!$AC$1:$AC$400,_xlfn.TEXTJOIN(",",TRUE,B33:E33),SF_Output!$Q$1:$Q$400,"One Time",SF_Output!$L$1:$L$400,"hardware"))</f>
        <v>0</v>
      </c>
      <c r="K33" s="112" t="str">
        <f>IF(OR(B33=0,B33="",G33="hardware",J33=0),"",IF(AF33&lt;&gt;"exclusion",MAX(K$9,-((SUMIFS(SF_Output!$T$1:$T$400,SF_Output!$AC$1:$AC$400,_xlfn.TEXTJOIN(",",TRUE,$B33:$E33),SF_Output!$Q$1:$Q$400,"One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license"))/J33)))</f>
        <v/>
      </c>
      <c r="L33" s="6">
        <f t="shared" si="1"/>
        <v>0</v>
      </c>
      <c r="N33" s="6">
        <f>IF(B33="","",SUMIFS(SF_Output!$S$1:$S$400,SF_Output!$AC$1:$AC$400,_xlfn.TEXTJOIN(",",TRUE,B33:E33),SF_Output!$Q$1:$Q$400,"One Time",SF_Output!$L$1:$L$400,"professional service"))</f>
        <v>8500</v>
      </c>
      <c r="O33" s="112">
        <f>IF(OR(B33=0,B33="",N33=0),"",IF(AF33&lt;&gt;"exclusion",MAX(O$9,-(SUMIFS(SF_Output!$T$1:$T$400,SF_Output!$AC$1:$AC$400,_xlfn.TEXTJOIN(",",TRUE,$B33:$E33),SF_Output!$Q$1:$Q$400,"One Time",SF_Output!$L$1:$L$400,"professional service"))/N33),-((SUMIFS(SF_Output!$T$1:$T$400,SF_Output!$AC$1:$AC$400,_xlfn.TEXTJOIN(",",TRUE,$B33:$E33),SF_Output!$Q$1:$Q$400,"One Time",SF_Output!$L$1:$L$400,"professional service")/N33))))</f>
        <v>1</v>
      </c>
      <c r="P33" s="6">
        <f t="shared" si="2"/>
        <v>0</v>
      </c>
      <c r="R33" s="6">
        <f>IF(B33="","",SUMIFS(SF_Output!$S$1:$S$400,SF_Output!$AC$1:$AC$400,_xlfn.TEXTJOIN(",",TRUE,B33:E33),SF_Output!$Q$1:$Q$400,"yearly")+SUMIFS(SF_Output!$S$1:$S$400,SF_Output!$AC$1:$AC$400,_xlfn.TEXTJOIN(",",TRUE,B33:E33),SF_Output!$Q$1:$Q$400,"quarterly")*4)</f>
        <v>0</v>
      </c>
      <c r="S33" s="112" t="str">
        <f>IF(OR(B33=0,B33="",G33="hardware",R33=0),"",IF(AF33&lt;&gt;"exclusion",MAX(S$9,-(SUMIFS(SF_Output!$T$1:$T$400,SF_Output!$AC$1:$AC$400,_xlfn.TEXTJOIN(",",TRUE,$B33:$E33),SF_Output!$Q$1:$Q$400,"yearly"))/R33),-((SUMIFS(SF_Output!$T$1:$T$400,SF_Output!$AC$1:$AC$400,_xlfn.TEXTJOIN(",",TRUE,$B33:$E33),SF_Output!$Q$1:$Q$400,"yearly")/R33))))</f>
        <v/>
      </c>
      <c r="T33" s="6">
        <f t="shared" si="3"/>
        <v>0</v>
      </c>
      <c r="V33" s="6" cm="1">
        <f t="array" ref="V33">_xlfn.IFS(B33="","",AND(B33&lt;&gt;"",H33=SF_Output!$Y$2,SUMIFS(SF_Output!$T$1:$T$400,SF_Output!$AC$1:$AC$400,_xlfn.TEXTJOIN(",",TRUE,B33:E33),SF_Output!$Q$1:$Q$400,"monthly")=0),(SUMIFS(SF_Output!$F$1:$F$400,SF_Output!$AC$1:$AC$400,_xlfn.TEXTJOIN(",",TRUE,B33:E33),SF_Output!$Q$1:$Q$400,"monthly")+SUMIFS(SF_Output!$G$1:$G$400,SF_Output!$AC$1:$AC$400,_xlfn.TEXTJOIN(",",TRUE,B33:E33),SF_Output!$Q$1:$Q$400,"monthly"))*H33,AND(B33&lt;&gt;"",H33=SF_Output!$Y$2,SUMIFS(SF_Output!$T$1:$T$400,SF_Output!$AC$1:$AC$400,_xlfn.TEXTJOIN(",",TRUE,B33:E33),SF_Output!$Q$1:$Q$400,"monthly")&lt;&gt;0),SUMIFS(SF_Output!$S$1:$S$400,SF_Output!$AC$1:$AC$400,_xlfn.TEXTJOIN(",",TRUE,B33:E33),SF_Output!$Q$1:$Q$400,"monthly"),AND(B33&lt;&gt;"",H33&lt;&gt;SF_Output!$Y$2),SUMIFS(SF_Output!$S$1:$S$400,SF_Output!$AC$1:$AC$400,_xlfn.TEXTJOIN(",",TRUE,B33:E33),SF_Output!$Q$1:$Q$400,"monthly"))</f>
        <v>1095</v>
      </c>
      <c r="W33" s="112" cm="1">
        <f t="array" ref="W33">_xlfn.IFS(OR(B33=0,B33="",V33=0),"",AF33&lt;&gt;"exclusion",MAX($W$9,$W$7,(-(SUMIFS(SF_Output!$T$1:$T$400,SF_Output!$AC$1:$AC$400,_xlfn.TEXTJOIN(",",TRUE,$B33:$E33),SF_Output!$Q$1:$Q$400,"monthly"))/V33)),AF33="exclusion",-(SUMIFS(SF_Output!$T$1:$T$400,SF_Output!$AC$1:$AC$400,_xlfn.TEXTJOIN(",",TRUE,$B33:$E33),SF_Output!$Q$1:$Q$400,"monthly"))/V33)</f>
        <v>0.25</v>
      </c>
      <c r="X33" s="6" cm="1">
        <f t="array" ref="X33">IFERROR(_xlfn.IFS(V33=0,0,V33="","",W33=0,V33,OR(V33&lt;&gt;0,V33&lt;&gt;""),H33*I33),V33*(1-W33))</f>
        <v>821.5</v>
      </c>
      <c r="Z33" s="6">
        <f>IFERROR(IF(B33="","",SUMIFS(Billing_Fallout!H:H,Billing_Fallout!N:N,B33)),0)</f>
        <v>0</v>
      </c>
      <c r="AA33" s="6">
        <f t="shared" si="4"/>
        <v>0</v>
      </c>
      <c r="AB33" s="6">
        <f>IFERROR(IF(B33="","",SUMIFS(Billing_Fallout!J:J,Billing_Fallout!N:N,B33)),0)</f>
        <v>0</v>
      </c>
      <c r="AD33" s="6">
        <f t="shared" si="5"/>
        <v>821.5</v>
      </c>
      <c r="AF33" t="str">
        <f>IFERROR(INDEX(H_Tables!$B$1:$B$1500,MATCH(INDEX(SF_Output!$J$1:$J$400,MATCH(B33,SF_Output!$M$1:$M$400,0)),H_Tables!$A$1:$A$1500,0)),"")</f>
        <v/>
      </c>
      <c r="AI33" s="119" t="str">
        <f t="shared" si="6"/>
        <v/>
      </c>
      <c r="AJ33" s="121">
        <f>IFERROR(INDEX(SF_Output!AD:AD,MATCH(_xlfn.TEXTJOIN(",",TRUE,B33:E33),SF_Output!AC1:AC400,0)),0.05)</f>
        <v>113</v>
      </c>
      <c r="AK33" t="str">
        <f>IF(SUMIFS(SF_Output!$F$1:$F$400,SF_Output!$AC$1:$AC$400,_xlfn.TEXTJOIN(",",TRUE,B33:E33))+SUMIFS(SF_Output!$G$1:$G$400,SF_Output!$AC$1:$AC$400,_xlfn.TEXTJOIN(",",TRUE,B33:E33))=0,"","PAP")</f>
        <v>PAP</v>
      </c>
      <c r="AQ33" s="35"/>
      <c r="AR33" s="35" t="str" cm="1">
        <f t="array" ref="AR33">IFERROR(_xlfn.IFS(AND(E33*1=1,F33="Included"),"Change to Included",AND(E33*1=0,F33="Optional"),"Change to Optional",OR(B33="",F33="replaced"),""),"")</f>
        <v/>
      </c>
      <c r="AS33" s="35" t="str">
        <f t="shared" si="7"/>
        <v/>
      </c>
      <c r="AT33" s="35" t="str">
        <f t="shared" si="8"/>
        <v/>
      </c>
      <c r="AU33" s="35" t="str">
        <f t="shared" si="9"/>
        <v/>
      </c>
      <c r="AV33" s="35" t="str">
        <f t="shared" si="10"/>
        <v/>
      </c>
      <c r="AW33" s="35" t="str">
        <f t="shared" si="11"/>
        <v/>
      </c>
      <c r="AX33" s="35" t="str">
        <f t="shared" si="12"/>
        <v/>
      </c>
      <c r="AY33" s="35" t="str">
        <f t="shared" si="13"/>
        <v/>
      </c>
      <c r="AZ33" s="35" t="str">
        <f t="shared" si="14"/>
        <v/>
      </c>
      <c r="BA33" s="35" t="str">
        <f t="shared" si="15"/>
        <v/>
      </c>
      <c r="BB33" s="35" t="str">
        <f t="shared" si="16"/>
        <v/>
      </c>
      <c r="BC33" s="35"/>
      <c r="BE33" s="35">
        <f ca="1">INDEX(SF_Output!$AA$2:$AA$400,MATCH($B33,SF_Output!$M$2:$M$400,0))</f>
        <v>2</v>
      </c>
      <c r="BF33" s="35">
        <f ca="1">INDEX(SF_Output!$AB$2:$AB$400,MATCH($B33,SF_Output!$M$2:$M$400,0))</f>
        <v>3</v>
      </c>
    </row>
    <row r="34" spans="2:58" x14ac:dyDescent="0.25">
      <c r="B34" t="s">
        <v>1531</v>
      </c>
      <c r="C34" t="s">
        <v>2122</v>
      </c>
      <c r="D34" t="s">
        <v>2123</v>
      </c>
      <c r="E34" t="s">
        <v>2124</v>
      </c>
      <c r="F34" s="116" t="str">
        <f t="shared" si="0"/>
        <v>Included</v>
      </c>
      <c r="G34" t="str">
        <f>IF(B34="","",INDEX(SF_Output!$K$1:$K$400,MATCH(B34,SF_Output!$M$1:$M$400,0)))</f>
        <v>Synapsys</v>
      </c>
      <c r="H34" cm="1">
        <f t="array" ref="H34">_xlfn.IFS(B34="","",(SUMIFS(SF_Output!$F$1:$F$400,SF_Output!$AC$1:$AC$400,_xlfn.TEXTJOIN(",",TRUE,B34:E34))+SUMIFS(SF_Output!$G$1:$G$400,SF_Output!$AC$1:$AC$400,_xlfn.TEXTJOIN(",",TRUE,B34:E34)))&lt;&gt;0,SF_Output!$Y$2,INDEX(SF_Output!$F$1:$F$400,MATCH(_xlfn.TEXTJOIN(",",TRUE,B34:E34),SF_Output!$AC$1:$AC$400,0))=0,INDEX(SF_Output!$R$1:$R$400,MATCH(_xlfn.TEXTJOIN(",",TRUE,B34:E34),SF_Output!$AC$1:$AC$400,0)))</f>
        <v>1</v>
      </c>
      <c r="I34" s="125" t="str">
        <f>IFERROR(IF(AND(H34&gt;1,H34&lt;&gt;""),ROUND(SUMIFS(SF_Output!$S$1:$S$400,SF_Output!$AC$1:$AC$400,_xlfn.TEXTJOIN(",",TRUE,B34:E34),SF_Output!$Q$1:$Q$400,"monthly")*(1-W34)/H34,4),""),"")</f>
        <v/>
      </c>
      <c r="J34" s="6">
        <f>IF(B34="","",SUMIFS(SF_Output!$S$1:$S$400,SF_Output!$AC$1:$AC$400,_xlfn.TEXTJOIN(",",TRUE,B34:E34),SF_Output!$Q$1:$Q$400,"One Time",SF_Output!$L$1:$L$400,"license fee")+SUMIFS(SF_Output!$S$1:$S$400,SF_Output!$AC$1:$AC$400,_xlfn.TEXTJOIN(",",TRUE,B34:E34),SF_Output!$Q$1:$Q$400,"One Time",SF_Output!$L$1:$L$400,"software license")+SUMIFS(SF_Output!$S$1:$S$400,SF_Output!$AC$1:$AC$400,_xlfn.TEXTJOIN(",",TRUE,B34:E34),SF_Output!$Q$1:$Q$400,"One Time",SF_Output!$L$1:$L$400,"hardware"))</f>
        <v>0</v>
      </c>
      <c r="K34" s="112" t="str">
        <f>IF(OR(B34=0,B34="",G34="hardware",J34=0),"",IF(AF34&lt;&gt;"exclusion",MAX(K$9,-((SUMIFS(SF_Output!$T$1:$T$400,SF_Output!$AC$1:$AC$400,_xlfn.TEXTJOIN(",",TRUE,$B34:$E34),SF_Output!$Q$1:$Q$400,"One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license"))/J34)))</f>
        <v/>
      </c>
      <c r="L34" s="6">
        <f t="shared" si="1"/>
        <v>0</v>
      </c>
      <c r="N34" s="6">
        <f>IF(B34="","",SUMIFS(SF_Output!$S$1:$S$400,SF_Output!$AC$1:$AC$400,_xlfn.TEXTJOIN(",",TRUE,B34:E34),SF_Output!$Q$1:$Q$400,"One Time",SF_Output!$L$1:$L$400,"professional service"))</f>
        <v>0</v>
      </c>
      <c r="O34" s="112" t="str">
        <f>IF(OR(B34=0,B34="",N34=0),"",IF(AF34&lt;&gt;"exclusion",MAX(O$9,-(SUMIFS(SF_Output!$T$1:$T$400,SF_Output!$AC$1:$AC$400,_xlfn.TEXTJOIN(",",TRUE,$B34:$E34),SF_Output!$Q$1:$Q$400,"One Time",SF_Output!$L$1:$L$400,"professional service"))/N34),-((SUMIFS(SF_Output!$T$1:$T$400,SF_Output!$AC$1:$AC$400,_xlfn.TEXTJOIN(",",TRUE,$B34:$E34),SF_Output!$Q$1:$Q$400,"One Time",SF_Output!$L$1:$L$400,"professional service")/N34))))</f>
        <v/>
      </c>
      <c r="P34" s="6">
        <f t="shared" si="2"/>
        <v>0</v>
      </c>
      <c r="R34" s="6">
        <f>IF(B34="","",SUMIFS(SF_Output!$S$1:$S$400,SF_Output!$AC$1:$AC$400,_xlfn.TEXTJOIN(",",TRUE,B34:E34),SF_Output!$Q$1:$Q$400,"yearly")+SUMIFS(SF_Output!$S$1:$S$400,SF_Output!$AC$1:$AC$400,_xlfn.TEXTJOIN(",",TRUE,B34:E34),SF_Output!$Q$1:$Q$400,"quarterly")*4)</f>
        <v>5000</v>
      </c>
      <c r="S34" s="112">
        <f>IF(OR(B34=0,B34="",G34="hardware",R34=0),"",IF(AF34&lt;&gt;"exclusion",MAX(S$9,-(SUMIFS(SF_Output!$T$1:$T$400,SF_Output!$AC$1:$AC$400,_xlfn.TEXTJOIN(",",TRUE,$B34:$E34),SF_Output!$Q$1:$Q$400,"yearly"))/R34),-((SUMIFS(SF_Output!$T$1:$T$400,SF_Output!$AC$1:$AC$400,_xlfn.TEXTJOIN(",",TRUE,$B34:$E34),SF_Output!$Q$1:$Q$400,"yearly")/R34))))</f>
        <v>0</v>
      </c>
      <c r="T34" s="6">
        <f t="shared" si="3"/>
        <v>5000</v>
      </c>
      <c r="V34" s="6" cm="1">
        <f t="array" ref="V34">_xlfn.IFS(B34="","",AND(B34&lt;&gt;"",H34=SF_Output!$Y$2,SUMIFS(SF_Output!$T$1:$T$400,SF_Output!$AC$1:$AC$400,_xlfn.TEXTJOIN(",",TRUE,B34:E34),SF_Output!$Q$1:$Q$400,"monthly")=0),(SUMIFS(SF_Output!$F$1:$F$400,SF_Output!$AC$1:$AC$400,_xlfn.TEXTJOIN(",",TRUE,B34:E34),SF_Output!$Q$1:$Q$400,"monthly")+SUMIFS(SF_Output!$G$1:$G$400,SF_Output!$AC$1:$AC$400,_xlfn.TEXTJOIN(",",TRUE,B34:E34),SF_Output!$Q$1:$Q$400,"monthly"))*H34,AND(B34&lt;&gt;"",H34=SF_Output!$Y$2,SUMIFS(SF_Output!$T$1:$T$400,SF_Output!$AC$1:$AC$400,_xlfn.TEXTJOIN(",",TRUE,B34:E34),SF_Output!$Q$1:$Q$400,"monthly")&lt;&gt;0),SUMIFS(SF_Output!$S$1:$S$400,SF_Output!$AC$1:$AC$400,_xlfn.TEXTJOIN(",",TRUE,B34:E34),SF_Output!$Q$1:$Q$400,"monthly"),AND(B34&lt;&gt;"",H34&lt;&gt;SF_Output!$Y$2),SUMIFS(SF_Output!$S$1:$S$400,SF_Output!$AC$1:$AC$400,_xlfn.TEXTJOIN(",",TRUE,B34:E34),SF_Output!$Q$1:$Q$400,"monthly"))</f>
        <v>0</v>
      </c>
      <c r="W34" s="112" t="str" cm="1">
        <f t="array" ref="W34">_xlfn.IFS(OR(B34=0,B34="",V34=0),"",AF34&lt;&gt;"exclusion",MAX($W$9,$W$7,(-(SUMIFS(SF_Output!$T$1:$T$400,SF_Output!$AC$1:$AC$400,_xlfn.TEXTJOIN(",",TRUE,$B34:$E34),SF_Output!$Q$1:$Q$400,"monthly"))/V34)),AF34="exclusion",-(SUMIFS(SF_Output!$T$1:$T$400,SF_Output!$AC$1:$AC$400,_xlfn.TEXTJOIN(",",TRUE,$B34:$E34),SF_Output!$Q$1:$Q$400,"monthly"))/V34)</f>
        <v/>
      </c>
      <c r="X34" s="6" cm="1">
        <f t="array" ref="X34">IFERROR(_xlfn.IFS(V34=0,0,V34="","",W34=0,V34,OR(V34&lt;&gt;0,V34&lt;&gt;""),H34*I34),V34*(1-W34))</f>
        <v>0</v>
      </c>
      <c r="Z34" s="6">
        <f>IFERROR(IF(B34="","",SUMIFS(Billing_Fallout!H:H,Billing_Fallout!N:N,B34)),0)</f>
        <v>0</v>
      </c>
      <c r="AA34" s="6">
        <f t="shared" si="4"/>
        <v>0</v>
      </c>
      <c r="AB34" s="6">
        <f>IFERROR(IF(B34="","",SUMIFS(Billing_Fallout!J:J,Billing_Fallout!N:N,B34)),0)</f>
        <v>0</v>
      </c>
      <c r="AD34" s="6">
        <f t="shared" si="5"/>
        <v>0</v>
      </c>
      <c r="AF34" t="str">
        <f>IFERROR(INDEX(H_Tables!$B$1:$B$1500,MATCH(INDEX(SF_Output!$J$1:$J$400,MATCH(B34,SF_Output!$M$1:$M$400,0)),H_Tables!$A$1:$A$1500,0)),"")</f>
        <v>Exclusion</v>
      </c>
      <c r="AI34" s="119" t="str">
        <f t="shared" si="6"/>
        <v/>
      </c>
      <c r="AJ34" s="121">
        <f>IFERROR(INDEX(SF_Output!AD:AD,MATCH(_xlfn.TEXTJOIN(",",TRUE,B34:E34),SF_Output!AC1:AC400,0)),0.05)</f>
        <v>115</v>
      </c>
      <c r="AK34" t="str">
        <f>IF(SUMIFS(SF_Output!$F$1:$F$400,SF_Output!$AC$1:$AC$400,_xlfn.TEXTJOIN(",",TRUE,B34:E34))+SUMIFS(SF_Output!$G$1:$G$400,SF_Output!$AC$1:$AC$400,_xlfn.TEXTJOIN(",",TRUE,B34:E34))=0,"","PAP")</f>
        <v/>
      </c>
      <c r="AQ34" s="35"/>
      <c r="AR34" s="35" t="str" cm="1">
        <f t="array" ref="AR34">IFERROR(_xlfn.IFS(AND(E34*1=1,F34="Included"),"Change to Included",AND(E34*1=0,F34="Optional"),"Change to Optional",OR(B34="",F34="replaced"),""),"")</f>
        <v/>
      </c>
      <c r="AS34" s="35" t="str">
        <f t="shared" si="7"/>
        <v/>
      </c>
      <c r="AT34" s="35" t="str">
        <f t="shared" si="8"/>
        <v/>
      </c>
      <c r="AU34" s="35" t="str">
        <f t="shared" si="9"/>
        <v/>
      </c>
      <c r="AV34" s="35" t="str">
        <f t="shared" si="10"/>
        <v/>
      </c>
      <c r="AW34" s="35" t="str">
        <f t="shared" si="11"/>
        <v/>
      </c>
      <c r="AX34" s="35" t="str">
        <f t="shared" si="12"/>
        <v/>
      </c>
      <c r="AY34" s="35" t="str">
        <f t="shared" si="13"/>
        <v/>
      </c>
      <c r="AZ34" s="35" t="str">
        <f t="shared" si="14"/>
        <v/>
      </c>
      <c r="BA34" s="35" t="str">
        <f t="shared" si="15"/>
        <v/>
      </c>
      <c r="BB34" s="35" t="str">
        <f t="shared" si="16"/>
        <v/>
      </c>
      <c r="BC34" s="35"/>
      <c r="BE34" s="35">
        <f ca="1">INDEX(SF_Output!$AA$2:$AA$400,MATCH($B34,SF_Output!$M$2:$M$400,0))</f>
        <v>2</v>
      </c>
      <c r="BF34" s="35">
        <f ca="1">INDEX(SF_Output!$AB$2:$AB$400,MATCH($B34,SF_Output!$M$2:$M$400,0))</f>
        <v>3</v>
      </c>
    </row>
    <row r="35" spans="2:58" x14ac:dyDescent="0.25">
      <c r="B35" t="s">
        <v>614</v>
      </c>
      <c r="C35" t="s">
        <v>2122</v>
      </c>
      <c r="D35" t="s">
        <v>2123</v>
      </c>
      <c r="E35" t="s">
        <v>2124</v>
      </c>
      <c r="F35" s="116" t="str">
        <f t="shared" si="0"/>
        <v>Included</v>
      </c>
      <c r="G35" t="str">
        <f>IF(B35="","",INDEX(SF_Output!$K$1:$K$400,MATCH(B35,SF_Output!$M$1:$M$400,0)))</f>
        <v>JHA OpenAnywhere</v>
      </c>
      <c r="H35" cm="1">
        <f t="array" ref="H35">_xlfn.IFS(B35="","",(SUMIFS(SF_Output!$F$1:$F$400,SF_Output!$AC$1:$AC$400,_xlfn.TEXTJOIN(",",TRUE,B35:E35))+SUMIFS(SF_Output!$G$1:$G$400,SF_Output!$AC$1:$AC$400,_xlfn.TEXTJOIN(",",TRUE,B35:E35)))&lt;&gt;0,SF_Output!$Y$2,INDEX(SF_Output!$F$1:$F$400,MATCH(_xlfn.TEXTJOIN(",",TRUE,B35:E35),SF_Output!$AC$1:$AC$400,0))=0,INDEX(SF_Output!$R$1:$R$400,MATCH(_xlfn.TEXTJOIN(",",TRUE,B35:E35),SF_Output!$AC$1:$AC$400,0)))</f>
        <v>5000</v>
      </c>
      <c r="I35" s="125">
        <f>IFERROR(IF(AND(H35&gt;1,H35&lt;&gt;""),ROUND(SUMIFS(SF_Output!$S$1:$S$400,SF_Output!$AC$1:$AC$400,_xlfn.TEXTJOIN(",",TRUE,B35:E35),SF_Output!$Q$1:$Q$400,"monthly")*(1-W35)/H35,4),""),"")</f>
        <v>0.33229999999999998</v>
      </c>
      <c r="J35" s="6">
        <f>IF(B35="","",SUMIFS(SF_Output!$S$1:$S$400,SF_Output!$AC$1:$AC$400,_xlfn.TEXTJOIN(",",TRUE,B35:E35),SF_Output!$Q$1:$Q$400,"One Time",SF_Output!$L$1:$L$400,"license fee")+SUMIFS(SF_Output!$S$1:$S$400,SF_Output!$AC$1:$AC$400,_xlfn.TEXTJOIN(",",TRUE,B35:E35),SF_Output!$Q$1:$Q$400,"One Time",SF_Output!$L$1:$L$400,"software license")+SUMIFS(SF_Output!$S$1:$S$400,SF_Output!$AC$1:$AC$400,_xlfn.TEXTJOIN(",",TRUE,B35:E35),SF_Output!$Q$1:$Q$400,"One Time",SF_Output!$L$1:$L$400,"hardware"))</f>
        <v>0</v>
      </c>
      <c r="K35" s="112" t="str">
        <f>IF(OR(B35=0,B35="",G35="hardware",J35=0),"",IF(AF35&lt;&gt;"exclusion",MAX(K$9,-((SUMIFS(SF_Output!$T$1:$T$400,SF_Output!$AC$1:$AC$400,_xlfn.TEXTJOIN(",",TRUE,$B35:$E35),SF_Output!$Q$1:$Q$400,"One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license"))/J35)))</f>
        <v/>
      </c>
      <c r="L35" s="6">
        <f t="shared" si="1"/>
        <v>0</v>
      </c>
      <c r="N35" s="6">
        <f>IF(B35="","",SUMIFS(SF_Output!$S$1:$S$400,SF_Output!$AC$1:$AC$400,_xlfn.TEXTJOIN(",",TRUE,B35:E35),SF_Output!$Q$1:$Q$400,"One Time",SF_Output!$L$1:$L$400,"professional service"))</f>
        <v>20800</v>
      </c>
      <c r="O35" s="112">
        <f>IF(OR(B35=0,B35="",N35=0),"",IF(AF35&lt;&gt;"exclusion",MAX(O$9,-(SUMIFS(SF_Output!$T$1:$T$400,SF_Output!$AC$1:$AC$400,_xlfn.TEXTJOIN(",",TRUE,$B35:$E35),SF_Output!$Q$1:$Q$400,"One Time",SF_Output!$L$1:$L$400,"professional service"))/N35),-((SUMIFS(SF_Output!$T$1:$T$400,SF_Output!$AC$1:$AC$400,_xlfn.TEXTJOIN(",",TRUE,$B35:$E35),SF_Output!$Q$1:$Q$400,"One Time",SF_Output!$L$1:$L$400,"professional service")/N35))))</f>
        <v>1</v>
      </c>
      <c r="P35" s="6">
        <f t="shared" si="2"/>
        <v>0</v>
      </c>
      <c r="R35" s="6">
        <f>IF(B35="","",SUMIFS(SF_Output!$S$1:$S$400,SF_Output!$AC$1:$AC$400,_xlfn.TEXTJOIN(",",TRUE,B35:E35),SF_Output!$Q$1:$Q$400,"yearly")+SUMIFS(SF_Output!$S$1:$S$400,SF_Output!$AC$1:$AC$400,_xlfn.TEXTJOIN(",",TRUE,B35:E35),SF_Output!$Q$1:$Q$400,"quarterly")*4)</f>
        <v>0</v>
      </c>
      <c r="S35" s="112" t="str">
        <f>IF(OR(B35=0,B35="",G35="hardware",R35=0),"",IF(AF35&lt;&gt;"exclusion",MAX(S$9,-(SUMIFS(SF_Output!$T$1:$T$400,SF_Output!$AC$1:$AC$400,_xlfn.TEXTJOIN(",",TRUE,$B35:$E35),SF_Output!$Q$1:$Q$400,"yearly"))/R35),-((SUMIFS(SF_Output!$T$1:$T$400,SF_Output!$AC$1:$AC$400,_xlfn.TEXTJOIN(",",TRUE,$B35:$E35),SF_Output!$Q$1:$Q$400,"yearly")/R35))))</f>
        <v/>
      </c>
      <c r="T35" s="6">
        <f t="shared" si="3"/>
        <v>0</v>
      </c>
      <c r="V35" s="6" cm="1">
        <f t="array" ref="V35">_xlfn.IFS(B35="","",AND(B35&lt;&gt;"",H35=SF_Output!$Y$2,SUMIFS(SF_Output!$T$1:$T$400,SF_Output!$AC$1:$AC$400,_xlfn.TEXTJOIN(",",TRUE,B35:E35),SF_Output!$Q$1:$Q$400,"monthly")=0),(SUMIFS(SF_Output!$F$1:$F$400,SF_Output!$AC$1:$AC$400,_xlfn.TEXTJOIN(",",TRUE,B35:E35),SF_Output!$Q$1:$Q$400,"monthly")+SUMIFS(SF_Output!$G$1:$G$400,SF_Output!$AC$1:$AC$400,_xlfn.TEXTJOIN(",",TRUE,B35:E35),SF_Output!$Q$1:$Q$400,"monthly"))*H35,AND(B35&lt;&gt;"",H35=SF_Output!$Y$2,SUMIFS(SF_Output!$T$1:$T$400,SF_Output!$AC$1:$AC$400,_xlfn.TEXTJOIN(",",TRUE,B35:E35),SF_Output!$Q$1:$Q$400,"monthly")&lt;&gt;0),SUMIFS(SF_Output!$S$1:$S$400,SF_Output!$AC$1:$AC$400,_xlfn.TEXTJOIN(",",TRUE,B35:E35),SF_Output!$Q$1:$Q$400,"monthly"),AND(B35&lt;&gt;"",H35&lt;&gt;SF_Output!$Y$2),SUMIFS(SF_Output!$S$1:$S$400,SF_Output!$AC$1:$AC$400,_xlfn.TEXTJOIN(",",TRUE,B35:E35),SF_Output!$Q$1:$Q$400,"monthly"))</f>
        <v>2215</v>
      </c>
      <c r="W35" s="112" cm="1">
        <f t="array" ref="W35">_xlfn.IFS(OR(B35=0,B35="",V35=0),"",AF35&lt;&gt;"exclusion",MAX($W$9,$W$7,(-(SUMIFS(SF_Output!$T$1:$T$400,SF_Output!$AC$1:$AC$400,_xlfn.TEXTJOIN(",",TRUE,$B35:$E35),SF_Output!$Q$1:$Q$400,"monthly"))/V35)),AF35="exclusion",-(SUMIFS(SF_Output!$T$1:$T$400,SF_Output!$AC$1:$AC$400,_xlfn.TEXTJOIN(",",TRUE,$B35:$E35),SF_Output!$Q$1:$Q$400,"monthly"))/V35)</f>
        <v>0.25</v>
      </c>
      <c r="X35" s="6" cm="1">
        <f t="array" ref="X35">IFERROR(_xlfn.IFS(V35=0,0,V35="","",W35=0,V35,OR(V35&lt;&gt;0,V35&lt;&gt;""),H35*I35),V35*(1-W35))</f>
        <v>1661.5</v>
      </c>
      <c r="Z35" s="6">
        <f>IFERROR(IF(B35="","",SUMIFS(Billing_Fallout!H:H,Billing_Fallout!N:N,B35)),0)</f>
        <v>0</v>
      </c>
      <c r="AA35" s="6">
        <f t="shared" si="4"/>
        <v>0</v>
      </c>
      <c r="AB35" s="6">
        <f>IFERROR(IF(B35="","",SUMIFS(Billing_Fallout!J:J,Billing_Fallout!N:N,B35)),0)</f>
        <v>0</v>
      </c>
      <c r="AD35" s="6">
        <f t="shared" si="5"/>
        <v>1661.5</v>
      </c>
      <c r="AF35" t="str">
        <f>IFERROR(INDEX(H_Tables!$B$1:$B$1500,MATCH(INDEX(SF_Output!$J$1:$J$400,MATCH(B35,SF_Output!$M$1:$M$400,0)),H_Tables!$A$1:$A$1500,0)),"")</f>
        <v>Exclusion</v>
      </c>
      <c r="AI35" s="119" t="str">
        <f t="shared" si="6"/>
        <v/>
      </c>
      <c r="AJ35" s="121">
        <f>IFERROR(INDEX(SF_Output!AD:AD,MATCH(_xlfn.TEXTJOIN(",",TRUE,B35:E35),SF_Output!AC1:AC400,0)),0.05)</f>
        <v>38</v>
      </c>
      <c r="AK35" t="str">
        <f>IF(SUMIFS(SF_Output!$F$1:$F$400,SF_Output!$AC$1:$AC$400,_xlfn.TEXTJOIN(",",TRUE,B35:E35))+SUMIFS(SF_Output!$G$1:$G$400,SF_Output!$AC$1:$AC$400,_xlfn.TEXTJOIN(",",TRUE,B35:E35))=0,"","PAP")</f>
        <v>PAP</v>
      </c>
      <c r="AQ35" s="35"/>
      <c r="AR35" s="35" t="str" cm="1">
        <f t="array" ref="AR35">IFERROR(_xlfn.IFS(AND(E35*1=1,F35="Included"),"Change to Included",AND(E35*1=0,F35="Optional"),"Change to Optional",OR(B35="",F35="replaced"),""),"")</f>
        <v/>
      </c>
      <c r="AS35" s="35" t="str">
        <f t="shared" si="7"/>
        <v/>
      </c>
      <c r="AT35" s="35" t="str">
        <f t="shared" si="8"/>
        <v/>
      </c>
      <c r="AU35" s="35" t="str">
        <f t="shared" si="9"/>
        <v/>
      </c>
      <c r="AV35" s="35" t="str">
        <f t="shared" si="10"/>
        <v/>
      </c>
      <c r="AW35" s="35" t="str">
        <f t="shared" si="11"/>
        <v/>
      </c>
      <c r="AX35" s="35" t="str">
        <f t="shared" si="12"/>
        <v/>
      </c>
      <c r="AY35" s="35" t="str">
        <f t="shared" si="13"/>
        <v/>
      </c>
      <c r="AZ35" s="35" t="str">
        <f t="shared" si="14"/>
        <v/>
      </c>
      <c r="BA35" s="35" t="str">
        <f t="shared" si="15"/>
        <v/>
      </c>
      <c r="BB35" s="35" t="str">
        <f t="shared" si="16"/>
        <v/>
      </c>
      <c r="BC35" s="35"/>
      <c r="BE35" s="35">
        <f ca="1">INDEX(SF_Output!$AA$2:$AA$400,MATCH($B35,SF_Output!$M$2:$M$400,0))</f>
        <v>3</v>
      </c>
      <c r="BF35" s="35">
        <f ca="1">INDEX(SF_Output!$AB$2:$AB$400,MATCH($B35,SF_Output!$M$2:$M$400,0))</f>
        <v>2</v>
      </c>
    </row>
    <row r="36" spans="2:58" x14ac:dyDescent="0.25">
      <c r="B36" t="s">
        <v>1822</v>
      </c>
      <c r="C36" t="s">
        <v>2122</v>
      </c>
      <c r="D36" t="s">
        <v>2123</v>
      </c>
      <c r="E36" t="s">
        <v>2124</v>
      </c>
      <c r="F36" s="116" t="str">
        <f t="shared" si="0"/>
        <v>Included</v>
      </c>
      <c r="G36" t="str">
        <f>IF(B36="","",INDEX(SF_Output!$K$1:$K$400,MATCH(B36,SF_Output!$M$1:$M$400,0)))</f>
        <v>JHA OpenAnywhere</v>
      </c>
      <c r="H36" cm="1">
        <f t="array" ref="H36">_xlfn.IFS(B36="","",(SUMIFS(SF_Output!$F$1:$F$400,SF_Output!$AC$1:$AC$400,_xlfn.TEXTJOIN(",",TRUE,B36:E36))+SUMIFS(SF_Output!$G$1:$G$400,SF_Output!$AC$1:$AC$400,_xlfn.TEXTJOIN(",",TRUE,B36:E36)))&lt;&gt;0,SF_Output!$Y$2,INDEX(SF_Output!$F$1:$F$400,MATCH(_xlfn.TEXTJOIN(",",TRUE,B36:E36),SF_Output!$AC$1:$AC$400,0))=0,INDEX(SF_Output!$R$1:$R$400,MATCH(_xlfn.TEXTJOIN(",",TRUE,B36:E36),SF_Output!$AC$1:$AC$400,0)))</f>
        <v>1</v>
      </c>
      <c r="I36" s="125" t="str">
        <f>IFERROR(IF(AND(H36&gt;1,H36&lt;&gt;""),ROUND(SUMIFS(SF_Output!$S$1:$S$400,SF_Output!$AC$1:$AC$400,_xlfn.TEXTJOIN(",",TRUE,B36:E36),SF_Output!$Q$1:$Q$400,"monthly")*(1-W36)/H36,4),""),"")</f>
        <v/>
      </c>
      <c r="J36" s="6">
        <f>IF(B36="","",SUMIFS(SF_Output!$S$1:$S$400,SF_Output!$AC$1:$AC$400,_xlfn.TEXTJOIN(",",TRUE,B36:E36),SF_Output!$Q$1:$Q$400,"One Time",SF_Output!$L$1:$L$400,"license fee")+SUMIFS(SF_Output!$S$1:$S$400,SF_Output!$AC$1:$AC$400,_xlfn.TEXTJOIN(",",TRUE,B36:E36),SF_Output!$Q$1:$Q$400,"One Time",SF_Output!$L$1:$L$400,"software license")+SUMIFS(SF_Output!$S$1:$S$400,SF_Output!$AC$1:$AC$400,_xlfn.TEXTJOIN(",",TRUE,B36:E36),SF_Output!$Q$1:$Q$400,"One Time",SF_Output!$L$1:$L$400,"hardware"))</f>
        <v>0</v>
      </c>
      <c r="K36" s="112" t="str">
        <f>IF(OR(B36=0,B36="",G36="hardware",J36=0),"",IF(AF36&lt;&gt;"exclusion",MAX(K$9,-((SUMIFS(SF_Output!$T$1:$T$400,SF_Output!$AC$1:$AC$400,_xlfn.TEXTJOIN(",",TRUE,$B36:$E36),SF_Output!$Q$1:$Q$400,"One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license"))/J36)))</f>
        <v/>
      </c>
      <c r="L36" s="6">
        <f t="shared" si="1"/>
        <v>0</v>
      </c>
      <c r="N36" s="6">
        <f>IF(B36="","",SUMIFS(SF_Output!$S$1:$S$400,SF_Output!$AC$1:$AC$400,_xlfn.TEXTJOIN(",",TRUE,B36:E36),SF_Output!$Q$1:$Q$400,"One Time",SF_Output!$L$1:$L$400,"professional service"))</f>
        <v>2500</v>
      </c>
      <c r="O36" s="112">
        <f>IF(OR(B36=0,B36="",N36=0),"",IF(AF36&lt;&gt;"exclusion",MAX(O$9,-(SUMIFS(SF_Output!$T$1:$T$400,SF_Output!$AC$1:$AC$400,_xlfn.TEXTJOIN(",",TRUE,$B36:$E36),SF_Output!$Q$1:$Q$400,"One Time",SF_Output!$L$1:$L$400,"professional service"))/N36),-((SUMIFS(SF_Output!$T$1:$T$400,SF_Output!$AC$1:$AC$400,_xlfn.TEXTJOIN(",",TRUE,$B36:$E36),SF_Output!$Q$1:$Q$400,"One Time",SF_Output!$L$1:$L$400,"professional service")/N36))))</f>
        <v>1</v>
      </c>
      <c r="P36" s="6">
        <f t="shared" si="2"/>
        <v>0</v>
      </c>
      <c r="R36" s="6">
        <f>IF(B36="","",SUMIFS(SF_Output!$S$1:$S$400,SF_Output!$AC$1:$AC$400,_xlfn.TEXTJOIN(",",TRUE,B36:E36),SF_Output!$Q$1:$Q$400,"yearly")+SUMIFS(SF_Output!$S$1:$S$400,SF_Output!$AC$1:$AC$400,_xlfn.TEXTJOIN(",",TRUE,B36:E36),SF_Output!$Q$1:$Q$400,"quarterly")*4)</f>
        <v>0</v>
      </c>
      <c r="S36" s="112" t="str">
        <f>IF(OR(B36=0,B36="",G36="hardware",R36=0),"",IF(AF36&lt;&gt;"exclusion",MAX(S$9,-(SUMIFS(SF_Output!$T$1:$T$400,SF_Output!$AC$1:$AC$400,_xlfn.TEXTJOIN(",",TRUE,$B36:$E36),SF_Output!$Q$1:$Q$400,"yearly"))/R36),-((SUMIFS(SF_Output!$T$1:$T$400,SF_Output!$AC$1:$AC$400,_xlfn.TEXTJOIN(",",TRUE,$B36:$E36),SF_Output!$Q$1:$Q$400,"yearly")/R36))))</f>
        <v/>
      </c>
      <c r="T36" s="6">
        <f t="shared" si="3"/>
        <v>0</v>
      </c>
      <c r="V36" s="6" cm="1">
        <f t="array" ref="V36">_xlfn.IFS(B36="","",AND(B36&lt;&gt;"",H36=SF_Output!$Y$2,SUMIFS(SF_Output!$T$1:$T$400,SF_Output!$AC$1:$AC$400,_xlfn.TEXTJOIN(",",TRUE,B36:E36),SF_Output!$Q$1:$Q$400,"monthly")=0),(SUMIFS(SF_Output!$F$1:$F$400,SF_Output!$AC$1:$AC$400,_xlfn.TEXTJOIN(",",TRUE,B36:E36),SF_Output!$Q$1:$Q$400,"monthly")+SUMIFS(SF_Output!$G$1:$G$400,SF_Output!$AC$1:$AC$400,_xlfn.TEXTJOIN(",",TRUE,B36:E36),SF_Output!$Q$1:$Q$400,"monthly"))*H36,AND(B36&lt;&gt;"",H36=SF_Output!$Y$2,SUMIFS(SF_Output!$T$1:$T$400,SF_Output!$AC$1:$AC$400,_xlfn.TEXTJOIN(",",TRUE,B36:E36),SF_Output!$Q$1:$Q$400,"monthly")&lt;&gt;0),SUMIFS(SF_Output!$S$1:$S$400,SF_Output!$AC$1:$AC$400,_xlfn.TEXTJOIN(",",TRUE,B36:E36),SF_Output!$Q$1:$Q$400,"monthly"),AND(B36&lt;&gt;"",H36&lt;&gt;SF_Output!$Y$2),SUMIFS(SF_Output!$S$1:$S$400,SF_Output!$AC$1:$AC$400,_xlfn.TEXTJOIN(",",TRUE,B36:E36),SF_Output!$Q$1:$Q$400,"monthly"))</f>
        <v>0</v>
      </c>
      <c r="W36" s="112" t="str" cm="1">
        <f t="array" ref="W36">_xlfn.IFS(OR(B36=0,B36="",V36=0),"",AF36&lt;&gt;"exclusion",MAX($W$9,$W$7,(-(SUMIFS(SF_Output!$T$1:$T$400,SF_Output!$AC$1:$AC$400,_xlfn.TEXTJOIN(",",TRUE,$B36:$E36),SF_Output!$Q$1:$Q$400,"monthly"))/V36)),AF36="exclusion",-(SUMIFS(SF_Output!$T$1:$T$400,SF_Output!$AC$1:$AC$400,_xlfn.TEXTJOIN(",",TRUE,$B36:$E36),SF_Output!$Q$1:$Q$400,"monthly"))/V36)</f>
        <v/>
      </c>
      <c r="X36" s="6" cm="1">
        <f t="array" ref="X36">IFERROR(_xlfn.IFS(V36=0,0,V36="","",W36=0,V36,OR(V36&lt;&gt;0,V36&lt;&gt;""),H36*I36),V36*(1-W36))</f>
        <v>0</v>
      </c>
      <c r="Z36" s="6">
        <f>IFERROR(IF(B36="","",SUMIFS(Billing_Fallout!H:H,Billing_Fallout!N:N,B36)),0)</f>
        <v>0</v>
      </c>
      <c r="AA36" s="6">
        <f t="shared" si="4"/>
        <v>0</v>
      </c>
      <c r="AB36" s="6">
        <f>IFERROR(IF(B36="","",SUMIFS(Billing_Fallout!J:J,Billing_Fallout!N:N,B36)),0)</f>
        <v>0</v>
      </c>
      <c r="AD36" s="6">
        <f t="shared" si="5"/>
        <v>0</v>
      </c>
      <c r="AF36" t="str">
        <f>IFERROR(INDEX(H_Tables!$B$1:$B$1500,MATCH(INDEX(SF_Output!$J$1:$J$400,MATCH(B36,SF_Output!$M$1:$M$400,0)),H_Tables!$A$1:$A$1500,0)),"")</f>
        <v>Exclusion</v>
      </c>
      <c r="AI36" s="119" t="str">
        <f t="shared" si="6"/>
        <v/>
      </c>
      <c r="AJ36" s="121">
        <f>IFERROR(INDEX(SF_Output!AD:AD,MATCH(_xlfn.TEXTJOIN(",",TRUE,B36:E36),SF_Output!AC1:AC400,0)),0.05)</f>
        <v>40</v>
      </c>
      <c r="AK36" t="str">
        <f>IF(SUMIFS(SF_Output!$F$1:$F$400,SF_Output!$AC$1:$AC$400,_xlfn.TEXTJOIN(",",TRUE,B36:E36))+SUMIFS(SF_Output!$G$1:$G$400,SF_Output!$AC$1:$AC$400,_xlfn.TEXTJOIN(",",TRUE,B36:E36))=0,"","PAP")</f>
        <v/>
      </c>
      <c r="AQ36" s="35"/>
      <c r="AR36" s="35" t="str" cm="1">
        <f t="array" ref="AR36">IFERROR(_xlfn.IFS(AND(E36*1=1,F36="Included"),"Change to Included",AND(E36*1=0,F36="Optional"),"Change to Optional",OR(B36="",F36="replaced"),""),"")</f>
        <v/>
      </c>
      <c r="AS36" s="35" t="str">
        <f t="shared" si="7"/>
        <v/>
      </c>
      <c r="AT36" s="35" t="str">
        <f t="shared" si="8"/>
        <v/>
      </c>
      <c r="AU36" s="35" t="str">
        <f t="shared" si="9"/>
        <v/>
      </c>
      <c r="AV36" s="35" t="str">
        <f t="shared" si="10"/>
        <v/>
      </c>
      <c r="AW36" s="35" t="str">
        <f t="shared" si="11"/>
        <v/>
      </c>
      <c r="AX36" s="35" t="str">
        <f t="shared" si="12"/>
        <v/>
      </c>
      <c r="AY36" s="35" t="str">
        <f t="shared" si="13"/>
        <v/>
      </c>
      <c r="AZ36" s="35" t="str">
        <f t="shared" si="14"/>
        <v/>
      </c>
      <c r="BA36" s="35" t="str">
        <f t="shared" si="15"/>
        <v/>
      </c>
      <c r="BB36" s="35" t="str">
        <f t="shared" si="16"/>
        <v/>
      </c>
      <c r="BC36" s="35"/>
      <c r="BE36" s="35">
        <f ca="1">INDEX(SF_Output!$AA$2:$AA$400,MATCH($B36,SF_Output!$M$2:$M$400,0))</f>
        <v>3</v>
      </c>
      <c r="BF36" s="35">
        <f ca="1">INDEX(SF_Output!$AB$2:$AB$400,MATCH($B36,SF_Output!$M$2:$M$400,0))</f>
        <v>2</v>
      </c>
    </row>
    <row r="37" spans="2:58" x14ac:dyDescent="0.25">
      <c r="B37" t="s">
        <v>1441</v>
      </c>
      <c r="C37" t="s">
        <v>2122</v>
      </c>
      <c r="D37" t="s">
        <v>2123</v>
      </c>
      <c r="E37" t="s">
        <v>2150</v>
      </c>
      <c r="F37" s="116" t="str">
        <f t="shared" si="0"/>
        <v>Optional</v>
      </c>
      <c r="G37" t="str">
        <f>IF(B37="","",INDEX(SF_Output!$K$1:$K$400,MATCH(B37,SF_Output!$M$1:$M$400,0)))</f>
        <v>JHA OpenAnywhere</v>
      </c>
      <c r="H37" cm="1">
        <f t="array" ref="H37">_xlfn.IFS(B37="","",(SUMIFS(SF_Output!$F$1:$F$400,SF_Output!$AC$1:$AC$400,_xlfn.TEXTJOIN(",",TRUE,B37:E37))+SUMIFS(SF_Output!$G$1:$G$400,SF_Output!$AC$1:$AC$400,_xlfn.TEXTJOIN(",",TRUE,B37:E37)))&lt;&gt;0,SF_Output!$Y$2,INDEX(SF_Output!$F$1:$F$400,MATCH(_xlfn.TEXTJOIN(",",TRUE,B37:E37),SF_Output!$AC$1:$AC$400,0))=0,INDEX(SF_Output!$R$1:$R$400,MATCH(_xlfn.TEXTJOIN(",",TRUE,B37:E37),SF_Output!$AC$1:$AC$400,0)))</f>
        <v>1</v>
      </c>
      <c r="I37" s="125" t="str">
        <f>IFERROR(IF(AND(H37&gt;1,H37&lt;&gt;""),ROUND(SUMIFS(SF_Output!$S$1:$S$400,SF_Output!$AC$1:$AC$400,_xlfn.TEXTJOIN(",",TRUE,B37:E37),SF_Output!$Q$1:$Q$400,"monthly")*(1-W37)/H37,4),""),"")</f>
        <v/>
      </c>
      <c r="J37" s="6">
        <f>IF(B37="","",SUMIFS(SF_Output!$S$1:$S$400,SF_Output!$AC$1:$AC$400,_xlfn.TEXTJOIN(",",TRUE,B37:E37),SF_Output!$Q$1:$Q$400,"One Time",SF_Output!$L$1:$L$400,"license fee")+SUMIFS(SF_Output!$S$1:$S$400,SF_Output!$AC$1:$AC$400,_xlfn.TEXTJOIN(",",TRUE,B37:E37),SF_Output!$Q$1:$Q$400,"One Time",SF_Output!$L$1:$L$400,"software license")+SUMIFS(SF_Output!$S$1:$S$400,SF_Output!$AC$1:$AC$400,_xlfn.TEXTJOIN(",",TRUE,B37:E37),SF_Output!$Q$1:$Q$400,"One Time",SF_Output!$L$1:$L$400,"hardware"))</f>
        <v>0</v>
      </c>
      <c r="K37" s="112" t="str">
        <f>IF(OR(B37=0,B37="",G37="hardware",J37=0),"",IF(AF37&lt;&gt;"exclusion",MAX(K$9,-((SUMIFS(SF_Output!$T$1:$T$400,SF_Output!$AC$1:$AC$400,_xlfn.TEXTJOIN(",",TRUE,$B37:$E37),SF_Output!$Q$1:$Q$400,"One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license"))/J37)))</f>
        <v/>
      </c>
      <c r="L37" s="6">
        <f t="shared" si="1"/>
        <v>0</v>
      </c>
      <c r="N37" s="6">
        <f>IF(B37="","",SUMIFS(SF_Output!$S$1:$S$400,SF_Output!$AC$1:$AC$400,_xlfn.TEXTJOIN(",",TRUE,B37:E37),SF_Output!$Q$1:$Q$400,"One Time",SF_Output!$L$1:$L$400,"professional service"))</f>
        <v>0</v>
      </c>
      <c r="O37" s="112" t="str">
        <f>IF(OR(B37=0,B37="",N37=0),"",IF(AF37&lt;&gt;"exclusion",MAX(O$9,-(SUMIFS(SF_Output!$T$1:$T$400,SF_Output!$AC$1:$AC$400,_xlfn.TEXTJOIN(",",TRUE,$B37:$E37),SF_Output!$Q$1:$Q$400,"One Time",SF_Output!$L$1:$L$400,"professional service"))/N37),-((SUMIFS(SF_Output!$T$1:$T$400,SF_Output!$AC$1:$AC$400,_xlfn.TEXTJOIN(",",TRUE,$B37:$E37),SF_Output!$Q$1:$Q$400,"One Time",SF_Output!$L$1:$L$400,"professional service")/N37))))</f>
        <v/>
      </c>
      <c r="P37" s="6">
        <f t="shared" si="2"/>
        <v>0</v>
      </c>
      <c r="R37" s="6">
        <f>IF(B37="","",SUMIFS(SF_Output!$S$1:$S$400,SF_Output!$AC$1:$AC$400,_xlfn.TEXTJOIN(",",TRUE,B37:E37),SF_Output!$Q$1:$Q$400,"yearly")+SUMIFS(SF_Output!$S$1:$S$400,SF_Output!$AC$1:$AC$400,_xlfn.TEXTJOIN(",",TRUE,B37:E37),SF_Output!$Q$1:$Q$400,"quarterly")*4)</f>
        <v>0</v>
      </c>
      <c r="S37" s="112" t="str">
        <f>IF(OR(B37=0,B37="",G37="hardware",R37=0),"",IF(AF37&lt;&gt;"exclusion",MAX(S$9,-(SUMIFS(SF_Output!$T$1:$T$400,SF_Output!$AC$1:$AC$400,_xlfn.TEXTJOIN(",",TRUE,$B37:$E37),SF_Output!$Q$1:$Q$400,"yearly"))/R37),-((SUMIFS(SF_Output!$T$1:$T$400,SF_Output!$AC$1:$AC$400,_xlfn.TEXTJOIN(",",TRUE,$B37:$E37),SF_Output!$Q$1:$Q$400,"yearly")/R37))))</f>
        <v/>
      </c>
      <c r="T37" s="6">
        <f t="shared" si="3"/>
        <v>0</v>
      </c>
      <c r="V37" s="6" cm="1">
        <f t="array" ref="V37">_xlfn.IFS(B37="","",AND(B37&lt;&gt;"",H37=SF_Output!$Y$2,SUMIFS(SF_Output!$T$1:$T$400,SF_Output!$AC$1:$AC$400,_xlfn.TEXTJOIN(",",TRUE,B37:E37),SF_Output!$Q$1:$Q$400,"monthly")=0),(SUMIFS(SF_Output!$F$1:$F$400,SF_Output!$AC$1:$AC$400,_xlfn.TEXTJOIN(",",TRUE,B37:E37),SF_Output!$Q$1:$Q$400,"monthly")+SUMIFS(SF_Output!$G$1:$G$400,SF_Output!$AC$1:$AC$400,_xlfn.TEXTJOIN(",",TRUE,B37:E37),SF_Output!$Q$1:$Q$400,"monthly"))*H37,AND(B37&lt;&gt;"",H37=SF_Output!$Y$2,SUMIFS(SF_Output!$T$1:$T$400,SF_Output!$AC$1:$AC$400,_xlfn.TEXTJOIN(",",TRUE,B37:E37),SF_Output!$Q$1:$Q$400,"monthly")&lt;&gt;0),SUMIFS(SF_Output!$S$1:$S$400,SF_Output!$AC$1:$AC$400,_xlfn.TEXTJOIN(",",TRUE,B37:E37),SF_Output!$Q$1:$Q$400,"monthly"),AND(B37&lt;&gt;"",H37&lt;&gt;SF_Output!$Y$2),SUMIFS(SF_Output!$S$1:$S$400,SF_Output!$AC$1:$AC$400,_xlfn.TEXTJOIN(",",TRUE,B37:E37),SF_Output!$Q$1:$Q$400,"monthly"))</f>
        <v>375</v>
      </c>
      <c r="W37" s="112" cm="1">
        <f t="array" ref="W37">_xlfn.IFS(OR(B37=0,B37="",V37=0),"",AF37&lt;&gt;"exclusion",MAX($W$9,$W$7,(-(SUMIFS(SF_Output!$T$1:$T$400,SF_Output!$AC$1:$AC$400,_xlfn.TEXTJOIN(",",TRUE,$B37:$E37),SF_Output!$Q$1:$Q$400,"monthly"))/V37)),AF37="exclusion",-(SUMIFS(SF_Output!$T$1:$T$400,SF_Output!$AC$1:$AC$400,_xlfn.TEXTJOIN(",",TRUE,$B37:$E37),SF_Output!$Q$1:$Q$400,"monthly"))/V37)</f>
        <v>0</v>
      </c>
      <c r="X37" s="6" cm="1">
        <f t="array" ref="X37">IFERROR(_xlfn.IFS(V37=0,0,V37="","",W37=0,V37,OR(V37&lt;&gt;0,V37&lt;&gt;""),H37*I37),V37*(1-W37))</f>
        <v>375</v>
      </c>
      <c r="Z37" s="6">
        <f>IFERROR(IF(B37="","",SUMIFS(Billing_Fallout!H:H,Billing_Fallout!N:N,B37)),0)</f>
        <v>0</v>
      </c>
      <c r="AA37" s="6">
        <f t="shared" si="4"/>
        <v>0</v>
      </c>
      <c r="AB37" s="6">
        <f>IFERROR(IF(B37="","",SUMIFS(Billing_Fallout!J:J,Billing_Fallout!N:N,B37)),0)</f>
        <v>0</v>
      </c>
      <c r="AD37" s="6">
        <f t="shared" si="5"/>
        <v>375</v>
      </c>
      <c r="AF37" t="str">
        <f>IFERROR(INDEX(H_Tables!$B$1:$B$1500,MATCH(INDEX(SF_Output!$J$1:$J$400,MATCH(B37,SF_Output!$M$1:$M$400,0)),H_Tables!$A$1:$A$1500,0)),"")</f>
        <v>Exclusion</v>
      </c>
      <c r="AI37" s="119" t="str">
        <f t="shared" si="6"/>
        <v/>
      </c>
      <c r="AJ37" s="121">
        <f>IFERROR(INDEX(SF_Output!AD:AD,MATCH(_xlfn.TEXTJOIN(",",TRUE,B37:E37),SF_Output!AC1:AC400,0)),0.05)</f>
        <v>41</v>
      </c>
      <c r="AK37" t="str">
        <f>IF(SUMIFS(SF_Output!$F$1:$F$400,SF_Output!$AC$1:$AC$400,_xlfn.TEXTJOIN(",",TRUE,B37:E37))+SUMIFS(SF_Output!$G$1:$G$400,SF_Output!$AC$1:$AC$400,_xlfn.TEXTJOIN(",",TRUE,B37:E37))=0,"","PAP")</f>
        <v/>
      </c>
      <c r="AQ37" s="35"/>
      <c r="AR37" s="35" t="str" cm="1">
        <f t="array" ref="AR37">IFERROR(_xlfn.IFS(AND(E37*1=1,F37="Included"),"Change to Included",AND(E37*1=0,F37="Optional"),"Change to Optional",OR(B37="",F37="replaced"),""),"")</f>
        <v/>
      </c>
      <c r="AS37" s="35" t="str">
        <f t="shared" si="7"/>
        <v/>
      </c>
      <c r="AT37" s="35" t="str">
        <f t="shared" si="8"/>
        <v/>
      </c>
      <c r="AU37" s="35" t="str">
        <f t="shared" si="9"/>
        <v/>
      </c>
      <c r="AV37" s="35" t="str">
        <f t="shared" si="10"/>
        <v/>
      </c>
      <c r="AW37" s="35" t="str">
        <f t="shared" si="11"/>
        <v/>
      </c>
      <c r="AX37" s="35" t="str">
        <f t="shared" si="12"/>
        <v/>
      </c>
      <c r="AY37" s="35" t="str">
        <f t="shared" si="13"/>
        <v/>
      </c>
      <c r="AZ37" s="35" t="str">
        <f t="shared" si="14"/>
        <v/>
      </c>
      <c r="BA37" s="35" t="str">
        <f t="shared" si="15"/>
        <v/>
      </c>
      <c r="BB37" s="35" t="str">
        <f t="shared" si="16"/>
        <v/>
      </c>
      <c r="BC37" s="35"/>
      <c r="BE37" s="35">
        <f ca="1">INDEX(SF_Output!$AA$2:$AA$400,MATCH($B37,SF_Output!$M$2:$M$400,0))</f>
        <v>3</v>
      </c>
      <c r="BF37" s="35">
        <f ca="1">INDEX(SF_Output!$AB$2:$AB$400,MATCH($B37,SF_Output!$M$2:$M$400,0))</f>
        <v>2</v>
      </c>
    </row>
    <row r="38" spans="2:58" x14ac:dyDescent="0.25">
      <c r="B38" t="s">
        <v>1443</v>
      </c>
      <c r="C38" t="s">
        <v>2122</v>
      </c>
      <c r="D38" t="s">
        <v>2123</v>
      </c>
      <c r="E38" t="s">
        <v>2124</v>
      </c>
      <c r="F38" s="116" t="str">
        <f t="shared" si="0"/>
        <v>Included</v>
      </c>
      <c r="G38" t="str">
        <f>IF(B38="","",INDEX(SF_Output!$K$1:$K$400,MATCH(B38,SF_Output!$M$1:$M$400,0)))</f>
        <v>JHA OpenAnywhere</v>
      </c>
      <c r="H38" cm="1">
        <f t="array" ref="H38">_xlfn.IFS(B38="","",(SUMIFS(SF_Output!$F$1:$F$400,SF_Output!$AC$1:$AC$400,_xlfn.TEXTJOIN(",",TRUE,B38:E38))+SUMIFS(SF_Output!$G$1:$G$400,SF_Output!$AC$1:$AC$400,_xlfn.TEXTJOIN(",",TRUE,B38:E38)))&lt;&gt;0,SF_Output!$Y$2,INDEX(SF_Output!$F$1:$F$400,MATCH(_xlfn.TEXTJOIN(",",TRUE,B38:E38),SF_Output!$AC$1:$AC$400,0))=0,INDEX(SF_Output!$R$1:$R$400,MATCH(_xlfn.TEXTJOIN(",",TRUE,B38:E38),SF_Output!$AC$1:$AC$400,0)))</f>
        <v>1</v>
      </c>
      <c r="I38" s="125" t="str">
        <f>IFERROR(IF(AND(H38&gt;1,H38&lt;&gt;""),ROUND(SUMIFS(SF_Output!$S$1:$S$400,SF_Output!$AC$1:$AC$400,_xlfn.TEXTJOIN(",",TRUE,B38:E38),SF_Output!$Q$1:$Q$400,"monthly")*(1-W38)/H38,4),""),"")</f>
        <v/>
      </c>
      <c r="J38" s="6">
        <f>IF(B38="","",SUMIFS(SF_Output!$S$1:$S$400,SF_Output!$AC$1:$AC$400,_xlfn.TEXTJOIN(",",TRUE,B38:E38),SF_Output!$Q$1:$Q$400,"One Time",SF_Output!$L$1:$L$400,"license fee")+SUMIFS(SF_Output!$S$1:$S$400,SF_Output!$AC$1:$AC$400,_xlfn.TEXTJOIN(",",TRUE,B38:E38),SF_Output!$Q$1:$Q$400,"One Time",SF_Output!$L$1:$L$400,"software license")+SUMIFS(SF_Output!$S$1:$S$400,SF_Output!$AC$1:$AC$400,_xlfn.TEXTJOIN(",",TRUE,B38:E38),SF_Output!$Q$1:$Q$400,"One Time",SF_Output!$L$1:$L$400,"hardware"))</f>
        <v>0</v>
      </c>
      <c r="K38" s="112" t="str">
        <f>IF(OR(B38=0,B38="",G38="hardware",J38=0),"",IF(AF38&lt;&gt;"exclusion",MAX(K$9,-((SUMIFS(SF_Output!$T$1:$T$400,SF_Output!$AC$1:$AC$400,_xlfn.TEXTJOIN(",",TRUE,$B38:$E38),SF_Output!$Q$1:$Q$400,"One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license"))/J38)))</f>
        <v/>
      </c>
      <c r="L38" s="6">
        <f t="shared" si="1"/>
        <v>0</v>
      </c>
      <c r="N38" s="6">
        <f>IF(B38="","",SUMIFS(SF_Output!$S$1:$S$400,SF_Output!$AC$1:$AC$400,_xlfn.TEXTJOIN(",",TRUE,B38:E38),SF_Output!$Q$1:$Q$400,"One Time",SF_Output!$L$1:$L$400,"professional service"))</f>
        <v>0</v>
      </c>
      <c r="O38" s="112" t="str">
        <f>IF(OR(B38=0,B38="",N38=0),"",IF(AF38&lt;&gt;"exclusion",MAX(O$9,-(SUMIFS(SF_Output!$T$1:$T$400,SF_Output!$AC$1:$AC$400,_xlfn.TEXTJOIN(",",TRUE,$B38:$E38),SF_Output!$Q$1:$Q$400,"One Time",SF_Output!$L$1:$L$400,"professional service"))/N38),-((SUMIFS(SF_Output!$T$1:$T$400,SF_Output!$AC$1:$AC$400,_xlfn.TEXTJOIN(",",TRUE,$B38:$E38),SF_Output!$Q$1:$Q$400,"One Time",SF_Output!$L$1:$L$400,"professional service")/N38))))</f>
        <v/>
      </c>
      <c r="P38" s="6">
        <f t="shared" si="2"/>
        <v>0</v>
      </c>
      <c r="R38" s="6">
        <f>IF(B38="","",SUMIFS(SF_Output!$S$1:$S$400,SF_Output!$AC$1:$AC$400,_xlfn.TEXTJOIN(",",TRUE,B38:E38),SF_Output!$Q$1:$Q$400,"yearly")+SUMIFS(SF_Output!$S$1:$S$400,SF_Output!$AC$1:$AC$400,_xlfn.TEXTJOIN(",",TRUE,B38:E38),SF_Output!$Q$1:$Q$400,"quarterly")*4)</f>
        <v>0</v>
      </c>
      <c r="S38" s="112" t="str">
        <f>IF(OR(B38=0,B38="",G38="hardware",R38=0),"",IF(AF38&lt;&gt;"exclusion",MAX(S$9,-(SUMIFS(SF_Output!$T$1:$T$400,SF_Output!$AC$1:$AC$400,_xlfn.TEXTJOIN(",",TRUE,$B38:$E38),SF_Output!$Q$1:$Q$400,"yearly"))/R38),-((SUMIFS(SF_Output!$T$1:$T$400,SF_Output!$AC$1:$AC$400,_xlfn.TEXTJOIN(",",TRUE,$B38:$E38),SF_Output!$Q$1:$Q$400,"yearly")/R38))))</f>
        <v/>
      </c>
      <c r="T38" s="6">
        <f t="shared" si="3"/>
        <v>0</v>
      </c>
      <c r="V38" s="6" cm="1">
        <f t="array" ref="V38">_xlfn.IFS(B38="","",AND(B38&lt;&gt;"",H38=SF_Output!$Y$2,SUMIFS(SF_Output!$T$1:$T$400,SF_Output!$AC$1:$AC$400,_xlfn.TEXTJOIN(",",TRUE,B38:E38),SF_Output!$Q$1:$Q$400,"monthly")=0),(SUMIFS(SF_Output!$F$1:$F$400,SF_Output!$AC$1:$AC$400,_xlfn.TEXTJOIN(",",TRUE,B38:E38),SF_Output!$Q$1:$Q$400,"monthly")+SUMIFS(SF_Output!$G$1:$G$400,SF_Output!$AC$1:$AC$400,_xlfn.TEXTJOIN(",",TRUE,B38:E38),SF_Output!$Q$1:$Q$400,"monthly"))*H38,AND(B38&lt;&gt;"",H38=SF_Output!$Y$2,SUMIFS(SF_Output!$T$1:$T$400,SF_Output!$AC$1:$AC$400,_xlfn.TEXTJOIN(",",TRUE,B38:E38),SF_Output!$Q$1:$Q$400,"monthly")&lt;&gt;0),SUMIFS(SF_Output!$S$1:$S$400,SF_Output!$AC$1:$AC$400,_xlfn.TEXTJOIN(",",TRUE,B38:E38),SF_Output!$Q$1:$Q$400,"monthly"),AND(B38&lt;&gt;"",H38&lt;&gt;SF_Output!$Y$2),SUMIFS(SF_Output!$S$1:$S$400,SF_Output!$AC$1:$AC$400,_xlfn.TEXTJOIN(",",TRUE,B38:E38),SF_Output!$Q$1:$Q$400,"monthly"))</f>
        <v>400</v>
      </c>
      <c r="W38" s="112" cm="1">
        <f t="array" ref="W38">_xlfn.IFS(OR(B38=0,B38="",V38=0),"",AF38&lt;&gt;"exclusion",MAX($W$9,$W$7,(-(SUMIFS(SF_Output!$T$1:$T$400,SF_Output!$AC$1:$AC$400,_xlfn.TEXTJOIN(",",TRUE,$B38:$E38),SF_Output!$Q$1:$Q$400,"monthly"))/V38)),AF38="exclusion",-(SUMIFS(SF_Output!$T$1:$T$400,SF_Output!$AC$1:$AC$400,_xlfn.TEXTJOIN(",",TRUE,$B38:$E38),SF_Output!$Q$1:$Q$400,"monthly"))/V38)</f>
        <v>0</v>
      </c>
      <c r="X38" s="6" cm="1">
        <f t="array" ref="X38">IFERROR(_xlfn.IFS(V38=0,0,V38="","",W38=0,V38,OR(V38&lt;&gt;0,V38&lt;&gt;""),H38*I38),V38*(1-W38))</f>
        <v>400</v>
      </c>
      <c r="Z38" s="6">
        <f>IFERROR(IF(B38="","",SUMIFS(Billing_Fallout!H:H,Billing_Fallout!N:N,B38)),0)</f>
        <v>0</v>
      </c>
      <c r="AA38" s="6">
        <f t="shared" si="4"/>
        <v>0</v>
      </c>
      <c r="AB38" s="6">
        <f>IFERROR(IF(B38="","",SUMIFS(Billing_Fallout!J:J,Billing_Fallout!N:N,B38)),0)</f>
        <v>0</v>
      </c>
      <c r="AD38" s="6">
        <f t="shared" si="5"/>
        <v>400</v>
      </c>
      <c r="AF38" t="str">
        <f>IFERROR(INDEX(H_Tables!$B$1:$B$1500,MATCH(INDEX(SF_Output!$J$1:$J$400,MATCH(B38,SF_Output!$M$1:$M$400,0)),H_Tables!$A$1:$A$1500,0)),"")</f>
        <v>Exclusion</v>
      </c>
      <c r="AI38" s="119" t="str">
        <f t="shared" si="6"/>
        <v/>
      </c>
      <c r="AJ38" s="121">
        <f>IFERROR(INDEX(SF_Output!AD:AD,MATCH(_xlfn.TEXTJOIN(",",TRUE,B38:E38),SF_Output!AC1:AC400,0)),0.05)</f>
        <v>42</v>
      </c>
      <c r="AK38" t="str">
        <f>IF(SUMIFS(SF_Output!$F$1:$F$400,SF_Output!$AC$1:$AC$400,_xlfn.TEXTJOIN(",",TRUE,B38:E38))+SUMIFS(SF_Output!$G$1:$G$400,SF_Output!$AC$1:$AC$400,_xlfn.TEXTJOIN(",",TRUE,B38:E38))=0,"","PAP")</f>
        <v/>
      </c>
      <c r="AQ38" s="35"/>
      <c r="AR38" s="35" t="str" cm="1">
        <f t="array" ref="AR38">IFERROR(_xlfn.IFS(AND(E38*1=1,F38="Included"),"Change to Included",AND(E38*1=0,F38="Optional"),"Change to Optional",OR(B38="",F38="replaced"),""),"")</f>
        <v/>
      </c>
      <c r="AS38" s="35" t="str">
        <f t="shared" si="7"/>
        <v/>
      </c>
      <c r="AT38" s="35" t="str">
        <f t="shared" si="8"/>
        <v/>
      </c>
      <c r="AU38" s="35" t="str">
        <f t="shared" si="9"/>
        <v/>
      </c>
      <c r="AV38" s="35" t="str">
        <f t="shared" si="10"/>
        <v/>
      </c>
      <c r="AW38" s="35" t="str">
        <f t="shared" si="11"/>
        <v/>
      </c>
      <c r="AX38" s="35" t="str">
        <f t="shared" si="12"/>
        <v/>
      </c>
      <c r="AY38" s="35" t="str">
        <f t="shared" si="13"/>
        <v/>
      </c>
      <c r="AZ38" s="35" t="str">
        <f t="shared" si="14"/>
        <v/>
      </c>
      <c r="BA38" s="35" t="str">
        <f t="shared" si="15"/>
        <v/>
      </c>
      <c r="BB38" s="35" t="str">
        <f t="shared" si="16"/>
        <v/>
      </c>
      <c r="BC38" s="35"/>
      <c r="BE38" s="35">
        <f ca="1">INDEX(SF_Output!$AA$2:$AA$400,MATCH($B38,SF_Output!$M$2:$M$400,0))</f>
        <v>3</v>
      </c>
      <c r="BF38" s="35">
        <f ca="1">INDEX(SF_Output!$AB$2:$AB$400,MATCH($B38,SF_Output!$M$2:$M$400,0))</f>
        <v>2</v>
      </c>
    </row>
    <row r="39" spans="2:58" x14ac:dyDescent="0.25">
      <c r="B39" t="s">
        <v>1447</v>
      </c>
      <c r="C39" t="s">
        <v>2122</v>
      </c>
      <c r="D39" t="s">
        <v>2123</v>
      </c>
      <c r="E39" t="s">
        <v>2150</v>
      </c>
      <c r="F39" s="116" t="str">
        <f t="shared" si="0"/>
        <v>Optional</v>
      </c>
      <c r="G39" t="str">
        <f>IF(B39="","",INDEX(SF_Output!$K$1:$K$400,MATCH(B39,SF_Output!$M$1:$M$400,0)))</f>
        <v>JHA OpenAnywhere</v>
      </c>
      <c r="H39" cm="1">
        <f t="array" ref="H39">_xlfn.IFS(B39="","",(SUMIFS(SF_Output!$F$1:$F$400,SF_Output!$AC$1:$AC$400,_xlfn.TEXTJOIN(",",TRUE,B39:E39))+SUMIFS(SF_Output!$G$1:$G$400,SF_Output!$AC$1:$AC$400,_xlfn.TEXTJOIN(",",TRUE,B39:E39)))&lt;&gt;0,SF_Output!$Y$2,INDEX(SF_Output!$F$1:$F$400,MATCH(_xlfn.TEXTJOIN(",",TRUE,B39:E39),SF_Output!$AC$1:$AC$400,0))=0,INDEX(SF_Output!$R$1:$R$400,MATCH(_xlfn.TEXTJOIN(",",TRUE,B39:E39),SF_Output!$AC$1:$AC$400,0)))</f>
        <v>1</v>
      </c>
      <c r="I39" s="125" t="str">
        <f>IFERROR(IF(AND(H39&gt;1,H39&lt;&gt;""),ROUND(SUMIFS(SF_Output!$S$1:$S$400,SF_Output!$AC$1:$AC$400,_xlfn.TEXTJOIN(",",TRUE,B39:E39),SF_Output!$Q$1:$Q$400,"monthly")*(1-W39)/H39,4),""),"")</f>
        <v/>
      </c>
      <c r="J39" s="6">
        <f>IF(B39="","",SUMIFS(SF_Output!$S$1:$S$400,SF_Output!$AC$1:$AC$400,_xlfn.TEXTJOIN(",",TRUE,B39:E39),SF_Output!$Q$1:$Q$400,"One Time",SF_Output!$L$1:$L$400,"license fee")+SUMIFS(SF_Output!$S$1:$S$400,SF_Output!$AC$1:$AC$400,_xlfn.TEXTJOIN(",",TRUE,B39:E39),SF_Output!$Q$1:$Q$400,"One Time",SF_Output!$L$1:$L$400,"software license")+SUMIFS(SF_Output!$S$1:$S$400,SF_Output!$AC$1:$AC$400,_xlfn.TEXTJOIN(",",TRUE,B39:E39),SF_Output!$Q$1:$Q$400,"One Time",SF_Output!$L$1:$L$400,"hardware"))</f>
        <v>0</v>
      </c>
      <c r="K39" s="112" t="str">
        <f>IF(OR(B39=0,B39="",G39="hardware",J39=0),"",IF(AF39&lt;&gt;"exclusion",MAX(K$9,-((SUMIFS(SF_Output!$T$1:$T$400,SF_Output!$AC$1:$AC$400,_xlfn.TEXTJOIN(",",TRUE,$B39:$E39),SF_Output!$Q$1:$Q$400,"One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license"))/J39)))</f>
        <v/>
      </c>
      <c r="L39" s="6">
        <f t="shared" si="1"/>
        <v>0</v>
      </c>
      <c r="N39" s="6">
        <f>IF(B39="","",SUMIFS(SF_Output!$S$1:$S$400,SF_Output!$AC$1:$AC$400,_xlfn.TEXTJOIN(",",TRUE,B39:E39),SF_Output!$Q$1:$Q$400,"One Time",SF_Output!$L$1:$L$400,"professional service"))</f>
        <v>3500</v>
      </c>
      <c r="O39" s="112">
        <f>IF(OR(B39=0,B39="",N39=0),"",IF(AF39&lt;&gt;"exclusion",MAX(O$9,-(SUMIFS(SF_Output!$T$1:$T$400,SF_Output!$AC$1:$AC$400,_xlfn.TEXTJOIN(",",TRUE,$B39:$E39),SF_Output!$Q$1:$Q$400,"One Time",SF_Output!$L$1:$L$400,"professional service"))/N39),-((SUMIFS(SF_Output!$T$1:$T$400,SF_Output!$AC$1:$AC$400,_xlfn.TEXTJOIN(",",TRUE,$B39:$E39),SF_Output!$Q$1:$Q$400,"One Time",SF_Output!$L$1:$L$400,"professional service")/N39))))</f>
        <v>0</v>
      </c>
      <c r="P39" s="6">
        <f t="shared" si="2"/>
        <v>3500</v>
      </c>
      <c r="R39" s="6">
        <f>IF(B39="","",SUMIFS(SF_Output!$S$1:$S$400,SF_Output!$AC$1:$AC$400,_xlfn.TEXTJOIN(",",TRUE,B39:E39),SF_Output!$Q$1:$Q$400,"yearly")+SUMIFS(SF_Output!$S$1:$S$400,SF_Output!$AC$1:$AC$400,_xlfn.TEXTJOIN(",",TRUE,B39:E39),SF_Output!$Q$1:$Q$400,"quarterly")*4)</f>
        <v>0</v>
      </c>
      <c r="S39" s="112" t="str">
        <f>IF(OR(B39=0,B39="",G39="hardware",R39=0),"",IF(AF39&lt;&gt;"exclusion",MAX(S$9,-(SUMIFS(SF_Output!$T$1:$T$400,SF_Output!$AC$1:$AC$400,_xlfn.TEXTJOIN(",",TRUE,$B39:$E39),SF_Output!$Q$1:$Q$400,"yearly"))/R39),-((SUMIFS(SF_Output!$T$1:$T$400,SF_Output!$AC$1:$AC$400,_xlfn.TEXTJOIN(",",TRUE,$B39:$E39),SF_Output!$Q$1:$Q$400,"yearly")/R39))))</f>
        <v/>
      </c>
      <c r="T39" s="6">
        <f t="shared" si="3"/>
        <v>0</v>
      </c>
      <c r="V39" s="6" cm="1">
        <f t="array" ref="V39">_xlfn.IFS(B39="","",AND(B39&lt;&gt;"",H39=SF_Output!$Y$2,SUMIFS(SF_Output!$T$1:$T$400,SF_Output!$AC$1:$AC$400,_xlfn.TEXTJOIN(",",TRUE,B39:E39),SF_Output!$Q$1:$Q$400,"monthly")=0),(SUMIFS(SF_Output!$F$1:$F$400,SF_Output!$AC$1:$AC$400,_xlfn.TEXTJOIN(",",TRUE,B39:E39),SF_Output!$Q$1:$Q$400,"monthly")+SUMIFS(SF_Output!$G$1:$G$400,SF_Output!$AC$1:$AC$400,_xlfn.TEXTJOIN(",",TRUE,B39:E39),SF_Output!$Q$1:$Q$400,"monthly"))*H39,AND(B39&lt;&gt;"",H39=SF_Output!$Y$2,SUMIFS(SF_Output!$T$1:$T$400,SF_Output!$AC$1:$AC$400,_xlfn.TEXTJOIN(",",TRUE,B39:E39),SF_Output!$Q$1:$Q$400,"monthly")&lt;&gt;0),SUMIFS(SF_Output!$S$1:$S$400,SF_Output!$AC$1:$AC$400,_xlfn.TEXTJOIN(",",TRUE,B39:E39),SF_Output!$Q$1:$Q$400,"monthly"),AND(B39&lt;&gt;"",H39&lt;&gt;SF_Output!$Y$2),SUMIFS(SF_Output!$S$1:$S$400,SF_Output!$AC$1:$AC$400,_xlfn.TEXTJOIN(",",TRUE,B39:E39),SF_Output!$Q$1:$Q$400,"monthly"))</f>
        <v>2000</v>
      </c>
      <c r="W39" s="112" cm="1">
        <f t="array" ref="W39">_xlfn.IFS(OR(B39=0,B39="",V39=0),"",AF39&lt;&gt;"exclusion",MAX($W$9,$W$7,(-(SUMIFS(SF_Output!$T$1:$T$400,SF_Output!$AC$1:$AC$400,_xlfn.TEXTJOIN(",",TRUE,$B39:$E39),SF_Output!$Q$1:$Q$400,"monthly"))/V39)),AF39="exclusion",-(SUMIFS(SF_Output!$T$1:$T$400,SF_Output!$AC$1:$AC$400,_xlfn.TEXTJOIN(",",TRUE,$B39:$E39),SF_Output!$Q$1:$Q$400,"monthly"))/V39)</f>
        <v>0</v>
      </c>
      <c r="X39" s="6" cm="1">
        <f t="array" ref="X39">IFERROR(_xlfn.IFS(V39=0,0,V39="","",W39=0,V39,OR(V39&lt;&gt;0,V39&lt;&gt;""),H39*I39),V39*(1-W39))</f>
        <v>2000</v>
      </c>
      <c r="Z39" s="6">
        <f>IFERROR(IF(B39="","",SUMIFS(Billing_Fallout!H:H,Billing_Fallout!N:N,B39)),0)</f>
        <v>0</v>
      </c>
      <c r="AA39" s="6">
        <f t="shared" si="4"/>
        <v>0</v>
      </c>
      <c r="AB39" s="6">
        <f>IFERROR(IF(B39="","",SUMIFS(Billing_Fallout!J:J,Billing_Fallout!N:N,B39)),0)</f>
        <v>0</v>
      </c>
      <c r="AD39" s="6">
        <f t="shared" si="5"/>
        <v>2000</v>
      </c>
      <c r="AF39" t="str">
        <f>IFERROR(INDEX(H_Tables!$B$1:$B$1500,MATCH(INDEX(SF_Output!$J$1:$J$400,MATCH(B39,SF_Output!$M$1:$M$400,0)),H_Tables!$A$1:$A$1500,0)),"")</f>
        <v>Exclusion</v>
      </c>
      <c r="AI39" s="119" t="str">
        <f t="shared" si="6"/>
        <v/>
      </c>
      <c r="AJ39" s="121">
        <f>IFERROR(INDEX(SF_Output!AD:AD,MATCH(_xlfn.TEXTJOIN(",",TRUE,B39:E39),SF_Output!AC1:AC400,0)),0.05)</f>
        <v>43</v>
      </c>
      <c r="AK39" t="str">
        <f>IF(SUMIFS(SF_Output!$F$1:$F$400,SF_Output!$AC$1:$AC$400,_xlfn.TEXTJOIN(",",TRUE,B39:E39))+SUMIFS(SF_Output!$G$1:$G$400,SF_Output!$AC$1:$AC$400,_xlfn.TEXTJOIN(",",TRUE,B39:E39))=0,"","PAP")</f>
        <v/>
      </c>
      <c r="AQ39" s="35"/>
      <c r="AR39" s="35" t="str" cm="1">
        <f t="array" ref="AR39">IFERROR(_xlfn.IFS(AND(E39*1=1,F39="Included"),"Change to Included",AND(E39*1=0,F39="Optional"),"Change to Optional",OR(B39="",F39="replaced"),""),"")</f>
        <v/>
      </c>
      <c r="AS39" s="35" t="str">
        <f t="shared" si="7"/>
        <v/>
      </c>
      <c r="AT39" s="35" t="str">
        <f t="shared" si="8"/>
        <v/>
      </c>
      <c r="AU39" s="35" t="str">
        <f t="shared" si="9"/>
        <v/>
      </c>
      <c r="AV39" s="35" t="str">
        <f t="shared" si="10"/>
        <v/>
      </c>
      <c r="AW39" s="35" t="str">
        <f t="shared" si="11"/>
        <v/>
      </c>
      <c r="AX39" s="35" t="str">
        <f t="shared" si="12"/>
        <v/>
      </c>
      <c r="AY39" s="35" t="str">
        <f t="shared" si="13"/>
        <v/>
      </c>
      <c r="AZ39" s="35" t="str">
        <f t="shared" si="14"/>
        <v/>
      </c>
      <c r="BA39" s="35" t="str">
        <f t="shared" si="15"/>
        <v/>
      </c>
      <c r="BB39" s="35" t="str">
        <f t="shared" si="16"/>
        <v/>
      </c>
      <c r="BC39" s="35"/>
      <c r="BE39" s="35">
        <f ca="1">INDEX(SF_Output!$AA$2:$AA$400,MATCH($B39,SF_Output!$M$2:$M$400,0))</f>
        <v>3</v>
      </c>
      <c r="BF39" s="35">
        <f ca="1">INDEX(SF_Output!$AB$2:$AB$400,MATCH($B39,SF_Output!$M$2:$M$400,0))</f>
        <v>2</v>
      </c>
    </row>
    <row r="40" spans="2:58" x14ac:dyDescent="0.25">
      <c r="B40" t="s">
        <v>1818</v>
      </c>
      <c r="C40" t="s">
        <v>2122</v>
      </c>
      <c r="D40" t="s">
        <v>2123</v>
      </c>
      <c r="E40" t="s">
        <v>2124</v>
      </c>
      <c r="F40" s="116" t="str">
        <f t="shared" si="0"/>
        <v>Included</v>
      </c>
      <c r="G40" t="str">
        <f>IF(B40="","",INDEX(SF_Output!$K$1:$K$400,MATCH(B40,SF_Output!$M$1:$M$400,0)))</f>
        <v>JHA OpenAnywhere</v>
      </c>
      <c r="H40" cm="1">
        <f t="array" ref="H40">_xlfn.IFS(B40="","",(SUMIFS(SF_Output!$F$1:$F$400,SF_Output!$AC$1:$AC$400,_xlfn.TEXTJOIN(",",TRUE,B40:E40))+SUMIFS(SF_Output!$G$1:$G$400,SF_Output!$AC$1:$AC$400,_xlfn.TEXTJOIN(",",TRUE,B40:E40)))&lt;&gt;0,SF_Output!$Y$2,INDEX(SF_Output!$F$1:$F$400,MATCH(_xlfn.TEXTJOIN(",",TRUE,B40:E40),SF_Output!$AC$1:$AC$400,0))=0,INDEX(SF_Output!$R$1:$R$400,MATCH(_xlfn.TEXTJOIN(",",TRUE,B40:E40),SF_Output!$AC$1:$AC$400,0)))</f>
        <v>1</v>
      </c>
      <c r="I40" s="125" t="str">
        <f>IFERROR(IF(AND(H40&gt;1,H40&lt;&gt;""),ROUND(SUMIFS(SF_Output!$S$1:$S$400,SF_Output!$AC$1:$AC$400,_xlfn.TEXTJOIN(",",TRUE,B40:E40),SF_Output!$Q$1:$Q$400,"monthly")*(1-W40)/H40,4),""),"")</f>
        <v/>
      </c>
      <c r="J40" s="6">
        <f>IF(B40="","",SUMIFS(SF_Output!$S$1:$S$400,SF_Output!$AC$1:$AC$400,_xlfn.TEXTJOIN(",",TRUE,B40:E40),SF_Output!$Q$1:$Q$400,"One Time",SF_Output!$L$1:$L$400,"license fee")+SUMIFS(SF_Output!$S$1:$S$400,SF_Output!$AC$1:$AC$400,_xlfn.TEXTJOIN(",",TRUE,B40:E40),SF_Output!$Q$1:$Q$400,"One Time",SF_Output!$L$1:$L$400,"software license")+SUMIFS(SF_Output!$S$1:$S$400,SF_Output!$AC$1:$AC$400,_xlfn.TEXTJOIN(",",TRUE,B40:E40),SF_Output!$Q$1:$Q$400,"One Time",SF_Output!$L$1:$L$400,"hardware"))</f>
        <v>0</v>
      </c>
      <c r="K40" s="112" t="str">
        <f>IF(OR(B40=0,B40="",G40="hardware",J40=0),"",IF(AF40&lt;&gt;"exclusion",MAX(K$9,-((SUMIFS(SF_Output!$T$1:$T$400,SF_Output!$AC$1:$AC$400,_xlfn.TEXTJOIN(",",TRUE,$B40:$E40),SF_Output!$Q$1:$Q$400,"One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license"))/J40)))</f>
        <v/>
      </c>
      <c r="L40" s="6">
        <f t="shared" si="1"/>
        <v>0</v>
      </c>
      <c r="N40" s="6">
        <f>IF(B40="","",SUMIFS(SF_Output!$S$1:$S$400,SF_Output!$AC$1:$AC$400,_xlfn.TEXTJOIN(",",TRUE,B40:E40),SF_Output!$Q$1:$Q$400,"One Time",SF_Output!$L$1:$L$400,"professional service"))</f>
        <v>0</v>
      </c>
      <c r="O40" s="112" t="str">
        <f>IF(OR(B40=0,B40="",N40=0),"",IF(AF40&lt;&gt;"exclusion",MAX(O$9,-(SUMIFS(SF_Output!$T$1:$T$400,SF_Output!$AC$1:$AC$400,_xlfn.TEXTJOIN(",",TRUE,$B40:$E40),SF_Output!$Q$1:$Q$400,"One Time",SF_Output!$L$1:$L$400,"professional service"))/N40),-((SUMIFS(SF_Output!$T$1:$T$400,SF_Output!$AC$1:$AC$400,_xlfn.TEXTJOIN(",",TRUE,$B40:$E40),SF_Output!$Q$1:$Q$400,"One Time",SF_Output!$L$1:$L$400,"professional service")/N40))))</f>
        <v/>
      </c>
      <c r="P40" s="6">
        <f t="shared" si="2"/>
        <v>0</v>
      </c>
      <c r="R40" s="6">
        <f>IF(B40="","",SUMIFS(SF_Output!$S$1:$S$400,SF_Output!$AC$1:$AC$400,_xlfn.TEXTJOIN(",",TRUE,B40:E40),SF_Output!$Q$1:$Q$400,"yearly")+SUMIFS(SF_Output!$S$1:$S$400,SF_Output!$AC$1:$AC$400,_xlfn.TEXTJOIN(",",TRUE,B40:E40),SF_Output!$Q$1:$Q$400,"quarterly")*4)</f>
        <v>0</v>
      </c>
      <c r="S40" s="112" t="str">
        <f>IF(OR(B40=0,B40="",G40="hardware",R40=0),"",IF(AF40&lt;&gt;"exclusion",MAX(S$9,-(SUMIFS(SF_Output!$T$1:$T$400,SF_Output!$AC$1:$AC$400,_xlfn.TEXTJOIN(",",TRUE,$B40:$E40),SF_Output!$Q$1:$Q$400,"yearly"))/R40),-((SUMIFS(SF_Output!$T$1:$T$400,SF_Output!$AC$1:$AC$400,_xlfn.TEXTJOIN(",",TRUE,$B40:$E40),SF_Output!$Q$1:$Q$400,"yearly")/R40))))</f>
        <v/>
      </c>
      <c r="T40" s="6">
        <f t="shared" si="3"/>
        <v>0</v>
      </c>
      <c r="V40" s="6" cm="1">
        <f t="array" ref="V40">_xlfn.IFS(B40="","",AND(B40&lt;&gt;"",H40=SF_Output!$Y$2,SUMIFS(SF_Output!$T$1:$T$400,SF_Output!$AC$1:$AC$400,_xlfn.TEXTJOIN(",",TRUE,B40:E40),SF_Output!$Q$1:$Q$400,"monthly")=0),(SUMIFS(SF_Output!$F$1:$F$400,SF_Output!$AC$1:$AC$400,_xlfn.TEXTJOIN(",",TRUE,B40:E40),SF_Output!$Q$1:$Q$400,"monthly")+SUMIFS(SF_Output!$G$1:$G$400,SF_Output!$AC$1:$AC$400,_xlfn.TEXTJOIN(",",TRUE,B40:E40),SF_Output!$Q$1:$Q$400,"monthly"))*H40,AND(B40&lt;&gt;"",H40=SF_Output!$Y$2,SUMIFS(SF_Output!$T$1:$T$400,SF_Output!$AC$1:$AC$400,_xlfn.TEXTJOIN(",",TRUE,B40:E40),SF_Output!$Q$1:$Q$400,"monthly")&lt;&gt;0),SUMIFS(SF_Output!$S$1:$S$400,SF_Output!$AC$1:$AC$400,_xlfn.TEXTJOIN(",",TRUE,B40:E40),SF_Output!$Q$1:$Q$400,"monthly"),AND(B40&lt;&gt;"",H40&lt;&gt;SF_Output!$Y$2),SUMIFS(SF_Output!$S$1:$S$400,SF_Output!$AC$1:$AC$400,_xlfn.TEXTJOIN(",",TRUE,B40:E40),SF_Output!$Q$1:$Q$400,"monthly"))</f>
        <v>200</v>
      </c>
      <c r="W40" s="112" cm="1">
        <f t="array" ref="W40">_xlfn.IFS(OR(B40=0,B40="",V40=0),"",AF40&lt;&gt;"exclusion",MAX($W$9,$W$7,(-(SUMIFS(SF_Output!$T$1:$T$400,SF_Output!$AC$1:$AC$400,_xlfn.TEXTJOIN(",",TRUE,$B40:$E40),SF_Output!$Q$1:$Q$400,"monthly"))/V40)),AF40="exclusion",-(SUMIFS(SF_Output!$T$1:$T$400,SF_Output!$AC$1:$AC$400,_xlfn.TEXTJOIN(",",TRUE,$B40:$E40),SF_Output!$Q$1:$Q$400,"monthly"))/V40)</f>
        <v>0</v>
      </c>
      <c r="X40" s="6" cm="1">
        <f t="array" ref="X40">IFERROR(_xlfn.IFS(V40=0,0,V40="","",W40=0,V40,OR(V40&lt;&gt;0,V40&lt;&gt;""),H40*I40),V40*(1-W40))</f>
        <v>200</v>
      </c>
      <c r="Z40" s="6">
        <f>IFERROR(IF(B40="","",SUMIFS(Billing_Fallout!H:H,Billing_Fallout!N:N,B40)),0)</f>
        <v>0</v>
      </c>
      <c r="AA40" s="6">
        <f t="shared" si="4"/>
        <v>0</v>
      </c>
      <c r="AB40" s="6">
        <f>IFERROR(IF(B40="","",SUMIFS(Billing_Fallout!J:J,Billing_Fallout!N:N,B40)),0)</f>
        <v>0</v>
      </c>
      <c r="AD40" s="6">
        <f t="shared" si="5"/>
        <v>200</v>
      </c>
      <c r="AF40" t="str">
        <f>IFERROR(INDEX(H_Tables!$B$1:$B$1500,MATCH(INDEX(SF_Output!$J$1:$J$400,MATCH(B40,SF_Output!$M$1:$M$400,0)),H_Tables!$A$1:$A$1500,0)),"")</f>
        <v>Exclusion</v>
      </c>
      <c r="AI40" s="119" t="str">
        <f t="shared" si="6"/>
        <v/>
      </c>
      <c r="AJ40" s="121">
        <f>IFERROR(INDEX(SF_Output!AD:AD,MATCH(_xlfn.TEXTJOIN(",",TRUE,B40:E40),SF_Output!AC1:AC400,0)),0.05)</f>
        <v>45</v>
      </c>
      <c r="AK40" t="str">
        <f>IF(SUMIFS(SF_Output!$F$1:$F$400,SF_Output!$AC$1:$AC$400,_xlfn.TEXTJOIN(",",TRUE,B40:E40))+SUMIFS(SF_Output!$G$1:$G$400,SF_Output!$AC$1:$AC$400,_xlfn.TEXTJOIN(",",TRUE,B40:E40))=0,"","PAP")</f>
        <v/>
      </c>
      <c r="AQ40" s="35"/>
      <c r="AR40" s="35" t="str" cm="1">
        <f t="array" ref="AR40">IFERROR(_xlfn.IFS(AND(E40*1=1,F40="Included"),"Change to Included",AND(E40*1=0,F40="Optional"),"Change to Optional",OR(B40="",F40="replaced"),""),"")</f>
        <v/>
      </c>
      <c r="AS40" s="35" t="str">
        <f t="shared" si="7"/>
        <v/>
      </c>
      <c r="AT40" s="35" t="str">
        <f t="shared" si="8"/>
        <v/>
      </c>
      <c r="AU40" s="35" t="str">
        <f t="shared" si="9"/>
        <v/>
      </c>
      <c r="AV40" s="35" t="str">
        <f t="shared" si="10"/>
        <v/>
      </c>
      <c r="AW40" s="35" t="str">
        <f t="shared" si="11"/>
        <v/>
      </c>
      <c r="AX40" s="35" t="str">
        <f t="shared" si="12"/>
        <v/>
      </c>
      <c r="AY40" s="35" t="str">
        <f t="shared" si="13"/>
        <v/>
      </c>
      <c r="AZ40" s="35" t="str">
        <f t="shared" si="14"/>
        <v/>
      </c>
      <c r="BA40" s="35" t="str">
        <f t="shared" si="15"/>
        <v/>
      </c>
      <c r="BB40" s="35" t="str">
        <f t="shared" si="16"/>
        <v/>
      </c>
      <c r="BC40" s="35"/>
      <c r="BE40" s="35">
        <f ca="1">INDEX(SF_Output!$AA$2:$AA$400,MATCH($B40,SF_Output!$M$2:$M$400,0))</f>
        <v>3</v>
      </c>
      <c r="BF40" s="35">
        <f ca="1">INDEX(SF_Output!$AB$2:$AB$400,MATCH($B40,SF_Output!$M$2:$M$400,0))</f>
        <v>2</v>
      </c>
    </row>
    <row r="41" spans="2:58" x14ac:dyDescent="0.25">
      <c r="B41" t="s">
        <v>561</v>
      </c>
      <c r="C41" t="s">
        <v>2122</v>
      </c>
      <c r="D41" t="s">
        <v>2123</v>
      </c>
      <c r="E41" t="s">
        <v>2124</v>
      </c>
      <c r="F41" s="116" t="str">
        <f t="shared" si="0"/>
        <v>Included</v>
      </c>
      <c r="G41" t="str">
        <f>IF(B41="","",INDEX(SF_Output!$K$1:$K$400,MATCH(B41,SF_Output!$M$1:$M$400,0)))</f>
        <v>Banno</v>
      </c>
      <c r="H41" cm="1">
        <f t="array" ref="H41">_xlfn.IFS(B41="","",(SUMIFS(SF_Output!$F$1:$F$400,SF_Output!$AC$1:$AC$400,_xlfn.TEXTJOIN(",",TRUE,B41:E41))+SUMIFS(SF_Output!$G$1:$G$400,SF_Output!$AC$1:$AC$400,_xlfn.TEXTJOIN(",",TRUE,B41:E41)))&lt;&gt;0,SF_Output!$Y$2,INDEX(SF_Output!$F$1:$F$400,MATCH(_xlfn.TEXTJOIN(",",TRUE,B41:E41),SF_Output!$AC$1:$AC$400,0))=0,INDEX(SF_Output!$R$1:$R$400,MATCH(_xlfn.TEXTJOIN(",",TRUE,B41:E41),SF_Output!$AC$1:$AC$400,0)))</f>
        <v>1</v>
      </c>
      <c r="I41" s="125" t="str">
        <f>IFERROR(IF(AND(H41&gt;1,H41&lt;&gt;""),ROUND(SUMIFS(SF_Output!$S$1:$S$400,SF_Output!$AC$1:$AC$400,_xlfn.TEXTJOIN(",",TRUE,B41:E41),SF_Output!$Q$1:$Q$400,"monthly")*(1-W41)/H41,4),""),"")</f>
        <v/>
      </c>
      <c r="J41" s="6">
        <f>IF(B41="","",SUMIFS(SF_Output!$S$1:$S$400,SF_Output!$AC$1:$AC$400,_xlfn.TEXTJOIN(",",TRUE,B41:E41),SF_Output!$Q$1:$Q$400,"One Time",SF_Output!$L$1:$L$400,"license fee")+SUMIFS(SF_Output!$S$1:$S$400,SF_Output!$AC$1:$AC$400,_xlfn.TEXTJOIN(",",TRUE,B41:E41),SF_Output!$Q$1:$Q$400,"One Time",SF_Output!$L$1:$L$400,"software license")+SUMIFS(SF_Output!$S$1:$S$400,SF_Output!$AC$1:$AC$400,_xlfn.TEXTJOIN(",",TRUE,B41:E41),SF_Output!$Q$1:$Q$400,"One Time",SF_Output!$L$1:$L$400,"hardware"))</f>
        <v>0</v>
      </c>
      <c r="K41" s="112" t="str">
        <f>IF(OR(B41=0,B41="",G41="hardware",J41=0),"",IF(AF41&lt;&gt;"exclusion",MAX(K$9,-((SUMIFS(SF_Output!$T$1:$T$400,SF_Output!$AC$1:$AC$400,_xlfn.TEXTJOIN(",",TRUE,$B41:$E41),SF_Output!$Q$1:$Q$400,"One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license"))/J41)))</f>
        <v/>
      </c>
      <c r="L41" s="6">
        <f t="shared" si="1"/>
        <v>0</v>
      </c>
      <c r="N41" s="6">
        <f>IF(B41="","",SUMIFS(SF_Output!$S$1:$S$400,SF_Output!$AC$1:$AC$400,_xlfn.TEXTJOIN(",",TRUE,B41:E41),SF_Output!$Q$1:$Q$400,"One Time",SF_Output!$L$1:$L$400,"professional service"))</f>
        <v>65000</v>
      </c>
      <c r="O41" s="112">
        <f>IF(OR(B41=0,B41="",N41=0),"",IF(AF41&lt;&gt;"exclusion",MAX(O$9,-(SUMIFS(SF_Output!$T$1:$T$400,SF_Output!$AC$1:$AC$400,_xlfn.TEXTJOIN(",",TRUE,$B41:$E41),SF_Output!$Q$1:$Q$400,"One Time",SF_Output!$L$1:$L$400,"professional service"))/N41),-((SUMIFS(SF_Output!$T$1:$T$400,SF_Output!$AC$1:$AC$400,_xlfn.TEXTJOIN(",",TRUE,$B41:$E41),SF_Output!$Q$1:$Q$400,"One Time",SF_Output!$L$1:$L$400,"professional service")/N41))))</f>
        <v>1</v>
      </c>
      <c r="P41" s="6">
        <f t="shared" si="2"/>
        <v>0</v>
      </c>
      <c r="R41" s="6">
        <f>IF(B41="","",SUMIFS(SF_Output!$S$1:$S$400,SF_Output!$AC$1:$AC$400,_xlfn.TEXTJOIN(",",TRUE,B41:E41),SF_Output!$Q$1:$Q$400,"yearly")+SUMIFS(SF_Output!$S$1:$S$400,SF_Output!$AC$1:$AC$400,_xlfn.TEXTJOIN(",",TRUE,B41:E41),SF_Output!$Q$1:$Q$400,"quarterly")*4)</f>
        <v>0</v>
      </c>
      <c r="S41" s="112" t="str">
        <f>IF(OR(B41=0,B41="",G41="hardware",R41=0),"",IF(AF41&lt;&gt;"exclusion",MAX(S$9,-(SUMIFS(SF_Output!$T$1:$T$400,SF_Output!$AC$1:$AC$400,_xlfn.TEXTJOIN(",",TRUE,$B41:$E41),SF_Output!$Q$1:$Q$400,"yearly"))/R41),-((SUMIFS(SF_Output!$T$1:$T$400,SF_Output!$AC$1:$AC$400,_xlfn.TEXTJOIN(",",TRUE,$B41:$E41),SF_Output!$Q$1:$Q$400,"yearly")/R41))))</f>
        <v/>
      </c>
      <c r="T41" s="6">
        <f t="shared" si="3"/>
        <v>0</v>
      </c>
      <c r="V41" s="6" cm="1">
        <f t="array" ref="V41">_xlfn.IFS(B41="","",AND(B41&lt;&gt;"",H41=SF_Output!$Y$2,SUMIFS(SF_Output!$T$1:$T$400,SF_Output!$AC$1:$AC$400,_xlfn.TEXTJOIN(",",TRUE,B41:E41),SF_Output!$Q$1:$Q$400,"monthly")=0),(SUMIFS(SF_Output!$F$1:$F$400,SF_Output!$AC$1:$AC$400,_xlfn.TEXTJOIN(",",TRUE,B41:E41),SF_Output!$Q$1:$Q$400,"monthly")+SUMIFS(SF_Output!$G$1:$G$400,SF_Output!$AC$1:$AC$400,_xlfn.TEXTJOIN(",",TRUE,B41:E41),SF_Output!$Q$1:$Q$400,"monthly"))*H41,AND(B41&lt;&gt;"",H41=SF_Output!$Y$2,SUMIFS(SF_Output!$T$1:$T$400,SF_Output!$AC$1:$AC$400,_xlfn.TEXTJOIN(",",TRUE,B41:E41),SF_Output!$Q$1:$Q$400,"monthly")&lt;&gt;0),SUMIFS(SF_Output!$S$1:$S$400,SF_Output!$AC$1:$AC$400,_xlfn.TEXTJOIN(",",TRUE,B41:E41),SF_Output!$Q$1:$Q$400,"monthly"),AND(B41&lt;&gt;"",H41&lt;&gt;SF_Output!$Y$2),SUMIFS(SF_Output!$S$1:$S$400,SF_Output!$AC$1:$AC$400,_xlfn.TEXTJOIN(",",TRUE,B41:E41),SF_Output!$Q$1:$Q$400,"monthly"))</f>
        <v>500</v>
      </c>
      <c r="W41" s="112" cm="1">
        <f t="array" ref="W41">_xlfn.IFS(OR(B41=0,B41="",V41=0),"",AF41&lt;&gt;"exclusion",MAX($W$9,$W$7,(-(SUMIFS(SF_Output!$T$1:$T$400,SF_Output!$AC$1:$AC$400,_xlfn.TEXTJOIN(",",TRUE,$B41:$E41),SF_Output!$Q$1:$Q$400,"monthly"))/V41)),AF41="exclusion",-(SUMIFS(SF_Output!$T$1:$T$400,SF_Output!$AC$1:$AC$400,_xlfn.TEXTJOIN(",",TRUE,$B41:$E41),SF_Output!$Q$1:$Q$400,"monthly"))/V41)</f>
        <v>0</v>
      </c>
      <c r="X41" s="6" cm="1">
        <f t="array" ref="X41">IFERROR(_xlfn.IFS(V41=0,0,V41="","",W41=0,V41,OR(V41&lt;&gt;0,V41&lt;&gt;""),H41*I41),V41*(1-W41))</f>
        <v>500</v>
      </c>
      <c r="Z41" s="6">
        <f>IFERROR(IF(B41="","",SUMIFS(Billing_Fallout!H:H,Billing_Fallout!N:N,B41)),0)</f>
        <v>0</v>
      </c>
      <c r="AA41" s="6">
        <f t="shared" si="4"/>
        <v>0</v>
      </c>
      <c r="AB41" s="6">
        <f>IFERROR(IF(B41="","",SUMIFS(Billing_Fallout!J:J,Billing_Fallout!N:N,B41)),0)</f>
        <v>0</v>
      </c>
      <c r="AD41" s="6">
        <f t="shared" si="5"/>
        <v>500</v>
      </c>
      <c r="AF41" t="str">
        <f>IFERROR(INDEX(H_Tables!$B$1:$B$1500,MATCH(INDEX(SF_Output!$J$1:$J$400,MATCH(B41,SF_Output!$M$1:$M$400,0)),H_Tables!$A$1:$A$1500,0)),"")</f>
        <v>Exclusion</v>
      </c>
      <c r="AI41" s="119" t="str">
        <f t="shared" si="6"/>
        <v/>
      </c>
      <c r="AJ41" s="121">
        <f>IFERROR(INDEX(SF_Output!AD:AD,MATCH(_xlfn.TEXTJOIN(",",TRUE,B41:E41),SF_Output!AC1:AC400,0)),0.05)</f>
        <v>58</v>
      </c>
      <c r="AK41" t="str">
        <f>IF(SUMIFS(SF_Output!$F$1:$F$400,SF_Output!$AC$1:$AC$400,_xlfn.TEXTJOIN(",",TRUE,B41:E41))+SUMIFS(SF_Output!$G$1:$G$400,SF_Output!$AC$1:$AC$400,_xlfn.TEXTJOIN(",",TRUE,B41:E41))=0,"","PAP")</f>
        <v/>
      </c>
      <c r="AQ41" s="35"/>
      <c r="AR41" s="35" t="str" cm="1">
        <f t="array" ref="AR41">IFERROR(_xlfn.IFS(AND(E41*1=1,F41="Included"),"Change to Included",AND(E41*1=0,F41="Optional"),"Change to Optional",OR(B41="",F41="replaced"),""),"")</f>
        <v/>
      </c>
      <c r="AS41" s="35" t="str">
        <f t="shared" si="7"/>
        <v/>
      </c>
      <c r="AT41" s="35" t="str">
        <f t="shared" si="8"/>
        <v/>
      </c>
      <c r="AU41" s="35" t="str">
        <f t="shared" si="9"/>
        <v/>
      </c>
      <c r="AV41" s="35" t="str">
        <f t="shared" si="10"/>
        <v/>
      </c>
      <c r="AW41" s="35" t="str">
        <f t="shared" si="11"/>
        <v/>
      </c>
      <c r="AX41" s="35" t="str">
        <f t="shared" si="12"/>
        <v/>
      </c>
      <c r="AY41" s="35" t="str">
        <f t="shared" si="13"/>
        <v/>
      </c>
      <c r="AZ41" s="35" t="str">
        <f t="shared" si="14"/>
        <v/>
      </c>
      <c r="BA41" s="35" t="str">
        <f t="shared" si="15"/>
        <v/>
      </c>
      <c r="BB41" s="35" t="str">
        <f t="shared" si="16"/>
        <v/>
      </c>
      <c r="BC41" s="35"/>
      <c r="BE41" s="35">
        <f ca="1">INDEX(SF_Output!$AA$2:$AA$400,MATCH($B41,SF_Output!$M$2:$M$400,0))</f>
        <v>3</v>
      </c>
      <c r="BF41" s="35">
        <f ca="1">INDEX(SF_Output!$AB$2:$AB$400,MATCH($B41,SF_Output!$M$2:$M$400,0))</f>
        <v>1</v>
      </c>
    </row>
    <row r="42" spans="2:58" x14ac:dyDescent="0.25">
      <c r="B42" t="s">
        <v>600</v>
      </c>
      <c r="C42" t="s">
        <v>2122</v>
      </c>
      <c r="D42" t="s">
        <v>2123</v>
      </c>
      <c r="E42" t="s">
        <v>2124</v>
      </c>
      <c r="F42" s="116" t="str">
        <f t="shared" si="0"/>
        <v>Included</v>
      </c>
      <c r="G42" t="str">
        <f>IF(B42="","",INDEX(SF_Output!$K$1:$K$400,MATCH(B42,SF_Output!$M$1:$M$400,0)))</f>
        <v>Banno</v>
      </c>
      <c r="H42" cm="1">
        <f t="array" ref="H42">_xlfn.IFS(B42="","",(SUMIFS(SF_Output!$F$1:$F$400,SF_Output!$AC$1:$AC$400,_xlfn.TEXTJOIN(",",TRUE,B42:E42))+SUMIFS(SF_Output!$G$1:$G$400,SF_Output!$AC$1:$AC$400,_xlfn.TEXTJOIN(",",TRUE,B42:E42)))&lt;&gt;0,SF_Output!$Y$2,INDEX(SF_Output!$F$1:$F$400,MATCH(_xlfn.TEXTJOIN(",",TRUE,B42:E42),SF_Output!$AC$1:$AC$400,0))=0,INDEX(SF_Output!$R$1:$R$400,MATCH(_xlfn.TEXTJOIN(",",TRUE,B42:E42),SF_Output!$AC$1:$AC$400,0)))</f>
        <v>1</v>
      </c>
      <c r="I42" s="125" t="str">
        <f>IFERROR(IF(AND(H42&gt;1,H42&lt;&gt;""),ROUND(SUMIFS(SF_Output!$S$1:$S$400,SF_Output!$AC$1:$AC$400,_xlfn.TEXTJOIN(",",TRUE,B42:E42),SF_Output!$Q$1:$Q$400,"monthly")*(1-W42)/H42,4),""),"")</f>
        <v/>
      </c>
      <c r="J42" s="6">
        <f>IF(B42="","",SUMIFS(SF_Output!$S$1:$S$400,SF_Output!$AC$1:$AC$400,_xlfn.TEXTJOIN(",",TRUE,B42:E42),SF_Output!$Q$1:$Q$400,"One Time",SF_Output!$L$1:$L$400,"license fee")+SUMIFS(SF_Output!$S$1:$S$400,SF_Output!$AC$1:$AC$400,_xlfn.TEXTJOIN(",",TRUE,B42:E42),SF_Output!$Q$1:$Q$400,"One Time",SF_Output!$L$1:$L$400,"software license")+SUMIFS(SF_Output!$S$1:$S$400,SF_Output!$AC$1:$AC$400,_xlfn.TEXTJOIN(",",TRUE,B42:E42),SF_Output!$Q$1:$Q$400,"One Time",SF_Output!$L$1:$L$400,"hardware"))</f>
        <v>0</v>
      </c>
      <c r="K42" s="112" t="str">
        <f>IF(OR(B42=0,B42="",G42="hardware",J42=0),"",IF(AF42&lt;&gt;"exclusion",MAX(K$9,-((SUMIFS(SF_Output!$T$1:$T$400,SF_Output!$AC$1:$AC$400,_xlfn.TEXTJOIN(",",TRUE,$B42:$E42),SF_Output!$Q$1:$Q$400,"One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license"))/J42)))</f>
        <v/>
      </c>
      <c r="L42" s="6">
        <f t="shared" si="1"/>
        <v>0</v>
      </c>
      <c r="N42" s="6">
        <f>IF(B42="","",SUMIFS(SF_Output!$S$1:$S$400,SF_Output!$AC$1:$AC$400,_xlfn.TEXTJOIN(",",TRUE,B42:E42),SF_Output!$Q$1:$Q$400,"One Time",SF_Output!$L$1:$L$400,"professional service"))</f>
        <v>20000</v>
      </c>
      <c r="O42" s="112">
        <f>IF(OR(B42=0,B42="",N42=0),"",IF(AF42&lt;&gt;"exclusion",MAX(O$9,-(SUMIFS(SF_Output!$T$1:$T$400,SF_Output!$AC$1:$AC$400,_xlfn.TEXTJOIN(",",TRUE,$B42:$E42),SF_Output!$Q$1:$Q$400,"One Time",SF_Output!$L$1:$L$400,"professional service"))/N42),-((SUMIFS(SF_Output!$T$1:$T$400,SF_Output!$AC$1:$AC$400,_xlfn.TEXTJOIN(",",TRUE,$B42:$E42),SF_Output!$Q$1:$Q$400,"One Time",SF_Output!$L$1:$L$400,"professional service")/N42))))</f>
        <v>1</v>
      </c>
      <c r="P42" s="6">
        <f t="shared" si="2"/>
        <v>0</v>
      </c>
      <c r="R42" s="6">
        <f>IF(B42="","",SUMIFS(SF_Output!$S$1:$S$400,SF_Output!$AC$1:$AC$400,_xlfn.TEXTJOIN(",",TRUE,B42:E42),SF_Output!$Q$1:$Q$400,"yearly")+SUMIFS(SF_Output!$S$1:$S$400,SF_Output!$AC$1:$AC$400,_xlfn.TEXTJOIN(",",TRUE,B42:E42),SF_Output!$Q$1:$Q$400,"quarterly")*4)</f>
        <v>0</v>
      </c>
      <c r="S42" s="112" t="str">
        <f>IF(OR(B42=0,B42="",G42="hardware",R42=0),"",IF(AF42&lt;&gt;"exclusion",MAX(S$9,-(SUMIFS(SF_Output!$T$1:$T$400,SF_Output!$AC$1:$AC$400,_xlfn.TEXTJOIN(",",TRUE,$B42:$E42),SF_Output!$Q$1:$Q$400,"yearly"))/R42),-((SUMIFS(SF_Output!$T$1:$T$400,SF_Output!$AC$1:$AC$400,_xlfn.TEXTJOIN(",",TRUE,$B42:$E42),SF_Output!$Q$1:$Q$400,"yearly")/R42))))</f>
        <v/>
      </c>
      <c r="T42" s="6">
        <f t="shared" si="3"/>
        <v>0</v>
      </c>
      <c r="V42" s="6" cm="1">
        <f t="array" ref="V42">_xlfn.IFS(B42="","",AND(B42&lt;&gt;"",H42=SF_Output!$Y$2,SUMIFS(SF_Output!$T$1:$T$400,SF_Output!$AC$1:$AC$400,_xlfn.TEXTJOIN(",",TRUE,B42:E42),SF_Output!$Q$1:$Q$400,"monthly")=0),(SUMIFS(SF_Output!$F$1:$F$400,SF_Output!$AC$1:$AC$400,_xlfn.TEXTJOIN(",",TRUE,B42:E42),SF_Output!$Q$1:$Q$400,"monthly")+SUMIFS(SF_Output!$G$1:$G$400,SF_Output!$AC$1:$AC$400,_xlfn.TEXTJOIN(",",TRUE,B42:E42),SF_Output!$Q$1:$Q$400,"monthly"))*H42,AND(B42&lt;&gt;"",H42=SF_Output!$Y$2,SUMIFS(SF_Output!$T$1:$T$400,SF_Output!$AC$1:$AC$400,_xlfn.TEXTJOIN(",",TRUE,B42:E42),SF_Output!$Q$1:$Q$400,"monthly")&lt;&gt;0),SUMIFS(SF_Output!$S$1:$S$400,SF_Output!$AC$1:$AC$400,_xlfn.TEXTJOIN(",",TRUE,B42:E42),SF_Output!$Q$1:$Q$400,"monthly"),AND(B42&lt;&gt;"",H42&lt;&gt;SF_Output!$Y$2),SUMIFS(SF_Output!$S$1:$S$400,SF_Output!$AC$1:$AC$400,_xlfn.TEXTJOIN(",",TRUE,B42:E42),SF_Output!$Q$1:$Q$400,"monthly"))</f>
        <v>0</v>
      </c>
      <c r="W42" s="112" t="str" cm="1">
        <f t="array" ref="W42">_xlfn.IFS(OR(B42=0,B42="",V42=0),"",AF42&lt;&gt;"exclusion",MAX($W$9,$W$7,(-(SUMIFS(SF_Output!$T$1:$T$400,SF_Output!$AC$1:$AC$400,_xlfn.TEXTJOIN(",",TRUE,$B42:$E42),SF_Output!$Q$1:$Q$400,"monthly"))/V42)),AF42="exclusion",-(SUMIFS(SF_Output!$T$1:$T$400,SF_Output!$AC$1:$AC$400,_xlfn.TEXTJOIN(",",TRUE,$B42:$E42),SF_Output!$Q$1:$Q$400,"monthly"))/V42)</f>
        <v/>
      </c>
      <c r="X42" s="6" cm="1">
        <f t="array" ref="X42">IFERROR(_xlfn.IFS(V42=0,0,V42="","",W42=0,V42,OR(V42&lt;&gt;0,V42&lt;&gt;""),H42*I42),V42*(1-W42))</f>
        <v>0</v>
      </c>
      <c r="Z42" s="6">
        <f>IFERROR(IF(B42="","",SUMIFS(Billing_Fallout!H:H,Billing_Fallout!N:N,B42)),0)</f>
        <v>0</v>
      </c>
      <c r="AA42" s="6">
        <f t="shared" si="4"/>
        <v>0</v>
      </c>
      <c r="AB42" s="6">
        <f>IFERROR(IF(B42="","",SUMIFS(Billing_Fallout!J:J,Billing_Fallout!N:N,B42)),0)</f>
        <v>0</v>
      </c>
      <c r="AD42" s="6">
        <f t="shared" si="5"/>
        <v>0</v>
      </c>
      <c r="AF42" t="str">
        <f>IFERROR(INDEX(H_Tables!$B$1:$B$1500,MATCH(INDEX(SF_Output!$J$1:$J$400,MATCH(B42,SF_Output!$M$1:$M$400,0)),H_Tables!$A$1:$A$1500,0)),"")</f>
        <v>Exclusion</v>
      </c>
      <c r="AI42" s="119" t="str">
        <f t="shared" si="6"/>
        <v/>
      </c>
      <c r="AJ42" s="121">
        <f>IFERROR(INDEX(SF_Output!AD:AD,MATCH(_xlfn.TEXTJOIN(",",TRUE,B42:E42),SF_Output!AC1:AC400,0)),0.05)</f>
        <v>60</v>
      </c>
      <c r="AK42" t="str">
        <f>IF(SUMIFS(SF_Output!$F$1:$F$400,SF_Output!$AC$1:$AC$400,_xlfn.TEXTJOIN(",",TRUE,B42:E42))+SUMIFS(SF_Output!$G$1:$G$400,SF_Output!$AC$1:$AC$400,_xlfn.TEXTJOIN(",",TRUE,B42:E42))=0,"","PAP")</f>
        <v/>
      </c>
      <c r="AQ42" s="35"/>
      <c r="AR42" s="35" t="str" cm="1">
        <f t="array" ref="AR42">IFERROR(_xlfn.IFS(AND(E42*1=1,F42="Included"),"Change to Included",AND(E42*1=0,F42="Optional"),"Change to Optional",OR(B42="",F42="replaced"),""),"")</f>
        <v/>
      </c>
      <c r="AS42" s="35" t="str">
        <f t="shared" si="7"/>
        <v/>
      </c>
      <c r="AT42" s="35" t="str">
        <f t="shared" si="8"/>
        <v/>
      </c>
      <c r="AU42" s="35" t="str">
        <f t="shared" si="9"/>
        <v/>
      </c>
      <c r="AV42" s="35" t="str">
        <f t="shared" si="10"/>
        <v/>
      </c>
      <c r="AW42" s="35" t="str">
        <f t="shared" si="11"/>
        <v/>
      </c>
      <c r="AX42" s="35" t="str">
        <f t="shared" si="12"/>
        <v/>
      </c>
      <c r="AY42" s="35" t="str">
        <f t="shared" si="13"/>
        <v/>
      </c>
      <c r="AZ42" s="35" t="str">
        <f t="shared" si="14"/>
        <v/>
      </c>
      <c r="BA42" s="35" t="str">
        <f t="shared" si="15"/>
        <v/>
      </c>
      <c r="BB42" s="35" t="str">
        <f t="shared" si="16"/>
        <v/>
      </c>
      <c r="BC42" s="35"/>
      <c r="BE42" s="35">
        <f ca="1">INDEX(SF_Output!$AA$2:$AA$400,MATCH($B42,SF_Output!$M$2:$M$400,0))</f>
        <v>3</v>
      </c>
      <c r="BF42" s="35">
        <f ca="1">INDEX(SF_Output!$AB$2:$AB$400,MATCH($B42,SF_Output!$M$2:$M$400,0))</f>
        <v>1</v>
      </c>
    </row>
    <row r="43" spans="2:58" x14ac:dyDescent="0.25">
      <c r="B43" t="s">
        <v>1804</v>
      </c>
      <c r="C43" t="s">
        <v>2122</v>
      </c>
      <c r="D43" t="s">
        <v>2123</v>
      </c>
      <c r="E43" t="s">
        <v>2150</v>
      </c>
      <c r="F43" s="116" t="str">
        <f t="shared" si="0"/>
        <v>Optional</v>
      </c>
      <c r="G43" t="str">
        <f>IF(B43="","",INDEX(SF_Output!$K$1:$K$400,MATCH(B43,SF_Output!$M$1:$M$400,0)))</f>
        <v>Banno</v>
      </c>
      <c r="H43" cm="1">
        <f t="array" ref="H43">_xlfn.IFS(B43="","",(SUMIFS(SF_Output!$F$1:$F$400,SF_Output!$AC$1:$AC$400,_xlfn.TEXTJOIN(",",TRUE,B43:E43))+SUMIFS(SF_Output!$G$1:$G$400,SF_Output!$AC$1:$AC$400,_xlfn.TEXTJOIN(",",TRUE,B43:E43)))&lt;&gt;0,SF_Output!$Y$2,INDEX(SF_Output!$F$1:$F$400,MATCH(_xlfn.TEXTJOIN(",",TRUE,B43:E43),SF_Output!$AC$1:$AC$400,0))=0,INDEX(SF_Output!$R$1:$R$400,MATCH(_xlfn.TEXTJOIN(",",TRUE,B43:E43),SF_Output!$AC$1:$AC$400,0)))</f>
        <v>1</v>
      </c>
      <c r="I43" s="125" t="str">
        <f>IFERROR(IF(AND(H43&gt;1,H43&lt;&gt;""),ROUND(SUMIFS(SF_Output!$S$1:$S$400,SF_Output!$AC$1:$AC$400,_xlfn.TEXTJOIN(",",TRUE,B43:E43),SF_Output!$Q$1:$Q$400,"monthly")*(1-W43)/H43,4),""),"")</f>
        <v/>
      </c>
      <c r="J43" s="6">
        <f>IF(B43="","",SUMIFS(SF_Output!$S$1:$S$400,SF_Output!$AC$1:$AC$400,_xlfn.TEXTJOIN(",",TRUE,B43:E43),SF_Output!$Q$1:$Q$400,"One Time",SF_Output!$L$1:$L$400,"license fee")+SUMIFS(SF_Output!$S$1:$S$400,SF_Output!$AC$1:$AC$400,_xlfn.TEXTJOIN(",",TRUE,B43:E43),SF_Output!$Q$1:$Q$400,"One Time",SF_Output!$L$1:$L$400,"software license")+SUMIFS(SF_Output!$S$1:$S$400,SF_Output!$AC$1:$AC$400,_xlfn.TEXTJOIN(",",TRUE,B43:E43),SF_Output!$Q$1:$Q$400,"One Time",SF_Output!$L$1:$L$400,"hardware"))</f>
        <v>0</v>
      </c>
      <c r="K43" s="112" t="str">
        <f>IF(OR(B43=0,B43="",G43="hardware",J43=0),"",IF(AF43&lt;&gt;"exclusion",MAX(K$9,-((SUMIFS(SF_Output!$T$1:$T$400,SF_Output!$AC$1:$AC$400,_xlfn.TEXTJOIN(",",TRUE,$B43:$E43),SF_Output!$Q$1:$Q$400,"One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license"))/J43)))</f>
        <v/>
      </c>
      <c r="L43" s="6">
        <f t="shared" si="1"/>
        <v>0</v>
      </c>
      <c r="N43" s="6">
        <f>IF(B43="","",SUMIFS(SF_Output!$S$1:$S$400,SF_Output!$AC$1:$AC$400,_xlfn.TEXTJOIN(",",TRUE,B43:E43),SF_Output!$Q$1:$Q$400,"One Time",SF_Output!$L$1:$L$400,"professional service"))</f>
        <v>5000</v>
      </c>
      <c r="O43" s="112">
        <f>IF(OR(B43=0,B43="",N43=0),"",IF(AF43&lt;&gt;"exclusion",MAX(O$9,-(SUMIFS(SF_Output!$T$1:$T$400,SF_Output!$AC$1:$AC$400,_xlfn.TEXTJOIN(",",TRUE,$B43:$E43),SF_Output!$Q$1:$Q$400,"One Time",SF_Output!$L$1:$L$400,"professional service"))/N43),-((SUMIFS(SF_Output!$T$1:$T$400,SF_Output!$AC$1:$AC$400,_xlfn.TEXTJOIN(",",TRUE,$B43:$E43),SF_Output!$Q$1:$Q$400,"One Time",SF_Output!$L$1:$L$400,"professional service")/N43))))</f>
        <v>1</v>
      </c>
      <c r="P43" s="6">
        <f t="shared" si="2"/>
        <v>0</v>
      </c>
      <c r="R43" s="6">
        <f>IF(B43="","",SUMIFS(SF_Output!$S$1:$S$400,SF_Output!$AC$1:$AC$400,_xlfn.TEXTJOIN(",",TRUE,B43:E43),SF_Output!$Q$1:$Q$400,"yearly")+SUMIFS(SF_Output!$S$1:$S$400,SF_Output!$AC$1:$AC$400,_xlfn.TEXTJOIN(",",TRUE,B43:E43),SF_Output!$Q$1:$Q$400,"quarterly")*4)</f>
        <v>0</v>
      </c>
      <c r="S43" s="112" t="str">
        <f>IF(OR(B43=0,B43="",G43="hardware",R43=0),"",IF(AF43&lt;&gt;"exclusion",MAX(S$9,-(SUMIFS(SF_Output!$T$1:$T$400,SF_Output!$AC$1:$AC$400,_xlfn.TEXTJOIN(",",TRUE,$B43:$E43),SF_Output!$Q$1:$Q$400,"yearly"))/R43),-((SUMIFS(SF_Output!$T$1:$T$400,SF_Output!$AC$1:$AC$400,_xlfn.TEXTJOIN(",",TRUE,$B43:$E43),SF_Output!$Q$1:$Q$400,"yearly")/R43))))</f>
        <v/>
      </c>
      <c r="T43" s="6">
        <f t="shared" si="3"/>
        <v>0</v>
      </c>
      <c r="V43" s="6" cm="1">
        <f t="array" ref="V43">_xlfn.IFS(B43="","",AND(B43&lt;&gt;"",H43=SF_Output!$Y$2,SUMIFS(SF_Output!$T$1:$T$400,SF_Output!$AC$1:$AC$400,_xlfn.TEXTJOIN(",",TRUE,B43:E43),SF_Output!$Q$1:$Q$400,"monthly")=0),(SUMIFS(SF_Output!$F$1:$F$400,SF_Output!$AC$1:$AC$400,_xlfn.TEXTJOIN(",",TRUE,B43:E43),SF_Output!$Q$1:$Q$400,"monthly")+SUMIFS(SF_Output!$G$1:$G$400,SF_Output!$AC$1:$AC$400,_xlfn.TEXTJOIN(",",TRUE,B43:E43),SF_Output!$Q$1:$Q$400,"monthly"))*H43,AND(B43&lt;&gt;"",H43=SF_Output!$Y$2,SUMIFS(SF_Output!$T$1:$T$400,SF_Output!$AC$1:$AC$400,_xlfn.TEXTJOIN(",",TRUE,B43:E43),SF_Output!$Q$1:$Q$400,"monthly")&lt;&gt;0),SUMIFS(SF_Output!$S$1:$S$400,SF_Output!$AC$1:$AC$400,_xlfn.TEXTJOIN(",",TRUE,B43:E43),SF_Output!$Q$1:$Q$400,"monthly"),AND(B43&lt;&gt;"",H43&lt;&gt;SF_Output!$Y$2),SUMIFS(SF_Output!$S$1:$S$400,SF_Output!$AC$1:$AC$400,_xlfn.TEXTJOIN(",",TRUE,B43:E43),SF_Output!$Q$1:$Q$400,"monthly"))</f>
        <v>0</v>
      </c>
      <c r="W43" s="112" t="str" cm="1">
        <f t="array" ref="W43">_xlfn.IFS(OR(B43=0,B43="",V43=0),"",AF43&lt;&gt;"exclusion",MAX($W$9,$W$7,(-(SUMIFS(SF_Output!$T$1:$T$400,SF_Output!$AC$1:$AC$400,_xlfn.TEXTJOIN(",",TRUE,$B43:$E43),SF_Output!$Q$1:$Q$400,"monthly"))/V43)),AF43="exclusion",-(SUMIFS(SF_Output!$T$1:$T$400,SF_Output!$AC$1:$AC$400,_xlfn.TEXTJOIN(",",TRUE,$B43:$E43),SF_Output!$Q$1:$Q$400,"monthly"))/V43)</f>
        <v/>
      </c>
      <c r="X43" s="6" cm="1">
        <f t="array" ref="X43">IFERROR(_xlfn.IFS(V43=0,0,V43="","",W43=0,V43,OR(V43&lt;&gt;0,V43&lt;&gt;""),H43*I43),V43*(1-W43))</f>
        <v>0</v>
      </c>
      <c r="Z43" s="6">
        <f>IFERROR(IF(B43="","",SUMIFS(Billing_Fallout!H:H,Billing_Fallout!N:N,B43)),0)</f>
        <v>0</v>
      </c>
      <c r="AA43" s="6">
        <f t="shared" si="4"/>
        <v>0</v>
      </c>
      <c r="AB43" s="6">
        <f>IFERROR(IF(B43="","",SUMIFS(Billing_Fallout!J:J,Billing_Fallout!N:N,B43)),0)</f>
        <v>0</v>
      </c>
      <c r="AD43" s="6">
        <f t="shared" si="5"/>
        <v>0</v>
      </c>
      <c r="AF43" t="str">
        <f>IFERROR(INDEX(H_Tables!$B$1:$B$1500,MATCH(INDEX(SF_Output!$J$1:$J$400,MATCH(B43,SF_Output!$M$1:$M$400,0)),H_Tables!$A$1:$A$1500,0)),"")</f>
        <v>Exclusion</v>
      </c>
      <c r="AI43" s="119" t="str">
        <f t="shared" si="6"/>
        <v/>
      </c>
      <c r="AJ43" s="121">
        <f>IFERROR(INDEX(SF_Output!AD:AD,MATCH(_xlfn.TEXTJOIN(",",TRUE,B43:E43),SF_Output!AC1:AC400,0)),0.05)</f>
        <v>62</v>
      </c>
      <c r="AK43" t="str">
        <f>IF(SUMIFS(SF_Output!$F$1:$F$400,SF_Output!$AC$1:$AC$400,_xlfn.TEXTJOIN(",",TRUE,B43:E43))+SUMIFS(SF_Output!$G$1:$G$400,SF_Output!$AC$1:$AC$400,_xlfn.TEXTJOIN(",",TRUE,B43:E43))=0,"","PAP")</f>
        <v/>
      </c>
      <c r="AQ43" s="35"/>
      <c r="AR43" s="35" t="str" cm="1">
        <f t="array" ref="AR43">IFERROR(_xlfn.IFS(AND(E43*1=1,F43="Included"),"Change to Included",AND(E43*1=0,F43="Optional"),"Change to Optional",OR(B43="",F43="replaced"),""),"")</f>
        <v/>
      </c>
      <c r="AS43" s="35" t="str">
        <f t="shared" si="7"/>
        <v/>
      </c>
      <c r="AT43" s="35" t="str">
        <f t="shared" si="8"/>
        <v/>
      </c>
      <c r="AU43" s="35" t="str">
        <f t="shared" si="9"/>
        <v/>
      </c>
      <c r="AV43" s="35" t="str">
        <f t="shared" si="10"/>
        <v/>
      </c>
      <c r="AW43" s="35" t="str">
        <f t="shared" si="11"/>
        <v/>
      </c>
      <c r="AX43" s="35" t="str">
        <f t="shared" si="12"/>
        <v/>
      </c>
      <c r="AY43" s="35" t="str">
        <f t="shared" si="13"/>
        <v/>
      </c>
      <c r="AZ43" s="35" t="str">
        <f t="shared" si="14"/>
        <v/>
      </c>
      <c r="BA43" s="35" t="str">
        <f t="shared" si="15"/>
        <v/>
      </c>
      <c r="BB43" s="35" t="str">
        <f t="shared" si="16"/>
        <v/>
      </c>
      <c r="BC43" s="35"/>
      <c r="BE43" s="35">
        <f ca="1">INDEX(SF_Output!$AA$2:$AA$400,MATCH($B43,SF_Output!$M$2:$M$400,0))</f>
        <v>3</v>
      </c>
      <c r="BF43" s="35">
        <f ca="1">INDEX(SF_Output!$AB$2:$AB$400,MATCH($B43,SF_Output!$M$2:$M$400,0))</f>
        <v>1</v>
      </c>
    </row>
    <row r="44" spans="2:58" x14ac:dyDescent="0.25">
      <c r="B44" t="s">
        <v>1806</v>
      </c>
      <c r="C44" t="s">
        <v>2122</v>
      </c>
      <c r="D44" t="s">
        <v>2123</v>
      </c>
      <c r="E44" t="s">
        <v>2150</v>
      </c>
      <c r="F44" s="116" t="str">
        <f t="shared" si="0"/>
        <v>Optional</v>
      </c>
      <c r="G44" t="str">
        <f>IF(B44="","",INDEX(SF_Output!$K$1:$K$400,MATCH(B44,SF_Output!$M$1:$M$400,0)))</f>
        <v>Banno</v>
      </c>
      <c r="H44" cm="1">
        <f t="array" ref="H44">_xlfn.IFS(B44="","",(SUMIFS(SF_Output!$F$1:$F$400,SF_Output!$AC$1:$AC$400,_xlfn.TEXTJOIN(",",TRUE,B44:E44))+SUMIFS(SF_Output!$G$1:$G$400,SF_Output!$AC$1:$AC$400,_xlfn.TEXTJOIN(",",TRUE,B44:E44)))&lt;&gt;0,SF_Output!$Y$2,INDEX(SF_Output!$F$1:$F$400,MATCH(_xlfn.TEXTJOIN(",",TRUE,B44:E44),SF_Output!$AC$1:$AC$400,0))=0,INDEX(SF_Output!$R$1:$R$400,MATCH(_xlfn.TEXTJOIN(",",TRUE,B44:E44),SF_Output!$AC$1:$AC$400,0)))</f>
        <v>1</v>
      </c>
      <c r="I44" s="125" t="str">
        <f>IFERROR(IF(AND(H44&gt;1,H44&lt;&gt;""),ROUND(SUMIFS(SF_Output!$S$1:$S$400,SF_Output!$AC$1:$AC$400,_xlfn.TEXTJOIN(",",TRUE,B44:E44),SF_Output!$Q$1:$Q$400,"monthly")*(1-W44)/H44,4),""),"")</f>
        <v/>
      </c>
      <c r="J44" s="6">
        <f>IF(B44="","",SUMIFS(SF_Output!$S$1:$S$400,SF_Output!$AC$1:$AC$400,_xlfn.TEXTJOIN(",",TRUE,B44:E44),SF_Output!$Q$1:$Q$400,"One Time",SF_Output!$L$1:$L$400,"license fee")+SUMIFS(SF_Output!$S$1:$S$400,SF_Output!$AC$1:$AC$400,_xlfn.TEXTJOIN(",",TRUE,B44:E44),SF_Output!$Q$1:$Q$400,"One Time",SF_Output!$L$1:$L$400,"software license")+SUMIFS(SF_Output!$S$1:$S$400,SF_Output!$AC$1:$AC$400,_xlfn.TEXTJOIN(",",TRUE,B44:E44),SF_Output!$Q$1:$Q$400,"One Time",SF_Output!$L$1:$L$400,"hardware"))</f>
        <v>0</v>
      </c>
      <c r="K44" s="112" t="str">
        <f>IF(OR(B44=0,B44="",G44="hardware",J44=0),"",IF(AF44&lt;&gt;"exclusion",MAX(K$9,-((SUMIFS(SF_Output!$T$1:$T$400,SF_Output!$AC$1:$AC$400,_xlfn.TEXTJOIN(",",TRUE,$B44:$E44),SF_Output!$Q$1:$Q$400,"One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license"))/J44)))</f>
        <v/>
      </c>
      <c r="L44" s="6">
        <f t="shared" si="1"/>
        <v>0</v>
      </c>
      <c r="N44" s="6">
        <f>IF(B44="","",SUMIFS(SF_Output!$S$1:$S$400,SF_Output!$AC$1:$AC$400,_xlfn.TEXTJOIN(",",TRUE,B44:E44),SF_Output!$Q$1:$Q$400,"One Time",SF_Output!$L$1:$L$400,"professional service"))</f>
        <v>10000</v>
      </c>
      <c r="O44" s="112">
        <f>IF(OR(B44=0,B44="",N44=0),"",IF(AF44&lt;&gt;"exclusion",MAX(O$9,-(SUMIFS(SF_Output!$T$1:$T$400,SF_Output!$AC$1:$AC$400,_xlfn.TEXTJOIN(",",TRUE,$B44:$E44),SF_Output!$Q$1:$Q$400,"One Time",SF_Output!$L$1:$L$400,"professional service"))/N44),-((SUMIFS(SF_Output!$T$1:$T$400,SF_Output!$AC$1:$AC$400,_xlfn.TEXTJOIN(",",TRUE,$B44:$E44),SF_Output!$Q$1:$Q$400,"One Time",SF_Output!$L$1:$L$400,"professional service")/N44))))</f>
        <v>1</v>
      </c>
      <c r="P44" s="6">
        <f t="shared" si="2"/>
        <v>0</v>
      </c>
      <c r="R44" s="6">
        <f>IF(B44="","",SUMIFS(SF_Output!$S$1:$S$400,SF_Output!$AC$1:$AC$400,_xlfn.TEXTJOIN(",",TRUE,B44:E44),SF_Output!$Q$1:$Q$400,"yearly")+SUMIFS(SF_Output!$S$1:$S$400,SF_Output!$AC$1:$AC$400,_xlfn.TEXTJOIN(",",TRUE,B44:E44),SF_Output!$Q$1:$Q$400,"quarterly")*4)</f>
        <v>0</v>
      </c>
      <c r="S44" s="112" t="str">
        <f>IF(OR(B44=0,B44="",G44="hardware",R44=0),"",IF(AF44&lt;&gt;"exclusion",MAX(S$9,-(SUMIFS(SF_Output!$T$1:$T$400,SF_Output!$AC$1:$AC$400,_xlfn.TEXTJOIN(",",TRUE,$B44:$E44),SF_Output!$Q$1:$Q$400,"yearly"))/R44),-((SUMIFS(SF_Output!$T$1:$T$400,SF_Output!$AC$1:$AC$400,_xlfn.TEXTJOIN(",",TRUE,$B44:$E44),SF_Output!$Q$1:$Q$400,"yearly")/R44))))</f>
        <v/>
      </c>
      <c r="T44" s="6">
        <f t="shared" si="3"/>
        <v>0</v>
      </c>
      <c r="V44" s="6" cm="1">
        <f t="array" ref="V44">_xlfn.IFS(B44="","",AND(B44&lt;&gt;"",H44=SF_Output!$Y$2,SUMIFS(SF_Output!$T$1:$T$400,SF_Output!$AC$1:$AC$400,_xlfn.TEXTJOIN(",",TRUE,B44:E44),SF_Output!$Q$1:$Q$400,"monthly")=0),(SUMIFS(SF_Output!$F$1:$F$400,SF_Output!$AC$1:$AC$400,_xlfn.TEXTJOIN(",",TRUE,B44:E44),SF_Output!$Q$1:$Q$400,"monthly")+SUMIFS(SF_Output!$G$1:$G$400,SF_Output!$AC$1:$AC$400,_xlfn.TEXTJOIN(",",TRUE,B44:E44),SF_Output!$Q$1:$Q$400,"monthly"))*H44,AND(B44&lt;&gt;"",H44=SF_Output!$Y$2,SUMIFS(SF_Output!$T$1:$T$400,SF_Output!$AC$1:$AC$400,_xlfn.TEXTJOIN(",",TRUE,B44:E44),SF_Output!$Q$1:$Q$400,"monthly")&lt;&gt;0),SUMIFS(SF_Output!$S$1:$S$400,SF_Output!$AC$1:$AC$400,_xlfn.TEXTJOIN(",",TRUE,B44:E44),SF_Output!$Q$1:$Q$400,"monthly"),AND(B44&lt;&gt;"",H44&lt;&gt;SF_Output!$Y$2),SUMIFS(SF_Output!$S$1:$S$400,SF_Output!$AC$1:$AC$400,_xlfn.TEXTJOIN(",",TRUE,B44:E44),SF_Output!$Q$1:$Q$400,"monthly"))</f>
        <v>500</v>
      </c>
      <c r="W44" s="112" cm="1">
        <f t="array" ref="W44">_xlfn.IFS(OR(B44=0,B44="",V44=0),"",AF44&lt;&gt;"exclusion",MAX($W$9,$W$7,(-(SUMIFS(SF_Output!$T$1:$T$400,SF_Output!$AC$1:$AC$400,_xlfn.TEXTJOIN(",",TRUE,$B44:$E44),SF_Output!$Q$1:$Q$400,"monthly"))/V44)),AF44="exclusion",-(SUMIFS(SF_Output!$T$1:$T$400,SF_Output!$AC$1:$AC$400,_xlfn.TEXTJOIN(",",TRUE,$B44:$E44),SF_Output!$Q$1:$Q$400,"monthly"))/V44)</f>
        <v>0</v>
      </c>
      <c r="X44" s="6" cm="1">
        <f t="array" ref="X44">IFERROR(_xlfn.IFS(V44=0,0,V44="","",W44=0,V44,OR(V44&lt;&gt;0,V44&lt;&gt;""),H44*I44),V44*(1-W44))</f>
        <v>500</v>
      </c>
      <c r="Z44" s="6">
        <f>IFERROR(IF(B44="","",SUMIFS(Billing_Fallout!H:H,Billing_Fallout!N:N,B44)),0)</f>
        <v>0</v>
      </c>
      <c r="AA44" s="6">
        <f t="shared" si="4"/>
        <v>0</v>
      </c>
      <c r="AB44" s="6">
        <f>IFERROR(IF(B44="","",SUMIFS(Billing_Fallout!J:J,Billing_Fallout!N:N,B44)),0)</f>
        <v>0</v>
      </c>
      <c r="AD44" s="6">
        <f t="shared" si="5"/>
        <v>500</v>
      </c>
      <c r="AF44" t="str">
        <f>IFERROR(INDEX(H_Tables!$B$1:$B$1500,MATCH(INDEX(SF_Output!$J$1:$J$400,MATCH(B44,SF_Output!$M$1:$M$400,0)),H_Tables!$A$1:$A$1500,0)),"")</f>
        <v>Exclusion</v>
      </c>
      <c r="AI44" s="119" t="str">
        <f t="shared" si="6"/>
        <v/>
      </c>
      <c r="AJ44" s="121">
        <f>IFERROR(INDEX(SF_Output!AD:AD,MATCH(_xlfn.TEXTJOIN(",",TRUE,B44:E44),SF_Output!AC1:AC400,0)),0.05)</f>
        <v>64</v>
      </c>
      <c r="AK44" t="str">
        <f>IF(SUMIFS(SF_Output!$F$1:$F$400,SF_Output!$AC$1:$AC$400,_xlfn.TEXTJOIN(",",TRUE,B44:E44))+SUMIFS(SF_Output!$G$1:$G$400,SF_Output!$AC$1:$AC$400,_xlfn.TEXTJOIN(",",TRUE,B44:E44))=0,"","PAP")</f>
        <v/>
      </c>
      <c r="AQ44" s="35"/>
      <c r="AR44" s="35" t="str" cm="1">
        <f t="array" ref="AR44">IFERROR(_xlfn.IFS(AND(E44*1=1,F44="Included"),"Change to Included",AND(E44*1=0,F44="Optional"),"Change to Optional",OR(B44="",F44="replaced"),""),"")</f>
        <v/>
      </c>
      <c r="AS44" s="35" t="str">
        <f t="shared" si="7"/>
        <v/>
      </c>
      <c r="AT44" s="35" t="str">
        <f t="shared" si="8"/>
        <v/>
      </c>
      <c r="AU44" s="35" t="str">
        <f t="shared" si="9"/>
        <v/>
      </c>
      <c r="AV44" s="35" t="str">
        <f t="shared" si="10"/>
        <v/>
      </c>
      <c r="AW44" s="35" t="str">
        <f t="shared" si="11"/>
        <v/>
      </c>
      <c r="AX44" s="35" t="str">
        <f t="shared" si="12"/>
        <v/>
      </c>
      <c r="AY44" s="35" t="str">
        <f t="shared" si="13"/>
        <v/>
      </c>
      <c r="AZ44" s="35" t="str">
        <f t="shared" si="14"/>
        <v/>
      </c>
      <c r="BA44" s="35" t="str">
        <f t="shared" si="15"/>
        <v/>
      </c>
      <c r="BB44" s="35" t="str">
        <f t="shared" si="16"/>
        <v/>
      </c>
      <c r="BC44" s="35"/>
      <c r="BE44" s="35">
        <f ca="1">INDEX(SF_Output!$AA$2:$AA$400,MATCH($B44,SF_Output!$M$2:$M$400,0))</f>
        <v>3</v>
      </c>
      <c r="BF44" s="35">
        <f ca="1">INDEX(SF_Output!$AB$2:$AB$400,MATCH($B44,SF_Output!$M$2:$M$400,0))</f>
        <v>1</v>
      </c>
    </row>
    <row r="45" spans="2:58" x14ac:dyDescent="0.25">
      <c r="B45" t="s">
        <v>2226</v>
      </c>
      <c r="C45" t="s">
        <v>2122</v>
      </c>
      <c r="D45" t="s">
        <v>2207</v>
      </c>
      <c r="E45" t="s">
        <v>2124</v>
      </c>
      <c r="F45" s="116" t="str">
        <f t="shared" si="0"/>
        <v>Included</v>
      </c>
      <c r="G45" t="str">
        <f>IF(B45="","",INDEX(SF_Output!$K$1:$K$400,MATCH(B45,SF_Output!$M$1:$M$400,0)))</f>
        <v>Banno</v>
      </c>
      <c r="H45" cm="1">
        <f t="array" ref="H45">_xlfn.IFS(B45="","",(SUMIFS(SF_Output!$F$1:$F$400,SF_Output!$AC$1:$AC$400,_xlfn.TEXTJOIN(",",TRUE,B45:E45))+SUMIFS(SF_Output!$G$1:$G$400,SF_Output!$AC$1:$AC$400,_xlfn.TEXTJOIN(",",TRUE,B45:E45)))&lt;&gt;0,SF_Output!$Y$2,INDEX(SF_Output!$F$1:$F$400,MATCH(_xlfn.TEXTJOIN(",",TRUE,B45:E45),SF_Output!$AC$1:$AC$400,0))=0,INDEX(SF_Output!$R$1:$R$400,MATCH(_xlfn.TEXTJOIN(",",TRUE,B45:E45),SF_Output!$AC$1:$AC$400,0)))</f>
        <v>1</v>
      </c>
      <c r="I45" s="125" t="str">
        <f>IFERROR(IF(AND(H45&gt;1,H45&lt;&gt;""),ROUND(SUMIFS(SF_Output!$S$1:$S$400,SF_Output!$AC$1:$AC$400,_xlfn.TEXTJOIN(",",TRUE,B45:E45),SF_Output!$Q$1:$Q$400,"monthly")*(1-W45)/H45,4),""),"")</f>
        <v/>
      </c>
      <c r="J45" s="6">
        <f>IF(B45="","",SUMIFS(SF_Output!$S$1:$S$400,SF_Output!$AC$1:$AC$400,_xlfn.TEXTJOIN(",",TRUE,B45:E45),SF_Output!$Q$1:$Q$400,"One Time",SF_Output!$L$1:$L$400,"license fee")+SUMIFS(SF_Output!$S$1:$S$400,SF_Output!$AC$1:$AC$400,_xlfn.TEXTJOIN(",",TRUE,B45:E45),SF_Output!$Q$1:$Q$400,"One Time",SF_Output!$L$1:$L$400,"software license")+SUMIFS(SF_Output!$S$1:$S$400,SF_Output!$AC$1:$AC$400,_xlfn.TEXTJOIN(",",TRUE,B45:E45),SF_Output!$Q$1:$Q$400,"One Time",SF_Output!$L$1:$L$400,"hardware"))</f>
        <v>0</v>
      </c>
      <c r="K45" s="112" t="str">
        <f>IF(OR(B45=0,B45="",G45="hardware",J45=0),"",IF(AF45&lt;&gt;"exclusion",MAX(K$9,-((SUMIFS(SF_Output!$T$1:$T$400,SF_Output!$AC$1:$AC$400,_xlfn.TEXTJOIN(",",TRUE,$B45:$E45),SF_Output!$Q$1:$Q$400,"One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license"))/J45)))</f>
        <v/>
      </c>
      <c r="L45" s="6">
        <f t="shared" si="1"/>
        <v>0</v>
      </c>
      <c r="N45" s="6">
        <f>IF(B45="","",SUMIFS(SF_Output!$S$1:$S$400,SF_Output!$AC$1:$AC$400,_xlfn.TEXTJOIN(",",TRUE,B45:E45),SF_Output!$Q$1:$Q$400,"One Time",SF_Output!$L$1:$L$400,"professional service"))</f>
        <v>2000</v>
      </c>
      <c r="O45" s="112">
        <f>IF(OR(B45=0,B45="",N45=0),"",IF(AF45&lt;&gt;"exclusion",MAX(O$9,-(SUMIFS(SF_Output!$T$1:$T$400,SF_Output!$AC$1:$AC$400,_xlfn.TEXTJOIN(",",TRUE,$B45:$E45),SF_Output!$Q$1:$Q$400,"One Time",SF_Output!$L$1:$L$400,"professional service"))/N45),-((SUMIFS(SF_Output!$T$1:$T$400,SF_Output!$AC$1:$AC$400,_xlfn.TEXTJOIN(",",TRUE,$B45:$E45),SF_Output!$Q$1:$Q$400,"One Time",SF_Output!$L$1:$L$400,"professional service")/N45))))</f>
        <v>1</v>
      </c>
      <c r="P45" s="6">
        <f t="shared" si="2"/>
        <v>0</v>
      </c>
      <c r="R45" s="6">
        <f>IF(B45="","",SUMIFS(SF_Output!$S$1:$S$400,SF_Output!$AC$1:$AC$400,_xlfn.TEXTJOIN(",",TRUE,B45:E45),SF_Output!$Q$1:$Q$400,"yearly")+SUMIFS(SF_Output!$S$1:$S$400,SF_Output!$AC$1:$AC$400,_xlfn.TEXTJOIN(",",TRUE,B45:E45),SF_Output!$Q$1:$Q$400,"quarterly")*4)</f>
        <v>0</v>
      </c>
      <c r="S45" s="112" t="str">
        <f>IF(OR(B45=0,B45="",G45="hardware",R45=0),"",IF(AF45&lt;&gt;"exclusion",MAX(S$9,-(SUMIFS(SF_Output!$T$1:$T$400,SF_Output!$AC$1:$AC$400,_xlfn.TEXTJOIN(",",TRUE,$B45:$E45),SF_Output!$Q$1:$Q$400,"yearly"))/R45),-((SUMIFS(SF_Output!$T$1:$T$400,SF_Output!$AC$1:$AC$400,_xlfn.TEXTJOIN(",",TRUE,$B45:$E45),SF_Output!$Q$1:$Q$400,"yearly")/R45))))</f>
        <v/>
      </c>
      <c r="T45" s="6">
        <f t="shared" si="3"/>
        <v>0</v>
      </c>
      <c r="V45" s="6" cm="1">
        <f t="array" ref="V45">_xlfn.IFS(B45="","",AND(B45&lt;&gt;"",H45=SF_Output!$Y$2,SUMIFS(SF_Output!$T$1:$T$400,SF_Output!$AC$1:$AC$400,_xlfn.TEXTJOIN(",",TRUE,B45:E45),SF_Output!$Q$1:$Q$400,"monthly")=0),(SUMIFS(SF_Output!$F$1:$F$400,SF_Output!$AC$1:$AC$400,_xlfn.TEXTJOIN(",",TRUE,B45:E45),SF_Output!$Q$1:$Q$400,"monthly")+SUMIFS(SF_Output!$G$1:$G$400,SF_Output!$AC$1:$AC$400,_xlfn.TEXTJOIN(",",TRUE,B45:E45),SF_Output!$Q$1:$Q$400,"monthly"))*H45,AND(B45&lt;&gt;"",H45=SF_Output!$Y$2,SUMIFS(SF_Output!$T$1:$T$400,SF_Output!$AC$1:$AC$400,_xlfn.TEXTJOIN(",",TRUE,B45:E45),SF_Output!$Q$1:$Q$400,"monthly")&lt;&gt;0),SUMIFS(SF_Output!$S$1:$S$400,SF_Output!$AC$1:$AC$400,_xlfn.TEXTJOIN(",",TRUE,B45:E45),SF_Output!$Q$1:$Q$400,"monthly"),AND(B45&lt;&gt;"",H45&lt;&gt;SF_Output!$Y$2),SUMIFS(SF_Output!$S$1:$S$400,SF_Output!$AC$1:$AC$400,_xlfn.TEXTJOIN(",",TRUE,B45:E45),SF_Output!$Q$1:$Q$400,"monthly"))</f>
        <v>50</v>
      </c>
      <c r="W45" s="112" cm="1">
        <f t="array" ref="W45">_xlfn.IFS(OR(B45=0,B45="",V45=0),"",AF45&lt;&gt;"exclusion",MAX($W$9,$W$7,(-(SUMIFS(SF_Output!$T$1:$T$400,SF_Output!$AC$1:$AC$400,_xlfn.TEXTJOIN(",",TRUE,$B45:$E45),SF_Output!$Q$1:$Q$400,"monthly"))/V45)),AF45="exclusion",-(SUMIFS(SF_Output!$T$1:$T$400,SF_Output!$AC$1:$AC$400,_xlfn.TEXTJOIN(",",TRUE,$B45:$E45),SF_Output!$Q$1:$Q$400,"monthly"))/V45)</f>
        <v>0</v>
      </c>
      <c r="X45" s="6" cm="1">
        <f t="array" ref="X45">IFERROR(_xlfn.IFS(V45=0,0,V45="","",W45=0,V45,OR(V45&lt;&gt;0,V45&lt;&gt;""),H45*I45),V45*(1-W45))</f>
        <v>50</v>
      </c>
      <c r="Z45" s="6">
        <f>IFERROR(IF(B45="","",SUMIFS(Billing_Fallout!H:H,Billing_Fallout!N:N,B45)),0)</f>
        <v>0</v>
      </c>
      <c r="AA45" s="6">
        <f t="shared" si="4"/>
        <v>0</v>
      </c>
      <c r="AB45" s="6">
        <f>IFERROR(IF(B45="","",SUMIFS(Billing_Fallout!J:J,Billing_Fallout!N:N,B45)),0)</f>
        <v>0</v>
      </c>
      <c r="AD45" s="6">
        <f t="shared" si="5"/>
        <v>50</v>
      </c>
      <c r="AF45" t="str">
        <f>IFERROR(INDEX(H_Tables!$B$1:$B$1500,MATCH(INDEX(SF_Output!$J$1:$J$400,MATCH(B45,SF_Output!$M$1:$M$400,0)),H_Tables!$A$1:$A$1500,0)),"")</f>
        <v/>
      </c>
      <c r="AI45" s="119" t="str">
        <f t="shared" si="6"/>
        <v/>
      </c>
      <c r="AJ45" s="121">
        <f>IFERROR(INDEX(SF_Output!AD:AD,MATCH(_xlfn.TEXTJOIN(",",TRUE,B45:E45),SF_Output!AC1:AC400,0)),0.05)</f>
        <v>66</v>
      </c>
      <c r="AK45" t="str">
        <f>IF(SUMIFS(SF_Output!$F$1:$F$400,SF_Output!$AC$1:$AC$400,_xlfn.TEXTJOIN(",",TRUE,B45:E45))+SUMIFS(SF_Output!$G$1:$G$400,SF_Output!$AC$1:$AC$400,_xlfn.TEXTJOIN(",",TRUE,B45:E45))=0,"","PAP")</f>
        <v/>
      </c>
      <c r="AQ45" s="35"/>
      <c r="AR45" s="35" t="str" cm="1">
        <f t="array" ref="AR45">IFERROR(_xlfn.IFS(AND(E45*1=1,F45="Included"),"Change to Included",AND(E45*1=0,F45="Optional"),"Change to Optional",OR(B45="",F45="replaced"),""),"")</f>
        <v/>
      </c>
      <c r="AS45" s="35" t="str">
        <f t="shared" si="7"/>
        <v/>
      </c>
      <c r="AT45" s="35" t="str">
        <f t="shared" si="8"/>
        <v/>
      </c>
      <c r="AU45" s="35" t="str">
        <f t="shared" si="9"/>
        <v/>
      </c>
      <c r="AV45" s="35" t="str">
        <f t="shared" si="10"/>
        <v/>
      </c>
      <c r="AW45" s="35" t="str">
        <f t="shared" si="11"/>
        <v/>
      </c>
      <c r="AX45" s="35" t="str">
        <f t="shared" si="12"/>
        <v/>
      </c>
      <c r="AY45" s="35" t="str">
        <f t="shared" si="13"/>
        <v/>
      </c>
      <c r="AZ45" s="35" t="str">
        <f t="shared" si="14"/>
        <v/>
      </c>
      <c r="BA45" s="35" t="str">
        <f t="shared" si="15"/>
        <v/>
      </c>
      <c r="BB45" s="35" t="str">
        <f t="shared" si="16"/>
        <v/>
      </c>
      <c r="BC45" s="35"/>
      <c r="BE45" s="35">
        <f ca="1">INDEX(SF_Output!$AA$2:$AA$400,MATCH($B45,SF_Output!$M$2:$M$400,0))</f>
        <v>3</v>
      </c>
      <c r="BF45" s="35">
        <f ca="1">INDEX(SF_Output!$AB$2:$AB$400,MATCH($B45,SF_Output!$M$2:$M$400,0))</f>
        <v>1</v>
      </c>
    </row>
    <row r="46" spans="2:58" x14ac:dyDescent="0.25">
      <c r="B46" t="s">
        <v>589</v>
      </c>
      <c r="C46" t="s">
        <v>2122</v>
      </c>
      <c r="D46" t="s">
        <v>2123</v>
      </c>
      <c r="E46" t="s">
        <v>2150</v>
      </c>
      <c r="F46" s="116" t="str">
        <f t="shared" si="0"/>
        <v>Optional</v>
      </c>
      <c r="G46" t="str">
        <f>IF(B46="","",INDEX(SF_Output!$K$1:$K$400,MATCH(B46,SF_Output!$M$1:$M$400,0)))</f>
        <v>Banno</v>
      </c>
      <c r="H46" cm="1">
        <f t="array" ref="H46">_xlfn.IFS(B46="","",(SUMIFS(SF_Output!$F$1:$F$400,SF_Output!$AC$1:$AC$400,_xlfn.TEXTJOIN(",",TRUE,B46:E46))+SUMIFS(SF_Output!$G$1:$G$400,SF_Output!$AC$1:$AC$400,_xlfn.TEXTJOIN(",",TRUE,B46:E46)))&lt;&gt;0,SF_Output!$Y$2,INDEX(SF_Output!$F$1:$F$400,MATCH(_xlfn.TEXTJOIN(",",TRUE,B46:E46),SF_Output!$AC$1:$AC$400,0))=0,INDEX(SF_Output!$R$1:$R$400,MATCH(_xlfn.TEXTJOIN(",",TRUE,B46:E46),SF_Output!$AC$1:$AC$400,0)))</f>
        <v>1</v>
      </c>
      <c r="I46" s="125" t="str">
        <f>IFERROR(IF(AND(H46&gt;1,H46&lt;&gt;""),ROUND(SUMIFS(SF_Output!$S$1:$S$400,SF_Output!$AC$1:$AC$400,_xlfn.TEXTJOIN(",",TRUE,B46:E46),SF_Output!$Q$1:$Q$400,"monthly")*(1-W46)/H46,4),""),"")</f>
        <v/>
      </c>
      <c r="J46" s="6">
        <f>IF(B46="","",SUMIFS(SF_Output!$S$1:$S$400,SF_Output!$AC$1:$AC$400,_xlfn.TEXTJOIN(",",TRUE,B46:E46),SF_Output!$Q$1:$Q$400,"One Time",SF_Output!$L$1:$L$400,"license fee")+SUMIFS(SF_Output!$S$1:$S$400,SF_Output!$AC$1:$AC$400,_xlfn.TEXTJOIN(",",TRUE,B46:E46),SF_Output!$Q$1:$Q$400,"One Time",SF_Output!$L$1:$L$400,"software license")+SUMIFS(SF_Output!$S$1:$S$400,SF_Output!$AC$1:$AC$400,_xlfn.TEXTJOIN(",",TRUE,B46:E46),SF_Output!$Q$1:$Q$400,"One Time",SF_Output!$L$1:$L$400,"hardware"))</f>
        <v>0</v>
      </c>
      <c r="K46" s="112" t="str">
        <f>IF(OR(B46=0,B46="",G46="hardware",J46=0),"",IF(AF46&lt;&gt;"exclusion",MAX(K$9,-((SUMIFS(SF_Output!$T$1:$T$400,SF_Output!$AC$1:$AC$400,_xlfn.TEXTJOIN(",",TRUE,$B46:$E46),SF_Output!$Q$1:$Q$400,"One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license"))/J46)))</f>
        <v/>
      </c>
      <c r="L46" s="6">
        <f t="shared" si="1"/>
        <v>0</v>
      </c>
      <c r="N46" s="6">
        <f>IF(B46="","",SUMIFS(SF_Output!$S$1:$S$400,SF_Output!$AC$1:$AC$400,_xlfn.TEXTJOIN(",",TRUE,B46:E46),SF_Output!$Q$1:$Q$400,"One Time",SF_Output!$L$1:$L$400,"professional service"))</f>
        <v>5000</v>
      </c>
      <c r="O46" s="112">
        <f>IF(OR(B46=0,B46="",N46=0),"",IF(AF46&lt;&gt;"exclusion",MAX(O$9,-(SUMIFS(SF_Output!$T$1:$T$400,SF_Output!$AC$1:$AC$400,_xlfn.TEXTJOIN(",",TRUE,$B46:$E46),SF_Output!$Q$1:$Q$400,"One Time",SF_Output!$L$1:$L$400,"professional service"))/N46),-((SUMIFS(SF_Output!$T$1:$T$400,SF_Output!$AC$1:$AC$400,_xlfn.TEXTJOIN(",",TRUE,$B46:$E46),SF_Output!$Q$1:$Q$400,"One Time",SF_Output!$L$1:$L$400,"professional service")/N46))))</f>
        <v>1</v>
      </c>
      <c r="P46" s="6">
        <f t="shared" si="2"/>
        <v>0</v>
      </c>
      <c r="R46" s="6">
        <f>IF(B46="","",SUMIFS(SF_Output!$S$1:$S$400,SF_Output!$AC$1:$AC$400,_xlfn.TEXTJOIN(",",TRUE,B46:E46),SF_Output!$Q$1:$Q$400,"yearly")+SUMIFS(SF_Output!$S$1:$S$400,SF_Output!$AC$1:$AC$400,_xlfn.TEXTJOIN(",",TRUE,B46:E46),SF_Output!$Q$1:$Q$400,"quarterly")*4)</f>
        <v>0</v>
      </c>
      <c r="S46" s="112" t="str">
        <f>IF(OR(B46=0,B46="",G46="hardware",R46=0),"",IF(AF46&lt;&gt;"exclusion",MAX(S$9,-(SUMIFS(SF_Output!$T$1:$T$400,SF_Output!$AC$1:$AC$400,_xlfn.TEXTJOIN(",",TRUE,$B46:$E46),SF_Output!$Q$1:$Q$400,"yearly"))/R46),-((SUMIFS(SF_Output!$T$1:$T$400,SF_Output!$AC$1:$AC$400,_xlfn.TEXTJOIN(",",TRUE,$B46:$E46),SF_Output!$Q$1:$Q$400,"yearly")/R46))))</f>
        <v/>
      </c>
      <c r="T46" s="6">
        <f t="shared" si="3"/>
        <v>0</v>
      </c>
      <c r="V46" s="6" cm="1">
        <f t="array" ref="V46">_xlfn.IFS(B46="","",AND(B46&lt;&gt;"",H46=SF_Output!$Y$2,SUMIFS(SF_Output!$T$1:$T$400,SF_Output!$AC$1:$AC$400,_xlfn.TEXTJOIN(",",TRUE,B46:E46),SF_Output!$Q$1:$Q$400,"monthly")=0),(SUMIFS(SF_Output!$F$1:$F$400,SF_Output!$AC$1:$AC$400,_xlfn.TEXTJOIN(",",TRUE,B46:E46),SF_Output!$Q$1:$Q$400,"monthly")+SUMIFS(SF_Output!$G$1:$G$400,SF_Output!$AC$1:$AC$400,_xlfn.TEXTJOIN(",",TRUE,B46:E46),SF_Output!$Q$1:$Q$400,"monthly"))*H46,AND(B46&lt;&gt;"",H46=SF_Output!$Y$2,SUMIFS(SF_Output!$T$1:$T$400,SF_Output!$AC$1:$AC$400,_xlfn.TEXTJOIN(",",TRUE,B46:E46),SF_Output!$Q$1:$Q$400,"monthly")&lt;&gt;0),SUMIFS(SF_Output!$S$1:$S$400,SF_Output!$AC$1:$AC$400,_xlfn.TEXTJOIN(",",TRUE,B46:E46),SF_Output!$Q$1:$Q$400,"monthly"),AND(B46&lt;&gt;"",H46&lt;&gt;SF_Output!$Y$2),SUMIFS(SF_Output!$S$1:$S$400,SF_Output!$AC$1:$AC$400,_xlfn.TEXTJOIN(",",TRUE,B46:E46),SF_Output!$Q$1:$Q$400,"monthly"))</f>
        <v>0</v>
      </c>
      <c r="W46" s="112" t="str" cm="1">
        <f t="array" ref="W46">_xlfn.IFS(OR(B46=0,B46="",V46=0),"",AF46&lt;&gt;"exclusion",MAX($W$9,$W$7,(-(SUMIFS(SF_Output!$T$1:$T$400,SF_Output!$AC$1:$AC$400,_xlfn.TEXTJOIN(",",TRUE,$B46:$E46),SF_Output!$Q$1:$Q$400,"monthly"))/V46)),AF46="exclusion",-(SUMIFS(SF_Output!$T$1:$T$400,SF_Output!$AC$1:$AC$400,_xlfn.TEXTJOIN(",",TRUE,$B46:$E46),SF_Output!$Q$1:$Q$400,"monthly"))/V46)</f>
        <v/>
      </c>
      <c r="X46" s="6" cm="1">
        <f t="array" ref="X46">IFERROR(_xlfn.IFS(V46=0,0,V46="","",W46=0,V46,OR(V46&lt;&gt;0,V46&lt;&gt;""),H46*I46),V46*(1-W46))</f>
        <v>0</v>
      </c>
      <c r="Z46" s="6">
        <f>IFERROR(IF(B46="","",SUMIFS(Billing_Fallout!H:H,Billing_Fallout!N:N,B46)),0)</f>
        <v>0</v>
      </c>
      <c r="AA46" s="6">
        <f t="shared" si="4"/>
        <v>0</v>
      </c>
      <c r="AB46" s="6">
        <f>IFERROR(IF(B46="","",SUMIFS(Billing_Fallout!J:J,Billing_Fallout!N:N,B46)),0)</f>
        <v>0</v>
      </c>
      <c r="AD46" s="6">
        <f t="shared" si="5"/>
        <v>0</v>
      </c>
      <c r="AF46" t="str">
        <f>IFERROR(INDEX(H_Tables!$B$1:$B$1500,MATCH(INDEX(SF_Output!$J$1:$J$400,MATCH(B46,SF_Output!$M$1:$M$400,0)),H_Tables!$A$1:$A$1500,0)),"")</f>
        <v>Exclusion</v>
      </c>
      <c r="AI46" s="119" t="str">
        <f t="shared" si="6"/>
        <v/>
      </c>
      <c r="AJ46" s="121">
        <f>IFERROR(INDEX(SF_Output!AD:AD,MATCH(_xlfn.TEXTJOIN(",",TRUE,B46:E46),SF_Output!AC1:AC400,0)),0.05)</f>
        <v>68</v>
      </c>
      <c r="AK46" t="str">
        <f>IF(SUMIFS(SF_Output!$F$1:$F$400,SF_Output!$AC$1:$AC$400,_xlfn.TEXTJOIN(",",TRUE,B46:E46))+SUMIFS(SF_Output!$G$1:$G$400,SF_Output!$AC$1:$AC$400,_xlfn.TEXTJOIN(",",TRUE,B46:E46))=0,"","PAP")</f>
        <v/>
      </c>
      <c r="AQ46" s="35"/>
      <c r="AR46" s="35" t="str" cm="1">
        <f t="array" ref="AR46">IFERROR(_xlfn.IFS(AND(E46*1=1,F46="Included"),"Change to Included",AND(E46*1=0,F46="Optional"),"Change to Optional",OR(B46="",F46="replaced"),""),"")</f>
        <v/>
      </c>
      <c r="AS46" s="35" t="str">
        <f t="shared" si="7"/>
        <v/>
      </c>
      <c r="AT46" s="35" t="str">
        <f t="shared" si="8"/>
        <v/>
      </c>
      <c r="AU46" s="35" t="str">
        <f t="shared" si="9"/>
        <v/>
      </c>
      <c r="AV46" s="35" t="str">
        <f t="shared" si="10"/>
        <v/>
      </c>
      <c r="AW46" s="35" t="str">
        <f t="shared" si="11"/>
        <v/>
      </c>
      <c r="AX46" s="35" t="str">
        <f t="shared" si="12"/>
        <v/>
      </c>
      <c r="AY46" s="35" t="str">
        <f t="shared" si="13"/>
        <v/>
      </c>
      <c r="AZ46" s="35" t="str">
        <f t="shared" si="14"/>
        <v/>
      </c>
      <c r="BA46" s="35" t="str">
        <f t="shared" si="15"/>
        <v/>
      </c>
      <c r="BB46" s="35" t="str">
        <f t="shared" si="16"/>
        <v/>
      </c>
      <c r="BC46" s="35"/>
      <c r="BE46" s="35">
        <f ca="1">INDEX(SF_Output!$AA$2:$AA$400,MATCH($B46,SF_Output!$M$2:$M$400,0))</f>
        <v>3</v>
      </c>
      <c r="BF46" s="35">
        <f ca="1">INDEX(SF_Output!$AB$2:$AB$400,MATCH($B46,SF_Output!$M$2:$M$400,0))</f>
        <v>1</v>
      </c>
    </row>
    <row r="47" spans="2:58" x14ac:dyDescent="0.25">
      <c r="B47" t="s">
        <v>604</v>
      </c>
      <c r="C47" t="s">
        <v>2122</v>
      </c>
      <c r="D47" t="s">
        <v>2123</v>
      </c>
      <c r="E47" t="s">
        <v>2124</v>
      </c>
      <c r="F47" s="116" t="str">
        <f t="shared" si="0"/>
        <v>Included</v>
      </c>
      <c r="G47" t="str">
        <f>IF(B47="","",INDEX(SF_Output!$K$1:$K$400,MATCH(B47,SF_Output!$M$1:$M$400,0)))</f>
        <v>Electronic Statements Interactive(ESI)</v>
      </c>
      <c r="H47" cm="1">
        <f t="array" ref="H47">_xlfn.IFS(B47="","",(SUMIFS(SF_Output!$F$1:$F$400,SF_Output!$AC$1:$AC$400,_xlfn.TEXTJOIN(",",TRUE,B47:E47))+SUMIFS(SF_Output!$G$1:$G$400,SF_Output!$AC$1:$AC$400,_xlfn.TEXTJOIN(",",TRUE,B47:E47)))&lt;&gt;0,SF_Output!$Y$2,INDEX(SF_Output!$F$1:$F$400,MATCH(_xlfn.TEXTJOIN(",",TRUE,B47:E47),SF_Output!$AC$1:$AC$400,0))=0,INDEX(SF_Output!$R$1:$R$400,MATCH(_xlfn.TEXTJOIN(",",TRUE,B47:E47),SF_Output!$AC$1:$AC$400,0)))</f>
        <v>5000</v>
      </c>
      <c r="I47" s="125">
        <f>IFERROR(IF(AND(H47&gt;1,H47&lt;&gt;""),ROUND(SUMIFS(SF_Output!$S$1:$S$400,SF_Output!$AC$1:$AC$400,_xlfn.TEXTJOIN(",",TRUE,B47:E47),SF_Output!$Q$1:$Q$400,"monthly")*(1-W47)/H47,4),""),"")</f>
        <v>2.1000000000000001E-2</v>
      </c>
      <c r="J47" s="6">
        <f>IF(B47="","",SUMIFS(SF_Output!$S$1:$S$400,SF_Output!$AC$1:$AC$400,_xlfn.TEXTJOIN(",",TRUE,B47:E47),SF_Output!$Q$1:$Q$400,"One Time",SF_Output!$L$1:$L$400,"license fee")+SUMIFS(SF_Output!$S$1:$S$400,SF_Output!$AC$1:$AC$400,_xlfn.TEXTJOIN(",",TRUE,B47:E47),SF_Output!$Q$1:$Q$400,"One Time",SF_Output!$L$1:$L$400,"software license")+SUMIFS(SF_Output!$S$1:$S$400,SF_Output!$AC$1:$AC$400,_xlfn.TEXTJOIN(",",TRUE,B47:E47),SF_Output!$Q$1:$Q$400,"One Time",SF_Output!$L$1:$L$400,"hardware"))</f>
        <v>0</v>
      </c>
      <c r="K47" s="112" t="str">
        <f>IF(OR(B47=0,B47="",G47="hardware",J47=0),"",IF(AF47&lt;&gt;"exclusion",MAX(K$9,-((SUMIFS(SF_Output!$T$1:$T$400,SF_Output!$AC$1:$AC$400,_xlfn.TEXTJOIN(",",TRUE,$B47:$E47),SF_Output!$Q$1:$Q$400,"One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license"))/J47)))</f>
        <v/>
      </c>
      <c r="L47" s="6">
        <f t="shared" si="1"/>
        <v>0</v>
      </c>
      <c r="N47" s="6">
        <f>IF(B47="","",SUMIFS(SF_Output!$S$1:$S$400,SF_Output!$AC$1:$AC$400,_xlfn.TEXTJOIN(",",TRUE,B47:E47),SF_Output!$Q$1:$Q$400,"One Time",SF_Output!$L$1:$L$400,"professional service"))</f>
        <v>1750</v>
      </c>
      <c r="O47" s="112">
        <f>IF(OR(B47=0,B47="",N47=0),"",IF(AF47&lt;&gt;"exclusion",MAX(O$9,-(SUMIFS(SF_Output!$T$1:$T$400,SF_Output!$AC$1:$AC$400,_xlfn.TEXTJOIN(",",TRUE,$B47:$E47),SF_Output!$Q$1:$Q$400,"One Time",SF_Output!$L$1:$L$400,"professional service"))/N47),-((SUMIFS(SF_Output!$T$1:$T$400,SF_Output!$AC$1:$AC$400,_xlfn.TEXTJOIN(",",TRUE,$B47:$E47),SF_Output!$Q$1:$Q$400,"One Time",SF_Output!$L$1:$L$400,"professional service")/N47))))</f>
        <v>1</v>
      </c>
      <c r="P47" s="6">
        <f t="shared" si="2"/>
        <v>0</v>
      </c>
      <c r="R47" s="6">
        <f>IF(B47="","",SUMIFS(SF_Output!$S$1:$S$400,SF_Output!$AC$1:$AC$400,_xlfn.TEXTJOIN(",",TRUE,B47:E47),SF_Output!$Q$1:$Q$400,"yearly")+SUMIFS(SF_Output!$S$1:$S$400,SF_Output!$AC$1:$AC$400,_xlfn.TEXTJOIN(",",TRUE,B47:E47),SF_Output!$Q$1:$Q$400,"quarterly")*4)</f>
        <v>0</v>
      </c>
      <c r="S47" s="112" t="str">
        <f>IF(OR(B47=0,B47="",G47="hardware",R47=0),"",IF(AF47&lt;&gt;"exclusion",MAX(S$9,-(SUMIFS(SF_Output!$T$1:$T$400,SF_Output!$AC$1:$AC$400,_xlfn.TEXTJOIN(",",TRUE,$B47:$E47),SF_Output!$Q$1:$Q$400,"yearly"))/R47),-((SUMIFS(SF_Output!$T$1:$T$400,SF_Output!$AC$1:$AC$400,_xlfn.TEXTJOIN(",",TRUE,$B47:$E47),SF_Output!$Q$1:$Q$400,"yearly")/R47))))</f>
        <v/>
      </c>
      <c r="T47" s="6">
        <f t="shared" si="3"/>
        <v>0</v>
      </c>
      <c r="V47" s="6" cm="1">
        <f t="array" ref="V47">_xlfn.IFS(B47="","",AND(B47&lt;&gt;"",H47=SF_Output!$Y$2,SUMIFS(SF_Output!$T$1:$T$400,SF_Output!$AC$1:$AC$400,_xlfn.TEXTJOIN(",",TRUE,B47:E47),SF_Output!$Q$1:$Q$400,"monthly")=0),(SUMIFS(SF_Output!$F$1:$F$400,SF_Output!$AC$1:$AC$400,_xlfn.TEXTJOIN(",",TRUE,B47:E47),SF_Output!$Q$1:$Q$400,"monthly")+SUMIFS(SF_Output!$G$1:$G$400,SF_Output!$AC$1:$AC$400,_xlfn.TEXTJOIN(",",TRUE,B47:E47),SF_Output!$Q$1:$Q$400,"monthly"))*H47,AND(B47&lt;&gt;"",H47=SF_Output!$Y$2,SUMIFS(SF_Output!$T$1:$T$400,SF_Output!$AC$1:$AC$400,_xlfn.TEXTJOIN(",",TRUE,B47:E47),SF_Output!$Q$1:$Q$400,"monthly")&lt;&gt;0),SUMIFS(SF_Output!$S$1:$S$400,SF_Output!$AC$1:$AC$400,_xlfn.TEXTJOIN(",",TRUE,B47:E47),SF_Output!$Q$1:$Q$400,"monthly"),AND(B47&lt;&gt;"",H47&lt;&gt;SF_Output!$Y$2),SUMIFS(SF_Output!$S$1:$S$400,SF_Output!$AC$1:$AC$400,_xlfn.TEXTJOIN(",",TRUE,B47:E47),SF_Output!$Q$1:$Q$400,"monthly"))</f>
        <v>140</v>
      </c>
      <c r="W47" s="112" cm="1">
        <f t="array" ref="W47">_xlfn.IFS(OR(B47=0,B47="",V47=0),"",AF47&lt;&gt;"exclusion",MAX($W$9,$W$7,(-(SUMIFS(SF_Output!$T$1:$T$400,SF_Output!$AC$1:$AC$400,_xlfn.TEXTJOIN(",",TRUE,$B47:$E47),SF_Output!$Q$1:$Q$400,"monthly"))/V47)),AF47="exclusion",-(SUMIFS(SF_Output!$T$1:$T$400,SF_Output!$AC$1:$AC$400,_xlfn.TEXTJOIN(",",TRUE,$B47:$E47),SF_Output!$Q$1:$Q$400,"monthly"))/V47)</f>
        <v>0.25</v>
      </c>
      <c r="X47" s="6" cm="1">
        <f t="array" ref="X47">IFERROR(_xlfn.IFS(V47=0,0,V47="","",W47=0,V47,OR(V47&lt;&gt;0,V47&lt;&gt;""),H47*I47),V47*(1-W47))</f>
        <v>105</v>
      </c>
      <c r="Z47" s="6">
        <f>IFERROR(IF(B47="","",SUMIFS(Billing_Fallout!H:H,Billing_Fallout!N:N,B47)),0)</f>
        <v>0</v>
      </c>
      <c r="AA47" s="6">
        <f t="shared" si="4"/>
        <v>0</v>
      </c>
      <c r="AB47" s="6">
        <f>IFERROR(IF(B47="","",SUMIFS(Billing_Fallout!J:J,Billing_Fallout!N:N,B47)),0)</f>
        <v>0</v>
      </c>
      <c r="AD47" s="6">
        <f t="shared" si="5"/>
        <v>105</v>
      </c>
      <c r="AF47" t="str">
        <f>IFERROR(INDEX(H_Tables!$B$1:$B$1500,MATCH(INDEX(SF_Output!$J$1:$J$400,MATCH(B47,SF_Output!$M$1:$M$400,0)),H_Tables!$A$1:$A$1500,0)),"")</f>
        <v/>
      </c>
      <c r="AI47" s="119" t="str">
        <f t="shared" si="6"/>
        <v/>
      </c>
      <c r="AJ47" s="121">
        <f>IFERROR(INDEX(SF_Output!AD:AD,MATCH(_xlfn.TEXTJOIN(",",TRUE,B47:E47),SF_Output!AC1:AC400,0)),0.05)</f>
        <v>77</v>
      </c>
      <c r="AK47" t="str">
        <f>IF(SUMIFS(SF_Output!$F$1:$F$400,SF_Output!$AC$1:$AC$400,_xlfn.TEXTJOIN(",",TRUE,B47:E47))+SUMIFS(SF_Output!$G$1:$G$400,SF_Output!$AC$1:$AC$400,_xlfn.TEXTJOIN(",",TRUE,B47:E47))=0,"","PAP")</f>
        <v>PAP</v>
      </c>
      <c r="AQ47" s="35"/>
      <c r="AR47" s="35" t="str" cm="1">
        <f t="array" ref="AR47">IFERROR(_xlfn.IFS(AND(E47*1=1,F47="Included"),"Change to Included",AND(E47*1=0,F47="Optional"),"Change to Optional",OR(B47="",F47="replaced"),""),"")</f>
        <v/>
      </c>
      <c r="AS47" s="35" t="str">
        <f t="shared" si="7"/>
        <v/>
      </c>
      <c r="AT47" s="35" t="str">
        <f t="shared" si="8"/>
        <v/>
      </c>
      <c r="AU47" s="35" t="str">
        <f t="shared" si="9"/>
        <v/>
      </c>
      <c r="AV47" s="35" t="str">
        <f t="shared" si="10"/>
        <v/>
      </c>
      <c r="AW47" s="35" t="str">
        <f t="shared" si="11"/>
        <v/>
      </c>
      <c r="AX47" s="35" t="str">
        <f t="shared" si="12"/>
        <v/>
      </c>
      <c r="AY47" s="35" t="str">
        <f t="shared" si="13"/>
        <v/>
      </c>
      <c r="AZ47" s="35" t="str">
        <f t="shared" si="14"/>
        <v/>
      </c>
      <c r="BA47" s="35" t="str">
        <f t="shared" si="15"/>
        <v/>
      </c>
      <c r="BB47" s="35" t="str">
        <f t="shared" si="16"/>
        <v/>
      </c>
      <c r="BC47" s="35"/>
      <c r="BE47" s="35">
        <f ca="1">INDEX(SF_Output!$AA$2:$AA$400,MATCH($B47,SF_Output!$M$2:$M$400,0))</f>
        <v>3</v>
      </c>
      <c r="BF47" s="35">
        <f ca="1">INDEX(SF_Output!$AB$2:$AB$400,MATCH($B47,SF_Output!$M$2:$M$400,0))</f>
        <v>2</v>
      </c>
    </row>
    <row r="48" spans="2:58" x14ac:dyDescent="0.25">
      <c r="B48" t="s">
        <v>1150</v>
      </c>
      <c r="C48" t="s">
        <v>2122</v>
      </c>
      <c r="D48" t="s">
        <v>2164</v>
      </c>
      <c r="E48" t="s">
        <v>2124</v>
      </c>
      <c r="F48" s="116" t="str">
        <f t="shared" si="0"/>
        <v>Included</v>
      </c>
      <c r="G48" t="str">
        <f>IF(B48="","",INDEX(SF_Output!$K$1:$K$400,MATCH(B48,SF_Output!$M$1:$M$400,0)))</f>
        <v>Intuit</v>
      </c>
      <c r="H48" cm="1">
        <f t="array" ref="H48">_xlfn.IFS(B48="","",(SUMIFS(SF_Output!$F$1:$F$400,SF_Output!$AC$1:$AC$400,_xlfn.TEXTJOIN(",",TRUE,B48:E48))+SUMIFS(SF_Output!$G$1:$G$400,SF_Output!$AC$1:$AC$400,_xlfn.TEXTJOIN(",",TRUE,B48:E48)))&lt;&gt;0,SF_Output!$Y$2,INDEX(SF_Output!$F$1:$F$400,MATCH(_xlfn.TEXTJOIN(",",TRUE,B48:E48),SF_Output!$AC$1:$AC$400,0))=0,INDEX(SF_Output!$R$1:$R$400,MATCH(_xlfn.TEXTJOIN(",",TRUE,B48:E48),SF_Output!$AC$1:$AC$400,0)))</f>
        <v>1</v>
      </c>
      <c r="I48" s="125" t="str">
        <f>IFERROR(IF(AND(H48&gt;1,H48&lt;&gt;""),ROUND(SUMIFS(SF_Output!$S$1:$S$400,SF_Output!$AC$1:$AC$400,_xlfn.TEXTJOIN(",",TRUE,B48:E48),SF_Output!$Q$1:$Q$400,"monthly")*(1-W48)/H48,4),""),"")</f>
        <v/>
      </c>
      <c r="J48" s="6">
        <f>IF(B48="","",SUMIFS(SF_Output!$S$1:$S$400,SF_Output!$AC$1:$AC$400,_xlfn.TEXTJOIN(",",TRUE,B48:E48),SF_Output!$Q$1:$Q$400,"One Time",SF_Output!$L$1:$L$400,"license fee")+SUMIFS(SF_Output!$S$1:$S$400,SF_Output!$AC$1:$AC$400,_xlfn.TEXTJOIN(",",TRUE,B48:E48),SF_Output!$Q$1:$Q$400,"One Time",SF_Output!$L$1:$L$400,"software license")+SUMIFS(SF_Output!$S$1:$S$400,SF_Output!$AC$1:$AC$400,_xlfn.TEXTJOIN(",",TRUE,B48:E48),SF_Output!$Q$1:$Q$400,"One Time",SF_Output!$L$1:$L$400,"hardware"))</f>
        <v>0</v>
      </c>
      <c r="K48" s="112" t="str">
        <f>IF(OR(B48=0,B48="",G48="hardware",J48=0),"",IF(AF48&lt;&gt;"exclusion",MAX(K$9,-((SUMIFS(SF_Output!$T$1:$T$400,SF_Output!$AC$1:$AC$400,_xlfn.TEXTJOIN(",",TRUE,$B48:$E48),SF_Output!$Q$1:$Q$400,"One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license"))/J48)))</f>
        <v/>
      </c>
      <c r="L48" s="6">
        <f t="shared" si="1"/>
        <v>0</v>
      </c>
      <c r="N48" s="6">
        <f>IF(B48="","",SUMIFS(SF_Output!$S$1:$S$400,SF_Output!$AC$1:$AC$400,_xlfn.TEXTJOIN(",",TRUE,B48:E48),SF_Output!$Q$1:$Q$400,"One Time",SF_Output!$L$1:$L$400,"professional service"))</f>
        <v>0</v>
      </c>
      <c r="O48" s="112" t="str">
        <f>IF(OR(B48=0,B48="",N48=0),"",IF(AF48&lt;&gt;"exclusion",MAX(O$9,-(SUMIFS(SF_Output!$T$1:$T$400,SF_Output!$AC$1:$AC$400,_xlfn.TEXTJOIN(",",TRUE,$B48:$E48),SF_Output!$Q$1:$Q$400,"One Time",SF_Output!$L$1:$L$400,"professional service"))/N48),-((SUMIFS(SF_Output!$T$1:$T$400,SF_Output!$AC$1:$AC$400,_xlfn.TEXTJOIN(",",TRUE,$B48:$E48),SF_Output!$Q$1:$Q$400,"One Time",SF_Output!$L$1:$L$400,"professional service")/N48))))</f>
        <v/>
      </c>
      <c r="P48" s="6">
        <f t="shared" si="2"/>
        <v>0</v>
      </c>
      <c r="R48" s="6">
        <f>IF(B48="","",SUMIFS(SF_Output!$S$1:$S$400,SF_Output!$AC$1:$AC$400,_xlfn.TEXTJOIN(",",TRUE,B48:E48),SF_Output!$Q$1:$Q$400,"yearly")+SUMIFS(SF_Output!$S$1:$S$400,SF_Output!$AC$1:$AC$400,_xlfn.TEXTJOIN(",",TRUE,B48:E48),SF_Output!$Q$1:$Q$400,"quarterly")*4)</f>
        <v>0</v>
      </c>
      <c r="S48" s="112" t="str">
        <f>IF(OR(B48=0,B48="",G48="hardware",R48=0),"",IF(AF48&lt;&gt;"exclusion",MAX(S$9,-(SUMIFS(SF_Output!$T$1:$T$400,SF_Output!$AC$1:$AC$400,_xlfn.TEXTJOIN(",",TRUE,$B48:$E48),SF_Output!$Q$1:$Q$400,"yearly"))/R48),-((SUMIFS(SF_Output!$T$1:$T$400,SF_Output!$AC$1:$AC$400,_xlfn.TEXTJOIN(",",TRUE,$B48:$E48),SF_Output!$Q$1:$Q$400,"yearly")/R48))))</f>
        <v/>
      </c>
      <c r="T48" s="6">
        <f t="shared" si="3"/>
        <v>0</v>
      </c>
      <c r="V48" s="6" cm="1">
        <f t="array" ref="V48">_xlfn.IFS(B48="","",AND(B48&lt;&gt;"",H48=SF_Output!$Y$2,SUMIFS(SF_Output!$T$1:$T$400,SF_Output!$AC$1:$AC$400,_xlfn.TEXTJOIN(",",TRUE,B48:E48),SF_Output!$Q$1:$Q$400,"monthly")=0),(SUMIFS(SF_Output!$F$1:$F$400,SF_Output!$AC$1:$AC$400,_xlfn.TEXTJOIN(",",TRUE,B48:E48),SF_Output!$Q$1:$Q$400,"monthly")+SUMIFS(SF_Output!$G$1:$G$400,SF_Output!$AC$1:$AC$400,_xlfn.TEXTJOIN(",",TRUE,B48:E48),SF_Output!$Q$1:$Q$400,"monthly"))*H48,AND(B48&lt;&gt;"",H48=SF_Output!$Y$2,SUMIFS(SF_Output!$T$1:$T$400,SF_Output!$AC$1:$AC$400,_xlfn.TEXTJOIN(",",TRUE,B48:E48),SF_Output!$Q$1:$Q$400,"monthly")&lt;&gt;0),SUMIFS(SF_Output!$S$1:$S$400,SF_Output!$AC$1:$AC$400,_xlfn.TEXTJOIN(",",TRUE,B48:E48),SF_Output!$Q$1:$Q$400,"monthly"),AND(B48&lt;&gt;"",H48&lt;&gt;SF_Output!$Y$2),SUMIFS(SF_Output!$S$1:$S$400,SF_Output!$AC$1:$AC$400,_xlfn.TEXTJOIN(",",TRUE,B48:E48),SF_Output!$Q$1:$Q$400,"monthly"))</f>
        <v>0</v>
      </c>
      <c r="W48" s="112" t="str" cm="1">
        <f t="array" ref="W48">_xlfn.IFS(OR(B48=0,B48="",V48=0),"",AF48&lt;&gt;"exclusion",MAX($W$9,$W$7,(-(SUMIFS(SF_Output!$T$1:$T$400,SF_Output!$AC$1:$AC$400,_xlfn.TEXTJOIN(",",TRUE,$B48:$E48),SF_Output!$Q$1:$Q$400,"monthly"))/V48)),AF48="exclusion",-(SUMIFS(SF_Output!$T$1:$T$400,SF_Output!$AC$1:$AC$400,_xlfn.TEXTJOIN(",",TRUE,$B48:$E48),SF_Output!$Q$1:$Q$400,"monthly"))/V48)</f>
        <v/>
      </c>
      <c r="X48" s="6" cm="1">
        <f t="array" ref="X48">IFERROR(_xlfn.IFS(V48=0,0,V48="","",W48=0,V48,OR(V48&lt;&gt;0,V48&lt;&gt;""),H48*I48),V48*(1-W48))</f>
        <v>0</v>
      </c>
      <c r="Z48" s="6">
        <f>IFERROR(IF(B48="","",SUMIFS(Billing_Fallout!H:H,Billing_Fallout!N:N,B48)),0)</f>
        <v>0</v>
      </c>
      <c r="AA48" s="6">
        <f t="shared" si="4"/>
        <v>0</v>
      </c>
      <c r="AB48" s="6">
        <f>IFERROR(IF(B48="","",SUMIFS(Billing_Fallout!J:J,Billing_Fallout!N:N,B48)),0)</f>
        <v>0</v>
      </c>
      <c r="AD48" s="6">
        <f t="shared" si="5"/>
        <v>0</v>
      </c>
      <c r="AF48" t="str">
        <f>IFERROR(INDEX(H_Tables!$B$1:$B$1500,MATCH(INDEX(SF_Output!$J$1:$J$400,MATCH(B48,SF_Output!$M$1:$M$400,0)),H_Tables!$A$1:$A$1500,0)),"")</f>
        <v>Exclusion</v>
      </c>
      <c r="AI48" s="119" t="str">
        <f t="shared" si="6"/>
        <v/>
      </c>
      <c r="AJ48" s="121">
        <f>IFERROR(INDEX(SF_Output!AD:AD,MATCH(_xlfn.TEXTJOIN(",",TRUE,B48:E48),SF_Output!AC1:AC400,0)),0.05)</f>
        <v>79</v>
      </c>
      <c r="AK48" t="str">
        <f>IF(SUMIFS(SF_Output!$F$1:$F$400,SF_Output!$AC$1:$AC$400,_xlfn.TEXTJOIN(",",TRUE,B48:E48))+SUMIFS(SF_Output!$G$1:$G$400,SF_Output!$AC$1:$AC$400,_xlfn.TEXTJOIN(",",TRUE,B48:E48))=0,"","PAP")</f>
        <v/>
      </c>
      <c r="AQ48" s="35"/>
      <c r="AR48" s="35" t="str" cm="1">
        <f t="array" ref="AR48">IFERROR(_xlfn.IFS(AND(E48*1=1,F48="Included"),"Change to Included",AND(E48*1=0,F48="Optional"),"Change to Optional",OR(B48="",F48="replaced"),""),"")</f>
        <v/>
      </c>
      <c r="AS48" s="35" t="str">
        <f t="shared" si="7"/>
        <v/>
      </c>
      <c r="AT48" s="35" t="str">
        <f t="shared" si="8"/>
        <v/>
      </c>
      <c r="AU48" s="35" t="str">
        <f t="shared" si="9"/>
        <v/>
      </c>
      <c r="AV48" s="35" t="str">
        <f t="shared" si="10"/>
        <v/>
      </c>
      <c r="AW48" s="35" t="str">
        <f t="shared" si="11"/>
        <v/>
      </c>
      <c r="AX48" s="35" t="str">
        <f t="shared" si="12"/>
        <v/>
      </c>
      <c r="AY48" s="35" t="str">
        <f t="shared" si="13"/>
        <v/>
      </c>
      <c r="AZ48" s="35" t="str">
        <f t="shared" si="14"/>
        <v/>
      </c>
      <c r="BA48" s="35" t="str">
        <f t="shared" si="15"/>
        <v/>
      </c>
      <c r="BB48" s="35" t="str">
        <f t="shared" si="16"/>
        <v/>
      </c>
      <c r="BC48" s="35"/>
      <c r="BE48" s="35">
        <f ca="1">INDEX(SF_Output!$AA$2:$AA$400,MATCH($B48,SF_Output!$M$2:$M$400,0))</f>
        <v>3</v>
      </c>
      <c r="BF48" s="35">
        <f ca="1">INDEX(SF_Output!$AB$2:$AB$400,MATCH($B48,SF_Output!$M$2:$M$400,0))</f>
        <v>3</v>
      </c>
    </row>
    <row r="49" spans="2:58" x14ac:dyDescent="0.25">
      <c r="B49" t="s">
        <v>1154</v>
      </c>
      <c r="C49" t="s">
        <v>2122</v>
      </c>
      <c r="D49" t="s">
        <v>2164</v>
      </c>
      <c r="E49" t="s">
        <v>2124</v>
      </c>
      <c r="F49" s="116" t="str">
        <f t="shared" si="0"/>
        <v>Included</v>
      </c>
      <c r="G49" t="str">
        <f>IF(B49="","",INDEX(SF_Output!$K$1:$K$400,MATCH(B49,SF_Output!$M$1:$M$400,0)))</f>
        <v>Intuit</v>
      </c>
      <c r="H49" cm="1">
        <f t="array" ref="H49">_xlfn.IFS(B49="","",(SUMIFS(SF_Output!$F$1:$F$400,SF_Output!$AC$1:$AC$400,_xlfn.TEXTJOIN(",",TRUE,B49:E49))+SUMIFS(SF_Output!$G$1:$G$400,SF_Output!$AC$1:$AC$400,_xlfn.TEXTJOIN(",",TRUE,B49:E49)))&lt;&gt;0,SF_Output!$Y$2,INDEX(SF_Output!$F$1:$F$400,MATCH(_xlfn.TEXTJOIN(",",TRUE,B49:E49),SF_Output!$AC$1:$AC$400,0))=0,INDEX(SF_Output!$R$1:$R$400,MATCH(_xlfn.TEXTJOIN(",",TRUE,B49:E49),SF_Output!$AC$1:$AC$400,0)))</f>
        <v>1</v>
      </c>
      <c r="I49" s="125" t="str">
        <f>IFERROR(IF(AND(H49&gt;1,H49&lt;&gt;""),ROUND(SUMIFS(SF_Output!$S$1:$S$400,SF_Output!$AC$1:$AC$400,_xlfn.TEXTJOIN(",",TRUE,B49:E49),SF_Output!$Q$1:$Q$400,"monthly")*(1-W49)/H49,4),""),"")</f>
        <v/>
      </c>
      <c r="J49" s="6">
        <f>IF(B49="","",SUMIFS(SF_Output!$S$1:$S$400,SF_Output!$AC$1:$AC$400,_xlfn.TEXTJOIN(",",TRUE,B49:E49),SF_Output!$Q$1:$Q$400,"One Time",SF_Output!$L$1:$L$400,"license fee")+SUMIFS(SF_Output!$S$1:$S$400,SF_Output!$AC$1:$AC$400,_xlfn.TEXTJOIN(",",TRUE,B49:E49),SF_Output!$Q$1:$Q$400,"One Time",SF_Output!$L$1:$L$400,"software license")+SUMIFS(SF_Output!$S$1:$S$400,SF_Output!$AC$1:$AC$400,_xlfn.TEXTJOIN(",",TRUE,B49:E49),SF_Output!$Q$1:$Q$400,"One Time",SF_Output!$L$1:$L$400,"hardware"))</f>
        <v>0</v>
      </c>
      <c r="K49" s="112" t="str">
        <f>IF(OR(B49=0,B49="",G49="hardware",J49=0),"",IF(AF49&lt;&gt;"exclusion",MAX(K$9,-((SUMIFS(SF_Output!$T$1:$T$400,SF_Output!$AC$1:$AC$400,_xlfn.TEXTJOIN(",",TRUE,$B49:$E49),SF_Output!$Q$1:$Q$400,"One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license"))/J49)))</f>
        <v/>
      </c>
      <c r="L49" s="6">
        <f t="shared" si="1"/>
        <v>0</v>
      </c>
      <c r="N49" s="6">
        <f>IF(B49="","",SUMIFS(SF_Output!$S$1:$S$400,SF_Output!$AC$1:$AC$400,_xlfn.TEXTJOIN(",",TRUE,B49:E49),SF_Output!$Q$1:$Q$400,"One Time",SF_Output!$L$1:$L$400,"professional service"))</f>
        <v>0</v>
      </c>
      <c r="O49" s="112" t="str">
        <f>IF(OR(B49=0,B49="",N49=0),"",IF(AF49&lt;&gt;"exclusion",MAX(O$9,-(SUMIFS(SF_Output!$T$1:$T$400,SF_Output!$AC$1:$AC$400,_xlfn.TEXTJOIN(",",TRUE,$B49:$E49),SF_Output!$Q$1:$Q$400,"One Time",SF_Output!$L$1:$L$400,"professional service"))/N49),-((SUMIFS(SF_Output!$T$1:$T$400,SF_Output!$AC$1:$AC$400,_xlfn.TEXTJOIN(",",TRUE,$B49:$E49),SF_Output!$Q$1:$Q$400,"One Time",SF_Output!$L$1:$L$400,"professional service")/N49))))</f>
        <v/>
      </c>
      <c r="P49" s="6">
        <f t="shared" si="2"/>
        <v>0</v>
      </c>
      <c r="R49" s="6">
        <f>IF(B49="","",SUMIFS(SF_Output!$S$1:$S$400,SF_Output!$AC$1:$AC$400,_xlfn.TEXTJOIN(",",TRUE,B49:E49),SF_Output!$Q$1:$Q$400,"yearly")+SUMIFS(SF_Output!$S$1:$S$400,SF_Output!$AC$1:$AC$400,_xlfn.TEXTJOIN(",",TRUE,B49:E49),SF_Output!$Q$1:$Q$400,"quarterly")*4)</f>
        <v>500</v>
      </c>
      <c r="S49" s="112">
        <f>IF(OR(B49=0,B49="",G49="hardware",R49=0),"",IF(AF49&lt;&gt;"exclusion",MAX(S$9,-(SUMIFS(SF_Output!$T$1:$T$400,SF_Output!$AC$1:$AC$400,_xlfn.TEXTJOIN(",",TRUE,$B49:$E49),SF_Output!$Q$1:$Q$400,"yearly"))/R49),-((SUMIFS(SF_Output!$T$1:$T$400,SF_Output!$AC$1:$AC$400,_xlfn.TEXTJOIN(",",TRUE,$B49:$E49),SF_Output!$Q$1:$Q$400,"yearly")/R49))))</f>
        <v>0</v>
      </c>
      <c r="T49" s="6">
        <f t="shared" si="3"/>
        <v>500</v>
      </c>
      <c r="V49" s="6" cm="1">
        <f t="array" ref="V49">_xlfn.IFS(B49="","",AND(B49&lt;&gt;"",H49=SF_Output!$Y$2,SUMIFS(SF_Output!$T$1:$T$400,SF_Output!$AC$1:$AC$400,_xlfn.TEXTJOIN(",",TRUE,B49:E49),SF_Output!$Q$1:$Q$400,"monthly")=0),(SUMIFS(SF_Output!$F$1:$F$400,SF_Output!$AC$1:$AC$400,_xlfn.TEXTJOIN(",",TRUE,B49:E49),SF_Output!$Q$1:$Q$400,"monthly")+SUMIFS(SF_Output!$G$1:$G$400,SF_Output!$AC$1:$AC$400,_xlfn.TEXTJOIN(",",TRUE,B49:E49),SF_Output!$Q$1:$Q$400,"monthly"))*H49,AND(B49&lt;&gt;"",H49=SF_Output!$Y$2,SUMIFS(SF_Output!$T$1:$T$400,SF_Output!$AC$1:$AC$400,_xlfn.TEXTJOIN(",",TRUE,B49:E49),SF_Output!$Q$1:$Q$400,"monthly")&lt;&gt;0),SUMIFS(SF_Output!$S$1:$S$400,SF_Output!$AC$1:$AC$400,_xlfn.TEXTJOIN(",",TRUE,B49:E49),SF_Output!$Q$1:$Q$400,"monthly"),AND(B49&lt;&gt;"",H49&lt;&gt;SF_Output!$Y$2),SUMIFS(SF_Output!$S$1:$S$400,SF_Output!$AC$1:$AC$400,_xlfn.TEXTJOIN(",",TRUE,B49:E49),SF_Output!$Q$1:$Q$400,"monthly"))</f>
        <v>0</v>
      </c>
      <c r="W49" s="112" t="str" cm="1">
        <f t="array" ref="W49">_xlfn.IFS(OR(B49=0,B49="",V49=0),"",AF49&lt;&gt;"exclusion",MAX($W$9,$W$7,(-(SUMIFS(SF_Output!$T$1:$T$400,SF_Output!$AC$1:$AC$400,_xlfn.TEXTJOIN(",",TRUE,$B49:$E49),SF_Output!$Q$1:$Q$400,"monthly"))/V49)),AF49="exclusion",-(SUMIFS(SF_Output!$T$1:$T$400,SF_Output!$AC$1:$AC$400,_xlfn.TEXTJOIN(",",TRUE,$B49:$E49),SF_Output!$Q$1:$Q$400,"monthly"))/V49)</f>
        <v/>
      </c>
      <c r="X49" s="6" cm="1">
        <f t="array" ref="X49">IFERROR(_xlfn.IFS(V49=0,0,V49="","",W49=0,V49,OR(V49&lt;&gt;0,V49&lt;&gt;""),H49*I49),V49*(1-W49))</f>
        <v>0</v>
      </c>
      <c r="Z49" s="6">
        <f>IFERROR(IF(B49="","",SUMIFS(Billing_Fallout!H:H,Billing_Fallout!N:N,B49)),0)</f>
        <v>0</v>
      </c>
      <c r="AA49" s="6">
        <f t="shared" si="4"/>
        <v>0</v>
      </c>
      <c r="AB49" s="6">
        <f>IFERROR(IF(B49="","",SUMIFS(Billing_Fallout!J:J,Billing_Fallout!N:N,B49)),0)</f>
        <v>0</v>
      </c>
      <c r="AD49" s="6">
        <f t="shared" si="5"/>
        <v>0</v>
      </c>
      <c r="AF49" t="str">
        <f>IFERROR(INDEX(H_Tables!$B$1:$B$1500,MATCH(INDEX(SF_Output!$J$1:$J$400,MATCH(B49,SF_Output!$M$1:$M$400,0)),H_Tables!$A$1:$A$1500,0)),"")</f>
        <v>Exclusion</v>
      </c>
      <c r="AI49" s="119" t="str">
        <f t="shared" si="6"/>
        <v/>
      </c>
      <c r="AJ49" s="121">
        <f>IFERROR(INDEX(SF_Output!AD:AD,MATCH(_xlfn.TEXTJOIN(",",TRUE,B49:E49),SF_Output!AC1:AC400,0)),0.05)</f>
        <v>80</v>
      </c>
      <c r="AK49" t="str">
        <f>IF(SUMIFS(SF_Output!$F$1:$F$400,SF_Output!$AC$1:$AC$400,_xlfn.TEXTJOIN(",",TRUE,B49:E49))+SUMIFS(SF_Output!$G$1:$G$400,SF_Output!$AC$1:$AC$400,_xlfn.TEXTJOIN(",",TRUE,B49:E49))=0,"","PAP")</f>
        <v/>
      </c>
      <c r="AQ49" s="35"/>
      <c r="AR49" s="35" t="str" cm="1">
        <f t="array" ref="AR49">IFERROR(_xlfn.IFS(AND(E49*1=1,F49="Included"),"Change to Included",AND(E49*1=0,F49="Optional"),"Change to Optional",OR(B49="",F49="replaced"),""),"")</f>
        <v/>
      </c>
      <c r="AS49" s="35" t="str">
        <f t="shared" si="7"/>
        <v/>
      </c>
      <c r="AT49" s="35" t="str">
        <f t="shared" si="8"/>
        <v/>
      </c>
      <c r="AU49" s="35" t="str">
        <f t="shared" si="9"/>
        <v/>
      </c>
      <c r="AV49" s="35" t="str">
        <f t="shared" si="10"/>
        <v/>
      </c>
      <c r="AW49" s="35" t="str">
        <f t="shared" si="11"/>
        <v/>
      </c>
      <c r="AX49" s="35" t="str">
        <f t="shared" si="12"/>
        <v/>
      </c>
      <c r="AY49" s="35" t="str">
        <f t="shared" si="13"/>
        <v/>
      </c>
      <c r="AZ49" s="35" t="str">
        <f t="shared" si="14"/>
        <v/>
      </c>
      <c r="BA49" s="35" t="str">
        <f t="shared" si="15"/>
        <v/>
      </c>
      <c r="BB49" s="35" t="str">
        <f t="shared" si="16"/>
        <v/>
      </c>
      <c r="BC49" s="35"/>
      <c r="BE49" s="35">
        <f ca="1">INDEX(SF_Output!$AA$2:$AA$400,MATCH($B49,SF_Output!$M$2:$M$400,0))</f>
        <v>3</v>
      </c>
      <c r="BF49" s="35">
        <f ca="1">INDEX(SF_Output!$AB$2:$AB$400,MATCH($B49,SF_Output!$M$2:$M$400,0))</f>
        <v>3</v>
      </c>
    </row>
    <row r="50" spans="2:58" x14ac:dyDescent="0.25">
      <c r="B50" t="s">
        <v>1152</v>
      </c>
      <c r="C50" t="s">
        <v>2122</v>
      </c>
      <c r="D50" t="s">
        <v>2164</v>
      </c>
      <c r="E50" t="s">
        <v>2124</v>
      </c>
      <c r="F50" s="116" t="str">
        <f t="shared" si="0"/>
        <v>Included</v>
      </c>
      <c r="G50" t="str">
        <f>IF(B50="","",INDEX(SF_Output!$K$1:$K$400,MATCH(B50,SF_Output!$M$1:$M$400,0)))</f>
        <v>Intuit</v>
      </c>
      <c r="H50" cm="1">
        <f t="array" ref="H50">_xlfn.IFS(B50="","",(SUMIFS(SF_Output!$F$1:$F$400,SF_Output!$AC$1:$AC$400,_xlfn.TEXTJOIN(",",TRUE,B50:E50))+SUMIFS(SF_Output!$G$1:$G$400,SF_Output!$AC$1:$AC$400,_xlfn.TEXTJOIN(",",TRUE,B50:E50)))&lt;&gt;0,SF_Output!$Y$2,INDEX(SF_Output!$F$1:$F$400,MATCH(_xlfn.TEXTJOIN(",",TRUE,B50:E50),SF_Output!$AC$1:$AC$400,0))=0,INDEX(SF_Output!$R$1:$R$400,MATCH(_xlfn.TEXTJOIN(",",TRUE,B50:E50),SF_Output!$AC$1:$AC$400,0)))</f>
        <v>1</v>
      </c>
      <c r="I50" s="125" t="str">
        <f>IFERROR(IF(AND(H50&gt;1,H50&lt;&gt;""),ROUND(SUMIFS(SF_Output!$S$1:$S$400,SF_Output!$AC$1:$AC$400,_xlfn.TEXTJOIN(",",TRUE,B50:E50),SF_Output!$Q$1:$Q$400,"monthly")*(1-W50)/H50,4),""),"")</f>
        <v/>
      </c>
      <c r="J50" s="6">
        <f>IF(B50="","",SUMIFS(SF_Output!$S$1:$S$400,SF_Output!$AC$1:$AC$400,_xlfn.TEXTJOIN(",",TRUE,B50:E50),SF_Output!$Q$1:$Q$400,"One Time",SF_Output!$L$1:$L$400,"license fee")+SUMIFS(SF_Output!$S$1:$S$400,SF_Output!$AC$1:$AC$400,_xlfn.TEXTJOIN(",",TRUE,B50:E50),SF_Output!$Q$1:$Q$400,"One Time",SF_Output!$L$1:$L$400,"software license")+SUMIFS(SF_Output!$S$1:$S$400,SF_Output!$AC$1:$AC$400,_xlfn.TEXTJOIN(",",TRUE,B50:E50),SF_Output!$Q$1:$Q$400,"One Time",SF_Output!$L$1:$L$400,"hardware"))</f>
        <v>0</v>
      </c>
      <c r="K50" s="112" t="str">
        <f>IF(OR(B50=0,B50="",G50="hardware",J50=0),"",IF(AF50&lt;&gt;"exclusion",MAX(K$9,-((SUMIFS(SF_Output!$T$1:$T$400,SF_Output!$AC$1:$AC$400,_xlfn.TEXTJOIN(",",TRUE,$B50:$E50),SF_Output!$Q$1:$Q$400,"One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license"))/J50)))</f>
        <v/>
      </c>
      <c r="L50" s="6">
        <f t="shared" si="1"/>
        <v>0</v>
      </c>
      <c r="N50" s="6">
        <f>IF(B50="","",SUMIFS(SF_Output!$S$1:$S$400,SF_Output!$AC$1:$AC$400,_xlfn.TEXTJOIN(",",TRUE,B50:E50),SF_Output!$Q$1:$Q$400,"One Time",SF_Output!$L$1:$L$400,"professional service"))</f>
        <v>0</v>
      </c>
      <c r="O50" s="112" t="str">
        <f>IF(OR(B50=0,B50="",N50=0),"",IF(AF50&lt;&gt;"exclusion",MAX(O$9,-(SUMIFS(SF_Output!$T$1:$T$400,SF_Output!$AC$1:$AC$400,_xlfn.TEXTJOIN(",",TRUE,$B50:$E50),SF_Output!$Q$1:$Q$400,"One Time",SF_Output!$L$1:$L$400,"professional service"))/N50),-((SUMIFS(SF_Output!$T$1:$T$400,SF_Output!$AC$1:$AC$400,_xlfn.TEXTJOIN(",",TRUE,$B50:$E50),SF_Output!$Q$1:$Q$400,"One Time",SF_Output!$L$1:$L$400,"professional service")/N50))))</f>
        <v/>
      </c>
      <c r="P50" s="6">
        <f t="shared" si="2"/>
        <v>0</v>
      </c>
      <c r="R50" s="6">
        <f>IF(B50="","",SUMIFS(SF_Output!$S$1:$S$400,SF_Output!$AC$1:$AC$400,_xlfn.TEXTJOIN(",",TRUE,B50:E50),SF_Output!$Q$1:$Q$400,"yearly")+SUMIFS(SF_Output!$S$1:$S$400,SF_Output!$AC$1:$AC$400,_xlfn.TEXTJOIN(",",TRUE,B50:E50),SF_Output!$Q$1:$Q$400,"quarterly")*4)</f>
        <v>0</v>
      </c>
      <c r="S50" s="112" t="str">
        <f>IF(OR(B50=0,B50="",G50="hardware",R50=0),"",IF(AF50&lt;&gt;"exclusion",MAX(S$9,-(SUMIFS(SF_Output!$T$1:$T$400,SF_Output!$AC$1:$AC$400,_xlfn.TEXTJOIN(",",TRUE,$B50:$E50),SF_Output!$Q$1:$Q$400,"yearly"))/R50),-((SUMIFS(SF_Output!$T$1:$T$400,SF_Output!$AC$1:$AC$400,_xlfn.TEXTJOIN(",",TRUE,$B50:$E50),SF_Output!$Q$1:$Q$400,"yearly")/R50))))</f>
        <v/>
      </c>
      <c r="T50" s="6">
        <f t="shared" si="3"/>
        <v>0</v>
      </c>
      <c r="V50" s="6" cm="1">
        <f t="array" ref="V50">_xlfn.IFS(B50="","",AND(B50&lt;&gt;"",H50=SF_Output!$Y$2,SUMIFS(SF_Output!$T$1:$T$400,SF_Output!$AC$1:$AC$400,_xlfn.TEXTJOIN(",",TRUE,B50:E50),SF_Output!$Q$1:$Q$400,"monthly")=0),(SUMIFS(SF_Output!$F$1:$F$400,SF_Output!$AC$1:$AC$400,_xlfn.TEXTJOIN(",",TRUE,B50:E50),SF_Output!$Q$1:$Q$400,"monthly")+SUMIFS(SF_Output!$G$1:$G$400,SF_Output!$AC$1:$AC$400,_xlfn.TEXTJOIN(",",TRUE,B50:E50),SF_Output!$Q$1:$Q$400,"monthly"))*H50,AND(B50&lt;&gt;"",H50=SF_Output!$Y$2,SUMIFS(SF_Output!$T$1:$T$400,SF_Output!$AC$1:$AC$400,_xlfn.TEXTJOIN(",",TRUE,B50:E50),SF_Output!$Q$1:$Q$400,"monthly")&lt;&gt;0),SUMIFS(SF_Output!$S$1:$S$400,SF_Output!$AC$1:$AC$400,_xlfn.TEXTJOIN(",",TRUE,B50:E50),SF_Output!$Q$1:$Q$400,"monthly"),AND(B50&lt;&gt;"",H50&lt;&gt;SF_Output!$Y$2),SUMIFS(SF_Output!$S$1:$S$400,SF_Output!$AC$1:$AC$400,_xlfn.TEXTJOIN(",",TRUE,B50:E50),SF_Output!$Q$1:$Q$400,"monthly"))</f>
        <v>0</v>
      </c>
      <c r="W50" s="112" t="str" cm="1">
        <f t="array" ref="W50">_xlfn.IFS(OR(B50=0,B50="",V50=0),"",AF50&lt;&gt;"exclusion",MAX($W$9,$W$7,(-(SUMIFS(SF_Output!$T$1:$T$400,SF_Output!$AC$1:$AC$400,_xlfn.TEXTJOIN(",",TRUE,$B50:$E50),SF_Output!$Q$1:$Q$400,"monthly"))/V50)),AF50="exclusion",-(SUMIFS(SF_Output!$T$1:$T$400,SF_Output!$AC$1:$AC$400,_xlfn.TEXTJOIN(",",TRUE,$B50:$E50),SF_Output!$Q$1:$Q$400,"monthly"))/V50)</f>
        <v/>
      </c>
      <c r="X50" s="6" cm="1">
        <f t="array" ref="X50">IFERROR(_xlfn.IFS(V50=0,0,V50="","",W50=0,V50,OR(V50&lt;&gt;0,V50&lt;&gt;""),H50*I50),V50*(1-W50))</f>
        <v>0</v>
      </c>
      <c r="Z50" s="6">
        <f>IFERROR(IF(B50="","",SUMIFS(Billing_Fallout!H:H,Billing_Fallout!N:N,B50)),0)</f>
        <v>0</v>
      </c>
      <c r="AA50" s="6">
        <f t="shared" si="4"/>
        <v>0</v>
      </c>
      <c r="AB50" s="6">
        <f>IFERROR(IF(B50="","",SUMIFS(Billing_Fallout!J:J,Billing_Fallout!N:N,B50)),0)</f>
        <v>0</v>
      </c>
      <c r="AD50" s="6">
        <f t="shared" si="5"/>
        <v>0</v>
      </c>
      <c r="AF50" t="str">
        <f>IFERROR(INDEX(H_Tables!$B$1:$B$1500,MATCH(INDEX(SF_Output!$J$1:$J$400,MATCH(B50,SF_Output!$M$1:$M$400,0)),H_Tables!$A$1:$A$1500,0)),"")</f>
        <v>Exclusion</v>
      </c>
      <c r="AI50" s="119" t="str">
        <f t="shared" si="6"/>
        <v/>
      </c>
      <c r="AJ50" s="121">
        <f>IFERROR(INDEX(SF_Output!AD:AD,MATCH(_xlfn.TEXTJOIN(",",TRUE,B50:E50),SF_Output!AC1:AC400,0)),0.05)</f>
        <v>81</v>
      </c>
      <c r="AK50" t="str">
        <f>IF(SUMIFS(SF_Output!$F$1:$F$400,SF_Output!$AC$1:$AC$400,_xlfn.TEXTJOIN(",",TRUE,B50:E50))+SUMIFS(SF_Output!$G$1:$G$400,SF_Output!$AC$1:$AC$400,_xlfn.TEXTJOIN(",",TRUE,B50:E50))=0,"","PAP")</f>
        <v/>
      </c>
      <c r="AQ50" s="35"/>
      <c r="AR50" s="35" t="str" cm="1">
        <f t="array" ref="AR50">IFERROR(_xlfn.IFS(AND(E50*1=1,F50="Included"),"Change to Included",AND(E50*1=0,F50="Optional"),"Change to Optional",OR(B50="",F50="replaced"),""),"")</f>
        <v/>
      </c>
      <c r="AS50" s="35" t="str">
        <f t="shared" si="7"/>
        <v/>
      </c>
      <c r="AT50" s="35" t="str">
        <f t="shared" si="8"/>
        <v/>
      </c>
      <c r="AU50" s="35" t="str">
        <f t="shared" si="9"/>
        <v/>
      </c>
      <c r="AV50" s="35" t="str">
        <f t="shared" si="10"/>
        <v/>
      </c>
      <c r="AW50" s="35" t="str">
        <f t="shared" si="11"/>
        <v/>
      </c>
      <c r="AX50" s="35" t="str">
        <f t="shared" si="12"/>
        <v/>
      </c>
      <c r="AY50" s="35" t="str">
        <f t="shared" si="13"/>
        <v/>
      </c>
      <c r="AZ50" s="35" t="str">
        <f t="shared" si="14"/>
        <v/>
      </c>
      <c r="BA50" s="35" t="str">
        <f t="shared" si="15"/>
        <v/>
      </c>
      <c r="BB50" s="35" t="str">
        <f t="shared" si="16"/>
        <v/>
      </c>
      <c r="BC50" s="35"/>
      <c r="BE50" s="35">
        <f ca="1">INDEX(SF_Output!$AA$2:$AA$400,MATCH($B50,SF_Output!$M$2:$M$400,0))</f>
        <v>3</v>
      </c>
      <c r="BF50" s="35">
        <f ca="1">INDEX(SF_Output!$AB$2:$AB$400,MATCH($B50,SF_Output!$M$2:$M$400,0))</f>
        <v>3</v>
      </c>
    </row>
    <row r="51" spans="2:58" x14ac:dyDescent="0.25">
      <c r="B51" t="s">
        <v>2247</v>
      </c>
      <c r="C51" t="s">
        <v>2122</v>
      </c>
      <c r="D51" t="s">
        <v>2123</v>
      </c>
      <c r="E51" t="s">
        <v>2150</v>
      </c>
      <c r="F51" s="116" t="str">
        <f t="shared" si="0"/>
        <v>Optional</v>
      </c>
      <c r="G51" t="str">
        <f>IF(B51="","",INDEX(SF_Output!$K$1:$K$400,MATCH(B51,SF_Output!$M$1:$M$400,0)))</f>
        <v>Intuit</v>
      </c>
      <c r="H51" cm="1">
        <f t="array" ref="H51">_xlfn.IFS(B51="","",(SUMIFS(SF_Output!$F$1:$F$400,SF_Output!$AC$1:$AC$400,_xlfn.TEXTJOIN(",",TRUE,B51:E51))+SUMIFS(SF_Output!$G$1:$G$400,SF_Output!$AC$1:$AC$400,_xlfn.TEXTJOIN(",",TRUE,B51:E51)))&lt;&gt;0,SF_Output!$Y$2,INDEX(SF_Output!$F$1:$F$400,MATCH(_xlfn.TEXTJOIN(",",TRUE,B51:E51),SF_Output!$AC$1:$AC$400,0))=0,INDEX(SF_Output!$R$1:$R$400,MATCH(_xlfn.TEXTJOIN(",",TRUE,B51:E51),SF_Output!$AC$1:$AC$400,0)))</f>
        <v>5000</v>
      </c>
      <c r="I51" s="125">
        <f>IFERROR(IF(AND(H51&gt;1,H51&lt;&gt;""),ROUND(SUMIFS(SF_Output!$S$1:$S$400,SF_Output!$AC$1:$AC$400,_xlfn.TEXTJOIN(",",TRUE,B51:E51),SF_Output!$Q$1:$Q$400,"monthly")*(1-W51)/H51,4),""),"")</f>
        <v>4.0500000000000001E-2</v>
      </c>
      <c r="J51" s="6">
        <f>IF(B51="","",SUMIFS(SF_Output!$S$1:$S$400,SF_Output!$AC$1:$AC$400,_xlfn.TEXTJOIN(",",TRUE,B51:E51),SF_Output!$Q$1:$Q$400,"One Time",SF_Output!$L$1:$L$400,"license fee")+SUMIFS(SF_Output!$S$1:$S$400,SF_Output!$AC$1:$AC$400,_xlfn.TEXTJOIN(",",TRUE,B51:E51),SF_Output!$Q$1:$Q$400,"One Time",SF_Output!$L$1:$L$400,"software license")+SUMIFS(SF_Output!$S$1:$S$400,SF_Output!$AC$1:$AC$400,_xlfn.TEXTJOIN(",",TRUE,B51:E51),SF_Output!$Q$1:$Q$400,"One Time",SF_Output!$L$1:$L$400,"hardware"))</f>
        <v>0</v>
      </c>
      <c r="K51" s="112" t="str">
        <f>IF(OR(B51=0,B51="",G51="hardware",J51=0),"",IF(AF51&lt;&gt;"exclusion",MAX(K$9,-((SUMIFS(SF_Output!$T$1:$T$400,SF_Output!$AC$1:$AC$400,_xlfn.TEXTJOIN(",",TRUE,$B51:$E51),SF_Output!$Q$1:$Q$400,"One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license"))/J51)))</f>
        <v/>
      </c>
      <c r="L51" s="6">
        <f t="shared" si="1"/>
        <v>0</v>
      </c>
      <c r="N51" s="6">
        <f>IF(B51="","",SUMIFS(SF_Output!$S$1:$S$400,SF_Output!$AC$1:$AC$400,_xlfn.TEXTJOIN(",",TRUE,B51:E51),SF_Output!$Q$1:$Q$400,"One Time",SF_Output!$L$1:$L$400,"professional service"))</f>
        <v>2500</v>
      </c>
      <c r="O51" s="112">
        <f>IF(OR(B51=0,B51="",N51=0),"",IF(AF51&lt;&gt;"exclusion",MAX(O$9,-(SUMIFS(SF_Output!$T$1:$T$400,SF_Output!$AC$1:$AC$400,_xlfn.TEXTJOIN(",",TRUE,$B51:$E51),SF_Output!$Q$1:$Q$400,"One Time",SF_Output!$L$1:$L$400,"professional service"))/N51),-((SUMIFS(SF_Output!$T$1:$T$400,SF_Output!$AC$1:$AC$400,_xlfn.TEXTJOIN(",",TRUE,$B51:$E51),SF_Output!$Q$1:$Q$400,"One Time",SF_Output!$L$1:$L$400,"professional service")/N51))))</f>
        <v>1</v>
      </c>
      <c r="P51" s="6">
        <f t="shared" si="2"/>
        <v>0</v>
      </c>
      <c r="R51" s="6">
        <f>IF(B51="","",SUMIFS(SF_Output!$S$1:$S$400,SF_Output!$AC$1:$AC$400,_xlfn.TEXTJOIN(",",TRUE,B51:E51),SF_Output!$Q$1:$Q$400,"yearly")+SUMIFS(SF_Output!$S$1:$S$400,SF_Output!$AC$1:$AC$400,_xlfn.TEXTJOIN(",",TRUE,B51:E51),SF_Output!$Q$1:$Q$400,"quarterly")*4)</f>
        <v>0</v>
      </c>
      <c r="S51" s="112" t="str">
        <f>IF(OR(B51=0,B51="",G51="hardware",R51=0),"",IF(AF51&lt;&gt;"exclusion",MAX(S$9,-(SUMIFS(SF_Output!$T$1:$T$400,SF_Output!$AC$1:$AC$400,_xlfn.TEXTJOIN(",",TRUE,$B51:$E51),SF_Output!$Q$1:$Q$400,"yearly"))/R51),-((SUMIFS(SF_Output!$T$1:$T$400,SF_Output!$AC$1:$AC$400,_xlfn.TEXTJOIN(",",TRUE,$B51:$E51),SF_Output!$Q$1:$Q$400,"yearly")/R51))))</f>
        <v/>
      </c>
      <c r="T51" s="6">
        <f t="shared" si="3"/>
        <v>0</v>
      </c>
      <c r="V51" s="6" cm="1">
        <f t="array" ref="V51">_xlfn.IFS(B51="","",AND(B51&lt;&gt;"",H51=SF_Output!$Y$2,SUMIFS(SF_Output!$T$1:$T$400,SF_Output!$AC$1:$AC$400,_xlfn.TEXTJOIN(",",TRUE,B51:E51),SF_Output!$Q$1:$Q$400,"monthly")=0),(SUMIFS(SF_Output!$F$1:$F$400,SF_Output!$AC$1:$AC$400,_xlfn.TEXTJOIN(",",TRUE,B51:E51),SF_Output!$Q$1:$Q$400,"monthly")+SUMIFS(SF_Output!$G$1:$G$400,SF_Output!$AC$1:$AC$400,_xlfn.TEXTJOIN(",",TRUE,B51:E51),SF_Output!$Q$1:$Q$400,"monthly"))*H51,AND(B51&lt;&gt;"",H51=SF_Output!$Y$2,SUMIFS(SF_Output!$T$1:$T$400,SF_Output!$AC$1:$AC$400,_xlfn.TEXTJOIN(",",TRUE,B51:E51),SF_Output!$Q$1:$Q$400,"monthly")&lt;&gt;0),SUMIFS(SF_Output!$S$1:$S$400,SF_Output!$AC$1:$AC$400,_xlfn.TEXTJOIN(",",TRUE,B51:E51),SF_Output!$Q$1:$Q$400,"monthly"),AND(B51&lt;&gt;"",H51&lt;&gt;SF_Output!$Y$2),SUMIFS(SF_Output!$S$1:$S$400,SF_Output!$AC$1:$AC$400,_xlfn.TEXTJOIN(",",TRUE,B51:E51),SF_Output!$Q$1:$Q$400,"monthly"))</f>
        <v>270</v>
      </c>
      <c r="W51" s="112" cm="1">
        <f t="array" ref="W51">_xlfn.IFS(OR(B51=0,B51="",V51=0),"",AF51&lt;&gt;"exclusion",MAX($W$9,$W$7,(-(SUMIFS(SF_Output!$T$1:$T$400,SF_Output!$AC$1:$AC$400,_xlfn.TEXTJOIN(",",TRUE,$B51:$E51),SF_Output!$Q$1:$Q$400,"monthly"))/V51)),AF51="exclusion",-(SUMIFS(SF_Output!$T$1:$T$400,SF_Output!$AC$1:$AC$400,_xlfn.TEXTJOIN(",",TRUE,$B51:$E51),SF_Output!$Q$1:$Q$400,"monthly"))/V51)</f>
        <v>0.25</v>
      </c>
      <c r="X51" s="6" cm="1">
        <f t="array" ref="X51">IFERROR(_xlfn.IFS(V51=0,0,V51="","",W51=0,V51,OR(V51&lt;&gt;0,V51&lt;&gt;""),H51*I51),V51*(1-W51))</f>
        <v>202.5</v>
      </c>
      <c r="Z51" s="6">
        <f>IFERROR(IF(B51="","",SUMIFS(Billing_Fallout!H:H,Billing_Fallout!N:N,B51)),0)</f>
        <v>0</v>
      </c>
      <c r="AA51" s="6">
        <f t="shared" si="4"/>
        <v>0</v>
      </c>
      <c r="AB51" s="6">
        <f>IFERROR(IF(B51="","",SUMIFS(Billing_Fallout!J:J,Billing_Fallout!N:N,B51)),0)</f>
        <v>0</v>
      </c>
      <c r="AD51" s="6">
        <f t="shared" si="5"/>
        <v>202.5</v>
      </c>
      <c r="AF51" t="str">
        <f>IFERROR(INDEX(H_Tables!$B$1:$B$1500,MATCH(INDEX(SF_Output!$J$1:$J$400,MATCH(B51,SF_Output!$M$1:$M$400,0)),H_Tables!$A$1:$A$1500,0)),"")</f>
        <v/>
      </c>
      <c r="AI51" s="119" t="str">
        <f t="shared" si="6"/>
        <v/>
      </c>
      <c r="AJ51" s="121">
        <f>IFERROR(INDEX(SF_Output!AD:AD,MATCH(_xlfn.TEXTJOIN(",",TRUE,B51:E51),SF_Output!AC1:AC400,0)),0.05)</f>
        <v>82</v>
      </c>
      <c r="AK51" t="str">
        <f>IF(SUMIFS(SF_Output!$F$1:$F$400,SF_Output!$AC$1:$AC$400,_xlfn.TEXTJOIN(",",TRUE,B51:E51))+SUMIFS(SF_Output!$G$1:$G$400,SF_Output!$AC$1:$AC$400,_xlfn.TEXTJOIN(",",TRUE,B51:E51))=0,"","PAP")</f>
        <v>PAP</v>
      </c>
      <c r="AQ51" s="35"/>
      <c r="AR51" s="35" t="str" cm="1">
        <f t="array" ref="AR51">IFERROR(_xlfn.IFS(AND(E51*1=1,F51="Included"),"Change to Included",AND(E51*1=0,F51="Optional"),"Change to Optional",OR(B51="",F51="replaced"),""),"")</f>
        <v/>
      </c>
      <c r="AS51" s="35" t="str">
        <f t="shared" si="7"/>
        <v/>
      </c>
      <c r="AT51" s="35" t="str">
        <f t="shared" si="8"/>
        <v/>
      </c>
      <c r="AU51" s="35" t="str">
        <f t="shared" si="9"/>
        <v/>
      </c>
      <c r="AV51" s="35" t="str">
        <f t="shared" si="10"/>
        <v/>
      </c>
      <c r="AW51" s="35" t="str">
        <f t="shared" si="11"/>
        <v/>
      </c>
      <c r="AX51" s="35" t="str">
        <f t="shared" si="12"/>
        <v/>
      </c>
      <c r="AY51" s="35" t="str">
        <f t="shared" si="13"/>
        <v/>
      </c>
      <c r="AZ51" s="35" t="str">
        <f t="shared" si="14"/>
        <v/>
      </c>
      <c r="BA51" s="35" t="str">
        <f t="shared" si="15"/>
        <v/>
      </c>
      <c r="BB51" s="35" t="str">
        <f t="shared" si="16"/>
        <v/>
      </c>
      <c r="BC51" s="35"/>
      <c r="BE51" s="35">
        <f ca="1">INDEX(SF_Output!$AA$2:$AA$400,MATCH($B51,SF_Output!$M$2:$M$400,0))</f>
        <v>3</v>
      </c>
      <c r="BF51" s="35">
        <f ca="1">INDEX(SF_Output!$AB$2:$AB$400,MATCH($B51,SF_Output!$M$2:$M$400,0))</f>
        <v>3</v>
      </c>
    </row>
    <row r="52" spans="2:58" x14ac:dyDescent="0.25">
      <c r="B52" t="s">
        <v>2250</v>
      </c>
      <c r="C52" t="s">
        <v>2122</v>
      </c>
      <c r="D52" t="s">
        <v>2123</v>
      </c>
      <c r="E52" t="s">
        <v>2150</v>
      </c>
      <c r="F52" s="116" t="str">
        <f t="shared" si="0"/>
        <v>Optional</v>
      </c>
      <c r="G52" t="str">
        <f>IF(B52="","",INDEX(SF_Output!$K$1:$K$400,MATCH(B52,SF_Output!$M$1:$M$400,0)))</f>
        <v>Intuit</v>
      </c>
      <c r="H52" cm="1">
        <f t="array" ref="H52">_xlfn.IFS(B52="","",(SUMIFS(SF_Output!$F$1:$F$400,SF_Output!$AC$1:$AC$400,_xlfn.TEXTJOIN(",",TRUE,B52:E52))+SUMIFS(SF_Output!$G$1:$G$400,SF_Output!$AC$1:$AC$400,_xlfn.TEXTJOIN(",",TRUE,B52:E52)))&lt;&gt;0,SF_Output!$Y$2,INDEX(SF_Output!$F$1:$F$400,MATCH(_xlfn.TEXTJOIN(",",TRUE,B52:E52),SF_Output!$AC$1:$AC$400,0))=0,INDEX(SF_Output!$R$1:$R$400,MATCH(_xlfn.TEXTJOIN(",",TRUE,B52:E52),SF_Output!$AC$1:$AC$400,0)))</f>
        <v>5000</v>
      </c>
      <c r="I52" s="125">
        <f>IFERROR(IF(AND(H52&gt;1,H52&lt;&gt;""),ROUND(SUMIFS(SF_Output!$S$1:$S$400,SF_Output!$AC$1:$AC$400,_xlfn.TEXTJOIN(",",TRUE,B52:E52),SF_Output!$Q$1:$Q$400,"monthly")*(1-W52)/H52,4),""),"")</f>
        <v>3.0800000000000001E-2</v>
      </c>
      <c r="J52" s="6">
        <f>IF(B52="","",SUMIFS(SF_Output!$S$1:$S$400,SF_Output!$AC$1:$AC$400,_xlfn.TEXTJOIN(",",TRUE,B52:E52),SF_Output!$Q$1:$Q$400,"One Time",SF_Output!$L$1:$L$400,"license fee")+SUMIFS(SF_Output!$S$1:$S$400,SF_Output!$AC$1:$AC$400,_xlfn.TEXTJOIN(",",TRUE,B52:E52),SF_Output!$Q$1:$Q$400,"One Time",SF_Output!$L$1:$L$400,"software license")+SUMIFS(SF_Output!$S$1:$S$400,SF_Output!$AC$1:$AC$400,_xlfn.TEXTJOIN(",",TRUE,B52:E52),SF_Output!$Q$1:$Q$400,"One Time",SF_Output!$L$1:$L$400,"hardware"))</f>
        <v>0</v>
      </c>
      <c r="K52" s="112" t="str">
        <f>IF(OR(B52=0,B52="",G52="hardware",J52=0),"",IF(AF52&lt;&gt;"exclusion",MAX(K$9,-((SUMIFS(SF_Output!$T$1:$T$400,SF_Output!$AC$1:$AC$400,_xlfn.TEXTJOIN(",",TRUE,$B52:$E52),SF_Output!$Q$1:$Q$400,"One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license"))/J52)))</f>
        <v/>
      </c>
      <c r="L52" s="6">
        <f t="shared" si="1"/>
        <v>0</v>
      </c>
      <c r="N52" s="6">
        <f>IF(B52="","",SUMIFS(SF_Output!$S$1:$S$400,SF_Output!$AC$1:$AC$400,_xlfn.TEXTJOIN(",",TRUE,B52:E52),SF_Output!$Q$1:$Q$400,"One Time",SF_Output!$L$1:$L$400,"professional service"))</f>
        <v>2500</v>
      </c>
      <c r="O52" s="112">
        <f>IF(OR(B52=0,B52="",N52=0),"",IF(AF52&lt;&gt;"exclusion",MAX(O$9,-(SUMIFS(SF_Output!$T$1:$T$400,SF_Output!$AC$1:$AC$400,_xlfn.TEXTJOIN(",",TRUE,$B52:$E52),SF_Output!$Q$1:$Q$400,"One Time",SF_Output!$L$1:$L$400,"professional service"))/N52),-((SUMIFS(SF_Output!$T$1:$T$400,SF_Output!$AC$1:$AC$400,_xlfn.TEXTJOIN(",",TRUE,$B52:$E52),SF_Output!$Q$1:$Q$400,"One Time",SF_Output!$L$1:$L$400,"professional service")/N52))))</f>
        <v>1</v>
      </c>
      <c r="P52" s="6">
        <f t="shared" si="2"/>
        <v>0</v>
      </c>
      <c r="R52" s="6">
        <f>IF(B52="","",SUMIFS(SF_Output!$S$1:$S$400,SF_Output!$AC$1:$AC$400,_xlfn.TEXTJOIN(",",TRUE,B52:E52),SF_Output!$Q$1:$Q$400,"yearly")+SUMIFS(SF_Output!$S$1:$S$400,SF_Output!$AC$1:$AC$400,_xlfn.TEXTJOIN(",",TRUE,B52:E52),SF_Output!$Q$1:$Q$400,"quarterly")*4)</f>
        <v>0</v>
      </c>
      <c r="S52" s="112" t="str">
        <f>IF(OR(B52=0,B52="",G52="hardware",R52=0),"",IF(AF52&lt;&gt;"exclusion",MAX(S$9,-(SUMIFS(SF_Output!$T$1:$T$400,SF_Output!$AC$1:$AC$400,_xlfn.TEXTJOIN(",",TRUE,$B52:$E52),SF_Output!$Q$1:$Q$400,"yearly"))/R52),-((SUMIFS(SF_Output!$T$1:$T$400,SF_Output!$AC$1:$AC$400,_xlfn.TEXTJOIN(",",TRUE,$B52:$E52),SF_Output!$Q$1:$Q$400,"yearly")/R52))))</f>
        <v/>
      </c>
      <c r="T52" s="6">
        <f t="shared" si="3"/>
        <v>0</v>
      </c>
      <c r="V52" s="6" cm="1">
        <f t="array" ref="V52">_xlfn.IFS(B52="","",AND(B52&lt;&gt;"",H52=SF_Output!$Y$2,SUMIFS(SF_Output!$T$1:$T$400,SF_Output!$AC$1:$AC$400,_xlfn.TEXTJOIN(",",TRUE,B52:E52),SF_Output!$Q$1:$Q$400,"monthly")=0),(SUMIFS(SF_Output!$F$1:$F$400,SF_Output!$AC$1:$AC$400,_xlfn.TEXTJOIN(",",TRUE,B52:E52),SF_Output!$Q$1:$Q$400,"monthly")+SUMIFS(SF_Output!$G$1:$G$400,SF_Output!$AC$1:$AC$400,_xlfn.TEXTJOIN(",",TRUE,B52:E52),SF_Output!$Q$1:$Q$400,"monthly"))*H52,AND(B52&lt;&gt;"",H52=SF_Output!$Y$2,SUMIFS(SF_Output!$T$1:$T$400,SF_Output!$AC$1:$AC$400,_xlfn.TEXTJOIN(",",TRUE,B52:E52),SF_Output!$Q$1:$Q$400,"monthly")&lt;&gt;0),SUMIFS(SF_Output!$S$1:$S$400,SF_Output!$AC$1:$AC$400,_xlfn.TEXTJOIN(",",TRUE,B52:E52),SF_Output!$Q$1:$Q$400,"monthly"),AND(B52&lt;&gt;"",H52&lt;&gt;SF_Output!$Y$2),SUMIFS(SF_Output!$S$1:$S$400,SF_Output!$AC$1:$AC$400,_xlfn.TEXTJOIN(",",TRUE,B52:E52),SF_Output!$Q$1:$Q$400,"monthly"))</f>
        <v>205</v>
      </c>
      <c r="W52" s="112" cm="1">
        <f t="array" ref="W52">_xlfn.IFS(OR(B52=0,B52="",V52=0),"",AF52&lt;&gt;"exclusion",MAX($W$9,$W$7,(-(SUMIFS(SF_Output!$T$1:$T$400,SF_Output!$AC$1:$AC$400,_xlfn.TEXTJOIN(",",TRUE,$B52:$E52),SF_Output!$Q$1:$Q$400,"monthly"))/V52)),AF52="exclusion",-(SUMIFS(SF_Output!$T$1:$T$400,SF_Output!$AC$1:$AC$400,_xlfn.TEXTJOIN(",",TRUE,$B52:$E52),SF_Output!$Q$1:$Q$400,"monthly"))/V52)</f>
        <v>0.25</v>
      </c>
      <c r="X52" s="6" cm="1">
        <f t="array" ref="X52">IFERROR(_xlfn.IFS(V52=0,0,V52="","",W52=0,V52,OR(V52&lt;&gt;0,V52&lt;&gt;""),H52*I52),V52*(1-W52))</f>
        <v>154</v>
      </c>
      <c r="Z52" s="6">
        <f>IFERROR(IF(B52="","",SUMIFS(Billing_Fallout!H:H,Billing_Fallout!N:N,B52)),0)</f>
        <v>0</v>
      </c>
      <c r="AA52" s="6">
        <f t="shared" si="4"/>
        <v>0</v>
      </c>
      <c r="AB52" s="6">
        <f>IFERROR(IF(B52="","",SUMIFS(Billing_Fallout!J:J,Billing_Fallout!N:N,B52)),0)</f>
        <v>0</v>
      </c>
      <c r="AD52" s="6">
        <f t="shared" si="5"/>
        <v>154</v>
      </c>
      <c r="AF52" t="str">
        <f>IFERROR(INDEX(H_Tables!$B$1:$B$1500,MATCH(INDEX(SF_Output!$J$1:$J$400,MATCH(B52,SF_Output!$M$1:$M$400,0)),H_Tables!$A$1:$A$1500,0)),"")</f>
        <v/>
      </c>
      <c r="AI52" s="119" t="str">
        <f t="shared" si="6"/>
        <v/>
      </c>
      <c r="AJ52" s="121">
        <f>IFERROR(INDEX(SF_Output!AD:AD,MATCH(_xlfn.TEXTJOIN(",",TRUE,B52:E52),SF_Output!AC1:AC400,0)),0.05)</f>
        <v>84</v>
      </c>
      <c r="AK52" t="str">
        <f>IF(SUMIFS(SF_Output!$F$1:$F$400,SF_Output!$AC$1:$AC$400,_xlfn.TEXTJOIN(",",TRUE,B52:E52))+SUMIFS(SF_Output!$G$1:$G$400,SF_Output!$AC$1:$AC$400,_xlfn.TEXTJOIN(",",TRUE,B52:E52))=0,"","PAP")</f>
        <v>PAP</v>
      </c>
      <c r="AQ52" s="35"/>
      <c r="AR52" s="35" t="str" cm="1">
        <f t="array" ref="AR52">IFERROR(_xlfn.IFS(AND(E52*1=1,F52="Included"),"Change to Included",AND(E52*1=0,F52="Optional"),"Change to Optional",OR(B52="",F52="replaced"),""),"")</f>
        <v/>
      </c>
      <c r="AS52" s="35" t="str">
        <f t="shared" si="7"/>
        <v/>
      </c>
      <c r="AT52" s="35" t="str">
        <f t="shared" si="8"/>
        <v/>
      </c>
      <c r="AU52" s="35" t="str">
        <f t="shared" si="9"/>
        <v/>
      </c>
      <c r="AV52" s="35" t="str">
        <f t="shared" si="10"/>
        <v/>
      </c>
      <c r="AW52" s="35" t="str">
        <f t="shared" si="11"/>
        <v/>
      </c>
      <c r="AX52" s="35" t="str">
        <f t="shared" si="12"/>
        <v/>
      </c>
      <c r="AY52" s="35" t="str">
        <f t="shared" si="13"/>
        <v/>
      </c>
      <c r="AZ52" s="35" t="str">
        <f t="shared" si="14"/>
        <v/>
      </c>
      <c r="BA52" s="35" t="str">
        <f t="shared" si="15"/>
        <v/>
      </c>
      <c r="BB52" s="35" t="str">
        <f t="shared" si="16"/>
        <v/>
      </c>
      <c r="BC52" s="35"/>
      <c r="BE52" s="35">
        <f ca="1">INDEX(SF_Output!$AA$2:$AA$400,MATCH($B52,SF_Output!$M$2:$M$400,0))</f>
        <v>3</v>
      </c>
      <c r="BF52" s="35">
        <f ca="1">INDEX(SF_Output!$AB$2:$AB$400,MATCH($B52,SF_Output!$M$2:$M$400,0))</f>
        <v>3</v>
      </c>
    </row>
    <row r="53" spans="2:58" x14ac:dyDescent="0.25">
      <c r="B53" t="s">
        <v>2253</v>
      </c>
      <c r="C53" t="s">
        <v>2122</v>
      </c>
      <c r="D53" t="s">
        <v>2123</v>
      </c>
      <c r="E53" t="s">
        <v>2150</v>
      </c>
      <c r="F53" s="116" t="str">
        <f t="shared" si="0"/>
        <v>Optional</v>
      </c>
      <c r="G53" t="str">
        <f>IF(B53="","",INDEX(SF_Output!$K$1:$K$400,MATCH(B53,SF_Output!$M$1:$M$400,0)))</f>
        <v>OutLink Item Processing</v>
      </c>
      <c r="H53" cm="1">
        <f t="array" ref="H53">_xlfn.IFS(B53="","",(SUMIFS(SF_Output!$F$1:$F$400,SF_Output!$AC$1:$AC$400,_xlfn.TEXTJOIN(",",TRUE,B53:E53))+SUMIFS(SF_Output!$G$1:$G$400,SF_Output!$AC$1:$AC$400,_xlfn.TEXTJOIN(",",TRUE,B53:E53)))&lt;&gt;0,SF_Output!$Y$2,INDEX(SF_Output!$F$1:$F$400,MATCH(_xlfn.TEXTJOIN(",",TRUE,B53:E53),SF_Output!$AC$1:$AC$400,0))=0,INDEX(SF_Output!$R$1:$R$400,MATCH(_xlfn.TEXTJOIN(",",TRUE,B53:E53),SF_Output!$AC$1:$AC$400,0)))</f>
        <v>1</v>
      </c>
      <c r="I53" s="125" t="str">
        <f>IFERROR(IF(AND(H53&gt;1,H53&lt;&gt;""),ROUND(SUMIFS(SF_Output!$S$1:$S$400,SF_Output!$AC$1:$AC$400,_xlfn.TEXTJOIN(",",TRUE,B53:E53),SF_Output!$Q$1:$Q$400,"monthly")*(1-W53)/H53,4),""),"")</f>
        <v/>
      </c>
      <c r="J53" s="6">
        <f>IF(B53="","",SUMIFS(SF_Output!$S$1:$S$400,SF_Output!$AC$1:$AC$400,_xlfn.TEXTJOIN(",",TRUE,B53:E53),SF_Output!$Q$1:$Q$400,"One Time",SF_Output!$L$1:$L$400,"license fee")+SUMIFS(SF_Output!$S$1:$S$400,SF_Output!$AC$1:$AC$400,_xlfn.TEXTJOIN(",",TRUE,B53:E53),SF_Output!$Q$1:$Q$400,"One Time",SF_Output!$L$1:$L$400,"software license")+SUMIFS(SF_Output!$S$1:$S$400,SF_Output!$AC$1:$AC$400,_xlfn.TEXTJOIN(",",TRUE,B53:E53),SF_Output!$Q$1:$Q$400,"One Time",SF_Output!$L$1:$L$400,"hardware"))</f>
        <v>0</v>
      </c>
      <c r="K53" s="112" t="str">
        <f>IF(OR(B53=0,B53="",G53="hardware",J53=0),"",IF(AF53&lt;&gt;"exclusion",MAX(K$9,-((SUMIFS(SF_Output!$T$1:$T$400,SF_Output!$AC$1:$AC$400,_xlfn.TEXTJOIN(",",TRUE,$B53:$E53),SF_Output!$Q$1:$Q$400,"One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license"))/J53)))</f>
        <v/>
      </c>
      <c r="L53" s="6">
        <f t="shared" si="1"/>
        <v>0</v>
      </c>
      <c r="N53" s="6">
        <f>IF(B53="","",SUMIFS(SF_Output!$S$1:$S$400,SF_Output!$AC$1:$AC$400,_xlfn.TEXTJOIN(",",TRUE,B53:E53),SF_Output!$Q$1:$Q$400,"One Time",SF_Output!$L$1:$L$400,"professional service"))</f>
        <v>7425</v>
      </c>
      <c r="O53" s="112">
        <f>IF(OR(B53=0,B53="",N53=0),"",IF(AF53&lt;&gt;"exclusion",MAX(O$9,-(SUMIFS(SF_Output!$T$1:$T$400,SF_Output!$AC$1:$AC$400,_xlfn.TEXTJOIN(",",TRUE,$B53:$E53),SF_Output!$Q$1:$Q$400,"One Time",SF_Output!$L$1:$L$400,"professional service"))/N53),-((SUMIFS(SF_Output!$T$1:$T$400,SF_Output!$AC$1:$AC$400,_xlfn.TEXTJOIN(",",TRUE,$B53:$E53),SF_Output!$Q$1:$Q$400,"One Time",SF_Output!$L$1:$L$400,"professional service")/N53))))</f>
        <v>0</v>
      </c>
      <c r="P53" s="6">
        <f t="shared" si="2"/>
        <v>7425</v>
      </c>
      <c r="R53" s="6">
        <f>IF(B53="","",SUMIFS(SF_Output!$S$1:$S$400,SF_Output!$AC$1:$AC$400,_xlfn.TEXTJOIN(",",TRUE,B53:E53),SF_Output!$Q$1:$Q$400,"yearly")+SUMIFS(SF_Output!$S$1:$S$400,SF_Output!$AC$1:$AC$400,_xlfn.TEXTJOIN(",",TRUE,B53:E53),SF_Output!$Q$1:$Q$400,"quarterly")*4)</f>
        <v>0</v>
      </c>
      <c r="S53" s="112" t="str">
        <f>IF(OR(B53=0,B53="",G53="hardware",R53=0),"",IF(AF53&lt;&gt;"exclusion",MAX(S$9,-(SUMIFS(SF_Output!$T$1:$T$400,SF_Output!$AC$1:$AC$400,_xlfn.TEXTJOIN(",",TRUE,$B53:$E53),SF_Output!$Q$1:$Q$400,"yearly"))/R53),-((SUMIFS(SF_Output!$T$1:$T$400,SF_Output!$AC$1:$AC$400,_xlfn.TEXTJOIN(",",TRUE,$B53:$E53),SF_Output!$Q$1:$Q$400,"yearly")/R53))))</f>
        <v/>
      </c>
      <c r="T53" s="6">
        <f t="shared" si="3"/>
        <v>0</v>
      </c>
      <c r="V53" s="6" cm="1">
        <f t="array" ref="V53">_xlfn.IFS(B53="","",AND(B53&lt;&gt;"",H53=SF_Output!$Y$2,SUMIFS(SF_Output!$T$1:$T$400,SF_Output!$AC$1:$AC$400,_xlfn.TEXTJOIN(",",TRUE,B53:E53),SF_Output!$Q$1:$Q$400,"monthly")=0),(SUMIFS(SF_Output!$F$1:$F$400,SF_Output!$AC$1:$AC$400,_xlfn.TEXTJOIN(",",TRUE,B53:E53),SF_Output!$Q$1:$Q$400,"monthly")+SUMIFS(SF_Output!$G$1:$G$400,SF_Output!$AC$1:$AC$400,_xlfn.TEXTJOIN(",",TRUE,B53:E53),SF_Output!$Q$1:$Q$400,"monthly"))*H53,AND(B53&lt;&gt;"",H53=SF_Output!$Y$2,SUMIFS(SF_Output!$T$1:$T$400,SF_Output!$AC$1:$AC$400,_xlfn.TEXTJOIN(",",TRUE,B53:E53),SF_Output!$Q$1:$Q$400,"monthly")&lt;&gt;0),SUMIFS(SF_Output!$S$1:$S$400,SF_Output!$AC$1:$AC$400,_xlfn.TEXTJOIN(",",TRUE,B53:E53),SF_Output!$Q$1:$Q$400,"monthly"),AND(B53&lt;&gt;"",H53&lt;&gt;SF_Output!$Y$2),SUMIFS(SF_Output!$S$1:$S$400,SF_Output!$AC$1:$AC$400,_xlfn.TEXTJOIN(",",TRUE,B53:E53),SF_Output!$Q$1:$Q$400,"monthly"))</f>
        <v>760</v>
      </c>
      <c r="W53" s="112" cm="1">
        <f t="array" ref="W53">_xlfn.IFS(OR(B53=0,B53="",V53=0),"",AF53&lt;&gt;"exclusion",MAX($W$9,$W$7,(-(SUMIFS(SF_Output!$T$1:$T$400,SF_Output!$AC$1:$AC$400,_xlfn.TEXTJOIN(",",TRUE,$B53:$E53),SF_Output!$Q$1:$Q$400,"monthly"))/V53)),AF53="exclusion",-(SUMIFS(SF_Output!$T$1:$T$400,SF_Output!$AC$1:$AC$400,_xlfn.TEXTJOIN(",",TRUE,$B53:$E53),SF_Output!$Q$1:$Q$400,"monthly"))/V53)</f>
        <v>0</v>
      </c>
      <c r="X53" s="6" cm="1">
        <f t="array" ref="X53">IFERROR(_xlfn.IFS(V53=0,0,V53="","",W53=0,V53,OR(V53&lt;&gt;0,V53&lt;&gt;""),H53*I53),V53*(1-W53))</f>
        <v>760</v>
      </c>
      <c r="Z53" s="6">
        <f>IFERROR(IF(B53="","",SUMIFS(Billing_Fallout!H:H,Billing_Fallout!N:N,B53)),0)</f>
        <v>0</v>
      </c>
      <c r="AA53" s="6">
        <f t="shared" si="4"/>
        <v>0</v>
      </c>
      <c r="AB53" s="6">
        <f>IFERROR(IF(B53="","",SUMIFS(Billing_Fallout!J:J,Billing_Fallout!N:N,B53)),0)</f>
        <v>0</v>
      </c>
      <c r="AD53" s="6">
        <f t="shared" si="5"/>
        <v>760</v>
      </c>
      <c r="AF53" t="str">
        <f>IFERROR(INDEX(H_Tables!$B$1:$B$1500,MATCH(INDEX(SF_Output!$J$1:$J$400,MATCH(B53,SF_Output!$M$1:$M$400,0)),H_Tables!$A$1:$A$1500,0)),"")</f>
        <v>Exclusion</v>
      </c>
      <c r="AI53" s="119" t="str">
        <f t="shared" si="6"/>
        <v/>
      </c>
      <c r="AJ53" s="121">
        <f>IFERROR(INDEX(SF_Output!AD:AD,MATCH(_xlfn.TEXTJOIN(",",TRUE,B53:E53),SF_Output!AC1:AC400,0)),0.05)</f>
        <v>86</v>
      </c>
      <c r="AK53" t="str">
        <f>IF(SUMIFS(SF_Output!$F$1:$F$400,SF_Output!$AC$1:$AC$400,_xlfn.TEXTJOIN(",",TRUE,B53:E53))+SUMIFS(SF_Output!$G$1:$G$400,SF_Output!$AC$1:$AC$400,_xlfn.TEXTJOIN(",",TRUE,B53:E53))=0,"","PAP")</f>
        <v/>
      </c>
      <c r="AQ53" s="35"/>
      <c r="AR53" s="35" t="str" cm="1">
        <f t="array" ref="AR53">IFERROR(_xlfn.IFS(AND(E53*1=1,F53="Included"),"Change to Included",AND(E53*1=0,F53="Optional"),"Change to Optional",OR(B53="",F53="replaced"),""),"")</f>
        <v/>
      </c>
      <c r="AS53" s="35" t="str">
        <f t="shared" si="7"/>
        <v/>
      </c>
      <c r="AT53" s="35" t="str">
        <f t="shared" si="8"/>
        <v/>
      </c>
      <c r="AU53" s="35" t="str">
        <f t="shared" si="9"/>
        <v/>
      </c>
      <c r="AV53" s="35" t="str">
        <f t="shared" si="10"/>
        <v/>
      </c>
      <c r="AW53" s="35" t="str">
        <f t="shared" si="11"/>
        <v/>
      </c>
      <c r="AX53" s="35" t="str">
        <f t="shared" si="12"/>
        <v/>
      </c>
      <c r="AY53" s="35" t="str">
        <f t="shared" si="13"/>
        <v/>
      </c>
      <c r="AZ53" s="35" t="str">
        <f t="shared" si="14"/>
        <v/>
      </c>
      <c r="BA53" s="35" t="str">
        <f t="shared" si="15"/>
        <v/>
      </c>
      <c r="BB53" s="35" t="str">
        <f t="shared" si="16"/>
        <v/>
      </c>
      <c r="BC53" s="35"/>
      <c r="BE53" s="35">
        <f ca="1">INDEX(SF_Output!$AA$2:$AA$400,MATCH($B53,SF_Output!$M$2:$M$400,0))</f>
        <v>4</v>
      </c>
      <c r="BF53" s="35">
        <f ca="1">INDEX(SF_Output!$AB$2:$AB$400,MATCH($B53,SF_Output!$M$2:$M$400,0))</f>
        <v>2</v>
      </c>
    </row>
    <row r="54" spans="2:58" x14ac:dyDescent="0.25">
      <c r="B54" t="s">
        <v>2081</v>
      </c>
      <c r="C54" t="s">
        <v>2122</v>
      </c>
      <c r="D54" t="s">
        <v>2123</v>
      </c>
      <c r="E54" t="s">
        <v>2124</v>
      </c>
      <c r="F54" s="116" t="str">
        <f t="shared" si="0"/>
        <v>Included</v>
      </c>
      <c r="G54" t="str">
        <f>IF(B54="","",INDEX(SF_Output!$K$1:$K$400,MATCH(B54,SF_Output!$M$1:$M$400,0)))</f>
        <v>OutLink Item Processing</v>
      </c>
      <c r="H54" cm="1">
        <f t="array" ref="H54">_xlfn.IFS(B54="","",(SUMIFS(SF_Output!$F$1:$F$400,SF_Output!$AC$1:$AC$400,_xlfn.TEXTJOIN(",",TRUE,B54:E54))+SUMIFS(SF_Output!$G$1:$G$400,SF_Output!$AC$1:$AC$400,_xlfn.TEXTJOIN(",",TRUE,B54:E54)))&lt;&gt;0,SF_Output!$Y$2,INDEX(SF_Output!$F$1:$F$400,MATCH(_xlfn.TEXTJOIN(",",TRUE,B54:E54),SF_Output!$AC$1:$AC$400,0))=0,INDEX(SF_Output!$R$1:$R$400,MATCH(_xlfn.TEXTJOIN(",",TRUE,B54:E54),SF_Output!$AC$1:$AC$400,0)))</f>
        <v>5000</v>
      </c>
      <c r="I54" s="125">
        <f>IFERROR(IF(AND(H54&gt;1,H54&lt;&gt;""),ROUND(SUMIFS(SF_Output!$S$1:$S$400,SF_Output!$AC$1:$AC$400,_xlfn.TEXTJOIN(",",TRUE,B54:E54),SF_Output!$Q$1:$Q$400,"monthly")*(1-W54)/H54,4),""),"")</f>
        <v>0.33379999999999999</v>
      </c>
      <c r="J54" s="6">
        <f>IF(B54="","",SUMIFS(SF_Output!$S$1:$S$400,SF_Output!$AC$1:$AC$400,_xlfn.TEXTJOIN(",",TRUE,B54:E54),SF_Output!$Q$1:$Q$400,"One Time",SF_Output!$L$1:$L$400,"license fee")+SUMIFS(SF_Output!$S$1:$S$400,SF_Output!$AC$1:$AC$400,_xlfn.TEXTJOIN(",",TRUE,B54:E54),SF_Output!$Q$1:$Q$400,"One Time",SF_Output!$L$1:$L$400,"software license")+SUMIFS(SF_Output!$S$1:$S$400,SF_Output!$AC$1:$AC$400,_xlfn.TEXTJOIN(",",TRUE,B54:E54),SF_Output!$Q$1:$Q$400,"One Time",SF_Output!$L$1:$L$400,"hardware"))</f>
        <v>0</v>
      </c>
      <c r="K54" s="112" t="str">
        <f>IF(OR(B54=0,B54="",G54="hardware",J54=0),"",IF(AF54&lt;&gt;"exclusion",MAX(K$9,-((SUMIFS(SF_Output!$T$1:$T$400,SF_Output!$AC$1:$AC$400,_xlfn.TEXTJOIN(",",TRUE,$B54:$E54),SF_Output!$Q$1:$Q$400,"One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license"))/J54)))</f>
        <v/>
      </c>
      <c r="L54" s="6">
        <f t="shared" si="1"/>
        <v>0</v>
      </c>
      <c r="N54" s="6">
        <f>IF(B54="","",SUMIFS(SF_Output!$S$1:$S$400,SF_Output!$AC$1:$AC$400,_xlfn.TEXTJOIN(",",TRUE,B54:E54),SF_Output!$Q$1:$Q$400,"One Time",SF_Output!$L$1:$L$400,"professional service"))</f>
        <v>33900</v>
      </c>
      <c r="O54" s="112">
        <f>IF(OR(B54=0,B54="",N54=0),"",IF(AF54&lt;&gt;"exclusion",MAX(O$9,-(SUMIFS(SF_Output!$T$1:$T$400,SF_Output!$AC$1:$AC$400,_xlfn.TEXTJOIN(",",TRUE,$B54:$E54),SF_Output!$Q$1:$Q$400,"One Time",SF_Output!$L$1:$L$400,"professional service"))/N54),-((SUMIFS(SF_Output!$T$1:$T$400,SF_Output!$AC$1:$AC$400,_xlfn.TEXTJOIN(",",TRUE,$B54:$E54),SF_Output!$Q$1:$Q$400,"One Time",SF_Output!$L$1:$L$400,"professional service")/N54))))</f>
        <v>1</v>
      </c>
      <c r="P54" s="6">
        <f t="shared" si="2"/>
        <v>0</v>
      </c>
      <c r="R54" s="6">
        <f>IF(B54="","",SUMIFS(SF_Output!$S$1:$S$400,SF_Output!$AC$1:$AC$400,_xlfn.TEXTJOIN(",",TRUE,B54:E54),SF_Output!$Q$1:$Q$400,"yearly")+SUMIFS(SF_Output!$S$1:$S$400,SF_Output!$AC$1:$AC$400,_xlfn.TEXTJOIN(",",TRUE,B54:E54),SF_Output!$Q$1:$Q$400,"quarterly")*4)</f>
        <v>0</v>
      </c>
      <c r="S54" s="112" t="str">
        <f>IF(OR(B54=0,B54="",G54="hardware",R54=0),"",IF(AF54&lt;&gt;"exclusion",MAX(S$9,-(SUMIFS(SF_Output!$T$1:$T$400,SF_Output!$AC$1:$AC$400,_xlfn.TEXTJOIN(",",TRUE,$B54:$E54),SF_Output!$Q$1:$Q$400,"yearly"))/R54),-((SUMIFS(SF_Output!$T$1:$T$400,SF_Output!$AC$1:$AC$400,_xlfn.TEXTJOIN(",",TRUE,$B54:$E54),SF_Output!$Q$1:$Q$400,"yearly")/R54))))</f>
        <v/>
      </c>
      <c r="T54" s="6">
        <f t="shared" si="3"/>
        <v>0</v>
      </c>
      <c r="V54" s="6" cm="1">
        <f t="array" ref="V54">_xlfn.IFS(B54="","",AND(B54&lt;&gt;"",H54=SF_Output!$Y$2,SUMIFS(SF_Output!$T$1:$T$400,SF_Output!$AC$1:$AC$400,_xlfn.TEXTJOIN(",",TRUE,B54:E54),SF_Output!$Q$1:$Q$400,"monthly")=0),(SUMIFS(SF_Output!$F$1:$F$400,SF_Output!$AC$1:$AC$400,_xlfn.TEXTJOIN(",",TRUE,B54:E54),SF_Output!$Q$1:$Q$400,"monthly")+SUMIFS(SF_Output!$G$1:$G$400,SF_Output!$AC$1:$AC$400,_xlfn.TEXTJOIN(",",TRUE,B54:E54),SF_Output!$Q$1:$Q$400,"monthly"))*H54,AND(B54&lt;&gt;"",H54=SF_Output!$Y$2,SUMIFS(SF_Output!$T$1:$T$400,SF_Output!$AC$1:$AC$400,_xlfn.TEXTJOIN(",",TRUE,B54:E54),SF_Output!$Q$1:$Q$400,"monthly")&lt;&gt;0),SUMIFS(SF_Output!$S$1:$S$400,SF_Output!$AC$1:$AC$400,_xlfn.TEXTJOIN(",",TRUE,B54:E54),SF_Output!$Q$1:$Q$400,"monthly"),AND(B54&lt;&gt;"",H54&lt;&gt;SF_Output!$Y$2),SUMIFS(SF_Output!$S$1:$S$400,SF_Output!$AC$1:$AC$400,_xlfn.TEXTJOIN(",",TRUE,B54:E54),SF_Output!$Q$1:$Q$400,"monthly"))</f>
        <v>2225</v>
      </c>
      <c r="W54" s="112" cm="1">
        <f t="array" ref="W54">_xlfn.IFS(OR(B54=0,B54="",V54=0),"",AF54&lt;&gt;"exclusion",MAX($W$9,$W$7,(-(SUMIFS(SF_Output!$T$1:$T$400,SF_Output!$AC$1:$AC$400,_xlfn.TEXTJOIN(",",TRUE,$B54:$E54),SF_Output!$Q$1:$Q$400,"monthly"))/V54)),AF54="exclusion",-(SUMIFS(SF_Output!$T$1:$T$400,SF_Output!$AC$1:$AC$400,_xlfn.TEXTJOIN(",",TRUE,$B54:$E54),SF_Output!$Q$1:$Q$400,"monthly"))/V54)</f>
        <v>0.25</v>
      </c>
      <c r="X54" s="6" cm="1">
        <f t="array" ref="X54">IFERROR(_xlfn.IFS(V54=0,0,V54="","",W54=0,V54,OR(V54&lt;&gt;0,V54&lt;&gt;""),H54*I54),V54*(1-W54))</f>
        <v>1669</v>
      </c>
      <c r="Z54" s="6">
        <f>IFERROR(IF(B54="","",SUMIFS(Billing_Fallout!H:H,Billing_Fallout!N:N,B54)),0)</f>
        <v>0</v>
      </c>
      <c r="AA54" s="6">
        <f t="shared" si="4"/>
        <v>0</v>
      </c>
      <c r="AB54" s="6">
        <f>IFERROR(IF(B54="","",SUMIFS(Billing_Fallout!J:J,Billing_Fallout!N:N,B54)),0)</f>
        <v>0</v>
      </c>
      <c r="AD54" s="6">
        <f t="shared" si="5"/>
        <v>1669</v>
      </c>
      <c r="AF54" t="str">
        <f>IFERROR(INDEX(H_Tables!$B$1:$B$1500,MATCH(INDEX(SF_Output!$J$1:$J$400,MATCH(B54,SF_Output!$M$1:$M$400,0)),H_Tables!$A$1:$A$1500,0)),"")</f>
        <v>Exclusion</v>
      </c>
      <c r="AI54" s="119" t="str">
        <f t="shared" si="6"/>
        <v/>
      </c>
      <c r="AJ54" s="121">
        <f>IFERROR(INDEX(SF_Output!AD:AD,MATCH(_xlfn.TEXTJOIN(",",TRUE,B54:E54),SF_Output!AC1:AC400,0)),0.05)</f>
        <v>88</v>
      </c>
      <c r="AK54" t="str">
        <f>IF(SUMIFS(SF_Output!$F$1:$F$400,SF_Output!$AC$1:$AC$400,_xlfn.TEXTJOIN(",",TRUE,B54:E54))+SUMIFS(SF_Output!$G$1:$G$400,SF_Output!$AC$1:$AC$400,_xlfn.TEXTJOIN(",",TRUE,B54:E54))=0,"","PAP")</f>
        <v>PAP</v>
      </c>
      <c r="AQ54" s="35"/>
      <c r="AR54" s="35" t="str" cm="1">
        <f t="array" ref="AR54">IFERROR(_xlfn.IFS(AND(E54*1=1,F54="Included"),"Change to Included",AND(E54*1=0,F54="Optional"),"Change to Optional",OR(B54="",F54="replaced"),""),"")</f>
        <v/>
      </c>
      <c r="AS54" s="35" t="str">
        <f t="shared" si="7"/>
        <v/>
      </c>
      <c r="AT54" s="35" t="str">
        <f t="shared" si="8"/>
        <v/>
      </c>
      <c r="AU54" s="35" t="str">
        <f t="shared" si="9"/>
        <v/>
      </c>
      <c r="AV54" s="35" t="str">
        <f t="shared" si="10"/>
        <v/>
      </c>
      <c r="AW54" s="35" t="str">
        <f t="shared" si="11"/>
        <v/>
      </c>
      <c r="AX54" s="35" t="str">
        <f t="shared" si="12"/>
        <v/>
      </c>
      <c r="AY54" s="35" t="str">
        <f t="shared" si="13"/>
        <v/>
      </c>
      <c r="AZ54" s="35" t="str">
        <f t="shared" si="14"/>
        <v/>
      </c>
      <c r="BA54" s="35" t="str">
        <f t="shared" si="15"/>
        <v/>
      </c>
      <c r="BB54" s="35" t="str">
        <f t="shared" si="16"/>
        <v/>
      </c>
      <c r="BC54" s="35"/>
      <c r="BE54" s="35">
        <f ca="1">INDEX(SF_Output!$AA$2:$AA$400,MATCH($B54,SF_Output!$M$2:$M$400,0))</f>
        <v>4</v>
      </c>
      <c r="BF54" s="35">
        <f ca="1">INDEX(SF_Output!$AB$2:$AB$400,MATCH($B54,SF_Output!$M$2:$M$400,0))</f>
        <v>2</v>
      </c>
    </row>
    <row r="55" spans="2:58" x14ac:dyDescent="0.25">
      <c r="B55" t="s">
        <v>1354</v>
      </c>
      <c r="C55" t="s">
        <v>2122</v>
      </c>
      <c r="D55" t="s">
        <v>2123</v>
      </c>
      <c r="E55" t="s">
        <v>2124</v>
      </c>
      <c r="F55" s="116" t="str">
        <f t="shared" si="0"/>
        <v>Included</v>
      </c>
      <c r="G55" t="str">
        <f>IF(B55="","",INDEX(SF_Output!$K$1:$K$400,MATCH(B55,SF_Output!$M$1:$M$400,0)))</f>
        <v>OutLink Item Processing</v>
      </c>
      <c r="H55" cm="1">
        <f t="array" ref="H55">_xlfn.IFS(B55="","",(SUMIFS(SF_Output!$F$1:$F$400,SF_Output!$AC$1:$AC$400,_xlfn.TEXTJOIN(",",TRUE,B55:E55))+SUMIFS(SF_Output!$G$1:$G$400,SF_Output!$AC$1:$AC$400,_xlfn.TEXTJOIN(",",TRUE,B55:E55)))&lt;&gt;0,SF_Output!$Y$2,INDEX(SF_Output!$F$1:$F$400,MATCH(_xlfn.TEXTJOIN(",",TRUE,B55:E55),SF_Output!$AC$1:$AC$400,0))=0,INDEX(SF_Output!$R$1:$R$400,MATCH(_xlfn.TEXTJOIN(",",TRUE,B55:E55),SF_Output!$AC$1:$AC$400,0)))</f>
        <v>1</v>
      </c>
      <c r="I55" s="125" t="str">
        <f>IFERROR(IF(AND(H55&gt;1,H55&lt;&gt;""),ROUND(SUMIFS(SF_Output!$S$1:$S$400,SF_Output!$AC$1:$AC$400,_xlfn.TEXTJOIN(",",TRUE,B55:E55),SF_Output!$Q$1:$Q$400,"monthly")*(1-W55)/H55,4),""),"")</f>
        <v/>
      </c>
      <c r="J55" s="6">
        <f>IF(B55="","",SUMIFS(SF_Output!$S$1:$S$400,SF_Output!$AC$1:$AC$400,_xlfn.TEXTJOIN(",",TRUE,B55:E55),SF_Output!$Q$1:$Q$400,"One Time",SF_Output!$L$1:$L$400,"license fee")+SUMIFS(SF_Output!$S$1:$S$400,SF_Output!$AC$1:$AC$400,_xlfn.TEXTJOIN(",",TRUE,B55:E55),SF_Output!$Q$1:$Q$400,"One Time",SF_Output!$L$1:$L$400,"software license")+SUMIFS(SF_Output!$S$1:$S$400,SF_Output!$AC$1:$AC$400,_xlfn.TEXTJOIN(",",TRUE,B55:E55),SF_Output!$Q$1:$Q$400,"One Time",SF_Output!$L$1:$L$400,"hardware"))</f>
        <v>0</v>
      </c>
      <c r="K55" s="112" t="str">
        <f>IF(OR(B55=0,B55="",G55="hardware",J55=0),"",IF(AF55&lt;&gt;"exclusion",MAX(K$9,-((SUMIFS(SF_Output!$T$1:$T$400,SF_Output!$AC$1:$AC$400,_xlfn.TEXTJOIN(",",TRUE,$B55:$E55),SF_Output!$Q$1:$Q$400,"One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license"))/J55)))</f>
        <v/>
      </c>
      <c r="L55" s="6">
        <f t="shared" si="1"/>
        <v>0</v>
      </c>
      <c r="N55" s="6">
        <f>IF(B55="","",SUMIFS(SF_Output!$S$1:$S$400,SF_Output!$AC$1:$AC$400,_xlfn.TEXTJOIN(",",TRUE,B55:E55),SF_Output!$Q$1:$Q$400,"One Time",SF_Output!$L$1:$L$400,"professional service"))</f>
        <v>1125</v>
      </c>
      <c r="O55" s="112">
        <f>IF(OR(B55=0,B55="",N55=0),"",IF(AF55&lt;&gt;"exclusion",MAX(O$9,-(SUMIFS(SF_Output!$T$1:$T$400,SF_Output!$AC$1:$AC$400,_xlfn.TEXTJOIN(",",TRUE,$B55:$E55),SF_Output!$Q$1:$Q$400,"One Time",SF_Output!$L$1:$L$400,"professional service"))/N55),-((SUMIFS(SF_Output!$T$1:$T$400,SF_Output!$AC$1:$AC$400,_xlfn.TEXTJOIN(",",TRUE,$B55:$E55),SF_Output!$Q$1:$Q$400,"One Time",SF_Output!$L$1:$L$400,"professional service")/N55))))</f>
        <v>0</v>
      </c>
      <c r="P55" s="6">
        <f t="shared" si="2"/>
        <v>1125</v>
      </c>
      <c r="R55" s="6">
        <f>IF(B55="","",SUMIFS(SF_Output!$S$1:$S$400,SF_Output!$AC$1:$AC$400,_xlfn.TEXTJOIN(",",TRUE,B55:E55),SF_Output!$Q$1:$Q$400,"yearly")+SUMIFS(SF_Output!$S$1:$S$400,SF_Output!$AC$1:$AC$400,_xlfn.TEXTJOIN(",",TRUE,B55:E55),SF_Output!$Q$1:$Q$400,"quarterly")*4)</f>
        <v>0</v>
      </c>
      <c r="S55" s="112" t="str">
        <f>IF(OR(B55=0,B55="",G55="hardware",R55=0),"",IF(AF55&lt;&gt;"exclusion",MAX(S$9,-(SUMIFS(SF_Output!$T$1:$T$400,SF_Output!$AC$1:$AC$400,_xlfn.TEXTJOIN(",",TRUE,$B55:$E55),SF_Output!$Q$1:$Q$400,"yearly"))/R55),-((SUMIFS(SF_Output!$T$1:$T$400,SF_Output!$AC$1:$AC$400,_xlfn.TEXTJOIN(",",TRUE,$B55:$E55),SF_Output!$Q$1:$Q$400,"yearly")/R55))))</f>
        <v/>
      </c>
      <c r="T55" s="6">
        <f t="shared" si="3"/>
        <v>0</v>
      </c>
      <c r="V55" s="6" cm="1">
        <f t="array" ref="V55">_xlfn.IFS(B55="","",AND(B55&lt;&gt;"",H55=SF_Output!$Y$2,SUMIFS(SF_Output!$T$1:$T$400,SF_Output!$AC$1:$AC$400,_xlfn.TEXTJOIN(",",TRUE,B55:E55),SF_Output!$Q$1:$Q$400,"monthly")=0),(SUMIFS(SF_Output!$F$1:$F$400,SF_Output!$AC$1:$AC$400,_xlfn.TEXTJOIN(",",TRUE,B55:E55),SF_Output!$Q$1:$Q$400,"monthly")+SUMIFS(SF_Output!$G$1:$G$400,SF_Output!$AC$1:$AC$400,_xlfn.TEXTJOIN(",",TRUE,B55:E55),SF_Output!$Q$1:$Q$400,"monthly"))*H55,AND(B55&lt;&gt;"",H55=SF_Output!$Y$2,SUMIFS(SF_Output!$T$1:$T$400,SF_Output!$AC$1:$AC$400,_xlfn.TEXTJOIN(",",TRUE,B55:E55),SF_Output!$Q$1:$Q$400,"monthly")&lt;&gt;0),SUMIFS(SF_Output!$S$1:$S$400,SF_Output!$AC$1:$AC$400,_xlfn.TEXTJOIN(",",TRUE,B55:E55),SF_Output!$Q$1:$Q$400,"monthly"),AND(B55&lt;&gt;"",H55&lt;&gt;SF_Output!$Y$2),SUMIFS(SF_Output!$S$1:$S$400,SF_Output!$AC$1:$AC$400,_xlfn.TEXTJOIN(",",TRUE,B55:E55),SF_Output!$Q$1:$Q$400,"monthly"))</f>
        <v>0</v>
      </c>
      <c r="W55" s="112" t="str" cm="1">
        <f t="array" ref="W55">_xlfn.IFS(OR(B55=0,B55="",V55=0),"",AF55&lt;&gt;"exclusion",MAX($W$9,$W$7,(-(SUMIFS(SF_Output!$T$1:$T$400,SF_Output!$AC$1:$AC$400,_xlfn.TEXTJOIN(",",TRUE,$B55:$E55),SF_Output!$Q$1:$Q$400,"monthly"))/V55)),AF55="exclusion",-(SUMIFS(SF_Output!$T$1:$T$400,SF_Output!$AC$1:$AC$400,_xlfn.TEXTJOIN(",",TRUE,$B55:$E55),SF_Output!$Q$1:$Q$400,"monthly"))/V55)</f>
        <v/>
      </c>
      <c r="X55" s="6" cm="1">
        <f t="array" ref="X55">IFERROR(_xlfn.IFS(V55=0,0,V55="","",W55=0,V55,OR(V55&lt;&gt;0,V55&lt;&gt;""),H55*I55),V55*(1-W55))</f>
        <v>0</v>
      </c>
      <c r="Z55" s="6">
        <f>IFERROR(IF(B55="","",SUMIFS(Billing_Fallout!H:H,Billing_Fallout!N:N,B55)),0)</f>
        <v>0</v>
      </c>
      <c r="AA55" s="6">
        <f t="shared" si="4"/>
        <v>0</v>
      </c>
      <c r="AB55" s="6">
        <f>IFERROR(IF(B55="","",SUMIFS(Billing_Fallout!J:J,Billing_Fallout!N:N,B55)),0)</f>
        <v>0</v>
      </c>
      <c r="AD55" s="6">
        <f t="shared" si="5"/>
        <v>0</v>
      </c>
      <c r="AF55" t="str">
        <f>IFERROR(INDEX(H_Tables!$B$1:$B$1500,MATCH(INDEX(SF_Output!$J$1:$J$400,MATCH(B55,SF_Output!$M$1:$M$400,0)),H_Tables!$A$1:$A$1500,0)),"")</f>
        <v>Exclusion</v>
      </c>
      <c r="AI55" s="119" t="str">
        <f t="shared" si="6"/>
        <v/>
      </c>
      <c r="AJ55" s="121">
        <f>IFERROR(INDEX(SF_Output!AD:AD,MATCH(_xlfn.TEXTJOIN(",",TRUE,B55:E55),SF_Output!AC1:AC400,0)),0.05)</f>
        <v>90</v>
      </c>
      <c r="AK55" t="str">
        <f>IF(SUMIFS(SF_Output!$F$1:$F$400,SF_Output!$AC$1:$AC$400,_xlfn.TEXTJOIN(",",TRUE,B55:E55))+SUMIFS(SF_Output!$G$1:$G$400,SF_Output!$AC$1:$AC$400,_xlfn.TEXTJOIN(",",TRUE,B55:E55))=0,"","PAP")</f>
        <v/>
      </c>
      <c r="AQ55" s="35"/>
      <c r="AR55" s="35" t="str" cm="1">
        <f t="array" ref="AR55">IFERROR(_xlfn.IFS(AND(E55*1=1,F55="Included"),"Change to Included",AND(E55*1=0,F55="Optional"),"Change to Optional",OR(B55="",F55="replaced"),""),"")</f>
        <v/>
      </c>
      <c r="AS55" s="35" t="str">
        <f t="shared" si="7"/>
        <v/>
      </c>
      <c r="AT55" s="35" t="str">
        <f t="shared" si="8"/>
        <v/>
      </c>
      <c r="AU55" s="35" t="str">
        <f t="shared" si="9"/>
        <v/>
      </c>
      <c r="AV55" s="35" t="str">
        <f t="shared" si="10"/>
        <v/>
      </c>
      <c r="AW55" s="35" t="str">
        <f t="shared" si="11"/>
        <v/>
      </c>
      <c r="AX55" s="35" t="str">
        <f t="shared" si="12"/>
        <v/>
      </c>
      <c r="AY55" s="35" t="str">
        <f t="shared" si="13"/>
        <v/>
      </c>
      <c r="AZ55" s="35" t="str">
        <f t="shared" si="14"/>
        <v/>
      </c>
      <c r="BA55" s="35" t="str">
        <f t="shared" si="15"/>
        <v/>
      </c>
      <c r="BB55" s="35" t="str">
        <f t="shared" si="16"/>
        <v/>
      </c>
      <c r="BC55" s="35"/>
      <c r="BE55" s="35">
        <f ca="1">INDEX(SF_Output!$AA$2:$AA$400,MATCH($B55,SF_Output!$M$2:$M$400,0))</f>
        <v>4</v>
      </c>
      <c r="BF55" s="35">
        <f ca="1">INDEX(SF_Output!$AB$2:$AB$400,MATCH($B55,SF_Output!$M$2:$M$400,0))</f>
        <v>2</v>
      </c>
    </row>
    <row r="56" spans="2:58" x14ac:dyDescent="0.25">
      <c r="B56" t="s">
        <v>2259</v>
      </c>
      <c r="C56" t="s">
        <v>2122</v>
      </c>
      <c r="D56" t="s">
        <v>2123</v>
      </c>
      <c r="E56" t="s">
        <v>2124</v>
      </c>
      <c r="F56" s="116" t="str">
        <f t="shared" si="0"/>
        <v>Included</v>
      </c>
      <c r="G56" t="str">
        <f>IF(B56="","",INDEX(SF_Output!$K$1:$K$400,MATCH(B56,SF_Output!$M$1:$M$400,0)))</f>
        <v>OutLink Item Processing</v>
      </c>
      <c r="H56" cm="1">
        <f t="array" ref="H56">_xlfn.IFS(B56="","",(SUMIFS(SF_Output!$F$1:$F$400,SF_Output!$AC$1:$AC$400,_xlfn.TEXTJOIN(",",TRUE,B56:E56))+SUMIFS(SF_Output!$G$1:$G$400,SF_Output!$AC$1:$AC$400,_xlfn.TEXTJOIN(",",TRUE,B56:E56)))&lt;&gt;0,SF_Output!$Y$2,INDEX(SF_Output!$F$1:$F$400,MATCH(_xlfn.TEXTJOIN(",",TRUE,B56:E56),SF_Output!$AC$1:$AC$400,0))=0,INDEX(SF_Output!$R$1:$R$400,MATCH(_xlfn.TEXTJOIN(",",TRUE,B56:E56),SF_Output!$AC$1:$AC$400,0)))</f>
        <v>1</v>
      </c>
      <c r="I56" s="125" t="str">
        <f>IFERROR(IF(AND(H56&gt;1,H56&lt;&gt;""),ROUND(SUMIFS(SF_Output!$S$1:$S$400,SF_Output!$AC$1:$AC$400,_xlfn.TEXTJOIN(",",TRUE,B56:E56),SF_Output!$Q$1:$Q$400,"monthly")*(1-W56)/H56,4),""),"")</f>
        <v/>
      </c>
      <c r="J56" s="6">
        <f>IF(B56="","",SUMIFS(SF_Output!$S$1:$S$400,SF_Output!$AC$1:$AC$400,_xlfn.TEXTJOIN(",",TRUE,B56:E56),SF_Output!$Q$1:$Q$400,"One Time",SF_Output!$L$1:$L$400,"license fee")+SUMIFS(SF_Output!$S$1:$S$400,SF_Output!$AC$1:$AC$400,_xlfn.TEXTJOIN(",",TRUE,B56:E56),SF_Output!$Q$1:$Q$400,"One Time",SF_Output!$L$1:$L$400,"software license")+SUMIFS(SF_Output!$S$1:$S$400,SF_Output!$AC$1:$AC$400,_xlfn.TEXTJOIN(",",TRUE,B56:E56),SF_Output!$Q$1:$Q$400,"One Time",SF_Output!$L$1:$L$400,"hardware"))</f>
        <v>0</v>
      </c>
      <c r="K56" s="112" t="str">
        <f>IF(OR(B56=0,B56="",G56="hardware",J56=0),"",IF(AF56&lt;&gt;"exclusion",MAX(K$9,-((SUMIFS(SF_Output!$T$1:$T$400,SF_Output!$AC$1:$AC$400,_xlfn.TEXTJOIN(",",TRUE,$B56:$E56),SF_Output!$Q$1:$Q$400,"One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license"))/J56)))</f>
        <v/>
      </c>
      <c r="L56" s="6">
        <f t="shared" si="1"/>
        <v>0</v>
      </c>
      <c r="N56" s="6">
        <f>IF(B56="","",SUMIFS(SF_Output!$S$1:$S$400,SF_Output!$AC$1:$AC$400,_xlfn.TEXTJOIN(",",TRUE,B56:E56),SF_Output!$Q$1:$Q$400,"One Time",SF_Output!$L$1:$L$400,"professional service"))</f>
        <v>0</v>
      </c>
      <c r="O56" s="112" t="str">
        <f>IF(OR(B56=0,B56="",N56=0),"",IF(AF56&lt;&gt;"exclusion",MAX(O$9,-(SUMIFS(SF_Output!$T$1:$T$400,SF_Output!$AC$1:$AC$400,_xlfn.TEXTJOIN(",",TRUE,$B56:$E56),SF_Output!$Q$1:$Q$400,"One Time",SF_Output!$L$1:$L$400,"professional service"))/N56),-((SUMIFS(SF_Output!$T$1:$T$400,SF_Output!$AC$1:$AC$400,_xlfn.TEXTJOIN(",",TRUE,$B56:$E56),SF_Output!$Q$1:$Q$400,"One Time",SF_Output!$L$1:$L$400,"professional service")/N56))))</f>
        <v/>
      </c>
      <c r="P56" s="6">
        <f t="shared" si="2"/>
        <v>0</v>
      </c>
      <c r="R56" s="6">
        <f>IF(B56="","",SUMIFS(SF_Output!$S$1:$S$400,SF_Output!$AC$1:$AC$400,_xlfn.TEXTJOIN(",",TRUE,B56:E56),SF_Output!$Q$1:$Q$400,"yearly")+SUMIFS(SF_Output!$S$1:$S$400,SF_Output!$AC$1:$AC$400,_xlfn.TEXTJOIN(",",TRUE,B56:E56),SF_Output!$Q$1:$Q$400,"quarterly")*4)</f>
        <v>0</v>
      </c>
      <c r="S56" s="112" t="str">
        <f>IF(OR(B56=0,B56="",G56="hardware",R56=0),"",IF(AF56&lt;&gt;"exclusion",MAX(S$9,-(SUMIFS(SF_Output!$T$1:$T$400,SF_Output!$AC$1:$AC$400,_xlfn.TEXTJOIN(",",TRUE,$B56:$E56),SF_Output!$Q$1:$Q$400,"yearly"))/R56),-((SUMIFS(SF_Output!$T$1:$T$400,SF_Output!$AC$1:$AC$400,_xlfn.TEXTJOIN(",",TRUE,$B56:$E56),SF_Output!$Q$1:$Q$400,"yearly")/R56))))</f>
        <v/>
      </c>
      <c r="T56" s="6">
        <f t="shared" si="3"/>
        <v>0</v>
      </c>
      <c r="V56" s="6" cm="1">
        <f t="array" ref="V56">_xlfn.IFS(B56="","",AND(B56&lt;&gt;"",H56=SF_Output!$Y$2,SUMIFS(SF_Output!$T$1:$T$400,SF_Output!$AC$1:$AC$400,_xlfn.TEXTJOIN(",",TRUE,B56:E56),SF_Output!$Q$1:$Q$400,"monthly")=0),(SUMIFS(SF_Output!$F$1:$F$400,SF_Output!$AC$1:$AC$400,_xlfn.TEXTJOIN(",",TRUE,B56:E56),SF_Output!$Q$1:$Q$400,"monthly")+SUMIFS(SF_Output!$G$1:$G$400,SF_Output!$AC$1:$AC$400,_xlfn.TEXTJOIN(",",TRUE,B56:E56),SF_Output!$Q$1:$Q$400,"monthly"))*H56,AND(B56&lt;&gt;"",H56=SF_Output!$Y$2,SUMIFS(SF_Output!$T$1:$T$400,SF_Output!$AC$1:$AC$400,_xlfn.TEXTJOIN(",",TRUE,B56:E56),SF_Output!$Q$1:$Q$400,"monthly")&lt;&gt;0),SUMIFS(SF_Output!$S$1:$S$400,SF_Output!$AC$1:$AC$400,_xlfn.TEXTJOIN(",",TRUE,B56:E56),SF_Output!$Q$1:$Q$400,"monthly"),AND(B56&lt;&gt;"",H56&lt;&gt;SF_Output!$Y$2),SUMIFS(SF_Output!$S$1:$S$400,SF_Output!$AC$1:$AC$400,_xlfn.TEXTJOIN(",",TRUE,B56:E56),SF_Output!$Q$1:$Q$400,"monthly"))</f>
        <v>900</v>
      </c>
      <c r="W56" s="112" cm="1">
        <f t="array" ref="W56">_xlfn.IFS(OR(B56=0,B56="",V56=0),"",AF56&lt;&gt;"exclusion",MAX($W$9,$W$7,(-(SUMIFS(SF_Output!$T$1:$T$400,SF_Output!$AC$1:$AC$400,_xlfn.TEXTJOIN(",",TRUE,$B56:$E56),SF_Output!$Q$1:$Q$400,"monthly"))/V56)),AF56="exclusion",-(SUMIFS(SF_Output!$T$1:$T$400,SF_Output!$AC$1:$AC$400,_xlfn.TEXTJOIN(",",TRUE,$B56:$E56),SF_Output!$Q$1:$Q$400,"monthly"))/V56)</f>
        <v>0</v>
      </c>
      <c r="X56" s="6" cm="1">
        <f t="array" ref="X56">IFERROR(_xlfn.IFS(V56=0,0,V56="","",W56=0,V56,OR(V56&lt;&gt;0,V56&lt;&gt;""),H56*I56),V56*(1-W56))</f>
        <v>900</v>
      </c>
      <c r="Z56" s="6">
        <f>IFERROR(IF(B56="","",SUMIFS(Billing_Fallout!H:H,Billing_Fallout!N:N,B56)),0)</f>
        <v>0</v>
      </c>
      <c r="AA56" s="6">
        <f t="shared" si="4"/>
        <v>0</v>
      </c>
      <c r="AB56" s="6">
        <f>IFERROR(IF(B56="","",SUMIFS(Billing_Fallout!J:J,Billing_Fallout!N:N,B56)),0)</f>
        <v>0</v>
      </c>
      <c r="AD56" s="6">
        <f t="shared" si="5"/>
        <v>900</v>
      </c>
      <c r="AF56" t="str">
        <f>IFERROR(INDEX(H_Tables!$B$1:$B$1500,MATCH(INDEX(SF_Output!$J$1:$J$400,MATCH(B56,SF_Output!$M$1:$M$400,0)),H_Tables!$A$1:$A$1500,0)),"")</f>
        <v>Exclusion</v>
      </c>
      <c r="AI56" s="119" t="str">
        <f t="shared" si="6"/>
        <v/>
      </c>
      <c r="AJ56" s="121">
        <f>IFERROR(INDEX(SF_Output!AD:AD,MATCH(_xlfn.TEXTJOIN(",",TRUE,B56:E56),SF_Output!AC1:AC400,0)),0.05)</f>
        <v>91</v>
      </c>
      <c r="AK56" t="str">
        <f>IF(SUMIFS(SF_Output!$F$1:$F$400,SF_Output!$AC$1:$AC$400,_xlfn.TEXTJOIN(",",TRUE,B56:E56))+SUMIFS(SF_Output!$G$1:$G$400,SF_Output!$AC$1:$AC$400,_xlfn.TEXTJOIN(",",TRUE,B56:E56))=0,"","PAP")</f>
        <v/>
      </c>
      <c r="AQ56" s="35"/>
      <c r="AR56" s="35" t="str" cm="1">
        <f t="array" ref="AR56">IFERROR(_xlfn.IFS(AND(E56*1=1,F56="Included"),"Change to Included",AND(E56*1=0,F56="Optional"),"Change to Optional",OR(B56="",F56="replaced"),""),"")</f>
        <v/>
      </c>
      <c r="AS56" s="35" t="str">
        <f t="shared" si="7"/>
        <v/>
      </c>
      <c r="AT56" s="35" t="str">
        <f t="shared" si="8"/>
        <v/>
      </c>
      <c r="AU56" s="35" t="str">
        <f t="shared" si="9"/>
        <v/>
      </c>
      <c r="AV56" s="35" t="str">
        <f t="shared" si="10"/>
        <v/>
      </c>
      <c r="AW56" s="35" t="str">
        <f t="shared" si="11"/>
        <v/>
      </c>
      <c r="AX56" s="35" t="str">
        <f t="shared" si="12"/>
        <v/>
      </c>
      <c r="AY56" s="35" t="str">
        <f t="shared" si="13"/>
        <v/>
      </c>
      <c r="AZ56" s="35" t="str">
        <f t="shared" si="14"/>
        <v/>
      </c>
      <c r="BA56" s="35" t="str">
        <f t="shared" si="15"/>
        <v/>
      </c>
      <c r="BB56" s="35" t="str">
        <f t="shared" si="16"/>
        <v/>
      </c>
      <c r="BC56" s="35"/>
      <c r="BE56" s="35">
        <f ca="1">INDEX(SF_Output!$AA$2:$AA$400,MATCH($B56,SF_Output!$M$2:$M$400,0))</f>
        <v>4</v>
      </c>
      <c r="BF56" s="35">
        <f ca="1">INDEX(SF_Output!$AB$2:$AB$400,MATCH($B56,SF_Output!$M$2:$M$400,0))</f>
        <v>2</v>
      </c>
    </row>
    <row r="57" spans="2:58" x14ac:dyDescent="0.25">
      <c r="B57" t="s">
        <v>1378</v>
      </c>
      <c r="C57" t="s">
        <v>2122</v>
      </c>
      <c r="D57" t="s">
        <v>2123</v>
      </c>
      <c r="E57" t="s">
        <v>2124</v>
      </c>
      <c r="F57" s="116" t="str">
        <f t="shared" si="0"/>
        <v>Included</v>
      </c>
      <c r="G57" t="str">
        <f>IF(B57="","",INDEX(SF_Output!$K$1:$K$400,MATCH(B57,SF_Output!$M$1:$M$400,0)))</f>
        <v>OutLink Item Processing</v>
      </c>
      <c r="H57" cm="1">
        <f t="array" ref="H57">_xlfn.IFS(B57="","",(SUMIFS(SF_Output!$F$1:$F$400,SF_Output!$AC$1:$AC$400,_xlfn.TEXTJOIN(",",TRUE,B57:E57))+SUMIFS(SF_Output!$G$1:$G$400,SF_Output!$AC$1:$AC$400,_xlfn.TEXTJOIN(",",TRUE,B57:E57)))&lt;&gt;0,SF_Output!$Y$2,INDEX(SF_Output!$F$1:$F$400,MATCH(_xlfn.TEXTJOIN(",",TRUE,B57:E57),SF_Output!$AC$1:$AC$400,0))=0,INDEX(SF_Output!$R$1:$R$400,MATCH(_xlfn.TEXTJOIN(",",TRUE,B57:E57),SF_Output!$AC$1:$AC$400,0)))</f>
        <v>1</v>
      </c>
      <c r="I57" s="125" t="str">
        <f>IFERROR(IF(AND(H57&gt;1,H57&lt;&gt;""),ROUND(SUMIFS(SF_Output!$S$1:$S$400,SF_Output!$AC$1:$AC$400,_xlfn.TEXTJOIN(",",TRUE,B57:E57),SF_Output!$Q$1:$Q$400,"monthly")*(1-W57)/H57,4),""),"")</f>
        <v/>
      </c>
      <c r="J57" s="6">
        <f>IF(B57="","",SUMIFS(SF_Output!$S$1:$S$400,SF_Output!$AC$1:$AC$400,_xlfn.TEXTJOIN(",",TRUE,B57:E57),SF_Output!$Q$1:$Q$400,"One Time",SF_Output!$L$1:$L$400,"license fee")+SUMIFS(SF_Output!$S$1:$S$400,SF_Output!$AC$1:$AC$400,_xlfn.TEXTJOIN(",",TRUE,B57:E57),SF_Output!$Q$1:$Q$400,"One Time",SF_Output!$L$1:$L$400,"software license")+SUMIFS(SF_Output!$S$1:$S$400,SF_Output!$AC$1:$AC$400,_xlfn.TEXTJOIN(",",TRUE,B57:E57),SF_Output!$Q$1:$Q$400,"One Time",SF_Output!$L$1:$L$400,"hardware"))</f>
        <v>0</v>
      </c>
      <c r="K57" s="112" t="str">
        <f>IF(OR(B57=0,B57="",G57="hardware",J57=0),"",IF(AF57&lt;&gt;"exclusion",MAX(K$9,-((SUMIFS(SF_Output!$T$1:$T$400,SF_Output!$AC$1:$AC$400,_xlfn.TEXTJOIN(",",TRUE,$B57:$E57),SF_Output!$Q$1:$Q$400,"One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license"))/J57)))</f>
        <v/>
      </c>
      <c r="L57" s="6">
        <f t="shared" si="1"/>
        <v>0</v>
      </c>
      <c r="N57" s="6">
        <f>IF(B57="","",SUMIFS(SF_Output!$S$1:$S$400,SF_Output!$AC$1:$AC$400,_xlfn.TEXTJOIN(",",TRUE,B57:E57),SF_Output!$Q$1:$Q$400,"One Time",SF_Output!$L$1:$L$400,"professional service"))</f>
        <v>500</v>
      </c>
      <c r="O57" s="112">
        <f>IF(OR(B57=0,B57="",N57=0),"",IF(AF57&lt;&gt;"exclusion",MAX(O$9,-(SUMIFS(SF_Output!$T$1:$T$400,SF_Output!$AC$1:$AC$400,_xlfn.TEXTJOIN(",",TRUE,$B57:$E57),SF_Output!$Q$1:$Q$400,"One Time",SF_Output!$L$1:$L$400,"professional service"))/N57),-((SUMIFS(SF_Output!$T$1:$T$400,SF_Output!$AC$1:$AC$400,_xlfn.TEXTJOIN(",",TRUE,$B57:$E57),SF_Output!$Q$1:$Q$400,"One Time",SF_Output!$L$1:$L$400,"professional service")/N57))))</f>
        <v>1</v>
      </c>
      <c r="P57" s="6">
        <f t="shared" si="2"/>
        <v>0</v>
      </c>
      <c r="R57" s="6">
        <f>IF(B57="","",SUMIFS(SF_Output!$S$1:$S$400,SF_Output!$AC$1:$AC$400,_xlfn.TEXTJOIN(",",TRUE,B57:E57),SF_Output!$Q$1:$Q$400,"yearly")+SUMIFS(SF_Output!$S$1:$S$400,SF_Output!$AC$1:$AC$400,_xlfn.TEXTJOIN(",",TRUE,B57:E57),SF_Output!$Q$1:$Q$400,"quarterly")*4)</f>
        <v>0</v>
      </c>
      <c r="S57" s="112" t="str">
        <f>IF(OR(B57=0,B57="",G57="hardware",R57=0),"",IF(AF57&lt;&gt;"exclusion",MAX(S$9,-(SUMIFS(SF_Output!$T$1:$T$400,SF_Output!$AC$1:$AC$400,_xlfn.TEXTJOIN(",",TRUE,$B57:$E57),SF_Output!$Q$1:$Q$400,"yearly"))/R57),-((SUMIFS(SF_Output!$T$1:$T$400,SF_Output!$AC$1:$AC$400,_xlfn.TEXTJOIN(",",TRUE,$B57:$E57),SF_Output!$Q$1:$Q$400,"yearly")/R57))))</f>
        <v/>
      </c>
      <c r="T57" s="6">
        <f t="shared" si="3"/>
        <v>0</v>
      </c>
      <c r="V57" s="6" cm="1">
        <f t="array" ref="V57">_xlfn.IFS(B57="","",AND(B57&lt;&gt;"",H57=SF_Output!$Y$2,SUMIFS(SF_Output!$T$1:$T$400,SF_Output!$AC$1:$AC$400,_xlfn.TEXTJOIN(",",TRUE,B57:E57),SF_Output!$Q$1:$Q$400,"monthly")=0),(SUMIFS(SF_Output!$F$1:$F$400,SF_Output!$AC$1:$AC$400,_xlfn.TEXTJOIN(",",TRUE,B57:E57),SF_Output!$Q$1:$Q$400,"monthly")+SUMIFS(SF_Output!$G$1:$G$400,SF_Output!$AC$1:$AC$400,_xlfn.TEXTJOIN(",",TRUE,B57:E57),SF_Output!$Q$1:$Q$400,"monthly"))*H57,AND(B57&lt;&gt;"",H57=SF_Output!$Y$2,SUMIFS(SF_Output!$T$1:$T$400,SF_Output!$AC$1:$AC$400,_xlfn.TEXTJOIN(",",TRUE,B57:E57),SF_Output!$Q$1:$Q$400,"monthly")&lt;&gt;0),SUMIFS(SF_Output!$S$1:$S$400,SF_Output!$AC$1:$AC$400,_xlfn.TEXTJOIN(",",TRUE,B57:E57),SF_Output!$Q$1:$Q$400,"monthly"),AND(B57&lt;&gt;"",H57&lt;&gt;SF_Output!$Y$2),SUMIFS(SF_Output!$S$1:$S$400,SF_Output!$AC$1:$AC$400,_xlfn.TEXTJOIN(",",TRUE,B57:E57),SF_Output!$Q$1:$Q$400,"monthly"))</f>
        <v>0</v>
      </c>
      <c r="W57" s="112" t="str" cm="1">
        <f t="array" ref="W57">_xlfn.IFS(OR(B57=0,B57="",V57=0),"",AF57&lt;&gt;"exclusion",MAX($W$9,$W$7,(-(SUMIFS(SF_Output!$T$1:$T$400,SF_Output!$AC$1:$AC$400,_xlfn.TEXTJOIN(",",TRUE,$B57:$E57),SF_Output!$Q$1:$Q$400,"monthly"))/V57)),AF57="exclusion",-(SUMIFS(SF_Output!$T$1:$T$400,SF_Output!$AC$1:$AC$400,_xlfn.TEXTJOIN(",",TRUE,$B57:$E57),SF_Output!$Q$1:$Q$400,"monthly"))/V57)</f>
        <v/>
      </c>
      <c r="X57" s="6" cm="1">
        <f t="array" ref="X57">IFERROR(_xlfn.IFS(V57=0,0,V57="","",W57=0,V57,OR(V57&lt;&gt;0,V57&lt;&gt;""),H57*I57),V57*(1-W57))</f>
        <v>0</v>
      </c>
      <c r="Z57" s="6">
        <f>IFERROR(IF(B57="","",SUMIFS(Billing_Fallout!H:H,Billing_Fallout!N:N,B57)),0)</f>
        <v>0</v>
      </c>
      <c r="AA57" s="6">
        <f t="shared" si="4"/>
        <v>0</v>
      </c>
      <c r="AB57" s="6">
        <f>IFERROR(IF(B57="","",SUMIFS(Billing_Fallout!J:J,Billing_Fallout!N:N,B57)),0)</f>
        <v>0</v>
      </c>
      <c r="AD57" s="6">
        <f t="shared" si="5"/>
        <v>0</v>
      </c>
      <c r="AF57" t="str">
        <f>IFERROR(INDEX(H_Tables!$B$1:$B$1500,MATCH(INDEX(SF_Output!$J$1:$J$400,MATCH(B57,SF_Output!$M$1:$M$400,0)),H_Tables!$A$1:$A$1500,0)),"")</f>
        <v>Exclusion</v>
      </c>
      <c r="AI57" s="119" t="str">
        <f t="shared" si="6"/>
        <v/>
      </c>
      <c r="AJ57" s="121">
        <f>IFERROR(INDEX(SF_Output!AD:AD,MATCH(_xlfn.TEXTJOIN(",",TRUE,B57:E57),SF_Output!AC1:AC400,0)),0.05)</f>
        <v>92</v>
      </c>
      <c r="AK57" t="str">
        <f>IF(SUMIFS(SF_Output!$F$1:$F$400,SF_Output!$AC$1:$AC$400,_xlfn.TEXTJOIN(",",TRUE,B57:E57))+SUMIFS(SF_Output!$G$1:$G$400,SF_Output!$AC$1:$AC$400,_xlfn.TEXTJOIN(",",TRUE,B57:E57))=0,"","PAP")</f>
        <v/>
      </c>
      <c r="AQ57" s="35"/>
      <c r="AR57" s="35" t="str" cm="1">
        <f t="array" ref="AR57">IFERROR(_xlfn.IFS(AND(E57*1=1,F57="Included"),"Change to Included",AND(E57*1=0,F57="Optional"),"Change to Optional",OR(B57="",F57="replaced"),""),"")</f>
        <v/>
      </c>
      <c r="AS57" s="35" t="str">
        <f t="shared" si="7"/>
        <v/>
      </c>
      <c r="AT57" s="35" t="str">
        <f t="shared" si="8"/>
        <v/>
      </c>
      <c r="AU57" s="35" t="str">
        <f t="shared" si="9"/>
        <v/>
      </c>
      <c r="AV57" s="35" t="str">
        <f t="shared" si="10"/>
        <v/>
      </c>
      <c r="AW57" s="35" t="str">
        <f t="shared" si="11"/>
        <v/>
      </c>
      <c r="AX57" s="35" t="str">
        <f t="shared" si="12"/>
        <v/>
      </c>
      <c r="AY57" s="35" t="str">
        <f t="shared" si="13"/>
        <v/>
      </c>
      <c r="AZ57" s="35" t="str">
        <f t="shared" si="14"/>
        <v/>
      </c>
      <c r="BA57" s="35" t="str">
        <f t="shared" si="15"/>
        <v/>
      </c>
      <c r="BB57" s="35" t="str">
        <f t="shared" si="16"/>
        <v/>
      </c>
      <c r="BC57" s="35"/>
      <c r="BE57" s="35">
        <f ca="1">INDEX(SF_Output!$AA$2:$AA$400,MATCH($B57,SF_Output!$M$2:$M$400,0))</f>
        <v>4</v>
      </c>
      <c r="BF57" s="35">
        <f ca="1">INDEX(SF_Output!$AB$2:$AB$400,MATCH($B57,SF_Output!$M$2:$M$400,0))</f>
        <v>2</v>
      </c>
    </row>
    <row r="58" spans="2:58" x14ac:dyDescent="0.25">
      <c r="B58" t="s">
        <v>1407</v>
      </c>
      <c r="C58" t="s">
        <v>2122</v>
      </c>
      <c r="D58" t="s">
        <v>2207</v>
      </c>
      <c r="E58" t="s">
        <v>2150</v>
      </c>
      <c r="F58" s="116" t="str">
        <f t="shared" si="0"/>
        <v>Optional</v>
      </c>
      <c r="G58" t="str">
        <f>IF(B58="","",INDEX(SF_Output!$K$1:$K$400,MATCH(B58,SF_Output!$M$1:$M$400,0)))</f>
        <v>AlertCenter</v>
      </c>
      <c r="H58" cm="1">
        <f t="array" ref="H58">_xlfn.IFS(B58="","",(SUMIFS(SF_Output!$F$1:$F$400,SF_Output!$AC$1:$AC$400,_xlfn.TEXTJOIN(",",TRUE,B58:E58))+SUMIFS(SF_Output!$G$1:$G$400,SF_Output!$AC$1:$AC$400,_xlfn.TEXTJOIN(",",TRUE,B58:E58)))&lt;&gt;0,SF_Output!$Y$2,INDEX(SF_Output!$F$1:$F$400,MATCH(_xlfn.TEXTJOIN(",",TRUE,B58:E58),SF_Output!$AC$1:$AC$400,0))=0,INDEX(SF_Output!$R$1:$R$400,MATCH(_xlfn.TEXTJOIN(",",TRUE,B58:E58),SF_Output!$AC$1:$AC$400,0)))</f>
        <v>1</v>
      </c>
      <c r="I58" s="125" t="str">
        <f>IFERROR(IF(AND(H58&gt;1,H58&lt;&gt;""),ROUND(SUMIFS(SF_Output!$S$1:$S$400,SF_Output!$AC$1:$AC$400,_xlfn.TEXTJOIN(",",TRUE,B58:E58),SF_Output!$Q$1:$Q$400,"monthly")*(1-W58)/H58,4),""),"")</f>
        <v/>
      </c>
      <c r="J58" s="6">
        <f>IF(B58="","",SUMIFS(SF_Output!$S$1:$S$400,SF_Output!$AC$1:$AC$400,_xlfn.TEXTJOIN(",",TRUE,B58:E58),SF_Output!$Q$1:$Q$400,"One Time",SF_Output!$L$1:$L$400,"license fee")+SUMIFS(SF_Output!$S$1:$S$400,SF_Output!$AC$1:$AC$400,_xlfn.TEXTJOIN(",",TRUE,B58:E58),SF_Output!$Q$1:$Q$400,"One Time",SF_Output!$L$1:$L$400,"software license")+SUMIFS(SF_Output!$S$1:$S$400,SF_Output!$AC$1:$AC$400,_xlfn.TEXTJOIN(",",TRUE,B58:E58),SF_Output!$Q$1:$Q$400,"One Time",SF_Output!$L$1:$L$400,"hardware"))</f>
        <v>0</v>
      </c>
      <c r="K58" s="112" t="str">
        <f>IF(OR(B58=0,B58="",G58="hardware",J58=0),"",IF(AF58&lt;&gt;"exclusion",MAX(K$9,-((SUMIFS(SF_Output!$T$1:$T$400,SF_Output!$AC$1:$AC$400,_xlfn.TEXTJOIN(",",TRUE,$B58:$E58),SF_Output!$Q$1:$Q$400,"One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license"))/J58)))</f>
        <v/>
      </c>
      <c r="L58" s="6">
        <f t="shared" si="1"/>
        <v>0</v>
      </c>
      <c r="N58" s="6">
        <f>IF(B58="","",SUMIFS(SF_Output!$S$1:$S$400,SF_Output!$AC$1:$AC$400,_xlfn.TEXTJOIN(",",TRUE,B58:E58),SF_Output!$Q$1:$Q$400,"One Time",SF_Output!$L$1:$L$400,"professional service"))</f>
        <v>0</v>
      </c>
      <c r="O58" s="112" t="str">
        <f>IF(OR(B58=0,B58="",N58=0),"",IF(AF58&lt;&gt;"exclusion",MAX(O$9,-(SUMIFS(SF_Output!$T$1:$T$400,SF_Output!$AC$1:$AC$400,_xlfn.TEXTJOIN(",",TRUE,$B58:$E58),SF_Output!$Q$1:$Q$400,"One Time",SF_Output!$L$1:$L$400,"professional service"))/N58),-((SUMIFS(SF_Output!$T$1:$T$400,SF_Output!$AC$1:$AC$400,_xlfn.TEXTJOIN(",",TRUE,$B58:$E58),SF_Output!$Q$1:$Q$400,"One Time",SF_Output!$L$1:$L$400,"professional service")/N58))))</f>
        <v/>
      </c>
      <c r="P58" s="6">
        <f t="shared" si="2"/>
        <v>0</v>
      </c>
      <c r="R58" s="6">
        <f>IF(B58="","",SUMIFS(SF_Output!$S$1:$S$400,SF_Output!$AC$1:$AC$400,_xlfn.TEXTJOIN(",",TRUE,B58:E58),SF_Output!$Q$1:$Q$400,"yearly")+SUMIFS(SF_Output!$S$1:$S$400,SF_Output!$AC$1:$AC$400,_xlfn.TEXTJOIN(",",TRUE,B58:E58),SF_Output!$Q$1:$Q$400,"quarterly")*4)</f>
        <v>0</v>
      </c>
      <c r="S58" s="112" t="str">
        <f>IF(OR(B58=0,B58="",G58="hardware",R58=0),"",IF(AF58&lt;&gt;"exclusion",MAX(S$9,-(SUMIFS(SF_Output!$T$1:$T$400,SF_Output!$AC$1:$AC$400,_xlfn.TEXTJOIN(",",TRUE,$B58:$E58),SF_Output!$Q$1:$Q$400,"yearly"))/R58),-((SUMIFS(SF_Output!$T$1:$T$400,SF_Output!$AC$1:$AC$400,_xlfn.TEXTJOIN(",",TRUE,$B58:$E58),SF_Output!$Q$1:$Q$400,"yearly")/R58))))</f>
        <v/>
      </c>
      <c r="T58" s="6">
        <f t="shared" si="3"/>
        <v>0</v>
      </c>
      <c r="V58" s="6" cm="1">
        <f t="array" ref="V58">_xlfn.IFS(B58="","",AND(B58&lt;&gt;"",H58=SF_Output!$Y$2,SUMIFS(SF_Output!$T$1:$T$400,SF_Output!$AC$1:$AC$400,_xlfn.TEXTJOIN(",",TRUE,B58:E58),SF_Output!$Q$1:$Q$400,"monthly")=0),(SUMIFS(SF_Output!$F$1:$F$400,SF_Output!$AC$1:$AC$400,_xlfn.TEXTJOIN(",",TRUE,B58:E58),SF_Output!$Q$1:$Q$400,"monthly")+SUMIFS(SF_Output!$G$1:$G$400,SF_Output!$AC$1:$AC$400,_xlfn.TEXTJOIN(",",TRUE,B58:E58),SF_Output!$Q$1:$Q$400,"monthly"))*H58,AND(B58&lt;&gt;"",H58=SF_Output!$Y$2,SUMIFS(SF_Output!$T$1:$T$400,SF_Output!$AC$1:$AC$400,_xlfn.TEXTJOIN(",",TRUE,B58:E58),SF_Output!$Q$1:$Q$400,"monthly")&lt;&gt;0),SUMIFS(SF_Output!$S$1:$S$400,SF_Output!$AC$1:$AC$400,_xlfn.TEXTJOIN(",",TRUE,B58:E58),SF_Output!$Q$1:$Q$400,"monthly"),AND(B58&lt;&gt;"",H58&lt;&gt;SF_Output!$Y$2),SUMIFS(SF_Output!$S$1:$S$400,SF_Output!$AC$1:$AC$400,_xlfn.TEXTJOIN(",",TRUE,B58:E58),SF_Output!$Q$1:$Q$400,"monthly"))</f>
        <v>420</v>
      </c>
      <c r="W58" s="112" cm="1">
        <f t="array" ref="W58">_xlfn.IFS(OR(B58=0,B58="",V58=0),"",AF58&lt;&gt;"exclusion",MAX($W$9,$W$7,(-(SUMIFS(SF_Output!$T$1:$T$400,SF_Output!$AC$1:$AC$400,_xlfn.TEXTJOIN(",",TRUE,$B58:$E58),SF_Output!$Q$1:$Q$400,"monthly"))/V58)),AF58="exclusion",-(SUMIFS(SF_Output!$T$1:$T$400,SF_Output!$AC$1:$AC$400,_xlfn.TEXTJOIN(",",TRUE,$B58:$E58),SF_Output!$Q$1:$Q$400,"monthly"))/V58)</f>
        <v>0</v>
      </c>
      <c r="X58" s="6" cm="1">
        <f t="array" ref="X58">IFERROR(_xlfn.IFS(V58=0,0,V58="","",W58=0,V58,OR(V58&lt;&gt;0,V58&lt;&gt;""),H58*I58),V58*(1-W58))</f>
        <v>420</v>
      </c>
      <c r="Z58" s="6">
        <f>IFERROR(IF(B58="","",SUMIFS(Billing_Fallout!H:H,Billing_Fallout!N:N,B58)),0)</f>
        <v>0</v>
      </c>
      <c r="AA58" s="6">
        <f t="shared" si="4"/>
        <v>0</v>
      </c>
      <c r="AB58" s="6">
        <f>IFERROR(IF(B58="","",SUMIFS(Billing_Fallout!J:J,Billing_Fallout!N:N,B58)),0)</f>
        <v>0</v>
      </c>
      <c r="AD58" s="6">
        <f t="shared" si="5"/>
        <v>420</v>
      </c>
      <c r="AF58" t="str">
        <f>IFERROR(INDEX(H_Tables!$B$1:$B$1500,MATCH(INDEX(SF_Output!$J$1:$J$400,MATCH(B58,SF_Output!$M$1:$M$400,0)),H_Tables!$A$1:$A$1500,0)),"")</f>
        <v>Exclusion</v>
      </c>
      <c r="AI58" s="119" t="str">
        <f t="shared" si="6"/>
        <v/>
      </c>
      <c r="AJ58" s="121">
        <f>IFERROR(INDEX(SF_Output!AD:AD,MATCH(_xlfn.TEXTJOIN(",",TRUE,B58:E58),SF_Output!AC1:AC400,0)),0.05)</f>
        <v>93</v>
      </c>
      <c r="AK58" t="str">
        <f>IF(SUMIFS(SF_Output!$F$1:$F$400,SF_Output!$AC$1:$AC$400,_xlfn.TEXTJOIN(",",TRUE,B58:E58))+SUMIFS(SF_Output!$G$1:$G$400,SF_Output!$AC$1:$AC$400,_xlfn.TEXTJOIN(",",TRUE,B58:E58))=0,"","PAP")</f>
        <v/>
      </c>
      <c r="AQ58" s="35"/>
      <c r="AR58" s="35" t="str" cm="1">
        <f t="array" ref="AR58">IFERROR(_xlfn.IFS(AND(E58*1=1,F58="Included"),"Change to Included",AND(E58*1=0,F58="Optional"),"Change to Optional",OR(B58="",F58="replaced"),""),"")</f>
        <v/>
      </c>
      <c r="AS58" s="35" t="str">
        <f t="shared" si="7"/>
        <v/>
      </c>
      <c r="AT58" s="35" t="str">
        <f t="shared" si="8"/>
        <v/>
      </c>
      <c r="AU58" s="35" t="str">
        <f t="shared" si="9"/>
        <v/>
      </c>
      <c r="AV58" s="35" t="str">
        <f t="shared" si="10"/>
        <v/>
      </c>
      <c r="AW58" s="35" t="str">
        <f t="shared" si="11"/>
        <v/>
      </c>
      <c r="AX58" s="35" t="str">
        <f t="shared" si="12"/>
        <v/>
      </c>
      <c r="AY58" s="35" t="str">
        <f t="shared" si="13"/>
        <v/>
      </c>
      <c r="AZ58" s="35" t="str">
        <f t="shared" si="14"/>
        <v/>
      </c>
      <c r="BA58" s="35" t="str">
        <f t="shared" si="15"/>
        <v/>
      </c>
      <c r="BB58" s="35" t="str">
        <f t="shared" si="16"/>
        <v/>
      </c>
      <c r="BC58" s="35"/>
      <c r="BE58" s="35">
        <f ca="1">INDEX(SF_Output!$AA$2:$AA$400,MATCH($B58,SF_Output!$M$2:$M$400,0))</f>
        <v>4</v>
      </c>
      <c r="BF58" s="35">
        <f ca="1">INDEX(SF_Output!$AB$2:$AB$400,MATCH($B58,SF_Output!$M$2:$M$400,0))</f>
        <v>4</v>
      </c>
    </row>
    <row r="59" spans="2:58" x14ac:dyDescent="0.25">
      <c r="B59" t="s">
        <v>1409</v>
      </c>
      <c r="C59" t="s">
        <v>2122</v>
      </c>
      <c r="D59" t="s">
        <v>2207</v>
      </c>
      <c r="E59" t="s">
        <v>2150</v>
      </c>
      <c r="F59" s="116" t="str">
        <f t="shared" si="0"/>
        <v>Optional</v>
      </c>
      <c r="G59" t="str">
        <f>IF(B59="","",INDEX(SF_Output!$K$1:$K$400,MATCH(B59,SF_Output!$M$1:$M$400,0)))</f>
        <v>AlertCenter</v>
      </c>
      <c r="H59" cm="1">
        <f t="array" ref="H59">_xlfn.IFS(B59="","",(SUMIFS(SF_Output!$F$1:$F$400,SF_Output!$AC$1:$AC$400,_xlfn.TEXTJOIN(",",TRUE,B59:E59))+SUMIFS(SF_Output!$G$1:$G$400,SF_Output!$AC$1:$AC$400,_xlfn.TEXTJOIN(",",TRUE,B59:E59)))&lt;&gt;0,SF_Output!$Y$2,INDEX(SF_Output!$F$1:$F$400,MATCH(_xlfn.TEXTJOIN(",",TRUE,B59:E59),SF_Output!$AC$1:$AC$400,0))=0,INDEX(SF_Output!$R$1:$R$400,MATCH(_xlfn.TEXTJOIN(",",TRUE,B59:E59),SF_Output!$AC$1:$AC$400,0)))</f>
        <v>1</v>
      </c>
      <c r="I59" s="125" t="str">
        <f>IFERROR(IF(AND(H59&gt;1,H59&lt;&gt;""),ROUND(SUMIFS(SF_Output!$S$1:$S$400,SF_Output!$AC$1:$AC$400,_xlfn.TEXTJOIN(",",TRUE,B59:E59),SF_Output!$Q$1:$Q$400,"monthly")*(1-W59)/H59,4),""),"")</f>
        <v/>
      </c>
      <c r="J59" s="6">
        <f>IF(B59="","",SUMIFS(SF_Output!$S$1:$S$400,SF_Output!$AC$1:$AC$400,_xlfn.TEXTJOIN(",",TRUE,B59:E59),SF_Output!$Q$1:$Q$400,"One Time",SF_Output!$L$1:$L$400,"license fee")+SUMIFS(SF_Output!$S$1:$S$400,SF_Output!$AC$1:$AC$400,_xlfn.TEXTJOIN(",",TRUE,B59:E59),SF_Output!$Q$1:$Q$400,"One Time",SF_Output!$L$1:$L$400,"software license")+SUMIFS(SF_Output!$S$1:$S$400,SF_Output!$AC$1:$AC$400,_xlfn.TEXTJOIN(",",TRUE,B59:E59),SF_Output!$Q$1:$Q$400,"One Time",SF_Output!$L$1:$L$400,"hardware"))</f>
        <v>0</v>
      </c>
      <c r="K59" s="112" t="str">
        <f>IF(OR(B59=0,B59="",G59="hardware",J59=0),"",IF(AF59&lt;&gt;"exclusion",MAX(K$9,-((SUMIFS(SF_Output!$T$1:$T$400,SF_Output!$AC$1:$AC$400,_xlfn.TEXTJOIN(",",TRUE,$B59:$E59),SF_Output!$Q$1:$Q$400,"One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license"))/J59)))</f>
        <v/>
      </c>
      <c r="L59" s="6">
        <f t="shared" si="1"/>
        <v>0</v>
      </c>
      <c r="N59" s="6">
        <f>IF(B59="","",SUMIFS(SF_Output!$S$1:$S$400,SF_Output!$AC$1:$AC$400,_xlfn.TEXTJOIN(",",TRUE,B59:E59),SF_Output!$Q$1:$Q$400,"One Time",SF_Output!$L$1:$L$400,"professional service"))</f>
        <v>825</v>
      </c>
      <c r="O59" s="112">
        <f>IF(OR(B59=0,B59="",N59=0),"",IF(AF59&lt;&gt;"exclusion",MAX(O$9,-(SUMIFS(SF_Output!$T$1:$T$400,SF_Output!$AC$1:$AC$400,_xlfn.TEXTJOIN(",",TRUE,$B59:$E59),SF_Output!$Q$1:$Q$400,"One Time",SF_Output!$L$1:$L$400,"professional service"))/N59),-((SUMIFS(SF_Output!$T$1:$T$400,SF_Output!$AC$1:$AC$400,_xlfn.TEXTJOIN(",",TRUE,$B59:$E59),SF_Output!$Q$1:$Q$400,"One Time",SF_Output!$L$1:$L$400,"professional service")/N59))))</f>
        <v>0</v>
      </c>
      <c r="P59" s="6">
        <f t="shared" si="2"/>
        <v>825</v>
      </c>
      <c r="R59" s="6">
        <f>IF(B59="","",SUMIFS(SF_Output!$S$1:$S$400,SF_Output!$AC$1:$AC$400,_xlfn.TEXTJOIN(",",TRUE,B59:E59),SF_Output!$Q$1:$Q$400,"yearly")+SUMIFS(SF_Output!$S$1:$S$400,SF_Output!$AC$1:$AC$400,_xlfn.TEXTJOIN(",",TRUE,B59:E59),SF_Output!$Q$1:$Q$400,"quarterly")*4)</f>
        <v>0</v>
      </c>
      <c r="S59" s="112" t="str">
        <f>IF(OR(B59=0,B59="",G59="hardware",R59=0),"",IF(AF59&lt;&gt;"exclusion",MAX(S$9,-(SUMIFS(SF_Output!$T$1:$T$400,SF_Output!$AC$1:$AC$400,_xlfn.TEXTJOIN(",",TRUE,$B59:$E59),SF_Output!$Q$1:$Q$400,"yearly"))/R59),-((SUMIFS(SF_Output!$T$1:$T$400,SF_Output!$AC$1:$AC$400,_xlfn.TEXTJOIN(",",TRUE,$B59:$E59),SF_Output!$Q$1:$Q$400,"yearly")/R59))))</f>
        <v/>
      </c>
      <c r="T59" s="6">
        <f t="shared" si="3"/>
        <v>0</v>
      </c>
      <c r="V59" s="6" cm="1">
        <f t="array" ref="V59">_xlfn.IFS(B59="","",AND(B59&lt;&gt;"",H59=SF_Output!$Y$2,SUMIFS(SF_Output!$T$1:$T$400,SF_Output!$AC$1:$AC$400,_xlfn.TEXTJOIN(",",TRUE,B59:E59),SF_Output!$Q$1:$Q$400,"monthly")=0),(SUMIFS(SF_Output!$F$1:$F$400,SF_Output!$AC$1:$AC$400,_xlfn.TEXTJOIN(",",TRUE,B59:E59),SF_Output!$Q$1:$Q$400,"monthly")+SUMIFS(SF_Output!$G$1:$G$400,SF_Output!$AC$1:$AC$400,_xlfn.TEXTJOIN(",",TRUE,B59:E59),SF_Output!$Q$1:$Q$400,"monthly"))*H59,AND(B59&lt;&gt;"",H59=SF_Output!$Y$2,SUMIFS(SF_Output!$T$1:$T$400,SF_Output!$AC$1:$AC$400,_xlfn.TEXTJOIN(",",TRUE,B59:E59),SF_Output!$Q$1:$Q$400,"monthly")&lt;&gt;0),SUMIFS(SF_Output!$S$1:$S$400,SF_Output!$AC$1:$AC$400,_xlfn.TEXTJOIN(",",TRUE,B59:E59),SF_Output!$Q$1:$Q$400,"monthly"),AND(B59&lt;&gt;"",H59&lt;&gt;SF_Output!$Y$2),SUMIFS(SF_Output!$S$1:$S$400,SF_Output!$AC$1:$AC$400,_xlfn.TEXTJOIN(",",TRUE,B59:E59),SF_Output!$Q$1:$Q$400,"monthly"))</f>
        <v>0</v>
      </c>
      <c r="W59" s="112" t="str" cm="1">
        <f t="array" ref="W59">_xlfn.IFS(OR(B59=0,B59="",V59=0),"",AF59&lt;&gt;"exclusion",MAX($W$9,$W$7,(-(SUMIFS(SF_Output!$T$1:$T$400,SF_Output!$AC$1:$AC$400,_xlfn.TEXTJOIN(",",TRUE,$B59:$E59),SF_Output!$Q$1:$Q$400,"monthly"))/V59)),AF59="exclusion",-(SUMIFS(SF_Output!$T$1:$T$400,SF_Output!$AC$1:$AC$400,_xlfn.TEXTJOIN(",",TRUE,$B59:$E59),SF_Output!$Q$1:$Q$400,"monthly"))/V59)</f>
        <v/>
      </c>
      <c r="X59" s="6" cm="1">
        <f t="array" ref="X59">IFERROR(_xlfn.IFS(V59=0,0,V59="","",W59=0,V59,OR(V59&lt;&gt;0,V59&lt;&gt;""),H59*I59),V59*(1-W59))</f>
        <v>0</v>
      </c>
      <c r="Z59" s="6">
        <f>IFERROR(IF(B59="","",SUMIFS(Billing_Fallout!H:H,Billing_Fallout!N:N,B59)),0)</f>
        <v>0</v>
      </c>
      <c r="AA59" s="6">
        <f t="shared" si="4"/>
        <v>0</v>
      </c>
      <c r="AB59" s="6">
        <f>IFERROR(IF(B59="","",SUMIFS(Billing_Fallout!J:J,Billing_Fallout!N:N,B59)),0)</f>
        <v>0</v>
      </c>
      <c r="AD59" s="6">
        <f t="shared" si="5"/>
        <v>0</v>
      </c>
      <c r="AF59" t="str">
        <f>IFERROR(INDEX(H_Tables!$B$1:$B$1500,MATCH(INDEX(SF_Output!$J$1:$J$400,MATCH(B59,SF_Output!$M$1:$M$400,0)),H_Tables!$A$1:$A$1500,0)),"")</f>
        <v>Exclusion</v>
      </c>
      <c r="AI59" s="119" t="str">
        <f t="shared" si="6"/>
        <v/>
      </c>
      <c r="AJ59" s="121">
        <f>IFERROR(INDEX(SF_Output!AD:AD,MATCH(_xlfn.TEXTJOIN(",",TRUE,B59:E59),SF_Output!AC1:AC400,0)),0.05)</f>
        <v>94</v>
      </c>
      <c r="AK59" t="str">
        <f>IF(SUMIFS(SF_Output!$F$1:$F$400,SF_Output!$AC$1:$AC$400,_xlfn.TEXTJOIN(",",TRUE,B59:E59))+SUMIFS(SF_Output!$G$1:$G$400,SF_Output!$AC$1:$AC$400,_xlfn.TEXTJOIN(",",TRUE,B59:E59))=0,"","PAP")</f>
        <v/>
      </c>
      <c r="AQ59" s="35"/>
      <c r="AR59" s="35" t="str" cm="1">
        <f t="array" ref="AR59">IFERROR(_xlfn.IFS(AND(E59*1=1,F59="Included"),"Change to Included",AND(E59*1=0,F59="Optional"),"Change to Optional",OR(B59="",F59="replaced"),""),"")</f>
        <v/>
      </c>
      <c r="AS59" s="35" t="str">
        <f t="shared" si="7"/>
        <v/>
      </c>
      <c r="AT59" s="35" t="str">
        <f t="shared" si="8"/>
        <v/>
      </c>
      <c r="AU59" s="35" t="str">
        <f t="shared" si="9"/>
        <v/>
      </c>
      <c r="AV59" s="35" t="str">
        <f t="shared" si="10"/>
        <v/>
      </c>
      <c r="AW59" s="35" t="str">
        <f t="shared" si="11"/>
        <v/>
      </c>
      <c r="AX59" s="35" t="str">
        <f t="shared" si="12"/>
        <v/>
      </c>
      <c r="AY59" s="35" t="str">
        <f t="shared" si="13"/>
        <v/>
      </c>
      <c r="AZ59" s="35" t="str">
        <f t="shared" si="14"/>
        <v/>
      </c>
      <c r="BA59" s="35" t="str">
        <f t="shared" si="15"/>
        <v/>
      </c>
      <c r="BB59" s="35" t="str">
        <f t="shared" si="16"/>
        <v/>
      </c>
      <c r="BC59" s="35"/>
      <c r="BE59" s="35">
        <f ca="1">INDEX(SF_Output!$AA$2:$AA$400,MATCH($B59,SF_Output!$M$2:$M$400,0))</f>
        <v>4</v>
      </c>
      <c r="BF59" s="35">
        <f ca="1">INDEX(SF_Output!$AB$2:$AB$400,MATCH($B59,SF_Output!$M$2:$M$400,0))</f>
        <v>4</v>
      </c>
    </row>
    <row r="60" spans="2:58" x14ac:dyDescent="0.25">
      <c r="B60" t="s">
        <v>1411</v>
      </c>
      <c r="C60" t="s">
        <v>2122</v>
      </c>
      <c r="D60" t="s">
        <v>2207</v>
      </c>
      <c r="E60" t="s">
        <v>2150</v>
      </c>
      <c r="F60" s="116" t="str">
        <f t="shared" si="0"/>
        <v>Optional</v>
      </c>
      <c r="G60" t="str">
        <f>IF(B60="","",INDEX(SF_Output!$K$1:$K$400,MATCH(B60,SF_Output!$M$1:$M$400,0)))</f>
        <v>AlertCenter</v>
      </c>
      <c r="H60" cm="1">
        <f t="array" ref="H60">_xlfn.IFS(B60="","",(SUMIFS(SF_Output!$F$1:$F$400,SF_Output!$AC$1:$AC$400,_xlfn.TEXTJOIN(",",TRUE,B60:E60))+SUMIFS(SF_Output!$G$1:$G$400,SF_Output!$AC$1:$AC$400,_xlfn.TEXTJOIN(",",TRUE,B60:E60)))&lt;&gt;0,SF_Output!$Y$2,INDEX(SF_Output!$F$1:$F$400,MATCH(_xlfn.TEXTJOIN(",",TRUE,B60:E60),SF_Output!$AC$1:$AC$400,0))=0,INDEX(SF_Output!$R$1:$R$400,MATCH(_xlfn.TEXTJOIN(",",TRUE,B60:E60),SF_Output!$AC$1:$AC$400,0)))</f>
        <v>1</v>
      </c>
      <c r="I60" s="125" t="str">
        <f>IFERROR(IF(AND(H60&gt;1,H60&lt;&gt;""),ROUND(SUMIFS(SF_Output!$S$1:$S$400,SF_Output!$AC$1:$AC$400,_xlfn.TEXTJOIN(",",TRUE,B60:E60),SF_Output!$Q$1:$Q$400,"monthly")*(1-W60)/H60,4),""),"")</f>
        <v/>
      </c>
      <c r="J60" s="6">
        <f>IF(B60="","",SUMIFS(SF_Output!$S$1:$S$400,SF_Output!$AC$1:$AC$400,_xlfn.TEXTJOIN(",",TRUE,B60:E60),SF_Output!$Q$1:$Q$400,"One Time",SF_Output!$L$1:$L$400,"license fee")+SUMIFS(SF_Output!$S$1:$S$400,SF_Output!$AC$1:$AC$400,_xlfn.TEXTJOIN(",",TRUE,B60:E60),SF_Output!$Q$1:$Q$400,"One Time",SF_Output!$L$1:$L$400,"software license")+SUMIFS(SF_Output!$S$1:$S$400,SF_Output!$AC$1:$AC$400,_xlfn.TEXTJOIN(",",TRUE,B60:E60),SF_Output!$Q$1:$Q$400,"One Time",SF_Output!$L$1:$L$400,"hardware"))</f>
        <v>0</v>
      </c>
      <c r="K60" s="112" t="str">
        <f>IF(OR(B60=0,B60="",G60="hardware",J60=0),"",IF(AF60&lt;&gt;"exclusion",MAX(K$9,-((SUMIFS(SF_Output!$T$1:$T$400,SF_Output!$AC$1:$AC$400,_xlfn.TEXTJOIN(",",TRUE,$B60:$E60),SF_Output!$Q$1:$Q$400,"One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license"))/J60)))</f>
        <v/>
      </c>
      <c r="L60" s="6">
        <f t="shared" si="1"/>
        <v>0</v>
      </c>
      <c r="N60" s="6">
        <f>IF(B60="","",SUMIFS(SF_Output!$S$1:$S$400,SF_Output!$AC$1:$AC$400,_xlfn.TEXTJOIN(",",TRUE,B60:E60),SF_Output!$Q$1:$Q$400,"One Time",SF_Output!$L$1:$L$400,"professional service"))</f>
        <v>0</v>
      </c>
      <c r="O60" s="112" t="str">
        <f>IF(OR(B60=0,B60="",N60=0),"",IF(AF60&lt;&gt;"exclusion",MAX(O$9,-(SUMIFS(SF_Output!$T$1:$T$400,SF_Output!$AC$1:$AC$400,_xlfn.TEXTJOIN(",",TRUE,$B60:$E60),SF_Output!$Q$1:$Q$400,"One Time",SF_Output!$L$1:$L$400,"professional service"))/N60),-((SUMIFS(SF_Output!$T$1:$T$400,SF_Output!$AC$1:$AC$400,_xlfn.TEXTJOIN(",",TRUE,$B60:$E60),SF_Output!$Q$1:$Q$400,"One Time",SF_Output!$L$1:$L$400,"professional service")/N60))))</f>
        <v/>
      </c>
      <c r="P60" s="6">
        <f t="shared" si="2"/>
        <v>0</v>
      </c>
      <c r="R60" s="6">
        <f>IF(B60="","",SUMIFS(SF_Output!$S$1:$S$400,SF_Output!$AC$1:$AC$400,_xlfn.TEXTJOIN(",",TRUE,B60:E60),SF_Output!$Q$1:$Q$400,"yearly")+SUMIFS(SF_Output!$S$1:$S$400,SF_Output!$AC$1:$AC$400,_xlfn.TEXTJOIN(",",TRUE,B60:E60),SF_Output!$Q$1:$Q$400,"quarterly")*4)</f>
        <v>0</v>
      </c>
      <c r="S60" s="112" t="str">
        <f>IF(OR(B60=0,B60="",G60="hardware",R60=0),"",IF(AF60&lt;&gt;"exclusion",MAX(S$9,-(SUMIFS(SF_Output!$T$1:$T$400,SF_Output!$AC$1:$AC$400,_xlfn.TEXTJOIN(",",TRUE,$B60:$E60),SF_Output!$Q$1:$Q$400,"yearly"))/R60),-((SUMIFS(SF_Output!$T$1:$T$400,SF_Output!$AC$1:$AC$400,_xlfn.TEXTJOIN(",",TRUE,$B60:$E60),SF_Output!$Q$1:$Q$400,"yearly")/R60))))</f>
        <v/>
      </c>
      <c r="T60" s="6">
        <f t="shared" si="3"/>
        <v>0</v>
      </c>
      <c r="V60" s="6" cm="1">
        <f t="array" ref="V60">_xlfn.IFS(B60="","",AND(B60&lt;&gt;"",H60=SF_Output!$Y$2,SUMIFS(SF_Output!$T$1:$T$400,SF_Output!$AC$1:$AC$400,_xlfn.TEXTJOIN(",",TRUE,B60:E60),SF_Output!$Q$1:$Q$400,"monthly")=0),(SUMIFS(SF_Output!$F$1:$F$400,SF_Output!$AC$1:$AC$400,_xlfn.TEXTJOIN(",",TRUE,B60:E60),SF_Output!$Q$1:$Q$400,"monthly")+SUMIFS(SF_Output!$G$1:$G$400,SF_Output!$AC$1:$AC$400,_xlfn.TEXTJOIN(",",TRUE,B60:E60),SF_Output!$Q$1:$Q$400,"monthly"))*H60,AND(B60&lt;&gt;"",H60=SF_Output!$Y$2,SUMIFS(SF_Output!$T$1:$T$400,SF_Output!$AC$1:$AC$400,_xlfn.TEXTJOIN(",",TRUE,B60:E60),SF_Output!$Q$1:$Q$400,"monthly")&lt;&gt;0),SUMIFS(SF_Output!$S$1:$S$400,SF_Output!$AC$1:$AC$400,_xlfn.TEXTJOIN(",",TRUE,B60:E60),SF_Output!$Q$1:$Q$400,"monthly"),AND(B60&lt;&gt;"",H60&lt;&gt;SF_Output!$Y$2),SUMIFS(SF_Output!$S$1:$S$400,SF_Output!$AC$1:$AC$400,_xlfn.TEXTJOIN(",",TRUE,B60:E60),SF_Output!$Q$1:$Q$400,"monthly"))</f>
        <v>75</v>
      </c>
      <c r="W60" s="112" cm="1">
        <f t="array" ref="W60">_xlfn.IFS(OR(B60=0,B60="",V60=0),"",AF60&lt;&gt;"exclusion",MAX($W$9,$W$7,(-(SUMIFS(SF_Output!$T$1:$T$400,SF_Output!$AC$1:$AC$400,_xlfn.TEXTJOIN(",",TRUE,$B60:$E60),SF_Output!$Q$1:$Q$400,"monthly"))/V60)),AF60="exclusion",-(SUMIFS(SF_Output!$T$1:$T$400,SF_Output!$AC$1:$AC$400,_xlfn.TEXTJOIN(",",TRUE,$B60:$E60),SF_Output!$Q$1:$Q$400,"monthly"))/V60)</f>
        <v>0</v>
      </c>
      <c r="X60" s="6" cm="1">
        <f t="array" ref="X60">IFERROR(_xlfn.IFS(V60=0,0,V60="","",W60=0,V60,OR(V60&lt;&gt;0,V60&lt;&gt;""),H60*I60),V60*(1-W60))</f>
        <v>75</v>
      </c>
      <c r="Z60" s="6">
        <f>IFERROR(IF(B60="","",SUMIFS(Billing_Fallout!H:H,Billing_Fallout!N:N,B60)),0)</f>
        <v>0</v>
      </c>
      <c r="AA60" s="6">
        <f t="shared" si="4"/>
        <v>0</v>
      </c>
      <c r="AB60" s="6">
        <f>IFERROR(IF(B60="","",SUMIFS(Billing_Fallout!J:J,Billing_Fallout!N:N,B60)),0)</f>
        <v>0</v>
      </c>
      <c r="AD60" s="6">
        <f t="shared" si="5"/>
        <v>75</v>
      </c>
      <c r="AF60" t="str">
        <f>IFERROR(INDEX(H_Tables!$B$1:$B$1500,MATCH(INDEX(SF_Output!$J$1:$J$400,MATCH(B60,SF_Output!$M$1:$M$400,0)),H_Tables!$A$1:$A$1500,0)),"")</f>
        <v>Exclusion</v>
      </c>
      <c r="AI60" s="119" t="str">
        <f t="shared" si="6"/>
        <v/>
      </c>
      <c r="AJ60" s="121">
        <f>IFERROR(INDEX(SF_Output!AD:AD,MATCH(_xlfn.TEXTJOIN(",",TRUE,B60:E60),SF_Output!AC1:AC400,0)),0.05)</f>
        <v>95</v>
      </c>
      <c r="AK60" t="str">
        <f>IF(SUMIFS(SF_Output!$F$1:$F$400,SF_Output!$AC$1:$AC$400,_xlfn.TEXTJOIN(",",TRUE,B60:E60))+SUMIFS(SF_Output!$G$1:$G$400,SF_Output!$AC$1:$AC$400,_xlfn.TEXTJOIN(",",TRUE,B60:E60))=0,"","PAP")</f>
        <v/>
      </c>
      <c r="AQ60" s="35"/>
      <c r="AR60" s="35" t="str" cm="1">
        <f t="array" ref="AR60">IFERROR(_xlfn.IFS(AND(E60*1=1,F60="Included"),"Change to Included",AND(E60*1=0,F60="Optional"),"Change to Optional",OR(B60="",F60="replaced"),""),"")</f>
        <v/>
      </c>
      <c r="AS60" s="35" t="str">
        <f t="shared" si="7"/>
        <v/>
      </c>
      <c r="AT60" s="35" t="str">
        <f t="shared" si="8"/>
        <v/>
      </c>
      <c r="AU60" s="35" t="str">
        <f t="shared" si="9"/>
        <v/>
      </c>
      <c r="AV60" s="35" t="str">
        <f t="shared" si="10"/>
        <v/>
      </c>
      <c r="AW60" s="35" t="str">
        <f t="shared" si="11"/>
        <v/>
      </c>
      <c r="AX60" s="35" t="str">
        <f t="shared" si="12"/>
        <v/>
      </c>
      <c r="AY60" s="35" t="str">
        <f t="shared" si="13"/>
        <v/>
      </c>
      <c r="AZ60" s="35" t="str">
        <f t="shared" si="14"/>
        <v/>
      </c>
      <c r="BA60" s="35" t="str">
        <f t="shared" si="15"/>
        <v/>
      </c>
      <c r="BB60" s="35" t="str">
        <f t="shared" si="16"/>
        <v/>
      </c>
      <c r="BC60" s="35"/>
      <c r="BE60" s="35">
        <f ca="1">INDEX(SF_Output!$AA$2:$AA$400,MATCH($B60,SF_Output!$M$2:$M$400,0))</f>
        <v>4</v>
      </c>
      <c r="BF60" s="35">
        <f ca="1">INDEX(SF_Output!$AB$2:$AB$400,MATCH($B60,SF_Output!$M$2:$M$400,0))</f>
        <v>4</v>
      </c>
    </row>
    <row r="61" spans="2:58" x14ac:dyDescent="0.25">
      <c r="B61" t="s">
        <v>1413</v>
      </c>
      <c r="C61" t="s">
        <v>2122</v>
      </c>
      <c r="D61" t="s">
        <v>2123</v>
      </c>
      <c r="E61" t="s">
        <v>2150</v>
      </c>
      <c r="F61" s="116" t="str">
        <f t="shared" si="0"/>
        <v>Optional</v>
      </c>
      <c r="G61" t="str">
        <f>IF(B61="","",INDEX(SF_Output!$K$1:$K$400,MATCH(B61,SF_Output!$M$1:$M$400,0)))</f>
        <v>AlertCenter</v>
      </c>
      <c r="H61" cm="1">
        <f t="array" ref="H61">_xlfn.IFS(B61="","",(SUMIFS(SF_Output!$F$1:$F$400,SF_Output!$AC$1:$AC$400,_xlfn.TEXTJOIN(",",TRUE,B61:E61))+SUMIFS(SF_Output!$G$1:$G$400,SF_Output!$AC$1:$AC$400,_xlfn.TEXTJOIN(",",TRUE,B61:E61)))&lt;&gt;0,SF_Output!$Y$2,INDEX(SF_Output!$F$1:$F$400,MATCH(_xlfn.TEXTJOIN(",",TRUE,B61:E61),SF_Output!$AC$1:$AC$400,0))=0,INDEX(SF_Output!$R$1:$R$400,MATCH(_xlfn.TEXTJOIN(",",TRUE,B61:E61),SF_Output!$AC$1:$AC$400,0)))</f>
        <v>1</v>
      </c>
      <c r="I61" s="125" t="str">
        <f>IFERROR(IF(AND(H61&gt;1,H61&lt;&gt;""),ROUND(SUMIFS(SF_Output!$S$1:$S$400,SF_Output!$AC$1:$AC$400,_xlfn.TEXTJOIN(",",TRUE,B61:E61),SF_Output!$Q$1:$Q$400,"monthly")*(1-W61)/H61,4),""),"")</f>
        <v/>
      </c>
      <c r="J61" s="6">
        <f>IF(B61="","",SUMIFS(SF_Output!$S$1:$S$400,SF_Output!$AC$1:$AC$400,_xlfn.TEXTJOIN(",",TRUE,B61:E61),SF_Output!$Q$1:$Q$400,"One Time",SF_Output!$L$1:$L$400,"license fee")+SUMIFS(SF_Output!$S$1:$S$400,SF_Output!$AC$1:$AC$400,_xlfn.TEXTJOIN(",",TRUE,B61:E61),SF_Output!$Q$1:$Q$400,"One Time",SF_Output!$L$1:$L$400,"software license")+SUMIFS(SF_Output!$S$1:$S$400,SF_Output!$AC$1:$AC$400,_xlfn.TEXTJOIN(",",TRUE,B61:E61),SF_Output!$Q$1:$Q$400,"One Time",SF_Output!$L$1:$L$400,"hardware"))</f>
        <v>0</v>
      </c>
      <c r="K61" s="112" t="str">
        <f>IF(OR(B61=0,B61="",G61="hardware",J61=0),"",IF(AF61&lt;&gt;"exclusion",MAX(K$9,-((SUMIFS(SF_Output!$T$1:$T$400,SF_Output!$AC$1:$AC$400,_xlfn.TEXTJOIN(",",TRUE,$B61:$E61),SF_Output!$Q$1:$Q$400,"One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license"))/J61)))</f>
        <v/>
      </c>
      <c r="L61" s="6">
        <f t="shared" si="1"/>
        <v>0</v>
      </c>
      <c r="N61" s="6">
        <f>IF(B61="","",SUMIFS(SF_Output!$S$1:$S$400,SF_Output!$AC$1:$AC$400,_xlfn.TEXTJOIN(",",TRUE,B61:E61),SF_Output!$Q$1:$Q$400,"One Time",SF_Output!$L$1:$L$400,"professional service"))</f>
        <v>3750</v>
      </c>
      <c r="O61" s="112">
        <f>IF(OR(B61=0,B61="",N61=0),"",IF(AF61&lt;&gt;"exclusion",MAX(O$9,-(SUMIFS(SF_Output!$T$1:$T$400,SF_Output!$AC$1:$AC$400,_xlfn.TEXTJOIN(",",TRUE,$B61:$E61),SF_Output!$Q$1:$Q$400,"One Time",SF_Output!$L$1:$L$400,"professional service"))/N61),-((SUMIFS(SF_Output!$T$1:$T$400,SF_Output!$AC$1:$AC$400,_xlfn.TEXTJOIN(",",TRUE,$B61:$E61),SF_Output!$Q$1:$Q$400,"One Time",SF_Output!$L$1:$L$400,"professional service")/N61))))</f>
        <v>1</v>
      </c>
      <c r="P61" s="6">
        <f t="shared" si="2"/>
        <v>0</v>
      </c>
      <c r="R61" s="6">
        <f>IF(B61="","",SUMIFS(SF_Output!$S$1:$S$400,SF_Output!$AC$1:$AC$400,_xlfn.TEXTJOIN(",",TRUE,B61:E61),SF_Output!$Q$1:$Q$400,"yearly")+SUMIFS(SF_Output!$S$1:$S$400,SF_Output!$AC$1:$AC$400,_xlfn.TEXTJOIN(",",TRUE,B61:E61),SF_Output!$Q$1:$Q$400,"quarterly")*4)</f>
        <v>0</v>
      </c>
      <c r="S61" s="112" t="str">
        <f>IF(OR(B61=0,B61="",G61="hardware",R61=0),"",IF(AF61&lt;&gt;"exclusion",MAX(S$9,-(SUMIFS(SF_Output!$T$1:$T$400,SF_Output!$AC$1:$AC$400,_xlfn.TEXTJOIN(",",TRUE,$B61:$E61),SF_Output!$Q$1:$Q$400,"yearly"))/R61),-((SUMIFS(SF_Output!$T$1:$T$400,SF_Output!$AC$1:$AC$400,_xlfn.TEXTJOIN(",",TRUE,$B61:$E61),SF_Output!$Q$1:$Q$400,"yearly")/R61))))</f>
        <v/>
      </c>
      <c r="T61" s="6">
        <f t="shared" si="3"/>
        <v>0</v>
      </c>
      <c r="V61" s="6" cm="1">
        <f t="array" ref="V61">_xlfn.IFS(B61="","",AND(B61&lt;&gt;"",H61=SF_Output!$Y$2,SUMIFS(SF_Output!$T$1:$T$400,SF_Output!$AC$1:$AC$400,_xlfn.TEXTJOIN(",",TRUE,B61:E61),SF_Output!$Q$1:$Q$400,"monthly")=0),(SUMIFS(SF_Output!$F$1:$F$400,SF_Output!$AC$1:$AC$400,_xlfn.TEXTJOIN(",",TRUE,B61:E61),SF_Output!$Q$1:$Q$400,"monthly")+SUMIFS(SF_Output!$G$1:$G$400,SF_Output!$AC$1:$AC$400,_xlfn.TEXTJOIN(",",TRUE,B61:E61),SF_Output!$Q$1:$Q$400,"monthly"))*H61,AND(B61&lt;&gt;"",H61=SF_Output!$Y$2,SUMIFS(SF_Output!$T$1:$T$400,SF_Output!$AC$1:$AC$400,_xlfn.TEXTJOIN(",",TRUE,B61:E61),SF_Output!$Q$1:$Q$400,"monthly")&lt;&gt;0),SUMIFS(SF_Output!$S$1:$S$400,SF_Output!$AC$1:$AC$400,_xlfn.TEXTJOIN(",",TRUE,B61:E61),SF_Output!$Q$1:$Q$400,"monthly"),AND(B61&lt;&gt;"",H61&lt;&gt;SF_Output!$Y$2),SUMIFS(SF_Output!$S$1:$S$400,SF_Output!$AC$1:$AC$400,_xlfn.TEXTJOIN(",",TRUE,B61:E61),SF_Output!$Q$1:$Q$400,"monthly"))</f>
        <v>0</v>
      </c>
      <c r="W61" s="112" t="str" cm="1">
        <f t="array" ref="W61">_xlfn.IFS(OR(B61=0,B61="",V61=0),"",AF61&lt;&gt;"exclusion",MAX($W$9,$W$7,(-(SUMIFS(SF_Output!$T$1:$T$400,SF_Output!$AC$1:$AC$400,_xlfn.TEXTJOIN(",",TRUE,$B61:$E61),SF_Output!$Q$1:$Q$400,"monthly"))/V61)),AF61="exclusion",-(SUMIFS(SF_Output!$T$1:$T$400,SF_Output!$AC$1:$AC$400,_xlfn.TEXTJOIN(",",TRUE,$B61:$E61),SF_Output!$Q$1:$Q$400,"monthly"))/V61)</f>
        <v/>
      </c>
      <c r="X61" s="6" cm="1">
        <f t="array" ref="X61">IFERROR(_xlfn.IFS(V61=0,0,V61="","",W61=0,V61,OR(V61&lt;&gt;0,V61&lt;&gt;""),H61*I61),V61*(1-W61))</f>
        <v>0</v>
      </c>
      <c r="Z61" s="6">
        <f>IFERROR(IF(B61="","",SUMIFS(Billing_Fallout!H:H,Billing_Fallout!N:N,B61)),0)</f>
        <v>0</v>
      </c>
      <c r="AA61" s="6">
        <f t="shared" si="4"/>
        <v>0</v>
      </c>
      <c r="AB61" s="6">
        <f>IFERROR(IF(B61="","",SUMIFS(Billing_Fallout!J:J,Billing_Fallout!N:N,B61)),0)</f>
        <v>0</v>
      </c>
      <c r="AD61" s="6">
        <f t="shared" si="5"/>
        <v>0</v>
      </c>
      <c r="AF61" t="str">
        <f>IFERROR(INDEX(H_Tables!$B$1:$B$1500,MATCH(INDEX(SF_Output!$J$1:$J$400,MATCH(B61,SF_Output!$M$1:$M$400,0)),H_Tables!$A$1:$A$1500,0)),"")</f>
        <v>Exclusion</v>
      </c>
      <c r="AI61" s="119" t="str">
        <f t="shared" si="6"/>
        <v/>
      </c>
      <c r="AJ61" s="121">
        <f>IFERROR(INDEX(SF_Output!AD:AD,MATCH(_xlfn.TEXTJOIN(",",TRUE,B61:E61),SF_Output!AC1:AC400,0)),0.05)</f>
        <v>96</v>
      </c>
      <c r="AK61" t="str">
        <f>IF(SUMIFS(SF_Output!$F$1:$F$400,SF_Output!$AC$1:$AC$400,_xlfn.TEXTJOIN(",",TRUE,B61:E61))+SUMIFS(SF_Output!$G$1:$G$400,SF_Output!$AC$1:$AC$400,_xlfn.TEXTJOIN(",",TRUE,B61:E61))=0,"","PAP")</f>
        <v/>
      </c>
      <c r="AQ61" s="35"/>
      <c r="AR61" s="35" t="str" cm="1">
        <f t="array" ref="AR61">IFERROR(_xlfn.IFS(AND(E61*1=1,F61="Included"),"Change to Included",AND(E61*1=0,F61="Optional"),"Change to Optional",OR(B61="",F61="replaced"),""),"")</f>
        <v/>
      </c>
      <c r="AS61" s="35" t="str">
        <f t="shared" si="7"/>
        <v/>
      </c>
      <c r="AT61" s="35" t="str">
        <f t="shared" si="8"/>
        <v/>
      </c>
      <c r="AU61" s="35" t="str">
        <f t="shared" si="9"/>
        <v/>
      </c>
      <c r="AV61" s="35" t="str">
        <f t="shared" si="10"/>
        <v/>
      </c>
      <c r="AW61" s="35" t="str">
        <f t="shared" si="11"/>
        <v/>
      </c>
      <c r="AX61" s="35" t="str">
        <f t="shared" si="12"/>
        <v/>
      </c>
      <c r="AY61" s="35" t="str">
        <f t="shared" si="13"/>
        <v/>
      </c>
      <c r="AZ61" s="35" t="str">
        <f t="shared" si="14"/>
        <v/>
      </c>
      <c r="BA61" s="35" t="str">
        <f t="shared" si="15"/>
        <v/>
      </c>
      <c r="BB61" s="35" t="str">
        <f t="shared" si="16"/>
        <v/>
      </c>
      <c r="BC61" s="35"/>
      <c r="BE61" s="35">
        <f ca="1">INDEX(SF_Output!$AA$2:$AA$400,MATCH($B61,SF_Output!$M$2:$M$400,0))</f>
        <v>4</v>
      </c>
      <c r="BF61" s="35">
        <f ca="1">INDEX(SF_Output!$AB$2:$AB$400,MATCH($B61,SF_Output!$M$2:$M$400,0))</f>
        <v>4</v>
      </c>
    </row>
    <row r="62" spans="2:58" x14ac:dyDescent="0.25">
      <c r="B62" t="s">
        <v>2267</v>
      </c>
      <c r="C62" t="s">
        <v>2122</v>
      </c>
      <c r="D62" t="s">
        <v>2123</v>
      </c>
      <c r="E62" t="s">
        <v>2124</v>
      </c>
      <c r="F62" s="116" t="str">
        <f t="shared" si="0"/>
        <v>Included</v>
      </c>
      <c r="G62" t="str">
        <f>IF(B62="","",INDEX(SF_Output!$K$1:$K$400,MATCH(B62,SF_Output!$M$1:$M$400,0)))</f>
        <v>Synergy</v>
      </c>
      <c r="H62" cm="1">
        <f t="array" ref="H62">_xlfn.IFS(B62="","",(SUMIFS(SF_Output!$F$1:$F$400,SF_Output!$AC$1:$AC$400,_xlfn.TEXTJOIN(",",TRUE,B62:E62))+SUMIFS(SF_Output!$G$1:$G$400,SF_Output!$AC$1:$AC$400,_xlfn.TEXTJOIN(",",TRUE,B62:E62)))&lt;&gt;0,SF_Output!$Y$2,INDEX(SF_Output!$F$1:$F$400,MATCH(_xlfn.TEXTJOIN(",",TRUE,B62:E62),SF_Output!$AC$1:$AC$400,0))=0,INDEX(SF_Output!$R$1:$R$400,MATCH(_xlfn.TEXTJOIN(",",TRUE,B62:E62),SF_Output!$AC$1:$AC$400,0)))</f>
        <v>5000</v>
      </c>
      <c r="I62" s="125">
        <f>IFERROR(IF(AND(H62&gt;1,H62&lt;&gt;""),ROUND(SUMIFS(SF_Output!$S$1:$S$400,SF_Output!$AC$1:$AC$400,_xlfn.TEXTJOIN(",",TRUE,B62:E62),SF_Output!$Q$1:$Q$400,"monthly")*(1-W62)/H62,4),""),"")</f>
        <v>0.20549999999999999</v>
      </c>
      <c r="J62" s="6">
        <f>IF(B62="","",SUMIFS(SF_Output!$S$1:$S$400,SF_Output!$AC$1:$AC$400,_xlfn.TEXTJOIN(",",TRUE,B62:E62),SF_Output!$Q$1:$Q$400,"One Time",SF_Output!$L$1:$L$400,"license fee")+SUMIFS(SF_Output!$S$1:$S$400,SF_Output!$AC$1:$AC$400,_xlfn.TEXTJOIN(",",TRUE,B62:E62),SF_Output!$Q$1:$Q$400,"One Time",SF_Output!$L$1:$L$400,"software license")+SUMIFS(SF_Output!$S$1:$S$400,SF_Output!$AC$1:$AC$400,_xlfn.TEXTJOIN(",",TRUE,B62:E62),SF_Output!$Q$1:$Q$400,"One Time",SF_Output!$L$1:$L$400,"hardware"))</f>
        <v>0</v>
      </c>
      <c r="K62" s="112" t="str">
        <f>IF(OR(B62=0,B62="",G62="hardware",J62=0),"",IF(AF62&lt;&gt;"exclusion",MAX(K$9,-((SUMIFS(SF_Output!$T$1:$T$400,SF_Output!$AC$1:$AC$400,_xlfn.TEXTJOIN(",",TRUE,$B62:$E62),SF_Output!$Q$1:$Q$400,"One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license"))/J62)))</f>
        <v/>
      </c>
      <c r="L62" s="6">
        <f t="shared" si="1"/>
        <v>0</v>
      </c>
      <c r="N62" s="6">
        <f>IF(B62="","",SUMIFS(SF_Output!$S$1:$S$400,SF_Output!$AC$1:$AC$400,_xlfn.TEXTJOIN(",",TRUE,B62:E62),SF_Output!$Q$1:$Q$400,"One Time",SF_Output!$L$1:$L$400,"professional service"))</f>
        <v>19150</v>
      </c>
      <c r="O62" s="112">
        <f>IF(OR(B62=0,B62="",N62=0),"",IF(AF62&lt;&gt;"exclusion",MAX(O$9,-(SUMIFS(SF_Output!$T$1:$T$400,SF_Output!$AC$1:$AC$400,_xlfn.TEXTJOIN(",",TRUE,$B62:$E62),SF_Output!$Q$1:$Q$400,"One Time",SF_Output!$L$1:$L$400,"professional service"))/N62),-((SUMIFS(SF_Output!$T$1:$T$400,SF_Output!$AC$1:$AC$400,_xlfn.TEXTJOIN(",",TRUE,$B62:$E62),SF_Output!$Q$1:$Q$400,"One Time",SF_Output!$L$1:$L$400,"professional service")/N62))))</f>
        <v>1</v>
      </c>
      <c r="P62" s="6">
        <f t="shared" si="2"/>
        <v>0</v>
      </c>
      <c r="R62" s="6">
        <f>IF(B62="","",SUMIFS(SF_Output!$S$1:$S$400,SF_Output!$AC$1:$AC$400,_xlfn.TEXTJOIN(",",TRUE,B62:E62),SF_Output!$Q$1:$Q$400,"yearly")+SUMIFS(SF_Output!$S$1:$S$400,SF_Output!$AC$1:$AC$400,_xlfn.TEXTJOIN(",",TRUE,B62:E62),SF_Output!$Q$1:$Q$400,"quarterly")*4)</f>
        <v>0</v>
      </c>
      <c r="S62" s="112" t="str">
        <f>IF(OR(B62=0,B62="",G62="hardware",R62=0),"",IF(AF62&lt;&gt;"exclusion",MAX(S$9,-(SUMIFS(SF_Output!$T$1:$T$400,SF_Output!$AC$1:$AC$400,_xlfn.TEXTJOIN(",",TRUE,$B62:$E62),SF_Output!$Q$1:$Q$400,"yearly"))/R62),-((SUMIFS(SF_Output!$T$1:$T$400,SF_Output!$AC$1:$AC$400,_xlfn.TEXTJOIN(",",TRUE,$B62:$E62),SF_Output!$Q$1:$Q$400,"yearly")/R62))))</f>
        <v/>
      </c>
      <c r="T62" s="6">
        <f t="shared" si="3"/>
        <v>0</v>
      </c>
      <c r="V62" s="6" cm="1">
        <f t="array" ref="V62">_xlfn.IFS(B62="","",AND(B62&lt;&gt;"",H62=SF_Output!$Y$2,SUMIFS(SF_Output!$T$1:$T$400,SF_Output!$AC$1:$AC$400,_xlfn.TEXTJOIN(",",TRUE,B62:E62),SF_Output!$Q$1:$Q$400,"monthly")=0),(SUMIFS(SF_Output!$F$1:$F$400,SF_Output!$AC$1:$AC$400,_xlfn.TEXTJOIN(",",TRUE,B62:E62),SF_Output!$Q$1:$Q$400,"monthly")+SUMIFS(SF_Output!$G$1:$G$400,SF_Output!$AC$1:$AC$400,_xlfn.TEXTJOIN(",",TRUE,B62:E62),SF_Output!$Q$1:$Q$400,"monthly"))*H62,AND(B62&lt;&gt;"",H62=SF_Output!$Y$2,SUMIFS(SF_Output!$T$1:$T$400,SF_Output!$AC$1:$AC$400,_xlfn.TEXTJOIN(",",TRUE,B62:E62),SF_Output!$Q$1:$Q$400,"monthly")&lt;&gt;0),SUMIFS(SF_Output!$S$1:$S$400,SF_Output!$AC$1:$AC$400,_xlfn.TEXTJOIN(",",TRUE,B62:E62),SF_Output!$Q$1:$Q$400,"monthly"),AND(B62&lt;&gt;"",H62&lt;&gt;SF_Output!$Y$2),SUMIFS(SF_Output!$S$1:$S$400,SF_Output!$AC$1:$AC$400,_xlfn.TEXTJOIN(",",TRUE,B62:E62),SF_Output!$Q$1:$Q$400,"monthly"))</f>
        <v>1370</v>
      </c>
      <c r="W62" s="112" cm="1">
        <f t="array" ref="W62">_xlfn.IFS(OR(B62=0,B62="",V62=0),"",AF62&lt;&gt;"exclusion",MAX($W$9,$W$7,(-(SUMIFS(SF_Output!$T$1:$T$400,SF_Output!$AC$1:$AC$400,_xlfn.TEXTJOIN(",",TRUE,$B62:$E62),SF_Output!$Q$1:$Q$400,"monthly"))/V62)),AF62="exclusion",-(SUMIFS(SF_Output!$T$1:$T$400,SF_Output!$AC$1:$AC$400,_xlfn.TEXTJOIN(",",TRUE,$B62:$E62),SF_Output!$Q$1:$Q$400,"monthly"))/V62)</f>
        <v>0.25</v>
      </c>
      <c r="X62" s="6" cm="1">
        <f t="array" ref="X62">IFERROR(_xlfn.IFS(V62=0,0,V62="","",W62=0,V62,OR(V62&lt;&gt;0,V62&lt;&gt;""),H62*I62),V62*(1-W62))</f>
        <v>1027.5</v>
      </c>
      <c r="Z62" s="6">
        <f>IFERROR(IF(B62="","",SUMIFS(Billing_Fallout!H:H,Billing_Fallout!N:N,B62)),0)</f>
        <v>0</v>
      </c>
      <c r="AA62" s="6">
        <f t="shared" si="4"/>
        <v>0</v>
      </c>
      <c r="AB62" s="6">
        <f>IFERROR(IF(B62="","",SUMIFS(Billing_Fallout!J:J,Billing_Fallout!N:N,B62)),0)</f>
        <v>0</v>
      </c>
      <c r="AD62" s="6">
        <f t="shared" si="5"/>
        <v>1027.5</v>
      </c>
      <c r="AF62" t="str">
        <f>IFERROR(INDEX(H_Tables!$B$1:$B$1500,MATCH(INDEX(SF_Output!$J$1:$J$400,MATCH(B62,SF_Output!$M$1:$M$400,0)),H_Tables!$A$1:$A$1500,0)),"")</f>
        <v/>
      </c>
      <c r="AI62" s="119" t="str">
        <f t="shared" si="6"/>
        <v/>
      </c>
      <c r="AJ62" s="121">
        <f>IFERROR(INDEX(SF_Output!AD:AD,MATCH(_xlfn.TEXTJOIN(",",TRUE,B62:E62),SF_Output!AC1:AC400,0)),0.05)</f>
        <v>98</v>
      </c>
      <c r="AK62" t="str">
        <f>IF(SUMIFS(SF_Output!$F$1:$F$400,SF_Output!$AC$1:$AC$400,_xlfn.TEXTJOIN(",",TRUE,B62:E62))+SUMIFS(SF_Output!$G$1:$G$400,SF_Output!$AC$1:$AC$400,_xlfn.TEXTJOIN(",",TRUE,B62:E62))=0,"","PAP")</f>
        <v>PAP</v>
      </c>
      <c r="AQ62" s="35"/>
      <c r="AR62" s="35" t="str" cm="1">
        <f t="array" ref="AR62">IFERROR(_xlfn.IFS(AND(E62*1=1,F62="Included"),"Change to Included",AND(E62*1=0,F62="Optional"),"Change to Optional",OR(B62="",F62="replaced"),""),"")</f>
        <v/>
      </c>
      <c r="AS62" s="35" t="str">
        <f t="shared" si="7"/>
        <v/>
      </c>
      <c r="AT62" s="35" t="str">
        <f t="shared" si="8"/>
        <v/>
      </c>
      <c r="AU62" s="35" t="str">
        <f t="shared" si="9"/>
        <v/>
      </c>
      <c r="AV62" s="35" t="str">
        <f t="shared" si="10"/>
        <v/>
      </c>
      <c r="AW62" s="35" t="str">
        <f t="shared" si="11"/>
        <v/>
      </c>
      <c r="AX62" s="35" t="str">
        <f t="shared" si="12"/>
        <v/>
      </c>
      <c r="AY62" s="35" t="str">
        <f t="shared" si="13"/>
        <v/>
      </c>
      <c r="AZ62" s="35" t="str">
        <f t="shared" si="14"/>
        <v/>
      </c>
      <c r="BA62" s="35" t="str">
        <f t="shared" si="15"/>
        <v/>
      </c>
      <c r="BB62" s="35" t="str">
        <f t="shared" si="16"/>
        <v/>
      </c>
      <c r="BC62" s="35"/>
      <c r="BE62" s="35">
        <f ca="1">INDEX(SF_Output!$AA$2:$AA$400,MATCH($B62,SF_Output!$M$2:$M$400,0))</f>
        <v>4</v>
      </c>
      <c r="BF62" s="35">
        <f ca="1">INDEX(SF_Output!$AB$2:$AB$400,MATCH($B62,SF_Output!$M$2:$M$400,0))</f>
        <v>2</v>
      </c>
    </row>
    <row r="63" spans="2:58" x14ac:dyDescent="0.25">
      <c r="B63" t="s">
        <v>2270</v>
      </c>
      <c r="C63" t="s">
        <v>2122</v>
      </c>
      <c r="D63" t="s">
        <v>2123</v>
      </c>
      <c r="E63" t="s">
        <v>2124</v>
      </c>
      <c r="F63" s="116" t="str">
        <f t="shared" si="0"/>
        <v>Included</v>
      </c>
      <c r="G63" t="str">
        <f>IF(B63="","",INDEX(SF_Output!$K$1:$K$400,MATCH(B63,SF_Output!$M$1:$M$400,0)))</f>
        <v>Synergy</v>
      </c>
      <c r="H63" cm="1">
        <f t="array" ref="H63">_xlfn.IFS(B63="","",(SUMIFS(SF_Output!$F$1:$F$400,SF_Output!$AC$1:$AC$400,_xlfn.TEXTJOIN(",",TRUE,B63:E63))+SUMIFS(SF_Output!$G$1:$G$400,SF_Output!$AC$1:$AC$400,_xlfn.TEXTJOIN(",",TRUE,B63:E63)))&lt;&gt;0,SF_Output!$Y$2,INDEX(SF_Output!$F$1:$F$400,MATCH(_xlfn.TEXTJOIN(",",TRUE,B63:E63),SF_Output!$AC$1:$AC$400,0))=0,INDEX(SF_Output!$R$1:$R$400,MATCH(_xlfn.TEXTJOIN(",",TRUE,B63:E63),SF_Output!$AC$1:$AC$400,0)))</f>
        <v>5000</v>
      </c>
      <c r="I63" s="125">
        <f>IFERROR(IF(AND(H63&gt;1,H63&lt;&gt;""),ROUND(SUMIFS(SF_Output!$S$1:$S$400,SF_Output!$AC$1:$AC$400,_xlfn.TEXTJOIN(",",TRUE,B63:E63),SF_Output!$Q$1:$Q$400,"monthly")*(1-W63)/H63,4),""),"")</f>
        <v>7.6499999999999999E-2</v>
      </c>
      <c r="J63" s="6">
        <f>IF(B63="","",SUMIFS(SF_Output!$S$1:$S$400,SF_Output!$AC$1:$AC$400,_xlfn.TEXTJOIN(",",TRUE,B63:E63),SF_Output!$Q$1:$Q$400,"One Time",SF_Output!$L$1:$L$400,"license fee")+SUMIFS(SF_Output!$S$1:$S$400,SF_Output!$AC$1:$AC$400,_xlfn.TEXTJOIN(",",TRUE,B63:E63),SF_Output!$Q$1:$Q$400,"One Time",SF_Output!$L$1:$L$400,"software license")+SUMIFS(SF_Output!$S$1:$S$400,SF_Output!$AC$1:$AC$400,_xlfn.TEXTJOIN(",",TRUE,B63:E63),SF_Output!$Q$1:$Q$400,"One Time",SF_Output!$L$1:$L$400,"hardware"))</f>
        <v>0</v>
      </c>
      <c r="K63" s="112" t="str">
        <f>IF(OR(B63=0,B63="",G63="hardware",J63=0),"",IF(AF63&lt;&gt;"exclusion",MAX(K$9,-((SUMIFS(SF_Output!$T$1:$T$400,SF_Output!$AC$1:$AC$400,_xlfn.TEXTJOIN(",",TRUE,$B63:$E63),SF_Output!$Q$1:$Q$400,"One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license"))/J63)))</f>
        <v/>
      </c>
      <c r="L63" s="6">
        <f t="shared" si="1"/>
        <v>0</v>
      </c>
      <c r="N63" s="6">
        <f>IF(B63="","",SUMIFS(SF_Output!$S$1:$S$400,SF_Output!$AC$1:$AC$400,_xlfn.TEXTJOIN(",",TRUE,B63:E63),SF_Output!$Q$1:$Q$400,"One Time",SF_Output!$L$1:$L$400,"professional service"))</f>
        <v>4800</v>
      </c>
      <c r="O63" s="112">
        <f>IF(OR(B63=0,B63="",N63=0),"",IF(AF63&lt;&gt;"exclusion",MAX(O$9,-(SUMIFS(SF_Output!$T$1:$T$400,SF_Output!$AC$1:$AC$400,_xlfn.TEXTJOIN(",",TRUE,$B63:$E63),SF_Output!$Q$1:$Q$400,"One Time",SF_Output!$L$1:$L$400,"professional service"))/N63),-((SUMIFS(SF_Output!$T$1:$T$400,SF_Output!$AC$1:$AC$400,_xlfn.TEXTJOIN(",",TRUE,$B63:$E63),SF_Output!$Q$1:$Q$400,"One Time",SF_Output!$L$1:$L$400,"professional service")/N63))))</f>
        <v>1</v>
      </c>
      <c r="P63" s="6">
        <f t="shared" si="2"/>
        <v>0</v>
      </c>
      <c r="R63" s="6">
        <f>IF(B63="","",SUMIFS(SF_Output!$S$1:$S$400,SF_Output!$AC$1:$AC$400,_xlfn.TEXTJOIN(",",TRUE,B63:E63),SF_Output!$Q$1:$Q$400,"yearly")+SUMIFS(SF_Output!$S$1:$S$400,SF_Output!$AC$1:$AC$400,_xlfn.TEXTJOIN(",",TRUE,B63:E63),SF_Output!$Q$1:$Q$400,"quarterly")*4)</f>
        <v>0</v>
      </c>
      <c r="S63" s="112" t="str">
        <f>IF(OR(B63=0,B63="",G63="hardware",R63=0),"",IF(AF63&lt;&gt;"exclusion",MAX(S$9,-(SUMIFS(SF_Output!$T$1:$T$400,SF_Output!$AC$1:$AC$400,_xlfn.TEXTJOIN(",",TRUE,$B63:$E63),SF_Output!$Q$1:$Q$400,"yearly"))/R63),-((SUMIFS(SF_Output!$T$1:$T$400,SF_Output!$AC$1:$AC$400,_xlfn.TEXTJOIN(",",TRUE,$B63:$E63),SF_Output!$Q$1:$Q$400,"yearly")/R63))))</f>
        <v/>
      </c>
      <c r="T63" s="6">
        <f t="shared" si="3"/>
        <v>0</v>
      </c>
      <c r="V63" s="6" cm="1">
        <f t="array" ref="V63">_xlfn.IFS(B63="","",AND(B63&lt;&gt;"",H63=SF_Output!$Y$2,SUMIFS(SF_Output!$T$1:$T$400,SF_Output!$AC$1:$AC$400,_xlfn.TEXTJOIN(",",TRUE,B63:E63),SF_Output!$Q$1:$Q$400,"monthly")=0),(SUMIFS(SF_Output!$F$1:$F$400,SF_Output!$AC$1:$AC$400,_xlfn.TEXTJOIN(",",TRUE,B63:E63),SF_Output!$Q$1:$Q$400,"monthly")+SUMIFS(SF_Output!$G$1:$G$400,SF_Output!$AC$1:$AC$400,_xlfn.TEXTJOIN(",",TRUE,B63:E63),SF_Output!$Q$1:$Q$400,"monthly"))*H63,AND(B63&lt;&gt;"",H63=SF_Output!$Y$2,SUMIFS(SF_Output!$T$1:$T$400,SF_Output!$AC$1:$AC$400,_xlfn.TEXTJOIN(",",TRUE,B63:E63),SF_Output!$Q$1:$Q$400,"monthly")&lt;&gt;0),SUMIFS(SF_Output!$S$1:$S$400,SF_Output!$AC$1:$AC$400,_xlfn.TEXTJOIN(",",TRUE,B63:E63),SF_Output!$Q$1:$Q$400,"monthly"),AND(B63&lt;&gt;"",H63&lt;&gt;SF_Output!$Y$2),SUMIFS(SF_Output!$S$1:$S$400,SF_Output!$AC$1:$AC$400,_xlfn.TEXTJOIN(",",TRUE,B63:E63),SF_Output!$Q$1:$Q$400,"monthly"))</f>
        <v>510</v>
      </c>
      <c r="W63" s="112" cm="1">
        <f t="array" ref="W63">_xlfn.IFS(OR(B63=0,B63="",V63=0),"",AF63&lt;&gt;"exclusion",MAX($W$9,$W$7,(-(SUMIFS(SF_Output!$T$1:$T$400,SF_Output!$AC$1:$AC$400,_xlfn.TEXTJOIN(",",TRUE,$B63:$E63),SF_Output!$Q$1:$Q$400,"monthly"))/V63)),AF63="exclusion",-(SUMIFS(SF_Output!$T$1:$T$400,SF_Output!$AC$1:$AC$400,_xlfn.TEXTJOIN(",",TRUE,$B63:$E63),SF_Output!$Q$1:$Q$400,"monthly"))/V63)</f>
        <v>0.25</v>
      </c>
      <c r="X63" s="6" cm="1">
        <f t="array" ref="X63">IFERROR(_xlfn.IFS(V63=0,0,V63="","",W63=0,V63,OR(V63&lt;&gt;0,V63&lt;&gt;""),H63*I63),V63*(1-W63))</f>
        <v>382.5</v>
      </c>
      <c r="Z63" s="6">
        <f>IFERROR(IF(B63="","",SUMIFS(Billing_Fallout!H:H,Billing_Fallout!N:N,B63)),0)</f>
        <v>0</v>
      </c>
      <c r="AA63" s="6">
        <f t="shared" si="4"/>
        <v>0</v>
      </c>
      <c r="AB63" s="6">
        <f>IFERROR(IF(B63="","",SUMIFS(Billing_Fallout!J:J,Billing_Fallout!N:N,B63)),0)</f>
        <v>0</v>
      </c>
      <c r="AD63" s="6">
        <f t="shared" si="5"/>
        <v>382.5</v>
      </c>
      <c r="AF63" t="str">
        <f>IFERROR(INDEX(H_Tables!$B$1:$B$1500,MATCH(INDEX(SF_Output!$J$1:$J$400,MATCH(B63,SF_Output!$M$1:$M$400,0)),H_Tables!$A$1:$A$1500,0)),"")</f>
        <v/>
      </c>
      <c r="AI63" s="119" t="str">
        <f t="shared" si="6"/>
        <v/>
      </c>
      <c r="AJ63" s="121">
        <f>IFERROR(INDEX(SF_Output!AD:AD,MATCH(_xlfn.TEXTJOIN(",",TRUE,B63:E63),SF_Output!AC1:AC400,0)),0.05)</f>
        <v>100</v>
      </c>
      <c r="AK63" t="str">
        <f>IF(SUMIFS(SF_Output!$F$1:$F$400,SF_Output!$AC$1:$AC$400,_xlfn.TEXTJOIN(",",TRUE,B63:E63))+SUMIFS(SF_Output!$G$1:$G$400,SF_Output!$AC$1:$AC$400,_xlfn.TEXTJOIN(",",TRUE,B63:E63))=0,"","PAP")</f>
        <v>PAP</v>
      </c>
      <c r="AQ63" s="35"/>
      <c r="AR63" s="35" t="str" cm="1">
        <f t="array" ref="AR63">IFERROR(_xlfn.IFS(AND(E63*1=1,F63="Included"),"Change to Included",AND(E63*1=0,F63="Optional"),"Change to Optional",OR(B63="",F63="replaced"),""),"")</f>
        <v/>
      </c>
      <c r="AS63" s="35" t="str">
        <f t="shared" si="7"/>
        <v/>
      </c>
      <c r="AT63" s="35" t="str">
        <f t="shared" si="8"/>
        <v/>
      </c>
      <c r="AU63" s="35" t="str">
        <f t="shared" si="9"/>
        <v/>
      </c>
      <c r="AV63" s="35" t="str">
        <f t="shared" si="10"/>
        <v/>
      </c>
      <c r="AW63" s="35" t="str">
        <f t="shared" si="11"/>
        <v/>
      </c>
      <c r="AX63" s="35" t="str">
        <f t="shared" si="12"/>
        <v/>
      </c>
      <c r="AY63" s="35" t="str">
        <f t="shared" si="13"/>
        <v/>
      </c>
      <c r="AZ63" s="35" t="str">
        <f t="shared" si="14"/>
        <v/>
      </c>
      <c r="BA63" s="35" t="str">
        <f t="shared" si="15"/>
        <v/>
      </c>
      <c r="BB63" s="35" t="str">
        <f t="shared" si="16"/>
        <v/>
      </c>
      <c r="BC63" s="35"/>
      <c r="BE63" s="35">
        <f ca="1">INDEX(SF_Output!$AA$2:$AA$400,MATCH($B63,SF_Output!$M$2:$M$400,0))</f>
        <v>4</v>
      </c>
      <c r="BF63" s="35">
        <f ca="1">INDEX(SF_Output!$AB$2:$AB$400,MATCH($B63,SF_Output!$M$2:$M$400,0))</f>
        <v>2</v>
      </c>
    </row>
    <row r="64" spans="2:58" x14ac:dyDescent="0.25">
      <c r="B64" t="s">
        <v>1598</v>
      </c>
      <c r="C64" t="s">
        <v>2122</v>
      </c>
      <c r="D64" t="s">
        <v>2164</v>
      </c>
      <c r="E64" t="s">
        <v>2124</v>
      </c>
      <c r="F64" s="116" t="str">
        <f t="shared" si="0"/>
        <v>Included</v>
      </c>
      <c r="G64" t="str">
        <f>IF(B64="","",INDEX(SF_Output!$K$1:$K$400,MATCH(B64,SF_Output!$M$1:$M$400,0)))</f>
        <v>Synergy</v>
      </c>
      <c r="H64" cm="1">
        <f t="array" ref="H64">_xlfn.IFS(B64="","",(SUMIFS(SF_Output!$F$1:$F$400,SF_Output!$AC$1:$AC$400,_xlfn.TEXTJOIN(",",TRUE,B64:E64))+SUMIFS(SF_Output!$G$1:$G$400,SF_Output!$AC$1:$AC$400,_xlfn.TEXTJOIN(",",TRUE,B64:E64)))&lt;&gt;0,SF_Output!$Y$2,INDEX(SF_Output!$F$1:$F$400,MATCH(_xlfn.TEXTJOIN(",",TRUE,B64:E64),SF_Output!$AC$1:$AC$400,0))=0,INDEX(SF_Output!$R$1:$R$400,MATCH(_xlfn.TEXTJOIN(",",TRUE,B64:E64),SF_Output!$AC$1:$AC$400,0)))</f>
        <v>2</v>
      </c>
      <c r="I64" s="125" t="str">
        <f>IFERROR(IF(AND(H64&gt;1,H64&lt;&gt;""),ROUND(SUMIFS(SF_Output!$S$1:$S$400,SF_Output!$AC$1:$AC$400,_xlfn.TEXTJOIN(",",TRUE,B64:E64),SF_Output!$Q$1:$Q$400,"monthly")*(1-W64)/H64,4),""),"")</f>
        <v/>
      </c>
      <c r="J64" s="6">
        <f>IF(B64="","",SUMIFS(SF_Output!$S$1:$S$400,SF_Output!$AC$1:$AC$400,_xlfn.TEXTJOIN(",",TRUE,B64:E64),SF_Output!$Q$1:$Q$400,"One Time",SF_Output!$L$1:$L$400,"license fee")+SUMIFS(SF_Output!$S$1:$S$400,SF_Output!$AC$1:$AC$400,_xlfn.TEXTJOIN(",",TRUE,B64:E64),SF_Output!$Q$1:$Q$400,"One Time",SF_Output!$L$1:$L$400,"software license")+SUMIFS(SF_Output!$S$1:$S$400,SF_Output!$AC$1:$AC$400,_xlfn.TEXTJOIN(",",TRUE,B64:E64),SF_Output!$Q$1:$Q$400,"One Time",SF_Output!$L$1:$L$400,"hardware"))</f>
        <v>1000</v>
      </c>
      <c r="K64" s="112">
        <f>IF(OR(B64=0,B64="",G64="hardware",J64=0),"",IF(AF64&lt;&gt;"exclusion",MAX(K$9,-((SUMIFS(SF_Output!$T$1:$T$400,SF_Output!$AC$1:$AC$400,_xlfn.TEXTJOIN(",",TRUE,$B64:$E64),SF_Output!$Q$1:$Q$400,"One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license"))/J64)))</f>
        <v>0</v>
      </c>
      <c r="L64" s="6">
        <f t="shared" si="1"/>
        <v>1000</v>
      </c>
      <c r="N64" s="6">
        <f>IF(B64="","",SUMIFS(SF_Output!$S$1:$S$400,SF_Output!$AC$1:$AC$400,_xlfn.TEXTJOIN(",",TRUE,B64:E64),SF_Output!$Q$1:$Q$400,"One Time",SF_Output!$L$1:$L$400,"professional service"))</f>
        <v>0</v>
      </c>
      <c r="O64" s="112" t="str">
        <f>IF(OR(B64=0,B64="",N64=0),"",IF(AF64&lt;&gt;"exclusion",MAX(O$9,-(SUMIFS(SF_Output!$T$1:$T$400,SF_Output!$AC$1:$AC$400,_xlfn.TEXTJOIN(",",TRUE,$B64:$E64),SF_Output!$Q$1:$Q$400,"One Time",SF_Output!$L$1:$L$400,"professional service"))/N64),-((SUMIFS(SF_Output!$T$1:$T$400,SF_Output!$AC$1:$AC$400,_xlfn.TEXTJOIN(",",TRUE,$B64:$E64),SF_Output!$Q$1:$Q$400,"One Time",SF_Output!$L$1:$L$400,"professional service")/N64))))</f>
        <v/>
      </c>
      <c r="P64" s="6">
        <f t="shared" si="2"/>
        <v>0</v>
      </c>
      <c r="R64" s="6">
        <f>IF(B64="","",SUMIFS(SF_Output!$S$1:$S$400,SF_Output!$AC$1:$AC$400,_xlfn.TEXTJOIN(",",TRUE,B64:E64),SF_Output!$Q$1:$Q$400,"yearly")+SUMIFS(SF_Output!$S$1:$S$400,SF_Output!$AC$1:$AC$400,_xlfn.TEXTJOIN(",",TRUE,B64:E64),SF_Output!$Q$1:$Q$400,"quarterly")*4)</f>
        <v>0</v>
      </c>
      <c r="S64" s="112" t="str">
        <f>IF(OR(B64=0,B64="",G64="hardware",R64=0),"",IF(AF64&lt;&gt;"exclusion",MAX(S$9,-(SUMIFS(SF_Output!$T$1:$T$400,SF_Output!$AC$1:$AC$400,_xlfn.TEXTJOIN(",",TRUE,$B64:$E64),SF_Output!$Q$1:$Q$400,"yearly"))/R64),-((SUMIFS(SF_Output!$T$1:$T$400,SF_Output!$AC$1:$AC$400,_xlfn.TEXTJOIN(",",TRUE,$B64:$E64),SF_Output!$Q$1:$Q$400,"yearly")/R64))))</f>
        <v/>
      </c>
      <c r="T64" s="6">
        <f t="shared" si="3"/>
        <v>0</v>
      </c>
      <c r="V64" s="6" cm="1">
        <f t="array" ref="V64">_xlfn.IFS(B64="","",AND(B64&lt;&gt;"",H64=SF_Output!$Y$2,SUMIFS(SF_Output!$T$1:$T$400,SF_Output!$AC$1:$AC$400,_xlfn.TEXTJOIN(",",TRUE,B64:E64),SF_Output!$Q$1:$Q$400,"monthly")=0),(SUMIFS(SF_Output!$F$1:$F$400,SF_Output!$AC$1:$AC$400,_xlfn.TEXTJOIN(",",TRUE,B64:E64),SF_Output!$Q$1:$Q$400,"monthly")+SUMIFS(SF_Output!$G$1:$G$400,SF_Output!$AC$1:$AC$400,_xlfn.TEXTJOIN(",",TRUE,B64:E64),SF_Output!$Q$1:$Q$400,"monthly"))*H64,AND(B64&lt;&gt;"",H64=SF_Output!$Y$2,SUMIFS(SF_Output!$T$1:$T$400,SF_Output!$AC$1:$AC$400,_xlfn.TEXTJOIN(",",TRUE,B64:E64),SF_Output!$Q$1:$Q$400,"monthly")&lt;&gt;0),SUMIFS(SF_Output!$S$1:$S$400,SF_Output!$AC$1:$AC$400,_xlfn.TEXTJOIN(",",TRUE,B64:E64),SF_Output!$Q$1:$Q$400,"monthly"),AND(B64&lt;&gt;"",H64&lt;&gt;SF_Output!$Y$2),SUMIFS(SF_Output!$S$1:$S$400,SF_Output!$AC$1:$AC$400,_xlfn.TEXTJOIN(",",TRUE,B64:E64),SF_Output!$Q$1:$Q$400,"monthly"))</f>
        <v>0</v>
      </c>
      <c r="W64" s="112" t="str" cm="1">
        <f t="array" ref="W64">_xlfn.IFS(OR(B64=0,B64="",V64=0),"",AF64&lt;&gt;"exclusion",MAX($W$9,$W$7,(-(SUMIFS(SF_Output!$T$1:$T$400,SF_Output!$AC$1:$AC$400,_xlfn.TEXTJOIN(",",TRUE,$B64:$E64),SF_Output!$Q$1:$Q$400,"monthly"))/V64)),AF64="exclusion",-(SUMIFS(SF_Output!$T$1:$T$400,SF_Output!$AC$1:$AC$400,_xlfn.TEXTJOIN(",",TRUE,$B64:$E64),SF_Output!$Q$1:$Q$400,"monthly"))/V64)</f>
        <v/>
      </c>
      <c r="X64" s="6" cm="1">
        <f t="array" ref="X64">IFERROR(_xlfn.IFS(V64=0,0,V64="","",W64=0,V64,OR(V64&lt;&gt;0,V64&lt;&gt;""),H64*I64),V64*(1-W64))</f>
        <v>0</v>
      </c>
      <c r="Z64" s="6">
        <f>IFERROR(IF(B64="","",SUMIFS(Billing_Fallout!H:H,Billing_Fallout!N:N,B64)),0)</f>
        <v>0</v>
      </c>
      <c r="AA64" s="6">
        <f t="shared" si="4"/>
        <v>0</v>
      </c>
      <c r="AB64" s="6">
        <f>IFERROR(IF(B64="","",SUMIFS(Billing_Fallout!J:J,Billing_Fallout!N:N,B64)),0)</f>
        <v>0</v>
      </c>
      <c r="AD64" s="6">
        <f t="shared" si="5"/>
        <v>0</v>
      </c>
      <c r="AF64" t="str">
        <f>IFERROR(INDEX(H_Tables!$B$1:$B$1500,MATCH(INDEX(SF_Output!$J$1:$J$400,MATCH(B64,SF_Output!$M$1:$M$400,0)),H_Tables!$A$1:$A$1500,0)),"")</f>
        <v>Exclusion</v>
      </c>
      <c r="AI64" s="119" t="str">
        <f t="shared" si="6"/>
        <v/>
      </c>
      <c r="AJ64" s="121">
        <f>IFERROR(INDEX(SF_Output!AD:AD,MATCH(_xlfn.TEXTJOIN(",",TRUE,B64:E64),SF_Output!AC1:AC400,0)),0.05)</f>
        <v>102</v>
      </c>
      <c r="AK64" t="str">
        <f>IF(SUMIFS(SF_Output!$F$1:$F$400,SF_Output!$AC$1:$AC$400,_xlfn.TEXTJOIN(",",TRUE,B64:E64))+SUMIFS(SF_Output!$G$1:$G$400,SF_Output!$AC$1:$AC$400,_xlfn.TEXTJOIN(",",TRUE,B64:E64))=0,"","PAP")</f>
        <v/>
      </c>
      <c r="AQ64" s="35"/>
      <c r="AR64" s="35" t="str" cm="1">
        <f t="array" ref="AR64">IFERROR(_xlfn.IFS(AND(E64*1=1,F64="Included"),"Change to Included",AND(E64*1=0,F64="Optional"),"Change to Optional",OR(B64="",F64="replaced"),""),"")</f>
        <v/>
      </c>
      <c r="AS64" s="35" t="str">
        <f t="shared" si="7"/>
        <v/>
      </c>
      <c r="AT64" s="35" t="str">
        <f t="shared" si="8"/>
        <v/>
      </c>
      <c r="AU64" s="35" t="str">
        <f t="shared" si="9"/>
        <v/>
      </c>
      <c r="AV64" s="35" t="str">
        <f t="shared" si="10"/>
        <v/>
      </c>
      <c r="AW64" s="35" t="str">
        <f t="shared" si="11"/>
        <v/>
      </c>
      <c r="AX64" s="35" t="str">
        <f t="shared" si="12"/>
        <v/>
      </c>
      <c r="AY64" s="35" t="str">
        <f t="shared" si="13"/>
        <v/>
      </c>
      <c r="AZ64" s="35" t="str">
        <f t="shared" si="14"/>
        <v/>
      </c>
      <c r="BA64" s="35" t="str">
        <f t="shared" si="15"/>
        <v/>
      </c>
      <c r="BB64" s="35" t="str">
        <f t="shared" si="16"/>
        <v/>
      </c>
      <c r="BC64" s="35"/>
      <c r="BE64" s="35">
        <f ca="1">INDEX(SF_Output!$AA$2:$AA$400,MATCH($B64,SF_Output!$M$2:$M$400,0))</f>
        <v>4</v>
      </c>
      <c r="BF64" s="35">
        <f ca="1">INDEX(SF_Output!$AB$2:$AB$400,MATCH($B64,SF_Output!$M$2:$M$400,0))</f>
        <v>2</v>
      </c>
    </row>
    <row r="65" spans="2:58" x14ac:dyDescent="0.25">
      <c r="B65" t="s">
        <v>1572</v>
      </c>
      <c r="C65" t="s">
        <v>2122</v>
      </c>
      <c r="D65" t="s">
        <v>2123</v>
      </c>
      <c r="E65" t="s">
        <v>2150</v>
      </c>
      <c r="F65" s="116" t="str">
        <f t="shared" si="0"/>
        <v>Optional</v>
      </c>
      <c r="G65" t="str">
        <f>IF(B65="","",INDEX(SF_Output!$K$1:$K$400,MATCH(B65,SF_Output!$M$1:$M$400,0)))</f>
        <v>Synergy</v>
      </c>
      <c r="H65" cm="1">
        <f t="array" ref="H65">_xlfn.IFS(B65="","",(SUMIFS(SF_Output!$F$1:$F$400,SF_Output!$AC$1:$AC$400,_xlfn.TEXTJOIN(",",TRUE,B65:E65))+SUMIFS(SF_Output!$G$1:$G$400,SF_Output!$AC$1:$AC$400,_xlfn.TEXTJOIN(",",TRUE,B65:E65)))&lt;&gt;0,SF_Output!$Y$2,INDEX(SF_Output!$F$1:$F$400,MATCH(_xlfn.TEXTJOIN(",",TRUE,B65:E65),SF_Output!$AC$1:$AC$400,0))=0,INDEX(SF_Output!$R$1:$R$400,MATCH(_xlfn.TEXTJOIN(",",TRUE,B65:E65),SF_Output!$AC$1:$AC$400,0)))</f>
        <v>5000</v>
      </c>
      <c r="I65" s="125">
        <f>IFERROR(IF(AND(H65&gt;1,H65&lt;&gt;""),ROUND(SUMIFS(SF_Output!$S$1:$S$400,SF_Output!$AC$1:$AC$400,_xlfn.TEXTJOIN(",",TRUE,B65:E65),SF_Output!$Q$1:$Q$400,"monthly")*(1-W65)/H65,4),""),"")</f>
        <v>0.08</v>
      </c>
      <c r="J65" s="6">
        <f>IF(B65="","",SUMIFS(SF_Output!$S$1:$S$400,SF_Output!$AC$1:$AC$400,_xlfn.TEXTJOIN(",",TRUE,B65:E65),SF_Output!$Q$1:$Q$400,"One Time",SF_Output!$L$1:$L$400,"license fee")+SUMIFS(SF_Output!$S$1:$S$400,SF_Output!$AC$1:$AC$400,_xlfn.TEXTJOIN(",",TRUE,B65:E65),SF_Output!$Q$1:$Q$400,"One Time",SF_Output!$L$1:$L$400,"software license")+SUMIFS(SF_Output!$S$1:$S$400,SF_Output!$AC$1:$AC$400,_xlfn.TEXTJOIN(",",TRUE,B65:E65),SF_Output!$Q$1:$Q$400,"One Time",SF_Output!$L$1:$L$400,"hardware"))</f>
        <v>0</v>
      </c>
      <c r="K65" s="112" t="str">
        <f>IF(OR(B65=0,B65="",G65="hardware",J65=0),"",IF(AF65&lt;&gt;"exclusion",MAX(K$9,-((SUMIFS(SF_Output!$T$1:$T$400,SF_Output!$AC$1:$AC$400,_xlfn.TEXTJOIN(",",TRUE,$B65:$E65),SF_Output!$Q$1:$Q$400,"One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license"))/J65)))</f>
        <v/>
      </c>
      <c r="L65" s="6">
        <f t="shared" si="1"/>
        <v>0</v>
      </c>
      <c r="N65" s="6">
        <f>IF(B65="","",SUMIFS(SF_Output!$S$1:$S$400,SF_Output!$AC$1:$AC$400,_xlfn.TEXTJOIN(",",TRUE,B65:E65),SF_Output!$Q$1:$Q$400,"One Time",SF_Output!$L$1:$L$400,"professional service"))</f>
        <v>2800</v>
      </c>
      <c r="O65" s="112">
        <f>IF(OR(B65=0,B65="",N65=0),"",IF(AF65&lt;&gt;"exclusion",MAX(O$9,-(SUMIFS(SF_Output!$T$1:$T$400,SF_Output!$AC$1:$AC$400,_xlfn.TEXTJOIN(",",TRUE,$B65:$E65),SF_Output!$Q$1:$Q$400,"One Time",SF_Output!$L$1:$L$400,"professional service"))/N65),-((SUMIFS(SF_Output!$T$1:$T$400,SF_Output!$AC$1:$AC$400,_xlfn.TEXTJOIN(",",TRUE,$B65:$E65),SF_Output!$Q$1:$Q$400,"One Time",SF_Output!$L$1:$L$400,"professional service")/N65))))</f>
        <v>1</v>
      </c>
      <c r="P65" s="6">
        <f t="shared" si="2"/>
        <v>0</v>
      </c>
      <c r="R65" s="6">
        <f>IF(B65="","",SUMIFS(SF_Output!$S$1:$S$400,SF_Output!$AC$1:$AC$400,_xlfn.TEXTJOIN(",",TRUE,B65:E65),SF_Output!$Q$1:$Q$400,"yearly")+SUMIFS(SF_Output!$S$1:$S$400,SF_Output!$AC$1:$AC$400,_xlfn.TEXTJOIN(",",TRUE,B65:E65),SF_Output!$Q$1:$Q$400,"quarterly")*4)</f>
        <v>0</v>
      </c>
      <c r="S65" s="112" t="str">
        <f>IF(OR(B65=0,B65="",G65="hardware",R65=0),"",IF(AF65&lt;&gt;"exclusion",MAX(S$9,-(SUMIFS(SF_Output!$T$1:$T$400,SF_Output!$AC$1:$AC$400,_xlfn.TEXTJOIN(",",TRUE,$B65:$E65),SF_Output!$Q$1:$Q$400,"yearly"))/R65),-((SUMIFS(SF_Output!$T$1:$T$400,SF_Output!$AC$1:$AC$400,_xlfn.TEXTJOIN(",",TRUE,$B65:$E65),SF_Output!$Q$1:$Q$400,"yearly")/R65))))</f>
        <v/>
      </c>
      <c r="T65" s="6">
        <f t="shared" si="3"/>
        <v>0</v>
      </c>
      <c r="V65" s="6" cm="1">
        <f t="array" ref="V65">_xlfn.IFS(B65="","",AND(B65&lt;&gt;"",H65=SF_Output!$Y$2,SUMIFS(SF_Output!$T$1:$T$400,SF_Output!$AC$1:$AC$400,_xlfn.TEXTJOIN(",",TRUE,B65:E65),SF_Output!$Q$1:$Q$400,"monthly")=0),(SUMIFS(SF_Output!$F$1:$F$400,SF_Output!$AC$1:$AC$400,_xlfn.TEXTJOIN(",",TRUE,B65:E65),SF_Output!$Q$1:$Q$400,"monthly")+SUMIFS(SF_Output!$G$1:$G$400,SF_Output!$AC$1:$AC$400,_xlfn.TEXTJOIN(",",TRUE,B65:E65),SF_Output!$Q$1:$Q$400,"monthly"))*H65,AND(B65&lt;&gt;"",H65=SF_Output!$Y$2,SUMIFS(SF_Output!$T$1:$T$400,SF_Output!$AC$1:$AC$400,_xlfn.TEXTJOIN(",",TRUE,B65:E65),SF_Output!$Q$1:$Q$400,"monthly")&lt;&gt;0),SUMIFS(SF_Output!$S$1:$S$400,SF_Output!$AC$1:$AC$400,_xlfn.TEXTJOIN(",",TRUE,B65:E65),SF_Output!$Q$1:$Q$400,"monthly"),AND(B65&lt;&gt;"",H65&lt;&gt;SF_Output!$Y$2),SUMIFS(SF_Output!$S$1:$S$400,SF_Output!$AC$1:$AC$400,_xlfn.TEXTJOIN(",",TRUE,B65:E65),SF_Output!$Q$1:$Q$400,"monthly"))</f>
        <v>400</v>
      </c>
      <c r="W65" s="112" cm="1">
        <f t="array" ref="W65">_xlfn.IFS(OR(B65=0,B65="",V65=0),"",AF65&lt;&gt;"exclusion",MAX($W$9,$W$7,(-(SUMIFS(SF_Output!$T$1:$T$400,SF_Output!$AC$1:$AC$400,_xlfn.TEXTJOIN(",",TRUE,$B65:$E65),SF_Output!$Q$1:$Q$400,"monthly"))/V65)),AF65="exclusion",-(SUMIFS(SF_Output!$T$1:$T$400,SF_Output!$AC$1:$AC$400,_xlfn.TEXTJOIN(",",TRUE,$B65:$E65),SF_Output!$Q$1:$Q$400,"monthly"))/V65)</f>
        <v>0</v>
      </c>
      <c r="X65" s="6" cm="1">
        <f t="array" ref="X65">IFERROR(_xlfn.IFS(V65=0,0,V65="","",W65=0,V65,OR(V65&lt;&gt;0,V65&lt;&gt;""),H65*I65),V65*(1-W65))</f>
        <v>400</v>
      </c>
      <c r="Z65" s="6">
        <f>IFERROR(IF(B65="","",SUMIFS(Billing_Fallout!H:H,Billing_Fallout!N:N,B65)),0)</f>
        <v>0</v>
      </c>
      <c r="AA65" s="6">
        <f t="shared" si="4"/>
        <v>0</v>
      </c>
      <c r="AB65" s="6">
        <f>IFERROR(IF(B65="","",SUMIFS(Billing_Fallout!J:J,Billing_Fallout!N:N,B65)),0)</f>
        <v>0</v>
      </c>
      <c r="AD65" s="6">
        <f t="shared" si="5"/>
        <v>400</v>
      </c>
      <c r="AF65" t="str">
        <f>IFERROR(INDEX(H_Tables!$B$1:$B$1500,MATCH(INDEX(SF_Output!$J$1:$J$400,MATCH(B65,SF_Output!$M$1:$M$400,0)),H_Tables!$A$1:$A$1500,0)),"")</f>
        <v>Exclusion</v>
      </c>
      <c r="AI65" s="119" t="str">
        <f t="shared" si="6"/>
        <v/>
      </c>
      <c r="AJ65" s="121">
        <f>IFERROR(INDEX(SF_Output!AD:AD,MATCH(_xlfn.TEXTJOIN(",",TRUE,B65:E65),SF_Output!AC1:AC400,0)),0.05)</f>
        <v>103</v>
      </c>
      <c r="AK65" t="str">
        <f>IF(SUMIFS(SF_Output!$F$1:$F$400,SF_Output!$AC$1:$AC$400,_xlfn.TEXTJOIN(",",TRUE,B65:E65))+SUMIFS(SF_Output!$G$1:$G$400,SF_Output!$AC$1:$AC$400,_xlfn.TEXTJOIN(",",TRUE,B65:E65))=0,"","PAP")</f>
        <v>PAP</v>
      </c>
      <c r="AQ65" s="35"/>
      <c r="AR65" s="35" t="str" cm="1">
        <f t="array" ref="AR65">IFERROR(_xlfn.IFS(AND(E65*1=1,F65="Included"),"Change to Included",AND(E65*1=0,F65="Optional"),"Change to Optional",OR(B65="",F65="replaced"),""),"")</f>
        <v/>
      </c>
      <c r="AS65" s="35" t="str">
        <f t="shared" si="7"/>
        <v/>
      </c>
      <c r="AT65" s="35" t="str">
        <f t="shared" si="8"/>
        <v/>
      </c>
      <c r="AU65" s="35" t="str">
        <f t="shared" si="9"/>
        <v/>
      </c>
      <c r="AV65" s="35" t="str">
        <f t="shared" si="10"/>
        <v/>
      </c>
      <c r="AW65" s="35" t="str">
        <f t="shared" si="11"/>
        <v/>
      </c>
      <c r="AX65" s="35" t="str">
        <f t="shared" si="12"/>
        <v/>
      </c>
      <c r="AY65" s="35" t="str">
        <f t="shared" si="13"/>
        <v/>
      </c>
      <c r="AZ65" s="35" t="str">
        <f t="shared" si="14"/>
        <v/>
      </c>
      <c r="BA65" s="35" t="str">
        <f t="shared" si="15"/>
        <v/>
      </c>
      <c r="BB65" s="35" t="str">
        <f t="shared" si="16"/>
        <v/>
      </c>
      <c r="BC65" s="35"/>
      <c r="BE65" s="35">
        <f ca="1">INDEX(SF_Output!$AA$2:$AA$400,MATCH($B65,SF_Output!$M$2:$M$400,0))</f>
        <v>4</v>
      </c>
      <c r="BF65" s="35">
        <f ca="1">INDEX(SF_Output!$AB$2:$AB$400,MATCH($B65,SF_Output!$M$2:$M$400,0))</f>
        <v>2</v>
      </c>
    </row>
    <row r="66" spans="2:58" x14ac:dyDescent="0.25">
      <c r="B66" t="s">
        <v>877</v>
      </c>
      <c r="C66" t="s">
        <v>2122</v>
      </c>
      <c r="D66" t="s">
        <v>2123</v>
      </c>
      <c r="E66" t="s">
        <v>2124</v>
      </c>
      <c r="F66" s="116" t="str">
        <f t="shared" si="0"/>
        <v>Included</v>
      </c>
      <c r="G66" t="str">
        <f>IF(B66="","",INDEX(SF_Output!$K$1:$K$400,MATCH(B66,SF_Output!$M$1:$M$400,0)))</f>
        <v>Synergy</v>
      </c>
      <c r="H66" cm="1">
        <f t="array" ref="H66">_xlfn.IFS(B66="","",(SUMIFS(SF_Output!$F$1:$F$400,SF_Output!$AC$1:$AC$400,_xlfn.TEXTJOIN(",",TRUE,B66:E66))+SUMIFS(SF_Output!$G$1:$G$400,SF_Output!$AC$1:$AC$400,_xlfn.TEXTJOIN(",",TRUE,B66:E66)))&lt;&gt;0,SF_Output!$Y$2,INDEX(SF_Output!$F$1:$F$400,MATCH(_xlfn.TEXTJOIN(",",TRUE,B66:E66),SF_Output!$AC$1:$AC$400,0))=0,INDEX(SF_Output!$R$1:$R$400,MATCH(_xlfn.TEXTJOIN(",",TRUE,B66:E66),SF_Output!$AC$1:$AC$400,0)))</f>
        <v>5000</v>
      </c>
      <c r="I66" s="125">
        <f>IFERROR(IF(AND(H66&gt;1,H66&lt;&gt;""),ROUND(SUMIFS(SF_Output!$S$1:$S$400,SF_Output!$AC$1:$AC$400,_xlfn.TEXTJOIN(",",TRUE,B66:E66),SF_Output!$Q$1:$Q$400,"monthly")*(1-W66)/H66,4),""),"")</f>
        <v>0.184</v>
      </c>
      <c r="J66" s="6">
        <f>IF(B66="","",SUMIFS(SF_Output!$S$1:$S$400,SF_Output!$AC$1:$AC$400,_xlfn.TEXTJOIN(",",TRUE,B66:E66),SF_Output!$Q$1:$Q$400,"One Time",SF_Output!$L$1:$L$400,"license fee")+SUMIFS(SF_Output!$S$1:$S$400,SF_Output!$AC$1:$AC$400,_xlfn.TEXTJOIN(",",TRUE,B66:E66),SF_Output!$Q$1:$Q$400,"One Time",SF_Output!$L$1:$L$400,"software license")+SUMIFS(SF_Output!$S$1:$S$400,SF_Output!$AC$1:$AC$400,_xlfn.TEXTJOIN(",",TRUE,B66:E66),SF_Output!$Q$1:$Q$400,"One Time",SF_Output!$L$1:$L$400,"hardware"))</f>
        <v>0</v>
      </c>
      <c r="K66" s="112" t="str">
        <f>IF(OR(B66=0,B66="",G66="hardware",J66=0),"",IF(AF66&lt;&gt;"exclusion",MAX(K$9,-((SUMIFS(SF_Output!$T$1:$T$400,SF_Output!$AC$1:$AC$400,_xlfn.TEXTJOIN(",",TRUE,$B66:$E66),SF_Output!$Q$1:$Q$400,"One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license"))/J66)))</f>
        <v/>
      </c>
      <c r="L66" s="6">
        <f t="shared" si="1"/>
        <v>0</v>
      </c>
      <c r="N66" s="6">
        <f>IF(B66="","",SUMIFS(SF_Output!$S$1:$S$400,SF_Output!$AC$1:$AC$400,_xlfn.TEXTJOIN(",",TRUE,B66:E66),SF_Output!$Q$1:$Q$400,"One Time",SF_Output!$L$1:$L$400,"professional service"))</f>
        <v>15750</v>
      </c>
      <c r="O66" s="112">
        <f>IF(OR(B66=0,B66="",N66=0),"",IF(AF66&lt;&gt;"exclusion",MAX(O$9,-(SUMIFS(SF_Output!$T$1:$T$400,SF_Output!$AC$1:$AC$400,_xlfn.TEXTJOIN(",",TRUE,$B66:$E66),SF_Output!$Q$1:$Q$400,"One Time",SF_Output!$L$1:$L$400,"professional service"))/N66),-((SUMIFS(SF_Output!$T$1:$T$400,SF_Output!$AC$1:$AC$400,_xlfn.TEXTJOIN(",",TRUE,$B66:$E66),SF_Output!$Q$1:$Q$400,"One Time",SF_Output!$L$1:$L$400,"professional service")/N66))))</f>
        <v>0</v>
      </c>
      <c r="P66" s="6">
        <f t="shared" si="2"/>
        <v>15750</v>
      </c>
      <c r="R66" s="6">
        <f>IF(B66="","",SUMIFS(SF_Output!$S$1:$S$400,SF_Output!$AC$1:$AC$400,_xlfn.TEXTJOIN(",",TRUE,B66:E66),SF_Output!$Q$1:$Q$400,"yearly")+SUMIFS(SF_Output!$S$1:$S$400,SF_Output!$AC$1:$AC$400,_xlfn.TEXTJOIN(",",TRUE,B66:E66),SF_Output!$Q$1:$Q$400,"quarterly")*4)</f>
        <v>0</v>
      </c>
      <c r="S66" s="112" t="str">
        <f>IF(OR(B66=0,B66="",G66="hardware",R66=0),"",IF(AF66&lt;&gt;"exclusion",MAX(S$9,-(SUMIFS(SF_Output!$T$1:$T$400,SF_Output!$AC$1:$AC$400,_xlfn.TEXTJOIN(",",TRUE,$B66:$E66),SF_Output!$Q$1:$Q$400,"yearly"))/R66),-((SUMIFS(SF_Output!$T$1:$T$400,SF_Output!$AC$1:$AC$400,_xlfn.TEXTJOIN(",",TRUE,$B66:$E66),SF_Output!$Q$1:$Q$400,"yearly")/R66))))</f>
        <v/>
      </c>
      <c r="T66" s="6">
        <f t="shared" si="3"/>
        <v>0</v>
      </c>
      <c r="V66" s="6" cm="1">
        <f t="array" ref="V66">_xlfn.IFS(B66="","",AND(B66&lt;&gt;"",H66=SF_Output!$Y$2,SUMIFS(SF_Output!$T$1:$T$400,SF_Output!$AC$1:$AC$400,_xlfn.TEXTJOIN(",",TRUE,B66:E66),SF_Output!$Q$1:$Q$400,"monthly")=0),(SUMIFS(SF_Output!$F$1:$F$400,SF_Output!$AC$1:$AC$400,_xlfn.TEXTJOIN(",",TRUE,B66:E66),SF_Output!$Q$1:$Q$400,"monthly")+SUMIFS(SF_Output!$G$1:$G$400,SF_Output!$AC$1:$AC$400,_xlfn.TEXTJOIN(",",TRUE,B66:E66),SF_Output!$Q$1:$Q$400,"monthly"))*H66,AND(B66&lt;&gt;"",H66=SF_Output!$Y$2,SUMIFS(SF_Output!$T$1:$T$400,SF_Output!$AC$1:$AC$400,_xlfn.TEXTJOIN(",",TRUE,B66:E66),SF_Output!$Q$1:$Q$400,"monthly")&lt;&gt;0),SUMIFS(SF_Output!$S$1:$S$400,SF_Output!$AC$1:$AC$400,_xlfn.TEXTJOIN(",",TRUE,B66:E66),SF_Output!$Q$1:$Q$400,"monthly"),AND(B66&lt;&gt;"",H66&lt;&gt;SF_Output!$Y$2),SUMIFS(SF_Output!$S$1:$S$400,SF_Output!$AC$1:$AC$400,_xlfn.TEXTJOIN(",",TRUE,B66:E66),SF_Output!$Q$1:$Q$400,"monthly"))</f>
        <v>920</v>
      </c>
      <c r="W66" s="112" cm="1">
        <f t="array" ref="W66">_xlfn.IFS(OR(B66=0,B66="",V66=0),"",AF66&lt;&gt;"exclusion",MAX($W$9,$W$7,(-(SUMIFS(SF_Output!$T$1:$T$400,SF_Output!$AC$1:$AC$400,_xlfn.TEXTJOIN(",",TRUE,$B66:$E66),SF_Output!$Q$1:$Q$400,"monthly"))/V66)),AF66="exclusion",-(SUMIFS(SF_Output!$T$1:$T$400,SF_Output!$AC$1:$AC$400,_xlfn.TEXTJOIN(",",TRUE,$B66:$E66),SF_Output!$Q$1:$Q$400,"monthly"))/V66)</f>
        <v>0</v>
      </c>
      <c r="X66" s="6" cm="1">
        <f t="array" ref="X66">IFERROR(_xlfn.IFS(V66=0,0,V66="","",W66=0,V66,OR(V66&lt;&gt;0,V66&lt;&gt;""),H66*I66),V66*(1-W66))</f>
        <v>920</v>
      </c>
      <c r="Z66" s="6">
        <f>IFERROR(IF(B66="","",SUMIFS(Billing_Fallout!H:H,Billing_Fallout!N:N,B66)),0)</f>
        <v>0</v>
      </c>
      <c r="AA66" s="6">
        <f t="shared" si="4"/>
        <v>0</v>
      </c>
      <c r="AB66" s="6">
        <f>IFERROR(IF(B66="","",SUMIFS(Billing_Fallout!J:J,Billing_Fallout!N:N,B66)),0)</f>
        <v>0</v>
      </c>
      <c r="AD66" s="6">
        <f t="shared" si="5"/>
        <v>920</v>
      </c>
      <c r="AF66" t="str">
        <f>IFERROR(INDEX(H_Tables!$B$1:$B$1500,MATCH(INDEX(SF_Output!$J$1:$J$400,MATCH(B66,SF_Output!$M$1:$M$400,0)),H_Tables!$A$1:$A$1500,0)),"")</f>
        <v>Exclusion</v>
      </c>
      <c r="AI66" s="119" t="str">
        <f t="shared" si="6"/>
        <v/>
      </c>
      <c r="AJ66" s="121">
        <f>IFERROR(INDEX(SF_Output!AD:AD,MATCH(_xlfn.TEXTJOIN(",",TRUE,B66:E66),SF_Output!AC1:AC400,0)),0.05)</f>
        <v>105</v>
      </c>
      <c r="AK66" t="str">
        <f>IF(SUMIFS(SF_Output!$F$1:$F$400,SF_Output!$AC$1:$AC$400,_xlfn.TEXTJOIN(",",TRUE,B66:E66))+SUMIFS(SF_Output!$G$1:$G$400,SF_Output!$AC$1:$AC$400,_xlfn.TEXTJOIN(",",TRUE,B66:E66))=0,"","PAP")</f>
        <v>PAP</v>
      </c>
      <c r="AQ66" s="35"/>
      <c r="AR66" s="35" t="str" cm="1">
        <f t="array" ref="AR66">IFERROR(_xlfn.IFS(AND(E66*1=1,F66="Included"),"Change to Included",AND(E66*1=0,F66="Optional"),"Change to Optional",OR(B66="",F66="replaced"),""),"")</f>
        <v/>
      </c>
      <c r="AS66" s="35" t="str">
        <f t="shared" si="7"/>
        <v/>
      </c>
      <c r="AT66" s="35" t="str">
        <f t="shared" si="8"/>
        <v/>
      </c>
      <c r="AU66" s="35" t="str">
        <f t="shared" si="9"/>
        <v/>
      </c>
      <c r="AV66" s="35" t="str">
        <f t="shared" si="10"/>
        <v/>
      </c>
      <c r="AW66" s="35" t="str">
        <f t="shared" si="11"/>
        <v/>
      </c>
      <c r="AX66" s="35" t="str">
        <f t="shared" si="12"/>
        <v/>
      </c>
      <c r="AY66" s="35" t="str">
        <f t="shared" si="13"/>
        <v/>
      </c>
      <c r="AZ66" s="35" t="str">
        <f t="shared" si="14"/>
        <v/>
      </c>
      <c r="BA66" s="35" t="str">
        <f t="shared" si="15"/>
        <v/>
      </c>
      <c r="BB66" s="35" t="str">
        <f t="shared" si="16"/>
        <v/>
      </c>
      <c r="BC66" s="35"/>
      <c r="BE66" s="35">
        <f ca="1">INDEX(SF_Output!$AA$2:$AA$400,MATCH($B66,SF_Output!$M$2:$M$400,0))</f>
        <v>4</v>
      </c>
      <c r="BF66" s="35">
        <f ca="1">INDEX(SF_Output!$AB$2:$AB$400,MATCH($B66,SF_Output!$M$2:$M$400,0))</f>
        <v>2</v>
      </c>
    </row>
    <row r="67" spans="2:58" x14ac:dyDescent="0.25">
      <c r="B67" t="s">
        <v>1496</v>
      </c>
      <c r="C67" t="s">
        <v>2122</v>
      </c>
      <c r="D67" t="s">
        <v>2123</v>
      </c>
      <c r="E67" t="s">
        <v>2124</v>
      </c>
      <c r="F67" s="116" t="str">
        <f t="shared" si="0"/>
        <v>Included</v>
      </c>
      <c r="G67" t="str">
        <f>IF(B67="","",INDEX(SF_Output!$K$1:$K$400,MATCH(B67,SF_Output!$M$1:$M$400,0)))</f>
        <v>Synergy</v>
      </c>
      <c r="H67" cm="1">
        <f t="array" ref="H67">_xlfn.IFS(B67="","",(SUMIFS(SF_Output!$F$1:$F$400,SF_Output!$AC$1:$AC$400,_xlfn.TEXTJOIN(",",TRUE,B67:E67))+SUMIFS(SF_Output!$G$1:$G$400,SF_Output!$AC$1:$AC$400,_xlfn.TEXTJOIN(",",TRUE,B67:E67)))&lt;&gt;0,SF_Output!$Y$2,INDEX(SF_Output!$F$1:$F$400,MATCH(_xlfn.TEXTJOIN(",",TRUE,B67:E67),SF_Output!$AC$1:$AC$400,0))=0,INDEX(SF_Output!$R$1:$R$400,MATCH(_xlfn.TEXTJOIN(",",TRUE,B67:E67),SF_Output!$AC$1:$AC$400,0)))</f>
        <v>1</v>
      </c>
      <c r="I67" s="125" t="str">
        <f>IFERROR(IF(AND(H67&gt;1,H67&lt;&gt;""),ROUND(SUMIFS(SF_Output!$S$1:$S$400,SF_Output!$AC$1:$AC$400,_xlfn.TEXTJOIN(",",TRUE,B67:E67),SF_Output!$Q$1:$Q$400,"monthly")*(1-W67)/H67,4),""),"")</f>
        <v/>
      </c>
      <c r="J67" s="6">
        <f>IF(B67="","",SUMIFS(SF_Output!$S$1:$S$400,SF_Output!$AC$1:$AC$400,_xlfn.TEXTJOIN(",",TRUE,B67:E67),SF_Output!$Q$1:$Q$400,"One Time",SF_Output!$L$1:$L$400,"license fee")+SUMIFS(SF_Output!$S$1:$S$400,SF_Output!$AC$1:$AC$400,_xlfn.TEXTJOIN(",",TRUE,B67:E67),SF_Output!$Q$1:$Q$400,"One Time",SF_Output!$L$1:$L$400,"software license")+SUMIFS(SF_Output!$S$1:$S$400,SF_Output!$AC$1:$AC$400,_xlfn.TEXTJOIN(",",TRUE,B67:E67),SF_Output!$Q$1:$Q$400,"One Time",SF_Output!$L$1:$L$400,"hardware"))</f>
        <v>0</v>
      </c>
      <c r="K67" s="112" t="str">
        <f>IF(OR(B67=0,B67="",G67="hardware",J67=0),"",IF(AF67&lt;&gt;"exclusion",MAX(K$9,-((SUMIFS(SF_Output!$T$1:$T$400,SF_Output!$AC$1:$AC$400,_xlfn.TEXTJOIN(",",TRUE,$B67:$E67),SF_Output!$Q$1:$Q$400,"One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license"))/J67)))</f>
        <v/>
      </c>
      <c r="L67" s="6">
        <f t="shared" si="1"/>
        <v>0</v>
      </c>
      <c r="N67" s="6">
        <f>IF(B67="","",SUMIFS(SF_Output!$S$1:$S$400,SF_Output!$AC$1:$AC$400,_xlfn.TEXTJOIN(",",TRUE,B67:E67),SF_Output!$Q$1:$Q$400,"One Time",SF_Output!$L$1:$L$400,"professional service"))</f>
        <v>2600</v>
      </c>
      <c r="O67" s="112">
        <f>IF(OR(B67=0,B67="",N67=0),"",IF(AF67&lt;&gt;"exclusion",MAX(O$9,-(SUMIFS(SF_Output!$T$1:$T$400,SF_Output!$AC$1:$AC$400,_xlfn.TEXTJOIN(",",TRUE,$B67:$E67),SF_Output!$Q$1:$Q$400,"One Time",SF_Output!$L$1:$L$400,"professional service"))/N67),-((SUMIFS(SF_Output!$T$1:$T$400,SF_Output!$AC$1:$AC$400,_xlfn.TEXTJOIN(",",TRUE,$B67:$E67),SF_Output!$Q$1:$Q$400,"One Time",SF_Output!$L$1:$L$400,"professional service")/N67))))</f>
        <v>0</v>
      </c>
      <c r="P67" s="6">
        <f t="shared" si="2"/>
        <v>2600</v>
      </c>
      <c r="R67" s="6">
        <f>IF(B67="","",SUMIFS(SF_Output!$S$1:$S$400,SF_Output!$AC$1:$AC$400,_xlfn.TEXTJOIN(",",TRUE,B67:E67),SF_Output!$Q$1:$Q$400,"yearly")+SUMIFS(SF_Output!$S$1:$S$400,SF_Output!$AC$1:$AC$400,_xlfn.TEXTJOIN(",",TRUE,B67:E67),SF_Output!$Q$1:$Q$400,"quarterly")*4)</f>
        <v>0</v>
      </c>
      <c r="S67" s="112" t="str">
        <f>IF(OR(B67=0,B67="",G67="hardware",R67=0),"",IF(AF67&lt;&gt;"exclusion",MAX(S$9,-(SUMIFS(SF_Output!$T$1:$T$400,SF_Output!$AC$1:$AC$400,_xlfn.TEXTJOIN(",",TRUE,$B67:$E67),SF_Output!$Q$1:$Q$400,"yearly"))/R67),-((SUMIFS(SF_Output!$T$1:$T$400,SF_Output!$AC$1:$AC$400,_xlfn.TEXTJOIN(",",TRUE,$B67:$E67),SF_Output!$Q$1:$Q$400,"yearly")/R67))))</f>
        <v/>
      </c>
      <c r="T67" s="6">
        <f t="shared" si="3"/>
        <v>0</v>
      </c>
      <c r="V67" s="6" cm="1">
        <f t="array" ref="V67">_xlfn.IFS(B67="","",AND(B67&lt;&gt;"",H67=SF_Output!$Y$2,SUMIFS(SF_Output!$T$1:$T$400,SF_Output!$AC$1:$AC$400,_xlfn.TEXTJOIN(",",TRUE,B67:E67),SF_Output!$Q$1:$Q$400,"monthly")=0),(SUMIFS(SF_Output!$F$1:$F$400,SF_Output!$AC$1:$AC$400,_xlfn.TEXTJOIN(",",TRUE,B67:E67),SF_Output!$Q$1:$Q$400,"monthly")+SUMIFS(SF_Output!$G$1:$G$400,SF_Output!$AC$1:$AC$400,_xlfn.TEXTJOIN(",",TRUE,B67:E67),SF_Output!$Q$1:$Q$400,"monthly"))*H67,AND(B67&lt;&gt;"",H67=SF_Output!$Y$2,SUMIFS(SF_Output!$T$1:$T$400,SF_Output!$AC$1:$AC$400,_xlfn.TEXTJOIN(",",TRUE,B67:E67),SF_Output!$Q$1:$Q$400,"monthly")&lt;&gt;0),SUMIFS(SF_Output!$S$1:$S$400,SF_Output!$AC$1:$AC$400,_xlfn.TEXTJOIN(",",TRUE,B67:E67),SF_Output!$Q$1:$Q$400,"monthly"),AND(B67&lt;&gt;"",H67&lt;&gt;SF_Output!$Y$2),SUMIFS(SF_Output!$S$1:$S$400,SF_Output!$AC$1:$AC$400,_xlfn.TEXTJOIN(",",TRUE,B67:E67),SF_Output!$Q$1:$Q$400,"monthly"))</f>
        <v>0</v>
      </c>
      <c r="W67" s="112" t="str" cm="1">
        <f t="array" ref="W67">_xlfn.IFS(OR(B67=0,B67="",V67=0),"",AF67&lt;&gt;"exclusion",MAX($W$9,$W$7,(-(SUMIFS(SF_Output!$T$1:$T$400,SF_Output!$AC$1:$AC$400,_xlfn.TEXTJOIN(",",TRUE,$B67:$E67),SF_Output!$Q$1:$Q$400,"monthly"))/V67)),AF67="exclusion",-(SUMIFS(SF_Output!$T$1:$T$400,SF_Output!$AC$1:$AC$400,_xlfn.TEXTJOIN(",",TRUE,$B67:$E67),SF_Output!$Q$1:$Q$400,"monthly"))/V67)</f>
        <v/>
      </c>
      <c r="X67" s="6" cm="1">
        <f t="array" ref="X67">IFERROR(_xlfn.IFS(V67=0,0,V67="","",W67=0,V67,OR(V67&lt;&gt;0,V67&lt;&gt;""),H67*I67),V67*(1-W67))</f>
        <v>0</v>
      </c>
      <c r="Z67" s="6">
        <f>IFERROR(IF(B67="","",SUMIFS(Billing_Fallout!H:H,Billing_Fallout!N:N,B67)),0)</f>
        <v>0</v>
      </c>
      <c r="AA67" s="6">
        <f t="shared" si="4"/>
        <v>0</v>
      </c>
      <c r="AB67" s="6">
        <f>IFERROR(IF(B67="","",SUMIFS(Billing_Fallout!J:J,Billing_Fallout!N:N,B67)),0)</f>
        <v>0</v>
      </c>
      <c r="AD67" s="6">
        <f t="shared" si="5"/>
        <v>0</v>
      </c>
      <c r="AF67" t="str">
        <f>IFERROR(INDEX(H_Tables!$B$1:$B$1500,MATCH(INDEX(SF_Output!$J$1:$J$400,MATCH(B67,SF_Output!$M$1:$M$400,0)),H_Tables!$A$1:$A$1500,0)),"")</f>
        <v>Exclusion</v>
      </c>
      <c r="AI67" s="119" t="str">
        <f t="shared" si="6"/>
        <v/>
      </c>
      <c r="AJ67" s="121">
        <f>IFERROR(INDEX(SF_Output!AD:AD,MATCH(_xlfn.TEXTJOIN(",",TRUE,B67:E67),SF_Output!AC1:AC400,0)),0.05)</f>
        <v>107</v>
      </c>
      <c r="AK67" t="str">
        <f>IF(SUMIFS(SF_Output!$F$1:$F$400,SF_Output!$AC$1:$AC$400,_xlfn.TEXTJOIN(",",TRUE,B67:E67))+SUMIFS(SF_Output!$G$1:$G$400,SF_Output!$AC$1:$AC$400,_xlfn.TEXTJOIN(",",TRUE,B67:E67))=0,"","PAP")</f>
        <v/>
      </c>
      <c r="AQ67" s="35"/>
      <c r="AR67" s="35" t="str" cm="1">
        <f t="array" ref="AR67">IFERROR(_xlfn.IFS(AND(E67*1=1,F67="Included"),"Change to Included",AND(E67*1=0,F67="Optional"),"Change to Optional",OR(B67="",F67="replaced"),""),"")</f>
        <v/>
      </c>
      <c r="AS67" s="35" t="str">
        <f t="shared" si="7"/>
        <v/>
      </c>
      <c r="AT67" s="35" t="str">
        <f t="shared" si="8"/>
        <v/>
      </c>
      <c r="AU67" s="35" t="str">
        <f t="shared" si="9"/>
        <v/>
      </c>
      <c r="AV67" s="35" t="str">
        <f t="shared" si="10"/>
        <v/>
      </c>
      <c r="AW67" s="35" t="str">
        <f t="shared" si="11"/>
        <v/>
      </c>
      <c r="AX67" s="35" t="str">
        <f t="shared" si="12"/>
        <v/>
      </c>
      <c r="AY67" s="35" t="str">
        <f t="shared" si="13"/>
        <v/>
      </c>
      <c r="AZ67" s="35" t="str">
        <f t="shared" si="14"/>
        <v/>
      </c>
      <c r="BA67" s="35" t="str">
        <f t="shared" si="15"/>
        <v/>
      </c>
      <c r="BB67" s="35" t="str">
        <f t="shared" si="16"/>
        <v/>
      </c>
      <c r="BC67" s="35"/>
      <c r="BE67" s="35">
        <f ca="1">INDEX(SF_Output!$AA$2:$AA$400,MATCH($B67,SF_Output!$M$2:$M$400,0))</f>
        <v>4</v>
      </c>
      <c r="BF67" s="35">
        <f ca="1">INDEX(SF_Output!$AB$2:$AB$400,MATCH($B67,SF_Output!$M$2:$M$400,0))</f>
        <v>2</v>
      </c>
    </row>
    <row r="68" spans="2:58" x14ac:dyDescent="0.25">
      <c r="B68" t="s">
        <v>1500</v>
      </c>
      <c r="C68" t="s">
        <v>2122</v>
      </c>
      <c r="D68" t="s">
        <v>2123</v>
      </c>
      <c r="E68" t="s">
        <v>2124</v>
      </c>
      <c r="F68" s="116" t="str">
        <f t="shared" si="0"/>
        <v>Included</v>
      </c>
      <c r="G68" t="str">
        <f>IF(B68="","",INDEX(SF_Output!$K$1:$K$400,MATCH(B68,SF_Output!$M$1:$M$400,0)))</f>
        <v>Synergy</v>
      </c>
      <c r="H68" cm="1">
        <f t="array" ref="H68">_xlfn.IFS(B68="","",(SUMIFS(SF_Output!$F$1:$F$400,SF_Output!$AC$1:$AC$400,_xlfn.TEXTJOIN(",",TRUE,B68:E68))+SUMIFS(SF_Output!$G$1:$G$400,SF_Output!$AC$1:$AC$400,_xlfn.TEXTJOIN(",",TRUE,B68:E68)))&lt;&gt;0,SF_Output!$Y$2,INDEX(SF_Output!$F$1:$F$400,MATCH(_xlfn.TEXTJOIN(",",TRUE,B68:E68),SF_Output!$AC$1:$AC$400,0))=0,INDEX(SF_Output!$R$1:$R$400,MATCH(_xlfn.TEXTJOIN(",",TRUE,B68:E68),SF_Output!$AC$1:$AC$400,0)))</f>
        <v>1</v>
      </c>
      <c r="I68" s="125" t="str">
        <f>IFERROR(IF(AND(H68&gt;1,H68&lt;&gt;""),ROUND(SUMIFS(SF_Output!$S$1:$S$400,SF_Output!$AC$1:$AC$400,_xlfn.TEXTJOIN(",",TRUE,B68:E68),SF_Output!$Q$1:$Q$400,"monthly")*(1-W68)/H68,4),""),"")</f>
        <v/>
      </c>
      <c r="J68" s="6">
        <f>IF(B68="","",SUMIFS(SF_Output!$S$1:$S$400,SF_Output!$AC$1:$AC$400,_xlfn.TEXTJOIN(",",TRUE,B68:E68),SF_Output!$Q$1:$Q$400,"One Time",SF_Output!$L$1:$L$400,"license fee")+SUMIFS(SF_Output!$S$1:$S$400,SF_Output!$AC$1:$AC$400,_xlfn.TEXTJOIN(",",TRUE,B68:E68),SF_Output!$Q$1:$Q$400,"One Time",SF_Output!$L$1:$L$400,"software license")+SUMIFS(SF_Output!$S$1:$S$400,SF_Output!$AC$1:$AC$400,_xlfn.TEXTJOIN(",",TRUE,B68:E68),SF_Output!$Q$1:$Q$400,"One Time",SF_Output!$L$1:$L$400,"hardware"))</f>
        <v>0</v>
      </c>
      <c r="K68" s="112" t="str">
        <f>IF(OR(B68=0,B68="",G68="hardware",J68=0),"",IF(AF68&lt;&gt;"exclusion",MAX(K$9,-((SUMIFS(SF_Output!$T$1:$T$400,SF_Output!$AC$1:$AC$400,_xlfn.TEXTJOIN(",",TRUE,$B68:$E68),SF_Output!$Q$1:$Q$400,"One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license"))/J68)))</f>
        <v/>
      </c>
      <c r="L68" s="6">
        <f t="shared" si="1"/>
        <v>0</v>
      </c>
      <c r="N68" s="6">
        <f>IF(B68="","",SUMIFS(SF_Output!$S$1:$S$400,SF_Output!$AC$1:$AC$400,_xlfn.TEXTJOIN(",",TRUE,B68:E68),SF_Output!$Q$1:$Q$400,"One Time",SF_Output!$L$1:$L$400,"professional service"))</f>
        <v>3250</v>
      </c>
      <c r="O68" s="112">
        <f>IF(OR(B68=0,B68="",N68=0),"",IF(AF68&lt;&gt;"exclusion",MAX(O$9,-(SUMIFS(SF_Output!$T$1:$T$400,SF_Output!$AC$1:$AC$400,_xlfn.TEXTJOIN(",",TRUE,$B68:$E68),SF_Output!$Q$1:$Q$400,"One Time",SF_Output!$L$1:$L$400,"professional service"))/N68),-((SUMIFS(SF_Output!$T$1:$T$400,SF_Output!$AC$1:$AC$400,_xlfn.TEXTJOIN(",",TRUE,$B68:$E68),SF_Output!$Q$1:$Q$400,"One Time",SF_Output!$L$1:$L$400,"professional service")/N68))))</f>
        <v>0</v>
      </c>
      <c r="P68" s="6">
        <f t="shared" si="2"/>
        <v>3250</v>
      </c>
      <c r="R68" s="6">
        <f>IF(B68="","",SUMIFS(SF_Output!$S$1:$S$400,SF_Output!$AC$1:$AC$400,_xlfn.TEXTJOIN(",",TRUE,B68:E68),SF_Output!$Q$1:$Q$400,"yearly")+SUMIFS(SF_Output!$S$1:$S$400,SF_Output!$AC$1:$AC$400,_xlfn.TEXTJOIN(",",TRUE,B68:E68),SF_Output!$Q$1:$Q$400,"quarterly")*4)</f>
        <v>0</v>
      </c>
      <c r="S68" s="112" t="str">
        <f>IF(OR(B68=0,B68="",G68="hardware",R68=0),"",IF(AF68&lt;&gt;"exclusion",MAX(S$9,-(SUMIFS(SF_Output!$T$1:$T$400,SF_Output!$AC$1:$AC$400,_xlfn.TEXTJOIN(",",TRUE,$B68:$E68),SF_Output!$Q$1:$Q$400,"yearly"))/R68),-((SUMIFS(SF_Output!$T$1:$T$400,SF_Output!$AC$1:$AC$400,_xlfn.TEXTJOIN(",",TRUE,$B68:$E68),SF_Output!$Q$1:$Q$400,"yearly")/R68))))</f>
        <v/>
      </c>
      <c r="T68" s="6">
        <f t="shared" si="3"/>
        <v>0</v>
      </c>
      <c r="V68" s="6" cm="1">
        <f t="array" ref="V68">_xlfn.IFS(B68="","",AND(B68&lt;&gt;"",H68=SF_Output!$Y$2,SUMIFS(SF_Output!$T$1:$T$400,SF_Output!$AC$1:$AC$400,_xlfn.TEXTJOIN(",",TRUE,B68:E68),SF_Output!$Q$1:$Q$400,"monthly")=0),(SUMIFS(SF_Output!$F$1:$F$400,SF_Output!$AC$1:$AC$400,_xlfn.TEXTJOIN(",",TRUE,B68:E68),SF_Output!$Q$1:$Q$400,"monthly")+SUMIFS(SF_Output!$G$1:$G$400,SF_Output!$AC$1:$AC$400,_xlfn.TEXTJOIN(",",TRUE,B68:E68),SF_Output!$Q$1:$Q$400,"monthly"))*H68,AND(B68&lt;&gt;"",H68=SF_Output!$Y$2,SUMIFS(SF_Output!$T$1:$T$400,SF_Output!$AC$1:$AC$400,_xlfn.TEXTJOIN(",",TRUE,B68:E68),SF_Output!$Q$1:$Q$400,"monthly")&lt;&gt;0),SUMIFS(SF_Output!$S$1:$S$400,SF_Output!$AC$1:$AC$400,_xlfn.TEXTJOIN(",",TRUE,B68:E68),SF_Output!$Q$1:$Q$400,"monthly"),AND(B68&lt;&gt;"",H68&lt;&gt;SF_Output!$Y$2),SUMIFS(SF_Output!$S$1:$S$400,SF_Output!$AC$1:$AC$400,_xlfn.TEXTJOIN(",",TRUE,B68:E68),SF_Output!$Q$1:$Q$400,"monthly"))</f>
        <v>0</v>
      </c>
      <c r="W68" s="112" t="str" cm="1">
        <f t="array" ref="W68">_xlfn.IFS(OR(B68=0,B68="",V68=0),"",AF68&lt;&gt;"exclusion",MAX($W$9,$W$7,(-(SUMIFS(SF_Output!$T$1:$T$400,SF_Output!$AC$1:$AC$400,_xlfn.TEXTJOIN(",",TRUE,$B68:$E68),SF_Output!$Q$1:$Q$400,"monthly"))/V68)),AF68="exclusion",-(SUMIFS(SF_Output!$T$1:$T$400,SF_Output!$AC$1:$AC$400,_xlfn.TEXTJOIN(",",TRUE,$B68:$E68),SF_Output!$Q$1:$Q$400,"monthly"))/V68)</f>
        <v/>
      </c>
      <c r="X68" s="6" cm="1">
        <f t="array" ref="X68">IFERROR(_xlfn.IFS(V68=0,0,V68="","",W68=0,V68,OR(V68&lt;&gt;0,V68&lt;&gt;""),H68*I68),V68*(1-W68))</f>
        <v>0</v>
      </c>
      <c r="Z68" s="6">
        <f>IFERROR(IF(B68="","",SUMIFS(Billing_Fallout!H:H,Billing_Fallout!N:N,B68)),0)</f>
        <v>0</v>
      </c>
      <c r="AA68" s="6">
        <f t="shared" si="4"/>
        <v>0</v>
      </c>
      <c r="AB68" s="6">
        <f>IFERROR(IF(B68="","",SUMIFS(Billing_Fallout!J:J,Billing_Fallout!N:N,B68)),0)</f>
        <v>0</v>
      </c>
      <c r="AD68" s="6">
        <f t="shared" si="5"/>
        <v>0</v>
      </c>
      <c r="AF68" t="str">
        <f>IFERROR(INDEX(H_Tables!$B$1:$B$1500,MATCH(INDEX(SF_Output!$J$1:$J$400,MATCH(B68,SF_Output!$M$1:$M$400,0)),H_Tables!$A$1:$A$1500,0)),"")</f>
        <v>Exclusion</v>
      </c>
      <c r="AI68" s="119" t="str">
        <f t="shared" si="6"/>
        <v/>
      </c>
      <c r="AJ68" s="121">
        <f>IFERROR(INDEX(SF_Output!AD:AD,MATCH(_xlfn.TEXTJOIN(",",TRUE,B68:E68),SF_Output!AC1:AC400,0)),0.05)</f>
        <v>108</v>
      </c>
      <c r="AK68" t="str">
        <f>IF(SUMIFS(SF_Output!$F$1:$F$400,SF_Output!$AC$1:$AC$400,_xlfn.TEXTJOIN(",",TRUE,B68:E68))+SUMIFS(SF_Output!$G$1:$G$400,SF_Output!$AC$1:$AC$400,_xlfn.TEXTJOIN(",",TRUE,B68:E68))=0,"","PAP")</f>
        <v/>
      </c>
      <c r="AQ68" s="35"/>
      <c r="AR68" s="35" t="str" cm="1">
        <f t="array" ref="AR68">IFERROR(_xlfn.IFS(AND(E68*1=1,F68="Included"),"Change to Included",AND(E68*1=0,F68="Optional"),"Change to Optional",OR(B68="",F68="replaced"),""),"")</f>
        <v/>
      </c>
      <c r="AS68" s="35" t="str">
        <f t="shared" si="7"/>
        <v/>
      </c>
      <c r="AT68" s="35" t="str">
        <f t="shared" si="8"/>
        <v/>
      </c>
      <c r="AU68" s="35" t="str">
        <f t="shared" si="9"/>
        <v/>
      </c>
      <c r="AV68" s="35" t="str">
        <f t="shared" si="10"/>
        <v/>
      </c>
      <c r="AW68" s="35" t="str">
        <f t="shared" si="11"/>
        <v/>
      </c>
      <c r="AX68" s="35" t="str">
        <f t="shared" si="12"/>
        <v/>
      </c>
      <c r="AY68" s="35" t="str">
        <f t="shared" si="13"/>
        <v/>
      </c>
      <c r="AZ68" s="35" t="str">
        <f t="shared" si="14"/>
        <v/>
      </c>
      <c r="BA68" s="35" t="str">
        <f t="shared" si="15"/>
        <v/>
      </c>
      <c r="BB68" s="35" t="str">
        <f t="shared" si="16"/>
        <v/>
      </c>
      <c r="BC68" s="35"/>
      <c r="BE68" s="35">
        <f ca="1">INDEX(SF_Output!$AA$2:$AA$400,MATCH($B68,SF_Output!$M$2:$M$400,0))</f>
        <v>4</v>
      </c>
      <c r="BF68" s="35">
        <f ca="1">INDEX(SF_Output!$AB$2:$AB$400,MATCH($B68,SF_Output!$M$2:$M$400,0))</f>
        <v>2</v>
      </c>
    </row>
    <row r="69" spans="2:58" x14ac:dyDescent="0.25">
      <c r="B69" t="s">
        <v>1506</v>
      </c>
      <c r="C69" t="s">
        <v>2122</v>
      </c>
      <c r="D69" t="s">
        <v>2123</v>
      </c>
      <c r="E69" t="s">
        <v>2124</v>
      </c>
      <c r="F69" s="116" t="str">
        <f t="shared" si="0"/>
        <v>Included</v>
      </c>
      <c r="G69" t="str">
        <f>IF(B69="","",INDEX(SF_Output!$K$1:$K$400,MATCH(B69,SF_Output!$M$1:$M$400,0)))</f>
        <v>Synergy</v>
      </c>
      <c r="H69" cm="1">
        <f t="array" ref="H69">_xlfn.IFS(B69="","",(SUMIFS(SF_Output!$F$1:$F$400,SF_Output!$AC$1:$AC$400,_xlfn.TEXTJOIN(",",TRUE,B69:E69))+SUMIFS(SF_Output!$G$1:$G$400,SF_Output!$AC$1:$AC$400,_xlfn.TEXTJOIN(",",TRUE,B69:E69)))&lt;&gt;0,SF_Output!$Y$2,INDEX(SF_Output!$F$1:$F$400,MATCH(_xlfn.TEXTJOIN(",",TRUE,B69:E69),SF_Output!$AC$1:$AC$400,0))=0,INDEX(SF_Output!$R$1:$R$400,MATCH(_xlfn.TEXTJOIN(",",TRUE,B69:E69),SF_Output!$AC$1:$AC$400,0)))</f>
        <v>1</v>
      </c>
      <c r="I69" s="125" t="str">
        <f>IFERROR(IF(AND(H69&gt;1,H69&lt;&gt;""),ROUND(SUMIFS(SF_Output!$S$1:$S$400,SF_Output!$AC$1:$AC$400,_xlfn.TEXTJOIN(",",TRUE,B69:E69),SF_Output!$Q$1:$Q$400,"monthly")*(1-W69)/H69,4),""),"")</f>
        <v/>
      </c>
      <c r="J69" s="6">
        <f>IF(B69="","",SUMIFS(SF_Output!$S$1:$S$400,SF_Output!$AC$1:$AC$400,_xlfn.TEXTJOIN(",",TRUE,B69:E69),SF_Output!$Q$1:$Q$400,"One Time",SF_Output!$L$1:$L$400,"license fee")+SUMIFS(SF_Output!$S$1:$S$400,SF_Output!$AC$1:$AC$400,_xlfn.TEXTJOIN(",",TRUE,B69:E69),SF_Output!$Q$1:$Q$400,"One Time",SF_Output!$L$1:$L$400,"software license")+SUMIFS(SF_Output!$S$1:$S$400,SF_Output!$AC$1:$AC$400,_xlfn.TEXTJOIN(",",TRUE,B69:E69),SF_Output!$Q$1:$Q$400,"One Time",SF_Output!$L$1:$L$400,"hardware"))</f>
        <v>0</v>
      </c>
      <c r="K69" s="112" t="str">
        <f>IF(OR(B69=0,B69="",G69="hardware",J69=0),"",IF(AF69&lt;&gt;"exclusion",MAX(K$9,-((SUMIFS(SF_Output!$T$1:$T$400,SF_Output!$AC$1:$AC$400,_xlfn.TEXTJOIN(",",TRUE,$B69:$E69),SF_Output!$Q$1:$Q$400,"One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license"))/J69)))</f>
        <v/>
      </c>
      <c r="L69" s="6">
        <f t="shared" si="1"/>
        <v>0</v>
      </c>
      <c r="N69" s="6">
        <f>IF(B69="","",SUMIFS(SF_Output!$S$1:$S$400,SF_Output!$AC$1:$AC$400,_xlfn.TEXTJOIN(",",TRUE,B69:E69),SF_Output!$Q$1:$Q$400,"One Time",SF_Output!$L$1:$L$400,"professional service"))</f>
        <v>1150</v>
      </c>
      <c r="O69" s="112">
        <f>IF(OR(B69=0,B69="",N69=0),"",IF(AF69&lt;&gt;"exclusion",MAX(O$9,-(SUMIFS(SF_Output!$T$1:$T$400,SF_Output!$AC$1:$AC$400,_xlfn.TEXTJOIN(",",TRUE,$B69:$E69),SF_Output!$Q$1:$Q$400,"One Time",SF_Output!$L$1:$L$400,"professional service"))/N69),-((SUMIFS(SF_Output!$T$1:$T$400,SF_Output!$AC$1:$AC$400,_xlfn.TEXTJOIN(",",TRUE,$B69:$E69),SF_Output!$Q$1:$Q$400,"One Time",SF_Output!$L$1:$L$400,"professional service")/N69))))</f>
        <v>0</v>
      </c>
      <c r="P69" s="6">
        <f t="shared" si="2"/>
        <v>1150</v>
      </c>
      <c r="R69" s="6">
        <f>IF(B69="","",SUMIFS(SF_Output!$S$1:$S$400,SF_Output!$AC$1:$AC$400,_xlfn.TEXTJOIN(",",TRUE,B69:E69),SF_Output!$Q$1:$Q$400,"yearly")+SUMIFS(SF_Output!$S$1:$S$400,SF_Output!$AC$1:$AC$400,_xlfn.TEXTJOIN(",",TRUE,B69:E69),SF_Output!$Q$1:$Q$400,"quarterly")*4)</f>
        <v>0</v>
      </c>
      <c r="S69" s="112" t="str">
        <f>IF(OR(B69=0,B69="",G69="hardware",R69=0),"",IF(AF69&lt;&gt;"exclusion",MAX(S$9,-(SUMIFS(SF_Output!$T$1:$T$400,SF_Output!$AC$1:$AC$400,_xlfn.TEXTJOIN(",",TRUE,$B69:$E69),SF_Output!$Q$1:$Q$400,"yearly"))/R69),-((SUMIFS(SF_Output!$T$1:$T$400,SF_Output!$AC$1:$AC$400,_xlfn.TEXTJOIN(",",TRUE,$B69:$E69),SF_Output!$Q$1:$Q$400,"yearly")/R69))))</f>
        <v/>
      </c>
      <c r="T69" s="6">
        <f t="shared" si="3"/>
        <v>0</v>
      </c>
      <c r="V69" s="6" cm="1">
        <f t="array" ref="V69">_xlfn.IFS(B69="","",AND(B69&lt;&gt;"",H69=SF_Output!$Y$2,SUMIFS(SF_Output!$T$1:$T$400,SF_Output!$AC$1:$AC$400,_xlfn.TEXTJOIN(",",TRUE,B69:E69),SF_Output!$Q$1:$Q$400,"monthly")=0),(SUMIFS(SF_Output!$F$1:$F$400,SF_Output!$AC$1:$AC$400,_xlfn.TEXTJOIN(",",TRUE,B69:E69),SF_Output!$Q$1:$Q$400,"monthly")+SUMIFS(SF_Output!$G$1:$G$400,SF_Output!$AC$1:$AC$400,_xlfn.TEXTJOIN(",",TRUE,B69:E69),SF_Output!$Q$1:$Q$400,"monthly"))*H69,AND(B69&lt;&gt;"",H69=SF_Output!$Y$2,SUMIFS(SF_Output!$T$1:$T$400,SF_Output!$AC$1:$AC$400,_xlfn.TEXTJOIN(",",TRUE,B69:E69),SF_Output!$Q$1:$Q$400,"monthly")&lt;&gt;0),SUMIFS(SF_Output!$S$1:$S$400,SF_Output!$AC$1:$AC$400,_xlfn.TEXTJOIN(",",TRUE,B69:E69),SF_Output!$Q$1:$Q$400,"monthly"),AND(B69&lt;&gt;"",H69&lt;&gt;SF_Output!$Y$2),SUMIFS(SF_Output!$S$1:$S$400,SF_Output!$AC$1:$AC$400,_xlfn.TEXTJOIN(",",TRUE,B69:E69),SF_Output!$Q$1:$Q$400,"monthly"))</f>
        <v>0</v>
      </c>
      <c r="W69" s="112" t="str" cm="1">
        <f t="array" ref="W69">_xlfn.IFS(OR(B69=0,B69="",V69=0),"",AF69&lt;&gt;"exclusion",MAX($W$9,$W$7,(-(SUMIFS(SF_Output!$T$1:$T$400,SF_Output!$AC$1:$AC$400,_xlfn.TEXTJOIN(",",TRUE,$B69:$E69),SF_Output!$Q$1:$Q$400,"monthly"))/V69)),AF69="exclusion",-(SUMIFS(SF_Output!$T$1:$T$400,SF_Output!$AC$1:$AC$400,_xlfn.TEXTJOIN(",",TRUE,$B69:$E69),SF_Output!$Q$1:$Q$400,"monthly"))/V69)</f>
        <v/>
      </c>
      <c r="X69" s="6" cm="1">
        <f t="array" ref="X69">IFERROR(_xlfn.IFS(V69=0,0,V69="","",W69=0,V69,OR(V69&lt;&gt;0,V69&lt;&gt;""),H69*I69),V69*(1-W69))</f>
        <v>0</v>
      </c>
      <c r="Z69" s="6">
        <f>IFERROR(IF(B69="","",SUMIFS(Billing_Fallout!H:H,Billing_Fallout!N:N,B69)),0)</f>
        <v>0</v>
      </c>
      <c r="AA69" s="6">
        <f t="shared" si="4"/>
        <v>0</v>
      </c>
      <c r="AB69" s="6">
        <f>IFERROR(IF(B69="","",SUMIFS(Billing_Fallout!J:J,Billing_Fallout!N:N,B69)),0)</f>
        <v>0</v>
      </c>
      <c r="AD69" s="6">
        <f t="shared" si="5"/>
        <v>0</v>
      </c>
      <c r="AF69" t="str">
        <f>IFERROR(INDEX(H_Tables!$B$1:$B$1500,MATCH(INDEX(SF_Output!$J$1:$J$400,MATCH(B69,SF_Output!$M$1:$M$400,0)),H_Tables!$A$1:$A$1500,0)),"")</f>
        <v>Exclusion</v>
      </c>
      <c r="AI69" s="119" t="str">
        <f t="shared" si="6"/>
        <v/>
      </c>
      <c r="AJ69" s="121">
        <f>IFERROR(INDEX(SF_Output!AD:AD,MATCH(_xlfn.TEXTJOIN(",",TRUE,B69:E69),SF_Output!AC1:AC400,0)),0.05)</f>
        <v>109</v>
      </c>
      <c r="AK69" t="str">
        <f>IF(SUMIFS(SF_Output!$F$1:$F$400,SF_Output!$AC$1:$AC$400,_xlfn.TEXTJOIN(",",TRUE,B69:E69))+SUMIFS(SF_Output!$G$1:$G$400,SF_Output!$AC$1:$AC$400,_xlfn.TEXTJOIN(",",TRUE,B69:E69))=0,"","PAP")</f>
        <v/>
      </c>
      <c r="AQ69" s="35"/>
      <c r="AR69" s="35" t="str" cm="1">
        <f t="array" ref="AR69">IFERROR(_xlfn.IFS(AND(E69*1=1,F69="Included"),"Change to Included",AND(E69*1=0,F69="Optional"),"Change to Optional",OR(B69="",F69="replaced"),""),"")</f>
        <v/>
      </c>
      <c r="AS69" s="35" t="str">
        <f t="shared" si="7"/>
        <v/>
      </c>
      <c r="AT69" s="35" t="str">
        <f t="shared" si="8"/>
        <v/>
      </c>
      <c r="AU69" s="35" t="str">
        <f t="shared" si="9"/>
        <v/>
      </c>
      <c r="AV69" s="35" t="str">
        <f t="shared" si="10"/>
        <v/>
      </c>
      <c r="AW69" s="35" t="str">
        <f t="shared" si="11"/>
        <v/>
      </c>
      <c r="AX69" s="35" t="str">
        <f t="shared" si="12"/>
        <v/>
      </c>
      <c r="AY69" s="35" t="str">
        <f t="shared" si="13"/>
        <v/>
      </c>
      <c r="AZ69" s="35" t="str">
        <f t="shared" si="14"/>
        <v/>
      </c>
      <c r="BA69" s="35" t="str">
        <f t="shared" si="15"/>
        <v/>
      </c>
      <c r="BB69" s="35" t="str">
        <f t="shared" si="16"/>
        <v/>
      </c>
      <c r="BC69" s="35"/>
      <c r="BE69" s="35">
        <f ca="1">INDEX(SF_Output!$AA$2:$AA$400,MATCH($B69,SF_Output!$M$2:$M$400,0))</f>
        <v>4</v>
      </c>
      <c r="BF69" s="35">
        <f ca="1">INDEX(SF_Output!$AB$2:$AB$400,MATCH($B69,SF_Output!$M$2:$M$400,0))</f>
        <v>2</v>
      </c>
    </row>
    <row r="70" spans="2:58" x14ac:dyDescent="0.25">
      <c r="B70" t="s">
        <v>1510</v>
      </c>
      <c r="C70" t="s">
        <v>2122</v>
      </c>
      <c r="D70" t="s">
        <v>2123</v>
      </c>
      <c r="E70" t="s">
        <v>2150</v>
      </c>
      <c r="F70" s="116" t="str">
        <f t="shared" si="0"/>
        <v>Optional</v>
      </c>
      <c r="G70" t="str">
        <f>IF(B70="","",INDEX(SF_Output!$K$1:$K$400,MATCH(B70,SF_Output!$M$1:$M$400,0)))</f>
        <v>Synergy</v>
      </c>
      <c r="H70" cm="1">
        <f t="array" ref="H70">_xlfn.IFS(B70="","",(SUMIFS(SF_Output!$F$1:$F$400,SF_Output!$AC$1:$AC$400,_xlfn.TEXTJOIN(",",TRUE,B70:E70))+SUMIFS(SF_Output!$G$1:$G$400,SF_Output!$AC$1:$AC$400,_xlfn.TEXTJOIN(",",TRUE,B70:E70)))&lt;&gt;0,SF_Output!$Y$2,INDEX(SF_Output!$F$1:$F$400,MATCH(_xlfn.TEXTJOIN(",",TRUE,B70:E70),SF_Output!$AC$1:$AC$400,0))=0,INDEX(SF_Output!$R$1:$R$400,MATCH(_xlfn.TEXTJOIN(",",TRUE,B70:E70),SF_Output!$AC$1:$AC$400,0)))</f>
        <v>1</v>
      </c>
      <c r="I70" s="125" t="str">
        <f>IFERROR(IF(AND(H70&gt;1,H70&lt;&gt;""),ROUND(SUMIFS(SF_Output!$S$1:$S$400,SF_Output!$AC$1:$AC$400,_xlfn.TEXTJOIN(",",TRUE,B70:E70),SF_Output!$Q$1:$Q$400,"monthly")*(1-W70)/H70,4),""),"")</f>
        <v/>
      </c>
      <c r="J70" s="6">
        <f>IF(B70="","",SUMIFS(SF_Output!$S$1:$S$400,SF_Output!$AC$1:$AC$400,_xlfn.TEXTJOIN(",",TRUE,B70:E70),SF_Output!$Q$1:$Q$400,"One Time",SF_Output!$L$1:$L$400,"license fee")+SUMIFS(SF_Output!$S$1:$S$400,SF_Output!$AC$1:$AC$400,_xlfn.TEXTJOIN(",",TRUE,B70:E70),SF_Output!$Q$1:$Q$400,"One Time",SF_Output!$L$1:$L$400,"software license")+SUMIFS(SF_Output!$S$1:$S$400,SF_Output!$AC$1:$AC$400,_xlfn.TEXTJOIN(",",TRUE,B70:E70),SF_Output!$Q$1:$Q$400,"One Time",SF_Output!$L$1:$L$400,"hardware"))</f>
        <v>0</v>
      </c>
      <c r="K70" s="112" t="str">
        <f>IF(OR(B70=0,B70="",G70="hardware",J70=0),"",IF(AF70&lt;&gt;"exclusion",MAX(K$9,-((SUMIFS(SF_Output!$T$1:$T$400,SF_Output!$AC$1:$AC$400,_xlfn.TEXTJOIN(",",TRUE,$B70:$E70),SF_Output!$Q$1:$Q$400,"One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license"))/J70)))</f>
        <v/>
      </c>
      <c r="L70" s="6">
        <f t="shared" si="1"/>
        <v>0</v>
      </c>
      <c r="N70" s="6">
        <f>IF(B70="","",SUMIFS(SF_Output!$S$1:$S$400,SF_Output!$AC$1:$AC$400,_xlfn.TEXTJOIN(",",TRUE,B70:E70),SF_Output!$Q$1:$Q$400,"One Time",SF_Output!$L$1:$L$400,"professional service"))</f>
        <v>450</v>
      </c>
      <c r="O70" s="112">
        <f>IF(OR(B70=0,B70="",N70=0),"",IF(AF70&lt;&gt;"exclusion",MAX(O$9,-(SUMIFS(SF_Output!$T$1:$T$400,SF_Output!$AC$1:$AC$400,_xlfn.TEXTJOIN(",",TRUE,$B70:$E70),SF_Output!$Q$1:$Q$400,"One Time",SF_Output!$L$1:$L$400,"professional service"))/N70),-((SUMIFS(SF_Output!$T$1:$T$400,SF_Output!$AC$1:$AC$400,_xlfn.TEXTJOIN(",",TRUE,$B70:$E70),SF_Output!$Q$1:$Q$400,"One Time",SF_Output!$L$1:$L$400,"professional service")/N70))))</f>
        <v>0</v>
      </c>
      <c r="P70" s="6">
        <f t="shared" si="2"/>
        <v>450</v>
      </c>
      <c r="R70" s="6">
        <f>IF(B70="","",SUMIFS(SF_Output!$S$1:$S$400,SF_Output!$AC$1:$AC$400,_xlfn.TEXTJOIN(",",TRUE,B70:E70),SF_Output!$Q$1:$Q$400,"yearly")+SUMIFS(SF_Output!$S$1:$S$400,SF_Output!$AC$1:$AC$400,_xlfn.TEXTJOIN(",",TRUE,B70:E70),SF_Output!$Q$1:$Q$400,"quarterly")*4)</f>
        <v>0</v>
      </c>
      <c r="S70" s="112" t="str">
        <f>IF(OR(B70=0,B70="",G70="hardware",R70=0),"",IF(AF70&lt;&gt;"exclusion",MAX(S$9,-(SUMIFS(SF_Output!$T$1:$T$400,SF_Output!$AC$1:$AC$400,_xlfn.TEXTJOIN(",",TRUE,$B70:$E70),SF_Output!$Q$1:$Q$400,"yearly"))/R70),-((SUMIFS(SF_Output!$T$1:$T$400,SF_Output!$AC$1:$AC$400,_xlfn.TEXTJOIN(",",TRUE,$B70:$E70),SF_Output!$Q$1:$Q$400,"yearly")/R70))))</f>
        <v/>
      </c>
      <c r="T70" s="6">
        <f t="shared" si="3"/>
        <v>0</v>
      </c>
      <c r="V70" s="6" cm="1">
        <f t="array" ref="V70">_xlfn.IFS(B70="","",AND(B70&lt;&gt;"",H70=SF_Output!$Y$2,SUMIFS(SF_Output!$T$1:$T$400,SF_Output!$AC$1:$AC$400,_xlfn.TEXTJOIN(",",TRUE,B70:E70),SF_Output!$Q$1:$Q$400,"monthly")=0),(SUMIFS(SF_Output!$F$1:$F$400,SF_Output!$AC$1:$AC$400,_xlfn.TEXTJOIN(",",TRUE,B70:E70),SF_Output!$Q$1:$Q$400,"monthly")+SUMIFS(SF_Output!$G$1:$G$400,SF_Output!$AC$1:$AC$400,_xlfn.TEXTJOIN(",",TRUE,B70:E70),SF_Output!$Q$1:$Q$400,"monthly"))*H70,AND(B70&lt;&gt;"",H70=SF_Output!$Y$2,SUMIFS(SF_Output!$T$1:$T$400,SF_Output!$AC$1:$AC$400,_xlfn.TEXTJOIN(",",TRUE,B70:E70),SF_Output!$Q$1:$Q$400,"monthly")&lt;&gt;0),SUMIFS(SF_Output!$S$1:$S$400,SF_Output!$AC$1:$AC$400,_xlfn.TEXTJOIN(",",TRUE,B70:E70),SF_Output!$Q$1:$Q$400,"monthly"),AND(B70&lt;&gt;"",H70&lt;&gt;SF_Output!$Y$2),SUMIFS(SF_Output!$S$1:$S$400,SF_Output!$AC$1:$AC$400,_xlfn.TEXTJOIN(",",TRUE,B70:E70),SF_Output!$Q$1:$Q$400,"monthly"))</f>
        <v>0</v>
      </c>
      <c r="W70" s="112" t="str" cm="1">
        <f t="array" ref="W70">_xlfn.IFS(OR(B70=0,B70="",V70=0),"",AF70&lt;&gt;"exclusion",MAX($W$9,$W$7,(-(SUMIFS(SF_Output!$T$1:$T$400,SF_Output!$AC$1:$AC$400,_xlfn.TEXTJOIN(",",TRUE,$B70:$E70),SF_Output!$Q$1:$Q$400,"monthly"))/V70)),AF70="exclusion",-(SUMIFS(SF_Output!$T$1:$T$400,SF_Output!$AC$1:$AC$400,_xlfn.TEXTJOIN(",",TRUE,$B70:$E70),SF_Output!$Q$1:$Q$400,"monthly"))/V70)</f>
        <v/>
      </c>
      <c r="X70" s="6" cm="1">
        <f t="array" ref="X70">IFERROR(_xlfn.IFS(V70=0,0,V70="","",W70=0,V70,OR(V70&lt;&gt;0,V70&lt;&gt;""),H70*I70),V70*(1-W70))</f>
        <v>0</v>
      </c>
      <c r="Z70" s="6">
        <f>IFERROR(IF(B70="","",SUMIFS(Billing_Fallout!H:H,Billing_Fallout!N:N,B70)),0)</f>
        <v>0</v>
      </c>
      <c r="AA70" s="6">
        <f t="shared" si="4"/>
        <v>0</v>
      </c>
      <c r="AB70" s="6">
        <f>IFERROR(IF(B70="","",SUMIFS(Billing_Fallout!J:J,Billing_Fallout!N:N,B70)),0)</f>
        <v>0</v>
      </c>
      <c r="AD70" s="6">
        <f t="shared" si="5"/>
        <v>0</v>
      </c>
      <c r="AF70" t="str">
        <f>IFERROR(INDEX(H_Tables!$B$1:$B$1500,MATCH(INDEX(SF_Output!$J$1:$J$400,MATCH(B70,SF_Output!$M$1:$M$400,0)),H_Tables!$A$1:$A$1500,0)),"")</f>
        <v>Exclusion</v>
      </c>
      <c r="AI70" s="119" t="str">
        <f t="shared" si="6"/>
        <v/>
      </c>
      <c r="AJ70" s="121">
        <f>IFERROR(INDEX(SF_Output!AD:AD,MATCH(_xlfn.TEXTJOIN(",",TRUE,B70:E70),SF_Output!AC1:AC400,0)),0.05)</f>
        <v>110</v>
      </c>
      <c r="AK70" t="str">
        <f>IF(SUMIFS(SF_Output!$F$1:$F$400,SF_Output!$AC$1:$AC$400,_xlfn.TEXTJOIN(",",TRUE,B70:E70))+SUMIFS(SF_Output!$G$1:$G$400,SF_Output!$AC$1:$AC$400,_xlfn.TEXTJOIN(",",TRUE,B70:E70))=0,"","PAP")</f>
        <v/>
      </c>
      <c r="AQ70" s="35"/>
      <c r="AR70" s="35" t="str" cm="1">
        <f t="array" ref="AR70">IFERROR(_xlfn.IFS(AND(E70*1=1,F70="Included"),"Change to Included",AND(E70*1=0,F70="Optional"),"Change to Optional",OR(B70="",F70="replaced"),""),"")</f>
        <v/>
      </c>
      <c r="AS70" s="35" t="str">
        <f t="shared" si="7"/>
        <v/>
      </c>
      <c r="AT70" s="35" t="str">
        <f t="shared" si="8"/>
        <v/>
      </c>
      <c r="AU70" s="35" t="str">
        <f t="shared" si="9"/>
        <v/>
      </c>
      <c r="AV70" s="35" t="str">
        <f t="shared" si="10"/>
        <v/>
      </c>
      <c r="AW70" s="35" t="str">
        <f t="shared" si="11"/>
        <v/>
      </c>
      <c r="AX70" s="35" t="str">
        <f t="shared" si="12"/>
        <v/>
      </c>
      <c r="AY70" s="35" t="str">
        <f t="shared" si="13"/>
        <v/>
      </c>
      <c r="AZ70" s="35" t="str">
        <f t="shared" si="14"/>
        <v/>
      </c>
      <c r="BA70" s="35" t="str">
        <f t="shared" si="15"/>
        <v/>
      </c>
      <c r="BB70" s="35" t="str">
        <f t="shared" si="16"/>
        <v/>
      </c>
      <c r="BC70" s="35"/>
      <c r="BE70" s="35">
        <f ca="1">INDEX(SF_Output!$AA$2:$AA$400,MATCH($B70,SF_Output!$M$2:$M$400,0))</f>
        <v>4</v>
      </c>
      <c r="BF70" s="35">
        <f ca="1">INDEX(SF_Output!$AB$2:$AB$400,MATCH($B70,SF_Output!$M$2:$M$400,0))</f>
        <v>2</v>
      </c>
    </row>
    <row r="71" spans="2:58" x14ac:dyDescent="0.25">
      <c r="B71" t="s">
        <v>1516</v>
      </c>
      <c r="C71" t="s">
        <v>2122</v>
      </c>
      <c r="D71" t="s">
        <v>2123</v>
      </c>
      <c r="E71" t="s">
        <v>2124</v>
      </c>
      <c r="F71" s="116" t="str">
        <f t="shared" si="0"/>
        <v>Included</v>
      </c>
      <c r="G71" t="str">
        <f>IF(B71="","",INDEX(SF_Output!$K$1:$K$400,MATCH(B71,SF_Output!$M$1:$M$400,0)))</f>
        <v>Synergy</v>
      </c>
      <c r="H71" cm="1">
        <f t="array" ref="H71">_xlfn.IFS(B71="","",(SUMIFS(SF_Output!$F$1:$F$400,SF_Output!$AC$1:$AC$400,_xlfn.TEXTJOIN(",",TRUE,B71:E71))+SUMIFS(SF_Output!$G$1:$G$400,SF_Output!$AC$1:$AC$400,_xlfn.TEXTJOIN(",",TRUE,B71:E71)))&lt;&gt;0,SF_Output!$Y$2,INDEX(SF_Output!$F$1:$F$400,MATCH(_xlfn.TEXTJOIN(",",TRUE,B71:E71),SF_Output!$AC$1:$AC$400,0))=0,INDEX(SF_Output!$R$1:$R$400,MATCH(_xlfn.TEXTJOIN(",",TRUE,B71:E71),SF_Output!$AC$1:$AC$400,0)))</f>
        <v>1</v>
      </c>
      <c r="I71" s="125" t="str">
        <f>IFERROR(IF(AND(H71&gt;1,H71&lt;&gt;""),ROUND(SUMIFS(SF_Output!$S$1:$S$400,SF_Output!$AC$1:$AC$400,_xlfn.TEXTJOIN(",",TRUE,B71:E71),SF_Output!$Q$1:$Q$400,"monthly")*(1-W71)/H71,4),""),"")</f>
        <v/>
      </c>
      <c r="J71" s="6">
        <f>IF(B71="","",SUMIFS(SF_Output!$S$1:$S$400,SF_Output!$AC$1:$AC$400,_xlfn.TEXTJOIN(",",TRUE,B71:E71),SF_Output!$Q$1:$Q$400,"One Time",SF_Output!$L$1:$L$400,"license fee")+SUMIFS(SF_Output!$S$1:$S$400,SF_Output!$AC$1:$AC$400,_xlfn.TEXTJOIN(",",TRUE,B71:E71),SF_Output!$Q$1:$Q$400,"One Time",SF_Output!$L$1:$L$400,"software license")+SUMIFS(SF_Output!$S$1:$S$400,SF_Output!$AC$1:$AC$400,_xlfn.TEXTJOIN(",",TRUE,B71:E71),SF_Output!$Q$1:$Q$400,"One Time",SF_Output!$L$1:$L$400,"hardware"))</f>
        <v>0</v>
      </c>
      <c r="K71" s="112" t="str">
        <f>IF(OR(B71=0,B71="",G71="hardware",J71=0),"",IF(AF71&lt;&gt;"exclusion",MAX(K$9,-((SUMIFS(SF_Output!$T$1:$T$400,SF_Output!$AC$1:$AC$400,_xlfn.TEXTJOIN(",",TRUE,$B71:$E71),SF_Output!$Q$1:$Q$400,"One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license"))/J71)))</f>
        <v/>
      </c>
      <c r="L71" s="6">
        <f t="shared" si="1"/>
        <v>0</v>
      </c>
      <c r="N71" s="6">
        <f>IF(B71="","",SUMIFS(SF_Output!$S$1:$S$400,SF_Output!$AC$1:$AC$400,_xlfn.TEXTJOIN(",",TRUE,B71:E71),SF_Output!$Q$1:$Q$400,"One Time",SF_Output!$L$1:$L$400,"professional service"))</f>
        <v>1900</v>
      </c>
      <c r="O71" s="112">
        <f>IF(OR(B71=0,B71="",N71=0),"",IF(AF71&lt;&gt;"exclusion",MAX(O$9,-(SUMIFS(SF_Output!$T$1:$T$400,SF_Output!$AC$1:$AC$400,_xlfn.TEXTJOIN(",",TRUE,$B71:$E71),SF_Output!$Q$1:$Q$400,"One Time",SF_Output!$L$1:$L$400,"professional service"))/N71),-((SUMIFS(SF_Output!$T$1:$T$400,SF_Output!$AC$1:$AC$400,_xlfn.TEXTJOIN(",",TRUE,$B71:$E71),SF_Output!$Q$1:$Q$400,"One Time",SF_Output!$L$1:$L$400,"professional service")/N71))))</f>
        <v>0</v>
      </c>
      <c r="P71" s="6">
        <f t="shared" si="2"/>
        <v>1900</v>
      </c>
      <c r="R71" s="6">
        <f>IF(B71="","",SUMIFS(SF_Output!$S$1:$S$400,SF_Output!$AC$1:$AC$400,_xlfn.TEXTJOIN(",",TRUE,B71:E71),SF_Output!$Q$1:$Q$400,"yearly")+SUMIFS(SF_Output!$S$1:$S$400,SF_Output!$AC$1:$AC$400,_xlfn.TEXTJOIN(",",TRUE,B71:E71),SF_Output!$Q$1:$Q$400,"quarterly")*4)</f>
        <v>0</v>
      </c>
      <c r="S71" s="112" t="str">
        <f>IF(OR(B71=0,B71="",G71="hardware",R71=0),"",IF(AF71&lt;&gt;"exclusion",MAX(S$9,-(SUMIFS(SF_Output!$T$1:$T$400,SF_Output!$AC$1:$AC$400,_xlfn.TEXTJOIN(",",TRUE,$B71:$E71),SF_Output!$Q$1:$Q$400,"yearly"))/R71),-((SUMIFS(SF_Output!$T$1:$T$400,SF_Output!$AC$1:$AC$400,_xlfn.TEXTJOIN(",",TRUE,$B71:$E71),SF_Output!$Q$1:$Q$400,"yearly")/R71))))</f>
        <v/>
      </c>
      <c r="T71" s="6">
        <f t="shared" si="3"/>
        <v>0</v>
      </c>
      <c r="V71" s="6" cm="1">
        <f t="array" ref="V71">_xlfn.IFS(B71="","",AND(B71&lt;&gt;"",H71=SF_Output!$Y$2,SUMIFS(SF_Output!$T$1:$T$400,SF_Output!$AC$1:$AC$400,_xlfn.TEXTJOIN(",",TRUE,B71:E71),SF_Output!$Q$1:$Q$400,"monthly")=0),(SUMIFS(SF_Output!$F$1:$F$400,SF_Output!$AC$1:$AC$400,_xlfn.TEXTJOIN(",",TRUE,B71:E71),SF_Output!$Q$1:$Q$400,"monthly")+SUMIFS(SF_Output!$G$1:$G$400,SF_Output!$AC$1:$AC$400,_xlfn.TEXTJOIN(",",TRUE,B71:E71),SF_Output!$Q$1:$Q$400,"monthly"))*H71,AND(B71&lt;&gt;"",H71=SF_Output!$Y$2,SUMIFS(SF_Output!$T$1:$T$400,SF_Output!$AC$1:$AC$400,_xlfn.TEXTJOIN(",",TRUE,B71:E71),SF_Output!$Q$1:$Q$400,"monthly")&lt;&gt;0),SUMIFS(SF_Output!$S$1:$S$400,SF_Output!$AC$1:$AC$400,_xlfn.TEXTJOIN(",",TRUE,B71:E71),SF_Output!$Q$1:$Q$400,"monthly"),AND(B71&lt;&gt;"",H71&lt;&gt;SF_Output!$Y$2),SUMIFS(SF_Output!$S$1:$S$400,SF_Output!$AC$1:$AC$400,_xlfn.TEXTJOIN(",",TRUE,B71:E71),SF_Output!$Q$1:$Q$400,"monthly"))</f>
        <v>0</v>
      </c>
      <c r="W71" s="112" t="str" cm="1">
        <f t="array" ref="W71">_xlfn.IFS(OR(B71=0,B71="",V71=0),"",AF71&lt;&gt;"exclusion",MAX($W$9,$W$7,(-(SUMIFS(SF_Output!$T$1:$T$400,SF_Output!$AC$1:$AC$400,_xlfn.TEXTJOIN(",",TRUE,$B71:$E71),SF_Output!$Q$1:$Q$400,"monthly"))/V71)),AF71="exclusion",-(SUMIFS(SF_Output!$T$1:$T$400,SF_Output!$AC$1:$AC$400,_xlfn.TEXTJOIN(",",TRUE,$B71:$E71),SF_Output!$Q$1:$Q$400,"monthly"))/V71)</f>
        <v/>
      </c>
      <c r="X71" s="6" cm="1">
        <f t="array" ref="X71">IFERROR(_xlfn.IFS(V71=0,0,V71="","",W71=0,V71,OR(V71&lt;&gt;0,V71&lt;&gt;""),H71*I71),V71*(1-W71))</f>
        <v>0</v>
      </c>
      <c r="Z71" s="6">
        <f>IFERROR(IF(B71="","",SUMIFS(Billing_Fallout!H:H,Billing_Fallout!N:N,B71)),0)</f>
        <v>0</v>
      </c>
      <c r="AA71" s="6">
        <f t="shared" si="4"/>
        <v>0</v>
      </c>
      <c r="AB71" s="6">
        <f>IFERROR(IF(B71="","",SUMIFS(Billing_Fallout!J:J,Billing_Fallout!N:N,B71)),0)</f>
        <v>0</v>
      </c>
      <c r="AD71" s="6">
        <f t="shared" si="5"/>
        <v>0</v>
      </c>
      <c r="AF71" t="str">
        <f>IFERROR(INDEX(H_Tables!$B$1:$B$1500,MATCH(INDEX(SF_Output!$J$1:$J$400,MATCH(B71,SF_Output!$M$1:$M$400,0)),H_Tables!$A$1:$A$1500,0)),"")</f>
        <v>Exclusion</v>
      </c>
      <c r="AI71" s="119" t="str">
        <f t="shared" si="6"/>
        <v/>
      </c>
      <c r="AJ71" s="121">
        <f>IFERROR(INDEX(SF_Output!AD:AD,MATCH(_xlfn.TEXTJOIN(",",TRUE,B71:E71),SF_Output!AC1:AC400,0)),0.05)</f>
        <v>111</v>
      </c>
      <c r="AK71" t="str">
        <f>IF(SUMIFS(SF_Output!$F$1:$F$400,SF_Output!$AC$1:$AC$400,_xlfn.TEXTJOIN(",",TRUE,B71:E71))+SUMIFS(SF_Output!$G$1:$G$400,SF_Output!$AC$1:$AC$400,_xlfn.TEXTJOIN(",",TRUE,B71:E71))=0,"","PAP")</f>
        <v/>
      </c>
      <c r="AQ71" s="35"/>
      <c r="AR71" s="35" t="str" cm="1">
        <f t="array" ref="AR71">IFERROR(_xlfn.IFS(AND(E71*1=1,F71="Included"),"Change to Included",AND(E71*1=0,F71="Optional"),"Change to Optional",OR(B71="",F71="replaced"),""),"")</f>
        <v/>
      </c>
      <c r="AS71" s="35" t="str">
        <f t="shared" si="7"/>
        <v/>
      </c>
      <c r="AT71" s="35" t="str">
        <f t="shared" si="8"/>
        <v/>
      </c>
      <c r="AU71" s="35" t="str">
        <f t="shared" si="9"/>
        <v/>
      </c>
      <c r="AV71" s="35" t="str">
        <f t="shared" si="10"/>
        <v/>
      </c>
      <c r="AW71" s="35" t="str">
        <f t="shared" si="11"/>
        <v/>
      </c>
      <c r="AX71" s="35" t="str">
        <f t="shared" si="12"/>
        <v/>
      </c>
      <c r="AY71" s="35" t="str">
        <f t="shared" si="13"/>
        <v/>
      </c>
      <c r="AZ71" s="35" t="str">
        <f t="shared" si="14"/>
        <v/>
      </c>
      <c r="BA71" s="35" t="str">
        <f t="shared" si="15"/>
        <v/>
      </c>
      <c r="BB71" s="35" t="str">
        <f t="shared" si="16"/>
        <v/>
      </c>
      <c r="BC71" s="35"/>
      <c r="BE71" s="35">
        <f ca="1">INDEX(SF_Output!$AA$2:$AA$400,MATCH($B71,SF_Output!$M$2:$M$400,0))</f>
        <v>4</v>
      </c>
      <c r="BF71" s="35">
        <f ca="1">INDEX(SF_Output!$AB$2:$AB$400,MATCH($B71,SF_Output!$M$2:$M$400,0))</f>
        <v>2</v>
      </c>
    </row>
    <row r="72" spans="2:58" x14ac:dyDescent="0.25">
      <c r="B72" t="s">
        <v>1853</v>
      </c>
      <c r="C72" t="s">
        <v>2122</v>
      </c>
      <c r="D72" t="s">
        <v>2123</v>
      </c>
      <c r="E72" t="s">
        <v>2124</v>
      </c>
      <c r="F72" s="116" t="str">
        <f t="shared" si="0"/>
        <v>Included</v>
      </c>
      <c r="G72" t="str">
        <f>IF(B72="","",INDEX(SF_Output!$K$1:$K$400,MATCH(B72,SF_Output!$M$1:$M$400,0)))</f>
        <v>Synergy</v>
      </c>
      <c r="H72" cm="1">
        <f t="array" ref="H72">_xlfn.IFS(B72="","",(SUMIFS(SF_Output!$F$1:$F$400,SF_Output!$AC$1:$AC$400,_xlfn.TEXTJOIN(",",TRUE,B72:E72))+SUMIFS(SF_Output!$G$1:$G$400,SF_Output!$AC$1:$AC$400,_xlfn.TEXTJOIN(",",TRUE,B72:E72)))&lt;&gt;0,SF_Output!$Y$2,INDEX(SF_Output!$F$1:$F$400,MATCH(_xlfn.TEXTJOIN(",",TRUE,B72:E72),SF_Output!$AC$1:$AC$400,0))=0,INDEX(SF_Output!$R$1:$R$400,MATCH(_xlfn.TEXTJOIN(",",TRUE,B72:E72),SF_Output!$AC$1:$AC$400,0)))</f>
        <v>1</v>
      </c>
      <c r="I72" s="125" t="str">
        <f>IFERROR(IF(AND(H72&gt;1,H72&lt;&gt;""),ROUND(SUMIFS(SF_Output!$S$1:$S$400,SF_Output!$AC$1:$AC$400,_xlfn.TEXTJOIN(",",TRUE,B72:E72),SF_Output!$Q$1:$Q$400,"monthly")*(1-W72)/H72,4),""),"")</f>
        <v/>
      </c>
      <c r="J72" s="6">
        <f>IF(B72="","",SUMIFS(SF_Output!$S$1:$S$400,SF_Output!$AC$1:$AC$400,_xlfn.TEXTJOIN(",",TRUE,B72:E72),SF_Output!$Q$1:$Q$400,"One Time",SF_Output!$L$1:$L$400,"license fee")+SUMIFS(SF_Output!$S$1:$S$400,SF_Output!$AC$1:$AC$400,_xlfn.TEXTJOIN(",",TRUE,B72:E72),SF_Output!$Q$1:$Q$400,"One Time",SF_Output!$L$1:$L$400,"software license")+SUMIFS(SF_Output!$S$1:$S$400,SF_Output!$AC$1:$AC$400,_xlfn.TEXTJOIN(",",TRUE,B72:E72),SF_Output!$Q$1:$Q$400,"One Time",SF_Output!$L$1:$L$400,"hardware"))</f>
        <v>0</v>
      </c>
      <c r="K72" s="112" t="str">
        <f>IF(OR(B72=0,B72="",G72="hardware",J72=0),"",IF(AF72&lt;&gt;"exclusion",MAX(K$9,-((SUMIFS(SF_Output!$T$1:$T$400,SF_Output!$AC$1:$AC$400,_xlfn.TEXTJOIN(",",TRUE,$B72:$E72),SF_Output!$Q$1:$Q$400,"One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license"))/J72)))</f>
        <v/>
      </c>
      <c r="L72" s="6">
        <f t="shared" si="1"/>
        <v>0</v>
      </c>
      <c r="N72" s="6">
        <f>IF(B72="","",SUMIFS(SF_Output!$S$1:$S$400,SF_Output!$AC$1:$AC$400,_xlfn.TEXTJOIN(",",TRUE,B72:E72),SF_Output!$Q$1:$Q$400,"One Time",SF_Output!$L$1:$L$400,"professional service"))</f>
        <v>5200</v>
      </c>
      <c r="O72" s="112">
        <f>IF(OR(B72=0,B72="",N72=0),"",IF(AF72&lt;&gt;"exclusion",MAX(O$9,-(SUMIFS(SF_Output!$T$1:$T$400,SF_Output!$AC$1:$AC$400,_xlfn.TEXTJOIN(",",TRUE,$B72:$E72),SF_Output!$Q$1:$Q$400,"One Time",SF_Output!$L$1:$L$400,"professional service"))/N72),-((SUMIFS(SF_Output!$T$1:$T$400,SF_Output!$AC$1:$AC$400,_xlfn.TEXTJOIN(",",TRUE,$B72:$E72),SF_Output!$Q$1:$Q$400,"One Time",SF_Output!$L$1:$L$400,"professional service")/N72))))</f>
        <v>0</v>
      </c>
      <c r="P72" s="6">
        <f t="shared" si="2"/>
        <v>5200</v>
      </c>
      <c r="R72" s="6">
        <f>IF(B72="","",SUMIFS(SF_Output!$S$1:$S$400,SF_Output!$AC$1:$AC$400,_xlfn.TEXTJOIN(",",TRUE,B72:E72),SF_Output!$Q$1:$Q$400,"yearly")+SUMIFS(SF_Output!$S$1:$S$400,SF_Output!$AC$1:$AC$400,_xlfn.TEXTJOIN(",",TRUE,B72:E72),SF_Output!$Q$1:$Q$400,"quarterly")*4)</f>
        <v>0</v>
      </c>
      <c r="S72" s="112" t="str">
        <f>IF(OR(B72=0,B72="",G72="hardware",R72=0),"",IF(AF72&lt;&gt;"exclusion",MAX(S$9,-(SUMIFS(SF_Output!$T$1:$T$400,SF_Output!$AC$1:$AC$400,_xlfn.TEXTJOIN(",",TRUE,$B72:$E72),SF_Output!$Q$1:$Q$400,"yearly"))/R72),-((SUMIFS(SF_Output!$T$1:$T$400,SF_Output!$AC$1:$AC$400,_xlfn.TEXTJOIN(",",TRUE,$B72:$E72),SF_Output!$Q$1:$Q$400,"yearly")/R72))))</f>
        <v/>
      </c>
      <c r="T72" s="6">
        <f t="shared" si="3"/>
        <v>0</v>
      </c>
      <c r="V72" s="6" cm="1">
        <f t="array" ref="V72">_xlfn.IFS(B72="","",AND(B72&lt;&gt;"",H72=SF_Output!$Y$2,SUMIFS(SF_Output!$T$1:$T$400,SF_Output!$AC$1:$AC$400,_xlfn.TEXTJOIN(",",TRUE,B72:E72),SF_Output!$Q$1:$Q$400,"monthly")=0),(SUMIFS(SF_Output!$F$1:$F$400,SF_Output!$AC$1:$AC$400,_xlfn.TEXTJOIN(",",TRUE,B72:E72),SF_Output!$Q$1:$Q$400,"monthly")+SUMIFS(SF_Output!$G$1:$G$400,SF_Output!$AC$1:$AC$400,_xlfn.TEXTJOIN(",",TRUE,B72:E72),SF_Output!$Q$1:$Q$400,"monthly"))*H72,AND(B72&lt;&gt;"",H72=SF_Output!$Y$2,SUMIFS(SF_Output!$T$1:$T$400,SF_Output!$AC$1:$AC$400,_xlfn.TEXTJOIN(",",TRUE,B72:E72),SF_Output!$Q$1:$Q$400,"monthly")&lt;&gt;0),SUMIFS(SF_Output!$S$1:$S$400,SF_Output!$AC$1:$AC$400,_xlfn.TEXTJOIN(",",TRUE,B72:E72),SF_Output!$Q$1:$Q$400,"monthly"),AND(B72&lt;&gt;"",H72&lt;&gt;SF_Output!$Y$2),SUMIFS(SF_Output!$S$1:$S$400,SF_Output!$AC$1:$AC$400,_xlfn.TEXTJOIN(",",TRUE,B72:E72),SF_Output!$Q$1:$Q$400,"monthly"))</f>
        <v>0</v>
      </c>
      <c r="W72" s="112" t="str" cm="1">
        <f t="array" ref="W72">_xlfn.IFS(OR(B72=0,B72="",V72=0),"",AF72&lt;&gt;"exclusion",MAX($W$9,$W$7,(-(SUMIFS(SF_Output!$T$1:$T$400,SF_Output!$AC$1:$AC$400,_xlfn.TEXTJOIN(",",TRUE,$B72:$E72),SF_Output!$Q$1:$Q$400,"monthly"))/V72)),AF72="exclusion",-(SUMIFS(SF_Output!$T$1:$T$400,SF_Output!$AC$1:$AC$400,_xlfn.TEXTJOIN(",",TRUE,$B72:$E72),SF_Output!$Q$1:$Q$400,"monthly"))/V72)</f>
        <v/>
      </c>
      <c r="X72" s="6" cm="1">
        <f t="array" ref="X72">IFERROR(_xlfn.IFS(V72=0,0,V72="","",W72=0,V72,OR(V72&lt;&gt;0,V72&lt;&gt;""),H72*I72),V72*(1-W72))</f>
        <v>0</v>
      </c>
      <c r="Z72" s="6">
        <f>IFERROR(IF(B72="","",SUMIFS(Billing_Fallout!H:H,Billing_Fallout!N:N,B72)),0)</f>
        <v>0</v>
      </c>
      <c r="AA72" s="6">
        <f t="shared" si="4"/>
        <v>0</v>
      </c>
      <c r="AB72" s="6">
        <f>IFERROR(IF(B72="","",SUMIFS(Billing_Fallout!J:J,Billing_Fallout!N:N,B72)),0)</f>
        <v>0</v>
      </c>
      <c r="AD72" s="6">
        <f t="shared" si="5"/>
        <v>0</v>
      </c>
      <c r="AF72" t="str">
        <f>IFERROR(INDEX(H_Tables!$B$1:$B$1500,MATCH(INDEX(SF_Output!$J$1:$J$400,MATCH(B72,SF_Output!$M$1:$M$400,0)),H_Tables!$A$1:$A$1500,0)),"")</f>
        <v>Exclusion</v>
      </c>
      <c r="AI72" s="119" t="str">
        <f t="shared" si="6"/>
        <v/>
      </c>
      <c r="AJ72" s="121">
        <f>IFERROR(INDEX(SF_Output!AD:AD,MATCH(_xlfn.TEXTJOIN(",",TRUE,B72:E72),SF_Output!AC1:AC400,0)),0.05)</f>
        <v>112</v>
      </c>
      <c r="AK72" t="str">
        <f>IF(SUMIFS(SF_Output!$F$1:$F$400,SF_Output!$AC$1:$AC$400,_xlfn.TEXTJOIN(",",TRUE,B72:E72))+SUMIFS(SF_Output!$G$1:$G$400,SF_Output!$AC$1:$AC$400,_xlfn.TEXTJOIN(",",TRUE,B72:E72))=0,"","PAP")</f>
        <v/>
      </c>
      <c r="AQ72" s="35"/>
      <c r="AR72" s="35" t="str" cm="1">
        <f t="array" ref="AR72">IFERROR(_xlfn.IFS(AND(E72*1=1,F72="Included"),"Change to Included",AND(E72*1=0,F72="Optional"),"Change to Optional",OR(B72="",F72="replaced"),""),"")</f>
        <v/>
      </c>
      <c r="AS72" s="35" t="str">
        <f t="shared" si="7"/>
        <v/>
      </c>
      <c r="AT72" s="35" t="str">
        <f t="shared" si="8"/>
        <v/>
      </c>
      <c r="AU72" s="35" t="str">
        <f t="shared" si="9"/>
        <v/>
      </c>
      <c r="AV72" s="35" t="str">
        <f t="shared" si="10"/>
        <v/>
      </c>
      <c r="AW72" s="35" t="str">
        <f t="shared" si="11"/>
        <v/>
      </c>
      <c r="AX72" s="35" t="str">
        <f t="shared" si="12"/>
        <v/>
      </c>
      <c r="AY72" s="35" t="str">
        <f t="shared" si="13"/>
        <v/>
      </c>
      <c r="AZ72" s="35" t="str">
        <f t="shared" si="14"/>
        <v/>
      </c>
      <c r="BA72" s="35" t="str">
        <f t="shared" si="15"/>
        <v/>
      </c>
      <c r="BB72" s="35" t="str">
        <f t="shared" si="16"/>
        <v/>
      </c>
      <c r="BC72" s="35"/>
      <c r="BE72" s="35">
        <f ca="1">INDEX(SF_Output!$AA$2:$AA$400,MATCH($B72,SF_Output!$M$2:$M$400,0))</f>
        <v>4</v>
      </c>
      <c r="BF72" s="35">
        <f ca="1">INDEX(SF_Output!$AB$2:$AB$400,MATCH($B72,SF_Output!$M$2:$M$400,0))</f>
        <v>2</v>
      </c>
    </row>
    <row r="73" spans="2:58" x14ac:dyDescent="0.25">
      <c r="B73" t="s">
        <v>2130</v>
      </c>
      <c r="C73" t="s">
        <v>2122</v>
      </c>
      <c r="D73" t="s">
        <v>2123</v>
      </c>
      <c r="E73" t="s">
        <v>2124</v>
      </c>
      <c r="F73" s="116" t="str">
        <f t="shared" si="0"/>
        <v>Included</v>
      </c>
      <c r="G73" t="str">
        <f>IF(B73="","",INDEX(SF_Output!$K$1:$K$400,MATCH(B73,SF_Output!$M$1:$M$400,0)))</f>
        <v>iPay</v>
      </c>
      <c r="H73" cm="1">
        <f t="array" ref="H73">_xlfn.IFS(B73="","",(SUMIFS(SF_Output!$F$1:$F$400,SF_Output!$AC$1:$AC$400,_xlfn.TEXTJOIN(",",TRUE,B73:E73))+SUMIFS(SF_Output!$G$1:$G$400,SF_Output!$AC$1:$AC$400,_xlfn.TEXTJOIN(",",TRUE,B73:E73)))&lt;&gt;0,SF_Output!$Y$2,INDEX(SF_Output!$F$1:$F$400,MATCH(_xlfn.TEXTJOIN(",",TRUE,B73:E73),SF_Output!$AC$1:$AC$400,0))=0,INDEX(SF_Output!$R$1:$R$400,MATCH(_xlfn.TEXTJOIN(",",TRUE,B73:E73),SF_Output!$AC$1:$AC$400,0)))</f>
        <v>1</v>
      </c>
      <c r="I73" s="125" t="str">
        <f>IFERROR(IF(AND(H73&gt;1,H73&lt;&gt;""),ROUND(SUMIFS(SF_Output!$S$1:$S$400,SF_Output!$AC$1:$AC$400,_xlfn.TEXTJOIN(",",TRUE,B73:E73),SF_Output!$Q$1:$Q$400,"monthly")*(1-W73)/H73,4),""),"")</f>
        <v/>
      </c>
      <c r="J73" s="6">
        <f>IF(B73="","",SUMIFS(SF_Output!$S$1:$S$400,SF_Output!$AC$1:$AC$400,_xlfn.TEXTJOIN(",",TRUE,B73:E73),SF_Output!$Q$1:$Q$400,"One Time",SF_Output!$L$1:$L$400,"license fee")+SUMIFS(SF_Output!$S$1:$S$400,SF_Output!$AC$1:$AC$400,_xlfn.TEXTJOIN(",",TRUE,B73:E73),SF_Output!$Q$1:$Q$400,"One Time",SF_Output!$L$1:$L$400,"software license")+SUMIFS(SF_Output!$S$1:$S$400,SF_Output!$AC$1:$AC$400,_xlfn.TEXTJOIN(",",TRUE,B73:E73),SF_Output!$Q$1:$Q$400,"One Time",SF_Output!$L$1:$L$400,"hardware"))</f>
        <v>0</v>
      </c>
      <c r="K73" s="112" t="str">
        <f>IF(OR(B73=0,B73="",G73="hardware",J73=0),"",IF(AF73&lt;&gt;"exclusion",MAX(K$9,-((SUMIFS(SF_Output!$T$1:$T$400,SF_Output!$AC$1:$AC$400,_xlfn.TEXTJOIN(",",TRUE,$B73:$E73),SF_Output!$Q$1:$Q$400,"One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license"))/J73)))</f>
        <v/>
      </c>
      <c r="L73" s="6">
        <f t="shared" si="1"/>
        <v>0</v>
      </c>
      <c r="N73" s="6">
        <f>IF(B73="","",SUMIFS(SF_Output!$S$1:$S$400,SF_Output!$AC$1:$AC$400,_xlfn.TEXTJOIN(",",TRUE,B73:E73),SF_Output!$Q$1:$Q$400,"One Time",SF_Output!$L$1:$L$400,"professional service"))</f>
        <v>2500</v>
      </c>
      <c r="O73" s="112">
        <f>IF(OR(B73=0,B73="",N73=0),"",IF(AF73&lt;&gt;"exclusion",MAX(O$9,-(SUMIFS(SF_Output!$T$1:$T$400,SF_Output!$AC$1:$AC$400,_xlfn.TEXTJOIN(",",TRUE,$B73:$E73),SF_Output!$Q$1:$Q$400,"One Time",SF_Output!$L$1:$L$400,"professional service"))/N73),-((SUMIFS(SF_Output!$T$1:$T$400,SF_Output!$AC$1:$AC$400,_xlfn.TEXTJOIN(",",TRUE,$B73:$E73),SF_Output!$Q$1:$Q$400,"One Time",SF_Output!$L$1:$L$400,"professional service")/N73))))</f>
        <v>1</v>
      </c>
      <c r="P73" s="6">
        <f t="shared" si="2"/>
        <v>0</v>
      </c>
      <c r="R73" s="6">
        <f>IF(B73="","",SUMIFS(SF_Output!$S$1:$S$400,SF_Output!$AC$1:$AC$400,_xlfn.TEXTJOIN(",",TRUE,B73:E73),SF_Output!$Q$1:$Q$400,"yearly")+SUMIFS(SF_Output!$S$1:$S$400,SF_Output!$AC$1:$AC$400,_xlfn.TEXTJOIN(",",TRUE,B73:E73),SF_Output!$Q$1:$Q$400,"quarterly")*4)</f>
        <v>0</v>
      </c>
      <c r="S73" s="112" t="str">
        <f>IF(OR(B73=0,B73="",G73="hardware",R73=0),"",IF(AF73&lt;&gt;"exclusion",MAX(S$9,-(SUMIFS(SF_Output!$T$1:$T$400,SF_Output!$AC$1:$AC$400,_xlfn.TEXTJOIN(",",TRUE,$B73:$E73),SF_Output!$Q$1:$Q$400,"yearly"))/R73),-((SUMIFS(SF_Output!$T$1:$T$400,SF_Output!$AC$1:$AC$400,_xlfn.TEXTJOIN(",",TRUE,$B73:$E73),SF_Output!$Q$1:$Q$400,"yearly")/R73))))</f>
        <v/>
      </c>
      <c r="T73" s="6">
        <f t="shared" si="3"/>
        <v>0</v>
      </c>
      <c r="V73" s="6" cm="1">
        <f t="array" ref="V73">_xlfn.IFS(B73="","",AND(B73&lt;&gt;"",H73=SF_Output!$Y$2,SUMIFS(SF_Output!$T$1:$T$400,SF_Output!$AC$1:$AC$400,_xlfn.TEXTJOIN(",",TRUE,B73:E73),SF_Output!$Q$1:$Q$400,"monthly")=0),(SUMIFS(SF_Output!$F$1:$F$400,SF_Output!$AC$1:$AC$400,_xlfn.TEXTJOIN(",",TRUE,B73:E73),SF_Output!$Q$1:$Q$400,"monthly")+SUMIFS(SF_Output!$G$1:$G$400,SF_Output!$AC$1:$AC$400,_xlfn.TEXTJOIN(",",TRUE,B73:E73),SF_Output!$Q$1:$Q$400,"monthly"))*H73,AND(B73&lt;&gt;"",H73=SF_Output!$Y$2,SUMIFS(SF_Output!$T$1:$T$400,SF_Output!$AC$1:$AC$400,_xlfn.TEXTJOIN(",",TRUE,B73:E73),SF_Output!$Q$1:$Q$400,"monthly")&lt;&gt;0),SUMIFS(SF_Output!$S$1:$S$400,SF_Output!$AC$1:$AC$400,_xlfn.TEXTJOIN(",",TRUE,B73:E73),SF_Output!$Q$1:$Q$400,"monthly"),AND(B73&lt;&gt;"",H73&lt;&gt;SF_Output!$Y$2),SUMIFS(SF_Output!$S$1:$S$400,SF_Output!$AC$1:$AC$400,_xlfn.TEXTJOIN(",",TRUE,B73:E73),SF_Output!$Q$1:$Q$400,"monthly"))</f>
        <v>400</v>
      </c>
      <c r="W73" s="112" cm="1">
        <f t="array" ref="W73">_xlfn.IFS(OR(B73=0,B73="",V73=0),"",AF73&lt;&gt;"exclusion",MAX($W$9,$W$7,(-(SUMIFS(SF_Output!$T$1:$T$400,SF_Output!$AC$1:$AC$400,_xlfn.TEXTJOIN(",",TRUE,$B73:$E73),SF_Output!$Q$1:$Q$400,"monthly"))/V73)),AF73="exclusion",-(SUMIFS(SF_Output!$T$1:$T$400,SF_Output!$AC$1:$AC$400,_xlfn.TEXTJOIN(",",TRUE,$B73:$E73),SF_Output!$Q$1:$Q$400,"monthly"))/V73)</f>
        <v>0</v>
      </c>
      <c r="X73" s="6" cm="1">
        <f t="array" ref="X73">IFERROR(_xlfn.IFS(V73=0,0,V73="","",W73=0,V73,OR(V73&lt;&gt;0,V73&lt;&gt;""),H73*I73),V73*(1-W73))</f>
        <v>400</v>
      </c>
      <c r="Z73" s="6">
        <f>IFERROR(IF(B73="","",SUMIFS(Billing_Fallout!H:H,Billing_Fallout!N:N,B73)),0)</f>
        <v>0</v>
      </c>
      <c r="AA73" s="6">
        <f t="shared" si="4"/>
        <v>0</v>
      </c>
      <c r="AB73" s="6">
        <f>IFERROR(IF(B73="","",SUMIFS(Billing_Fallout!J:J,Billing_Fallout!N:N,B73)),0)</f>
        <v>0</v>
      </c>
      <c r="AD73" s="6">
        <f t="shared" si="5"/>
        <v>400</v>
      </c>
      <c r="AF73" t="str">
        <f>IFERROR(INDEX(H_Tables!$B$1:$B$1500,MATCH(INDEX(SF_Output!$J$1:$J$400,MATCH(B73,SF_Output!$M$1:$M$400,0)),H_Tables!$A$1:$A$1500,0)),"")</f>
        <v>Exclusion</v>
      </c>
      <c r="AI73" s="119" t="str">
        <f t="shared" si="6"/>
        <v/>
      </c>
      <c r="AJ73" s="121">
        <f>IFERROR(INDEX(SF_Output!AD:AD,MATCH(_xlfn.TEXTJOIN(",",TRUE,B73:E73),SF_Output!AC1:AC400,0)),0.05)</f>
        <v>3</v>
      </c>
      <c r="AK73" t="str">
        <f>IF(SUMIFS(SF_Output!$F$1:$F$400,SF_Output!$AC$1:$AC$400,_xlfn.TEXTJOIN(",",TRUE,B73:E73))+SUMIFS(SF_Output!$G$1:$G$400,SF_Output!$AC$1:$AC$400,_xlfn.TEXTJOIN(",",TRUE,B73:E73))=0,"","PAP")</f>
        <v/>
      </c>
      <c r="AQ73" s="35"/>
      <c r="AR73" s="35" t="str" cm="1">
        <f t="array" ref="AR73">IFERROR(_xlfn.IFS(AND(E73*1=1,F73="Included"),"Change to Included",AND(E73*1=0,F73="Optional"),"Change to Optional",OR(B73="",F73="replaced"),""),"")</f>
        <v/>
      </c>
      <c r="AS73" s="35" t="str">
        <f t="shared" si="7"/>
        <v/>
      </c>
      <c r="AT73" s="35" t="str">
        <f t="shared" si="8"/>
        <v/>
      </c>
      <c r="AU73" s="35" t="str">
        <f t="shared" si="9"/>
        <v/>
      </c>
      <c r="AV73" s="35" t="str">
        <f t="shared" si="10"/>
        <v/>
      </c>
      <c r="AW73" s="35" t="str">
        <f t="shared" si="11"/>
        <v/>
      </c>
      <c r="AX73" s="35" t="str">
        <f t="shared" si="12"/>
        <v/>
      </c>
      <c r="AY73" s="35" t="str">
        <f t="shared" si="13"/>
        <v/>
      </c>
      <c r="AZ73" s="35" t="str">
        <f t="shared" si="14"/>
        <v/>
      </c>
      <c r="BA73" s="35" t="str">
        <f t="shared" si="15"/>
        <v/>
      </c>
      <c r="BB73" s="35" t="str">
        <f t="shared" si="16"/>
        <v/>
      </c>
      <c r="BC73" s="35"/>
      <c r="BE73" s="35">
        <f ca="1">INDEX(SF_Output!$AA$2:$AA$400,MATCH($B73,SF_Output!$M$2:$M$400,0))</f>
        <v>6</v>
      </c>
      <c r="BF73" s="35">
        <f ca="1">INDEX(SF_Output!$AB$2:$AB$400,MATCH($B73,SF_Output!$M$2:$M$400,0))</f>
        <v>3</v>
      </c>
    </row>
    <row r="74" spans="2:58" x14ac:dyDescent="0.25">
      <c r="B74" t="s">
        <v>2134</v>
      </c>
      <c r="C74" t="s">
        <v>2122</v>
      </c>
      <c r="D74" t="s">
        <v>2123</v>
      </c>
      <c r="E74" t="s">
        <v>2124</v>
      </c>
      <c r="F74" s="116" t="str">
        <f t="shared" si="0"/>
        <v>Included</v>
      </c>
      <c r="G74" t="str">
        <f>IF(B74="","",INDEX(SF_Output!$K$1:$K$400,MATCH(B74,SF_Output!$M$1:$M$400,0)))</f>
        <v>iPay</v>
      </c>
      <c r="H74" cm="1">
        <f t="array" ref="H74">_xlfn.IFS(B74="","",(SUMIFS(SF_Output!$F$1:$F$400,SF_Output!$AC$1:$AC$400,_xlfn.TEXTJOIN(",",TRUE,B74:E74))+SUMIFS(SF_Output!$G$1:$G$400,SF_Output!$AC$1:$AC$400,_xlfn.TEXTJOIN(",",TRUE,B74:E74)))&lt;&gt;0,SF_Output!$Y$2,INDEX(SF_Output!$F$1:$F$400,MATCH(_xlfn.TEXTJOIN(",",TRUE,B74:E74),SF_Output!$AC$1:$AC$400,0))=0,INDEX(SF_Output!$R$1:$R$400,MATCH(_xlfn.TEXTJOIN(",",TRUE,B74:E74),SF_Output!$AC$1:$AC$400,0)))</f>
        <v>1</v>
      </c>
      <c r="I74" s="125" t="str">
        <f>IFERROR(IF(AND(H74&gt;1,H74&lt;&gt;""),ROUND(SUMIFS(SF_Output!$S$1:$S$400,SF_Output!$AC$1:$AC$400,_xlfn.TEXTJOIN(",",TRUE,B74:E74),SF_Output!$Q$1:$Q$400,"monthly")*(1-W74)/H74,4),""),"")</f>
        <v/>
      </c>
      <c r="J74" s="6">
        <f>IF(B74="","",SUMIFS(SF_Output!$S$1:$S$400,SF_Output!$AC$1:$AC$400,_xlfn.TEXTJOIN(",",TRUE,B74:E74),SF_Output!$Q$1:$Q$400,"One Time",SF_Output!$L$1:$L$400,"license fee")+SUMIFS(SF_Output!$S$1:$S$400,SF_Output!$AC$1:$AC$400,_xlfn.TEXTJOIN(",",TRUE,B74:E74),SF_Output!$Q$1:$Q$400,"One Time",SF_Output!$L$1:$L$400,"software license")+SUMIFS(SF_Output!$S$1:$S$400,SF_Output!$AC$1:$AC$400,_xlfn.TEXTJOIN(",",TRUE,B74:E74),SF_Output!$Q$1:$Q$400,"One Time",SF_Output!$L$1:$L$400,"hardware"))</f>
        <v>0</v>
      </c>
      <c r="K74" s="112" t="str">
        <f>IF(OR(B74=0,B74="",G74="hardware",J74=0),"",IF(AF74&lt;&gt;"exclusion",MAX(K$9,-((SUMIFS(SF_Output!$T$1:$T$400,SF_Output!$AC$1:$AC$400,_xlfn.TEXTJOIN(",",TRUE,$B74:$E74),SF_Output!$Q$1:$Q$400,"One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license"))/J74)))</f>
        <v/>
      </c>
      <c r="L74" s="6">
        <f t="shared" si="1"/>
        <v>0</v>
      </c>
      <c r="N74" s="6">
        <f>IF(B74="","",SUMIFS(SF_Output!$S$1:$S$400,SF_Output!$AC$1:$AC$400,_xlfn.TEXTJOIN(",",TRUE,B74:E74),SF_Output!$Q$1:$Q$400,"One Time",SF_Output!$L$1:$L$400,"professional service"))</f>
        <v>0</v>
      </c>
      <c r="O74" s="112" t="str">
        <f>IF(OR(B74=0,B74="",N74=0),"",IF(AF74&lt;&gt;"exclusion",MAX(O$9,-(SUMIFS(SF_Output!$T$1:$T$400,SF_Output!$AC$1:$AC$400,_xlfn.TEXTJOIN(",",TRUE,$B74:$E74),SF_Output!$Q$1:$Q$400,"One Time",SF_Output!$L$1:$L$400,"professional service"))/N74),-((SUMIFS(SF_Output!$T$1:$T$400,SF_Output!$AC$1:$AC$400,_xlfn.TEXTJOIN(",",TRUE,$B74:$E74),SF_Output!$Q$1:$Q$400,"One Time",SF_Output!$L$1:$L$400,"professional service")/N74))))</f>
        <v/>
      </c>
      <c r="P74" s="6">
        <f t="shared" si="2"/>
        <v>0</v>
      </c>
      <c r="R74" s="6">
        <f>IF(B74="","",SUMIFS(SF_Output!$S$1:$S$400,SF_Output!$AC$1:$AC$400,_xlfn.TEXTJOIN(",",TRUE,B74:E74),SF_Output!$Q$1:$Q$400,"yearly")+SUMIFS(SF_Output!$S$1:$S$400,SF_Output!$AC$1:$AC$400,_xlfn.TEXTJOIN(",",TRUE,B74:E74),SF_Output!$Q$1:$Q$400,"quarterly")*4)</f>
        <v>630</v>
      </c>
      <c r="S74" s="112">
        <f>IF(OR(B74=0,B74="",G74="hardware",R74=0),"",IF(AF74&lt;&gt;"exclusion",MAX(S$9,-(SUMIFS(SF_Output!$T$1:$T$400,SF_Output!$AC$1:$AC$400,_xlfn.TEXTJOIN(",",TRUE,$B74:$E74),SF_Output!$Q$1:$Q$400,"yearly"))/R74),-((SUMIFS(SF_Output!$T$1:$T$400,SF_Output!$AC$1:$AC$400,_xlfn.TEXTJOIN(",",TRUE,$B74:$E74),SF_Output!$Q$1:$Q$400,"yearly")/R74))))</f>
        <v>0</v>
      </c>
      <c r="T74" s="6">
        <f t="shared" si="3"/>
        <v>630</v>
      </c>
      <c r="V74" s="6" cm="1">
        <f t="array" ref="V74">_xlfn.IFS(B74="","",AND(B74&lt;&gt;"",H74=SF_Output!$Y$2,SUMIFS(SF_Output!$T$1:$T$400,SF_Output!$AC$1:$AC$400,_xlfn.TEXTJOIN(",",TRUE,B74:E74),SF_Output!$Q$1:$Q$400,"monthly")=0),(SUMIFS(SF_Output!$F$1:$F$400,SF_Output!$AC$1:$AC$400,_xlfn.TEXTJOIN(",",TRUE,B74:E74),SF_Output!$Q$1:$Q$400,"monthly")+SUMIFS(SF_Output!$G$1:$G$400,SF_Output!$AC$1:$AC$400,_xlfn.TEXTJOIN(",",TRUE,B74:E74),SF_Output!$Q$1:$Q$400,"monthly"))*H74,AND(B74&lt;&gt;"",H74=SF_Output!$Y$2,SUMIFS(SF_Output!$T$1:$T$400,SF_Output!$AC$1:$AC$400,_xlfn.TEXTJOIN(",",TRUE,B74:E74),SF_Output!$Q$1:$Q$400,"monthly")&lt;&gt;0),SUMIFS(SF_Output!$S$1:$S$400,SF_Output!$AC$1:$AC$400,_xlfn.TEXTJOIN(",",TRUE,B74:E74),SF_Output!$Q$1:$Q$400,"monthly"),AND(B74&lt;&gt;"",H74&lt;&gt;SF_Output!$Y$2),SUMIFS(SF_Output!$S$1:$S$400,SF_Output!$AC$1:$AC$400,_xlfn.TEXTJOIN(",",TRUE,B74:E74),SF_Output!$Q$1:$Q$400,"monthly"))</f>
        <v>0</v>
      </c>
      <c r="W74" s="112" t="str" cm="1">
        <f t="array" ref="W74">_xlfn.IFS(OR(B74=0,B74="",V74=0),"",AF74&lt;&gt;"exclusion",MAX($W$9,$W$7,(-(SUMIFS(SF_Output!$T$1:$T$400,SF_Output!$AC$1:$AC$400,_xlfn.TEXTJOIN(",",TRUE,$B74:$E74),SF_Output!$Q$1:$Q$400,"monthly"))/V74)),AF74="exclusion",-(SUMIFS(SF_Output!$T$1:$T$400,SF_Output!$AC$1:$AC$400,_xlfn.TEXTJOIN(",",TRUE,$B74:$E74),SF_Output!$Q$1:$Q$400,"monthly"))/V74)</f>
        <v/>
      </c>
      <c r="X74" s="6" cm="1">
        <f t="array" ref="X74">IFERROR(_xlfn.IFS(V74=0,0,V74="","",W74=0,V74,OR(V74&lt;&gt;0,V74&lt;&gt;""),H74*I74),V74*(1-W74))</f>
        <v>0</v>
      </c>
      <c r="Z74" s="6">
        <f>IFERROR(IF(B74="","",SUMIFS(Billing_Fallout!H:H,Billing_Fallout!N:N,B74)),0)</f>
        <v>0</v>
      </c>
      <c r="AA74" s="6">
        <f t="shared" si="4"/>
        <v>0</v>
      </c>
      <c r="AB74" s="6">
        <f>IFERROR(IF(B74="","",SUMIFS(Billing_Fallout!J:J,Billing_Fallout!N:N,B74)),0)</f>
        <v>0</v>
      </c>
      <c r="AD74" s="6">
        <f t="shared" si="5"/>
        <v>0</v>
      </c>
      <c r="AF74" t="str">
        <f>IFERROR(INDEX(H_Tables!$B$1:$B$1500,MATCH(INDEX(SF_Output!$J$1:$J$400,MATCH(B74,SF_Output!$M$1:$M$400,0)),H_Tables!$A$1:$A$1500,0)),"")</f>
        <v>Exclusion</v>
      </c>
      <c r="AI74" s="119" t="str">
        <f t="shared" si="6"/>
        <v/>
      </c>
      <c r="AJ74" s="121">
        <f>IFERROR(INDEX(SF_Output!AD:AD,MATCH(_xlfn.TEXTJOIN(",",TRUE,B74:E74),SF_Output!AC1:AC400,0)),0.05)</f>
        <v>5</v>
      </c>
      <c r="AK74" t="str">
        <f>IF(SUMIFS(SF_Output!$F$1:$F$400,SF_Output!$AC$1:$AC$400,_xlfn.TEXTJOIN(",",TRUE,B74:E74))+SUMIFS(SF_Output!$G$1:$G$400,SF_Output!$AC$1:$AC$400,_xlfn.TEXTJOIN(",",TRUE,B74:E74))=0,"","PAP")</f>
        <v/>
      </c>
      <c r="AQ74" s="35"/>
      <c r="AR74" s="35" t="str" cm="1">
        <f t="array" ref="AR74">IFERROR(_xlfn.IFS(AND(E74*1=1,F74="Included"),"Change to Included",AND(E74*1=0,F74="Optional"),"Change to Optional",OR(B74="",F74="replaced"),""),"")</f>
        <v/>
      </c>
      <c r="AS74" s="35" t="str">
        <f t="shared" si="7"/>
        <v/>
      </c>
      <c r="AT74" s="35" t="str">
        <f t="shared" si="8"/>
        <v/>
      </c>
      <c r="AU74" s="35" t="str">
        <f t="shared" si="9"/>
        <v/>
      </c>
      <c r="AV74" s="35" t="str">
        <f t="shared" si="10"/>
        <v/>
      </c>
      <c r="AW74" s="35" t="str">
        <f t="shared" si="11"/>
        <v/>
      </c>
      <c r="AX74" s="35" t="str">
        <f t="shared" si="12"/>
        <v/>
      </c>
      <c r="AY74" s="35" t="str">
        <f t="shared" si="13"/>
        <v/>
      </c>
      <c r="AZ74" s="35" t="str">
        <f t="shared" si="14"/>
        <v/>
      </c>
      <c r="BA74" s="35" t="str">
        <f t="shared" si="15"/>
        <v/>
      </c>
      <c r="BB74" s="35" t="str">
        <f t="shared" si="16"/>
        <v/>
      </c>
      <c r="BC74" s="35"/>
      <c r="BE74" s="35">
        <f ca="1">INDEX(SF_Output!$AA$2:$AA$400,MATCH($B74,SF_Output!$M$2:$M$400,0))</f>
        <v>6</v>
      </c>
      <c r="BF74" s="35">
        <f ca="1">INDEX(SF_Output!$AB$2:$AB$400,MATCH($B74,SF_Output!$M$2:$M$400,0))</f>
        <v>3</v>
      </c>
    </row>
    <row r="75" spans="2:58" x14ac:dyDescent="0.25">
      <c r="B75" t="s">
        <v>1161</v>
      </c>
      <c r="C75" t="s">
        <v>2122</v>
      </c>
      <c r="D75" t="s">
        <v>2123</v>
      </c>
      <c r="E75" t="s">
        <v>2124</v>
      </c>
      <c r="F75" s="116" t="str">
        <f t="shared" si="0"/>
        <v>Included</v>
      </c>
      <c r="G75" t="str">
        <f>IF(B75="","",INDEX(SF_Output!$K$1:$K$400,MATCH(B75,SF_Output!$M$1:$M$400,0)))</f>
        <v>iPay</v>
      </c>
      <c r="H75" cm="1">
        <f t="array" ref="H75">_xlfn.IFS(B75="","",(SUMIFS(SF_Output!$F$1:$F$400,SF_Output!$AC$1:$AC$400,_xlfn.TEXTJOIN(",",TRUE,B75:E75))+SUMIFS(SF_Output!$G$1:$G$400,SF_Output!$AC$1:$AC$400,_xlfn.TEXTJOIN(",",TRUE,B75:E75)))&lt;&gt;0,SF_Output!$Y$2,INDEX(SF_Output!$F$1:$F$400,MATCH(_xlfn.TEXTJOIN(",",TRUE,B75:E75),SF_Output!$AC$1:$AC$400,0))=0,INDEX(SF_Output!$R$1:$R$400,MATCH(_xlfn.TEXTJOIN(",",TRUE,B75:E75),SF_Output!$AC$1:$AC$400,0)))</f>
        <v>1</v>
      </c>
      <c r="I75" s="125" t="str">
        <f>IFERROR(IF(AND(H75&gt;1,H75&lt;&gt;""),ROUND(SUMIFS(SF_Output!$S$1:$S$400,SF_Output!$AC$1:$AC$400,_xlfn.TEXTJOIN(",",TRUE,B75:E75),SF_Output!$Q$1:$Q$400,"monthly")*(1-W75)/H75,4),""),"")</f>
        <v/>
      </c>
      <c r="J75" s="6">
        <f>IF(B75="","",SUMIFS(SF_Output!$S$1:$S$400,SF_Output!$AC$1:$AC$400,_xlfn.TEXTJOIN(",",TRUE,B75:E75),SF_Output!$Q$1:$Q$400,"One Time",SF_Output!$L$1:$L$400,"license fee")+SUMIFS(SF_Output!$S$1:$S$400,SF_Output!$AC$1:$AC$400,_xlfn.TEXTJOIN(",",TRUE,B75:E75),SF_Output!$Q$1:$Q$400,"One Time",SF_Output!$L$1:$L$400,"software license")+SUMIFS(SF_Output!$S$1:$S$400,SF_Output!$AC$1:$AC$400,_xlfn.TEXTJOIN(",",TRUE,B75:E75),SF_Output!$Q$1:$Q$400,"One Time",SF_Output!$L$1:$L$400,"hardware"))</f>
        <v>0</v>
      </c>
      <c r="K75" s="112" t="str">
        <f>IF(OR(B75=0,B75="",G75="hardware",J75=0),"",IF(AF75&lt;&gt;"exclusion",MAX(K$9,-((SUMIFS(SF_Output!$T$1:$T$400,SF_Output!$AC$1:$AC$400,_xlfn.TEXTJOIN(",",TRUE,$B75:$E75),SF_Output!$Q$1:$Q$400,"One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license"))/J75)))</f>
        <v/>
      </c>
      <c r="L75" s="6">
        <f t="shared" si="1"/>
        <v>0</v>
      </c>
      <c r="N75" s="6">
        <f>IF(B75="","",SUMIFS(SF_Output!$S$1:$S$400,SF_Output!$AC$1:$AC$400,_xlfn.TEXTJOIN(",",TRUE,B75:E75),SF_Output!$Q$1:$Q$400,"One Time",SF_Output!$L$1:$L$400,"professional service"))</f>
        <v>0</v>
      </c>
      <c r="O75" s="112" t="str">
        <f>IF(OR(B75=0,B75="",N75=0),"",IF(AF75&lt;&gt;"exclusion",MAX(O$9,-(SUMIFS(SF_Output!$T$1:$T$400,SF_Output!$AC$1:$AC$400,_xlfn.TEXTJOIN(",",TRUE,$B75:$E75),SF_Output!$Q$1:$Q$400,"One Time",SF_Output!$L$1:$L$400,"professional service"))/N75),-((SUMIFS(SF_Output!$T$1:$T$400,SF_Output!$AC$1:$AC$400,_xlfn.TEXTJOIN(",",TRUE,$B75:$E75),SF_Output!$Q$1:$Q$400,"One Time",SF_Output!$L$1:$L$400,"professional service")/N75))))</f>
        <v/>
      </c>
      <c r="P75" s="6">
        <f t="shared" si="2"/>
        <v>0</v>
      </c>
      <c r="R75" s="6">
        <f>IF(B75="","",SUMIFS(SF_Output!$S$1:$S$400,SF_Output!$AC$1:$AC$400,_xlfn.TEXTJOIN(",",TRUE,B75:E75),SF_Output!$Q$1:$Q$400,"yearly")+SUMIFS(SF_Output!$S$1:$S$400,SF_Output!$AC$1:$AC$400,_xlfn.TEXTJOIN(",",TRUE,B75:E75),SF_Output!$Q$1:$Q$400,"quarterly")*4)</f>
        <v>0</v>
      </c>
      <c r="S75" s="112" t="str">
        <f>IF(OR(B75=0,B75="",G75="hardware",R75=0),"",IF(AF75&lt;&gt;"exclusion",MAX(S$9,-(SUMIFS(SF_Output!$T$1:$T$400,SF_Output!$AC$1:$AC$400,_xlfn.TEXTJOIN(",",TRUE,$B75:$E75),SF_Output!$Q$1:$Q$400,"yearly"))/R75),-((SUMIFS(SF_Output!$T$1:$T$400,SF_Output!$AC$1:$AC$400,_xlfn.TEXTJOIN(",",TRUE,$B75:$E75),SF_Output!$Q$1:$Q$400,"yearly")/R75))))</f>
        <v/>
      </c>
      <c r="T75" s="6">
        <f t="shared" si="3"/>
        <v>0</v>
      </c>
      <c r="V75" s="6" cm="1">
        <f t="array" ref="V75">_xlfn.IFS(B75="","",AND(B75&lt;&gt;"",H75=SF_Output!$Y$2,SUMIFS(SF_Output!$T$1:$T$400,SF_Output!$AC$1:$AC$400,_xlfn.TEXTJOIN(",",TRUE,B75:E75),SF_Output!$Q$1:$Q$400,"monthly")=0),(SUMIFS(SF_Output!$F$1:$F$400,SF_Output!$AC$1:$AC$400,_xlfn.TEXTJOIN(",",TRUE,B75:E75),SF_Output!$Q$1:$Q$400,"monthly")+SUMIFS(SF_Output!$G$1:$G$400,SF_Output!$AC$1:$AC$400,_xlfn.TEXTJOIN(",",TRUE,B75:E75),SF_Output!$Q$1:$Q$400,"monthly"))*H75,AND(B75&lt;&gt;"",H75=SF_Output!$Y$2,SUMIFS(SF_Output!$T$1:$T$400,SF_Output!$AC$1:$AC$400,_xlfn.TEXTJOIN(",",TRUE,B75:E75),SF_Output!$Q$1:$Q$400,"monthly")&lt;&gt;0),SUMIFS(SF_Output!$S$1:$S$400,SF_Output!$AC$1:$AC$400,_xlfn.TEXTJOIN(",",TRUE,B75:E75),SF_Output!$Q$1:$Q$400,"monthly"),AND(B75&lt;&gt;"",H75&lt;&gt;SF_Output!$Y$2),SUMIFS(SF_Output!$S$1:$S$400,SF_Output!$AC$1:$AC$400,_xlfn.TEXTJOIN(",",TRUE,B75:E75),SF_Output!$Q$1:$Q$400,"monthly"))</f>
        <v>0</v>
      </c>
      <c r="W75" s="112" t="str" cm="1">
        <f t="array" ref="W75">_xlfn.IFS(OR(B75=0,B75="",V75=0),"",AF75&lt;&gt;"exclusion",MAX($W$9,$W$7,(-(SUMIFS(SF_Output!$T$1:$T$400,SF_Output!$AC$1:$AC$400,_xlfn.TEXTJOIN(",",TRUE,$B75:$E75),SF_Output!$Q$1:$Q$400,"monthly"))/V75)),AF75="exclusion",-(SUMIFS(SF_Output!$T$1:$T$400,SF_Output!$AC$1:$AC$400,_xlfn.TEXTJOIN(",",TRUE,$B75:$E75),SF_Output!$Q$1:$Q$400,"monthly"))/V75)</f>
        <v/>
      </c>
      <c r="X75" s="6" cm="1">
        <f t="array" ref="X75">IFERROR(_xlfn.IFS(V75=0,0,V75="","",W75=0,V75,OR(V75&lt;&gt;0,V75&lt;&gt;""),H75*I75),V75*(1-W75))</f>
        <v>0</v>
      </c>
      <c r="Z75" s="6">
        <f>IFERROR(IF(B75="","",SUMIFS(Billing_Fallout!H:H,Billing_Fallout!N:N,B75)),0)</f>
        <v>0</v>
      </c>
      <c r="AA75" s="6">
        <f t="shared" si="4"/>
        <v>0</v>
      </c>
      <c r="AB75" s="6">
        <f>IFERROR(IF(B75="","",SUMIFS(Billing_Fallout!J:J,Billing_Fallout!N:N,B75)),0)</f>
        <v>0</v>
      </c>
      <c r="AD75" s="6">
        <f t="shared" si="5"/>
        <v>0</v>
      </c>
      <c r="AF75" t="str">
        <f>IFERROR(INDEX(H_Tables!$B$1:$B$1500,MATCH(INDEX(SF_Output!$J$1:$J$400,MATCH(B75,SF_Output!$M$1:$M$400,0)),H_Tables!$A$1:$A$1500,0)),"")</f>
        <v>Exclusion</v>
      </c>
      <c r="AI75" s="119" t="str">
        <f t="shared" si="6"/>
        <v/>
      </c>
      <c r="AJ75" s="121">
        <f>IFERROR(INDEX(SF_Output!AD:AD,MATCH(_xlfn.TEXTJOIN(",",TRUE,B75:E75),SF_Output!AC1:AC400,0)),0.05)</f>
        <v>6</v>
      </c>
      <c r="AK75" t="str">
        <f>IF(SUMIFS(SF_Output!$F$1:$F$400,SF_Output!$AC$1:$AC$400,_xlfn.TEXTJOIN(",",TRUE,B75:E75))+SUMIFS(SF_Output!$G$1:$G$400,SF_Output!$AC$1:$AC$400,_xlfn.TEXTJOIN(",",TRUE,B75:E75))=0,"","PAP")</f>
        <v/>
      </c>
      <c r="AQ75" s="35"/>
      <c r="AR75" s="35" t="str" cm="1">
        <f t="array" ref="AR75">IFERROR(_xlfn.IFS(AND(E75*1=1,F75="Included"),"Change to Included",AND(E75*1=0,F75="Optional"),"Change to Optional",OR(B75="",F75="replaced"),""),"")</f>
        <v/>
      </c>
      <c r="AS75" s="35" t="str">
        <f t="shared" si="7"/>
        <v/>
      </c>
      <c r="AT75" s="35" t="str">
        <f t="shared" si="8"/>
        <v/>
      </c>
      <c r="AU75" s="35" t="str">
        <f t="shared" si="9"/>
        <v/>
      </c>
      <c r="AV75" s="35" t="str">
        <f t="shared" si="10"/>
        <v/>
      </c>
      <c r="AW75" s="35" t="str">
        <f t="shared" si="11"/>
        <v/>
      </c>
      <c r="AX75" s="35" t="str">
        <f t="shared" si="12"/>
        <v/>
      </c>
      <c r="AY75" s="35" t="str">
        <f t="shared" si="13"/>
        <v/>
      </c>
      <c r="AZ75" s="35" t="str">
        <f t="shared" si="14"/>
        <v/>
      </c>
      <c r="BA75" s="35" t="str">
        <f t="shared" si="15"/>
        <v/>
      </c>
      <c r="BB75" s="35" t="str">
        <f t="shared" si="16"/>
        <v/>
      </c>
      <c r="BC75" s="35"/>
      <c r="BE75" s="35">
        <f ca="1">INDEX(SF_Output!$AA$2:$AA$400,MATCH($B75,SF_Output!$M$2:$M$400,0))</f>
        <v>6</v>
      </c>
      <c r="BF75" s="35">
        <f ca="1">INDEX(SF_Output!$AB$2:$AB$400,MATCH($B75,SF_Output!$M$2:$M$400,0))</f>
        <v>3</v>
      </c>
    </row>
    <row r="76" spans="2:58" x14ac:dyDescent="0.25">
      <c r="B76" t="s">
        <v>2138</v>
      </c>
      <c r="C76" t="s">
        <v>2122</v>
      </c>
      <c r="D76" t="s">
        <v>2123</v>
      </c>
      <c r="E76" t="s">
        <v>2124</v>
      </c>
      <c r="F76" s="116" t="str">
        <f t="shared" si="0"/>
        <v>Included</v>
      </c>
      <c r="G76" t="str">
        <f>IF(B76="","",INDEX(SF_Output!$K$1:$K$400,MATCH(B76,SF_Output!$M$1:$M$400,0)))</f>
        <v>iPay</v>
      </c>
      <c r="H76" cm="1">
        <f t="array" ref="H76">_xlfn.IFS(B76="","",(SUMIFS(SF_Output!$F$1:$F$400,SF_Output!$AC$1:$AC$400,_xlfn.TEXTJOIN(",",TRUE,B76:E76))+SUMIFS(SF_Output!$G$1:$G$400,SF_Output!$AC$1:$AC$400,_xlfn.TEXTJOIN(",",TRUE,B76:E76)))&lt;&gt;0,SF_Output!$Y$2,INDEX(SF_Output!$F$1:$F$400,MATCH(_xlfn.TEXTJOIN(",",TRUE,B76:E76),SF_Output!$AC$1:$AC$400,0))=0,INDEX(SF_Output!$R$1:$R$400,MATCH(_xlfn.TEXTJOIN(",",TRUE,B76:E76),SF_Output!$AC$1:$AC$400,0)))</f>
        <v>1</v>
      </c>
      <c r="I76" s="125" t="str">
        <f>IFERROR(IF(AND(H76&gt;1,H76&lt;&gt;""),ROUND(SUMIFS(SF_Output!$S$1:$S$400,SF_Output!$AC$1:$AC$400,_xlfn.TEXTJOIN(",",TRUE,B76:E76),SF_Output!$Q$1:$Q$400,"monthly")*(1-W76)/H76,4),""),"")</f>
        <v/>
      </c>
      <c r="J76" s="6">
        <f>IF(B76="","",SUMIFS(SF_Output!$S$1:$S$400,SF_Output!$AC$1:$AC$400,_xlfn.TEXTJOIN(",",TRUE,B76:E76),SF_Output!$Q$1:$Q$400,"One Time",SF_Output!$L$1:$L$400,"license fee")+SUMIFS(SF_Output!$S$1:$S$400,SF_Output!$AC$1:$AC$400,_xlfn.TEXTJOIN(",",TRUE,B76:E76),SF_Output!$Q$1:$Q$400,"One Time",SF_Output!$L$1:$L$400,"software license")+SUMIFS(SF_Output!$S$1:$S$400,SF_Output!$AC$1:$AC$400,_xlfn.TEXTJOIN(",",TRUE,B76:E76),SF_Output!$Q$1:$Q$400,"One Time",SF_Output!$L$1:$L$400,"hardware"))</f>
        <v>0</v>
      </c>
      <c r="K76" s="112" t="str">
        <f>IF(OR(B76=0,B76="",G76="hardware",J76=0),"",IF(AF76&lt;&gt;"exclusion",MAX(K$9,-((SUMIFS(SF_Output!$T$1:$T$400,SF_Output!$AC$1:$AC$400,_xlfn.TEXTJOIN(",",TRUE,$B76:$E76),SF_Output!$Q$1:$Q$400,"One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license"))/J76)))</f>
        <v/>
      </c>
      <c r="L76" s="6">
        <f t="shared" si="1"/>
        <v>0</v>
      </c>
      <c r="N76" s="6">
        <f>IF(B76="","",SUMIFS(SF_Output!$S$1:$S$400,SF_Output!$AC$1:$AC$400,_xlfn.TEXTJOIN(",",TRUE,B76:E76),SF_Output!$Q$1:$Q$400,"One Time",SF_Output!$L$1:$L$400,"professional service"))</f>
        <v>10000</v>
      </c>
      <c r="O76" s="112">
        <f>IF(OR(B76=0,B76="",N76=0),"",IF(AF76&lt;&gt;"exclusion",MAX(O$9,-(SUMIFS(SF_Output!$T$1:$T$400,SF_Output!$AC$1:$AC$400,_xlfn.TEXTJOIN(",",TRUE,$B76:$E76),SF_Output!$Q$1:$Q$400,"One Time",SF_Output!$L$1:$L$400,"professional service"))/N76),-((SUMIFS(SF_Output!$T$1:$T$400,SF_Output!$AC$1:$AC$400,_xlfn.TEXTJOIN(",",TRUE,$B76:$E76),SF_Output!$Q$1:$Q$400,"One Time",SF_Output!$L$1:$L$400,"professional service")/N76))))</f>
        <v>1</v>
      </c>
      <c r="P76" s="6">
        <f t="shared" si="2"/>
        <v>0</v>
      </c>
      <c r="R76" s="6">
        <f>IF(B76="","",SUMIFS(SF_Output!$S$1:$S$400,SF_Output!$AC$1:$AC$400,_xlfn.TEXTJOIN(",",TRUE,B76:E76),SF_Output!$Q$1:$Q$400,"yearly")+SUMIFS(SF_Output!$S$1:$S$400,SF_Output!$AC$1:$AC$400,_xlfn.TEXTJOIN(",",TRUE,B76:E76),SF_Output!$Q$1:$Q$400,"quarterly")*4)</f>
        <v>0</v>
      </c>
      <c r="S76" s="112" t="str">
        <f>IF(OR(B76=0,B76="",G76="hardware",R76=0),"",IF(AF76&lt;&gt;"exclusion",MAX(S$9,-(SUMIFS(SF_Output!$T$1:$T$400,SF_Output!$AC$1:$AC$400,_xlfn.TEXTJOIN(",",TRUE,$B76:$E76),SF_Output!$Q$1:$Q$400,"yearly"))/R76),-((SUMIFS(SF_Output!$T$1:$T$400,SF_Output!$AC$1:$AC$400,_xlfn.TEXTJOIN(",",TRUE,$B76:$E76),SF_Output!$Q$1:$Q$400,"yearly")/R76))))</f>
        <v/>
      </c>
      <c r="T76" s="6">
        <f t="shared" si="3"/>
        <v>0</v>
      </c>
      <c r="V76" s="6" cm="1">
        <f t="array" ref="V76">_xlfn.IFS(B76="","",AND(B76&lt;&gt;"",H76=SF_Output!$Y$2,SUMIFS(SF_Output!$T$1:$T$400,SF_Output!$AC$1:$AC$400,_xlfn.TEXTJOIN(",",TRUE,B76:E76),SF_Output!$Q$1:$Q$400,"monthly")=0),(SUMIFS(SF_Output!$F$1:$F$400,SF_Output!$AC$1:$AC$400,_xlfn.TEXTJOIN(",",TRUE,B76:E76),SF_Output!$Q$1:$Q$400,"monthly")+SUMIFS(SF_Output!$G$1:$G$400,SF_Output!$AC$1:$AC$400,_xlfn.TEXTJOIN(",",TRUE,B76:E76),SF_Output!$Q$1:$Q$400,"monthly"))*H76,AND(B76&lt;&gt;"",H76=SF_Output!$Y$2,SUMIFS(SF_Output!$T$1:$T$400,SF_Output!$AC$1:$AC$400,_xlfn.TEXTJOIN(",",TRUE,B76:E76),SF_Output!$Q$1:$Q$400,"monthly")&lt;&gt;0),SUMIFS(SF_Output!$S$1:$S$400,SF_Output!$AC$1:$AC$400,_xlfn.TEXTJOIN(",",TRUE,B76:E76),SF_Output!$Q$1:$Q$400,"monthly"),AND(B76&lt;&gt;"",H76&lt;&gt;SF_Output!$Y$2),SUMIFS(SF_Output!$S$1:$S$400,SF_Output!$AC$1:$AC$400,_xlfn.TEXTJOIN(",",TRUE,B76:E76),SF_Output!$Q$1:$Q$400,"monthly"))</f>
        <v>0</v>
      </c>
      <c r="W76" s="112" t="str" cm="1">
        <f t="array" ref="W76">_xlfn.IFS(OR(B76=0,B76="",V76=0),"",AF76&lt;&gt;"exclusion",MAX($W$9,$W$7,(-(SUMIFS(SF_Output!$T$1:$T$400,SF_Output!$AC$1:$AC$400,_xlfn.TEXTJOIN(",",TRUE,$B76:$E76),SF_Output!$Q$1:$Q$400,"monthly"))/V76)),AF76="exclusion",-(SUMIFS(SF_Output!$T$1:$T$400,SF_Output!$AC$1:$AC$400,_xlfn.TEXTJOIN(",",TRUE,$B76:$E76),SF_Output!$Q$1:$Q$400,"monthly"))/V76)</f>
        <v/>
      </c>
      <c r="X76" s="6" cm="1">
        <f t="array" ref="X76">IFERROR(_xlfn.IFS(V76=0,0,V76="","",W76=0,V76,OR(V76&lt;&gt;0,V76&lt;&gt;""),H76*I76),V76*(1-W76))</f>
        <v>0</v>
      </c>
      <c r="Z76" s="6">
        <f>IFERROR(IF(B76="","",SUMIFS(Billing_Fallout!H:H,Billing_Fallout!N:N,B76)),0)</f>
        <v>0</v>
      </c>
      <c r="AA76" s="6">
        <f t="shared" si="4"/>
        <v>0</v>
      </c>
      <c r="AB76" s="6">
        <f>IFERROR(IF(B76="","",SUMIFS(Billing_Fallout!J:J,Billing_Fallout!N:N,B76)),0)</f>
        <v>0</v>
      </c>
      <c r="AD76" s="6">
        <f t="shared" si="5"/>
        <v>0</v>
      </c>
      <c r="AF76" t="str">
        <f>IFERROR(INDEX(H_Tables!$B$1:$B$1500,MATCH(INDEX(SF_Output!$J$1:$J$400,MATCH(B76,SF_Output!$M$1:$M$400,0)),H_Tables!$A$1:$A$1500,0)),"")</f>
        <v/>
      </c>
      <c r="AI76" s="119" t="str">
        <f t="shared" si="6"/>
        <v/>
      </c>
      <c r="AJ76" s="121">
        <f>IFERROR(INDEX(SF_Output!AD:AD,MATCH(_xlfn.TEXTJOIN(",",TRUE,B76:E76),SF_Output!AC1:AC400,0)),0.05)</f>
        <v>7</v>
      </c>
      <c r="AK76" t="str">
        <f>IF(SUMIFS(SF_Output!$F$1:$F$400,SF_Output!$AC$1:$AC$400,_xlfn.TEXTJOIN(",",TRUE,B76:E76))+SUMIFS(SF_Output!$G$1:$G$400,SF_Output!$AC$1:$AC$400,_xlfn.TEXTJOIN(",",TRUE,B76:E76))=0,"","PAP")</f>
        <v/>
      </c>
      <c r="AQ76" s="35"/>
      <c r="AR76" s="35" t="str" cm="1">
        <f t="array" ref="AR76">IFERROR(_xlfn.IFS(AND(E76*1=1,F76="Included"),"Change to Included",AND(E76*1=0,F76="Optional"),"Change to Optional",OR(B76="",F76="replaced"),""),"")</f>
        <v/>
      </c>
      <c r="AS76" s="35" t="str">
        <f t="shared" si="7"/>
        <v/>
      </c>
      <c r="AT76" s="35" t="str">
        <f t="shared" si="8"/>
        <v/>
      </c>
      <c r="AU76" s="35" t="str">
        <f t="shared" si="9"/>
        <v/>
      </c>
      <c r="AV76" s="35" t="str">
        <f t="shared" si="10"/>
        <v/>
      </c>
      <c r="AW76" s="35" t="str">
        <f t="shared" si="11"/>
        <v/>
      </c>
      <c r="AX76" s="35" t="str">
        <f t="shared" si="12"/>
        <v/>
      </c>
      <c r="AY76" s="35" t="str">
        <f t="shared" si="13"/>
        <v/>
      </c>
      <c r="AZ76" s="35" t="str">
        <f t="shared" si="14"/>
        <v/>
      </c>
      <c r="BA76" s="35" t="str">
        <f t="shared" si="15"/>
        <v/>
      </c>
      <c r="BB76" s="35" t="str">
        <f t="shared" si="16"/>
        <v/>
      </c>
      <c r="BC76" s="35"/>
      <c r="BE76" s="35">
        <f ca="1">INDEX(SF_Output!$AA$2:$AA$400,MATCH($B76,SF_Output!$M$2:$M$400,0))</f>
        <v>6</v>
      </c>
      <c r="BF76" s="35">
        <f ca="1">INDEX(SF_Output!$AB$2:$AB$400,MATCH($B76,SF_Output!$M$2:$M$400,0))</f>
        <v>3</v>
      </c>
    </row>
    <row r="77" spans="2:58" x14ac:dyDescent="0.25">
      <c r="B77" t="s">
        <v>1001</v>
      </c>
      <c r="C77" t="s">
        <v>2122</v>
      </c>
      <c r="D77" t="s">
        <v>2123</v>
      </c>
      <c r="E77" t="s">
        <v>2124</v>
      </c>
      <c r="F77" s="116" t="str">
        <f t="shared" si="0"/>
        <v>Included</v>
      </c>
      <c r="G77" t="str">
        <f>IF(B77="","",INDEX(SF_Output!$K$1:$K$400,MATCH(B77,SF_Output!$M$1:$M$400,0)))</f>
        <v>DirectLine</v>
      </c>
      <c r="H77" cm="1">
        <f t="array" ref="H77">_xlfn.IFS(B77="","",(SUMIFS(SF_Output!$F$1:$F$400,SF_Output!$AC$1:$AC$400,_xlfn.TEXTJOIN(",",TRUE,B77:E77))+SUMIFS(SF_Output!$G$1:$G$400,SF_Output!$AC$1:$AC$400,_xlfn.TEXTJOIN(",",TRUE,B77:E77)))&lt;&gt;0,SF_Output!$Y$2,INDEX(SF_Output!$F$1:$F$400,MATCH(_xlfn.TEXTJOIN(",",TRUE,B77:E77),SF_Output!$AC$1:$AC$400,0))=0,INDEX(SF_Output!$R$1:$R$400,MATCH(_xlfn.TEXTJOIN(",",TRUE,B77:E77),SF_Output!$AC$1:$AC$400,0)))</f>
        <v>1</v>
      </c>
      <c r="I77" s="125" t="str">
        <f>IFERROR(IF(AND(H77&gt;1,H77&lt;&gt;""),ROUND(SUMIFS(SF_Output!$S$1:$S$400,SF_Output!$AC$1:$AC$400,_xlfn.TEXTJOIN(",",TRUE,B77:E77),SF_Output!$Q$1:$Q$400,"monthly")*(1-W77)/H77,4),""),"")</f>
        <v/>
      </c>
      <c r="J77" s="6">
        <f>IF(B77="","",SUMIFS(SF_Output!$S$1:$S$400,SF_Output!$AC$1:$AC$400,_xlfn.TEXTJOIN(",",TRUE,B77:E77),SF_Output!$Q$1:$Q$400,"One Time",SF_Output!$L$1:$L$400,"license fee")+SUMIFS(SF_Output!$S$1:$S$400,SF_Output!$AC$1:$AC$400,_xlfn.TEXTJOIN(",",TRUE,B77:E77),SF_Output!$Q$1:$Q$400,"One Time",SF_Output!$L$1:$L$400,"software license")+SUMIFS(SF_Output!$S$1:$S$400,SF_Output!$AC$1:$AC$400,_xlfn.TEXTJOIN(",",TRUE,B77:E77),SF_Output!$Q$1:$Q$400,"One Time",SF_Output!$L$1:$L$400,"hardware"))</f>
        <v>0</v>
      </c>
      <c r="K77" s="112" t="str">
        <f>IF(OR(B77=0,B77="",G77="hardware",J77=0),"",IF(AF77&lt;&gt;"exclusion",MAX(K$9,-((SUMIFS(SF_Output!$T$1:$T$400,SF_Output!$AC$1:$AC$400,_xlfn.TEXTJOIN(",",TRUE,$B77:$E77),SF_Output!$Q$1:$Q$400,"One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license"))/J77)))</f>
        <v/>
      </c>
      <c r="L77" s="6">
        <f t="shared" si="1"/>
        <v>0</v>
      </c>
      <c r="N77" s="6">
        <f>IF(B77="","",SUMIFS(SF_Output!$S$1:$S$400,SF_Output!$AC$1:$AC$400,_xlfn.TEXTJOIN(",",TRUE,B77:E77),SF_Output!$Q$1:$Q$400,"One Time",SF_Output!$L$1:$L$400,"professional service"))</f>
        <v>7500</v>
      </c>
      <c r="O77" s="112">
        <f>IF(OR(B77=0,B77="",N77=0),"",IF(AF77&lt;&gt;"exclusion",MAX(O$9,-(SUMIFS(SF_Output!$T$1:$T$400,SF_Output!$AC$1:$AC$400,_xlfn.TEXTJOIN(",",TRUE,$B77:$E77),SF_Output!$Q$1:$Q$400,"One Time",SF_Output!$L$1:$L$400,"professional service"))/N77),-((SUMIFS(SF_Output!$T$1:$T$400,SF_Output!$AC$1:$AC$400,_xlfn.TEXTJOIN(",",TRUE,$B77:$E77),SF_Output!$Q$1:$Q$400,"One Time",SF_Output!$L$1:$L$400,"professional service")/N77))))</f>
        <v>1</v>
      </c>
      <c r="P77" s="6">
        <f t="shared" si="2"/>
        <v>0</v>
      </c>
      <c r="R77" s="6">
        <f>IF(B77="","",SUMIFS(SF_Output!$S$1:$S$400,SF_Output!$AC$1:$AC$400,_xlfn.TEXTJOIN(",",TRUE,B77:E77),SF_Output!$Q$1:$Q$400,"yearly")+SUMIFS(SF_Output!$S$1:$S$400,SF_Output!$AC$1:$AC$400,_xlfn.TEXTJOIN(",",TRUE,B77:E77),SF_Output!$Q$1:$Q$400,"quarterly")*4)</f>
        <v>0</v>
      </c>
      <c r="S77" s="112" t="str">
        <f>IF(OR(B77=0,B77="",G77="hardware",R77=0),"",IF(AF77&lt;&gt;"exclusion",MAX(S$9,-(SUMIFS(SF_Output!$T$1:$T$400,SF_Output!$AC$1:$AC$400,_xlfn.TEXTJOIN(",",TRUE,$B77:$E77),SF_Output!$Q$1:$Q$400,"yearly"))/R77),-((SUMIFS(SF_Output!$T$1:$T$400,SF_Output!$AC$1:$AC$400,_xlfn.TEXTJOIN(",",TRUE,$B77:$E77),SF_Output!$Q$1:$Q$400,"yearly")/R77))))</f>
        <v/>
      </c>
      <c r="T77" s="6">
        <f t="shared" si="3"/>
        <v>0</v>
      </c>
      <c r="V77" s="6" cm="1">
        <f t="array" ref="V77">_xlfn.IFS(B77="","",AND(B77&lt;&gt;"",H77=SF_Output!$Y$2,SUMIFS(SF_Output!$T$1:$T$400,SF_Output!$AC$1:$AC$400,_xlfn.TEXTJOIN(",",TRUE,B77:E77),SF_Output!$Q$1:$Q$400,"monthly")=0),(SUMIFS(SF_Output!$F$1:$F$400,SF_Output!$AC$1:$AC$400,_xlfn.TEXTJOIN(",",TRUE,B77:E77),SF_Output!$Q$1:$Q$400,"monthly")+SUMIFS(SF_Output!$G$1:$G$400,SF_Output!$AC$1:$AC$400,_xlfn.TEXTJOIN(",",TRUE,B77:E77),SF_Output!$Q$1:$Q$400,"monthly"))*H77,AND(B77&lt;&gt;"",H77=SF_Output!$Y$2,SUMIFS(SF_Output!$T$1:$T$400,SF_Output!$AC$1:$AC$400,_xlfn.TEXTJOIN(",",TRUE,B77:E77),SF_Output!$Q$1:$Q$400,"monthly")&lt;&gt;0),SUMIFS(SF_Output!$S$1:$S$400,SF_Output!$AC$1:$AC$400,_xlfn.TEXTJOIN(",",TRUE,B77:E77),SF_Output!$Q$1:$Q$400,"monthly"),AND(B77&lt;&gt;"",H77&lt;&gt;SF_Output!$Y$2),SUMIFS(SF_Output!$S$1:$S$400,SF_Output!$AC$1:$AC$400,_xlfn.TEXTJOIN(",",TRUE,B77:E77),SF_Output!$Q$1:$Q$400,"monthly"))</f>
        <v>450</v>
      </c>
      <c r="W77" s="112" cm="1">
        <f t="array" ref="W77">_xlfn.IFS(OR(B77=0,B77="",V77=0),"",AF77&lt;&gt;"exclusion",MAX($W$9,$W$7,(-(SUMIFS(SF_Output!$T$1:$T$400,SF_Output!$AC$1:$AC$400,_xlfn.TEXTJOIN(",",TRUE,$B77:$E77),SF_Output!$Q$1:$Q$400,"monthly"))/V77)),AF77="exclusion",-(SUMIFS(SF_Output!$T$1:$T$400,SF_Output!$AC$1:$AC$400,_xlfn.TEXTJOIN(",",TRUE,$B77:$E77),SF_Output!$Q$1:$Q$400,"monthly"))/V77)</f>
        <v>0</v>
      </c>
      <c r="X77" s="6" cm="1">
        <f t="array" ref="X77">IFERROR(_xlfn.IFS(V77=0,0,V77="","",W77=0,V77,OR(V77&lt;&gt;0,V77&lt;&gt;""),H77*I77),V77*(1-W77))</f>
        <v>450</v>
      </c>
      <c r="Z77" s="6">
        <f>IFERROR(IF(B77="","",SUMIFS(Billing_Fallout!H:H,Billing_Fallout!N:N,B77)),0)</f>
        <v>0</v>
      </c>
      <c r="AA77" s="6">
        <f t="shared" si="4"/>
        <v>0</v>
      </c>
      <c r="AB77" s="6">
        <f>IFERROR(IF(B77="","",SUMIFS(Billing_Fallout!J:J,Billing_Fallout!N:N,B77)),0)</f>
        <v>0</v>
      </c>
      <c r="AD77" s="6">
        <f t="shared" si="5"/>
        <v>450</v>
      </c>
      <c r="AF77" t="str">
        <f>IFERROR(INDEX(H_Tables!$B$1:$B$1500,MATCH(INDEX(SF_Output!$J$1:$J$400,MATCH(B77,SF_Output!$M$1:$M$400,0)),H_Tables!$A$1:$A$1500,0)),"")</f>
        <v>Exclusion</v>
      </c>
      <c r="AI77" s="119" t="str">
        <f t="shared" si="6"/>
        <v/>
      </c>
      <c r="AJ77" s="121">
        <f>IFERROR(INDEX(SF_Output!AD:AD,MATCH(_xlfn.TEXTJOIN(",",TRUE,B77:E77),SF_Output!AC1:AC400,0)),0.05)</f>
        <v>29</v>
      </c>
      <c r="AK77" t="str">
        <f>IF(SUMIFS(SF_Output!$F$1:$F$400,SF_Output!$AC$1:$AC$400,_xlfn.TEXTJOIN(",",TRUE,B77:E77))+SUMIFS(SF_Output!$G$1:$G$400,SF_Output!$AC$1:$AC$400,_xlfn.TEXTJOIN(",",TRUE,B77:E77))=0,"","PAP")</f>
        <v/>
      </c>
      <c r="AQ77" s="35"/>
      <c r="AR77" s="35" t="str" cm="1">
        <f t="array" ref="AR77">IFERROR(_xlfn.IFS(AND(E77*1=1,F77="Included"),"Change to Included",AND(E77*1=0,F77="Optional"),"Change to Optional",OR(B77="",F77="replaced"),""),"")</f>
        <v/>
      </c>
      <c r="AS77" s="35" t="str">
        <f t="shared" si="7"/>
        <v/>
      </c>
      <c r="AT77" s="35" t="str">
        <f t="shared" si="8"/>
        <v/>
      </c>
      <c r="AU77" s="35" t="str">
        <f t="shared" si="9"/>
        <v/>
      </c>
      <c r="AV77" s="35" t="str">
        <f t="shared" si="10"/>
        <v/>
      </c>
      <c r="AW77" s="35" t="str">
        <f t="shared" si="11"/>
        <v/>
      </c>
      <c r="AX77" s="35" t="str">
        <f t="shared" si="12"/>
        <v/>
      </c>
      <c r="AY77" s="35" t="str">
        <f t="shared" si="13"/>
        <v/>
      </c>
      <c r="AZ77" s="35" t="str">
        <f t="shared" si="14"/>
        <v/>
      </c>
      <c r="BA77" s="35" t="str">
        <f t="shared" si="15"/>
        <v/>
      </c>
      <c r="BB77" s="35" t="str">
        <f t="shared" si="16"/>
        <v/>
      </c>
      <c r="BC77" s="35"/>
      <c r="BE77" s="35">
        <f ca="1">INDEX(SF_Output!$AA$2:$AA$400,MATCH($B77,SF_Output!$M$2:$M$400,0))</f>
        <v>6</v>
      </c>
      <c r="BF77" s="35">
        <f ca="1">INDEX(SF_Output!$AB$2:$AB$400,MATCH($B77,SF_Output!$M$2:$M$400,0))</f>
        <v>3</v>
      </c>
    </row>
    <row r="78" spans="2:58" x14ac:dyDescent="0.25">
      <c r="B78" t="s">
        <v>1837</v>
      </c>
      <c r="C78" t="s">
        <v>2122</v>
      </c>
      <c r="D78" t="s">
        <v>2123</v>
      </c>
      <c r="E78" t="s">
        <v>2124</v>
      </c>
      <c r="F78" s="116" t="str">
        <f t="shared" ref="F78:F141" si="17">IF(B78="","",IF(E78*1=0,"Included","Optional"))</f>
        <v>Included</v>
      </c>
      <c r="G78" t="str">
        <f>IF(B78="","",INDEX(SF_Output!$K$1:$K$400,MATCH(B78,SF_Output!$M$1:$M$400,0)))</f>
        <v>DirectLine</v>
      </c>
      <c r="H78" cm="1">
        <f t="array" ref="H78">_xlfn.IFS(B78="","",(SUMIFS(SF_Output!$F$1:$F$400,SF_Output!$AC$1:$AC$400,_xlfn.TEXTJOIN(",",TRUE,B78:E78))+SUMIFS(SF_Output!$G$1:$G$400,SF_Output!$AC$1:$AC$400,_xlfn.TEXTJOIN(",",TRUE,B78:E78)))&lt;&gt;0,SF_Output!$Y$2,INDEX(SF_Output!$F$1:$F$400,MATCH(_xlfn.TEXTJOIN(",",TRUE,B78:E78),SF_Output!$AC$1:$AC$400,0))=0,INDEX(SF_Output!$R$1:$R$400,MATCH(_xlfn.TEXTJOIN(",",TRUE,B78:E78),SF_Output!$AC$1:$AC$400,0)))</f>
        <v>1</v>
      </c>
      <c r="I78" s="125" t="str">
        <f>IFERROR(IF(AND(H78&gt;1,H78&lt;&gt;""),ROUND(SUMIFS(SF_Output!$S$1:$S$400,SF_Output!$AC$1:$AC$400,_xlfn.TEXTJOIN(",",TRUE,B78:E78),SF_Output!$Q$1:$Q$400,"monthly")*(1-W78)/H78,4),""),"")</f>
        <v/>
      </c>
      <c r="J78" s="6">
        <f>IF(B78="","",SUMIFS(SF_Output!$S$1:$S$400,SF_Output!$AC$1:$AC$400,_xlfn.TEXTJOIN(",",TRUE,B78:E78),SF_Output!$Q$1:$Q$400,"One Time",SF_Output!$L$1:$L$400,"license fee")+SUMIFS(SF_Output!$S$1:$S$400,SF_Output!$AC$1:$AC$400,_xlfn.TEXTJOIN(",",TRUE,B78:E78),SF_Output!$Q$1:$Q$400,"One Time",SF_Output!$L$1:$L$400,"software license")+SUMIFS(SF_Output!$S$1:$S$400,SF_Output!$AC$1:$AC$400,_xlfn.TEXTJOIN(",",TRUE,B78:E78),SF_Output!$Q$1:$Q$400,"One Time",SF_Output!$L$1:$L$400,"hardware"))</f>
        <v>0</v>
      </c>
      <c r="K78" s="112" t="str">
        <f>IF(OR(B78=0,B78="",G78="hardware",J78=0),"",IF(AF78&lt;&gt;"exclusion",MAX(K$9,-((SUMIFS(SF_Output!$T$1:$T$400,SF_Output!$AC$1:$AC$400,_xlfn.TEXTJOIN(",",TRUE,$B78:$E78),SF_Output!$Q$1:$Q$400,"One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license"))/J78)))</f>
        <v/>
      </c>
      <c r="L78" s="6">
        <f t="shared" ref="L78:L141" si="18">IF(K78="",J78,J78*(1-K78))</f>
        <v>0</v>
      </c>
      <c r="N78" s="6">
        <f>IF(B78="","",SUMIFS(SF_Output!$S$1:$S$400,SF_Output!$AC$1:$AC$400,_xlfn.TEXTJOIN(",",TRUE,B78:E78),SF_Output!$Q$1:$Q$400,"One Time",SF_Output!$L$1:$L$400,"professional service"))</f>
        <v>2500</v>
      </c>
      <c r="O78" s="112">
        <f>IF(OR(B78=0,B78="",N78=0),"",IF(AF78&lt;&gt;"exclusion",MAX(O$9,-(SUMIFS(SF_Output!$T$1:$T$400,SF_Output!$AC$1:$AC$400,_xlfn.TEXTJOIN(",",TRUE,$B78:$E78),SF_Output!$Q$1:$Q$400,"One Time",SF_Output!$L$1:$L$400,"professional service"))/N78),-((SUMIFS(SF_Output!$T$1:$T$400,SF_Output!$AC$1:$AC$400,_xlfn.TEXTJOIN(",",TRUE,$B78:$E78),SF_Output!$Q$1:$Q$400,"One Time",SF_Output!$L$1:$L$400,"professional service")/N78))))</f>
        <v>0</v>
      </c>
      <c r="P78" s="6">
        <f t="shared" ref="P78:P141" si="19">IF(O78="",N78,N78*(1-O78))</f>
        <v>2500</v>
      </c>
      <c r="R78" s="6">
        <f>IF(B78="","",SUMIFS(SF_Output!$S$1:$S$400,SF_Output!$AC$1:$AC$400,_xlfn.TEXTJOIN(",",TRUE,B78:E78),SF_Output!$Q$1:$Q$400,"yearly")+SUMIFS(SF_Output!$S$1:$S$400,SF_Output!$AC$1:$AC$400,_xlfn.TEXTJOIN(",",TRUE,B78:E78),SF_Output!$Q$1:$Q$400,"quarterly")*4)</f>
        <v>0</v>
      </c>
      <c r="S78" s="112" t="str">
        <f>IF(OR(B78=0,B78="",G78="hardware",R78=0),"",IF(AF78&lt;&gt;"exclusion",MAX(S$9,-(SUMIFS(SF_Output!$T$1:$T$400,SF_Output!$AC$1:$AC$400,_xlfn.TEXTJOIN(",",TRUE,$B78:$E78),SF_Output!$Q$1:$Q$400,"yearly"))/R78),-((SUMIFS(SF_Output!$T$1:$T$400,SF_Output!$AC$1:$AC$400,_xlfn.TEXTJOIN(",",TRUE,$B78:$E78),SF_Output!$Q$1:$Q$400,"yearly")/R78))))</f>
        <v/>
      </c>
      <c r="T78" s="6">
        <f t="shared" ref="T78:T141" si="20">IF(S78="",R78,R78*(1-S78))</f>
        <v>0</v>
      </c>
      <c r="V78" s="6" cm="1">
        <f t="array" ref="V78">_xlfn.IFS(B78="","",AND(B78&lt;&gt;"",H78=SF_Output!$Y$2,SUMIFS(SF_Output!$T$1:$T$400,SF_Output!$AC$1:$AC$400,_xlfn.TEXTJOIN(",",TRUE,B78:E78),SF_Output!$Q$1:$Q$400,"monthly")=0),(SUMIFS(SF_Output!$F$1:$F$400,SF_Output!$AC$1:$AC$400,_xlfn.TEXTJOIN(",",TRUE,B78:E78),SF_Output!$Q$1:$Q$400,"monthly")+SUMIFS(SF_Output!$G$1:$G$400,SF_Output!$AC$1:$AC$400,_xlfn.TEXTJOIN(",",TRUE,B78:E78),SF_Output!$Q$1:$Q$400,"monthly"))*H78,AND(B78&lt;&gt;"",H78=SF_Output!$Y$2,SUMIFS(SF_Output!$T$1:$T$400,SF_Output!$AC$1:$AC$400,_xlfn.TEXTJOIN(",",TRUE,B78:E78),SF_Output!$Q$1:$Q$400,"monthly")&lt;&gt;0),SUMIFS(SF_Output!$S$1:$S$400,SF_Output!$AC$1:$AC$400,_xlfn.TEXTJOIN(",",TRUE,B78:E78),SF_Output!$Q$1:$Q$400,"monthly"),AND(B78&lt;&gt;"",H78&lt;&gt;SF_Output!$Y$2),SUMIFS(SF_Output!$S$1:$S$400,SF_Output!$AC$1:$AC$400,_xlfn.TEXTJOIN(",",TRUE,B78:E78),SF_Output!$Q$1:$Q$400,"monthly"))</f>
        <v>300</v>
      </c>
      <c r="W78" s="112" cm="1">
        <f t="array" ref="W78">_xlfn.IFS(OR(B78=0,B78="",V78=0),"",AF78&lt;&gt;"exclusion",MAX($W$9,$W$7,(-(SUMIFS(SF_Output!$T$1:$T$400,SF_Output!$AC$1:$AC$400,_xlfn.TEXTJOIN(",",TRUE,$B78:$E78),SF_Output!$Q$1:$Q$400,"monthly"))/V78)),AF78="exclusion",-(SUMIFS(SF_Output!$T$1:$T$400,SF_Output!$AC$1:$AC$400,_xlfn.TEXTJOIN(",",TRUE,$B78:$E78),SF_Output!$Q$1:$Q$400,"monthly"))/V78)</f>
        <v>0</v>
      </c>
      <c r="X78" s="6" cm="1">
        <f t="array" ref="X78">IFERROR(_xlfn.IFS(V78=0,0,V78="","",W78=0,V78,OR(V78&lt;&gt;0,V78&lt;&gt;""),H78*I78),V78*(1-W78))</f>
        <v>300</v>
      </c>
      <c r="Z78" s="6">
        <f>IFERROR(IF(B78="","",SUMIFS(Billing_Fallout!H:H,Billing_Fallout!N:N,B78)),0)</f>
        <v>0</v>
      </c>
      <c r="AA78" s="6">
        <f t="shared" ref="AA78:AA141" si="21">IF(Z78="","",AB78-Z78)</f>
        <v>0</v>
      </c>
      <c r="AB78" s="6">
        <f>IFERROR(IF(B78="","",SUMIFS(Billing_Fallout!J:J,Billing_Fallout!N:N,B78)),0)</f>
        <v>0</v>
      </c>
      <c r="AD78" s="6">
        <f t="shared" ref="AD78:AD141" si="22">IFERROR(X78-AB78,"")</f>
        <v>300</v>
      </c>
      <c r="AF78" t="str">
        <f>IFERROR(INDEX(H_Tables!$B$1:$B$1500,MATCH(INDEX(SF_Output!$J$1:$J$400,MATCH(B78,SF_Output!$M$1:$M$400,0)),H_Tables!$A$1:$A$1500,0)),"")</f>
        <v>Exclusion</v>
      </c>
      <c r="AI78" s="119" t="str">
        <f t="shared" ref="AI78:AI141" si="23">IF(B78="","",IF(F78="remove","Remove Product",IF(F78="add","Add Product",_xlfn.TEXTJOIN(", ",TRUE,AQ78,AR78,AS78,AT78,AU78,AV78,AW78,AX78,AY78,AZ78,BA78,BB78,BC78))))</f>
        <v/>
      </c>
      <c r="AJ78" s="121">
        <f>IFERROR(INDEX(SF_Output!AD:AD,MATCH(_xlfn.TEXTJOIN(",",TRUE,B78:E78),SF_Output!AC1:AC400,0)),0.05)</f>
        <v>31</v>
      </c>
      <c r="AK78" t="str">
        <f>IF(SUMIFS(SF_Output!$F$1:$F$400,SF_Output!$AC$1:$AC$400,_xlfn.TEXTJOIN(",",TRUE,B78:E78))+SUMIFS(SF_Output!$G$1:$G$400,SF_Output!$AC$1:$AC$400,_xlfn.TEXTJOIN(",",TRUE,B78:E78))=0,"","PAP")</f>
        <v/>
      </c>
      <c r="AQ78" s="35"/>
      <c r="AR78" s="35" t="str" cm="1">
        <f t="array" ref="AR78">IFERROR(_xlfn.IFS(AND(E78*1=1,F78="Included"),"Change to Included",AND(E78*1=0,F78="Optional"),"Change to Optional",OR(B78="",F78="replaced"),""),"")</f>
        <v/>
      </c>
      <c r="AS78" s="35" t="str">
        <f t="shared" ref="AS78:AS141" si="24">IF((OR(NOT(_xlfn.ISFORMULA(J78)),NOT(_xlfn.ISFORMULA(L78)))),"Check License Price Override","")</f>
        <v/>
      </c>
      <c r="AT78" s="35" t="str">
        <f t="shared" ref="AT78:AT141" si="25">IF(OR(AND(K78=$K$9,K78&lt;&gt;0),NOT(_xlfn.ISFORMULA(K78))),"License Discount "&amp;K78*100&amp;"%","")</f>
        <v/>
      </c>
      <c r="AU78" s="35" t="str">
        <f t="shared" ref="AU78:AU141" si="26">IF((OR(NOT(_xlfn.ISFORMULA(N78)),NOT(_xlfn.ISFORMULA(P78)))),"Check Install Price Override","")</f>
        <v/>
      </c>
      <c r="AV78" s="35" t="str">
        <f t="shared" ref="AV78:AV141" si="27">IF(OR(AND(O78=$O$9,O78&lt;&gt;0),NOT(_xlfn.ISFORMULA(O78))),"Install Discount "&amp;O78*100&amp;"%","")</f>
        <v/>
      </c>
      <c r="AW78" s="35" t="str">
        <f t="shared" ref="AW78:AW141" si="28">IF((OR(NOT(_xlfn.ISFORMULA(R78)),NOT(_xlfn.ISFORMULA(T78)))),"Check Maintenance Price Override","")</f>
        <v/>
      </c>
      <c r="AX78" s="35" t="str">
        <f t="shared" ref="AX78:AX141" si="29">IF(OR(AND(S78=$S$9,S78&lt;&gt;0),NOT(_xlfn.ISFORMULA(S78))),"Maintenance Discount "&amp;S78*100&amp;"%","")</f>
        <v/>
      </c>
      <c r="AY78" s="35" t="str">
        <f t="shared" ref="AY78:AY141" si="30">IF((OR(NOT(_xlfn.ISFORMULA(V78)),NOT(_xlfn.ISFORMULA(X78)))),"Check Monthly Price Override","")</f>
        <v/>
      </c>
      <c r="AZ78" s="35" t="str">
        <f t="shared" ref="AZ78:AZ141" si="31">IF(OR((AND(W78=$W$9,W78&lt;&gt;0)),(AND(W78=$W$7,W78&lt;&gt;0)),(NOT(_xlfn.ISFORMULA(W78))),AND($W$7+0.2=W78,$W$7&lt;&gt;0)),"Monthly Discount "&amp;W78*100&amp;"%","")</f>
        <v/>
      </c>
      <c r="BA78" s="35" t="str">
        <f t="shared" ref="BA78:BA141" si="32">IF(NOT(_xlfn.ISFORMULA(H78)),"Check Quantity","")</f>
        <v/>
      </c>
      <c r="BB78" s="35" t="str">
        <f t="shared" ref="BB78:BB141" si="33">IF(NOT(_xlfn.ISFORMULA(I78)),"Check Unit Price Override","")</f>
        <v/>
      </c>
      <c r="BC78" s="35"/>
      <c r="BE78" s="35">
        <f ca="1">INDEX(SF_Output!$AA$2:$AA$400,MATCH($B78,SF_Output!$M$2:$M$400,0))</f>
        <v>6</v>
      </c>
      <c r="BF78" s="35">
        <f ca="1">INDEX(SF_Output!$AB$2:$AB$400,MATCH($B78,SF_Output!$M$2:$M$400,0))</f>
        <v>3</v>
      </c>
    </row>
    <row r="79" spans="2:58" x14ac:dyDescent="0.25">
      <c r="B79" t="s">
        <v>2231</v>
      </c>
      <c r="C79" t="s">
        <v>2122</v>
      </c>
      <c r="D79" t="s">
        <v>2123</v>
      </c>
      <c r="E79" t="s">
        <v>2124</v>
      </c>
      <c r="F79" s="116" t="str">
        <f t="shared" si="17"/>
        <v>Included</v>
      </c>
      <c r="G79" t="str">
        <f>IF(B79="","",INDEX(SF_Output!$K$1:$K$400,MATCH(B79,SF_Output!$M$1:$M$400,0)))</f>
        <v>JHA Payment Center</v>
      </c>
      <c r="H79" cm="1">
        <f t="array" ref="H79">_xlfn.IFS(B79="","",(SUMIFS(SF_Output!$F$1:$F$400,SF_Output!$AC$1:$AC$400,_xlfn.TEXTJOIN(",",TRUE,B79:E79))+SUMIFS(SF_Output!$G$1:$G$400,SF_Output!$AC$1:$AC$400,_xlfn.TEXTJOIN(",",TRUE,B79:E79)))&lt;&gt;0,SF_Output!$Y$2,INDEX(SF_Output!$F$1:$F$400,MATCH(_xlfn.TEXTJOIN(",",TRUE,B79:E79),SF_Output!$AC$1:$AC$400,0))=0,INDEX(SF_Output!$R$1:$R$400,MATCH(_xlfn.TEXTJOIN(",",TRUE,B79:E79),SF_Output!$AC$1:$AC$400,0)))</f>
        <v>1</v>
      </c>
      <c r="I79" s="125" t="str">
        <f>IFERROR(IF(AND(H79&gt;1,H79&lt;&gt;""),ROUND(SUMIFS(SF_Output!$S$1:$S$400,SF_Output!$AC$1:$AC$400,_xlfn.TEXTJOIN(",",TRUE,B79:E79),SF_Output!$Q$1:$Q$400,"monthly")*(1-W79)/H79,4),""),"")</f>
        <v/>
      </c>
      <c r="J79" s="6">
        <f>IF(B79="","",SUMIFS(SF_Output!$S$1:$S$400,SF_Output!$AC$1:$AC$400,_xlfn.TEXTJOIN(",",TRUE,B79:E79),SF_Output!$Q$1:$Q$400,"One Time",SF_Output!$L$1:$L$400,"license fee")+SUMIFS(SF_Output!$S$1:$S$400,SF_Output!$AC$1:$AC$400,_xlfn.TEXTJOIN(",",TRUE,B79:E79),SF_Output!$Q$1:$Q$400,"One Time",SF_Output!$L$1:$L$400,"software license")+SUMIFS(SF_Output!$S$1:$S$400,SF_Output!$AC$1:$AC$400,_xlfn.TEXTJOIN(",",TRUE,B79:E79),SF_Output!$Q$1:$Q$400,"One Time",SF_Output!$L$1:$L$400,"hardware"))</f>
        <v>0</v>
      </c>
      <c r="K79" s="112" t="str">
        <f>IF(OR(B79=0,B79="",G79="hardware",J79=0),"",IF(AF79&lt;&gt;"exclusion",MAX(K$9,-((SUMIFS(SF_Output!$T$1:$T$400,SF_Output!$AC$1:$AC$400,_xlfn.TEXTJOIN(",",TRUE,$B79:$E79),SF_Output!$Q$1:$Q$400,"One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license"))/J79)))</f>
        <v/>
      </c>
      <c r="L79" s="6">
        <f t="shared" si="18"/>
        <v>0</v>
      </c>
      <c r="N79" s="6">
        <f>IF(B79="","",SUMIFS(SF_Output!$S$1:$S$400,SF_Output!$AC$1:$AC$400,_xlfn.TEXTJOIN(",",TRUE,B79:E79),SF_Output!$Q$1:$Q$400,"One Time",SF_Output!$L$1:$L$400,"professional service"))</f>
        <v>5000</v>
      </c>
      <c r="O79" s="112">
        <f>IF(OR(B79=0,B79="",N79=0),"",IF(AF79&lt;&gt;"exclusion",MAX(O$9,-(SUMIFS(SF_Output!$T$1:$T$400,SF_Output!$AC$1:$AC$400,_xlfn.TEXTJOIN(",",TRUE,$B79:$E79),SF_Output!$Q$1:$Q$400,"One Time",SF_Output!$L$1:$L$400,"professional service"))/N79),-((SUMIFS(SF_Output!$T$1:$T$400,SF_Output!$AC$1:$AC$400,_xlfn.TEXTJOIN(",",TRUE,$B79:$E79),SF_Output!$Q$1:$Q$400,"One Time",SF_Output!$L$1:$L$400,"professional service")/N79))))</f>
        <v>1</v>
      </c>
      <c r="P79" s="6">
        <f t="shared" si="19"/>
        <v>0</v>
      </c>
      <c r="R79" s="6">
        <f>IF(B79="","",SUMIFS(SF_Output!$S$1:$S$400,SF_Output!$AC$1:$AC$400,_xlfn.TEXTJOIN(",",TRUE,B79:E79),SF_Output!$Q$1:$Q$400,"yearly")+SUMIFS(SF_Output!$S$1:$S$400,SF_Output!$AC$1:$AC$400,_xlfn.TEXTJOIN(",",TRUE,B79:E79),SF_Output!$Q$1:$Q$400,"quarterly")*4)</f>
        <v>0</v>
      </c>
      <c r="S79" s="112" t="str">
        <f>IF(OR(B79=0,B79="",G79="hardware",R79=0),"",IF(AF79&lt;&gt;"exclusion",MAX(S$9,-(SUMIFS(SF_Output!$T$1:$T$400,SF_Output!$AC$1:$AC$400,_xlfn.TEXTJOIN(",",TRUE,$B79:$E79),SF_Output!$Q$1:$Q$400,"yearly"))/R79),-((SUMIFS(SF_Output!$T$1:$T$400,SF_Output!$AC$1:$AC$400,_xlfn.TEXTJOIN(",",TRUE,$B79:$E79),SF_Output!$Q$1:$Q$400,"yearly")/R79))))</f>
        <v/>
      </c>
      <c r="T79" s="6">
        <f t="shared" si="20"/>
        <v>0</v>
      </c>
      <c r="V79" s="6" cm="1">
        <f t="array" ref="V79">_xlfn.IFS(B79="","",AND(B79&lt;&gt;"",H79=SF_Output!$Y$2,SUMIFS(SF_Output!$T$1:$T$400,SF_Output!$AC$1:$AC$400,_xlfn.TEXTJOIN(",",TRUE,B79:E79),SF_Output!$Q$1:$Q$400,"monthly")=0),(SUMIFS(SF_Output!$F$1:$F$400,SF_Output!$AC$1:$AC$400,_xlfn.TEXTJOIN(",",TRUE,B79:E79),SF_Output!$Q$1:$Q$400,"monthly")+SUMIFS(SF_Output!$G$1:$G$400,SF_Output!$AC$1:$AC$400,_xlfn.TEXTJOIN(",",TRUE,B79:E79),SF_Output!$Q$1:$Q$400,"monthly"))*H79,AND(B79&lt;&gt;"",H79=SF_Output!$Y$2,SUMIFS(SF_Output!$T$1:$T$400,SF_Output!$AC$1:$AC$400,_xlfn.TEXTJOIN(",",TRUE,B79:E79),SF_Output!$Q$1:$Q$400,"monthly")&lt;&gt;0),SUMIFS(SF_Output!$S$1:$S$400,SF_Output!$AC$1:$AC$400,_xlfn.TEXTJOIN(",",TRUE,B79:E79),SF_Output!$Q$1:$Q$400,"monthly"),AND(B79&lt;&gt;"",H79&lt;&gt;SF_Output!$Y$2),SUMIFS(SF_Output!$S$1:$S$400,SF_Output!$AC$1:$AC$400,_xlfn.TEXTJOIN(",",TRUE,B79:E79),SF_Output!$Q$1:$Q$400,"monthly"))</f>
        <v>0</v>
      </c>
      <c r="W79" s="112" t="str" cm="1">
        <f t="array" ref="W79">_xlfn.IFS(OR(B79=0,B79="",V79=0),"",AF79&lt;&gt;"exclusion",MAX($W$9,$W$7,(-(SUMIFS(SF_Output!$T$1:$T$400,SF_Output!$AC$1:$AC$400,_xlfn.TEXTJOIN(",",TRUE,$B79:$E79),SF_Output!$Q$1:$Q$400,"monthly"))/V79)),AF79="exclusion",-(SUMIFS(SF_Output!$T$1:$T$400,SF_Output!$AC$1:$AC$400,_xlfn.TEXTJOIN(",",TRUE,$B79:$E79),SF_Output!$Q$1:$Q$400,"monthly"))/V79)</f>
        <v/>
      </c>
      <c r="X79" s="6" cm="1">
        <f t="array" ref="X79">IFERROR(_xlfn.IFS(V79=0,0,V79="","",W79=0,V79,OR(V79&lt;&gt;0,V79&lt;&gt;""),H79*I79),V79*(1-W79))</f>
        <v>0</v>
      </c>
      <c r="Z79" s="6">
        <f>IFERROR(IF(B79="","",SUMIFS(Billing_Fallout!H:H,Billing_Fallout!N:N,B79)),0)</f>
        <v>0</v>
      </c>
      <c r="AA79" s="6">
        <f t="shared" si="21"/>
        <v>0</v>
      </c>
      <c r="AB79" s="6">
        <f>IFERROR(IF(B79="","",SUMIFS(Billing_Fallout!J:J,Billing_Fallout!N:N,B79)),0)</f>
        <v>0</v>
      </c>
      <c r="AD79" s="6">
        <f t="shared" si="22"/>
        <v>0</v>
      </c>
      <c r="AF79" t="str">
        <f>IFERROR(INDEX(H_Tables!$B$1:$B$1500,MATCH(INDEX(SF_Output!$J$1:$J$400,MATCH(B79,SF_Output!$M$1:$M$400,0)),H_Tables!$A$1:$A$1500,0)),"")</f>
        <v/>
      </c>
      <c r="AI79" s="119" t="str">
        <f t="shared" si="23"/>
        <v/>
      </c>
      <c r="AJ79" s="121">
        <f>IFERROR(INDEX(SF_Output!AD:AD,MATCH(_xlfn.TEXTJOIN(",",TRUE,B79:E79),SF_Output!AC1:AC400,0)),0.05)</f>
        <v>70</v>
      </c>
      <c r="AK79" t="str">
        <f>IF(SUMIFS(SF_Output!$F$1:$F$400,SF_Output!$AC$1:$AC$400,_xlfn.TEXTJOIN(",",TRUE,B79:E79))+SUMIFS(SF_Output!$G$1:$G$400,SF_Output!$AC$1:$AC$400,_xlfn.TEXTJOIN(",",TRUE,B79:E79))=0,"","PAP")</f>
        <v/>
      </c>
      <c r="AQ79" s="35"/>
      <c r="AR79" s="35" t="str" cm="1">
        <f t="array" ref="AR79">IFERROR(_xlfn.IFS(AND(E79*1=1,F79="Included"),"Change to Included",AND(E79*1=0,F79="Optional"),"Change to Optional",OR(B79="",F79="replaced"),""),"")</f>
        <v/>
      </c>
      <c r="AS79" s="35" t="str">
        <f t="shared" si="24"/>
        <v/>
      </c>
      <c r="AT79" s="35" t="str">
        <f t="shared" si="25"/>
        <v/>
      </c>
      <c r="AU79" s="35" t="str">
        <f t="shared" si="26"/>
        <v/>
      </c>
      <c r="AV79" s="35" t="str">
        <f t="shared" si="27"/>
        <v/>
      </c>
      <c r="AW79" s="35" t="str">
        <f t="shared" si="28"/>
        <v/>
      </c>
      <c r="AX79" s="35" t="str">
        <f t="shared" si="29"/>
        <v/>
      </c>
      <c r="AY79" s="35" t="str">
        <f t="shared" si="30"/>
        <v/>
      </c>
      <c r="AZ79" s="35" t="str">
        <f t="shared" si="31"/>
        <v/>
      </c>
      <c r="BA79" s="35" t="str">
        <f t="shared" si="32"/>
        <v/>
      </c>
      <c r="BB79" s="35" t="str">
        <f t="shared" si="33"/>
        <v/>
      </c>
      <c r="BC79" s="35"/>
      <c r="BE79" s="35">
        <f ca="1">INDEX(SF_Output!$AA$2:$AA$400,MATCH($B79,SF_Output!$M$2:$M$400,0))</f>
        <v>6</v>
      </c>
      <c r="BF79" s="35">
        <f ca="1">INDEX(SF_Output!$AB$2:$AB$400,MATCH($B79,SF_Output!$M$2:$M$400,0))</f>
        <v>4</v>
      </c>
    </row>
    <row r="80" spans="2:58" x14ac:dyDescent="0.25">
      <c r="B80" t="s">
        <v>1322</v>
      </c>
      <c r="C80" t="s">
        <v>2122</v>
      </c>
      <c r="D80" t="s">
        <v>2123</v>
      </c>
      <c r="E80" t="s">
        <v>2124</v>
      </c>
      <c r="F80" s="116" t="str">
        <f t="shared" si="17"/>
        <v>Included</v>
      </c>
      <c r="G80" t="str">
        <f>IF(B80="","",INDEX(SF_Output!$K$1:$K$400,MATCH(B80,SF_Output!$M$1:$M$400,0)))</f>
        <v>JHA Payment Center</v>
      </c>
      <c r="H80" cm="1">
        <f t="array" ref="H80">_xlfn.IFS(B80="","",(SUMIFS(SF_Output!$F$1:$F$400,SF_Output!$AC$1:$AC$400,_xlfn.TEXTJOIN(",",TRUE,B80:E80))+SUMIFS(SF_Output!$G$1:$G$400,SF_Output!$AC$1:$AC$400,_xlfn.TEXTJOIN(",",TRUE,B80:E80)))&lt;&gt;0,SF_Output!$Y$2,INDEX(SF_Output!$F$1:$F$400,MATCH(_xlfn.TEXTJOIN(",",TRUE,B80:E80),SF_Output!$AC$1:$AC$400,0))=0,INDEX(SF_Output!$R$1:$R$400,MATCH(_xlfn.TEXTJOIN(",",TRUE,B80:E80),SF_Output!$AC$1:$AC$400,0)))</f>
        <v>1</v>
      </c>
      <c r="I80" s="125" t="str">
        <f>IFERROR(IF(AND(H80&gt;1,H80&lt;&gt;""),ROUND(SUMIFS(SF_Output!$S$1:$S$400,SF_Output!$AC$1:$AC$400,_xlfn.TEXTJOIN(",",TRUE,B80:E80),SF_Output!$Q$1:$Q$400,"monthly")*(1-W80)/H80,4),""),"")</f>
        <v/>
      </c>
      <c r="J80" s="6">
        <f>IF(B80="","",SUMIFS(SF_Output!$S$1:$S$400,SF_Output!$AC$1:$AC$400,_xlfn.TEXTJOIN(",",TRUE,B80:E80),SF_Output!$Q$1:$Q$400,"One Time",SF_Output!$L$1:$L$400,"license fee")+SUMIFS(SF_Output!$S$1:$S$400,SF_Output!$AC$1:$AC$400,_xlfn.TEXTJOIN(",",TRUE,B80:E80),SF_Output!$Q$1:$Q$400,"One Time",SF_Output!$L$1:$L$400,"software license")+SUMIFS(SF_Output!$S$1:$S$400,SF_Output!$AC$1:$AC$400,_xlfn.TEXTJOIN(",",TRUE,B80:E80),SF_Output!$Q$1:$Q$400,"One Time",SF_Output!$L$1:$L$400,"hardware"))</f>
        <v>0</v>
      </c>
      <c r="K80" s="112" t="str">
        <f>IF(OR(B80=0,B80="",G80="hardware",J80=0),"",IF(AF80&lt;&gt;"exclusion",MAX(K$9,-((SUMIFS(SF_Output!$T$1:$T$400,SF_Output!$AC$1:$AC$400,_xlfn.TEXTJOIN(",",TRUE,$B80:$E80),SF_Output!$Q$1:$Q$400,"One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license"))/J80)))</f>
        <v/>
      </c>
      <c r="L80" s="6">
        <f t="shared" si="18"/>
        <v>0</v>
      </c>
      <c r="N80" s="6">
        <f>IF(B80="","",SUMIFS(SF_Output!$S$1:$S$400,SF_Output!$AC$1:$AC$400,_xlfn.TEXTJOIN(",",TRUE,B80:E80),SF_Output!$Q$1:$Q$400,"One Time",SF_Output!$L$1:$L$400,"professional service"))</f>
        <v>3000</v>
      </c>
      <c r="O80" s="112">
        <f>IF(OR(B80=0,B80="",N80=0),"",IF(AF80&lt;&gt;"exclusion",MAX(O$9,-(SUMIFS(SF_Output!$T$1:$T$400,SF_Output!$AC$1:$AC$400,_xlfn.TEXTJOIN(",",TRUE,$B80:$E80),SF_Output!$Q$1:$Q$400,"One Time",SF_Output!$L$1:$L$400,"professional service"))/N80),-((SUMIFS(SF_Output!$T$1:$T$400,SF_Output!$AC$1:$AC$400,_xlfn.TEXTJOIN(",",TRUE,$B80:$E80),SF_Output!$Q$1:$Q$400,"One Time",SF_Output!$L$1:$L$400,"professional service")/N80))))</f>
        <v>1</v>
      </c>
      <c r="P80" s="6">
        <f t="shared" si="19"/>
        <v>0</v>
      </c>
      <c r="R80" s="6">
        <f>IF(B80="","",SUMIFS(SF_Output!$S$1:$S$400,SF_Output!$AC$1:$AC$400,_xlfn.TEXTJOIN(",",TRUE,B80:E80),SF_Output!$Q$1:$Q$400,"yearly")+SUMIFS(SF_Output!$S$1:$S$400,SF_Output!$AC$1:$AC$400,_xlfn.TEXTJOIN(",",TRUE,B80:E80),SF_Output!$Q$1:$Q$400,"quarterly")*4)</f>
        <v>0</v>
      </c>
      <c r="S80" s="112" t="str">
        <f>IF(OR(B80=0,B80="",G80="hardware",R80=0),"",IF(AF80&lt;&gt;"exclusion",MAX(S$9,-(SUMIFS(SF_Output!$T$1:$T$400,SF_Output!$AC$1:$AC$400,_xlfn.TEXTJOIN(",",TRUE,$B80:$E80),SF_Output!$Q$1:$Q$400,"yearly"))/R80),-((SUMIFS(SF_Output!$T$1:$T$400,SF_Output!$AC$1:$AC$400,_xlfn.TEXTJOIN(",",TRUE,$B80:$E80),SF_Output!$Q$1:$Q$400,"yearly")/R80))))</f>
        <v/>
      </c>
      <c r="T80" s="6">
        <f t="shared" si="20"/>
        <v>0</v>
      </c>
      <c r="V80" s="6" cm="1">
        <f t="array" ref="V80">_xlfn.IFS(B80="","",AND(B80&lt;&gt;"",H80=SF_Output!$Y$2,SUMIFS(SF_Output!$T$1:$T$400,SF_Output!$AC$1:$AC$400,_xlfn.TEXTJOIN(",",TRUE,B80:E80),SF_Output!$Q$1:$Q$400,"monthly")=0),(SUMIFS(SF_Output!$F$1:$F$400,SF_Output!$AC$1:$AC$400,_xlfn.TEXTJOIN(",",TRUE,B80:E80),SF_Output!$Q$1:$Q$400,"monthly")+SUMIFS(SF_Output!$G$1:$G$400,SF_Output!$AC$1:$AC$400,_xlfn.TEXTJOIN(",",TRUE,B80:E80),SF_Output!$Q$1:$Q$400,"monthly"))*H80,AND(B80&lt;&gt;"",H80=SF_Output!$Y$2,SUMIFS(SF_Output!$T$1:$T$400,SF_Output!$AC$1:$AC$400,_xlfn.TEXTJOIN(",",TRUE,B80:E80),SF_Output!$Q$1:$Q$400,"monthly")&lt;&gt;0),SUMIFS(SF_Output!$S$1:$S$400,SF_Output!$AC$1:$AC$400,_xlfn.TEXTJOIN(",",TRUE,B80:E80),SF_Output!$Q$1:$Q$400,"monthly"),AND(B80&lt;&gt;"",H80&lt;&gt;SF_Output!$Y$2),SUMIFS(SF_Output!$S$1:$S$400,SF_Output!$AC$1:$AC$400,_xlfn.TEXTJOIN(",",TRUE,B80:E80),SF_Output!$Q$1:$Q$400,"monthly"))</f>
        <v>600</v>
      </c>
      <c r="W80" s="112" cm="1">
        <f t="array" ref="W80">_xlfn.IFS(OR(B80=0,B80="",V80=0),"",AF80&lt;&gt;"exclusion",MAX($W$9,$W$7,(-(SUMIFS(SF_Output!$T$1:$T$400,SF_Output!$AC$1:$AC$400,_xlfn.TEXTJOIN(",",TRUE,$B80:$E80),SF_Output!$Q$1:$Q$400,"monthly"))/V80)),AF80="exclusion",-(SUMIFS(SF_Output!$T$1:$T$400,SF_Output!$AC$1:$AC$400,_xlfn.TEXTJOIN(",",TRUE,$B80:$E80),SF_Output!$Q$1:$Q$400,"monthly"))/V80)</f>
        <v>0</v>
      </c>
      <c r="X80" s="6" cm="1">
        <f t="array" ref="X80">IFERROR(_xlfn.IFS(V80=0,0,V80="","",W80=0,V80,OR(V80&lt;&gt;0,V80&lt;&gt;""),H80*I80),V80*(1-W80))</f>
        <v>600</v>
      </c>
      <c r="Z80" s="6">
        <f>IFERROR(IF(B80="","",SUMIFS(Billing_Fallout!H:H,Billing_Fallout!N:N,B80)),0)</f>
        <v>0</v>
      </c>
      <c r="AA80" s="6">
        <f t="shared" si="21"/>
        <v>0</v>
      </c>
      <c r="AB80" s="6">
        <f>IFERROR(IF(B80="","",SUMIFS(Billing_Fallout!J:J,Billing_Fallout!N:N,B80)),0)</f>
        <v>0</v>
      </c>
      <c r="AD80" s="6">
        <f t="shared" si="22"/>
        <v>600</v>
      </c>
      <c r="AF80" t="str">
        <f>IFERROR(INDEX(H_Tables!$B$1:$B$1500,MATCH(INDEX(SF_Output!$J$1:$J$400,MATCH(B80,SF_Output!$M$1:$M$400,0)),H_Tables!$A$1:$A$1500,0)),"")</f>
        <v>Exclusion</v>
      </c>
      <c r="AI80" s="119" t="str">
        <f t="shared" si="23"/>
        <v/>
      </c>
      <c r="AJ80" s="121">
        <f>IFERROR(INDEX(SF_Output!AD:AD,MATCH(_xlfn.TEXTJOIN(",",TRUE,B80:E80),SF_Output!AC1:AC400,0)),0.05)</f>
        <v>71</v>
      </c>
      <c r="AK80" t="str">
        <f>IF(SUMIFS(SF_Output!$F$1:$F$400,SF_Output!$AC$1:$AC$400,_xlfn.TEXTJOIN(",",TRUE,B80:E80))+SUMIFS(SF_Output!$G$1:$G$400,SF_Output!$AC$1:$AC$400,_xlfn.TEXTJOIN(",",TRUE,B80:E80))=0,"","PAP")</f>
        <v/>
      </c>
      <c r="AQ80" s="35"/>
      <c r="AR80" s="35" t="str" cm="1">
        <f t="array" ref="AR80">IFERROR(_xlfn.IFS(AND(E80*1=1,F80="Included"),"Change to Included",AND(E80*1=0,F80="Optional"),"Change to Optional",OR(B80="",F80="replaced"),""),"")</f>
        <v/>
      </c>
      <c r="AS80" s="35" t="str">
        <f t="shared" si="24"/>
        <v/>
      </c>
      <c r="AT80" s="35" t="str">
        <f t="shared" si="25"/>
        <v/>
      </c>
      <c r="AU80" s="35" t="str">
        <f t="shared" si="26"/>
        <v/>
      </c>
      <c r="AV80" s="35" t="str">
        <f t="shared" si="27"/>
        <v/>
      </c>
      <c r="AW80" s="35" t="str">
        <f t="shared" si="28"/>
        <v/>
      </c>
      <c r="AX80" s="35" t="str">
        <f t="shared" si="29"/>
        <v/>
      </c>
      <c r="AY80" s="35" t="str">
        <f t="shared" si="30"/>
        <v/>
      </c>
      <c r="AZ80" s="35" t="str">
        <f t="shared" si="31"/>
        <v/>
      </c>
      <c r="BA80" s="35" t="str">
        <f t="shared" si="32"/>
        <v/>
      </c>
      <c r="BB80" s="35" t="str">
        <f t="shared" si="33"/>
        <v/>
      </c>
      <c r="BC80" s="35"/>
      <c r="BE80" s="35">
        <f ca="1">INDEX(SF_Output!$AA$2:$AA$400,MATCH($B80,SF_Output!$M$2:$M$400,0))</f>
        <v>6</v>
      </c>
      <c r="BF80" s="35">
        <f ca="1">INDEX(SF_Output!$AB$2:$AB$400,MATCH($B80,SF_Output!$M$2:$M$400,0))</f>
        <v>4</v>
      </c>
    </row>
    <row r="81" spans="2:58" x14ac:dyDescent="0.25">
      <c r="B81" t="s">
        <v>2235</v>
      </c>
      <c r="C81" t="s">
        <v>2122</v>
      </c>
      <c r="D81" t="s">
        <v>2123</v>
      </c>
      <c r="E81" t="s">
        <v>2124</v>
      </c>
      <c r="F81" s="116" t="str">
        <f t="shared" si="17"/>
        <v>Included</v>
      </c>
      <c r="G81" t="str">
        <f>IF(B81="","",INDEX(SF_Output!$K$1:$K$400,MATCH(B81,SF_Output!$M$1:$M$400,0)))</f>
        <v>JHA Payment Center</v>
      </c>
      <c r="H81" cm="1">
        <f t="array" ref="H81">_xlfn.IFS(B81="","",(SUMIFS(SF_Output!$F$1:$F$400,SF_Output!$AC$1:$AC$400,_xlfn.TEXTJOIN(",",TRUE,B81:E81))+SUMIFS(SF_Output!$G$1:$G$400,SF_Output!$AC$1:$AC$400,_xlfn.TEXTJOIN(",",TRUE,B81:E81)))&lt;&gt;0,SF_Output!$Y$2,INDEX(SF_Output!$F$1:$F$400,MATCH(_xlfn.TEXTJOIN(",",TRUE,B81:E81),SF_Output!$AC$1:$AC$400,0))=0,INDEX(SF_Output!$R$1:$R$400,MATCH(_xlfn.TEXTJOIN(",",TRUE,B81:E81),SF_Output!$AC$1:$AC$400,0)))</f>
        <v>1</v>
      </c>
      <c r="I81" s="125" t="str">
        <f>IFERROR(IF(AND(H81&gt;1,H81&lt;&gt;""),ROUND(SUMIFS(SF_Output!$S$1:$S$400,SF_Output!$AC$1:$AC$400,_xlfn.TEXTJOIN(",",TRUE,B81:E81),SF_Output!$Q$1:$Q$400,"monthly")*(1-W81)/H81,4),""),"")</f>
        <v/>
      </c>
      <c r="J81" s="6">
        <f>IF(B81="","",SUMIFS(SF_Output!$S$1:$S$400,SF_Output!$AC$1:$AC$400,_xlfn.TEXTJOIN(",",TRUE,B81:E81),SF_Output!$Q$1:$Q$400,"One Time",SF_Output!$L$1:$L$400,"license fee")+SUMIFS(SF_Output!$S$1:$S$400,SF_Output!$AC$1:$AC$400,_xlfn.TEXTJOIN(",",TRUE,B81:E81),SF_Output!$Q$1:$Q$400,"One Time",SF_Output!$L$1:$L$400,"software license")+SUMIFS(SF_Output!$S$1:$S$400,SF_Output!$AC$1:$AC$400,_xlfn.TEXTJOIN(",",TRUE,B81:E81),SF_Output!$Q$1:$Q$400,"One Time",SF_Output!$L$1:$L$400,"hardware"))</f>
        <v>0</v>
      </c>
      <c r="K81" s="112" t="str">
        <f>IF(OR(B81=0,B81="",G81="hardware",J81=0),"",IF(AF81&lt;&gt;"exclusion",MAX(K$9,-((SUMIFS(SF_Output!$T$1:$T$400,SF_Output!$AC$1:$AC$400,_xlfn.TEXTJOIN(",",TRUE,$B81:$E81),SF_Output!$Q$1:$Q$400,"One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license"))/J81)))</f>
        <v/>
      </c>
      <c r="L81" s="6">
        <f t="shared" si="18"/>
        <v>0</v>
      </c>
      <c r="N81" s="6">
        <f>IF(B81="","",SUMIFS(SF_Output!$S$1:$S$400,SF_Output!$AC$1:$AC$400,_xlfn.TEXTJOIN(",",TRUE,B81:E81),SF_Output!$Q$1:$Q$400,"One Time",SF_Output!$L$1:$L$400,"professional service"))</f>
        <v>1000</v>
      </c>
      <c r="O81" s="112">
        <f>IF(OR(B81=0,B81="",N81=0),"",IF(AF81&lt;&gt;"exclusion",MAX(O$9,-(SUMIFS(SF_Output!$T$1:$T$400,SF_Output!$AC$1:$AC$400,_xlfn.TEXTJOIN(",",TRUE,$B81:$E81),SF_Output!$Q$1:$Q$400,"One Time",SF_Output!$L$1:$L$400,"professional service"))/N81),-((SUMIFS(SF_Output!$T$1:$T$400,SF_Output!$AC$1:$AC$400,_xlfn.TEXTJOIN(",",TRUE,$B81:$E81),SF_Output!$Q$1:$Q$400,"One Time",SF_Output!$L$1:$L$400,"professional service")/N81))))</f>
        <v>1</v>
      </c>
      <c r="P81" s="6">
        <f t="shared" si="19"/>
        <v>0</v>
      </c>
      <c r="R81" s="6">
        <f>IF(B81="","",SUMIFS(SF_Output!$S$1:$S$400,SF_Output!$AC$1:$AC$400,_xlfn.TEXTJOIN(",",TRUE,B81:E81),SF_Output!$Q$1:$Q$400,"yearly")+SUMIFS(SF_Output!$S$1:$S$400,SF_Output!$AC$1:$AC$400,_xlfn.TEXTJOIN(",",TRUE,B81:E81),SF_Output!$Q$1:$Q$400,"quarterly")*4)</f>
        <v>0</v>
      </c>
      <c r="S81" s="112" t="str">
        <f>IF(OR(B81=0,B81="",G81="hardware",R81=0),"",IF(AF81&lt;&gt;"exclusion",MAX(S$9,-(SUMIFS(SF_Output!$T$1:$T$400,SF_Output!$AC$1:$AC$400,_xlfn.TEXTJOIN(",",TRUE,$B81:$E81),SF_Output!$Q$1:$Q$400,"yearly"))/R81),-((SUMIFS(SF_Output!$T$1:$T$400,SF_Output!$AC$1:$AC$400,_xlfn.TEXTJOIN(",",TRUE,$B81:$E81),SF_Output!$Q$1:$Q$400,"yearly")/R81))))</f>
        <v/>
      </c>
      <c r="T81" s="6">
        <f t="shared" si="20"/>
        <v>0</v>
      </c>
      <c r="V81" s="6" cm="1">
        <f t="array" ref="V81">_xlfn.IFS(B81="","",AND(B81&lt;&gt;"",H81=SF_Output!$Y$2,SUMIFS(SF_Output!$T$1:$T$400,SF_Output!$AC$1:$AC$400,_xlfn.TEXTJOIN(",",TRUE,B81:E81),SF_Output!$Q$1:$Q$400,"monthly")=0),(SUMIFS(SF_Output!$F$1:$F$400,SF_Output!$AC$1:$AC$400,_xlfn.TEXTJOIN(",",TRUE,B81:E81),SF_Output!$Q$1:$Q$400,"monthly")+SUMIFS(SF_Output!$G$1:$G$400,SF_Output!$AC$1:$AC$400,_xlfn.TEXTJOIN(",",TRUE,B81:E81),SF_Output!$Q$1:$Q$400,"monthly"))*H81,AND(B81&lt;&gt;"",H81=SF_Output!$Y$2,SUMIFS(SF_Output!$T$1:$T$400,SF_Output!$AC$1:$AC$400,_xlfn.TEXTJOIN(",",TRUE,B81:E81),SF_Output!$Q$1:$Q$400,"monthly")&lt;&gt;0),SUMIFS(SF_Output!$S$1:$S$400,SF_Output!$AC$1:$AC$400,_xlfn.TEXTJOIN(",",TRUE,B81:E81),SF_Output!$Q$1:$Q$400,"monthly"),AND(B81&lt;&gt;"",H81&lt;&gt;SF_Output!$Y$2),SUMIFS(SF_Output!$S$1:$S$400,SF_Output!$AC$1:$AC$400,_xlfn.TEXTJOIN(",",TRUE,B81:E81),SF_Output!$Q$1:$Q$400,"monthly"))</f>
        <v>400</v>
      </c>
      <c r="W81" s="112" cm="1">
        <f t="array" ref="W81">_xlfn.IFS(OR(B81=0,B81="",V81=0),"",AF81&lt;&gt;"exclusion",MAX($W$9,$W$7,(-(SUMIFS(SF_Output!$T$1:$T$400,SF_Output!$AC$1:$AC$400,_xlfn.TEXTJOIN(",",TRUE,$B81:$E81),SF_Output!$Q$1:$Q$400,"monthly"))/V81)),AF81="exclusion",-(SUMIFS(SF_Output!$T$1:$T$400,SF_Output!$AC$1:$AC$400,_xlfn.TEXTJOIN(",",TRUE,$B81:$E81),SF_Output!$Q$1:$Q$400,"monthly"))/V81)</f>
        <v>0</v>
      </c>
      <c r="X81" s="6" cm="1">
        <f t="array" ref="X81">IFERROR(_xlfn.IFS(V81=0,0,V81="","",W81=0,V81,OR(V81&lt;&gt;0,V81&lt;&gt;""),H81*I81),V81*(1-W81))</f>
        <v>400</v>
      </c>
      <c r="Z81" s="6">
        <f>IFERROR(IF(B81="","",SUMIFS(Billing_Fallout!H:H,Billing_Fallout!N:N,B81)),0)</f>
        <v>0</v>
      </c>
      <c r="AA81" s="6">
        <f t="shared" si="21"/>
        <v>0</v>
      </c>
      <c r="AB81" s="6">
        <f>IFERROR(IF(B81="","",SUMIFS(Billing_Fallout!J:J,Billing_Fallout!N:N,B81)),0)</f>
        <v>0</v>
      </c>
      <c r="AD81" s="6">
        <f t="shared" si="22"/>
        <v>400</v>
      </c>
      <c r="AF81" t="str">
        <f>IFERROR(INDEX(H_Tables!$B$1:$B$1500,MATCH(INDEX(SF_Output!$J$1:$J$400,MATCH(B81,SF_Output!$M$1:$M$400,0)),H_Tables!$A$1:$A$1500,0)),"")</f>
        <v>Exclusion</v>
      </c>
      <c r="AI81" s="119" t="str">
        <f t="shared" si="23"/>
        <v/>
      </c>
      <c r="AJ81" s="121">
        <f>IFERROR(INDEX(SF_Output!AD:AD,MATCH(_xlfn.TEXTJOIN(",",TRUE,B81:E81),SF_Output!AC1:AC400,0)),0.05)</f>
        <v>73</v>
      </c>
      <c r="AK81" t="str">
        <f>IF(SUMIFS(SF_Output!$F$1:$F$400,SF_Output!$AC$1:$AC$400,_xlfn.TEXTJOIN(",",TRUE,B81:E81))+SUMIFS(SF_Output!$G$1:$G$400,SF_Output!$AC$1:$AC$400,_xlfn.TEXTJOIN(",",TRUE,B81:E81))=0,"","PAP")</f>
        <v/>
      </c>
      <c r="AQ81" s="35"/>
      <c r="AR81" s="35" t="str" cm="1">
        <f t="array" ref="AR81">IFERROR(_xlfn.IFS(AND(E81*1=1,F81="Included"),"Change to Included",AND(E81*1=0,F81="Optional"),"Change to Optional",OR(B81="",F81="replaced"),""),"")</f>
        <v/>
      </c>
      <c r="AS81" s="35" t="str">
        <f t="shared" si="24"/>
        <v/>
      </c>
      <c r="AT81" s="35" t="str">
        <f t="shared" si="25"/>
        <v/>
      </c>
      <c r="AU81" s="35" t="str">
        <f t="shared" si="26"/>
        <v/>
      </c>
      <c r="AV81" s="35" t="str">
        <f t="shared" si="27"/>
        <v/>
      </c>
      <c r="AW81" s="35" t="str">
        <f t="shared" si="28"/>
        <v/>
      </c>
      <c r="AX81" s="35" t="str">
        <f t="shared" si="29"/>
        <v/>
      </c>
      <c r="AY81" s="35" t="str">
        <f t="shared" si="30"/>
        <v/>
      </c>
      <c r="AZ81" s="35" t="str">
        <f t="shared" si="31"/>
        <v/>
      </c>
      <c r="BA81" s="35" t="str">
        <f t="shared" si="32"/>
        <v/>
      </c>
      <c r="BB81" s="35" t="str">
        <f t="shared" si="33"/>
        <v/>
      </c>
      <c r="BC81" s="35"/>
      <c r="BE81" s="35">
        <f ca="1">INDEX(SF_Output!$AA$2:$AA$400,MATCH($B81,SF_Output!$M$2:$M$400,0))</f>
        <v>6</v>
      </c>
      <c r="BF81" s="35">
        <f ca="1">INDEX(SF_Output!$AB$2:$AB$400,MATCH($B81,SF_Output!$M$2:$M$400,0))</f>
        <v>4</v>
      </c>
    </row>
    <row r="82" spans="2:58" x14ac:dyDescent="0.25">
      <c r="B82" t="s">
        <v>2238</v>
      </c>
      <c r="C82" t="s">
        <v>2122</v>
      </c>
      <c r="D82" t="s">
        <v>2123</v>
      </c>
      <c r="E82" t="s">
        <v>2124</v>
      </c>
      <c r="F82" s="116" t="str">
        <f t="shared" si="17"/>
        <v>Included</v>
      </c>
      <c r="G82" t="str">
        <f>IF(B82="","",INDEX(SF_Output!$K$1:$K$400,MATCH(B82,SF_Output!$M$1:$M$400,0)))</f>
        <v>JHA Payment Center</v>
      </c>
      <c r="H82" cm="1">
        <f t="array" ref="H82">_xlfn.IFS(B82="","",(SUMIFS(SF_Output!$F$1:$F$400,SF_Output!$AC$1:$AC$400,_xlfn.TEXTJOIN(",",TRUE,B82:E82))+SUMIFS(SF_Output!$G$1:$G$400,SF_Output!$AC$1:$AC$400,_xlfn.TEXTJOIN(",",TRUE,B82:E82)))&lt;&gt;0,SF_Output!$Y$2,INDEX(SF_Output!$F$1:$F$400,MATCH(_xlfn.TEXTJOIN(",",TRUE,B82:E82),SF_Output!$AC$1:$AC$400,0))=0,INDEX(SF_Output!$R$1:$R$400,MATCH(_xlfn.TEXTJOIN(",",TRUE,B82:E82),SF_Output!$AC$1:$AC$400,0)))</f>
        <v>1</v>
      </c>
      <c r="I82" s="125" t="str">
        <f>IFERROR(IF(AND(H82&gt;1,H82&lt;&gt;""),ROUND(SUMIFS(SF_Output!$S$1:$S$400,SF_Output!$AC$1:$AC$400,_xlfn.TEXTJOIN(",",TRUE,B82:E82),SF_Output!$Q$1:$Q$400,"monthly")*(1-W82)/H82,4),""),"")</f>
        <v/>
      </c>
      <c r="J82" s="6">
        <f>IF(B82="","",SUMIFS(SF_Output!$S$1:$S$400,SF_Output!$AC$1:$AC$400,_xlfn.TEXTJOIN(",",TRUE,B82:E82),SF_Output!$Q$1:$Q$400,"One Time",SF_Output!$L$1:$L$400,"license fee")+SUMIFS(SF_Output!$S$1:$S$400,SF_Output!$AC$1:$AC$400,_xlfn.TEXTJOIN(",",TRUE,B82:E82),SF_Output!$Q$1:$Q$400,"One Time",SF_Output!$L$1:$L$400,"software license")+SUMIFS(SF_Output!$S$1:$S$400,SF_Output!$AC$1:$AC$400,_xlfn.TEXTJOIN(",",TRUE,B82:E82),SF_Output!$Q$1:$Q$400,"One Time",SF_Output!$L$1:$L$400,"hardware"))</f>
        <v>0</v>
      </c>
      <c r="K82" s="112" t="str">
        <f>IF(OR(B82=0,B82="",G82="hardware",J82=0),"",IF(AF82&lt;&gt;"exclusion",MAX(K$9,-((SUMIFS(SF_Output!$T$1:$T$400,SF_Output!$AC$1:$AC$400,_xlfn.TEXTJOIN(",",TRUE,$B82:$E82),SF_Output!$Q$1:$Q$400,"One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license"))/J82)))</f>
        <v/>
      </c>
      <c r="L82" s="6">
        <f t="shared" si="18"/>
        <v>0</v>
      </c>
      <c r="N82" s="6">
        <f>IF(B82="","",SUMIFS(SF_Output!$S$1:$S$400,SF_Output!$AC$1:$AC$400,_xlfn.TEXTJOIN(",",TRUE,B82:E82),SF_Output!$Q$1:$Q$400,"One Time",SF_Output!$L$1:$L$400,"professional service"))</f>
        <v>1000</v>
      </c>
      <c r="O82" s="112">
        <f>IF(OR(B82=0,B82="",N82=0),"",IF(AF82&lt;&gt;"exclusion",MAX(O$9,-(SUMIFS(SF_Output!$T$1:$T$400,SF_Output!$AC$1:$AC$400,_xlfn.TEXTJOIN(",",TRUE,$B82:$E82),SF_Output!$Q$1:$Q$400,"One Time",SF_Output!$L$1:$L$400,"professional service"))/N82),-((SUMIFS(SF_Output!$T$1:$T$400,SF_Output!$AC$1:$AC$400,_xlfn.TEXTJOIN(",",TRUE,$B82:$E82),SF_Output!$Q$1:$Q$400,"One Time",SF_Output!$L$1:$L$400,"professional service")/N82))))</f>
        <v>1</v>
      </c>
      <c r="P82" s="6">
        <f t="shared" si="19"/>
        <v>0</v>
      </c>
      <c r="R82" s="6">
        <f>IF(B82="","",SUMIFS(SF_Output!$S$1:$S$400,SF_Output!$AC$1:$AC$400,_xlfn.TEXTJOIN(",",TRUE,B82:E82),SF_Output!$Q$1:$Q$400,"yearly")+SUMIFS(SF_Output!$S$1:$S$400,SF_Output!$AC$1:$AC$400,_xlfn.TEXTJOIN(",",TRUE,B82:E82),SF_Output!$Q$1:$Q$400,"quarterly")*4)</f>
        <v>0</v>
      </c>
      <c r="S82" s="112" t="str">
        <f>IF(OR(B82=0,B82="",G82="hardware",R82=0),"",IF(AF82&lt;&gt;"exclusion",MAX(S$9,-(SUMIFS(SF_Output!$T$1:$T$400,SF_Output!$AC$1:$AC$400,_xlfn.TEXTJOIN(",",TRUE,$B82:$E82),SF_Output!$Q$1:$Q$400,"yearly"))/R82),-((SUMIFS(SF_Output!$T$1:$T$400,SF_Output!$AC$1:$AC$400,_xlfn.TEXTJOIN(",",TRUE,$B82:$E82),SF_Output!$Q$1:$Q$400,"yearly")/R82))))</f>
        <v/>
      </c>
      <c r="T82" s="6">
        <f t="shared" si="20"/>
        <v>0</v>
      </c>
      <c r="V82" s="6" cm="1">
        <f t="array" ref="V82">_xlfn.IFS(B82="","",AND(B82&lt;&gt;"",H82=SF_Output!$Y$2,SUMIFS(SF_Output!$T$1:$T$400,SF_Output!$AC$1:$AC$400,_xlfn.TEXTJOIN(",",TRUE,B82:E82),SF_Output!$Q$1:$Q$400,"monthly")=0),(SUMIFS(SF_Output!$F$1:$F$400,SF_Output!$AC$1:$AC$400,_xlfn.TEXTJOIN(",",TRUE,B82:E82),SF_Output!$Q$1:$Q$400,"monthly")+SUMIFS(SF_Output!$G$1:$G$400,SF_Output!$AC$1:$AC$400,_xlfn.TEXTJOIN(",",TRUE,B82:E82),SF_Output!$Q$1:$Q$400,"monthly"))*H82,AND(B82&lt;&gt;"",H82=SF_Output!$Y$2,SUMIFS(SF_Output!$T$1:$T$400,SF_Output!$AC$1:$AC$400,_xlfn.TEXTJOIN(",",TRUE,B82:E82),SF_Output!$Q$1:$Q$400,"monthly")&lt;&gt;0),SUMIFS(SF_Output!$S$1:$S$400,SF_Output!$AC$1:$AC$400,_xlfn.TEXTJOIN(",",TRUE,B82:E82),SF_Output!$Q$1:$Q$400,"monthly"),AND(B82&lt;&gt;"",H82&lt;&gt;SF_Output!$Y$2),SUMIFS(SF_Output!$S$1:$S$400,SF_Output!$AC$1:$AC$400,_xlfn.TEXTJOIN(",",TRUE,B82:E82),SF_Output!$Q$1:$Q$400,"monthly"))</f>
        <v>400</v>
      </c>
      <c r="W82" s="112" cm="1">
        <f t="array" ref="W82">_xlfn.IFS(OR(B82=0,B82="",V82=0),"",AF82&lt;&gt;"exclusion",MAX($W$9,$W$7,(-(SUMIFS(SF_Output!$T$1:$T$400,SF_Output!$AC$1:$AC$400,_xlfn.TEXTJOIN(",",TRUE,$B82:$E82),SF_Output!$Q$1:$Q$400,"monthly"))/V82)),AF82="exclusion",-(SUMIFS(SF_Output!$T$1:$T$400,SF_Output!$AC$1:$AC$400,_xlfn.TEXTJOIN(",",TRUE,$B82:$E82),SF_Output!$Q$1:$Q$400,"monthly"))/V82)</f>
        <v>0</v>
      </c>
      <c r="X82" s="6" cm="1">
        <f t="array" ref="X82">IFERROR(_xlfn.IFS(V82=0,0,V82="","",W82=0,V82,OR(V82&lt;&gt;0,V82&lt;&gt;""),H82*I82),V82*(1-W82))</f>
        <v>400</v>
      </c>
      <c r="Z82" s="6">
        <f>IFERROR(IF(B82="","",SUMIFS(Billing_Fallout!H:H,Billing_Fallout!N:N,B82)),0)</f>
        <v>0</v>
      </c>
      <c r="AA82" s="6">
        <f t="shared" si="21"/>
        <v>0</v>
      </c>
      <c r="AB82" s="6">
        <f>IFERROR(IF(B82="","",SUMIFS(Billing_Fallout!J:J,Billing_Fallout!N:N,B82)),0)</f>
        <v>0</v>
      </c>
      <c r="AD82" s="6">
        <f t="shared" si="22"/>
        <v>400</v>
      </c>
      <c r="AF82" t="str">
        <f>IFERROR(INDEX(H_Tables!$B$1:$B$1500,MATCH(INDEX(SF_Output!$J$1:$J$400,MATCH(B82,SF_Output!$M$1:$M$400,0)),H_Tables!$A$1:$A$1500,0)),"")</f>
        <v>Exclusion</v>
      </c>
      <c r="AI82" s="119" t="str">
        <f t="shared" si="23"/>
        <v/>
      </c>
      <c r="AJ82" s="121">
        <f>IFERROR(INDEX(SF_Output!AD:AD,MATCH(_xlfn.TEXTJOIN(",",TRUE,B82:E82),SF_Output!AC1:AC400,0)),0.05)</f>
        <v>75</v>
      </c>
      <c r="AK82" t="str">
        <f>IF(SUMIFS(SF_Output!$F$1:$F$400,SF_Output!$AC$1:$AC$400,_xlfn.TEXTJOIN(",",TRUE,B82:E82))+SUMIFS(SF_Output!$G$1:$G$400,SF_Output!$AC$1:$AC$400,_xlfn.TEXTJOIN(",",TRUE,B82:E82))=0,"","PAP")</f>
        <v/>
      </c>
      <c r="AQ82" s="35"/>
      <c r="AR82" s="35" t="str" cm="1">
        <f t="array" ref="AR82">IFERROR(_xlfn.IFS(AND(E82*1=1,F82="Included"),"Change to Included",AND(E82*1=0,F82="Optional"),"Change to Optional",OR(B82="",F82="replaced"),""),"")</f>
        <v/>
      </c>
      <c r="AS82" s="35" t="str">
        <f t="shared" si="24"/>
        <v/>
      </c>
      <c r="AT82" s="35" t="str">
        <f t="shared" si="25"/>
        <v/>
      </c>
      <c r="AU82" s="35" t="str">
        <f t="shared" si="26"/>
        <v/>
      </c>
      <c r="AV82" s="35" t="str">
        <f t="shared" si="27"/>
        <v/>
      </c>
      <c r="AW82" s="35" t="str">
        <f t="shared" si="28"/>
        <v/>
      </c>
      <c r="AX82" s="35" t="str">
        <f t="shared" si="29"/>
        <v/>
      </c>
      <c r="AY82" s="35" t="str">
        <f t="shared" si="30"/>
        <v/>
      </c>
      <c r="AZ82" s="35" t="str">
        <f t="shared" si="31"/>
        <v/>
      </c>
      <c r="BA82" s="35" t="str">
        <f t="shared" si="32"/>
        <v/>
      </c>
      <c r="BB82" s="35" t="str">
        <f t="shared" si="33"/>
        <v/>
      </c>
      <c r="BC82" s="35"/>
      <c r="BE82" s="35">
        <f ca="1">INDEX(SF_Output!$AA$2:$AA$400,MATCH($B82,SF_Output!$M$2:$M$400,0))</f>
        <v>6</v>
      </c>
      <c r="BF82" s="35">
        <f ca="1">INDEX(SF_Output!$AB$2:$AB$400,MATCH($B82,SF_Output!$M$2:$M$400,0))</f>
        <v>4</v>
      </c>
    </row>
    <row r="83" spans="2:58" x14ac:dyDescent="0.25">
      <c r="B83" t="s">
        <v>1122</v>
      </c>
      <c r="C83" t="s">
        <v>2122</v>
      </c>
      <c r="D83" t="s">
        <v>2123</v>
      </c>
      <c r="E83" t="s">
        <v>2124</v>
      </c>
      <c r="F83" s="116" t="str">
        <f t="shared" si="17"/>
        <v>Included</v>
      </c>
      <c r="G83" t="str">
        <f>IF(B83="","",INDEX(SF_Output!$K$1:$K$400,MATCH(B83,SF_Output!$M$1:$M$400,0)))</f>
        <v>Enterprise Payment Solutions (EPS)</v>
      </c>
      <c r="H83" cm="1">
        <f t="array" ref="H83">_xlfn.IFS(B83="","",(SUMIFS(SF_Output!$F$1:$F$400,SF_Output!$AC$1:$AC$400,_xlfn.TEXTJOIN(",",TRUE,B83:E83))+SUMIFS(SF_Output!$G$1:$G$400,SF_Output!$AC$1:$AC$400,_xlfn.TEXTJOIN(",",TRUE,B83:E83)))&lt;&gt;0,SF_Output!$Y$2,INDEX(SF_Output!$F$1:$F$400,MATCH(_xlfn.TEXTJOIN(",",TRUE,B83:E83),SF_Output!$AC$1:$AC$400,0))=0,INDEX(SF_Output!$R$1:$R$400,MATCH(_xlfn.TEXTJOIN(",",TRUE,B83:E83),SF_Output!$AC$1:$AC$400,0)))</f>
        <v>1</v>
      </c>
      <c r="I83" s="125" t="str">
        <f>IFERROR(IF(AND(H83&gt;1,H83&lt;&gt;""),ROUND(SUMIFS(SF_Output!$S$1:$S$400,SF_Output!$AC$1:$AC$400,_xlfn.TEXTJOIN(",",TRUE,B83:E83),SF_Output!$Q$1:$Q$400,"monthly")*(1-W83)/H83,4),""),"")</f>
        <v/>
      </c>
      <c r="J83" s="6">
        <f>IF(B83="","",SUMIFS(SF_Output!$S$1:$S$400,SF_Output!$AC$1:$AC$400,_xlfn.TEXTJOIN(",",TRUE,B83:E83),SF_Output!$Q$1:$Q$400,"One Time",SF_Output!$L$1:$L$400,"license fee")+SUMIFS(SF_Output!$S$1:$S$400,SF_Output!$AC$1:$AC$400,_xlfn.TEXTJOIN(",",TRUE,B83:E83),SF_Output!$Q$1:$Q$400,"One Time",SF_Output!$L$1:$L$400,"software license")+SUMIFS(SF_Output!$S$1:$S$400,SF_Output!$AC$1:$AC$400,_xlfn.TEXTJOIN(",",TRUE,B83:E83),SF_Output!$Q$1:$Q$400,"One Time",SF_Output!$L$1:$L$400,"hardware"))</f>
        <v>0</v>
      </c>
      <c r="K83" s="112" t="str">
        <f>IF(OR(B83=0,B83="",G83="hardware",J83=0),"",IF(AF83&lt;&gt;"exclusion",MAX(K$9,-((SUMIFS(SF_Output!$T$1:$T$400,SF_Output!$AC$1:$AC$400,_xlfn.TEXTJOIN(",",TRUE,$B83:$E83),SF_Output!$Q$1:$Q$400,"One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license"))/J83)))</f>
        <v/>
      </c>
      <c r="L83" s="6">
        <f t="shared" si="18"/>
        <v>0</v>
      </c>
      <c r="N83" s="6">
        <f>IF(B83="","",SUMIFS(SF_Output!$S$1:$S$400,SF_Output!$AC$1:$AC$400,_xlfn.TEXTJOIN(",",TRUE,B83:E83),SF_Output!$Q$1:$Q$400,"One Time",SF_Output!$L$1:$L$400,"professional service"))</f>
        <v>2500</v>
      </c>
      <c r="O83" s="112">
        <f>IF(OR(B83=0,B83="",N83=0),"",IF(AF83&lt;&gt;"exclusion",MAX(O$9,-(SUMIFS(SF_Output!$T$1:$T$400,SF_Output!$AC$1:$AC$400,_xlfn.TEXTJOIN(",",TRUE,$B83:$E83),SF_Output!$Q$1:$Q$400,"One Time",SF_Output!$L$1:$L$400,"professional service"))/N83),-((SUMIFS(SF_Output!$T$1:$T$400,SF_Output!$AC$1:$AC$400,_xlfn.TEXTJOIN(",",TRUE,$B83:$E83),SF_Output!$Q$1:$Q$400,"One Time",SF_Output!$L$1:$L$400,"professional service")/N83))))</f>
        <v>1</v>
      </c>
      <c r="P83" s="6">
        <f t="shared" si="19"/>
        <v>0</v>
      </c>
      <c r="R83" s="6">
        <f>IF(B83="","",SUMIFS(SF_Output!$S$1:$S$400,SF_Output!$AC$1:$AC$400,_xlfn.TEXTJOIN(",",TRUE,B83:E83),SF_Output!$Q$1:$Q$400,"yearly")+SUMIFS(SF_Output!$S$1:$S$400,SF_Output!$AC$1:$AC$400,_xlfn.TEXTJOIN(",",TRUE,B83:E83),SF_Output!$Q$1:$Q$400,"quarterly")*4)</f>
        <v>0</v>
      </c>
      <c r="S83" s="112" t="str">
        <f>IF(OR(B83=0,B83="",G83="hardware",R83=0),"",IF(AF83&lt;&gt;"exclusion",MAX(S$9,-(SUMIFS(SF_Output!$T$1:$T$400,SF_Output!$AC$1:$AC$400,_xlfn.TEXTJOIN(",",TRUE,$B83:$E83),SF_Output!$Q$1:$Q$400,"yearly"))/R83),-((SUMIFS(SF_Output!$T$1:$T$400,SF_Output!$AC$1:$AC$400,_xlfn.TEXTJOIN(",",TRUE,$B83:$E83),SF_Output!$Q$1:$Q$400,"yearly")/R83))))</f>
        <v/>
      </c>
      <c r="T83" s="6">
        <f t="shared" si="20"/>
        <v>0</v>
      </c>
      <c r="V83" s="6" cm="1">
        <f t="array" ref="V83">_xlfn.IFS(B83="","",AND(B83&lt;&gt;"",H83=SF_Output!$Y$2,SUMIFS(SF_Output!$T$1:$T$400,SF_Output!$AC$1:$AC$400,_xlfn.TEXTJOIN(",",TRUE,B83:E83),SF_Output!$Q$1:$Q$400,"monthly")=0),(SUMIFS(SF_Output!$F$1:$F$400,SF_Output!$AC$1:$AC$400,_xlfn.TEXTJOIN(",",TRUE,B83:E83),SF_Output!$Q$1:$Q$400,"monthly")+SUMIFS(SF_Output!$G$1:$G$400,SF_Output!$AC$1:$AC$400,_xlfn.TEXTJOIN(",",TRUE,B83:E83),SF_Output!$Q$1:$Q$400,"monthly"))*H83,AND(B83&lt;&gt;"",H83=SF_Output!$Y$2,SUMIFS(SF_Output!$T$1:$T$400,SF_Output!$AC$1:$AC$400,_xlfn.TEXTJOIN(",",TRUE,B83:E83),SF_Output!$Q$1:$Q$400,"monthly")&lt;&gt;0),SUMIFS(SF_Output!$S$1:$S$400,SF_Output!$AC$1:$AC$400,_xlfn.TEXTJOIN(",",TRUE,B83:E83),SF_Output!$Q$1:$Q$400,"monthly"),AND(B83&lt;&gt;"",H83&lt;&gt;SF_Output!$Y$2),SUMIFS(SF_Output!$S$1:$S$400,SF_Output!$AC$1:$AC$400,_xlfn.TEXTJOIN(",",TRUE,B83:E83),SF_Output!$Q$1:$Q$400,"monthly"))</f>
        <v>0</v>
      </c>
      <c r="W83" s="112" t="str" cm="1">
        <f t="array" ref="W83">_xlfn.IFS(OR(B83=0,B83="",V83=0),"",AF83&lt;&gt;"exclusion",MAX($W$9,$W$7,(-(SUMIFS(SF_Output!$T$1:$T$400,SF_Output!$AC$1:$AC$400,_xlfn.TEXTJOIN(",",TRUE,$B83:$E83),SF_Output!$Q$1:$Q$400,"monthly"))/V83)),AF83="exclusion",-(SUMIFS(SF_Output!$T$1:$T$400,SF_Output!$AC$1:$AC$400,_xlfn.TEXTJOIN(",",TRUE,$B83:$E83),SF_Output!$Q$1:$Q$400,"monthly"))/V83)</f>
        <v/>
      </c>
      <c r="X83" s="6" cm="1">
        <f t="array" ref="X83">IFERROR(_xlfn.IFS(V83=0,0,V83="","",W83=0,V83,OR(V83&lt;&gt;0,V83&lt;&gt;""),H83*I83),V83*(1-W83))</f>
        <v>0</v>
      </c>
      <c r="Z83" s="6">
        <f>IFERROR(IF(B83="","",SUMIFS(Billing_Fallout!H:H,Billing_Fallout!N:N,B83)),0)</f>
        <v>0</v>
      </c>
      <c r="AA83" s="6">
        <f t="shared" si="21"/>
        <v>0</v>
      </c>
      <c r="AB83" s="6">
        <f>IFERROR(IF(B83="","",SUMIFS(Billing_Fallout!J:J,Billing_Fallout!N:N,B83)),0)</f>
        <v>0</v>
      </c>
      <c r="AD83" s="6">
        <f t="shared" si="22"/>
        <v>0</v>
      </c>
      <c r="AF83" t="str">
        <f>IFERROR(INDEX(H_Tables!$B$1:$B$1500,MATCH(INDEX(SF_Output!$J$1:$J$400,MATCH(B83,SF_Output!$M$1:$M$400,0)),H_Tables!$A$1:$A$1500,0)),"")</f>
        <v>Exclusion</v>
      </c>
      <c r="AI83" s="119" t="str">
        <f t="shared" si="23"/>
        <v/>
      </c>
      <c r="AJ83" s="121">
        <f>IFERROR(INDEX(SF_Output!AD:AD,MATCH(_xlfn.TEXTJOIN(",",TRUE,B83:E83),SF_Output!AC1:AC400,0)),0.05)</f>
        <v>144</v>
      </c>
      <c r="AK83" t="str">
        <f>IF(SUMIFS(SF_Output!$F$1:$F$400,SF_Output!$AC$1:$AC$400,_xlfn.TEXTJOIN(",",TRUE,B83:E83))+SUMIFS(SF_Output!$G$1:$G$400,SF_Output!$AC$1:$AC$400,_xlfn.TEXTJOIN(",",TRUE,B83:E83))=0,"","PAP")</f>
        <v/>
      </c>
      <c r="AQ83" s="35"/>
      <c r="AR83" s="35" t="str" cm="1">
        <f t="array" ref="AR83">IFERROR(_xlfn.IFS(AND(E83*1=1,F83="Included"),"Change to Included",AND(E83*1=0,F83="Optional"),"Change to Optional",OR(B83="",F83="replaced"),""),"")</f>
        <v/>
      </c>
      <c r="AS83" s="35" t="str">
        <f t="shared" si="24"/>
        <v/>
      </c>
      <c r="AT83" s="35" t="str">
        <f t="shared" si="25"/>
        <v/>
      </c>
      <c r="AU83" s="35" t="str">
        <f t="shared" si="26"/>
        <v/>
      </c>
      <c r="AV83" s="35" t="str">
        <f t="shared" si="27"/>
        <v/>
      </c>
      <c r="AW83" s="35" t="str">
        <f t="shared" si="28"/>
        <v/>
      </c>
      <c r="AX83" s="35" t="str">
        <f t="shared" si="29"/>
        <v/>
      </c>
      <c r="AY83" s="35" t="str">
        <f t="shared" si="30"/>
        <v/>
      </c>
      <c r="AZ83" s="35" t="str">
        <f t="shared" si="31"/>
        <v/>
      </c>
      <c r="BA83" s="35" t="str">
        <f t="shared" si="32"/>
        <v/>
      </c>
      <c r="BB83" s="35" t="str">
        <f t="shared" si="33"/>
        <v/>
      </c>
      <c r="BC83" s="35"/>
      <c r="BE83" s="35">
        <f ca="1">INDEX(SF_Output!$AA$2:$AA$400,MATCH($B83,SF_Output!$M$2:$M$400,0))</f>
        <v>6</v>
      </c>
      <c r="BF83" s="35">
        <f ca="1">INDEX(SF_Output!$AB$2:$AB$400,MATCH($B83,SF_Output!$M$2:$M$400,0))</f>
        <v>4</v>
      </c>
    </row>
    <row r="84" spans="2:58" x14ac:dyDescent="0.25">
      <c r="B84" t="s">
        <v>1479</v>
      </c>
      <c r="C84" t="s">
        <v>2122</v>
      </c>
      <c r="D84" t="s">
        <v>2123</v>
      </c>
      <c r="E84" t="s">
        <v>2124</v>
      </c>
      <c r="F84" s="116" t="str">
        <f t="shared" si="17"/>
        <v>Included</v>
      </c>
      <c r="G84" t="str">
        <f>IF(B84="","",INDEX(SF_Output!$K$1:$K$400,MATCH(B84,SF_Output!$M$1:$M$400,0)))</f>
        <v>Enterprise Payment Solutions (EPS)</v>
      </c>
      <c r="H84" cm="1">
        <f t="array" ref="H84">_xlfn.IFS(B84="","",(SUMIFS(SF_Output!$F$1:$F$400,SF_Output!$AC$1:$AC$400,_xlfn.TEXTJOIN(",",TRUE,B84:E84))+SUMIFS(SF_Output!$G$1:$G$400,SF_Output!$AC$1:$AC$400,_xlfn.TEXTJOIN(",",TRUE,B84:E84)))&lt;&gt;0,SF_Output!$Y$2,INDEX(SF_Output!$F$1:$F$400,MATCH(_xlfn.TEXTJOIN(",",TRUE,B84:E84),SF_Output!$AC$1:$AC$400,0))=0,INDEX(SF_Output!$R$1:$R$400,MATCH(_xlfn.TEXTJOIN(",",TRUE,B84:E84),SF_Output!$AC$1:$AC$400,0)))</f>
        <v>1</v>
      </c>
      <c r="I84" s="125" t="str">
        <f>IFERROR(IF(AND(H84&gt;1,H84&lt;&gt;""),ROUND(SUMIFS(SF_Output!$S$1:$S$400,SF_Output!$AC$1:$AC$400,_xlfn.TEXTJOIN(",",TRUE,B84:E84),SF_Output!$Q$1:$Q$400,"monthly")*(1-W84)/H84,4),""),"")</f>
        <v/>
      </c>
      <c r="J84" s="6">
        <f>IF(B84="","",SUMIFS(SF_Output!$S$1:$S$400,SF_Output!$AC$1:$AC$400,_xlfn.TEXTJOIN(",",TRUE,B84:E84),SF_Output!$Q$1:$Q$400,"One Time",SF_Output!$L$1:$L$400,"license fee")+SUMIFS(SF_Output!$S$1:$S$400,SF_Output!$AC$1:$AC$400,_xlfn.TEXTJOIN(",",TRUE,B84:E84),SF_Output!$Q$1:$Q$400,"One Time",SF_Output!$L$1:$L$400,"software license")+SUMIFS(SF_Output!$S$1:$S$400,SF_Output!$AC$1:$AC$400,_xlfn.TEXTJOIN(",",TRUE,B84:E84),SF_Output!$Q$1:$Q$400,"One Time",SF_Output!$L$1:$L$400,"hardware"))</f>
        <v>0</v>
      </c>
      <c r="K84" s="112" t="str">
        <f>IF(OR(B84=0,B84="",G84="hardware",J84=0),"",IF(AF84&lt;&gt;"exclusion",MAX(K$9,-((SUMIFS(SF_Output!$T$1:$T$400,SF_Output!$AC$1:$AC$400,_xlfn.TEXTJOIN(",",TRUE,$B84:$E84),SF_Output!$Q$1:$Q$400,"One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license"))/J84)))</f>
        <v/>
      </c>
      <c r="L84" s="6">
        <f t="shared" si="18"/>
        <v>0</v>
      </c>
      <c r="N84" s="6">
        <f>IF(B84="","",SUMIFS(SF_Output!$S$1:$S$400,SF_Output!$AC$1:$AC$400,_xlfn.TEXTJOIN(",",TRUE,B84:E84),SF_Output!$Q$1:$Q$400,"One Time",SF_Output!$L$1:$L$400,"professional service"))</f>
        <v>1000</v>
      </c>
      <c r="O84" s="112">
        <f>IF(OR(B84=0,B84="",N84=0),"",IF(AF84&lt;&gt;"exclusion",MAX(O$9,-(SUMIFS(SF_Output!$T$1:$T$400,SF_Output!$AC$1:$AC$400,_xlfn.TEXTJOIN(",",TRUE,$B84:$E84),SF_Output!$Q$1:$Q$400,"One Time",SF_Output!$L$1:$L$400,"professional service"))/N84),-((SUMIFS(SF_Output!$T$1:$T$400,SF_Output!$AC$1:$AC$400,_xlfn.TEXTJOIN(",",TRUE,$B84:$E84),SF_Output!$Q$1:$Q$400,"One Time",SF_Output!$L$1:$L$400,"professional service")/N84))))</f>
        <v>1</v>
      </c>
      <c r="P84" s="6">
        <f t="shared" si="19"/>
        <v>0</v>
      </c>
      <c r="R84" s="6">
        <f>IF(B84="","",SUMIFS(SF_Output!$S$1:$S$400,SF_Output!$AC$1:$AC$400,_xlfn.TEXTJOIN(",",TRUE,B84:E84),SF_Output!$Q$1:$Q$400,"yearly")+SUMIFS(SF_Output!$S$1:$S$400,SF_Output!$AC$1:$AC$400,_xlfn.TEXTJOIN(",",TRUE,B84:E84),SF_Output!$Q$1:$Q$400,"quarterly")*4)</f>
        <v>0</v>
      </c>
      <c r="S84" s="112" t="str">
        <f>IF(OR(B84=0,B84="",G84="hardware",R84=0),"",IF(AF84&lt;&gt;"exclusion",MAX(S$9,-(SUMIFS(SF_Output!$T$1:$T$400,SF_Output!$AC$1:$AC$400,_xlfn.TEXTJOIN(",",TRUE,$B84:$E84),SF_Output!$Q$1:$Q$400,"yearly"))/R84),-((SUMIFS(SF_Output!$T$1:$T$400,SF_Output!$AC$1:$AC$400,_xlfn.TEXTJOIN(",",TRUE,$B84:$E84),SF_Output!$Q$1:$Q$400,"yearly")/R84))))</f>
        <v/>
      </c>
      <c r="T84" s="6">
        <f t="shared" si="20"/>
        <v>0</v>
      </c>
      <c r="V84" s="6" cm="1">
        <f t="array" ref="V84">_xlfn.IFS(B84="","",AND(B84&lt;&gt;"",H84=SF_Output!$Y$2,SUMIFS(SF_Output!$T$1:$T$400,SF_Output!$AC$1:$AC$400,_xlfn.TEXTJOIN(",",TRUE,B84:E84),SF_Output!$Q$1:$Q$400,"monthly")=0),(SUMIFS(SF_Output!$F$1:$F$400,SF_Output!$AC$1:$AC$400,_xlfn.TEXTJOIN(",",TRUE,B84:E84),SF_Output!$Q$1:$Q$400,"monthly")+SUMIFS(SF_Output!$G$1:$G$400,SF_Output!$AC$1:$AC$400,_xlfn.TEXTJOIN(",",TRUE,B84:E84),SF_Output!$Q$1:$Q$400,"monthly"))*H84,AND(B84&lt;&gt;"",H84=SF_Output!$Y$2,SUMIFS(SF_Output!$T$1:$T$400,SF_Output!$AC$1:$AC$400,_xlfn.TEXTJOIN(",",TRUE,B84:E84),SF_Output!$Q$1:$Q$400,"monthly")&lt;&gt;0),SUMIFS(SF_Output!$S$1:$S$400,SF_Output!$AC$1:$AC$400,_xlfn.TEXTJOIN(",",TRUE,B84:E84),SF_Output!$Q$1:$Q$400,"monthly"),AND(B84&lt;&gt;"",H84&lt;&gt;SF_Output!$Y$2),SUMIFS(SF_Output!$S$1:$S$400,SF_Output!$AC$1:$AC$400,_xlfn.TEXTJOIN(",",TRUE,B84:E84),SF_Output!$Q$1:$Q$400,"monthly"))</f>
        <v>350</v>
      </c>
      <c r="W84" s="112" cm="1">
        <f t="array" ref="W84">_xlfn.IFS(OR(B84=0,B84="",V84=0),"",AF84&lt;&gt;"exclusion",MAX($W$9,$W$7,(-(SUMIFS(SF_Output!$T$1:$T$400,SF_Output!$AC$1:$AC$400,_xlfn.TEXTJOIN(",",TRUE,$B84:$E84),SF_Output!$Q$1:$Q$400,"monthly"))/V84)),AF84="exclusion",-(SUMIFS(SF_Output!$T$1:$T$400,SF_Output!$AC$1:$AC$400,_xlfn.TEXTJOIN(",",TRUE,$B84:$E84),SF_Output!$Q$1:$Q$400,"monthly"))/V84)</f>
        <v>0</v>
      </c>
      <c r="X84" s="6" cm="1">
        <f t="array" ref="X84">IFERROR(_xlfn.IFS(V84=0,0,V84="","",W84=0,V84,OR(V84&lt;&gt;0,V84&lt;&gt;""),H84*I84),V84*(1-W84))</f>
        <v>350</v>
      </c>
      <c r="Z84" s="6">
        <f>IFERROR(IF(B84="","",SUMIFS(Billing_Fallout!H:H,Billing_Fallout!N:N,B84)),0)</f>
        <v>0</v>
      </c>
      <c r="AA84" s="6">
        <f t="shared" si="21"/>
        <v>0</v>
      </c>
      <c r="AB84" s="6">
        <f>IFERROR(IF(B84="","",SUMIFS(Billing_Fallout!J:J,Billing_Fallout!N:N,B84)),0)</f>
        <v>0</v>
      </c>
      <c r="AD84" s="6">
        <f t="shared" si="22"/>
        <v>350</v>
      </c>
      <c r="AF84" t="str">
        <f>IFERROR(INDEX(H_Tables!$B$1:$B$1500,MATCH(INDEX(SF_Output!$J$1:$J$400,MATCH(B84,SF_Output!$M$1:$M$400,0)),H_Tables!$A$1:$A$1500,0)),"")</f>
        <v>Exclusion</v>
      </c>
      <c r="AI84" s="119" t="str">
        <f t="shared" si="23"/>
        <v/>
      </c>
      <c r="AJ84" s="121">
        <f>IFERROR(INDEX(SF_Output!AD:AD,MATCH(_xlfn.TEXTJOIN(",",TRUE,B84:E84),SF_Output!AC1:AC400,0)),0.05)</f>
        <v>145</v>
      </c>
      <c r="AK84" t="str">
        <f>IF(SUMIFS(SF_Output!$F$1:$F$400,SF_Output!$AC$1:$AC$400,_xlfn.TEXTJOIN(",",TRUE,B84:E84))+SUMIFS(SF_Output!$G$1:$G$400,SF_Output!$AC$1:$AC$400,_xlfn.TEXTJOIN(",",TRUE,B84:E84))=0,"","PAP")</f>
        <v/>
      </c>
      <c r="AQ84" s="35"/>
      <c r="AR84" s="35" t="str" cm="1">
        <f t="array" ref="AR84">IFERROR(_xlfn.IFS(AND(E84*1=1,F84="Included"),"Change to Included",AND(E84*1=0,F84="Optional"),"Change to Optional",OR(B84="",F84="replaced"),""),"")</f>
        <v/>
      </c>
      <c r="AS84" s="35" t="str">
        <f t="shared" si="24"/>
        <v/>
      </c>
      <c r="AT84" s="35" t="str">
        <f t="shared" si="25"/>
        <v/>
      </c>
      <c r="AU84" s="35" t="str">
        <f t="shared" si="26"/>
        <v/>
      </c>
      <c r="AV84" s="35" t="str">
        <f t="shared" si="27"/>
        <v/>
      </c>
      <c r="AW84" s="35" t="str">
        <f t="shared" si="28"/>
        <v/>
      </c>
      <c r="AX84" s="35" t="str">
        <f t="shared" si="29"/>
        <v/>
      </c>
      <c r="AY84" s="35" t="str">
        <f t="shared" si="30"/>
        <v/>
      </c>
      <c r="AZ84" s="35" t="str">
        <f t="shared" si="31"/>
        <v/>
      </c>
      <c r="BA84" s="35" t="str">
        <f t="shared" si="32"/>
        <v/>
      </c>
      <c r="BB84" s="35" t="str">
        <f t="shared" si="33"/>
        <v/>
      </c>
      <c r="BC84" s="35"/>
      <c r="BE84" s="35">
        <f ca="1">INDEX(SF_Output!$AA$2:$AA$400,MATCH($B84,SF_Output!$M$2:$M$400,0))</f>
        <v>6</v>
      </c>
      <c r="BF84" s="35">
        <f ca="1">INDEX(SF_Output!$AB$2:$AB$400,MATCH($B84,SF_Output!$M$2:$M$400,0))</f>
        <v>4</v>
      </c>
    </row>
    <row r="85" spans="2:58" x14ac:dyDescent="0.25">
      <c r="B85" t="s">
        <v>1476</v>
      </c>
      <c r="C85" t="s">
        <v>2122</v>
      </c>
      <c r="D85" t="s">
        <v>2123</v>
      </c>
      <c r="E85" t="s">
        <v>2124</v>
      </c>
      <c r="F85" s="116" t="str">
        <f t="shared" si="17"/>
        <v>Included</v>
      </c>
      <c r="G85" t="str">
        <f>IF(B85="","",INDEX(SF_Output!$K$1:$K$400,MATCH(B85,SF_Output!$M$1:$M$400,0)))</f>
        <v>Enterprise Payment Solutions (EPS)</v>
      </c>
      <c r="H85" cm="1">
        <f t="array" ref="H85">_xlfn.IFS(B85="","",(SUMIFS(SF_Output!$F$1:$F$400,SF_Output!$AC$1:$AC$400,_xlfn.TEXTJOIN(",",TRUE,B85:E85))+SUMIFS(SF_Output!$G$1:$G$400,SF_Output!$AC$1:$AC$400,_xlfn.TEXTJOIN(",",TRUE,B85:E85)))&lt;&gt;0,SF_Output!$Y$2,INDEX(SF_Output!$F$1:$F$400,MATCH(_xlfn.TEXTJOIN(",",TRUE,B85:E85),SF_Output!$AC$1:$AC$400,0))=0,INDEX(SF_Output!$R$1:$R$400,MATCH(_xlfn.TEXTJOIN(",",TRUE,B85:E85),SF_Output!$AC$1:$AC$400,0)))</f>
        <v>1</v>
      </c>
      <c r="I85" s="125" t="str">
        <f>IFERROR(IF(AND(H85&gt;1,H85&lt;&gt;""),ROUND(SUMIFS(SF_Output!$S$1:$S$400,SF_Output!$AC$1:$AC$400,_xlfn.TEXTJOIN(",",TRUE,B85:E85),SF_Output!$Q$1:$Q$400,"monthly")*(1-W85)/H85,4),""),"")</f>
        <v/>
      </c>
      <c r="J85" s="6">
        <f>IF(B85="","",SUMIFS(SF_Output!$S$1:$S$400,SF_Output!$AC$1:$AC$400,_xlfn.TEXTJOIN(",",TRUE,B85:E85),SF_Output!$Q$1:$Q$400,"One Time",SF_Output!$L$1:$L$400,"license fee")+SUMIFS(SF_Output!$S$1:$S$400,SF_Output!$AC$1:$AC$400,_xlfn.TEXTJOIN(",",TRUE,B85:E85),SF_Output!$Q$1:$Q$400,"One Time",SF_Output!$L$1:$L$400,"software license")+SUMIFS(SF_Output!$S$1:$S$400,SF_Output!$AC$1:$AC$400,_xlfn.TEXTJOIN(",",TRUE,B85:E85),SF_Output!$Q$1:$Q$400,"One Time",SF_Output!$L$1:$L$400,"hardware"))</f>
        <v>0</v>
      </c>
      <c r="K85" s="112" t="str">
        <f>IF(OR(B85=0,B85="",G85="hardware",J85=0),"",IF(AF85&lt;&gt;"exclusion",MAX(K$9,-((SUMIFS(SF_Output!$T$1:$T$400,SF_Output!$AC$1:$AC$400,_xlfn.TEXTJOIN(",",TRUE,$B85:$E85),SF_Output!$Q$1:$Q$400,"One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license"))/J85)))</f>
        <v/>
      </c>
      <c r="L85" s="6">
        <f t="shared" si="18"/>
        <v>0</v>
      </c>
      <c r="N85" s="6">
        <f>IF(B85="","",SUMIFS(SF_Output!$S$1:$S$400,SF_Output!$AC$1:$AC$400,_xlfn.TEXTJOIN(",",TRUE,B85:E85),SF_Output!$Q$1:$Q$400,"One Time",SF_Output!$L$1:$L$400,"professional service"))</f>
        <v>2500</v>
      </c>
      <c r="O85" s="112">
        <f>IF(OR(B85=0,B85="",N85=0),"",IF(AF85&lt;&gt;"exclusion",MAX(O$9,-(SUMIFS(SF_Output!$T$1:$T$400,SF_Output!$AC$1:$AC$400,_xlfn.TEXTJOIN(",",TRUE,$B85:$E85),SF_Output!$Q$1:$Q$400,"One Time",SF_Output!$L$1:$L$400,"professional service"))/N85),-((SUMIFS(SF_Output!$T$1:$T$400,SF_Output!$AC$1:$AC$400,_xlfn.TEXTJOIN(",",TRUE,$B85:$E85),SF_Output!$Q$1:$Q$400,"One Time",SF_Output!$L$1:$L$400,"professional service")/N85))))</f>
        <v>1</v>
      </c>
      <c r="P85" s="6">
        <f t="shared" si="19"/>
        <v>0</v>
      </c>
      <c r="R85" s="6">
        <f>IF(B85="","",SUMIFS(SF_Output!$S$1:$S$400,SF_Output!$AC$1:$AC$400,_xlfn.TEXTJOIN(",",TRUE,B85:E85),SF_Output!$Q$1:$Q$400,"yearly")+SUMIFS(SF_Output!$S$1:$S$400,SF_Output!$AC$1:$AC$400,_xlfn.TEXTJOIN(",",TRUE,B85:E85),SF_Output!$Q$1:$Q$400,"quarterly")*4)</f>
        <v>0</v>
      </c>
      <c r="S85" s="112" t="str">
        <f>IF(OR(B85=0,B85="",G85="hardware",R85=0),"",IF(AF85&lt;&gt;"exclusion",MAX(S$9,-(SUMIFS(SF_Output!$T$1:$T$400,SF_Output!$AC$1:$AC$400,_xlfn.TEXTJOIN(",",TRUE,$B85:$E85),SF_Output!$Q$1:$Q$400,"yearly"))/R85),-((SUMIFS(SF_Output!$T$1:$T$400,SF_Output!$AC$1:$AC$400,_xlfn.TEXTJOIN(",",TRUE,$B85:$E85),SF_Output!$Q$1:$Q$400,"yearly")/R85))))</f>
        <v/>
      </c>
      <c r="T85" s="6">
        <f t="shared" si="20"/>
        <v>0</v>
      </c>
      <c r="V85" s="6" cm="1">
        <f t="array" ref="V85">_xlfn.IFS(B85="","",AND(B85&lt;&gt;"",H85=SF_Output!$Y$2,SUMIFS(SF_Output!$T$1:$T$400,SF_Output!$AC$1:$AC$400,_xlfn.TEXTJOIN(",",TRUE,B85:E85),SF_Output!$Q$1:$Q$400,"monthly")=0),(SUMIFS(SF_Output!$F$1:$F$400,SF_Output!$AC$1:$AC$400,_xlfn.TEXTJOIN(",",TRUE,B85:E85),SF_Output!$Q$1:$Q$400,"monthly")+SUMIFS(SF_Output!$G$1:$G$400,SF_Output!$AC$1:$AC$400,_xlfn.TEXTJOIN(",",TRUE,B85:E85),SF_Output!$Q$1:$Q$400,"monthly"))*H85,AND(B85&lt;&gt;"",H85=SF_Output!$Y$2,SUMIFS(SF_Output!$T$1:$T$400,SF_Output!$AC$1:$AC$400,_xlfn.TEXTJOIN(",",TRUE,B85:E85),SF_Output!$Q$1:$Q$400,"monthly")&lt;&gt;0),SUMIFS(SF_Output!$S$1:$S$400,SF_Output!$AC$1:$AC$400,_xlfn.TEXTJOIN(",",TRUE,B85:E85),SF_Output!$Q$1:$Q$400,"monthly"),AND(B85&lt;&gt;"",H85&lt;&gt;SF_Output!$Y$2),SUMIFS(SF_Output!$S$1:$S$400,SF_Output!$AC$1:$AC$400,_xlfn.TEXTJOIN(",",TRUE,B85:E85),SF_Output!$Q$1:$Q$400,"monthly"))</f>
        <v>500</v>
      </c>
      <c r="W85" s="112" cm="1">
        <f t="array" ref="W85">_xlfn.IFS(OR(B85=0,B85="",V85=0),"",AF85&lt;&gt;"exclusion",MAX($W$9,$W$7,(-(SUMIFS(SF_Output!$T$1:$T$400,SF_Output!$AC$1:$AC$400,_xlfn.TEXTJOIN(",",TRUE,$B85:$E85),SF_Output!$Q$1:$Q$400,"monthly"))/V85)),AF85="exclusion",-(SUMIFS(SF_Output!$T$1:$T$400,SF_Output!$AC$1:$AC$400,_xlfn.TEXTJOIN(",",TRUE,$B85:$E85),SF_Output!$Q$1:$Q$400,"monthly"))/V85)</f>
        <v>0</v>
      </c>
      <c r="X85" s="6" cm="1">
        <f t="array" ref="X85">IFERROR(_xlfn.IFS(V85=0,0,V85="","",W85=0,V85,OR(V85&lt;&gt;0,V85&lt;&gt;""),H85*I85),V85*(1-W85))</f>
        <v>500</v>
      </c>
      <c r="Z85" s="6">
        <f>IFERROR(IF(B85="","",SUMIFS(Billing_Fallout!H:H,Billing_Fallout!N:N,B85)),0)</f>
        <v>0</v>
      </c>
      <c r="AA85" s="6">
        <f t="shared" si="21"/>
        <v>0</v>
      </c>
      <c r="AB85" s="6">
        <f>IFERROR(IF(B85="","",SUMIFS(Billing_Fallout!J:J,Billing_Fallout!N:N,B85)),0)</f>
        <v>0</v>
      </c>
      <c r="AD85" s="6">
        <f t="shared" si="22"/>
        <v>500</v>
      </c>
      <c r="AF85" t="str">
        <f>IFERROR(INDEX(H_Tables!$B$1:$B$1500,MATCH(INDEX(SF_Output!$J$1:$J$400,MATCH(B85,SF_Output!$M$1:$M$400,0)),H_Tables!$A$1:$A$1500,0)),"")</f>
        <v>Exclusion</v>
      </c>
      <c r="AI85" s="119" t="str">
        <f t="shared" si="23"/>
        <v/>
      </c>
      <c r="AJ85" s="121">
        <f>IFERROR(INDEX(SF_Output!AD:AD,MATCH(_xlfn.TEXTJOIN(",",TRUE,B85:E85),SF_Output!AC1:AC400,0)),0.05)</f>
        <v>147</v>
      </c>
      <c r="AK85" t="str">
        <f>IF(SUMIFS(SF_Output!$F$1:$F$400,SF_Output!$AC$1:$AC$400,_xlfn.TEXTJOIN(",",TRUE,B85:E85))+SUMIFS(SF_Output!$G$1:$G$400,SF_Output!$AC$1:$AC$400,_xlfn.TEXTJOIN(",",TRUE,B85:E85))=0,"","PAP")</f>
        <v/>
      </c>
      <c r="AQ85" s="35"/>
      <c r="AR85" s="35" t="str" cm="1">
        <f t="array" ref="AR85">IFERROR(_xlfn.IFS(AND(E85*1=1,F85="Included"),"Change to Included",AND(E85*1=0,F85="Optional"),"Change to Optional",OR(B85="",F85="replaced"),""),"")</f>
        <v/>
      </c>
      <c r="AS85" s="35" t="str">
        <f t="shared" si="24"/>
        <v/>
      </c>
      <c r="AT85" s="35" t="str">
        <f t="shared" si="25"/>
        <v/>
      </c>
      <c r="AU85" s="35" t="str">
        <f t="shared" si="26"/>
        <v/>
      </c>
      <c r="AV85" s="35" t="str">
        <f t="shared" si="27"/>
        <v/>
      </c>
      <c r="AW85" s="35" t="str">
        <f t="shared" si="28"/>
        <v/>
      </c>
      <c r="AX85" s="35" t="str">
        <f t="shared" si="29"/>
        <v/>
      </c>
      <c r="AY85" s="35" t="str">
        <f t="shared" si="30"/>
        <v/>
      </c>
      <c r="AZ85" s="35" t="str">
        <f t="shared" si="31"/>
        <v/>
      </c>
      <c r="BA85" s="35" t="str">
        <f t="shared" si="32"/>
        <v/>
      </c>
      <c r="BB85" s="35" t="str">
        <f t="shared" si="33"/>
        <v/>
      </c>
      <c r="BC85" s="35"/>
      <c r="BE85" s="35">
        <f ca="1">INDEX(SF_Output!$AA$2:$AA$400,MATCH($B85,SF_Output!$M$2:$M$400,0))</f>
        <v>6</v>
      </c>
      <c r="BF85" s="35">
        <f ca="1">INDEX(SF_Output!$AB$2:$AB$400,MATCH($B85,SF_Output!$M$2:$M$400,0))</f>
        <v>4</v>
      </c>
    </row>
    <row r="86" spans="2:58" x14ac:dyDescent="0.25">
      <c r="B86" t="s">
        <v>1306</v>
      </c>
      <c r="C86" t="s">
        <v>2122</v>
      </c>
      <c r="D86" t="s">
        <v>2123</v>
      </c>
      <c r="E86" t="s">
        <v>2124</v>
      </c>
      <c r="F86" s="116" t="str">
        <f t="shared" si="17"/>
        <v>Included</v>
      </c>
      <c r="G86" t="str">
        <f>IF(B86="","",INDEX(SF_Output!$K$1:$K$400,MATCH(B86,SF_Output!$M$1:$M$400,0)))</f>
        <v>Enterprise Payment Solutions (EPS)</v>
      </c>
      <c r="H86" cm="1">
        <f t="array" ref="H86">_xlfn.IFS(B86="","",(SUMIFS(SF_Output!$F$1:$F$400,SF_Output!$AC$1:$AC$400,_xlfn.TEXTJOIN(",",TRUE,B86:E86))+SUMIFS(SF_Output!$G$1:$G$400,SF_Output!$AC$1:$AC$400,_xlfn.TEXTJOIN(",",TRUE,B86:E86)))&lt;&gt;0,SF_Output!$Y$2,INDEX(SF_Output!$F$1:$F$400,MATCH(_xlfn.TEXTJOIN(",",TRUE,B86:E86),SF_Output!$AC$1:$AC$400,0))=0,INDEX(SF_Output!$R$1:$R$400,MATCH(_xlfn.TEXTJOIN(",",TRUE,B86:E86),SF_Output!$AC$1:$AC$400,0)))</f>
        <v>1</v>
      </c>
      <c r="I86" s="125" t="str">
        <f>IFERROR(IF(AND(H86&gt;1,H86&lt;&gt;""),ROUND(SUMIFS(SF_Output!$S$1:$S$400,SF_Output!$AC$1:$AC$400,_xlfn.TEXTJOIN(",",TRUE,B86:E86),SF_Output!$Q$1:$Q$400,"monthly")*(1-W86)/H86,4),""),"")</f>
        <v/>
      </c>
      <c r="J86" s="6">
        <f>IF(B86="","",SUMIFS(SF_Output!$S$1:$S$400,SF_Output!$AC$1:$AC$400,_xlfn.TEXTJOIN(",",TRUE,B86:E86),SF_Output!$Q$1:$Q$400,"One Time",SF_Output!$L$1:$L$400,"license fee")+SUMIFS(SF_Output!$S$1:$S$400,SF_Output!$AC$1:$AC$400,_xlfn.TEXTJOIN(",",TRUE,B86:E86),SF_Output!$Q$1:$Q$400,"One Time",SF_Output!$L$1:$L$400,"software license")+SUMIFS(SF_Output!$S$1:$S$400,SF_Output!$AC$1:$AC$400,_xlfn.TEXTJOIN(",",TRUE,B86:E86),SF_Output!$Q$1:$Q$400,"One Time",SF_Output!$L$1:$L$400,"hardware"))</f>
        <v>0</v>
      </c>
      <c r="K86" s="112" t="str">
        <f>IF(OR(B86=0,B86="",G86="hardware",J86=0),"",IF(AF86&lt;&gt;"exclusion",MAX(K$9,-((SUMIFS(SF_Output!$T$1:$T$400,SF_Output!$AC$1:$AC$400,_xlfn.TEXTJOIN(",",TRUE,$B86:$E86),SF_Output!$Q$1:$Q$400,"One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license"))/J86)))</f>
        <v/>
      </c>
      <c r="L86" s="6">
        <f t="shared" si="18"/>
        <v>0</v>
      </c>
      <c r="N86" s="6">
        <f>IF(B86="","",SUMIFS(SF_Output!$S$1:$S$400,SF_Output!$AC$1:$AC$400,_xlfn.TEXTJOIN(",",TRUE,B86:E86),SF_Output!$Q$1:$Q$400,"One Time",SF_Output!$L$1:$L$400,"professional service"))</f>
        <v>1000</v>
      </c>
      <c r="O86" s="112">
        <f>IF(OR(B86=0,B86="",N86=0),"",IF(AF86&lt;&gt;"exclusion",MAX(O$9,-(SUMIFS(SF_Output!$T$1:$T$400,SF_Output!$AC$1:$AC$400,_xlfn.TEXTJOIN(",",TRUE,$B86:$E86),SF_Output!$Q$1:$Q$400,"One Time",SF_Output!$L$1:$L$400,"professional service"))/N86),-((SUMIFS(SF_Output!$T$1:$T$400,SF_Output!$AC$1:$AC$400,_xlfn.TEXTJOIN(",",TRUE,$B86:$E86),SF_Output!$Q$1:$Q$400,"One Time",SF_Output!$L$1:$L$400,"professional service")/N86))))</f>
        <v>1</v>
      </c>
      <c r="P86" s="6">
        <f t="shared" si="19"/>
        <v>0</v>
      </c>
      <c r="R86" s="6">
        <f>IF(B86="","",SUMIFS(SF_Output!$S$1:$S$400,SF_Output!$AC$1:$AC$400,_xlfn.TEXTJOIN(",",TRUE,B86:E86),SF_Output!$Q$1:$Q$400,"yearly")+SUMIFS(SF_Output!$S$1:$S$400,SF_Output!$AC$1:$AC$400,_xlfn.TEXTJOIN(",",TRUE,B86:E86),SF_Output!$Q$1:$Q$400,"quarterly")*4)</f>
        <v>0</v>
      </c>
      <c r="S86" s="112" t="str">
        <f>IF(OR(B86=0,B86="",G86="hardware",R86=0),"",IF(AF86&lt;&gt;"exclusion",MAX(S$9,-(SUMIFS(SF_Output!$T$1:$T$400,SF_Output!$AC$1:$AC$400,_xlfn.TEXTJOIN(",",TRUE,$B86:$E86),SF_Output!$Q$1:$Q$400,"yearly"))/R86),-((SUMIFS(SF_Output!$T$1:$T$400,SF_Output!$AC$1:$AC$400,_xlfn.TEXTJOIN(",",TRUE,$B86:$E86),SF_Output!$Q$1:$Q$400,"yearly")/R86))))</f>
        <v/>
      </c>
      <c r="T86" s="6">
        <f t="shared" si="20"/>
        <v>0</v>
      </c>
      <c r="V86" s="6" cm="1">
        <f t="array" ref="V86">_xlfn.IFS(B86="","",AND(B86&lt;&gt;"",H86=SF_Output!$Y$2,SUMIFS(SF_Output!$T$1:$T$400,SF_Output!$AC$1:$AC$400,_xlfn.TEXTJOIN(",",TRUE,B86:E86),SF_Output!$Q$1:$Q$400,"monthly")=0),(SUMIFS(SF_Output!$F$1:$F$400,SF_Output!$AC$1:$AC$400,_xlfn.TEXTJOIN(",",TRUE,B86:E86),SF_Output!$Q$1:$Q$400,"monthly")+SUMIFS(SF_Output!$G$1:$G$400,SF_Output!$AC$1:$AC$400,_xlfn.TEXTJOIN(",",TRUE,B86:E86),SF_Output!$Q$1:$Q$400,"monthly"))*H86,AND(B86&lt;&gt;"",H86=SF_Output!$Y$2,SUMIFS(SF_Output!$T$1:$T$400,SF_Output!$AC$1:$AC$400,_xlfn.TEXTJOIN(",",TRUE,B86:E86),SF_Output!$Q$1:$Q$400,"monthly")&lt;&gt;0),SUMIFS(SF_Output!$S$1:$S$400,SF_Output!$AC$1:$AC$400,_xlfn.TEXTJOIN(",",TRUE,B86:E86),SF_Output!$Q$1:$Q$400,"monthly"),AND(B86&lt;&gt;"",H86&lt;&gt;SF_Output!$Y$2),SUMIFS(SF_Output!$S$1:$S$400,SF_Output!$AC$1:$AC$400,_xlfn.TEXTJOIN(",",TRUE,B86:E86),SF_Output!$Q$1:$Q$400,"monthly"))</f>
        <v>350</v>
      </c>
      <c r="W86" s="112" cm="1">
        <f t="array" ref="W86">_xlfn.IFS(OR(B86=0,B86="",V86=0),"",AF86&lt;&gt;"exclusion",MAX($W$9,$W$7,(-(SUMIFS(SF_Output!$T$1:$T$400,SF_Output!$AC$1:$AC$400,_xlfn.TEXTJOIN(",",TRUE,$B86:$E86),SF_Output!$Q$1:$Q$400,"monthly"))/V86)),AF86="exclusion",-(SUMIFS(SF_Output!$T$1:$T$400,SF_Output!$AC$1:$AC$400,_xlfn.TEXTJOIN(",",TRUE,$B86:$E86),SF_Output!$Q$1:$Q$400,"monthly"))/V86)</f>
        <v>0.5</v>
      </c>
      <c r="X86" s="6" cm="1">
        <f t="array" ref="X86">IFERROR(_xlfn.IFS(V86=0,0,V86="","",W86=0,V86,OR(V86&lt;&gt;0,V86&lt;&gt;""),H86*I86),V86*(1-W86))</f>
        <v>175</v>
      </c>
      <c r="Z86" s="6">
        <f>IFERROR(IF(B86="","",SUMIFS(Billing_Fallout!H:H,Billing_Fallout!N:N,B86)),0)</f>
        <v>0</v>
      </c>
      <c r="AA86" s="6">
        <f t="shared" si="21"/>
        <v>0</v>
      </c>
      <c r="AB86" s="6">
        <f>IFERROR(IF(B86="","",SUMIFS(Billing_Fallout!J:J,Billing_Fallout!N:N,B86)),0)</f>
        <v>0</v>
      </c>
      <c r="AD86" s="6">
        <f t="shared" si="22"/>
        <v>175</v>
      </c>
      <c r="AF86" t="str">
        <f>IFERROR(INDEX(H_Tables!$B$1:$B$1500,MATCH(INDEX(SF_Output!$J$1:$J$400,MATCH(B86,SF_Output!$M$1:$M$400,0)),H_Tables!$A$1:$A$1500,0)),"")</f>
        <v>Exclusion</v>
      </c>
      <c r="AI86" s="119" t="str">
        <f t="shared" si="23"/>
        <v/>
      </c>
      <c r="AJ86" s="121">
        <f>IFERROR(INDEX(SF_Output!AD:AD,MATCH(_xlfn.TEXTJOIN(",",TRUE,B86:E86),SF_Output!AC1:AC400,0)),0.05)</f>
        <v>149</v>
      </c>
      <c r="AK86" t="str">
        <f>IF(SUMIFS(SF_Output!$F$1:$F$400,SF_Output!$AC$1:$AC$400,_xlfn.TEXTJOIN(",",TRUE,B86:E86))+SUMIFS(SF_Output!$G$1:$G$400,SF_Output!$AC$1:$AC$400,_xlfn.TEXTJOIN(",",TRUE,B86:E86))=0,"","PAP")</f>
        <v/>
      </c>
      <c r="AQ86" s="35"/>
      <c r="AR86" s="35" t="str" cm="1">
        <f t="array" ref="AR86">IFERROR(_xlfn.IFS(AND(E86*1=1,F86="Included"),"Change to Included",AND(E86*1=0,F86="Optional"),"Change to Optional",OR(B86="",F86="replaced"),""),"")</f>
        <v/>
      </c>
      <c r="AS86" s="35" t="str">
        <f t="shared" si="24"/>
        <v/>
      </c>
      <c r="AT86" s="35" t="str">
        <f t="shared" si="25"/>
        <v/>
      </c>
      <c r="AU86" s="35" t="str">
        <f t="shared" si="26"/>
        <v/>
      </c>
      <c r="AV86" s="35" t="str">
        <f t="shared" si="27"/>
        <v/>
      </c>
      <c r="AW86" s="35" t="str">
        <f t="shared" si="28"/>
        <v/>
      </c>
      <c r="AX86" s="35" t="str">
        <f t="shared" si="29"/>
        <v/>
      </c>
      <c r="AY86" s="35" t="str">
        <f t="shared" si="30"/>
        <v/>
      </c>
      <c r="AZ86" s="35" t="str">
        <f t="shared" si="31"/>
        <v/>
      </c>
      <c r="BA86" s="35" t="str">
        <f t="shared" si="32"/>
        <v/>
      </c>
      <c r="BB86" s="35" t="str">
        <f t="shared" si="33"/>
        <v/>
      </c>
      <c r="BC86" s="35"/>
      <c r="BE86" s="35">
        <f ca="1">INDEX(SF_Output!$AA$2:$AA$400,MATCH($B86,SF_Output!$M$2:$M$400,0))</f>
        <v>6</v>
      </c>
      <c r="BF86" s="35">
        <f ca="1">INDEX(SF_Output!$AB$2:$AB$400,MATCH($B86,SF_Output!$M$2:$M$400,0))</f>
        <v>4</v>
      </c>
    </row>
    <row r="87" spans="2:58" x14ac:dyDescent="0.25">
      <c r="B87" t="s">
        <v>1109</v>
      </c>
      <c r="C87" t="s">
        <v>2122</v>
      </c>
      <c r="D87" t="s">
        <v>2123</v>
      </c>
      <c r="E87" t="s">
        <v>2124</v>
      </c>
      <c r="F87" s="116" t="str">
        <f t="shared" si="17"/>
        <v>Included</v>
      </c>
      <c r="G87" t="str">
        <f>IF(B87="","",INDEX(SF_Output!$K$1:$K$400,MATCH(B87,SF_Output!$M$1:$M$400,0)))</f>
        <v>Enterprise Payment Solutions (EPS)</v>
      </c>
      <c r="H87" cm="1">
        <f t="array" ref="H87">_xlfn.IFS(B87="","",(SUMIFS(SF_Output!$F$1:$F$400,SF_Output!$AC$1:$AC$400,_xlfn.TEXTJOIN(",",TRUE,B87:E87))+SUMIFS(SF_Output!$G$1:$G$400,SF_Output!$AC$1:$AC$400,_xlfn.TEXTJOIN(",",TRUE,B87:E87)))&lt;&gt;0,SF_Output!$Y$2,INDEX(SF_Output!$F$1:$F$400,MATCH(_xlfn.TEXTJOIN(",",TRUE,B87:E87),SF_Output!$AC$1:$AC$400,0))=0,INDEX(SF_Output!$R$1:$R$400,MATCH(_xlfn.TEXTJOIN(",",TRUE,B87:E87),SF_Output!$AC$1:$AC$400,0)))</f>
        <v>1</v>
      </c>
      <c r="I87" s="125" t="str">
        <f>IFERROR(IF(AND(H87&gt;1,H87&lt;&gt;""),ROUND(SUMIFS(SF_Output!$S$1:$S$400,SF_Output!$AC$1:$AC$400,_xlfn.TEXTJOIN(",",TRUE,B87:E87),SF_Output!$Q$1:$Q$400,"monthly")*(1-W87)/H87,4),""),"")</f>
        <v/>
      </c>
      <c r="J87" s="6">
        <f>IF(B87="","",SUMIFS(SF_Output!$S$1:$S$400,SF_Output!$AC$1:$AC$400,_xlfn.TEXTJOIN(",",TRUE,B87:E87),SF_Output!$Q$1:$Q$400,"One Time",SF_Output!$L$1:$L$400,"license fee")+SUMIFS(SF_Output!$S$1:$S$400,SF_Output!$AC$1:$AC$400,_xlfn.TEXTJOIN(",",TRUE,B87:E87),SF_Output!$Q$1:$Q$400,"One Time",SF_Output!$L$1:$L$400,"software license")+SUMIFS(SF_Output!$S$1:$S$400,SF_Output!$AC$1:$AC$400,_xlfn.TEXTJOIN(",",TRUE,B87:E87),SF_Output!$Q$1:$Q$400,"One Time",SF_Output!$L$1:$L$400,"hardware"))</f>
        <v>0</v>
      </c>
      <c r="K87" s="112" t="str">
        <f>IF(OR(B87=0,B87="",G87="hardware",J87=0),"",IF(AF87&lt;&gt;"exclusion",MAX(K$9,-((SUMIFS(SF_Output!$T$1:$T$400,SF_Output!$AC$1:$AC$400,_xlfn.TEXTJOIN(",",TRUE,$B87:$E87),SF_Output!$Q$1:$Q$400,"One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license"))/J87)))</f>
        <v/>
      </c>
      <c r="L87" s="6">
        <f t="shared" si="18"/>
        <v>0</v>
      </c>
      <c r="N87" s="6">
        <f>IF(B87="","",SUMIFS(SF_Output!$S$1:$S$400,SF_Output!$AC$1:$AC$400,_xlfn.TEXTJOIN(",",TRUE,B87:E87),SF_Output!$Q$1:$Q$400,"One Time",SF_Output!$L$1:$L$400,"professional service"))</f>
        <v>1500</v>
      </c>
      <c r="O87" s="112">
        <f>IF(OR(B87=0,B87="",N87=0),"",IF(AF87&lt;&gt;"exclusion",MAX(O$9,-(SUMIFS(SF_Output!$T$1:$T$400,SF_Output!$AC$1:$AC$400,_xlfn.TEXTJOIN(",",TRUE,$B87:$E87),SF_Output!$Q$1:$Q$400,"One Time",SF_Output!$L$1:$L$400,"professional service"))/N87),-((SUMIFS(SF_Output!$T$1:$T$400,SF_Output!$AC$1:$AC$400,_xlfn.TEXTJOIN(",",TRUE,$B87:$E87),SF_Output!$Q$1:$Q$400,"One Time",SF_Output!$L$1:$L$400,"professional service")/N87))))</f>
        <v>1</v>
      </c>
      <c r="P87" s="6">
        <f t="shared" si="19"/>
        <v>0</v>
      </c>
      <c r="R87" s="6">
        <f>IF(B87="","",SUMIFS(SF_Output!$S$1:$S$400,SF_Output!$AC$1:$AC$400,_xlfn.TEXTJOIN(",",TRUE,B87:E87),SF_Output!$Q$1:$Q$400,"yearly")+SUMIFS(SF_Output!$S$1:$S$400,SF_Output!$AC$1:$AC$400,_xlfn.TEXTJOIN(",",TRUE,B87:E87),SF_Output!$Q$1:$Q$400,"quarterly")*4)</f>
        <v>0</v>
      </c>
      <c r="S87" s="112" t="str">
        <f>IF(OR(B87=0,B87="",G87="hardware",R87=0),"",IF(AF87&lt;&gt;"exclusion",MAX(S$9,-(SUMIFS(SF_Output!$T$1:$T$400,SF_Output!$AC$1:$AC$400,_xlfn.TEXTJOIN(",",TRUE,$B87:$E87),SF_Output!$Q$1:$Q$400,"yearly"))/R87),-((SUMIFS(SF_Output!$T$1:$T$400,SF_Output!$AC$1:$AC$400,_xlfn.TEXTJOIN(",",TRUE,$B87:$E87),SF_Output!$Q$1:$Q$400,"yearly")/R87))))</f>
        <v/>
      </c>
      <c r="T87" s="6">
        <f t="shared" si="20"/>
        <v>0</v>
      </c>
      <c r="V87" s="6" cm="1">
        <f t="array" ref="V87">_xlfn.IFS(B87="","",AND(B87&lt;&gt;"",H87=SF_Output!$Y$2,SUMIFS(SF_Output!$T$1:$T$400,SF_Output!$AC$1:$AC$400,_xlfn.TEXTJOIN(",",TRUE,B87:E87),SF_Output!$Q$1:$Q$400,"monthly")=0),(SUMIFS(SF_Output!$F$1:$F$400,SF_Output!$AC$1:$AC$400,_xlfn.TEXTJOIN(",",TRUE,B87:E87),SF_Output!$Q$1:$Q$400,"monthly")+SUMIFS(SF_Output!$G$1:$G$400,SF_Output!$AC$1:$AC$400,_xlfn.TEXTJOIN(",",TRUE,B87:E87),SF_Output!$Q$1:$Q$400,"monthly"))*H87,AND(B87&lt;&gt;"",H87=SF_Output!$Y$2,SUMIFS(SF_Output!$T$1:$T$400,SF_Output!$AC$1:$AC$400,_xlfn.TEXTJOIN(",",TRUE,B87:E87),SF_Output!$Q$1:$Q$400,"monthly")&lt;&gt;0),SUMIFS(SF_Output!$S$1:$S$400,SF_Output!$AC$1:$AC$400,_xlfn.TEXTJOIN(",",TRUE,B87:E87),SF_Output!$Q$1:$Q$400,"monthly"),AND(B87&lt;&gt;"",H87&lt;&gt;SF_Output!$Y$2),SUMIFS(SF_Output!$S$1:$S$400,SF_Output!$AC$1:$AC$400,_xlfn.TEXTJOIN(",",TRUE,B87:E87),SF_Output!$Q$1:$Q$400,"monthly"))</f>
        <v>300</v>
      </c>
      <c r="W87" s="112" cm="1">
        <f t="array" ref="W87">_xlfn.IFS(OR(B87=0,B87="",V87=0),"",AF87&lt;&gt;"exclusion",MAX($W$9,$W$7,(-(SUMIFS(SF_Output!$T$1:$T$400,SF_Output!$AC$1:$AC$400,_xlfn.TEXTJOIN(",",TRUE,$B87:$E87),SF_Output!$Q$1:$Q$400,"monthly"))/V87)),AF87="exclusion",-(SUMIFS(SF_Output!$T$1:$T$400,SF_Output!$AC$1:$AC$400,_xlfn.TEXTJOIN(",",TRUE,$B87:$E87),SF_Output!$Q$1:$Q$400,"monthly"))/V87)</f>
        <v>0</v>
      </c>
      <c r="X87" s="6" cm="1">
        <f t="array" ref="X87">IFERROR(_xlfn.IFS(V87=0,0,V87="","",W87=0,V87,OR(V87&lt;&gt;0,V87&lt;&gt;""),H87*I87),V87*(1-W87))</f>
        <v>300</v>
      </c>
      <c r="Z87" s="6">
        <f>IFERROR(IF(B87="","",SUMIFS(Billing_Fallout!H:H,Billing_Fallout!N:N,B87)),0)</f>
        <v>0</v>
      </c>
      <c r="AA87" s="6">
        <f t="shared" si="21"/>
        <v>0</v>
      </c>
      <c r="AB87" s="6">
        <f>IFERROR(IF(B87="","",SUMIFS(Billing_Fallout!J:J,Billing_Fallout!N:N,B87)),0)</f>
        <v>0</v>
      </c>
      <c r="AD87" s="6">
        <f t="shared" si="22"/>
        <v>300</v>
      </c>
      <c r="AF87" t="str">
        <f>IFERROR(INDEX(H_Tables!$B$1:$B$1500,MATCH(INDEX(SF_Output!$J$1:$J$400,MATCH(B87,SF_Output!$M$1:$M$400,0)),H_Tables!$A$1:$A$1500,0)),"")</f>
        <v>Exclusion</v>
      </c>
      <c r="AI87" s="119" t="str">
        <f t="shared" si="23"/>
        <v/>
      </c>
      <c r="AJ87" s="121">
        <f>IFERROR(INDEX(SF_Output!AD:AD,MATCH(_xlfn.TEXTJOIN(",",TRUE,B87:E87),SF_Output!AC1:AC400,0)),0.05)</f>
        <v>151</v>
      </c>
      <c r="AK87" t="str">
        <f>IF(SUMIFS(SF_Output!$F$1:$F$400,SF_Output!$AC$1:$AC$400,_xlfn.TEXTJOIN(",",TRUE,B87:E87))+SUMIFS(SF_Output!$G$1:$G$400,SF_Output!$AC$1:$AC$400,_xlfn.TEXTJOIN(",",TRUE,B87:E87))=0,"","PAP")</f>
        <v/>
      </c>
      <c r="AQ87" s="35"/>
      <c r="AR87" s="35" t="str" cm="1">
        <f t="array" ref="AR87">IFERROR(_xlfn.IFS(AND(E87*1=1,F87="Included"),"Change to Included",AND(E87*1=0,F87="Optional"),"Change to Optional",OR(B87="",F87="replaced"),""),"")</f>
        <v/>
      </c>
      <c r="AS87" s="35" t="str">
        <f t="shared" si="24"/>
        <v/>
      </c>
      <c r="AT87" s="35" t="str">
        <f t="shared" si="25"/>
        <v/>
      </c>
      <c r="AU87" s="35" t="str">
        <f t="shared" si="26"/>
        <v/>
      </c>
      <c r="AV87" s="35" t="str">
        <f t="shared" si="27"/>
        <v/>
      </c>
      <c r="AW87" s="35" t="str">
        <f t="shared" si="28"/>
        <v/>
      </c>
      <c r="AX87" s="35" t="str">
        <f t="shared" si="29"/>
        <v/>
      </c>
      <c r="AY87" s="35" t="str">
        <f t="shared" si="30"/>
        <v/>
      </c>
      <c r="AZ87" s="35" t="str">
        <f t="shared" si="31"/>
        <v/>
      </c>
      <c r="BA87" s="35" t="str">
        <f t="shared" si="32"/>
        <v/>
      </c>
      <c r="BB87" s="35" t="str">
        <f t="shared" si="33"/>
        <v/>
      </c>
      <c r="BC87" s="35"/>
      <c r="BE87" s="35">
        <f ca="1">INDEX(SF_Output!$AA$2:$AA$400,MATCH($B87,SF_Output!$M$2:$M$400,0))</f>
        <v>6</v>
      </c>
      <c r="BF87" s="35">
        <f ca="1">INDEX(SF_Output!$AB$2:$AB$400,MATCH($B87,SF_Output!$M$2:$M$400,0))</f>
        <v>4</v>
      </c>
    </row>
    <row r="88" spans="2:58" x14ac:dyDescent="0.25">
      <c r="B88" t="s">
        <v>1451</v>
      </c>
      <c r="C88" t="s">
        <v>2122</v>
      </c>
      <c r="D88" t="s">
        <v>2123</v>
      </c>
      <c r="E88" t="s">
        <v>2124</v>
      </c>
      <c r="F88" s="116" t="str">
        <f t="shared" si="17"/>
        <v>Included</v>
      </c>
      <c r="G88" t="str">
        <f>IF(B88="","",INDEX(SF_Output!$K$1:$K$400,MATCH(B88,SF_Output!$M$1:$M$400,0)))</f>
        <v>Enterprise Payment Solutions (EPS)</v>
      </c>
      <c r="H88" cm="1">
        <f t="array" ref="H88">_xlfn.IFS(B88="","",(SUMIFS(SF_Output!$F$1:$F$400,SF_Output!$AC$1:$AC$400,_xlfn.TEXTJOIN(",",TRUE,B88:E88))+SUMIFS(SF_Output!$G$1:$G$400,SF_Output!$AC$1:$AC$400,_xlfn.TEXTJOIN(",",TRUE,B88:E88)))&lt;&gt;0,SF_Output!$Y$2,INDEX(SF_Output!$F$1:$F$400,MATCH(_xlfn.TEXTJOIN(",",TRUE,B88:E88),SF_Output!$AC$1:$AC$400,0))=0,INDEX(SF_Output!$R$1:$R$400,MATCH(_xlfn.TEXTJOIN(",",TRUE,B88:E88),SF_Output!$AC$1:$AC$400,0)))</f>
        <v>1</v>
      </c>
      <c r="I88" s="125" t="str">
        <f>IFERROR(IF(AND(H88&gt;1,H88&lt;&gt;""),ROUND(SUMIFS(SF_Output!$S$1:$S$400,SF_Output!$AC$1:$AC$400,_xlfn.TEXTJOIN(",",TRUE,B88:E88),SF_Output!$Q$1:$Q$400,"monthly")*(1-W88)/H88,4),""),"")</f>
        <v/>
      </c>
      <c r="J88" s="6">
        <f>IF(B88="","",SUMIFS(SF_Output!$S$1:$S$400,SF_Output!$AC$1:$AC$400,_xlfn.TEXTJOIN(",",TRUE,B88:E88),SF_Output!$Q$1:$Q$400,"One Time",SF_Output!$L$1:$L$400,"license fee")+SUMIFS(SF_Output!$S$1:$S$400,SF_Output!$AC$1:$AC$400,_xlfn.TEXTJOIN(",",TRUE,B88:E88),SF_Output!$Q$1:$Q$400,"One Time",SF_Output!$L$1:$L$400,"software license")+SUMIFS(SF_Output!$S$1:$S$400,SF_Output!$AC$1:$AC$400,_xlfn.TEXTJOIN(",",TRUE,B88:E88),SF_Output!$Q$1:$Q$400,"One Time",SF_Output!$L$1:$L$400,"hardware"))</f>
        <v>0</v>
      </c>
      <c r="K88" s="112" t="str">
        <f>IF(OR(B88=0,B88="",G88="hardware",J88=0),"",IF(AF88&lt;&gt;"exclusion",MAX(K$9,-((SUMIFS(SF_Output!$T$1:$T$400,SF_Output!$AC$1:$AC$400,_xlfn.TEXTJOIN(",",TRUE,$B88:$E88),SF_Output!$Q$1:$Q$400,"One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license"))/J88)))</f>
        <v/>
      </c>
      <c r="L88" s="6">
        <f t="shared" si="18"/>
        <v>0</v>
      </c>
      <c r="N88" s="6">
        <f>IF(B88="","",SUMIFS(SF_Output!$S$1:$S$400,SF_Output!$AC$1:$AC$400,_xlfn.TEXTJOIN(",",TRUE,B88:E88),SF_Output!$Q$1:$Q$400,"One Time",SF_Output!$L$1:$L$400,"professional service"))</f>
        <v>0</v>
      </c>
      <c r="O88" s="112" t="str">
        <f>IF(OR(B88=0,B88="",N88=0),"",IF(AF88&lt;&gt;"exclusion",MAX(O$9,-(SUMIFS(SF_Output!$T$1:$T$400,SF_Output!$AC$1:$AC$400,_xlfn.TEXTJOIN(",",TRUE,$B88:$E88),SF_Output!$Q$1:$Q$400,"One Time",SF_Output!$L$1:$L$400,"professional service"))/N88),-((SUMIFS(SF_Output!$T$1:$T$400,SF_Output!$AC$1:$AC$400,_xlfn.TEXTJOIN(",",TRUE,$B88:$E88),SF_Output!$Q$1:$Q$400,"One Time",SF_Output!$L$1:$L$400,"professional service")/N88))))</f>
        <v/>
      </c>
      <c r="P88" s="6">
        <f t="shared" si="19"/>
        <v>0</v>
      </c>
      <c r="R88" s="6">
        <f>IF(B88="","",SUMIFS(SF_Output!$S$1:$S$400,SF_Output!$AC$1:$AC$400,_xlfn.TEXTJOIN(",",TRUE,B88:E88),SF_Output!$Q$1:$Q$400,"yearly")+SUMIFS(SF_Output!$S$1:$S$400,SF_Output!$AC$1:$AC$400,_xlfn.TEXTJOIN(",",TRUE,B88:E88),SF_Output!$Q$1:$Q$400,"quarterly")*4)</f>
        <v>0</v>
      </c>
      <c r="S88" s="112" t="str">
        <f>IF(OR(B88=0,B88="",G88="hardware",R88=0),"",IF(AF88&lt;&gt;"exclusion",MAX(S$9,-(SUMIFS(SF_Output!$T$1:$T$400,SF_Output!$AC$1:$AC$400,_xlfn.TEXTJOIN(",",TRUE,$B88:$E88),SF_Output!$Q$1:$Q$400,"yearly"))/R88),-((SUMIFS(SF_Output!$T$1:$T$400,SF_Output!$AC$1:$AC$400,_xlfn.TEXTJOIN(",",TRUE,$B88:$E88),SF_Output!$Q$1:$Q$400,"yearly")/R88))))</f>
        <v/>
      </c>
      <c r="T88" s="6">
        <f t="shared" si="20"/>
        <v>0</v>
      </c>
      <c r="V88" s="6" cm="1">
        <f t="array" ref="V88">_xlfn.IFS(B88="","",AND(B88&lt;&gt;"",H88=SF_Output!$Y$2,SUMIFS(SF_Output!$T$1:$T$400,SF_Output!$AC$1:$AC$400,_xlfn.TEXTJOIN(",",TRUE,B88:E88),SF_Output!$Q$1:$Q$400,"monthly")=0),(SUMIFS(SF_Output!$F$1:$F$400,SF_Output!$AC$1:$AC$400,_xlfn.TEXTJOIN(",",TRUE,B88:E88),SF_Output!$Q$1:$Q$400,"monthly")+SUMIFS(SF_Output!$G$1:$G$400,SF_Output!$AC$1:$AC$400,_xlfn.TEXTJOIN(",",TRUE,B88:E88),SF_Output!$Q$1:$Q$400,"monthly"))*H88,AND(B88&lt;&gt;"",H88=SF_Output!$Y$2,SUMIFS(SF_Output!$T$1:$T$400,SF_Output!$AC$1:$AC$400,_xlfn.TEXTJOIN(",",TRUE,B88:E88),SF_Output!$Q$1:$Q$400,"monthly")&lt;&gt;0),SUMIFS(SF_Output!$S$1:$S$400,SF_Output!$AC$1:$AC$400,_xlfn.TEXTJOIN(",",TRUE,B88:E88),SF_Output!$Q$1:$Q$400,"monthly"),AND(B88&lt;&gt;"",H88&lt;&gt;SF_Output!$Y$2),SUMIFS(SF_Output!$S$1:$S$400,SF_Output!$AC$1:$AC$400,_xlfn.TEXTJOIN(",",TRUE,B88:E88),SF_Output!$Q$1:$Q$400,"monthly"))</f>
        <v>100</v>
      </c>
      <c r="W88" s="112" cm="1">
        <f t="array" ref="W88">_xlfn.IFS(OR(B88=0,B88="",V88=0),"",AF88&lt;&gt;"exclusion",MAX($W$9,$W$7,(-(SUMIFS(SF_Output!$T$1:$T$400,SF_Output!$AC$1:$AC$400,_xlfn.TEXTJOIN(",",TRUE,$B88:$E88),SF_Output!$Q$1:$Q$400,"monthly"))/V88)),AF88="exclusion",-(SUMIFS(SF_Output!$T$1:$T$400,SF_Output!$AC$1:$AC$400,_xlfn.TEXTJOIN(",",TRUE,$B88:$E88),SF_Output!$Q$1:$Q$400,"monthly"))/V88)</f>
        <v>0</v>
      </c>
      <c r="X88" s="6" cm="1">
        <f t="array" ref="X88">IFERROR(_xlfn.IFS(V88=0,0,V88="","",W88=0,V88,OR(V88&lt;&gt;0,V88&lt;&gt;""),H88*I88),V88*(1-W88))</f>
        <v>100</v>
      </c>
      <c r="Z88" s="6">
        <f>IFERROR(IF(B88="","",SUMIFS(Billing_Fallout!H:H,Billing_Fallout!N:N,B88)),0)</f>
        <v>0</v>
      </c>
      <c r="AA88" s="6">
        <f t="shared" si="21"/>
        <v>0</v>
      </c>
      <c r="AB88" s="6">
        <f>IFERROR(IF(B88="","",SUMIFS(Billing_Fallout!J:J,Billing_Fallout!N:N,B88)),0)</f>
        <v>0</v>
      </c>
      <c r="AD88" s="6">
        <f t="shared" si="22"/>
        <v>100</v>
      </c>
      <c r="AF88" t="str">
        <f>IFERROR(INDEX(H_Tables!$B$1:$B$1500,MATCH(INDEX(SF_Output!$J$1:$J$400,MATCH(B88,SF_Output!$M$1:$M$400,0)),H_Tables!$A$1:$A$1500,0)),"")</f>
        <v>Exclusion</v>
      </c>
      <c r="AI88" s="119" t="str">
        <f t="shared" si="23"/>
        <v/>
      </c>
      <c r="AJ88" s="121">
        <f>IFERROR(INDEX(SF_Output!AD:AD,MATCH(_xlfn.TEXTJOIN(",",TRUE,B88:E88),SF_Output!AC1:AC400,0)),0.05)</f>
        <v>153</v>
      </c>
      <c r="AK88" t="str">
        <f>IF(SUMIFS(SF_Output!$F$1:$F$400,SF_Output!$AC$1:$AC$400,_xlfn.TEXTJOIN(",",TRUE,B88:E88))+SUMIFS(SF_Output!$G$1:$G$400,SF_Output!$AC$1:$AC$400,_xlfn.TEXTJOIN(",",TRUE,B88:E88))=0,"","PAP")</f>
        <v/>
      </c>
      <c r="AQ88" s="35"/>
      <c r="AR88" s="35" t="str" cm="1">
        <f t="array" ref="AR88">IFERROR(_xlfn.IFS(AND(E88*1=1,F88="Included"),"Change to Included",AND(E88*1=0,F88="Optional"),"Change to Optional",OR(B88="",F88="replaced"),""),"")</f>
        <v/>
      </c>
      <c r="AS88" s="35" t="str">
        <f t="shared" si="24"/>
        <v/>
      </c>
      <c r="AT88" s="35" t="str">
        <f t="shared" si="25"/>
        <v/>
      </c>
      <c r="AU88" s="35" t="str">
        <f t="shared" si="26"/>
        <v/>
      </c>
      <c r="AV88" s="35" t="str">
        <f t="shared" si="27"/>
        <v/>
      </c>
      <c r="AW88" s="35" t="str">
        <f t="shared" si="28"/>
        <v/>
      </c>
      <c r="AX88" s="35" t="str">
        <f t="shared" si="29"/>
        <v/>
      </c>
      <c r="AY88" s="35" t="str">
        <f t="shared" si="30"/>
        <v/>
      </c>
      <c r="AZ88" s="35" t="str">
        <f t="shared" si="31"/>
        <v/>
      </c>
      <c r="BA88" s="35" t="str">
        <f t="shared" si="32"/>
        <v/>
      </c>
      <c r="BB88" s="35" t="str">
        <f t="shared" si="33"/>
        <v/>
      </c>
      <c r="BC88" s="35"/>
      <c r="BE88" s="35">
        <f ca="1">INDEX(SF_Output!$AA$2:$AA$400,MATCH($B88,SF_Output!$M$2:$M$400,0))</f>
        <v>6</v>
      </c>
      <c r="BF88" s="35">
        <f ca="1">INDEX(SF_Output!$AB$2:$AB$400,MATCH($B88,SF_Output!$M$2:$M$400,0))</f>
        <v>4</v>
      </c>
    </row>
    <row r="89" spans="2:58" x14ac:dyDescent="0.25">
      <c r="B89" t="s">
        <v>673</v>
      </c>
      <c r="C89" t="s">
        <v>2122</v>
      </c>
      <c r="D89" t="s">
        <v>2207</v>
      </c>
      <c r="E89" t="s">
        <v>2124</v>
      </c>
      <c r="F89" s="116" t="str">
        <f t="shared" si="17"/>
        <v>Included</v>
      </c>
      <c r="G89" t="str">
        <f>IF(B89="","",INDEX(SF_Output!$K$1:$K$400,MATCH(B89,SF_Output!$M$1:$M$400,0)))</f>
        <v>Card Processing Solutions (CPS)</v>
      </c>
      <c r="H89" cm="1">
        <f t="array" ref="H89">_xlfn.IFS(B89="","",(SUMIFS(SF_Output!$F$1:$F$400,SF_Output!$AC$1:$AC$400,_xlfn.TEXTJOIN(",",TRUE,B89:E89))+SUMIFS(SF_Output!$G$1:$G$400,SF_Output!$AC$1:$AC$400,_xlfn.TEXTJOIN(",",TRUE,B89:E89)))&lt;&gt;0,SF_Output!$Y$2,INDEX(SF_Output!$F$1:$F$400,MATCH(_xlfn.TEXTJOIN(",",TRUE,B89:E89),SF_Output!$AC$1:$AC$400,0))=0,INDEX(SF_Output!$R$1:$R$400,MATCH(_xlfn.TEXTJOIN(",",TRUE,B89:E89),SF_Output!$AC$1:$AC$400,0)))</f>
        <v>1</v>
      </c>
      <c r="I89" s="125" t="str">
        <f>IFERROR(IF(AND(H89&gt;1,H89&lt;&gt;""),ROUND(SUMIFS(SF_Output!$S$1:$S$400,SF_Output!$AC$1:$AC$400,_xlfn.TEXTJOIN(",",TRUE,B89:E89),SF_Output!$Q$1:$Q$400,"monthly")*(1-W89)/H89,4),""),"")</f>
        <v/>
      </c>
      <c r="J89" s="6">
        <f>IF(B89="","",SUMIFS(SF_Output!$S$1:$S$400,SF_Output!$AC$1:$AC$400,_xlfn.TEXTJOIN(",",TRUE,B89:E89),SF_Output!$Q$1:$Q$400,"One Time",SF_Output!$L$1:$L$400,"license fee")+SUMIFS(SF_Output!$S$1:$S$400,SF_Output!$AC$1:$AC$400,_xlfn.TEXTJOIN(",",TRUE,B89:E89),SF_Output!$Q$1:$Q$400,"One Time",SF_Output!$L$1:$L$400,"software license")+SUMIFS(SF_Output!$S$1:$S$400,SF_Output!$AC$1:$AC$400,_xlfn.TEXTJOIN(",",TRUE,B89:E89),SF_Output!$Q$1:$Q$400,"One Time",SF_Output!$L$1:$L$400,"hardware"))</f>
        <v>0</v>
      </c>
      <c r="K89" s="112" t="str">
        <f>IF(OR(B89=0,B89="",G89="hardware",J89=0),"",IF(AF89&lt;&gt;"exclusion",MAX(K$9,-((SUMIFS(SF_Output!$T$1:$T$400,SF_Output!$AC$1:$AC$400,_xlfn.TEXTJOIN(",",TRUE,$B89:$E89),SF_Output!$Q$1:$Q$400,"One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license"))/J89)))</f>
        <v/>
      </c>
      <c r="L89" s="6">
        <f t="shared" si="18"/>
        <v>0</v>
      </c>
      <c r="N89" s="6">
        <f>IF(B89="","",SUMIFS(SF_Output!$S$1:$S$400,SF_Output!$AC$1:$AC$400,_xlfn.TEXTJOIN(",",TRUE,B89:E89),SF_Output!$Q$1:$Q$400,"One Time",SF_Output!$L$1:$L$400,"professional service"))</f>
        <v>12500</v>
      </c>
      <c r="O89" s="112">
        <f>IF(OR(B89=0,B89="",N89=0),"",IF(AF89&lt;&gt;"exclusion",MAX(O$9,-(SUMIFS(SF_Output!$T$1:$T$400,SF_Output!$AC$1:$AC$400,_xlfn.TEXTJOIN(",",TRUE,$B89:$E89),SF_Output!$Q$1:$Q$400,"One Time",SF_Output!$L$1:$L$400,"professional service"))/N89),-((SUMIFS(SF_Output!$T$1:$T$400,SF_Output!$AC$1:$AC$400,_xlfn.TEXTJOIN(",",TRUE,$B89:$E89),SF_Output!$Q$1:$Q$400,"One Time",SF_Output!$L$1:$L$400,"professional service")/N89))))</f>
        <v>1</v>
      </c>
      <c r="P89" s="6">
        <f t="shared" si="19"/>
        <v>0</v>
      </c>
      <c r="R89" s="6">
        <f>IF(B89="","",SUMIFS(SF_Output!$S$1:$S$400,SF_Output!$AC$1:$AC$400,_xlfn.TEXTJOIN(",",TRUE,B89:E89),SF_Output!$Q$1:$Q$400,"yearly")+SUMIFS(SF_Output!$S$1:$S$400,SF_Output!$AC$1:$AC$400,_xlfn.TEXTJOIN(",",TRUE,B89:E89),SF_Output!$Q$1:$Q$400,"quarterly")*4)</f>
        <v>0</v>
      </c>
      <c r="S89" s="112" t="str">
        <f>IF(OR(B89=0,B89="",G89="hardware",R89=0),"",IF(AF89&lt;&gt;"exclusion",MAX(S$9,-(SUMIFS(SF_Output!$T$1:$T$400,SF_Output!$AC$1:$AC$400,_xlfn.TEXTJOIN(",",TRUE,$B89:$E89),SF_Output!$Q$1:$Q$400,"yearly"))/R89),-((SUMIFS(SF_Output!$T$1:$T$400,SF_Output!$AC$1:$AC$400,_xlfn.TEXTJOIN(",",TRUE,$B89:$E89),SF_Output!$Q$1:$Q$400,"yearly")/R89))))</f>
        <v/>
      </c>
      <c r="T89" s="6">
        <f t="shared" si="20"/>
        <v>0</v>
      </c>
      <c r="V89" s="6" cm="1">
        <f t="array" ref="V89">_xlfn.IFS(B89="","",AND(B89&lt;&gt;"",H89=SF_Output!$Y$2,SUMIFS(SF_Output!$T$1:$T$400,SF_Output!$AC$1:$AC$400,_xlfn.TEXTJOIN(",",TRUE,B89:E89),SF_Output!$Q$1:$Q$400,"monthly")=0),(SUMIFS(SF_Output!$F$1:$F$400,SF_Output!$AC$1:$AC$400,_xlfn.TEXTJOIN(",",TRUE,B89:E89),SF_Output!$Q$1:$Q$400,"monthly")+SUMIFS(SF_Output!$G$1:$G$400,SF_Output!$AC$1:$AC$400,_xlfn.TEXTJOIN(",",TRUE,B89:E89),SF_Output!$Q$1:$Q$400,"monthly"))*H89,AND(B89&lt;&gt;"",H89=SF_Output!$Y$2,SUMIFS(SF_Output!$T$1:$T$400,SF_Output!$AC$1:$AC$400,_xlfn.TEXTJOIN(",",TRUE,B89:E89),SF_Output!$Q$1:$Q$400,"monthly")&lt;&gt;0),SUMIFS(SF_Output!$S$1:$S$400,SF_Output!$AC$1:$AC$400,_xlfn.TEXTJOIN(",",TRUE,B89:E89),SF_Output!$Q$1:$Q$400,"monthly"),AND(B89&lt;&gt;"",H89&lt;&gt;SF_Output!$Y$2),SUMIFS(SF_Output!$S$1:$S$400,SF_Output!$AC$1:$AC$400,_xlfn.TEXTJOIN(",",TRUE,B89:E89),SF_Output!$Q$1:$Q$400,"monthly"))</f>
        <v>650</v>
      </c>
      <c r="W89" s="112" cm="1">
        <f t="array" ref="W89">_xlfn.IFS(OR(B89=0,B89="",V89=0),"",AF89&lt;&gt;"exclusion",MAX($W$9,$W$7,(-(SUMIFS(SF_Output!$T$1:$T$400,SF_Output!$AC$1:$AC$400,_xlfn.TEXTJOIN(",",TRUE,$B89:$E89),SF_Output!$Q$1:$Q$400,"monthly"))/V89)),AF89="exclusion",-(SUMIFS(SF_Output!$T$1:$T$400,SF_Output!$AC$1:$AC$400,_xlfn.TEXTJOIN(",",TRUE,$B89:$E89),SF_Output!$Q$1:$Q$400,"monthly"))/V89)</f>
        <v>0</v>
      </c>
      <c r="X89" s="6" cm="1">
        <f t="array" ref="X89">IFERROR(_xlfn.IFS(V89=0,0,V89="","",W89=0,V89,OR(V89&lt;&gt;0,V89&lt;&gt;""),H89*I89),V89*(1-W89))</f>
        <v>650</v>
      </c>
      <c r="Z89" s="6">
        <f>IFERROR(IF(B89="","",SUMIFS(Billing_Fallout!H:H,Billing_Fallout!N:N,B89)),0)</f>
        <v>0</v>
      </c>
      <c r="AA89" s="6">
        <f t="shared" si="21"/>
        <v>0</v>
      </c>
      <c r="AB89" s="6">
        <f>IFERROR(IF(B89="","",SUMIFS(Billing_Fallout!J:J,Billing_Fallout!N:N,B89)),0)</f>
        <v>0</v>
      </c>
      <c r="AD89" s="6">
        <f t="shared" si="22"/>
        <v>650</v>
      </c>
      <c r="AF89" t="str">
        <f>IFERROR(INDEX(H_Tables!$B$1:$B$1500,MATCH(INDEX(SF_Output!$J$1:$J$400,MATCH(B89,SF_Output!$M$1:$M$400,0)),H_Tables!$A$1:$A$1500,0)),"")</f>
        <v>Exclusion</v>
      </c>
      <c r="AI89" s="119" t="str">
        <f t="shared" si="23"/>
        <v/>
      </c>
      <c r="AJ89" s="121">
        <f>IFERROR(INDEX(SF_Output!AD:AD,MATCH(_xlfn.TEXTJOIN(",",TRUE,B89:E89),SF_Output!AC1:AC400,0)),0.05)</f>
        <v>159</v>
      </c>
      <c r="AK89" t="str">
        <f>IF(SUMIFS(SF_Output!$F$1:$F$400,SF_Output!$AC$1:$AC$400,_xlfn.TEXTJOIN(",",TRUE,B89:E89))+SUMIFS(SF_Output!$G$1:$G$400,SF_Output!$AC$1:$AC$400,_xlfn.TEXTJOIN(",",TRUE,B89:E89))=0,"","PAP")</f>
        <v/>
      </c>
      <c r="AQ89" s="35"/>
      <c r="AR89" s="35" t="str" cm="1">
        <f t="array" ref="AR89">IFERROR(_xlfn.IFS(AND(E89*1=1,F89="Included"),"Change to Included",AND(E89*1=0,F89="Optional"),"Change to Optional",OR(B89="",F89="replaced"),""),"")</f>
        <v/>
      </c>
      <c r="AS89" s="35" t="str">
        <f t="shared" si="24"/>
        <v/>
      </c>
      <c r="AT89" s="35" t="str">
        <f t="shared" si="25"/>
        <v/>
      </c>
      <c r="AU89" s="35" t="str">
        <f t="shared" si="26"/>
        <v/>
      </c>
      <c r="AV89" s="35" t="str">
        <f t="shared" si="27"/>
        <v/>
      </c>
      <c r="AW89" s="35" t="str">
        <f t="shared" si="28"/>
        <v/>
      </c>
      <c r="AX89" s="35" t="str">
        <f t="shared" si="29"/>
        <v/>
      </c>
      <c r="AY89" s="35" t="str">
        <f t="shared" si="30"/>
        <v/>
      </c>
      <c r="AZ89" s="35" t="str">
        <f t="shared" si="31"/>
        <v/>
      </c>
      <c r="BA89" s="35" t="str">
        <f t="shared" si="32"/>
        <v/>
      </c>
      <c r="BB89" s="35" t="str">
        <f t="shared" si="33"/>
        <v/>
      </c>
      <c r="BC89" s="35"/>
      <c r="BE89" s="35">
        <f ca="1">INDEX(SF_Output!$AA$2:$AA$400,MATCH($B89,SF_Output!$M$2:$M$400,0))</f>
        <v>6</v>
      </c>
      <c r="BF89" s="35">
        <f ca="1">INDEX(SF_Output!$AB$2:$AB$400,MATCH($B89,SF_Output!$M$2:$M$400,0))</f>
        <v>1</v>
      </c>
    </row>
    <row r="90" spans="2:58" x14ac:dyDescent="0.25">
      <c r="B90" t="s">
        <v>2343</v>
      </c>
      <c r="C90" t="s">
        <v>2122</v>
      </c>
      <c r="D90" t="s">
        <v>2207</v>
      </c>
      <c r="E90" t="s">
        <v>2124</v>
      </c>
      <c r="F90" s="116" t="str">
        <f t="shared" si="17"/>
        <v>Included</v>
      </c>
      <c r="G90" t="str">
        <f>IF(B90="","",INDEX(SF_Output!$K$1:$K$400,MATCH(B90,SF_Output!$M$1:$M$400,0)))</f>
        <v>Card Processing Solutions (CPS)</v>
      </c>
      <c r="H90" cm="1">
        <f t="array" ref="H90">_xlfn.IFS(B90="","",(SUMIFS(SF_Output!$F$1:$F$400,SF_Output!$AC$1:$AC$400,_xlfn.TEXTJOIN(",",TRUE,B90:E90))+SUMIFS(SF_Output!$G$1:$G$400,SF_Output!$AC$1:$AC$400,_xlfn.TEXTJOIN(",",TRUE,B90:E90)))&lt;&gt;0,SF_Output!$Y$2,INDEX(SF_Output!$F$1:$F$400,MATCH(_xlfn.TEXTJOIN(",",TRUE,B90:E90),SF_Output!$AC$1:$AC$400,0))=0,INDEX(SF_Output!$R$1:$R$400,MATCH(_xlfn.TEXTJOIN(",",TRUE,B90:E90),SF_Output!$AC$1:$AC$400,0)))</f>
        <v>1</v>
      </c>
      <c r="I90" s="125" t="str">
        <f>IFERROR(IF(AND(H90&gt;1,H90&lt;&gt;""),ROUND(SUMIFS(SF_Output!$S$1:$S$400,SF_Output!$AC$1:$AC$400,_xlfn.TEXTJOIN(",",TRUE,B90:E90),SF_Output!$Q$1:$Q$400,"monthly")*(1-W90)/H90,4),""),"")</f>
        <v/>
      </c>
      <c r="J90" s="6">
        <f>IF(B90="","",SUMIFS(SF_Output!$S$1:$S$400,SF_Output!$AC$1:$AC$400,_xlfn.TEXTJOIN(",",TRUE,B90:E90),SF_Output!$Q$1:$Q$400,"One Time",SF_Output!$L$1:$L$400,"license fee")+SUMIFS(SF_Output!$S$1:$S$400,SF_Output!$AC$1:$AC$400,_xlfn.TEXTJOIN(",",TRUE,B90:E90),SF_Output!$Q$1:$Q$400,"One Time",SF_Output!$L$1:$L$400,"software license")+SUMIFS(SF_Output!$S$1:$S$400,SF_Output!$AC$1:$AC$400,_xlfn.TEXTJOIN(",",TRUE,B90:E90),SF_Output!$Q$1:$Q$400,"One Time",SF_Output!$L$1:$L$400,"hardware"))</f>
        <v>0</v>
      </c>
      <c r="K90" s="112" t="str">
        <f>IF(OR(B90=0,B90="",G90="hardware",J90=0),"",IF(AF90&lt;&gt;"exclusion",MAX(K$9,-((SUMIFS(SF_Output!$T$1:$T$400,SF_Output!$AC$1:$AC$400,_xlfn.TEXTJOIN(",",TRUE,$B90:$E90),SF_Output!$Q$1:$Q$400,"One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license"))/J90)))</f>
        <v/>
      </c>
      <c r="L90" s="6">
        <f t="shared" si="18"/>
        <v>0</v>
      </c>
      <c r="N90" s="6">
        <f>IF(B90="","",SUMIFS(SF_Output!$S$1:$S$400,SF_Output!$AC$1:$AC$400,_xlfn.TEXTJOIN(",",TRUE,B90:E90),SF_Output!$Q$1:$Q$400,"One Time",SF_Output!$L$1:$L$400,"professional service"))</f>
        <v>0</v>
      </c>
      <c r="O90" s="112" t="str">
        <f>IF(OR(B90=0,B90="",N90=0),"",IF(AF90&lt;&gt;"exclusion",MAX(O$9,-(SUMIFS(SF_Output!$T$1:$T$400,SF_Output!$AC$1:$AC$400,_xlfn.TEXTJOIN(",",TRUE,$B90:$E90),SF_Output!$Q$1:$Q$400,"One Time",SF_Output!$L$1:$L$400,"professional service"))/N90),-((SUMIFS(SF_Output!$T$1:$T$400,SF_Output!$AC$1:$AC$400,_xlfn.TEXTJOIN(",",TRUE,$B90:$E90),SF_Output!$Q$1:$Q$400,"One Time",SF_Output!$L$1:$L$400,"professional service")/N90))))</f>
        <v/>
      </c>
      <c r="P90" s="6">
        <f t="shared" si="19"/>
        <v>0</v>
      </c>
      <c r="R90" s="6">
        <f>IF(B90="","",SUMIFS(SF_Output!$S$1:$S$400,SF_Output!$AC$1:$AC$400,_xlfn.TEXTJOIN(",",TRUE,B90:E90),SF_Output!$Q$1:$Q$400,"yearly")+SUMIFS(SF_Output!$S$1:$S$400,SF_Output!$AC$1:$AC$400,_xlfn.TEXTJOIN(",",TRUE,B90:E90),SF_Output!$Q$1:$Q$400,"quarterly")*4)</f>
        <v>0</v>
      </c>
      <c r="S90" s="112" t="str">
        <f>IF(OR(B90=0,B90="",G90="hardware",R90=0),"",IF(AF90&lt;&gt;"exclusion",MAX(S$9,-(SUMIFS(SF_Output!$T$1:$T$400,SF_Output!$AC$1:$AC$400,_xlfn.TEXTJOIN(",",TRUE,$B90:$E90),SF_Output!$Q$1:$Q$400,"yearly"))/R90),-((SUMIFS(SF_Output!$T$1:$T$400,SF_Output!$AC$1:$AC$400,_xlfn.TEXTJOIN(",",TRUE,$B90:$E90),SF_Output!$Q$1:$Q$400,"yearly")/R90))))</f>
        <v/>
      </c>
      <c r="T90" s="6">
        <f t="shared" si="20"/>
        <v>0</v>
      </c>
      <c r="V90" s="6" cm="1">
        <f t="array" ref="V90">_xlfn.IFS(B90="","",AND(B90&lt;&gt;"",H90=SF_Output!$Y$2,SUMIFS(SF_Output!$T$1:$T$400,SF_Output!$AC$1:$AC$400,_xlfn.TEXTJOIN(",",TRUE,B90:E90),SF_Output!$Q$1:$Q$400,"monthly")=0),(SUMIFS(SF_Output!$F$1:$F$400,SF_Output!$AC$1:$AC$400,_xlfn.TEXTJOIN(",",TRUE,B90:E90),SF_Output!$Q$1:$Q$400,"monthly")+SUMIFS(SF_Output!$G$1:$G$400,SF_Output!$AC$1:$AC$400,_xlfn.TEXTJOIN(",",TRUE,B90:E90),SF_Output!$Q$1:$Q$400,"monthly"))*H90,AND(B90&lt;&gt;"",H90=SF_Output!$Y$2,SUMIFS(SF_Output!$T$1:$T$400,SF_Output!$AC$1:$AC$400,_xlfn.TEXTJOIN(",",TRUE,B90:E90),SF_Output!$Q$1:$Q$400,"monthly")&lt;&gt;0),SUMIFS(SF_Output!$S$1:$S$400,SF_Output!$AC$1:$AC$400,_xlfn.TEXTJOIN(",",TRUE,B90:E90),SF_Output!$Q$1:$Q$400,"monthly"),AND(B90&lt;&gt;"",H90&lt;&gt;SF_Output!$Y$2),SUMIFS(SF_Output!$S$1:$S$400,SF_Output!$AC$1:$AC$400,_xlfn.TEXTJOIN(",",TRUE,B90:E90),SF_Output!$Q$1:$Q$400,"monthly"))</f>
        <v>250</v>
      </c>
      <c r="W90" s="112" cm="1">
        <f t="array" ref="W90">_xlfn.IFS(OR(B90=0,B90="",V90=0),"",AF90&lt;&gt;"exclusion",MAX($W$9,$W$7,(-(SUMIFS(SF_Output!$T$1:$T$400,SF_Output!$AC$1:$AC$400,_xlfn.TEXTJOIN(",",TRUE,$B90:$E90),SF_Output!$Q$1:$Q$400,"monthly"))/V90)),AF90="exclusion",-(SUMIFS(SF_Output!$T$1:$T$400,SF_Output!$AC$1:$AC$400,_xlfn.TEXTJOIN(",",TRUE,$B90:$E90),SF_Output!$Q$1:$Q$400,"monthly"))/V90)</f>
        <v>0</v>
      </c>
      <c r="X90" s="6" cm="1">
        <f t="array" ref="X90">IFERROR(_xlfn.IFS(V90=0,0,V90="","",W90=0,V90,OR(V90&lt;&gt;0,V90&lt;&gt;""),H90*I90),V90*(1-W90))</f>
        <v>250</v>
      </c>
      <c r="Z90" s="6">
        <f>IFERROR(IF(B90="","",SUMIFS(Billing_Fallout!H:H,Billing_Fallout!N:N,B90)),0)</f>
        <v>0</v>
      </c>
      <c r="AA90" s="6">
        <f t="shared" si="21"/>
        <v>0</v>
      </c>
      <c r="AB90" s="6">
        <f>IFERROR(IF(B90="","",SUMIFS(Billing_Fallout!J:J,Billing_Fallout!N:N,B90)),0)</f>
        <v>0</v>
      </c>
      <c r="AD90" s="6">
        <f t="shared" si="22"/>
        <v>250</v>
      </c>
      <c r="AF90" t="str">
        <f>IFERROR(INDEX(H_Tables!$B$1:$B$1500,MATCH(INDEX(SF_Output!$J$1:$J$400,MATCH(B90,SF_Output!$M$1:$M$400,0)),H_Tables!$A$1:$A$1500,0)),"")</f>
        <v>Exclusion</v>
      </c>
      <c r="AI90" s="119" t="str">
        <f t="shared" si="23"/>
        <v/>
      </c>
      <c r="AJ90" s="121">
        <f>IFERROR(INDEX(SF_Output!AD:AD,MATCH(_xlfn.TEXTJOIN(",",TRUE,B90:E90),SF_Output!AC1:AC400,0)),0.05)</f>
        <v>161</v>
      </c>
      <c r="AK90" t="str">
        <f>IF(SUMIFS(SF_Output!$F$1:$F$400,SF_Output!$AC$1:$AC$400,_xlfn.TEXTJOIN(",",TRUE,B90:E90))+SUMIFS(SF_Output!$G$1:$G$400,SF_Output!$AC$1:$AC$400,_xlfn.TEXTJOIN(",",TRUE,B90:E90))=0,"","PAP")</f>
        <v/>
      </c>
      <c r="AQ90" s="35"/>
      <c r="AR90" s="35" t="str" cm="1">
        <f t="array" ref="AR90">IFERROR(_xlfn.IFS(AND(E90*1=1,F90="Included"),"Change to Included",AND(E90*1=0,F90="Optional"),"Change to Optional",OR(B90="",F90="replaced"),""),"")</f>
        <v/>
      </c>
      <c r="AS90" s="35" t="str">
        <f t="shared" si="24"/>
        <v/>
      </c>
      <c r="AT90" s="35" t="str">
        <f t="shared" si="25"/>
        <v/>
      </c>
      <c r="AU90" s="35" t="str">
        <f t="shared" si="26"/>
        <v/>
      </c>
      <c r="AV90" s="35" t="str">
        <f t="shared" si="27"/>
        <v/>
      </c>
      <c r="AW90" s="35" t="str">
        <f t="shared" si="28"/>
        <v/>
      </c>
      <c r="AX90" s="35" t="str">
        <f t="shared" si="29"/>
        <v/>
      </c>
      <c r="AY90" s="35" t="str">
        <f t="shared" si="30"/>
        <v/>
      </c>
      <c r="AZ90" s="35" t="str">
        <f t="shared" si="31"/>
        <v/>
      </c>
      <c r="BA90" s="35" t="str">
        <f t="shared" si="32"/>
        <v/>
      </c>
      <c r="BB90" s="35" t="str">
        <f t="shared" si="33"/>
        <v/>
      </c>
      <c r="BC90" s="35"/>
      <c r="BE90" s="35">
        <f ca="1">INDEX(SF_Output!$AA$2:$AA$400,MATCH($B90,SF_Output!$M$2:$M$400,0))</f>
        <v>6</v>
      </c>
      <c r="BF90" s="35">
        <f ca="1">INDEX(SF_Output!$AB$2:$AB$400,MATCH($B90,SF_Output!$M$2:$M$400,0))</f>
        <v>1</v>
      </c>
    </row>
    <row r="91" spans="2:58" x14ac:dyDescent="0.25">
      <c r="B91" t="s">
        <v>679</v>
      </c>
      <c r="C91" t="s">
        <v>2122</v>
      </c>
      <c r="D91" t="s">
        <v>2207</v>
      </c>
      <c r="E91" t="s">
        <v>2124</v>
      </c>
      <c r="F91" s="116" t="str">
        <f t="shared" si="17"/>
        <v>Included</v>
      </c>
      <c r="G91" t="str">
        <f>IF(B91="","",INDEX(SF_Output!$K$1:$K$400,MATCH(B91,SF_Output!$M$1:$M$400,0)))</f>
        <v>Card Processing Solutions (CPS)</v>
      </c>
      <c r="H91" cm="1">
        <f t="array" ref="H91">_xlfn.IFS(B91="","",(SUMIFS(SF_Output!$F$1:$F$400,SF_Output!$AC$1:$AC$400,_xlfn.TEXTJOIN(",",TRUE,B91:E91))+SUMIFS(SF_Output!$G$1:$G$400,SF_Output!$AC$1:$AC$400,_xlfn.TEXTJOIN(",",TRUE,B91:E91)))&lt;&gt;0,SF_Output!$Y$2,INDEX(SF_Output!$F$1:$F$400,MATCH(_xlfn.TEXTJOIN(",",TRUE,B91:E91),SF_Output!$AC$1:$AC$400,0))=0,INDEX(SF_Output!$R$1:$R$400,MATCH(_xlfn.TEXTJOIN(",",TRUE,B91:E91),SF_Output!$AC$1:$AC$400,0)))</f>
        <v>0</v>
      </c>
      <c r="I91" s="125" t="str">
        <f>IFERROR(IF(AND(H91&gt;1,H91&lt;&gt;""),ROUND(SUMIFS(SF_Output!$S$1:$S$400,SF_Output!$AC$1:$AC$400,_xlfn.TEXTJOIN(",",TRUE,B91:E91),SF_Output!$Q$1:$Q$400,"monthly")*(1-W91)/H91,4),""),"")</f>
        <v/>
      </c>
      <c r="J91" s="6">
        <f>IF(B91="","",SUMIFS(SF_Output!$S$1:$S$400,SF_Output!$AC$1:$AC$400,_xlfn.TEXTJOIN(",",TRUE,B91:E91),SF_Output!$Q$1:$Q$400,"One Time",SF_Output!$L$1:$L$400,"license fee")+SUMIFS(SF_Output!$S$1:$S$400,SF_Output!$AC$1:$AC$400,_xlfn.TEXTJOIN(",",TRUE,B91:E91),SF_Output!$Q$1:$Q$400,"One Time",SF_Output!$L$1:$L$400,"software license")+SUMIFS(SF_Output!$S$1:$S$400,SF_Output!$AC$1:$AC$400,_xlfn.TEXTJOIN(",",TRUE,B91:E91),SF_Output!$Q$1:$Q$400,"One Time",SF_Output!$L$1:$L$400,"hardware"))</f>
        <v>0</v>
      </c>
      <c r="K91" s="112" t="str">
        <f>IF(OR(B91=0,B91="",G91="hardware",J91=0),"",IF(AF91&lt;&gt;"exclusion",MAX(K$9,-((SUMIFS(SF_Output!$T$1:$T$400,SF_Output!$AC$1:$AC$400,_xlfn.TEXTJOIN(",",TRUE,$B91:$E91),SF_Output!$Q$1:$Q$400,"One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license"))/J91)))</f>
        <v/>
      </c>
      <c r="L91" s="6">
        <f t="shared" si="18"/>
        <v>0</v>
      </c>
      <c r="N91" s="6">
        <f>IF(B91="","",SUMIFS(SF_Output!$S$1:$S$400,SF_Output!$AC$1:$AC$400,_xlfn.TEXTJOIN(",",TRUE,B91:E91),SF_Output!$Q$1:$Q$400,"One Time",SF_Output!$L$1:$L$400,"professional service"))</f>
        <v>0</v>
      </c>
      <c r="O91" s="112" t="str">
        <f>IF(OR(B91=0,B91="",N91=0),"",IF(AF91&lt;&gt;"exclusion",MAX(O$9,-(SUMIFS(SF_Output!$T$1:$T$400,SF_Output!$AC$1:$AC$400,_xlfn.TEXTJOIN(",",TRUE,$B91:$E91),SF_Output!$Q$1:$Q$400,"One Time",SF_Output!$L$1:$L$400,"professional service"))/N91),-((SUMIFS(SF_Output!$T$1:$T$400,SF_Output!$AC$1:$AC$400,_xlfn.TEXTJOIN(",",TRUE,$B91:$E91),SF_Output!$Q$1:$Q$400,"One Time",SF_Output!$L$1:$L$400,"professional service")/N91))))</f>
        <v/>
      </c>
      <c r="P91" s="6">
        <f t="shared" si="19"/>
        <v>0</v>
      </c>
      <c r="R91" s="6">
        <f>IF(B91="","",SUMIFS(SF_Output!$S$1:$S$400,SF_Output!$AC$1:$AC$400,_xlfn.TEXTJOIN(",",TRUE,B91:E91),SF_Output!$Q$1:$Q$400,"yearly")+SUMIFS(SF_Output!$S$1:$S$400,SF_Output!$AC$1:$AC$400,_xlfn.TEXTJOIN(",",TRUE,B91:E91),SF_Output!$Q$1:$Q$400,"quarterly")*4)</f>
        <v>0</v>
      </c>
      <c r="S91" s="112" t="str">
        <f>IF(OR(B91=0,B91="",G91="hardware",R91=0),"",IF(AF91&lt;&gt;"exclusion",MAX(S$9,-(SUMIFS(SF_Output!$T$1:$T$400,SF_Output!$AC$1:$AC$400,_xlfn.TEXTJOIN(",",TRUE,$B91:$E91),SF_Output!$Q$1:$Q$400,"yearly"))/R91),-((SUMIFS(SF_Output!$T$1:$T$400,SF_Output!$AC$1:$AC$400,_xlfn.TEXTJOIN(",",TRUE,$B91:$E91),SF_Output!$Q$1:$Q$400,"yearly")/R91))))</f>
        <v/>
      </c>
      <c r="T91" s="6">
        <f t="shared" si="20"/>
        <v>0</v>
      </c>
      <c r="V91" s="6" cm="1">
        <f t="array" ref="V91">_xlfn.IFS(B91="","",AND(B91&lt;&gt;"",H91=SF_Output!$Y$2,SUMIFS(SF_Output!$T$1:$T$400,SF_Output!$AC$1:$AC$400,_xlfn.TEXTJOIN(",",TRUE,B91:E91),SF_Output!$Q$1:$Q$400,"monthly")=0),(SUMIFS(SF_Output!$F$1:$F$400,SF_Output!$AC$1:$AC$400,_xlfn.TEXTJOIN(",",TRUE,B91:E91),SF_Output!$Q$1:$Q$400,"monthly")+SUMIFS(SF_Output!$G$1:$G$400,SF_Output!$AC$1:$AC$400,_xlfn.TEXTJOIN(",",TRUE,B91:E91),SF_Output!$Q$1:$Q$400,"monthly"))*H91,AND(B91&lt;&gt;"",H91=SF_Output!$Y$2,SUMIFS(SF_Output!$T$1:$T$400,SF_Output!$AC$1:$AC$400,_xlfn.TEXTJOIN(",",TRUE,B91:E91),SF_Output!$Q$1:$Q$400,"monthly")&lt;&gt;0),SUMIFS(SF_Output!$S$1:$S$400,SF_Output!$AC$1:$AC$400,_xlfn.TEXTJOIN(",",TRUE,B91:E91),SF_Output!$Q$1:$Q$400,"monthly"),AND(B91&lt;&gt;"",H91&lt;&gt;SF_Output!$Y$2),SUMIFS(SF_Output!$S$1:$S$400,SF_Output!$AC$1:$AC$400,_xlfn.TEXTJOIN(",",TRUE,B91:E91),SF_Output!$Q$1:$Q$400,"monthly"))</f>
        <v>0</v>
      </c>
      <c r="W91" s="112" t="str" cm="1">
        <f t="array" ref="W91">_xlfn.IFS(OR(B91=0,B91="",V91=0),"",AF91&lt;&gt;"exclusion",MAX($W$9,$W$7,(-(SUMIFS(SF_Output!$T$1:$T$400,SF_Output!$AC$1:$AC$400,_xlfn.TEXTJOIN(",",TRUE,$B91:$E91),SF_Output!$Q$1:$Q$400,"monthly"))/V91)),AF91="exclusion",-(SUMIFS(SF_Output!$T$1:$T$400,SF_Output!$AC$1:$AC$400,_xlfn.TEXTJOIN(",",TRUE,$B91:$E91),SF_Output!$Q$1:$Q$400,"monthly"))/V91)</f>
        <v/>
      </c>
      <c r="X91" s="6" cm="1">
        <f t="array" ref="X91">IFERROR(_xlfn.IFS(V91=0,0,V91="","",W91=0,V91,OR(V91&lt;&gt;0,V91&lt;&gt;""),H91*I91),V91*(1-W91))</f>
        <v>0</v>
      </c>
      <c r="Z91" s="6">
        <f>IFERROR(IF(B91="","",SUMIFS(Billing_Fallout!H:H,Billing_Fallout!N:N,B91)),0)</f>
        <v>0</v>
      </c>
      <c r="AA91" s="6">
        <f t="shared" si="21"/>
        <v>0</v>
      </c>
      <c r="AB91" s="6">
        <f>IFERROR(IF(B91="","",SUMIFS(Billing_Fallout!J:J,Billing_Fallout!N:N,B91)),0)</f>
        <v>0</v>
      </c>
      <c r="AD91" s="6">
        <f t="shared" si="22"/>
        <v>0</v>
      </c>
      <c r="AF91" t="str">
        <f>IFERROR(INDEX(H_Tables!$B$1:$B$1500,MATCH(INDEX(SF_Output!$J$1:$J$400,MATCH(B91,SF_Output!$M$1:$M$400,0)),H_Tables!$A$1:$A$1500,0)),"")</f>
        <v>Exclusion</v>
      </c>
      <c r="AI91" s="119" t="str">
        <f t="shared" si="23"/>
        <v/>
      </c>
      <c r="AJ91" s="121">
        <f>IFERROR(INDEX(SF_Output!AD:AD,MATCH(_xlfn.TEXTJOIN(",",TRUE,B91:E91),SF_Output!AC1:AC400,0)),0.05)</f>
        <v>162</v>
      </c>
      <c r="AK91" t="str">
        <f>IF(SUMIFS(SF_Output!$F$1:$F$400,SF_Output!$AC$1:$AC$400,_xlfn.TEXTJOIN(",",TRUE,B91:E91))+SUMIFS(SF_Output!$G$1:$G$400,SF_Output!$AC$1:$AC$400,_xlfn.TEXTJOIN(",",TRUE,B91:E91))=0,"","PAP")</f>
        <v/>
      </c>
      <c r="AQ91" s="35"/>
      <c r="AR91" s="35" t="str" cm="1">
        <f t="array" ref="AR91">IFERROR(_xlfn.IFS(AND(E91*1=1,F91="Included"),"Change to Included",AND(E91*1=0,F91="Optional"),"Change to Optional",OR(B91="",F91="replaced"),""),"")</f>
        <v/>
      </c>
      <c r="AS91" s="35" t="str">
        <f t="shared" si="24"/>
        <v/>
      </c>
      <c r="AT91" s="35" t="str">
        <f t="shared" si="25"/>
        <v/>
      </c>
      <c r="AU91" s="35" t="str">
        <f t="shared" si="26"/>
        <v/>
      </c>
      <c r="AV91" s="35" t="str">
        <f t="shared" si="27"/>
        <v/>
      </c>
      <c r="AW91" s="35" t="str">
        <f t="shared" si="28"/>
        <v/>
      </c>
      <c r="AX91" s="35" t="str">
        <f t="shared" si="29"/>
        <v/>
      </c>
      <c r="AY91" s="35" t="str">
        <f t="shared" si="30"/>
        <v/>
      </c>
      <c r="AZ91" s="35" t="str">
        <f t="shared" si="31"/>
        <v/>
      </c>
      <c r="BA91" s="35" t="str">
        <f t="shared" si="32"/>
        <v/>
      </c>
      <c r="BB91" s="35" t="str">
        <f t="shared" si="33"/>
        <v/>
      </c>
      <c r="BC91" s="35"/>
      <c r="BE91" s="35">
        <f ca="1">INDEX(SF_Output!$AA$2:$AA$400,MATCH($B91,SF_Output!$M$2:$M$400,0))</f>
        <v>6</v>
      </c>
      <c r="BF91" s="35">
        <f ca="1">INDEX(SF_Output!$AB$2:$AB$400,MATCH($B91,SF_Output!$M$2:$M$400,0))</f>
        <v>1</v>
      </c>
    </row>
    <row r="92" spans="2:58" x14ac:dyDescent="0.25">
      <c r="B92" t="s">
        <v>681</v>
      </c>
      <c r="C92" t="s">
        <v>2122</v>
      </c>
      <c r="D92" t="s">
        <v>2207</v>
      </c>
      <c r="E92" t="s">
        <v>2124</v>
      </c>
      <c r="F92" s="116" t="str">
        <f t="shared" si="17"/>
        <v>Included</v>
      </c>
      <c r="G92" t="str">
        <f>IF(B92="","",INDEX(SF_Output!$K$1:$K$400,MATCH(B92,SF_Output!$M$1:$M$400,0)))</f>
        <v>Card Processing Solutions (CPS)</v>
      </c>
      <c r="H92" cm="1">
        <f t="array" ref="H92">_xlfn.IFS(B92="","",(SUMIFS(SF_Output!$F$1:$F$400,SF_Output!$AC$1:$AC$400,_xlfn.TEXTJOIN(",",TRUE,B92:E92))+SUMIFS(SF_Output!$G$1:$G$400,SF_Output!$AC$1:$AC$400,_xlfn.TEXTJOIN(",",TRUE,B92:E92)))&lt;&gt;0,SF_Output!$Y$2,INDEX(SF_Output!$F$1:$F$400,MATCH(_xlfn.TEXTJOIN(",",TRUE,B92:E92),SF_Output!$AC$1:$AC$400,0))=0,INDEX(SF_Output!$R$1:$R$400,MATCH(_xlfn.TEXTJOIN(",",TRUE,B92:E92),SF_Output!$AC$1:$AC$400,0)))</f>
        <v>0</v>
      </c>
      <c r="I92" s="125" t="str">
        <f>IFERROR(IF(AND(H92&gt;1,H92&lt;&gt;""),ROUND(SUMIFS(SF_Output!$S$1:$S$400,SF_Output!$AC$1:$AC$400,_xlfn.TEXTJOIN(",",TRUE,B92:E92),SF_Output!$Q$1:$Q$400,"monthly")*(1-W92)/H92,4),""),"")</f>
        <v/>
      </c>
      <c r="J92" s="6">
        <f>IF(B92="","",SUMIFS(SF_Output!$S$1:$S$400,SF_Output!$AC$1:$AC$400,_xlfn.TEXTJOIN(",",TRUE,B92:E92),SF_Output!$Q$1:$Q$400,"One Time",SF_Output!$L$1:$L$400,"license fee")+SUMIFS(SF_Output!$S$1:$S$400,SF_Output!$AC$1:$AC$400,_xlfn.TEXTJOIN(",",TRUE,B92:E92),SF_Output!$Q$1:$Q$400,"One Time",SF_Output!$L$1:$L$400,"software license")+SUMIFS(SF_Output!$S$1:$S$400,SF_Output!$AC$1:$AC$400,_xlfn.TEXTJOIN(",",TRUE,B92:E92),SF_Output!$Q$1:$Q$400,"One Time",SF_Output!$L$1:$L$400,"hardware"))</f>
        <v>0</v>
      </c>
      <c r="K92" s="112" t="str">
        <f>IF(OR(B92=0,B92="",G92="hardware",J92=0),"",IF(AF92&lt;&gt;"exclusion",MAX(K$9,-((SUMIFS(SF_Output!$T$1:$T$400,SF_Output!$AC$1:$AC$400,_xlfn.TEXTJOIN(",",TRUE,$B92:$E92),SF_Output!$Q$1:$Q$400,"One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license"))/J92)))</f>
        <v/>
      </c>
      <c r="L92" s="6">
        <f t="shared" si="18"/>
        <v>0</v>
      </c>
      <c r="N92" s="6">
        <f>IF(B92="","",SUMIFS(SF_Output!$S$1:$S$400,SF_Output!$AC$1:$AC$400,_xlfn.TEXTJOIN(",",TRUE,B92:E92),SF_Output!$Q$1:$Q$400,"One Time",SF_Output!$L$1:$L$400,"professional service"))</f>
        <v>0</v>
      </c>
      <c r="O92" s="112" t="str">
        <f>IF(OR(B92=0,B92="",N92=0),"",IF(AF92&lt;&gt;"exclusion",MAX(O$9,-(SUMIFS(SF_Output!$T$1:$T$400,SF_Output!$AC$1:$AC$400,_xlfn.TEXTJOIN(",",TRUE,$B92:$E92),SF_Output!$Q$1:$Q$400,"One Time",SF_Output!$L$1:$L$400,"professional service"))/N92),-((SUMIFS(SF_Output!$T$1:$T$400,SF_Output!$AC$1:$AC$400,_xlfn.TEXTJOIN(",",TRUE,$B92:$E92),SF_Output!$Q$1:$Q$400,"One Time",SF_Output!$L$1:$L$400,"professional service")/N92))))</f>
        <v/>
      </c>
      <c r="P92" s="6">
        <f t="shared" si="19"/>
        <v>0</v>
      </c>
      <c r="R92" s="6">
        <f>IF(B92="","",SUMIFS(SF_Output!$S$1:$S$400,SF_Output!$AC$1:$AC$400,_xlfn.TEXTJOIN(",",TRUE,B92:E92),SF_Output!$Q$1:$Q$400,"yearly")+SUMIFS(SF_Output!$S$1:$S$400,SF_Output!$AC$1:$AC$400,_xlfn.TEXTJOIN(",",TRUE,B92:E92),SF_Output!$Q$1:$Q$400,"quarterly")*4)</f>
        <v>0</v>
      </c>
      <c r="S92" s="112" t="str">
        <f>IF(OR(B92=0,B92="",G92="hardware",R92=0),"",IF(AF92&lt;&gt;"exclusion",MAX(S$9,-(SUMIFS(SF_Output!$T$1:$T$400,SF_Output!$AC$1:$AC$400,_xlfn.TEXTJOIN(",",TRUE,$B92:$E92),SF_Output!$Q$1:$Q$400,"yearly"))/R92),-((SUMIFS(SF_Output!$T$1:$T$400,SF_Output!$AC$1:$AC$400,_xlfn.TEXTJOIN(",",TRUE,$B92:$E92),SF_Output!$Q$1:$Q$400,"yearly")/R92))))</f>
        <v/>
      </c>
      <c r="T92" s="6">
        <f t="shared" si="20"/>
        <v>0</v>
      </c>
      <c r="V92" s="6" cm="1">
        <f t="array" ref="V92">_xlfn.IFS(B92="","",AND(B92&lt;&gt;"",H92=SF_Output!$Y$2,SUMIFS(SF_Output!$T$1:$T$400,SF_Output!$AC$1:$AC$400,_xlfn.TEXTJOIN(",",TRUE,B92:E92),SF_Output!$Q$1:$Q$400,"monthly")=0),(SUMIFS(SF_Output!$F$1:$F$400,SF_Output!$AC$1:$AC$400,_xlfn.TEXTJOIN(",",TRUE,B92:E92),SF_Output!$Q$1:$Q$400,"monthly")+SUMIFS(SF_Output!$G$1:$G$400,SF_Output!$AC$1:$AC$400,_xlfn.TEXTJOIN(",",TRUE,B92:E92),SF_Output!$Q$1:$Q$400,"monthly"))*H92,AND(B92&lt;&gt;"",H92=SF_Output!$Y$2,SUMIFS(SF_Output!$T$1:$T$400,SF_Output!$AC$1:$AC$400,_xlfn.TEXTJOIN(",",TRUE,B92:E92),SF_Output!$Q$1:$Q$400,"monthly")&lt;&gt;0),SUMIFS(SF_Output!$S$1:$S$400,SF_Output!$AC$1:$AC$400,_xlfn.TEXTJOIN(",",TRUE,B92:E92),SF_Output!$Q$1:$Q$400,"monthly"),AND(B92&lt;&gt;"",H92&lt;&gt;SF_Output!$Y$2),SUMIFS(SF_Output!$S$1:$S$400,SF_Output!$AC$1:$AC$400,_xlfn.TEXTJOIN(",",TRUE,B92:E92),SF_Output!$Q$1:$Q$400,"monthly"))</f>
        <v>0</v>
      </c>
      <c r="W92" s="112" t="str" cm="1">
        <f t="array" ref="W92">_xlfn.IFS(OR(B92=0,B92="",V92=0),"",AF92&lt;&gt;"exclusion",MAX($W$9,$W$7,(-(SUMIFS(SF_Output!$T$1:$T$400,SF_Output!$AC$1:$AC$400,_xlfn.TEXTJOIN(",",TRUE,$B92:$E92),SF_Output!$Q$1:$Q$400,"monthly"))/V92)),AF92="exclusion",-(SUMIFS(SF_Output!$T$1:$T$400,SF_Output!$AC$1:$AC$400,_xlfn.TEXTJOIN(",",TRUE,$B92:$E92),SF_Output!$Q$1:$Q$400,"monthly"))/V92)</f>
        <v/>
      </c>
      <c r="X92" s="6" cm="1">
        <f t="array" ref="X92">IFERROR(_xlfn.IFS(V92=0,0,V92="","",W92=0,V92,OR(V92&lt;&gt;0,V92&lt;&gt;""),H92*I92),V92*(1-W92))</f>
        <v>0</v>
      </c>
      <c r="Z92" s="6">
        <f>IFERROR(IF(B92="","",SUMIFS(Billing_Fallout!H:H,Billing_Fallout!N:N,B92)),0)</f>
        <v>0</v>
      </c>
      <c r="AA92" s="6">
        <f t="shared" si="21"/>
        <v>0</v>
      </c>
      <c r="AB92" s="6">
        <f>IFERROR(IF(B92="","",SUMIFS(Billing_Fallout!J:J,Billing_Fallout!N:N,B92)),0)</f>
        <v>0</v>
      </c>
      <c r="AD92" s="6">
        <f t="shared" si="22"/>
        <v>0</v>
      </c>
      <c r="AF92" t="str">
        <f>IFERROR(INDEX(H_Tables!$B$1:$B$1500,MATCH(INDEX(SF_Output!$J$1:$J$400,MATCH(B92,SF_Output!$M$1:$M$400,0)),H_Tables!$A$1:$A$1500,0)),"")</f>
        <v>Exclusion</v>
      </c>
      <c r="AI92" s="119" t="str">
        <f t="shared" si="23"/>
        <v/>
      </c>
      <c r="AJ92" s="121">
        <f>IFERROR(INDEX(SF_Output!AD:AD,MATCH(_xlfn.TEXTJOIN(",",TRUE,B92:E92),SF_Output!AC1:AC400,0)),0.05)</f>
        <v>163</v>
      </c>
      <c r="AK92" t="str">
        <f>IF(SUMIFS(SF_Output!$F$1:$F$400,SF_Output!$AC$1:$AC$400,_xlfn.TEXTJOIN(",",TRUE,B92:E92))+SUMIFS(SF_Output!$G$1:$G$400,SF_Output!$AC$1:$AC$400,_xlfn.TEXTJOIN(",",TRUE,B92:E92))=0,"","PAP")</f>
        <v/>
      </c>
      <c r="AQ92" s="35"/>
      <c r="AR92" s="35" t="str" cm="1">
        <f t="array" ref="AR92">IFERROR(_xlfn.IFS(AND(E92*1=1,F92="Included"),"Change to Included",AND(E92*1=0,F92="Optional"),"Change to Optional",OR(B92="",F92="replaced"),""),"")</f>
        <v/>
      </c>
      <c r="AS92" s="35" t="str">
        <f t="shared" si="24"/>
        <v/>
      </c>
      <c r="AT92" s="35" t="str">
        <f t="shared" si="25"/>
        <v/>
      </c>
      <c r="AU92" s="35" t="str">
        <f t="shared" si="26"/>
        <v/>
      </c>
      <c r="AV92" s="35" t="str">
        <f t="shared" si="27"/>
        <v/>
      </c>
      <c r="AW92" s="35" t="str">
        <f t="shared" si="28"/>
        <v/>
      </c>
      <c r="AX92" s="35" t="str">
        <f t="shared" si="29"/>
        <v/>
      </c>
      <c r="AY92" s="35" t="str">
        <f t="shared" si="30"/>
        <v/>
      </c>
      <c r="AZ92" s="35" t="str">
        <f t="shared" si="31"/>
        <v/>
      </c>
      <c r="BA92" s="35" t="str">
        <f t="shared" si="32"/>
        <v/>
      </c>
      <c r="BB92" s="35" t="str">
        <f t="shared" si="33"/>
        <v/>
      </c>
      <c r="BC92" s="35"/>
      <c r="BE92" s="35">
        <f ca="1">INDEX(SF_Output!$AA$2:$AA$400,MATCH($B92,SF_Output!$M$2:$M$400,0))</f>
        <v>6</v>
      </c>
      <c r="BF92" s="35">
        <f ca="1">INDEX(SF_Output!$AB$2:$AB$400,MATCH($B92,SF_Output!$M$2:$M$400,0))</f>
        <v>1</v>
      </c>
    </row>
    <row r="93" spans="2:58" x14ac:dyDescent="0.25">
      <c r="B93" t="s">
        <v>2347</v>
      </c>
      <c r="C93" t="s">
        <v>2122</v>
      </c>
      <c r="D93" t="s">
        <v>2207</v>
      </c>
      <c r="E93" t="s">
        <v>2124</v>
      </c>
      <c r="F93" s="116" t="str">
        <f t="shared" si="17"/>
        <v>Included</v>
      </c>
      <c r="G93" t="str">
        <f>IF(B93="","",INDEX(SF_Output!$K$1:$K$400,MATCH(B93,SF_Output!$M$1:$M$400,0)))</f>
        <v>Card Processing Solutions (CPS)</v>
      </c>
      <c r="H93" cm="1">
        <f t="array" ref="H93">_xlfn.IFS(B93="","",(SUMIFS(SF_Output!$F$1:$F$400,SF_Output!$AC$1:$AC$400,_xlfn.TEXTJOIN(",",TRUE,B93:E93))+SUMIFS(SF_Output!$G$1:$G$400,SF_Output!$AC$1:$AC$400,_xlfn.TEXTJOIN(",",TRUE,B93:E93)))&lt;&gt;0,SF_Output!$Y$2,INDEX(SF_Output!$F$1:$F$400,MATCH(_xlfn.TEXTJOIN(",",TRUE,B93:E93),SF_Output!$AC$1:$AC$400,0))=0,INDEX(SF_Output!$R$1:$R$400,MATCH(_xlfn.TEXTJOIN(",",TRUE,B93:E93),SF_Output!$AC$1:$AC$400,0)))</f>
        <v>0</v>
      </c>
      <c r="I93" s="125" t="str">
        <f>IFERROR(IF(AND(H93&gt;1,H93&lt;&gt;""),ROUND(SUMIFS(SF_Output!$S$1:$S$400,SF_Output!$AC$1:$AC$400,_xlfn.TEXTJOIN(",",TRUE,B93:E93),SF_Output!$Q$1:$Q$400,"monthly")*(1-W93)/H93,4),""),"")</f>
        <v/>
      </c>
      <c r="J93" s="6">
        <f>IF(B93="","",SUMIFS(SF_Output!$S$1:$S$400,SF_Output!$AC$1:$AC$400,_xlfn.TEXTJOIN(",",TRUE,B93:E93),SF_Output!$Q$1:$Q$400,"One Time",SF_Output!$L$1:$L$400,"license fee")+SUMIFS(SF_Output!$S$1:$S$400,SF_Output!$AC$1:$AC$400,_xlfn.TEXTJOIN(",",TRUE,B93:E93),SF_Output!$Q$1:$Q$400,"One Time",SF_Output!$L$1:$L$400,"software license")+SUMIFS(SF_Output!$S$1:$S$400,SF_Output!$AC$1:$AC$400,_xlfn.TEXTJOIN(",",TRUE,B93:E93),SF_Output!$Q$1:$Q$400,"One Time",SF_Output!$L$1:$L$400,"hardware"))</f>
        <v>0</v>
      </c>
      <c r="K93" s="112" t="str">
        <f>IF(OR(B93=0,B93="",G93="hardware",J93=0),"",IF(AF93&lt;&gt;"exclusion",MAX(K$9,-((SUMIFS(SF_Output!$T$1:$T$400,SF_Output!$AC$1:$AC$400,_xlfn.TEXTJOIN(",",TRUE,$B93:$E93),SF_Output!$Q$1:$Q$400,"One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license"))/J93)))</f>
        <v/>
      </c>
      <c r="L93" s="6">
        <f t="shared" si="18"/>
        <v>0</v>
      </c>
      <c r="N93" s="6">
        <f>IF(B93="","",SUMIFS(SF_Output!$S$1:$S$400,SF_Output!$AC$1:$AC$400,_xlfn.TEXTJOIN(",",TRUE,B93:E93),SF_Output!$Q$1:$Q$400,"One Time",SF_Output!$L$1:$L$400,"professional service"))</f>
        <v>0</v>
      </c>
      <c r="O93" s="112" t="str">
        <f>IF(OR(B93=0,B93="",N93=0),"",IF(AF93&lt;&gt;"exclusion",MAX(O$9,-(SUMIFS(SF_Output!$T$1:$T$400,SF_Output!$AC$1:$AC$400,_xlfn.TEXTJOIN(",",TRUE,$B93:$E93),SF_Output!$Q$1:$Q$400,"One Time",SF_Output!$L$1:$L$400,"professional service"))/N93),-((SUMIFS(SF_Output!$T$1:$T$400,SF_Output!$AC$1:$AC$400,_xlfn.TEXTJOIN(",",TRUE,$B93:$E93),SF_Output!$Q$1:$Q$400,"One Time",SF_Output!$L$1:$L$400,"professional service")/N93))))</f>
        <v/>
      </c>
      <c r="P93" s="6">
        <f t="shared" si="19"/>
        <v>0</v>
      </c>
      <c r="R93" s="6">
        <f>IF(B93="","",SUMIFS(SF_Output!$S$1:$S$400,SF_Output!$AC$1:$AC$400,_xlfn.TEXTJOIN(",",TRUE,B93:E93),SF_Output!$Q$1:$Q$400,"yearly")+SUMIFS(SF_Output!$S$1:$S$400,SF_Output!$AC$1:$AC$400,_xlfn.TEXTJOIN(",",TRUE,B93:E93),SF_Output!$Q$1:$Q$400,"quarterly")*4)</f>
        <v>0</v>
      </c>
      <c r="S93" s="112" t="str">
        <f>IF(OR(B93=0,B93="",G93="hardware",R93=0),"",IF(AF93&lt;&gt;"exclusion",MAX(S$9,-(SUMIFS(SF_Output!$T$1:$T$400,SF_Output!$AC$1:$AC$400,_xlfn.TEXTJOIN(",",TRUE,$B93:$E93),SF_Output!$Q$1:$Q$400,"yearly"))/R93),-((SUMIFS(SF_Output!$T$1:$T$400,SF_Output!$AC$1:$AC$400,_xlfn.TEXTJOIN(",",TRUE,$B93:$E93),SF_Output!$Q$1:$Q$400,"yearly")/R93))))</f>
        <v/>
      </c>
      <c r="T93" s="6">
        <f t="shared" si="20"/>
        <v>0</v>
      </c>
      <c r="V93" s="6" cm="1">
        <f t="array" ref="V93">_xlfn.IFS(B93="","",AND(B93&lt;&gt;"",H93=SF_Output!$Y$2,SUMIFS(SF_Output!$T$1:$T$400,SF_Output!$AC$1:$AC$400,_xlfn.TEXTJOIN(",",TRUE,B93:E93),SF_Output!$Q$1:$Q$400,"monthly")=0),(SUMIFS(SF_Output!$F$1:$F$400,SF_Output!$AC$1:$AC$400,_xlfn.TEXTJOIN(",",TRUE,B93:E93),SF_Output!$Q$1:$Q$400,"monthly")+SUMIFS(SF_Output!$G$1:$G$400,SF_Output!$AC$1:$AC$400,_xlfn.TEXTJOIN(",",TRUE,B93:E93),SF_Output!$Q$1:$Q$400,"monthly"))*H93,AND(B93&lt;&gt;"",H93=SF_Output!$Y$2,SUMIFS(SF_Output!$T$1:$T$400,SF_Output!$AC$1:$AC$400,_xlfn.TEXTJOIN(",",TRUE,B93:E93),SF_Output!$Q$1:$Q$400,"monthly")&lt;&gt;0),SUMIFS(SF_Output!$S$1:$S$400,SF_Output!$AC$1:$AC$400,_xlfn.TEXTJOIN(",",TRUE,B93:E93),SF_Output!$Q$1:$Q$400,"monthly"),AND(B93&lt;&gt;"",H93&lt;&gt;SF_Output!$Y$2),SUMIFS(SF_Output!$S$1:$S$400,SF_Output!$AC$1:$AC$400,_xlfn.TEXTJOIN(",",TRUE,B93:E93),SF_Output!$Q$1:$Q$400,"monthly"))</f>
        <v>0</v>
      </c>
      <c r="W93" s="112" t="str" cm="1">
        <f t="array" ref="W93">_xlfn.IFS(OR(B93=0,B93="",V93=0),"",AF93&lt;&gt;"exclusion",MAX($W$9,$W$7,(-(SUMIFS(SF_Output!$T$1:$T$400,SF_Output!$AC$1:$AC$400,_xlfn.TEXTJOIN(",",TRUE,$B93:$E93),SF_Output!$Q$1:$Q$400,"monthly"))/V93)),AF93="exclusion",-(SUMIFS(SF_Output!$T$1:$T$400,SF_Output!$AC$1:$AC$400,_xlfn.TEXTJOIN(",",TRUE,$B93:$E93),SF_Output!$Q$1:$Q$400,"monthly"))/V93)</f>
        <v/>
      </c>
      <c r="X93" s="6" cm="1">
        <f t="array" ref="X93">IFERROR(_xlfn.IFS(V93=0,0,V93="","",W93=0,V93,OR(V93&lt;&gt;0,V93&lt;&gt;""),H93*I93),V93*(1-W93))</f>
        <v>0</v>
      </c>
      <c r="Z93" s="6">
        <f>IFERROR(IF(B93="","",SUMIFS(Billing_Fallout!H:H,Billing_Fallout!N:N,B93)),0)</f>
        <v>0</v>
      </c>
      <c r="AA93" s="6">
        <f t="shared" si="21"/>
        <v>0</v>
      </c>
      <c r="AB93" s="6">
        <f>IFERROR(IF(B93="","",SUMIFS(Billing_Fallout!J:J,Billing_Fallout!N:N,B93)),0)</f>
        <v>0</v>
      </c>
      <c r="AD93" s="6">
        <f t="shared" si="22"/>
        <v>0</v>
      </c>
      <c r="AF93" t="str">
        <f>IFERROR(INDEX(H_Tables!$B$1:$B$1500,MATCH(INDEX(SF_Output!$J$1:$J$400,MATCH(B93,SF_Output!$M$1:$M$400,0)),H_Tables!$A$1:$A$1500,0)),"")</f>
        <v>Exclusion</v>
      </c>
      <c r="AI93" s="119" t="str">
        <f t="shared" si="23"/>
        <v/>
      </c>
      <c r="AJ93" s="121">
        <f>IFERROR(INDEX(SF_Output!AD:AD,MATCH(_xlfn.TEXTJOIN(",",TRUE,B93:E93),SF_Output!AC1:AC400,0)),0.05)</f>
        <v>164</v>
      </c>
      <c r="AK93" t="str">
        <f>IF(SUMIFS(SF_Output!$F$1:$F$400,SF_Output!$AC$1:$AC$400,_xlfn.TEXTJOIN(",",TRUE,B93:E93))+SUMIFS(SF_Output!$G$1:$G$400,SF_Output!$AC$1:$AC$400,_xlfn.TEXTJOIN(",",TRUE,B93:E93))=0,"","PAP")</f>
        <v/>
      </c>
      <c r="AQ93" s="35"/>
      <c r="AR93" s="35" t="str" cm="1">
        <f t="array" ref="AR93">IFERROR(_xlfn.IFS(AND(E93*1=1,F93="Included"),"Change to Included",AND(E93*1=0,F93="Optional"),"Change to Optional",OR(B93="",F93="replaced"),""),"")</f>
        <v/>
      </c>
      <c r="AS93" s="35" t="str">
        <f t="shared" si="24"/>
        <v/>
      </c>
      <c r="AT93" s="35" t="str">
        <f t="shared" si="25"/>
        <v/>
      </c>
      <c r="AU93" s="35" t="str">
        <f t="shared" si="26"/>
        <v/>
      </c>
      <c r="AV93" s="35" t="str">
        <f t="shared" si="27"/>
        <v/>
      </c>
      <c r="AW93" s="35" t="str">
        <f t="shared" si="28"/>
        <v/>
      </c>
      <c r="AX93" s="35" t="str">
        <f t="shared" si="29"/>
        <v/>
      </c>
      <c r="AY93" s="35" t="str">
        <f t="shared" si="30"/>
        <v/>
      </c>
      <c r="AZ93" s="35" t="str">
        <f t="shared" si="31"/>
        <v/>
      </c>
      <c r="BA93" s="35" t="str">
        <f t="shared" si="32"/>
        <v/>
      </c>
      <c r="BB93" s="35" t="str">
        <f t="shared" si="33"/>
        <v/>
      </c>
      <c r="BC93" s="35"/>
      <c r="BE93" s="35">
        <f ca="1">INDEX(SF_Output!$AA$2:$AA$400,MATCH($B93,SF_Output!$M$2:$M$400,0))</f>
        <v>6</v>
      </c>
      <c r="BF93" s="35">
        <f ca="1">INDEX(SF_Output!$AB$2:$AB$400,MATCH($B93,SF_Output!$M$2:$M$400,0))</f>
        <v>1</v>
      </c>
    </row>
    <row r="94" spans="2:58" x14ac:dyDescent="0.25">
      <c r="B94" t="s">
        <v>686</v>
      </c>
      <c r="C94" t="s">
        <v>2122</v>
      </c>
      <c r="D94" t="s">
        <v>2207</v>
      </c>
      <c r="E94" t="s">
        <v>2124</v>
      </c>
      <c r="F94" s="116" t="str">
        <f t="shared" si="17"/>
        <v>Included</v>
      </c>
      <c r="G94" t="str">
        <f>IF(B94="","",INDEX(SF_Output!$K$1:$K$400,MATCH(B94,SF_Output!$M$1:$M$400,0)))</f>
        <v>Card Processing Solutions (CPS)</v>
      </c>
      <c r="H94" cm="1">
        <f t="array" ref="H94">_xlfn.IFS(B94="","",(SUMIFS(SF_Output!$F$1:$F$400,SF_Output!$AC$1:$AC$400,_xlfn.TEXTJOIN(",",TRUE,B94:E94))+SUMIFS(SF_Output!$G$1:$G$400,SF_Output!$AC$1:$AC$400,_xlfn.TEXTJOIN(",",TRUE,B94:E94)))&lt;&gt;0,SF_Output!$Y$2,INDEX(SF_Output!$F$1:$F$400,MATCH(_xlfn.TEXTJOIN(",",TRUE,B94:E94),SF_Output!$AC$1:$AC$400,0))=0,INDEX(SF_Output!$R$1:$R$400,MATCH(_xlfn.TEXTJOIN(",",TRUE,B94:E94),SF_Output!$AC$1:$AC$400,0)))</f>
        <v>0</v>
      </c>
      <c r="I94" s="125" t="str">
        <f>IFERROR(IF(AND(H94&gt;1,H94&lt;&gt;""),ROUND(SUMIFS(SF_Output!$S$1:$S$400,SF_Output!$AC$1:$AC$400,_xlfn.TEXTJOIN(",",TRUE,B94:E94),SF_Output!$Q$1:$Q$400,"monthly")*(1-W94)/H94,4),""),"")</f>
        <v/>
      </c>
      <c r="J94" s="6">
        <f>IF(B94="","",SUMIFS(SF_Output!$S$1:$S$400,SF_Output!$AC$1:$AC$400,_xlfn.TEXTJOIN(",",TRUE,B94:E94),SF_Output!$Q$1:$Q$400,"One Time",SF_Output!$L$1:$L$400,"license fee")+SUMIFS(SF_Output!$S$1:$S$400,SF_Output!$AC$1:$AC$400,_xlfn.TEXTJOIN(",",TRUE,B94:E94),SF_Output!$Q$1:$Q$400,"One Time",SF_Output!$L$1:$L$400,"software license")+SUMIFS(SF_Output!$S$1:$S$400,SF_Output!$AC$1:$AC$400,_xlfn.TEXTJOIN(",",TRUE,B94:E94),SF_Output!$Q$1:$Q$400,"One Time",SF_Output!$L$1:$L$400,"hardware"))</f>
        <v>0</v>
      </c>
      <c r="K94" s="112" t="str">
        <f>IF(OR(B94=0,B94="",G94="hardware",J94=0),"",IF(AF94&lt;&gt;"exclusion",MAX(K$9,-((SUMIFS(SF_Output!$T$1:$T$400,SF_Output!$AC$1:$AC$400,_xlfn.TEXTJOIN(",",TRUE,$B94:$E94),SF_Output!$Q$1:$Q$400,"One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license"))/J94)))</f>
        <v/>
      </c>
      <c r="L94" s="6">
        <f t="shared" si="18"/>
        <v>0</v>
      </c>
      <c r="N94" s="6">
        <f>IF(B94="","",SUMIFS(SF_Output!$S$1:$S$400,SF_Output!$AC$1:$AC$400,_xlfn.TEXTJOIN(",",TRUE,B94:E94),SF_Output!$Q$1:$Q$400,"One Time",SF_Output!$L$1:$L$400,"professional service"))</f>
        <v>0</v>
      </c>
      <c r="O94" s="112" t="str">
        <f>IF(OR(B94=0,B94="",N94=0),"",IF(AF94&lt;&gt;"exclusion",MAX(O$9,-(SUMIFS(SF_Output!$T$1:$T$400,SF_Output!$AC$1:$AC$400,_xlfn.TEXTJOIN(",",TRUE,$B94:$E94),SF_Output!$Q$1:$Q$400,"One Time",SF_Output!$L$1:$L$400,"professional service"))/N94),-((SUMIFS(SF_Output!$T$1:$T$400,SF_Output!$AC$1:$AC$400,_xlfn.TEXTJOIN(",",TRUE,$B94:$E94),SF_Output!$Q$1:$Q$400,"One Time",SF_Output!$L$1:$L$400,"professional service")/N94))))</f>
        <v/>
      </c>
      <c r="P94" s="6">
        <f t="shared" si="19"/>
        <v>0</v>
      </c>
      <c r="R94" s="6">
        <f>IF(B94="","",SUMIFS(SF_Output!$S$1:$S$400,SF_Output!$AC$1:$AC$400,_xlfn.TEXTJOIN(",",TRUE,B94:E94),SF_Output!$Q$1:$Q$400,"yearly")+SUMIFS(SF_Output!$S$1:$S$400,SF_Output!$AC$1:$AC$400,_xlfn.TEXTJOIN(",",TRUE,B94:E94),SF_Output!$Q$1:$Q$400,"quarterly")*4)</f>
        <v>0</v>
      </c>
      <c r="S94" s="112" t="str">
        <f>IF(OR(B94=0,B94="",G94="hardware",R94=0),"",IF(AF94&lt;&gt;"exclusion",MAX(S$9,-(SUMIFS(SF_Output!$T$1:$T$400,SF_Output!$AC$1:$AC$400,_xlfn.TEXTJOIN(",",TRUE,$B94:$E94),SF_Output!$Q$1:$Q$400,"yearly"))/R94),-((SUMIFS(SF_Output!$T$1:$T$400,SF_Output!$AC$1:$AC$400,_xlfn.TEXTJOIN(",",TRUE,$B94:$E94),SF_Output!$Q$1:$Q$400,"yearly")/R94))))</f>
        <v/>
      </c>
      <c r="T94" s="6">
        <f t="shared" si="20"/>
        <v>0</v>
      </c>
      <c r="V94" s="6" cm="1">
        <f t="array" ref="V94">_xlfn.IFS(B94="","",AND(B94&lt;&gt;"",H94=SF_Output!$Y$2,SUMIFS(SF_Output!$T$1:$T$400,SF_Output!$AC$1:$AC$400,_xlfn.TEXTJOIN(",",TRUE,B94:E94),SF_Output!$Q$1:$Q$400,"monthly")=0),(SUMIFS(SF_Output!$F$1:$F$400,SF_Output!$AC$1:$AC$400,_xlfn.TEXTJOIN(",",TRUE,B94:E94),SF_Output!$Q$1:$Q$400,"monthly")+SUMIFS(SF_Output!$G$1:$G$400,SF_Output!$AC$1:$AC$400,_xlfn.TEXTJOIN(",",TRUE,B94:E94),SF_Output!$Q$1:$Q$400,"monthly"))*H94,AND(B94&lt;&gt;"",H94=SF_Output!$Y$2,SUMIFS(SF_Output!$T$1:$T$400,SF_Output!$AC$1:$AC$400,_xlfn.TEXTJOIN(",",TRUE,B94:E94),SF_Output!$Q$1:$Q$400,"monthly")&lt;&gt;0),SUMIFS(SF_Output!$S$1:$S$400,SF_Output!$AC$1:$AC$400,_xlfn.TEXTJOIN(",",TRUE,B94:E94),SF_Output!$Q$1:$Q$400,"monthly"),AND(B94&lt;&gt;"",H94&lt;&gt;SF_Output!$Y$2),SUMIFS(SF_Output!$S$1:$S$400,SF_Output!$AC$1:$AC$400,_xlfn.TEXTJOIN(",",TRUE,B94:E94),SF_Output!$Q$1:$Q$400,"monthly"))</f>
        <v>0</v>
      </c>
      <c r="W94" s="112" t="str" cm="1">
        <f t="array" ref="W94">_xlfn.IFS(OR(B94=0,B94="",V94=0),"",AF94&lt;&gt;"exclusion",MAX($W$9,$W$7,(-(SUMIFS(SF_Output!$T$1:$T$400,SF_Output!$AC$1:$AC$400,_xlfn.TEXTJOIN(",",TRUE,$B94:$E94),SF_Output!$Q$1:$Q$400,"monthly"))/V94)),AF94="exclusion",-(SUMIFS(SF_Output!$T$1:$T$400,SF_Output!$AC$1:$AC$400,_xlfn.TEXTJOIN(",",TRUE,$B94:$E94),SF_Output!$Q$1:$Q$400,"monthly"))/V94)</f>
        <v/>
      </c>
      <c r="X94" s="6" cm="1">
        <f t="array" ref="X94">IFERROR(_xlfn.IFS(V94=0,0,V94="","",W94=0,V94,OR(V94&lt;&gt;0,V94&lt;&gt;""),H94*I94),V94*(1-W94))</f>
        <v>0</v>
      </c>
      <c r="Z94" s="6">
        <f>IFERROR(IF(B94="","",SUMIFS(Billing_Fallout!H:H,Billing_Fallout!N:N,B94)),0)</f>
        <v>0</v>
      </c>
      <c r="AA94" s="6">
        <f t="shared" si="21"/>
        <v>0</v>
      </c>
      <c r="AB94" s="6">
        <f>IFERROR(IF(B94="","",SUMIFS(Billing_Fallout!J:J,Billing_Fallout!N:N,B94)),0)</f>
        <v>0</v>
      </c>
      <c r="AD94" s="6">
        <f t="shared" si="22"/>
        <v>0</v>
      </c>
      <c r="AF94" t="str">
        <f>IFERROR(INDEX(H_Tables!$B$1:$B$1500,MATCH(INDEX(SF_Output!$J$1:$J$400,MATCH(B94,SF_Output!$M$1:$M$400,0)),H_Tables!$A$1:$A$1500,0)),"")</f>
        <v>Exclusion</v>
      </c>
      <c r="AI94" s="119" t="str">
        <f t="shared" si="23"/>
        <v/>
      </c>
      <c r="AJ94" s="121">
        <f>IFERROR(INDEX(SF_Output!AD:AD,MATCH(_xlfn.TEXTJOIN(",",TRUE,B94:E94),SF_Output!AC1:AC400,0)),0.05)</f>
        <v>165</v>
      </c>
      <c r="AK94" t="str">
        <f>IF(SUMIFS(SF_Output!$F$1:$F$400,SF_Output!$AC$1:$AC$400,_xlfn.TEXTJOIN(",",TRUE,B94:E94))+SUMIFS(SF_Output!$G$1:$G$400,SF_Output!$AC$1:$AC$400,_xlfn.TEXTJOIN(",",TRUE,B94:E94))=0,"","PAP")</f>
        <v/>
      </c>
      <c r="AQ94" s="35"/>
      <c r="AR94" s="35" t="str" cm="1">
        <f t="array" ref="AR94">IFERROR(_xlfn.IFS(AND(E94*1=1,F94="Included"),"Change to Included",AND(E94*1=0,F94="Optional"),"Change to Optional",OR(B94="",F94="replaced"),""),"")</f>
        <v/>
      </c>
      <c r="AS94" s="35" t="str">
        <f t="shared" si="24"/>
        <v/>
      </c>
      <c r="AT94" s="35" t="str">
        <f t="shared" si="25"/>
        <v/>
      </c>
      <c r="AU94" s="35" t="str">
        <f t="shared" si="26"/>
        <v/>
      </c>
      <c r="AV94" s="35" t="str">
        <f t="shared" si="27"/>
        <v/>
      </c>
      <c r="AW94" s="35" t="str">
        <f t="shared" si="28"/>
        <v/>
      </c>
      <c r="AX94" s="35" t="str">
        <f t="shared" si="29"/>
        <v/>
      </c>
      <c r="AY94" s="35" t="str">
        <f t="shared" si="30"/>
        <v/>
      </c>
      <c r="AZ94" s="35" t="str">
        <f t="shared" si="31"/>
        <v/>
      </c>
      <c r="BA94" s="35" t="str">
        <f t="shared" si="32"/>
        <v/>
      </c>
      <c r="BB94" s="35" t="str">
        <f t="shared" si="33"/>
        <v/>
      </c>
      <c r="BC94" s="35"/>
      <c r="BE94" s="35">
        <f ca="1">INDEX(SF_Output!$AA$2:$AA$400,MATCH($B94,SF_Output!$M$2:$M$400,0))</f>
        <v>6</v>
      </c>
      <c r="BF94" s="35">
        <f ca="1">INDEX(SF_Output!$AB$2:$AB$400,MATCH($B94,SF_Output!$M$2:$M$400,0))</f>
        <v>1</v>
      </c>
    </row>
    <row r="95" spans="2:58" x14ac:dyDescent="0.25">
      <c r="B95" t="s">
        <v>1729</v>
      </c>
      <c r="C95" t="s">
        <v>2122</v>
      </c>
      <c r="D95" t="s">
        <v>2207</v>
      </c>
      <c r="E95" t="s">
        <v>2124</v>
      </c>
      <c r="F95" s="116" t="str">
        <f t="shared" si="17"/>
        <v>Included</v>
      </c>
      <c r="G95" t="str">
        <f>IF(B95="","",INDEX(SF_Output!$K$1:$K$400,MATCH(B95,SF_Output!$M$1:$M$400,0)))</f>
        <v>Card Processing Solutions (CPS)</v>
      </c>
      <c r="H95" cm="1">
        <f t="array" ref="H95">_xlfn.IFS(B95="","",(SUMIFS(SF_Output!$F$1:$F$400,SF_Output!$AC$1:$AC$400,_xlfn.TEXTJOIN(",",TRUE,B95:E95))+SUMIFS(SF_Output!$G$1:$G$400,SF_Output!$AC$1:$AC$400,_xlfn.TEXTJOIN(",",TRUE,B95:E95)))&lt;&gt;0,SF_Output!$Y$2,INDEX(SF_Output!$F$1:$F$400,MATCH(_xlfn.TEXTJOIN(",",TRUE,B95:E95),SF_Output!$AC$1:$AC$400,0))=0,INDEX(SF_Output!$R$1:$R$400,MATCH(_xlfn.TEXTJOIN(",",TRUE,B95:E95),SF_Output!$AC$1:$AC$400,0)))</f>
        <v>0</v>
      </c>
      <c r="I95" s="125" t="str">
        <f>IFERROR(IF(AND(H95&gt;1,H95&lt;&gt;""),ROUND(SUMIFS(SF_Output!$S$1:$S$400,SF_Output!$AC$1:$AC$400,_xlfn.TEXTJOIN(",",TRUE,B95:E95),SF_Output!$Q$1:$Q$400,"monthly")*(1-W95)/H95,4),""),"")</f>
        <v/>
      </c>
      <c r="J95" s="6">
        <f>IF(B95="","",SUMIFS(SF_Output!$S$1:$S$400,SF_Output!$AC$1:$AC$400,_xlfn.TEXTJOIN(",",TRUE,B95:E95),SF_Output!$Q$1:$Q$400,"One Time",SF_Output!$L$1:$L$400,"license fee")+SUMIFS(SF_Output!$S$1:$S$400,SF_Output!$AC$1:$AC$400,_xlfn.TEXTJOIN(",",TRUE,B95:E95),SF_Output!$Q$1:$Q$400,"One Time",SF_Output!$L$1:$L$400,"software license")+SUMIFS(SF_Output!$S$1:$S$400,SF_Output!$AC$1:$AC$400,_xlfn.TEXTJOIN(",",TRUE,B95:E95),SF_Output!$Q$1:$Q$400,"One Time",SF_Output!$L$1:$L$400,"hardware"))</f>
        <v>0</v>
      </c>
      <c r="K95" s="112" t="str">
        <f>IF(OR(B95=0,B95="",G95="hardware",J95=0),"",IF(AF95&lt;&gt;"exclusion",MAX(K$9,-((SUMIFS(SF_Output!$T$1:$T$400,SF_Output!$AC$1:$AC$400,_xlfn.TEXTJOIN(",",TRUE,$B95:$E95),SF_Output!$Q$1:$Q$400,"One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license"))/J95)))</f>
        <v/>
      </c>
      <c r="L95" s="6">
        <f t="shared" si="18"/>
        <v>0</v>
      </c>
      <c r="N95" s="6">
        <f>IF(B95="","",SUMIFS(SF_Output!$S$1:$S$400,SF_Output!$AC$1:$AC$400,_xlfn.TEXTJOIN(",",TRUE,B95:E95),SF_Output!$Q$1:$Q$400,"One Time",SF_Output!$L$1:$L$400,"professional service"))</f>
        <v>0</v>
      </c>
      <c r="O95" s="112" t="str">
        <f>IF(OR(B95=0,B95="",N95=0),"",IF(AF95&lt;&gt;"exclusion",MAX(O$9,-(SUMIFS(SF_Output!$T$1:$T$400,SF_Output!$AC$1:$AC$400,_xlfn.TEXTJOIN(",",TRUE,$B95:$E95),SF_Output!$Q$1:$Q$400,"One Time",SF_Output!$L$1:$L$400,"professional service"))/N95),-((SUMIFS(SF_Output!$T$1:$T$400,SF_Output!$AC$1:$AC$400,_xlfn.TEXTJOIN(",",TRUE,$B95:$E95),SF_Output!$Q$1:$Q$400,"One Time",SF_Output!$L$1:$L$400,"professional service")/N95))))</f>
        <v/>
      </c>
      <c r="P95" s="6">
        <f t="shared" si="19"/>
        <v>0</v>
      </c>
      <c r="R95" s="6">
        <f>IF(B95="","",SUMIFS(SF_Output!$S$1:$S$400,SF_Output!$AC$1:$AC$400,_xlfn.TEXTJOIN(",",TRUE,B95:E95),SF_Output!$Q$1:$Q$400,"yearly")+SUMIFS(SF_Output!$S$1:$S$400,SF_Output!$AC$1:$AC$400,_xlfn.TEXTJOIN(",",TRUE,B95:E95),SF_Output!$Q$1:$Q$400,"quarterly")*4)</f>
        <v>0</v>
      </c>
      <c r="S95" s="112" t="str">
        <f>IF(OR(B95=0,B95="",G95="hardware",R95=0),"",IF(AF95&lt;&gt;"exclusion",MAX(S$9,-(SUMIFS(SF_Output!$T$1:$T$400,SF_Output!$AC$1:$AC$400,_xlfn.TEXTJOIN(",",TRUE,$B95:$E95),SF_Output!$Q$1:$Q$400,"yearly"))/R95),-((SUMIFS(SF_Output!$T$1:$T$400,SF_Output!$AC$1:$AC$400,_xlfn.TEXTJOIN(",",TRUE,$B95:$E95),SF_Output!$Q$1:$Q$400,"yearly")/R95))))</f>
        <v/>
      </c>
      <c r="T95" s="6">
        <f t="shared" si="20"/>
        <v>0</v>
      </c>
      <c r="V95" s="6" cm="1">
        <f t="array" ref="V95">_xlfn.IFS(B95="","",AND(B95&lt;&gt;"",H95=SF_Output!$Y$2,SUMIFS(SF_Output!$T$1:$T$400,SF_Output!$AC$1:$AC$400,_xlfn.TEXTJOIN(",",TRUE,B95:E95),SF_Output!$Q$1:$Q$400,"monthly")=0),(SUMIFS(SF_Output!$F$1:$F$400,SF_Output!$AC$1:$AC$400,_xlfn.TEXTJOIN(",",TRUE,B95:E95),SF_Output!$Q$1:$Q$400,"monthly")+SUMIFS(SF_Output!$G$1:$G$400,SF_Output!$AC$1:$AC$400,_xlfn.TEXTJOIN(",",TRUE,B95:E95),SF_Output!$Q$1:$Q$400,"monthly"))*H95,AND(B95&lt;&gt;"",H95=SF_Output!$Y$2,SUMIFS(SF_Output!$T$1:$T$400,SF_Output!$AC$1:$AC$400,_xlfn.TEXTJOIN(",",TRUE,B95:E95),SF_Output!$Q$1:$Q$400,"monthly")&lt;&gt;0),SUMIFS(SF_Output!$S$1:$S$400,SF_Output!$AC$1:$AC$400,_xlfn.TEXTJOIN(",",TRUE,B95:E95),SF_Output!$Q$1:$Q$400,"monthly"),AND(B95&lt;&gt;"",H95&lt;&gt;SF_Output!$Y$2),SUMIFS(SF_Output!$S$1:$S$400,SF_Output!$AC$1:$AC$400,_xlfn.TEXTJOIN(",",TRUE,B95:E95),SF_Output!$Q$1:$Q$400,"monthly"))</f>
        <v>0</v>
      </c>
      <c r="W95" s="112" t="str" cm="1">
        <f t="array" ref="W95">_xlfn.IFS(OR(B95=0,B95="",V95=0),"",AF95&lt;&gt;"exclusion",MAX($W$9,$W$7,(-(SUMIFS(SF_Output!$T$1:$T$400,SF_Output!$AC$1:$AC$400,_xlfn.TEXTJOIN(",",TRUE,$B95:$E95),SF_Output!$Q$1:$Q$400,"monthly"))/V95)),AF95="exclusion",-(SUMIFS(SF_Output!$T$1:$T$400,SF_Output!$AC$1:$AC$400,_xlfn.TEXTJOIN(",",TRUE,$B95:$E95),SF_Output!$Q$1:$Q$400,"monthly"))/V95)</f>
        <v/>
      </c>
      <c r="X95" s="6" cm="1">
        <f t="array" ref="X95">IFERROR(_xlfn.IFS(V95=0,0,V95="","",W95=0,V95,OR(V95&lt;&gt;0,V95&lt;&gt;""),H95*I95),V95*(1-W95))</f>
        <v>0</v>
      </c>
      <c r="Z95" s="6">
        <f>IFERROR(IF(B95="","",SUMIFS(Billing_Fallout!H:H,Billing_Fallout!N:N,B95)),0)</f>
        <v>0</v>
      </c>
      <c r="AA95" s="6">
        <f t="shared" si="21"/>
        <v>0</v>
      </c>
      <c r="AB95" s="6">
        <f>IFERROR(IF(B95="","",SUMIFS(Billing_Fallout!J:J,Billing_Fallout!N:N,B95)),0)</f>
        <v>0</v>
      </c>
      <c r="AD95" s="6">
        <f t="shared" si="22"/>
        <v>0</v>
      </c>
      <c r="AF95" t="str">
        <f>IFERROR(INDEX(H_Tables!$B$1:$B$1500,MATCH(INDEX(SF_Output!$J$1:$J$400,MATCH(B95,SF_Output!$M$1:$M$400,0)),H_Tables!$A$1:$A$1500,0)),"")</f>
        <v>Exclusion</v>
      </c>
      <c r="AI95" s="119" t="str">
        <f t="shared" si="23"/>
        <v/>
      </c>
      <c r="AJ95" s="121">
        <f>IFERROR(INDEX(SF_Output!AD:AD,MATCH(_xlfn.TEXTJOIN(",",TRUE,B95:E95),SF_Output!AC1:AC400,0)),0.05)</f>
        <v>166</v>
      </c>
      <c r="AK95" t="str">
        <f>IF(SUMIFS(SF_Output!$F$1:$F$400,SF_Output!$AC$1:$AC$400,_xlfn.TEXTJOIN(",",TRUE,B95:E95))+SUMIFS(SF_Output!$G$1:$G$400,SF_Output!$AC$1:$AC$400,_xlfn.TEXTJOIN(",",TRUE,B95:E95))=0,"","PAP")</f>
        <v/>
      </c>
      <c r="AQ95" s="35"/>
      <c r="AR95" s="35" t="str" cm="1">
        <f t="array" ref="AR95">IFERROR(_xlfn.IFS(AND(E95*1=1,F95="Included"),"Change to Included",AND(E95*1=0,F95="Optional"),"Change to Optional",OR(B95="",F95="replaced"),""),"")</f>
        <v/>
      </c>
      <c r="AS95" s="35" t="str">
        <f t="shared" si="24"/>
        <v/>
      </c>
      <c r="AT95" s="35" t="str">
        <f t="shared" si="25"/>
        <v/>
      </c>
      <c r="AU95" s="35" t="str">
        <f t="shared" si="26"/>
        <v/>
      </c>
      <c r="AV95" s="35" t="str">
        <f t="shared" si="27"/>
        <v/>
      </c>
      <c r="AW95" s="35" t="str">
        <f t="shared" si="28"/>
        <v/>
      </c>
      <c r="AX95" s="35" t="str">
        <f t="shared" si="29"/>
        <v/>
      </c>
      <c r="AY95" s="35" t="str">
        <f t="shared" si="30"/>
        <v/>
      </c>
      <c r="AZ95" s="35" t="str">
        <f t="shared" si="31"/>
        <v/>
      </c>
      <c r="BA95" s="35" t="str">
        <f t="shared" si="32"/>
        <v/>
      </c>
      <c r="BB95" s="35" t="str">
        <f t="shared" si="33"/>
        <v/>
      </c>
      <c r="BC95" s="35"/>
      <c r="BE95" s="35">
        <f ca="1">INDEX(SF_Output!$AA$2:$AA$400,MATCH($B95,SF_Output!$M$2:$M$400,0))</f>
        <v>6</v>
      </c>
      <c r="BF95" s="35">
        <f ca="1">INDEX(SF_Output!$AB$2:$AB$400,MATCH($B95,SF_Output!$M$2:$M$400,0))</f>
        <v>1</v>
      </c>
    </row>
    <row r="96" spans="2:58" x14ac:dyDescent="0.25">
      <c r="B96" t="s">
        <v>708</v>
      </c>
      <c r="C96" t="s">
        <v>2122</v>
      </c>
      <c r="D96" t="s">
        <v>2207</v>
      </c>
      <c r="E96" t="s">
        <v>2124</v>
      </c>
      <c r="F96" s="116" t="str">
        <f t="shared" si="17"/>
        <v>Included</v>
      </c>
      <c r="G96" t="str">
        <f>IF(B96="","",INDEX(SF_Output!$K$1:$K$400,MATCH(B96,SF_Output!$M$1:$M$400,0)))</f>
        <v>Card Processing Solutions (CPS)</v>
      </c>
      <c r="H96" cm="1">
        <f t="array" ref="H96">_xlfn.IFS(B96="","",(SUMIFS(SF_Output!$F$1:$F$400,SF_Output!$AC$1:$AC$400,_xlfn.TEXTJOIN(",",TRUE,B96:E96))+SUMIFS(SF_Output!$G$1:$G$400,SF_Output!$AC$1:$AC$400,_xlfn.TEXTJOIN(",",TRUE,B96:E96)))&lt;&gt;0,SF_Output!$Y$2,INDEX(SF_Output!$F$1:$F$400,MATCH(_xlfn.TEXTJOIN(",",TRUE,B96:E96),SF_Output!$AC$1:$AC$400,0))=0,INDEX(SF_Output!$R$1:$R$400,MATCH(_xlfn.TEXTJOIN(",",TRUE,B96:E96),SF_Output!$AC$1:$AC$400,0)))</f>
        <v>1</v>
      </c>
      <c r="I96" s="125" t="str">
        <f>IFERROR(IF(AND(H96&gt;1,H96&lt;&gt;""),ROUND(SUMIFS(SF_Output!$S$1:$S$400,SF_Output!$AC$1:$AC$400,_xlfn.TEXTJOIN(",",TRUE,B96:E96),SF_Output!$Q$1:$Q$400,"monthly")*(1-W96)/H96,4),""),"")</f>
        <v/>
      </c>
      <c r="J96" s="6">
        <f>IF(B96="","",SUMIFS(SF_Output!$S$1:$S$400,SF_Output!$AC$1:$AC$400,_xlfn.TEXTJOIN(",",TRUE,B96:E96),SF_Output!$Q$1:$Q$400,"One Time",SF_Output!$L$1:$L$400,"license fee")+SUMIFS(SF_Output!$S$1:$S$400,SF_Output!$AC$1:$AC$400,_xlfn.TEXTJOIN(",",TRUE,B96:E96),SF_Output!$Q$1:$Q$400,"One Time",SF_Output!$L$1:$L$400,"software license")+SUMIFS(SF_Output!$S$1:$S$400,SF_Output!$AC$1:$AC$400,_xlfn.TEXTJOIN(",",TRUE,B96:E96),SF_Output!$Q$1:$Q$400,"One Time",SF_Output!$L$1:$L$400,"hardware"))</f>
        <v>0</v>
      </c>
      <c r="K96" s="112" t="str">
        <f>IF(OR(B96=0,B96="",G96="hardware",J96=0),"",IF(AF96&lt;&gt;"exclusion",MAX(K$9,-((SUMIFS(SF_Output!$T$1:$T$400,SF_Output!$AC$1:$AC$400,_xlfn.TEXTJOIN(",",TRUE,$B96:$E96),SF_Output!$Q$1:$Q$400,"One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license"))/J96)))</f>
        <v/>
      </c>
      <c r="L96" s="6">
        <f t="shared" si="18"/>
        <v>0</v>
      </c>
      <c r="N96" s="6">
        <f>IF(B96="","",SUMIFS(SF_Output!$S$1:$S$400,SF_Output!$AC$1:$AC$400,_xlfn.TEXTJOIN(",",TRUE,B96:E96),SF_Output!$Q$1:$Q$400,"One Time",SF_Output!$L$1:$L$400,"professional service"))</f>
        <v>3000</v>
      </c>
      <c r="O96" s="112">
        <f>IF(OR(B96=0,B96="",N96=0),"",IF(AF96&lt;&gt;"exclusion",MAX(O$9,-(SUMIFS(SF_Output!$T$1:$T$400,SF_Output!$AC$1:$AC$400,_xlfn.TEXTJOIN(",",TRUE,$B96:$E96),SF_Output!$Q$1:$Q$400,"One Time",SF_Output!$L$1:$L$400,"professional service"))/N96),-((SUMIFS(SF_Output!$T$1:$T$400,SF_Output!$AC$1:$AC$400,_xlfn.TEXTJOIN(",",TRUE,$B96:$E96),SF_Output!$Q$1:$Q$400,"One Time",SF_Output!$L$1:$L$400,"professional service")/N96))))</f>
        <v>1</v>
      </c>
      <c r="P96" s="6">
        <f t="shared" si="19"/>
        <v>0</v>
      </c>
      <c r="R96" s="6">
        <f>IF(B96="","",SUMIFS(SF_Output!$S$1:$S$400,SF_Output!$AC$1:$AC$400,_xlfn.TEXTJOIN(",",TRUE,B96:E96),SF_Output!$Q$1:$Q$400,"yearly")+SUMIFS(SF_Output!$S$1:$S$400,SF_Output!$AC$1:$AC$400,_xlfn.TEXTJOIN(",",TRUE,B96:E96),SF_Output!$Q$1:$Q$400,"quarterly")*4)</f>
        <v>0</v>
      </c>
      <c r="S96" s="112" t="str">
        <f>IF(OR(B96=0,B96="",G96="hardware",R96=0),"",IF(AF96&lt;&gt;"exclusion",MAX(S$9,-(SUMIFS(SF_Output!$T$1:$T$400,SF_Output!$AC$1:$AC$400,_xlfn.TEXTJOIN(",",TRUE,$B96:$E96),SF_Output!$Q$1:$Q$400,"yearly"))/R96),-((SUMIFS(SF_Output!$T$1:$T$400,SF_Output!$AC$1:$AC$400,_xlfn.TEXTJOIN(",",TRUE,$B96:$E96),SF_Output!$Q$1:$Q$400,"yearly")/R96))))</f>
        <v/>
      </c>
      <c r="T96" s="6">
        <f t="shared" si="20"/>
        <v>0</v>
      </c>
      <c r="V96" s="6" cm="1">
        <f t="array" ref="V96">_xlfn.IFS(B96="","",AND(B96&lt;&gt;"",H96=SF_Output!$Y$2,SUMIFS(SF_Output!$T$1:$T$400,SF_Output!$AC$1:$AC$400,_xlfn.TEXTJOIN(",",TRUE,B96:E96),SF_Output!$Q$1:$Q$400,"monthly")=0),(SUMIFS(SF_Output!$F$1:$F$400,SF_Output!$AC$1:$AC$400,_xlfn.TEXTJOIN(",",TRUE,B96:E96),SF_Output!$Q$1:$Q$400,"monthly")+SUMIFS(SF_Output!$G$1:$G$400,SF_Output!$AC$1:$AC$400,_xlfn.TEXTJOIN(",",TRUE,B96:E96),SF_Output!$Q$1:$Q$400,"monthly"))*H96,AND(B96&lt;&gt;"",H96=SF_Output!$Y$2,SUMIFS(SF_Output!$T$1:$T$400,SF_Output!$AC$1:$AC$400,_xlfn.TEXTJOIN(",",TRUE,B96:E96),SF_Output!$Q$1:$Q$400,"monthly")&lt;&gt;0),SUMIFS(SF_Output!$S$1:$S$400,SF_Output!$AC$1:$AC$400,_xlfn.TEXTJOIN(",",TRUE,B96:E96),SF_Output!$Q$1:$Q$400,"monthly"),AND(B96&lt;&gt;"",H96&lt;&gt;SF_Output!$Y$2),SUMIFS(SF_Output!$S$1:$S$400,SF_Output!$AC$1:$AC$400,_xlfn.TEXTJOIN(",",TRUE,B96:E96),SF_Output!$Q$1:$Q$400,"monthly"))</f>
        <v>500</v>
      </c>
      <c r="W96" s="112" cm="1">
        <f t="array" ref="W96">_xlfn.IFS(OR(B96=0,B96="",V96=0),"",AF96&lt;&gt;"exclusion",MAX($W$9,$W$7,(-(SUMIFS(SF_Output!$T$1:$T$400,SF_Output!$AC$1:$AC$400,_xlfn.TEXTJOIN(",",TRUE,$B96:$E96),SF_Output!$Q$1:$Q$400,"monthly"))/V96)),AF96="exclusion",-(SUMIFS(SF_Output!$T$1:$T$400,SF_Output!$AC$1:$AC$400,_xlfn.TEXTJOIN(",",TRUE,$B96:$E96),SF_Output!$Q$1:$Q$400,"monthly"))/V96)</f>
        <v>0</v>
      </c>
      <c r="X96" s="6" cm="1">
        <f t="array" ref="X96">IFERROR(_xlfn.IFS(V96=0,0,V96="","",W96=0,V96,OR(V96&lt;&gt;0,V96&lt;&gt;""),H96*I96),V96*(1-W96))</f>
        <v>500</v>
      </c>
      <c r="Z96" s="6">
        <f>IFERROR(IF(B96="","",SUMIFS(Billing_Fallout!H:H,Billing_Fallout!N:N,B96)),0)</f>
        <v>0</v>
      </c>
      <c r="AA96" s="6">
        <f t="shared" si="21"/>
        <v>0</v>
      </c>
      <c r="AB96" s="6">
        <f>IFERROR(IF(B96="","",SUMIFS(Billing_Fallout!J:J,Billing_Fallout!N:N,B96)),0)</f>
        <v>0</v>
      </c>
      <c r="AD96" s="6">
        <f t="shared" si="22"/>
        <v>500</v>
      </c>
      <c r="AF96" t="str">
        <f>IFERROR(INDEX(H_Tables!$B$1:$B$1500,MATCH(INDEX(SF_Output!$J$1:$J$400,MATCH(B96,SF_Output!$M$1:$M$400,0)),H_Tables!$A$1:$A$1500,0)),"")</f>
        <v>Exclusion</v>
      </c>
      <c r="AI96" s="119" t="str">
        <f t="shared" si="23"/>
        <v/>
      </c>
      <c r="AJ96" s="121">
        <f>IFERROR(INDEX(SF_Output!AD:AD,MATCH(_xlfn.TEXTJOIN(",",TRUE,B96:E96),SF_Output!AC1:AC400,0)),0.05)</f>
        <v>167</v>
      </c>
      <c r="AK96" t="str">
        <f>IF(SUMIFS(SF_Output!$F$1:$F$400,SF_Output!$AC$1:$AC$400,_xlfn.TEXTJOIN(",",TRUE,B96:E96))+SUMIFS(SF_Output!$G$1:$G$400,SF_Output!$AC$1:$AC$400,_xlfn.TEXTJOIN(",",TRUE,B96:E96))=0,"","PAP")</f>
        <v/>
      </c>
      <c r="AQ96" s="35"/>
      <c r="AR96" s="35" t="str" cm="1">
        <f t="array" ref="AR96">IFERROR(_xlfn.IFS(AND(E96*1=1,F96="Included"),"Change to Included",AND(E96*1=0,F96="Optional"),"Change to Optional",OR(B96="",F96="replaced"),""),"")</f>
        <v/>
      </c>
      <c r="AS96" s="35" t="str">
        <f t="shared" si="24"/>
        <v/>
      </c>
      <c r="AT96" s="35" t="str">
        <f t="shared" si="25"/>
        <v/>
      </c>
      <c r="AU96" s="35" t="str">
        <f t="shared" si="26"/>
        <v/>
      </c>
      <c r="AV96" s="35" t="str">
        <f t="shared" si="27"/>
        <v/>
      </c>
      <c r="AW96" s="35" t="str">
        <f t="shared" si="28"/>
        <v/>
      </c>
      <c r="AX96" s="35" t="str">
        <f t="shared" si="29"/>
        <v/>
      </c>
      <c r="AY96" s="35" t="str">
        <f t="shared" si="30"/>
        <v/>
      </c>
      <c r="AZ96" s="35" t="str">
        <f t="shared" si="31"/>
        <v/>
      </c>
      <c r="BA96" s="35" t="str">
        <f t="shared" si="32"/>
        <v/>
      </c>
      <c r="BB96" s="35" t="str">
        <f t="shared" si="33"/>
        <v/>
      </c>
      <c r="BC96" s="35"/>
      <c r="BE96" s="35">
        <f ca="1">INDEX(SF_Output!$AA$2:$AA$400,MATCH($B96,SF_Output!$M$2:$M$400,0))</f>
        <v>6</v>
      </c>
      <c r="BF96" s="35">
        <f ca="1">INDEX(SF_Output!$AB$2:$AB$400,MATCH($B96,SF_Output!$M$2:$M$400,0))</f>
        <v>1</v>
      </c>
    </row>
    <row r="97" spans="2:58" x14ac:dyDescent="0.25">
      <c r="B97" t="s">
        <v>2353</v>
      </c>
      <c r="C97" t="s">
        <v>2122</v>
      </c>
      <c r="D97" t="s">
        <v>2207</v>
      </c>
      <c r="E97" t="s">
        <v>2124</v>
      </c>
      <c r="F97" s="116" t="str">
        <f t="shared" si="17"/>
        <v>Included</v>
      </c>
      <c r="G97" t="str">
        <f>IF(B97="","",INDEX(SF_Output!$K$1:$K$400,MATCH(B97,SF_Output!$M$1:$M$400,0)))</f>
        <v>Card Processing Solutions (CPS)</v>
      </c>
      <c r="H97" cm="1">
        <f t="array" ref="H97">_xlfn.IFS(B97="","",(SUMIFS(SF_Output!$F$1:$F$400,SF_Output!$AC$1:$AC$400,_xlfn.TEXTJOIN(",",TRUE,B97:E97))+SUMIFS(SF_Output!$G$1:$G$400,SF_Output!$AC$1:$AC$400,_xlfn.TEXTJOIN(",",TRUE,B97:E97)))&lt;&gt;0,SF_Output!$Y$2,INDEX(SF_Output!$F$1:$F$400,MATCH(_xlfn.TEXTJOIN(",",TRUE,B97:E97),SF_Output!$AC$1:$AC$400,0))=0,INDEX(SF_Output!$R$1:$R$400,MATCH(_xlfn.TEXTJOIN(",",TRUE,B97:E97),SF_Output!$AC$1:$AC$400,0)))</f>
        <v>1</v>
      </c>
      <c r="I97" s="125" t="str">
        <f>IFERROR(IF(AND(H97&gt;1,H97&lt;&gt;""),ROUND(SUMIFS(SF_Output!$S$1:$S$400,SF_Output!$AC$1:$AC$400,_xlfn.TEXTJOIN(",",TRUE,B97:E97),SF_Output!$Q$1:$Q$400,"monthly")*(1-W97)/H97,4),""),"")</f>
        <v/>
      </c>
      <c r="J97" s="6">
        <f>IF(B97="","",SUMIFS(SF_Output!$S$1:$S$400,SF_Output!$AC$1:$AC$400,_xlfn.TEXTJOIN(",",TRUE,B97:E97),SF_Output!$Q$1:$Q$400,"One Time",SF_Output!$L$1:$L$400,"license fee")+SUMIFS(SF_Output!$S$1:$S$400,SF_Output!$AC$1:$AC$400,_xlfn.TEXTJOIN(",",TRUE,B97:E97),SF_Output!$Q$1:$Q$400,"One Time",SF_Output!$L$1:$L$400,"software license")+SUMIFS(SF_Output!$S$1:$S$400,SF_Output!$AC$1:$AC$400,_xlfn.TEXTJOIN(",",TRUE,B97:E97),SF_Output!$Q$1:$Q$400,"One Time",SF_Output!$L$1:$L$400,"hardware"))</f>
        <v>0</v>
      </c>
      <c r="K97" s="112" t="str">
        <f>IF(OR(B97=0,B97="",G97="hardware",J97=0),"",IF(AF97&lt;&gt;"exclusion",MAX(K$9,-((SUMIFS(SF_Output!$T$1:$T$400,SF_Output!$AC$1:$AC$400,_xlfn.TEXTJOIN(",",TRUE,$B97:$E97),SF_Output!$Q$1:$Q$400,"One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license"))/J97)))</f>
        <v/>
      </c>
      <c r="L97" s="6">
        <f t="shared" si="18"/>
        <v>0</v>
      </c>
      <c r="N97" s="6">
        <f>IF(B97="","",SUMIFS(SF_Output!$S$1:$S$400,SF_Output!$AC$1:$AC$400,_xlfn.TEXTJOIN(",",TRUE,B97:E97),SF_Output!$Q$1:$Q$400,"One Time",SF_Output!$L$1:$L$400,"professional service"))</f>
        <v>0</v>
      </c>
      <c r="O97" s="112" t="str">
        <f>IF(OR(B97=0,B97="",N97=0),"",IF(AF97&lt;&gt;"exclusion",MAX(O$9,-(SUMIFS(SF_Output!$T$1:$T$400,SF_Output!$AC$1:$AC$400,_xlfn.TEXTJOIN(",",TRUE,$B97:$E97),SF_Output!$Q$1:$Q$400,"One Time",SF_Output!$L$1:$L$400,"professional service"))/N97),-((SUMIFS(SF_Output!$T$1:$T$400,SF_Output!$AC$1:$AC$400,_xlfn.TEXTJOIN(",",TRUE,$B97:$E97),SF_Output!$Q$1:$Q$400,"One Time",SF_Output!$L$1:$L$400,"professional service")/N97))))</f>
        <v/>
      </c>
      <c r="P97" s="6">
        <f t="shared" si="19"/>
        <v>0</v>
      </c>
      <c r="R97" s="6">
        <f>IF(B97="","",SUMIFS(SF_Output!$S$1:$S$400,SF_Output!$AC$1:$AC$400,_xlfn.TEXTJOIN(",",TRUE,B97:E97),SF_Output!$Q$1:$Q$400,"yearly")+SUMIFS(SF_Output!$S$1:$S$400,SF_Output!$AC$1:$AC$400,_xlfn.TEXTJOIN(",",TRUE,B97:E97),SF_Output!$Q$1:$Q$400,"quarterly")*4)</f>
        <v>0</v>
      </c>
      <c r="S97" s="112" t="str">
        <f>IF(OR(B97=0,B97="",G97="hardware",R97=0),"",IF(AF97&lt;&gt;"exclusion",MAX(S$9,-(SUMIFS(SF_Output!$T$1:$T$400,SF_Output!$AC$1:$AC$400,_xlfn.TEXTJOIN(",",TRUE,$B97:$E97),SF_Output!$Q$1:$Q$400,"yearly"))/R97),-((SUMIFS(SF_Output!$T$1:$T$400,SF_Output!$AC$1:$AC$400,_xlfn.TEXTJOIN(",",TRUE,$B97:$E97),SF_Output!$Q$1:$Q$400,"yearly")/R97))))</f>
        <v/>
      </c>
      <c r="T97" s="6">
        <f t="shared" si="20"/>
        <v>0</v>
      </c>
      <c r="V97" s="6" cm="1">
        <f t="array" ref="V97">_xlfn.IFS(B97="","",AND(B97&lt;&gt;"",H97=SF_Output!$Y$2,SUMIFS(SF_Output!$T$1:$T$400,SF_Output!$AC$1:$AC$400,_xlfn.TEXTJOIN(",",TRUE,B97:E97),SF_Output!$Q$1:$Q$400,"monthly")=0),(SUMIFS(SF_Output!$F$1:$F$400,SF_Output!$AC$1:$AC$400,_xlfn.TEXTJOIN(",",TRUE,B97:E97),SF_Output!$Q$1:$Q$400,"monthly")+SUMIFS(SF_Output!$G$1:$G$400,SF_Output!$AC$1:$AC$400,_xlfn.TEXTJOIN(",",TRUE,B97:E97),SF_Output!$Q$1:$Q$400,"monthly"))*H97,AND(B97&lt;&gt;"",H97=SF_Output!$Y$2,SUMIFS(SF_Output!$T$1:$T$400,SF_Output!$AC$1:$AC$400,_xlfn.TEXTJOIN(",",TRUE,B97:E97),SF_Output!$Q$1:$Q$400,"monthly")&lt;&gt;0),SUMIFS(SF_Output!$S$1:$S$400,SF_Output!$AC$1:$AC$400,_xlfn.TEXTJOIN(",",TRUE,B97:E97),SF_Output!$Q$1:$Q$400,"monthly"),AND(B97&lt;&gt;"",H97&lt;&gt;SF_Output!$Y$2),SUMIFS(SF_Output!$S$1:$S$400,SF_Output!$AC$1:$AC$400,_xlfn.TEXTJOIN(",",TRUE,B97:E97),SF_Output!$Q$1:$Q$400,"monthly"))</f>
        <v>250</v>
      </c>
      <c r="W97" s="112" cm="1">
        <f t="array" ref="W97">_xlfn.IFS(OR(B97=0,B97="",V97=0),"",AF97&lt;&gt;"exclusion",MAX($W$9,$W$7,(-(SUMIFS(SF_Output!$T$1:$T$400,SF_Output!$AC$1:$AC$400,_xlfn.TEXTJOIN(",",TRUE,$B97:$E97),SF_Output!$Q$1:$Q$400,"monthly"))/V97)),AF97="exclusion",-(SUMIFS(SF_Output!$T$1:$T$400,SF_Output!$AC$1:$AC$400,_xlfn.TEXTJOIN(",",TRUE,$B97:$E97),SF_Output!$Q$1:$Q$400,"monthly"))/V97)</f>
        <v>0</v>
      </c>
      <c r="X97" s="6" cm="1">
        <f t="array" ref="X97">IFERROR(_xlfn.IFS(V97=0,0,V97="","",W97=0,V97,OR(V97&lt;&gt;0,V97&lt;&gt;""),H97*I97),V97*(1-W97))</f>
        <v>250</v>
      </c>
      <c r="Z97" s="6">
        <f>IFERROR(IF(B97="","",SUMIFS(Billing_Fallout!H:H,Billing_Fallout!N:N,B97)),0)</f>
        <v>0</v>
      </c>
      <c r="AA97" s="6">
        <f t="shared" si="21"/>
        <v>0</v>
      </c>
      <c r="AB97" s="6">
        <f>IFERROR(IF(B97="","",SUMIFS(Billing_Fallout!J:J,Billing_Fallout!N:N,B97)),0)</f>
        <v>0</v>
      </c>
      <c r="AD97" s="6">
        <f t="shared" si="22"/>
        <v>250</v>
      </c>
      <c r="AF97" t="str">
        <f>IFERROR(INDEX(H_Tables!$B$1:$B$1500,MATCH(INDEX(SF_Output!$J$1:$J$400,MATCH(B97,SF_Output!$M$1:$M$400,0)),H_Tables!$A$1:$A$1500,0)),"")</f>
        <v>Exclusion</v>
      </c>
      <c r="AI97" s="119" t="str">
        <f t="shared" si="23"/>
        <v/>
      </c>
      <c r="AJ97" s="121">
        <f>IFERROR(INDEX(SF_Output!AD:AD,MATCH(_xlfn.TEXTJOIN(",",TRUE,B97:E97),SF_Output!AC1:AC400,0)),0.05)</f>
        <v>169</v>
      </c>
      <c r="AK97" t="str">
        <f>IF(SUMIFS(SF_Output!$F$1:$F$400,SF_Output!$AC$1:$AC$400,_xlfn.TEXTJOIN(",",TRUE,B97:E97))+SUMIFS(SF_Output!$G$1:$G$400,SF_Output!$AC$1:$AC$400,_xlfn.TEXTJOIN(",",TRUE,B97:E97))=0,"","PAP")</f>
        <v/>
      </c>
      <c r="AQ97" s="35"/>
      <c r="AR97" s="35" t="str" cm="1">
        <f t="array" ref="AR97">IFERROR(_xlfn.IFS(AND(E97*1=1,F97="Included"),"Change to Included",AND(E97*1=0,F97="Optional"),"Change to Optional",OR(B97="",F97="replaced"),""),"")</f>
        <v/>
      </c>
      <c r="AS97" s="35" t="str">
        <f t="shared" si="24"/>
        <v/>
      </c>
      <c r="AT97" s="35" t="str">
        <f t="shared" si="25"/>
        <v/>
      </c>
      <c r="AU97" s="35" t="str">
        <f t="shared" si="26"/>
        <v/>
      </c>
      <c r="AV97" s="35" t="str">
        <f t="shared" si="27"/>
        <v/>
      </c>
      <c r="AW97" s="35" t="str">
        <f t="shared" si="28"/>
        <v/>
      </c>
      <c r="AX97" s="35" t="str">
        <f t="shared" si="29"/>
        <v/>
      </c>
      <c r="AY97" s="35" t="str">
        <f t="shared" si="30"/>
        <v/>
      </c>
      <c r="AZ97" s="35" t="str">
        <f t="shared" si="31"/>
        <v/>
      </c>
      <c r="BA97" s="35" t="str">
        <f t="shared" si="32"/>
        <v/>
      </c>
      <c r="BB97" s="35" t="str">
        <f t="shared" si="33"/>
        <v/>
      </c>
      <c r="BC97" s="35"/>
      <c r="BE97" s="35">
        <f ca="1">INDEX(SF_Output!$AA$2:$AA$400,MATCH($B97,SF_Output!$M$2:$M$400,0))</f>
        <v>6</v>
      </c>
      <c r="BF97" s="35">
        <f ca="1">INDEX(SF_Output!$AB$2:$AB$400,MATCH($B97,SF_Output!$M$2:$M$400,0))</f>
        <v>1</v>
      </c>
    </row>
    <row r="98" spans="2:58" x14ac:dyDescent="0.25">
      <c r="B98" t="s">
        <v>687</v>
      </c>
      <c r="C98" t="s">
        <v>2122</v>
      </c>
      <c r="D98" t="s">
        <v>2207</v>
      </c>
      <c r="E98" t="s">
        <v>2124</v>
      </c>
      <c r="F98" s="116" t="str">
        <f t="shared" si="17"/>
        <v>Included</v>
      </c>
      <c r="G98" t="str">
        <f>IF(B98="","",INDEX(SF_Output!$K$1:$K$400,MATCH(B98,SF_Output!$M$1:$M$400,0)))</f>
        <v>Card Processing Solutions (CPS)</v>
      </c>
      <c r="H98" cm="1">
        <f t="array" ref="H98">_xlfn.IFS(B98="","",(SUMIFS(SF_Output!$F$1:$F$400,SF_Output!$AC$1:$AC$400,_xlfn.TEXTJOIN(",",TRUE,B98:E98))+SUMIFS(SF_Output!$G$1:$G$400,SF_Output!$AC$1:$AC$400,_xlfn.TEXTJOIN(",",TRUE,B98:E98)))&lt;&gt;0,SF_Output!$Y$2,INDEX(SF_Output!$F$1:$F$400,MATCH(_xlfn.TEXTJOIN(",",TRUE,B98:E98),SF_Output!$AC$1:$AC$400,0))=0,INDEX(SF_Output!$R$1:$R$400,MATCH(_xlfn.TEXTJOIN(",",TRUE,B98:E98),SF_Output!$AC$1:$AC$400,0)))</f>
        <v>0</v>
      </c>
      <c r="I98" s="125" t="str">
        <f>IFERROR(IF(AND(H98&gt;1,H98&lt;&gt;""),ROUND(SUMIFS(SF_Output!$S$1:$S$400,SF_Output!$AC$1:$AC$400,_xlfn.TEXTJOIN(",",TRUE,B98:E98),SF_Output!$Q$1:$Q$400,"monthly")*(1-W98)/H98,4),""),"")</f>
        <v/>
      </c>
      <c r="J98" s="6">
        <f>IF(B98="","",SUMIFS(SF_Output!$S$1:$S$400,SF_Output!$AC$1:$AC$400,_xlfn.TEXTJOIN(",",TRUE,B98:E98),SF_Output!$Q$1:$Q$400,"One Time",SF_Output!$L$1:$L$400,"license fee")+SUMIFS(SF_Output!$S$1:$S$400,SF_Output!$AC$1:$AC$400,_xlfn.TEXTJOIN(",",TRUE,B98:E98),SF_Output!$Q$1:$Q$400,"One Time",SF_Output!$L$1:$L$400,"software license")+SUMIFS(SF_Output!$S$1:$S$400,SF_Output!$AC$1:$AC$400,_xlfn.TEXTJOIN(",",TRUE,B98:E98),SF_Output!$Q$1:$Q$400,"One Time",SF_Output!$L$1:$L$400,"hardware"))</f>
        <v>0</v>
      </c>
      <c r="K98" s="112" t="str">
        <f>IF(OR(B98=0,B98="",G98="hardware",J98=0),"",IF(AF98&lt;&gt;"exclusion",MAX(K$9,-((SUMIFS(SF_Output!$T$1:$T$400,SF_Output!$AC$1:$AC$400,_xlfn.TEXTJOIN(",",TRUE,$B98:$E98),SF_Output!$Q$1:$Q$400,"One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license"))/J98)))</f>
        <v/>
      </c>
      <c r="L98" s="6">
        <f t="shared" si="18"/>
        <v>0</v>
      </c>
      <c r="N98" s="6">
        <f>IF(B98="","",SUMIFS(SF_Output!$S$1:$S$400,SF_Output!$AC$1:$AC$400,_xlfn.TEXTJOIN(",",TRUE,B98:E98),SF_Output!$Q$1:$Q$400,"One Time",SF_Output!$L$1:$L$400,"professional service"))</f>
        <v>0</v>
      </c>
      <c r="O98" s="112" t="str">
        <f>IF(OR(B98=0,B98="",N98=0),"",IF(AF98&lt;&gt;"exclusion",MAX(O$9,-(SUMIFS(SF_Output!$T$1:$T$400,SF_Output!$AC$1:$AC$400,_xlfn.TEXTJOIN(",",TRUE,$B98:$E98),SF_Output!$Q$1:$Q$400,"One Time",SF_Output!$L$1:$L$400,"professional service"))/N98),-((SUMIFS(SF_Output!$T$1:$T$400,SF_Output!$AC$1:$AC$400,_xlfn.TEXTJOIN(",",TRUE,$B98:$E98),SF_Output!$Q$1:$Q$400,"One Time",SF_Output!$L$1:$L$400,"professional service")/N98))))</f>
        <v/>
      </c>
      <c r="P98" s="6">
        <f t="shared" si="19"/>
        <v>0</v>
      </c>
      <c r="R98" s="6">
        <f>IF(B98="","",SUMIFS(SF_Output!$S$1:$S$400,SF_Output!$AC$1:$AC$400,_xlfn.TEXTJOIN(",",TRUE,B98:E98),SF_Output!$Q$1:$Q$400,"yearly")+SUMIFS(SF_Output!$S$1:$S$400,SF_Output!$AC$1:$AC$400,_xlfn.TEXTJOIN(",",TRUE,B98:E98),SF_Output!$Q$1:$Q$400,"quarterly")*4)</f>
        <v>0</v>
      </c>
      <c r="S98" s="112" t="str">
        <f>IF(OR(B98=0,B98="",G98="hardware",R98=0),"",IF(AF98&lt;&gt;"exclusion",MAX(S$9,-(SUMIFS(SF_Output!$T$1:$T$400,SF_Output!$AC$1:$AC$400,_xlfn.TEXTJOIN(",",TRUE,$B98:$E98),SF_Output!$Q$1:$Q$400,"yearly"))/R98),-((SUMIFS(SF_Output!$T$1:$T$400,SF_Output!$AC$1:$AC$400,_xlfn.TEXTJOIN(",",TRUE,$B98:$E98),SF_Output!$Q$1:$Q$400,"yearly")/R98))))</f>
        <v/>
      </c>
      <c r="T98" s="6">
        <f t="shared" si="20"/>
        <v>0</v>
      </c>
      <c r="V98" s="6" cm="1">
        <f t="array" ref="V98">_xlfn.IFS(B98="","",AND(B98&lt;&gt;"",H98=SF_Output!$Y$2,SUMIFS(SF_Output!$T$1:$T$400,SF_Output!$AC$1:$AC$400,_xlfn.TEXTJOIN(",",TRUE,B98:E98),SF_Output!$Q$1:$Q$400,"monthly")=0),(SUMIFS(SF_Output!$F$1:$F$400,SF_Output!$AC$1:$AC$400,_xlfn.TEXTJOIN(",",TRUE,B98:E98),SF_Output!$Q$1:$Q$400,"monthly")+SUMIFS(SF_Output!$G$1:$G$400,SF_Output!$AC$1:$AC$400,_xlfn.TEXTJOIN(",",TRUE,B98:E98),SF_Output!$Q$1:$Q$400,"monthly"))*H98,AND(B98&lt;&gt;"",H98=SF_Output!$Y$2,SUMIFS(SF_Output!$T$1:$T$400,SF_Output!$AC$1:$AC$400,_xlfn.TEXTJOIN(",",TRUE,B98:E98),SF_Output!$Q$1:$Q$400,"monthly")&lt;&gt;0),SUMIFS(SF_Output!$S$1:$S$400,SF_Output!$AC$1:$AC$400,_xlfn.TEXTJOIN(",",TRUE,B98:E98),SF_Output!$Q$1:$Q$400,"monthly"),AND(B98&lt;&gt;"",H98&lt;&gt;SF_Output!$Y$2),SUMIFS(SF_Output!$S$1:$S$400,SF_Output!$AC$1:$AC$400,_xlfn.TEXTJOIN(",",TRUE,B98:E98),SF_Output!$Q$1:$Q$400,"monthly"))</f>
        <v>0</v>
      </c>
      <c r="W98" s="112" t="str" cm="1">
        <f t="array" ref="W98">_xlfn.IFS(OR(B98=0,B98="",V98=0),"",AF98&lt;&gt;"exclusion",MAX($W$9,$W$7,(-(SUMIFS(SF_Output!$T$1:$T$400,SF_Output!$AC$1:$AC$400,_xlfn.TEXTJOIN(",",TRUE,$B98:$E98),SF_Output!$Q$1:$Q$400,"monthly"))/V98)),AF98="exclusion",-(SUMIFS(SF_Output!$T$1:$T$400,SF_Output!$AC$1:$AC$400,_xlfn.TEXTJOIN(",",TRUE,$B98:$E98),SF_Output!$Q$1:$Q$400,"monthly"))/V98)</f>
        <v/>
      </c>
      <c r="X98" s="6" cm="1">
        <f t="array" ref="X98">IFERROR(_xlfn.IFS(V98=0,0,V98="","",W98=0,V98,OR(V98&lt;&gt;0,V98&lt;&gt;""),H98*I98),V98*(1-W98))</f>
        <v>0</v>
      </c>
      <c r="Z98" s="6">
        <f>IFERROR(IF(B98="","",SUMIFS(Billing_Fallout!H:H,Billing_Fallout!N:N,B98)),0)</f>
        <v>0</v>
      </c>
      <c r="AA98" s="6">
        <f t="shared" si="21"/>
        <v>0</v>
      </c>
      <c r="AB98" s="6">
        <f>IFERROR(IF(B98="","",SUMIFS(Billing_Fallout!J:J,Billing_Fallout!N:N,B98)),0)</f>
        <v>0</v>
      </c>
      <c r="AD98" s="6">
        <f t="shared" si="22"/>
        <v>0</v>
      </c>
      <c r="AF98" t="str">
        <f>IFERROR(INDEX(H_Tables!$B$1:$B$1500,MATCH(INDEX(SF_Output!$J$1:$J$400,MATCH(B98,SF_Output!$M$1:$M$400,0)),H_Tables!$A$1:$A$1500,0)),"")</f>
        <v>Exclusion</v>
      </c>
      <c r="AI98" s="119" t="str">
        <f t="shared" si="23"/>
        <v/>
      </c>
      <c r="AJ98" s="121">
        <f>IFERROR(INDEX(SF_Output!AD:AD,MATCH(_xlfn.TEXTJOIN(",",TRUE,B98:E98),SF_Output!AC1:AC400,0)),0.05)</f>
        <v>170</v>
      </c>
      <c r="AK98" t="str">
        <f>IF(SUMIFS(SF_Output!$F$1:$F$400,SF_Output!$AC$1:$AC$400,_xlfn.TEXTJOIN(",",TRUE,B98:E98))+SUMIFS(SF_Output!$G$1:$G$400,SF_Output!$AC$1:$AC$400,_xlfn.TEXTJOIN(",",TRUE,B98:E98))=0,"","PAP")</f>
        <v/>
      </c>
      <c r="AQ98" s="35"/>
      <c r="AR98" s="35" t="str" cm="1">
        <f t="array" ref="AR98">IFERROR(_xlfn.IFS(AND(E98*1=1,F98="Included"),"Change to Included",AND(E98*1=0,F98="Optional"),"Change to Optional",OR(B98="",F98="replaced"),""),"")</f>
        <v/>
      </c>
      <c r="AS98" s="35" t="str">
        <f t="shared" si="24"/>
        <v/>
      </c>
      <c r="AT98" s="35" t="str">
        <f t="shared" si="25"/>
        <v/>
      </c>
      <c r="AU98" s="35" t="str">
        <f t="shared" si="26"/>
        <v/>
      </c>
      <c r="AV98" s="35" t="str">
        <f t="shared" si="27"/>
        <v/>
      </c>
      <c r="AW98" s="35" t="str">
        <f t="shared" si="28"/>
        <v/>
      </c>
      <c r="AX98" s="35" t="str">
        <f t="shared" si="29"/>
        <v/>
      </c>
      <c r="AY98" s="35" t="str">
        <f t="shared" si="30"/>
        <v/>
      </c>
      <c r="AZ98" s="35" t="str">
        <f t="shared" si="31"/>
        <v/>
      </c>
      <c r="BA98" s="35" t="str">
        <f t="shared" si="32"/>
        <v/>
      </c>
      <c r="BB98" s="35" t="str">
        <f t="shared" si="33"/>
        <v/>
      </c>
      <c r="BC98" s="35"/>
      <c r="BE98" s="35">
        <f ca="1">INDEX(SF_Output!$AA$2:$AA$400,MATCH($B98,SF_Output!$M$2:$M$400,0))</f>
        <v>6</v>
      </c>
      <c r="BF98" s="35">
        <f ca="1">INDEX(SF_Output!$AB$2:$AB$400,MATCH($B98,SF_Output!$M$2:$M$400,0))</f>
        <v>1</v>
      </c>
    </row>
    <row r="99" spans="2:58" x14ac:dyDescent="0.25">
      <c r="B99" t="s">
        <v>694</v>
      </c>
      <c r="C99" t="s">
        <v>2122</v>
      </c>
      <c r="D99" t="s">
        <v>2207</v>
      </c>
      <c r="E99" t="s">
        <v>2124</v>
      </c>
      <c r="F99" s="116" t="str">
        <f t="shared" si="17"/>
        <v>Included</v>
      </c>
      <c r="G99" t="str">
        <f>IF(B99="","",INDEX(SF_Output!$K$1:$K$400,MATCH(B99,SF_Output!$M$1:$M$400,0)))</f>
        <v>Card Processing Solutions (CPS)</v>
      </c>
      <c r="H99" cm="1">
        <f t="array" ref="H99">_xlfn.IFS(B99="","",(SUMIFS(SF_Output!$F$1:$F$400,SF_Output!$AC$1:$AC$400,_xlfn.TEXTJOIN(",",TRUE,B99:E99))+SUMIFS(SF_Output!$G$1:$G$400,SF_Output!$AC$1:$AC$400,_xlfn.TEXTJOIN(",",TRUE,B99:E99)))&lt;&gt;0,SF_Output!$Y$2,INDEX(SF_Output!$F$1:$F$400,MATCH(_xlfn.TEXTJOIN(",",TRUE,B99:E99),SF_Output!$AC$1:$AC$400,0))=0,INDEX(SF_Output!$R$1:$R$400,MATCH(_xlfn.TEXTJOIN(",",TRUE,B99:E99),SF_Output!$AC$1:$AC$400,0)))</f>
        <v>1</v>
      </c>
      <c r="I99" s="125" t="str">
        <f>IFERROR(IF(AND(H99&gt;1,H99&lt;&gt;""),ROUND(SUMIFS(SF_Output!$S$1:$S$400,SF_Output!$AC$1:$AC$400,_xlfn.TEXTJOIN(",",TRUE,B99:E99),SF_Output!$Q$1:$Q$400,"monthly")*(1-W99)/H99,4),""),"")</f>
        <v/>
      </c>
      <c r="J99" s="6">
        <f>IF(B99="","",SUMIFS(SF_Output!$S$1:$S$400,SF_Output!$AC$1:$AC$400,_xlfn.TEXTJOIN(",",TRUE,B99:E99),SF_Output!$Q$1:$Q$400,"One Time",SF_Output!$L$1:$L$400,"license fee")+SUMIFS(SF_Output!$S$1:$S$400,SF_Output!$AC$1:$AC$400,_xlfn.TEXTJOIN(",",TRUE,B99:E99),SF_Output!$Q$1:$Q$400,"One Time",SF_Output!$L$1:$L$400,"software license")+SUMIFS(SF_Output!$S$1:$S$400,SF_Output!$AC$1:$AC$400,_xlfn.TEXTJOIN(",",TRUE,B99:E99),SF_Output!$Q$1:$Q$400,"One Time",SF_Output!$L$1:$L$400,"hardware"))</f>
        <v>0</v>
      </c>
      <c r="K99" s="112" t="str">
        <f>IF(OR(B99=0,B99="",G99="hardware",J99=0),"",IF(AF99&lt;&gt;"exclusion",MAX(K$9,-((SUMIFS(SF_Output!$T$1:$T$400,SF_Output!$AC$1:$AC$400,_xlfn.TEXTJOIN(",",TRUE,$B99:$E99),SF_Output!$Q$1:$Q$400,"One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license"))/J99)))</f>
        <v/>
      </c>
      <c r="L99" s="6">
        <f t="shared" si="18"/>
        <v>0</v>
      </c>
      <c r="N99" s="6">
        <f>IF(B99="","",SUMIFS(SF_Output!$S$1:$S$400,SF_Output!$AC$1:$AC$400,_xlfn.TEXTJOIN(",",TRUE,B99:E99),SF_Output!$Q$1:$Q$400,"One Time",SF_Output!$L$1:$L$400,"professional service"))</f>
        <v>145</v>
      </c>
      <c r="O99" s="112">
        <f>IF(OR(B99=0,B99="",N99=0),"",IF(AF99&lt;&gt;"exclusion",MAX(O$9,-(SUMIFS(SF_Output!$T$1:$T$400,SF_Output!$AC$1:$AC$400,_xlfn.TEXTJOIN(",",TRUE,$B99:$E99),SF_Output!$Q$1:$Q$400,"One Time",SF_Output!$L$1:$L$400,"professional service"))/N99),-((SUMIFS(SF_Output!$T$1:$T$400,SF_Output!$AC$1:$AC$400,_xlfn.TEXTJOIN(",",TRUE,$B99:$E99),SF_Output!$Q$1:$Q$400,"One Time",SF_Output!$L$1:$L$400,"professional service")/N99))))</f>
        <v>1</v>
      </c>
      <c r="P99" s="6">
        <f t="shared" si="19"/>
        <v>0</v>
      </c>
      <c r="R99" s="6">
        <f>IF(B99="","",SUMIFS(SF_Output!$S$1:$S$400,SF_Output!$AC$1:$AC$400,_xlfn.TEXTJOIN(",",TRUE,B99:E99),SF_Output!$Q$1:$Q$400,"yearly")+SUMIFS(SF_Output!$S$1:$S$400,SF_Output!$AC$1:$AC$400,_xlfn.TEXTJOIN(",",TRUE,B99:E99),SF_Output!$Q$1:$Q$400,"quarterly")*4)</f>
        <v>0</v>
      </c>
      <c r="S99" s="112" t="str">
        <f>IF(OR(B99=0,B99="",G99="hardware",R99=0),"",IF(AF99&lt;&gt;"exclusion",MAX(S$9,-(SUMIFS(SF_Output!$T$1:$T$400,SF_Output!$AC$1:$AC$400,_xlfn.TEXTJOIN(",",TRUE,$B99:$E99),SF_Output!$Q$1:$Q$400,"yearly"))/R99),-((SUMIFS(SF_Output!$T$1:$T$400,SF_Output!$AC$1:$AC$400,_xlfn.TEXTJOIN(",",TRUE,$B99:$E99),SF_Output!$Q$1:$Q$400,"yearly")/R99))))</f>
        <v/>
      </c>
      <c r="T99" s="6">
        <f t="shared" si="20"/>
        <v>0</v>
      </c>
      <c r="V99" s="6" cm="1">
        <f t="array" ref="V99">_xlfn.IFS(B99="","",AND(B99&lt;&gt;"",H99=SF_Output!$Y$2,SUMIFS(SF_Output!$T$1:$T$400,SF_Output!$AC$1:$AC$400,_xlfn.TEXTJOIN(",",TRUE,B99:E99),SF_Output!$Q$1:$Q$400,"monthly")=0),(SUMIFS(SF_Output!$F$1:$F$400,SF_Output!$AC$1:$AC$400,_xlfn.TEXTJOIN(",",TRUE,B99:E99),SF_Output!$Q$1:$Q$400,"monthly")+SUMIFS(SF_Output!$G$1:$G$400,SF_Output!$AC$1:$AC$400,_xlfn.TEXTJOIN(",",TRUE,B99:E99),SF_Output!$Q$1:$Q$400,"monthly"))*H99,AND(B99&lt;&gt;"",H99=SF_Output!$Y$2,SUMIFS(SF_Output!$T$1:$T$400,SF_Output!$AC$1:$AC$400,_xlfn.TEXTJOIN(",",TRUE,B99:E99),SF_Output!$Q$1:$Q$400,"monthly")&lt;&gt;0),SUMIFS(SF_Output!$S$1:$S$400,SF_Output!$AC$1:$AC$400,_xlfn.TEXTJOIN(",",TRUE,B99:E99),SF_Output!$Q$1:$Q$400,"monthly"),AND(B99&lt;&gt;"",H99&lt;&gt;SF_Output!$Y$2),SUMIFS(SF_Output!$S$1:$S$400,SF_Output!$AC$1:$AC$400,_xlfn.TEXTJOIN(",",TRUE,B99:E99),SF_Output!$Q$1:$Q$400,"monthly"))</f>
        <v>0</v>
      </c>
      <c r="W99" s="112" t="str" cm="1">
        <f t="array" ref="W99">_xlfn.IFS(OR(B99=0,B99="",V99=0),"",AF99&lt;&gt;"exclusion",MAX($W$9,$W$7,(-(SUMIFS(SF_Output!$T$1:$T$400,SF_Output!$AC$1:$AC$400,_xlfn.TEXTJOIN(",",TRUE,$B99:$E99),SF_Output!$Q$1:$Q$400,"monthly"))/V99)),AF99="exclusion",-(SUMIFS(SF_Output!$T$1:$T$400,SF_Output!$AC$1:$AC$400,_xlfn.TEXTJOIN(",",TRUE,$B99:$E99),SF_Output!$Q$1:$Q$400,"monthly"))/V99)</f>
        <v/>
      </c>
      <c r="X99" s="6" cm="1">
        <f t="array" ref="X99">IFERROR(_xlfn.IFS(V99=0,0,V99="","",W99=0,V99,OR(V99&lt;&gt;0,V99&lt;&gt;""),H99*I99),V99*(1-W99))</f>
        <v>0</v>
      </c>
      <c r="Z99" s="6">
        <f>IFERROR(IF(B99="","",SUMIFS(Billing_Fallout!H:H,Billing_Fallout!N:N,B99)),0)</f>
        <v>0</v>
      </c>
      <c r="AA99" s="6">
        <f t="shared" si="21"/>
        <v>0</v>
      </c>
      <c r="AB99" s="6">
        <f>IFERROR(IF(B99="","",SUMIFS(Billing_Fallout!J:J,Billing_Fallout!N:N,B99)),0)</f>
        <v>0</v>
      </c>
      <c r="AD99" s="6">
        <f t="shared" si="22"/>
        <v>0</v>
      </c>
      <c r="AF99" t="str">
        <f>IFERROR(INDEX(H_Tables!$B$1:$B$1500,MATCH(INDEX(SF_Output!$J$1:$J$400,MATCH(B99,SF_Output!$M$1:$M$400,0)),H_Tables!$A$1:$A$1500,0)),"")</f>
        <v>Exclusion</v>
      </c>
      <c r="AI99" s="119" t="str">
        <f t="shared" si="23"/>
        <v/>
      </c>
      <c r="AJ99" s="121">
        <f>IFERROR(INDEX(SF_Output!AD:AD,MATCH(_xlfn.TEXTJOIN(",",TRUE,B99:E99),SF_Output!AC1:AC400,0)),0.05)</f>
        <v>171</v>
      </c>
      <c r="AK99" t="str">
        <f>IF(SUMIFS(SF_Output!$F$1:$F$400,SF_Output!$AC$1:$AC$400,_xlfn.TEXTJOIN(",",TRUE,B99:E99))+SUMIFS(SF_Output!$G$1:$G$400,SF_Output!$AC$1:$AC$400,_xlfn.TEXTJOIN(",",TRUE,B99:E99))=0,"","PAP")</f>
        <v/>
      </c>
      <c r="AQ99" s="35"/>
      <c r="AR99" s="35" t="str" cm="1">
        <f t="array" ref="AR99">IFERROR(_xlfn.IFS(AND(E99*1=1,F99="Included"),"Change to Included",AND(E99*1=0,F99="Optional"),"Change to Optional",OR(B99="",F99="replaced"),""),"")</f>
        <v/>
      </c>
      <c r="AS99" s="35" t="str">
        <f t="shared" si="24"/>
        <v/>
      </c>
      <c r="AT99" s="35" t="str">
        <f t="shared" si="25"/>
        <v/>
      </c>
      <c r="AU99" s="35" t="str">
        <f t="shared" si="26"/>
        <v/>
      </c>
      <c r="AV99" s="35" t="str">
        <f t="shared" si="27"/>
        <v/>
      </c>
      <c r="AW99" s="35" t="str">
        <f t="shared" si="28"/>
        <v/>
      </c>
      <c r="AX99" s="35" t="str">
        <f t="shared" si="29"/>
        <v/>
      </c>
      <c r="AY99" s="35" t="str">
        <f t="shared" si="30"/>
        <v/>
      </c>
      <c r="AZ99" s="35" t="str">
        <f t="shared" si="31"/>
        <v/>
      </c>
      <c r="BA99" s="35" t="str">
        <f t="shared" si="32"/>
        <v/>
      </c>
      <c r="BB99" s="35" t="str">
        <f t="shared" si="33"/>
        <v/>
      </c>
      <c r="BC99" s="35"/>
      <c r="BE99" s="35">
        <f ca="1">INDEX(SF_Output!$AA$2:$AA$400,MATCH($B99,SF_Output!$M$2:$M$400,0))</f>
        <v>6</v>
      </c>
      <c r="BF99" s="35">
        <f ca="1">INDEX(SF_Output!$AB$2:$AB$400,MATCH($B99,SF_Output!$M$2:$M$400,0))</f>
        <v>1</v>
      </c>
    </row>
    <row r="100" spans="2:58" x14ac:dyDescent="0.25">
      <c r="B100" t="s">
        <v>2357</v>
      </c>
      <c r="C100" t="s">
        <v>2122</v>
      </c>
      <c r="D100" t="s">
        <v>2207</v>
      </c>
      <c r="E100" t="s">
        <v>2124</v>
      </c>
      <c r="F100" s="116" t="str">
        <f t="shared" si="17"/>
        <v>Included</v>
      </c>
      <c r="G100" t="str">
        <f>IF(B100="","",INDEX(SF_Output!$K$1:$K$400,MATCH(B100,SF_Output!$M$1:$M$400,0)))</f>
        <v>Card Processing Solutions (CPS)</v>
      </c>
      <c r="H100" cm="1">
        <f t="array" ref="H100">_xlfn.IFS(B100="","",(SUMIFS(SF_Output!$F$1:$F$400,SF_Output!$AC$1:$AC$400,_xlfn.TEXTJOIN(",",TRUE,B100:E100))+SUMIFS(SF_Output!$G$1:$G$400,SF_Output!$AC$1:$AC$400,_xlfn.TEXTJOIN(",",TRUE,B100:E100)))&lt;&gt;0,SF_Output!$Y$2,INDEX(SF_Output!$F$1:$F$400,MATCH(_xlfn.TEXTJOIN(",",TRUE,B100:E100),SF_Output!$AC$1:$AC$400,0))=0,INDEX(SF_Output!$R$1:$R$400,MATCH(_xlfn.TEXTJOIN(",",TRUE,B100:E100),SF_Output!$AC$1:$AC$400,0)))</f>
        <v>1</v>
      </c>
      <c r="I100" s="125" t="str">
        <f>IFERROR(IF(AND(H100&gt;1,H100&lt;&gt;""),ROUND(SUMIFS(SF_Output!$S$1:$S$400,SF_Output!$AC$1:$AC$400,_xlfn.TEXTJOIN(",",TRUE,B100:E100),SF_Output!$Q$1:$Q$400,"monthly")*(1-W100)/H100,4),""),"")</f>
        <v/>
      </c>
      <c r="J100" s="6">
        <f>IF(B100="","",SUMIFS(SF_Output!$S$1:$S$400,SF_Output!$AC$1:$AC$400,_xlfn.TEXTJOIN(",",TRUE,B100:E100),SF_Output!$Q$1:$Q$400,"One Time",SF_Output!$L$1:$L$400,"license fee")+SUMIFS(SF_Output!$S$1:$S$400,SF_Output!$AC$1:$AC$400,_xlfn.TEXTJOIN(",",TRUE,B100:E100),SF_Output!$Q$1:$Q$400,"One Time",SF_Output!$L$1:$L$400,"software license")+SUMIFS(SF_Output!$S$1:$S$400,SF_Output!$AC$1:$AC$400,_xlfn.TEXTJOIN(",",TRUE,B100:E100),SF_Output!$Q$1:$Q$400,"One Time",SF_Output!$L$1:$L$400,"hardware"))</f>
        <v>0</v>
      </c>
      <c r="K100" s="112" t="str">
        <f>IF(OR(B100=0,B100="",G100="hardware",J100=0),"",IF(AF100&lt;&gt;"exclusion",MAX(K$9,-((SUMIFS(SF_Output!$T$1:$T$400,SF_Output!$AC$1:$AC$400,_xlfn.TEXTJOIN(",",TRUE,$B100:$E100),SF_Output!$Q$1:$Q$400,"One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license"))/J100)))</f>
        <v/>
      </c>
      <c r="L100" s="6">
        <f t="shared" si="18"/>
        <v>0</v>
      </c>
      <c r="N100" s="6">
        <f>IF(B100="","",SUMIFS(SF_Output!$S$1:$S$400,SF_Output!$AC$1:$AC$400,_xlfn.TEXTJOIN(",",TRUE,B100:E100),SF_Output!$Q$1:$Q$400,"One Time",SF_Output!$L$1:$L$400,"professional service"))</f>
        <v>0</v>
      </c>
      <c r="O100" s="112" t="str">
        <f>IF(OR(B100=0,B100="",N100=0),"",IF(AF100&lt;&gt;"exclusion",MAX(O$9,-(SUMIFS(SF_Output!$T$1:$T$400,SF_Output!$AC$1:$AC$400,_xlfn.TEXTJOIN(",",TRUE,$B100:$E100),SF_Output!$Q$1:$Q$400,"One Time",SF_Output!$L$1:$L$400,"professional service"))/N100),-((SUMIFS(SF_Output!$T$1:$T$400,SF_Output!$AC$1:$AC$400,_xlfn.TEXTJOIN(",",TRUE,$B100:$E100),SF_Output!$Q$1:$Q$400,"One Time",SF_Output!$L$1:$L$400,"professional service")/N100))))</f>
        <v/>
      </c>
      <c r="P100" s="6">
        <f t="shared" si="19"/>
        <v>0</v>
      </c>
      <c r="R100" s="6">
        <f>IF(B100="","",SUMIFS(SF_Output!$S$1:$S$400,SF_Output!$AC$1:$AC$400,_xlfn.TEXTJOIN(",",TRUE,B100:E100),SF_Output!$Q$1:$Q$400,"yearly")+SUMIFS(SF_Output!$S$1:$S$400,SF_Output!$AC$1:$AC$400,_xlfn.TEXTJOIN(",",TRUE,B100:E100),SF_Output!$Q$1:$Q$400,"quarterly")*4)</f>
        <v>0</v>
      </c>
      <c r="S100" s="112" t="str">
        <f>IF(OR(B100=0,B100="",G100="hardware",R100=0),"",IF(AF100&lt;&gt;"exclusion",MAX(S$9,-(SUMIFS(SF_Output!$T$1:$T$400,SF_Output!$AC$1:$AC$400,_xlfn.TEXTJOIN(",",TRUE,$B100:$E100),SF_Output!$Q$1:$Q$400,"yearly"))/R100),-((SUMIFS(SF_Output!$T$1:$T$400,SF_Output!$AC$1:$AC$400,_xlfn.TEXTJOIN(",",TRUE,$B100:$E100),SF_Output!$Q$1:$Q$400,"yearly")/R100))))</f>
        <v/>
      </c>
      <c r="T100" s="6">
        <f t="shared" si="20"/>
        <v>0</v>
      </c>
      <c r="V100" s="6" cm="1">
        <f t="array" ref="V100">_xlfn.IFS(B100="","",AND(B100&lt;&gt;"",H100=SF_Output!$Y$2,SUMIFS(SF_Output!$T$1:$T$400,SF_Output!$AC$1:$AC$400,_xlfn.TEXTJOIN(",",TRUE,B100:E100),SF_Output!$Q$1:$Q$400,"monthly")=0),(SUMIFS(SF_Output!$F$1:$F$400,SF_Output!$AC$1:$AC$400,_xlfn.TEXTJOIN(",",TRUE,B100:E100),SF_Output!$Q$1:$Q$400,"monthly")+SUMIFS(SF_Output!$G$1:$G$400,SF_Output!$AC$1:$AC$400,_xlfn.TEXTJOIN(",",TRUE,B100:E100),SF_Output!$Q$1:$Q$400,"monthly"))*H100,AND(B100&lt;&gt;"",H100=SF_Output!$Y$2,SUMIFS(SF_Output!$T$1:$T$400,SF_Output!$AC$1:$AC$400,_xlfn.TEXTJOIN(",",TRUE,B100:E100),SF_Output!$Q$1:$Q$400,"monthly")&lt;&gt;0),SUMIFS(SF_Output!$S$1:$S$400,SF_Output!$AC$1:$AC$400,_xlfn.TEXTJOIN(",",TRUE,B100:E100),SF_Output!$Q$1:$Q$400,"monthly"),AND(B100&lt;&gt;"",H100&lt;&gt;SF_Output!$Y$2),SUMIFS(SF_Output!$S$1:$S$400,SF_Output!$AC$1:$AC$400,_xlfn.TEXTJOIN(",",TRUE,B100:E100),SF_Output!$Q$1:$Q$400,"monthly"))</f>
        <v>100</v>
      </c>
      <c r="W100" s="112" cm="1">
        <f t="array" ref="W100">_xlfn.IFS(OR(B100=0,B100="",V100=0),"",AF100&lt;&gt;"exclusion",MAX($W$9,$W$7,(-(SUMIFS(SF_Output!$T$1:$T$400,SF_Output!$AC$1:$AC$400,_xlfn.TEXTJOIN(",",TRUE,$B100:$E100),SF_Output!$Q$1:$Q$400,"monthly"))/V100)),AF100="exclusion",-(SUMIFS(SF_Output!$T$1:$T$400,SF_Output!$AC$1:$AC$400,_xlfn.TEXTJOIN(",",TRUE,$B100:$E100),SF_Output!$Q$1:$Q$400,"monthly"))/V100)</f>
        <v>0</v>
      </c>
      <c r="X100" s="6" cm="1">
        <f t="array" ref="X100">IFERROR(_xlfn.IFS(V100=0,0,V100="","",W100=0,V100,OR(V100&lt;&gt;0,V100&lt;&gt;""),H100*I100),V100*(1-W100))</f>
        <v>100</v>
      </c>
      <c r="Z100" s="6">
        <f>IFERROR(IF(B100="","",SUMIFS(Billing_Fallout!H:H,Billing_Fallout!N:N,B100)),0)</f>
        <v>0</v>
      </c>
      <c r="AA100" s="6">
        <f t="shared" si="21"/>
        <v>0</v>
      </c>
      <c r="AB100" s="6">
        <f>IFERROR(IF(B100="","",SUMIFS(Billing_Fallout!J:J,Billing_Fallout!N:N,B100)),0)</f>
        <v>0</v>
      </c>
      <c r="AD100" s="6">
        <f t="shared" si="22"/>
        <v>100</v>
      </c>
      <c r="AF100" t="str">
        <f>IFERROR(INDEX(H_Tables!$B$1:$B$1500,MATCH(INDEX(SF_Output!$J$1:$J$400,MATCH(B100,SF_Output!$M$1:$M$400,0)),H_Tables!$A$1:$A$1500,0)),"")</f>
        <v>Exclusion</v>
      </c>
      <c r="AI100" s="119" t="str">
        <f t="shared" si="23"/>
        <v/>
      </c>
      <c r="AJ100" s="121">
        <f>IFERROR(INDEX(SF_Output!AD:AD,MATCH(_xlfn.TEXTJOIN(",",TRUE,B100:E100),SF_Output!AC1:AC400,0)),0.05)</f>
        <v>172</v>
      </c>
      <c r="AK100" t="str">
        <f>IF(SUMIFS(SF_Output!$F$1:$F$400,SF_Output!$AC$1:$AC$400,_xlfn.TEXTJOIN(",",TRUE,B100:E100))+SUMIFS(SF_Output!$G$1:$G$400,SF_Output!$AC$1:$AC$400,_xlfn.TEXTJOIN(",",TRUE,B100:E100))=0,"","PAP")</f>
        <v/>
      </c>
      <c r="AQ100" s="35"/>
      <c r="AR100" s="35" t="str" cm="1">
        <f t="array" ref="AR100">IFERROR(_xlfn.IFS(AND(E100*1=1,F100="Included"),"Change to Included",AND(E100*1=0,F100="Optional"),"Change to Optional",OR(B100="",F100="replaced"),""),"")</f>
        <v/>
      </c>
      <c r="AS100" s="35" t="str">
        <f t="shared" si="24"/>
        <v/>
      </c>
      <c r="AT100" s="35" t="str">
        <f t="shared" si="25"/>
        <v/>
      </c>
      <c r="AU100" s="35" t="str">
        <f t="shared" si="26"/>
        <v/>
      </c>
      <c r="AV100" s="35" t="str">
        <f t="shared" si="27"/>
        <v/>
      </c>
      <c r="AW100" s="35" t="str">
        <f t="shared" si="28"/>
        <v/>
      </c>
      <c r="AX100" s="35" t="str">
        <f t="shared" si="29"/>
        <v/>
      </c>
      <c r="AY100" s="35" t="str">
        <f t="shared" si="30"/>
        <v/>
      </c>
      <c r="AZ100" s="35" t="str">
        <f t="shared" si="31"/>
        <v/>
      </c>
      <c r="BA100" s="35" t="str">
        <f t="shared" si="32"/>
        <v/>
      </c>
      <c r="BB100" s="35" t="str">
        <f t="shared" si="33"/>
        <v/>
      </c>
      <c r="BC100" s="35"/>
      <c r="BE100" s="35">
        <f ca="1">INDEX(SF_Output!$AA$2:$AA$400,MATCH($B100,SF_Output!$M$2:$M$400,0))</f>
        <v>6</v>
      </c>
      <c r="BF100" s="35">
        <f ca="1">INDEX(SF_Output!$AB$2:$AB$400,MATCH($B100,SF_Output!$M$2:$M$400,0))</f>
        <v>1</v>
      </c>
    </row>
    <row r="101" spans="2:58" x14ac:dyDescent="0.25">
      <c r="B101" t="s">
        <v>715</v>
      </c>
      <c r="C101" t="s">
        <v>2122</v>
      </c>
      <c r="D101" t="s">
        <v>2207</v>
      </c>
      <c r="E101" t="s">
        <v>2124</v>
      </c>
      <c r="F101" s="116" t="str">
        <f t="shared" si="17"/>
        <v>Included</v>
      </c>
      <c r="G101" t="str">
        <f>IF(B101="","",INDEX(SF_Output!$K$1:$K$400,MATCH(B101,SF_Output!$M$1:$M$400,0)))</f>
        <v>Card Processing Solutions (CPS)</v>
      </c>
      <c r="H101" cm="1">
        <f t="array" ref="H101">_xlfn.IFS(B101="","",(SUMIFS(SF_Output!$F$1:$F$400,SF_Output!$AC$1:$AC$400,_xlfn.TEXTJOIN(",",TRUE,B101:E101))+SUMIFS(SF_Output!$G$1:$G$400,SF_Output!$AC$1:$AC$400,_xlfn.TEXTJOIN(",",TRUE,B101:E101)))&lt;&gt;0,SF_Output!$Y$2,INDEX(SF_Output!$F$1:$F$400,MATCH(_xlfn.TEXTJOIN(",",TRUE,B101:E101),SF_Output!$AC$1:$AC$400,0))=0,INDEX(SF_Output!$R$1:$R$400,MATCH(_xlfn.TEXTJOIN(",",TRUE,B101:E101),SF_Output!$AC$1:$AC$400,0)))</f>
        <v>1</v>
      </c>
      <c r="I101" s="125" t="str">
        <f>IFERROR(IF(AND(H101&gt;1,H101&lt;&gt;""),ROUND(SUMIFS(SF_Output!$S$1:$S$400,SF_Output!$AC$1:$AC$400,_xlfn.TEXTJOIN(",",TRUE,B101:E101),SF_Output!$Q$1:$Q$400,"monthly")*(1-W101)/H101,4),""),"")</f>
        <v/>
      </c>
      <c r="J101" s="6">
        <f>IF(B101="","",SUMIFS(SF_Output!$S$1:$S$400,SF_Output!$AC$1:$AC$400,_xlfn.TEXTJOIN(",",TRUE,B101:E101),SF_Output!$Q$1:$Q$400,"One Time",SF_Output!$L$1:$L$400,"license fee")+SUMIFS(SF_Output!$S$1:$S$400,SF_Output!$AC$1:$AC$400,_xlfn.TEXTJOIN(",",TRUE,B101:E101),SF_Output!$Q$1:$Q$400,"One Time",SF_Output!$L$1:$L$400,"software license")+SUMIFS(SF_Output!$S$1:$S$400,SF_Output!$AC$1:$AC$400,_xlfn.TEXTJOIN(",",TRUE,B101:E101),SF_Output!$Q$1:$Q$400,"One Time",SF_Output!$L$1:$L$400,"hardware"))</f>
        <v>0</v>
      </c>
      <c r="K101" s="112" t="str">
        <f>IF(OR(B101=0,B101="",G101="hardware",J101=0),"",IF(AF101&lt;&gt;"exclusion",MAX(K$9,-((SUMIFS(SF_Output!$T$1:$T$400,SF_Output!$AC$1:$AC$400,_xlfn.TEXTJOIN(",",TRUE,$B101:$E101),SF_Output!$Q$1:$Q$400,"One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license"))/J101)))</f>
        <v/>
      </c>
      <c r="L101" s="6">
        <f t="shared" si="18"/>
        <v>0</v>
      </c>
      <c r="N101" s="6">
        <f>IF(B101="","",SUMIFS(SF_Output!$S$1:$S$400,SF_Output!$AC$1:$AC$400,_xlfn.TEXTJOIN(",",TRUE,B101:E101),SF_Output!$Q$1:$Q$400,"One Time",SF_Output!$L$1:$L$400,"professional service"))</f>
        <v>500</v>
      </c>
      <c r="O101" s="112">
        <f>IF(OR(B101=0,B101="",N101=0),"",IF(AF101&lt;&gt;"exclusion",MAX(O$9,-(SUMIFS(SF_Output!$T$1:$T$400,SF_Output!$AC$1:$AC$400,_xlfn.TEXTJOIN(",",TRUE,$B101:$E101),SF_Output!$Q$1:$Q$400,"One Time",SF_Output!$L$1:$L$400,"professional service"))/N101),-((SUMIFS(SF_Output!$T$1:$T$400,SF_Output!$AC$1:$AC$400,_xlfn.TEXTJOIN(",",TRUE,$B101:$E101),SF_Output!$Q$1:$Q$400,"One Time",SF_Output!$L$1:$L$400,"professional service")/N101))))</f>
        <v>1</v>
      </c>
      <c r="P101" s="6">
        <f t="shared" si="19"/>
        <v>0</v>
      </c>
      <c r="R101" s="6">
        <f>IF(B101="","",SUMIFS(SF_Output!$S$1:$S$400,SF_Output!$AC$1:$AC$400,_xlfn.TEXTJOIN(",",TRUE,B101:E101),SF_Output!$Q$1:$Q$400,"yearly")+SUMIFS(SF_Output!$S$1:$S$400,SF_Output!$AC$1:$AC$400,_xlfn.TEXTJOIN(",",TRUE,B101:E101),SF_Output!$Q$1:$Q$400,"quarterly")*4)</f>
        <v>0</v>
      </c>
      <c r="S101" s="112" t="str">
        <f>IF(OR(B101=0,B101="",G101="hardware",R101=0),"",IF(AF101&lt;&gt;"exclusion",MAX(S$9,-(SUMIFS(SF_Output!$T$1:$T$400,SF_Output!$AC$1:$AC$400,_xlfn.TEXTJOIN(",",TRUE,$B101:$E101),SF_Output!$Q$1:$Q$400,"yearly"))/R101),-((SUMIFS(SF_Output!$T$1:$T$400,SF_Output!$AC$1:$AC$400,_xlfn.TEXTJOIN(",",TRUE,$B101:$E101),SF_Output!$Q$1:$Q$400,"yearly")/R101))))</f>
        <v/>
      </c>
      <c r="T101" s="6">
        <f t="shared" si="20"/>
        <v>0</v>
      </c>
      <c r="V101" s="6" cm="1">
        <f t="array" ref="V101">_xlfn.IFS(B101="","",AND(B101&lt;&gt;"",H101=SF_Output!$Y$2,SUMIFS(SF_Output!$T$1:$T$400,SF_Output!$AC$1:$AC$400,_xlfn.TEXTJOIN(",",TRUE,B101:E101),SF_Output!$Q$1:$Q$400,"monthly")=0),(SUMIFS(SF_Output!$F$1:$F$400,SF_Output!$AC$1:$AC$400,_xlfn.TEXTJOIN(",",TRUE,B101:E101),SF_Output!$Q$1:$Q$400,"monthly")+SUMIFS(SF_Output!$G$1:$G$400,SF_Output!$AC$1:$AC$400,_xlfn.TEXTJOIN(",",TRUE,B101:E101),SF_Output!$Q$1:$Q$400,"monthly"))*H101,AND(B101&lt;&gt;"",H101=SF_Output!$Y$2,SUMIFS(SF_Output!$T$1:$T$400,SF_Output!$AC$1:$AC$400,_xlfn.TEXTJOIN(",",TRUE,B101:E101),SF_Output!$Q$1:$Q$400,"monthly")&lt;&gt;0),SUMIFS(SF_Output!$S$1:$S$400,SF_Output!$AC$1:$AC$400,_xlfn.TEXTJOIN(",",TRUE,B101:E101),SF_Output!$Q$1:$Q$400,"monthly"),AND(B101&lt;&gt;"",H101&lt;&gt;SF_Output!$Y$2),SUMIFS(SF_Output!$S$1:$S$400,SF_Output!$AC$1:$AC$400,_xlfn.TEXTJOIN(",",TRUE,B101:E101),SF_Output!$Q$1:$Q$400,"monthly"))</f>
        <v>75</v>
      </c>
      <c r="W101" s="112" cm="1">
        <f t="array" ref="W101">_xlfn.IFS(OR(B101=0,B101="",V101=0),"",AF101&lt;&gt;"exclusion",MAX($W$9,$W$7,(-(SUMIFS(SF_Output!$T$1:$T$400,SF_Output!$AC$1:$AC$400,_xlfn.TEXTJOIN(",",TRUE,$B101:$E101),SF_Output!$Q$1:$Q$400,"monthly"))/V101)),AF101="exclusion",-(SUMIFS(SF_Output!$T$1:$T$400,SF_Output!$AC$1:$AC$400,_xlfn.TEXTJOIN(",",TRUE,$B101:$E101),SF_Output!$Q$1:$Q$400,"monthly"))/V101)</f>
        <v>0</v>
      </c>
      <c r="X101" s="6" cm="1">
        <f t="array" ref="X101">IFERROR(_xlfn.IFS(V101=0,0,V101="","",W101=0,V101,OR(V101&lt;&gt;0,V101&lt;&gt;""),H101*I101),V101*(1-W101))</f>
        <v>75</v>
      </c>
      <c r="Z101" s="6">
        <f>IFERROR(IF(B101="","",SUMIFS(Billing_Fallout!H:H,Billing_Fallout!N:N,B101)),0)</f>
        <v>0</v>
      </c>
      <c r="AA101" s="6">
        <f t="shared" si="21"/>
        <v>0</v>
      </c>
      <c r="AB101" s="6">
        <f>IFERROR(IF(B101="","",SUMIFS(Billing_Fallout!J:J,Billing_Fallout!N:N,B101)),0)</f>
        <v>0</v>
      </c>
      <c r="AD101" s="6">
        <f t="shared" si="22"/>
        <v>75</v>
      </c>
      <c r="AF101" t="str">
        <f>IFERROR(INDEX(H_Tables!$B$1:$B$1500,MATCH(INDEX(SF_Output!$J$1:$J$400,MATCH(B101,SF_Output!$M$1:$M$400,0)),H_Tables!$A$1:$A$1500,0)),"")</f>
        <v>Exclusion</v>
      </c>
      <c r="AI101" s="119" t="str">
        <f t="shared" si="23"/>
        <v/>
      </c>
      <c r="AJ101" s="121">
        <f>IFERROR(INDEX(SF_Output!AD:AD,MATCH(_xlfn.TEXTJOIN(",",TRUE,B101:E101),SF_Output!AC1:AC400,0)),0.05)</f>
        <v>173</v>
      </c>
      <c r="AK101" t="str">
        <f>IF(SUMIFS(SF_Output!$F$1:$F$400,SF_Output!$AC$1:$AC$400,_xlfn.TEXTJOIN(",",TRUE,B101:E101))+SUMIFS(SF_Output!$G$1:$G$400,SF_Output!$AC$1:$AC$400,_xlfn.TEXTJOIN(",",TRUE,B101:E101))=0,"","PAP")</f>
        <v/>
      </c>
      <c r="AQ101" s="35"/>
      <c r="AR101" s="35" t="str" cm="1">
        <f t="array" ref="AR101">IFERROR(_xlfn.IFS(AND(E101*1=1,F101="Included"),"Change to Included",AND(E101*1=0,F101="Optional"),"Change to Optional",OR(B101="",F101="replaced"),""),"")</f>
        <v/>
      </c>
      <c r="AS101" s="35" t="str">
        <f t="shared" si="24"/>
        <v/>
      </c>
      <c r="AT101" s="35" t="str">
        <f t="shared" si="25"/>
        <v/>
      </c>
      <c r="AU101" s="35" t="str">
        <f t="shared" si="26"/>
        <v/>
      </c>
      <c r="AV101" s="35" t="str">
        <f t="shared" si="27"/>
        <v/>
      </c>
      <c r="AW101" s="35" t="str">
        <f t="shared" si="28"/>
        <v/>
      </c>
      <c r="AX101" s="35" t="str">
        <f t="shared" si="29"/>
        <v/>
      </c>
      <c r="AY101" s="35" t="str">
        <f t="shared" si="30"/>
        <v/>
      </c>
      <c r="AZ101" s="35" t="str">
        <f t="shared" si="31"/>
        <v/>
      </c>
      <c r="BA101" s="35" t="str">
        <f t="shared" si="32"/>
        <v/>
      </c>
      <c r="BB101" s="35" t="str">
        <f t="shared" si="33"/>
        <v/>
      </c>
      <c r="BC101" s="35"/>
      <c r="BE101" s="35">
        <f ca="1">INDEX(SF_Output!$AA$2:$AA$400,MATCH($B101,SF_Output!$M$2:$M$400,0))</f>
        <v>6</v>
      </c>
      <c r="BF101" s="35">
        <f ca="1">INDEX(SF_Output!$AB$2:$AB$400,MATCH($B101,SF_Output!$M$2:$M$400,0))</f>
        <v>1</v>
      </c>
    </row>
    <row r="102" spans="2:58" x14ac:dyDescent="0.25">
      <c r="B102" t="s">
        <v>716</v>
      </c>
      <c r="C102" t="s">
        <v>2122</v>
      </c>
      <c r="D102" t="s">
        <v>2207</v>
      </c>
      <c r="E102" t="s">
        <v>2124</v>
      </c>
      <c r="F102" s="116" t="str">
        <f t="shared" si="17"/>
        <v>Included</v>
      </c>
      <c r="G102" t="str">
        <f>IF(B102="","",INDEX(SF_Output!$K$1:$K$400,MATCH(B102,SF_Output!$M$1:$M$400,0)))</f>
        <v>Card Processing Solutions (CPS)</v>
      </c>
      <c r="H102" cm="1">
        <f t="array" ref="H102">_xlfn.IFS(B102="","",(SUMIFS(SF_Output!$F$1:$F$400,SF_Output!$AC$1:$AC$400,_xlfn.TEXTJOIN(",",TRUE,B102:E102))+SUMIFS(SF_Output!$G$1:$G$400,SF_Output!$AC$1:$AC$400,_xlfn.TEXTJOIN(",",TRUE,B102:E102)))&lt;&gt;0,SF_Output!$Y$2,INDEX(SF_Output!$F$1:$F$400,MATCH(_xlfn.TEXTJOIN(",",TRUE,B102:E102),SF_Output!$AC$1:$AC$400,0))=0,INDEX(SF_Output!$R$1:$R$400,MATCH(_xlfn.TEXTJOIN(",",TRUE,B102:E102),SF_Output!$AC$1:$AC$400,0)))</f>
        <v>3</v>
      </c>
      <c r="I102" s="125">
        <f>IFERROR(IF(AND(H102&gt;1,H102&lt;&gt;""),ROUND(SUMIFS(SF_Output!$S$1:$S$400,SF_Output!$AC$1:$AC$400,_xlfn.TEXTJOIN(",",TRUE,B102:E102),SF_Output!$Q$1:$Q$400,"monthly")*(1-W102)/H102,4),""),"")</f>
        <v>75</v>
      </c>
      <c r="J102" s="6">
        <f>IF(B102="","",SUMIFS(SF_Output!$S$1:$S$400,SF_Output!$AC$1:$AC$400,_xlfn.TEXTJOIN(",",TRUE,B102:E102),SF_Output!$Q$1:$Q$400,"One Time",SF_Output!$L$1:$L$400,"license fee")+SUMIFS(SF_Output!$S$1:$S$400,SF_Output!$AC$1:$AC$400,_xlfn.TEXTJOIN(",",TRUE,B102:E102),SF_Output!$Q$1:$Q$400,"One Time",SF_Output!$L$1:$L$400,"software license")+SUMIFS(SF_Output!$S$1:$S$400,SF_Output!$AC$1:$AC$400,_xlfn.TEXTJOIN(",",TRUE,B102:E102),SF_Output!$Q$1:$Q$400,"One Time",SF_Output!$L$1:$L$400,"hardware"))</f>
        <v>0</v>
      </c>
      <c r="K102" s="112" t="str">
        <f>IF(OR(B102=0,B102="",G102="hardware",J102=0),"",IF(AF102&lt;&gt;"exclusion",MAX(K$9,-((SUMIFS(SF_Output!$T$1:$T$400,SF_Output!$AC$1:$AC$400,_xlfn.TEXTJOIN(",",TRUE,$B102:$E102),SF_Output!$Q$1:$Q$400,"One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license"))/J102)))</f>
        <v/>
      </c>
      <c r="L102" s="6">
        <f t="shared" si="18"/>
        <v>0</v>
      </c>
      <c r="N102" s="6">
        <f>IF(B102="","",SUMIFS(SF_Output!$S$1:$S$400,SF_Output!$AC$1:$AC$400,_xlfn.TEXTJOIN(",",TRUE,B102:E102),SF_Output!$Q$1:$Q$400,"One Time",SF_Output!$L$1:$L$400,"professional service"))</f>
        <v>1500</v>
      </c>
      <c r="O102" s="112">
        <f>IF(OR(B102=0,B102="",N102=0),"",IF(AF102&lt;&gt;"exclusion",MAX(O$9,-(SUMIFS(SF_Output!$T$1:$T$400,SF_Output!$AC$1:$AC$400,_xlfn.TEXTJOIN(",",TRUE,$B102:$E102),SF_Output!$Q$1:$Q$400,"One Time",SF_Output!$L$1:$L$400,"professional service"))/N102),-((SUMIFS(SF_Output!$T$1:$T$400,SF_Output!$AC$1:$AC$400,_xlfn.TEXTJOIN(",",TRUE,$B102:$E102),SF_Output!$Q$1:$Q$400,"One Time",SF_Output!$L$1:$L$400,"professional service")/N102))))</f>
        <v>1</v>
      </c>
      <c r="P102" s="6">
        <f t="shared" si="19"/>
        <v>0</v>
      </c>
      <c r="R102" s="6">
        <f>IF(B102="","",SUMIFS(SF_Output!$S$1:$S$400,SF_Output!$AC$1:$AC$400,_xlfn.TEXTJOIN(",",TRUE,B102:E102),SF_Output!$Q$1:$Q$400,"yearly")+SUMIFS(SF_Output!$S$1:$S$400,SF_Output!$AC$1:$AC$400,_xlfn.TEXTJOIN(",",TRUE,B102:E102),SF_Output!$Q$1:$Q$400,"quarterly")*4)</f>
        <v>0</v>
      </c>
      <c r="S102" s="112" t="str">
        <f>IF(OR(B102=0,B102="",G102="hardware",R102=0),"",IF(AF102&lt;&gt;"exclusion",MAX(S$9,-(SUMIFS(SF_Output!$T$1:$T$400,SF_Output!$AC$1:$AC$400,_xlfn.TEXTJOIN(",",TRUE,$B102:$E102),SF_Output!$Q$1:$Q$400,"yearly"))/R102),-((SUMIFS(SF_Output!$T$1:$T$400,SF_Output!$AC$1:$AC$400,_xlfn.TEXTJOIN(",",TRUE,$B102:$E102),SF_Output!$Q$1:$Q$400,"yearly")/R102))))</f>
        <v/>
      </c>
      <c r="T102" s="6">
        <f t="shared" si="20"/>
        <v>0</v>
      </c>
      <c r="V102" s="6" cm="1">
        <f t="array" ref="V102">_xlfn.IFS(B102="","",AND(B102&lt;&gt;"",H102=SF_Output!$Y$2,SUMIFS(SF_Output!$T$1:$T$400,SF_Output!$AC$1:$AC$400,_xlfn.TEXTJOIN(",",TRUE,B102:E102),SF_Output!$Q$1:$Q$400,"monthly")=0),(SUMIFS(SF_Output!$F$1:$F$400,SF_Output!$AC$1:$AC$400,_xlfn.TEXTJOIN(",",TRUE,B102:E102),SF_Output!$Q$1:$Q$400,"monthly")+SUMIFS(SF_Output!$G$1:$G$400,SF_Output!$AC$1:$AC$400,_xlfn.TEXTJOIN(",",TRUE,B102:E102),SF_Output!$Q$1:$Q$400,"monthly"))*H102,AND(B102&lt;&gt;"",H102=SF_Output!$Y$2,SUMIFS(SF_Output!$T$1:$T$400,SF_Output!$AC$1:$AC$400,_xlfn.TEXTJOIN(",",TRUE,B102:E102),SF_Output!$Q$1:$Q$400,"monthly")&lt;&gt;0),SUMIFS(SF_Output!$S$1:$S$400,SF_Output!$AC$1:$AC$400,_xlfn.TEXTJOIN(",",TRUE,B102:E102),SF_Output!$Q$1:$Q$400,"monthly"),AND(B102&lt;&gt;"",H102&lt;&gt;SF_Output!$Y$2),SUMIFS(SF_Output!$S$1:$S$400,SF_Output!$AC$1:$AC$400,_xlfn.TEXTJOIN(",",TRUE,B102:E102),SF_Output!$Q$1:$Q$400,"monthly"))</f>
        <v>225</v>
      </c>
      <c r="W102" s="112" cm="1">
        <f t="array" ref="W102">_xlfn.IFS(OR(B102=0,B102="",V102=0),"",AF102&lt;&gt;"exclusion",MAX($W$9,$W$7,(-(SUMIFS(SF_Output!$T$1:$T$400,SF_Output!$AC$1:$AC$400,_xlfn.TEXTJOIN(",",TRUE,$B102:$E102),SF_Output!$Q$1:$Q$400,"monthly"))/V102)),AF102="exclusion",-(SUMIFS(SF_Output!$T$1:$T$400,SF_Output!$AC$1:$AC$400,_xlfn.TEXTJOIN(",",TRUE,$B102:$E102),SF_Output!$Q$1:$Q$400,"monthly"))/V102)</f>
        <v>0</v>
      </c>
      <c r="X102" s="6" cm="1">
        <f t="array" ref="X102">IFERROR(_xlfn.IFS(V102=0,0,V102="","",W102=0,V102,OR(V102&lt;&gt;0,V102&lt;&gt;""),H102*I102),V102*(1-W102))</f>
        <v>225</v>
      </c>
      <c r="Z102" s="6">
        <f>IFERROR(IF(B102="","",SUMIFS(Billing_Fallout!H:H,Billing_Fallout!N:N,B102)),0)</f>
        <v>0</v>
      </c>
      <c r="AA102" s="6">
        <f t="shared" si="21"/>
        <v>0</v>
      </c>
      <c r="AB102" s="6">
        <f>IFERROR(IF(B102="","",SUMIFS(Billing_Fallout!J:J,Billing_Fallout!N:N,B102)),0)</f>
        <v>0</v>
      </c>
      <c r="AD102" s="6">
        <f t="shared" si="22"/>
        <v>225</v>
      </c>
      <c r="AF102" t="str">
        <f>IFERROR(INDEX(H_Tables!$B$1:$B$1500,MATCH(INDEX(SF_Output!$J$1:$J$400,MATCH(B102,SF_Output!$M$1:$M$400,0)),H_Tables!$A$1:$A$1500,0)),"")</f>
        <v>Exclusion</v>
      </c>
      <c r="AI102" s="119" t="str">
        <f t="shared" si="23"/>
        <v/>
      </c>
      <c r="AJ102" s="121">
        <f>IFERROR(INDEX(SF_Output!AD:AD,MATCH(_xlfn.TEXTJOIN(",",TRUE,B102:E102),SF_Output!AC1:AC400,0)),0.05)</f>
        <v>175</v>
      </c>
      <c r="AK102" t="str">
        <f>IF(SUMIFS(SF_Output!$F$1:$F$400,SF_Output!$AC$1:$AC$400,_xlfn.TEXTJOIN(",",TRUE,B102:E102))+SUMIFS(SF_Output!$G$1:$G$400,SF_Output!$AC$1:$AC$400,_xlfn.TEXTJOIN(",",TRUE,B102:E102))=0,"","PAP")</f>
        <v/>
      </c>
      <c r="AQ102" s="35"/>
      <c r="AR102" s="35" t="str" cm="1">
        <f t="array" ref="AR102">IFERROR(_xlfn.IFS(AND(E102*1=1,F102="Included"),"Change to Included",AND(E102*1=0,F102="Optional"),"Change to Optional",OR(B102="",F102="replaced"),""),"")</f>
        <v/>
      </c>
      <c r="AS102" s="35" t="str">
        <f t="shared" si="24"/>
        <v/>
      </c>
      <c r="AT102" s="35" t="str">
        <f t="shared" si="25"/>
        <v/>
      </c>
      <c r="AU102" s="35" t="str">
        <f t="shared" si="26"/>
        <v/>
      </c>
      <c r="AV102" s="35" t="str">
        <f t="shared" si="27"/>
        <v/>
      </c>
      <c r="AW102" s="35" t="str">
        <f t="shared" si="28"/>
        <v/>
      </c>
      <c r="AX102" s="35" t="str">
        <f t="shared" si="29"/>
        <v/>
      </c>
      <c r="AY102" s="35" t="str">
        <f t="shared" si="30"/>
        <v/>
      </c>
      <c r="AZ102" s="35" t="str">
        <f t="shared" si="31"/>
        <v/>
      </c>
      <c r="BA102" s="35" t="str">
        <f t="shared" si="32"/>
        <v/>
      </c>
      <c r="BB102" s="35" t="str">
        <f t="shared" si="33"/>
        <v/>
      </c>
      <c r="BC102" s="35"/>
      <c r="BE102" s="35">
        <f ca="1">INDEX(SF_Output!$AA$2:$AA$400,MATCH($B102,SF_Output!$M$2:$M$400,0))</f>
        <v>6</v>
      </c>
      <c r="BF102" s="35">
        <f ca="1">INDEX(SF_Output!$AB$2:$AB$400,MATCH($B102,SF_Output!$M$2:$M$400,0))</f>
        <v>1</v>
      </c>
    </row>
    <row r="103" spans="2:58" x14ac:dyDescent="0.25">
      <c r="B103" t="s">
        <v>2363</v>
      </c>
      <c r="C103" t="s">
        <v>2122</v>
      </c>
      <c r="D103" t="s">
        <v>2207</v>
      </c>
      <c r="E103" t="s">
        <v>2124</v>
      </c>
      <c r="F103" s="116" t="str">
        <f t="shared" si="17"/>
        <v>Included</v>
      </c>
      <c r="G103" t="str">
        <f>IF(B103="","",INDEX(SF_Output!$K$1:$K$400,MATCH(B103,SF_Output!$M$1:$M$400,0)))</f>
        <v>Card Processing Solutions (CPS)</v>
      </c>
      <c r="H103" cm="1">
        <f t="array" ref="H103">_xlfn.IFS(B103="","",(SUMIFS(SF_Output!$F$1:$F$400,SF_Output!$AC$1:$AC$400,_xlfn.TEXTJOIN(",",TRUE,B103:E103))+SUMIFS(SF_Output!$G$1:$G$400,SF_Output!$AC$1:$AC$400,_xlfn.TEXTJOIN(",",TRUE,B103:E103)))&lt;&gt;0,SF_Output!$Y$2,INDEX(SF_Output!$F$1:$F$400,MATCH(_xlfn.TEXTJOIN(",",TRUE,B103:E103),SF_Output!$AC$1:$AC$400,0))=0,INDEX(SF_Output!$R$1:$R$400,MATCH(_xlfn.TEXTJOIN(",",TRUE,B103:E103),SF_Output!$AC$1:$AC$400,0)))</f>
        <v>0</v>
      </c>
      <c r="I103" s="125" t="str">
        <f>IFERROR(IF(AND(H103&gt;1,H103&lt;&gt;""),ROUND(SUMIFS(SF_Output!$S$1:$S$400,SF_Output!$AC$1:$AC$400,_xlfn.TEXTJOIN(",",TRUE,B103:E103),SF_Output!$Q$1:$Q$400,"monthly")*(1-W103)/H103,4),""),"")</f>
        <v/>
      </c>
      <c r="J103" s="6">
        <f>IF(B103="","",SUMIFS(SF_Output!$S$1:$S$400,SF_Output!$AC$1:$AC$400,_xlfn.TEXTJOIN(",",TRUE,B103:E103),SF_Output!$Q$1:$Q$400,"One Time",SF_Output!$L$1:$L$400,"license fee")+SUMIFS(SF_Output!$S$1:$S$400,SF_Output!$AC$1:$AC$400,_xlfn.TEXTJOIN(",",TRUE,B103:E103),SF_Output!$Q$1:$Q$400,"One Time",SF_Output!$L$1:$L$400,"software license")+SUMIFS(SF_Output!$S$1:$S$400,SF_Output!$AC$1:$AC$400,_xlfn.TEXTJOIN(",",TRUE,B103:E103),SF_Output!$Q$1:$Q$400,"One Time",SF_Output!$L$1:$L$400,"hardware"))</f>
        <v>0</v>
      </c>
      <c r="K103" s="112" t="str">
        <f>IF(OR(B103=0,B103="",G103="hardware",J103=0),"",IF(AF103&lt;&gt;"exclusion",MAX(K$9,-((SUMIFS(SF_Output!$T$1:$T$400,SF_Output!$AC$1:$AC$400,_xlfn.TEXTJOIN(",",TRUE,$B103:$E103),SF_Output!$Q$1:$Q$400,"One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license"))/J103)))</f>
        <v/>
      </c>
      <c r="L103" s="6">
        <f t="shared" si="18"/>
        <v>0</v>
      </c>
      <c r="N103" s="6">
        <f>IF(B103="","",SUMIFS(SF_Output!$S$1:$S$400,SF_Output!$AC$1:$AC$400,_xlfn.TEXTJOIN(",",TRUE,B103:E103),SF_Output!$Q$1:$Q$400,"One Time",SF_Output!$L$1:$L$400,"professional service"))</f>
        <v>200</v>
      </c>
      <c r="O103" s="112">
        <f>IF(OR(B103=0,B103="",N103=0),"",IF(AF103&lt;&gt;"exclusion",MAX(O$9,-(SUMIFS(SF_Output!$T$1:$T$400,SF_Output!$AC$1:$AC$400,_xlfn.TEXTJOIN(",",TRUE,$B103:$E103),SF_Output!$Q$1:$Q$400,"One Time",SF_Output!$L$1:$L$400,"professional service"))/N103),-((SUMIFS(SF_Output!$T$1:$T$400,SF_Output!$AC$1:$AC$400,_xlfn.TEXTJOIN(",",TRUE,$B103:$E103),SF_Output!$Q$1:$Q$400,"One Time",SF_Output!$L$1:$L$400,"professional service")/N103))))</f>
        <v>1</v>
      </c>
      <c r="P103" s="6">
        <f t="shared" si="19"/>
        <v>0</v>
      </c>
      <c r="R103" s="6">
        <f>IF(B103="","",SUMIFS(SF_Output!$S$1:$S$400,SF_Output!$AC$1:$AC$400,_xlfn.TEXTJOIN(",",TRUE,B103:E103),SF_Output!$Q$1:$Q$400,"yearly")+SUMIFS(SF_Output!$S$1:$S$400,SF_Output!$AC$1:$AC$400,_xlfn.TEXTJOIN(",",TRUE,B103:E103),SF_Output!$Q$1:$Q$400,"quarterly")*4)</f>
        <v>0</v>
      </c>
      <c r="S103" s="112" t="str">
        <f>IF(OR(B103=0,B103="",G103="hardware",R103=0),"",IF(AF103&lt;&gt;"exclusion",MAX(S$9,-(SUMIFS(SF_Output!$T$1:$T$400,SF_Output!$AC$1:$AC$400,_xlfn.TEXTJOIN(",",TRUE,$B103:$E103),SF_Output!$Q$1:$Q$400,"yearly"))/R103),-((SUMIFS(SF_Output!$T$1:$T$400,SF_Output!$AC$1:$AC$400,_xlfn.TEXTJOIN(",",TRUE,$B103:$E103),SF_Output!$Q$1:$Q$400,"yearly")/R103))))</f>
        <v/>
      </c>
      <c r="T103" s="6">
        <f t="shared" si="20"/>
        <v>0</v>
      </c>
      <c r="V103" s="6" cm="1">
        <f t="array" ref="V103">_xlfn.IFS(B103="","",AND(B103&lt;&gt;"",H103=SF_Output!$Y$2,SUMIFS(SF_Output!$T$1:$T$400,SF_Output!$AC$1:$AC$400,_xlfn.TEXTJOIN(",",TRUE,B103:E103),SF_Output!$Q$1:$Q$400,"monthly")=0),(SUMIFS(SF_Output!$F$1:$F$400,SF_Output!$AC$1:$AC$400,_xlfn.TEXTJOIN(",",TRUE,B103:E103),SF_Output!$Q$1:$Q$400,"monthly")+SUMIFS(SF_Output!$G$1:$G$400,SF_Output!$AC$1:$AC$400,_xlfn.TEXTJOIN(",",TRUE,B103:E103),SF_Output!$Q$1:$Q$400,"monthly"))*H103,AND(B103&lt;&gt;"",H103=SF_Output!$Y$2,SUMIFS(SF_Output!$T$1:$T$400,SF_Output!$AC$1:$AC$400,_xlfn.TEXTJOIN(",",TRUE,B103:E103),SF_Output!$Q$1:$Q$400,"monthly")&lt;&gt;0),SUMIFS(SF_Output!$S$1:$S$400,SF_Output!$AC$1:$AC$400,_xlfn.TEXTJOIN(",",TRUE,B103:E103),SF_Output!$Q$1:$Q$400,"monthly"),AND(B103&lt;&gt;"",H103&lt;&gt;SF_Output!$Y$2),SUMIFS(SF_Output!$S$1:$S$400,SF_Output!$AC$1:$AC$400,_xlfn.TEXTJOIN(",",TRUE,B103:E103),SF_Output!$Q$1:$Q$400,"monthly"))</f>
        <v>0</v>
      </c>
      <c r="W103" s="112" t="str" cm="1">
        <f t="array" ref="W103">_xlfn.IFS(OR(B103=0,B103="",V103=0),"",AF103&lt;&gt;"exclusion",MAX($W$9,$W$7,(-(SUMIFS(SF_Output!$T$1:$T$400,SF_Output!$AC$1:$AC$400,_xlfn.TEXTJOIN(",",TRUE,$B103:$E103),SF_Output!$Q$1:$Q$400,"monthly"))/V103)),AF103="exclusion",-(SUMIFS(SF_Output!$T$1:$T$400,SF_Output!$AC$1:$AC$400,_xlfn.TEXTJOIN(",",TRUE,$B103:$E103),SF_Output!$Q$1:$Q$400,"monthly"))/V103)</f>
        <v/>
      </c>
      <c r="X103" s="6" cm="1">
        <f t="array" ref="X103">IFERROR(_xlfn.IFS(V103=0,0,V103="","",W103=0,V103,OR(V103&lt;&gt;0,V103&lt;&gt;""),H103*I103),V103*(1-W103))</f>
        <v>0</v>
      </c>
      <c r="Z103" s="6">
        <f>IFERROR(IF(B103="","",SUMIFS(Billing_Fallout!H:H,Billing_Fallout!N:N,B103)),0)</f>
        <v>0</v>
      </c>
      <c r="AA103" s="6">
        <f t="shared" si="21"/>
        <v>0</v>
      </c>
      <c r="AB103" s="6">
        <f>IFERROR(IF(B103="","",SUMIFS(Billing_Fallout!J:J,Billing_Fallout!N:N,B103)),0)</f>
        <v>0</v>
      </c>
      <c r="AD103" s="6">
        <f t="shared" si="22"/>
        <v>0</v>
      </c>
      <c r="AF103" t="str">
        <f>IFERROR(INDEX(H_Tables!$B$1:$B$1500,MATCH(INDEX(SF_Output!$J$1:$J$400,MATCH(B103,SF_Output!$M$1:$M$400,0)),H_Tables!$A$1:$A$1500,0)),"")</f>
        <v>Exclusion</v>
      </c>
      <c r="AI103" s="119" t="str">
        <f t="shared" si="23"/>
        <v/>
      </c>
      <c r="AJ103" s="121">
        <f>IFERROR(INDEX(SF_Output!AD:AD,MATCH(_xlfn.TEXTJOIN(",",TRUE,B103:E103),SF_Output!AC1:AC400,0)),0.05)</f>
        <v>177</v>
      </c>
      <c r="AK103" t="str">
        <f>IF(SUMIFS(SF_Output!$F$1:$F$400,SF_Output!$AC$1:$AC$400,_xlfn.TEXTJOIN(",",TRUE,B103:E103))+SUMIFS(SF_Output!$G$1:$G$400,SF_Output!$AC$1:$AC$400,_xlfn.TEXTJOIN(",",TRUE,B103:E103))=0,"","PAP")</f>
        <v/>
      </c>
      <c r="AQ103" s="35"/>
      <c r="AR103" s="35" t="str" cm="1">
        <f t="array" ref="AR103">IFERROR(_xlfn.IFS(AND(E103*1=1,F103="Included"),"Change to Included",AND(E103*1=0,F103="Optional"),"Change to Optional",OR(B103="",F103="replaced"),""),"")</f>
        <v/>
      </c>
      <c r="AS103" s="35" t="str">
        <f t="shared" si="24"/>
        <v/>
      </c>
      <c r="AT103" s="35" t="str">
        <f t="shared" si="25"/>
        <v/>
      </c>
      <c r="AU103" s="35" t="str">
        <f t="shared" si="26"/>
        <v/>
      </c>
      <c r="AV103" s="35" t="str">
        <f t="shared" si="27"/>
        <v/>
      </c>
      <c r="AW103" s="35" t="str">
        <f t="shared" si="28"/>
        <v/>
      </c>
      <c r="AX103" s="35" t="str">
        <f t="shared" si="29"/>
        <v/>
      </c>
      <c r="AY103" s="35" t="str">
        <f t="shared" si="30"/>
        <v/>
      </c>
      <c r="AZ103" s="35" t="str">
        <f t="shared" si="31"/>
        <v/>
      </c>
      <c r="BA103" s="35" t="str">
        <f t="shared" si="32"/>
        <v/>
      </c>
      <c r="BB103" s="35" t="str">
        <f t="shared" si="33"/>
        <v/>
      </c>
      <c r="BC103" s="35"/>
      <c r="BE103" s="35">
        <f ca="1">INDEX(SF_Output!$AA$2:$AA$400,MATCH($B103,SF_Output!$M$2:$M$400,0))</f>
        <v>6</v>
      </c>
      <c r="BF103" s="35">
        <f ca="1">INDEX(SF_Output!$AB$2:$AB$400,MATCH($B103,SF_Output!$M$2:$M$400,0))</f>
        <v>1</v>
      </c>
    </row>
    <row r="104" spans="2:58" x14ac:dyDescent="0.25">
      <c r="B104" t="s">
        <v>1730</v>
      </c>
      <c r="C104" t="s">
        <v>2122</v>
      </c>
      <c r="D104" t="s">
        <v>2207</v>
      </c>
      <c r="E104" t="s">
        <v>2124</v>
      </c>
      <c r="F104" s="116" t="str">
        <f t="shared" si="17"/>
        <v>Included</v>
      </c>
      <c r="G104" t="str">
        <f>IF(B104="","",INDEX(SF_Output!$K$1:$K$400,MATCH(B104,SF_Output!$M$1:$M$400,0)))</f>
        <v>Card Processing Solutions (CPS)</v>
      </c>
      <c r="H104" cm="1">
        <f t="array" ref="H104">_xlfn.IFS(B104="","",(SUMIFS(SF_Output!$F$1:$F$400,SF_Output!$AC$1:$AC$400,_xlfn.TEXTJOIN(",",TRUE,B104:E104))+SUMIFS(SF_Output!$G$1:$G$400,SF_Output!$AC$1:$AC$400,_xlfn.TEXTJOIN(",",TRUE,B104:E104)))&lt;&gt;0,SF_Output!$Y$2,INDEX(SF_Output!$F$1:$F$400,MATCH(_xlfn.TEXTJOIN(",",TRUE,B104:E104),SF_Output!$AC$1:$AC$400,0))=0,INDEX(SF_Output!$R$1:$R$400,MATCH(_xlfn.TEXTJOIN(",",TRUE,B104:E104),SF_Output!$AC$1:$AC$400,0)))</f>
        <v>0</v>
      </c>
      <c r="I104" s="125" t="str">
        <f>IFERROR(IF(AND(H104&gt;1,H104&lt;&gt;""),ROUND(SUMIFS(SF_Output!$S$1:$S$400,SF_Output!$AC$1:$AC$400,_xlfn.TEXTJOIN(",",TRUE,B104:E104),SF_Output!$Q$1:$Q$400,"monthly")*(1-W104)/H104,4),""),"")</f>
        <v/>
      </c>
      <c r="J104" s="6">
        <f>IF(B104="","",SUMIFS(SF_Output!$S$1:$S$400,SF_Output!$AC$1:$AC$400,_xlfn.TEXTJOIN(",",TRUE,B104:E104),SF_Output!$Q$1:$Q$400,"One Time",SF_Output!$L$1:$L$400,"license fee")+SUMIFS(SF_Output!$S$1:$S$400,SF_Output!$AC$1:$AC$400,_xlfn.TEXTJOIN(",",TRUE,B104:E104),SF_Output!$Q$1:$Q$400,"One Time",SF_Output!$L$1:$L$400,"software license")+SUMIFS(SF_Output!$S$1:$S$400,SF_Output!$AC$1:$AC$400,_xlfn.TEXTJOIN(",",TRUE,B104:E104),SF_Output!$Q$1:$Q$400,"One Time",SF_Output!$L$1:$L$400,"hardware"))</f>
        <v>0</v>
      </c>
      <c r="K104" s="112" t="str">
        <f>IF(OR(B104=0,B104="",G104="hardware",J104=0),"",IF(AF104&lt;&gt;"exclusion",MAX(K$9,-((SUMIFS(SF_Output!$T$1:$T$400,SF_Output!$AC$1:$AC$400,_xlfn.TEXTJOIN(",",TRUE,$B104:$E104),SF_Output!$Q$1:$Q$400,"One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license"))/J104)))</f>
        <v/>
      </c>
      <c r="L104" s="6">
        <f t="shared" si="18"/>
        <v>0</v>
      </c>
      <c r="N104" s="6">
        <f>IF(B104="","",SUMIFS(SF_Output!$S$1:$S$400,SF_Output!$AC$1:$AC$400,_xlfn.TEXTJOIN(",",TRUE,B104:E104),SF_Output!$Q$1:$Q$400,"One Time",SF_Output!$L$1:$L$400,"professional service"))</f>
        <v>0</v>
      </c>
      <c r="O104" s="112" t="str">
        <f>IF(OR(B104=0,B104="",N104=0),"",IF(AF104&lt;&gt;"exclusion",MAX(O$9,-(SUMIFS(SF_Output!$T$1:$T$400,SF_Output!$AC$1:$AC$400,_xlfn.TEXTJOIN(",",TRUE,$B104:$E104),SF_Output!$Q$1:$Q$400,"One Time",SF_Output!$L$1:$L$400,"professional service"))/N104),-((SUMIFS(SF_Output!$T$1:$T$400,SF_Output!$AC$1:$AC$400,_xlfn.TEXTJOIN(",",TRUE,$B104:$E104),SF_Output!$Q$1:$Q$400,"One Time",SF_Output!$L$1:$L$400,"professional service")/N104))))</f>
        <v/>
      </c>
      <c r="P104" s="6">
        <f t="shared" si="19"/>
        <v>0</v>
      </c>
      <c r="R104" s="6">
        <f>IF(B104="","",SUMIFS(SF_Output!$S$1:$S$400,SF_Output!$AC$1:$AC$400,_xlfn.TEXTJOIN(",",TRUE,B104:E104),SF_Output!$Q$1:$Q$400,"yearly")+SUMIFS(SF_Output!$S$1:$S$400,SF_Output!$AC$1:$AC$400,_xlfn.TEXTJOIN(",",TRUE,B104:E104),SF_Output!$Q$1:$Q$400,"quarterly")*4)</f>
        <v>0</v>
      </c>
      <c r="S104" s="112" t="str">
        <f>IF(OR(B104=0,B104="",G104="hardware",R104=0),"",IF(AF104&lt;&gt;"exclusion",MAX(S$9,-(SUMIFS(SF_Output!$T$1:$T$400,SF_Output!$AC$1:$AC$400,_xlfn.TEXTJOIN(",",TRUE,$B104:$E104),SF_Output!$Q$1:$Q$400,"yearly"))/R104),-((SUMIFS(SF_Output!$T$1:$T$400,SF_Output!$AC$1:$AC$400,_xlfn.TEXTJOIN(",",TRUE,$B104:$E104),SF_Output!$Q$1:$Q$400,"yearly")/R104))))</f>
        <v/>
      </c>
      <c r="T104" s="6">
        <f t="shared" si="20"/>
        <v>0</v>
      </c>
      <c r="V104" s="6" cm="1">
        <f t="array" ref="V104">_xlfn.IFS(B104="","",AND(B104&lt;&gt;"",H104=SF_Output!$Y$2,SUMIFS(SF_Output!$T$1:$T$400,SF_Output!$AC$1:$AC$400,_xlfn.TEXTJOIN(",",TRUE,B104:E104),SF_Output!$Q$1:$Q$400,"monthly")=0),(SUMIFS(SF_Output!$F$1:$F$400,SF_Output!$AC$1:$AC$400,_xlfn.TEXTJOIN(",",TRUE,B104:E104),SF_Output!$Q$1:$Q$400,"monthly")+SUMIFS(SF_Output!$G$1:$G$400,SF_Output!$AC$1:$AC$400,_xlfn.TEXTJOIN(",",TRUE,B104:E104),SF_Output!$Q$1:$Q$400,"monthly"))*H104,AND(B104&lt;&gt;"",H104=SF_Output!$Y$2,SUMIFS(SF_Output!$T$1:$T$400,SF_Output!$AC$1:$AC$400,_xlfn.TEXTJOIN(",",TRUE,B104:E104),SF_Output!$Q$1:$Q$400,"monthly")&lt;&gt;0),SUMIFS(SF_Output!$S$1:$S$400,SF_Output!$AC$1:$AC$400,_xlfn.TEXTJOIN(",",TRUE,B104:E104),SF_Output!$Q$1:$Q$400,"monthly"),AND(B104&lt;&gt;"",H104&lt;&gt;SF_Output!$Y$2),SUMIFS(SF_Output!$S$1:$S$400,SF_Output!$AC$1:$AC$400,_xlfn.TEXTJOIN(",",TRUE,B104:E104),SF_Output!$Q$1:$Q$400,"monthly"))</f>
        <v>0</v>
      </c>
      <c r="W104" s="112" t="str" cm="1">
        <f t="array" ref="W104">_xlfn.IFS(OR(B104=0,B104="",V104=0),"",AF104&lt;&gt;"exclusion",MAX($W$9,$W$7,(-(SUMIFS(SF_Output!$T$1:$T$400,SF_Output!$AC$1:$AC$400,_xlfn.TEXTJOIN(",",TRUE,$B104:$E104),SF_Output!$Q$1:$Q$400,"monthly"))/V104)),AF104="exclusion",-(SUMIFS(SF_Output!$T$1:$T$400,SF_Output!$AC$1:$AC$400,_xlfn.TEXTJOIN(",",TRUE,$B104:$E104),SF_Output!$Q$1:$Q$400,"monthly"))/V104)</f>
        <v/>
      </c>
      <c r="X104" s="6" cm="1">
        <f t="array" ref="X104">IFERROR(_xlfn.IFS(V104=0,0,V104="","",W104=0,V104,OR(V104&lt;&gt;0,V104&lt;&gt;""),H104*I104),V104*(1-W104))</f>
        <v>0</v>
      </c>
      <c r="Z104" s="6">
        <f>IFERROR(IF(B104="","",SUMIFS(Billing_Fallout!H:H,Billing_Fallout!N:N,B104)),0)</f>
        <v>0</v>
      </c>
      <c r="AA104" s="6">
        <f t="shared" si="21"/>
        <v>0</v>
      </c>
      <c r="AB104" s="6">
        <f>IFERROR(IF(B104="","",SUMIFS(Billing_Fallout!J:J,Billing_Fallout!N:N,B104)),0)</f>
        <v>0</v>
      </c>
      <c r="AD104" s="6">
        <f t="shared" si="22"/>
        <v>0</v>
      </c>
      <c r="AF104" t="str">
        <f>IFERROR(INDEX(H_Tables!$B$1:$B$1500,MATCH(INDEX(SF_Output!$J$1:$J$400,MATCH(B104,SF_Output!$M$1:$M$400,0)),H_Tables!$A$1:$A$1500,0)),"")</f>
        <v>Exclusion</v>
      </c>
      <c r="AI104" s="119" t="str">
        <f t="shared" si="23"/>
        <v/>
      </c>
      <c r="AJ104" s="121">
        <f>IFERROR(INDEX(SF_Output!AD:AD,MATCH(_xlfn.TEXTJOIN(",",TRUE,B104:E104),SF_Output!AC1:AC400,0)),0.05)</f>
        <v>179</v>
      </c>
      <c r="AK104" t="str">
        <f>IF(SUMIFS(SF_Output!$F$1:$F$400,SF_Output!$AC$1:$AC$400,_xlfn.TEXTJOIN(",",TRUE,B104:E104))+SUMIFS(SF_Output!$G$1:$G$400,SF_Output!$AC$1:$AC$400,_xlfn.TEXTJOIN(",",TRUE,B104:E104))=0,"","PAP")</f>
        <v/>
      </c>
      <c r="AQ104" s="35"/>
      <c r="AR104" s="35" t="str" cm="1">
        <f t="array" ref="AR104">IFERROR(_xlfn.IFS(AND(E104*1=1,F104="Included"),"Change to Included",AND(E104*1=0,F104="Optional"),"Change to Optional",OR(B104="",F104="replaced"),""),"")</f>
        <v/>
      </c>
      <c r="AS104" s="35" t="str">
        <f t="shared" si="24"/>
        <v/>
      </c>
      <c r="AT104" s="35" t="str">
        <f t="shared" si="25"/>
        <v/>
      </c>
      <c r="AU104" s="35" t="str">
        <f t="shared" si="26"/>
        <v/>
      </c>
      <c r="AV104" s="35" t="str">
        <f t="shared" si="27"/>
        <v/>
      </c>
      <c r="AW104" s="35" t="str">
        <f t="shared" si="28"/>
        <v/>
      </c>
      <c r="AX104" s="35" t="str">
        <f t="shared" si="29"/>
        <v/>
      </c>
      <c r="AY104" s="35" t="str">
        <f t="shared" si="30"/>
        <v/>
      </c>
      <c r="AZ104" s="35" t="str">
        <f t="shared" si="31"/>
        <v/>
      </c>
      <c r="BA104" s="35" t="str">
        <f t="shared" si="32"/>
        <v/>
      </c>
      <c r="BB104" s="35" t="str">
        <f t="shared" si="33"/>
        <v/>
      </c>
      <c r="BC104" s="35"/>
      <c r="BE104" s="35">
        <f ca="1">INDEX(SF_Output!$AA$2:$AA$400,MATCH($B104,SF_Output!$M$2:$M$400,0))</f>
        <v>6</v>
      </c>
      <c r="BF104" s="35">
        <f ca="1">INDEX(SF_Output!$AB$2:$AB$400,MATCH($B104,SF_Output!$M$2:$M$400,0))</f>
        <v>1</v>
      </c>
    </row>
    <row r="105" spans="2:58" x14ac:dyDescent="0.25">
      <c r="B105" t="s">
        <v>2367</v>
      </c>
      <c r="C105" t="s">
        <v>2122</v>
      </c>
      <c r="D105" t="s">
        <v>2207</v>
      </c>
      <c r="E105" t="s">
        <v>2124</v>
      </c>
      <c r="F105" s="116" t="str">
        <f t="shared" si="17"/>
        <v>Included</v>
      </c>
      <c r="G105" t="str">
        <f>IF(B105="","",INDEX(SF_Output!$K$1:$K$400,MATCH(B105,SF_Output!$M$1:$M$400,0)))</f>
        <v>Card Processing Solutions (CPS)</v>
      </c>
      <c r="H105" cm="1">
        <f t="array" ref="H105">_xlfn.IFS(B105="","",(SUMIFS(SF_Output!$F$1:$F$400,SF_Output!$AC$1:$AC$400,_xlfn.TEXTJOIN(",",TRUE,B105:E105))+SUMIFS(SF_Output!$G$1:$G$400,SF_Output!$AC$1:$AC$400,_xlfn.TEXTJOIN(",",TRUE,B105:E105)))&lt;&gt;0,SF_Output!$Y$2,INDEX(SF_Output!$F$1:$F$400,MATCH(_xlfn.TEXTJOIN(",",TRUE,B105:E105),SF_Output!$AC$1:$AC$400,0))=0,INDEX(SF_Output!$R$1:$R$400,MATCH(_xlfn.TEXTJOIN(",",TRUE,B105:E105),SF_Output!$AC$1:$AC$400,0)))</f>
        <v>1</v>
      </c>
      <c r="I105" s="125" t="str">
        <f>IFERROR(IF(AND(H105&gt;1,H105&lt;&gt;""),ROUND(SUMIFS(SF_Output!$S$1:$S$400,SF_Output!$AC$1:$AC$400,_xlfn.TEXTJOIN(",",TRUE,B105:E105),SF_Output!$Q$1:$Q$400,"monthly")*(1-W105)/H105,4),""),"")</f>
        <v/>
      </c>
      <c r="J105" s="6">
        <f>IF(B105="","",SUMIFS(SF_Output!$S$1:$S$400,SF_Output!$AC$1:$AC$400,_xlfn.TEXTJOIN(",",TRUE,B105:E105),SF_Output!$Q$1:$Q$400,"One Time",SF_Output!$L$1:$L$400,"license fee")+SUMIFS(SF_Output!$S$1:$S$400,SF_Output!$AC$1:$AC$400,_xlfn.TEXTJOIN(",",TRUE,B105:E105),SF_Output!$Q$1:$Q$400,"One Time",SF_Output!$L$1:$L$400,"software license")+SUMIFS(SF_Output!$S$1:$S$400,SF_Output!$AC$1:$AC$400,_xlfn.TEXTJOIN(",",TRUE,B105:E105),SF_Output!$Q$1:$Q$400,"One Time",SF_Output!$L$1:$L$400,"hardware"))</f>
        <v>0</v>
      </c>
      <c r="K105" s="112" t="str">
        <f>IF(OR(B105=0,B105="",G105="hardware",J105=0),"",IF(AF105&lt;&gt;"exclusion",MAX(K$9,-((SUMIFS(SF_Output!$T$1:$T$400,SF_Output!$AC$1:$AC$400,_xlfn.TEXTJOIN(",",TRUE,$B105:$E105),SF_Output!$Q$1:$Q$400,"One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license"))/J105)))</f>
        <v/>
      </c>
      <c r="L105" s="6">
        <f t="shared" si="18"/>
        <v>0</v>
      </c>
      <c r="N105" s="6">
        <f>IF(B105="","",SUMIFS(SF_Output!$S$1:$S$400,SF_Output!$AC$1:$AC$400,_xlfn.TEXTJOIN(",",TRUE,B105:E105),SF_Output!$Q$1:$Q$400,"One Time",SF_Output!$L$1:$L$400,"professional service"))</f>
        <v>4000</v>
      </c>
      <c r="O105" s="112">
        <f>IF(OR(B105=0,B105="",N105=0),"",IF(AF105&lt;&gt;"exclusion",MAX(O$9,-(SUMIFS(SF_Output!$T$1:$T$400,SF_Output!$AC$1:$AC$400,_xlfn.TEXTJOIN(",",TRUE,$B105:$E105),SF_Output!$Q$1:$Q$400,"One Time",SF_Output!$L$1:$L$400,"professional service"))/N105),-((SUMIFS(SF_Output!$T$1:$T$400,SF_Output!$AC$1:$AC$400,_xlfn.TEXTJOIN(",",TRUE,$B105:$E105),SF_Output!$Q$1:$Q$400,"One Time",SF_Output!$L$1:$L$400,"professional service")/N105))))</f>
        <v>1</v>
      </c>
      <c r="P105" s="6">
        <f t="shared" si="19"/>
        <v>0</v>
      </c>
      <c r="R105" s="6">
        <f>IF(B105="","",SUMIFS(SF_Output!$S$1:$S$400,SF_Output!$AC$1:$AC$400,_xlfn.TEXTJOIN(",",TRUE,B105:E105),SF_Output!$Q$1:$Q$400,"yearly")+SUMIFS(SF_Output!$S$1:$S$400,SF_Output!$AC$1:$AC$400,_xlfn.TEXTJOIN(",",TRUE,B105:E105),SF_Output!$Q$1:$Q$400,"quarterly")*4)</f>
        <v>0</v>
      </c>
      <c r="S105" s="112" t="str">
        <f>IF(OR(B105=0,B105="",G105="hardware",R105=0),"",IF(AF105&lt;&gt;"exclusion",MAX(S$9,-(SUMIFS(SF_Output!$T$1:$T$400,SF_Output!$AC$1:$AC$400,_xlfn.TEXTJOIN(",",TRUE,$B105:$E105),SF_Output!$Q$1:$Q$400,"yearly"))/R105),-((SUMIFS(SF_Output!$T$1:$T$400,SF_Output!$AC$1:$AC$400,_xlfn.TEXTJOIN(",",TRUE,$B105:$E105),SF_Output!$Q$1:$Q$400,"yearly")/R105))))</f>
        <v/>
      </c>
      <c r="T105" s="6">
        <f t="shared" si="20"/>
        <v>0</v>
      </c>
      <c r="V105" s="6" cm="1">
        <f t="array" ref="V105">_xlfn.IFS(B105="","",AND(B105&lt;&gt;"",H105=SF_Output!$Y$2,SUMIFS(SF_Output!$T$1:$T$400,SF_Output!$AC$1:$AC$400,_xlfn.TEXTJOIN(",",TRUE,B105:E105),SF_Output!$Q$1:$Q$400,"monthly")=0),(SUMIFS(SF_Output!$F$1:$F$400,SF_Output!$AC$1:$AC$400,_xlfn.TEXTJOIN(",",TRUE,B105:E105),SF_Output!$Q$1:$Q$400,"monthly")+SUMIFS(SF_Output!$G$1:$G$400,SF_Output!$AC$1:$AC$400,_xlfn.TEXTJOIN(",",TRUE,B105:E105),SF_Output!$Q$1:$Q$400,"monthly"))*H105,AND(B105&lt;&gt;"",H105=SF_Output!$Y$2,SUMIFS(SF_Output!$T$1:$T$400,SF_Output!$AC$1:$AC$400,_xlfn.TEXTJOIN(",",TRUE,B105:E105),SF_Output!$Q$1:$Q$400,"monthly")&lt;&gt;0),SUMIFS(SF_Output!$S$1:$S$400,SF_Output!$AC$1:$AC$400,_xlfn.TEXTJOIN(",",TRUE,B105:E105),SF_Output!$Q$1:$Q$400,"monthly"),AND(B105&lt;&gt;"",H105&lt;&gt;SF_Output!$Y$2),SUMIFS(SF_Output!$S$1:$S$400,SF_Output!$AC$1:$AC$400,_xlfn.TEXTJOIN(",",TRUE,B105:E105),SF_Output!$Q$1:$Q$400,"monthly"))</f>
        <v>0</v>
      </c>
      <c r="W105" s="112" t="str" cm="1">
        <f t="array" ref="W105">_xlfn.IFS(OR(B105=0,B105="",V105=0),"",AF105&lt;&gt;"exclusion",MAX($W$9,$W$7,(-(SUMIFS(SF_Output!$T$1:$T$400,SF_Output!$AC$1:$AC$400,_xlfn.TEXTJOIN(",",TRUE,$B105:$E105),SF_Output!$Q$1:$Q$400,"monthly"))/V105)),AF105="exclusion",-(SUMIFS(SF_Output!$T$1:$T$400,SF_Output!$AC$1:$AC$400,_xlfn.TEXTJOIN(",",TRUE,$B105:$E105),SF_Output!$Q$1:$Q$400,"monthly"))/V105)</f>
        <v/>
      </c>
      <c r="X105" s="6" cm="1">
        <f t="array" ref="X105">IFERROR(_xlfn.IFS(V105=0,0,V105="","",W105=0,V105,OR(V105&lt;&gt;0,V105&lt;&gt;""),H105*I105),V105*(1-W105))</f>
        <v>0</v>
      </c>
      <c r="Z105" s="6">
        <f>IFERROR(IF(B105="","",SUMIFS(Billing_Fallout!H:H,Billing_Fallout!N:N,B105)),0)</f>
        <v>0</v>
      </c>
      <c r="AA105" s="6">
        <f t="shared" si="21"/>
        <v>0</v>
      </c>
      <c r="AB105" s="6">
        <f>IFERROR(IF(B105="","",SUMIFS(Billing_Fallout!J:J,Billing_Fallout!N:N,B105)),0)</f>
        <v>0</v>
      </c>
      <c r="AD105" s="6">
        <f t="shared" si="22"/>
        <v>0</v>
      </c>
      <c r="AF105" t="str">
        <f>IFERROR(INDEX(H_Tables!$B$1:$B$1500,MATCH(INDEX(SF_Output!$J$1:$J$400,MATCH(B105,SF_Output!$M$1:$M$400,0)),H_Tables!$A$1:$A$1500,0)),"")</f>
        <v>Exclusion</v>
      </c>
      <c r="AI105" s="119" t="str">
        <f t="shared" si="23"/>
        <v/>
      </c>
      <c r="AJ105" s="121">
        <f>IFERROR(INDEX(SF_Output!AD:AD,MATCH(_xlfn.TEXTJOIN(",",TRUE,B105:E105),SF_Output!AC1:AC400,0)),0.05)</f>
        <v>180</v>
      </c>
      <c r="AK105" t="str">
        <f>IF(SUMIFS(SF_Output!$F$1:$F$400,SF_Output!$AC$1:$AC$400,_xlfn.TEXTJOIN(",",TRUE,B105:E105))+SUMIFS(SF_Output!$G$1:$G$400,SF_Output!$AC$1:$AC$400,_xlfn.TEXTJOIN(",",TRUE,B105:E105))=0,"","PAP")</f>
        <v/>
      </c>
      <c r="AQ105" s="35"/>
      <c r="AR105" s="35" t="str" cm="1">
        <f t="array" ref="AR105">IFERROR(_xlfn.IFS(AND(E105*1=1,F105="Included"),"Change to Included",AND(E105*1=0,F105="Optional"),"Change to Optional",OR(B105="",F105="replaced"),""),"")</f>
        <v/>
      </c>
      <c r="AS105" s="35" t="str">
        <f t="shared" si="24"/>
        <v/>
      </c>
      <c r="AT105" s="35" t="str">
        <f t="shared" si="25"/>
        <v/>
      </c>
      <c r="AU105" s="35" t="str">
        <f t="shared" si="26"/>
        <v/>
      </c>
      <c r="AV105" s="35" t="str">
        <f t="shared" si="27"/>
        <v/>
      </c>
      <c r="AW105" s="35" t="str">
        <f t="shared" si="28"/>
        <v/>
      </c>
      <c r="AX105" s="35" t="str">
        <f t="shared" si="29"/>
        <v/>
      </c>
      <c r="AY105" s="35" t="str">
        <f t="shared" si="30"/>
        <v/>
      </c>
      <c r="AZ105" s="35" t="str">
        <f t="shared" si="31"/>
        <v/>
      </c>
      <c r="BA105" s="35" t="str">
        <f t="shared" si="32"/>
        <v/>
      </c>
      <c r="BB105" s="35" t="str">
        <f t="shared" si="33"/>
        <v/>
      </c>
      <c r="BC105" s="35"/>
      <c r="BE105" s="35">
        <f ca="1">INDEX(SF_Output!$AA$2:$AA$400,MATCH($B105,SF_Output!$M$2:$M$400,0))</f>
        <v>6</v>
      </c>
      <c r="BF105" s="35">
        <f ca="1">INDEX(SF_Output!$AB$2:$AB$400,MATCH($B105,SF_Output!$M$2:$M$400,0))</f>
        <v>1</v>
      </c>
    </row>
    <row r="106" spans="2:58" x14ac:dyDescent="0.25">
      <c r="B106" t="s">
        <v>2369</v>
      </c>
      <c r="C106" t="s">
        <v>2122</v>
      </c>
      <c r="D106" t="s">
        <v>2207</v>
      </c>
      <c r="E106" t="s">
        <v>2124</v>
      </c>
      <c r="F106" s="116" t="str">
        <f t="shared" si="17"/>
        <v>Included</v>
      </c>
      <c r="G106" t="str">
        <f>IF(B106="","",INDEX(SF_Output!$K$1:$K$400,MATCH(B106,SF_Output!$M$1:$M$400,0)))</f>
        <v>Card Processing Solutions (CPS)</v>
      </c>
      <c r="H106" cm="1">
        <f t="array" ref="H106">_xlfn.IFS(B106="","",(SUMIFS(SF_Output!$F$1:$F$400,SF_Output!$AC$1:$AC$400,_xlfn.TEXTJOIN(",",TRUE,B106:E106))+SUMIFS(SF_Output!$G$1:$G$400,SF_Output!$AC$1:$AC$400,_xlfn.TEXTJOIN(",",TRUE,B106:E106)))&lt;&gt;0,SF_Output!$Y$2,INDEX(SF_Output!$F$1:$F$400,MATCH(_xlfn.TEXTJOIN(",",TRUE,B106:E106),SF_Output!$AC$1:$AC$400,0))=0,INDEX(SF_Output!$R$1:$R$400,MATCH(_xlfn.TEXTJOIN(",",TRUE,B106:E106),SF_Output!$AC$1:$AC$400,0)))</f>
        <v>1</v>
      </c>
      <c r="I106" s="125" t="str">
        <f>IFERROR(IF(AND(H106&gt;1,H106&lt;&gt;""),ROUND(SUMIFS(SF_Output!$S$1:$S$400,SF_Output!$AC$1:$AC$400,_xlfn.TEXTJOIN(",",TRUE,B106:E106),SF_Output!$Q$1:$Q$400,"monthly")*(1-W106)/H106,4),""),"")</f>
        <v/>
      </c>
      <c r="J106" s="6">
        <f>IF(B106="","",SUMIFS(SF_Output!$S$1:$S$400,SF_Output!$AC$1:$AC$400,_xlfn.TEXTJOIN(",",TRUE,B106:E106),SF_Output!$Q$1:$Q$400,"One Time",SF_Output!$L$1:$L$400,"license fee")+SUMIFS(SF_Output!$S$1:$S$400,SF_Output!$AC$1:$AC$400,_xlfn.TEXTJOIN(",",TRUE,B106:E106),SF_Output!$Q$1:$Q$400,"One Time",SF_Output!$L$1:$L$400,"software license")+SUMIFS(SF_Output!$S$1:$S$400,SF_Output!$AC$1:$AC$400,_xlfn.TEXTJOIN(",",TRUE,B106:E106),SF_Output!$Q$1:$Q$400,"One Time",SF_Output!$L$1:$L$400,"hardware"))</f>
        <v>0</v>
      </c>
      <c r="K106" s="112" t="str">
        <f>IF(OR(B106=0,B106="",G106="hardware",J106=0),"",IF(AF106&lt;&gt;"exclusion",MAX(K$9,-((SUMIFS(SF_Output!$T$1:$T$400,SF_Output!$AC$1:$AC$400,_xlfn.TEXTJOIN(",",TRUE,$B106:$E106),SF_Output!$Q$1:$Q$400,"One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license"))/J106)))</f>
        <v/>
      </c>
      <c r="L106" s="6">
        <f t="shared" si="18"/>
        <v>0</v>
      </c>
      <c r="N106" s="6">
        <f>IF(B106="","",SUMIFS(SF_Output!$S$1:$S$400,SF_Output!$AC$1:$AC$400,_xlfn.TEXTJOIN(",",TRUE,B106:E106),SF_Output!$Q$1:$Q$400,"One Time",SF_Output!$L$1:$L$400,"professional service"))</f>
        <v>2000</v>
      </c>
      <c r="O106" s="112">
        <f>IF(OR(B106=0,B106="",N106=0),"",IF(AF106&lt;&gt;"exclusion",MAX(O$9,-(SUMIFS(SF_Output!$T$1:$T$400,SF_Output!$AC$1:$AC$400,_xlfn.TEXTJOIN(",",TRUE,$B106:$E106),SF_Output!$Q$1:$Q$400,"One Time",SF_Output!$L$1:$L$400,"professional service"))/N106),-((SUMIFS(SF_Output!$T$1:$T$400,SF_Output!$AC$1:$AC$400,_xlfn.TEXTJOIN(",",TRUE,$B106:$E106),SF_Output!$Q$1:$Q$400,"One Time",SF_Output!$L$1:$L$400,"professional service")/N106))))</f>
        <v>1</v>
      </c>
      <c r="P106" s="6">
        <f t="shared" si="19"/>
        <v>0</v>
      </c>
      <c r="R106" s="6">
        <f>IF(B106="","",SUMIFS(SF_Output!$S$1:$S$400,SF_Output!$AC$1:$AC$400,_xlfn.TEXTJOIN(",",TRUE,B106:E106),SF_Output!$Q$1:$Q$400,"yearly")+SUMIFS(SF_Output!$S$1:$S$400,SF_Output!$AC$1:$AC$400,_xlfn.TEXTJOIN(",",TRUE,B106:E106),SF_Output!$Q$1:$Q$400,"quarterly")*4)</f>
        <v>0</v>
      </c>
      <c r="S106" s="112" t="str">
        <f>IF(OR(B106=0,B106="",G106="hardware",R106=0),"",IF(AF106&lt;&gt;"exclusion",MAX(S$9,-(SUMIFS(SF_Output!$T$1:$T$400,SF_Output!$AC$1:$AC$400,_xlfn.TEXTJOIN(",",TRUE,$B106:$E106),SF_Output!$Q$1:$Q$400,"yearly"))/R106),-((SUMIFS(SF_Output!$T$1:$T$400,SF_Output!$AC$1:$AC$400,_xlfn.TEXTJOIN(",",TRUE,$B106:$E106),SF_Output!$Q$1:$Q$400,"yearly")/R106))))</f>
        <v/>
      </c>
      <c r="T106" s="6">
        <f t="shared" si="20"/>
        <v>0</v>
      </c>
      <c r="V106" s="6" cm="1">
        <f t="array" ref="V106">_xlfn.IFS(B106="","",AND(B106&lt;&gt;"",H106=SF_Output!$Y$2,SUMIFS(SF_Output!$T$1:$T$400,SF_Output!$AC$1:$AC$400,_xlfn.TEXTJOIN(",",TRUE,B106:E106),SF_Output!$Q$1:$Q$400,"monthly")=0),(SUMIFS(SF_Output!$F$1:$F$400,SF_Output!$AC$1:$AC$400,_xlfn.TEXTJOIN(",",TRUE,B106:E106),SF_Output!$Q$1:$Q$400,"monthly")+SUMIFS(SF_Output!$G$1:$G$400,SF_Output!$AC$1:$AC$400,_xlfn.TEXTJOIN(",",TRUE,B106:E106),SF_Output!$Q$1:$Q$400,"monthly"))*H106,AND(B106&lt;&gt;"",H106=SF_Output!$Y$2,SUMIFS(SF_Output!$T$1:$T$400,SF_Output!$AC$1:$AC$400,_xlfn.TEXTJOIN(",",TRUE,B106:E106),SF_Output!$Q$1:$Q$400,"monthly")&lt;&gt;0),SUMIFS(SF_Output!$S$1:$S$400,SF_Output!$AC$1:$AC$400,_xlfn.TEXTJOIN(",",TRUE,B106:E106),SF_Output!$Q$1:$Q$400,"monthly"),AND(B106&lt;&gt;"",H106&lt;&gt;SF_Output!$Y$2),SUMIFS(SF_Output!$S$1:$S$400,SF_Output!$AC$1:$AC$400,_xlfn.TEXTJOIN(",",TRUE,B106:E106),SF_Output!$Q$1:$Q$400,"monthly"))</f>
        <v>0</v>
      </c>
      <c r="W106" s="112" t="str" cm="1">
        <f t="array" ref="W106">_xlfn.IFS(OR(B106=0,B106="",V106=0),"",AF106&lt;&gt;"exclusion",MAX($W$9,$W$7,(-(SUMIFS(SF_Output!$T$1:$T$400,SF_Output!$AC$1:$AC$400,_xlfn.TEXTJOIN(",",TRUE,$B106:$E106),SF_Output!$Q$1:$Q$400,"monthly"))/V106)),AF106="exclusion",-(SUMIFS(SF_Output!$T$1:$T$400,SF_Output!$AC$1:$AC$400,_xlfn.TEXTJOIN(",",TRUE,$B106:$E106),SF_Output!$Q$1:$Q$400,"monthly"))/V106)</f>
        <v/>
      </c>
      <c r="X106" s="6" cm="1">
        <f t="array" ref="X106">IFERROR(_xlfn.IFS(V106=0,0,V106="","",W106=0,V106,OR(V106&lt;&gt;0,V106&lt;&gt;""),H106*I106),V106*(1-W106))</f>
        <v>0</v>
      </c>
      <c r="Z106" s="6">
        <f>IFERROR(IF(B106="","",SUMIFS(Billing_Fallout!H:H,Billing_Fallout!N:N,B106)),0)</f>
        <v>0</v>
      </c>
      <c r="AA106" s="6">
        <f t="shared" si="21"/>
        <v>0</v>
      </c>
      <c r="AB106" s="6">
        <f>IFERROR(IF(B106="","",SUMIFS(Billing_Fallout!J:J,Billing_Fallout!N:N,B106)),0)</f>
        <v>0</v>
      </c>
      <c r="AD106" s="6">
        <f t="shared" si="22"/>
        <v>0</v>
      </c>
      <c r="AF106" t="str">
        <f>IFERROR(INDEX(H_Tables!$B$1:$B$1500,MATCH(INDEX(SF_Output!$J$1:$J$400,MATCH(B106,SF_Output!$M$1:$M$400,0)),H_Tables!$A$1:$A$1500,0)),"")</f>
        <v>Exclusion</v>
      </c>
      <c r="AI106" s="119" t="str">
        <f t="shared" si="23"/>
        <v/>
      </c>
      <c r="AJ106" s="121">
        <f>IFERROR(INDEX(SF_Output!AD:AD,MATCH(_xlfn.TEXTJOIN(",",TRUE,B106:E106),SF_Output!AC1:AC400,0)),0.05)</f>
        <v>181</v>
      </c>
      <c r="AK106" t="str">
        <f>IF(SUMIFS(SF_Output!$F$1:$F$400,SF_Output!$AC$1:$AC$400,_xlfn.TEXTJOIN(",",TRUE,B106:E106))+SUMIFS(SF_Output!$G$1:$G$400,SF_Output!$AC$1:$AC$400,_xlfn.TEXTJOIN(",",TRUE,B106:E106))=0,"","PAP")</f>
        <v/>
      </c>
      <c r="AQ106" s="35"/>
      <c r="AR106" s="35" t="str" cm="1">
        <f t="array" ref="AR106">IFERROR(_xlfn.IFS(AND(E106*1=1,F106="Included"),"Change to Included",AND(E106*1=0,F106="Optional"),"Change to Optional",OR(B106="",F106="replaced"),""),"")</f>
        <v/>
      </c>
      <c r="AS106" s="35" t="str">
        <f t="shared" si="24"/>
        <v/>
      </c>
      <c r="AT106" s="35" t="str">
        <f t="shared" si="25"/>
        <v/>
      </c>
      <c r="AU106" s="35" t="str">
        <f t="shared" si="26"/>
        <v/>
      </c>
      <c r="AV106" s="35" t="str">
        <f t="shared" si="27"/>
        <v/>
      </c>
      <c r="AW106" s="35" t="str">
        <f t="shared" si="28"/>
        <v/>
      </c>
      <c r="AX106" s="35" t="str">
        <f t="shared" si="29"/>
        <v/>
      </c>
      <c r="AY106" s="35" t="str">
        <f t="shared" si="30"/>
        <v/>
      </c>
      <c r="AZ106" s="35" t="str">
        <f t="shared" si="31"/>
        <v/>
      </c>
      <c r="BA106" s="35" t="str">
        <f t="shared" si="32"/>
        <v/>
      </c>
      <c r="BB106" s="35" t="str">
        <f t="shared" si="33"/>
        <v/>
      </c>
      <c r="BC106" s="35"/>
      <c r="BE106" s="35">
        <f ca="1">INDEX(SF_Output!$AA$2:$AA$400,MATCH($B106,SF_Output!$M$2:$M$400,0))</f>
        <v>6</v>
      </c>
      <c r="BF106" s="35">
        <f ca="1">INDEX(SF_Output!$AB$2:$AB$400,MATCH($B106,SF_Output!$M$2:$M$400,0))</f>
        <v>1</v>
      </c>
    </row>
    <row r="107" spans="2:58" x14ac:dyDescent="0.25">
      <c r="B107" t="s">
        <v>2472</v>
      </c>
      <c r="C107" t="s">
        <v>2122</v>
      </c>
      <c r="D107" t="s">
        <v>2207</v>
      </c>
      <c r="E107" t="s">
        <v>2124</v>
      </c>
      <c r="F107" s="116" t="str">
        <f t="shared" si="17"/>
        <v>Included</v>
      </c>
      <c r="G107" t="str">
        <f>IF(B107="","",INDEX(SF_Output!$K$1:$K$400,MATCH(B107,SF_Output!$M$1:$M$400,0)))</f>
        <v>Card Processing Solutions (CPS)</v>
      </c>
      <c r="H107" cm="1">
        <f t="array" ref="H107">_xlfn.IFS(B107="","",(SUMIFS(SF_Output!$F$1:$F$400,SF_Output!$AC$1:$AC$400,_xlfn.TEXTJOIN(",",TRUE,B107:E107))+SUMIFS(SF_Output!$G$1:$G$400,SF_Output!$AC$1:$AC$400,_xlfn.TEXTJOIN(",",TRUE,B107:E107)))&lt;&gt;0,SF_Output!$Y$2,INDEX(SF_Output!$F$1:$F$400,MATCH(_xlfn.TEXTJOIN(",",TRUE,B107:E107),SF_Output!$AC$1:$AC$400,0))=0,INDEX(SF_Output!$R$1:$R$400,MATCH(_xlfn.TEXTJOIN(",",TRUE,B107:E107),SF_Output!$AC$1:$AC$400,0)))</f>
        <v>1</v>
      </c>
      <c r="I107" s="125" t="str">
        <f>IFERROR(IF(AND(H107&gt;1,H107&lt;&gt;""),ROUND(SUMIFS(SF_Output!$S$1:$S$400,SF_Output!$AC$1:$AC$400,_xlfn.TEXTJOIN(",",TRUE,B107:E107),SF_Output!$Q$1:$Q$400,"monthly")*(1-W107)/H107,4),""),"")</f>
        <v/>
      </c>
      <c r="J107" s="6">
        <f>IF(B107="","",SUMIFS(SF_Output!$S$1:$S$400,SF_Output!$AC$1:$AC$400,_xlfn.TEXTJOIN(",",TRUE,B107:E107),SF_Output!$Q$1:$Q$400,"One Time",SF_Output!$L$1:$L$400,"license fee")+SUMIFS(SF_Output!$S$1:$S$400,SF_Output!$AC$1:$AC$400,_xlfn.TEXTJOIN(",",TRUE,B107:E107),SF_Output!$Q$1:$Q$400,"One Time",SF_Output!$L$1:$L$400,"software license")+SUMIFS(SF_Output!$S$1:$S$400,SF_Output!$AC$1:$AC$400,_xlfn.TEXTJOIN(",",TRUE,B107:E107),SF_Output!$Q$1:$Q$400,"One Time",SF_Output!$L$1:$L$400,"hardware"))</f>
        <v>0</v>
      </c>
      <c r="K107" s="112" t="str">
        <f>IF(OR(B107=0,B107="",G107="hardware",J107=0),"",IF(AF107&lt;&gt;"exclusion",MAX(K$9,-((SUMIFS(SF_Output!$T$1:$T$400,SF_Output!$AC$1:$AC$400,_xlfn.TEXTJOIN(",",TRUE,$B107:$E107),SF_Output!$Q$1:$Q$400,"One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license"))/J107)))</f>
        <v/>
      </c>
      <c r="L107" s="6">
        <f t="shared" si="18"/>
        <v>0</v>
      </c>
      <c r="N107" s="6">
        <f>IF(B107="","",SUMIFS(SF_Output!$S$1:$S$400,SF_Output!$AC$1:$AC$400,_xlfn.TEXTJOIN(",",TRUE,B107:E107),SF_Output!$Q$1:$Q$400,"One Time",SF_Output!$L$1:$L$400,"professional service"))</f>
        <v>250</v>
      </c>
      <c r="O107" s="112">
        <f>IF(OR(B107=0,B107="",N107=0),"",IF(AF107&lt;&gt;"exclusion",MAX(O$9,-(SUMIFS(SF_Output!$T$1:$T$400,SF_Output!$AC$1:$AC$400,_xlfn.TEXTJOIN(",",TRUE,$B107:$E107),SF_Output!$Q$1:$Q$400,"One Time",SF_Output!$L$1:$L$400,"professional service"))/N107),-((SUMIFS(SF_Output!$T$1:$T$400,SF_Output!$AC$1:$AC$400,_xlfn.TEXTJOIN(",",TRUE,$B107:$E107),SF_Output!$Q$1:$Q$400,"One Time",SF_Output!$L$1:$L$400,"professional service")/N107))))</f>
        <v>1</v>
      </c>
      <c r="P107" s="6">
        <f t="shared" si="19"/>
        <v>0</v>
      </c>
      <c r="R107" s="6">
        <f>IF(B107="","",SUMIFS(SF_Output!$S$1:$S$400,SF_Output!$AC$1:$AC$400,_xlfn.TEXTJOIN(",",TRUE,B107:E107),SF_Output!$Q$1:$Q$400,"yearly")+SUMIFS(SF_Output!$S$1:$S$400,SF_Output!$AC$1:$AC$400,_xlfn.TEXTJOIN(",",TRUE,B107:E107),SF_Output!$Q$1:$Q$400,"quarterly")*4)</f>
        <v>0</v>
      </c>
      <c r="S107" s="112" t="str">
        <f>IF(OR(B107=0,B107="",G107="hardware",R107=0),"",IF(AF107&lt;&gt;"exclusion",MAX(S$9,-(SUMIFS(SF_Output!$T$1:$T$400,SF_Output!$AC$1:$AC$400,_xlfn.TEXTJOIN(",",TRUE,$B107:$E107),SF_Output!$Q$1:$Q$400,"yearly"))/R107),-((SUMIFS(SF_Output!$T$1:$T$400,SF_Output!$AC$1:$AC$400,_xlfn.TEXTJOIN(",",TRUE,$B107:$E107),SF_Output!$Q$1:$Q$400,"yearly")/R107))))</f>
        <v/>
      </c>
      <c r="T107" s="6">
        <f t="shared" si="20"/>
        <v>0</v>
      </c>
      <c r="V107" s="6" cm="1">
        <f t="array" ref="V107">_xlfn.IFS(B107="","",AND(B107&lt;&gt;"",H107=SF_Output!$Y$2,SUMIFS(SF_Output!$T$1:$T$400,SF_Output!$AC$1:$AC$400,_xlfn.TEXTJOIN(",",TRUE,B107:E107),SF_Output!$Q$1:$Q$400,"monthly")=0),(SUMIFS(SF_Output!$F$1:$F$400,SF_Output!$AC$1:$AC$400,_xlfn.TEXTJOIN(",",TRUE,B107:E107),SF_Output!$Q$1:$Q$400,"monthly")+SUMIFS(SF_Output!$G$1:$G$400,SF_Output!$AC$1:$AC$400,_xlfn.TEXTJOIN(",",TRUE,B107:E107),SF_Output!$Q$1:$Q$400,"monthly"))*H107,AND(B107&lt;&gt;"",H107=SF_Output!$Y$2,SUMIFS(SF_Output!$T$1:$T$400,SF_Output!$AC$1:$AC$400,_xlfn.TEXTJOIN(",",TRUE,B107:E107),SF_Output!$Q$1:$Q$400,"monthly")&lt;&gt;0),SUMIFS(SF_Output!$S$1:$S$400,SF_Output!$AC$1:$AC$400,_xlfn.TEXTJOIN(",",TRUE,B107:E107),SF_Output!$Q$1:$Q$400,"monthly"),AND(B107&lt;&gt;"",H107&lt;&gt;SF_Output!$Y$2),SUMIFS(SF_Output!$S$1:$S$400,SF_Output!$AC$1:$AC$400,_xlfn.TEXTJOIN(",",TRUE,B107:E107),SF_Output!$Q$1:$Q$400,"monthly"))</f>
        <v>0</v>
      </c>
      <c r="W107" s="112" t="str" cm="1">
        <f t="array" ref="W107">_xlfn.IFS(OR(B107=0,B107="",V107=0),"",AF107&lt;&gt;"exclusion",MAX($W$9,$W$7,(-(SUMIFS(SF_Output!$T$1:$T$400,SF_Output!$AC$1:$AC$400,_xlfn.TEXTJOIN(",",TRUE,$B107:$E107),SF_Output!$Q$1:$Q$400,"monthly"))/V107)),AF107="exclusion",-(SUMIFS(SF_Output!$T$1:$T$400,SF_Output!$AC$1:$AC$400,_xlfn.TEXTJOIN(",",TRUE,$B107:$E107),SF_Output!$Q$1:$Q$400,"monthly"))/V107)</f>
        <v/>
      </c>
      <c r="X107" s="6" cm="1">
        <f t="array" ref="X107">IFERROR(_xlfn.IFS(V107=0,0,V107="","",W107=0,V107,OR(V107&lt;&gt;0,V107&lt;&gt;""),H107*I107),V107*(1-W107))</f>
        <v>0</v>
      </c>
      <c r="Z107" s="6">
        <f>IFERROR(IF(B107="","",SUMIFS(Billing_Fallout!H:H,Billing_Fallout!N:N,B107)),0)</f>
        <v>0</v>
      </c>
      <c r="AA107" s="6">
        <f t="shared" si="21"/>
        <v>0</v>
      </c>
      <c r="AB107" s="6">
        <f>IFERROR(IF(B107="","",SUMIFS(Billing_Fallout!J:J,Billing_Fallout!N:N,B107)),0)</f>
        <v>0</v>
      </c>
      <c r="AD107" s="6">
        <f t="shared" si="22"/>
        <v>0</v>
      </c>
      <c r="AF107" t="str">
        <f>IFERROR(INDEX(H_Tables!$B$1:$B$1500,MATCH(INDEX(SF_Output!$J$1:$J$400,MATCH(B107,SF_Output!$M$1:$M$400,0)),H_Tables!$A$1:$A$1500,0)),"")</f>
        <v>Exclusion</v>
      </c>
      <c r="AI107" s="119" t="str">
        <f t="shared" si="23"/>
        <v/>
      </c>
      <c r="AJ107" s="121">
        <f>IFERROR(INDEX(SF_Output!AD:AD,MATCH(_xlfn.TEXTJOIN(",",TRUE,B107:E107),SF_Output!AC1:AC400,0)),0.05)</f>
        <v>182</v>
      </c>
      <c r="AK107" t="str">
        <f>IF(SUMIFS(SF_Output!$F$1:$F$400,SF_Output!$AC$1:$AC$400,_xlfn.TEXTJOIN(",",TRUE,B107:E107))+SUMIFS(SF_Output!$G$1:$G$400,SF_Output!$AC$1:$AC$400,_xlfn.TEXTJOIN(",",TRUE,B107:E107))=0,"","PAP")</f>
        <v/>
      </c>
      <c r="AQ107" s="35"/>
      <c r="AR107" s="35" t="str" cm="1">
        <f t="array" ref="AR107">IFERROR(_xlfn.IFS(AND(E107*1=1,F107="Included"),"Change to Included",AND(E107*1=0,F107="Optional"),"Change to Optional",OR(B107="",F107="replaced"),""),"")</f>
        <v/>
      </c>
      <c r="AS107" s="35" t="str">
        <f t="shared" si="24"/>
        <v/>
      </c>
      <c r="AT107" s="35" t="str">
        <f t="shared" si="25"/>
        <v/>
      </c>
      <c r="AU107" s="35" t="str">
        <f t="shared" si="26"/>
        <v/>
      </c>
      <c r="AV107" s="35" t="str">
        <f t="shared" si="27"/>
        <v/>
      </c>
      <c r="AW107" s="35" t="str">
        <f t="shared" si="28"/>
        <v/>
      </c>
      <c r="AX107" s="35" t="str">
        <f t="shared" si="29"/>
        <v/>
      </c>
      <c r="AY107" s="35" t="str">
        <f t="shared" si="30"/>
        <v/>
      </c>
      <c r="AZ107" s="35" t="str">
        <f t="shared" si="31"/>
        <v/>
      </c>
      <c r="BA107" s="35" t="str">
        <f t="shared" si="32"/>
        <v/>
      </c>
      <c r="BB107" s="35" t="str">
        <f t="shared" si="33"/>
        <v/>
      </c>
      <c r="BC107" s="35"/>
      <c r="BE107" s="35">
        <f ca="1">INDEX(SF_Output!$AA$2:$AA$400,MATCH($B107,SF_Output!$M$2:$M$400,0))</f>
        <v>6</v>
      </c>
      <c r="BF107" s="35">
        <f ca="1">INDEX(SF_Output!$AB$2:$AB$400,MATCH($B107,SF_Output!$M$2:$M$400,0))</f>
        <v>1</v>
      </c>
    </row>
    <row r="108" spans="2:58" x14ac:dyDescent="0.25">
      <c r="B108" t="s">
        <v>1823</v>
      </c>
      <c r="C108" t="s">
        <v>2122</v>
      </c>
      <c r="D108" t="s">
        <v>2207</v>
      </c>
      <c r="E108" t="s">
        <v>2124</v>
      </c>
      <c r="F108" s="116" t="str">
        <f t="shared" si="17"/>
        <v>Included</v>
      </c>
      <c r="G108" t="str">
        <f>IF(B108="","",INDEX(SF_Output!$K$1:$K$400,MATCH(B108,SF_Output!$M$1:$M$400,0)))</f>
        <v>Card Processing Solutions (CPS)</v>
      </c>
      <c r="H108" cm="1">
        <f t="array" ref="H108">_xlfn.IFS(B108="","",(SUMIFS(SF_Output!$F$1:$F$400,SF_Output!$AC$1:$AC$400,_xlfn.TEXTJOIN(",",TRUE,B108:E108))+SUMIFS(SF_Output!$G$1:$G$400,SF_Output!$AC$1:$AC$400,_xlfn.TEXTJOIN(",",TRUE,B108:E108)))&lt;&gt;0,SF_Output!$Y$2,INDEX(SF_Output!$F$1:$F$400,MATCH(_xlfn.TEXTJOIN(",",TRUE,B108:E108),SF_Output!$AC$1:$AC$400,0))=0,INDEX(SF_Output!$R$1:$R$400,MATCH(_xlfn.TEXTJOIN(",",TRUE,B108:E108),SF_Output!$AC$1:$AC$400,0)))</f>
        <v>0</v>
      </c>
      <c r="I108" s="125" t="str">
        <f>IFERROR(IF(AND(H108&gt;1,H108&lt;&gt;""),ROUND(SUMIFS(SF_Output!$S$1:$S$400,SF_Output!$AC$1:$AC$400,_xlfn.TEXTJOIN(",",TRUE,B108:E108),SF_Output!$Q$1:$Q$400,"monthly")*(1-W108)/H108,4),""),"")</f>
        <v/>
      </c>
      <c r="J108" s="6">
        <f>IF(B108="","",SUMIFS(SF_Output!$S$1:$S$400,SF_Output!$AC$1:$AC$400,_xlfn.TEXTJOIN(",",TRUE,B108:E108),SF_Output!$Q$1:$Q$400,"One Time",SF_Output!$L$1:$L$400,"license fee")+SUMIFS(SF_Output!$S$1:$S$400,SF_Output!$AC$1:$AC$400,_xlfn.TEXTJOIN(",",TRUE,B108:E108),SF_Output!$Q$1:$Q$400,"One Time",SF_Output!$L$1:$L$400,"software license")+SUMIFS(SF_Output!$S$1:$S$400,SF_Output!$AC$1:$AC$400,_xlfn.TEXTJOIN(",",TRUE,B108:E108),SF_Output!$Q$1:$Q$400,"One Time",SF_Output!$L$1:$L$400,"hardware"))</f>
        <v>0</v>
      </c>
      <c r="K108" s="112" t="str">
        <f>IF(OR(B108=0,B108="",G108="hardware",J108=0),"",IF(AF108&lt;&gt;"exclusion",MAX(K$9,-((SUMIFS(SF_Output!$T$1:$T$400,SF_Output!$AC$1:$AC$400,_xlfn.TEXTJOIN(",",TRUE,$B108:$E108),SF_Output!$Q$1:$Q$400,"One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license"))/J108)))</f>
        <v/>
      </c>
      <c r="L108" s="6">
        <f t="shared" si="18"/>
        <v>0</v>
      </c>
      <c r="N108" s="6">
        <f>IF(B108="","",SUMIFS(SF_Output!$S$1:$S$400,SF_Output!$AC$1:$AC$400,_xlfn.TEXTJOIN(",",TRUE,B108:E108),SF_Output!$Q$1:$Q$400,"One Time",SF_Output!$L$1:$L$400,"professional service"))</f>
        <v>0</v>
      </c>
      <c r="O108" s="112" t="str">
        <f>IF(OR(B108=0,B108="",N108=0),"",IF(AF108&lt;&gt;"exclusion",MAX(O$9,-(SUMIFS(SF_Output!$T$1:$T$400,SF_Output!$AC$1:$AC$400,_xlfn.TEXTJOIN(",",TRUE,$B108:$E108),SF_Output!$Q$1:$Q$400,"One Time",SF_Output!$L$1:$L$400,"professional service"))/N108),-((SUMIFS(SF_Output!$T$1:$T$400,SF_Output!$AC$1:$AC$400,_xlfn.TEXTJOIN(",",TRUE,$B108:$E108),SF_Output!$Q$1:$Q$400,"One Time",SF_Output!$L$1:$L$400,"professional service")/N108))))</f>
        <v/>
      </c>
      <c r="P108" s="6">
        <f t="shared" si="19"/>
        <v>0</v>
      </c>
      <c r="R108" s="6">
        <f>IF(B108="","",SUMIFS(SF_Output!$S$1:$S$400,SF_Output!$AC$1:$AC$400,_xlfn.TEXTJOIN(",",TRUE,B108:E108),SF_Output!$Q$1:$Q$400,"yearly")+SUMIFS(SF_Output!$S$1:$S$400,SF_Output!$AC$1:$AC$400,_xlfn.TEXTJOIN(",",TRUE,B108:E108),SF_Output!$Q$1:$Q$400,"quarterly")*4)</f>
        <v>0</v>
      </c>
      <c r="S108" s="112" t="str">
        <f>IF(OR(B108=0,B108="",G108="hardware",R108=0),"",IF(AF108&lt;&gt;"exclusion",MAX(S$9,-(SUMIFS(SF_Output!$T$1:$T$400,SF_Output!$AC$1:$AC$400,_xlfn.TEXTJOIN(",",TRUE,$B108:$E108),SF_Output!$Q$1:$Q$400,"yearly"))/R108),-((SUMIFS(SF_Output!$T$1:$T$400,SF_Output!$AC$1:$AC$400,_xlfn.TEXTJOIN(",",TRUE,$B108:$E108),SF_Output!$Q$1:$Q$400,"yearly")/R108))))</f>
        <v/>
      </c>
      <c r="T108" s="6">
        <f t="shared" si="20"/>
        <v>0</v>
      </c>
      <c r="V108" s="6" cm="1">
        <f t="array" ref="V108">_xlfn.IFS(B108="","",AND(B108&lt;&gt;"",H108=SF_Output!$Y$2,SUMIFS(SF_Output!$T$1:$T$400,SF_Output!$AC$1:$AC$400,_xlfn.TEXTJOIN(",",TRUE,B108:E108),SF_Output!$Q$1:$Q$400,"monthly")=0),(SUMIFS(SF_Output!$F$1:$F$400,SF_Output!$AC$1:$AC$400,_xlfn.TEXTJOIN(",",TRUE,B108:E108),SF_Output!$Q$1:$Q$400,"monthly")+SUMIFS(SF_Output!$G$1:$G$400,SF_Output!$AC$1:$AC$400,_xlfn.TEXTJOIN(",",TRUE,B108:E108),SF_Output!$Q$1:$Q$400,"monthly"))*H108,AND(B108&lt;&gt;"",H108=SF_Output!$Y$2,SUMIFS(SF_Output!$T$1:$T$400,SF_Output!$AC$1:$AC$400,_xlfn.TEXTJOIN(",",TRUE,B108:E108),SF_Output!$Q$1:$Q$400,"monthly")&lt;&gt;0),SUMIFS(SF_Output!$S$1:$S$400,SF_Output!$AC$1:$AC$400,_xlfn.TEXTJOIN(",",TRUE,B108:E108),SF_Output!$Q$1:$Q$400,"monthly"),AND(B108&lt;&gt;"",H108&lt;&gt;SF_Output!$Y$2),SUMIFS(SF_Output!$S$1:$S$400,SF_Output!$AC$1:$AC$400,_xlfn.TEXTJOIN(",",TRUE,B108:E108),SF_Output!$Q$1:$Q$400,"monthly"))</f>
        <v>0</v>
      </c>
      <c r="W108" s="112" t="str" cm="1">
        <f t="array" ref="W108">_xlfn.IFS(OR(B108=0,B108="",V108=0),"",AF108&lt;&gt;"exclusion",MAX($W$9,$W$7,(-(SUMIFS(SF_Output!$T$1:$T$400,SF_Output!$AC$1:$AC$400,_xlfn.TEXTJOIN(",",TRUE,$B108:$E108),SF_Output!$Q$1:$Q$400,"monthly"))/V108)),AF108="exclusion",-(SUMIFS(SF_Output!$T$1:$T$400,SF_Output!$AC$1:$AC$400,_xlfn.TEXTJOIN(",",TRUE,$B108:$E108),SF_Output!$Q$1:$Q$400,"monthly"))/V108)</f>
        <v/>
      </c>
      <c r="X108" s="6" cm="1">
        <f t="array" ref="X108">IFERROR(_xlfn.IFS(V108=0,0,V108="","",W108=0,V108,OR(V108&lt;&gt;0,V108&lt;&gt;""),H108*I108),V108*(1-W108))</f>
        <v>0</v>
      </c>
      <c r="Z108" s="6">
        <f>IFERROR(IF(B108="","",SUMIFS(Billing_Fallout!H:H,Billing_Fallout!N:N,B108)),0)</f>
        <v>0</v>
      </c>
      <c r="AA108" s="6">
        <f t="shared" si="21"/>
        <v>0</v>
      </c>
      <c r="AB108" s="6">
        <f>IFERROR(IF(B108="","",SUMIFS(Billing_Fallout!J:J,Billing_Fallout!N:N,B108)),0)</f>
        <v>0</v>
      </c>
      <c r="AD108" s="6">
        <f t="shared" si="22"/>
        <v>0</v>
      </c>
      <c r="AF108" t="str">
        <f>IFERROR(INDEX(H_Tables!$B$1:$B$1500,MATCH(INDEX(SF_Output!$J$1:$J$400,MATCH(B108,SF_Output!$M$1:$M$400,0)),H_Tables!$A$1:$A$1500,0)),"")</f>
        <v>Exclusion</v>
      </c>
      <c r="AI108" s="119" t="str">
        <f t="shared" si="23"/>
        <v/>
      </c>
      <c r="AJ108" s="121">
        <f>IFERROR(INDEX(SF_Output!AD:AD,MATCH(_xlfn.TEXTJOIN(",",TRUE,B108:E108),SF_Output!AC1:AC400,0)),0.05)</f>
        <v>183</v>
      </c>
      <c r="AK108" t="str">
        <f>IF(SUMIFS(SF_Output!$F$1:$F$400,SF_Output!$AC$1:$AC$400,_xlfn.TEXTJOIN(",",TRUE,B108:E108))+SUMIFS(SF_Output!$G$1:$G$400,SF_Output!$AC$1:$AC$400,_xlfn.TEXTJOIN(",",TRUE,B108:E108))=0,"","PAP")</f>
        <v/>
      </c>
      <c r="AQ108" s="35"/>
      <c r="AR108" s="35" t="str" cm="1">
        <f t="array" ref="AR108">IFERROR(_xlfn.IFS(AND(E108*1=1,F108="Included"),"Change to Included",AND(E108*1=0,F108="Optional"),"Change to Optional",OR(B108="",F108="replaced"),""),"")</f>
        <v/>
      </c>
      <c r="AS108" s="35" t="str">
        <f t="shared" si="24"/>
        <v/>
      </c>
      <c r="AT108" s="35" t="str">
        <f t="shared" si="25"/>
        <v/>
      </c>
      <c r="AU108" s="35" t="str">
        <f t="shared" si="26"/>
        <v/>
      </c>
      <c r="AV108" s="35" t="str">
        <f t="shared" si="27"/>
        <v/>
      </c>
      <c r="AW108" s="35" t="str">
        <f t="shared" si="28"/>
        <v/>
      </c>
      <c r="AX108" s="35" t="str">
        <f t="shared" si="29"/>
        <v/>
      </c>
      <c r="AY108" s="35" t="str">
        <f t="shared" si="30"/>
        <v/>
      </c>
      <c r="AZ108" s="35" t="str">
        <f t="shared" si="31"/>
        <v/>
      </c>
      <c r="BA108" s="35" t="str">
        <f t="shared" si="32"/>
        <v/>
      </c>
      <c r="BB108" s="35" t="str">
        <f t="shared" si="33"/>
        <v/>
      </c>
      <c r="BC108" s="35"/>
      <c r="BE108" s="35">
        <f ca="1">INDEX(SF_Output!$AA$2:$AA$400,MATCH($B108,SF_Output!$M$2:$M$400,0))</f>
        <v>6</v>
      </c>
      <c r="BF108" s="35">
        <f ca="1">INDEX(SF_Output!$AB$2:$AB$400,MATCH($B108,SF_Output!$M$2:$M$400,0))</f>
        <v>1</v>
      </c>
    </row>
    <row r="109" spans="2:58" x14ac:dyDescent="0.25">
      <c r="B109" t="s">
        <v>2373</v>
      </c>
      <c r="C109" t="s">
        <v>2122</v>
      </c>
      <c r="D109" t="s">
        <v>2207</v>
      </c>
      <c r="E109" t="s">
        <v>2124</v>
      </c>
      <c r="F109" s="116" t="str">
        <f t="shared" si="17"/>
        <v>Included</v>
      </c>
      <c r="G109" t="str">
        <f>IF(B109="","",INDEX(SF_Output!$K$1:$K$400,MATCH(B109,SF_Output!$M$1:$M$400,0)))</f>
        <v>Card Processing Solutions (CPS)</v>
      </c>
      <c r="H109" cm="1">
        <f t="array" ref="H109">_xlfn.IFS(B109="","",(SUMIFS(SF_Output!$F$1:$F$400,SF_Output!$AC$1:$AC$400,_xlfn.TEXTJOIN(",",TRUE,B109:E109))+SUMIFS(SF_Output!$G$1:$G$400,SF_Output!$AC$1:$AC$400,_xlfn.TEXTJOIN(",",TRUE,B109:E109)))&lt;&gt;0,SF_Output!$Y$2,INDEX(SF_Output!$F$1:$F$400,MATCH(_xlfn.TEXTJOIN(",",TRUE,B109:E109),SF_Output!$AC$1:$AC$400,0))=0,INDEX(SF_Output!$R$1:$R$400,MATCH(_xlfn.TEXTJOIN(",",TRUE,B109:E109),SF_Output!$AC$1:$AC$400,0)))</f>
        <v>0</v>
      </c>
      <c r="I109" s="125" t="str">
        <f>IFERROR(IF(AND(H109&gt;1,H109&lt;&gt;""),ROUND(SUMIFS(SF_Output!$S$1:$S$400,SF_Output!$AC$1:$AC$400,_xlfn.TEXTJOIN(",",TRUE,B109:E109),SF_Output!$Q$1:$Q$400,"monthly")*(1-W109)/H109,4),""),"")</f>
        <v/>
      </c>
      <c r="J109" s="6">
        <f>IF(B109="","",SUMIFS(SF_Output!$S$1:$S$400,SF_Output!$AC$1:$AC$400,_xlfn.TEXTJOIN(",",TRUE,B109:E109),SF_Output!$Q$1:$Q$400,"One Time",SF_Output!$L$1:$L$400,"license fee")+SUMIFS(SF_Output!$S$1:$S$400,SF_Output!$AC$1:$AC$400,_xlfn.TEXTJOIN(",",TRUE,B109:E109),SF_Output!$Q$1:$Q$400,"One Time",SF_Output!$L$1:$L$400,"software license")+SUMIFS(SF_Output!$S$1:$S$400,SF_Output!$AC$1:$AC$400,_xlfn.TEXTJOIN(",",TRUE,B109:E109),SF_Output!$Q$1:$Q$400,"One Time",SF_Output!$L$1:$L$400,"hardware"))</f>
        <v>0</v>
      </c>
      <c r="K109" s="112" t="str">
        <f>IF(OR(B109=0,B109="",G109="hardware",J109=0),"",IF(AF109&lt;&gt;"exclusion",MAX(K$9,-((SUMIFS(SF_Output!$T$1:$T$400,SF_Output!$AC$1:$AC$400,_xlfn.TEXTJOIN(",",TRUE,$B109:$E109),SF_Output!$Q$1:$Q$400,"One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license"))/J109)))</f>
        <v/>
      </c>
      <c r="L109" s="6">
        <f t="shared" si="18"/>
        <v>0</v>
      </c>
      <c r="N109" s="6">
        <f>IF(B109="","",SUMIFS(SF_Output!$S$1:$S$400,SF_Output!$AC$1:$AC$400,_xlfn.TEXTJOIN(",",TRUE,B109:E109),SF_Output!$Q$1:$Q$400,"One Time",SF_Output!$L$1:$L$400,"professional service"))</f>
        <v>0</v>
      </c>
      <c r="O109" s="112" t="str">
        <f>IF(OR(B109=0,B109="",N109=0),"",IF(AF109&lt;&gt;"exclusion",MAX(O$9,-(SUMIFS(SF_Output!$T$1:$T$400,SF_Output!$AC$1:$AC$400,_xlfn.TEXTJOIN(",",TRUE,$B109:$E109),SF_Output!$Q$1:$Q$400,"One Time",SF_Output!$L$1:$L$400,"professional service"))/N109),-((SUMIFS(SF_Output!$T$1:$T$400,SF_Output!$AC$1:$AC$400,_xlfn.TEXTJOIN(",",TRUE,$B109:$E109),SF_Output!$Q$1:$Q$400,"One Time",SF_Output!$L$1:$L$400,"professional service")/N109))))</f>
        <v/>
      </c>
      <c r="P109" s="6">
        <f t="shared" si="19"/>
        <v>0</v>
      </c>
      <c r="R109" s="6">
        <f>IF(B109="","",SUMIFS(SF_Output!$S$1:$S$400,SF_Output!$AC$1:$AC$400,_xlfn.TEXTJOIN(",",TRUE,B109:E109),SF_Output!$Q$1:$Q$400,"yearly")+SUMIFS(SF_Output!$S$1:$S$400,SF_Output!$AC$1:$AC$400,_xlfn.TEXTJOIN(",",TRUE,B109:E109),SF_Output!$Q$1:$Q$400,"quarterly")*4)</f>
        <v>0</v>
      </c>
      <c r="S109" s="112" t="str">
        <f>IF(OR(B109=0,B109="",G109="hardware",R109=0),"",IF(AF109&lt;&gt;"exclusion",MAX(S$9,-(SUMIFS(SF_Output!$T$1:$T$400,SF_Output!$AC$1:$AC$400,_xlfn.TEXTJOIN(",",TRUE,$B109:$E109),SF_Output!$Q$1:$Q$400,"yearly"))/R109),-((SUMIFS(SF_Output!$T$1:$T$400,SF_Output!$AC$1:$AC$400,_xlfn.TEXTJOIN(",",TRUE,$B109:$E109),SF_Output!$Q$1:$Q$400,"yearly")/R109))))</f>
        <v/>
      </c>
      <c r="T109" s="6">
        <f t="shared" si="20"/>
        <v>0</v>
      </c>
      <c r="V109" s="6" cm="1">
        <f t="array" ref="V109">_xlfn.IFS(B109="","",AND(B109&lt;&gt;"",H109=SF_Output!$Y$2,SUMIFS(SF_Output!$T$1:$T$400,SF_Output!$AC$1:$AC$400,_xlfn.TEXTJOIN(",",TRUE,B109:E109),SF_Output!$Q$1:$Q$400,"monthly")=0),(SUMIFS(SF_Output!$F$1:$F$400,SF_Output!$AC$1:$AC$400,_xlfn.TEXTJOIN(",",TRUE,B109:E109),SF_Output!$Q$1:$Q$400,"monthly")+SUMIFS(SF_Output!$G$1:$G$400,SF_Output!$AC$1:$AC$400,_xlfn.TEXTJOIN(",",TRUE,B109:E109),SF_Output!$Q$1:$Q$400,"monthly"))*H109,AND(B109&lt;&gt;"",H109=SF_Output!$Y$2,SUMIFS(SF_Output!$T$1:$T$400,SF_Output!$AC$1:$AC$400,_xlfn.TEXTJOIN(",",TRUE,B109:E109),SF_Output!$Q$1:$Q$400,"monthly")&lt;&gt;0),SUMIFS(SF_Output!$S$1:$S$400,SF_Output!$AC$1:$AC$400,_xlfn.TEXTJOIN(",",TRUE,B109:E109),SF_Output!$Q$1:$Q$400,"monthly"),AND(B109&lt;&gt;"",H109&lt;&gt;SF_Output!$Y$2),SUMIFS(SF_Output!$S$1:$S$400,SF_Output!$AC$1:$AC$400,_xlfn.TEXTJOIN(",",TRUE,B109:E109),SF_Output!$Q$1:$Q$400,"monthly"))</f>
        <v>0</v>
      </c>
      <c r="W109" s="112" t="str" cm="1">
        <f t="array" ref="W109">_xlfn.IFS(OR(B109=0,B109="",V109=0),"",AF109&lt;&gt;"exclusion",MAX($W$9,$W$7,(-(SUMIFS(SF_Output!$T$1:$T$400,SF_Output!$AC$1:$AC$400,_xlfn.TEXTJOIN(",",TRUE,$B109:$E109),SF_Output!$Q$1:$Q$400,"monthly"))/V109)),AF109="exclusion",-(SUMIFS(SF_Output!$T$1:$T$400,SF_Output!$AC$1:$AC$400,_xlfn.TEXTJOIN(",",TRUE,$B109:$E109),SF_Output!$Q$1:$Q$400,"monthly"))/V109)</f>
        <v/>
      </c>
      <c r="X109" s="6" cm="1">
        <f t="array" ref="X109">IFERROR(_xlfn.IFS(V109=0,0,V109="","",W109=0,V109,OR(V109&lt;&gt;0,V109&lt;&gt;""),H109*I109),V109*(1-W109))</f>
        <v>0</v>
      </c>
      <c r="Z109" s="6">
        <f>IFERROR(IF(B109="","",SUMIFS(Billing_Fallout!H:H,Billing_Fallout!N:N,B109)),0)</f>
        <v>0</v>
      </c>
      <c r="AA109" s="6">
        <f t="shared" si="21"/>
        <v>0</v>
      </c>
      <c r="AB109" s="6">
        <f>IFERROR(IF(B109="","",SUMIFS(Billing_Fallout!J:J,Billing_Fallout!N:N,B109)),0)</f>
        <v>0</v>
      </c>
      <c r="AD109" s="6">
        <f t="shared" si="22"/>
        <v>0</v>
      </c>
      <c r="AF109" t="str">
        <f>IFERROR(INDEX(H_Tables!$B$1:$B$1500,MATCH(INDEX(SF_Output!$J$1:$J$400,MATCH(B109,SF_Output!$M$1:$M$400,0)),H_Tables!$A$1:$A$1500,0)),"")</f>
        <v>Exclusion</v>
      </c>
      <c r="AI109" s="119" t="str">
        <f t="shared" si="23"/>
        <v/>
      </c>
      <c r="AJ109" s="121">
        <f>IFERROR(INDEX(SF_Output!AD:AD,MATCH(_xlfn.TEXTJOIN(",",TRUE,B109:E109),SF_Output!AC1:AC400,0)),0.05)</f>
        <v>184</v>
      </c>
      <c r="AK109" t="str">
        <f>IF(SUMIFS(SF_Output!$F$1:$F$400,SF_Output!$AC$1:$AC$400,_xlfn.TEXTJOIN(",",TRUE,B109:E109))+SUMIFS(SF_Output!$G$1:$G$400,SF_Output!$AC$1:$AC$400,_xlfn.TEXTJOIN(",",TRUE,B109:E109))=0,"","PAP")</f>
        <v/>
      </c>
      <c r="AQ109" s="35"/>
      <c r="AR109" s="35" t="str" cm="1">
        <f t="array" ref="AR109">IFERROR(_xlfn.IFS(AND(E109*1=1,F109="Included"),"Change to Included",AND(E109*1=0,F109="Optional"),"Change to Optional",OR(B109="",F109="replaced"),""),"")</f>
        <v/>
      </c>
      <c r="AS109" s="35" t="str">
        <f t="shared" si="24"/>
        <v/>
      </c>
      <c r="AT109" s="35" t="str">
        <f t="shared" si="25"/>
        <v/>
      </c>
      <c r="AU109" s="35" t="str">
        <f t="shared" si="26"/>
        <v/>
      </c>
      <c r="AV109" s="35" t="str">
        <f t="shared" si="27"/>
        <v/>
      </c>
      <c r="AW109" s="35" t="str">
        <f t="shared" si="28"/>
        <v/>
      </c>
      <c r="AX109" s="35" t="str">
        <f t="shared" si="29"/>
        <v/>
      </c>
      <c r="AY109" s="35" t="str">
        <f t="shared" si="30"/>
        <v/>
      </c>
      <c r="AZ109" s="35" t="str">
        <f t="shared" si="31"/>
        <v/>
      </c>
      <c r="BA109" s="35" t="str">
        <f t="shared" si="32"/>
        <v/>
      </c>
      <c r="BB109" s="35" t="str">
        <f t="shared" si="33"/>
        <v/>
      </c>
      <c r="BC109" s="35"/>
      <c r="BE109" s="35">
        <f ca="1">INDEX(SF_Output!$AA$2:$AA$400,MATCH($B109,SF_Output!$M$2:$M$400,0))</f>
        <v>6</v>
      </c>
      <c r="BF109" s="35">
        <f ca="1">INDEX(SF_Output!$AB$2:$AB$400,MATCH($B109,SF_Output!$M$2:$M$400,0))</f>
        <v>1</v>
      </c>
    </row>
    <row r="110" spans="2:58" x14ac:dyDescent="0.25">
      <c r="B110" t="s">
        <v>2375</v>
      </c>
      <c r="C110" t="s">
        <v>2122</v>
      </c>
      <c r="D110" t="s">
        <v>2207</v>
      </c>
      <c r="E110" t="s">
        <v>2124</v>
      </c>
      <c r="F110" s="116" t="str">
        <f t="shared" si="17"/>
        <v>Included</v>
      </c>
      <c r="G110" t="str">
        <f>IF(B110="","",INDEX(SF_Output!$K$1:$K$400,MATCH(B110,SF_Output!$M$1:$M$400,0)))</f>
        <v>Card Processing Solutions (CPS)</v>
      </c>
      <c r="H110" cm="1">
        <f t="array" ref="H110">_xlfn.IFS(B110="","",(SUMIFS(SF_Output!$F$1:$F$400,SF_Output!$AC$1:$AC$400,_xlfn.TEXTJOIN(",",TRUE,B110:E110))+SUMIFS(SF_Output!$G$1:$G$400,SF_Output!$AC$1:$AC$400,_xlfn.TEXTJOIN(",",TRUE,B110:E110)))&lt;&gt;0,SF_Output!$Y$2,INDEX(SF_Output!$F$1:$F$400,MATCH(_xlfn.TEXTJOIN(",",TRUE,B110:E110),SF_Output!$AC$1:$AC$400,0))=0,INDEX(SF_Output!$R$1:$R$400,MATCH(_xlfn.TEXTJOIN(",",TRUE,B110:E110),SF_Output!$AC$1:$AC$400,0)))</f>
        <v>1</v>
      </c>
      <c r="I110" s="125" t="str">
        <f>IFERROR(IF(AND(H110&gt;1,H110&lt;&gt;""),ROUND(SUMIFS(SF_Output!$S$1:$S$400,SF_Output!$AC$1:$AC$400,_xlfn.TEXTJOIN(",",TRUE,B110:E110),SF_Output!$Q$1:$Q$400,"monthly")*(1-W110)/H110,4),""),"")</f>
        <v/>
      </c>
      <c r="J110" s="6">
        <f>IF(B110="","",SUMIFS(SF_Output!$S$1:$S$400,SF_Output!$AC$1:$AC$400,_xlfn.TEXTJOIN(",",TRUE,B110:E110),SF_Output!$Q$1:$Q$400,"One Time",SF_Output!$L$1:$L$400,"license fee")+SUMIFS(SF_Output!$S$1:$S$400,SF_Output!$AC$1:$AC$400,_xlfn.TEXTJOIN(",",TRUE,B110:E110),SF_Output!$Q$1:$Q$400,"One Time",SF_Output!$L$1:$L$400,"software license")+SUMIFS(SF_Output!$S$1:$S$400,SF_Output!$AC$1:$AC$400,_xlfn.TEXTJOIN(",",TRUE,B110:E110),SF_Output!$Q$1:$Q$400,"One Time",SF_Output!$L$1:$L$400,"hardware"))</f>
        <v>0</v>
      </c>
      <c r="K110" s="112" t="str">
        <f>IF(OR(B110=0,B110="",G110="hardware",J110=0),"",IF(AF110&lt;&gt;"exclusion",MAX(K$9,-((SUMIFS(SF_Output!$T$1:$T$400,SF_Output!$AC$1:$AC$400,_xlfn.TEXTJOIN(",",TRUE,$B110:$E110),SF_Output!$Q$1:$Q$400,"One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license"))/J110)))</f>
        <v/>
      </c>
      <c r="L110" s="6">
        <f t="shared" si="18"/>
        <v>0</v>
      </c>
      <c r="N110" s="6">
        <f>IF(B110="","",SUMIFS(SF_Output!$S$1:$S$400,SF_Output!$AC$1:$AC$400,_xlfn.TEXTJOIN(",",TRUE,B110:E110),SF_Output!$Q$1:$Q$400,"One Time",SF_Output!$L$1:$L$400,"professional service"))</f>
        <v>1900</v>
      </c>
      <c r="O110" s="112">
        <f>IF(OR(B110=0,B110="",N110=0),"",IF(AF110&lt;&gt;"exclusion",MAX(O$9,-(SUMIFS(SF_Output!$T$1:$T$400,SF_Output!$AC$1:$AC$400,_xlfn.TEXTJOIN(",",TRUE,$B110:$E110),SF_Output!$Q$1:$Q$400,"One Time",SF_Output!$L$1:$L$400,"professional service"))/N110),-((SUMIFS(SF_Output!$T$1:$T$400,SF_Output!$AC$1:$AC$400,_xlfn.TEXTJOIN(",",TRUE,$B110:$E110),SF_Output!$Q$1:$Q$400,"One Time",SF_Output!$L$1:$L$400,"professional service")/N110))))</f>
        <v>1</v>
      </c>
      <c r="P110" s="6">
        <f t="shared" si="19"/>
        <v>0</v>
      </c>
      <c r="R110" s="6">
        <f>IF(B110="","",SUMIFS(SF_Output!$S$1:$S$400,SF_Output!$AC$1:$AC$400,_xlfn.TEXTJOIN(",",TRUE,B110:E110),SF_Output!$Q$1:$Q$400,"yearly")+SUMIFS(SF_Output!$S$1:$S$400,SF_Output!$AC$1:$AC$400,_xlfn.TEXTJOIN(",",TRUE,B110:E110),SF_Output!$Q$1:$Q$400,"quarterly")*4)</f>
        <v>0</v>
      </c>
      <c r="S110" s="112" t="str">
        <f>IF(OR(B110=0,B110="",G110="hardware",R110=0),"",IF(AF110&lt;&gt;"exclusion",MAX(S$9,-(SUMIFS(SF_Output!$T$1:$T$400,SF_Output!$AC$1:$AC$400,_xlfn.TEXTJOIN(",",TRUE,$B110:$E110),SF_Output!$Q$1:$Q$400,"yearly"))/R110),-((SUMIFS(SF_Output!$T$1:$T$400,SF_Output!$AC$1:$AC$400,_xlfn.TEXTJOIN(",",TRUE,$B110:$E110),SF_Output!$Q$1:$Q$400,"yearly")/R110))))</f>
        <v/>
      </c>
      <c r="T110" s="6">
        <f t="shared" si="20"/>
        <v>0</v>
      </c>
      <c r="V110" s="6" cm="1">
        <f t="array" ref="V110">_xlfn.IFS(B110="","",AND(B110&lt;&gt;"",H110=SF_Output!$Y$2,SUMIFS(SF_Output!$T$1:$T$400,SF_Output!$AC$1:$AC$400,_xlfn.TEXTJOIN(",",TRUE,B110:E110),SF_Output!$Q$1:$Q$400,"monthly")=0),(SUMIFS(SF_Output!$F$1:$F$400,SF_Output!$AC$1:$AC$400,_xlfn.TEXTJOIN(",",TRUE,B110:E110),SF_Output!$Q$1:$Q$400,"monthly")+SUMIFS(SF_Output!$G$1:$G$400,SF_Output!$AC$1:$AC$400,_xlfn.TEXTJOIN(",",TRUE,B110:E110),SF_Output!$Q$1:$Q$400,"monthly"))*H110,AND(B110&lt;&gt;"",H110=SF_Output!$Y$2,SUMIFS(SF_Output!$T$1:$T$400,SF_Output!$AC$1:$AC$400,_xlfn.TEXTJOIN(",",TRUE,B110:E110),SF_Output!$Q$1:$Q$400,"monthly")&lt;&gt;0),SUMIFS(SF_Output!$S$1:$S$400,SF_Output!$AC$1:$AC$400,_xlfn.TEXTJOIN(",",TRUE,B110:E110),SF_Output!$Q$1:$Q$400,"monthly"),AND(B110&lt;&gt;"",H110&lt;&gt;SF_Output!$Y$2),SUMIFS(SF_Output!$S$1:$S$400,SF_Output!$AC$1:$AC$400,_xlfn.TEXTJOIN(",",TRUE,B110:E110),SF_Output!$Q$1:$Q$400,"monthly"))</f>
        <v>0</v>
      </c>
      <c r="W110" s="112" t="str" cm="1">
        <f t="array" ref="W110">_xlfn.IFS(OR(B110=0,B110="",V110=0),"",AF110&lt;&gt;"exclusion",MAX($W$9,$W$7,(-(SUMIFS(SF_Output!$T$1:$T$400,SF_Output!$AC$1:$AC$400,_xlfn.TEXTJOIN(",",TRUE,$B110:$E110),SF_Output!$Q$1:$Q$400,"monthly"))/V110)),AF110="exclusion",-(SUMIFS(SF_Output!$T$1:$T$400,SF_Output!$AC$1:$AC$400,_xlfn.TEXTJOIN(",",TRUE,$B110:$E110),SF_Output!$Q$1:$Q$400,"monthly"))/V110)</f>
        <v/>
      </c>
      <c r="X110" s="6" cm="1">
        <f t="array" ref="X110">IFERROR(_xlfn.IFS(V110=0,0,V110="","",W110=0,V110,OR(V110&lt;&gt;0,V110&lt;&gt;""),H110*I110),V110*(1-W110))</f>
        <v>0</v>
      </c>
      <c r="Z110" s="6">
        <f>IFERROR(IF(B110="","",SUMIFS(Billing_Fallout!H:H,Billing_Fallout!N:N,B110)),0)</f>
        <v>0</v>
      </c>
      <c r="AA110" s="6">
        <f t="shared" si="21"/>
        <v>0</v>
      </c>
      <c r="AB110" s="6">
        <f>IFERROR(IF(B110="","",SUMIFS(Billing_Fallout!J:J,Billing_Fallout!N:N,B110)),0)</f>
        <v>0</v>
      </c>
      <c r="AD110" s="6">
        <f t="shared" si="22"/>
        <v>0</v>
      </c>
      <c r="AF110" t="str">
        <f>IFERROR(INDEX(H_Tables!$B$1:$B$1500,MATCH(INDEX(SF_Output!$J$1:$J$400,MATCH(B110,SF_Output!$M$1:$M$400,0)),H_Tables!$A$1:$A$1500,0)),"")</f>
        <v>Exclusion</v>
      </c>
      <c r="AI110" s="119" t="str">
        <f t="shared" si="23"/>
        <v/>
      </c>
      <c r="AJ110" s="121">
        <f>IFERROR(INDEX(SF_Output!AD:AD,MATCH(_xlfn.TEXTJOIN(",",TRUE,B110:E110),SF_Output!AC1:AC400,0)),0.05)</f>
        <v>185</v>
      </c>
      <c r="AK110" t="str">
        <f>IF(SUMIFS(SF_Output!$F$1:$F$400,SF_Output!$AC$1:$AC$400,_xlfn.TEXTJOIN(",",TRUE,B110:E110))+SUMIFS(SF_Output!$G$1:$G$400,SF_Output!$AC$1:$AC$400,_xlfn.TEXTJOIN(",",TRUE,B110:E110))=0,"","PAP")</f>
        <v/>
      </c>
      <c r="AQ110" s="35"/>
      <c r="AR110" s="35" t="str" cm="1">
        <f t="array" ref="AR110">IFERROR(_xlfn.IFS(AND(E110*1=1,F110="Included"),"Change to Included",AND(E110*1=0,F110="Optional"),"Change to Optional",OR(B110="",F110="replaced"),""),"")</f>
        <v/>
      </c>
      <c r="AS110" s="35" t="str">
        <f t="shared" si="24"/>
        <v/>
      </c>
      <c r="AT110" s="35" t="str">
        <f t="shared" si="25"/>
        <v/>
      </c>
      <c r="AU110" s="35" t="str">
        <f t="shared" si="26"/>
        <v/>
      </c>
      <c r="AV110" s="35" t="str">
        <f t="shared" si="27"/>
        <v/>
      </c>
      <c r="AW110" s="35" t="str">
        <f t="shared" si="28"/>
        <v/>
      </c>
      <c r="AX110" s="35" t="str">
        <f t="shared" si="29"/>
        <v/>
      </c>
      <c r="AY110" s="35" t="str">
        <f t="shared" si="30"/>
        <v/>
      </c>
      <c r="AZ110" s="35" t="str">
        <f t="shared" si="31"/>
        <v/>
      </c>
      <c r="BA110" s="35" t="str">
        <f t="shared" si="32"/>
        <v/>
      </c>
      <c r="BB110" s="35" t="str">
        <f t="shared" si="33"/>
        <v/>
      </c>
      <c r="BC110" s="35"/>
      <c r="BE110" s="35">
        <f ca="1">INDEX(SF_Output!$AA$2:$AA$400,MATCH($B110,SF_Output!$M$2:$M$400,0))</f>
        <v>6</v>
      </c>
      <c r="BF110" s="35">
        <f ca="1">INDEX(SF_Output!$AB$2:$AB$400,MATCH($B110,SF_Output!$M$2:$M$400,0))</f>
        <v>1</v>
      </c>
    </row>
    <row r="111" spans="2:58" x14ac:dyDescent="0.25">
      <c r="B111" t="s">
        <v>2377</v>
      </c>
      <c r="C111" t="s">
        <v>2122</v>
      </c>
      <c r="D111" t="s">
        <v>2207</v>
      </c>
      <c r="E111" t="s">
        <v>2124</v>
      </c>
      <c r="F111" s="116" t="str">
        <f t="shared" si="17"/>
        <v>Included</v>
      </c>
      <c r="G111" t="str">
        <f>IF(B111="","",INDEX(SF_Output!$K$1:$K$400,MATCH(B111,SF_Output!$M$1:$M$400,0)))</f>
        <v>Card Processing Solutions (CPS)</v>
      </c>
      <c r="H111" cm="1">
        <f t="array" ref="H111">_xlfn.IFS(B111="","",(SUMIFS(SF_Output!$F$1:$F$400,SF_Output!$AC$1:$AC$400,_xlfn.TEXTJOIN(",",TRUE,B111:E111))+SUMIFS(SF_Output!$G$1:$G$400,SF_Output!$AC$1:$AC$400,_xlfn.TEXTJOIN(",",TRUE,B111:E111)))&lt;&gt;0,SF_Output!$Y$2,INDEX(SF_Output!$F$1:$F$400,MATCH(_xlfn.TEXTJOIN(",",TRUE,B111:E111),SF_Output!$AC$1:$AC$400,0))=0,INDEX(SF_Output!$R$1:$R$400,MATCH(_xlfn.TEXTJOIN(",",TRUE,B111:E111),SF_Output!$AC$1:$AC$400,0)))</f>
        <v>1</v>
      </c>
      <c r="I111" s="125" t="str">
        <f>IFERROR(IF(AND(H111&gt;1,H111&lt;&gt;""),ROUND(SUMIFS(SF_Output!$S$1:$S$400,SF_Output!$AC$1:$AC$400,_xlfn.TEXTJOIN(",",TRUE,B111:E111),SF_Output!$Q$1:$Q$400,"monthly")*(1-W111)/H111,4),""),"")</f>
        <v/>
      </c>
      <c r="J111" s="6">
        <f>IF(B111="","",SUMIFS(SF_Output!$S$1:$S$400,SF_Output!$AC$1:$AC$400,_xlfn.TEXTJOIN(",",TRUE,B111:E111),SF_Output!$Q$1:$Q$400,"One Time",SF_Output!$L$1:$L$400,"license fee")+SUMIFS(SF_Output!$S$1:$S$400,SF_Output!$AC$1:$AC$400,_xlfn.TEXTJOIN(",",TRUE,B111:E111),SF_Output!$Q$1:$Q$400,"One Time",SF_Output!$L$1:$L$400,"software license")+SUMIFS(SF_Output!$S$1:$S$400,SF_Output!$AC$1:$AC$400,_xlfn.TEXTJOIN(",",TRUE,B111:E111),SF_Output!$Q$1:$Q$400,"One Time",SF_Output!$L$1:$L$400,"hardware"))</f>
        <v>0</v>
      </c>
      <c r="K111" s="112" t="str">
        <f>IF(OR(B111=0,B111="",G111="hardware",J111=0),"",IF(AF111&lt;&gt;"exclusion",MAX(K$9,-((SUMIFS(SF_Output!$T$1:$T$400,SF_Output!$AC$1:$AC$400,_xlfn.TEXTJOIN(",",TRUE,$B111:$E111),SF_Output!$Q$1:$Q$400,"One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license"))/J111)))</f>
        <v/>
      </c>
      <c r="L111" s="6">
        <f t="shared" si="18"/>
        <v>0</v>
      </c>
      <c r="N111" s="6">
        <f>IF(B111="","",SUMIFS(SF_Output!$S$1:$S$400,SF_Output!$AC$1:$AC$400,_xlfn.TEXTJOIN(",",TRUE,B111:E111),SF_Output!$Q$1:$Q$400,"One Time",SF_Output!$L$1:$L$400,"professional service"))</f>
        <v>0</v>
      </c>
      <c r="O111" s="112" t="str">
        <f>IF(OR(B111=0,B111="",N111=0),"",IF(AF111&lt;&gt;"exclusion",MAX(O$9,-(SUMIFS(SF_Output!$T$1:$T$400,SF_Output!$AC$1:$AC$400,_xlfn.TEXTJOIN(",",TRUE,$B111:$E111),SF_Output!$Q$1:$Q$400,"One Time",SF_Output!$L$1:$L$400,"professional service"))/N111),-((SUMIFS(SF_Output!$T$1:$T$400,SF_Output!$AC$1:$AC$400,_xlfn.TEXTJOIN(",",TRUE,$B111:$E111),SF_Output!$Q$1:$Q$400,"One Time",SF_Output!$L$1:$L$400,"professional service")/N111))))</f>
        <v/>
      </c>
      <c r="P111" s="6">
        <f t="shared" si="19"/>
        <v>0</v>
      </c>
      <c r="R111" s="6">
        <f>IF(B111="","",SUMIFS(SF_Output!$S$1:$S$400,SF_Output!$AC$1:$AC$400,_xlfn.TEXTJOIN(",",TRUE,B111:E111),SF_Output!$Q$1:$Q$400,"yearly")+SUMIFS(SF_Output!$S$1:$S$400,SF_Output!$AC$1:$AC$400,_xlfn.TEXTJOIN(",",TRUE,B111:E111),SF_Output!$Q$1:$Q$400,"quarterly")*4)</f>
        <v>0</v>
      </c>
      <c r="S111" s="112" t="str">
        <f>IF(OR(B111=0,B111="",G111="hardware",R111=0),"",IF(AF111&lt;&gt;"exclusion",MAX(S$9,-(SUMIFS(SF_Output!$T$1:$T$400,SF_Output!$AC$1:$AC$400,_xlfn.TEXTJOIN(",",TRUE,$B111:$E111),SF_Output!$Q$1:$Q$400,"yearly"))/R111),-((SUMIFS(SF_Output!$T$1:$T$400,SF_Output!$AC$1:$AC$400,_xlfn.TEXTJOIN(",",TRUE,$B111:$E111),SF_Output!$Q$1:$Q$400,"yearly")/R111))))</f>
        <v/>
      </c>
      <c r="T111" s="6">
        <f t="shared" si="20"/>
        <v>0</v>
      </c>
      <c r="V111" s="6" cm="1">
        <f t="array" ref="V111">_xlfn.IFS(B111="","",AND(B111&lt;&gt;"",H111=SF_Output!$Y$2,SUMIFS(SF_Output!$T$1:$T$400,SF_Output!$AC$1:$AC$400,_xlfn.TEXTJOIN(",",TRUE,B111:E111),SF_Output!$Q$1:$Q$400,"monthly")=0),(SUMIFS(SF_Output!$F$1:$F$400,SF_Output!$AC$1:$AC$400,_xlfn.TEXTJOIN(",",TRUE,B111:E111),SF_Output!$Q$1:$Q$400,"monthly")+SUMIFS(SF_Output!$G$1:$G$400,SF_Output!$AC$1:$AC$400,_xlfn.TEXTJOIN(",",TRUE,B111:E111),SF_Output!$Q$1:$Q$400,"monthly"))*H111,AND(B111&lt;&gt;"",H111=SF_Output!$Y$2,SUMIFS(SF_Output!$T$1:$T$400,SF_Output!$AC$1:$AC$400,_xlfn.TEXTJOIN(",",TRUE,B111:E111),SF_Output!$Q$1:$Q$400,"monthly")&lt;&gt;0),SUMIFS(SF_Output!$S$1:$S$400,SF_Output!$AC$1:$AC$400,_xlfn.TEXTJOIN(",",TRUE,B111:E111),SF_Output!$Q$1:$Q$400,"monthly"),AND(B111&lt;&gt;"",H111&lt;&gt;SF_Output!$Y$2),SUMIFS(SF_Output!$S$1:$S$400,SF_Output!$AC$1:$AC$400,_xlfn.TEXTJOIN(",",TRUE,B111:E111),SF_Output!$Q$1:$Q$400,"monthly"))</f>
        <v>350</v>
      </c>
      <c r="W111" s="112" cm="1">
        <f t="array" ref="W111">_xlfn.IFS(OR(B111=0,B111="",V111=0),"",AF111&lt;&gt;"exclusion",MAX($W$9,$W$7,(-(SUMIFS(SF_Output!$T$1:$T$400,SF_Output!$AC$1:$AC$400,_xlfn.TEXTJOIN(",",TRUE,$B111:$E111),SF_Output!$Q$1:$Q$400,"monthly"))/V111)),AF111="exclusion",-(SUMIFS(SF_Output!$T$1:$T$400,SF_Output!$AC$1:$AC$400,_xlfn.TEXTJOIN(",",TRUE,$B111:$E111),SF_Output!$Q$1:$Q$400,"monthly"))/V111)</f>
        <v>0</v>
      </c>
      <c r="X111" s="6" cm="1">
        <f t="array" ref="X111">IFERROR(_xlfn.IFS(V111=0,0,V111="","",W111=0,V111,OR(V111&lt;&gt;0,V111&lt;&gt;""),H111*I111),V111*(1-W111))</f>
        <v>350</v>
      </c>
      <c r="Z111" s="6">
        <f>IFERROR(IF(B111="","",SUMIFS(Billing_Fallout!H:H,Billing_Fallout!N:N,B111)),0)</f>
        <v>0</v>
      </c>
      <c r="AA111" s="6">
        <f t="shared" si="21"/>
        <v>0</v>
      </c>
      <c r="AB111" s="6">
        <f>IFERROR(IF(B111="","",SUMIFS(Billing_Fallout!J:J,Billing_Fallout!N:N,B111)),0)</f>
        <v>0</v>
      </c>
      <c r="AD111" s="6">
        <f t="shared" si="22"/>
        <v>350</v>
      </c>
      <c r="AF111" t="str">
        <f>IFERROR(INDEX(H_Tables!$B$1:$B$1500,MATCH(INDEX(SF_Output!$J$1:$J$400,MATCH(B111,SF_Output!$M$1:$M$400,0)),H_Tables!$A$1:$A$1500,0)),"")</f>
        <v>Exclusion</v>
      </c>
      <c r="AI111" s="119" t="str">
        <f t="shared" si="23"/>
        <v/>
      </c>
      <c r="AJ111" s="121">
        <f>IFERROR(INDEX(SF_Output!AD:AD,MATCH(_xlfn.TEXTJOIN(",",TRUE,B111:E111),SF_Output!AC1:AC400,0)),0.05)</f>
        <v>186</v>
      </c>
      <c r="AK111" t="str">
        <f>IF(SUMIFS(SF_Output!$F$1:$F$400,SF_Output!$AC$1:$AC$400,_xlfn.TEXTJOIN(",",TRUE,B111:E111))+SUMIFS(SF_Output!$G$1:$G$400,SF_Output!$AC$1:$AC$400,_xlfn.TEXTJOIN(",",TRUE,B111:E111))=0,"","PAP")</f>
        <v/>
      </c>
      <c r="AQ111" s="35"/>
      <c r="AR111" s="35" t="str" cm="1">
        <f t="array" ref="AR111">IFERROR(_xlfn.IFS(AND(E111*1=1,F111="Included"),"Change to Included",AND(E111*1=0,F111="Optional"),"Change to Optional",OR(B111="",F111="replaced"),""),"")</f>
        <v/>
      </c>
      <c r="AS111" s="35" t="str">
        <f t="shared" si="24"/>
        <v/>
      </c>
      <c r="AT111" s="35" t="str">
        <f t="shared" si="25"/>
        <v/>
      </c>
      <c r="AU111" s="35" t="str">
        <f t="shared" si="26"/>
        <v/>
      </c>
      <c r="AV111" s="35" t="str">
        <f t="shared" si="27"/>
        <v/>
      </c>
      <c r="AW111" s="35" t="str">
        <f t="shared" si="28"/>
        <v/>
      </c>
      <c r="AX111" s="35" t="str">
        <f t="shared" si="29"/>
        <v/>
      </c>
      <c r="AY111" s="35" t="str">
        <f t="shared" si="30"/>
        <v/>
      </c>
      <c r="AZ111" s="35" t="str">
        <f t="shared" si="31"/>
        <v/>
      </c>
      <c r="BA111" s="35" t="str">
        <f t="shared" si="32"/>
        <v/>
      </c>
      <c r="BB111" s="35" t="str">
        <f t="shared" si="33"/>
        <v/>
      </c>
      <c r="BC111" s="35"/>
      <c r="BE111" s="35">
        <f ca="1">INDEX(SF_Output!$AA$2:$AA$400,MATCH($B111,SF_Output!$M$2:$M$400,0))</f>
        <v>6</v>
      </c>
      <c r="BF111" s="35">
        <f ca="1">INDEX(SF_Output!$AB$2:$AB$400,MATCH($B111,SF_Output!$M$2:$M$400,0))</f>
        <v>1</v>
      </c>
    </row>
    <row r="112" spans="2:58" x14ac:dyDescent="0.25">
      <c r="B112" t="s">
        <v>2379</v>
      </c>
      <c r="C112" t="s">
        <v>2122</v>
      </c>
      <c r="D112" t="s">
        <v>2207</v>
      </c>
      <c r="E112" t="s">
        <v>2124</v>
      </c>
      <c r="F112" s="116" t="str">
        <f t="shared" si="17"/>
        <v>Included</v>
      </c>
      <c r="G112" t="str">
        <f>IF(B112="","",INDEX(SF_Output!$K$1:$K$400,MATCH(B112,SF_Output!$M$1:$M$400,0)))</f>
        <v>Card Processing Solutions (CPS)</v>
      </c>
      <c r="H112" cm="1">
        <f t="array" ref="H112">_xlfn.IFS(B112="","",(SUMIFS(SF_Output!$F$1:$F$400,SF_Output!$AC$1:$AC$400,_xlfn.TEXTJOIN(",",TRUE,B112:E112))+SUMIFS(SF_Output!$G$1:$G$400,SF_Output!$AC$1:$AC$400,_xlfn.TEXTJOIN(",",TRUE,B112:E112)))&lt;&gt;0,SF_Output!$Y$2,INDEX(SF_Output!$F$1:$F$400,MATCH(_xlfn.TEXTJOIN(",",TRUE,B112:E112),SF_Output!$AC$1:$AC$400,0))=0,INDEX(SF_Output!$R$1:$R$400,MATCH(_xlfn.TEXTJOIN(",",TRUE,B112:E112),SF_Output!$AC$1:$AC$400,0)))</f>
        <v>1</v>
      </c>
      <c r="I112" s="125" t="str">
        <f>IFERROR(IF(AND(H112&gt;1,H112&lt;&gt;""),ROUND(SUMIFS(SF_Output!$S$1:$S$400,SF_Output!$AC$1:$AC$400,_xlfn.TEXTJOIN(",",TRUE,B112:E112),SF_Output!$Q$1:$Q$400,"monthly")*(1-W112)/H112,4),""),"")</f>
        <v/>
      </c>
      <c r="J112" s="6">
        <f>IF(B112="","",SUMIFS(SF_Output!$S$1:$S$400,SF_Output!$AC$1:$AC$400,_xlfn.TEXTJOIN(",",TRUE,B112:E112),SF_Output!$Q$1:$Q$400,"One Time",SF_Output!$L$1:$L$400,"license fee")+SUMIFS(SF_Output!$S$1:$S$400,SF_Output!$AC$1:$AC$400,_xlfn.TEXTJOIN(",",TRUE,B112:E112),SF_Output!$Q$1:$Q$400,"One Time",SF_Output!$L$1:$L$400,"software license")+SUMIFS(SF_Output!$S$1:$S$400,SF_Output!$AC$1:$AC$400,_xlfn.TEXTJOIN(",",TRUE,B112:E112),SF_Output!$Q$1:$Q$400,"One Time",SF_Output!$L$1:$L$400,"hardware"))</f>
        <v>0</v>
      </c>
      <c r="K112" s="112" t="str">
        <f>IF(OR(B112=0,B112="",G112="hardware",J112=0),"",IF(AF112&lt;&gt;"exclusion",MAX(K$9,-((SUMIFS(SF_Output!$T$1:$T$400,SF_Output!$AC$1:$AC$400,_xlfn.TEXTJOIN(",",TRUE,$B112:$E112),SF_Output!$Q$1:$Q$400,"One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license"))/J112)))</f>
        <v/>
      </c>
      <c r="L112" s="6">
        <f t="shared" si="18"/>
        <v>0</v>
      </c>
      <c r="N112" s="6">
        <f>IF(B112="","",SUMIFS(SF_Output!$S$1:$S$400,SF_Output!$AC$1:$AC$400,_xlfn.TEXTJOIN(",",TRUE,B112:E112),SF_Output!$Q$1:$Q$400,"One Time",SF_Output!$L$1:$L$400,"professional service"))</f>
        <v>1500</v>
      </c>
      <c r="O112" s="112">
        <f>IF(OR(B112=0,B112="",N112=0),"",IF(AF112&lt;&gt;"exclusion",MAX(O$9,-(SUMIFS(SF_Output!$T$1:$T$400,SF_Output!$AC$1:$AC$400,_xlfn.TEXTJOIN(",",TRUE,$B112:$E112),SF_Output!$Q$1:$Q$400,"One Time",SF_Output!$L$1:$L$400,"professional service"))/N112),-((SUMIFS(SF_Output!$T$1:$T$400,SF_Output!$AC$1:$AC$400,_xlfn.TEXTJOIN(",",TRUE,$B112:$E112),SF_Output!$Q$1:$Q$400,"One Time",SF_Output!$L$1:$L$400,"professional service")/N112))))</f>
        <v>1</v>
      </c>
      <c r="P112" s="6">
        <f t="shared" si="19"/>
        <v>0</v>
      </c>
      <c r="R112" s="6">
        <f>IF(B112="","",SUMIFS(SF_Output!$S$1:$S$400,SF_Output!$AC$1:$AC$400,_xlfn.TEXTJOIN(",",TRUE,B112:E112),SF_Output!$Q$1:$Q$400,"yearly")+SUMIFS(SF_Output!$S$1:$S$400,SF_Output!$AC$1:$AC$400,_xlfn.TEXTJOIN(",",TRUE,B112:E112),SF_Output!$Q$1:$Q$400,"quarterly")*4)</f>
        <v>0</v>
      </c>
      <c r="S112" s="112" t="str">
        <f>IF(OR(B112=0,B112="",G112="hardware",R112=0),"",IF(AF112&lt;&gt;"exclusion",MAX(S$9,-(SUMIFS(SF_Output!$T$1:$T$400,SF_Output!$AC$1:$AC$400,_xlfn.TEXTJOIN(",",TRUE,$B112:$E112),SF_Output!$Q$1:$Q$400,"yearly"))/R112),-((SUMIFS(SF_Output!$T$1:$T$400,SF_Output!$AC$1:$AC$400,_xlfn.TEXTJOIN(",",TRUE,$B112:$E112),SF_Output!$Q$1:$Q$400,"yearly")/R112))))</f>
        <v/>
      </c>
      <c r="T112" s="6">
        <f t="shared" si="20"/>
        <v>0</v>
      </c>
      <c r="V112" s="6" cm="1">
        <f t="array" ref="V112">_xlfn.IFS(B112="","",AND(B112&lt;&gt;"",H112=SF_Output!$Y$2,SUMIFS(SF_Output!$T$1:$T$400,SF_Output!$AC$1:$AC$400,_xlfn.TEXTJOIN(",",TRUE,B112:E112),SF_Output!$Q$1:$Q$400,"monthly")=0),(SUMIFS(SF_Output!$F$1:$F$400,SF_Output!$AC$1:$AC$400,_xlfn.TEXTJOIN(",",TRUE,B112:E112),SF_Output!$Q$1:$Q$400,"monthly")+SUMIFS(SF_Output!$G$1:$G$400,SF_Output!$AC$1:$AC$400,_xlfn.TEXTJOIN(",",TRUE,B112:E112),SF_Output!$Q$1:$Q$400,"monthly"))*H112,AND(B112&lt;&gt;"",H112=SF_Output!$Y$2,SUMIFS(SF_Output!$T$1:$T$400,SF_Output!$AC$1:$AC$400,_xlfn.TEXTJOIN(",",TRUE,B112:E112),SF_Output!$Q$1:$Q$400,"monthly")&lt;&gt;0),SUMIFS(SF_Output!$S$1:$S$400,SF_Output!$AC$1:$AC$400,_xlfn.TEXTJOIN(",",TRUE,B112:E112),SF_Output!$Q$1:$Q$400,"monthly"),AND(B112&lt;&gt;"",H112&lt;&gt;SF_Output!$Y$2),SUMIFS(SF_Output!$S$1:$S$400,SF_Output!$AC$1:$AC$400,_xlfn.TEXTJOIN(",",TRUE,B112:E112),SF_Output!$Q$1:$Q$400,"monthly"))</f>
        <v>350</v>
      </c>
      <c r="W112" s="112" cm="1">
        <f t="array" ref="W112">_xlfn.IFS(OR(B112=0,B112="",V112=0),"",AF112&lt;&gt;"exclusion",MAX($W$9,$W$7,(-(SUMIFS(SF_Output!$T$1:$T$400,SF_Output!$AC$1:$AC$400,_xlfn.TEXTJOIN(",",TRUE,$B112:$E112),SF_Output!$Q$1:$Q$400,"monthly"))/V112)),AF112="exclusion",-(SUMIFS(SF_Output!$T$1:$T$400,SF_Output!$AC$1:$AC$400,_xlfn.TEXTJOIN(",",TRUE,$B112:$E112),SF_Output!$Q$1:$Q$400,"monthly"))/V112)</f>
        <v>0</v>
      </c>
      <c r="X112" s="6" cm="1">
        <f t="array" ref="X112">IFERROR(_xlfn.IFS(V112=0,0,V112="","",W112=0,V112,OR(V112&lt;&gt;0,V112&lt;&gt;""),H112*I112),V112*(1-W112))</f>
        <v>350</v>
      </c>
      <c r="Z112" s="6">
        <f>IFERROR(IF(B112="","",SUMIFS(Billing_Fallout!H:H,Billing_Fallout!N:N,B112)),0)</f>
        <v>0</v>
      </c>
      <c r="AA112" s="6">
        <f t="shared" si="21"/>
        <v>0</v>
      </c>
      <c r="AB112" s="6">
        <f>IFERROR(IF(B112="","",SUMIFS(Billing_Fallout!J:J,Billing_Fallout!N:N,B112)),0)</f>
        <v>0</v>
      </c>
      <c r="AD112" s="6">
        <f t="shared" si="22"/>
        <v>350</v>
      </c>
      <c r="AF112" t="str">
        <f>IFERROR(INDEX(H_Tables!$B$1:$B$1500,MATCH(INDEX(SF_Output!$J$1:$J$400,MATCH(B112,SF_Output!$M$1:$M$400,0)),H_Tables!$A$1:$A$1500,0)),"")</f>
        <v>Exclusion</v>
      </c>
      <c r="AI112" s="119" t="str">
        <f t="shared" si="23"/>
        <v/>
      </c>
      <c r="AJ112" s="121">
        <f>IFERROR(INDEX(SF_Output!AD:AD,MATCH(_xlfn.TEXTJOIN(",",TRUE,B112:E112),SF_Output!AC1:AC400,0)),0.05)</f>
        <v>187</v>
      </c>
      <c r="AK112" t="str">
        <f>IF(SUMIFS(SF_Output!$F$1:$F$400,SF_Output!$AC$1:$AC$400,_xlfn.TEXTJOIN(",",TRUE,B112:E112))+SUMIFS(SF_Output!$G$1:$G$400,SF_Output!$AC$1:$AC$400,_xlfn.TEXTJOIN(",",TRUE,B112:E112))=0,"","PAP")</f>
        <v/>
      </c>
      <c r="AQ112" s="35"/>
      <c r="AR112" s="35" t="str" cm="1">
        <f t="array" ref="AR112">IFERROR(_xlfn.IFS(AND(E112*1=1,F112="Included"),"Change to Included",AND(E112*1=0,F112="Optional"),"Change to Optional",OR(B112="",F112="replaced"),""),"")</f>
        <v/>
      </c>
      <c r="AS112" s="35" t="str">
        <f t="shared" si="24"/>
        <v/>
      </c>
      <c r="AT112" s="35" t="str">
        <f t="shared" si="25"/>
        <v/>
      </c>
      <c r="AU112" s="35" t="str">
        <f t="shared" si="26"/>
        <v/>
      </c>
      <c r="AV112" s="35" t="str">
        <f t="shared" si="27"/>
        <v/>
      </c>
      <c r="AW112" s="35" t="str">
        <f t="shared" si="28"/>
        <v/>
      </c>
      <c r="AX112" s="35" t="str">
        <f t="shared" si="29"/>
        <v/>
      </c>
      <c r="AY112" s="35" t="str">
        <f t="shared" si="30"/>
        <v/>
      </c>
      <c r="AZ112" s="35" t="str">
        <f t="shared" si="31"/>
        <v/>
      </c>
      <c r="BA112" s="35" t="str">
        <f t="shared" si="32"/>
        <v/>
      </c>
      <c r="BB112" s="35" t="str">
        <f t="shared" si="33"/>
        <v/>
      </c>
      <c r="BC112" s="35"/>
      <c r="BE112" s="35">
        <f ca="1">INDEX(SF_Output!$AA$2:$AA$400,MATCH($B112,SF_Output!$M$2:$M$400,0))</f>
        <v>6</v>
      </c>
      <c r="BF112" s="35">
        <f ca="1">INDEX(SF_Output!$AB$2:$AB$400,MATCH($B112,SF_Output!$M$2:$M$400,0))</f>
        <v>1</v>
      </c>
    </row>
    <row r="113" spans="2:58" x14ac:dyDescent="0.25">
      <c r="B113" t="s">
        <v>2382</v>
      </c>
      <c r="C113" t="s">
        <v>2122</v>
      </c>
      <c r="D113" t="s">
        <v>2207</v>
      </c>
      <c r="E113" t="s">
        <v>2124</v>
      </c>
      <c r="F113" s="116" t="str">
        <f t="shared" si="17"/>
        <v>Included</v>
      </c>
      <c r="G113" t="str">
        <f>IF(B113="","",INDEX(SF_Output!$K$1:$K$400,MATCH(B113,SF_Output!$M$1:$M$400,0)))</f>
        <v>Card Processing Solutions (CPS)</v>
      </c>
      <c r="H113" cm="1">
        <f t="array" ref="H113">_xlfn.IFS(B113="","",(SUMIFS(SF_Output!$F$1:$F$400,SF_Output!$AC$1:$AC$400,_xlfn.TEXTJOIN(",",TRUE,B113:E113))+SUMIFS(SF_Output!$G$1:$G$400,SF_Output!$AC$1:$AC$400,_xlfn.TEXTJOIN(",",TRUE,B113:E113)))&lt;&gt;0,SF_Output!$Y$2,INDEX(SF_Output!$F$1:$F$400,MATCH(_xlfn.TEXTJOIN(",",TRUE,B113:E113),SF_Output!$AC$1:$AC$400,0))=0,INDEX(SF_Output!$R$1:$R$400,MATCH(_xlfn.TEXTJOIN(",",TRUE,B113:E113),SF_Output!$AC$1:$AC$400,0)))</f>
        <v>1</v>
      </c>
      <c r="I113" s="125" t="str">
        <f>IFERROR(IF(AND(H113&gt;1,H113&lt;&gt;""),ROUND(SUMIFS(SF_Output!$S$1:$S$400,SF_Output!$AC$1:$AC$400,_xlfn.TEXTJOIN(",",TRUE,B113:E113),SF_Output!$Q$1:$Q$400,"monthly")*(1-W113)/H113,4),""),"")</f>
        <v/>
      </c>
      <c r="J113" s="6">
        <f>IF(B113="","",SUMIFS(SF_Output!$S$1:$S$400,SF_Output!$AC$1:$AC$400,_xlfn.TEXTJOIN(",",TRUE,B113:E113),SF_Output!$Q$1:$Q$400,"One Time",SF_Output!$L$1:$L$400,"license fee")+SUMIFS(SF_Output!$S$1:$S$400,SF_Output!$AC$1:$AC$400,_xlfn.TEXTJOIN(",",TRUE,B113:E113),SF_Output!$Q$1:$Q$400,"One Time",SF_Output!$L$1:$L$400,"software license")+SUMIFS(SF_Output!$S$1:$S$400,SF_Output!$AC$1:$AC$400,_xlfn.TEXTJOIN(",",TRUE,B113:E113),SF_Output!$Q$1:$Q$400,"One Time",SF_Output!$L$1:$L$400,"hardware"))</f>
        <v>0</v>
      </c>
      <c r="K113" s="112" t="str">
        <f>IF(OR(B113=0,B113="",G113="hardware",J113=0),"",IF(AF113&lt;&gt;"exclusion",MAX(K$9,-((SUMIFS(SF_Output!$T$1:$T$400,SF_Output!$AC$1:$AC$400,_xlfn.TEXTJOIN(",",TRUE,$B113:$E113),SF_Output!$Q$1:$Q$400,"One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license"))/J113)))</f>
        <v/>
      </c>
      <c r="L113" s="6">
        <f t="shared" si="18"/>
        <v>0</v>
      </c>
      <c r="N113" s="6">
        <f>IF(B113="","",SUMIFS(SF_Output!$S$1:$S$400,SF_Output!$AC$1:$AC$400,_xlfn.TEXTJOIN(",",TRUE,B113:E113),SF_Output!$Q$1:$Q$400,"One Time",SF_Output!$L$1:$L$400,"professional service"))</f>
        <v>0</v>
      </c>
      <c r="O113" s="112" t="str">
        <f>IF(OR(B113=0,B113="",N113=0),"",IF(AF113&lt;&gt;"exclusion",MAX(O$9,-(SUMIFS(SF_Output!$T$1:$T$400,SF_Output!$AC$1:$AC$400,_xlfn.TEXTJOIN(",",TRUE,$B113:$E113),SF_Output!$Q$1:$Q$400,"One Time",SF_Output!$L$1:$L$400,"professional service"))/N113),-((SUMIFS(SF_Output!$T$1:$T$400,SF_Output!$AC$1:$AC$400,_xlfn.TEXTJOIN(",",TRUE,$B113:$E113),SF_Output!$Q$1:$Q$400,"One Time",SF_Output!$L$1:$L$400,"professional service")/N113))))</f>
        <v/>
      </c>
      <c r="P113" s="6">
        <f t="shared" si="19"/>
        <v>0</v>
      </c>
      <c r="R113" s="6">
        <f>IF(B113="","",SUMIFS(SF_Output!$S$1:$S$400,SF_Output!$AC$1:$AC$400,_xlfn.TEXTJOIN(",",TRUE,B113:E113),SF_Output!$Q$1:$Q$400,"yearly")+SUMIFS(SF_Output!$S$1:$S$400,SF_Output!$AC$1:$AC$400,_xlfn.TEXTJOIN(",",TRUE,B113:E113),SF_Output!$Q$1:$Q$400,"quarterly")*4)</f>
        <v>0</v>
      </c>
      <c r="S113" s="112" t="str">
        <f>IF(OR(B113=0,B113="",G113="hardware",R113=0),"",IF(AF113&lt;&gt;"exclusion",MAX(S$9,-(SUMIFS(SF_Output!$T$1:$T$400,SF_Output!$AC$1:$AC$400,_xlfn.TEXTJOIN(",",TRUE,$B113:$E113),SF_Output!$Q$1:$Q$400,"yearly"))/R113),-((SUMIFS(SF_Output!$T$1:$T$400,SF_Output!$AC$1:$AC$400,_xlfn.TEXTJOIN(",",TRUE,$B113:$E113),SF_Output!$Q$1:$Q$400,"yearly")/R113))))</f>
        <v/>
      </c>
      <c r="T113" s="6">
        <f t="shared" si="20"/>
        <v>0</v>
      </c>
      <c r="V113" s="6" cm="1">
        <f t="array" ref="V113">_xlfn.IFS(B113="","",AND(B113&lt;&gt;"",H113=SF_Output!$Y$2,SUMIFS(SF_Output!$T$1:$T$400,SF_Output!$AC$1:$AC$400,_xlfn.TEXTJOIN(",",TRUE,B113:E113),SF_Output!$Q$1:$Q$400,"monthly")=0),(SUMIFS(SF_Output!$F$1:$F$400,SF_Output!$AC$1:$AC$400,_xlfn.TEXTJOIN(",",TRUE,B113:E113),SF_Output!$Q$1:$Q$400,"monthly")+SUMIFS(SF_Output!$G$1:$G$400,SF_Output!$AC$1:$AC$400,_xlfn.TEXTJOIN(",",TRUE,B113:E113),SF_Output!$Q$1:$Q$400,"monthly"))*H113,AND(B113&lt;&gt;"",H113=SF_Output!$Y$2,SUMIFS(SF_Output!$T$1:$T$400,SF_Output!$AC$1:$AC$400,_xlfn.TEXTJOIN(",",TRUE,B113:E113),SF_Output!$Q$1:$Q$400,"monthly")&lt;&gt;0),SUMIFS(SF_Output!$S$1:$S$400,SF_Output!$AC$1:$AC$400,_xlfn.TEXTJOIN(",",TRUE,B113:E113),SF_Output!$Q$1:$Q$400,"monthly"),AND(B113&lt;&gt;"",H113&lt;&gt;SF_Output!$Y$2),SUMIFS(SF_Output!$S$1:$S$400,SF_Output!$AC$1:$AC$400,_xlfn.TEXTJOIN(",",TRUE,B113:E113),SF_Output!$Q$1:$Q$400,"monthly"))</f>
        <v>150</v>
      </c>
      <c r="W113" s="112" cm="1">
        <f t="array" ref="W113">_xlfn.IFS(OR(B113=0,B113="",V113=0),"",AF113&lt;&gt;"exclusion",MAX($W$9,$W$7,(-(SUMIFS(SF_Output!$T$1:$T$400,SF_Output!$AC$1:$AC$400,_xlfn.TEXTJOIN(",",TRUE,$B113:$E113),SF_Output!$Q$1:$Q$400,"monthly"))/V113)),AF113="exclusion",-(SUMIFS(SF_Output!$T$1:$T$400,SF_Output!$AC$1:$AC$400,_xlfn.TEXTJOIN(",",TRUE,$B113:$E113),SF_Output!$Q$1:$Q$400,"monthly"))/V113)</f>
        <v>0</v>
      </c>
      <c r="X113" s="6" cm="1">
        <f t="array" ref="X113">IFERROR(_xlfn.IFS(V113=0,0,V113="","",W113=0,V113,OR(V113&lt;&gt;0,V113&lt;&gt;""),H113*I113),V113*(1-W113))</f>
        <v>150</v>
      </c>
      <c r="Z113" s="6">
        <f>IFERROR(IF(B113="","",SUMIFS(Billing_Fallout!H:H,Billing_Fallout!N:N,B113)),0)</f>
        <v>0</v>
      </c>
      <c r="AA113" s="6">
        <f t="shared" si="21"/>
        <v>0</v>
      </c>
      <c r="AB113" s="6">
        <f>IFERROR(IF(B113="","",SUMIFS(Billing_Fallout!J:J,Billing_Fallout!N:N,B113)),0)</f>
        <v>0</v>
      </c>
      <c r="AD113" s="6">
        <f t="shared" si="22"/>
        <v>150</v>
      </c>
      <c r="AF113" t="str">
        <f>IFERROR(INDEX(H_Tables!$B$1:$B$1500,MATCH(INDEX(SF_Output!$J$1:$J$400,MATCH(B113,SF_Output!$M$1:$M$400,0)),H_Tables!$A$1:$A$1500,0)),"")</f>
        <v>Exclusion</v>
      </c>
      <c r="AI113" s="119" t="str">
        <f t="shared" si="23"/>
        <v/>
      </c>
      <c r="AJ113" s="121">
        <f>IFERROR(INDEX(SF_Output!AD:AD,MATCH(_xlfn.TEXTJOIN(",",TRUE,B113:E113),SF_Output!AC1:AC400,0)),0.05)</f>
        <v>189</v>
      </c>
      <c r="AK113" t="str">
        <f>IF(SUMIFS(SF_Output!$F$1:$F$400,SF_Output!$AC$1:$AC$400,_xlfn.TEXTJOIN(",",TRUE,B113:E113))+SUMIFS(SF_Output!$G$1:$G$400,SF_Output!$AC$1:$AC$400,_xlfn.TEXTJOIN(",",TRUE,B113:E113))=0,"","PAP")</f>
        <v/>
      </c>
      <c r="AQ113" s="35"/>
      <c r="AR113" s="35" t="str" cm="1">
        <f t="array" ref="AR113">IFERROR(_xlfn.IFS(AND(E113*1=1,F113="Included"),"Change to Included",AND(E113*1=0,F113="Optional"),"Change to Optional",OR(B113="",F113="replaced"),""),"")</f>
        <v/>
      </c>
      <c r="AS113" s="35" t="str">
        <f t="shared" si="24"/>
        <v/>
      </c>
      <c r="AT113" s="35" t="str">
        <f t="shared" si="25"/>
        <v/>
      </c>
      <c r="AU113" s="35" t="str">
        <f t="shared" si="26"/>
        <v/>
      </c>
      <c r="AV113" s="35" t="str">
        <f t="shared" si="27"/>
        <v/>
      </c>
      <c r="AW113" s="35" t="str">
        <f t="shared" si="28"/>
        <v/>
      </c>
      <c r="AX113" s="35" t="str">
        <f t="shared" si="29"/>
        <v/>
      </c>
      <c r="AY113" s="35" t="str">
        <f t="shared" si="30"/>
        <v/>
      </c>
      <c r="AZ113" s="35" t="str">
        <f t="shared" si="31"/>
        <v/>
      </c>
      <c r="BA113" s="35" t="str">
        <f t="shared" si="32"/>
        <v/>
      </c>
      <c r="BB113" s="35" t="str">
        <f t="shared" si="33"/>
        <v/>
      </c>
      <c r="BC113" s="35"/>
      <c r="BE113" s="35">
        <f ca="1">INDEX(SF_Output!$AA$2:$AA$400,MATCH($B113,SF_Output!$M$2:$M$400,0))</f>
        <v>6</v>
      </c>
      <c r="BF113" s="35">
        <f ca="1">INDEX(SF_Output!$AB$2:$AB$400,MATCH($B113,SF_Output!$M$2:$M$400,0))</f>
        <v>1</v>
      </c>
    </row>
    <row r="114" spans="2:58" x14ac:dyDescent="0.25">
      <c r="B114" t="s">
        <v>2384</v>
      </c>
      <c r="C114" t="s">
        <v>2122</v>
      </c>
      <c r="D114" t="s">
        <v>2207</v>
      </c>
      <c r="E114" t="s">
        <v>2124</v>
      </c>
      <c r="F114" s="116" t="str">
        <f t="shared" si="17"/>
        <v>Included</v>
      </c>
      <c r="G114" t="str">
        <f>IF(B114="","",INDEX(SF_Output!$K$1:$K$400,MATCH(B114,SF_Output!$M$1:$M$400,0)))</f>
        <v>Card Processing Solutions (CPS)</v>
      </c>
      <c r="H114" cm="1">
        <f t="array" ref="H114">_xlfn.IFS(B114="","",(SUMIFS(SF_Output!$F$1:$F$400,SF_Output!$AC$1:$AC$400,_xlfn.TEXTJOIN(",",TRUE,B114:E114))+SUMIFS(SF_Output!$G$1:$G$400,SF_Output!$AC$1:$AC$400,_xlfn.TEXTJOIN(",",TRUE,B114:E114)))&lt;&gt;0,SF_Output!$Y$2,INDEX(SF_Output!$F$1:$F$400,MATCH(_xlfn.TEXTJOIN(",",TRUE,B114:E114),SF_Output!$AC$1:$AC$400,0))=0,INDEX(SF_Output!$R$1:$R$400,MATCH(_xlfn.TEXTJOIN(",",TRUE,B114:E114),SF_Output!$AC$1:$AC$400,0)))</f>
        <v>0</v>
      </c>
      <c r="I114" s="125" t="str">
        <f>IFERROR(IF(AND(H114&gt;1,H114&lt;&gt;""),ROUND(SUMIFS(SF_Output!$S$1:$S$400,SF_Output!$AC$1:$AC$400,_xlfn.TEXTJOIN(",",TRUE,B114:E114),SF_Output!$Q$1:$Q$400,"monthly")*(1-W114)/H114,4),""),"")</f>
        <v/>
      </c>
      <c r="J114" s="6">
        <f>IF(B114="","",SUMIFS(SF_Output!$S$1:$S$400,SF_Output!$AC$1:$AC$400,_xlfn.TEXTJOIN(",",TRUE,B114:E114),SF_Output!$Q$1:$Q$400,"One Time",SF_Output!$L$1:$L$400,"license fee")+SUMIFS(SF_Output!$S$1:$S$400,SF_Output!$AC$1:$AC$400,_xlfn.TEXTJOIN(",",TRUE,B114:E114),SF_Output!$Q$1:$Q$400,"One Time",SF_Output!$L$1:$L$400,"software license")+SUMIFS(SF_Output!$S$1:$S$400,SF_Output!$AC$1:$AC$400,_xlfn.TEXTJOIN(",",TRUE,B114:E114),SF_Output!$Q$1:$Q$400,"One Time",SF_Output!$L$1:$L$400,"hardware"))</f>
        <v>0</v>
      </c>
      <c r="K114" s="112" t="str">
        <f>IF(OR(B114=0,B114="",G114="hardware",J114=0),"",IF(AF114&lt;&gt;"exclusion",MAX(K$9,-((SUMIFS(SF_Output!$T$1:$T$400,SF_Output!$AC$1:$AC$400,_xlfn.TEXTJOIN(",",TRUE,$B114:$E114),SF_Output!$Q$1:$Q$400,"One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license"))/J114)))</f>
        <v/>
      </c>
      <c r="L114" s="6">
        <f t="shared" si="18"/>
        <v>0</v>
      </c>
      <c r="N114" s="6">
        <f>IF(B114="","",SUMIFS(SF_Output!$S$1:$S$400,SF_Output!$AC$1:$AC$400,_xlfn.TEXTJOIN(",",TRUE,B114:E114),SF_Output!$Q$1:$Q$400,"One Time",SF_Output!$L$1:$L$400,"professional service"))</f>
        <v>0</v>
      </c>
      <c r="O114" s="112" t="str">
        <f>IF(OR(B114=0,B114="",N114=0),"",IF(AF114&lt;&gt;"exclusion",MAX(O$9,-(SUMIFS(SF_Output!$T$1:$T$400,SF_Output!$AC$1:$AC$400,_xlfn.TEXTJOIN(",",TRUE,$B114:$E114),SF_Output!$Q$1:$Q$400,"One Time",SF_Output!$L$1:$L$400,"professional service"))/N114),-((SUMIFS(SF_Output!$T$1:$T$400,SF_Output!$AC$1:$AC$400,_xlfn.TEXTJOIN(",",TRUE,$B114:$E114),SF_Output!$Q$1:$Q$400,"One Time",SF_Output!$L$1:$L$400,"professional service")/N114))))</f>
        <v/>
      </c>
      <c r="P114" s="6">
        <f t="shared" si="19"/>
        <v>0</v>
      </c>
      <c r="R114" s="6">
        <f>IF(B114="","",SUMIFS(SF_Output!$S$1:$S$400,SF_Output!$AC$1:$AC$400,_xlfn.TEXTJOIN(",",TRUE,B114:E114),SF_Output!$Q$1:$Q$400,"yearly")+SUMIFS(SF_Output!$S$1:$S$400,SF_Output!$AC$1:$AC$400,_xlfn.TEXTJOIN(",",TRUE,B114:E114),SF_Output!$Q$1:$Q$400,"quarterly")*4)</f>
        <v>0</v>
      </c>
      <c r="S114" s="112" t="str">
        <f>IF(OR(B114=0,B114="",G114="hardware",R114=0),"",IF(AF114&lt;&gt;"exclusion",MAX(S$9,-(SUMIFS(SF_Output!$T$1:$T$400,SF_Output!$AC$1:$AC$400,_xlfn.TEXTJOIN(",",TRUE,$B114:$E114),SF_Output!$Q$1:$Q$400,"yearly"))/R114),-((SUMIFS(SF_Output!$T$1:$T$400,SF_Output!$AC$1:$AC$400,_xlfn.TEXTJOIN(",",TRUE,$B114:$E114),SF_Output!$Q$1:$Q$400,"yearly")/R114))))</f>
        <v/>
      </c>
      <c r="T114" s="6">
        <f t="shared" si="20"/>
        <v>0</v>
      </c>
      <c r="V114" s="6" cm="1">
        <f t="array" ref="V114">_xlfn.IFS(B114="","",AND(B114&lt;&gt;"",H114=SF_Output!$Y$2,SUMIFS(SF_Output!$T$1:$T$400,SF_Output!$AC$1:$AC$400,_xlfn.TEXTJOIN(",",TRUE,B114:E114),SF_Output!$Q$1:$Q$400,"monthly")=0),(SUMIFS(SF_Output!$F$1:$F$400,SF_Output!$AC$1:$AC$400,_xlfn.TEXTJOIN(",",TRUE,B114:E114),SF_Output!$Q$1:$Q$400,"monthly")+SUMIFS(SF_Output!$G$1:$G$400,SF_Output!$AC$1:$AC$400,_xlfn.TEXTJOIN(",",TRUE,B114:E114),SF_Output!$Q$1:$Q$400,"monthly"))*H114,AND(B114&lt;&gt;"",H114=SF_Output!$Y$2,SUMIFS(SF_Output!$T$1:$T$400,SF_Output!$AC$1:$AC$400,_xlfn.TEXTJOIN(",",TRUE,B114:E114),SF_Output!$Q$1:$Q$400,"monthly")&lt;&gt;0),SUMIFS(SF_Output!$S$1:$S$400,SF_Output!$AC$1:$AC$400,_xlfn.TEXTJOIN(",",TRUE,B114:E114),SF_Output!$Q$1:$Q$400,"monthly"),AND(B114&lt;&gt;"",H114&lt;&gt;SF_Output!$Y$2),SUMIFS(SF_Output!$S$1:$S$400,SF_Output!$AC$1:$AC$400,_xlfn.TEXTJOIN(",",TRUE,B114:E114),SF_Output!$Q$1:$Q$400,"monthly"))</f>
        <v>0</v>
      </c>
      <c r="W114" s="112" t="str" cm="1">
        <f t="array" ref="W114">_xlfn.IFS(OR(B114=0,B114="",V114=0),"",AF114&lt;&gt;"exclusion",MAX($W$9,$W$7,(-(SUMIFS(SF_Output!$T$1:$T$400,SF_Output!$AC$1:$AC$400,_xlfn.TEXTJOIN(",",TRUE,$B114:$E114),SF_Output!$Q$1:$Q$400,"monthly"))/V114)),AF114="exclusion",-(SUMIFS(SF_Output!$T$1:$T$400,SF_Output!$AC$1:$AC$400,_xlfn.TEXTJOIN(",",TRUE,$B114:$E114),SF_Output!$Q$1:$Q$400,"monthly"))/V114)</f>
        <v/>
      </c>
      <c r="X114" s="6" cm="1">
        <f t="array" ref="X114">IFERROR(_xlfn.IFS(V114=0,0,V114="","",W114=0,V114,OR(V114&lt;&gt;0,V114&lt;&gt;""),H114*I114),V114*(1-W114))</f>
        <v>0</v>
      </c>
      <c r="Z114" s="6">
        <f>IFERROR(IF(B114="","",SUMIFS(Billing_Fallout!H:H,Billing_Fallout!N:N,B114)),0)</f>
        <v>0</v>
      </c>
      <c r="AA114" s="6">
        <f t="shared" si="21"/>
        <v>0</v>
      </c>
      <c r="AB114" s="6">
        <f>IFERROR(IF(B114="","",SUMIFS(Billing_Fallout!J:J,Billing_Fallout!N:N,B114)),0)</f>
        <v>0</v>
      </c>
      <c r="AD114" s="6">
        <f t="shared" si="22"/>
        <v>0</v>
      </c>
      <c r="AF114" t="str">
        <f>IFERROR(INDEX(H_Tables!$B$1:$B$1500,MATCH(INDEX(SF_Output!$J$1:$J$400,MATCH(B114,SF_Output!$M$1:$M$400,0)),H_Tables!$A$1:$A$1500,0)),"")</f>
        <v>Exclusion</v>
      </c>
      <c r="AI114" s="119" t="str">
        <f t="shared" si="23"/>
        <v/>
      </c>
      <c r="AJ114" s="121">
        <f>IFERROR(INDEX(SF_Output!AD:AD,MATCH(_xlfn.TEXTJOIN(",",TRUE,B114:E114),SF_Output!AC1:AC400,0)),0.05)</f>
        <v>190</v>
      </c>
      <c r="AK114" t="str">
        <f>IF(SUMIFS(SF_Output!$F$1:$F$400,SF_Output!$AC$1:$AC$400,_xlfn.TEXTJOIN(",",TRUE,B114:E114))+SUMIFS(SF_Output!$G$1:$G$400,SF_Output!$AC$1:$AC$400,_xlfn.TEXTJOIN(",",TRUE,B114:E114))=0,"","PAP")</f>
        <v/>
      </c>
      <c r="AQ114" s="35"/>
      <c r="AR114" s="35" t="str" cm="1">
        <f t="array" ref="AR114">IFERROR(_xlfn.IFS(AND(E114*1=1,F114="Included"),"Change to Included",AND(E114*1=0,F114="Optional"),"Change to Optional",OR(B114="",F114="replaced"),""),"")</f>
        <v/>
      </c>
      <c r="AS114" s="35" t="str">
        <f t="shared" si="24"/>
        <v/>
      </c>
      <c r="AT114" s="35" t="str">
        <f t="shared" si="25"/>
        <v/>
      </c>
      <c r="AU114" s="35" t="str">
        <f t="shared" si="26"/>
        <v/>
      </c>
      <c r="AV114" s="35" t="str">
        <f t="shared" si="27"/>
        <v/>
      </c>
      <c r="AW114" s="35" t="str">
        <f t="shared" si="28"/>
        <v/>
      </c>
      <c r="AX114" s="35" t="str">
        <f t="shared" si="29"/>
        <v/>
      </c>
      <c r="AY114" s="35" t="str">
        <f t="shared" si="30"/>
        <v/>
      </c>
      <c r="AZ114" s="35" t="str">
        <f t="shared" si="31"/>
        <v/>
      </c>
      <c r="BA114" s="35" t="str">
        <f t="shared" si="32"/>
        <v/>
      </c>
      <c r="BB114" s="35" t="str">
        <f t="shared" si="33"/>
        <v/>
      </c>
      <c r="BC114" s="35"/>
      <c r="BE114" s="35">
        <f ca="1">INDEX(SF_Output!$AA$2:$AA$400,MATCH($B114,SF_Output!$M$2:$M$400,0))</f>
        <v>6</v>
      </c>
      <c r="BF114" s="35">
        <f ca="1">INDEX(SF_Output!$AB$2:$AB$400,MATCH($B114,SF_Output!$M$2:$M$400,0))</f>
        <v>1</v>
      </c>
    </row>
    <row r="115" spans="2:58" x14ac:dyDescent="0.25">
      <c r="B115" t="s">
        <v>2386</v>
      </c>
      <c r="C115" t="s">
        <v>2122</v>
      </c>
      <c r="D115" t="s">
        <v>2207</v>
      </c>
      <c r="E115" t="s">
        <v>2124</v>
      </c>
      <c r="F115" s="116" t="str">
        <f t="shared" si="17"/>
        <v>Included</v>
      </c>
      <c r="G115" t="str">
        <f>IF(B115="","",INDEX(SF_Output!$K$1:$K$400,MATCH(B115,SF_Output!$M$1:$M$400,0)))</f>
        <v>Card Processing Solutions (CPS)</v>
      </c>
      <c r="H115" cm="1">
        <f t="array" ref="H115">_xlfn.IFS(B115="","",(SUMIFS(SF_Output!$F$1:$F$400,SF_Output!$AC$1:$AC$400,_xlfn.TEXTJOIN(",",TRUE,B115:E115))+SUMIFS(SF_Output!$G$1:$G$400,SF_Output!$AC$1:$AC$400,_xlfn.TEXTJOIN(",",TRUE,B115:E115)))&lt;&gt;0,SF_Output!$Y$2,INDEX(SF_Output!$F$1:$F$400,MATCH(_xlfn.TEXTJOIN(",",TRUE,B115:E115),SF_Output!$AC$1:$AC$400,0))=0,INDEX(SF_Output!$R$1:$R$400,MATCH(_xlfn.TEXTJOIN(",",TRUE,B115:E115),SF_Output!$AC$1:$AC$400,0)))</f>
        <v>1</v>
      </c>
      <c r="I115" s="125" t="str">
        <f>IFERROR(IF(AND(H115&gt;1,H115&lt;&gt;""),ROUND(SUMIFS(SF_Output!$S$1:$S$400,SF_Output!$AC$1:$AC$400,_xlfn.TEXTJOIN(",",TRUE,B115:E115),SF_Output!$Q$1:$Q$400,"monthly")*(1-W115)/H115,4),""),"")</f>
        <v/>
      </c>
      <c r="J115" s="6">
        <f>IF(B115="","",SUMIFS(SF_Output!$S$1:$S$400,SF_Output!$AC$1:$AC$400,_xlfn.TEXTJOIN(",",TRUE,B115:E115),SF_Output!$Q$1:$Q$400,"One Time",SF_Output!$L$1:$L$400,"license fee")+SUMIFS(SF_Output!$S$1:$S$400,SF_Output!$AC$1:$AC$400,_xlfn.TEXTJOIN(",",TRUE,B115:E115),SF_Output!$Q$1:$Q$400,"One Time",SF_Output!$L$1:$L$400,"software license")+SUMIFS(SF_Output!$S$1:$S$400,SF_Output!$AC$1:$AC$400,_xlfn.TEXTJOIN(",",TRUE,B115:E115),SF_Output!$Q$1:$Q$400,"One Time",SF_Output!$L$1:$L$400,"hardware"))</f>
        <v>0</v>
      </c>
      <c r="K115" s="112" t="str">
        <f>IF(OR(B115=0,B115="",G115="hardware",J115=0),"",IF(AF115&lt;&gt;"exclusion",MAX(K$9,-((SUMIFS(SF_Output!$T$1:$T$400,SF_Output!$AC$1:$AC$400,_xlfn.TEXTJOIN(",",TRUE,$B115:$E115),SF_Output!$Q$1:$Q$400,"One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license"))/J115)))</f>
        <v/>
      </c>
      <c r="L115" s="6">
        <f t="shared" si="18"/>
        <v>0</v>
      </c>
      <c r="N115" s="6">
        <f>IF(B115="","",SUMIFS(SF_Output!$S$1:$S$400,SF_Output!$AC$1:$AC$400,_xlfn.TEXTJOIN(",",TRUE,B115:E115),SF_Output!$Q$1:$Q$400,"One Time",SF_Output!$L$1:$L$400,"professional service"))</f>
        <v>3000</v>
      </c>
      <c r="O115" s="112">
        <f>IF(OR(B115=0,B115="",N115=0),"",IF(AF115&lt;&gt;"exclusion",MAX(O$9,-(SUMIFS(SF_Output!$T$1:$T$400,SF_Output!$AC$1:$AC$400,_xlfn.TEXTJOIN(",",TRUE,$B115:$E115),SF_Output!$Q$1:$Q$400,"One Time",SF_Output!$L$1:$L$400,"professional service"))/N115),-((SUMIFS(SF_Output!$T$1:$T$400,SF_Output!$AC$1:$AC$400,_xlfn.TEXTJOIN(",",TRUE,$B115:$E115),SF_Output!$Q$1:$Q$400,"One Time",SF_Output!$L$1:$L$400,"professional service")/N115))))</f>
        <v>1</v>
      </c>
      <c r="P115" s="6">
        <f t="shared" si="19"/>
        <v>0</v>
      </c>
      <c r="R115" s="6">
        <f>IF(B115="","",SUMIFS(SF_Output!$S$1:$S$400,SF_Output!$AC$1:$AC$400,_xlfn.TEXTJOIN(",",TRUE,B115:E115),SF_Output!$Q$1:$Q$400,"yearly")+SUMIFS(SF_Output!$S$1:$S$400,SF_Output!$AC$1:$AC$400,_xlfn.TEXTJOIN(",",TRUE,B115:E115),SF_Output!$Q$1:$Q$400,"quarterly")*4)</f>
        <v>0</v>
      </c>
      <c r="S115" s="112" t="str">
        <f>IF(OR(B115=0,B115="",G115="hardware",R115=0),"",IF(AF115&lt;&gt;"exclusion",MAX(S$9,-(SUMIFS(SF_Output!$T$1:$T$400,SF_Output!$AC$1:$AC$400,_xlfn.TEXTJOIN(",",TRUE,$B115:$E115),SF_Output!$Q$1:$Q$400,"yearly"))/R115),-((SUMIFS(SF_Output!$T$1:$T$400,SF_Output!$AC$1:$AC$400,_xlfn.TEXTJOIN(",",TRUE,$B115:$E115),SF_Output!$Q$1:$Q$400,"yearly")/R115))))</f>
        <v/>
      </c>
      <c r="T115" s="6">
        <f t="shared" si="20"/>
        <v>0</v>
      </c>
      <c r="V115" s="6" cm="1">
        <f t="array" ref="V115">_xlfn.IFS(B115="","",AND(B115&lt;&gt;"",H115=SF_Output!$Y$2,SUMIFS(SF_Output!$T$1:$T$400,SF_Output!$AC$1:$AC$400,_xlfn.TEXTJOIN(",",TRUE,B115:E115),SF_Output!$Q$1:$Q$400,"monthly")=0),(SUMIFS(SF_Output!$F$1:$F$400,SF_Output!$AC$1:$AC$400,_xlfn.TEXTJOIN(",",TRUE,B115:E115),SF_Output!$Q$1:$Q$400,"monthly")+SUMIFS(SF_Output!$G$1:$G$400,SF_Output!$AC$1:$AC$400,_xlfn.TEXTJOIN(",",TRUE,B115:E115),SF_Output!$Q$1:$Q$400,"monthly"))*H115,AND(B115&lt;&gt;"",H115=SF_Output!$Y$2,SUMIFS(SF_Output!$T$1:$T$400,SF_Output!$AC$1:$AC$400,_xlfn.TEXTJOIN(",",TRUE,B115:E115),SF_Output!$Q$1:$Q$400,"monthly")&lt;&gt;0),SUMIFS(SF_Output!$S$1:$S$400,SF_Output!$AC$1:$AC$400,_xlfn.TEXTJOIN(",",TRUE,B115:E115),SF_Output!$Q$1:$Q$400,"monthly"),AND(B115&lt;&gt;"",H115&lt;&gt;SF_Output!$Y$2),SUMIFS(SF_Output!$S$1:$S$400,SF_Output!$AC$1:$AC$400,_xlfn.TEXTJOIN(",",TRUE,B115:E115),SF_Output!$Q$1:$Q$400,"monthly"))</f>
        <v>250</v>
      </c>
      <c r="W115" s="112" cm="1">
        <f t="array" ref="W115">_xlfn.IFS(OR(B115=0,B115="",V115=0),"",AF115&lt;&gt;"exclusion",MAX($W$9,$W$7,(-(SUMIFS(SF_Output!$T$1:$T$400,SF_Output!$AC$1:$AC$400,_xlfn.TEXTJOIN(",",TRUE,$B115:$E115),SF_Output!$Q$1:$Q$400,"monthly"))/V115)),AF115="exclusion",-(SUMIFS(SF_Output!$T$1:$T$400,SF_Output!$AC$1:$AC$400,_xlfn.TEXTJOIN(",",TRUE,$B115:$E115),SF_Output!$Q$1:$Q$400,"monthly"))/V115)</f>
        <v>0</v>
      </c>
      <c r="X115" s="6" cm="1">
        <f t="array" ref="X115">IFERROR(_xlfn.IFS(V115=0,0,V115="","",W115=0,V115,OR(V115&lt;&gt;0,V115&lt;&gt;""),H115*I115),V115*(1-W115))</f>
        <v>250</v>
      </c>
      <c r="Z115" s="6">
        <f>IFERROR(IF(B115="","",SUMIFS(Billing_Fallout!H:H,Billing_Fallout!N:N,B115)),0)</f>
        <v>0</v>
      </c>
      <c r="AA115" s="6">
        <f t="shared" si="21"/>
        <v>0</v>
      </c>
      <c r="AB115" s="6">
        <f>IFERROR(IF(B115="","",SUMIFS(Billing_Fallout!J:J,Billing_Fallout!N:N,B115)),0)</f>
        <v>0</v>
      </c>
      <c r="AD115" s="6">
        <f t="shared" si="22"/>
        <v>250</v>
      </c>
      <c r="AF115" t="str">
        <f>IFERROR(INDEX(H_Tables!$B$1:$B$1500,MATCH(INDEX(SF_Output!$J$1:$J$400,MATCH(B115,SF_Output!$M$1:$M$400,0)),H_Tables!$A$1:$A$1500,0)),"")</f>
        <v>Exclusion</v>
      </c>
      <c r="AI115" s="119" t="str">
        <f t="shared" si="23"/>
        <v/>
      </c>
      <c r="AJ115" s="121">
        <f>IFERROR(INDEX(SF_Output!AD:AD,MATCH(_xlfn.TEXTJOIN(",",TRUE,B115:E115),SF_Output!AC1:AC400,0)),0.05)</f>
        <v>191</v>
      </c>
      <c r="AK115" t="str">
        <f>IF(SUMIFS(SF_Output!$F$1:$F$400,SF_Output!$AC$1:$AC$400,_xlfn.TEXTJOIN(",",TRUE,B115:E115))+SUMIFS(SF_Output!$G$1:$G$400,SF_Output!$AC$1:$AC$400,_xlfn.TEXTJOIN(",",TRUE,B115:E115))=0,"","PAP")</f>
        <v/>
      </c>
      <c r="AQ115" s="35"/>
      <c r="AR115" s="35" t="str" cm="1">
        <f t="array" ref="AR115">IFERROR(_xlfn.IFS(AND(E115*1=1,F115="Included"),"Change to Included",AND(E115*1=0,F115="Optional"),"Change to Optional",OR(B115="",F115="replaced"),""),"")</f>
        <v/>
      </c>
      <c r="AS115" s="35" t="str">
        <f t="shared" si="24"/>
        <v/>
      </c>
      <c r="AT115" s="35" t="str">
        <f t="shared" si="25"/>
        <v/>
      </c>
      <c r="AU115" s="35" t="str">
        <f t="shared" si="26"/>
        <v/>
      </c>
      <c r="AV115" s="35" t="str">
        <f t="shared" si="27"/>
        <v/>
      </c>
      <c r="AW115" s="35" t="str">
        <f t="shared" si="28"/>
        <v/>
      </c>
      <c r="AX115" s="35" t="str">
        <f t="shared" si="29"/>
        <v/>
      </c>
      <c r="AY115" s="35" t="str">
        <f t="shared" si="30"/>
        <v/>
      </c>
      <c r="AZ115" s="35" t="str">
        <f t="shared" si="31"/>
        <v/>
      </c>
      <c r="BA115" s="35" t="str">
        <f t="shared" si="32"/>
        <v/>
      </c>
      <c r="BB115" s="35" t="str">
        <f t="shared" si="33"/>
        <v/>
      </c>
      <c r="BC115" s="35"/>
      <c r="BE115" s="35">
        <f ca="1">INDEX(SF_Output!$AA$2:$AA$400,MATCH($B115,SF_Output!$M$2:$M$400,0))</f>
        <v>6</v>
      </c>
      <c r="BF115" s="35">
        <f ca="1">INDEX(SF_Output!$AB$2:$AB$400,MATCH($B115,SF_Output!$M$2:$M$400,0))</f>
        <v>1</v>
      </c>
    </row>
    <row r="116" spans="2:58" x14ac:dyDescent="0.25">
      <c r="B116" t="s">
        <v>2389</v>
      </c>
      <c r="C116" t="s">
        <v>2122</v>
      </c>
      <c r="D116" t="s">
        <v>2207</v>
      </c>
      <c r="E116" t="s">
        <v>2124</v>
      </c>
      <c r="F116" s="116" t="str">
        <f t="shared" si="17"/>
        <v>Included</v>
      </c>
      <c r="G116" t="str">
        <f>IF(B116="","",INDEX(SF_Output!$K$1:$K$400,MATCH(B116,SF_Output!$M$1:$M$400,0)))</f>
        <v>Card Processing Solutions (CPS)</v>
      </c>
      <c r="H116" cm="1">
        <f t="array" ref="H116">_xlfn.IFS(B116="","",(SUMIFS(SF_Output!$F$1:$F$400,SF_Output!$AC$1:$AC$400,_xlfn.TEXTJOIN(",",TRUE,B116:E116))+SUMIFS(SF_Output!$G$1:$G$400,SF_Output!$AC$1:$AC$400,_xlfn.TEXTJOIN(",",TRUE,B116:E116)))&lt;&gt;0,SF_Output!$Y$2,INDEX(SF_Output!$F$1:$F$400,MATCH(_xlfn.TEXTJOIN(",",TRUE,B116:E116),SF_Output!$AC$1:$AC$400,0))=0,INDEX(SF_Output!$R$1:$R$400,MATCH(_xlfn.TEXTJOIN(",",TRUE,B116:E116),SF_Output!$AC$1:$AC$400,0)))</f>
        <v>0</v>
      </c>
      <c r="I116" s="125" t="str">
        <f>IFERROR(IF(AND(H116&gt;1,H116&lt;&gt;""),ROUND(SUMIFS(SF_Output!$S$1:$S$400,SF_Output!$AC$1:$AC$400,_xlfn.TEXTJOIN(",",TRUE,B116:E116),SF_Output!$Q$1:$Q$400,"monthly")*(1-W116)/H116,4),""),"")</f>
        <v/>
      </c>
      <c r="J116" s="6">
        <f>IF(B116="","",SUMIFS(SF_Output!$S$1:$S$400,SF_Output!$AC$1:$AC$400,_xlfn.TEXTJOIN(",",TRUE,B116:E116),SF_Output!$Q$1:$Q$400,"One Time",SF_Output!$L$1:$L$400,"license fee")+SUMIFS(SF_Output!$S$1:$S$400,SF_Output!$AC$1:$AC$400,_xlfn.TEXTJOIN(",",TRUE,B116:E116),SF_Output!$Q$1:$Q$400,"One Time",SF_Output!$L$1:$L$400,"software license")+SUMIFS(SF_Output!$S$1:$S$400,SF_Output!$AC$1:$AC$400,_xlfn.TEXTJOIN(",",TRUE,B116:E116),SF_Output!$Q$1:$Q$400,"One Time",SF_Output!$L$1:$L$400,"hardware"))</f>
        <v>0</v>
      </c>
      <c r="K116" s="112" t="str">
        <f>IF(OR(B116=0,B116="",G116="hardware",J116=0),"",IF(AF116&lt;&gt;"exclusion",MAX(K$9,-((SUMIFS(SF_Output!$T$1:$T$400,SF_Output!$AC$1:$AC$400,_xlfn.TEXTJOIN(",",TRUE,$B116:$E116),SF_Output!$Q$1:$Q$400,"One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license"))/J116)))</f>
        <v/>
      </c>
      <c r="L116" s="6">
        <f t="shared" si="18"/>
        <v>0</v>
      </c>
      <c r="N116" s="6">
        <f>IF(B116="","",SUMIFS(SF_Output!$S$1:$S$400,SF_Output!$AC$1:$AC$400,_xlfn.TEXTJOIN(",",TRUE,B116:E116),SF_Output!$Q$1:$Q$400,"One Time",SF_Output!$L$1:$L$400,"professional service"))</f>
        <v>0</v>
      </c>
      <c r="O116" s="112" t="str">
        <f>IF(OR(B116=0,B116="",N116=0),"",IF(AF116&lt;&gt;"exclusion",MAX(O$9,-(SUMIFS(SF_Output!$T$1:$T$400,SF_Output!$AC$1:$AC$400,_xlfn.TEXTJOIN(",",TRUE,$B116:$E116),SF_Output!$Q$1:$Q$400,"One Time",SF_Output!$L$1:$L$400,"professional service"))/N116),-((SUMIFS(SF_Output!$T$1:$T$400,SF_Output!$AC$1:$AC$400,_xlfn.TEXTJOIN(",",TRUE,$B116:$E116),SF_Output!$Q$1:$Q$400,"One Time",SF_Output!$L$1:$L$400,"professional service")/N116))))</f>
        <v/>
      </c>
      <c r="P116" s="6">
        <f t="shared" si="19"/>
        <v>0</v>
      </c>
      <c r="R116" s="6">
        <f>IF(B116="","",SUMIFS(SF_Output!$S$1:$S$400,SF_Output!$AC$1:$AC$400,_xlfn.TEXTJOIN(",",TRUE,B116:E116),SF_Output!$Q$1:$Q$400,"yearly")+SUMIFS(SF_Output!$S$1:$S$400,SF_Output!$AC$1:$AC$400,_xlfn.TEXTJOIN(",",TRUE,B116:E116),SF_Output!$Q$1:$Q$400,"quarterly")*4)</f>
        <v>0</v>
      </c>
      <c r="S116" s="112" t="str">
        <f>IF(OR(B116=0,B116="",G116="hardware",R116=0),"",IF(AF116&lt;&gt;"exclusion",MAX(S$9,-(SUMIFS(SF_Output!$T$1:$T$400,SF_Output!$AC$1:$AC$400,_xlfn.TEXTJOIN(",",TRUE,$B116:$E116),SF_Output!$Q$1:$Q$400,"yearly"))/R116),-((SUMIFS(SF_Output!$T$1:$T$400,SF_Output!$AC$1:$AC$400,_xlfn.TEXTJOIN(",",TRUE,$B116:$E116),SF_Output!$Q$1:$Q$400,"yearly")/R116))))</f>
        <v/>
      </c>
      <c r="T116" s="6">
        <f t="shared" si="20"/>
        <v>0</v>
      </c>
      <c r="V116" s="6" cm="1">
        <f t="array" ref="V116">_xlfn.IFS(B116="","",AND(B116&lt;&gt;"",H116=SF_Output!$Y$2,SUMIFS(SF_Output!$T$1:$T$400,SF_Output!$AC$1:$AC$400,_xlfn.TEXTJOIN(",",TRUE,B116:E116),SF_Output!$Q$1:$Q$400,"monthly")=0),(SUMIFS(SF_Output!$F$1:$F$400,SF_Output!$AC$1:$AC$400,_xlfn.TEXTJOIN(",",TRUE,B116:E116),SF_Output!$Q$1:$Q$400,"monthly")+SUMIFS(SF_Output!$G$1:$G$400,SF_Output!$AC$1:$AC$400,_xlfn.TEXTJOIN(",",TRUE,B116:E116),SF_Output!$Q$1:$Q$400,"monthly"))*H116,AND(B116&lt;&gt;"",H116=SF_Output!$Y$2,SUMIFS(SF_Output!$T$1:$T$400,SF_Output!$AC$1:$AC$400,_xlfn.TEXTJOIN(",",TRUE,B116:E116),SF_Output!$Q$1:$Q$400,"monthly")&lt;&gt;0),SUMIFS(SF_Output!$S$1:$S$400,SF_Output!$AC$1:$AC$400,_xlfn.TEXTJOIN(",",TRUE,B116:E116),SF_Output!$Q$1:$Q$400,"monthly"),AND(B116&lt;&gt;"",H116&lt;&gt;SF_Output!$Y$2),SUMIFS(SF_Output!$S$1:$S$400,SF_Output!$AC$1:$AC$400,_xlfn.TEXTJOIN(",",TRUE,B116:E116),SF_Output!$Q$1:$Q$400,"monthly"))</f>
        <v>0</v>
      </c>
      <c r="W116" s="112" t="str" cm="1">
        <f t="array" ref="W116">_xlfn.IFS(OR(B116=0,B116="",V116=0),"",AF116&lt;&gt;"exclusion",MAX($W$9,$W$7,(-(SUMIFS(SF_Output!$T$1:$T$400,SF_Output!$AC$1:$AC$400,_xlfn.TEXTJOIN(",",TRUE,$B116:$E116),SF_Output!$Q$1:$Q$400,"monthly"))/V116)),AF116="exclusion",-(SUMIFS(SF_Output!$T$1:$T$400,SF_Output!$AC$1:$AC$400,_xlfn.TEXTJOIN(",",TRUE,$B116:$E116),SF_Output!$Q$1:$Q$400,"monthly"))/V116)</f>
        <v/>
      </c>
      <c r="X116" s="6" cm="1">
        <f t="array" ref="X116">IFERROR(_xlfn.IFS(V116=0,0,V116="","",W116=0,V116,OR(V116&lt;&gt;0,V116&lt;&gt;""),H116*I116),V116*(1-W116))</f>
        <v>0</v>
      </c>
      <c r="Z116" s="6">
        <f>IFERROR(IF(B116="","",SUMIFS(Billing_Fallout!H:H,Billing_Fallout!N:N,B116)),0)</f>
        <v>0</v>
      </c>
      <c r="AA116" s="6">
        <f t="shared" si="21"/>
        <v>0</v>
      </c>
      <c r="AB116" s="6">
        <f>IFERROR(IF(B116="","",SUMIFS(Billing_Fallout!J:J,Billing_Fallout!N:N,B116)),0)</f>
        <v>0</v>
      </c>
      <c r="AD116" s="6">
        <f t="shared" si="22"/>
        <v>0</v>
      </c>
      <c r="AF116" t="str">
        <f>IFERROR(INDEX(H_Tables!$B$1:$B$1500,MATCH(INDEX(SF_Output!$J$1:$J$400,MATCH(B116,SF_Output!$M$1:$M$400,0)),H_Tables!$A$1:$A$1500,0)),"")</f>
        <v>Exclusion</v>
      </c>
      <c r="AI116" s="119" t="str">
        <f t="shared" si="23"/>
        <v/>
      </c>
      <c r="AJ116" s="121">
        <f>IFERROR(INDEX(SF_Output!AD:AD,MATCH(_xlfn.TEXTJOIN(",",TRUE,B116:E116),SF_Output!AC1:AC400,0)),0.05)</f>
        <v>193</v>
      </c>
      <c r="AK116" t="str">
        <f>IF(SUMIFS(SF_Output!$F$1:$F$400,SF_Output!$AC$1:$AC$400,_xlfn.TEXTJOIN(",",TRUE,B116:E116))+SUMIFS(SF_Output!$G$1:$G$400,SF_Output!$AC$1:$AC$400,_xlfn.TEXTJOIN(",",TRUE,B116:E116))=0,"","PAP")</f>
        <v/>
      </c>
      <c r="AQ116" s="35"/>
      <c r="AR116" s="35" t="str" cm="1">
        <f t="array" ref="AR116">IFERROR(_xlfn.IFS(AND(E116*1=1,F116="Included"),"Change to Included",AND(E116*1=0,F116="Optional"),"Change to Optional",OR(B116="",F116="replaced"),""),"")</f>
        <v/>
      </c>
      <c r="AS116" s="35" t="str">
        <f t="shared" si="24"/>
        <v/>
      </c>
      <c r="AT116" s="35" t="str">
        <f t="shared" si="25"/>
        <v/>
      </c>
      <c r="AU116" s="35" t="str">
        <f t="shared" si="26"/>
        <v/>
      </c>
      <c r="AV116" s="35" t="str">
        <f t="shared" si="27"/>
        <v/>
      </c>
      <c r="AW116" s="35" t="str">
        <f t="shared" si="28"/>
        <v/>
      </c>
      <c r="AX116" s="35" t="str">
        <f t="shared" si="29"/>
        <v/>
      </c>
      <c r="AY116" s="35" t="str">
        <f t="shared" si="30"/>
        <v/>
      </c>
      <c r="AZ116" s="35" t="str">
        <f t="shared" si="31"/>
        <v/>
      </c>
      <c r="BA116" s="35" t="str">
        <f t="shared" si="32"/>
        <v/>
      </c>
      <c r="BB116" s="35" t="str">
        <f t="shared" si="33"/>
        <v/>
      </c>
      <c r="BC116" s="35"/>
      <c r="BE116" s="35">
        <f ca="1">INDEX(SF_Output!$AA$2:$AA$400,MATCH($B116,SF_Output!$M$2:$M$400,0))</f>
        <v>6</v>
      </c>
      <c r="BF116" s="35">
        <f ca="1">INDEX(SF_Output!$AB$2:$AB$400,MATCH($B116,SF_Output!$M$2:$M$400,0))</f>
        <v>1</v>
      </c>
    </row>
    <row r="117" spans="2:58" x14ac:dyDescent="0.25">
      <c r="B117" t="s">
        <v>2391</v>
      </c>
      <c r="C117" t="s">
        <v>2122</v>
      </c>
      <c r="D117" t="s">
        <v>2207</v>
      </c>
      <c r="E117" t="s">
        <v>2124</v>
      </c>
      <c r="F117" s="116" t="str">
        <f t="shared" si="17"/>
        <v>Included</v>
      </c>
      <c r="G117" t="str">
        <f>IF(B117="","",INDEX(SF_Output!$K$1:$K$400,MATCH(B117,SF_Output!$M$1:$M$400,0)))</f>
        <v>Card Processing Solutions (CPS)</v>
      </c>
      <c r="H117" cm="1">
        <f t="array" ref="H117">_xlfn.IFS(B117="","",(SUMIFS(SF_Output!$F$1:$F$400,SF_Output!$AC$1:$AC$400,_xlfn.TEXTJOIN(",",TRUE,B117:E117))+SUMIFS(SF_Output!$G$1:$G$400,SF_Output!$AC$1:$AC$400,_xlfn.TEXTJOIN(",",TRUE,B117:E117)))&lt;&gt;0,SF_Output!$Y$2,INDEX(SF_Output!$F$1:$F$400,MATCH(_xlfn.TEXTJOIN(",",TRUE,B117:E117),SF_Output!$AC$1:$AC$400,0))=0,INDEX(SF_Output!$R$1:$R$400,MATCH(_xlfn.TEXTJOIN(",",TRUE,B117:E117),SF_Output!$AC$1:$AC$400,0)))</f>
        <v>1</v>
      </c>
      <c r="I117" s="125" t="str">
        <f>IFERROR(IF(AND(H117&gt;1,H117&lt;&gt;""),ROUND(SUMIFS(SF_Output!$S$1:$S$400,SF_Output!$AC$1:$AC$400,_xlfn.TEXTJOIN(",",TRUE,B117:E117),SF_Output!$Q$1:$Q$400,"monthly")*(1-W117)/H117,4),""),"")</f>
        <v/>
      </c>
      <c r="J117" s="6">
        <f>IF(B117="","",SUMIFS(SF_Output!$S$1:$S$400,SF_Output!$AC$1:$AC$400,_xlfn.TEXTJOIN(",",TRUE,B117:E117),SF_Output!$Q$1:$Q$400,"One Time",SF_Output!$L$1:$L$400,"license fee")+SUMIFS(SF_Output!$S$1:$S$400,SF_Output!$AC$1:$AC$400,_xlfn.TEXTJOIN(",",TRUE,B117:E117),SF_Output!$Q$1:$Q$400,"One Time",SF_Output!$L$1:$L$400,"software license")+SUMIFS(SF_Output!$S$1:$S$400,SF_Output!$AC$1:$AC$400,_xlfn.TEXTJOIN(",",TRUE,B117:E117),SF_Output!$Q$1:$Q$400,"One Time",SF_Output!$L$1:$L$400,"hardware"))</f>
        <v>0</v>
      </c>
      <c r="K117" s="112" t="str">
        <f>IF(OR(B117=0,B117="",G117="hardware",J117=0),"",IF(AF117&lt;&gt;"exclusion",MAX(K$9,-((SUMIFS(SF_Output!$T$1:$T$400,SF_Output!$AC$1:$AC$400,_xlfn.TEXTJOIN(",",TRUE,$B117:$E117),SF_Output!$Q$1:$Q$400,"One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license"))/J117)))</f>
        <v/>
      </c>
      <c r="L117" s="6">
        <f t="shared" si="18"/>
        <v>0</v>
      </c>
      <c r="N117" s="6">
        <f>IF(B117="","",SUMIFS(SF_Output!$S$1:$S$400,SF_Output!$AC$1:$AC$400,_xlfn.TEXTJOIN(",",TRUE,B117:E117),SF_Output!$Q$1:$Q$400,"One Time",SF_Output!$L$1:$L$400,"professional service"))</f>
        <v>4500</v>
      </c>
      <c r="O117" s="112">
        <f>IF(OR(B117=0,B117="",N117=0),"",IF(AF117&lt;&gt;"exclusion",MAX(O$9,-(SUMIFS(SF_Output!$T$1:$T$400,SF_Output!$AC$1:$AC$400,_xlfn.TEXTJOIN(",",TRUE,$B117:$E117),SF_Output!$Q$1:$Q$400,"One Time",SF_Output!$L$1:$L$400,"professional service"))/N117),-((SUMIFS(SF_Output!$T$1:$T$400,SF_Output!$AC$1:$AC$400,_xlfn.TEXTJOIN(",",TRUE,$B117:$E117),SF_Output!$Q$1:$Q$400,"One Time",SF_Output!$L$1:$L$400,"professional service")/N117))))</f>
        <v>1</v>
      </c>
      <c r="P117" s="6">
        <f t="shared" si="19"/>
        <v>0</v>
      </c>
      <c r="R117" s="6">
        <f>IF(B117="","",SUMIFS(SF_Output!$S$1:$S$400,SF_Output!$AC$1:$AC$400,_xlfn.TEXTJOIN(",",TRUE,B117:E117),SF_Output!$Q$1:$Q$400,"yearly")+SUMIFS(SF_Output!$S$1:$S$400,SF_Output!$AC$1:$AC$400,_xlfn.TEXTJOIN(",",TRUE,B117:E117),SF_Output!$Q$1:$Q$400,"quarterly")*4)</f>
        <v>0</v>
      </c>
      <c r="S117" s="112" t="str">
        <f>IF(OR(B117=0,B117="",G117="hardware",R117=0),"",IF(AF117&lt;&gt;"exclusion",MAX(S$9,-(SUMIFS(SF_Output!$T$1:$T$400,SF_Output!$AC$1:$AC$400,_xlfn.TEXTJOIN(",",TRUE,$B117:$E117),SF_Output!$Q$1:$Q$400,"yearly"))/R117),-((SUMIFS(SF_Output!$T$1:$T$400,SF_Output!$AC$1:$AC$400,_xlfn.TEXTJOIN(",",TRUE,$B117:$E117),SF_Output!$Q$1:$Q$400,"yearly")/R117))))</f>
        <v/>
      </c>
      <c r="T117" s="6">
        <f t="shared" si="20"/>
        <v>0</v>
      </c>
      <c r="V117" s="6" cm="1">
        <f t="array" ref="V117">_xlfn.IFS(B117="","",AND(B117&lt;&gt;"",H117=SF_Output!$Y$2,SUMIFS(SF_Output!$T$1:$T$400,SF_Output!$AC$1:$AC$400,_xlfn.TEXTJOIN(",",TRUE,B117:E117),SF_Output!$Q$1:$Q$400,"monthly")=0),(SUMIFS(SF_Output!$F$1:$F$400,SF_Output!$AC$1:$AC$400,_xlfn.TEXTJOIN(",",TRUE,B117:E117),SF_Output!$Q$1:$Q$400,"monthly")+SUMIFS(SF_Output!$G$1:$G$400,SF_Output!$AC$1:$AC$400,_xlfn.TEXTJOIN(",",TRUE,B117:E117),SF_Output!$Q$1:$Q$400,"monthly"))*H117,AND(B117&lt;&gt;"",H117=SF_Output!$Y$2,SUMIFS(SF_Output!$T$1:$T$400,SF_Output!$AC$1:$AC$400,_xlfn.TEXTJOIN(",",TRUE,B117:E117),SF_Output!$Q$1:$Q$400,"monthly")&lt;&gt;0),SUMIFS(SF_Output!$S$1:$S$400,SF_Output!$AC$1:$AC$400,_xlfn.TEXTJOIN(",",TRUE,B117:E117),SF_Output!$Q$1:$Q$400,"monthly"),AND(B117&lt;&gt;"",H117&lt;&gt;SF_Output!$Y$2),SUMIFS(SF_Output!$S$1:$S$400,SF_Output!$AC$1:$AC$400,_xlfn.TEXTJOIN(",",TRUE,B117:E117),SF_Output!$Q$1:$Q$400,"monthly"))</f>
        <v>75</v>
      </c>
      <c r="W117" s="112" cm="1">
        <f t="array" ref="W117">_xlfn.IFS(OR(B117=0,B117="",V117=0),"",AF117&lt;&gt;"exclusion",MAX($W$9,$W$7,(-(SUMIFS(SF_Output!$T$1:$T$400,SF_Output!$AC$1:$AC$400,_xlfn.TEXTJOIN(",",TRUE,$B117:$E117),SF_Output!$Q$1:$Q$400,"monthly"))/V117)),AF117="exclusion",-(SUMIFS(SF_Output!$T$1:$T$400,SF_Output!$AC$1:$AC$400,_xlfn.TEXTJOIN(",",TRUE,$B117:$E117),SF_Output!$Q$1:$Q$400,"monthly"))/V117)</f>
        <v>0</v>
      </c>
      <c r="X117" s="6" cm="1">
        <f t="array" ref="X117">IFERROR(_xlfn.IFS(V117=0,0,V117="","",W117=0,V117,OR(V117&lt;&gt;0,V117&lt;&gt;""),H117*I117),V117*(1-W117))</f>
        <v>75</v>
      </c>
      <c r="Z117" s="6">
        <f>IFERROR(IF(B117="","",SUMIFS(Billing_Fallout!H:H,Billing_Fallout!N:N,B117)),0)</f>
        <v>0</v>
      </c>
      <c r="AA117" s="6">
        <f t="shared" si="21"/>
        <v>0</v>
      </c>
      <c r="AB117" s="6">
        <f>IFERROR(IF(B117="","",SUMIFS(Billing_Fallout!J:J,Billing_Fallout!N:N,B117)),0)</f>
        <v>0</v>
      </c>
      <c r="AD117" s="6">
        <f t="shared" si="22"/>
        <v>75</v>
      </c>
      <c r="AF117" t="str">
        <f>IFERROR(INDEX(H_Tables!$B$1:$B$1500,MATCH(INDEX(SF_Output!$J$1:$J$400,MATCH(B117,SF_Output!$M$1:$M$400,0)),H_Tables!$A$1:$A$1500,0)),"")</f>
        <v>Exclusion</v>
      </c>
      <c r="AI117" s="119" t="str">
        <f t="shared" si="23"/>
        <v/>
      </c>
      <c r="AJ117" s="121">
        <f>IFERROR(INDEX(SF_Output!AD:AD,MATCH(_xlfn.TEXTJOIN(",",TRUE,B117:E117),SF_Output!AC1:AC400,0)),0.05)</f>
        <v>194</v>
      </c>
      <c r="AK117" t="str">
        <f>IF(SUMIFS(SF_Output!$F$1:$F$400,SF_Output!$AC$1:$AC$400,_xlfn.TEXTJOIN(",",TRUE,B117:E117))+SUMIFS(SF_Output!$G$1:$G$400,SF_Output!$AC$1:$AC$400,_xlfn.TEXTJOIN(",",TRUE,B117:E117))=0,"","PAP")</f>
        <v/>
      </c>
      <c r="AQ117" s="35"/>
      <c r="AR117" s="35" t="str" cm="1">
        <f t="array" ref="AR117">IFERROR(_xlfn.IFS(AND(E117*1=1,F117="Included"),"Change to Included",AND(E117*1=0,F117="Optional"),"Change to Optional",OR(B117="",F117="replaced"),""),"")</f>
        <v/>
      </c>
      <c r="AS117" s="35" t="str">
        <f t="shared" si="24"/>
        <v/>
      </c>
      <c r="AT117" s="35" t="str">
        <f t="shared" si="25"/>
        <v/>
      </c>
      <c r="AU117" s="35" t="str">
        <f t="shared" si="26"/>
        <v/>
      </c>
      <c r="AV117" s="35" t="str">
        <f t="shared" si="27"/>
        <v/>
      </c>
      <c r="AW117" s="35" t="str">
        <f t="shared" si="28"/>
        <v/>
      </c>
      <c r="AX117" s="35" t="str">
        <f t="shared" si="29"/>
        <v/>
      </c>
      <c r="AY117" s="35" t="str">
        <f t="shared" si="30"/>
        <v/>
      </c>
      <c r="AZ117" s="35" t="str">
        <f t="shared" si="31"/>
        <v/>
      </c>
      <c r="BA117" s="35" t="str">
        <f t="shared" si="32"/>
        <v/>
      </c>
      <c r="BB117" s="35" t="str">
        <f t="shared" si="33"/>
        <v/>
      </c>
      <c r="BC117" s="35"/>
      <c r="BE117" s="35">
        <f ca="1">INDEX(SF_Output!$AA$2:$AA$400,MATCH($B117,SF_Output!$M$2:$M$400,0))</f>
        <v>6</v>
      </c>
      <c r="BF117" s="35">
        <f ca="1">INDEX(SF_Output!$AB$2:$AB$400,MATCH($B117,SF_Output!$M$2:$M$400,0))</f>
        <v>1</v>
      </c>
    </row>
    <row r="118" spans="2:58" x14ac:dyDescent="0.25">
      <c r="B118" t="s">
        <v>2394</v>
      </c>
      <c r="C118" t="s">
        <v>2122</v>
      </c>
      <c r="D118" t="s">
        <v>2207</v>
      </c>
      <c r="E118" t="s">
        <v>2124</v>
      </c>
      <c r="F118" s="116" t="str">
        <f t="shared" si="17"/>
        <v>Included</v>
      </c>
      <c r="G118" t="str">
        <f>IF(B118="","",INDEX(SF_Output!$K$1:$K$400,MATCH(B118,SF_Output!$M$1:$M$400,0)))</f>
        <v>Card Processing Solutions (CPS)</v>
      </c>
      <c r="H118" cm="1">
        <f t="array" ref="H118">_xlfn.IFS(B118="","",(SUMIFS(SF_Output!$F$1:$F$400,SF_Output!$AC$1:$AC$400,_xlfn.TEXTJOIN(",",TRUE,B118:E118))+SUMIFS(SF_Output!$G$1:$G$400,SF_Output!$AC$1:$AC$400,_xlfn.TEXTJOIN(",",TRUE,B118:E118)))&lt;&gt;0,SF_Output!$Y$2,INDEX(SF_Output!$F$1:$F$400,MATCH(_xlfn.TEXTJOIN(",",TRUE,B118:E118),SF_Output!$AC$1:$AC$400,0))=0,INDEX(SF_Output!$R$1:$R$400,MATCH(_xlfn.TEXTJOIN(",",TRUE,B118:E118),SF_Output!$AC$1:$AC$400,0)))</f>
        <v>0</v>
      </c>
      <c r="I118" s="125" t="str">
        <f>IFERROR(IF(AND(H118&gt;1,H118&lt;&gt;""),ROUND(SUMIFS(SF_Output!$S$1:$S$400,SF_Output!$AC$1:$AC$400,_xlfn.TEXTJOIN(",",TRUE,B118:E118),SF_Output!$Q$1:$Q$400,"monthly")*(1-W118)/H118,4),""),"")</f>
        <v/>
      </c>
      <c r="J118" s="6">
        <f>IF(B118="","",SUMIFS(SF_Output!$S$1:$S$400,SF_Output!$AC$1:$AC$400,_xlfn.TEXTJOIN(",",TRUE,B118:E118),SF_Output!$Q$1:$Q$400,"One Time",SF_Output!$L$1:$L$400,"license fee")+SUMIFS(SF_Output!$S$1:$S$400,SF_Output!$AC$1:$AC$400,_xlfn.TEXTJOIN(",",TRUE,B118:E118),SF_Output!$Q$1:$Q$400,"One Time",SF_Output!$L$1:$L$400,"software license")+SUMIFS(SF_Output!$S$1:$S$400,SF_Output!$AC$1:$AC$400,_xlfn.TEXTJOIN(",",TRUE,B118:E118),SF_Output!$Q$1:$Q$400,"One Time",SF_Output!$L$1:$L$400,"hardware"))</f>
        <v>0</v>
      </c>
      <c r="K118" s="112" t="str">
        <f>IF(OR(B118=0,B118="",G118="hardware",J118=0),"",IF(AF118&lt;&gt;"exclusion",MAX(K$9,-((SUMIFS(SF_Output!$T$1:$T$400,SF_Output!$AC$1:$AC$400,_xlfn.TEXTJOIN(",",TRUE,$B118:$E118),SF_Output!$Q$1:$Q$400,"One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license"))/J118)))</f>
        <v/>
      </c>
      <c r="L118" s="6">
        <f t="shared" si="18"/>
        <v>0</v>
      </c>
      <c r="N118" s="6">
        <f>IF(B118="","",SUMIFS(SF_Output!$S$1:$S$400,SF_Output!$AC$1:$AC$400,_xlfn.TEXTJOIN(",",TRUE,B118:E118),SF_Output!$Q$1:$Q$400,"One Time",SF_Output!$L$1:$L$400,"professional service"))</f>
        <v>0</v>
      </c>
      <c r="O118" s="112" t="str">
        <f>IF(OR(B118=0,B118="",N118=0),"",IF(AF118&lt;&gt;"exclusion",MAX(O$9,-(SUMIFS(SF_Output!$T$1:$T$400,SF_Output!$AC$1:$AC$400,_xlfn.TEXTJOIN(",",TRUE,$B118:$E118),SF_Output!$Q$1:$Q$400,"One Time",SF_Output!$L$1:$L$400,"professional service"))/N118),-((SUMIFS(SF_Output!$T$1:$T$400,SF_Output!$AC$1:$AC$400,_xlfn.TEXTJOIN(",",TRUE,$B118:$E118),SF_Output!$Q$1:$Q$400,"One Time",SF_Output!$L$1:$L$400,"professional service")/N118))))</f>
        <v/>
      </c>
      <c r="P118" s="6">
        <f t="shared" si="19"/>
        <v>0</v>
      </c>
      <c r="R118" s="6">
        <f>IF(B118="","",SUMIFS(SF_Output!$S$1:$S$400,SF_Output!$AC$1:$AC$400,_xlfn.TEXTJOIN(",",TRUE,B118:E118),SF_Output!$Q$1:$Q$400,"yearly")+SUMIFS(SF_Output!$S$1:$S$400,SF_Output!$AC$1:$AC$400,_xlfn.TEXTJOIN(",",TRUE,B118:E118),SF_Output!$Q$1:$Q$400,"quarterly")*4)</f>
        <v>0</v>
      </c>
      <c r="S118" s="112" t="str">
        <f>IF(OR(B118=0,B118="",G118="hardware",R118=0),"",IF(AF118&lt;&gt;"exclusion",MAX(S$9,-(SUMIFS(SF_Output!$T$1:$T$400,SF_Output!$AC$1:$AC$400,_xlfn.TEXTJOIN(",",TRUE,$B118:$E118),SF_Output!$Q$1:$Q$400,"yearly"))/R118),-((SUMIFS(SF_Output!$T$1:$T$400,SF_Output!$AC$1:$AC$400,_xlfn.TEXTJOIN(",",TRUE,$B118:$E118),SF_Output!$Q$1:$Q$400,"yearly")/R118))))</f>
        <v/>
      </c>
      <c r="T118" s="6">
        <f t="shared" si="20"/>
        <v>0</v>
      </c>
      <c r="V118" s="6" cm="1">
        <f t="array" ref="V118">_xlfn.IFS(B118="","",AND(B118&lt;&gt;"",H118=SF_Output!$Y$2,SUMIFS(SF_Output!$T$1:$T$400,SF_Output!$AC$1:$AC$400,_xlfn.TEXTJOIN(",",TRUE,B118:E118),SF_Output!$Q$1:$Q$400,"monthly")=0),(SUMIFS(SF_Output!$F$1:$F$400,SF_Output!$AC$1:$AC$400,_xlfn.TEXTJOIN(",",TRUE,B118:E118),SF_Output!$Q$1:$Q$400,"monthly")+SUMIFS(SF_Output!$G$1:$G$400,SF_Output!$AC$1:$AC$400,_xlfn.TEXTJOIN(",",TRUE,B118:E118),SF_Output!$Q$1:$Q$400,"monthly"))*H118,AND(B118&lt;&gt;"",H118=SF_Output!$Y$2,SUMIFS(SF_Output!$T$1:$T$400,SF_Output!$AC$1:$AC$400,_xlfn.TEXTJOIN(",",TRUE,B118:E118),SF_Output!$Q$1:$Q$400,"monthly")&lt;&gt;0),SUMIFS(SF_Output!$S$1:$S$400,SF_Output!$AC$1:$AC$400,_xlfn.TEXTJOIN(",",TRUE,B118:E118),SF_Output!$Q$1:$Q$400,"monthly"),AND(B118&lt;&gt;"",H118&lt;&gt;SF_Output!$Y$2),SUMIFS(SF_Output!$S$1:$S$400,SF_Output!$AC$1:$AC$400,_xlfn.TEXTJOIN(",",TRUE,B118:E118),SF_Output!$Q$1:$Q$400,"monthly"))</f>
        <v>0</v>
      </c>
      <c r="W118" s="112" t="str" cm="1">
        <f t="array" ref="W118">_xlfn.IFS(OR(B118=0,B118="",V118=0),"",AF118&lt;&gt;"exclusion",MAX($W$9,$W$7,(-(SUMIFS(SF_Output!$T$1:$T$400,SF_Output!$AC$1:$AC$400,_xlfn.TEXTJOIN(",",TRUE,$B118:$E118),SF_Output!$Q$1:$Q$400,"monthly"))/V118)),AF118="exclusion",-(SUMIFS(SF_Output!$T$1:$T$400,SF_Output!$AC$1:$AC$400,_xlfn.TEXTJOIN(",",TRUE,$B118:$E118),SF_Output!$Q$1:$Q$400,"monthly"))/V118)</f>
        <v/>
      </c>
      <c r="X118" s="6" cm="1">
        <f t="array" ref="X118">IFERROR(_xlfn.IFS(V118=0,0,V118="","",W118=0,V118,OR(V118&lt;&gt;0,V118&lt;&gt;""),H118*I118),V118*(1-W118))</f>
        <v>0</v>
      </c>
      <c r="Z118" s="6">
        <f>IFERROR(IF(B118="","",SUMIFS(Billing_Fallout!H:H,Billing_Fallout!N:N,B118)),0)</f>
        <v>0</v>
      </c>
      <c r="AA118" s="6">
        <f t="shared" si="21"/>
        <v>0</v>
      </c>
      <c r="AB118" s="6">
        <f>IFERROR(IF(B118="","",SUMIFS(Billing_Fallout!J:J,Billing_Fallout!N:N,B118)),0)</f>
        <v>0</v>
      </c>
      <c r="AD118" s="6">
        <f t="shared" si="22"/>
        <v>0</v>
      </c>
      <c r="AF118" t="str">
        <f>IFERROR(INDEX(H_Tables!$B$1:$B$1500,MATCH(INDEX(SF_Output!$J$1:$J$400,MATCH(B118,SF_Output!$M$1:$M$400,0)),H_Tables!$A$1:$A$1500,0)),"")</f>
        <v>Exclusion</v>
      </c>
      <c r="AI118" s="119" t="str">
        <f t="shared" si="23"/>
        <v/>
      </c>
      <c r="AJ118" s="121">
        <f>IFERROR(INDEX(SF_Output!AD:AD,MATCH(_xlfn.TEXTJOIN(",",TRUE,B118:E118),SF_Output!AC1:AC400,0)),0.05)</f>
        <v>196</v>
      </c>
      <c r="AK118" t="str">
        <f>IF(SUMIFS(SF_Output!$F$1:$F$400,SF_Output!$AC$1:$AC$400,_xlfn.TEXTJOIN(",",TRUE,B118:E118))+SUMIFS(SF_Output!$G$1:$G$400,SF_Output!$AC$1:$AC$400,_xlfn.TEXTJOIN(",",TRUE,B118:E118))=0,"","PAP")</f>
        <v/>
      </c>
      <c r="AQ118" s="35"/>
      <c r="AR118" s="35" t="str" cm="1">
        <f t="array" ref="AR118">IFERROR(_xlfn.IFS(AND(E118*1=1,F118="Included"),"Change to Included",AND(E118*1=0,F118="Optional"),"Change to Optional",OR(B118="",F118="replaced"),""),"")</f>
        <v/>
      </c>
      <c r="AS118" s="35" t="str">
        <f t="shared" si="24"/>
        <v/>
      </c>
      <c r="AT118" s="35" t="str">
        <f t="shared" si="25"/>
        <v/>
      </c>
      <c r="AU118" s="35" t="str">
        <f t="shared" si="26"/>
        <v/>
      </c>
      <c r="AV118" s="35" t="str">
        <f t="shared" si="27"/>
        <v/>
      </c>
      <c r="AW118" s="35" t="str">
        <f t="shared" si="28"/>
        <v/>
      </c>
      <c r="AX118" s="35" t="str">
        <f t="shared" si="29"/>
        <v/>
      </c>
      <c r="AY118" s="35" t="str">
        <f t="shared" si="30"/>
        <v/>
      </c>
      <c r="AZ118" s="35" t="str">
        <f t="shared" si="31"/>
        <v/>
      </c>
      <c r="BA118" s="35" t="str">
        <f t="shared" si="32"/>
        <v/>
      </c>
      <c r="BB118" s="35" t="str">
        <f t="shared" si="33"/>
        <v/>
      </c>
      <c r="BC118" s="35"/>
      <c r="BE118" s="35">
        <f ca="1">INDEX(SF_Output!$AA$2:$AA$400,MATCH($B118,SF_Output!$M$2:$M$400,0))</f>
        <v>6</v>
      </c>
      <c r="BF118" s="35">
        <f ca="1">INDEX(SF_Output!$AB$2:$AB$400,MATCH($B118,SF_Output!$M$2:$M$400,0))</f>
        <v>1</v>
      </c>
    </row>
    <row r="119" spans="2:58" x14ac:dyDescent="0.25">
      <c r="B119" t="s">
        <v>2396</v>
      </c>
      <c r="C119" t="s">
        <v>2122</v>
      </c>
      <c r="D119" t="s">
        <v>2207</v>
      </c>
      <c r="E119" t="s">
        <v>2124</v>
      </c>
      <c r="F119" s="116" t="str">
        <f t="shared" si="17"/>
        <v>Included</v>
      </c>
      <c r="G119" t="str">
        <f>IF(B119="","",INDEX(SF_Output!$K$1:$K$400,MATCH(B119,SF_Output!$M$1:$M$400,0)))</f>
        <v>Card Processing Solutions (CPS)</v>
      </c>
      <c r="H119" cm="1">
        <f t="array" ref="H119">_xlfn.IFS(B119="","",(SUMIFS(SF_Output!$F$1:$F$400,SF_Output!$AC$1:$AC$400,_xlfn.TEXTJOIN(",",TRUE,B119:E119))+SUMIFS(SF_Output!$G$1:$G$400,SF_Output!$AC$1:$AC$400,_xlfn.TEXTJOIN(",",TRUE,B119:E119)))&lt;&gt;0,SF_Output!$Y$2,INDEX(SF_Output!$F$1:$F$400,MATCH(_xlfn.TEXTJOIN(",",TRUE,B119:E119),SF_Output!$AC$1:$AC$400,0))=0,INDEX(SF_Output!$R$1:$R$400,MATCH(_xlfn.TEXTJOIN(",",TRUE,B119:E119),SF_Output!$AC$1:$AC$400,0)))</f>
        <v>0</v>
      </c>
      <c r="I119" s="125" t="str">
        <f>IFERROR(IF(AND(H119&gt;1,H119&lt;&gt;""),ROUND(SUMIFS(SF_Output!$S$1:$S$400,SF_Output!$AC$1:$AC$400,_xlfn.TEXTJOIN(",",TRUE,B119:E119),SF_Output!$Q$1:$Q$400,"monthly")*(1-W119)/H119,4),""),"")</f>
        <v/>
      </c>
      <c r="J119" s="6">
        <f>IF(B119="","",SUMIFS(SF_Output!$S$1:$S$400,SF_Output!$AC$1:$AC$400,_xlfn.TEXTJOIN(",",TRUE,B119:E119),SF_Output!$Q$1:$Q$400,"One Time",SF_Output!$L$1:$L$400,"license fee")+SUMIFS(SF_Output!$S$1:$S$400,SF_Output!$AC$1:$AC$400,_xlfn.TEXTJOIN(",",TRUE,B119:E119),SF_Output!$Q$1:$Q$400,"One Time",SF_Output!$L$1:$L$400,"software license")+SUMIFS(SF_Output!$S$1:$S$400,SF_Output!$AC$1:$AC$400,_xlfn.TEXTJOIN(",",TRUE,B119:E119),SF_Output!$Q$1:$Q$400,"One Time",SF_Output!$L$1:$L$400,"hardware"))</f>
        <v>0</v>
      </c>
      <c r="K119" s="112" t="str">
        <f>IF(OR(B119=0,B119="",G119="hardware",J119=0),"",IF(AF119&lt;&gt;"exclusion",MAX(K$9,-((SUMIFS(SF_Output!$T$1:$T$400,SF_Output!$AC$1:$AC$400,_xlfn.TEXTJOIN(",",TRUE,$B119:$E119),SF_Output!$Q$1:$Q$400,"One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license"))/J119)))</f>
        <v/>
      </c>
      <c r="L119" s="6">
        <f t="shared" si="18"/>
        <v>0</v>
      </c>
      <c r="N119" s="6">
        <f>IF(B119="","",SUMIFS(SF_Output!$S$1:$S$400,SF_Output!$AC$1:$AC$400,_xlfn.TEXTJOIN(",",TRUE,B119:E119),SF_Output!$Q$1:$Q$400,"One Time",SF_Output!$L$1:$L$400,"professional service"))</f>
        <v>0</v>
      </c>
      <c r="O119" s="112" t="str">
        <f>IF(OR(B119=0,B119="",N119=0),"",IF(AF119&lt;&gt;"exclusion",MAX(O$9,-(SUMIFS(SF_Output!$T$1:$T$400,SF_Output!$AC$1:$AC$400,_xlfn.TEXTJOIN(",",TRUE,$B119:$E119),SF_Output!$Q$1:$Q$400,"One Time",SF_Output!$L$1:$L$400,"professional service"))/N119),-((SUMIFS(SF_Output!$T$1:$T$400,SF_Output!$AC$1:$AC$400,_xlfn.TEXTJOIN(",",TRUE,$B119:$E119),SF_Output!$Q$1:$Q$400,"One Time",SF_Output!$L$1:$L$400,"professional service")/N119))))</f>
        <v/>
      </c>
      <c r="P119" s="6">
        <f t="shared" si="19"/>
        <v>0</v>
      </c>
      <c r="R119" s="6">
        <f>IF(B119="","",SUMIFS(SF_Output!$S$1:$S$400,SF_Output!$AC$1:$AC$400,_xlfn.TEXTJOIN(",",TRUE,B119:E119),SF_Output!$Q$1:$Q$400,"yearly")+SUMIFS(SF_Output!$S$1:$S$400,SF_Output!$AC$1:$AC$400,_xlfn.TEXTJOIN(",",TRUE,B119:E119),SF_Output!$Q$1:$Q$400,"quarterly")*4)</f>
        <v>0</v>
      </c>
      <c r="S119" s="112" t="str">
        <f>IF(OR(B119=0,B119="",G119="hardware",R119=0),"",IF(AF119&lt;&gt;"exclusion",MAX(S$9,-(SUMIFS(SF_Output!$T$1:$T$400,SF_Output!$AC$1:$AC$400,_xlfn.TEXTJOIN(",",TRUE,$B119:$E119),SF_Output!$Q$1:$Q$400,"yearly"))/R119),-((SUMIFS(SF_Output!$T$1:$T$400,SF_Output!$AC$1:$AC$400,_xlfn.TEXTJOIN(",",TRUE,$B119:$E119),SF_Output!$Q$1:$Q$400,"yearly")/R119))))</f>
        <v/>
      </c>
      <c r="T119" s="6">
        <f t="shared" si="20"/>
        <v>0</v>
      </c>
      <c r="V119" s="6" cm="1">
        <f t="array" ref="V119">_xlfn.IFS(B119="","",AND(B119&lt;&gt;"",H119=SF_Output!$Y$2,SUMIFS(SF_Output!$T$1:$T$400,SF_Output!$AC$1:$AC$400,_xlfn.TEXTJOIN(",",TRUE,B119:E119),SF_Output!$Q$1:$Q$400,"monthly")=0),(SUMIFS(SF_Output!$F$1:$F$400,SF_Output!$AC$1:$AC$400,_xlfn.TEXTJOIN(",",TRUE,B119:E119),SF_Output!$Q$1:$Q$400,"monthly")+SUMIFS(SF_Output!$G$1:$G$400,SF_Output!$AC$1:$AC$400,_xlfn.TEXTJOIN(",",TRUE,B119:E119),SF_Output!$Q$1:$Q$400,"monthly"))*H119,AND(B119&lt;&gt;"",H119=SF_Output!$Y$2,SUMIFS(SF_Output!$T$1:$T$400,SF_Output!$AC$1:$AC$400,_xlfn.TEXTJOIN(",",TRUE,B119:E119),SF_Output!$Q$1:$Q$400,"monthly")&lt;&gt;0),SUMIFS(SF_Output!$S$1:$S$400,SF_Output!$AC$1:$AC$400,_xlfn.TEXTJOIN(",",TRUE,B119:E119),SF_Output!$Q$1:$Q$400,"monthly"),AND(B119&lt;&gt;"",H119&lt;&gt;SF_Output!$Y$2),SUMIFS(SF_Output!$S$1:$S$400,SF_Output!$AC$1:$AC$400,_xlfn.TEXTJOIN(",",TRUE,B119:E119),SF_Output!$Q$1:$Q$400,"monthly"))</f>
        <v>0</v>
      </c>
      <c r="W119" s="112" t="str" cm="1">
        <f t="array" ref="W119">_xlfn.IFS(OR(B119=0,B119="",V119=0),"",AF119&lt;&gt;"exclusion",MAX($W$9,$W$7,(-(SUMIFS(SF_Output!$T$1:$T$400,SF_Output!$AC$1:$AC$400,_xlfn.TEXTJOIN(",",TRUE,$B119:$E119),SF_Output!$Q$1:$Q$400,"monthly"))/V119)),AF119="exclusion",-(SUMIFS(SF_Output!$T$1:$T$400,SF_Output!$AC$1:$AC$400,_xlfn.TEXTJOIN(",",TRUE,$B119:$E119),SF_Output!$Q$1:$Q$400,"monthly"))/V119)</f>
        <v/>
      </c>
      <c r="X119" s="6" cm="1">
        <f t="array" ref="X119">IFERROR(_xlfn.IFS(V119=0,0,V119="","",W119=0,V119,OR(V119&lt;&gt;0,V119&lt;&gt;""),H119*I119),V119*(1-W119))</f>
        <v>0</v>
      </c>
      <c r="Z119" s="6">
        <f>IFERROR(IF(B119="","",SUMIFS(Billing_Fallout!H:H,Billing_Fallout!N:N,B119)),0)</f>
        <v>0</v>
      </c>
      <c r="AA119" s="6">
        <f t="shared" si="21"/>
        <v>0</v>
      </c>
      <c r="AB119" s="6">
        <f>IFERROR(IF(B119="","",SUMIFS(Billing_Fallout!J:J,Billing_Fallout!N:N,B119)),0)</f>
        <v>0</v>
      </c>
      <c r="AD119" s="6">
        <f t="shared" si="22"/>
        <v>0</v>
      </c>
      <c r="AF119" t="str">
        <f>IFERROR(INDEX(H_Tables!$B$1:$B$1500,MATCH(INDEX(SF_Output!$J$1:$J$400,MATCH(B119,SF_Output!$M$1:$M$400,0)),H_Tables!$A$1:$A$1500,0)),"")</f>
        <v>Exclusion</v>
      </c>
      <c r="AI119" s="119" t="str">
        <f t="shared" si="23"/>
        <v/>
      </c>
      <c r="AJ119" s="121">
        <f>IFERROR(INDEX(SF_Output!AD:AD,MATCH(_xlfn.TEXTJOIN(",",TRUE,B119:E119),SF_Output!AC1:AC400,0)),0.05)</f>
        <v>197</v>
      </c>
      <c r="AK119" t="str">
        <f>IF(SUMIFS(SF_Output!$F$1:$F$400,SF_Output!$AC$1:$AC$400,_xlfn.TEXTJOIN(",",TRUE,B119:E119))+SUMIFS(SF_Output!$G$1:$G$400,SF_Output!$AC$1:$AC$400,_xlfn.TEXTJOIN(",",TRUE,B119:E119))=0,"","PAP")</f>
        <v/>
      </c>
      <c r="AQ119" s="35"/>
      <c r="AR119" s="35" t="str" cm="1">
        <f t="array" ref="AR119">IFERROR(_xlfn.IFS(AND(E119*1=1,F119="Included"),"Change to Included",AND(E119*1=0,F119="Optional"),"Change to Optional",OR(B119="",F119="replaced"),""),"")</f>
        <v/>
      </c>
      <c r="AS119" s="35" t="str">
        <f t="shared" si="24"/>
        <v/>
      </c>
      <c r="AT119" s="35" t="str">
        <f t="shared" si="25"/>
        <v/>
      </c>
      <c r="AU119" s="35" t="str">
        <f t="shared" si="26"/>
        <v/>
      </c>
      <c r="AV119" s="35" t="str">
        <f t="shared" si="27"/>
        <v/>
      </c>
      <c r="AW119" s="35" t="str">
        <f t="shared" si="28"/>
        <v/>
      </c>
      <c r="AX119" s="35" t="str">
        <f t="shared" si="29"/>
        <v/>
      </c>
      <c r="AY119" s="35" t="str">
        <f t="shared" si="30"/>
        <v/>
      </c>
      <c r="AZ119" s="35" t="str">
        <f t="shared" si="31"/>
        <v/>
      </c>
      <c r="BA119" s="35" t="str">
        <f t="shared" si="32"/>
        <v/>
      </c>
      <c r="BB119" s="35" t="str">
        <f t="shared" si="33"/>
        <v/>
      </c>
      <c r="BC119" s="35"/>
      <c r="BE119" s="35">
        <f ca="1">INDEX(SF_Output!$AA$2:$AA$400,MATCH($B119,SF_Output!$M$2:$M$400,0))</f>
        <v>6</v>
      </c>
      <c r="BF119" s="35">
        <f ca="1">INDEX(SF_Output!$AB$2:$AB$400,MATCH($B119,SF_Output!$M$2:$M$400,0))</f>
        <v>1</v>
      </c>
    </row>
    <row r="120" spans="2:58" x14ac:dyDescent="0.25">
      <c r="B120" t="s">
        <v>2398</v>
      </c>
      <c r="C120" t="s">
        <v>2122</v>
      </c>
      <c r="D120" t="s">
        <v>2207</v>
      </c>
      <c r="E120" t="s">
        <v>2124</v>
      </c>
      <c r="F120" s="116" t="str">
        <f t="shared" si="17"/>
        <v>Included</v>
      </c>
      <c r="G120" t="str">
        <f>IF(B120="","",INDEX(SF_Output!$K$1:$K$400,MATCH(B120,SF_Output!$M$1:$M$400,0)))</f>
        <v>Card Processing Solutions (CPS)</v>
      </c>
      <c r="H120" cm="1">
        <f t="array" ref="H120">_xlfn.IFS(B120="","",(SUMIFS(SF_Output!$F$1:$F$400,SF_Output!$AC$1:$AC$400,_xlfn.TEXTJOIN(",",TRUE,B120:E120))+SUMIFS(SF_Output!$G$1:$G$400,SF_Output!$AC$1:$AC$400,_xlfn.TEXTJOIN(",",TRUE,B120:E120)))&lt;&gt;0,SF_Output!$Y$2,INDEX(SF_Output!$F$1:$F$400,MATCH(_xlfn.TEXTJOIN(",",TRUE,B120:E120),SF_Output!$AC$1:$AC$400,0))=0,INDEX(SF_Output!$R$1:$R$400,MATCH(_xlfn.TEXTJOIN(",",TRUE,B120:E120),SF_Output!$AC$1:$AC$400,0)))</f>
        <v>0</v>
      </c>
      <c r="I120" s="125" t="str">
        <f>IFERROR(IF(AND(H120&gt;1,H120&lt;&gt;""),ROUND(SUMIFS(SF_Output!$S$1:$S$400,SF_Output!$AC$1:$AC$400,_xlfn.TEXTJOIN(",",TRUE,B120:E120),SF_Output!$Q$1:$Q$400,"monthly")*(1-W120)/H120,4),""),"")</f>
        <v/>
      </c>
      <c r="J120" s="6">
        <f>IF(B120="","",SUMIFS(SF_Output!$S$1:$S$400,SF_Output!$AC$1:$AC$400,_xlfn.TEXTJOIN(",",TRUE,B120:E120),SF_Output!$Q$1:$Q$400,"One Time",SF_Output!$L$1:$L$400,"license fee")+SUMIFS(SF_Output!$S$1:$S$400,SF_Output!$AC$1:$AC$400,_xlfn.TEXTJOIN(",",TRUE,B120:E120),SF_Output!$Q$1:$Q$400,"One Time",SF_Output!$L$1:$L$400,"software license")+SUMIFS(SF_Output!$S$1:$S$400,SF_Output!$AC$1:$AC$400,_xlfn.TEXTJOIN(",",TRUE,B120:E120),SF_Output!$Q$1:$Q$400,"One Time",SF_Output!$L$1:$L$400,"hardware"))</f>
        <v>0</v>
      </c>
      <c r="K120" s="112" t="str">
        <f>IF(OR(B120=0,B120="",G120="hardware",J120=0),"",IF(AF120&lt;&gt;"exclusion",MAX(K$9,-((SUMIFS(SF_Output!$T$1:$T$400,SF_Output!$AC$1:$AC$400,_xlfn.TEXTJOIN(",",TRUE,$B120:$E120),SF_Output!$Q$1:$Q$400,"One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license"))/J120)))</f>
        <v/>
      </c>
      <c r="L120" s="6">
        <f t="shared" si="18"/>
        <v>0</v>
      </c>
      <c r="N120" s="6">
        <f>IF(B120="","",SUMIFS(SF_Output!$S$1:$S$400,SF_Output!$AC$1:$AC$400,_xlfn.TEXTJOIN(",",TRUE,B120:E120),SF_Output!$Q$1:$Q$400,"One Time",SF_Output!$L$1:$L$400,"professional service"))</f>
        <v>0</v>
      </c>
      <c r="O120" s="112" t="str">
        <f>IF(OR(B120=0,B120="",N120=0),"",IF(AF120&lt;&gt;"exclusion",MAX(O$9,-(SUMIFS(SF_Output!$T$1:$T$400,SF_Output!$AC$1:$AC$400,_xlfn.TEXTJOIN(",",TRUE,$B120:$E120),SF_Output!$Q$1:$Q$400,"One Time",SF_Output!$L$1:$L$400,"professional service"))/N120),-((SUMIFS(SF_Output!$T$1:$T$400,SF_Output!$AC$1:$AC$400,_xlfn.TEXTJOIN(",",TRUE,$B120:$E120),SF_Output!$Q$1:$Q$400,"One Time",SF_Output!$L$1:$L$400,"professional service")/N120))))</f>
        <v/>
      </c>
      <c r="P120" s="6">
        <f t="shared" si="19"/>
        <v>0</v>
      </c>
      <c r="R120" s="6">
        <f>IF(B120="","",SUMIFS(SF_Output!$S$1:$S$400,SF_Output!$AC$1:$AC$400,_xlfn.TEXTJOIN(",",TRUE,B120:E120),SF_Output!$Q$1:$Q$400,"yearly")+SUMIFS(SF_Output!$S$1:$S$400,SF_Output!$AC$1:$AC$400,_xlfn.TEXTJOIN(",",TRUE,B120:E120),SF_Output!$Q$1:$Q$400,"quarterly")*4)</f>
        <v>0</v>
      </c>
      <c r="S120" s="112" t="str">
        <f>IF(OR(B120=0,B120="",G120="hardware",R120=0),"",IF(AF120&lt;&gt;"exclusion",MAX(S$9,-(SUMIFS(SF_Output!$T$1:$T$400,SF_Output!$AC$1:$AC$400,_xlfn.TEXTJOIN(",",TRUE,$B120:$E120),SF_Output!$Q$1:$Q$400,"yearly"))/R120),-((SUMIFS(SF_Output!$T$1:$T$400,SF_Output!$AC$1:$AC$400,_xlfn.TEXTJOIN(",",TRUE,$B120:$E120),SF_Output!$Q$1:$Q$400,"yearly")/R120))))</f>
        <v/>
      </c>
      <c r="T120" s="6">
        <f t="shared" si="20"/>
        <v>0</v>
      </c>
      <c r="V120" s="6" cm="1">
        <f t="array" ref="V120">_xlfn.IFS(B120="","",AND(B120&lt;&gt;"",H120=SF_Output!$Y$2,SUMIFS(SF_Output!$T$1:$T$400,SF_Output!$AC$1:$AC$400,_xlfn.TEXTJOIN(",",TRUE,B120:E120),SF_Output!$Q$1:$Q$400,"monthly")=0),(SUMIFS(SF_Output!$F$1:$F$400,SF_Output!$AC$1:$AC$400,_xlfn.TEXTJOIN(",",TRUE,B120:E120),SF_Output!$Q$1:$Q$400,"monthly")+SUMIFS(SF_Output!$G$1:$G$400,SF_Output!$AC$1:$AC$400,_xlfn.TEXTJOIN(",",TRUE,B120:E120),SF_Output!$Q$1:$Q$400,"monthly"))*H120,AND(B120&lt;&gt;"",H120=SF_Output!$Y$2,SUMIFS(SF_Output!$T$1:$T$400,SF_Output!$AC$1:$AC$400,_xlfn.TEXTJOIN(",",TRUE,B120:E120),SF_Output!$Q$1:$Q$400,"monthly")&lt;&gt;0),SUMIFS(SF_Output!$S$1:$S$400,SF_Output!$AC$1:$AC$400,_xlfn.TEXTJOIN(",",TRUE,B120:E120),SF_Output!$Q$1:$Q$400,"monthly"),AND(B120&lt;&gt;"",H120&lt;&gt;SF_Output!$Y$2),SUMIFS(SF_Output!$S$1:$S$400,SF_Output!$AC$1:$AC$400,_xlfn.TEXTJOIN(",",TRUE,B120:E120),SF_Output!$Q$1:$Q$400,"monthly"))</f>
        <v>0</v>
      </c>
      <c r="W120" s="112" t="str" cm="1">
        <f t="array" ref="W120">_xlfn.IFS(OR(B120=0,B120="",V120=0),"",AF120&lt;&gt;"exclusion",MAX($W$9,$W$7,(-(SUMIFS(SF_Output!$T$1:$T$400,SF_Output!$AC$1:$AC$400,_xlfn.TEXTJOIN(",",TRUE,$B120:$E120),SF_Output!$Q$1:$Q$400,"monthly"))/V120)),AF120="exclusion",-(SUMIFS(SF_Output!$T$1:$T$400,SF_Output!$AC$1:$AC$400,_xlfn.TEXTJOIN(",",TRUE,$B120:$E120),SF_Output!$Q$1:$Q$400,"monthly"))/V120)</f>
        <v/>
      </c>
      <c r="X120" s="6" cm="1">
        <f t="array" ref="X120">IFERROR(_xlfn.IFS(V120=0,0,V120="","",W120=0,V120,OR(V120&lt;&gt;0,V120&lt;&gt;""),H120*I120),V120*(1-W120))</f>
        <v>0</v>
      </c>
      <c r="Z120" s="6">
        <f>IFERROR(IF(B120="","",SUMIFS(Billing_Fallout!H:H,Billing_Fallout!N:N,B120)),0)</f>
        <v>0</v>
      </c>
      <c r="AA120" s="6">
        <f t="shared" si="21"/>
        <v>0</v>
      </c>
      <c r="AB120" s="6">
        <f>IFERROR(IF(B120="","",SUMIFS(Billing_Fallout!J:J,Billing_Fallout!N:N,B120)),0)</f>
        <v>0</v>
      </c>
      <c r="AD120" s="6">
        <f t="shared" si="22"/>
        <v>0</v>
      </c>
      <c r="AF120" t="str">
        <f>IFERROR(INDEX(H_Tables!$B$1:$B$1500,MATCH(INDEX(SF_Output!$J$1:$J$400,MATCH(B120,SF_Output!$M$1:$M$400,0)),H_Tables!$A$1:$A$1500,0)),"")</f>
        <v>Exclusion</v>
      </c>
      <c r="AI120" s="119" t="str">
        <f t="shared" si="23"/>
        <v/>
      </c>
      <c r="AJ120" s="121">
        <f>IFERROR(INDEX(SF_Output!AD:AD,MATCH(_xlfn.TEXTJOIN(",",TRUE,B120:E120),SF_Output!AC1:AC400,0)),0.05)</f>
        <v>198</v>
      </c>
      <c r="AK120" t="str">
        <f>IF(SUMIFS(SF_Output!$F$1:$F$400,SF_Output!$AC$1:$AC$400,_xlfn.TEXTJOIN(",",TRUE,B120:E120))+SUMIFS(SF_Output!$G$1:$G$400,SF_Output!$AC$1:$AC$400,_xlfn.TEXTJOIN(",",TRUE,B120:E120))=0,"","PAP")</f>
        <v/>
      </c>
      <c r="AQ120" s="35"/>
      <c r="AR120" s="35" t="str" cm="1">
        <f t="array" ref="AR120">IFERROR(_xlfn.IFS(AND(E120*1=1,F120="Included"),"Change to Included",AND(E120*1=0,F120="Optional"),"Change to Optional",OR(B120="",F120="replaced"),""),"")</f>
        <v/>
      </c>
      <c r="AS120" s="35" t="str">
        <f t="shared" si="24"/>
        <v/>
      </c>
      <c r="AT120" s="35" t="str">
        <f t="shared" si="25"/>
        <v/>
      </c>
      <c r="AU120" s="35" t="str">
        <f t="shared" si="26"/>
        <v/>
      </c>
      <c r="AV120" s="35" t="str">
        <f t="shared" si="27"/>
        <v/>
      </c>
      <c r="AW120" s="35" t="str">
        <f t="shared" si="28"/>
        <v/>
      </c>
      <c r="AX120" s="35" t="str">
        <f t="shared" si="29"/>
        <v/>
      </c>
      <c r="AY120" s="35" t="str">
        <f t="shared" si="30"/>
        <v/>
      </c>
      <c r="AZ120" s="35" t="str">
        <f t="shared" si="31"/>
        <v/>
      </c>
      <c r="BA120" s="35" t="str">
        <f t="shared" si="32"/>
        <v/>
      </c>
      <c r="BB120" s="35" t="str">
        <f t="shared" si="33"/>
        <v/>
      </c>
      <c r="BC120" s="35"/>
      <c r="BE120" s="35">
        <f ca="1">INDEX(SF_Output!$AA$2:$AA$400,MATCH($B120,SF_Output!$M$2:$M$400,0))</f>
        <v>6</v>
      </c>
      <c r="BF120" s="35">
        <f ca="1">INDEX(SF_Output!$AB$2:$AB$400,MATCH($B120,SF_Output!$M$2:$M$400,0))</f>
        <v>1</v>
      </c>
    </row>
    <row r="121" spans="2:58" x14ac:dyDescent="0.25">
      <c r="B121" t="s">
        <v>2400</v>
      </c>
      <c r="C121" t="s">
        <v>2122</v>
      </c>
      <c r="D121" t="s">
        <v>2207</v>
      </c>
      <c r="E121" t="s">
        <v>2124</v>
      </c>
      <c r="F121" s="116" t="str">
        <f t="shared" si="17"/>
        <v>Included</v>
      </c>
      <c r="G121" t="str">
        <f>IF(B121="","",INDEX(SF_Output!$K$1:$K$400,MATCH(B121,SF_Output!$M$1:$M$400,0)))</f>
        <v>Card Processing Solutions (CPS)</v>
      </c>
      <c r="H121" cm="1">
        <f t="array" ref="H121">_xlfn.IFS(B121="","",(SUMIFS(SF_Output!$F$1:$F$400,SF_Output!$AC$1:$AC$400,_xlfn.TEXTJOIN(",",TRUE,B121:E121))+SUMIFS(SF_Output!$G$1:$G$400,SF_Output!$AC$1:$AC$400,_xlfn.TEXTJOIN(",",TRUE,B121:E121)))&lt;&gt;0,SF_Output!$Y$2,INDEX(SF_Output!$F$1:$F$400,MATCH(_xlfn.TEXTJOIN(",",TRUE,B121:E121),SF_Output!$AC$1:$AC$400,0))=0,INDEX(SF_Output!$R$1:$R$400,MATCH(_xlfn.TEXTJOIN(",",TRUE,B121:E121),SF_Output!$AC$1:$AC$400,0)))</f>
        <v>1</v>
      </c>
      <c r="I121" s="125" t="str">
        <f>IFERROR(IF(AND(H121&gt;1,H121&lt;&gt;""),ROUND(SUMIFS(SF_Output!$S$1:$S$400,SF_Output!$AC$1:$AC$400,_xlfn.TEXTJOIN(",",TRUE,B121:E121),SF_Output!$Q$1:$Q$400,"monthly")*(1-W121)/H121,4),""),"")</f>
        <v/>
      </c>
      <c r="J121" s="6">
        <f>IF(B121="","",SUMIFS(SF_Output!$S$1:$S$400,SF_Output!$AC$1:$AC$400,_xlfn.TEXTJOIN(",",TRUE,B121:E121),SF_Output!$Q$1:$Q$400,"One Time",SF_Output!$L$1:$L$400,"license fee")+SUMIFS(SF_Output!$S$1:$S$400,SF_Output!$AC$1:$AC$400,_xlfn.TEXTJOIN(",",TRUE,B121:E121),SF_Output!$Q$1:$Q$400,"One Time",SF_Output!$L$1:$L$400,"software license")+SUMIFS(SF_Output!$S$1:$S$400,SF_Output!$AC$1:$AC$400,_xlfn.TEXTJOIN(",",TRUE,B121:E121),SF_Output!$Q$1:$Q$400,"One Time",SF_Output!$L$1:$L$400,"hardware"))</f>
        <v>0</v>
      </c>
      <c r="K121" s="112" t="str">
        <f>IF(OR(B121=0,B121="",G121="hardware",J121=0),"",IF(AF121&lt;&gt;"exclusion",MAX(K$9,-((SUMIFS(SF_Output!$T$1:$T$400,SF_Output!$AC$1:$AC$400,_xlfn.TEXTJOIN(",",TRUE,$B121:$E121),SF_Output!$Q$1:$Q$400,"One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license"))/J121)))</f>
        <v/>
      </c>
      <c r="L121" s="6">
        <f t="shared" si="18"/>
        <v>0</v>
      </c>
      <c r="N121" s="6">
        <f>IF(B121="","",SUMIFS(SF_Output!$S$1:$S$400,SF_Output!$AC$1:$AC$400,_xlfn.TEXTJOIN(",",TRUE,B121:E121),SF_Output!$Q$1:$Q$400,"One Time",SF_Output!$L$1:$L$400,"professional service"))</f>
        <v>16000</v>
      </c>
      <c r="O121" s="112">
        <f>IF(OR(B121=0,B121="",N121=0),"",IF(AF121&lt;&gt;"exclusion",MAX(O$9,-(SUMIFS(SF_Output!$T$1:$T$400,SF_Output!$AC$1:$AC$400,_xlfn.TEXTJOIN(",",TRUE,$B121:$E121),SF_Output!$Q$1:$Q$400,"One Time",SF_Output!$L$1:$L$400,"professional service"))/N121),-((SUMIFS(SF_Output!$T$1:$T$400,SF_Output!$AC$1:$AC$400,_xlfn.TEXTJOIN(",",TRUE,$B121:$E121),SF_Output!$Q$1:$Q$400,"One Time",SF_Output!$L$1:$L$400,"professional service")/N121))))</f>
        <v>1</v>
      </c>
      <c r="P121" s="6">
        <f t="shared" si="19"/>
        <v>0</v>
      </c>
      <c r="R121" s="6">
        <f>IF(B121="","",SUMIFS(SF_Output!$S$1:$S$400,SF_Output!$AC$1:$AC$400,_xlfn.TEXTJOIN(",",TRUE,B121:E121),SF_Output!$Q$1:$Q$400,"yearly")+SUMIFS(SF_Output!$S$1:$S$400,SF_Output!$AC$1:$AC$400,_xlfn.TEXTJOIN(",",TRUE,B121:E121),SF_Output!$Q$1:$Q$400,"quarterly")*4)</f>
        <v>0</v>
      </c>
      <c r="S121" s="112" t="str">
        <f>IF(OR(B121=0,B121="",G121="hardware",R121=0),"",IF(AF121&lt;&gt;"exclusion",MAX(S$9,-(SUMIFS(SF_Output!$T$1:$T$400,SF_Output!$AC$1:$AC$400,_xlfn.TEXTJOIN(",",TRUE,$B121:$E121),SF_Output!$Q$1:$Q$400,"yearly"))/R121),-((SUMIFS(SF_Output!$T$1:$T$400,SF_Output!$AC$1:$AC$400,_xlfn.TEXTJOIN(",",TRUE,$B121:$E121),SF_Output!$Q$1:$Q$400,"yearly")/R121))))</f>
        <v/>
      </c>
      <c r="T121" s="6">
        <f t="shared" si="20"/>
        <v>0</v>
      </c>
      <c r="V121" s="6" cm="1">
        <f t="array" ref="V121">_xlfn.IFS(B121="","",AND(B121&lt;&gt;"",H121=SF_Output!$Y$2,SUMIFS(SF_Output!$T$1:$T$400,SF_Output!$AC$1:$AC$400,_xlfn.TEXTJOIN(",",TRUE,B121:E121),SF_Output!$Q$1:$Q$400,"monthly")=0),(SUMIFS(SF_Output!$F$1:$F$400,SF_Output!$AC$1:$AC$400,_xlfn.TEXTJOIN(",",TRUE,B121:E121),SF_Output!$Q$1:$Q$400,"monthly")+SUMIFS(SF_Output!$G$1:$G$400,SF_Output!$AC$1:$AC$400,_xlfn.TEXTJOIN(",",TRUE,B121:E121),SF_Output!$Q$1:$Q$400,"monthly"))*H121,AND(B121&lt;&gt;"",H121=SF_Output!$Y$2,SUMIFS(SF_Output!$T$1:$T$400,SF_Output!$AC$1:$AC$400,_xlfn.TEXTJOIN(",",TRUE,B121:E121),SF_Output!$Q$1:$Q$400,"monthly")&lt;&gt;0),SUMIFS(SF_Output!$S$1:$S$400,SF_Output!$AC$1:$AC$400,_xlfn.TEXTJOIN(",",TRUE,B121:E121),SF_Output!$Q$1:$Q$400,"monthly"),AND(B121&lt;&gt;"",H121&lt;&gt;SF_Output!$Y$2),SUMIFS(SF_Output!$S$1:$S$400,SF_Output!$AC$1:$AC$400,_xlfn.TEXTJOIN(",",TRUE,B121:E121),SF_Output!$Q$1:$Q$400,"monthly"))</f>
        <v>0</v>
      </c>
      <c r="W121" s="112" t="str" cm="1">
        <f t="array" ref="W121">_xlfn.IFS(OR(B121=0,B121="",V121=0),"",AF121&lt;&gt;"exclusion",MAX($W$9,$W$7,(-(SUMIFS(SF_Output!$T$1:$T$400,SF_Output!$AC$1:$AC$400,_xlfn.TEXTJOIN(",",TRUE,$B121:$E121),SF_Output!$Q$1:$Q$400,"monthly"))/V121)),AF121="exclusion",-(SUMIFS(SF_Output!$T$1:$T$400,SF_Output!$AC$1:$AC$400,_xlfn.TEXTJOIN(",",TRUE,$B121:$E121),SF_Output!$Q$1:$Q$400,"monthly"))/V121)</f>
        <v/>
      </c>
      <c r="X121" s="6" cm="1">
        <f t="array" ref="X121">IFERROR(_xlfn.IFS(V121=0,0,V121="","",W121=0,V121,OR(V121&lt;&gt;0,V121&lt;&gt;""),H121*I121),V121*(1-W121))</f>
        <v>0</v>
      </c>
      <c r="Z121" s="6">
        <f>IFERROR(IF(B121="","",SUMIFS(Billing_Fallout!H:H,Billing_Fallout!N:N,B121)),0)</f>
        <v>0</v>
      </c>
      <c r="AA121" s="6">
        <f t="shared" si="21"/>
        <v>0</v>
      </c>
      <c r="AB121" s="6">
        <f>IFERROR(IF(B121="","",SUMIFS(Billing_Fallout!J:J,Billing_Fallout!N:N,B121)),0)</f>
        <v>0</v>
      </c>
      <c r="AD121" s="6">
        <f t="shared" si="22"/>
        <v>0</v>
      </c>
      <c r="AF121" t="str">
        <f>IFERROR(INDEX(H_Tables!$B$1:$B$1500,MATCH(INDEX(SF_Output!$J$1:$J$400,MATCH(B121,SF_Output!$M$1:$M$400,0)),H_Tables!$A$1:$A$1500,0)),"")</f>
        <v>Exclusion</v>
      </c>
      <c r="AI121" s="119" t="str">
        <f t="shared" si="23"/>
        <v/>
      </c>
      <c r="AJ121" s="121">
        <f>IFERROR(INDEX(SF_Output!AD:AD,MATCH(_xlfn.TEXTJOIN(",",TRUE,B121:E121),SF_Output!AC1:AC400,0)),0.05)</f>
        <v>199</v>
      </c>
      <c r="AK121" t="str">
        <f>IF(SUMIFS(SF_Output!$F$1:$F$400,SF_Output!$AC$1:$AC$400,_xlfn.TEXTJOIN(",",TRUE,B121:E121))+SUMIFS(SF_Output!$G$1:$G$400,SF_Output!$AC$1:$AC$400,_xlfn.TEXTJOIN(",",TRUE,B121:E121))=0,"","PAP")</f>
        <v/>
      </c>
      <c r="AQ121" s="35"/>
      <c r="AR121" s="35" t="str" cm="1">
        <f t="array" ref="AR121">IFERROR(_xlfn.IFS(AND(E121*1=1,F121="Included"),"Change to Included",AND(E121*1=0,F121="Optional"),"Change to Optional",OR(B121="",F121="replaced"),""),"")</f>
        <v/>
      </c>
      <c r="AS121" s="35" t="str">
        <f t="shared" si="24"/>
        <v/>
      </c>
      <c r="AT121" s="35" t="str">
        <f t="shared" si="25"/>
        <v/>
      </c>
      <c r="AU121" s="35" t="str">
        <f t="shared" si="26"/>
        <v/>
      </c>
      <c r="AV121" s="35" t="str">
        <f t="shared" si="27"/>
        <v/>
      </c>
      <c r="AW121" s="35" t="str">
        <f t="shared" si="28"/>
        <v/>
      </c>
      <c r="AX121" s="35" t="str">
        <f t="shared" si="29"/>
        <v/>
      </c>
      <c r="AY121" s="35" t="str">
        <f t="shared" si="30"/>
        <v/>
      </c>
      <c r="AZ121" s="35" t="str">
        <f t="shared" si="31"/>
        <v/>
      </c>
      <c r="BA121" s="35" t="str">
        <f t="shared" si="32"/>
        <v/>
      </c>
      <c r="BB121" s="35" t="str">
        <f t="shared" si="33"/>
        <v/>
      </c>
      <c r="BC121" s="35"/>
      <c r="BE121" s="35">
        <f ca="1">INDEX(SF_Output!$AA$2:$AA$400,MATCH($B121,SF_Output!$M$2:$M$400,0))</f>
        <v>6</v>
      </c>
      <c r="BF121" s="35">
        <f ca="1">INDEX(SF_Output!$AB$2:$AB$400,MATCH($B121,SF_Output!$M$2:$M$400,0))</f>
        <v>1</v>
      </c>
    </row>
    <row r="122" spans="2:58" x14ac:dyDescent="0.25">
      <c r="B122" t="s">
        <v>2402</v>
      </c>
      <c r="C122" t="s">
        <v>2122</v>
      </c>
      <c r="D122" t="s">
        <v>2207</v>
      </c>
      <c r="E122" t="s">
        <v>2124</v>
      </c>
      <c r="F122" s="116" t="str">
        <f t="shared" si="17"/>
        <v>Included</v>
      </c>
      <c r="G122" t="str">
        <f>IF(B122="","",INDEX(SF_Output!$K$1:$K$400,MATCH(B122,SF_Output!$M$1:$M$400,0)))</f>
        <v>Card Processing Solutions (CPS)</v>
      </c>
      <c r="H122" cm="1">
        <f t="array" ref="H122">_xlfn.IFS(B122="","",(SUMIFS(SF_Output!$F$1:$F$400,SF_Output!$AC$1:$AC$400,_xlfn.TEXTJOIN(",",TRUE,B122:E122))+SUMIFS(SF_Output!$G$1:$G$400,SF_Output!$AC$1:$AC$400,_xlfn.TEXTJOIN(",",TRUE,B122:E122)))&lt;&gt;0,SF_Output!$Y$2,INDEX(SF_Output!$F$1:$F$400,MATCH(_xlfn.TEXTJOIN(",",TRUE,B122:E122),SF_Output!$AC$1:$AC$400,0))=0,INDEX(SF_Output!$R$1:$R$400,MATCH(_xlfn.TEXTJOIN(",",TRUE,B122:E122),SF_Output!$AC$1:$AC$400,0)))</f>
        <v>2</v>
      </c>
      <c r="I122" s="125" t="str">
        <f>IFERROR(IF(AND(H122&gt;1,H122&lt;&gt;""),ROUND(SUMIFS(SF_Output!$S$1:$S$400,SF_Output!$AC$1:$AC$400,_xlfn.TEXTJOIN(",",TRUE,B122:E122),SF_Output!$Q$1:$Q$400,"monthly")*(1-W122)/H122,4),""),"")</f>
        <v/>
      </c>
      <c r="J122" s="6">
        <f>IF(B122="","",SUMIFS(SF_Output!$S$1:$S$400,SF_Output!$AC$1:$AC$400,_xlfn.TEXTJOIN(",",TRUE,B122:E122),SF_Output!$Q$1:$Q$400,"One Time",SF_Output!$L$1:$L$400,"license fee")+SUMIFS(SF_Output!$S$1:$S$400,SF_Output!$AC$1:$AC$400,_xlfn.TEXTJOIN(",",TRUE,B122:E122),SF_Output!$Q$1:$Q$400,"One Time",SF_Output!$L$1:$L$400,"software license")+SUMIFS(SF_Output!$S$1:$S$400,SF_Output!$AC$1:$AC$400,_xlfn.TEXTJOIN(",",TRUE,B122:E122),SF_Output!$Q$1:$Q$400,"One Time",SF_Output!$L$1:$L$400,"hardware"))</f>
        <v>0</v>
      </c>
      <c r="K122" s="112" t="str">
        <f>IF(OR(B122=0,B122="",G122="hardware",J122=0),"",IF(AF122&lt;&gt;"exclusion",MAX(K$9,-((SUMIFS(SF_Output!$T$1:$T$400,SF_Output!$AC$1:$AC$400,_xlfn.TEXTJOIN(",",TRUE,$B122:$E122),SF_Output!$Q$1:$Q$400,"One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license"))/J122)))</f>
        <v/>
      </c>
      <c r="L122" s="6">
        <f t="shared" si="18"/>
        <v>0</v>
      </c>
      <c r="N122" s="6">
        <f>IF(B122="","",SUMIFS(SF_Output!$S$1:$S$400,SF_Output!$AC$1:$AC$400,_xlfn.TEXTJOIN(",",TRUE,B122:E122),SF_Output!$Q$1:$Q$400,"One Time",SF_Output!$L$1:$L$400,"professional service"))</f>
        <v>3000</v>
      </c>
      <c r="O122" s="112">
        <f>IF(OR(B122=0,B122="",N122=0),"",IF(AF122&lt;&gt;"exclusion",MAX(O$9,-(SUMIFS(SF_Output!$T$1:$T$400,SF_Output!$AC$1:$AC$400,_xlfn.TEXTJOIN(",",TRUE,$B122:$E122),SF_Output!$Q$1:$Q$400,"One Time",SF_Output!$L$1:$L$400,"professional service"))/N122),-((SUMIFS(SF_Output!$T$1:$T$400,SF_Output!$AC$1:$AC$400,_xlfn.TEXTJOIN(",",TRUE,$B122:$E122),SF_Output!$Q$1:$Q$400,"One Time",SF_Output!$L$1:$L$400,"professional service")/N122))))</f>
        <v>1</v>
      </c>
      <c r="P122" s="6">
        <f t="shared" si="19"/>
        <v>0</v>
      </c>
      <c r="R122" s="6">
        <f>IF(B122="","",SUMIFS(SF_Output!$S$1:$S$400,SF_Output!$AC$1:$AC$400,_xlfn.TEXTJOIN(",",TRUE,B122:E122),SF_Output!$Q$1:$Q$400,"yearly")+SUMIFS(SF_Output!$S$1:$S$400,SF_Output!$AC$1:$AC$400,_xlfn.TEXTJOIN(",",TRUE,B122:E122),SF_Output!$Q$1:$Q$400,"quarterly")*4)</f>
        <v>0</v>
      </c>
      <c r="S122" s="112" t="str">
        <f>IF(OR(B122=0,B122="",G122="hardware",R122=0),"",IF(AF122&lt;&gt;"exclusion",MAX(S$9,-(SUMIFS(SF_Output!$T$1:$T$400,SF_Output!$AC$1:$AC$400,_xlfn.TEXTJOIN(",",TRUE,$B122:$E122),SF_Output!$Q$1:$Q$400,"yearly"))/R122),-((SUMIFS(SF_Output!$T$1:$T$400,SF_Output!$AC$1:$AC$400,_xlfn.TEXTJOIN(",",TRUE,$B122:$E122),SF_Output!$Q$1:$Q$400,"yearly")/R122))))</f>
        <v/>
      </c>
      <c r="T122" s="6">
        <f t="shared" si="20"/>
        <v>0</v>
      </c>
      <c r="V122" s="6" cm="1">
        <f t="array" ref="V122">_xlfn.IFS(B122="","",AND(B122&lt;&gt;"",H122=SF_Output!$Y$2,SUMIFS(SF_Output!$T$1:$T$400,SF_Output!$AC$1:$AC$400,_xlfn.TEXTJOIN(",",TRUE,B122:E122),SF_Output!$Q$1:$Q$400,"monthly")=0),(SUMIFS(SF_Output!$F$1:$F$400,SF_Output!$AC$1:$AC$400,_xlfn.TEXTJOIN(",",TRUE,B122:E122),SF_Output!$Q$1:$Q$400,"monthly")+SUMIFS(SF_Output!$G$1:$G$400,SF_Output!$AC$1:$AC$400,_xlfn.TEXTJOIN(",",TRUE,B122:E122),SF_Output!$Q$1:$Q$400,"monthly"))*H122,AND(B122&lt;&gt;"",H122=SF_Output!$Y$2,SUMIFS(SF_Output!$T$1:$T$400,SF_Output!$AC$1:$AC$400,_xlfn.TEXTJOIN(",",TRUE,B122:E122),SF_Output!$Q$1:$Q$400,"monthly")&lt;&gt;0),SUMIFS(SF_Output!$S$1:$S$400,SF_Output!$AC$1:$AC$400,_xlfn.TEXTJOIN(",",TRUE,B122:E122),SF_Output!$Q$1:$Q$400,"monthly"),AND(B122&lt;&gt;"",H122&lt;&gt;SF_Output!$Y$2),SUMIFS(SF_Output!$S$1:$S$400,SF_Output!$AC$1:$AC$400,_xlfn.TEXTJOIN(",",TRUE,B122:E122),SF_Output!$Q$1:$Q$400,"monthly"))</f>
        <v>0</v>
      </c>
      <c r="W122" s="112" t="str" cm="1">
        <f t="array" ref="W122">_xlfn.IFS(OR(B122=0,B122="",V122=0),"",AF122&lt;&gt;"exclusion",MAX($W$9,$W$7,(-(SUMIFS(SF_Output!$T$1:$T$400,SF_Output!$AC$1:$AC$400,_xlfn.TEXTJOIN(",",TRUE,$B122:$E122),SF_Output!$Q$1:$Q$400,"monthly"))/V122)),AF122="exclusion",-(SUMIFS(SF_Output!$T$1:$T$400,SF_Output!$AC$1:$AC$400,_xlfn.TEXTJOIN(",",TRUE,$B122:$E122),SF_Output!$Q$1:$Q$400,"monthly"))/V122)</f>
        <v/>
      </c>
      <c r="X122" s="6" cm="1">
        <f t="array" ref="X122">IFERROR(_xlfn.IFS(V122=0,0,V122="","",W122=0,V122,OR(V122&lt;&gt;0,V122&lt;&gt;""),H122*I122),V122*(1-W122))</f>
        <v>0</v>
      </c>
      <c r="Z122" s="6">
        <f>IFERROR(IF(B122="","",SUMIFS(Billing_Fallout!H:H,Billing_Fallout!N:N,B122)),0)</f>
        <v>0</v>
      </c>
      <c r="AA122" s="6">
        <f t="shared" si="21"/>
        <v>0</v>
      </c>
      <c r="AB122" s="6">
        <f>IFERROR(IF(B122="","",SUMIFS(Billing_Fallout!J:J,Billing_Fallout!N:N,B122)),0)</f>
        <v>0</v>
      </c>
      <c r="AD122" s="6">
        <f t="shared" si="22"/>
        <v>0</v>
      </c>
      <c r="AF122" t="str">
        <f>IFERROR(INDEX(H_Tables!$B$1:$B$1500,MATCH(INDEX(SF_Output!$J$1:$J$400,MATCH(B122,SF_Output!$M$1:$M$400,0)),H_Tables!$A$1:$A$1500,0)),"")</f>
        <v>Exclusion</v>
      </c>
      <c r="AI122" s="119" t="str">
        <f t="shared" si="23"/>
        <v/>
      </c>
      <c r="AJ122" s="121">
        <f>IFERROR(INDEX(SF_Output!AD:AD,MATCH(_xlfn.TEXTJOIN(",",TRUE,B122:E122),SF_Output!AC1:AC400,0)),0.05)</f>
        <v>200</v>
      </c>
      <c r="AK122" t="str">
        <f>IF(SUMIFS(SF_Output!$F$1:$F$400,SF_Output!$AC$1:$AC$400,_xlfn.TEXTJOIN(",",TRUE,B122:E122))+SUMIFS(SF_Output!$G$1:$G$400,SF_Output!$AC$1:$AC$400,_xlfn.TEXTJOIN(",",TRUE,B122:E122))=0,"","PAP")</f>
        <v/>
      </c>
      <c r="AQ122" s="35"/>
      <c r="AR122" s="35" t="str" cm="1">
        <f t="array" ref="AR122">IFERROR(_xlfn.IFS(AND(E122*1=1,F122="Included"),"Change to Included",AND(E122*1=0,F122="Optional"),"Change to Optional",OR(B122="",F122="replaced"),""),"")</f>
        <v/>
      </c>
      <c r="AS122" s="35" t="str">
        <f t="shared" si="24"/>
        <v/>
      </c>
      <c r="AT122" s="35" t="str">
        <f t="shared" si="25"/>
        <v/>
      </c>
      <c r="AU122" s="35" t="str">
        <f t="shared" si="26"/>
        <v/>
      </c>
      <c r="AV122" s="35" t="str">
        <f t="shared" si="27"/>
        <v/>
      </c>
      <c r="AW122" s="35" t="str">
        <f t="shared" si="28"/>
        <v/>
      </c>
      <c r="AX122" s="35" t="str">
        <f t="shared" si="29"/>
        <v/>
      </c>
      <c r="AY122" s="35" t="str">
        <f t="shared" si="30"/>
        <v/>
      </c>
      <c r="AZ122" s="35" t="str">
        <f t="shared" si="31"/>
        <v/>
      </c>
      <c r="BA122" s="35" t="str">
        <f t="shared" si="32"/>
        <v/>
      </c>
      <c r="BB122" s="35" t="str">
        <f t="shared" si="33"/>
        <v/>
      </c>
      <c r="BC122" s="35"/>
      <c r="BE122" s="35">
        <f ca="1">INDEX(SF_Output!$AA$2:$AA$400,MATCH($B122,SF_Output!$M$2:$M$400,0))</f>
        <v>6</v>
      </c>
      <c r="BF122" s="35">
        <f ca="1">INDEX(SF_Output!$AB$2:$AB$400,MATCH($B122,SF_Output!$M$2:$M$400,0))</f>
        <v>1</v>
      </c>
    </row>
    <row r="123" spans="2:58" x14ac:dyDescent="0.25">
      <c r="B123" t="s">
        <v>2473</v>
      </c>
      <c r="C123" t="s">
        <v>2122</v>
      </c>
      <c r="D123" t="s">
        <v>2207</v>
      </c>
      <c r="E123" t="s">
        <v>2124</v>
      </c>
      <c r="F123" s="116" t="str">
        <f t="shared" si="17"/>
        <v>Included</v>
      </c>
      <c r="G123" t="str">
        <f>IF(B123="","",INDEX(SF_Output!$K$1:$K$400,MATCH(B123,SF_Output!$M$1:$M$400,0)))</f>
        <v>Card Processing Solutions (CPS)</v>
      </c>
      <c r="H123" cm="1">
        <f t="array" ref="H123">_xlfn.IFS(B123="","",(SUMIFS(SF_Output!$F$1:$F$400,SF_Output!$AC$1:$AC$400,_xlfn.TEXTJOIN(",",TRUE,B123:E123))+SUMIFS(SF_Output!$G$1:$G$400,SF_Output!$AC$1:$AC$400,_xlfn.TEXTJOIN(",",TRUE,B123:E123)))&lt;&gt;0,SF_Output!$Y$2,INDEX(SF_Output!$F$1:$F$400,MATCH(_xlfn.TEXTJOIN(",",TRUE,B123:E123),SF_Output!$AC$1:$AC$400,0))=0,INDEX(SF_Output!$R$1:$R$400,MATCH(_xlfn.TEXTJOIN(",",TRUE,B123:E123),SF_Output!$AC$1:$AC$400,0)))</f>
        <v>1</v>
      </c>
      <c r="I123" s="125" t="str">
        <f>IFERROR(IF(AND(H123&gt;1,H123&lt;&gt;""),ROUND(SUMIFS(SF_Output!$S$1:$S$400,SF_Output!$AC$1:$AC$400,_xlfn.TEXTJOIN(",",TRUE,B123:E123),SF_Output!$Q$1:$Q$400,"monthly")*(1-W123)/H123,4),""),"")</f>
        <v/>
      </c>
      <c r="J123" s="6">
        <f>IF(B123="","",SUMIFS(SF_Output!$S$1:$S$400,SF_Output!$AC$1:$AC$400,_xlfn.TEXTJOIN(",",TRUE,B123:E123),SF_Output!$Q$1:$Q$400,"One Time",SF_Output!$L$1:$L$400,"license fee")+SUMIFS(SF_Output!$S$1:$S$400,SF_Output!$AC$1:$AC$400,_xlfn.TEXTJOIN(",",TRUE,B123:E123),SF_Output!$Q$1:$Q$400,"One Time",SF_Output!$L$1:$L$400,"software license")+SUMIFS(SF_Output!$S$1:$S$400,SF_Output!$AC$1:$AC$400,_xlfn.TEXTJOIN(",",TRUE,B123:E123),SF_Output!$Q$1:$Q$400,"One Time",SF_Output!$L$1:$L$400,"hardware"))</f>
        <v>0</v>
      </c>
      <c r="K123" s="112" t="str">
        <f>IF(OR(B123=0,B123="",G123="hardware",J123=0),"",IF(AF123&lt;&gt;"exclusion",MAX(K$9,-((SUMIFS(SF_Output!$T$1:$T$400,SF_Output!$AC$1:$AC$400,_xlfn.TEXTJOIN(",",TRUE,$B123:$E123),SF_Output!$Q$1:$Q$400,"One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license"))/J123)))</f>
        <v/>
      </c>
      <c r="L123" s="6">
        <f t="shared" si="18"/>
        <v>0</v>
      </c>
      <c r="N123" s="6">
        <f>IF(B123="","",SUMIFS(SF_Output!$S$1:$S$400,SF_Output!$AC$1:$AC$400,_xlfn.TEXTJOIN(",",TRUE,B123:E123),SF_Output!$Q$1:$Q$400,"One Time",SF_Output!$L$1:$L$400,"professional service"))</f>
        <v>5500</v>
      </c>
      <c r="O123" s="112">
        <f>IF(OR(B123=0,B123="",N123=0),"",IF(AF123&lt;&gt;"exclusion",MAX(O$9,-(SUMIFS(SF_Output!$T$1:$T$400,SF_Output!$AC$1:$AC$400,_xlfn.TEXTJOIN(",",TRUE,$B123:$E123),SF_Output!$Q$1:$Q$400,"One Time",SF_Output!$L$1:$L$400,"professional service"))/N123),-((SUMIFS(SF_Output!$T$1:$T$400,SF_Output!$AC$1:$AC$400,_xlfn.TEXTJOIN(",",TRUE,$B123:$E123),SF_Output!$Q$1:$Q$400,"One Time",SF_Output!$L$1:$L$400,"professional service")/N123))))</f>
        <v>1</v>
      </c>
      <c r="P123" s="6">
        <f t="shared" si="19"/>
        <v>0</v>
      </c>
      <c r="R123" s="6">
        <f>IF(B123="","",SUMIFS(SF_Output!$S$1:$S$400,SF_Output!$AC$1:$AC$400,_xlfn.TEXTJOIN(",",TRUE,B123:E123),SF_Output!$Q$1:$Q$400,"yearly")+SUMIFS(SF_Output!$S$1:$S$400,SF_Output!$AC$1:$AC$400,_xlfn.TEXTJOIN(",",TRUE,B123:E123),SF_Output!$Q$1:$Q$400,"quarterly")*4)</f>
        <v>0</v>
      </c>
      <c r="S123" s="112" t="str">
        <f>IF(OR(B123=0,B123="",G123="hardware",R123=0),"",IF(AF123&lt;&gt;"exclusion",MAX(S$9,-(SUMIFS(SF_Output!$T$1:$T$400,SF_Output!$AC$1:$AC$400,_xlfn.TEXTJOIN(",",TRUE,$B123:$E123),SF_Output!$Q$1:$Q$400,"yearly"))/R123),-((SUMIFS(SF_Output!$T$1:$T$400,SF_Output!$AC$1:$AC$400,_xlfn.TEXTJOIN(",",TRUE,$B123:$E123),SF_Output!$Q$1:$Q$400,"yearly")/R123))))</f>
        <v/>
      </c>
      <c r="T123" s="6">
        <f t="shared" si="20"/>
        <v>0</v>
      </c>
      <c r="V123" s="6" cm="1">
        <f t="array" ref="V123">_xlfn.IFS(B123="","",AND(B123&lt;&gt;"",H123=SF_Output!$Y$2,SUMIFS(SF_Output!$T$1:$T$400,SF_Output!$AC$1:$AC$400,_xlfn.TEXTJOIN(",",TRUE,B123:E123),SF_Output!$Q$1:$Q$400,"monthly")=0),(SUMIFS(SF_Output!$F$1:$F$400,SF_Output!$AC$1:$AC$400,_xlfn.TEXTJOIN(",",TRUE,B123:E123),SF_Output!$Q$1:$Q$400,"monthly")+SUMIFS(SF_Output!$G$1:$G$400,SF_Output!$AC$1:$AC$400,_xlfn.TEXTJOIN(",",TRUE,B123:E123),SF_Output!$Q$1:$Q$400,"monthly"))*H123,AND(B123&lt;&gt;"",H123=SF_Output!$Y$2,SUMIFS(SF_Output!$T$1:$T$400,SF_Output!$AC$1:$AC$400,_xlfn.TEXTJOIN(",",TRUE,B123:E123),SF_Output!$Q$1:$Q$400,"monthly")&lt;&gt;0),SUMIFS(SF_Output!$S$1:$S$400,SF_Output!$AC$1:$AC$400,_xlfn.TEXTJOIN(",",TRUE,B123:E123),SF_Output!$Q$1:$Q$400,"monthly"),AND(B123&lt;&gt;"",H123&lt;&gt;SF_Output!$Y$2),SUMIFS(SF_Output!$S$1:$S$400,SF_Output!$AC$1:$AC$400,_xlfn.TEXTJOIN(",",TRUE,B123:E123),SF_Output!$Q$1:$Q$400,"monthly"))</f>
        <v>405</v>
      </c>
      <c r="W123" s="112" cm="1">
        <f t="array" ref="W123">_xlfn.IFS(OR(B123=0,B123="",V123=0),"",AF123&lt;&gt;"exclusion",MAX($W$9,$W$7,(-(SUMIFS(SF_Output!$T$1:$T$400,SF_Output!$AC$1:$AC$400,_xlfn.TEXTJOIN(",",TRUE,$B123:$E123),SF_Output!$Q$1:$Q$400,"monthly"))/V123)),AF123="exclusion",-(SUMIFS(SF_Output!$T$1:$T$400,SF_Output!$AC$1:$AC$400,_xlfn.TEXTJOIN(",",TRUE,$B123:$E123),SF_Output!$Q$1:$Q$400,"monthly"))/V123)</f>
        <v>0</v>
      </c>
      <c r="X123" s="6" cm="1">
        <f t="array" ref="X123">IFERROR(_xlfn.IFS(V123=0,0,V123="","",W123=0,V123,OR(V123&lt;&gt;0,V123&lt;&gt;""),H123*I123),V123*(1-W123))</f>
        <v>405</v>
      </c>
      <c r="Z123" s="6">
        <f>IFERROR(IF(B123="","",SUMIFS(Billing_Fallout!H:H,Billing_Fallout!N:N,B123)),0)</f>
        <v>0</v>
      </c>
      <c r="AA123" s="6">
        <f t="shared" si="21"/>
        <v>0</v>
      </c>
      <c r="AB123" s="6">
        <f>IFERROR(IF(B123="","",SUMIFS(Billing_Fallout!J:J,Billing_Fallout!N:N,B123)),0)</f>
        <v>0</v>
      </c>
      <c r="AD123" s="6">
        <f t="shared" si="22"/>
        <v>405</v>
      </c>
      <c r="AF123" t="str">
        <f>IFERROR(INDEX(H_Tables!$B$1:$B$1500,MATCH(INDEX(SF_Output!$J$1:$J$400,MATCH(B123,SF_Output!$M$1:$M$400,0)),H_Tables!$A$1:$A$1500,0)),"")</f>
        <v>Exclusion</v>
      </c>
      <c r="AI123" s="119" t="str">
        <f t="shared" si="23"/>
        <v/>
      </c>
      <c r="AJ123" s="121">
        <f>IFERROR(INDEX(SF_Output!AD:AD,MATCH(_xlfn.TEXTJOIN(",",TRUE,B123:E123),SF_Output!AC1:AC400,0)),0.05)</f>
        <v>201</v>
      </c>
      <c r="AK123" t="str">
        <f>IF(SUMIFS(SF_Output!$F$1:$F$400,SF_Output!$AC$1:$AC$400,_xlfn.TEXTJOIN(",",TRUE,B123:E123))+SUMIFS(SF_Output!$G$1:$G$400,SF_Output!$AC$1:$AC$400,_xlfn.TEXTJOIN(",",TRUE,B123:E123))=0,"","PAP")</f>
        <v/>
      </c>
      <c r="AQ123" s="35"/>
      <c r="AR123" s="35" t="str" cm="1">
        <f t="array" ref="AR123">IFERROR(_xlfn.IFS(AND(E123*1=1,F123="Included"),"Change to Included",AND(E123*1=0,F123="Optional"),"Change to Optional",OR(B123="",F123="replaced"),""),"")</f>
        <v/>
      </c>
      <c r="AS123" s="35" t="str">
        <f t="shared" si="24"/>
        <v/>
      </c>
      <c r="AT123" s="35" t="str">
        <f t="shared" si="25"/>
        <v/>
      </c>
      <c r="AU123" s="35" t="str">
        <f t="shared" si="26"/>
        <v/>
      </c>
      <c r="AV123" s="35" t="str">
        <f t="shared" si="27"/>
        <v/>
      </c>
      <c r="AW123" s="35" t="str">
        <f t="shared" si="28"/>
        <v/>
      </c>
      <c r="AX123" s="35" t="str">
        <f t="shared" si="29"/>
        <v/>
      </c>
      <c r="AY123" s="35" t="str">
        <f t="shared" si="30"/>
        <v/>
      </c>
      <c r="AZ123" s="35" t="str">
        <f t="shared" si="31"/>
        <v/>
      </c>
      <c r="BA123" s="35" t="str">
        <f t="shared" si="32"/>
        <v/>
      </c>
      <c r="BB123" s="35" t="str">
        <f t="shared" si="33"/>
        <v/>
      </c>
      <c r="BC123" s="35"/>
      <c r="BE123" s="35">
        <f ca="1">INDEX(SF_Output!$AA$2:$AA$400,MATCH($B123,SF_Output!$M$2:$M$400,0))</f>
        <v>6</v>
      </c>
      <c r="BF123" s="35">
        <f ca="1">INDEX(SF_Output!$AB$2:$AB$400,MATCH($B123,SF_Output!$M$2:$M$400,0))</f>
        <v>1</v>
      </c>
    </row>
    <row r="124" spans="2:58" x14ac:dyDescent="0.25">
      <c r="B124" t="s">
        <v>2406</v>
      </c>
      <c r="C124" t="s">
        <v>2122</v>
      </c>
      <c r="D124" t="s">
        <v>2207</v>
      </c>
      <c r="E124" t="s">
        <v>2124</v>
      </c>
      <c r="F124" s="116" t="str">
        <f t="shared" si="17"/>
        <v>Included</v>
      </c>
      <c r="G124" t="str">
        <f>IF(B124="","",INDEX(SF_Output!$K$1:$K$400,MATCH(B124,SF_Output!$M$1:$M$400,0)))</f>
        <v>Card Processing Solutions (CPS)</v>
      </c>
      <c r="H124" cm="1">
        <f t="array" ref="H124">_xlfn.IFS(B124="","",(SUMIFS(SF_Output!$F$1:$F$400,SF_Output!$AC$1:$AC$400,_xlfn.TEXTJOIN(",",TRUE,B124:E124))+SUMIFS(SF_Output!$G$1:$G$400,SF_Output!$AC$1:$AC$400,_xlfn.TEXTJOIN(",",TRUE,B124:E124)))&lt;&gt;0,SF_Output!$Y$2,INDEX(SF_Output!$F$1:$F$400,MATCH(_xlfn.TEXTJOIN(",",TRUE,B124:E124),SF_Output!$AC$1:$AC$400,0))=0,INDEX(SF_Output!$R$1:$R$400,MATCH(_xlfn.TEXTJOIN(",",TRUE,B124:E124),SF_Output!$AC$1:$AC$400,0)))</f>
        <v>0</v>
      </c>
      <c r="I124" s="125" t="str">
        <f>IFERROR(IF(AND(H124&gt;1,H124&lt;&gt;""),ROUND(SUMIFS(SF_Output!$S$1:$S$400,SF_Output!$AC$1:$AC$400,_xlfn.TEXTJOIN(",",TRUE,B124:E124),SF_Output!$Q$1:$Q$400,"monthly")*(1-W124)/H124,4),""),"")</f>
        <v/>
      </c>
      <c r="J124" s="6">
        <f>IF(B124="","",SUMIFS(SF_Output!$S$1:$S$400,SF_Output!$AC$1:$AC$400,_xlfn.TEXTJOIN(",",TRUE,B124:E124),SF_Output!$Q$1:$Q$400,"One Time",SF_Output!$L$1:$L$400,"license fee")+SUMIFS(SF_Output!$S$1:$S$400,SF_Output!$AC$1:$AC$400,_xlfn.TEXTJOIN(",",TRUE,B124:E124),SF_Output!$Q$1:$Q$400,"One Time",SF_Output!$L$1:$L$400,"software license")+SUMIFS(SF_Output!$S$1:$S$400,SF_Output!$AC$1:$AC$400,_xlfn.TEXTJOIN(",",TRUE,B124:E124),SF_Output!$Q$1:$Q$400,"One Time",SF_Output!$L$1:$L$400,"hardware"))</f>
        <v>0</v>
      </c>
      <c r="K124" s="112" t="str">
        <f>IF(OR(B124=0,B124="",G124="hardware",J124=0),"",IF(AF124&lt;&gt;"exclusion",MAX(K$9,-((SUMIFS(SF_Output!$T$1:$T$400,SF_Output!$AC$1:$AC$400,_xlfn.TEXTJOIN(",",TRUE,$B124:$E124),SF_Output!$Q$1:$Q$400,"One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license"))/J124)))</f>
        <v/>
      </c>
      <c r="L124" s="6">
        <f t="shared" si="18"/>
        <v>0</v>
      </c>
      <c r="N124" s="6">
        <f>IF(B124="","",SUMIFS(SF_Output!$S$1:$S$400,SF_Output!$AC$1:$AC$400,_xlfn.TEXTJOIN(",",TRUE,B124:E124),SF_Output!$Q$1:$Q$400,"One Time",SF_Output!$L$1:$L$400,"professional service"))</f>
        <v>0</v>
      </c>
      <c r="O124" s="112" t="str">
        <f>IF(OR(B124=0,B124="",N124=0),"",IF(AF124&lt;&gt;"exclusion",MAX(O$9,-(SUMIFS(SF_Output!$T$1:$T$400,SF_Output!$AC$1:$AC$400,_xlfn.TEXTJOIN(",",TRUE,$B124:$E124),SF_Output!$Q$1:$Q$400,"One Time",SF_Output!$L$1:$L$400,"professional service"))/N124),-((SUMIFS(SF_Output!$T$1:$T$400,SF_Output!$AC$1:$AC$400,_xlfn.TEXTJOIN(",",TRUE,$B124:$E124),SF_Output!$Q$1:$Q$400,"One Time",SF_Output!$L$1:$L$400,"professional service")/N124))))</f>
        <v/>
      </c>
      <c r="P124" s="6">
        <f t="shared" si="19"/>
        <v>0</v>
      </c>
      <c r="R124" s="6">
        <f>IF(B124="","",SUMIFS(SF_Output!$S$1:$S$400,SF_Output!$AC$1:$AC$400,_xlfn.TEXTJOIN(",",TRUE,B124:E124),SF_Output!$Q$1:$Q$400,"yearly")+SUMIFS(SF_Output!$S$1:$S$400,SF_Output!$AC$1:$AC$400,_xlfn.TEXTJOIN(",",TRUE,B124:E124),SF_Output!$Q$1:$Q$400,"quarterly")*4)</f>
        <v>0</v>
      </c>
      <c r="S124" s="112" t="str">
        <f>IF(OR(B124=0,B124="",G124="hardware",R124=0),"",IF(AF124&lt;&gt;"exclusion",MAX(S$9,-(SUMIFS(SF_Output!$T$1:$T$400,SF_Output!$AC$1:$AC$400,_xlfn.TEXTJOIN(",",TRUE,$B124:$E124),SF_Output!$Q$1:$Q$400,"yearly"))/R124),-((SUMIFS(SF_Output!$T$1:$T$400,SF_Output!$AC$1:$AC$400,_xlfn.TEXTJOIN(",",TRUE,$B124:$E124),SF_Output!$Q$1:$Q$400,"yearly")/R124))))</f>
        <v/>
      </c>
      <c r="T124" s="6">
        <f t="shared" si="20"/>
        <v>0</v>
      </c>
      <c r="V124" s="6" cm="1">
        <f t="array" ref="V124">_xlfn.IFS(B124="","",AND(B124&lt;&gt;"",H124=SF_Output!$Y$2,SUMIFS(SF_Output!$T$1:$T$400,SF_Output!$AC$1:$AC$400,_xlfn.TEXTJOIN(",",TRUE,B124:E124),SF_Output!$Q$1:$Q$400,"monthly")=0),(SUMIFS(SF_Output!$F$1:$F$400,SF_Output!$AC$1:$AC$400,_xlfn.TEXTJOIN(",",TRUE,B124:E124),SF_Output!$Q$1:$Q$400,"monthly")+SUMIFS(SF_Output!$G$1:$G$400,SF_Output!$AC$1:$AC$400,_xlfn.TEXTJOIN(",",TRUE,B124:E124),SF_Output!$Q$1:$Q$400,"monthly"))*H124,AND(B124&lt;&gt;"",H124=SF_Output!$Y$2,SUMIFS(SF_Output!$T$1:$T$400,SF_Output!$AC$1:$AC$400,_xlfn.TEXTJOIN(",",TRUE,B124:E124),SF_Output!$Q$1:$Q$400,"monthly")&lt;&gt;0),SUMIFS(SF_Output!$S$1:$S$400,SF_Output!$AC$1:$AC$400,_xlfn.TEXTJOIN(",",TRUE,B124:E124),SF_Output!$Q$1:$Q$400,"monthly"),AND(B124&lt;&gt;"",H124&lt;&gt;SF_Output!$Y$2),SUMIFS(SF_Output!$S$1:$S$400,SF_Output!$AC$1:$AC$400,_xlfn.TEXTJOIN(",",TRUE,B124:E124),SF_Output!$Q$1:$Q$400,"monthly"))</f>
        <v>0</v>
      </c>
      <c r="W124" s="112" t="str" cm="1">
        <f t="array" ref="W124">_xlfn.IFS(OR(B124=0,B124="",V124=0),"",AF124&lt;&gt;"exclusion",MAX($W$9,$W$7,(-(SUMIFS(SF_Output!$T$1:$T$400,SF_Output!$AC$1:$AC$400,_xlfn.TEXTJOIN(",",TRUE,$B124:$E124),SF_Output!$Q$1:$Q$400,"monthly"))/V124)),AF124="exclusion",-(SUMIFS(SF_Output!$T$1:$T$400,SF_Output!$AC$1:$AC$400,_xlfn.TEXTJOIN(",",TRUE,$B124:$E124),SF_Output!$Q$1:$Q$400,"monthly"))/V124)</f>
        <v/>
      </c>
      <c r="X124" s="6" cm="1">
        <f t="array" ref="X124">IFERROR(_xlfn.IFS(V124=0,0,V124="","",W124=0,V124,OR(V124&lt;&gt;0,V124&lt;&gt;""),H124*I124),V124*(1-W124))</f>
        <v>0</v>
      </c>
      <c r="Z124" s="6">
        <f>IFERROR(IF(B124="","",SUMIFS(Billing_Fallout!H:H,Billing_Fallout!N:N,B124)),0)</f>
        <v>0</v>
      </c>
      <c r="AA124" s="6">
        <f t="shared" si="21"/>
        <v>0</v>
      </c>
      <c r="AB124" s="6">
        <f>IFERROR(IF(B124="","",SUMIFS(Billing_Fallout!J:J,Billing_Fallout!N:N,B124)),0)</f>
        <v>0</v>
      </c>
      <c r="AD124" s="6">
        <f t="shared" si="22"/>
        <v>0</v>
      </c>
      <c r="AF124" t="str">
        <f>IFERROR(INDEX(H_Tables!$B$1:$B$1500,MATCH(INDEX(SF_Output!$J$1:$J$400,MATCH(B124,SF_Output!$M$1:$M$400,0)),H_Tables!$A$1:$A$1500,0)),"")</f>
        <v>Exclusion</v>
      </c>
      <c r="AI124" s="119" t="str">
        <f t="shared" si="23"/>
        <v/>
      </c>
      <c r="AJ124" s="121">
        <f>IFERROR(INDEX(SF_Output!AD:AD,MATCH(_xlfn.TEXTJOIN(",",TRUE,B124:E124),SF_Output!AC1:AC400,0)),0.05)</f>
        <v>203</v>
      </c>
      <c r="AK124" t="str">
        <f>IF(SUMIFS(SF_Output!$F$1:$F$400,SF_Output!$AC$1:$AC$400,_xlfn.TEXTJOIN(",",TRUE,B124:E124))+SUMIFS(SF_Output!$G$1:$G$400,SF_Output!$AC$1:$AC$400,_xlfn.TEXTJOIN(",",TRUE,B124:E124))=0,"","PAP")</f>
        <v/>
      </c>
      <c r="AQ124" s="35"/>
      <c r="AR124" s="35" t="str" cm="1">
        <f t="array" ref="AR124">IFERROR(_xlfn.IFS(AND(E124*1=1,F124="Included"),"Change to Included",AND(E124*1=0,F124="Optional"),"Change to Optional",OR(B124="",F124="replaced"),""),"")</f>
        <v/>
      </c>
      <c r="AS124" s="35" t="str">
        <f t="shared" si="24"/>
        <v/>
      </c>
      <c r="AT124" s="35" t="str">
        <f t="shared" si="25"/>
        <v/>
      </c>
      <c r="AU124" s="35" t="str">
        <f t="shared" si="26"/>
        <v/>
      </c>
      <c r="AV124" s="35" t="str">
        <f t="shared" si="27"/>
        <v/>
      </c>
      <c r="AW124" s="35" t="str">
        <f t="shared" si="28"/>
        <v/>
      </c>
      <c r="AX124" s="35" t="str">
        <f t="shared" si="29"/>
        <v/>
      </c>
      <c r="AY124" s="35" t="str">
        <f t="shared" si="30"/>
        <v/>
      </c>
      <c r="AZ124" s="35" t="str">
        <f t="shared" si="31"/>
        <v/>
      </c>
      <c r="BA124" s="35" t="str">
        <f t="shared" si="32"/>
        <v/>
      </c>
      <c r="BB124" s="35" t="str">
        <f t="shared" si="33"/>
        <v/>
      </c>
      <c r="BC124" s="35"/>
      <c r="BE124" s="35">
        <f ca="1">INDEX(SF_Output!$AA$2:$AA$400,MATCH($B124,SF_Output!$M$2:$M$400,0))</f>
        <v>6</v>
      </c>
      <c r="BF124" s="35">
        <f ca="1">INDEX(SF_Output!$AB$2:$AB$400,MATCH($B124,SF_Output!$M$2:$M$400,0))</f>
        <v>1</v>
      </c>
    </row>
    <row r="125" spans="2:58" x14ac:dyDescent="0.25">
      <c r="B125" t="s">
        <v>2408</v>
      </c>
      <c r="C125" t="s">
        <v>2122</v>
      </c>
      <c r="D125" t="s">
        <v>2207</v>
      </c>
      <c r="E125" t="s">
        <v>2124</v>
      </c>
      <c r="F125" s="116" t="str">
        <f t="shared" si="17"/>
        <v>Included</v>
      </c>
      <c r="G125" t="str">
        <f>IF(B125="","",INDEX(SF_Output!$K$1:$K$400,MATCH(B125,SF_Output!$M$1:$M$400,0)))</f>
        <v>Card Processing Solutions (CPS)</v>
      </c>
      <c r="H125" cm="1">
        <f t="array" ref="H125">_xlfn.IFS(B125="","",(SUMIFS(SF_Output!$F$1:$F$400,SF_Output!$AC$1:$AC$400,_xlfn.TEXTJOIN(",",TRUE,B125:E125))+SUMIFS(SF_Output!$G$1:$G$400,SF_Output!$AC$1:$AC$400,_xlfn.TEXTJOIN(",",TRUE,B125:E125)))&lt;&gt;0,SF_Output!$Y$2,INDEX(SF_Output!$F$1:$F$400,MATCH(_xlfn.TEXTJOIN(",",TRUE,B125:E125),SF_Output!$AC$1:$AC$400,0))=0,INDEX(SF_Output!$R$1:$R$400,MATCH(_xlfn.TEXTJOIN(",",TRUE,B125:E125),SF_Output!$AC$1:$AC$400,0)))</f>
        <v>0</v>
      </c>
      <c r="I125" s="125" t="str">
        <f>IFERROR(IF(AND(H125&gt;1,H125&lt;&gt;""),ROUND(SUMIFS(SF_Output!$S$1:$S$400,SF_Output!$AC$1:$AC$400,_xlfn.TEXTJOIN(",",TRUE,B125:E125),SF_Output!$Q$1:$Q$400,"monthly")*(1-W125)/H125,4),""),"")</f>
        <v/>
      </c>
      <c r="J125" s="6">
        <f>IF(B125="","",SUMIFS(SF_Output!$S$1:$S$400,SF_Output!$AC$1:$AC$400,_xlfn.TEXTJOIN(",",TRUE,B125:E125),SF_Output!$Q$1:$Q$400,"One Time",SF_Output!$L$1:$L$400,"license fee")+SUMIFS(SF_Output!$S$1:$S$400,SF_Output!$AC$1:$AC$400,_xlfn.TEXTJOIN(",",TRUE,B125:E125),SF_Output!$Q$1:$Q$400,"One Time",SF_Output!$L$1:$L$400,"software license")+SUMIFS(SF_Output!$S$1:$S$400,SF_Output!$AC$1:$AC$400,_xlfn.TEXTJOIN(",",TRUE,B125:E125),SF_Output!$Q$1:$Q$400,"One Time",SF_Output!$L$1:$L$400,"hardware"))</f>
        <v>0</v>
      </c>
      <c r="K125" s="112" t="str">
        <f>IF(OR(B125=0,B125="",G125="hardware",J125=0),"",IF(AF125&lt;&gt;"exclusion",MAX(K$9,-((SUMIFS(SF_Output!$T$1:$T$400,SF_Output!$AC$1:$AC$400,_xlfn.TEXTJOIN(",",TRUE,$B125:$E125),SF_Output!$Q$1:$Q$400,"One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license"))/J125)))</f>
        <v/>
      </c>
      <c r="L125" s="6">
        <f t="shared" si="18"/>
        <v>0</v>
      </c>
      <c r="N125" s="6">
        <f>IF(B125="","",SUMIFS(SF_Output!$S$1:$S$400,SF_Output!$AC$1:$AC$400,_xlfn.TEXTJOIN(",",TRUE,B125:E125),SF_Output!$Q$1:$Q$400,"One Time",SF_Output!$L$1:$L$400,"professional service"))</f>
        <v>0</v>
      </c>
      <c r="O125" s="112" t="str">
        <f>IF(OR(B125=0,B125="",N125=0),"",IF(AF125&lt;&gt;"exclusion",MAX(O$9,-(SUMIFS(SF_Output!$T$1:$T$400,SF_Output!$AC$1:$AC$400,_xlfn.TEXTJOIN(",",TRUE,$B125:$E125),SF_Output!$Q$1:$Q$400,"One Time",SF_Output!$L$1:$L$400,"professional service"))/N125),-((SUMIFS(SF_Output!$T$1:$T$400,SF_Output!$AC$1:$AC$400,_xlfn.TEXTJOIN(",",TRUE,$B125:$E125),SF_Output!$Q$1:$Q$400,"One Time",SF_Output!$L$1:$L$400,"professional service")/N125))))</f>
        <v/>
      </c>
      <c r="P125" s="6">
        <f t="shared" si="19"/>
        <v>0</v>
      </c>
      <c r="R125" s="6">
        <f>IF(B125="","",SUMIFS(SF_Output!$S$1:$S$400,SF_Output!$AC$1:$AC$400,_xlfn.TEXTJOIN(",",TRUE,B125:E125),SF_Output!$Q$1:$Q$400,"yearly")+SUMIFS(SF_Output!$S$1:$S$400,SF_Output!$AC$1:$AC$400,_xlfn.TEXTJOIN(",",TRUE,B125:E125),SF_Output!$Q$1:$Q$400,"quarterly")*4)</f>
        <v>0</v>
      </c>
      <c r="S125" s="112" t="str">
        <f>IF(OR(B125=0,B125="",G125="hardware",R125=0),"",IF(AF125&lt;&gt;"exclusion",MAX(S$9,-(SUMIFS(SF_Output!$T$1:$T$400,SF_Output!$AC$1:$AC$400,_xlfn.TEXTJOIN(",",TRUE,$B125:$E125),SF_Output!$Q$1:$Q$400,"yearly"))/R125),-((SUMIFS(SF_Output!$T$1:$T$400,SF_Output!$AC$1:$AC$400,_xlfn.TEXTJOIN(",",TRUE,$B125:$E125),SF_Output!$Q$1:$Q$400,"yearly")/R125))))</f>
        <v/>
      </c>
      <c r="T125" s="6">
        <f t="shared" si="20"/>
        <v>0</v>
      </c>
      <c r="V125" s="6" cm="1">
        <f t="array" ref="V125">_xlfn.IFS(B125="","",AND(B125&lt;&gt;"",H125=SF_Output!$Y$2,SUMIFS(SF_Output!$T$1:$T$400,SF_Output!$AC$1:$AC$400,_xlfn.TEXTJOIN(",",TRUE,B125:E125),SF_Output!$Q$1:$Q$400,"monthly")=0),(SUMIFS(SF_Output!$F$1:$F$400,SF_Output!$AC$1:$AC$400,_xlfn.TEXTJOIN(",",TRUE,B125:E125),SF_Output!$Q$1:$Q$400,"monthly")+SUMIFS(SF_Output!$G$1:$G$400,SF_Output!$AC$1:$AC$400,_xlfn.TEXTJOIN(",",TRUE,B125:E125),SF_Output!$Q$1:$Q$400,"monthly"))*H125,AND(B125&lt;&gt;"",H125=SF_Output!$Y$2,SUMIFS(SF_Output!$T$1:$T$400,SF_Output!$AC$1:$AC$400,_xlfn.TEXTJOIN(",",TRUE,B125:E125),SF_Output!$Q$1:$Q$400,"monthly")&lt;&gt;0),SUMIFS(SF_Output!$S$1:$S$400,SF_Output!$AC$1:$AC$400,_xlfn.TEXTJOIN(",",TRUE,B125:E125),SF_Output!$Q$1:$Q$400,"monthly"),AND(B125&lt;&gt;"",H125&lt;&gt;SF_Output!$Y$2),SUMIFS(SF_Output!$S$1:$S$400,SF_Output!$AC$1:$AC$400,_xlfn.TEXTJOIN(",",TRUE,B125:E125),SF_Output!$Q$1:$Q$400,"monthly"))</f>
        <v>0</v>
      </c>
      <c r="W125" s="112" t="str" cm="1">
        <f t="array" ref="W125">_xlfn.IFS(OR(B125=0,B125="",V125=0),"",AF125&lt;&gt;"exclusion",MAX($W$9,$W$7,(-(SUMIFS(SF_Output!$T$1:$T$400,SF_Output!$AC$1:$AC$400,_xlfn.TEXTJOIN(",",TRUE,$B125:$E125),SF_Output!$Q$1:$Q$400,"monthly"))/V125)),AF125="exclusion",-(SUMIFS(SF_Output!$T$1:$T$400,SF_Output!$AC$1:$AC$400,_xlfn.TEXTJOIN(",",TRUE,$B125:$E125),SF_Output!$Q$1:$Q$400,"monthly"))/V125)</f>
        <v/>
      </c>
      <c r="X125" s="6" cm="1">
        <f t="array" ref="X125">IFERROR(_xlfn.IFS(V125=0,0,V125="","",W125=0,V125,OR(V125&lt;&gt;0,V125&lt;&gt;""),H125*I125),V125*(1-W125))</f>
        <v>0</v>
      </c>
      <c r="Z125" s="6">
        <f>IFERROR(IF(B125="","",SUMIFS(Billing_Fallout!H:H,Billing_Fallout!N:N,B125)),0)</f>
        <v>0</v>
      </c>
      <c r="AA125" s="6">
        <f t="shared" si="21"/>
        <v>0</v>
      </c>
      <c r="AB125" s="6">
        <f>IFERROR(IF(B125="","",SUMIFS(Billing_Fallout!J:J,Billing_Fallout!N:N,B125)),0)</f>
        <v>0</v>
      </c>
      <c r="AD125" s="6">
        <f t="shared" si="22"/>
        <v>0</v>
      </c>
      <c r="AF125" t="str">
        <f>IFERROR(INDEX(H_Tables!$B$1:$B$1500,MATCH(INDEX(SF_Output!$J$1:$J$400,MATCH(B125,SF_Output!$M$1:$M$400,0)),H_Tables!$A$1:$A$1500,0)),"")</f>
        <v>Exclusion</v>
      </c>
      <c r="AI125" s="119" t="str">
        <f t="shared" si="23"/>
        <v/>
      </c>
      <c r="AJ125" s="121">
        <f>IFERROR(INDEX(SF_Output!AD:AD,MATCH(_xlfn.TEXTJOIN(",",TRUE,B125:E125),SF_Output!AC1:AC400,0)),0.05)</f>
        <v>204</v>
      </c>
      <c r="AK125" t="str">
        <f>IF(SUMIFS(SF_Output!$F$1:$F$400,SF_Output!$AC$1:$AC$400,_xlfn.TEXTJOIN(",",TRUE,B125:E125))+SUMIFS(SF_Output!$G$1:$G$400,SF_Output!$AC$1:$AC$400,_xlfn.TEXTJOIN(",",TRUE,B125:E125))=0,"","PAP")</f>
        <v/>
      </c>
      <c r="AQ125" s="35"/>
      <c r="AR125" s="35" t="str" cm="1">
        <f t="array" ref="AR125">IFERROR(_xlfn.IFS(AND(E125*1=1,F125="Included"),"Change to Included",AND(E125*1=0,F125="Optional"),"Change to Optional",OR(B125="",F125="replaced"),""),"")</f>
        <v/>
      </c>
      <c r="AS125" s="35" t="str">
        <f t="shared" si="24"/>
        <v/>
      </c>
      <c r="AT125" s="35" t="str">
        <f t="shared" si="25"/>
        <v/>
      </c>
      <c r="AU125" s="35" t="str">
        <f t="shared" si="26"/>
        <v/>
      </c>
      <c r="AV125" s="35" t="str">
        <f t="shared" si="27"/>
        <v/>
      </c>
      <c r="AW125" s="35" t="str">
        <f t="shared" si="28"/>
        <v/>
      </c>
      <c r="AX125" s="35" t="str">
        <f t="shared" si="29"/>
        <v/>
      </c>
      <c r="AY125" s="35" t="str">
        <f t="shared" si="30"/>
        <v/>
      </c>
      <c r="AZ125" s="35" t="str">
        <f t="shared" si="31"/>
        <v/>
      </c>
      <c r="BA125" s="35" t="str">
        <f t="shared" si="32"/>
        <v/>
      </c>
      <c r="BB125" s="35" t="str">
        <f t="shared" si="33"/>
        <v/>
      </c>
      <c r="BC125" s="35"/>
      <c r="BE125" s="35">
        <f ca="1">INDEX(SF_Output!$AA$2:$AA$400,MATCH($B125,SF_Output!$M$2:$M$400,0))</f>
        <v>6</v>
      </c>
      <c r="BF125" s="35">
        <f ca="1">INDEX(SF_Output!$AB$2:$AB$400,MATCH($B125,SF_Output!$M$2:$M$400,0))</f>
        <v>1</v>
      </c>
    </row>
    <row r="126" spans="2:58" x14ac:dyDescent="0.25">
      <c r="B126" t="s">
        <v>2410</v>
      </c>
      <c r="C126" t="s">
        <v>2122</v>
      </c>
      <c r="D126" t="s">
        <v>2207</v>
      </c>
      <c r="E126" t="s">
        <v>2124</v>
      </c>
      <c r="F126" s="116" t="str">
        <f t="shared" si="17"/>
        <v>Included</v>
      </c>
      <c r="G126" t="str">
        <f>IF(B126="","",INDEX(SF_Output!$K$1:$K$400,MATCH(B126,SF_Output!$M$1:$M$400,0)))</f>
        <v>Card Processing Solutions (CPS)</v>
      </c>
      <c r="H126" cm="1">
        <f t="array" ref="H126">_xlfn.IFS(B126="","",(SUMIFS(SF_Output!$F$1:$F$400,SF_Output!$AC$1:$AC$400,_xlfn.TEXTJOIN(",",TRUE,B126:E126))+SUMIFS(SF_Output!$G$1:$G$400,SF_Output!$AC$1:$AC$400,_xlfn.TEXTJOIN(",",TRUE,B126:E126)))&lt;&gt;0,SF_Output!$Y$2,INDEX(SF_Output!$F$1:$F$400,MATCH(_xlfn.TEXTJOIN(",",TRUE,B126:E126),SF_Output!$AC$1:$AC$400,0))=0,INDEX(SF_Output!$R$1:$R$400,MATCH(_xlfn.TEXTJOIN(",",TRUE,B126:E126),SF_Output!$AC$1:$AC$400,0)))</f>
        <v>1</v>
      </c>
      <c r="I126" s="125" t="str">
        <f>IFERROR(IF(AND(H126&gt;1,H126&lt;&gt;""),ROUND(SUMIFS(SF_Output!$S$1:$S$400,SF_Output!$AC$1:$AC$400,_xlfn.TEXTJOIN(",",TRUE,B126:E126),SF_Output!$Q$1:$Q$400,"monthly")*(1-W126)/H126,4),""),"")</f>
        <v/>
      </c>
      <c r="J126" s="6">
        <f>IF(B126="","",SUMIFS(SF_Output!$S$1:$S$400,SF_Output!$AC$1:$AC$400,_xlfn.TEXTJOIN(",",TRUE,B126:E126),SF_Output!$Q$1:$Q$400,"One Time",SF_Output!$L$1:$L$400,"license fee")+SUMIFS(SF_Output!$S$1:$S$400,SF_Output!$AC$1:$AC$400,_xlfn.TEXTJOIN(",",TRUE,B126:E126),SF_Output!$Q$1:$Q$400,"One Time",SF_Output!$L$1:$L$400,"software license")+SUMIFS(SF_Output!$S$1:$S$400,SF_Output!$AC$1:$AC$400,_xlfn.TEXTJOIN(",",TRUE,B126:E126),SF_Output!$Q$1:$Q$400,"One Time",SF_Output!$L$1:$L$400,"hardware"))</f>
        <v>0</v>
      </c>
      <c r="K126" s="112" t="str">
        <f>IF(OR(B126=0,B126="",G126="hardware",J126=0),"",IF(AF126&lt;&gt;"exclusion",MAX(K$9,-((SUMIFS(SF_Output!$T$1:$T$400,SF_Output!$AC$1:$AC$400,_xlfn.TEXTJOIN(",",TRUE,$B126:$E126),SF_Output!$Q$1:$Q$400,"One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license"))/J126)))</f>
        <v/>
      </c>
      <c r="L126" s="6">
        <f t="shared" si="18"/>
        <v>0</v>
      </c>
      <c r="N126" s="6">
        <f>IF(B126="","",SUMIFS(SF_Output!$S$1:$S$400,SF_Output!$AC$1:$AC$400,_xlfn.TEXTJOIN(",",TRUE,B126:E126),SF_Output!$Q$1:$Q$400,"One Time",SF_Output!$L$1:$L$400,"professional service"))</f>
        <v>1500</v>
      </c>
      <c r="O126" s="112">
        <f>IF(OR(B126=0,B126="",N126=0),"",IF(AF126&lt;&gt;"exclusion",MAX(O$9,-(SUMIFS(SF_Output!$T$1:$T$400,SF_Output!$AC$1:$AC$400,_xlfn.TEXTJOIN(",",TRUE,$B126:$E126),SF_Output!$Q$1:$Q$400,"One Time",SF_Output!$L$1:$L$400,"professional service"))/N126),-((SUMIFS(SF_Output!$T$1:$T$400,SF_Output!$AC$1:$AC$400,_xlfn.TEXTJOIN(",",TRUE,$B126:$E126),SF_Output!$Q$1:$Q$400,"One Time",SF_Output!$L$1:$L$400,"professional service")/N126))))</f>
        <v>1</v>
      </c>
      <c r="P126" s="6">
        <f t="shared" si="19"/>
        <v>0</v>
      </c>
      <c r="R126" s="6">
        <f>IF(B126="","",SUMIFS(SF_Output!$S$1:$S$400,SF_Output!$AC$1:$AC$400,_xlfn.TEXTJOIN(",",TRUE,B126:E126),SF_Output!$Q$1:$Q$400,"yearly")+SUMIFS(SF_Output!$S$1:$S$400,SF_Output!$AC$1:$AC$400,_xlfn.TEXTJOIN(",",TRUE,B126:E126),SF_Output!$Q$1:$Q$400,"quarterly")*4)</f>
        <v>0</v>
      </c>
      <c r="S126" s="112" t="str">
        <f>IF(OR(B126=0,B126="",G126="hardware",R126=0),"",IF(AF126&lt;&gt;"exclusion",MAX(S$9,-(SUMIFS(SF_Output!$T$1:$T$400,SF_Output!$AC$1:$AC$400,_xlfn.TEXTJOIN(",",TRUE,$B126:$E126),SF_Output!$Q$1:$Q$400,"yearly"))/R126),-((SUMIFS(SF_Output!$T$1:$T$400,SF_Output!$AC$1:$AC$400,_xlfn.TEXTJOIN(",",TRUE,$B126:$E126),SF_Output!$Q$1:$Q$400,"yearly")/R126))))</f>
        <v/>
      </c>
      <c r="T126" s="6">
        <f t="shared" si="20"/>
        <v>0</v>
      </c>
      <c r="V126" s="6" cm="1">
        <f t="array" ref="V126">_xlfn.IFS(B126="","",AND(B126&lt;&gt;"",H126=SF_Output!$Y$2,SUMIFS(SF_Output!$T$1:$T$400,SF_Output!$AC$1:$AC$400,_xlfn.TEXTJOIN(",",TRUE,B126:E126),SF_Output!$Q$1:$Q$400,"monthly")=0),(SUMIFS(SF_Output!$F$1:$F$400,SF_Output!$AC$1:$AC$400,_xlfn.TEXTJOIN(",",TRUE,B126:E126),SF_Output!$Q$1:$Q$400,"monthly")+SUMIFS(SF_Output!$G$1:$G$400,SF_Output!$AC$1:$AC$400,_xlfn.TEXTJOIN(",",TRUE,B126:E126),SF_Output!$Q$1:$Q$400,"monthly"))*H126,AND(B126&lt;&gt;"",H126=SF_Output!$Y$2,SUMIFS(SF_Output!$T$1:$T$400,SF_Output!$AC$1:$AC$400,_xlfn.TEXTJOIN(",",TRUE,B126:E126),SF_Output!$Q$1:$Q$400,"monthly")&lt;&gt;0),SUMIFS(SF_Output!$S$1:$S$400,SF_Output!$AC$1:$AC$400,_xlfn.TEXTJOIN(",",TRUE,B126:E126),SF_Output!$Q$1:$Q$400,"monthly"),AND(B126&lt;&gt;"",H126&lt;&gt;SF_Output!$Y$2),SUMIFS(SF_Output!$S$1:$S$400,SF_Output!$AC$1:$AC$400,_xlfn.TEXTJOIN(",",TRUE,B126:E126),SF_Output!$Q$1:$Q$400,"monthly"))</f>
        <v>150</v>
      </c>
      <c r="W126" s="112" cm="1">
        <f t="array" ref="W126">_xlfn.IFS(OR(B126=0,B126="",V126=0),"",AF126&lt;&gt;"exclusion",MAX($W$9,$W$7,(-(SUMIFS(SF_Output!$T$1:$T$400,SF_Output!$AC$1:$AC$400,_xlfn.TEXTJOIN(",",TRUE,$B126:$E126),SF_Output!$Q$1:$Q$400,"monthly"))/V126)),AF126="exclusion",-(SUMIFS(SF_Output!$T$1:$T$400,SF_Output!$AC$1:$AC$400,_xlfn.TEXTJOIN(",",TRUE,$B126:$E126),SF_Output!$Q$1:$Q$400,"monthly"))/V126)</f>
        <v>1</v>
      </c>
      <c r="X126" s="6" cm="1">
        <f t="array" ref="X126">IFERROR(_xlfn.IFS(V126=0,0,V126="","",W126=0,V126,OR(V126&lt;&gt;0,V126&lt;&gt;""),H126*I126),V126*(1-W126))</f>
        <v>0</v>
      </c>
      <c r="Z126" s="6">
        <f>IFERROR(IF(B126="","",SUMIFS(Billing_Fallout!H:H,Billing_Fallout!N:N,B126)),0)</f>
        <v>0</v>
      </c>
      <c r="AA126" s="6">
        <f t="shared" si="21"/>
        <v>0</v>
      </c>
      <c r="AB126" s="6">
        <f>IFERROR(IF(B126="","",SUMIFS(Billing_Fallout!J:J,Billing_Fallout!N:N,B126)),0)</f>
        <v>0</v>
      </c>
      <c r="AD126" s="6">
        <f t="shared" si="22"/>
        <v>0</v>
      </c>
      <c r="AF126" t="str">
        <f>IFERROR(INDEX(H_Tables!$B$1:$B$1500,MATCH(INDEX(SF_Output!$J$1:$J$400,MATCH(B126,SF_Output!$M$1:$M$400,0)),H_Tables!$A$1:$A$1500,0)),"")</f>
        <v>Exclusion</v>
      </c>
      <c r="AI126" s="119" t="str">
        <f t="shared" si="23"/>
        <v/>
      </c>
      <c r="AJ126" s="121">
        <f>IFERROR(INDEX(SF_Output!AD:AD,MATCH(_xlfn.TEXTJOIN(",",TRUE,B126:E126),SF_Output!AC1:AC400,0)),0.05)</f>
        <v>205</v>
      </c>
      <c r="AK126" t="str">
        <f>IF(SUMIFS(SF_Output!$F$1:$F$400,SF_Output!$AC$1:$AC$400,_xlfn.TEXTJOIN(",",TRUE,B126:E126))+SUMIFS(SF_Output!$G$1:$G$400,SF_Output!$AC$1:$AC$400,_xlfn.TEXTJOIN(",",TRUE,B126:E126))=0,"","PAP")</f>
        <v/>
      </c>
      <c r="AQ126" s="35"/>
      <c r="AR126" s="35" t="str" cm="1">
        <f t="array" ref="AR126">IFERROR(_xlfn.IFS(AND(E126*1=1,F126="Included"),"Change to Included",AND(E126*1=0,F126="Optional"),"Change to Optional",OR(B126="",F126="replaced"),""),"")</f>
        <v/>
      </c>
      <c r="AS126" s="35" t="str">
        <f t="shared" si="24"/>
        <v/>
      </c>
      <c r="AT126" s="35" t="str">
        <f t="shared" si="25"/>
        <v/>
      </c>
      <c r="AU126" s="35" t="str">
        <f t="shared" si="26"/>
        <v/>
      </c>
      <c r="AV126" s="35" t="str">
        <f t="shared" si="27"/>
        <v/>
      </c>
      <c r="AW126" s="35" t="str">
        <f t="shared" si="28"/>
        <v/>
      </c>
      <c r="AX126" s="35" t="str">
        <f t="shared" si="29"/>
        <v/>
      </c>
      <c r="AY126" s="35" t="str">
        <f t="shared" si="30"/>
        <v/>
      </c>
      <c r="AZ126" s="35" t="str">
        <f t="shared" si="31"/>
        <v/>
      </c>
      <c r="BA126" s="35" t="str">
        <f t="shared" si="32"/>
        <v/>
      </c>
      <c r="BB126" s="35" t="str">
        <f t="shared" si="33"/>
        <v/>
      </c>
      <c r="BC126" s="35"/>
      <c r="BE126" s="35">
        <f ca="1">INDEX(SF_Output!$AA$2:$AA$400,MATCH($B126,SF_Output!$M$2:$M$400,0))</f>
        <v>6</v>
      </c>
      <c r="BF126" s="35">
        <f ca="1">INDEX(SF_Output!$AB$2:$AB$400,MATCH($B126,SF_Output!$M$2:$M$400,0))</f>
        <v>1</v>
      </c>
    </row>
    <row r="127" spans="2:58" x14ac:dyDescent="0.25">
      <c r="B127" t="s">
        <v>2413</v>
      </c>
      <c r="C127" t="s">
        <v>2122</v>
      </c>
      <c r="D127" t="s">
        <v>2207</v>
      </c>
      <c r="E127" t="s">
        <v>2124</v>
      </c>
      <c r="F127" s="116" t="str">
        <f t="shared" si="17"/>
        <v>Included</v>
      </c>
      <c r="G127" t="str">
        <f>IF(B127="","",INDEX(SF_Output!$K$1:$K$400,MATCH(B127,SF_Output!$M$1:$M$400,0)))</f>
        <v>Card Processing Solutions (CPS)</v>
      </c>
      <c r="H127" cm="1">
        <f t="array" ref="H127">_xlfn.IFS(B127="","",(SUMIFS(SF_Output!$F$1:$F$400,SF_Output!$AC$1:$AC$400,_xlfn.TEXTJOIN(",",TRUE,B127:E127))+SUMIFS(SF_Output!$G$1:$G$400,SF_Output!$AC$1:$AC$400,_xlfn.TEXTJOIN(",",TRUE,B127:E127)))&lt;&gt;0,SF_Output!$Y$2,INDEX(SF_Output!$F$1:$F$400,MATCH(_xlfn.TEXTJOIN(",",TRUE,B127:E127),SF_Output!$AC$1:$AC$400,0))=0,INDEX(SF_Output!$R$1:$R$400,MATCH(_xlfn.TEXTJOIN(",",TRUE,B127:E127),SF_Output!$AC$1:$AC$400,0)))</f>
        <v>0</v>
      </c>
      <c r="I127" s="125" t="str">
        <f>IFERROR(IF(AND(H127&gt;1,H127&lt;&gt;""),ROUND(SUMIFS(SF_Output!$S$1:$S$400,SF_Output!$AC$1:$AC$400,_xlfn.TEXTJOIN(",",TRUE,B127:E127),SF_Output!$Q$1:$Q$400,"monthly")*(1-W127)/H127,4),""),"")</f>
        <v/>
      </c>
      <c r="J127" s="6">
        <f>IF(B127="","",SUMIFS(SF_Output!$S$1:$S$400,SF_Output!$AC$1:$AC$400,_xlfn.TEXTJOIN(",",TRUE,B127:E127),SF_Output!$Q$1:$Q$400,"One Time",SF_Output!$L$1:$L$400,"license fee")+SUMIFS(SF_Output!$S$1:$S$400,SF_Output!$AC$1:$AC$400,_xlfn.TEXTJOIN(",",TRUE,B127:E127),SF_Output!$Q$1:$Q$400,"One Time",SF_Output!$L$1:$L$400,"software license")+SUMIFS(SF_Output!$S$1:$S$400,SF_Output!$AC$1:$AC$400,_xlfn.TEXTJOIN(",",TRUE,B127:E127),SF_Output!$Q$1:$Q$400,"One Time",SF_Output!$L$1:$L$400,"hardware"))</f>
        <v>0</v>
      </c>
      <c r="K127" s="112" t="str">
        <f>IF(OR(B127=0,B127="",G127="hardware",J127=0),"",IF(AF127&lt;&gt;"exclusion",MAX(K$9,-((SUMIFS(SF_Output!$T$1:$T$400,SF_Output!$AC$1:$AC$400,_xlfn.TEXTJOIN(",",TRUE,$B127:$E127),SF_Output!$Q$1:$Q$400,"One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license"))/J127)))</f>
        <v/>
      </c>
      <c r="L127" s="6">
        <f t="shared" si="18"/>
        <v>0</v>
      </c>
      <c r="N127" s="6">
        <f>IF(B127="","",SUMIFS(SF_Output!$S$1:$S$400,SF_Output!$AC$1:$AC$400,_xlfn.TEXTJOIN(",",TRUE,B127:E127),SF_Output!$Q$1:$Q$400,"One Time",SF_Output!$L$1:$L$400,"professional service"))</f>
        <v>0</v>
      </c>
      <c r="O127" s="112" t="str">
        <f>IF(OR(B127=0,B127="",N127=0),"",IF(AF127&lt;&gt;"exclusion",MAX(O$9,-(SUMIFS(SF_Output!$T$1:$T$400,SF_Output!$AC$1:$AC$400,_xlfn.TEXTJOIN(",",TRUE,$B127:$E127),SF_Output!$Q$1:$Q$400,"One Time",SF_Output!$L$1:$L$400,"professional service"))/N127),-((SUMIFS(SF_Output!$T$1:$T$400,SF_Output!$AC$1:$AC$400,_xlfn.TEXTJOIN(",",TRUE,$B127:$E127),SF_Output!$Q$1:$Q$400,"One Time",SF_Output!$L$1:$L$400,"professional service")/N127))))</f>
        <v/>
      </c>
      <c r="P127" s="6">
        <f t="shared" si="19"/>
        <v>0</v>
      </c>
      <c r="R127" s="6">
        <f>IF(B127="","",SUMIFS(SF_Output!$S$1:$S$400,SF_Output!$AC$1:$AC$400,_xlfn.TEXTJOIN(",",TRUE,B127:E127),SF_Output!$Q$1:$Q$400,"yearly")+SUMIFS(SF_Output!$S$1:$S$400,SF_Output!$AC$1:$AC$400,_xlfn.TEXTJOIN(",",TRUE,B127:E127),SF_Output!$Q$1:$Q$400,"quarterly")*4)</f>
        <v>0</v>
      </c>
      <c r="S127" s="112" t="str">
        <f>IF(OR(B127=0,B127="",G127="hardware",R127=0),"",IF(AF127&lt;&gt;"exclusion",MAX(S$9,-(SUMIFS(SF_Output!$T$1:$T$400,SF_Output!$AC$1:$AC$400,_xlfn.TEXTJOIN(",",TRUE,$B127:$E127),SF_Output!$Q$1:$Q$400,"yearly"))/R127),-((SUMIFS(SF_Output!$T$1:$T$400,SF_Output!$AC$1:$AC$400,_xlfn.TEXTJOIN(",",TRUE,$B127:$E127),SF_Output!$Q$1:$Q$400,"yearly")/R127))))</f>
        <v/>
      </c>
      <c r="T127" s="6">
        <f t="shared" si="20"/>
        <v>0</v>
      </c>
      <c r="V127" s="6" cm="1">
        <f t="array" ref="V127">_xlfn.IFS(B127="","",AND(B127&lt;&gt;"",H127=SF_Output!$Y$2,SUMIFS(SF_Output!$T$1:$T$400,SF_Output!$AC$1:$AC$400,_xlfn.TEXTJOIN(",",TRUE,B127:E127),SF_Output!$Q$1:$Q$400,"monthly")=0),(SUMIFS(SF_Output!$F$1:$F$400,SF_Output!$AC$1:$AC$400,_xlfn.TEXTJOIN(",",TRUE,B127:E127),SF_Output!$Q$1:$Q$400,"monthly")+SUMIFS(SF_Output!$G$1:$G$400,SF_Output!$AC$1:$AC$400,_xlfn.TEXTJOIN(",",TRUE,B127:E127),SF_Output!$Q$1:$Q$400,"monthly"))*H127,AND(B127&lt;&gt;"",H127=SF_Output!$Y$2,SUMIFS(SF_Output!$T$1:$T$400,SF_Output!$AC$1:$AC$400,_xlfn.TEXTJOIN(",",TRUE,B127:E127),SF_Output!$Q$1:$Q$400,"monthly")&lt;&gt;0),SUMIFS(SF_Output!$S$1:$S$400,SF_Output!$AC$1:$AC$400,_xlfn.TEXTJOIN(",",TRUE,B127:E127),SF_Output!$Q$1:$Q$400,"monthly"),AND(B127&lt;&gt;"",H127&lt;&gt;SF_Output!$Y$2),SUMIFS(SF_Output!$S$1:$S$400,SF_Output!$AC$1:$AC$400,_xlfn.TEXTJOIN(",",TRUE,B127:E127),SF_Output!$Q$1:$Q$400,"monthly"))</f>
        <v>0</v>
      </c>
      <c r="W127" s="112" t="str" cm="1">
        <f t="array" ref="W127">_xlfn.IFS(OR(B127=0,B127="",V127=0),"",AF127&lt;&gt;"exclusion",MAX($W$9,$W$7,(-(SUMIFS(SF_Output!$T$1:$T$400,SF_Output!$AC$1:$AC$400,_xlfn.TEXTJOIN(",",TRUE,$B127:$E127),SF_Output!$Q$1:$Q$400,"monthly"))/V127)),AF127="exclusion",-(SUMIFS(SF_Output!$T$1:$T$400,SF_Output!$AC$1:$AC$400,_xlfn.TEXTJOIN(",",TRUE,$B127:$E127),SF_Output!$Q$1:$Q$400,"monthly"))/V127)</f>
        <v/>
      </c>
      <c r="X127" s="6" cm="1">
        <f t="array" ref="X127">IFERROR(_xlfn.IFS(V127=0,0,V127="","",W127=0,V127,OR(V127&lt;&gt;0,V127&lt;&gt;""),H127*I127),V127*(1-W127))</f>
        <v>0</v>
      </c>
      <c r="Z127" s="6">
        <f>IFERROR(IF(B127="","",SUMIFS(Billing_Fallout!H:H,Billing_Fallout!N:N,B127)),0)</f>
        <v>0</v>
      </c>
      <c r="AA127" s="6">
        <f t="shared" si="21"/>
        <v>0</v>
      </c>
      <c r="AB127" s="6">
        <f>IFERROR(IF(B127="","",SUMIFS(Billing_Fallout!J:J,Billing_Fallout!N:N,B127)),0)</f>
        <v>0</v>
      </c>
      <c r="AD127" s="6">
        <f t="shared" si="22"/>
        <v>0</v>
      </c>
      <c r="AF127" t="str">
        <f>IFERROR(INDEX(H_Tables!$B$1:$B$1500,MATCH(INDEX(SF_Output!$J$1:$J$400,MATCH(B127,SF_Output!$M$1:$M$400,0)),H_Tables!$A$1:$A$1500,0)),"")</f>
        <v>Exclusion</v>
      </c>
      <c r="AI127" s="119" t="str">
        <f t="shared" si="23"/>
        <v/>
      </c>
      <c r="AJ127" s="121">
        <f>IFERROR(INDEX(SF_Output!AD:AD,MATCH(_xlfn.TEXTJOIN(",",TRUE,B127:E127),SF_Output!AC1:AC400,0)),0.05)</f>
        <v>207</v>
      </c>
      <c r="AK127" t="str">
        <f>IF(SUMIFS(SF_Output!$F$1:$F$400,SF_Output!$AC$1:$AC$400,_xlfn.TEXTJOIN(",",TRUE,B127:E127))+SUMIFS(SF_Output!$G$1:$G$400,SF_Output!$AC$1:$AC$400,_xlfn.TEXTJOIN(",",TRUE,B127:E127))=0,"","PAP")</f>
        <v/>
      </c>
      <c r="AQ127" s="35"/>
      <c r="AR127" s="35" t="str" cm="1">
        <f t="array" ref="AR127">IFERROR(_xlfn.IFS(AND(E127*1=1,F127="Included"),"Change to Included",AND(E127*1=0,F127="Optional"),"Change to Optional",OR(B127="",F127="replaced"),""),"")</f>
        <v/>
      </c>
      <c r="AS127" s="35" t="str">
        <f t="shared" si="24"/>
        <v/>
      </c>
      <c r="AT127" s="35" t="str">
        <f t="shared" si="25"/>
        <v/>
      </c>
      <c r="AU127" s="35" t="str">
        <f t="shared" si="26"/>
        <v/>
      </c>
      <c r="AV127" s="35" t="str">
        <f t="shared" si="27"/>
        <v/>
      </c>
      <c r="AW127" s="35" t="str">
        <f t="shared" si="28"/>
        <v/>
      </c>
      <c r="AX127" s="35" t="str">
        <f t="shared" si="29"/>
        <v/>
      </c>
      <c r="AY127" s="35" t="str">
        <f t="shared" si="30"/>
        <v/>
      </c>
      <c r="AZ127" s="35" t="str">
        <f t="shared" si="31"/>
        <v/>
      </c>
      <c r="BA127" s="35" t="str">
        <f t="shared" si="32"/>
        <v/>
      </c>
      <c r="BB127" s="35" t="str">
        <f t="shared" si="33"/>
        <v/>
      </c>
      <c r="BC127" s="35"/>
      <c r="BE127" s="35">
        <f ca="1">INDEX(SF_Output!$AA$2:$AA$400,MATCH($B127,SF_Output!$M$2:$M$400,0))</f>
        <v>6</v>
      </c>
      <c r="BF127" s="35">
        <f ca="1">INDEX(SF_Output!$AB$2:$AB$400,MATCH($B127,SF_Output!$M$2:$M$400,0))</f>
        <v>1</v>
      </c>
    </row>
    <row r="128" spans="2:58" x14ac:dyDescent="0.25">
      <c r="B128" t="s">
        <v>2415</v>
      </c>
      <c r="C128" t="s">
        <v>2122</v>
      </c>
      <c r="D128" t="s">
        <v>2207</v>
      </c>
      <c r="E128" t="s">
        <v>2124</v>
      </c>
      <c r="F128" s="116" t="str">
        <f t="shared" si="17"/>
        <v>Included</v>
      </c>
      <c r="G128" t="str">
        <f>IF(B128="","",INDEX(SF_Output!$K$1:$K$400,MATCH(B128,SF_Output!$M$1:$M$400,0)))</f>
        <v>Card Processing Solutions (CPS)</v>
      </c>
      <c r="H128" cm="1">
        <f t="array" ref="H128">_xlfn.IFS(B128="","",(SUMIFS(SF_Output!$F$1:$F$400,SF_Output!$AC$1:$AC$400,_xlfn.TEXTJOIN(",",TRUE,B128:E128))+SUMIFS(SF_Output!$G$1:$G$400,SF_Output!$AC$1:$AC$400,_xlfn.TEXTJOIN(",",TRUE,B128:E128)))&lt;&gt;0,SF_Output!$Y$2,INDEX(SF_Output!$F$1:$F$400,MATCH(_xlfn.TEXTJOIN(",",TRUE,B128:E128),SF_Output!$AC$1:$AC$400,0))=0,INDEX(SF_Output!$R$1:$R$400,MATCH(_xlfn.TEXTJOIN(",",TRUE,B128:E128),SF_Output!$AC$1:$AC$400,0)))</f>
        <v>1</v>
      </c>
      <c r="I128" s="125" t="str">
        <f>IFERROR(IF(AND(H128&gt;1,H128&lt;&gt;""),ROUND(SUMIFS(SF_Output!$S$1:$S$400,SF_Output!$AC$1:$AC$400,_xlfn.TEXTJOIN(",",TRUE,B128:E128),SF_Output!$Q$1:$Q$400,"monthly")*(1-W128)/H128,4),""),"")</f>
        <v/>
      </c>
      <c r="J128" s="6">
        <f>IF(B128="","",SUMIFS(SF_Output!$S$1:$S$400,SF_Output!$AC$1:$AC$400,_xlfn.TEXTJOIN(",",TRUE,B128:E128),SF_Output!$Q$1:$Q$400,"One Time",SF_Output!$L$1:$L$400,"license fee")+SUMIFS(SF_Output!$S$1:$S$400,SF_Output!$AC$1:$AC$400,_xlfn.TEXTJOIN(",",TRUE,B128:E128),SF_Output!$Q$1:$Q$400,"One Time",SF_Output!$L$1:$L$400,"software license")+SUMIFS(SF_Output!$S$1:$S$400,SF_Output!$AC$1:$AC$400,_xlfn.TEXTJOIN(",",TRUE,B128:E128),SF_Output!$Q$1:$Q$400,"One Time",SF_Output!$L$1:$L$400,"hardware"))</f>
        <v>0</v>
      </c>
      <c r="K128" s="112" t="str">
        <f>IF(OR(B128=0,B128="",G128="hardware",J128=0),"",IF(AF128&lt;&gt;"exclusion",MAX(K$9,-((SUMIFS(SF_Output!$T$1:$T$400,SF_Output!$AC$1:$AC$400,_xlfn.TEXTJOIN(",",TRUE,$B128:$E128),SF_Output!$Q$1:$Q$400,"One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license"))/J128)))</f>
        <v/>
      </c>
      <c r="L128" s="6">
        <f t="shared" si="18"/>
        <v>0</v>
      </c>
      <c r="N128" s="6">
        <f>IF(B128="","",SUMIFS(SF_Output!$S$1:$S$400,SF_Output!$AC$1:$AC$400,_xlfn.TEXTJOIN(",",TRUE,B128:E128),SF_Output!$Q$1:$Q$400,"One Time",SF_Output!$L$1:$L$400,"professional service"))</f>
        <v>1500</v>
      </c>
      <c r="O128" s="112">
        <f>IF(OR(B128=0,B128="",N128=0),"",IF(AF128&lt;&gt;"exclusion",MAX(O$9,-(SUMIFS(SF_Output!$T$1:$T$400,SF_Output!$AC$1:$AC$400,_xlfn.TEXTJOIN(",",TRUE,$B128:$E128),SF_Output!$Q$1:$Q$400,"One Time",SF_Output!$L$1:$L$400,"professional service"))/N128),-((SUMIFS(SF_Output!$T$1:$T$400,SF_Output!$AC$1:$AC$400,_xlfn.TEXTJOIN(",",TRUE,$B128:$E128),SF_Output!$Q$1:$Q$400,"One Time",SF_Output!$L$1:$L$400,"professional service")/N128))))</f>
        <v>1</v>
      </c>
      <c r="P128" s="6">
        <f t="shared" si="19"/>
        <v>0</v>
      </c>
      <c r="R128" s="6">
        <f>IF(B128="","",SUMIFS(SF_Output!$S$1:$S$400,SF_Output!$AC$1:$AC$400,_xlfn.TEXTJOIN(",",TRUE,B128:E128),SF_Output!$Q$1:$Q$400,"yearly")+SUMIFS(SF_Output!$S$1:$S$400,SF_Output!$AC$1:$AC$400,_xlfn.TEXTJOIN(",",TRUE,B128:E128),SF_Output!$Q$1:$Q$400,"quarterly")*4)</f>
        <v>0</v>
      </c>
      <c r="S128" s="112" t="str">
        <f>IF(OR(B128=0,B128="",G128="hardware",R128=0),"",IF(AF128&lt;&gt;"exclusion",MAX(S$9,-(SUMIFS(SF_Output!$T$1:$T$400,SF_Output!$AC$1:$AC$400,_xlfn.TEXTJOIN(",",TRUE,$B128:$E128),SF_Output!$Q$1:$Q$400,"yearly"))/R128),-((SUMIFS(SF_Output!$T$1:$T$400,SF_Output!$AC$1:$AC$400,_xlfn.TEXTJOIN(",",TRUE,$B128:$E128),SF_Output!$Q$1:$Q$400,"yearly")/R128))))</f>
        <v/>
      </c>
      <c r="T128" s="6">
        <f t="shared" si="20"/>
        <v>0</v>
      </c>
      <c r="V128" s="6" cm="1">
        <f t="array" ref="V128">_xlfn.IFS(B128="","",AND(B128&lt;&gt;"",H128=SF_Output!$Y$2,SUMIFS(SF_Output!$T$1:$T$400,SF_Output!$AC$1:$AC$400,_xlfn.TEXTJOIN(",",TRUE,B128:E128),SF_Output!$Q$1:$Q$400,"monthly")=0),(SUMIFS(SF_Output!$F$1:$F$400,SF_Output!$AC$1:$AC$400,_xlfn.TEXTJOIN(",",TRUE,B128:E128),SF_Output!$Q$1:$Q$400,"monthly")+SUMIFS(SF_Output!$G$1:$G$400,SF_Output!$AC$1:$AC$400,_xlfn.TEXTJOIN(",",TRUE,B128:E128),SF_Output!$Q$1:$Q$400,"monthly"))*H128,AND(B128&lt;&gt;"",H128=SF_Output!$Y$2,SUMIFS(SF_Output!$T$1:$T$400,SF_Output!$AC$1:$AC$400,_xlfn.TEXTJOIN(",",TRUE,B128:E128),SF_Output!$Q$1:$Q$400,"monthly")&lt;&gt;0),SUMIFS(SF_Output!$S$1:$S$400,SF_Output!$AC$1:$AC$400,_xlfn.TEXTJOIN(",",TRUE,B128:E128),SF_Output!$Q$1:$Q$400,"monthly"),AND(B128&lt;&gt;"",H128&lt;&gt;SF_Output!$Y$2),SUMIFS(SF_Output!$S$1:$S$400,SF_Output!$AC$1:$AC$400,_xlfn.TEXTJOIN(",",TRUE,B128:E128),SF_Output!$Q$1:$Q$400,"monthly"))</f>
        <v>150</v>
      </c>
      <c r="W128" s="112" cm="1">
        <f t="array" ref="W128">_xlfn.IFS(OR(B128=0,B128="",V128=0),"",AF128&lt;&gt;"exclusion",MAX($W$9,$W$7,(-(SUMIFS(SF_Output!$T$1:$T$400,SF_Output!$AC$1:$AC$400,_xlfn.TEXTJOIN(",",TRUE,$B128:$E128),SF_Output!$Q$1:$Q$400,"monthly"))/V128)),AF128="exclusion",-(SUMIFS(SF_Output!$T$1:$T$400,SF_Output!$AC$1:$AC$400,_xlfn.TEXTJOIN(",",TRUE,$B128:$E128),SF_Output!$Q$1:$Q$400,"monthly"))/V128)</f>
        <v>0</v>
      </c>
      <c r="X128" s="6" cm="1">
        <f t="array" ref="X128">IFERROR(_xlfn.IFS(V128=0,0,V128="","",W128=0,V128,OR(V128&lt;&gt;0,V128&lt;&gt;""),H128*I128),V128*(1-W128))</f>
        <v>150</v>
      </c>
      <c r="Z128" s="6">
        <f>IFERROR(IF(B128="","",SUMIFS(Billing_Fallout!H:H,Billing_Fallout!N:N,B128)),0)</f>
        <v>0</v>
      </c>
      <c r="AA128" s="6">
        <f t="shared" si="21"/>
        <v>0</v>
      </c>
      <c r="AB128" s="6">
        <f>IFERROR(IF(B128="","",SUMIFS(Billing_Fallout!J:J,Billing_Fallout!N:N,B128)),0)</f>
        <v>0</v>
      </c>
      <c r="AD128" s="6">
        <f t="shared" si="22"/>
        <v>150</v>
      </c>
      <c r="AF128" t="str">
        <f>IFERROR(INDEX(H_Tables!$B$1:$B$1500,MATCH(INDEX(SF_Output!$J$1:$J$400,MATCH(B128,SF_Output!$M$1:$M$400,0)),H_Tables!$A$1:$A$1500,0)),"")</f>
        <v>Exclusion</v>
      </c>
      <c r="AI128" s="119" t="str">
        <f t="shared" si="23"/>
        <v/>
      </c>
      <c r="AJ128" s="121">
        <f>IFERROR(INDEX(SF_Output!AD:AD,MATCH(_xlfn.TEXTJOIN(",",TRUE,B128:E128),SF_Output!AC1:AC400,0)),0.05)</f>
        <v>208</v>
      </c>
      <c r="AK128" t="str">
        <f>IF(SUMIFS(SF_Output!$F$1:$F$400,SF_Output!$AC$1:$AC$400,_xlfn.TEXTJOIN(",",TRUE,B128:E128))+SUMIFS(SF_Output!$G$1:$G$400,SF_Output!$AC$1:$AC$400,_xlfn.TEXTJOIN(",",TRUE,B128:E128))=0,"","PAP")</f>
        <v/>
      </c>
      <c r="AQ128" s="35"/>
      <c r="AR128" s="35" t="str" cm="1">
        <f t="array" ref="AR128">IFERROR(_xlfn.IFS(AND(E128*1=1,F128="Included"),"Change to Included",AND(E128*1=0,F128="Optional"),"Change to Optional",OR(B128="",F128="replaced"),""),"")</f>
        <v/>
      </c>
      <c r="AS128" s="35" t="str">
        <f t="shared" si="24"/>
        <v/>
      </c>
      <c r="AT128" s="35" t="str">
        <f t="shared" si="25"/>
        <v/>
      </c>
      <c r="AU128" s="35" t="str">
        <f t="shared" si="26"/>
        <v/>
      </c>
      <c r="AV128" s="35" t="str">
        <f t="shared" si="27"/>
        <v/>
      </c>
      <c r="AW128" s="35" t="str">
        <f t="shared" si="28"/>
        <v/>
      </c>
      <c r="AX128" s="35" t="str">
        <f t="shared" si="29"/>
        <v/>
      </c>
      <c r="AY128" s="35" t="str">
        <f t="shared" si="30"/>
        <v/>
      </c>
      <c r="AZ128" s="35" t="str">
        <f t="shared" si="31"/>
        <v/>
      </c>
      <c r="BA128" s="35" t="str">
        <f t="shared" si="32"/>
        <v/>
      </c>
      <c r="BB128" s="35" t="str">
        <f t="shared" si="33"/>
        <v/>
      </c>
      <c r="BC128" s="35"/>
      <c r="BE128" s="35">
        <f ca="1">INDEX(SF_Output!$AA$2:$AA$400,MATCH($B128,SF_Output!$M$2:$M$400,0))</f>
        <v>6</v>
      </c>
      <c r="BF128" s="35">
        <f ca="1">INDEX(SF_Output!$AB$2:$AB$400,MATCH($B128,SF_Output!$M$2:$M$400,0))</f>
        <v>1</v>
      </c>
    </row>
    <row r="129" spans="2:58" x14ac:dyDescent="0.25">
      <c r="B129" t="s">
        <v>2418</v>
      </c>
      <c r="C129" t="s">
        <v>2122</v>
      </c>
      <c r="D129" t="s">
        <v>2207</v>
      </c>
      <c r="E129" t="s">
        <v>2124</v>
      </c>
      <c r="F129" s="116" t="str">
        <f t="shared" si="17"/>
        <v>Included</v>
      </c>
      <c r="G129" t="str">
        <f>IF(B129="","",INDEX(SF_Output!$K$1:$K$400,MATCH(B129,SF_Output!$M$1:$M$400,0)))</f>
        <v>Card Processing Solutions (CPS)</v>
      </c>
      <c r="H129" cm="1">
        <f t="array" ref="H129">_xlfn.IFS(B129="","",(SUMIFS(SF_Output!$F$1:$F$400,SF_Output!$AC$1:$AC$400,_xlfn.TEXTJOIN(",",TRUE,B129:E129))+SUMIFS(SF_Output!$G$1:$G$400,SF_Output!$AC$1:$AC$400,_xlfn.TEXTJOIN(",",TRUE,B129:E129)))&lt;&gt;0,SF_Output!$Y$2,INDEX(SF_Output!$F$1:$F$400,MATCH(_xlfn.TEXTJOIN(",",TRUE,B129:E129),SF_Output!$AC$1:$AC$400,0))=0,INDEX(SF_Output!$R$1:$R$400,MATCH(_xlfn.TEXTJOIN(",",TRUE,B129:E129),SF_Output!$AC$1:$AC$400,0)))</f>
        <v>0</v>
      </c>
      <c r="I129" s="125" t="str">
        <f>IFERROR(IF(AND(H129&gt;1,H129&lt;&gt;""),ROUND(SUMIFS(SF_Output!$S$1:$S$400,SF_Output!$AC$1:$AC$400,_xlfn.TEXTJOIN(",",TRUE,B129:E129),SF_Output!$Q$1:$Q$400,"monthly")*(1-W129)/H129,4),""),"")</f>
        <v/>
      </c>
      <c r="J129" s="6">
        <f>IF(B129="","",SUMIFS(SF_Output!$S$1:$S$400,SF_Output!$AC$1:$AC$400,_xlfn.TEXTJOIN(",",TRUE,B129:E129),SF_Output!$Q$1:$Q$400,"One Time",SF_Output!$L$1:$L$400,"license fee")+SUMIFS(SF_Output!$S$1:$S$400,SF_Output!$AC$1:$AC$400,_xlfn.TEXTJOIN(",",TRUE,B129:E129),SF_Output!$Q$1:$Q$400,"One Time",SF_Output!$L$1:$L$400,"software license")+SUMIFS(SF_Output!$S$1:$S$400,SF_Output!$AC$1:$AC$400,_xlfn.TEXTJOIN(",",TRUE,B129:E129),SF_Output!$Q$1:$Q$400,"One Time",SF_Output!$L$1:$L$400,"hardware"))</f>
        <v>0</v>
      </c>
      <c r="K129" s="112" t="str">
        <f>IF(OR(B129=0,B129="",G129="hardware",J129=0),"",IF(AF129&lt;&gt;"exclusion",MAX(K$9,-((SUMIFS(SF_Output!$T$1:$T$400,SF_Output!$AC$1:$AC$400,_xlfn.TEXTJOIN(",",TRUE,$B129:$E129),SF_Output!$Q$1:$Q$400,"One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license"))/J129)))</f>
        <v/>
      </c>
      <c r="L129" s="6">
        <f t="shared" si="18"/>
        <v>0</v>
      </c>
      <c r="N129" s="6">
        <f>IF(B129="","",SUMIFS(SF_Output!$S$1:$S$400,SF_Output!$AC$1:$AC$400,_xlfn.TEXTJOIN(",",TRUE,B129:E129),SF_Output!$Q$1:$Q$400,"One Time",SF_Output!$L$1:$L$400,"professional service"))</f>
        <v>0</v>
      </c>
      <c r="O129" s="112" t="str">
        <f>IF(OR(B129=0,B129="",N129=0),"",IF(AF129&lt;&gt;"exclusion",MAX(O$9,-(SUMIFS(SF_Output!$T$1:$T$400,SF_Output!$AC$1:$AC$400,_xlfn.TEXTJOIN(",",TRUE,$B129:$E129),SF_Output!$Q$1:$Q$400,"One Time",SF_Output!$L$1:$L$400,"professional service"))/N129),-((SUMIFS(SF_Output!$T$1:$T$400,SF_Output!$AC$1:$AC$400,_xlfn.TEXTJOIN(",",TRUE,$B129:$E129),SF_Output!$Q$1:$Q$400,"One Time",SF_Output!$L$1:$L$400,"professional service")/N129))))</f>
        <v/>
      </c>
      <c r="P129" s="6">
        <f t="shared" si="19"/>
        <v>0</v>
      </c>
      <c r="R129" s="6">
        <f>IF(B129="","",SUMIFS(SF_Output!$S$1:$S$400,SF_Output!$AC$1:$AC$400,_xlfn.TEXTJOIN(",",TRUE,B129:E129),SF_Output!$Q$1:$Q$400,"yearly")+SUMIFS(SF_Output!$S$1:$S$400,SF_Output!$AC$1:$AC$400,_xlfn.TEXTJOIN(",",TRUE,B129:E129),SF_Output!$Q$1:$Q$400,"quarterly")*4)</f>
        <v>0</v>
      </c>
      <c r="S129" s="112" t="str">
        <f>IF(OR(B129=0,B129="",G129="hardware",R129=0),"",IF(AF129&lt;&gt;"exclusion",MAX(S$9,-(SUMIFS(SF_Output!$T$1:$T$400,SF_Output!$AC$1:$AC$400,_xlfn.TEXTJOIN(",",TRUE,$B129:$E129),SF_Output!$Q$1:$Q$400,"yearly"))/R129),-((SUMIFS(SF_Output!$T$1:$T$400,SF_Output!$AC$1:$AC$400,_xlfn.TEXTJOIN(",",TRUE,$B129:$E129),SF_Output!$Q$1:$Q$400,"yearly")/R129))))</f>
        <v/>
      </c>
      <c r="T129" s="6">
        <f t="shared" si="20"/>
        <v>0</v>
      </c>
      <c r="V129" s="6" cm="1">
        <f t="array" ref="V129">_xlfn.IFS(B129="","",AND(B129&lt;&gt;"",H129=SF_Output!$Y$2,SUMIFS(SF_Output!$T$1:$T$400,SF_Output!$AC$1:$AC$400,_xlfn.TEXTJOIN(",",TRUE,B129:E129),SF_Output!$Q$1:$Q$400,"monthly")=0),(SUMIFS(SF_Output!$F$1:$F$400,SF_Output!$AC$1:$AC$400,_xlfn.TEXTJOIN(",",TRUE,B129:E129),SF_Output!$Q$1:$Q$400,"monthly")+SUMIFS(SF_Output!$G$1:$G$400,SF_Output!$AC$1:$AC$400,_xlfn.TEXTJOIN(",",TRUE,B129:E129),SF_Output!$Q$1:$Q$400,"monthly"))*H129,AND(B129&lt;&gt;"",H129=SF_Output!$Y$2,SUMIFS(SF_Output!$T$1:$T$400,SF_Output!$AC$1:$AC$400,_xlfn.TEXTJOIN(",",TRUE,B129:E129),SF_Output!$Q$1:$Q$400,"monthly")&lt;&gt;0),SUMIFS(SF_Output!$S$1:$S$400,SF_Output!$AC$1:$AC$400,_xlfn.TEXTJOIN(",",TRUE,B129:E129),SF_Output!$Q$1:$Q$400,"monthly"),AND(B129&lt;&gt;"",H129&lt;&gt;SF_Output!$Y$2),SUMIFS(SF_Output!$S$1:$S$400,SF_Output!$AC$1:$AC$400,_xlfn.TEXTJOIN(",",TRUE,B129:E129),SF_Output!$Q$1:$Q$400,"monthly"))</f>
        <v>0</v>
      </c>
      <c r="W129" s="112" t="str" cm="1">
        <f t="array" ref="W129">_xlfn.IFS(OR(B129=0,B129="",V129=0),"",AF129&lt;&gt;"exclusion",MAX($W$9,$W$7,(-(SUMIFS(SF_Output!$T$1:$T$400,SF_Output!$AC$1:$AC$400,_xlfn.TEXTJOIN(",",TRUE,$B129:$E129),SF_Output!$Q$1:$Q$400,"monthly"))/V129)),AF129="exclusion",-(SUMIFS(SF_Output!$T$1:$T$400,SF_Output!$AC$1:$AC$400,_xlfn.TEXTJOIN(",",TRUE,$B129:$E129),SF_Output!$Q$1:$Q$400,"monthly"))/V129)</f>
        <v/>
      </c>
      <c r="X129" s="6" cm="1">
        <f t="array" ref="X129">IFERROR(_xlfn.IFS(V129=0,0,V129="","",W129=0,V129,OR(V129&lt;&gt;0,V129&lt;&gt;""),H129*I129),V129*(1-W129))</f>
        <v>0</v>
      </c>
      <c r="Z129" s="6">
        <f>IFERROR(IF(B129="","",SUMIFS(Billing_Fallout!H:H,Billing_Fallout!N:N,B129)),0)</f>
        <v>0</v>
      </c>
      <c r="AA129" s="6">
        <f t="shared" si="21"/>
        <v>0</v>
      </c>
      <c r="AB129" s="6">
        <f>IFERROR(IF(B129="","",SUMIFS(Billing_Fallout!J:J,Billing_Fallout!N:N,B129)),0)</f>
        <v>0</v>
      </c>
      <c r="AD129" s="6">
        <f t="shared" si="22"/>
        <v>0</v>
      </c>
      <c r="AF129" t="str">
        <f>IFERROR(INDEX(H_Tables!$B$1:$B$1500,MATCH(INDEX(SF_Output!$J$1:$J$400,MATCH(B129,SF_Output!$M$1:$M$400,0)),H_Tables!$A$1:$A$1500,0)),"")</f>
        <v>Exclusion</v>
      </c>
      <c r="AI129" s="119" t="str">
        <f t="shared" si="23"/>
        <v/>
      </c>
      <c r="AJ129" s="121">
        <f>IFERROR(INDEX(SF_Output!AD:AD,MATCH(_xlfn.TEXTJOIN(",",TRUE,B129:E129),SF_Output!AC1:AC400,0)),0.05)</f>
        <v>210</v>
      </c>
      <c r="AK129" t="str">
        <f>IF(SUMIFS(SF_Output!$F$1:$F$400,SF_Output!$AC$1:$AC$400,_xlfn.TEXTJOIN(",",TRUE,B129:E129))+SUMIFS(SF_Output!$G$1:$G$400,SF_Output!$AC$1:$AC$400,_xlfn.TEXTJOIN(",",TRUE,B129:E129))=0,"","PAP")</f>
        <v/>
      </c>
      <c r="AQ129" s="35"/>
      <c r="AR129" s="35" t="str" cm="1">
        <f t="array" ref="AR129">IFERROR(_xlfn.IFS(AND(E129*1=1,F129="Included"),"Change to Included",AND(E129*1=0,F129="Optional"),"Change to Optional",OR(B129="",F129="replaced"),""),"")</f>
        <v/>
      </c>
      <c r="AS129" s="35" t="str">
        <f t="shared" si="24"/>
        <v/>
      </c>
      <c r="AT129" s="35" t="str">
        <f t="shared" si="25"/>
        <v/>
      </c>
      <c r="AU129" s="35" t="str">
        <f t="shared" si="26"/>
        <v/>
      </c>
      <c r="AV129" s="35" t="str">
        <f t="shared" si="27"/>
        <v/>
      </c>
      <c r="AW129" s="35" t="str">
        <f t="shared" si="28"/>
        <v/>
      </c>
      <c r="AX129" s="35" t="str">
        <f t="shared" si="29"/>
        <v/>
      </c>
      <c r="AY129" s="35" t="str">
        <f t="shared" si="30"/>
        <v/>
      </c>
      <c r="AZ129" s="35" t="str">
        <f t="shared" si="31"/>
        <v/>
      </c>
      <c r="BA129" s="35" t="str">
        <f t="shared" si="32"/>
        <v/>
      </c>
      <c r="BB129" s="35" t="str">
        <f t="shared" si="33"/>
        <v/>
      </c>
      <c r="BC129" s="35"/>
      <c r="BE129" s="35">
        <f ca="1">INDEX(SF_Output!$AA$2:$AA$400,MATCH($B129,SF_Output!$M$2:$M$400,0))</f>
        <v>6</v>
      </c>
      <c r="BF129" s="35">
        <f ca="1">INDEX(SF_Output!$AB$2:$AB$400,MATCH($B129,SF_Output!$M$2:$M$400,0))</f>
        <v>1</v>
      </c>
    </row>
    <row r="130" spans="2:58" x14ac:dyDescent="0.25">
      <c r="B130" t="s">
        <v>2420</v>
      </c>
      <c r="C130" t="s">
        <v>2122</v>
      </c>
      <c r="D130" t="s">
        <v>2207</v>
      </c>
      <c r="E130" t="s">
        <v>2124</v>
      </c>
      <c r="F130" s="116" t="str">
        <f t="shared" si="17"/>
        <v>Included</v>
      </c>
      <c r="G130" t="str">
        <f>IF(B130="","",INDEX(SF_Output!$K$1:$K$400,MATCH(B130,SF_Output!$M$1:$M$400,0)))</f>
        <v>Card Processing Solutions (CPS)</v>
      </c>
      <c r="H130" cm="1">
        <f t="array" ref="H130">_xlfn.IFS(B130="","",(SUMIFS(SF_Output!$F$1:$F$400,SF_Output!$AC$1:$AC$400,_xlfn.TEXTJOIN(",",TRUE,B130:E130))+SUMIFS(SF_Output!$G$1:$G$400,SF_Output!$AC$1:$AC$400,_xlfn.TEXTJOIN(",",TRUE,B130:E130)))&lt;&gt;0,SF_Output!$Y$2,INDEX(SF_Output!$F$1:$F$400,MATCH(_xlfn.TEXTJOIN(",",TRUE,B130:E130),SF_Output!$AC$1:$AC$400,0))=0,INDEX(SF_Output!$R$1:$R$400,MATCH(_xlfn.TEXTJOIN(",",TRUE,B130:E130),SF_Output!$AC$1:$AC$400,0)))</f>
        <v>0</v>
      </c>
      <c r="I130" s="125" t="str">
        <f>IFERROR(IF(AND(H130&gt;1,H130&lt;&gt;""),ROUND(SUMIFS(SF_Output!$S$1:$S$400,SF_Output!$AC$1:$AC$400,_xlfn.TEXTJOIN(",",TRUE,B130:E130),SF_Output!$Q$1:$Q$400,"monthly")*(1-W130)/H130,4),""),"")</f>
        <v/>
      </c>
      <c r="J130" s="6">
        <f>IF(B130="","",SUMIFS(SF_Output!$S$1:$S$400,SF_Output!$AC$1:$AC$400,_xlfn.TEXTJOIN(",",TRUE,B130:E130),SF_Output!$Q$1:$Q$400,"One Time",SF_Output!$L$1:$L$400,"license fee")+SUMIFS(SF_Output!$S$1:$S$400,SF_Output!$AC$1:$AC$400,_xlfn.TEXTJOIN(",",TRUE,B130:E130),SF_Output!$Q$1:$Q$400,"One Time",SF_Output!$L$1:$L$400,"software license")+SUMIFS(SF_Output!$S$1:$S$400,SF_Output!$AC$1:$AC$400,_xlfn.TEXTJOIN(",",TRUE,B130:E130),SF_Output!$Q$1:$Q$400,"One Time",SF_Output!$L$1:$L$400,"hardware"))</f>
        <v>0</v>
      </c>
      <c r="K130" s="112" t="str">
        <f>IF(OR(B130=0,B130="",G130="hardware",J130=0),"",IF(AF130&lt;&gt;"exclusion",MAX(K$9,-((SUMIFS(SF_Output!$T$1:$T$400,SF_Output!$AC$1:$AC$400,_xlfn.TEXTJOIN(",",TRUE,$B130:$E130),SF_Output!$Q$1:$Q$400,"One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license"))/J130)))</f>
        <v/>
      </c>
      <c r="L130" s="6">
        <f t="shared" si="18"/>
        <v>0</v>
      </c>
      <c r="N130" s="6">
        <f>IF(B130="","",SUMIFS(SF_Output!$S$1:$S$400,SF_Output!$AC$1:$AC$400,_xlfn.TEXTJOIN(",",TRUE,B130:E130),SF_Output!$Q$1:$Q$400,"One Time",SF_Output!$L$1:$L$400,"professional service"))</f>
        <v>1000</v>
      </c>
      <c r="O130" s="112">
        <f>IF(OR(B130=0,B130="",N130=0),"",IF(AF130&lt;&gt;"exclusion",MAX(O$9,-(SUMIFS(SF_Output!$T$1:$T$400,SF_Output!$AC$1:$AC$400,_xlfn.TEXTJOIN(",",TRUE,$B130:$E130),SF_Output!$Q$1:$Q$400,"One Time",SF_Output!$L$1:$L$400,"professional service"))/N130),-((SUMIFS(SF_Output!$T$1:$T$400,SF_Output!$AC$1:$AC$400,_xlfn.TEXTJOIN(",",TRUE,$B130:$E130),SF_Output!$Q$1:$Q$400,"One Time",SF_Output!$L$1:$L$400,"professional service")/N130))))</f>
        <v>1</v>
      </c>
      <c r="P130" s="6">
        <f t="shared" si="19"/>
        <v>0</v>
      </c>
      <c r="R130" s="6">
        <f>IF(B130="","",SUMIFS(SF_Output!$S$1:$S$400,SF_Output!$AC$1:$AC$400,_xlfn.TEXTJOIN(",",TRUE,B130:E130),SF_Output!$Q$1:$Q$400,"yearly")+SUMIFS(SF_Output!$S$1:$S$400,SF_Output!$AC$1:$AC$400,_xlfn.TEXTJOIN(",",TRUE,B130:E130),SF_Output!$Q$1:$Q$400,"quarterly")*4)</f>
        <v>0</v>
      </c>
      <c r="S130" s="112" t="str">
        <f>IF(OR(B130=0,B130="",G130="hardware",R130=0),"",IF(AF130&lt;&gt;"exclusion",MAX(S$9,-(SUMIFS(SF_Output!$T$1:$T$400,SF_Output!$AC$1:$AC$400,_xlfn.TEXTJOIN(",",TRUE,$B130:$E130),SF_Output!$Q$1:$Q$400,"yearly"))/R130),-((SUMIFS(SF_Output!$T$1:$T$400,SF_Output!$AC$1:$AC$400,_xlfn.TEXTJOIN(",",TRUE,$B130:$E130),SF_Output!$Q$1:$Q$400,"yearly")/R130))))</f>
        <v/>
      </c>
      <c r="T130" s="6">
        <f t="shared" si="20"/>
        <v>0</v>
      </c>
      <c r="V130" s="6" cm="1">
        <f t="array" ref="V130">_xlfn.IFS(B130="","",AND(B130&lt;&gt;"",H130=SF_Output!$Y$2,SUMIFS(SF_Output!$T$1:$T$400,SF_Output!$AC$1:$AC$400,_xlfn.TEXTJOIN(",",TRUE,B130:E130),SF_Output!$Q$1:$Q$400,"monthly")=0),(SUMIFS(SF_Output!$F$1:$F$400,SF_Output!$AC$1:$AC$400,_xlfn.TEXTJOIN(",",TRUE,B130:E130),SF_Output!$Q$1:$Q$400,"monthly")+SUMIFS(SF_Output!$G$1:$G$400,SF_Output!$AC$1:$AC$400,_xlfn.TEXTJOIN(",",TRUE,B130:E130),SF_Output!$Q$1:$Q$400,"monthly"))*H130,AND(B130&lt;&gt;"",H130=SF_Output!$Y$2,SUMIFS(SF_Output!$T$1:$T$400,SF_Output!$AC$1:$AC$400,_xlfn.TEXTJOIN(",",TRUE,B130:E130),SF_Output!$Q$1:$Q$400,"monthly")&lt;&gt;0),SUMIFS(SF_Output!$S$1:$S$400,SF_Output!$AC$1:$AC$400,_xlfn.TEXTJOIN(",",TRUE,B130:E130),SF_Output!$Q$1:$Q$400,"monthly"),AND(B130&lt;&gt;"",H130&lt;&gt;SF_Output!$Y$2),SUMIFS(SF_Output!$S$1:$S$400,SF_Output!$AC$1:$AC$400,_xlfn.TEXTJOIN(",",TRUE,B130:E130),SF_Output!$Q$1:$Q$400,"monthly"))</f>
        <v>0</v>
      </c>
      <c r="W130" s="112" t="str" cm="1">
        <f t="array" ref="W130">_xlfn.IFS(OR(B130=0,B130="",V130=0),"",AF130&lt;&gt;"exclusion",MAX($W$9,$W$7,(-(SUMIFS(SF_Output!$T$1:$T$400,SF_Output!$AC$1:$AC$400,_xlfn.TEXTJOIN(",",TRUE,$B130:$E130),SF_Output!$Q$1:$Q$400,"monthly"))/V130)),AF130="exclusion",-(SUMIFS(SF_Output!$T$1:$T$400,SF_Output!$AC$1:$AC$400,_xlfn.TEXTJOIN(",",TRUE,$B130:$E130),SF_Output!$Q$1:$Q$400,"monthly"))/V130)</f>
        <v/>
      </c>
      <c r="X130" s="6" cm="1">
        <f t="array" ref="X130">IFERROR(_xlfn.IFS(V130=0,0,V130="","",W130=0,V130,OR(V130&lt;&gt;0,V130&lt;&gt;""),H130*I130),V130*(1-W130))</f>
        <v>0</v>
      </c>
      <c r="Z130" s="6">
        <f>IFERROR(IF(B130="","",SUMIFS(Billing_Fallout!H:H,Billing_Fallout!N:N,B130)),0)</f>
        <v>0</v>
      </c>
      <c r="AA130" s="6">
        <f t="shared" si="21"/>
        <v>0</v>
      </c>
      <c r="AB130" s="6">
        <f>IFERROR(IF(B130="","",SUMIFS(Billing_Fallout!J:J,Billing_Fallout!N:N,B130)),0)</f>
        <v>0</v>
      </c>
      <c r="AD130" s="6">
        <f t="shared" si="22"/>
        <v>0</v>
      </c>
      <c r="AF130" t="str">
        <f>IFERROR(INDEX(H_Tables!$B$1:$B$1500,MATCH(INDEX(SF_Output!$J$1:$J$400,MATCH(B130,SF_Output!$M$1:$M$400,0)),H_Tables!$A$1:$A$1500,0)),"")</f>
        <v>Exclusion</v>
      </c>
      <c r="AI130" s="119" t="str">
        <f t="shared" si="23"/>
        <v/>
      </c>
      <c r="AJ130" s="121">
        <f>IFERROR(INDEX(SF_Output!AD:AD,MATCH(_xlfn.TEXTJOIN(",",TRUE,B130:E130),SF_Output!AC1:AC400,0)),0.05)</f>
        <v>211</v>
      </c>
      <c r="AK130" t="str">
        <f>IF(SUMIFS(SF_Output!$F$1:$F$400,SF_Output!$AC$1:$AC$400,_xlfn.TEXTJOIN(",",TRUE,B130:E130))+SUMIFS(SF_Output!$G$1:$G$400,SF_Output!$AC$1:$AC$400,_xlfn.TEXTJOIN(",",TRUE,B130:E130))=0,"","PAP")</f>
        <v/>
      </c>
      <c r="AQ130" s="35"/>
      <c r="AR130" s="35" t="str" cm="1">
        <f t="array" ref="AR130">IFERROR(_xlfn.IFS(AND(E130*1=1,F130="Included"),"Change to Included",AND(E130*1=0,F130="Optional"),"Change to Optional",OR(B130="",F130="replaced"),""),"")</f>
        <v/>
      </c>
      <c r="AS130" s="35" t="str">
        <f t="shared" si="24"/>
        <v/>
      </c>
      <c r="AT130" s="35" t="str">
        <f t="shared" si="25"/>
        <v/>
      </c>
      <c r="AU130" s="35" t="str">
        <f t="shared" si="26"/>
        <v/>
      </c>
      <c r="AV130" s="35" t="str">
        <f t="shared" si="27"/>
        <v/>
      </c>
      <c r="AW130" s="35" t="str">
        <f t="shared" si="28"/>
        <v/>
      </c>
      <c r="AX130" s="35" t="str">
        <f t="shared" si="29"/>
        <v/>
      </c>
      <c r="AY130" s="35" t="str">
        <f t="shared" si="30"/>
        <v/>
      </c>
      <c r="AZ130" s="35" t="str">
        <f t="shared" si="31"/>
        <v/>
      </c>
      <c r="BA130" s="35" t="str">
        <f t="shared" si="32"/>
        <v/>
      </c>
      <c r="BB130" s="35" t="str">
        <f t="shared" si="33"/>
        <v/>
      </c>
      <c r="BC130" s="35"/>
      <c r="BE130" s="35">
        <f ca="1">INDEX(SF_Output!$AA$2:$AA$400,MATCH($B130,SF_Output!$M$2:$M$400,0))</f>
        <v>6</v>
      </c>
      <c r="BF130" s="35">
        <f ca="1">INDEX(SF_Output!$AB$2:$AB$400,MATCH($B130,SF_Output!$M$2:$M$400,0))</f>
        <v>1</v>
      </c>
    </row>
    <row r="131" spans="2:58" x14ac:dyDescent="0.25">
      <c r="B131" t="s">
        <v>2423</v>
      </c>
      <c r="C131" t="s">
        <v>2122</v>
      </c>
      <c r="D131" t="s">
        <v>2207</v>
      </c>
      <c r="E131" t="s">
        <v>2124</v>
      </c>
      <c r="F131" s="116" t="str">
        <f t="shared" si="17"/>
        <v>Included</v>
      </c>
      <c r="G131" t="str">
        <f>IF(B131="","",INDEX(SF_Output!$K$1:$K$400,MATCH(B131,SF_Output!$M$1:$M$400,0)))</f>
        <v>Card Processing Solutions (CPS)</v>
      </c>
      <c r="H131" cm="1">
        <f t="array" ref="H131">_xlfn.IFS(B131="","",(SUMIFS(SF_Output!$F$1:$F$400,SF_Output!$AC$1:$AC$400,_xlfn.TEXTJOIN(",",TRUE,B131:E131))+SUMIFS(SF_Output!$G$1:$G$400,SF_Output!$AC$1:$AC$400,_xlfn.TEXTJOIN(",",TRUE,B131:E131)))&lt;&gt;0,SF_Output!$Y$2,INDEX(SF_Output!$F$1:$F$400,MATCH(_xlfn.TEXTJOIN(",",TRUE,B131:E131),SF_Output!$AC$1:$AC$400,0))=0,INDEX(SF_Output!$R$1:$R$400,MATCH(_xlfn.TEXTJOIN(",",TRUE,B131:E131),SF_Output!$AC$1:$AC$400,0)))</f>
        <v>0</v>
      </c>
      <c r="I131" s="125" t="str">
        <f>IFERROR(IF(AND(H131&gt;1,H131&lt;&gt;""),ROUND(SUMIFS(SF_Output!$S$1:$S$400,SF_Output!$AC$1:$AC$400,_xlfn.TEXTJOIN(",",TRUE,B131:E131),SF_Output!$Q$1:$Q$400,"monthly")*(1-W131)/H131,4),""),"")</f>
        <v/>
      </c>
      <c r="J131" s="6">
        <f>IF(B131="","",SUMIFS(SF_Output!$S$1:$S$400,SF_Output!$AC$1:$AC$400,_xlfn.TEXTJOIN(",",TRUE,B131:E131),SF_Output!$Q$1:$Q$400,"One Time",SF_Output!$L$1:$L$400,"license fee")+SUMIFS(SF_Output!$S$1:$S$400,SF_Output!$AC$1:$AC$400,_xlfn.TEXTJOIN(",",TRUE,B131:E131),SF_Output!$Q$1:$Q$400,"One Time",SF_Output!$L$1:$L$400,"software license")+SUMIFS(SF_Output!$S$1:$S$400,SF_Output!$AC$1:$AC$400,_xlfn.TEXTJOIN(",",TRUE,B131:E131),SF_Output!$Q$1:$Q$400,"One Time",SF_Output!$L$1:$L$400,"hardware"))</f>
        <v>0</v>
      </c>
      <c r="K131" s="112" t="str">
        <f>IF(OR(B131=0,B131="",G131="hardware",J131=0),"",IF(AF131&lt;&gt;"exclusion",MAX(K$9,-((SUMIFS(SF_Output!$T$1:$T$400,SF_Output!$AC$1:$AC$400,_xlfn.TEXTJOIN(",",TRUE,$B131:$E131),SF_Output!$Q$1:$Q$400,"One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license"))/J131)))</f>
        <v/>
      </c>
      <c r="L131" s="6">
        <f t="shared" si="18"/>
        <v>0</v>
      </c>
      <c r="N131" s="6">
        <f>IF(B131="","",SUMIFS(SF_Output!$S$1:$S$400,SF_Output!$AC$1:$AC$400,_xlfn.TEXTJOIN(",",TRUE,B131:E131),SF_Output!$Q$1:$Q$400,"One Time",SF_Output!$L$1:$L$400,"professional service"))</f>
        <v>0</v>
      </c>
      <c r="O131" s="112" t="str">
        <f>IF(OR(B131=0,B131="",N131=0),"",IF(AF131&lt;&gt;"exclusion",MAX(O$9,-(SUMIFS(SF_Output!$T$1:$T$400,SF_Output!$AC$1:$AC$400,_xlfn.TEXTJOIN(",",TRUE,$B131:$E131),SF_Output!$Q$1:$Q$400,"One Time",SF_Output!$L$1:$L$400,"professional service"))/N131),-((SUMIFS(SF_Output!$T$1:$T$400,SF_Output!$AC$1:$AC$400,_xlfn.TEXTJOIN(",",TRUE,$B131:$E131),SF_Output!$Q$1:$Q$400,"One Time",SF_Output!$L$1:$L$400,"professional service")/N131))))</f>
        <v/>
      </c>
      <c r="P131" s="6">
        <f t="shared" si="19"/>
        <v>0</v>
      </c>
      <c r="R131" s="6">
        <f>IF(B131="","",SUMIFS(SF_Output!$S$1:$S$400,SF_Output!$AC$1:$AC$400,_xlfn.TEXTJOIN(",",TRUE,B131:E131),SF_Output!$Q$1:$Q$400,"yearly")+SUMIFS(SF_Output!$S$1:$S$400,SF_Output!$AC$1:$AC$400,_xlfn.TEXTJOIN(",",TRUE,B131:E131),SF_Output!$Q$1:$Q$400,"quarterly")*4)</f>
        <v>0</v>
      </c>
      <c r="S131" s="112" t="str">
        <f>IF(OR(B131=0,B131="",G131="hardware",R131=0),"",IF(AF131&lt;&gt;"exclusion",MAX(S$9,-(SUMIFS(SF_Output!$T$1:$T$400,SF_Output!$AC$1:$AC$400,_xlfn.TEXTJOIN(",",TRUE,$B131:$E131),SF_Output!$Q$1:$Q$400,"yearly"))/R131),-((SUMIFS(SF_Output!$T$1:$T$400,SF_Output!$AC$1:$AC$400,_xlfn.TEXTJOIN(",",TRUE,$B131:$E131),SF_Output!$Q$1:$Q$400,"yearly")/R131))))</f>
        <v/>
      </c>
      <c r="T131" s="6">
        <f t="shared" si="20"/>
        <v>0</v>
      </c>
      <c r="V131" s="6" cm="1">
        <f t="array" ref="V131">_xlfn.IFS(B131="","",AND(B131&lt;&gt;"",H131=SF_Output!$Y$2,SUMIFS(SF_Output!$T$1:$T$400,SF_Output!$AC$1:$AC$400,_xlfn.TEXTJOIN(",",TRUE,B131:E131),SF_Output!$Q$1:$Q$400,"monthly")=0),(SUMIFS(SF_Output!$F$1:$F$400,SF_Output!$AC$1:$AC$400,_xlfn.TEXTJOIN(",",TRUE,B131:E131),SF_Output!$Q$1:$Q$400,"monthly")+SUMIFS(SF_Output!$G$1:$G$400,SF_Output!$AC$1:$AC$400,_xlfn.TEXTJOIN(",",TRUE,B131:E131),SF_Output!$Q$1:$Q$400,"monthly"))*H131,AND(B131&lt;&gt;"",H131=SF_Output!$Y$2,SUMIFS(SF_Output!$T$1:$T$400,SF_Output!$AC$1:$AC$400,_xlfn.TEXTJOIN(",",TRUE,B131:E131),SF_Output!$Q$1:$Q$400,"monthly")&lt;&gt;0),SUMIFS(SF_Output!$S$1:$S$400,SF_Output!$AC$1:$AC$400,_xlfn.TEXTJOIN(",",TRUE,B131:E131),SF_Output!$Q$1:$Q$400,"monthly"),AND(B131&lt;&gt;"",H131&lt;&gt;SF_Output!$Y$2),SUMIFS(SF_Output!$S$1:$S$400,SF_Output!$AC$1:$AC$400,_xlfn.TEXTJOIN(",",TRUE,B131:E131),SF_Output!$Q$1:$Q$400,"monthly"))</f>
        <v>0</v>
      </c>
      <c r="W131" s="112" t="str" cm="1">
        <f t="array" ref="W131">_xlfn.IFS(OR(B131=0,B131="",V131=0),"",AF131&lt;&gt;"exclusion",MAX($W$9,$W$7,(-(SUMIFS(SF_Output!$T$1:$T$400,SF_Output!$AC$1:$AC$400,_xlfn.TEXTJOIN(",",TRUE,$B131:$E131),SF_Output!$Q$1:$Q$400,"monthly"))/V131)),AF131="exclusion",-(SUMIFS(SF_Output!$T$1:$T$400,SF_Output!$AC$1:$AC$400,_xlfn.TEXTJOIN(",",TRUE,$B131:$E131),SF_Output!$Q$1:$Q$400,"monthly"))/V131)</f>
        <v/>
      </c>
      <c r="X131" s="6" cm="1">
        <f t="array" ref="X131">IFERROR(_xlfn.IFS(V131=0,0,V131="","",W131=0,V131,OR(V131&lt;&gt;0,V131&lt;&gt;""),H131*I131),V131*(1-W131))</f>
        <v>0</v>
      </c>
      <c r="Z131" s="6">
        <f>IFERROR(IF(B131="","",SUMIFS(Billing_Fallout!H:H,Billing_Fallout!N:N,B131)),0)</f>
        <v>0</v>
      </c>
      <c r="AA131" s="6">
        <f t="shared" si="21"/>
        <v>0</v>
      </c>
      <c r="AB131" s="6">
        <f>IFERROR(IF(B131="","",SUMIFS(Billing_Fallout!J:J,Billing_Fallout!N:N,B131)),0)</f>
        <v>0</v>
      </c>
      <c r="AD131" s="6">
        <f t="shared" si="22"/>
        <v>0</v>
      </c>
      <c r="AF131" t="str">
        <f>IFERROR(INDEX(H_Tables!$B$1:$B$1500,MATCH(INDEX(SF_Output!$J$1:$J$400,MATCH(B131,SF_Output!$M$1:$M$400,0)),H_Tables!$A$1:$A$1500,0)),"")</f>
        <v>Exclusion</v>
      </c>
      <c r="AI131" s="119" t="str">
        <f t="shared" si="23"/>
        <v/>
      </c>
      <c r="AJ131" s="121">
        <f>IFERROR(INDEX(SF_Output!AD:AD,MATCH(_xlfn.TEXTJOIN(",",TRUE,B131:E131),SF_Output!AC1:AC400,0)),0.05)</f>
        <v>213</v>
      </c>
      <c r="AK131" t="str">
        <f>IF(SUMIFS(SF_Output!$F$1:$F$400,SF_Output!$AC$1:$AC$400,_xlfn.TEXTJOIN(",",TRUE,B131:E131))+SUMIFS(SF_Output!$G$1:$G$400,SF_Output!$AC$1:$AC$400,_xlfn.TEXTJOIN(",",TRUE,B131:E131))=0,"","PAP")</f>
        <v/>
      </c>
      <c r="AQ131" s="35"/>
      <c r="AR131" s="35" t="str" cm="1">
        <f t="array" ref="AR131">IFERROR(_xlfn.IFS(AND(E131*1=1,F131="Included"),"Change to Included",AND(E131*1=0,F131="Optional"),"Change to Optional",OR(B131="",F131="replaced"),""),"")</f>
        <v/>
      </c>
      <c r="AS131" s="35" t="str">
        <f t="shared" si="24"/>
        <v/>
      </c>
      <c r="AT131" s="35" t="str">
        <f t="shared" si="25"/>
        <v/>
      </c>
      <c r="AU131" s="35" t="str">
        <f t="shared" si="26"/>
        <v/>
      </c>
      <c r="AV131" s="35" t="str">
        <f t="shared" si="27"/>
        <v/>
      </c>
      <c r="AW131" s="35" t="str">
        <f t="shared" si="28"/>
        <v/>
      </c>
      <c r="AX131" s="35" t="str">
        <f t="shared" si="29"/>
        <v/>
      </c>
      <c r="AY131" s="35" t="str">
        <f t="shared" si="30"/>
        <v/>
      </c>
      <c r="AZ131" s="35" t="str">
        <f t="shared" si="31"/>
        <v/>
      </c>
      <c r="BA131" s="35" t="str">
        <f t="shared" si="32"/>
        <v/>
      </c>
      <c r="BB131" s="35" t="str">
        <f t="shared" si="33"/>
        <v/>
      </c>
      <c r="BC131" s="35"/>
      <c r="BE131" s="35">
        <f ca="1">INDEX(SF_Output!$AA$2:$AA$400,MATCH($B131,SF_Output!$M$2:$M$400,0))</f>
        <v>6</v>
      </c>
      <c r="BF131" s="35">
        <f ca="1">INDEX(SF_Output!$AB$2:$AB$400,MATCH($B131,SF_Output!$M$2:$M$400,0))</f>
        <v>1</v>
      </c>
    </row>
    <row r="132" spans="2:58" x14ac:dyDescent="0.25">
      <c r="B132" t="s">
        <v>2425</v>
      </c>
      <c r="C132" t="s">
        <v>2122</v>
      </c>
      <c r="D132" t="s">
        <v>2207</v>
      </c>
      <c r="E132" t="s">
        <v>2124</v>
      </c>
      <c r="F132" s="116" t="str">
        <f t="shared" si="17"/>
        <v>Included</v>
      </c>
      <c r="G132" t="str">
        <f>IF(B132="","",INDEX(SF_Output!$K$1:$K$400,MATCH(B132,SF_Output!$M$1:$M$400,0)))</f>
        <v>Card Processing Solutions (CPS)</v>
      </c>
      <c r="H132" cm="1">
        <f t="array" ref="H132">_xlfn.IFS(B132="","",(SUMIFS(SF_Output!$F$1:$F$400,SF_Output!$AC$1:$AC$400,_xlfn.TEXTJOIN(",",TRUE,B132:E132))+SUMIFS(SF_Output!$G$1:$G$400,SF_Output!$AC$1:$AC$400,_xlfn.TEXTJOIN(",",TRUE,B132:E132)))&lt;&gt;0,SF_Output!$Y$2,INDEX(SF_Output!$F$1:$F$400,MATCH(_xlfn.TEXTJOIN(",",TRUE,B132:E132),SF_Output!$AC$1:$AC$400,0))=0,INDEX(SF_Output!$R$1:$R$400,MATCH(_xlfn.TEXTJOIN(",",TRUE,B132:E132),SF_Output!$AC$1:$AC$400,0)))</f>
        <v>0</v>
      </c>
      <c r="I132" s="125" t="str">
        <f>IFERROR(IF(AND(H132&gt;1,H132&lt;&gt;""),ROUND(SUMIFS(SF_Output!$S$1:$S$400,SF_Output!$AC$1:$AC$400,_xlfn.TEXTJOIN(",",TRUE,B132:E132),SF_Output!$Q$1:$Q$400,"monthly")*(1-W132)/H132,4),""),"")</f>
        <v/>
      </c>
      <c r="J132" s="6">
        <f>IF(B132="","",SUMIFS(SF_Output!$S$1:$S$400,SF_Output!$AC$1:$AC$400,_xlfn.TEXTJOIN(",",TRUE,B132:E132),SF_Output!$Q$1:$Q$400,"One Time",SF_Output!$L$1:$L$400,"license fee")+SUMIFS(SF_Output!$S$1:$S$400,SF_Output!$AC$1:$AC$400,_xlfn.TEXTJOIN(",",TRUE,B132:E132),SF_Output!$Q$1:$Q$400,"One Time",SF_Output!$L$1:$L$400,"software license")+SUMIFS(SF_Output!$S$1:$S$400,SF_Output!$AC$1:$AC$400,_xlfn.TEXTJOIN(",",TRUE,B132:E132),SF_Output!$Q$1:$Q$400,"One Time",SF_Output!$L$1:$L$400,"hardware"))</f>
        <v>0</v>
      </c>
      <c r="K132" s="112" t="str">
        <f>IF(OR(B132=0,B132="",G132="hardware",J132=0),"",IF(AF132&lt;&gt;"exclusion",MAX(K$9,-((SUMIFS(SF_Output!$T$1:$T$400,SF_Output!$AC$1:$AC$400,_xlfn.TEXTJOIN(",",TRUE,$B132:$E132),SF_Output!$Q$1:$Q$400,"One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license"))/J132)))</f>
        <v/>
      </c>
      <c r="L132" s="6">
        <f t="shared" si="18"/>
        <v>0</v>
      </c>
      <c r="N132" s="6">
        <f>IF(B132="","",SUMIFS(SF_Output!$S$1:$S$400,SF_Output!$AC$1:$AC$400,_xlfn.TEXTJOIN(",",TRUE,B132:E132),SF_Output!$Q$1:$Q$400,"One Time",SF_Output!$L$1:$L$400,"professional service"))</f>
        <v>0</v>
      </c>
      <c r="O132" s="112" t="str">
        <f>IF(OR(B132=0,B132="",N132=0),"",IF(AF132&lt;&gt;"exclusion",MAX(O$9,-(SUMIFS(SF_Output!$T$1:$T$400,SF_Output!$AC$1:$AC$400,_xlfn.TEXTJOIN(",",TRUE,$B132:$E132),SF_Output!$Q$1:$Q$400,"One Time",SF_Output!$L$1:$L$400,"professional service"))/N132),-((SUMIFS(SF_Output!$T$1:$T$400,SF_Output!$AC$1:$AC$400,_xlfn.TEXTJOIN(",",TRUE,$B132:$E132),SF_Output!$Q$1:$Q$400,"One Time",SF_Output!$L$1:$L$400,"professional service")/N132))))</f>
        <v/>
      </c>
      <c r="P132" s="6">
        <f t="shared" si="19"/>
        <v>0</v>
      </c>
      <c r="R132" s="6">
        <f>IF(B132="","",SUMIFS(SF_Output!$S$1:$S$400,SF_Output!$AC$1:$AC$400,_xlfn.TEXTJOIN(",",TRUE,B132:E132),SF_Output!$Q$1:$Q$400,"yearly")+SUMIFS(SF_Output!$S$1:$S$400,SF_Output!$AC$1:$AC$400,_xlfn.TEXTJOIN(",",TRUE,B132:E132),SF_Output!$Q$1:$Q$400,"quarterly")*4)</f>
        <v>0</v>
      </c>
      <c r="S132" s="112" t="str">
        <f>IF(OR(B132=0,B132="",G132="hardware",R132=0),"",IF(AF132&lt;&gt;"exclusion",MAX(S$9,-(SUMIFS(SF_Output!$T$1:$T$400,SF_Output!$AC$1:$AC$400,_xlfn.TEXTJOIN(",",TRUE,$B132:$E132),SF_Output!$Q$1:$Q$400,"yearly"))/R132),-((SUMIFS(SF_Output!$T$1:$T$400,SF_Output!$AC$1:$AC$400,_xlfn.TEXTJOIN(",",TRUE,$B132:$E132),SF_Output!$Q$1:$Q$400,"yearly")/R132))))</f>
        <v/>
      </c>
      <c r="T132" s="6">
        <f t="shared" si="20"/>
        <v>0</v>
      </c>
      <c r="V132" s="6" cm="1">
        <f t="array" ref="V132">_xlfn.IFS(B132="","",AND(B132&lt;&gt;"",H132=SF_Output!$Y$2,SUMIFS(SF_Output!$T$1:$T$400,SF_Output!$AC$1:$AC$400,_xlfn.TEXTJOIN(",",TRUE,B132:E132),SF_Output!$Q$1:$Q$400,"monthly")=0),(SUMIFS(SF_Output!$F$1:$F$400,SF_Output!$AC$1:$AC$400,_xlfn.TEXTJOIN(",",TRUE,B132:E132),SF_Output!$Q$1:$Q$400,"monthly")+SUMIFS(SF_Output!$G$1:$G$400,SF_Output!$AC$1:$AC$400,_xlfn.TEXTJOIN(",",TRUE,B132:E132),SF_Output!$Q$1:$Q$400,"monthly"))*H132,AND(B132&lt;&gt;"",H132=SF_Output!$Y$2,SUMIFS(SF_Output!$T$1:$T$400,SF_Output!$AC$1:$AC$400,_xlfn.TEXTJOIN(",",TRUE,B132:E132),SF_Output!$Q$1:$Q$400,"monthly")&lt;&gt;0),SUMIFS(SF_Output!$S$1:$S$400,SF_Output!$AC$1:$AC$400,_xlfn.TEXTJOIN(",",TRUE,B132:E132),SF_Output!$Q$1:$Q$400,"monthly"),AND(B132&lt;&gt;"",H132&lt;&gt;SF_Output!$Y$2),SUMIFS(SF_Output!$S$1:$S$400,SF_Output!$AC$1:$AC$400,_xlfn.TEXTJOIN(",",TRUE,B132:E132),SF_Output!$Q$1:$Q$400,"monthly"))</f>
        <v>0</v>
      </c>
      <c r="W132" s="112" t="str" cm="1">
        <f t="array" ref="W132">_xlfn.IFS(OR(B132=0,B132="",V132=0),"",AF132&lt;&gt;"exclusion",MAX($W$9,$W$7,(-(SUMIFS(SF_Output!$T$1:$T$400,SF_Output!$AC$1:$AC$400,_xlfn.TEXTJOIN(",",TRUE,$B132:$E132),SF_Output!$Q$1:$Q$400,"monthly"))/V132)),AF132="exclusion",-(SUMIFS(SF_Output!$T$1:$T$400,SF_Output!$AC$1:$AC$400,_xlfn.TEXTJOIN(",",TRUE,$B132:$E132),SF_Output!$Q$1:$Q$400,"monthly"))/V132)</f>
        <v/>
      </c>
      <c r="X132" s="6" cm="1">
        <f t="array" ref="X132">IFERROR(_xlfn.IFS(V132=0,0,V132="","",W132=0,V132,OR(V132&lt;&gt;0,V132&lt;&gt;""),H132*I132),V132*(1-W132))</f>
        <v>0</v>
      </c>
      <c r="Z132" s="6">
        <f>IFERROR(IF(B132="","",SUMIFS(Billing_Fallout!H:H,Billing_Fallout!N:N,B132)),0)</f>
        <v>0</v>
      </c>
      <c r="AA132" s="6">
        <f t="shared" si="21"/>
        <v>0</v>
      </c>
      <c r="AB132" s="6">
        <f>IFERROR(IF(B132="","",SUMIFS(Billing_Fallout!J:J,Billing_Fallout!N:N,B132)),0)</f>
        <v>0</v>
      </c>
      <c r="AD132" s="6">
        <f t="shared" si="22"/>
        <v>0</v>
      </c>
      <c r="AF132" t="str">
        <f>IFERROR(INDEX(H_Tables!$B$1:$B$1500,MATCH(INDEX(SF_Output!$J$1:$J$400,MATCH(B132,SF_Output!$M$1:$M$400,0)),H_Tables!$A$1:$A$1500,0)),"")</f>
        <v>Exclusion</v>
      </c>
      <c r="AI132" s="119" t="str">
        <f t="shared" si="23"/>
        <v/>
      </c>
      <c r="AJ132" s="121">
        <f>IFERROR(INDEX(SF_Output!AD:AD,MATCH(_xlfn.TEXTJOIN(",",TRUE,B132:E132),SF_Output!AC1:AC400,0)),0.05)</f>
        <v>214</v>
      </c>
      <c r="AK132" t="str">
        <f>IF(SUMIFS(SF_Output!$F$1:$F$400,SF_Output!$AC$1:$AC$400,_xlfn.TEXTJOIN(",",TRUE,B132:E132))+SUMIFS(SF_Output!$G$1:$G$400,SF_Output!$AC$1:$AC$400,_xlfn.TEXTJOIN(",",TRUE,B132:E132))=0,"","PAP")</f>
        <v/>
      </c>
      <c r="AQ132" s="35"/>
      <c r="AR132" s="35" t="str" cm="1">
        <f t="array" ref="AR132">IFERROR(_xlfn.IFS(AND(E132*1=1,F132="Included"),"Change to Included",AND(E132*1=0,F132="Optional"),"Change to Optional",OR(B132="",F132="replaced"),""),"")</f>
        <v/>
      </c>
      <c r="AS132" s="35" t="str">
        <f t="shared" si="24"/>
        <v/>
      </c>
      <c r="AT132" s="35" t="str">
        <f t="shared" si="25"/>
        <v/>
      </c>
      <c r="AU132" s="35" t="str">
        <f t="shared" si="26"/>
        <v/>
      </c>
      <c r="AV132" s="35" t="str">
        <f t="shared" si="27"/>
        <v/>
      </c>
      <c r="AW132" s="35" t="str">
        <f t="shared" si="28"/>
        <v/>
      </c>
      <c r="AX132" s="35" t="str">
        <f t="shared" si="29"/>
        <v/>
      </c>
      <c r="AY132" s="35" t="str">
        <f t="shared" si="30"/>
        <v/>
      </c>
      <c r="AZ132" s="35" t="str">
        <f t="shared" si="31"/>
        <v/>
      </c>
      <c r="BA132" s="35" t="str">
        <f t="shared" si="32"/>
        <v/>
      </c>
      <c r="BB132" s="35" t="str">
        <f t="shared" si="33"/>
        <v/>
      </c>
      <c r="BC132" s="35"/>
      <c r="BE132" s="35">
        <f ca="1">INDEX(SF_Output!$AA$2:$AA$400,MATCH($B132,SF_Output!$M$2:$M$400,0))</f>
        <v>6</v>
      </c>
      <c r="BF132" s="35">
        <f ca="1">INDEX(SF_Output!$AB$2:$AB$400,MATCH($B132,SF_Output!$M$2:$M$400,0))</f>
        <v>1</v>
      </c>
    </row>
    <row r="133" spans="2:58" x14ac:dyDescent="0.25">
      <c r="B133" t="s">
        <v>2427</v>
      </c>
      <c r="C133" t="s">
        <v>2122</v>
      </c>
      <c r="D133" t="s">
        <v>2207</v>
      </c>
      <c r="E133" t="s">
        <v>2124</v>
      </c>
      <c r="F133" s="116" t="str">
        <f t="shared" si="17"/>
        <v>Included</v>
      </c>
      <c r="G133" t="str">
        <f>IF(B133="","",INDEX(SF_Output!$K$1:$K$400,MATCH(B133,SF_Output!$M$1:$M$400,0)))</f>
        <v>Card Processing Solutions (CPS)</v>
      </c>
      <c r="H133" cm="1">
        <f t="array" ref="H133">_xlfn.IFS(B133="","",(SUMIFS(SF_Output!$F$1:$F$400,SF_Output!$AC$1:$AC$400,_xlfn.TEXTJOIN(",",TRUE,B133:E133))+SUMIFS(SF_Output!$G$1:$G$400,SF_Output!$AC$1:$AC$400,_xlfn.TEXTJOIN(",",TRUE,B133:E133)))&lt;&gt;0,SF_Output!$Y$2,INDEX(SF_Output!$F$1:$F$400,MATCH(_xlfn.TEXTJOIN(",",TRUE,B133:E133),SF_Output!$AC$1:$AC$400,0))=0,INDEX(SF_Output!$R$1:$R$400,MATCH(_xlfn.TEXTJOIN(",",TRUE,B133:E133),SF_Output!$AC$1:$AC$400,0)))</f>
        <v>1</v>
      </c>
      <c r="I133" s="125" t="str">
        <f>IFERROR(IF(AND(H133&gt;1,H133&lt;&gt;""),ROUND(SUMIFS(SF_Output!$S$1:$S$400,SF_Output!$AC$1:$AC$400,_xlfn.TEXTJOIN(",",TRUE,B133:E133),SF_Output!$Q$1:$Q$400,"monthly")*(1-W133)/H133,4),""),"")</f>
        <v/>
      </c>
      <c r="J133" s="6">
        <f>IF(B133="","",SUMIFS(SF_Output!$S$1:$S$400,SF_Output!$AC$1:$AC$400,_xlfn.TEXTJOIN(",",TRUE,B133:E133),SF_Output!$Q$1:$Q$400,"One Time",SF_Output!$L$1:$L$400,"license fee")+SUMIFS(SF_Output!$S$1:$S$400,SF_Output!$AC$1:$AC$400,_xlfn.TEXTJOIN(",",TRUE,B133:E133),SF_Output!$Q$1:$Q$400,"One Time",SF_Output!$L$1:$L$400,"software license")+SUMIFS(SF_Output!$S$1:$S$400,SF_Output!$AC$1:$AC$400,_xlfn.TEXTJOIN(",",TRUE,B133:E133),SF_Output!$Q$1:$Q$400,"One Time",SF_Output!$L$1:$L$400,"hardware"))</f>
        <v>0</v>
      </c>
      <c r="K133" s="112" t="str">
        <f>IF(OR(B133=0,B133="",G133="hardware",J133=0),"",IF(AF133&lt;&gt;"exclusion",MAX(K$9,-((SUMIFS(SF_Output!$T$1:$T$400,SF_Output!$AC$1:$AC$400,_xlfn.TEXTJOIN(",",TRUE,$B133:$E133),SF_Output!$Q$1:$Q$400,"One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license"))/J133)))</f>
        <v/>
      </c>
      <c r="L133" s="6">
        <f t="shared" si="18"/>
        <v>0</v>
      </c>
      <c r="N133" s="6">
        <f>IF(B133="","",SUMIFS(SF_Output!$S$1:$S$400,SF_Output!$AC$1:$AC$400,_xlfn.TEXTJOIN(",",TRUE,B133:E133),SF_Output!$Q$1:$Q$400,"One Time",SF_Output!$L$1:$L$400,"professional service"))</f>
        <v>600</v>
      </c>
      <c r="O133" s="112">
        <f>IF(OR(B133=0,B133="",N133=0),"",IF(AF133&lt;&gt;"exclusion",MAX(O$9,-(SUMIFS(SF_Output!$T$1:$T$400,SF_Output!$AC$1:$AC$400,_xlfn.TEXTJOIN(",",TRUE,$B133:$E133),SF_Output!$Q$1:$Q$400,"One Time",SF_Output!$L$1:$L$400,"professional service"))/N133),-((SUMIFS(SF_Output!$T$1:$T$400,SF_Output!$AC$1:$AC$400,_xlfn.TEXTJOIN(",",TRUE,$B133:$E133),SF_Output!$Q$1:$Q$400,"One Time",SF_Output!$L$1:$L$400,"professional service")/N133))))</f>
        <v>1</v>
      </c>
      <c r="P133" s="6">
        <f t="shared" si="19"/>
        <v>0</v>
      </c>
      <c r="R133" s="6">
        <f>IF(B133="","",SUMIFS(SF_Output!$S$1:$S$400,SF_Output!$AC$1:$AC$400,_xlfn.TEXTJOIN(",",TRUE,B133:E133),SF_Output!$Q$1:$Q$400,"yearly")+SUMIFS(SF_Output!$S$1:$S$400,SF_Output!$AC$1:$AC$400,_xlfn.TEXTJOIN(",",TRUE,B133:E133),SF_Output!$Q$1:$Q$400,"quarterly")*4)</f>
        <v>0</v>
      </c>
      <c r="S133" s="112" t="str">
        <f>IF(OR(B133=0,B133="",G133="hardware",R133=0),"",IF(AF133&lt;&gt;"exclusion",MAX(S$9,-(SUMIFS(SF_Output!$T$1:$T$400,SF_Output!$AC$1:$AC$400,_xlfn.TEXTJOIN(",",TRUE,$B133:$E133),SF_Output!$Q$1:$Q$400,"yearly"))/R133),-((SUMIFS(SF_Output!$T$1:$T$400,SF_Output!$AC$1:$AC$400,_xlfn.TEXTJOIN(",",TRUE,$B133:$E133),SF_Output!$Q$1:$Q$400,"yearly")/R133))))</f>
        <v/>
      </c>
      <c r="T133" s="6">
        <f t="shared" si="20"/>
        <v>0</v>
      </c>
      <c r="V133" s="6" cm="1">
        <f t="array" ref="V133">_xlfn.IFS(B133="","",AND(B133&lt;&gt;"",H133=SF_Output!$Y$2,SUMIFS(SF_Output!$T$1:$T$400,SF_Output!$AC$1:$AC$400,_xlfn.TEXTJOIN(",",TRUE,B133:E133),SF_Output!$Q$1:$Q$400,"monthly")=0),(SUMIFS(SF_Output!$F$1:$F$400,SF_Output!$AC$1:$AC$400,_xlfn.TEXTJOIN(",",TRUE,B133:E133),SF_Output!$Q$1:$Q$400,"monthly")+SUMIFS(SF_Output!$G$1:$G$400,SF_Output!$AC$1:$AC$400,_xlfn.TEXTJOIN(",",TRUE,B133:E133),SF_Output!$Q$1:$Q$400,"monthly"))*H133,AND(B133&lt;&gt;"",H133=SF_Output!$Y$2,SUMIFS(SF_Output!$T$1:$T$400,SF_Output!$AC$1:$AC$400,_xlfn.TEXTJOIN(",",TRUE,B133:E133),SF_Output!$Q$1:$Q$400,"monthly")&lt;&gt;0),SUMIFS(SF_Output!$S$1:$S$400,SF_Output!$AC$1:$AC$400,_xlfn.TEXTJOIN(",",TRUE,B133:E133),SF_Output!$Q$1:$Q$400,"monthly"),AND(B133&lt;&gt;"",H133&lt;&gt;SF_Output!$Y$2),SUMIFS(SF_Output!$S$1:$S$400,SF_Output!$AC$1:$AC$400,_xlfn.TEXTJOIN(",",TRUE,B133:E133),SF_Output!$Q$1:$Q$400,"monthly"))</f>
        <v>50</v>
      </c>
      <c r="W133" s="112" cm="1">
        <f t="array" ref="W133">_xlfn.IFS(OR(B133=0,B133="",V133=0),"",AF133&lt;&gt;"exclusion",MAX($W$9,$W$7,(-(SUMIFS(SF_Output!$T$1:$T$400,SF_Output!$AC$1:$AC$400,_xlfn.TEXTJOIN(",",TRUE,$B133:$E133),SF_Output!$Q$1:$Q$400,"monthly"))/V133)),AF133="exclusion",-(SUMIFS(SF_Output!$T$1:$T$400,SF_Output!$AC$1:$AC$400,_xlfn.TEXTJOIN(",",TRUE,$B133:$E133),SF_Output!$Q$1:$Q$400,"monthly"))/V133)</f>
        <v>0</v>
      </c>
      <c r="X133" s="6" cm="1">
        <f t="array" ref="X133">IFERROR(_xlfn.IFS(V133=0,0,V133="","",W133=0,V133,OR(V133&lt;&gt;0,V133&lt;&gt;""),H133*I133),V133*(1-W133))</f>
        <v>50</v>
      </c>
      <c r="Z133" s="6">
        <f>IFERROR(IF(B133="","",SUMIFS(Billing_Fallout!H:H,Billing_Fallout!N:N,B133)),0)</f>
        <v>0</v>
      </c>
      <c r="AA133" s="6">
        <f t="shared" si="21"/>
        <v>0</v>
      </c>
      <c r="AB133" s="6">
        <f>IFERROR(IF(B133="","",SUMIFS(Billing_Fallout!J:J,Billing_Fallout!N:N,B133)),0)</f>
        <v>0</v>
      </c>
      <c r="AD133" s="6">
        <f t="shared" si="22"/>
        <v>50</v>
      </c>
      <c r="AF133" t="str">
        <f>IFERROR(INDEX(H_Tables!$B$1:$B$1500,MATCH(INDEX(SF_Output!$J$1:$J$400,MATCH(B133,SF_Output!$M$1:$M$400,0)),H_Tables!$A$1:$A$1500,0)),"")</f>
        <v>Exclusion</v>
      </c>
      <c r="AI133" s="119" t="str">
        <f t="shared" si="23"/>
        <v/>
      </c>
      <c r="AJ133" s="121">
        <f>IFERROR(INDEX(SF_Output!AD:AD,MATCH(_xlfn.TEXTJOIN(",",TRUE,B133:E133),SF_Output!AC1:AC400,0)),0.05)</f>
        <v>215</v>
      </c>
      <c r="AK133" t="str">
        <f>IF(SUMIFS(SF_Output!$F$1:$F$400,SF_Output!$AC$1:$AC$400,_xlfn.TEXTJOIN(",",TRUE,B133:E133))+SUMIFS(SF_Output!$G$1:$G$400,SF_Output!$AC$1:$AC$400,_xlfn.TEXTJOIN(",",TRUE,B133:E133))=0,"","PAP")</f>
        <v/>
      </c>
      <c r="AQ133" s="35"/>
      <c r="AR133" s="35" t="str" cm="1">
        <f t="array" ref="AR133">IFERROR(_xlfn.IFS(AND(E133*1=1,F133="Included"),"Change to Included",AND(E133*1=0,F133="Optional"),"Change to Optional",OR(B133="",F133="replaced"),""),"")</f>
        <v/>
      </c>
      <c r="AS133" s="35" t="str">
        <f t="shared" si="24"/>
        <v/>
      </c>
      <c r="AT133" s="35" t="str">
        <f t="shared" si="25"/>
        <v/>
      </c>
      <c r="AU133" s="35" t="str">
        <f t="shared" si="26"/>
        <v/>
      </c>
      <c r="AV133" s="35" t="str">
        <f t="shared" si="27"/>
        <v/>
      </c>
      <c r="AW133" s="35" t="str">
        <f t="shared" si="28"/>
        <v/>
      </c>
      <c r="AX133" s="35" t="str">
        <f t="shared" si="29"/>
        <v/>
      </c>
      <c r="AY133" s="35" t="str">
        <f t="shared" si="30"/>
        <v/>
      </c>
      <c r="AZ133" s="35" t="str">
        <f t="shared" si="31"/>
        <v/>
      </c>
      <c r="BA133" s="35" t="str">
        <f t="shared" si="32"/>
        <v/>
      </c>
      <c r="BB133" s="35" t="str">
        <f t="shared" si="33"/>
        <v/>
      </c>
      <c r="BC133" s="35"/>
      <c r="BE133" s="35">
        <f ca="1">INDEX(SF_Output!$AA$2:$AA$400,MATCH($B133,SF_Output!$M$2:$M$400,0))</f>
        <v>6</v>
      </c>
      <c r="BF133" s="35">
        <f ca="1">INDEX(SF_Output!$AB$2:$AB$400,MATCH($B133,SF_Output!$M$2:$M$400,0))</f>
        <v>1</v>
      </c>
    </row>
    <row r="134" spans="2:58" x14ac:dyDescent="0.25">
      <c r="B134" t="s">
        <v>1825</v>
      </c>
      <c r="C134" t="s">
        <v>2122</v>
      </c>
      <c r="D134" t="s">
        <v>2207</v>
      </c>
      <c r="E134" t="s">
        <v>2124</v>
      </c>
      <c r="F134" s="116" t="str">
        <f t="shared" si="17"/>
        <v>Included</v>
      </c>
      <c r="G134" t="str">
        <f>IF(B134="","",INDEX(SF_Output!$K$1:$K$400,MATCH(B134,SF_Output!$M$1:$M$400,0)))</f>
        <v>Card Processing Solutions (CPS)</v>
      </c>
      <c r="H134" cm="1">
        <f t="array" ref="H134">_xlfn.IFS(B134="","",(SUMIFS(SF_Output!$F$1:$F$400,SF_Output!$AC$1:$AC$400,_xlfn.TEXTJOIN(",",TRUE,B134:E134))+SUMIFS(SF_Output!$G$1:$G$400,SF_Output!$AC$1:$AC$400,_xlfn.TEXTJOIN(",",TRUE,B134:E134)))&lt;&gt;0,SF_Output!$Y$2,INDEX(SF_Output!$F$1:$F$400,MATCH(_xlfn.TEXTJOIN(",",TRUE,B134:E134),SF_Output!$AC$1:$AC$400,0))=0,INDEX(SF_Output!$R$1:$R$400,MATCH(_xlfn.TEXTJOIN(",",TRUE,B134:E134),SF_Output!$AC$1:$AC$400,0)))</f>
        <v>1</v>
      </c>
      <c r="I134" s="125" t="str">
        <f>IFERROR(IF(AND(H134&gt;1,H134&lt;&gt;""),ROUND(SUMIFS(SF_Output!$S$1:$S$400,SF_Output!$AC$1:$AC$400,_xlfn.TEXTJOIN(",",TRUE,B134:E134),SF_Output!$Q$1:$Q$400,"monthly")*(1-W134)/H134,4),""),"")</f>
        <v/>
      </c>
      <c r="J134" s="6">
        <f>IF(B134="","",SUMIFS(SF_Output!$S$1:$S$400,SF_Output!$AC$1:$AC$400,_xlfn.TEXTJOIN(",",TRUE,B134:E134),SF_Output!$Q$1:$Q$400,"One Time",SF_Output!$L$1:$L$400,"license fee")+SUMIFS(SF_Output!$S$1:$S$400,SF_Output!$AC$1:$AC$400,_xlfn.TEXTJOIN(",",TRUE,B134:E134),SF_Output!$Q$1:$Q$400,"One Time",SF_Output!$L$1:$L$400,"software license")+SUMIFS(SF_Output!$S$1:$S$400,SF_Output!$AC$1:$AC$400,_xlfn.TEXTJOIN(",",TRUE,B134:E134),SF_Output!$Q$1:$Q$400,"One Time",SF_Output!$L$1:$L$400,"hardware"))</f>
        <v>0</v>
      </c>
      <c r="K134" s="112" t="str">
        <f>IF(OR(B134=0,B134="",G134="hardware",J134=0),"",IF(AF134&lt;&gt;"exclusion",MAX(K$9,-((SUMIFS(SF_Output!$T$1:$T$400,SF_Output!$AC$1:$AC$400,_xlfn.TEXTJOIN(",",TRUE,$B134:$E134),SF_Output!$Q$1:$Q$400,"One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license"))/J134)))</f>
        <v/>
      </c>
      <c r="L134" s="6">
        <f t="shared" si="18"/>
        <v>0</v>
      </c>
      <c r="N134" s="6">
        <f>IF(B134="","",SUMIFS(SF_Output!$S$1:$S$400,SF_Output!$AC$1:$AC$400,_xlfn.TEXTJOIN(",",TRUE,B134:E134),SF_Output!$Q$1:$Q$400,"One Time",SF_Output!$L$1:$L$400,"professional service"))</f>
        <v>1500</v>
      </c>
      <c r="O134" s="112">
        <f>IF(OR(B134=0,B134="",N134=0),"",IF(AF134&lt;&gt;"exclusion",MAX(O$9,-(SUMIFS(SF_Output!$T$1:$T$400,SF_Output!$AC$1:$AC$400,_xlfn.TEXTJOIN(",",TRUE,$B134:$E134),SF_Output!$Q$1:$Q$400,"One Time",SF_Output!$L$1:$L$400,"professional service"))/N134),-((SUMIFS(SF_Output!$T$1:$T$400,SF_Output!$AC$1:$AC$400,_xlfn.TEXTJOIN(",",TRUE,$B134:$E134),SF_Output!$Q$1:$Q$400,"One Time",SF_Output!$L$1:$L$400,"professional service")/N134))))</f>
        <v>1</v>
      </c>
      <c r="P134" s="6">
        <f t="shared" si="19"/>
        <v>0</v>
      </c>
      <c r="R134" s="6">
        <f>IF(B134="","",SUMIFS(SF_Output!$S$1:$S$400,SF_Output!$AC$1:$AC$400,_xlfn.TEXTJOIN(",",TRUE,B134:E134),SF_Output!$Q$1:$Q$400,"yearly")+SUMIFS(SF_Output!$S$1:$S$400,SF_Output!$AC$1:$AC$400,_xlfn.TEXTJOIN(",",TRUE,B134:E134),SF_Output!$Q$1:$Q$400,"quarterly")*4)</f>
        <v>0</v>
      </c>
      <c r="S134" s="112" t="str">
        <f>IF(OR(B134=0,B134="",G134="hardware",R134=0),"",IF(AF134&lt;&gt;"exclusion",MAX(S$9,-(SUMIFS(SF_Output!$T$1:$T$400,SF_Output!$AC$1:$AC$400,_xlfn.TEXTJOIN(",",TRUE,$B134:$E134),SF_Output!$Q$1:$Q$400,"yearly"))/R134),-((SUMIFS(SF_Output!$T$1:$T$400,SF_Output!$AC$1:$AC$400,_xlfn.TEXTJOIN(",",TRUE,$B134:$E134),SF_Output!$Q$1:$Q$400,"yearly")/R134))))</f>
        <v/>
      </c>
      <c r="T134" s="6">
        <f t="shared" si="20"/>
        <v>0</v>
      </c>
      <c r="V134" s="6" cm="1">
        <f t="array" ref="V134">_xlfn.IFS(B134="","",AND(B134&lt;&gt;"",H134=SF_Output!$Y$2,SUMIFS(SF_Output!$T$1:$T$400,SF_Output!$AC$1:$AC$400,_xlfn.TEXTJOIN(",",TRUE,B134:E134),SF_Output!$Q$1:$Q$400,"monthly")=0),(SUMIFS(SF_Output!$F$1:$F$400,SF_Output!$AC$1:$AC$400,_xlfn.TEXTJOIN(",",TRUE,B134:E134),SF_Output!$Q$1:$Q$400,"monthly")+SUMIFS(SF_Output!$G$1:$G$400,SF_Output!$AC$1:$AC$400,_xlfn.TEXTJOIN(",",TRUE,B134:E134),SF_Output!$Q$1:$Q$400,"monthly"))*H134,AND(B134&lt;&gt;"",H134=SF_Output!$Y$2,SUMIFS(SF_Output!$T$1:$T$400,SF_Output!$AC$1:$AC$400,_xlfn.TEXTJOIN(",",TRUE,B134:E134),SF_Output!$Q$1:$Q$400,"monthly")&lt;&gt;0),SUMIFS(SF_Output!$S$1:$S$400,SF_Output!$AC$1:$AC$400,_xlfn.TEXTJOIN(",",TRUE,B134:E134),SF_Output!$Q$1:$Q$400,"monthly"),AND(B134&lt;&gt;"",H134&lt;&gt;SF_Output!$Y$2),SUMIFS(SF_Output!$S$1:$S$400,SF_Output!$AC$1:$AC$400,_xlfn.TEXTJOIN(",",TRUE,B134:E134),SF_Output!$Q$1:$Q$400,"monthly"))</f>
        <v>150</v>
      </c>
      <c r="W134" s="112" cm="1">
        <f t="array" ref="W134">_xlfn.IFS(OR(B134=0,B134="",V134=0),"",AF134&lt;&gt;"exclusion",MAX($W$9,$W$7,(-(SUMIFS(SF_Output!$T$1:$T$400,SF_Output!$AC$1:$AC$400,_xlfn.TEXTJOIN(",",TRUE,$B134:$E134),SF_Output!$Q$1:$Q$400,"monthly"))/V134)),AF134="exclusion",-(SUMIFS(SF_Output!$T$1:$T$400,SF_Output!$AC$1:$AC$400,_xlfn.TEXTJOIN(",",TRUE,$B134:$E134),SF_Output!$Q$1:$Q$400,"monthly"))/V134)</f>
        <v>0</v>
      </c>
      <c r="X134" s="6" cm="1">
        <f t="array" ref="X134">IFERROR(_xlfn.IFS(V134=0,0,V134="","",W134=0,V134,OR(V134&lt;&gt;0,V134&lt;&gt;""),H134*I134),V134*(1-W134))</f>
        <v>150</v>
      </c>
      <c r="Z134" s="6">
        <f>IFERROR(IF(B134="","",SUMIFS(Billing_Fallout!H:H,Billing_Fallout!N:N,B134)),0)</f>
        <v>0</v>
      </c>
      <c r="AA134" s="6">
        <f t="shared" si="21"/>
        <v>0</v>
      </c>
      <c r="AB134" s="6">
        <f>IFERROR(IF(B134="","",SUMIFS(Billing_Fallout!J:J,Billing_Fallout!N:N,B134)),0)</f>
        <v>0</v>
      </c>
      <c r="AD134" s="6">
        <f t="shared" si="22"/>
        <v>150</v>
      </c>
      <c r="AF134" t="str">
        <f>IFERROR(INDEX(H_Tables!$B$1:$B$1500,MATCH(INDEX(SF_Output!$J$1:$J$400,MATCH(B134,SF_Output!$M$1:$M$400,0)),H_Tables!$A$1:$A$1500,0)),"")</f>
        <v>Exclusion</v>
      </c>
      <c r="AI134" s="119" t="str">
        <f t="shared" si="23"/>
        <v/>
      </c>
      <c r="AJ134" s="121">
        <f>IFERROR(INDEX(SF_Output!AD:AD,MATCH(_xlfn.TEXTJOIN(",",TRUE,B134:E134),SF_Output!AC1:AC400,0)),0.05)</f>
        <v>217</v>
      </c>
      <c r="AK134" t="str">
        <f>IF(SUMIFS(SF_Output!$F$1:$F$400,SF_Output!$AC$1:$AC$400,_xlfn.TEXTJOIN(",",TRUE,B134:E134))+SUMIFS(SF_Output!$G$1:$G$400,SF_Output!$AC$1:$AC$400,_xlfn.TEXTJOIN(",",TRUE,B134:E134))=0,"","PAP")</f>
        <v/>
      </c>
      <c r="AQ134" s="35"/>
      <c r="AR134" s="35" t="str" cm="1">
        <f t="array" ref="AR134">IFERROR(_xlfn.IFS(AND(E134*1=1,F134="Included"),"Change to Included",AND(E134*1=0,F134="Optional"),"Change to Optional",OR(B134="",F134="replaced"),""),"")</f>
        <v/>
      </c>
      <c r="AS134" s="35" t="str">
        <f t="shared" si="24"/>
        <v/>
      </c>
      <c r="AT134" s="35" t="str">
        <f t="shared" si="25"/>
        <v/>
      </c>
      <c r="AU134" s="35" t="str">
        <f t="shared" si="26"/>
        <v/>
      </c>
      <c r="AV134" s="35" t="str">
        <f t="shared" si="27"/>
        <v/>
      </c>
      <c r="AW134" s="35" t="str">
        <f t="shared" si="28"/>
        <v/>
      </c>
      <c r="AX134" s="35" t="str">
        <f t="shared" si="29"/>
        <v/>
      </c>
      <c r="AY134" s="35" t="str">
        <f t="shared" si="30"/>
        <v/>
      </c>
      <c r="AZ134" s="35" t="str">
        <f t="shared" si="31"/>
        <v/>
      </c>
      <c r="BA134" s="35" t="str">
        <f t="shared" si="32"/>
        <v/>
      </c>
      <c r="BB134" s="35" t="str">
        <f t="shared" si="33"/>
        <v/>
      </c>
      <c r="BC134" s="35"/>
      <c r="BE134" s="35">
        <f ca="1">INDEX(SF_Output!$AA$2:$AA$400,MATCH($B134,SF_Output!$M$2:$M$400,0))</f>
        <v>6</v>
      </c>
      <c r="BF134" s="35">
        <f ca="1">INDEX(SF_Output!$AB$2:$AB$400,MATCH($B134,SF_Output!$M$2:$M$400,0))</f>
        <v>1</v>
      </c>
    </row>
    <row r="135" spans="2:58" x14ac:dyDescent="0.25">
      <c r="B135" t="s">
        <v>2432</v>
      </c>
      <c r="C135" t="s">
        <v>2122</v>
      </c>
      <c r="D135" t="s">
        <v>2207</v>
      </c>
      <c r="E135" t="s">
        <v>2124</v>
      </c>
      <c r="F135" s="116" t="str">
        <f t="shared" si="17"/>
        <v>Included</v>
      </c>
      <c r="G135" t="str">
        <f>IF(B135="","",INDEX(SF_Output!$K$1:$K$400,MATCH(B135,SF_Output!$M$1:$M$400,0)))</f>
        <v>Card Processing Solutions (CPS)</v>
      </c>
      <c r="H135" cm="1">
        <f t="array" ref="H135">_xlfn.IFS(B135="","",(SUMIFS(SF_Output!$F$1:$F$400,SF_Output!$AC$1:$AC$400,_xlfn.TEXTJOIN(",",TRUE,B135:E135))+SUMIFS(SF_Output!$G$1:$G$400,SF_Output!$AC$1:$AC$400,_xlfn.TEXTJOIN(",",TRUE,B135:E135)))&lt;&gt;0,SF_Output!$Y$2,INDEX(SF_Output!$F$1:$F$400,MATCH(_xlfn.TEXTJOIN(",",TRUE,B135:E135),SF_Output!$AC$1:$AC$400,0))=0,INDEX(SF_Output!$R$1:$R$400,MATCH(_xlfn.TEXTJOIN(",",TRUE,B135:E135),SF_Output!$AC$1:$AC$400,0)))</f>
        <v>0</v>
      </c>
      <c r="I135" s="125" t="str">
        <f>IFERROR(IF(AND(H135&gt;1,H135&lt;&gt;""),ROUND(SUMIFS(SF_Output!$S$1:$S$400,SF_Output!$AC$1:$AC$400,_xlfn.TEXTJOIN(",",TRUE,B135:E135),SF_Output!$Q$1:$Q$400,"monthly")*(1-W135)/H135,4),""),"")</f>
        <v/>
      </c>
      <c r="J135" s="6">
        <f>IF(B135="","",SUMIFS(SF_Output!$S$1:$S$400,SF_Output!$AC$1:$AC$400,_xlfn.TEXTJOIN(",",TRUE,B135:E135),SF_Output!$Q$1:$Q$400,"One Time",SF_Output!$L$1:$L$400,"license fee")+SUMIFS(SF_Output!$S$1:$S$400,SF_Output!$AC$1:$AC$400,_xlfn.TEXTJOIN(",",TRUE,B135:E135),SF_Output!$Q$1:$Q$400,"One Time",SF_Output!$L$1:$L$400,"software license")+SUMIFS(SF_Output!$S$1:$S$400,SF_Output!$AC$1:$AC$400,_xlfn.TEXTJOIN(",",TRUE,B135:E135),SF_Output!$Q$1:$Q$400,"One Time",SF_Output!$L$1:$L$400,"hardware"))</f>
        <v>0</v>
      </c>
      <c r="K135" s="112" t="str">
        <f>IF(OR(B135=0,B135="",G135="hardware",J135=0),"",IF(AF135&lt;&gt;"exclusion",MAX(K$9,-((SUMIFS(SF_Output!$T$1:$T$400,SF_Output!$AC$1:$AC$400,_xlfn.TEXTJOIN(",",TRUE,$B135:$E135),SF_Output!$Q$1:$Q$400,"One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license"))/J135)))</f>
        <v/>
      </c>
      <c r="L135" s="6">
        <f t="shared" si="18"/>
        <v>0</v>
      </c>
      <c r="N135" s="6">
        <f>IF(B135="","",SUMIFS(SF_Output!$S$1:$S$400,SF_Output!$AC$1:$AC$400,_xlfn.TEXTJOIN(",",TRUE,B135:E135),SF_Output!$Q$1:$Q$400,"One Time",SF_Output!$L$1:$L$400,"professional service"))</f>
        <v>0</v>
      </c>
      <c r="O135" s="112" t="str">
        <f>IF(OR(B135=0,B135="",N135=0),"",IF(AF135&lt;&gt;"exclusion",MAX(O$9,-(SUMIFS(SF_Output!$T$1:$T$400,SF_Output!$AC$1:$AC$400,_xlfn.TEXTJOIN(",",TRUE,$B135:$E135),SF_Output!$Q$1:$Q$400,"One Time",SF_Output!$L$1:$L$400,"professional service"))/N135),-((SUMIFS(SF_Output!$T$1:$T$400,SF_Output!$AC$1:$AC$400,_xlfn.TEXTJOIN(",",TRUE,$B135:$E135),SF_Output!$Q$1:$Q$400,"One Time",SF_Output!$L$1:$L$400,"professional service")/N135))))</f>
        <v/>
      </c>
      <c r="P135" s="6">
        <f t="shared" si="19"/>
        <v>0</v>
      </c>
      <c r="R135" s="6">
        <f>IF(B135="","",SUMIFS(SF_Output!$S$1:$S$400,SF_Output!$AC$1:$AC$400,_xlfn.TEXTJOIN(",",TRUE,B135:E135),SF_Output!$Q$1:$Q$400,"yearly")+SUMIFS(SF_Output!$S$1:$S$400,SF_Output!$AC$1:$AC$400,_xlfn.TEXTJOIN(",",TRUE,B135:E135),SF_Output!$Q$1:$Q$400,"quarterly")*4)</f>
        <v>0</v>
      </c>
      <c r="S135" s="112" t="str">
        <f>IF(OR(B135=0,B135="",G135="hardware",R135=0),"",IF(AF135&lt;&gt;"exclusion",MAX(S$9,-(SUMIFS(SF_Output!$T$1:$T$400,SF_Output!$AC$1:$AC$400,_xlfn.TEXTJOIN(",",TRUE,$B135:$E135),SF_Output!$Q$1:$Q$400,"yearly"))/R135),-((SUMIFS(SF_Output!$T$1:$T$400,SF_Output!$AC$1:$AC$400,_xlfn.TEXTJOIN(",",TRUE,$B135:$E135),SF_Output!$Q$1:$Q$400,"yearly")/R135))))</f>
        <v/>
      </c>
      <c r="T135" s="6">
        <f t="shared" si="20"/>
        <v>0</v>
      </c>
      <c r="V135" s="6" cm="1">
        <f t="array" ref="V135">_xlfn.IFS(B135="","",AND(B135&lt;&gt;"",H135=SF_Output!$Y$2,SUMIFS(SF_Output!$T$1:$T$400,SF_Output!$AC$1:$AC$400,_xlfn.TEXTJOIN(",",TRUE,B135:E135),SF_Output!$Q$1:$Q$400,"monthly")=0),(SUMIFS(SF_Output!$F$1:$F$400,SF_Output!$AC$1:$AC$400,_xlfn.TEXTJOIN(",",TRUE,B135:E135),SF_Output!$Q$1:$Q$400,"monthly")+SUMIFS(SF_Output!$G$1:$G$400,SF_Output!$AC$1:$AC$400,_xlfn.TEXTJOIN(",",TRUE,B135:E135),SF_Output!$Q$1:$Q$400,"monthly"))*H135,AND(B135&lt;&gt;"",H135=SF_Output!$Y$2,SUMIFS(SF_Output!$T$1:$T$400,SF_Output!$AC$1:$AC$400,_xlfn.TEXTJOIN(",",TRUE,B135:E135),SF_Output!$Q$1:$Q$400,"monthly")&lt;&gt;0),SUMIFS(SF_Output!$S$1:$S$400,SF_Output!$AC$1:$AC$400,_xlfn.TEXTJOIN(",",TRUE,B135:E135),SF_Output!$Q$1:$Q$400,"monthly"),AND(B135&lt;&gt;"",H135&lt;&gt;SF_Output!$Y$2),SUMIFS(SF_Output!$S$1:$S$400,SF_Output!$AC$1:$AC$400,_xlfn.TEXTJOIN(",",TRUE,B135:E135),SF_Output!$Q$1:$Q$400,"monthly"))</f>
        <v>0</v>
      </c>
      <c r="W135" s="112" t="str" cm="1">
        <f t="array" ref="W135">_xlfn.IFS(OR(B135=0,B135="",V135=0),"",AF135&lt;&gt;"exclusion",MAX($W$9,$W$7,(-(SUMIFS(SF_Output!$T$1:$T$400,SF_Output!$AC$1:$AC$400,_xlfn.TEXTJOIN(",",TRUE,$B135:$E135),SF_Output!$Q$1:$Q$400,"monthly"))/V135)),AF135="exclusion",-(SUMIFS(SF_Output!$T$1:$T$400,SF_Output!$AC$1:$AC$400,_xlfn.TEXTJOIN(",",TRUE,$B135:$E135),SF_Output!$Q$1:$Q$400,"monthly"))/V135)</f>
        <v/>
      </c>
      <c r="X135" s="6" cm="1">
        <f t="array" ref="X135">IFERROR(_xlfn.IFS(V135=0,0,V135="","",W135=0,V135,OR(V135&lt;&gt;0,V135&lt;&gt;""),H135*I135),V135*(1-W135))</f>
        <v>0</v>
      </c>
      <c r="Z135" s="6">
        <f>IFERROR(IF(B135="","",SUMIFS(Billing_Fallout!H:H,Billing_Fallout!N:N,B135)),0)</f>
        <v>0</v>
      </c>
      <c r="AA135" s="6">
        <f t="shared" si="21"/>
        <v>0</v>
      </c>
      <c r="AB135" s="6">
        <f>IFERROR(IF(B135="","",SUMIFS(Billing_Fallout!J:J,Billing_Fallout!N:N,B135)),0)</f>
        <v>0</v>
      </c>
      <c r="AD135" s="6">
        <f t="shared" si="22"/>
        <v>0</v>
      </c>
      <c r="AF135" t="str">
        <f>IFERROR(INDEX(H_Tables!$B$1:$B$1500,MATCH(INDEX(SF_Output!$J$1:$J$400,MATCH(B135,SF_Output!$M$1:$M$400,0)),H_Tables!$A$1:$A$1500,0)),"")</f>
        <v>Exclusion</v>
      </c>
      <c r="AI135" s="119" t="str">
        <f t="shared" si="23"/>
        <v/>
      </c>
      <c r="AJ135" s="121">
        <f>IFERROR(INDEX(SF_Output!AD:AD,MATCH(_xlfn.TEXTJOIN(",",TRUE,B135:E135),SF_Output!AC1:AC400,0)),0.05)</f>
        <v>219</v>
      </c>
      <c r="AK135" t="str">
        <f>IF(SUMIFS(SF_Output!$F$1:$F$400,SF_Output!$AC$1:$AC$400,_xlfn.TEXTJOIN(",",TRUE,B135:E135))+SUMIFS(SF_Output!$G$1:$G$400,SF_Output!$AC$1:$AC$400,_xlfn.TEXTJOIN(",",TRUE,B135:E135))=0,"","PAP")</f>
        <v/>
      </c>
      <c r="AQ135" s="35"/>
      <c r="AR135" s="35" t="str" cm="1">
        <f t="array" ref="AR135">IFERROR(_xlfn.IFS(AND(E135*1=1,F135="Included"),"Change to Included",AND(E135*1=0,F135="Optional"),"Change to Optional",OR(B135="",F135="replaced"),""),"")</f>
        <v/>
      </c>
      <c r="AS135" s="35" t="str">
        <f t="shared" si="24"/>
        <v/>
      </c>
      <c r="AT135" s="35" t="str">
        <f t="shared" si="25"/>
        <v/>
      </c>
      <c r="AU135" s="35" t="str">
        <f t="shared" si="26"/>
        <v/>
      </c>
      <c r="AV135" s="35" t="str">
        <f t="shared" si="27"/>
        <v/>
      </c>
      <c r="AW135" s="35" t="str">
        <f t="shared" si="28"/>
        <v/>
      </c>
      <c r="AX135" s="35" t="str">
        <f t="shared" si="29"/>
        <v/>
      </c>
      <c r="AY135" s="35" t="str">
        <f t="shared" si="30"/>
        <v/>
      </c>
      <c r="AZ135" s="35" t="str">
        <f t="shared" si="31"/>
        <v/>
      </c>
      <c r="BA135" s="35" t="str">
        <f t="shared" si="32"/>
        <v/>
      </c>
      <c r="BB135" s="35" t="str">
        <f t="shared" si="33"/>
        <v/>
      </c>
      <c r="BC135" s="35"/>
      <c r="BE135" s="35">
        <f ca="1">INDEX(SF_Output!$AA$2:$AA$400,MATCH($B135,SF_Output!$M$2:$M$400,0))</f>
        <v>6</v>
      </c>
      <c r="BF135" s="35">
        <f ca="1">INDEX(SF_Output!$AB$2:$AB$400,MATCH($B135,SF_Output!$M$2:$M$400,0))</f>
        <v>1</v>
      </c>
    </row>
    <row r="136" spans="2:58" x14ac:dyDescent="0.25">
      <c r="B136" t="s">
        <v>2434</v>
      </c>
      <c r="C136" t="s">
        <v>2122</v>
      </c>
      <c r="D136" t="s">
        <v>2207</v>
      </c>
      <c r="E136" t="s">
        <v>2124</v>
      </c>
      <c r="F136" s="116" t="str">
        <f t="shared" si="17"/>
        <v>Included</v>
      </c>
      <c r="G136" t="str">
        <f>IF(B136="","",INDEX(SF_Output!$K$1:$K$400,MATCH(B136,SF_Output!$M$1:$M$400,0)))</f>
        <v>Card Processing Solutions (CPS)</v>
      </c>
      <c r="H136" cm="1">
        <f t="array" ref="H136">_xlfn.IFS(B136="","",(SUMIFS(SF_Output!$F$1:$F$400,SF_Output!$AC$1:$AC$400,_xlfn.TEXTJOIN(",",TRUE,B136:E136))+SUMIFS(SF_Output!$G$1:$G$400,SF_Output!$AC$1:$AC$400,_xlfn.TEXTJOIN(",",TRUE,B136:E136)))&lt;&gt;0,SF_Output!$Y$2,INDEX(SF_Output!$F$1:$F$400,MATCH(_xlfn.TEXTJOIN(",",TRUE,B136:E136),SF_Output!$AC$1:$AC$400,0))=0,INDEX(SF_Output!$R$1:$R$400,MATCH(_xlfn.TEXTJOIN(",",TRUE,B136:E136),SF_Output!$AC$1:$AC$400,0)))</f>
        <v>0</v>
      </c>
      <c r="I136" s="125" t="str">
        <f>IFERROR(IF(AND(H136&gt;1,H136&lt;&gt;""),ROUND(SUMIFS(SF_Output!$S$1:$S$400,SF_Output!$AC$1:$AC$400,_xlfn.TEXTJOIN(",",TRUE,B136:E136),SF_Output!$Q$1:$Q$400,"monthly")*(1-W136)/H136,4),""),"")</f>
        <v/>
      </c>
      <c r="J136" s="6">
        <f>IF(B136="","",SUMIFS(SF_Output!$S$1:$S$400,SF_Output!$AC$1:$AC$400,_xlfn.TEXTJOIN(",",TRUE,B136:E136),SF_Output!$Q$1:$Q$400,"One Time",SF_Output!$L$1:$L$400,"license fee")+SUMIFS(SF_Output!$S$1:$S$400,SF_Output!$AC$1:$AC$400,_xlfn.TEXTJOIN(",",TRUE,B136:E136),SF_Output!$Q$1:$Q$400,"One Time",SF_Output!$L$1:$L$400,"software license")+SUMIFS(SF_Output!$S$1:$S$400,SF_Output!$AC$1:$AC$400,_xlfn.TEXTJOIN(",",TRUE,B136:E136),SF_Output!$Q$1:$Q$400,"One Time",SF_Output!$L$1:$L$400,"hardware"))</f>
        <v>0</v>
      </c>
      <c r="K136" s="112" t="str">
        <f>IF(OR(B136=0,B136="",G136="hardware",J136=0),"",IF(AF136&lt;&gt;"exclusion",MAX(K$9,-((SUMIFS(SF_Output!$T$1:$T$400,SF_Output!$AC$1:$AC$400,_xlfn.TEXTJOIN(",",TRUE,$B136:$E136),SF_Output!$Q$1:$Q$400,"One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license"))/J136)))</f>
        <v/>
      </c>
      <c r="L136" s="6">
        <f t="shared" si="18"/>
        <v>0</v>
      </c>
      <c r="N136" s="6">
        <f>IF(B136="","",SUMIFS(SF_Output!$S$1:$S$400,SF_Output!$AC$1:$AC$400,_xlfn.TEXTJOIN(",",TRUE,B136:E136),SF_Output!$Q$1:$Q$400,"One Time",SF_Output!$L$1:$L$400,"professional service"))</f>
        <v>0</v>
      </c>
      <c r="O136" s="112" t="str">
        <f>IF(OR(B136=0,B136="",N136=0),"",IF(AF136&lt;&gt;"exclusion",MAX(O$9,-(SUMIFS(SF_Output!$T$1:$T$400,SF_Output!$AC$1:$AC$400,_xlfn.TEXTJOIN(",",TRUE,$B136:$E136),SF_Output!$Q$1:$Q$400,"One Time",SF_Output!$L$1:$L$400,"professional service"))/N136),-((SUMIFS(SF_Output!$T$1:$T$400,SF_Output!$AC$1:$AC$400,_xlfn.TEXTJOIN(",",TRUE,$B136:$E136),SF_Output!$Q$1:$Q$400,"One Time",SF_Output!$L$1:$L$400,"professional service")/N136))))</f>
        <v/>
      </c>
      <c r="P136" s="6">
        <f t="shared" si="19"/>
        <v>0</v>
      </c>
      <c r="R136" s="6">
        <f>IF(B136="","",SUMIFS(SF_Output!$S$1:$S$400,SF_Output!$AC$1:$AC$400,_xlfn.TEXTJOIN(",",TRUE,B136:E136),SF_Output!$Q$1:$Q$400,"yearly")+SUMIFS(SF_Output!$S$1:$S$400,SF_Output!$AC$1:$AC$400,_xlfn.TEXTJOIN(",",TRUE,B136:E136),SF_Output!$Q$1:$Q$400,"quarterly")*4)</f>
        <v>0</v>
      </c>
      <c r="S136" s="112" t="str">
        <f>IF(OR(B136=0,B136="",G136="hardware",R136=0),"",IF(AF136&lt;&gt;"exclusion",MAX(S$9,-(SUMIFS(SF_Output!$T$1:$T$400,SF_Output!$AC$1:$AC$400,_xlfn.TEXTJOIN(",",TRUE,$B136:$E136),SF_Output!$Q$1:$Q$400,"yearly"))/R136),-((SUMIFS(SF_Output!$T$1:$T$400,SF_Output!$AC$1:$AC$400,_xlfn.TEXTJOIN(",",TRUE,$B136:$E136),SF_Output!$Q$1:$Q$400,"yearly")/R136))))</f>
        <v/>
      </c>
      <c r="T136" s="6">
        <f t="shared" si="20"/>
        <v>0</v>
      </c>
      <c r="V136" s="6" cm="1">
        <f t="array" ref="V136">_xlfn.IFS(B136="","",AND(B136&lt;&gt;"",H136=SF_Output!$Y$2,SUMIFS(SF_Output!$T$1:$T$400,SF_Output!$AC$1:$AC$400,_xlfn.TEXTJOIN(",",TRUE,B136:E136),SF_Output!$Q$1:$Q$400,"monthly")=0),(SUMIFS(SF_Output!$F$1:$F$400,SF_Output!$AC$1:$AC$400,_xlfn.TEXTJOIN(",",TRUE,B136:E136),SF_Output!$Q$1:$Q$400,"monthly")+SUMIFS(SF_Output!$G$1:$G$400,SF_Output!$AC$1:$AC$400,_xlfn.TEXTJOIN(",",TRUE,B136:E136),SF_Output!$Q$1:$Q$400,"monthly"))*H136,AND(B136&lt;&gt;"",H136=SF_Output!$Y$2,SUMIFS(SF_Output!$T$1:$T$400,SF_Output!$AC$1:$AC$400,_xlfn.TEXTJOIN(",",TRUE,B136:E136),SF_Output!$Q$1:$Q$400,"monthly")&lt;&gt;0),SUMIFS(SF_Output!$S$1:$S$400,SF_Output!$AC$1:$AC$400,_xlfn.TEXTJOIN(",",TRUE,B136:E136),SF_Output!$Q$1:$Q$400,"monthly"),AND(B136&lt;&gt;"",H136&lt;&gt;SF_Output!$Y$2),SUMIFS(SF_Output!$S$1:$S$400,SF_Output!$AC$1:$AC$400,_xlfn.TEXTJOIN(",",TRUE,B136:E136),SF_Output!$Q$1:$Q$400,"monthly"))</f>
        <v>0</v>
      </c>
      <c r="W136" s="112" t="str" cm="1">
        <f t="array" ref="W136">_xlfn.IFS(OR(B136=0,B136="",V136=0),"",AF136&lt;&gt;"exclusion",MAX($W$9,$W$7,(-(SUMIFS(SF_Output!$T$1:$T$400,SF_Output!$AC$1:$AC$400,_xlfn.TEXTJOIN(",",TRUE,$B136:$E136),SF_Output!$Q$1:$Q$400,"monthly"))/V136)),AF136="exclusion",-(SUMIFS(SF_Output!$T$1:$T$400,SF_Output!$AC$1:$AC$400,_xlfn.TEXTJOIN(",",TRUE,$B136:$E136),SF_Output!$Q$1:$Q$400,"monthly"))/V136)</f>
        <v/>
      </c>
      <c r="X136" s="6" cm="1">
        <f t="array" ref="X136">IFERROR(_xlfn.IFS(V136=0,0,V136="","",W136=0,V136,OR(V136&lt;&gt;0,V136&lt;&gt;""),H136*I136),V136*(1-W136))</f>
        <v>0</v>
      </c>
      <c r="Z136" s="6">
        <f>IFERROR(IF(B136="","",SUMIFS(Billing_Fallout!H:H,Billing_Fallout!N:N,B136)),0)</f>
        <v>0</v>
      </c>
      <c r="AA136" s="6">
        <f t="shared" si="21"/>
        <v>0</v>
      </c>
      <c r="AB136" s="6">
        <f>IFERROR(IF(B136="","",SUMIFS(Billing_Fallout!J:J,Billing_Fallout!N:N,B136)),0)</f>
        <v>0</v>
      </c>
      <c r="AD136" s="6">
        <f t="shared" si="22"/>
        <v>0</v>
      </c>
      <c r="AF136" t="str">
        <f>IFERROR(INDEX(H_Tables!$B$1:$B$1500,MATCH(INDEX(SF_Output!$J$1:$J$400,MATCH(B136,SF_Output!$M$1:$M$400,0)),H_Tables!$A$1:$A$1500,0)),"")</f>
        <v>Exclusion</v>
      </c>
      <c r="AI136" s="119" t="str">
        <f t="shared" si="23"/>
        <v/>
      </c>
      <c r="AJ136" s="121">
        <f>IFERROR(INDEX(SF_Output!AD:AD,MATCH(_xlfn.TEXTJOIN(",",TRUE,B136:E136),SF_Output!AC1:AC400,0)),0.05)</f>
        <v>220</v>
      </c>
      <c r="AK136" t="str">
        <f>IF(SUMIFS(SF_Output!$F$1:$F$400,SF_Output!$AC$1:$AC$400,_xlfn.TEXTJOIN(",",TRUE,B136:E136))+SUMIFS(SF_Output!$G$1:$G$400,SF_Output!$AC$1:$AC$400,_xlfn.TEXTJOIN(",",TRUE,B136:E136))=0,"","PAP")</f>
        <v/>
      </c>
      <c r="AQ136" s="35"/>
      <c r="AR136" s="35" t="str" cm="1">
        <f t="array" ref="AR136">IFERROR(_xlfn.IFS(AND(E136*1=1,F136="Included"),"Change to Included",AND(E136*1=0,F136="Optional"),"Change to Optional",OR(B136="",F136="replaced"),""),"")</f>
        <v/>
      </c>
      <c r="AS136" s="35" t="str">
        <f t="shared" si="24"/>
        <v/>
      </c>
      <c r="AT136" s="35" t="str">
        <f t="shared" si="25"/>
        <v/>
      </c>
      <c r="AU136" s="35" t="str">
        <f t="shared" si="26"/>
        <v/>
      </c>
      <c r="AV136" s="35" t="str">
        <f t="shared" si="27"/>
        <v/>
      </c>
      <c r="AW136" s="35" t="str">
        <f t="shared" si="28"/>
        <v/>
      </c>
      <c r="AX136" s="35" t="str">
        <f t="shared" si="29"/>
        <v/>
      </c>
      <c r="AY136" s="35" t="str">
        <f t="shared" si="30"/>
        <v/>
      </c>
      <c r="AZ136" s="35" t="str">
        <f t="shared" si="31"/>
        <v/>
      </c>
      <c r="BA136" s="35" t="str">
        <f t="shared" si="32"/>
        <v/>
      </c>
      <c r="BB136" s="35" t="str">
        <f t="shared" si="33"/>
        <v/>
      </c>
      <c r="BC136" s="35"/>
      <c r="BE136" s="35">
        <f ca="1">INDEX(SF_Output!$AA$2:$AA$400,MATCH($B136,SF_Output!$M$2:$M$400,0))</f>
        <v>6</v>
      </c>
      <c r="BF136" s="35">
        <f ca="1">INDEX(SF_Output!$AB$2:$AB$400,MATCH($B136,SF_Output!$M$2:$M$400,0))</f>
        <v>1</v>
      </c>
    </row>
    <row r="137" spans="2:58" x14ac:dyDescent="0.25">
      <c r="B137" t="s">
        <v>2436</v>
      </c>
      <c r="C137" t="s">
        <v>2122</v>
      </c>
      <c r="D137" t="s">
        <v>2207</v>
      </c>
      <c r="E137" t="s">
        <v>2124</v>
      </c>
      <c r="F137" s="116" t="str">
        <f t="shared" si="17"/>
        <v>Included</v>
      </c>
      <c r="G137" t="str">
        <f>IF(B137="","",INDEX(SF_Output!$K$1:$K$400,MATCH(B137,SF_Output!$M$1:$M$400,0)))</f>
        <v>Card Processing Solutions (CPS)</v>
      </c>
      <c r="H137" cm="1">
        <f t="array" ref="H137">_xlfn.IFS(B137="","",(SUMIFS(SF_Output!$F$1:$F$400,SF_Output!$AC$1:$AC$400,_xlfn.TEXTJOIN(",",TRUE,B137:E137))+SUMIFS(SF_Output!$G$1:$G$400,SF_Output!$AC$1:$AC$400,_xlfn.TEXTJOIN(",",TRUE,B137:E137)))&lt;&gt;0,SF_Output!$Y$2,INDEX(SF_Output!$F$1:$F$400,MATCH(_xlfn.TEXTJOIN(",",TRUE,B137:E137),SF_Output!$AC$1:$AC$400,0))=0,INDEX(SF_Output!$R$1:$R$400,MATCH(_xlfn.TEXTJOIN(",",TRUE,B137:E137),SF_Output!$AC$1:$AC$400,0)))</f>
        <v>0</v>
      </c>
      <c r="I137" s="125" t="str">
        <f>IFERROR(IF(AND(H137&gt;1,H137&lt;&gt;""),ROUND(SUMIFS(SF_Output!$S$1:$S$400,SF_Output!$AC$1:$AC$400,_xlfn.TEXTJOIN(",",TRUE,B137:E137),SF_Output!$Q$1:$Q$400,"monthly")*(1-W137)/H137,4),""),"")</f>
        <v/>
      </c>
      <c r="J137" s="6">
        <f>IF(B137="","",SUMIFS(SF_Output!$S$1:$S$400,SF_Output!$AC$1:$AC$400,_xlfn.TEXTJOIN(",",TRUE,B137:E137),SF_Output!$Q$1:$Q$400,"One Time",SF_Output!$L$1:$L$400,"license fee")+SUMIFS(SF_Output!$S$1:$S$400,SF_Output!$AC$1:$AC$400,_xlfn.TEXTJOIN(",",TRUE,B137:E137),SF_Output!$Q$1:$Q$400,"One Time",SF_Output!$L$1:$L$400,"software license")+SUMIFS(SF_Output!$S$1:$S$400,SF_Output!$AC$1:$AC$400,_xlfn.TEXTJOIN(",",TRUE,B137:E137),SF_Output!$Q$1:$Q$400,"One Time",SF_Output!$L$1:$L$400,"hardware"))</f>
        <v>0</v>
      </c>
      <c r="K137" s="112" t="str">
        <f>IF(OR(B137=0,B137="",G137="hardware",J137=0),"",IF(AF137&lt;&gt;"exclusion",MAX(K$9,-((SUMIFS(SF_Output!$T$1:$T$400,SF_Output!$AC$1:$AC$400,_xlfn.TEXTJOIN(",",TRUE,$B137:$E137),SF_Output!$Q$1:$Q$400,"One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license"))/J137)))</f>
        <v/>
      </c>
      <c r="L137" s="6">
        <f t="shared" si="18"/>
        <v>0</v>
      </c>
      <c r="N137" s="6">
        <f>IF(B137="","",SUMIFS(SF_Output!$S$1:$S$400,SF_Output!$AC$1:$AC$400,_xlfn.TEXTJOIN(",",TRUE,B137:E137),SF_Output!$Q$1:$Q$400,"One Time",SF_Output!$L$1:$L$400,"professional service"))</f>
        <v>0</v>
      </c>
      <c r="O137" s="112" t="str">
        <f>IF(OR(B137=0,B137="",N137=0),"",IF(AF137&lt;&gt;"exclusion",MAX(O$9,-(SUMIFS(SF_Output!$T$1:$T$400,SF_Output!$AC$1:$AC$400,_xlfn.TEXTJOIN(",",TRUE,$B137:$E137),SF_Output!$Q$1:$Q$400,"One Time",SF_Output!$L$1:$L$400,"professional service"))/N137),-((SUMIFS(SF_Output!$T$1:$T$400,SF_Output!$AC$1:$AC$400,_xlfn.TEXTJOIN(",",TRUE,$B137:$E137),SF_Output!$Q$1:$Q$400,"One Time",SF_Output!$L$1:$L$400,"professional service")/N137))))</f>
        <v/>
      </c>
      <c r="P137" s="6">
        <f t="shared" si="19"/>
        <v>0</v>
      </c>
      <c r="R137" s="6">
        <f>IF(B137="","",SUMIFS(SF_Output!$S$1:$S$400,SF_Output!$AC$1:$AC$400,_xlfn.TEXTJOIN(",",TRUE,B137:E137),SF_Output!$Q$1:$Q$400,"yearly")+SUMIFS(SF_Output!$S$1:$S$400,SF_Output!$AC$1:$AC$400,_xlfn.TEXTJOIN(",",TRUE,B137:E137),SF_Output!$Q$1:$Q$400,"quarterly")*4)</f>
        <v>0</v>
      </c>
      <c r="S137" s="112" t="str">
        <f>IF(OR(B137=0,B137="",G137="hardware",R137=0),"",IF(AF137&lt;&gt;"exclusion",MAX(S$9,-(SUMIFS(SF_Output!$T$1:$T$400,SF_Output!$AC$1:$AC$400,_xlfn.TEXTJOIN(",",TRUE,$B137:$E137),SF_Output!$Q$1:$Q$400,"yearly"))/R137),-((SUMIFS(SF_Output!$T$1:$T$400,SF_Output!$AC$1:$AC$400,_xlfn.TEXTJOIN(",",TRUE,$B137:$E137),SF_Output!$Q$1:$Q$400,"yearly")/R137))))</f>
        <v/>
      </c>
      <c r="T137" s="6">
        <f t="shared" si="20"/>
        <v>0</v>
      </c>
      <c r="V137" s="6" cm="1">
        <f t="array" ref="V137">_xlfn.IFS(B137="","",AND(B137&lt;&gt;"",H137=SF_Output!$Y$2,SUMIFS(SF_Output!$T$1:$T$400,SF_Output!$AC$1:$AC$400,_xlfn.TEXTJOIN(",",TRUE,B137:E137),SF_Output!$Q$1:$Q$400,"monthly")=0),(SUMIFS(SF_Output!$F$1:$F$400,SF_Output!$AC$1:$AC$400,_xlfn.TEXTJOIN(",",TRUE,B137:E137),SF_Output!$Q$1:$Q$400,"monthly")+SUMIFS(SF_Output!$G$1:$G$400,SF_Output!$AC$1:$AC$400,_xlfn.TEXTJOIN(",",TRUE,B137:E137),SF_Output!$Q$1:$Q$400,"monthly"))*H137,AND(B137&lt;&gt;"",H137=SF_Output!$Y$2,SUMIFS(SF_Output!$T$1:$T$400,SF_Output!$AC$1:$AC$400,_xlfn.TEXTJOIN(",",TRUE,B137:E137),SF_Output!$Q$1:$Q$400,"monthly")&lt;&gt;0),SUMIFS(SF_Output!$S$1:$S$400,SF_Output!$AC$1:$AC$400,_xlfn.TEXTJOIN(",",TRUE,B137:E137),SF_Output!$Q$1:$Q$400,"monthly"),AND(B137&lt;&gt;"",H137&lt;&gt;SF_Output!$Y$2),SUMIFS(SF_Output!$S$1:$S$400,SF_Output!$AC$1:$AC$400,_xlfn.TEXTJOIN(",",TRUE,B137:E137),SF_Output!$Q$1:$Q$400,"monthly"))</f>
        <v>0</v>
      </c>
      <c r="W137" s="112" t="str" cm="1">
        <f t="array" ref="W137">_xlfn.IFS(OR(B137=0,B137="",V137=0),"",AF137&lt;&gt;"exclusion",MAX($W$9,$W$7,(-(SUMIFS(SF_Output!$T$1:$T$400,SF_Output!$AC$1:$AC$400,_xlfn.TEXTJOIN(",",TRUE,$B137:$E137),SF_Output!$Q$1:$Q$400,"monthly"))/V137)),AF137="exclusion",-(SUMIFS(SF_Output!$T$1:$T$400,SF_Output!$AC$1:$AC$400,_xlfn.TEXTJOIN(",",TRUE,$B137:$E137),SF_Output!$Q$1:$Q$400,"monthly"))/V137)</f>
        <v/>
      </c>
      <c r="X137" s="6" cm="1">
        <f t="array" ref="X137">IFERROR(_xlfn.IFS(V137=0,0,V137="","",W137=0,V137,OR(V137&lt;&gt;0,V137&lt;&gt;""),H137*I137),V137*(1-W137))</f>
        <v>0</v>
      </c>
      <c r="Z137" s="6">
        <f>IFERROR(IF(B137="","",SUMIFS(Billing_Fallout!H:H,Billing_Fallout!N:N,B137)),0)</f>
        <v>0</v>
      </c>
      <c r="AA137" s="6">
        <f t="shared" si="21"/>
        <v>0</v>
      </c>
      <c r="AB137" s="6">
        <f>IFERROR(IF(B137="","",SUMIFS(Billing_Fallout!J:J,Billing_Fallout!N:N,B137)),0)</f>
        <v>0</v>
      </c>
      <c r="AD137" s="6">
        <f t="shared" si="22"/>
        <v>0</v>
      </c>
      <c r="AF137" t="str">
        <f>IFERROR(INDEX(H_Tables!$B$1:$B$1500,MATCH(INDEX(SF_Output!$J$1:$J$400,MATCH(B137,SF_Output!$M$1:$M$400,0)),H_Tables!$A$1:$A$1500,0)),"")</f>
        <v>Exclusion</v>
      </c>
      <c r="AI137" s="119" t="str">
        <f t="shared" si="23"/>
        <v/>
      </c>
      <c r="AJ137" s="121">
        <f>IFERROR(INDEX(SF_Output!AD:AD,MATCH(_xlfn.TEXTJOIN(",",TRUE,B137:E137),SF_Output!AC1:AC400,0)),0.05)</f>
        <v>221</v>
      </c>
      <c r="AK137" t="str">
        <f>IF(SUMIFS(SF_Output!$F$1:$F$400,SF_Output!$AC$1:$AC$400,_xlfn.TEXTJOIN(",",TRUE,B137:E137))+SUMIFS(SF_Output!$G$1:$G$400,SF_Output!$AC$1:$AC$400,_xlfn.TEXTJOIN(",",TRUE,B137:E137))=0,"","PAP")</f>
        <v/>
      </c>
      <c r="AQ137" s="35"/>
      <c r="AR137" s="35" t="str" cm="1">
        <f t="array" ref="AR137">IFERROR(_xlfn.IFS(AND(E137*1=1,F137="Included"),"Change to Included",AND(E137*1=0,F137="Optional"),"Change to Optional",OR(B137="",F137="replaced"),""),"")</f>
        <v/>
      </c>
      <c r="AS137" s="35" t="str">
        <f t="shared" si="24"/>
        <v/>
      </c>
      <c r="AT137" s="35" t="str">
        <f t="shared" si="25"/>
        <v/>
      </c>
      <c r="AU137" s="35" t="str">
        <f t="shared" si="26"/>
        <v/>
      </c>
      <c r="AV137" s="35" t="str">
        <f t="shared" si="27"/>
        <v/>
      </c>
      <c r="AW137" s="35" t="str">
        <f t="shared" si="28"/>
        <v/>
      </c>
      <c r="AX137" s="35" t="str">
        <f t="shared" si="29"/>
        <v/>
      </c>
      <c r="AY137" s="35" t="str">
        <f t="shared" si="30"/>
        <v/>
      </c>
      <c r="AZ137" s="35" t="str">
        <f t="shared" si="31"/>
        <v/>
      </c>
      <c r="BA137" s="35" t="str">
        <f t="shared" si="32"/>
        <v/>
      </c>
      <c r="BB137" s="35" t="str">
        <f t="shared" si="33"/>
        <v/>
      </c>
      <c r="BC137" s="35"/>
      <c r="BE137" s="35">
        <f ca="1">INDEX(SF_Output!$AA$2:$AA$400,MATCH($B137,SF_Output!$M$2:$M$400,0))</f>
        <v>6</v>
      </c>
      <c r="BF137" s="35">
        <f ca="1">INDEX(SF_Output!$AB$2:$AB$400,MATCH($B137,SF_Output!$M$2:$M$400,0))</f>
        <v>1</v>
      </c>
    </row>
    <row r="138" spans="2:58" x14ac:dyDescent="0.25">
      <c r="B138" t="s">
        <v>2438</v>
      </c>
      <c r="C138" t="s">
        <v>2122</v>
      </c>
      <c r="D138" t="s">
        <v>2207</v>
      </c>
      <c r="E138" t="s">
        <v>2124</v>
      </c>
      <c r="F138" s="116" t="str">
        <f t="shared" si="17"/>
        <v>Included</v>
      </c>
      <c r="G138" t="str">
        <f>IF(B138="","",INDEX(SF_Output!$K$1:$K$400,MATCH(B138,SF_Output!$M$1:$M$400,0)))</f>
        <v>Card Processing Solutions (CPS)</v>
      </c>
      <c r="H138" cm="1">
        <f t="array" ref="H138">_xlfn.IFS(B138="","",(SUMIFS(SF_Output!$F$1:$F$400,SF_Output!$AC$1:$AC$400,_xlfn.TEXTJOIN(",",TRUE,B138:E138))+SUMIFS(SF_Output!$G$1:$G$400,SF_Output!$AC$1:$AC$400,_xlfn.TEXTJOIN(",",TRUE,B138:E138)))&lt;&gt;0,SF_Output!$Y$2,INDEX(SF_Output!$F$1:$F$400,MATCH(_xlfn.TEXTJOIN(",",TRUE,B138:E138),SF_Output!$AC$1:$AC$400,0))=0,INDEX(SF_Output!$R$1:$R$400,MATCH(_xlfn.TEXTJOIN(",",TRUE,B138:E138),SF_Output!$AC$1:$AC$400,0)))</f>
        <v>0</v>
      </c>
      <c r="I138" s="125" t="str">
        <f>IFERROR(IF(AND(H138&gt;1,H138&lt;&gt;""),ROUND(SUMIFS(SF_Output!$S$1:$S$400,SF_Output!$AC$1:$AC$400,_xlfn.TEXTJOIN(",",TRUE,B138:E138),SF_Output!$Q$1:$Q$400,"monthly")*(1-W138)/H138,4),""),"")</f>
        <v/>
      </c>
      <c r="J138" s="6">
        <f>IF(B138="","",SUMIFS(SF_Output!$S$1:$S$400,SF_Output!$AC$1:$AC$400,_xlfn.TEXTJOIN(",",TRUE,B138:E138),SF_Output!$Q$1:$Q$400,"One Time",SF_Output!$L$1:$L$400,"license fee")+SUMIFS(SF_Output!$S$1:$S$400,SF_Output!$AC$1:$AC$400,_xlfn.TEXTJOIN(",",TRUE,B138:E138),SF_Output!$Q$1:$Q$400,"One Time",SF_Output!$L$1:$L$400,"software license")+SUMIFS(SF_Output!$S$1:$S$400,SF_Output!$AC$1:$AC$400,_xlfn.TEXTJOIN(",",TRUE,B138:E138),SF_Output!$Q$1:$Q$400,"One Time",SF_Output!$L$1:$L$400,"hardware"))</f>
        <v>0</v>
      </c>
      <c r="K138" s="112" t="str">
        <f>IF(OR(B138=0,B138="",G138="hardware",J138=0),"",IF(AF138&lt;&gt;"exclusion",MAX(K$9,-((SUMIFS(SF_Output!$T$1:$T$400,SF_Output!$AC$1:$AC$400,_xlfn.TEXTJOIN(",",TRUE,$B138:$E138),SF_Output!$Q$1:$Q$400,"One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license"))/J138)))</f>
        <v/>
      </c>
      <c r="L138" s="6">
        <f t="shared" si="18"/>
        <v>0</v>
      </c>
      <c r="N138" s="6">
        <f>IF(B138="","",SUMIFS(SF_Output!$S$1:$S$400,SF_Output!$AC$1:$AC$400,_xlfn.TEXTJOIN(",",TRUE,B138:E138),SF_Output!$Q$1:$Q$400,"One Time",SF_Output!$L$1:$L$400,"professional service"))</f>
        <v>2500</v>
      </c>
      <c r="O138" s="112">
        <f>IF(OR(B138=0,B138="",N138=0),"",IF(AF138&lt;&gt;"exclusion",MAX(O$9,-(SUMIFS(SF_Output!$T$1:$T$400,SF_Output!$AC$1:$AC$400,_xlfn.TEXTJOIN(",",TRUE,$B138:$E138),SF_Output!$Q$1:$Q$400,"One Time",SF_Output!$L$1:$L$400,"professional service"))/N138),-((SUMIFS(SF_Output!$T$1:$T$400,SF_Output!$AC$1:$AC$400,_xlfn.TEXTJOIN(",",TRUE,$B138:$E138),SF_Output!$Q$1:$Q$400,"One Time",SF_Output!$L$1:$L$400,"professional service")/N138))))</f>
        <v>1</v>
      </c>
      <c r="P138" s="6">
        <f t="shared" si="19"/>
        <v>0</v>
      </c>
      <c r="R138" s="6">
        <f>IF(B138="","",SUMIFS(SF_Output!$S$1:$S$400,SF_Output!$AC$1:$AC$400,_xlfn.TEXTJOIN(",",TRUE,B138:E138),SF_Output!$Q$1:$Q$400,"yearly")+SUMIFS(SF_Output!$S$1:$S$400,SF_Output!$AC$1:$AC$400,_xlfn.TEXTJOIN(",",TRUE,B138:E138),SF_Output!$Q$1:$Q$400,"quarterly")*4)</f>
        <v>0</v>
      </c>
      <c r="S138" s="112" t="str">
        <f>IF(OR(B138=0,B138="",G138="hardware",R138=0),"",IF(AF138&lt;&gt;"exclusion",MAX(S$9,-(SUMIFS(SF_Output!$T$1:$T$400,SF_Output!$AC$1:$AC$400,_xlfn.TEXTJOIN(",",TRUE,$B138:$E138),SF_Output!$Q$1:$Q$400,"yearly"))/R138),-((SUMIFS(SF_Output!$T$1:$T$400,SF_Output!$AC$1:$AC$400,_xlfn.TEXTJOIN(",",TRUE,$B138:$E138),SF_Output!$Q$1:$Q$400,"yearly")/R138))))</f>
        <v/>
      </c>
      <c r="T138" s="6">
        <f t="shared" si="20"/>
        <v>0</v>
      </c>
      <c r="V138" s="6" cm="1">
        <f t="array" ref="V138">_xlfn.IFS(B138="","",AND(B138&lt;&gt;"",H138=SF_Output!$Y$2,SUMIFS(SF_Output!$T$1:$T$400,SF_Output!$AC$1:$AC$400,_xlfn.TEXTJOIN(",",TRUE,B138:E138),SF_Output!$Q$1:$Q$400,"monthly")=0),(SUMIFS(SF_Output!$F$1:$F$400,SF_Output!$AC$1:$AC$400,_xlfn.TEXTJOIN(",",TRUE,B138:E138),SF_Output!$Q$1:$Q$400,"monthly")+SUMIFS(SF_Output!$G$1:$G$400,SF_Output!$AC$1:$AC$400,_xlfn.TEXTJOIN(",",TRUE,B138:E138),SF_Output!$Q$1:$Q$400,"monthly"))*H138,AND(B138&lt;&gt;"",H138=SF_Output!$Y$2,SUMIFS(SF_Output!$T$1:$T$400,SF_Output!$AC$1:$AC$400,_xlfn.TEXTJOIN(",",TRUE,B138:E138),SF_Output!$Q$1:$Q$400,"monthly")&lt;&gt;0),SUMIFS(SF_Output!$S$1:$S$400,SF_Output!$AC$1:$AC$400,_xlfn.TEXTJOIN(",",TRUE,B138:E138),SF_Output!$Q$1:$Q$400,"monthly"),AND(B138&lt;&gt;"",H138&lt;&gt;SF_Output!$Y$2),SUMIFS(SF_Output!$S$1:$S$400,SF_Output!$AC$1:$AC$400,_xlfn.TEXTJOIN(",",TRUE,B138:E138),SF_Output!$Q$1:$Q$400,"monthly"))</f>
        <v>100</v>
      </c>
      <c r="W138" s="112" cm="1">
        <f t="array" ref="W138">_xlfn.IFS(OR(B138=0,B138="",V138=0),"",AF138&lt;&gt;"exclusion",MAX($W$9,$W$7,(-(SUMIFS(SF_Output!$T$1:$T$400,SF_Output!$AC$1:$AC$400,_xlfn.TEXTJOIN(",",TRUE,$B138:$E138),SF_Output!$Q$1:$Q$400,"monthly"))/V138)),AF138="exclusion",-(SUMIFS(SF_Output!$T$1:$T$400,SF_Output!$AC$1:$AC$400,_xlfn.TEXTJOIN(",",TRUE,$B138:$E138),SF_Output!$Q$1:$Q$400,"monthly"))/V138)</f>
        <v>0</v>
      </c>
      <c r="X138" s="6" cm="1">
        <f t="array" ref="X138">IFERROR(_xlfn.IFS(V138=0,0,V138="","",W138=0,V138,OR(V138&lt;&gt;0,V138&lt;&gt;""),H138*I138),V138*(1-W138))</f>
        <v>100</v>
      </c>
      <c r="Z138" s="6">
        <f>IFERROR(IF(B138="","",SUMIFS(Billing_Fallout!H:H,Billing_Fallout!N:N,B138)),0)</f>
        <v>0</v>
      </c>
      <c r="AA138" s="6">
        <f t="shared" si="21"/>
        <v>0</v>
      </c>
      <c r="AB138" s="6">
        <f>IFERROR(IF(B138="","",SUMIFS(Billing_Fallout!J:J,Billing_Fallout!N:N,B138)),0)</f>
        <v>0</v>
      </c>
      <c r="AD138" s="6">
        <f t="shared" si="22"/>
        <v>100</v>
      </c>
      <c r="AF138" t="str">
        <f>IFERROR(INDEX(H_Tables!$B$1:$B$1500,MATCH(INDEX(SF_Output!$J$1:$J$400,MATCH(B138,SF_Output!$M$1:$M$400,0)),H_Tables!$A$1:$A$1500,0)),"")</f>
        <v>Exclusion</v>
      </c>
      <c r="AI138" s="119" t="str">
        <f t="shared" si="23"/>
        <v/>
      </c>
      <c r="AJ138" s="121">
        <f>IFERROR(INDEX(SF_Output!AD:AD,MATCH(_xlfn.TEXTJOIN(",",TRUE,B138:E138),SF_Output!AC1:AC400,0)),0.05)</f>
        <v>222</v>
      </c>
      <c r="AK138" t="str">
        <f>IF(SUMIFS(SF_Output!$F$1:$F$400,SF_Output!$AC$1:$AC$400,_xlfn.TEXTJOIN(",",TRUE,B138:E138))+SUMIFS(SF_Output!$G$1:$G$400,SF_Output!$AC$1:$AC$400,_xlfn.TEXTJOIN(",",TRUE,B138:E138))=0,"","PAP")</f>
        <v/>
      </c>
      <c r="AQ138" s="35"/>
      <c r="AR138" s="35" t="str" cm="1">
        <f t="array" ref="AR138">IFERROR(_xlfn.IFS(AND(E138*1=1,F138="Included"),"Change to Included",AND(E138*1=0,F138="Optional"),"Change to Optional",OR(B138="",F138="replaced"),""),"")</f>
        <v/>
      </c>
      <c r="AS138" s="35" t="str">
        <f t="shared" si="24"/>
        <v/>
      </c>
      <c r="AT138" s="35" t="str">
        <f t="shared" si="25"/>
        <v/>
      </c>
      <c r="AU138" s="35" t="str">
        <f t="shared" si="26"/>
        <v/>
      </c>
      <c r="AV138" s="35" t="str">
        <f t="shared" si="27"/>
        <v/>
      </c>
      <c r="AW138" s="35" t="str">
        <f t="shared" si="28"/>
        <v/>
      </c>
      <c r="AX138" s="35" t="str">
        <f t="shared" si="29"/>
        <v/>
      </c>
      <c r="AY138" s="35" t="str">
        <f t="shared" si="30"/>
        <v/>
      </c>
      <c r="AZ138" s="35" t="str">
        <f t="shared" si="31"/>
        <v/>
      </c>
      <c r="BA138" s="35" t="str">
        <f t="shared" si="32"/>
        <v/>
      </c>
      <c r="BB138" s="35" t="str">
        <f t="shared" si="33"/>
        <v/>
      </c>
      <c r="BC138" s="35"/>
      <c r="BE138" s="35">
        <f ca="1">INDEX(SF_Output!$AA$2:$AA$400,MATCH($B138,SF_Output!$M$2:$M$400,0))</f>
        <v>6</v>
      </c>
      <c r="BF138" s="35">
        <f ca="1">INDEX(SF_Output!$AB$2:$AB$400,MATCH($B138,SF_Output!$M$2:$M$400,0))</f>
        <v>1</v>
      </c>
    </row>
    <row r="139" spans="2:58" x14ac:dyDescent="0.25">
      <c r="B139" t="s">
        <v>2441</v>
      </c>
      <c r="C139" t="s">
        <v>2122</v>
      </c>
      <c r="D139" t="s">
        <v>2207</v>
      </c>
      <c r="E139" t="s">
        <v>2124</v>
      </c>
      <c r="F139" s="116" t="str">
        <f t="shared" si="17"/>
        <v>Included</v>
      </c>
      <c r="G139" t="str">
        <f>IF(B139="","",INDEX(SF_Output!$K$1:$K$400,MATCH(B139,SF_Output!$M$1:$M$400,0)))</f>
        <v>Card Processing Solutions (CPS)</v>
      </c>
      <c r="H139" cm="1">
        <f t="array" ref="H139">_xlfn.IFS(B139="","",(SUMIFS(SF_Output!$F$1:$F$400,SF_Output!$AC$1:$AC$400,_xlfn.TEXTJOIN(",",TRUE,B139:E139))+SUMIFS(SF_Output!$G$1:$G$400,SF_Output!$AC$1:$AC$400,_xlfn.TEXTJOIN(",",TRUE,B139:E139)))&lt;&gt;0,SF_Output!$Y$2,INDEX(SF_Output!$F$1:$F$400,MATCH(_xlfn.TEXTJOIN(",",TRUE,B139:E139),SF_Output!$AC$1:$AC$400,0))=0,INDEX(SF_Output!$R$1:$R$400,MATCH(_xlfn.TEXTJOIN(",",TRUE,B139:E139),SF_Output!$AC$1:$AC$400,0)))</f>
        <v>1</v>
      </c>
      <c r="I139" s="125" t="str">
        <f>IFERROR(IF(AND(H139&gt;1,H139&lt;&gt;""),ROUND(SUMIFS(SF_Output!$S$1:$S$400,SF_Output!$AC$1:$AC$400,_xlfn.TEXTJOIN(",",TRUE,B139:E139),SF_Output!$Q$1:$Q$400,"monthly")*(1-W139)/H139,4),""),"")</f>
        <v/>
      </c>
      <c r="J139" s="6">
        <f>IF(B139="","",SUMIFS(SF_Output!$S$1:$S$400,SF_Output!$AC$1:$AC$400,_xlfn.TEXTJOIN(",",TRUE,B139:E139),SF_Output!$Q$1:$Q$400,"One Time",SF_Output!$L$1:$L$400,"license fee")+SUMIFS(SF_Output!$S$1:$S$400,SF_Output!$AC$1:$AC$400,_xlfn.TEXTJOIN(",",TRUE,B139:E139),SF_Output!$Q$1:$Q$400,"One Time",SF_Output!$L$1:$L$400,"software license")+SUMIFS(SF_Output!$S$1:$S$400,SF_Output!$AC$1:$AC$400,_xlfn.TEXTJOIN(",",TRUE,B139:E139),SF_Output!$Q$1:$Q$400,"One Time",SF_Output!$L$1:$L$400,"hardware"))</f>
        <v>0</v>
      </c>
      <c r="K139" s="112" t="str">
        <f>IF(OR(B139=0,B139="",G139="hardware",J139=0),"",IF(AF139&lt;&gt;"exclusion",MAX(K$9,-((SUMIFS(SF_Output!$T$1:$T$400,SF_Output!$AC$1:$AC$400,_xlfn.TEXTJOIN(",",TRUE,$B139:$E139),SF_Output!$Q$1:$Q$400,"One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license"))/J139)))</f>
        <v/>
      </c>
      <c r="L139" s="6">
        <f t="shared" si="18"/>
        <v>0</v>
      </c>
      <c r="N139" s="6">
        <f>IF(B139="","",SUMIFS(SF_Output!$S$1:$S$400,SF_Output!$AC$1:$AC$400,_xlfn.TEXTJOIN(",",TRUE,B139:E139),SF_Output!$Q$1:$Q$400,"One Time",SF_Output!$L$1:$L$400,"professional service"))</f>
        <v>500</v>
      </c>
      <c r="O139" s="112">
        <f>IF(OR(B139=0,B139="",N139=0),"",IF(AF139&lt;&gt;"exclusion",MAX(O$9,-(SUMIFS(SF_Output!$T$1:$T$400,SF_Output!$AC$1:$AC$400,_xlfn.TEXTJOIN(",",TRUE,$B139:$E139),SF_Output!$Q$1:$Q$400,"One Time",SF_Output!$L$1:$L$400,"professional service"))/N139),-((SUMIFS(SF_Output!$T$1:$T$400,SF_Output!$AC$1:$AC$400,_xlfn.TEXTJOIN(",",TRUE,$B139:$E139),SF_Output!$Q$1:$Q$400,"One Time",SF_Output!$L$1:$L$400,"professional service")/N139))))</f>
        <v>1</v>
      </c>
      <c r="P139" s="6">
        <f t="shared" si="19"/>
        <v>0</v>
      </c>
      <c r="R139" s="6">
        <f>IF(B139="","",SUMIFS(SF_Output!$S$1:$S$400,SF_Output!$AC$1:$AC$400,_xlfn.TEXTJOIN(",",TRUE,B139:E139),SF_Output!$Q$1:$Q$400,"yearly")+SUMIFS(SF_Output!$S$1:$S$400,SF_Output!$AC$1:$AC$400,_xlfn.TEXTJOIN(",",TRUE,B139:E139),SF_Output!$Q$1:$Q$400,"quarterly")*4)</f>
        <v>0</v>
      </c>
      <c r="S139" s="112" t="str">
        <f>IF(OR(B139=0,B139="",G139="hardware",R139=0),"",IF(AF139&lt;&gt;"exclusion",MAX(S$9,-(SUMIFS(SF_Output!$T$1:$T$400,SF_Output!$AC$1:$AC$400,_xlfn.TEXTJOIN(",",TRUE,$B139:$E139),SF_Output!$Q$1:$Q$400,"yearly"))/R139),-((SUMIFS(SF_Output!$T$1:$T$400,SF_Output!$AC$1:$AC$400,_xlfn.TEXTJOIN(",",TRUE,$B139:$E139),SF_Output!$Q$1:$Q$400,"yearly")/R139))))</f>
        <v/>
      </c>
      <c r="T139" s="6">
        <f t="shared" si="20"/>
        <v>0</v>
      </c>
      <c r="V139" s="6" cm="1">
        <f t="array" ref="V139">_xlfn.IFS(B139="","",AND(B139&lt;&gt;"",H139=SF_Output!$Y$2,SUMIFS(SF_Output!$T$1:$T$400,SF_Output!$AC$1:$AC$400,_xlfn.TEXTJOIN(",",TRUE,B139:E139),SF_Output!$Q$1:$Q$400,"monthly")=0),(SUMIFS(SF_Output!$F$1:$F$400,SF_Output!$AC$1:$AC$400,_xlfn.TEXTJOIN(",",TRUE,B139:E139),SF_Output!$Q$1:$Q$400,"monthly")+SUMIFS(SF_Output!$G$1:$G$400,SF_Output!$AC$1:$AC$400,_xlfn.TEXTJOIN(",",TRUE,B139:E139),SF_Output!$Q$1:$Q$400,"monthly"))*H139,AND(B139&lt;&gt;"",H139=SF_Output!$Y$2,SUMIFS(SF_Output!$T$1:$T$400,SF_Output!$AC$1:$AC$400,_xlfn.TEXTJOIN(",",TRUE,B139:E139),SF_Output!$Q$1:$Q$400,"monthly")&lt;&gt;0),SUMIFS(SF_Output!$S$1:$S$400,SF_Output!$AC$1:$AC$400,_xlfn.TEXTJOIN(",",TRUE,B139:E139),SF_Output!$Q$1:$Q$400,"monthly"),AND(B139&lt;&gt;"",H139&lt;&gt;SF_Output!$Y$2),SUMIFS(SF_Output!$S$1:$S$400,SF_Output!$AC$1:$AC$400,_xlfn.TEXTJOIN(",",TRUE,B139:E139),SF_Output!$Q$1:$Q$400,"monthly"))</f>
        <v>100</v>
      </c>
      <c r="W139" s="112" cm="1">
        <f t="array" ref="W139">_xlfn.IFS(OR(B139=0,B139="",V139=0),"",AF139&lt;&gt;"exclusion",MAX($W$9,$W$7,(-(SUMIFS(SF_Output!$T$1:$T$400,SF_Output!$AC$1:$AC$400,_xlfn.TEXTJOIN(",",TRUE,$B139:$E139),SF_Output!$Q$1:$Q$400,"monthly"))/V139)),AF139="exclusion",-(SUMIFS(SF_Output!$T$1:$T$400,SF_Output!$AC$1:$AC$400,_xlfn.TEXTJOIN(",",TRUE,$B139:$E139),SF_Output!$Q$1:$Q$400,"monthly"))/V139)</f>
        <v>0</v>
      </c>
      <c r="X139" s="6" cm="1">
        <f t="array" ref="X139">IFERROR(_xlfn.IFS(V139=0,0,V139="","",W139=0,V139,OR(V139&lt;&gt;0,V139&lt;&gt;""),H139*I139),V139*(1-W139))</f>
        <v>100</v>
      </c>
      <c r="Z139" s="6">
        <f>IFERROR(IF(B139="","",SUMIFS(Billing_Fallout!H:H,Billing_Fallout!N:N,B139)),0)</f>
        <v>0</v>
      </c>
      <c r="AA139" s="6">
        <f t="shared" si="21"/>
        <v>0</v>
      </c>
      <c r="AB139" s="6">
        <f>IFERROR(IF(B139="","",SUMIFS(Billing_Fallout!J:J,Billing_Fallout!N:N,B139)),0)</f>
        <v>0</v>
      </c>
      <c r="AD139" s="6">
        <f t="shared" si="22"/>
        <v>100</v>
      </c>
      <c r="AF139" t="str">
        <f>IFERROR(INDEX(H_Tables!$B$1:$B$1500,MATCH(INDEX(SF_Output!$J$1:$J$400,MATCH(B139,SF_Output!$M$1:$M$400,0)),H_Tables!$A$1:$A$1500,0)),"")</f>
        <v>Exclusion</v>
      </c>
      <c r="AI139" s="119" t="str">
        <f t="shared" si="23"/>
        <v/>
      </c>
      <c r="AJ139" s="121">
        <f>IFERROR(INDEX(SF_Output!AD:AD,MATCH(_xlfn.TEXTJOIN(",",TRUE,B139:E139),SF_Output!AC1:AC400,0)),0.05)</f>
        <v>224</v>
      </c>
      <c r="AK139" t="str">
        <f>IF(SUMIFS(SF_Output!$F$1:$F$400,SF_Output!$AC$1:$AC$400,_xlfn.TEXTJOIN(",",TRUE,B139:E139))+SUMIFS(SF_Output!$G$1:$G$400,SF_Output!$AC$1:$AC$400,_xlfn.TEXTJOIN(",",TRUE,B139:E139))=0,"","PAP")</f>
        <v/>
      </c>
      <c r="AQ139" s="35"/>
      <c r="AR139" s="35" t="str" cm="1">
        <f t="array" ref="AR139">IFERROR(_xlfn.IFS(AND(E139*1=1,F139="Included"),"Change to Included",AND(E139*1=0,F139="Optional"),"Change to Optional",OR(B139="",F139="replaced"),""),"")</f>
        <v/>
      </c>
      <c r="AS139" s="35" t="str">
        <f t="shared" si="24"/>
        <v/>
      </c>
      <c r="AT139" s="35" t="str">
        <f t="shared" si="25"/>
        <v/>
      </c>
      <c r="AU139" s="35" t="str">
        <f t="shared" si="26"/>
        <v/>
      </c>
      <c r="AV139" s="35" t="str">
        <f t="shared" si="27"/>
        <v/>
      </c>
      <c r="AW139" s="35" t="str">
        <f t="shared" si="28"/>
        <v/>
      </c>
      <c r="AX139" s="35" t="str">
        <f t="shared" si="29"/>
        <v/>
      </c>
      <c r="AY139" s="35" t="str">
        <f t="shared" si="30"/>
        <v/>
      </c>
      <c r="AZ139" s="35" t="str">
        <f t="shared" si="31"/>
        <v/>
      </c>
      <c r="BA139" s="35" t="str">
        <f t="shared" si="32"/>
        <v/>
      </c>
      <c r="BB139" s="35" t="str">
        <f t="shared" si="33"/>
        <v/>
      </c>
      <c r="BC139" s="35"/>
      <c r="BE139" s="35">
        <f ca="1">INDEX(SF_Output!$AA$2:$AA$400,MATCH($B139,SF_Output!$M$2:$M$400,0))</f>
        <v>6</v>
      </c>
      <c r="BF139" s="35">
        <f ca="1">INDEX(SF_Output!$AB$2:$AB$400,MATCH($B139,SF_Output!$M$2:$M$400,0))</f>
        <v>1</v>
      </c>
    </row>
    <row r="140" spans="2:58" x14ac:dyDescent="0.25">
      <c r="B140" t="s">
        <v>2444</v>
      </c>
      <c r="C140" t="s">
        <v>2122</v>
      </c>
      <c r="D140" t="s">
        <v>2207</v>
      </c>
      <c r="E140" t="s">
        <v>2124</v>
      </c>
      <c r="F140" s="116" t="str">
        <f t="shared" si="17"/>
        <v>Included</v>
      </c>
      <c r="G140" t="str">
        <f>IF(B140="","",INDEX(SF_Output!$K$1:$K$400,MATCH(B140,SF_Output!$M$1:$M$400,0)))</f>
        <v>Card Processing Solutions (CPS)</v>
      </c>
      <c r="H140" cm="1">
        <f t="array" ref="H140">_xlfn.IFS(B140="","",(SUMIFS(SF_Output!$F$1:$F$400,SF_Output!$AC$1:$AC$400,_xlfn.TEXTJOIN(",",TRUE,B140:E140))+SUMIFS(SF_Output!$G$1:$G$400,SF_Output!$AC$1:$AC$400,_xlfn.TEXTJOIN(",",TRUE,B140:E140)))&lt;&gt;0,SF_Output!$Y$2,INDEX(SF_Output!$F$1:$F$400,MATCH(_xlfn.TEXTJOIN(",",TRUE,B140:E140),SF_Output!$AC$1:$AC$400,0))=0,INDEX(SF_Output!$R$1:$R$400,MATCH(_xlfn.TEXTJOIN(",",TRUE,B140:E140),SF_Output!$AC$1:$AC$400,0)))</f>
        <v>0</v>
      </c>
      <c r="I140" s="125" t="str">
        <f>IFERROR(IF(AND(H140&gt;1,H140&lt;&gt;""),ROUND(SUMIFS(SF_Output!$S$1:$S$400,SF_Output!$AC$1:$AC$400,_xlfn.TEXTJOIN(",",TRUE,B140:E140),SF_Output!$Q$1:$Q$400,"monthly")*(1-W140)/H140,4),""),"")</f>
        <v/>
      </c>
      <c r="J140" s="6">
        <f>IF(B140="","",SUMIFS(SF_Output!$S$1:$S$400,SF_Output!$AC$1:$AC$400,_xlfn.TEXTJOIN(",",TRUE,B140:E140),SF_Output!$Q$1:$Q$400,"One Time",SF_Output!$L$1:$L$400,"license fee")+SUMIFS(SF_Output!$S$1:$S$400,SF_Output!$AC$1:$AC$400,_xlfn.TEXTJOIN(",",TRUE,B140:E140),SF_Output!$Q$1:$Q$400,"One Time",SF_Output!$L$1:$L$400,"software license")+SUMIFS(SF_Output!$S$1:$S$400,SF_Output!$AC$1:$AC$400,_xlfn.TEXTJOIN(",",TRUE,B140:E140),SF_Output!$Q$1:$Q$400,"One Time",SF_Output!$L$1:$L$400,"hardware"))</f>
        <v>0</v>
      </c>
      <c r="K140" s="112" t="str">
        <f>IF(OR(B140=0,B140="",G140="hardware",J140=0),"",IF(AF140&lt;&gt;"exclusion",MAX(K$9,-((SUMIFS(SF_Output!$T$1:$T$400,SF_Output!$AC$1:$AC$400,_xlfn.TEXTJOIN(",",TRUE,$B140:$E140),SF_Output!$Q$1:$Q$400,"One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license"))/J140)))</f>
        <v/>
      </c>
      <c r="L140" s="6">
        <f t="shared" si="18"/>
        <v>0</v>
      </c>
      <c r="N140" s="6">
        <f>IF(B140="","",SUMIFS(SF_Output!$S$1:$S$400,SF_Output!$AC$1:$AC$400,_xlfn.TEXTJOIN(",",TRUE,B140:E140),SF_Output!$Q$1:$Q$400,"One Time",SF_Output!$L$1:$L$400,"professional service"))</f>
        <v>0</v>
      </c>
      <c r="O140" s="112" t="str">
        <f>IF(OR(B140=0,B140="",N140=0),"",IF(AF140&lt;&gt;"exclusion",MAX(O$9,-(SUMIFS(SF_Output!$T$1:$T$400,SF_Output!$AC$1:$AC$400,_xlfn.TEXTJOIN(",",TRUE,$B140:$E140),SF_Output!$Q$1:$Q$400,"One Time",SF_Output!$L$1:$L$400,"professional service"))/N140),-((SUMIFS(SF_Output!$T$1:$T$400,SF_Output!$AC$1:$AC$400,_xlfn.TEXTJOIN(",",TRUE,$B140:$E140),SF_Output!$Q$1:$Q$400,"One Time",SF_Output!$L$1:$L$400,"professional service")/N140))))</f>
        <v/>
      </c>
      <c r="P140" s="6">
        <f t="shared" si="19"/>
        <v>0</v>
      </c>
      <c r="R140" s="6">
        <f>IF(B140="","",SUMIFS(SF_Output!$S$1:$S$400,SF_Output!$AC$1:$AC$400,_xlfn.TEXTJOIN(",",TRUE,B140:E140),SF_Output!$Q$1:$Q$400,"yearly")+SUMIFS(SF_Output!$S$1:$S$400,SF_Output!$AC$1:$AC$400,_xlfn.TEXTJOIN(",",TRUE,B140:E140),SF_Output!$Q$1:$Q$400,"quarterly")*4)</f>
        <v>0</v>
      </c>
      <c r="S140" s="112" t="str">
        <f>IF(OR(B140=0,B140="",G140="hardware",R140=0),"",IF(AF140&lt;&gt;"exclusion",MAX(S$9,-(SUMIFS(SF_Output!$T$1:$T$400,SF_Output!$AC$1:$AC$400,_xlfn.TEXTJOIN(",",TRUE,$B140:$E140),SF_Output!$Q$1:$Q$400,"yearly"))/R140),-((SUMIFS(SF_Output!$T$1:$T$400,SF_Output!$AC$1:$AC$400,_xlfn.TEXTJOIN(",",TRUE,$B140:$E140),SF_Output!$Q$1:$Q$400,"yearly")/R140))))</f>
        <v/>
      </c>
      <c r="T140" s="6">
        <f t="shared" si="20"/>
        <v>0</v>
      </c>
      <c r="V140" s="6" cm="1">
        <f t="array" ref="V140">_xlfn.IFS(B140="","",AND(B140&lt;&gt;"",H140=SF_Output!$Y$2,SUMIFS(SF_Output!$T$1:$T$400,SF_Output!$AC$1:$AC$400,_xlfn.TEXTJOIN(",",TRUE,B140:E140),SF_Output!$Q$1:$Q$400,"monthly")=0),(SUMIFS(SF_Output!$F$1:$F$400,SF_Output!$AC$1:$AC$400,_xlfn.TEXTJOIN(",",TRUE,B140:E140),SF_Output!$Q$1:$Q$400,"monthly")+SUMIFS(SF_Output!$G$1:$G$400,SF_Output!$AC$1:$AC$400,_xlfn.TEXTJOIN(",",TRUE,B140:E140),SF_Output!$Q$1:$Q$400,"monthly"))*H140,AND(B140&lt;&gt;"",H140=SF_Output!$Y$2,SUMIFS(SF_Output!$T$1:$T$400,SF_Output!$AC$1:$AC$400,_xlfn.TEXTJOIN(",",TRUE,B140:E140),SF_Output!$Q$1:$Q$400,"monthly")&lt;&gt;0),SUMIFS(SF_Output!$S$1:$S$400,SF_Output!$AC$1:$AC$400,_xlfn.TEXTJOIN(",",TRUE,B140:E140),SF_Output!$Q$1:$Q$400,"monthly"),AND(B140&lt;&gt;"",H140&lt;&gt;SF_Output!$Y$2),SUMIFS(SF_Output!$S$1:$S$400,SF_Output!$AC$1:$AC$400,_xlfn.TEXTJOIN(",",TRUE,B140:E140),SF_Output!$Q$1:$Q$400,"monthly"))</f>
        <v>0</v>
      </c>
      <c r="W140" s="112" t="str" cm="1">
        <f t="array" ref="W140">_xlfn.IFS(OR(B140=0,B140="",V140=0),"",AF140&lt;&gt;"exclusion",MAX($W$9,$W$7,(-(SUMIFS(SF_Output!$T$1:$T$400,SF_Output!$AC$1:$AC$400,_xlfn.TEXTJOIN(",",TRUE,$B140:$E140),SF_Output!$Q$1:$Q$400,"monthly"))/V140)),AF140="exclusion",-(SUMIFS(SF_Output!$T$1:$T$400,SF_Output!$AC$1:$AC$400,_xlfn.TEXTJOIN(",",TRUE,$B140:$E140),SF_Output!$Q$1:$Q$400,"monthly"))/V140)</f>
        <v/>
      </c>
      <c r="X140" s="6" cm="1">
        <f t="array" ref="X140">IFERROR(_xlfn.IFS(V140=0,0,V140="","",W140=0,V140,OR(V140&lt;&gt;0,V140&lt;&gt;""),H140*I140),V140*(1-W140))</f>
        <v>0</v>
      </c>
      <c r="Z140" s="6">
        <f>IFERROR(IF(B140="","",SUMIFS(Billing_Fallout!H:H,Billing_Fallout!N:N,B140)),0)</f>
        <v>0</v>
      </c>
      <c r="AA140" s="6">
        <f t="shared" si="21"/>
        <v>0</v>
      </c>
      <c r="AB140" s="6">
        <f>IFERROR(IF(B140="","",SUMIFS(Billing_Fallout!J:J,Billing_Fallout!N:N,B140)),0)</f>
        <v>0</v>
      </c>
      <c r="AD140" s="6">
        <f t="shared" si="22"/>
        <v>0</v>
      </c>
      <c r="AF140" t="str">
        <f>IFERROR(INDEX(H_Tables!$B$1:$B$1500,MATCH(INDEX(SF_Output!$J$1:$J$400,MATCH(B140,SF_Output!$M$1:$M$400,0)),H_Tables!$A$1:$A$1500,0)),"")</f>
        <v>Exclusion</v>
      </c>
      <c r="AI140" s="119" t="str">
        <f t="shared" si="23"/>
        <v/>
      </c>
      <c r="AJ140" s="121">
        <f>IFERROR(INDEX(SF_Output!AD:AD,MATCH(_xlfn.TEXTJOIN(",",TRUE,B140:E140),SF_Output!AC1:AC400,0)),0.05)</f>
        <v>226</v>
      </c>
      <c r="AK140" t="str">
        <f>IF(SUMIFS(SF_Output!$F$1:$F$400,SF_Output!$AC$1:$AC$400,_xlfn.TEXTJOIN(",",TRUE,B140:E140))+SUMIFS(SF_Output!$G$1:$G$400,SF_Output!$AC$1:$AC$400,_xlfn.TEXTJOIN(",",TRUE,B140:E140))=0,"","PAP")</f>
        <v/>
      </c>
      <c r="AQ140" s="35"/>
      <c r="AR140" s="35" t="str" cm="1">
        <f t="array" ref="AR140">IFERROR(_xlfn.IFS(AND(E140*1=1,F140="Included"),"Change to Included",AND(E140*1=0,F140="Optional"),"Change to Optional",OR(B140="",F140="replaced"),""),"")</f>
        <v/>
      </c>
      <c r="AS140" s="35" t="str">
        <f t="shared" si="24"/>
        <v/>
      </c>
      <c r="AT140" s="35" t="str">
        <f t="shared" si="25"/>
        <v/>
      </c>
      <c r="AU140" s="35" t="str">
        <f t="shared" si="26"/>
        <v/>
      </c>
      <c r="AV140" s="35" t="str">
        <f t="shared" si="27"/>
        <v/>
      </c>
      <c r="AW140" s="35" t="str">
        <f t="shared" si="28"/>
        <v/>
      </c>
      <c r="AX140" s="35" t="str">
        <f t="shared" si="29"/>
        <v/>
      </c>
      <c r="AY140" s="35" t="str">
        <f t="shared" si="30"/>
        <v/>
      </c>
      <c r="AZ140" s="35" t="str">
        <f t="shared" si="31"/>
        <v/>
      </c>
      <c r="BA140" s="35" t="str">
        <f t="shared" si="32"/>
        <v/>
      </c>
      <c r="BB140" s="35" t="str">
        <f t="shared" si="33"/>
        <v/>
      </c>
      <c r="BC140" s="35"/>
      <c r="BE140" s="35">
        <f ca="1">INDEX(SF_Output!$AA$2:$AA$400,MATCH($B140,SF_Output!$M$2:$M$400,0))</f>
        <v>6</v>
      </c>
      <c r="BF140" s="35">
        <f ca="1">INDEX(SF_Output!$AB$2:$AB$400,MATCH($B140,SF_Output!$M$2:$M$400,0))</f>
        <v>1</v>
      </c>
    </row>
    <row r="141" spans="2:58" x14ac:dyDescent="0.25">
      <c r="B141" t="s">
        <v>2446</v>
      </c>
      <c r="C141" t="s">
        <v>2122</v>
      </c>
      <c r="D141" t="s">
        <v>2207</v>
      </c>
      <c r="E141" t="s">
        <v>2124</v>
      </c>
      <c r="F141" s="116" t="str">
        <f t="shared" si="17"/>
        <v>Included</v>
      </c>
      <c r="G141" t="str">
        <f>IF(B141="","",INDEX(SF_Output!$K$1:$K$400,MATCH(B141,SF_Output!$M$1:$M$400,0)))</f>
        <v>Card Processing Solutions (CPS)</v>
      </c>
      <c r="H141" cm="1">
        <f t="array" ref="H141">_xlfn.IFS(B141="","",(SUMIFS(SF_Output!$F$1:$F$400,SF_Output!$AC$1:$AC$400,_xlfn.TEXTJOIN(",",TRUE,B141:E141))+SUMIFS(SF_Output!$G$1:$G$400,SF_Output!$AC$1:$AC$400,_xlfn.TEXTJOIN(",",TRUE,B141:E141)))&lt;&gt;0,SF_Output!$Y$2,INDEX(SF_Output!$F$1:$F$400,MATCH(_xlfn.TEXTJOIN(",",TRUE,B141:E141),SF_Output!$AC$1:$AC$400,0))=0,INDEX(SF_Output!$R$1:$R$400,MATCH(_xlfn.TEXTJOIN(",",TRUE,B141:E141),SF_Output!$AC$1:$AC$400,0)))</f>
        <v>0</v>
      </c>
      <c r="I141" s="125" t="str">
        <f>IFERROR(IF(AND(H141&gt;1,H141&lt;&gt;""),ROUND(SUMIFS(SF_Output!$S$1:$S$400,SF_Output!$AC$1:$AC$400,_xlfn.TEXTJOIN(",",TRUE,B141:E141),SF_Output!$Q$1:$Q$400,"monthly")*(1-W141)/H141,4),""),"")</f>
        <v/>
      </c>
      <c r="J141" s="6">
        <f>IF(B141="","",SUMIFS(SF_Output!$S$1:$S$400,SF_Output!$AC$1:$AC$400,_xlfn.TEXTJOIN(",",TRUE,B141:E141),SF_Output!$Q$1:$Q$400,"One Time",SF_Output!$L$1:$L$400,"license fee")+SUMIFS(SF_Output!$S$1:$S$400,SF_Output!$AC$1:$AC$400,_xlfn.TEXTJOIN(",",TRUE,B141:E141),SF_Output!$Q$1:$Q$400,"One Time",SF_Output!$L$1:$L$400,"software license")+SUMIFS(SF_Output!$S$1:$S$400,SF_Output!$AC$1:$AC$400,_xlfn.TEXTJOIN(",",TRUE,B141:E141),SF_Output!$Q$1:$Q$400,"One Time",SF_Output!$L$1:$L$400,"hardware"))</f>
        <v>0</v>
      </c>
      <c r="K141" s="112" t="str">
        <f>IF(OR(B141=0,B141="",G141="hardware",J141=0),"",IF(AF141&lt;&gt;"exclusion",MAX(K$9,-((SUMIFS(SF_Output!$T$1:$T$400,SF_Output!$AC$1:$AC$400,_xlfn.TEXTJOIN(",",TRUE,$B141:$E141),SF_Output!$Q$1:$Q$400,"One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license"))/J141)))</f>
        <v/>
      </c>
      <c r="L141" s="6">
        <f t="shared" si="18"/>
        <v>0</v>
      </c>
      <c r="N141" s="6">
        <f>IF(B141="","",SUMIFS(SF_Output!$S$1:$S$400,SF_Output!$AC$1:$AC$400,_xlfn.TEXTJOIN(",",TRUE,B141:E141),SF_Output!$Q$1:$Q$400,"One Time",SF_Output!$L$1:$L$400,"professional service"))</f>
        <v>4000</v>
      </c>
      <c r="O141" s="112">
        <f>IF(OR(B141=0,B141="",N141=0),"",IF(AF141&lt;&gt;"exclusion",MAX(O$9,-(SUMIFS(SF_Output!$T$1:$T$400,SF_Output!$AC$1:$AC$400,_xlfn.TEXTJOIN(",",TRUE,$B141:$E141),SF_Output!$Q$1:$Q$400,"One Time",SF_Output!$L$1:$L$400,"professional service"))/N141),-((SUMIFS(SF_Output!$T$1:$T$400,SF_Output!$AC$1:$AC$400,_xlfn.TEXTJOIN(",",TRUE,$B141:$E141),SF_Output!$Q$1:$Q$400,"One Time",SF_Output!$L$1:$L$400,"professional service")/N141))))</f>
        <v>1</v>
      </c>
      <c r="P141" s="6">
        <f t="shared" si="19"/>
        <v>0</v>
      </c>
      <c r="R141" s="6">
        <f>IF(B141="","",SUMIFS(SF_Output!$S$1:$S$400,SF_Output!$AC$1:$AC$400,_xlfn.TEXTJOIN(",",TRUE,B141:E141),SF_Output!$Q$1:$Q$400,"yearly")+SUMIFS(SF_Output!$S$1:$S$400,SF_Output!$AC$1:$AC$400,_xlfn.TEXTJOIN(",",TRUE,B141:E141),SF_Output!$Q$1:$Q$400,"quarterly")*4)</f>
        <v>0</v>
      </c>
      <c r="S141" s="112" t="str">
        <f>IF(OR(B141=0,B141="",G141="hardware",R141=0),"",IF(AF141&lt;&gt;"exclusion",MAX(S$9,-(SUMIFS(SF_Output!$T$1:$T$400,SF_Output!$AC$1:$AC$400,_xlfn.TEXTJOIN(",",TRUE,$B141:$E141),SF_Output!$Q$1:$Q$400,"yearly"))/R141),-((SUMIFS(SF_Output!$T$1:$T$400,SF_Output!$AC$1:$AC$400,_xlfn.TEXTJOIN(",",TRUE,$B141:$E141),SF_Output!$Q$1:$Q$400,"yearly")/R141))))</f>
        <v/>
      </c>
      <c r="T141" s="6">
        <f t="shared" si="20"/>
        <v>0</v>
      </c>
      <c r="V141" s="6" cm="1">
        <f t="array" ref="V141">_xlfn.IFS(B141="","",AND(B141&lt;&gt;"",H141=SF_Output!$Y$2,SUMIFS(SF_Output!$T$1:$T$400,SF_Output!$AC$1:$AC$400,_xlfn.TEXTJOIN(",",TRUE,B141:E141),SF_Output!$Q$1:$Q$400,"monthly")=0),(SUMIFS(SF_Output!$F$1:$F$400,SF_Output!$AC$1:$AC$400,_xlfn.TEXTJOIN(",",TRUE,B141:E141),SF_Output!$Q$1:$Q$400,"monthly")+SUMIFS(SF_Output!$G$1:$G$400,SF_Output!$AC$1:$AC$400,_xlfn.TEXTJOIN(",",TRUE,B141:E141),SF_Output!$Q$1:$Q$400,"monthly"))*H141,AND(B141&lt;&gt;"",H141=SF_Output!$Y$2,SUMIFS(SF_Output!$T$1:$T$400,SF_Output!$AC$1:$AC$400,_xlfn.TEXTJOIN(",",TRUE,B141:E141),SF_Output!$Q$1:$Q$400,"monthly")&lt;&gt;0),SUMIFS(SF_Output!$S$1:$S$400,SF_Output!$AC$1:$AC$400,_xlfn.TEXTJOIN(",",TRUE,B141:E141),SF_Output!$Q$1:$Q$400,"monthly"),AND(B141&lt;&gt;"",H141&lt;&gt;SF_Output!$Y$2),SUMIFS(SF_Output!$S$1:$S$400,SF_Output!$AC$1:$AC$400,_xlfn.TEXTJOIN(",",TRUE,B141:E141),SF_Output!$Q$1:$Q$400,"monthly"))</f>
        <v>0</v>
      </c>
      <c r="W141" s="112" t="str" cm="1">
        <f t="array" ref="W141">_xlfn.IFS(OR(B141=0,B141="",V141=0),"",AF141&lt;&gt;"exclusion",MAX($W$9,$W$7,(-(SUMIFS(SF_Output!$T$1:$T$400,SF_Output!$AC$1:$AC$400,_xlfn.TEXTJOIN(",",TRUE,$B141:$E141),SF_Output!$Q$1:$Q$400,"monthly"))/V141)),AF141="exclusion",-(SUMIFS(SF_Output!$T$1:$T$400,SF_Output!$AC$1:$AC$400,_xlfn.TEXTJOIN(",",TRUE,$B141:$E141),SF_Output!$Q$1:$Q$400,"monthly"))/V141)</f>
        <v/>
      </c>
      <c r="X141" s="6" cm="1">
        <f t="array" ref="X141">IFERROR(_xlfn.IFS(V141=0,0,V141="","",W141=0,V141,OR(V141&lt;&gt;0,V141&lt;&gt;""),H141*I141),V141*(1-W141))</f>
        <v>0</v>
      </c>
      <c r="Z141" s="6">
        <f>IFERROR(IF(B141="","",SUMIFS(Billing_Fallout!H:H,Billing_Fallout!N:N,B141)),0)</f>
        <v>0</v>
      </c>
      <c r="AA141" s="6">
        <f t="shared" si="21"/>
        <v>0</v>
      </c>
      <c r="AB141" s="6">
        <f>IFERROR(IF(B141="","",SUMIFS(Billing_Fallout!J:J,Billing_Fallout!N:N,B141)),0)</f>
        <v>0</v>
      </c>
      <c r="AD141" s="6">
        <f t="shared" si="22"/>
        <v>0</v>
      </c>
      <c r="AF141" t="str">
        <f>IFERROR(INDEX(H_Tables!$B$1:$B$1500,MATCH(INDEX(SF_Output!$J$1:$J$400,MATCH(B141,SF_Output!$M$1:$M$400,0)),H_Tables!$A$1:$A$1500,0)),"")</f>
        <v>Exclusion</v>
      </c>
      <c r="AI141" s="119" t="str">
        <f t="shared" si="23"/>
        <v/>
      </c>
      <c r="AJ141" s="121">
        <f>IFERROR(INDEX(SF_Output!AD:AD,MATCH(_xlfn.TEXTJOIN(",",TRUE,B141:E141),SF_Output!AC1:AC400,0)),0.05)</f>
        <v>227</v>
      </c>
      <c r="AK141" t="str">
        <f>IF(SUMIFS(SF_Output!$F$1:$F$400,SF_Output!$AC$1:$AC$400,_xlfn.TEXTJOIN(",",TRUE,B141:E141))+SUMIFS(SF_Output!$G$1:$G$400,SF_Output!$AC$1:$AC$400,_xlfn.TEXTJOIN(",",TRUE,B141:E141))=0,"","PAP")</f>
        <v/>
      </c>
      <c r="AQ141" s="35"/>
      <c r="AR141" s="35" t="str" cm="1">
        <f t="array" ref="AR141">IFERROR(_xlfn.IFS(AND(E141*1=1,F141="Included"),"Change to Included",AND(E141*1=0,F141="Optional"),"Change to Optional",OR(B141="",F141="replaced"),""),"")</f>
        <v/>
      </c>
      <c r="AS141" s="35" t="str">
        <f t="shared" si="24"/>
        <v/>
      </c>
      <c r="AT141" s="35" t="str">
        <f t="shared" si="25"/>
        <v/>
      </c>
      <c r="AU141" s="35" t="str">
        <f t="shared" si="26"/>
        <v/>
      </c>
      <c r="AV141" s="35" t="str">
        <f t="shared" si="27"/>
        <v/>
      </c>
      <c r="AW141" s="35" t="str">
        <f t="shared" si="28"/>
        <v/>
      </c>
      <c r="AX141" s="35" t="str">
        <f t="shared" si="29"/>
        <v/>
      </c>
      <c r="AY141" s="35" t="str">
        <f t="shared" si="30"/>
        <v/>
      </c>
      <c r="AZ141" s="35" t="str">
        <f t="shared" si="31"/>
        <v/>
      </c>
      <c r="BA141" s="35" t="str">
        <f t="shared" si="32"/>
        <v/>
      </c>
      <c r="BB141" s="35" t="str">
        <f t="shared" si="33"/>
        <v/>
      </c>
      <c r="BC141" s="35"/>
      <c r="BE141" s="35">
        <f ca="1">INDEX(SF_Output!$AA$2:$AA$400,MATCH($B141,SF_Output!$M$2:$M$400,0))</f>
        <v>6</v>
      </c>
      <c r="BF141" s="35">
        <f ca="1">INDEX(SF_Output!$AB$2:$AB$400,MATCH($B141,SF_Output!$M$2:$M$400,0))</f>
        <v>1</v>
      </c>
    </row>
    <row r="142" spans="2:58" x14ac:dyDescent="0.25">
      <c r="B142" t="s">
        <v>2449</v>
      </c>
      <c r="C142" t="s">
        <v>2122</v>
      </c>
      <c r="D142" t="s">
        <v>2207</v>
      </c>
      <c r="E142" t="s">
        <v>2124</v>
      </c>
      <c r="F142" s="116" t="str">
        <f t="shared" ref="F142:F205" si="34">IF(B142="","",IF(E142*1=0,"Included","Optional"))</f>
        <v>Included</v>
      </c>
      <c r="G142" t="str">
        <f>IF(B142="","",INDEX(SF_Output!$K$1:$K$400,MATCH(B142,SF_Output!$M$1:$M$400,0)))</f>
        <v>Card Processing Solutions (CPS)</v>
      </c>
      <c r="H142" cm="1">
        <f t="array" ref="H142">_xlfn.IFS(B142="","",(SUMIFS(SF_Output!$F$1:$F$400,SF_Output!$AC$1:$AC$400,_xlfn.TEXTJOIN(",",TRUE,B142:E142))+SUMIFS(SF_Output!$G$1:$G$400,SF_Output!$AC$1:$AC$400,_xlfn.TEXTJOIN(",",TRUE,B142:E142)))&lt;&gt;0,SF_Output!$Y$2,INDEX(SF_Output!$F$1:$F$400,MATCH(_xlfn.TEXTJOIN(",",TRUE,B142:E142),SF_Output!$AC$1:$AC$400,0))=0,INDEX(SF_Output!$R$1:$R$400,MATCH(_xlfn.TEXTJOIN(",",TRUE,B142:E142),SF_Output!$AC$1:$AC$400,0)))</f>
        <v>0</v>
      </c>
      <c r="I142" s="125" t="str">
        <f>IFERROR(IF(AND(H142&gt;1,H142&lt;&gt;""),ROUND(SUMIFS(SF_Output!$S$1:$S$400,SF_Output!$AC$1:$AC$400,_xlfn.TEXTJOIN(",",TRUE,B142:E142),SF_Output!$Q$1:$Q$400,"monthly")*(1-W142)/H142,4),""),"")</f>
        <v/>
      </c>
      <c r="J142" s="6">
        <f>IF(B142="","",SUMIFS(SF_Output!$S$1:$S$400,SF_Output!$AC$1:$AC$400,_xlfn.TEXTJOIN(",",TRUE,B142:E142),SF_Output!$Q$1:$Q$400,"One Time",SF_Output!$L$1:$L$400,"license fee")+SUMIFS(SF_Output!$S$1:$S$400,SF_Output!$AC$1:$AC$400,_xlfn.TEXTJOIN(",",TRUE,B142:E142),SF_Output!$Q$1:$Q$400,"One Time",SF_Output!$L$1:$L$400,"software license")+SUMIFS(SF_Output!$S$1:$S$400,SF_Output!$AC$1:$AC$400,_xlfn.TEXTJOIN(",",TRUE,B142:E142),SF_Output!$Q$1:$Q$400,"One Time",SF_Output!$L$1:$L$400,"hardware"))</f>
        <v>0</v>
      </c>
      <c r="K142" s="112" t="str">
        <f>IF(OR(B142=0,B142="",G142="hardware",J142=0),"",IF(AF142&lt;&gt;"exclusion",MAX(K$9,-((SUMIFS(SF_Output!$T$1:$T$400,SF_Output!$AC$1:$AC$400,_xlfn.TEXTJOIN(",",TRUE,$B142:$E142),SF_Output!$Q$1:$Q$400,"One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license"))/J142)))</f>
        <v/>
      </c>
      <c r="L142" s="6">
        <f t="shared" ref="L142:L205" si="35">IF(K142="",J142,J142*(1-K142))</f>
        <v>0</v>
      </c>
      <c r="N142" s="6">
        <f>IF(B142="","",SUMIFS(SF_Output!$S$1:$S$400,SF_Output!$AC$1:$AC$400,_xlfn.TEXTJOIN(",",TRUE,B142:E142),SF_Output!$Q$1:$Q$400,"One Time",SF_Output!$L$1:$L$400,"professional service"))</f>
        <v>0</v>
      </c>
      <c r="O142" s="112" t="str">
        <f>IF(OR(B142=0,B142="",N142=0),"",IF(AF142&lt;&gt;"exclusion",MAX(O$9,-(SUMIFS(SF_Output!$T$1:$T$400,SF_Output!$AC$1:$AC$400,_xlfn.TEXTJOIN(",",TRUE,$B142:$E142),SF_Output!$Q$1:$Q$400,"One Time",SF_Output!$L$1:$L$400,"professional service"))/N142),-((SUMIFS(SF_Output!$T$1:$T$400,SF_Output!$AC$1:$AC$400,_xlfn.TEXTJOIN(",",TRUE,$B142:$E142),SF_Output!$Q$1:$Q$400,"One Time",SF_Output!$L$1:$L$400,"professional service")/N142))))</f>
        <v/>
      </c>
      <c r="P142" s="6">
        <f t="shared" ref="P142:P205" si="36">IF(O142="",N142,N142*(1-O142))</f>
        <v>0</v>
      </c>
      <c r="R142" s="6">
        <f>IF(B142="","",SUMIFS(SF_Output!$S$1:$S$400,SF_Output!$AC$1:$AC$400,_xlfn.TEXTJOIN(",",TRUE,B142:E142),SF_Output!$Q$1:$Q$400,"yearly")+SUMIFS(SF_Output!$S$1:$S$400,SF_Output!$AC$1:$AC$400,_xlfn.TEXTJOIN(",",TRUE,B142:E142),SF_Output!$Q$1:$Q$400,"quarterly")*4)</f>
        <v>0</v>
      </c>
      <c r="S142" s="112" t="str">
        <f>IF(OR(B142=0,B142="",G142="hardware",R142=0),"",IF(AF142&lt;&gt;"exclusion",MAX(S$9,-(SUMIFS(SF_Output!$T$1:$T$400,SF_Output!$AC$1:$AC$400,_xlfn.TEXTJOIN(",",TRUE,$B142:$E142),SF_Output!$Q$1:$Q$400,"yearly"))/R142),-((SUMIFS(SF_Output!$T$1:$T$400,SF_Output!$AC$1:$AC$400,_xlfn.TEXTJOIN(",",TRUE,$B142:$E142),SF_Output!$Q$1:$Q$400,"yearly")/R142))))</f>
        <v/>
      </c>
      <c r="T142" s="6">
        <f t="shared" ref="T142:T205" si="37">IF(S142="",R142,R142*(1-S142))</f>
        <v>0</v>
      </c>
      <c r="V142" s="6" cm="1">
        <f t="array" ref="V142">_xlfn.IFS(B142="","",AND(B142&lt;&gt;"",H142=SF_Output!$Y$2,SUMIFS(SF_Output!$T$1:$T$400,SF_Output!$AC$1:$AC$400,_xlfn.TEXTJOIN(",",TRUE,B142:E142),SF_Output!$Q$1:$Q$400,"monthly")=0),(SUMIFS(SF_Output!$F$1:$F$400,SF_Output!$AC$1:$AC$400,_xlfn.TEXTJOIN(",",TRUE,B142:E142),SF_Output!$Q$1:$Q$400,"monthly")+SUMIFS(SF_Output!$G$1:$G$400,SF_Output!$AC$1:$AC$400,_xlfn.TEXTJOIN(",",TRUE,B142:E142),SF_Output!$Q$1:$Q$400,"monthly"))*H142,AND(B142&lt;&gt;"",H142=SF_Output!$Y$2,SUMIFS(SF_Output!$T$1:$T$400,SF_Output!$AC$1:$AC$400,_xlfn.TEXTJOIN(",",TRUE,B142:E142),SF_Output!$Q$1:$Q$400,"monthly")&lt;&gt;0),SUMIFS(SF_Output!$S$1:$S$400,SF_Output!$AC$1:$AC$400,_xlfn.TEXTJOIN(",",TRUE,B142:E142),SF_Output!$Q$1:$Q$400,"monthly"),AND(B142&lt;&gt;"",H142&lt;&gt;SF_Output!$Y$2),SUMIFS(SF_Output!$S$1:$S$400,SF_Output!$AC$1:$AC$400,_xlfn.TEXTJOIN(",",TRUE,B142:E142),SF_Output!$Q$1:$Q$400,"monthly"))</f>
        <v>0</v>
      </c>
      <c r="W142" s="112" t="str" cm="1">
        <f t="array" ref="W142">_xlfn.IFS(OR(B142=0,B142="",V142=0),"",AF142&lt;&gt;"exclusion",MAX($W$9,$W$7,(-(SUMIFS(SF_Output!$T$1:$T$400,SF_Output!$AC$1:$AC$400,_xlfn.TEXTJOIN(",",TRUE,$B142:$E142),SF_Output!$Q$1:$Q$400,"monthly"))/V142)),AF142="exclusion",-(SUMIFS(SF_Output!$T$1:$T$400,SF_Output!$AC$1:$AC$400,_xlfn.TEXTJOIN(",",TRUE,$B142:$E142),SF_Output!$Q$1:$Q$400,"monthly"))/V142)</f>
        <v/>
      </c>
      <c r="X142" s="6" cm="1">
        <f t="array" ref="X142">IFERROR(_xlfn.IFS(V142=0,0,V142="","",W142=0,V142,OR(V142&lt;&gt;0,V142&lt;&gt;""),H142*I142),V142*(1-W142))</f>
        <v>0</v>
      </c>
      <c r="Z142" s="6">
        <f>IFERROR(IF(B142="","",SUMIFS(Billing_Fallout!H:H,Billing_Fallout!N:N,B142)),0)</f>
        <v>0</v>
      </c>
      <c r="AA142" s="6">
        <f t="shared" ref="AA142:AA205" si="38">IF(Z142="","",AB142-Z142)</f>
        <v>0</v>
      </c>
      <c r="AB142" s="6">
        <f>IFERROR(IF(B142="","",SUMIFS(Billing_Fallout!J:J,Billing_Fallout!N:N,B142)),0)</f>
        <v>0</v>
      </c>
      <c r="AD142" s="6">
        <f t="shared" ref="AD142:AD205" si="39">IFERROR(X142-AB142,"")</f>
        <v>0</v>
      </c>
      <c r="AF142" t="str">
        <f>IFERROR(INDEX(H_Tables!$B$1:$B$1500,MATCH(INDEX(SF_Output!$J$1:$J$400,MATCH(B142,SF_Output!$M$1:$M$400,0)),H_Tables!$A$1:$A$1500,0)),"")</f>
        <v>Exclusion</v>
      </c>
      <c r="AI142" s="119" t="str">
        <f t="shared" ref="AI142:AI205" si="40">IF(B142="","",IF(F142="remove","Remove Product",IF(F142="add","Add Product",_xlfn.TEXTJOIN(", ",TRUE,AQ142,AR142,AS142,AT142,AU142,AV142,AW142,AX142,AY142,AZ142,BA142,BB142,BC142))))</f>
        <v/>
      </c>
      <c r="AJ142" s="121">
        <f>IFERROR(INDEX(SF_Output!AD:AD,MATCH(_xlfn.TEXTJOIN(",",TRUE,B142:E142),SF_Output!AC1:AC400,0)),0.05)</f>
        <v>229</v>
      </c>
      <c r="AK142" t="str">
        <f>IF(SUMIFS(SF_Output!$F$1:$F$400,SF_Output!$AC$1:$AC$400,_xlfn.TEXTJOIN(",",TRUE,B142:E142))+SUMIFS(SF_Output!$G$1:$G$400,SF_Output!$AC$1:$AC$400,_xlfn.TEXTJOIN(",",TRUE,B142:E142))=0,"","PAP")</f>
        <v/>
      </c>
      <c r="AQ142" s="35"/>
      <c r="AR142" s="35" t="str" cm="1">
        <f t="array" ref="AR142">IFERROR(_xlfn.IFS(AND(E142*1=1,F142="Included"),"Change to Included",AND(E142*1=0,F142="Optional"),"Change to Optional",OR(B142="",F142="replaced"),""),"")</f>
        <v/>
      </c>
      <c r="AS142" s="35" t="str">
        <f t="shared" ref="AS142:AS205" si="41">IF((OR(NOT(_xlfn.ISFORMULA(J142)),NOT(_xlfn.ISFORMULA(L142)))),"Check License Price Override","")</f>
        <v/>
      </c>
      <c r="AT142" s="35" t="str">
        <f t="shared" ref="AT142:AT205" si="42">IF(OR(AND(K142=$K$9,K142&lt;&gt;0),NOT(_xlfn.ISFORMULA(K142))),"License Discount "&amp;K142*100&amp;"%","")</f>
        <v/>
      </c>
      <c r="AU142" s="35" t="str">
        <f t="shared" ref="AU142:AU205" si="43">IF((OR(NOT(_xlfn.ISFORMULA(N142)),NOT(_xlfn.ISFORMULA(P142)))),"Check Install Price Override","")</f>
        <v/>
      </c>
      <c r="AV142" s="35" t="str">
        <f t="shared" ref="AV142:AV205" si="44">IF(OR(AND(O142=$O$9,O142&lt;&gt;0),NOT(_xlfn.ISFORMULA(O142))),"Install Discount "&amp;O142*100&amp;"%","")</f>
        <v/>
      </c>
      <c r="AW142" s="35" t="str">
        <f t="shared" ref="AW142:AW205" si="45">IF((OR(NOT(_xlfn.ISFORMULA(R142)),NOT(_xlfn.ISFORMULA(T142)))),"Check Maintenance Price Override","")</f>
        <v/>
      </c>
      <c r="AX142" s="35" t="str">
        <f t="shared" ref="AX142:AX205" si="46">IF(OR(AND(S142=$S$9,S142&lt;&gt;0),NOT(_xlfn.ISFORMULA(S142))),"Maintenance Discount "&amp;S142*100&amp;"%","")</f>
        <v/>
      </c>
      <c r="AY142" s="35" t="str">
        <f t="shared" ref="AY142:AY205" si="47">IF((OR(NOT(_xlfn.ISFORMULA(V142)),NOT(_xlfn.ISFORMULA(X142)))),"Check Monthly Price Override","")</f>
        <v/>
      </c>
      <c r="AZ142" s="35" t="str">
        <f t="shared" ref="AZ142:AZ205" si="48">IF(OR((AND(W142=$W$9,W142&lt;&gt;0)),(AND(W142=$W$7,W142&lt;&gt;0)),(NOT(_xlfn.ISFORMULA(W142))),AND($W$7+0.2=W142,$W$7&lt;&gt;0)),"Monthly Discount "&amp;W142*100&amp;"%","")</f>
        <v/>
      </c>
      <c r="BA142" s="35" t="str">
        <f t="shared" ref="BA142:BA205" si="49">IF(NOT(_xlfn.ISFORMULA(H142)),"Check Quantity","")</f>
        <v/>
      </c>
      <c r="BB142" s="35" t="str">
        <f t="shared" ref="BB142:BB205" si="50">IF(NOT(_xlfn.ISFORMULA(I142)),"Check Unit Price Override","")</f>
        <v/>
      </c>
      <c r="BC142" s="35"/>
      <c r="BE142" s="35">
        <f ca="1">INDEX(SF_Output!$AA$2:$AA$400,MATCH($B142,SF_Output!$M$2:$M$400,0))</f>
        <v>6</v>
      </c>
      <c r="BF142" s="35">
        <f ca="1">INDEX(SF_Output!$AB$2:$AB$400,MATCH($B142,SF_Output!$M$2:$M$400,0))</f>
        <v>1</v>
      </c>
    </row>
    <row r="143" spans="2:58" x14ac:dyDescent="0.25">
      <c r="B143" t="s">
        <v>2451</v>
      </c>
      <c r="C143" t="s">
        <v>2122</v>
      </c>
      <c r="D143" t="s">
        <v>2207</v>
      </c>
      <c r="E143" t="s">
        <v>2124</v>
      </c>
      <c r="F143" s="116" t="str">
        <f t="shared" si="34"/>
        <v>Included</v>
      </c>
      <c r="G143" t="str">
        <f>IF(B143="","",INDEX(SF_Output!$K$1:$K$400,MATCH(B143,SF_Output!$M$1:$M$400,0)))</f>
        <v>Card Processing Solutions (CPS)</v>
      </c>
      <c r="H143" cm="1">
        <f t="array" ref="H143">_xlfn.IFS(B143="","",(SUMIFS(SF_Output!$F$1:$F$400,SF_Output!$AC$1:$AC$400,_xlfn.TEXTJOIN(",",TRUE,B143:E143))+SUMIFS(SF_Output!$G$1:$G$400,SF_Output!$AC$1:$AC$400,_xlfn.TEXTJOIN(",",TRUE,B143:E143)))&lt;&gt;0,SF_Output!$Y$2,INDEX(SF_Output!$F$1:$F$400,MATCH(_xlfn.TEXTJOIN(",",TRUE,B143:E143),SF_Output!$AC$1:$AC$400,0))=0,INDEX(SF_Output!$R$1:$R$400,MATCH(_xlfn.TEXTJOIN(",",TRUE,B143:E143),SF_Output!$AC$1:$AC$400,0)))</f>
        <v>0</v>
      </c>
      <c r="I143" s="125" t="str">
        <f>IFERROR(IF(AND(H143&gt;1,H143&lt;&gt;""),ROUND(SUMIFS(SF_Output!$S$1:$S$400,SF_Output!$AC$1:$AC$400,_xlfn.TEXTJOIN(",",TRUE,B143:E143),SF_Output!$Q$1:$Q$400,"monthly")*(1-W143)/H143,4),""),"")</f>
        <v/>
      </c>
      <c r="J143" s="6">
        <f>IF(B143="","",SUMIFS(SF_Output!$S$1:$S$400,SF_Output!$AC$1:$AC$400,_xlfn.TEXTJOIN(",",TRUE,B143:E143),SF_Output!$Q$1:$Q$400,"One Time",SF_Output!$L$1:$L$400,"license fee")+SUMIFS(SF_Output!$S$1:$S$400,SF_Output!$AC$1:$AC$400,_xlfn.TEXTJOIN(",",TRUE,B143:E143),SF_Output!$Q$1:$Q$400,"One Time",SF_Output!$L$1:$L$400,"software license")+SUMIFS(SF_Output!$S$1:$S$400,SF_Output!$AC$1:$AC$400,_xlfn.TEXTJOIN(",",TRUE,B143:E143),SF_Output!$Q$1:$Q$400,"One Time",SF_Output!$L$1:$L$400,"hardware"))</f>
        <v>0</v>
      </c>
      <c r="K143" s="112" t="str">
        <f>IF(OR(B143=0,B143="",G143="hardware",J143=0),"",IF(AF143&lt;&gt;"exclusion",MAX(K$9,-((SUMIFS(SF_Output!$T$1:$T$400,SF_Output!$AC$1:$AC$400,_xlfn.TEXTJOIN(",",TRUE,$B143:$E143),SF_Output!$Q$1:$Q$400,"One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license"))/J143)))</f>
        <v/>
      </c>
      <c r="L143" s="6">
        <f t="shared" si="35"/>
        <v>0</v>
      </c>
      <c r="N143" s="6">
        <f>IF(B143="","",SUMIFS(SF_Output!$S$1:$S$400,SF_Output!$AC$1:$AC$400,_xlfn.TEXTJOIN(",",TRUE,B143:E143),SF_Output!$Q$1:$Q$400,"One Time",SF_Output!$L$1:$L$400,"professional service"))</f>
        <v>0</v>
      </c>
      <c r="O143" s="112" t="str">
        <f>IF(OR(B143=0,B143="",N143=0),"",IF(AF143&lt;&gt;"exclusion",MAX(O$9,-(SUMIFS(SF_Output!$T$1:$T$400,SF_Output!$AC$1:$AC$400,_xlfn.TEXTJOIN(",",TRUE,$B143:$E143),SF_Output!$Q$1:$Q$400,"One Time",SF_Output!$L$1:$L$400,"professional service"))/N143),-((SUMIFS(SF_Output!$T$1:$T$400,SF_Output!$AC$1:$AC$400,_xlfn.TEXTJOIN(",",TRUE,$B143:$E143),SF_Output!$Q$1:$Q$400,"One Time",SF_Output!$L$1:$L$400,"professional service")/N143))))</f>
        <v/>
      </c>
      <c r="P143" s="6">
        <f t="shared" si="36"/>
        <v>0</v>
      </c>
      <c r="R143" s="6">
        <f>IF(B143="","",SUMIFS(SF_Output!$S$1:$S$400,SF_Output!$AC$1:$AC$400,_xlfn.TEXTJOIN(",",TRUE,B143:E143),SF_Output!$Q$1:$Q$400,"yearly")+SUMIFS(SF_Output!$S$1:$S$400,SF_Output!$AC$1:$AC$400,_xlfn.TEXTJOIN(",",TRUE,B143:E143),SF_Output!$Q$1:$Q$400,"quarterly")*4)</f>
        <v>0</v>
      </c>
      <c r="S143" s="112" t="str">
        <f>IF(OR(B143=0,B143="",G143="hardware",R143=0),"",IF(AF143&lt;&gt;"exclusion",MAX(S$9,-(SUMIFS(SF_Output!$T$1:$T$400,SF_Output!$AC$1:$AC$400,_xlfn.TEXTJOIN(",",TRUE,$B143:$E143),SF_Output!$Q$1:$Q$400,"yearly"))/R143),-((SUMIFS(SF_Output!$T$1:$T$400,SF_Output!$AC$1:$AC$400,_xlfn.TEXTJOIN(",",TRUE,$B143:$E143),SF_Output!$Q$1:$Q$400,"yearly")/R143))))</f>
        <v/>
      </c>
      <c r="T143" s="6">
        <f t="shared" si="37"/>
        <v>0</v>
      </c>
      <c r="V143" s="6" cm="1">
        <f t="array" ref="V143">_xlfn.IFS(B143="","",AND(B143&lt;&gt;"",H143=SF_Output!$Y$2,SUMIFS(SF_Output!$T$1:$T$400,SF_Output!$AC$1:$AC$400,_xlfn.TEXTJOIN(",",TRUE,B143:E143),SF_Output!$Q$1:$Q$400,"monthly")=0),(SUMIFS(SF_Output!$F$1:$F$400,SF_Output!$AC$1:$AC$400,_xlfn.TEXTJOIN(",",TRUE,B143:E143),SF_Output!$Q$1:$Q$400,"monthly")+SUMIFS(SF_Output!$G$1:$G$400,SF_Output!$AC$1:$AC$400,_xlfn.TEXTJOIN(",",TRUE,B143:E143),SF_Output!$Q$1:$Q$400,"monthly"))*H143,AND(B143&lt;&gt;"",H143=SF_Output!$Y$2,SUMIFS(SF_Output!$T$1:$T$400,SF_Output!$AC$1:$AC$400,_xlfn.TEXTJOIN(",",TRUE,B143:E143),SF_Output!$Q$1:$Q$400,"monthly")&lt;&gt;0),SUMIFS(SF_Output!$S$1:$S$400,SF_Output!$AC$1:$AC$400,_xlfn.TEXTJOIN(",",TRUE,B143:E143),SF_Output!$Q$1:$Q$400,"monthly"),AND(B143&lt;&gt;"",H143&lt;&gt;SF_Output!$Y$2),SUMIFS(SF_Output!$S$1:$S$400,SF_Output!$AC$1:$AC$400,_xlfn.TEXTJOIN(",",TRUE,B143:E143),SF_Output!$Q$1:$Q$400,"monthly"))</f>
        <v>0</v>
      </c>
      <c r="W143" s="112" t="str" cm="1">
        <f t="array" ref="W143">_xlfn.IFS(OR(B143=0,B143="",V143=0),"",AF143&lt;&gt;"exclusion",MAX($W$9,$W$7,(-(SUMIFS(SF_Output!$T$1:$T$400,SF_Output!$AC$1:$AC$400,_xlfn.TEXTJOIN(",",TRUE,$B143:$E143),SF_Output!$Q$1:$Q$400,"monthly"))/V143)),AF143="exclusion",-(SUMIFS(SF_Output!$T$1:$T$400,SF_Output!$AC$1:$AC$400,_xlfn.TEXTJOIN(",",TRUE,$B143:$E143),SF_Output!$Q$1:$Q$400,"monthly"))/V143)</f>
        <v/>
      </c>
      <c r="X143" s="6" cm="1">
        <f t="array" ref="X143">IFERROR(_xlfn.IFS(V143=0,0,V143="","",W143=0,V143,OR(V143&lt;&gt;0,V143&lt;&gt;""),H143*I143),V143*(1-W143))</f>
        <v>0</v>
      </c>
      <c r="Z143" s="6">
        <f>IFERROR(IF(B143="","",SUMIFS(Billing_Fallout!H:H,Billing_Fallout!N:N,B143)),0)</f>
        <v>0</v>
      </c>
      <c r="AA143" s="6">
        <f t="shared" si="38"/>
        <v>0</v>
      </c>
      <c r="AB143" s="6">
        <f>IFERROR(IF(B143="","",SUMIFS(Billing_Fallout!J:J,Billing_Fallout!N:N,B143)),0)</f>
        <v>0</v>
      </c>
      <c r="AD143" s="6">
        <f t="shared" si="39"/>
        <v>0</v>
      </c>
      <c r="AF143" t="str">
        <f>IFERROR(INDEX(H_Tables!$B$1:$B$1500,MATCH(INDEX(SF_Output!$J$1:$J$400,MATCH(B143,SF_Output!$M$1:$M$400,0)),H_Tables!$A$1:$A$1500,0)),"")</f>
        <v>Exclusion</v>
      </c>
      <c r="AI143" s="119" t="str">
        <f t="shared" si="40"/>
        <v/>
      </c>
      <c r="AJ143" s="121">
        <f>IFERROR(INDEX(SF_Output!AD:AD,MATCH(_xlfn.TEXTJOIN(",",TRUE,B143:E143),SF_Output!AC1:AC400,0)),0.05)</f>
        <v>230</v>
      </c>
      <c r="AK143" t="str">
        <f>IF(SUMIFS(SF_Output!$F$1:$F$400,SF_Output!$AC$1:$AC$400,_xlfn.TEXTJOIN(",",TRUE,B143:E143))+SUMIFS(SF_Output!$G$1:$G$400,SF_Output!$AC$1:$AC$400,_xlfn.TEXTJOIN(",",TRUE,B143:E143))=0,"","PAP")</f>
        <v/>
      </c>
      <c r="AQ143" s="35"/>
      <c r="AR143" s="35" t="str" cm="1">
        <f t="array" ref="AR143">IFERROR(_xlfn.IFS(AND(E143*1=1,F143="Included"),"Change to Included",AND(E143*1=0,F143="Optional"),"Change to Optional",OR(B143="",F143="replaced"),""),"")</f>
        <v/>
      </c>
      <c r="AS143" s="35" t="str">
        <f t="shared" si="41"/>
        <v/>
      </c>
      <c r="AT143" s="35" t="str">
        <f t="shared" si="42"/>
        <v/>
      </c>
      <c r="AU143" s="35" t="str">
        <f t="shared" si="43"/>
        <v/>
      </c>
      <c r="AV143" s="35" t="str">
        <f t="shared" si="44"/>
        <v/>
      </c>
      <c r="AW143" s="35" t="str">
        <f t="shared" si="45"/>
        <v/>
      </c>
      <c r="AX143" s="35" t="str">
        <f t="shared" si="46"/>
        <v/>
      </c>
      <c r="AY143" s="35" t="str">
        <f t="shared" si="47"/>
        <v/>
      </c>
      <c r="AZ143" s="35" t="str">
        <f t="shared" si="48"/>
        <v/>
      </c>
      <c r="BA143" s="35" t="str">
        <f t="shared" si="49"/>
        <v/>
      </c>
      <c r="BB143" s="35" t="str">
        <f t="shared" si="50"/>
        <v/>
      </c>
      <c r="BC143" s="35"/>
      <c r="BE143" s="35">
        <f ca="1">INDEX(SF_Output!$AA$2:$AA$400,MATCH($B143,SF_Output!$M$2:$M$400,0))</f>
        <v>6</v>
      </c>
      <c r="BF143" s="35">
        <f ca="1">INDEX(SF_Output!$AB$2:$AB$400,MATCH($B143,SF_Output!$M$2:$M$400,0))</f>
        <v>1</v>
      </c>
    </row>
    <row r="144" spans="2:58" x14ac:dyDescent="0.25">
      <c r="B144" t="s">
        <v>2453</v>
      </c>
      <c r="C144" t="s">
        <v>2122</v>
      </c>
      <c r="D144" t="s">
        <v>2207</v>
      </c>
      <c r="E144" t="s">
        <v>2124</v>
      </c>
      <c r="F144" s="116" t="str">
        <f t="shared" si="34"/>
        <v>Included</v>
      </c>
      <c r="G144" t="str">
        <f>IF(B144="","",INDEX(SF_Output!$K$1:$K$400,MATCH(B144,SF_Output!$M$1:$M$400,0)))</f>
        <v>Card Processing Solutions (CPS)</v>
      </c>
      <c r="H144" cm="1">
        <f t="array" ref="H144">_xlfn.IFS(B144="","",(SUMIFS(SF_Output!$F$1:$F$400,SF_Output!$AC$1:$AC$400,_xlfn.TEXTJOIN(",",TRUE,B144:E144))+SUMIFS(SF_Output!$G$1:$G$400,SF_Output!$AC$1:$AC$400,_xlfn.TEXTJOIN(",",TRUE,B144:E144)))&lt;&gt;0,SF_Output!$Y$2,INDEX(SF_Output!$F$1:$F$400,MATCH(_xlfn.TEXTJOIN(",",TRUE,B144:E144),SF_Output!$AC$1:$AC$400,0))=0,INDEX(SF_Output!$R$1:$R$400,MATCH(_xlfn.TEXTJOIN(",",TRUE,B144:E144),SF_Output!$AC$1:$AC$400,0)))</f>
        <v>0</v>
      </c>
      <c r="I144" s="125" t="str">
        <f>IFERROR(IF(AND(H144&gt;1,H144&lt;&gt;""),ROUND(SUMIFS(SF_Output!$S$1:$S$400,SF_Output!$AC$1:$AC$400,_xlfn.TEXTJOIN(",",TRUE,B144:E144),SF_Output!$Q$1:$Q$400,"monthly")*(1-W144)/H144,4),""),"")</f>
        <v/>
      </c>
      <c r="J144" s="6">
        <f>IF(B144="","",SUMIFS(SF_Output!$S$1:$S$400,SF_Output!$AC$1:$AC$400,_xlfn.TEXTJOIN(",",TRUE,B144:E144),SF_Output!$Q$1:$Q$400,"One Time",SF_Output!$L$1:$L$400,"license fee")+SUMIFS(SF_Output!$S$1:$S$400,SF_Output!$AC$1:$AC$400,_xlfn.TEXTJOIN(",",TRUE,B144:E144),SF_Output!$Q$1:$Q$400,"One Time",SF_Output!$L$1:$L$400,"software license")+SUMIFS(SF_Output!$S$1:$S$400,SF_Output!$AC$1:$AC$400,_xlfn.TEXTJOIN(",",TRUE,B144:E144),SF_Output!$Q$1:$Q$400,"One Time",SF_Output!$L$1:$L$400,"hardware"))</f>
        <v>0</v>
      </c>
      <c r="K144" s="112" t="str">
        <f>IF(OR(B144=0,B144="",G144="hardware",J144=0),"",IF(AF144&lt;&gt;"exclusion",MAX(K$9,-((SUMIFS(SF_Output!$T$1:$T$400,SF_Output!$AC$1:$AC$400,_xlfn.TEXTJOIN(",",TRUE,$B144:$E144),SF_Output!$Q$1:$Q$400,"One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license"))/J144)))</f>
        <v/>
      </c>
      <c r="L144" s="6">
        <f t="shared" si="35"/>
        <v>0</v>
      </c>
      <c r="N144" s="6">
        <f>IF(B144="","",SUMIFS(SF_Output!$S$1:$S$400,SF_Output!$AC$1:$AC$400,_xlfn.TEXTJOIN(",",TRUE,B144:E144),SF_Output!$Q$1:$Q$400,"One Time",SF_Output!$L$1:$L$400,"professional service"))</f>
        <v>1500</v>
      </c>
      <c r="O144" s="112">
        <f>IF(OR(B144=0,B144="",N144=0),"",IF(AF144&lt;&gt;"exclusion",MAX(O$9,-(SUMIFS(SF_Output!$T$1:$T$400,SF_Output!$AC$1:$AC$400,_xlfn.TEXTJOIN(",",TRUE,$B144:$E144),SF_Output!$Q$1:$Q$400,"One Time",SF_Output!$L$1:$L$400,"professional service"))/N144),-((SUMIFS(SF_Output!$T$1:$T$400,SF_Output!$AC$1:$AC$400,_xlfn.TEXTJOIN(",",TRUE,$B144:$E144),SF_Output!$Q$1:$Q$400,"One Time",SF_Output!$L$1:$L$400,"professional service")/N144))))</f>
        <v>1</v>
      </c>
      <c r="P144" s="6">
        <f t="shared" si="36"/>
        <v>0</v>
      </c>
      <c r="R144" s="6">
        <f>IF(B144="","",SUMIFS(SF_Output!$S$1:$S$400,SF_Output!$AC$1:$AC$400,_xlfn.TEXTJOIN(",",TRUE,B144:E144),SF_Output!$Q$1:$Q$400,"yearly")+SUMIFS(SF_Output!$S$1:$S$400,SF_Output!$AC$1:$AC$400,_xlfn.TEXTJOIN(",",TRUE,B144:E144),SF_Output!$Q$1:$Q$400,"quarterly")*4)</f>
        <v>0</v>
      </c>
      <c r="S144" s="112" t="str">
        <f>IF(OR(B144=0,B144="",G144="hardware",R144=0),"",IF(AF144&lt;&gt;"exclusion",MAX(S$9,-(SUMIFS(SF_Output!$T$1:$T$400,SF_Output!$AC$1:$AC$400,_xlfn.TEXTJOIN(",",TRUE,$B144:$E144),SF_Output!$Q$1:$Q$400,"yearly"))/R144),-((SUMIFS(SF_Output!$T$1:$T$400,SF_Output!$AC$1:$AC$400,_xlfn.TEXTJOIN(",",TRUE,$B144:$E144),SF_Output!$Q$1:$Q$400,"yearly")/R144))))</f>
        <v/>
      </c>
      <c r="T144" s="6">
        <f t="shared" si="37"/>
        <v>0</v>
      </c>
      <c r="V144" s="6" cm="1">
        <f t="array" ref="V144">_xlfn.IFS(B144="","",AND(B144&lt;&gt;"",H144=SF_Output!$Y$2,SUMIFS(SF_Output!$T$1:$T$400,SF_Output!$AC$1:$AC$400,_xlfn.TEXTJOIN(",",TRUE,B144:E144),SF_Output!$Q$1:$Q$400,"monthly")=0),(SUMIFS(SF_Output!$F$1:$F$400,SF_Output!$AC$1:$AC$400,_xlfn.TEXTJOIN(",",TRUE,B144:E144),SF_Output!$Q$1:$Q$400,"monthly")+SUMIFS(SF_Output!$G$1:$G$400,SF_Output!$AC$1:$AC$400,_xlfn.TEXTJOIN(",",TRUE,B144:E144),SF_Output!$Q$1:$Q$400,"monthly"))*H144,AND(B144&lt;&gt;"",H144=SF_Output!$Y$2,SUMIFS(SF_Output!$T$1:$T$400,SF_Output!$AC$1:$AC$400,_xlfn.TEXTJOIN(",",TRUE,B144:E144),SF_Output!$Q$1:$Q$400,"monthly")&lt;&gt;0),SUMIFS(SF_Output!$S$1:$S$400,SF_Output!$AC$1:$AC$400,_xlfn.TEXTJOIN(",",TRUE,B144:E144),SF_Output!$Q$1:$Q$400,"monthly"),AND(B144&lt;&gt;"",H144&lt;&gt;SF_Output!$Y$2),SUMIFS(SF_Output!$S$1:$S$400,SF_Output!$AC$1:$AC$400,_xlfn.TEXTJOIN(",",TRUE,B144:E144),SF_Output!$Q$1:$Q$400,"monthly"))</f>
        <v>250</v>
      </c>
      <c r="W144" s="112" cm="1">
        <f t="array" ref="W144">_xlfn.IFS(OR(B144=0,B144="",V144=0),"",AF144&lt;&gt;"exclusion",MAX($W$9,$W$7,(-(SUMIFS(SF_Output!$T$1:$T$400,SF_Output!$AC$1:$AC$400,_xlfn.TEXTJOIN(",",TRUE,$B144:$E144),SF_Output!$Q$1:$Q$400,"monthly"))/V144)),AF144="exclusion",-(SUMIFS(SF_Output!$T$1:$T$400,SF_Output!$AC$1:$AC$400,_xlfn.TEXTJOIN(",",TRUE,$B144:$E144),SF_Output!$Q$1:$Q$400,"monthly"))/V144)</f>
        <v>0</v>
      </c>
      <c r="X144" s="6" cm="1">
        <f t="array" ref="X144">IFERROR(_xlfn.IFS(V144=0,0,V144="","",W144=0,V144,OR(V144&lt;&gt;0,V144&lt;&gt;""),H144*I144),V144*(1-W144))</f>
        <v>250</v>
      </c>
      <c r="Z144" s="6">
        <f>IFERROR(IF(B144="","",SUMIFS(Billing_Fallout!H:H,Billing_Fallout!N:N,B144)),0)</f>
        <v>0</v>
      </c>
      <c r="AA144" s="6">
        <f t="shared" si="38"/>
        <v>0</v>
      </c>
      <c r="AB144" s="6">
        <f>IFERROR(IF(B144="","",SUMIFS(Billing_Fallout!J:J,Billing_Fallout!N:N,B144)),0)</f>
        <v>0</v>
      </c>
      <c r="AD144" s="6">
        <f t="shared" si="39"/>
        <v>250</v>
      </c>
      <c r="AF144" t="str">
        <f>IFERROR(INDEX(H_Tables!$B$1:$B$1500,MATCH(INDEX(SF_Output!$J$1:$J$400,MATCH(B144,SF_Output!$M$1:$M$400,0)),H_Tables!$A$1:$A$1500,0)),"")</f>
        <v>Exclusion</v>
      </c>
      <c r="AI144" s="119" t="str">
        <f t="shared" si="40"/>
        <v/>
      </c>
      <c r="AJ144" s="121">
        <f>IFERROR(INDEX(SF_Output!AD:AD,MATCH(_xlfn.TEXTJOIN(",",TRUE,B144:E144),SF_Output!AC1:AC400,0)),0.05)</f>
        <v>231</v>
      </c>
      <c r="AK144" t="str">
        <f>IF(SUMIFS(SF_Output!$F$1:$F$400,SF_Output!$AC$1:$AC$400,_xlfn.TEXTJOIN(",",TRUE,B144:E144))+SUMIFS(SF_Output!$G$1:$G$400,SF_Output!$AC$1:$AC$400,_xlfn.TEXTJOIN(",",TRUE,B144:E144))=0,"","PAP")</f>
        <v/>
      </c>
      <c r="AQ144" s="35"/>
      <c r="AR144" s="35" t="str" cm="1">
        <f t="array" ref="AR144">IFERROR(_xlfn.IFS(AND(E144*1=1,F144="Included"),"Change to Included",AND(E144*1=0,F144="Optional"),"Change to Optional",OR(B144="",F144="replaced"),""),"")</f>
        <v/>
      </c>
      <c r="AS144" s="35" t="str">
        <f t="shared" si="41"/>
        <v/>
      </c>
      <c r="AT144" s="35" t="str">
        <f t="shared" si="42"/>
        <v/>
      </c>
      <c r="AU144" s="35" t="str">
        <f t="shared" si="43"/>
        <v/>
      </c>
      <c r="AV144" s="35" t="str">
        <f t="shared" si="44"/>
        <v/>
      </c>
      <c r="AW144" s="35" t="str">
        <f t="shared" si="45"/>
        <v/>
      </c>
      <c r="AX144" s="35" t="str">
        <f t="shared" si="46"/>
        <v/>
      </c>
      <c r="AY144" s="35" t="str">
        <f t="shared" si="47"/>
        <v/>
      </c>
      <c r="AZ144" s="35" t="str">
        <f t="shared" si="48"/>
        <v/>
      </c>
      <c r="BA144" s="35" t="str">
        <f t="shared" si="49"/>
        <v/>
      </c>
      <c r="BB144" s="35" t="str">
        <f t="shared" si="50"/>
        <v/>
      </c>
      <c r="BC144" s="35"/>
      <c r="BE144" s="35">
        <f ca="1">INDEX(SF_Output!$AA$2:$AA$400,MATCH($B144,SF_Output!$M$2:$M$400,0))</f>
        <v>6</v>
      </c>
      <c r="BF144" s="35">
        <f ca="1">INDEX(SF_Output!$AB$2:$AB$400,MATCH($B144,SF_Output!$M$2:$M$400,0))</f>
        <v>1</v>
      </c>
    </row>
    <row r="145" spans="2:58" x14ac:dyDescent="0.25">
      <c r="B145" t="s">
        <v>2457</v>
      </c>
      <c r="C145" t="s">
        <v>2122</v>
      </c>
      <c r="D145" t="s">
        <v>2123</v>
      </c>
      <c r="E145" t="s">
        <v>2124</v>
      </c>
      <c r="F145" s="116" t="str">
        <f t="shared" si="34"/>
        <v>Included</v>
      </c>
      <c r="G145" t="str">
        <f>IF(B145="","",INDEX(SF_Output!$K$1:$K$400,MATCH(B145,SF_Output!$M$1:$M$400,0)))</f>
        <v>Payrailz</v>
      </c>
      <c r="H145" cm="1">
        <f t="array" ref="H145">_xlfn.IFS(B145="","",(SUMIFS(SF_Output!$F$1:$F$400,SF_Output!$AC$1:$AC$400,_xlfn.TEXTJOIN(",",TRUE,B145:E145))+SUMIFS(SF_Output!$G$1:$G$400,SF_Output!$AC$1:$AC$400,_xlfn.TEXTJOIN(",",TRUE,B145:E145)))&lt;&gt;0,SF_Output!$Y$2,INDEX(SF_Output!$F$1:$F$400,MATCH(_xlfn.TEXTJOIN(",",TRUE,B145:E145),SF_Output!$AC$1:$AC$400,0))=0,INDEX(SF_Output!$R$1:$R$400,MATCH(_xlfn.TEXTJOIN(",",TRUE,B145:E145),SF_Output!$AC$1:$AC$400,0)))</f>
        <v>1</v>
      </c>
      <c r="I145" s="125" t="str">
        <f>IFERROR(IF(AND(H145&gt;1,H145&lt;&gt;""),ROUND(SUMIFS(SF_Output!$S$1:$S$400,SF_Output!$AC$1:$AC$400,_xlfn.TEXTJOIN(",",TRUE,B145:E145),SF_Output!$Q$1:$Q$400,"monthly")*(1-W145)/H145,4),""),"")</f>
        <v/>
      </c>
      <c r="J145" s="6">
        <f>IF(B145="","",SUMIFS(SF_Output!$S$1:$S$400,SF_Output!$AC$1:$AC$400,_xlfn.TEXTJOIN(",",TRUE,B145:E145),SF_Output!$Q$1:$Q$400,"One Time",SF_Output!$L$1:$L$400,"license fee")+SUMIFS(SF_Output!$S$1:$S$400,SF_Output!$AC$1:$AC$400,_xlfn.TEXTJOIN(",",TRUE,B145:E145),SF_Output!$Q$1:$Q$400,"One Time",SF_Output!$L$1:$L$400,"software license")+SUMIFS(SF_Output!$S$1:$S$400,SF_Output!$AC$1:$AC$400,_xlfn.TEXTJOIN(",",TRUE,B145:E145),SF_Output!$Q$1:$Q$400,"One Time",SF_Output!$L$1:$L$400,"hardware"))</f>
        <v>0</v>
      </c>
      <c r="K145" s="112" t="str">
        <f>IF(OR(B145=0,B145="",G145="hardware",J145=0),"",IF(AF145&lt;&gt;"exclusion",MAX(K$9,-((SUMIFS(SF_Output!$T$1:$T$400,SF_Output!$AC$1:$AC$400,_xlfn.TEXTJOIN(",",TRUE,$B145:$E145),SF_Output!$Q$1:$Q$400,"One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license"))/J145)))</f>
        <v/>
      </c>
      <c r="L145" s="6">
        <f t="shared" si="35"/>
        <v>0</v>
      </c>
      <c r="N145" s="6">
        <f>IF(B145="","",SUMIFS(SF_Output!$S$1:$S$400,SF_Output!$AC$1:$AC$400,_xlfn.TEXTJOIN(",",TRUE,B145:E145),SF_Output!$Q$1:$Q$400,"One Time",SF_Output!$L$1:$L$400,"professional service"))</f>
        <v>5000</v>
      </c>
      <c r="O145" s="112">
        <f>IF(OR(B145=0,B145="",N145=0),"",IF(AF145&lt;&gt;"exclusion",MAX(O$9,-(SUMIFS(SF_Output!$T$1:$T$400,SF_Output!$AC$1:$AC$400,_xlfn.TEXTJOIN(",",TRUE,$B145:$E145),SF_Output!$Q$1:$Q$400,"One Time",SF_Output!$L$1:$L$400,"professional service"))/N145),-((SUMIFS(SF_Output!$T$1:$T$400,SF_Output!$AC$1:$AC$400,_xlfn.TEXTJOIN(",",TRUE,$B145:$E145),SF_Output!$Q$1:$Q$400,"One Time",SF_Output!$L$1:$L$400,"professional service")/N145))))</f>
        <v>1</v>
      </c>
      <c r="P145" s="6">
        <f t="shared" si="36"/>
        <v>0</v>
      </c>
      <c r="R145" s="6">
        <f>IF(B145="","",SUMIFS(SF_Output!$S$1:$S$400,SF_Output!$AC$1:$AC$400,_xlfn.TEXTJOIN(",",TRUE,B145:E145),SF_Output!$Q$1:$Q$400,"yearly")+SUMIFS(SF_Output!$S$1:$S$400,SF_Output!$AC$1:$AC$400,_xlfn.TEXTJOIN(",",TRUE,B145:E145),SF_Output!$Q$1:$Q$400,"quarterly")*4)</f>
        <v>0</v>
      </c>
      <c r="S145" s="112" t="str">
        <f>IF(OR(B145=0,B145="",G145="hardware",R145=0),"",IF(AF145&lt;&gt;"exclusion",MAX(S$9,-(SUMIFS(SF_Output!$T$1:$T$400,SF_Output!$AC$1:$AC$400,_xlfn.TEXTJOIN(",",TRUE,$B145:$E145),SF_Output!$Q$1:$Q$400,"yearly"))/R145),-((SUMIFS(SF_Output!$T$1:$T$400,SF_Output!$AC$1:$AC$400,_xlfn.TEXTJOIN(",",TRUE,$B145:$E145),SF_Output!$Q$1:$Q$400,"yearly")/R145))))</f>
        <v/>
      </c>
      <c r="T145" s="6">
        <f t="shared" si="37"/>
        <v>0</v>
      </c>
      <c r="V145" s="6" cm="1">
        <f t="array" ref="V145">_xlfn.IFS(B145="","",AND(B145&lt;&gt;"",H145=SF_Output!$Y$2,SUMIFS(SF_Output!$T$1:$T$400,SF_Output!$AC$1:$AC$400,_xlfn.TEXTJOIN(",",TRUE,B145:E145),SF_Output!$Q$1:$Q$400,"monthly")=0),(SUMIFS(SF_Output!$F$1:$F$400,SF_Output!$AC$1:$AC$400,_xlfn.TEXTJOIN(",",TRUE,B145:E145),SF_Output!$Q$1:$Q$400,"monthly")+SUMIFS(SF_Output!$G$1:$G$400,SF_Output!$AC$1:$AC$400,_xlfn.TEXTJOIN(",",TRUE,B145:E145),SF_Output!$Q$1:$Q$400,"monthly"))*H145,AND(B145&lt;&gt;"",H145=SF_Output!$Y$2,SUMIFS(SF_Output!$T$1:$T$400,SF_Output!$AC$1:$AC$400,_xlfn.TEXTJOIN(",",TRUE,B145:E145),SF_Output!$Q$1:$Q$400,"monthly")&lt;&gt;0),SUMIFS(SF_Output!$S$1:$S$400,SF_Output!$AC$1:$AC$400,_xlfn.TEXTJOIN(",",TRUE,B145:E145),SF_Output!$Q$1:$Q$400,"monthly"),AND(B145&lt;&gt;"",H145&lt;&gt;SF_Output!$Y$2),SUMIFS(SF_Output!$S$1:$S$400,SF_Output!$AC$1:$AC$400,_xlfn.TEXTJOIN(",",TRUE,B145:E145),SF_Output!$Q$1:$Q$400,"monthly"))</f>
        <v>350</v>
      </c>
      <c r="W145" s="112" cm="1">
        <f t="array" ref="W145">_xlfn.IFS(OR(B145=0,B145="",V145=0),"",AF145&lt;&gt;"exclusion",MAX($W$9,$W$7,(-(SUMIFS(SF_Output!$T$1:$T$400,SF_Output!$AC$1:$AC$400,_xlfn.TEXTJOIN(",",TRUE,$B145:$E145),SF_Output!$Q$1:$Q$400,"monthly"))/V145)),AF145="exclusion",-(SUMIFS(SF_Output!$T$1:$T$400,SF_Output!$AC$1:$AC$400,_xlfn.TEXTJOIN(",",TRUE,$B145:$E145),SF_Output!$Q$1:$Q$400,"monthly"))/V145)</f>
        <v>0</v>
      </c>
      <c r="X145" s="6" cm="1">
        <f t="array" ref="X145">IFERROR(_xlfn.IFS(V145=0,0,V145="","",W145=0,V145,OR(V145&lt;&gt;0,V145&lt;&gt;""),H145*I145),V145*(1-W145))</f>
        <v>350</v>
      </c>
      <c r="Z145" s="6">
        <f>IFERROR(IF(B145="","",SUMIFS(Billing_Fallout!H:H,Billing_Fallout!N:N,B145)),0)</f>
        <v>0</v>
      </c>
      <c r="AA145" s="6">
        <f t="shared" si="38"/>
        <v>0</v>
      </c>
      <c r="AB145" s="6">
        <f>IFERROR(IF(B145="","",SUMIFS(Billing_Fallout!J:J,Billing_Fallout!N:N,B145)),0)</f>
        <v>0</v>
      </c>
      <c r="AD145" s="6">
        <f t="shared" si="39"/>
        <v>350</v>
      </c>
      <c r="AF145" t="str">
        <f>IFERROR(INDEX(H_Tables!$B$1:$B$1500,MATCH(INDEX(SF_Output!$J$1:$J$400,MATCH(B145,SF_Output!$M$1:$M$400,0)),H_Tables!$A$1:$A$1500,0)),"")</f>
        <v/>
      </c>
      <c r="AI145" s="119" t="str">
        <f t="shared" si="40"/>
        <v/>
      </c>
      <c r="AJ145" s="121">
        <f>IFERROR(INDEX(SF_Output!AD:AD,MATCH(_xlfn.TEXTJOIN(",",TRUE,B145:E145),SF_Output!AC1:AC400,0)),0.05)</f>
        <v>233</v>
      </c>
      <c r="AK145" t="str">
        <f>IF(SUMIFS(SF_Output!$F$1:$F$400,SF_Output!$AC$1:$AC$400,_xlfn.TEXTJOIN(",",TRUE,B145:E145))+SUMIFS(SF_Output!$G$1:$G$400,SF_Output!$AC$1:$AC$400,_xlfn.TEXTJOIN(",",TRUE,B145:E145))=0,"","PAP")</f>
        <v/>
      </c>
      <c r="AQ145" s="35"/>
      <c r="AR145" s="35" t="str" cm="1">
        <f t="array" ref="AR145">IFERROR(_xlfn.IFS(AND(E145*1=1,F145="Included"),"Change to Included",AND(E145*1=0,F145="Optional"),"Change to Optional",OR(B145="",F145="replaced"),""),"")</f>
        <v/>
      </c>
      <c r="AS145" s="35" t="str">
        <f t="shared" si="41"/>
        <v/>
      </c>
      <c r="AT145" s="35" t="str">
        <f t="shared" si="42"/>
        <v/>
      </c>
      <c r="AU145" s="35" t="str">
        <f t="shared" si="43"/>
        <v/>
      </c>
      <c r="AV145" s="35" t="str">
        <f t="shared" si="44"/>
        <v/>
      </c>
      <c r="AW145" s="35" t="str">
        <f t="shared" si="45"/>
        <v/>
      </c>
      <c r="AX145" s="35" t="str">
        <f t="shared" si="46"/>
        <v/>
      </c>
      <c r="AY145" s="35" t="str">
        <f t="shared" si="47"/>
        <v/>
      </c>
      <c r="AZ145" s="35" t="str">
        <f t="shared" si="48"/>
        <v/>
      </c>
      <c r="BA145" s="35" t="str">
        <f t="shared" si="49"/>
        <v/>
      </c>
      <c r="BB145" s="35" t="str">
        <f t="shared" si="50"/>
        <v/>
      </c>
      <c r="BC145" s="35"/>
      <c r="BE145" s="35">
        <f ca="1">INDEX(SF_Output!$AA$2:$AA$400,MATCH($B145,SF_Output!$M$2:$M$400,0))</f>
        <v>6</v>
      </c>
      <c r="BF145" s="35" t="str">
        <f ca="1">INDEX(SF_Output!$AB$2:$AB$400,MATCH($B145,SF_Output!$M$2:$M$400,0))</f>
        <v/>
      </c>
    </row>
    <row r="146" spans="2:58" x14ac:dyDescent="0.25">
      <c r="B146" t="s">
        <v>2461</v>
      </c>
      <c r="C146" t="s">
        <v>2122</v>
      </c>
      <c r="D146" t="s">
        <v>2123</v>
      </c>
      <c r="E146" t="s">
        <v>2124</v>
      </c>
      <c r="F146" s="116" t="str">
        <f t="shared" si="34"/>
        <v>Included</v>
      </c>
      <c r="G146" t="str">
        <f>IF(B146="","",INDEX(SF_Output!$K$1:$K$400,MATCH(B146,SF_Output!$M$1:$M$400,0)))</f>
        <v>Payrailz</v>
      </c>
      <c r="H146" cm="1">
        <f t="array" ref="H146">_xlfn.IFS(B146="","",(SUMIFS(SF_Output!$F$1:$F$400,SF_Output!$AC$1:$AC$400,_xlfn.TEXTJOIN(",",TRUE,B146:E146))+SUMIFS(SF_Output!$G$1:$G$400,SF_Output!$AC$1:$AC$400,_xlfn.TEXTJOIN(",",TRUE,B146:E146)))&lt;&gt;0,SF_Output!$Y$2,INDEX(SF_Output!$F$1:$F$400,MATCH(_xlfn.TEXTJOIN(",",TRUE,B146:E146),SF_Output!$AC$1:$AC$400,0))=0,INDEX(SF_Output!$R$1:$R$400,MATCH(_xlfn.TEXTJOIN(",",TRUE,B146:E146),SF_Output!$AC$1:$AC$400,0)))</f>
        <v>500</v>
      </c>
      <c r="I146" s="125">
        <f>IFERROR(IF(AND(H146&gt;1,H146&lt;&gt;""),ROUND(SUMIFS(SF_Output!$S$1:$S$400,SF_Output!$AC$1:$AC$400,_xlfn.TEXTJOIN(",",TRUE,B146:E146),SF_Output!$Q$1:$Q$400,"monthly")*(1-W146)/H146,4),""),"")</f>
        <v>0.62</v>
      </c>
      <c r="J146" s="6">
        <f>IF(B146="","",SUMIFS(SF_Output!$S$1:$S$400,SF_Output!$AC$1:$AC$400,_xlfn.TEXTJOIN(",",TRUE,B146:E146),SF_Output!$Q$1:$Q$400,"One Time",SF_Output!$L$1:$L$400,"license fee")+SUMIFS(SF_Output!$S$1:$S$400,SF_Output!$AC$1:$AC$400,_xlfn.TEXTJOIN(",",TRUE,B146:E146),SF_Output!$Q$1:$Q$400,"One Time",SF_Output!$L$1:$L$400,"software license")+SUMIFS(SF_Output!$S$1:$S$400,SF_Output!$AC$1:$AC$400,_xlfn.TEXTJOIN(",",TRUE,B146:E146),SF_Output!$Q$1:$Q$400,"One Time",SF_Output!$L$1:$L$400,"hardware"))</f>
        <v>0</v>
      </c>
      <c r="K146" s="112" t="str">
        <f>IF(OR(B146=0,B146="",G146="hardware",J146=0),"",IF(AF146&lt;&gt;"exclusion",MAX(K$9,-((SUMIFS(SF_Output!$T$1:$T$400,SF_Output!$AC$1:$AC$400,_xlfn.TEXTJOIN(",",TRUE,$B146:$E146),SF_Output!$Q$1:$Q$400,"One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license"))/J146)))</f>
        <v/>
      </c>
      <c r="L146" s="6">
        <f t="shared" si="35"/>
        <v>0</v>
      </c>
      <c r="N146" s="6">
        <f>IF(B146="","",SUMIFS(SF_Output!$S$1:$S$400,SF_Output!$AC$1:$AC$400,_xlfn.TEXTJOIN(",",TRUE,B146:E146),SF_Output!$Q$1:$Q$400,"One Time",SF_Output!$L$1:$L$400,"professional service"))</f>
        <v>0</v>
      </c>
      <c r="O146" s="112" t="str">
        <f>IF(OR(B146=0,B146="",N146=0),"",IF(AF146&lt;&gt;"exclusion",MAX(O$9,-(SUMIFS(SF_Output!$T$1:$T$400,SF_Output!$AC$1:$AC$400,_xlfn.TEXTJOIN(",",TRUE,$B146:$E146),SF_Output!$Q$1:$Q$400,"One Time",SF_Output!$L$1:$L$400,"professional service"))/N146),-((SUMIFS(SF_Output!$T$1:$T$400,SF_Output!$AC$1:$AC$400,_xlfn.TEXTJOIN(",",TRUE,$B146:$E146),SF_Output!$Q$1:$Q$400,"One Time",SF_Output!$L$1:$L$400,"professional service")/N146))))</f>
        <v/>
      </c>
      <c r="P146" s="6">
        <f t="shared" si="36"/>
        <v>0</v>
      </c>
      <c r="R146" s="6">
        <f>IF(B146="","",SUMIFS(SF_Output!$S$1:$S$400,SF_Output!$AC$1:$AC$400,_xlfn.TEXTJOIN(",",TRUE,B146:E146),SF_Output!$Q$1:$Q$400,"yearly")+SUMIFS(SF_Output!$S$1:$S$400,SF_Output!$AC$1:$AC$400,_xlfn.TEXTJOIN(",",TRUE,B146:E146),SF_Output!$Q$1:$Q$400,"quarterly")*4)</f>
        <v>0</v>
      </c>
      <c r="S146" s="112" t="str">
        <f>IF(OR(B146=0,B146="",G146="hardware",R146=0),"",IF(AF146&lt;&gt;"exclusion",MAX(S$9,-(SUMIFS(SF_Output!$T$1:$T$400,SF_Output!$AC$1:$AC$400,_xlfn.TEXTJOIN(",",TRUE,$B146:$E146),SF_Output!$Q$1:$Q$400,"yearly"))/R146),-((SUMIFS(SF_Output!$T$1:$T$400,SF_Output!$AC$1:$AC$400,_xlfn.TEXTJOIN(",",TRUE,$B146:$E146),SF_Output!$Q$1:$Q$400,"yearly")/R146))))</f>
        <v/>
      </c>
      <c r="T146" s="6">
        <f t="shared" si="37"/>
        <v>0</v>
      </c>
      <c r="V146" s="6" cm="1">
        <f t="array" ref="V146">_xlfn.IFS(B146="","",AND(B146&lt;&gt;"",H146=SF_Output!$Y$2,SUMIFS(SF_Output!$T$1:$T$400,SF_Output!$AC$1:$AC$400,_xlfn.TEXTJOIN(",",TRUE,B146:E146),SF_Output!$Q$1:$Q$400,"monthly")=0),(SUMIFS(SF_Output!$F$1:$F$400,SF_Output!$AC$1:$AC$400,_xlfn.TEXTJOIN(",",TRUE,B146:E146),SF_Output!$Q$1:$Q$400,"monthly")+SUMIFS(SF_Output!$G$1:$G$400,SF_Output!$AC$1:$AC$400,_xlfn.TEXTJOIN(",",TRUE,B146:E146),SF_Output!$Q$1:$Q$400,"monthly"))*H146,AND(B146&lt;&gt;"",H146=SF_Output!$Y$2,SUMIFS(SF_Output!$T$1:$T$400,SF_Output!$AC$1:$AC$400,_xlfn.TEXTJOIN(",",TRUE,B146:E146),SF_Output!$Q$1:$Q$400,"monthly")&lt;&gt;0),SUMIFS(SF_Output!$S$1:$S$400,SF_Output!$AC$1:$AC$400,_xlfn.TEXTJOIN(",",TRUE,B146:E146),SF_Output!$Q$1:$Q$400,"monthly"),AND(B146&lt;&gt;"",H146&lt;&gt;SF_Output!$Y$2),SUMIFS(SF_Output!$S$1:$S$400,SF_Output!$AC$1:$AC$400,_xlfn.TEXTJOIN(",",TRUE,B146:E146),SF_Output!$Q$1:$Q$400,"monthly"))</f>
        <v>310</v>
      </c>
      <c r="W146" s="112" cm="1">
        <f t="array" ref="W146">_xlfn.IFS(OR(B146=0,B146="",V146=0),"",AF146&lt;&gt;"exclusion",MAX($W$9,$W$7,(-(SUMIFS(SF_Output!$T$1:$T$400,SF_Output!$AC$1:$AC$400,_xlfn.TEXTJOIN(",",TRUE,$B146:$E146),SF_Output!$Q$1:$Q$400,"monthly"))/V146)),AF146="exclusion",-(SUMIFS(SF_Output!$T$1:$T$400,SF_Output!$AC$1:$AC$400,_xlfn.TEXTJOIN(",",TRUE,$B146:$E146),SF_Output!$Q$1:$Q$400,"monthly"))/V146)</f>
        <v>0</v>
      </c>
      <c r="X146" s="6" cm="1">
        <f t="array" ref="X146">IFERROR(_xlfn.IFS(V146=0,0,V146="","",W146=0,V146,OR(V146&lt;&gt;0,V146&lt;&gt;""),H146*I146),V146*(1-W146))</f>
        <v>310</v>
      </c>
      <c r="Z146" s="6">
        <f>IFERROR(IF(B146="","",SUMIFS(Billing_Fallout!H:H,Billing_Fallout!N:N,B146)),0)</f>
        <v>0</v>
      </c>
      <c r="AA146" s="6">
        <f t="shared" si="38"/>
        <v>0</v>
      </c>
      <c r="AB146" s="6">
        <f>IFERROR(IF(B146="","",SUMIFS(Billing_Fallout!J:J,Billing_Fallout!N:N,B146)),0)</f>
        <v>0</v>
      </c>
      <c r="AD146" s="6">
        <f t="shared" si="39"/>
        <v>310</v>
      </c>
      <c r="AF146" t="str">
        <f>IFERROR(INDEX(H_Tables!$B$1:$B$1500,MATCH(INDEX(SF_Output!$J$1:$J$400,MATCH(B146,SF_Output!$M$1:$M$400,0)),H_Tables!$A$1:$A$1500,0)),"")</f>
        <v/>
      </c>
      <c r="AI146" s="119" t="str">
        <f t="shared" si="40"/>
        <v/>
      </c>
      <c r="AJ146" s="121">
        <f>IFERROR(INDEX(SF_Output!AD:AD,MATCH(_xlfn.TEXTJOIN(",",TRUE,B146:E146),SF_Output!AC1:AC400,0)),0.05)</f>
        <v>235</v>
      </c>
      <c r="AK146" t="str">
        <f>IF(SUMIFS(SF_Output!$F$1:$F$400,SF_Output!$AC$1:$AC$400,_xlfn.TEXTJOIN(",",TRUE,B146:E146))+SUMIFS(SF_Output!$G$1:$G$400,SF_Output!$AC$1:$AC$400,_xlfn.TEXTJOIN(",",TRUE,B146:E146))=0,"","PAP")</f>
        <v/>
      </c>
      <c r="AQ146" s="35"/>
      <c r="AR146" s="35" t="str" cm="1">
        <f t="array" ref="AR146">IFERROR(_xlfn.IFS(AND(E146*1=1,F146="Included"),"Change to Included",AND(E146*1=0,F146="Optional"),"Change to Optional",OR(B146="",F146="replaced"),""),"")</f>
        <v/>
      </c>
      <c r="AS146" s="35" t="str">
        <f t="shared" si="41"/>
        <v/>
      </c>
      <c r="AT146" s="35" t="str">
        <f t="shared" si="42"/>
        <v/>
      </c>
      <c r="AU146" s="35" t="str">
        <f t="shared" si="43"/>
        <v/>
      </c>
      <c r="AV146" s="35" t="str">
        <f t="shared" si="44"/>
        <v/>
      </c>
      <c r="AW146" s="35" t="str">
        <f t="shared" si="45"/>
        <v/>
      </c>
      <c r="AX146" s="35" t="str">
        <f t="shared" si="46"/>
        <v/>
      </c>
      <c r="AY146" s="35" t="str">
        <f t="shared" si="47"/>
        <v/>
      </c>
      <c r="AZ146" s="35" t="str">
        <f t="shared" si="48"/>
        <v/>
      </c>
      <c r="BA146" s="35" t="str">
        <f t="shared" si="49"/>
        <v/>
      </c>
      <c r="BB146" s="35" t="str">
        <f t="shared" si="50"/>
        <v/>
      </c>
      <c r="BC146" s="35"/>
      <c r="BE146" s="35">
        <f ca="1">INDEX(SF_Output!$AA$2:$AA$400,MATCH($B146,SF_Output!$M$2:$M$400,0))</f>
        <v>6</v>
      </c>
      <c r="BF146" s="35" t="str">
        <f ca="1">INDEX(SF_Output!$AB$2:$AB$400,MATCH($B146,SF_Output!$M$2:$M$400,0))</f>
        <v/>
      </c>
    </row>
    <row r="147" spans="2:58" x14ac:dyDescent="0.25">
      <c r="B147" t="s">
        <v>2465</v>
      </c>
      <c r="C147" t="s">
        <v>2122</v>
      </c>
      <c r="D147" t="s">
        <v>2123</v>
      </c>
      <c r="E147" t="s">
        <v>2124</v>
      </c>
      <c r="F147" s="116" t="str">
        <f t="shared" si="34"/>
        <v>Included</v>
      </c>
      <c r="G147" t="str">
        <f>IF(B147="","",INDEX(SF_Output!$K$1:$K$400,MATCH(B147,SF_Output!$M$1:$M$400,0)))</f>
        <v>Payrailz</v>
      </c>
      <c r="H147" cm="1">
        <f t="array" ref="H147">_xlfn.IFS(B147="","",(SUMIFS(SF_Output!$F$1:$F$400,SF_Output!$AC$1:$AC$400,_xlfn.TEXTJOIN(",",TRUE,B147:E147))+SUMIFS(SF_Output!$G$1:$G$400,SF_Output!$AC$1:$AC$400,_xlfn.TEXTJOIN(",",TRUE,B147:E147)))&lt;&gt;0,SF_Output!$Y$2,INDEX(SF_Output!$F$1:$F$400,MATCH(_xlfn.TEXTJOIN(",",TRUE,B147:E147),SF_Output!$AC$1:$AC$400,0))=0,INDEX(SF_Output!$R$1:$R$400,MATCH(_xlfn.TEXTJOIN(",",TRUE,B147:E147),SF_Output!$AC$1:$AC$400,0)))</f>
        <v>1</v>
      </c>
      <c r="I147" s="125" t="str">
        <f>IFERROR(IF(AND(H147&gt;1,H147&lt;&gt;""),ROUND(SUMIFS(SF_Output!$S$1:$S$400,SF_Output!$AC$1:$AC$400,_xlfn.TEXTJOIN(",",TRUE,B147:E147),SF_Output!$Q$1:$Q$400,"monthly")*(1-W147)/H147,4),""),"")</f>
        <v/>
      </c>
      <c r="J147" s="6">
        <f>IF(B147="","",SUMIFS(SF_Output!$S$1:$S$400,SF_Output!$AC$1:$AC$400,_xlfn.TEXTJOIN(",",TRUE,B147:E147),SF_Output!$Q$1:$Q$400,"One Time",SF_Output!$L$1:$L$400,"license fee")+SUMIFS(SF_Output!$S$1:$S$400,SF_Output!$AC$1:$AC$400,_xlfn.TEXTJOIN(",",TRUE,B147:E147),SF_Output!$Q$1:$Q$400,"One Time",SF_Output!$L$1:$L$400,"software license")+SUMIFS(SF_Output!$S$1:$S$400,SF_Output!$AC$1:$AC$400,_xlfn.TEXTJOIN(",",TRUE,B147:E147),SF_Output!$Q$1:$Q$400,"One Time",SF_Output!$L$1:$L$400,"hardware"))</f>
        <v>0</v>
      </c>
      <c r="K147" s="112" t="str">
        <f>IF(OR(B147=0,B147="",G147="hardware",J147=0),"",IF(AF147&lt;&gt;"exclusion",MAX(K$9,-((SUMIFS(SF_Output!$T$1:$T$400,SF_Output!$AC$1:$AC$400,_xlfn.TEXTJOIN(",",TRUE,$B147:$E147),SF_Output!$Q$1:$Q$400,"One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license"))/J147)))</f>
        <v/>
      </c>
      <c r="L147" s="6">
        <f t="shared" si="35"/>
        <v>0</v>
      </c>
      <c r="N147" s="6">
        <f>IF(B147="","",SUMIFS(SF_Output!$S$1:$S$400,SF_Output!$AC$1:$AC$400,_xlfn.TEXTJOIN(",",TRUE,B147:E147),SF_Output!$Q$1:$Q$400,"One Time",SF_Output!$L$1:$L$400,"professional service"))</f>
        <v>3000</v>
      </c>
      <c r="O147" s="112">
        <f>IF(OR(B147=0,B147="",N147=0),"",IF(AF147&lt;&gt;"exclusion",MAX(O$9,-(SUMIFS(SF_Output!$T$1:$T$400,SF_Output!$AC$1:$AC$400,_xlfn.TEXTJOIN(",",TRUE,$B147:$E147),SF_Output!$Q$1:$Q$400,"One Time",SF_Output!$L$1:$L$400,"professional service"))/N147),-((SUMIFS(SF_Output!$T$1:$T$400,SF_Output!$AC$1:$AC$400,_xlfn.TEXTJOIN(",",TRUE,$B147:$E147),SF_Output!$Q$1:$Q$400,"One Time",SF_Output!$L$1:$L$400,"professional service")/N147))))</f>
        <v>1</v>
      </c>
      <c r="P147" s="6">
        <f t="shared" si="36"/>
        <v>0</v>
      </c>
      <c r="R147" s="6">
        <f>IF(B147="","",SUMIFS(SF_Output!$S$1:$S$400,SF_Output!$AC$1:$AC$400,_xlfn.TEXTJOIN(",",TRUE,B147:E147),SF_Output!$Q$1:$Q$400,"yearly")+SUMIFS(SF_Output!$S$1:$S$400,SF_Output!$AC$1:$AC$400,_xlfn.TEXTJOIN(",",TRUE,B147:E147),SF_Output!$Q$1:$Q$400,"quarterly")*4)</f>
        <v>0</v>
      </c>
      <c r="S147" s="112" t="str">
        <f>IF(OR(B147=0,B147="",G147="hardware",R147=0),"",IF(AF147&lt;&gt;"exclusion",MAX(S$9,-(SUMIFS(SF_Output!$T$1:$T$400,SF_Output!$AC$1:$AC$400,_xlfn.TEXTJOIN(",",TRUE,$B147:$E147),SF_Output!$Q$1:$Q$400,"yearly"))/R147),-((SUMIFS(SF_Output!$T$1:$T$400,SF_Output!$AC$1:$AC$400,_xlfn.TEXTJOIN(",",TRUE,$B147:$E147),SF_Output!$Q$1:$Q$400,"yearly")/R147))))</f>
        <v/>
      </c>
      <c r="T147" s="6">
        <f t="shared" si="37"/>
        <v>0</v>
      </c>
      <c r="V147" s="6" cm="1">
        <f t="array" ref="V147">_xlfn.IFS(B147="","",AND(B147&lt;&gt;"",H147=SF_Output!$Y$2,SUMIFS(SF_Output!$T$1:$T$400,SF_Output!$AC$1:$AC$400,_xlfn.TEXTJOIN(",",TRUE,B147:E147),SF_Output!$Q$1:$Q$400,"monthly")=0),(SUMIFS(SF_Output!$F$1:$F$400,SF_Output!$AC$1:$AC$400,_xlfn.TEXTJOIN(",",TRUE,B147:E147),SF_Output!$Q$1:$Q$400,"monthly")+SUMIFS(SF_Output!$G$1:$G$400,SF_Output!$AC$1:$AC$400,_xlfn.TEXTJOIN(",",TRUE,B147:E147),SF_Output!$Q$1:$Q$400,"monthly"))*H147,AND(B147&lt;&gt;"",H147=SF_Output!$Y$2,SUMIFS(SF_Output!$T$1:$T$400,SF_Output!$AC$1:$AC$400,_xlfn.TEXTJOIN(",",TRUE,B147:E147),SF_Output!$Q$1:$Q$400,"monthly")&lt;&gt;0),SUMIFS(SF_Output!$S$1:$S$400,SF_Output!$AC$1:$AC$400,_xlfn.TEXTJOIN(",",TRUE,B147:E147),SF_Output!$Q$1:$Q$400,"monthly"),AND(B147&lt;&gt;"",H147&lt;&gt;SF_Output!$Y$2),SUMIFS(SF_Output!$S$1:$S$400,SF_Output!$AC$1:$AC$400,_xlfn.TEXTJOIN(",",TRUE,B147:E147),SF_Output!$Q$1:$Q$400,"monthly"))</f>
        <v>750</v>
      </c>
      <c r="W147" s="112" cm="1">
        <f t="array" ref="W147">_xlfn.IFS(OR(B147=0,B147="",V147=0),"",AF147&lt;&gt;"exclusion",MAX($W$9,$W$7,(-(SUMIFS(SF_Output!$T$1:$T$400,SF_Output!$AC$1:$AC$400,_xlfn.TEXTJOIN(",",TRUE,$B147:$E147),SF_Output!$Q$1:$Q$400,"monthly"))/V147)),AF147="exclusion",-(SUMIFS(SF_Output!$T$1:$T$400,SF_Output!$AC$1:$AC$400,_xlfn.TEXTJOIN(",",TRUE,$B147:$E147),SF_Output!$Q$1:$Q$400,"monthly"))/V147)</f>
        <v>1</v>
      </c>
      <c r="X147" s="6" cm="1">
        <f t="array" ref="X147">IFERROR(_xlfn.IFS(V147=0,0,V147="","",W147=0,V147,OR(V147&lt;&gt;0,V147&lt;&gt;""),H147*I147),V147*(1-W147))</f>
        <v>0</v>
      </c>
      <c r="Z147" s="6">
        <f>IFERROR(IF(B147="","",SUMIFS(Billing_Fallout!H:H,Billing_Fallout!N:N,B147)),0)</f>
        <v>0</v>
      </c>
      <c r="AA147" s="6">
        <f t="shared" si="38"/>
        <v>0</v>
      </c>
      <c r="AB147" s="6">
        <f>IFERROR(IF(B147="","",SUMIFS(Billing_Fallout!J:J,Billing_Fallout!N:N,B147)),0)</f>
        <v>0</v>
      </c>
      <c r="AD147" s="6">
        <f t="shared" si="39"/>
        <v>0</v>
      </c>
      <c r="AF147" t="str">
        <f>IFERROR(INDEX(H_Tables!$B$1:$B$1500,MATCH(INDEX(SF_Output!$J$1:$J$400,MATCH(B147,SF_Output!$M$1:$M$400,0)),H_Tables!$A$1:$A$1500,0)),"")</f>
        <v/>
      </c>
      <c r="AI147" s="119" t="str">
        <f t="shared" si="40"/>
        <v/>
      </c>
      <c r="AJ147" s="121">
        <f>IFERROR(INDEX(SF_Output!AD:AD,MATCH(_xlfn.TEXTJOIN(",",TRUE,B147:E147),SF_Output!AC1:AC400,0)),0.05)</f>
        <v>237</v>
      </c>
      <c r="AK147" t="str">
        <f>IF(SUMIFS(SF_Output!$F$1:$F$400,SF_Output!$AC$1:$AC$400,_xlfn.TEXTJOIN(",",TRUE,B147:E147))+SUMIFS(SF_Output!$G$1:$G$400,SF_Output!$AC$1:$AC$400,_xlfn.TEXTJOIN(",",TRUE,B147:E147))=0,"","PAP")</f>
        <v/>
      </c>
      <c r="AQ147" s="35"/>
      <c r="AR147" s="35" t="str" cm="1">
        <f t="array" ref="AR147">IFERROR(_xlfn.IFS(AND(E147*1=1,F147="Included"),"Change to Included",AND(E147*1=0,F147="Optional"),"Change to Optional",OR(B147="",F147="replaced"),""),"")</f>
        <v/>
      </c>
      <c r="AS147" s="35" t="str">
        <f t="shared" si="41"/>
        <v/>
      </c>
      <c r="AT147" s="35" t="str">
        <f t="shared" si="42"/>
        <v/>
      </c>
      <c r="AU147" s="35" t="str">
        <f t="shared" si="43"/>
        <v/>
      </c>
      <c r="AV147" s="35" t="str">
        <f t="shared" si="44"/>
        <v/>
      </c>
      <c r="AW147" s="35" t="str">
        <f t="shared" si="45"/>
        <v/>
      </c>
      <c r="AX147" s="35" t="str">
        <f t="shared" si="46"/>
        <v/>
      </c>
      <c r="AY147" s="35" t="str">
        <f t="shared" si="47"/>
        <v/>
      </c>
      <c r="AZ147" s="35" t="str">
        <f t="shared" si="48"/>
        <v/>
      </c>
      <c r="BA147" s="35" t="str">
        <f t="shared" si="49"/>
        <v/>
      </c>
      <c r="BB147" s="35" t="str">
        <f t="shared" si="50"/>
        <v/>
      </c>
      <c r="BC147" s="35"/>
      <c r="BE147" s="35">
        <f ca="1">INDEX(SF_Output!$AA$2:$AA$400,MATCH($B147,SF_Output!$M$2:$M$400,0))</f>
        <v>6</v>
      </c>
      <c r="BF147" s="35" t="str">
        <f ca="1">INDEX(SF_Output!$AB$2:$AB$400,MATCH($B147,SF_Output!$M$2:$M$400,0))</f>
        <v/>
      </c>
    </row>
    <row r="148" spans="2:58" x14ac:dyDescent="0.25">
      <c r="B148" t="s">
        <v>2469</v>
      </c>
      <c r="C148" t="s">
        <v>2122</v>
      </c>
      <c r="D148" t="s">
        <v>2123</v>
      </c>
      <c r="E148" t="s">
        <v>2150</v>
      </c>
      <c r="F148" s="116" t="str">
        <f t="shared" si="34"/>
        <v>Optional</v>
      </c>
      <c r="G148" t="str">
        <f>IF(B148="","",INDEX(SF_Output!$K$1:$K$400,MATCH(B148,SF_Output!$M$1:$M$400,0)))</f>
        <v>ProfitStars RemitPlus</v>
      </c>
      <c r="H148" cm="1">
        <f t="array" ref="H148">_xlfn.IFS(B148="","",(SUMIFS(SF_Output!$F$1:$F$400,SF_Output!$AC$1:$AC$400,_xlfn.TEXTJOIN(",",TRUE,B148:E148))+SUMIFS(SF_Output!$G$1:$G$400,SF_Output!$AC$1:$AC$400,_xlfn.TEXTJOIN(",",TRUE,B148:E148)))&lt;&gt;0,SF_Output!$Y$2,INDEX(SF_Output!$F$1:$F$400,MATCH(_xlfn.TEXTJOIN(",",TRUE,B148:E148),SF_Output!$AC$1:$AC$400,0))=0,INDEX(SF_Output!$R$1:$R$400,MATCH(_xlfn.TEXTJOIN(",",TRUE,B148:E148),SF_Output!$AC$1:$AC$400,0)))</f>
        <v>1</v>
      </c>
      <c r="I148" s="125" t="str">
        <f>IFERROR(IF(AND(H148&gt;1,H148&lt;&gt;""),ROUND(SUMIFS(SF_Output!$S$1:$S$400,SF_Output!$AC$1:$AC$400,_xlfn.TEXTJOIN(",",TRUE,B148:E148),SF_Output!$Q$1:$Q$400,"monthly")*(1-W148)/H148,4),""),"")</f>
        <v/>
      </c>
      <c r="J148" s="6">
        <f>IF(B148="","",SUMIFS(SF_Output!$S$1:$S$400,SF_Output!$AC$1:$AC$400,_xlfn.TEXTJOIN(",",TRUE,B148:E148),SF_Output!$Q$1:$Q$400,"One Time",SF_Output!$L$1:$L$400,"license fee")+SUMIFS(SF_Output!$S$1:$S$400,SF_Output!$AC$1:$AC$400,_xlfn.TEXTJOIN(",",TRUE,B148:E148),SF_Output!$Q$1:$Q$400,"One Time",SF_Output!$L$1:$L$400,"software license")+SUMIFS(SF_Output!$S$1:$S$400,SF_Output!$AC$1:$AC$400,_xlfn.TEXTJOIN(",",TRUE,B148:E148),SF_Output!$Q$1:$Q$400,"One Time",SF_Output!$L$1:$L$400,"hardware"))</f>
        <v>0</v>
      </c>
      <c r="K148" s="112" t="str">
        <f>IF(OR(B148=0,B148="",G148="hardware",J148=0),"",IF(AF148&lt;&gt;"exclusion",MAX(K$9,-((SUMIFS(SF_Output!$T$1:$T$400,SF_Output!$AC$1:$AC$400,_xlfn.TEXTJOIN(",",TRUE,$B148:$E148),SF_Output!$Q$1:$Q$400,"One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license"))/J148)))</f>
        <v/>
      </c>
      <c r="L148" s="6">
        <f t="shared" si="35"/>
        <v>0</v>
      </c>
      <c r="N148" s="6">
        <f>IF(B148="","",SUMIFS(SF_Output!$S$1:$S$400,SF_Output!$AC$1:$AC$400,_xlfn.TEXTJOIN(",",TRUE,B148:E148),SF_Output!$Q$1:$Q$400,"One Time",SF_Output!$L$1:$L$400,"professional service"))</f>
        <v>3000</v>
      </c>
      <c r="O148" s="112">
        <f>IF(OR(B148=0,B148="",N148=0),"",IF(AF148&lt;&gt;"exclusion",MAX(O$9,-(SUMIFS(SF_Output!$T$1:$T$400,SF_Output!$AC$1:$AC$400,_xlfn.TEXTJOIN(",",TRUE,$B148:$E148),SF_Output!$Q$1:$Q$400,"One Time",SF_Output!$L$1:$L$400,"professional service"))/N148),-((SUMIFS(SF_Output!$T$1:$T$400,SF_Output!$AC$1:$AC$400,_xlfn.TEXTJOIN(",",TRUE,$B148:$E148),SF_Output!$Q$1:$Q$400,"One Time",SF_Output!$L$1:$L$400,"professional service")/N148))))</f>
        <v>0</v>
      </c>
      <c r="P148" s="6">
        <f t="shared" si="36"/>
        <v>3000</v>
      </c>
      <c r="R148" s="6">
        <f>IF(B148="","",SUMIFS(SF_Output!$S$1:$S$400,SF_Output!$AC$1:$AC$400,_xlfn.TEXTJOIN(",",TRUE,B148:E148),SF_Output!$Q$1:$Q$400,"yearly")+SUMIFS(SF_Output!$S$1:$S$400,SF_Output!$AC$1:$AC$400,_xlfn.TEXTJOIN(",",TRUE,B148:E148),SF_Output!$Q$1:$Q$400,"quarterly")*4)</f>
        <v>0</v>
      </c>
      <c r="S148" s="112" t="str">
        <f>IF(OR(B148=0,B148="",G148="hardware",R148=0),"",IF(AF148&lt;&gt;"exclusion",MAX(S$9,-(SUMIFS(SF_Output!$T$1:$T$400,SF_Output!$AC$1:$AC$400,_xlfn.TEXTJOIN(",",TRUE,$B148:$E148),SF_Output!$Q$1:$Q$400,"yearly"))/R148),-((SUMIFS(SF_Output!$T$1:$T$400,SF_Output!$AC$1:$AC$400,_xlfn.TEXTJOIN(",",TRUE,$B148:$E148),SF_Output!$Q$1:$Q$400,"yearly")/R148))))</f>
        <v/>
      </c>
      <c r="T148" s="6">
        <f t="shared" si="37"/>
        <v>0</v>
      </c>
      <c r="V148" s="6" cm="1">
        <f t="array" ref="V148">_xlfn.IFS(B148="","",AND(B148&lt;&gt;"",H148=SF_Output!$Y$2,SUMIFS(SF_Output!$T$1:$T$400,SF_Output!$AC$1:$AC$400,_xlfn.TEXTJOIN(",",TRUE,B148:E148),SF_Output!$Q$1:$Q$400,"monthly")=0),(SUMIFS(SF_Output!$F$1:$F$400,SF_Output!$AC$1:$AC$400,_xlfn.TEXTJOIN(",",TRUE,B148:E148),SF_Output!$Q$1:$Q$400,"monthly")+SUMIFS(SF_Output!$G$1:$G$400,SF_Output!$AC$1:$AC$400,_xlfn.TEXTJOIN(",",TRUE,B148:E148),SF_Output!$Q$1:$Q$400,"monthly"))*H148,AND(B148&lt;&gt;"",H148=SF_Output!$Y$2,SUMIFS(SF_Output!$T$1:$T$400,SF_Output!$AC$1:$AC$400,_xlfn.TEXTJOIN(",",TRUE,B148:E148),SF_Output!$Q$1:$Q$400,"monthly")&lt;&gt;0),SUMIFS(SF_Output!$S$1:$S$400,SF_Output!$AC$1:$AC$400,_xlfn.TEXTJOIN(",",TRUE,B148:E148),SF_Output!$Q$1:$Q$400,"monthly"),AND(B148&lt;&gt;"",H148&lt;&gt;SF_Output!$Y$2),SUMIFS(SF_Output!$S$1:$S$400,SF_Output!$AC$1:$AC$400,_xlfn.TEXTJOIN(",",TRUE,B148:E148),SF_Output!$Q$1:$Q$400,"monthly"))</f>
        <v>100</v>
      </c>
      <c r="W148" s="112" cm="1">
        <f t="array" ref="W148">_xlfn.IFS(OR(B148=0,B148="",V148=0),"",AF148&lt;&gt;"exclusion",MAX($W$9,$W$7,(-(SUMIFS(SF_Output!$T$1:$T$400,SF_Output!$AC$1:$AC$400,_xlfn.TEXTJOIN(",",TRUE,$B148:$E148),SF_Output!$Q$1:$Q$400,"monthly"))/V148)),AF148="exclusion",-(SUMIFS(SF_Output!$T$1:$T$400,SF_Output!$AC$1:$AC$400,_xlfn.TEXTJOIN(",",TRUE,$B148:$E148),SF_Output!$Q$1:$Q$400,"monthly"))/V148)</f>
        <v>0</v>
      </c>
      <c r="X148" s="6" cm="1">
        <f t="array" ref="X148">IFERROR(_xlfn.IFS(V148=0,0,V148="","",W148=0,V148,OR(V148&lt;&gt;0,V148&lt;&gt;""),H148*I148),V148*(1-W148))</f>
        <v>100</v>
      </c>
      <c r="Z148" s="6">
        <f>IFERROR(IF(B148="","",SUMIFS(Billing_Fallout!H:H,Billing_Fallout!N:N,B148)),0)</f>
        <v>0</v>
      </c>
      <c r="AA148" s="6">
        <f t="shared" si="38"/>
        <v>0</v>
      </c>
      <c r="AB148" s="6">
        <f>IFERROR(IF(B148="","",SUMIFS(Billing_Fallout!J:J,Billing_Fallout!N:N,B148)),0)</f>
        <v>0</v>
      </c>
      <c r="AD148" s="6">
        <f t="shared" si="39"/>
        <v>100</v>
      </c>
      <c r="AF148" t="str">
        <f>IFERROR(INDEX(H_Tables!$B$1:$B$1500,MATCH(INDEX(SF_Output!$J$1:$J$400,MATCH(B148,SF_Output!$M$1:$M$400,0)),H_Tables!$A$1:$A$1500,0)),"")</f>
        <v/>
      </c>
      <c r="AI148" s="119" t="str">
        <f t="shared" si="40"/>
        <v/>
      </c>
      <c r="AJ148" s="121">
        <f>IFERROR(INDEX(SF_Output!AD:AD,MATCH(_xlfn.TEXTJOIN(",",TRUE,B148:E148),SF_Output!AC1:AC400,0)),0.05)</f>
        <v>239</v>
      </c>
      <c r="AK148" t="str">
        <f>IF(SUMIFS(SF_Output!$F$1:$F$400,SF_Output!$AC$1:$AC$400,_xlfn.TEXTJOIN(",",TRUE,B148:E148))+SUMIFS(SF_Output!$G$1:$G$400,SF_Output!$AC$1:$AC$400,_xlfn.TEXTJOIN(",",TRUE,B148:E148))=0,"","PAP")</f>
        <v/>
      </c>
      <c r="AQ148" s="35"/>
      <c r="AR148" s="35" t="str" cm="1">
        <f t="array" ref="AR148">IFERROR(_xlfn.IFS(AND(E148*1=1,F148="Included"),"Change to Included",AND(E148*1=0,F148="Optional"),"Change to Optional",OR(B148="",F148="replaced"),""),"")</f>
        <v/>
      </c>
      <c r="AS148" s="35" t="str">
        <f t="shared" si="41"/>
        <v/>
      </c>
      <c r="AT148" s="35" t="str">
        <f t="shared" si="42"/>
        <v/>
      </c>
      <c r="AU148" s="35" t="str">
        <f t="shared" si="43"/>
        <v/>
      </c>
      <c r="AV148" s="35" t="str">
        <f t="shared" si="44"/>
        <v/>
      </c>
      <c r="AW148" s="35" t="str">
        <f t="shared" si="45"/>
        <v/>
      </c>
      <c r="AX148" s="35" t="str">
        <f t="shared" si="46"/>
        <v/>
      </c>
      <c r="AY148" s="35" t="str">
        <f t="shared" si="47"/>
        <v/>
      </c>
      <c r="AZ148" s="35" t="str">
        <f t="shared" si="48"/>
        <v/>
      </c>
      <c r="BA148" s="35" t="str">
        <f t="shared" si="49"/>
        <v/>
      </c>
      <c r="BB148" s="35" t="str">
        <f t="shared" si="50"/>
        <v/>
      </c>
      <c r="BC148" s="35"/>
      <c r="BE148" s="35">
        <f ca="1">INDEX(SF_Output!$AA$2:$AA$400,MATCH($B148,SF_Output!$M$2:$M$400,0))</f>
        <v>6</v>
      </c>
      <c r="BF148" s="35">
        <f ca="1">INDEX(SF_Output!$AB$2:$AB$400,MATCH($B148,SF_Output!$M$2:$M$400,0))</f>
        <v>4</v>
      </c>
    </row>
    <row r="149" spans="2:58" x14ac:dyDescent="0.25">
      <c r="B149" t="s">
        <v>870</v>
      </c>
      <c r="C149" t="s">
        <v>2122</v>
      </c>
      <c r="D149" t="s">
        <v>2123</v>
      </c>
      <c r="E149" t="s">
        <v>2124</v>
      </c>
      <c r="F149" s="116" t="str">
        <f t="shared" si="34"/>
        <v>Included</v>
      </c>
      <c r="G149" t="str">
        <f>IF(B149="","",INDEX(SF_Output!$K$1:$K$400,MATCH(B149,SF_Output!$M$1:$M$400,0)))</f>
        <v>Centurion</v>
      </c>
      <c r="H149" cm="1">
        <f t="array" ref="H149">_xlfn.IFS(B149="","",(SUMIFS(SF_Output!$F$1:$F$400,SF_Output!$AC$1:$AC$400,_xlfn.TEXTJOIN(",",TRUE,B149:E149))+SUMIFS(SF_Output!$G$1:$G$400,SF_Output!$AC$1:$AC$400,_xlfn.TEXTJOIN(",",TRUE,B149:E149)))&lt;&gt;0,SF_Output!$Y$2,INDEX(SF_Output!$F$1:$F$400,MATCH(_xlfn.TEXTJOIN(",",TRUE,B149:E149),SF_Output!$AC$1:$AC$400,0))=0,INDEX(SF_Output!$R$1:$R$400,MATCH(_xlfn.TEXTJOIN(",",TRUE,B149:E149),SF_Output!$AC$1:$AC$400,0)))</f>
        <v>1</v>
      </c>
      <c r="I149" s="125" t="str">
        <f>IFERROR(IF(AND(H149&gt;1,H149&lt;&gt;""),ROUND(SUMIFS(SF_Output!$S$1:$S$400,SF_Output!$AC$1:$AC$400,_xlfn.TEXTJOIN(",",TRUE,B149:E149),SF_Output!$Q$1:$Q$400,"monthly")*(1-W149)/H149,4),""),"")</f>
        <v/>
      </c>
      <c r="J149" s="6">
        <f>IF(B149="","",SUMIFS(SF_Output!$S$1:$S$400,SF_Output!$AC$1:$AC$400,_xlfn.TEXTJOIN(",",TRUE,B149:E149),SF_Output!$Q$1:$Q$400,"One Time",SF_Output!$L$1:$L$400,"license fee")+SUMIFS(SF_Output!$S$1:$S$400,SF_Output!$AC$1:$AC$400,_xlfn.TEXTJOIN(",",TRUE,B149:E149),SF_Output!$Q$1:$Q$400,"One Time",SF_Output!$L$1:$L$400,"software license")+SUMIFS(SF_Output!$S$1:$S$400,SF_Output!$AC$1:$AC$400,_xlfn.TEXTJOIN(",",TRUE,B149:E149),SF_Output!$Q$1:$Q$400,"One Time",SF_Output!$L$1:$L$400,"hardware"))</f>
        <v>0</v>
      </c>
      <c r="K149" s="112" t="str">
        <f>IF(OR(B149=0,B149="",G149="hardware",J149=0),"",IF(AF149&lt;&gt;"exclusion",MAX(K$9,-((SUMIFS(SF_Output!$T$1:$T$400,SF_Output!$AC$1:$AC$400,_xlfn.TEXTJOIN(",",TRUE,$B149:$E149),SF_Output!$Q$1:$Q$400,"One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license"))/J149)))</f>
        <v/>
      </c>
      <c r="L149" s="6">
        <f t="shared" si="35"/>
        <v>0</v>
      </c>
      <c r="N149" s="6">
        <f>IF(B149="","",SUMIFS(SF_Output!$S$1:$S$400,SF_Output!$AC$1:$AC$400,_xlfn.TEXTJOIN(",",TRUE,B149:E149),SF_Output!$Q$1:$Q$400,"One Time",SF_Output!$L$1:$L$400,"professional service"))</f>
        <v>0</v>
      </c>
      <c r="O149" s="112" t="str">
        <f>IF(OR(B149=0,B149="",N149=0),"",IF(AF149&lt;&gt;"exclusion",MAX(O$9,-(SUMIFS(SF_Output!$T$1:$T$400,SF_Output!$AC$1:$AC$400,_xlfn.TEXTJOIN(",",TRUE,$B149:$E149),SF_Output!$Q$1:$Q$400,"One Time",SF_Output!$L$1:$L$400,"professional service"))/N149),-((SUMIFS(SF_Output!$T$1:$T$400,SF_Output!$AC$1:$AC$400,_xlfn.TEXTJOIN(",",TRUE,$B149:$E149),SF_Output!$Q$1:$Q$400,"One Time",SF_Output!$L$1:$L$400,"professional service")/N149))))</f>
        <v/>
      </c>
      <c r="P149" s="6">
        <f t="shared" si="36"/>
        <v>0</v>
      </c>
      <c r="R149" s="6">
        <f>IF(B149="","",SUMIFS(SF_Output!$S$1:$S$400,SF_Output!$AC$1:$AC$400,_xlfn.TEXTJOIN(",",TRUE,B149:E149),SF_Output!$Q$1:$Q$400,"yearly")+SUMIFS(SF_Output!$S$1:$S$400,SF_Output!$AC$1:$AC$400,_xlfn.TEXTJOIN(",",TRUE,B149:E149),SF_Output!$Q$1:$Q$400,"quarterly")*4)</f>
        <v>1880</v>
      </c>
      <c r="S149" s="112">
        <f>IF(OR(B149=0,B149="",G149="hardware",R149=0),"",IF(AF149&lt;&gt;"exclusion",MAX(S$9,-(SUMIFS(SF_Output!$T$1:$T$400,SF_Output!$AC$1:$AC$400,_xlfn.TEXTJOIN(",",TRUE,$B149:$E149),SF_Output!$Q$1:$Q$400,"yearly"))/R149),-((SUMIFS(SF_Output!$T$1:$T$400,SF_Output!$AC$1:$AC$400,_xlfn.TEXTJOIN(",",TRUE,$B149:$E149),SF_Output!$Q$1:$Q$400,"yearly")/R149))))</f>
        <v>0</v>
      </c>
      <c r="T149" s="6">
        <f t="shared" si="37"/>
        <v>1880</v>
      </c>
      <c r="V149" s="6" cm="1">
        <f t="array" ref="V149">_xlfn.IFS(B149="","",AND(B149&lt;&gt;"",H149=SF_Output!$Y$2,SUMIFS(SF_Output!$T$1:$T$400,SF_Output!$AC$1:$AC$400,_xlfn.TEXTJOIN(",",TRUE,B149:E149),SF_Output!$Q$1:$Q$400,"monthly")=0),(SUMIFS(SF_Output!$F$1:$F$400,SF_Output!$AC$1:$AC$400,_xlfn.TEXTJOIN(",",TRUE,B149:E149),SF_Output!$Q$1:$Q$400,"monthly")+SUMIFS(SF_Output!$G$1:$G$400,SF_Output!$AC$1:$AC$400,_xlfn.TEXTJOIN(",",TRUE,B149:E149),SF_Output!$Q$1:$Q$400,"monthly"))*H149,AND(B149&lt;&gt;"",H149=SF_Output!$Y$2,SUMIFS(SF_Output!$T$1:$T$400,SF_Output!$AC$1:$AC$400,_xlfn.TEXTJOIN(",",TRUE,B149:E149),SF_Output!$Q$1:$Q$400,"monthly")&lt;&gt;0),SUMIFS(SF_Output!$S$1:$S$400,SF_Output!$AC$1:$AC$400,_xlfn.TEXTJOIN(",",TRUE,B149:E149),SF_Output!$Q$1:$Q$400,"monthly"),AND(B149&lt;&gt;"",H149&lt;&gt;SF_Output!$Y$2),SUMIFS(SF_Output!$S$1:$S$400,SF_Output!$AC$1:$AC$400,_xlfn.TEXTJOIN(",",TRUE,B149:E149),SF_Output!$Q$1:$Q$400,"monthly"))</f>
        <v>0</v>
      </c>
      <c r="W149" s="112" t="str" cm="1">
        <f t="array" ref="W149">_xlfn.IFS(OR(B149=0,B149="",V149=0),"",AF149&lt;&gt;"exclusion",MAX($W$9,$W$7,(-(SUMIFS(SF_Output!$T$1:$T$400,SF_Output!$AC$1:$AC$400,_xlfn.TEXTJOIN(",",TRUE,$B149:$E149),SF_Output!$Q$1:$Q$400,"monthly"))/V149)),AF149="exclusion",-(SUMIFS(SF_Output!$T$1:$T$400,SF_Output!$AC$1:$AC$400,_xlfn.TEXTJOIN(",",TRUE,$B149:$E149),SF_Output!$Q$1:$Q$400,"monthly"))/V149)</f>
        <v/>
      </c>
      <c r="X149" s="6" cm="1">
        <f t="array" ref="X149">IFERROR(_xlfn.IFS(V149=0,0,V149="","",W149=0,V149,OR(V149&lt;&gt;0,V149&lt;&gt;""),H149*I149),V149*(1-W149))</f>
        <v>0</v>
      </c>
      <c r="Z149" s="6">
        <f>IFERROR(IF(B149="","",SUMIFS(Billing_Fallout!H:H,Billing_Fallout!N:N,B149)),0)</f>
        <v>0</v>
      </c>
      <c r="AA149" s="6">
        <f t="shared" si="38"/>
        <v>0</v>
      </c>
      <c r="AB149" s="6">
        <f>IFERROR(IF(B149="","",SUMIFS(Billing_Fallout!J:J,Billing_Fallout!N:N,B149)),0)</f>
        <v>0</v>
      </c>
      <c r="AD149" s="6">
        <f t="shared" si="39"/>
        <v>0</v>
      </c>
      <c r="AF149" t="str">
        <f>IFERROR(INDEX(H_Tables!$B$1:$B$1500,MATCH(INDEX(SF_Output!$J$1:$J$400,MATCH(B149,SF_Output!$M$1:$M$400,0)),H_Tables!$A$1:$A$1500,0)),"")</f>
        <v>Exclusion</v>
      </c>
      <c r="AI149" s="119" t="str">
        <f t="shared" si="40"/>
        <v/>
      </c>
      <c r="AJ149" s="121">
        <f>IFERROR(INDEX(SF_Output!AD:AD,MATCH(_xlfn.TEXTJOIN(",",TRUE,B149:E149),SF_Output!AC1:AC400,0)),0.05)</f>
        <v>1</v>
      </c>
      <c r="AK149" t="str">
        <f>IF(SUMIFS(SF_Output!$F$1:$F$400,SF_Output!$AC$1:$AC$400,_xlfn.TEXTJOIN(",",TRUE,B149:E149))+SUMIFS(SF_Output!$G$1:$G$400,SF_Output!$AC$1:$AC$400,_xlfn.TEXTJOIN(",",TRUE,B149:E149))=0,"","PAP")</f>
        <v/>
      </c>
      <c r="AQ149" s="35"/>
      <c r="AR149" s="35" t="str" cm="1">
        <f t="array" ref="AR149">IFERROR(_xlfn.IFS(AND(E149*1=1,F149="Included"),"Change to Included",AND(E149*1=0,F149="Optional"),"Change to Optional",OR(B149="",F149="replaced"),""),"")</f>
        <v/>
      </c>
      <c r="AS149" s="35" t="str">
        <f t="shared" si="41"/>
        <v/>
      </c>
      <c r="AT149" s="35" t="str">
        <f t="shared" si="42"/>
        <v/>
      </c>
      <c r="AU149" s="35" t="str">
        <f t="shared" si="43"/>
        <v/>
      </c>
      <c r="AV149" s="35" t="str">
        <f t="shared" si="44"/>
        <v/>
      </c>
      <c r="AW149" s="35" t="str">
        <f t="shared" si="45"/>
        <v/>
      </c>
      <c r="AX149" s="35" t="str">
        <f t="shared" si="46"/>
        <v/>
      </c>
      <c r="AY149" s="35" t="str">
        <f t="shared" si="47"/>
        <v/>
      </c>
      <c r="AZ149" s="35" t="str">
        <f t="shared" si="48"/>
        <v/>
      </c>
      <c r="BA149" s="35" t="str">
        <f t="shared" si="49"/>
        <v/>
      </c>
      <c r="BB149" s="35" t="str">
        <f t="shared" si="50"/>
        <v/>
      </c>
      <c r="BC149" s="35"/>
      <c r="BE149" s="35">
        <f ca="1">INDEX(SF_Output!$AA$2:$AA$400,MATCH($B149,SF_Output!$M$2:$M$400,0))</f>
        <v>7</v>
      </c>
      <c r="BF149" s="35">
        <f ca="1">INDEX(SF_Output!$AB$2:$AB$400,MATCH($B149,SF_Output!$M$2:$M$400,0))</f>
        <v>1</v>
      </c>
    </row>
    <row r="150" spans="2:58" x14ac:dyDescent="0.25">
      <c r="B150" t="s">
        <v>1833</v>
      </c>
      <c r="C150" t="s">
        <v>2122</v>
      </c>
      <c r="D150" t="s">
        <v>2123</v>
      </c>
      <c r="E150" t="s">
        <v>2124</v>
      </c>
      <c r="F150" s="116" t="str">
        <f t="shared" si="34"/>
        <v>Included</v>
      </c>
      <c r="G150" t="str">
        <f>IF(B150="","",INDEX(SF_Output!$K$1:$K$400,MATCH(B150,SF_Output!$M$1:$M$400,0)))</f>
        <v>Centurion</v>
      </c>
      <c r="H150" cm="1">
        <f t="array" ref="H150">_xlfn.IFS(B150="","",(SUMIFS(SF_Output!$F$1:$F$400,SF_Output!$AC$1:$AC$400,_xlfn.TEXTJOIN(",",TRUE,B150:E150))+SUMIFS(SF_Output!$G$1:$G$400,SF_Output!$AC$1:$AC$400,_xlfn.TEXTJOIN(",",TRUE,B150:E150)))&lt;&gt;0,SF_Output!$Y$2,INDEX(SF_Output!$F$1:$F$400,MATCH(_xlfn.TEXTJOIN(",",TRUE,B150:E150),SF_Output!$AC$1:$AC$400,0))=0,INDEX(SF_Output!$R$1:$R$400,MATCH(_xlfn.TEXTJOIN(",",TRUE,B150:E150),SF_Output!$AC$1:$AC$400,0)))</f>
        <v>1</v>
      </c>
      <c r="I150" s="125" t="str">
        <f>IFERROR(IF(AND(H150&gt;1,H150&lt;&gt;""),ROUND(SUMIFS(SF_Output!$S$1:$S$400,SF_Output!$AC$1:$AC$400,_xlfn.TEXTJOIN(",",TRUE,B150:E150),SF_Output!$Q$1:$Q$400,"monthly")*(1-W150)/H150,4),""),"")</f>
        <v/>
      </c>
      <c r="J150" s="6">
        <f>IF(B150="","",SUMIFS(SF_Output!$S$1:$S$400,SF_Output!$AC$1:$AC$400,_xlfn.TEXTJOIN(",",TRUE,B150:E150),SF_Output!$Q$1:$Q$400,"One Time",SF_Output!$L$1:$L$400,"license fee")+SUMIFS(SF_Output!$S$1:$S$400,SF_Output!$AC$1:$AC$400,_xlfn.TEXTJOIN(",",TRUE,B150:E150),SF_Output!$Q$1:$Q$400,"One Time",SF_Output!$L$1:$L$400,"software license")+SUMIFS(SF_Output!$S$1:$S$400,SF_Output!$AC$1:$AC$400,_xlfn.TEXTJOIN(",",TRUE,B150:E150),SF_Output!$Q$1:$Q$400,"One Time",SF_Output!$L$1:$L$400,"hardware"))</f>
        <v>0</v>
      </c>
      <c r="K150" s="112" t="str">
        <f>IF(OR(B150=0,B150="",G150="hardware",J150=0),"",IF(AF150&lt;&gt;"exclusion",MAX(K$9,-((SUMIFS(SF_Output!$T$1:$T$400,SF_Output!$AC$1:$AC$400,_xlfn.TEXTJOIN(",",TRUE,$B150:$E150),SF_Output!$Q$1:$Q$400,"One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license"))/J150)))</f>
        <v/>
      </c>
      <c r="L150" s="6">
        <f t="shared" si="35"/>
        <v>0</v>
      </c>
      <c r="N150" s="6">
        <f>IF(B150="","",SUMIFS(SF_Output!$S$1:$S$400,SF_Output!$AC$1:$AC$400,_xlfn.TEXTJOIN(",",TRUE,B150:E150),SF_Output!$Q$1:$Q$400,"One Time",SF_Output!$L$1:$L$400,"professional service"))</f>
        <v>0</v>
      </c>
      <c r="O150" s="112" t="str">
        <f>IF(OR(B150=0,B150="",N150=0),"",IF(AF150&lt;&gt;"exclusion",MAX(O$9,-(SUMIFS(SF_Output!$T$1:$T$400,SF_Output!$AC$1:$AC$400,_xlfn.TEXTJOIN(",",TRUE,$B150:$E150),SF_Output!$Q$1:$Q$400,"One Time",SF_Output!$L$1:$L$400,"professional service"))/N150),-((SUMIFS(SF_Output!$T$1:$T$400,SF_Output!$AC$1:$AC$400,_xlfn.TEXTJOIN(",",TRUE,$B150:$E150),SF_Output!$Q$1:$Q$400,"One Time",SF_Output!$L$1:$L$400,"professional service")/N150))))</f>
        <v/>
      </c>
      <c r="P150" s="6">
        <f t="shared" si="36"/>
        <v>0</v>
      </c>
      <c r="R150" s="6">
        <f>IF(B150="","",SUMIFS(SF_Output!$S$1:$S$400,SF_Output!$AC$1:$AC$400,_xlfn.TEXTJOIN(",",TRUE,B150:E150),SF_Output!$Q$1:$Q$400,"yearly")+SUMIFS(SF_Output!$S$1:$S$400,SF_Output!$AC$1:$AC$400,_xlfn.TEXTJOIN(",",TRUE,B150:E150),SF_Output!$Q$1:$Q$400,"quarterly")*4)</f>
        <v>0</v>
      </c>
      <c r="S150" s="112" t="str">
        <f>IF(OR(B150=0,B150="",G150="hardware",R150=0),"",IF(AF150&lt;&gt;"exclusion",MAX(S$9,-(SUMIFS(SF_Output!$T$1:$T$400,SF_Output!$AC$1:$AC$400,_xlfn.TEXTJOIN(",",TRUE,$B150:$E150),SF_Output!$Q$1:$Q$400,"yearly"))/R150),-((SUMIFS(SF_Output!$T$1:$T$400,SF_Output!$AC$1:$AC$400,_xlfn.TEXTJOIN(",",TRUE,$B150:$E150),SF_Output!$Q$1:$Q$400,"yearly")/R150))))</f>
        <v/>
      </c>
      <c r="T150" s="6">
        <f t="shared" si="37"/>
        <v>0</v>
      </c>
      <c r="V150" s="6" cm="1">
        <f t="array" ref="V150">_xlfn.IFS(B150="","",AND(B150&lt;&gt;"",H150=SF_Output!$Y$2,SUMIFS(SF_Output!$T$1:$T$400,SF_Output!$AC$1:$AC$400,_xlfn.TEXTJOIN(",",TRUE,B150:E150),SF_Output!$Q$1:$Q$400,"monthly")=0),(SUMIFS(SF_Output!$F$1:$F$400,SF_Output!$AC$1:$AC$400,_xlfn.TEXTJOIN(",",TRUE,B150:E150),SF_Output!$Q$1:$Q$400,"monthly")+SUMIFS(SF_Output!$G$1:$G$400,SF_Output!$AC$1:$AC$400,_xlfn.TEXTJOIN(",",TRUE,B150:E150),SF_Output!$Q$1:$Q$400,"monthly"))*H150,AND(B150&lt;&gt;"",H150=SF_Output!$Y$2,SUMIFS(SF_Output!$T$1:$T$400,SF_Output!$AC$1:$AC$400,_xlfn.TEXTJOIN(",",TRUE,B150:E150),SF_Output!$Q$1:$Q$400,"monthly")&lt;&gt;0),SUMIFS(SF_Output!$S$1:$S$400,SF_Output!$AC$1:$AC$400,_xlfn.TEXTJOIN(",",TRUE,B150:E150),SF_Output!$Q$1:$Q$400,"monthly"),AND(B150&lt;&gt;"",H150&lt;&gt;SF_Output!$Y$2),SUMIFS(SF_Output!$S$1:$S$400,SF_Output!$AC$1:$AC$400,_xlfn.TEXTJOIN(",",TRUE,B150:E150),SF_Output!$Q$1:$Q$400,"monthly"))</f>
        <v>200</v>
      </c>
      <c r="W150" s="112" cm="1">
        <f t="array" ref="W150">_xlfn.IFS(OR(B150=0,B150="",V150=0),"",AF150&lt;&gt;"exclusion",MAX($W$9,$W$7,(-(SUMIFS(SF_Output!$T$1:$T$400,SF_Output!$AC$1:$AC$400,_xlfn.TEXTJOIN(",",TRUE,$B150:$E150),SF_Output!$Q$1:$Q$400,"monthly"))/V150)),AF150="exclusion",-(SUMIFS(SF_Output!$T$1:$T$400,SF_Output!$AC$1:$AC$400,_xlfn.TEXTJOIN(",",TRUE,$B150:$E150),SF_Output!$Q$1:$Q$400,"monthly"))/V150)</f>
        <v>0</v>
      </c>
      <c r="X150" s="6" cm="1">
        <f t="array" ref="X150">IFERROR(_xlfn.IFS(V150=0,0,V150="","",W150=0,V150,OR(V150&lt;&gt;0,V150&lt;&gt;""),H150*I150),V150*(1-W150))</f>
        <v>200</v>
      </c>
      <c r="Z150" s="6">
        <f>IFERROR(IF(B150="","",SUMIFS(Billing_Fallout!H:H,Billing_Fallout!N:N,B150)),0)</f>
        <v>0</v>
      </c>
      <c r="AA150" s="6">
        <f t="shared" si="38"/>
        <v>0</v>
      </c>
      <c r="AB150" s="6">
        <f>IFERROR(IF(B150="","",SUMIFS(Billing_Fallout!J:J,Billing_Fallout!N:N,B150)),0)</f>
        <v>0</v>
      </c>
      <c r="AD150" s="6">
        <f t="shared" si="39"/>
        <v>200</v>
      </c>
      <c r="AF150" t="str">
        <f>IFERROR(INDEX(H_Tables!$B$1:$B$1500,MATCH(INDEX(SF_Output!$J$1:$J$400,MATCH(B150,SF_Output!$M$1:$M$400,0)),H_Tables!$A$1:$A$1500,0)),"")</f>
        <v>Exclusion</v>
      </c>
      <c r="AI150" s="119" t="str">
        <f t="shared" si="40"/>
        <v/>
      </c>
      <c r="AJ150" s="121">
        <f>IFERROR(INDEX(SF_Output!AD:AD,MATCH(_xlfn.TEXTJOIN(",",TRUE,B150:E150),SF_Output!AC1:AC400,0)),0.05)</f>
        <v>2</v>
      </c>
      <c r="AK150" t="str">
        <f>IF(SUMIFS(SF_Output!$F$1:$F$400,SF_Output!$AC$1:$AC$400,_xlfn.TEXTJOIN(",",TRUE,B150:E150))+SUMIFS(SF_Output!$G$1:$G$400,SF_Output!$AC$1:$AC$400,_xlfn.TEXTJOIN(",",TRUE,B150:E150))=0,"","PAP")</f>
        <v/>
      </c>
      <c r="AQ150" s="35"/>
      <c r="AR150" s="35" t="str" cm="1">
        <f t="array" ref="AR150">IFERROR(_xlfn.IFS(AND(E150*1=1,F150="Included"),"Change to Included",AND(E150*1=0,F150="Optional"),"Change to Optional",OR(B150="",F150="replaced"),""),"")</f>
        <v/>
      </c>
      <c r="AS150" s="35" t="str">
        <f t="shared" si="41"/>
        <v/>
      </c>
      <c r="AT150" s="35" t="str">
        <f t="shared" si="42"/>
        <v/>
      </c>
      <c r="AU150" s="35" t="str">
        <f t="shared" si="43"/>
        <v/>
      </c>
      <c r="AV150" s="35" t="str">
        <f t="shared" si="44"/>
        <v/>
      </c>
      <c r="AW150" s="35" t="str">
        <f t="shared" si="45"/>
        <v/>
      </c>
      <c r="AX150" s="35" t="str">
        <f t="shared" si="46"/>
        <v/>
      </c>
      <c r="AY150" s="35" t="str">
        <f t="shared" si="47"/>
        <v/>
      </c>
      <c r="AZ150" s="35" t="str">
        <f t="shared" si="48"/>
        <v/>
      </c>
      <c r="BA150" s="35" t="str">
        <f t="shared" si="49"/>
        <v/>
      </c>
      <c r="BB150" s="35" t="str">
        <f t="shared" si="50"/>
        <v/>
      </c>
      <c r="BC150" s="35"/>
      <c r="BE150" s="35">
        <f ca="1">INDEX(SF_Output!$AA$2:$AA$400,MATCH($B150,SF_Output!$M$2:$M$400,0))</f>
        <v>7</v>
      </c>
      <c r="BF150" s="35">
        <f ca="1">INDEX(SF_Output!$AB$2:$AB$400,MATCH($B150,SF_Output!$M$2:$M$400,0))</f>
        <v>1</v>
      </c>
    </row>
    <row r="151" spans="2:58" x14ac:dyDescent="0.25">
      <c r="B151" t="s">
        <v>2289</v>
      </c>
      <c r="C151" t="s">
        <v>2122</v>
      </c>
      <c r="D151" t="s">
        <v>2123</v>
      </c>
      <c r="E151" t="s">
        <v>2124</v>
      </c>
      <c r="F151" s="116" t="str">
        <f t="shared" si="34"/>
        <v>Included</v>
      </c>
      <c r="G151" t="str">
        <f>IF(B151="","",INDEX(SF_Output!$K$1:$K$400,MATCH(B151,SF_Output!$M$1:$M$400,0)))</f>
        <v>Fraud</v>
      </c>
      <c r="H151" cm="1">
        <f t="array" ref="H151">_xlfn.IFS(B151="","",(SUMIFS(SF_Output!$F$1:$F$400,SF_Output!$AC$1:$AC$400,_xlfn.TEXTJOIN(",",TRUE,B151:E151))+SUMIFS(SF_Output!$G$1:$G$400,SF_Output!$AC$1:$AC$400,_xlfn.TEXTJOIN(",",TRUE,B151:E151)))&lt;&gt;0,SF_Output!$Y$2,INDEX(SF_Output!$F$1:$F$400,MATCH(_xlfn.TEXTJOIN(",",TRUE,B151:E151),SF_Output!$AC$1:$AC$400,0))=0,INDEX(SF_Output!$R$1:$R$400,MATCH(_xlfn.TEXTJOIN(",",TRUE,B151:E151),SF_Output!$AC$1:$AC$400,0)))</f>
        <v>5000</v>
      </c>
      <c r="I151" s="125">
        <f>IFERROR(IF(AND(H151&gt;1,H151&lt;&gt;""),ROUND(SUMIFS(SF_Output!$S$1:$S$400,SF_Output!$AC$1:$AC$400,_xlfn.TEXTJOIN(",",TRUE,B151:E151),SF_Output!$Q$1:$Q$400,"monthly")*(1-W151)/H151,4),""),"")</f>
        <v>0.71640000000000004</v>
      </c>
      <c r="J151" s="6">
        <f>IF(B151="","",SUMIFS(SF_Output!$S$1:$S$400,SF_Output!$AC$1:$AC$400,_xlfn.TEXTJOIN(",",TRUE,B151:E151),SF_Output!$Q$1:$Q$400,"One Time",SF_Output!$L$1:$L$400,"license fee")+SUMIFS(SF_Output!$S$1:$S$400,SF_Output!$AC$1:$AC$400,_xlfn.TEXTJOIN(",",TRUE,B151:E151),SF_Output!$Q$1:$Q$400,"One Time",SF_Output!$L$1:$L$400,"software license")+SUMIFS(SF_Output!$S$1:$S$400,SF_Output!$AC$1:$AC$400,_xlfn.TEXTJOIN(",",TRUE,B151:E151),SF_Output!$Q$1:$Q$400,"One Time",SF_Output!$L$1:$L$400,"hardware"))</f>
        <v>0</v>
      </c>
      <c r="K151" s="112" t="str">
        <f>IF(OR(B151=0,B151="",G151="hardware",J151=0),"",IF(AF151&lt;&gt;"exclusion",MAX(K$9,-((SUMIFS(SF_Output!$T$1:$T$400,SF_Output!$AC$1:$AC$400,_xlfn.TEXTJOIN(",",TRUE,$B151:$E151),SF_Output!$Q$1:$Q$400,"One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license"))/J151)))</f>
        <v/>
      </c>
      <c r="L151" s="6">
        <f t="shared" si="35"/>
        <v>0</v>
      </c>
      <c r="N151" s="6">
        <f>IF(B151="","",SUMIFS(SF_Output!$S$1:$S$400,SF_Output!$AC$1:$AC$400,_xlfn.TEXTJOIN(",",TRUE,B151:E151),SF_Output!$Q$1:$Q$400,"One Time",SF_Output!$L$1:$L$400,"professional service"))</f>
        <v>18890</v>
      </c>
      <c r="O151" s="112">
        <f>IF(OR(B151=0,B151="",N151=0),"",IF(AF151&lt;&gt;"exclusion",MAX(O$9,-(SUMIFS(SF_Output!$T$1:$T$400,SF_Output!$AC$1:$AC$400,_xlfn.TEXTJOIN(",",TRUE,$B151:$E151),SF_Output!$Q$1:$Q$400,"One Time",SF_Output!$L$1:$L$400,"professional service"))/N151),-((SUMIFS(SF_Output!$T$1:$T$400,SF_Output!$AC$1:$AC$400,_xlfn.TEXTJOIN(",",TRUE,$B151:$E151),SF_Output!$Q$1:$Q$400,"One Time",SF_Output!$L$1:$L$400,"professional service")/N151))))</f>
        <v>0.25</v>
      </c>
      <c r="P151" s="6">
        <f t="shared" si="36"/>
        <v>14167.5</v>
      </c>
      <c r="R151" s="6">
        <f>IF(B151="","",SUMIFS(SF_Output!$S$1:$S$400,SF_Output!$AC$1:$AC$400,_xlfn.TEXTJOIN(",",TRUE,B151:E151),SF_Output!$Q$1:$Q$400,"yearly")+SUMIFS(SF_Output!$S$1:$S$400,SF_Output!$AC$1:$AC$400,_xlfn.TEXTJOIN(",",TRUE,B151:E151),SF_Output!$Q$1:$Q$400,"quarterly")*4)</f>
        <v>0</v>
      </c>
      <c r="S151" s="112" t="str">
        <f>IF(OR(B151=0,B151="",G151="hardware",R151=0),"",IF(AF151&lt;&gt;"exclusion",MAX(S$9,-(SUMIFS(SF_Output!$T$1:$T$400,SF_Output!$AC$1:$AC$400,_xlfn.TEXTJOIN(",",TRUE,$B151:$E151),SF_Output!$Q$1:$Q$400,"yearly"))/R151),-((SUMIFS(SF_Output!$T$1:$T$400,SF_Output!$AC$1:$AC$400,_xlfn.TEXTJOIN(",",TRUE,$B151:$E151),SF_Output!$Q$1:$Q$400,"yearly")/R151))))</f>
        <v/>
      </c>
      <c r="T151" s="6">
        <f t="shared" si="37"/>
        <v>0</v>
      </c>
      <c r="V151" s="6" cm="1">
        <f t="array" ref="V151">_xlfn.IFS(B151="","",AND(B151&lt;&gt;"",H151=SF_Output!$Y$2,SUMIFS(SF_Output!$T$1:$T$400,SF_Output!$AC$1:$AC$400,_xlfn.TEXTJOIN(",",TRUE,B151:E151),SF_Output!$Q$1:$Q$400,"monthly")=0),(SUMIFS(SF_Output!$F$1:$F$400,SF_Output!$AC$1:$AC$400,_xlfn.TEXTJOIN(",",TRUE,B151:E151),SF_Output!$Q$1:$Q$400,"monthly")+SUMIFS(SF_Output!$G$1:$G$400,SF_Output!$AC$1:$AC$400,_xlfn.TEXTJOIN(",",TRUE,B151:E151),SF_Output!$Q$1:$Q$400,"monthly"))*H151,AND(B151&lt;&gt;"",H151=SF_Output!$Y$2,SUMIFS(SF_Output!$T$1:$T$400,SF_Output!$AC$1:$AC$400,_xlfn.TEXTJOIN(",",TRUE,B151:E151),SF_Output!$Q$1:$Q$400,"monthly")&lt;&gt;0),SUMIFS(SF_Output!$S$1:$S$400,SF_Output!$AC$1:$AC$400,_xlfn.TEXTJOIN(",",TRUE,B151:E151),SF_Output!$Q$1:$Q$400,"monthly"),AND(B151&lt;&gt;"",H151&lt;&gt;SF_Output!$Y$2),SUMIFS(SF_Output!$S$1:$S$400,SF_Output!$AC$1:$AC$400,_xlfn.TEXTJOIN(",",TRUE,B151:E151),SF_Output!$Q$1:$Q$400,"monthly"))</f>
        <v>3980</v>
      </c>
      <c r="W151" s="112" cm="1">
        <f t="array" ref="W151">_xlfn.IFS(OR(B151=0,B151="",V151=0),"",AF151&lt;&gt;"exclusion",MAX($W$9,$W$7,(-(SUMIFS(SF_Output!$T$1:$T$400,SF_Output!$AC$1:$AC$400,_xlfn.TEXTJOIN(",",TRUE,$B151:$E151),SF_Output!$Q$1:$Q$400,"monthly"))/V151)),AF151="exclusion",-(SUMIFS(SF_Output!$T$1:$T$400,SF_Output!$AC$1:$AC$400,_xlfn.TEXTJOIN(",",TRUE,$B151:$E151),SF_Output!$Q$1:$Q$400,"monthly"))/V151)</f>
        <v>0.1</v>
      </c>
      <c r="X151" s="6" cm="1">
        <f t="array" ref="X151">IFERROR(_xlfn.IFS(V151=0,0,V151="","",W151=0,V151,OR(V151&lt;&gt;0,V151&lt;&gt;""),H151*I151),V151*(1-W151))</f>
        <v>3582</v>
      </c>
      <c r="Z151" s="6">
        <f>IFERROR(IF(B151="","",SUMIFS(Billing_Fallout!H:H,Billing_Fallout!N:N,B151)),0)</f>
        <v>0</v>
      </c>
      <c r="AA151" s="6">
        <f t="shared" si="38"/>
        <v>0</v>
      </c>
      <c r="AB151" s="6">
        <f>IFERROR(IF(B151="","",SUMIFS(Billing_Fallout!J:J,Billing_Fallout!N:N,B151)),0)</f>
        <v>0</v>
      </c>
      <c r="AD151" s="6">
        <f t="shared" si="39"/>
        <v>3582</v>
      </c>
      <c r="AF151" t="str">
        <f>IFERROR(INDEX(H_Tables!$B$1:$B$1500,MATCH(INDEX(SF_Output!$J$1:$J$400,MATCH(B151,SF_Output!$M$1:$M$400,0)),H_Tables!$A$1:$A$1500,0)),"")</f>
        <v>Exclusion</v>
      </c>
      <c r="AI151" s="119" t="str">
        <f t="shared" si="40"/>
        <v/>
      </c>
      <c r="AJ151" s="121">
        <f>IFERROR(INDEX(SF_Output!AD:AD,MATCH(_xlfn.TEXTJOIN(",",TRUE,B151:E151),SF_Output!AC1:AC400,0)),0.05)</f>
        <v>116</v>
      </c>
      <c r="AK151" t="str">
        <f>IF(SUMIFS(SF_Output!$F$1:$F$400,SF_Output!$AC$1:$AC$400,_xlfn.TEXTJOIN(",",TRUE,B151:E151))+SUMIFS(SF_Output!$G$1:$G$400,SF_Output!$AC$1:$AC$400,_xlfn.TEXTJOIN(",",TRUE,B151:E151))=0,"","PAP")</f>
        <v>PAP</v>
      </c>
      <c r="AQ151" s="35"/>
      <c r="AR151" s="35" t="str" cm="1">
        <f t="array" ref="AR151">IFERROR(_xlfn.IFS(AND(E151*1=1,F151="Included"),"Change to Included",AND(E151*1=0,F151="Optional"),"Change to Optional",OR(B151="",F151="replaced"),""),"")</f>
        <v/>
      </c>
      <c r="AS151" s="35" t="str">
        <f t="shared" si="41"/>
        <v/>
      </c>
      <c r="AT151" s="35" t="str">
        <f t="shared" si="42"/>
        <v/>
      </c>
      <c r="AU151" s="35" t="str">
        <f t="shared" si="43"/>
        <v/>
      </c>
      <c r="AV151" s="35" t="str">
        <f t="shared" si="44"/>
        <v/>
      </c>
      <c r="AW151" s="35" t="str">
        <f t="shared" si="45"/>
        <v/>
      </c>
      <c r="AX151" s="35" t="str">
        <f t="shared" si="46"/>
        <v/>
      </c>
      <c r="AY151" s="35" t="str">
        <f t="shared" si="47"/>
        <v/>
      </c>
      <c r="AZ151" s="35" t="str">
        <f t="shared" si="48"/>
        <v/>
      </c>
      <c r="BA151" s="35" t="str">
        <f t="shared" si="49"/>
        <v/>
      </c>
      <c r="BB151" s="35" t="str">
        <f t="shared" si="50"/>
        <v/>
      </c>
      <c r="BC151" s="35"/>
      <c r="BE151" s="35">
        <f ca="1">INDEX(SF_Output!$AA$2:$AA$400,MATCH($B151,SF_Output!$M$2:$M$400,0))</f>
        <v>7</v>
      </c>
      <c r="BF151" s="35" t="str">
        <f ca="1">INDEX(SF_Output!$AB$2:$AB$400,MATCH($B151,SF_Output!$M$2:$M$400,0))</f>
        <v/>
      </c>
    </row>
    <row r="152" spans="2:58" x14ac:dyDescent="0.25">
      <c r="B152" t="s">
        <v>2292</v>
      </c>
      <c r="C152" t="s">
        <v>2122</v>
      </c>
      <c r="D152" t="s">
        <v>2123</v>
      </c>
      <c r="E152" t="s">
        <v>2124</v>
      </c>
      <c r="F152" s="116" t="str">
        <f t="shared" si="34"/>
        <v>Included</v>
      </c>
      <c r="G152" t="str">
        <f>IF(B152="","",INDEX(SF_Output!$K$1:$K$400,MATCH(B152,SF_Output!$M$1:$M$400,0)))</f>
        <v>Fraud</v>
      </c>
      <c r="H152" cm="1">
        <f t="array" ref="H152">_xlfn.IFS(B152="","",(SUMIFS(SF_Output!$F$1:$F$400,SF_Output!$AC$1:$AC$400,_xlfn.TEXTJOIN(",",TRUE,B152:E152))+SUMIFS(SF_Output!$G$1:$G$400,SF_Output!$AC$1:$AC$400,_xlfn.TEXTJOIN(",",TRUE,B152:E152)))&lt;&gt;0,SF_Output!$Y$2,INDEX(SF_Output!$F$1:$F$400,MATCH(_xlfn.TEXTJOIN(",",TRUE,B152:E152),SF_Output!$AC$1:$AC$400,0))=0,INDEX(SF_Output!$R$1:$R$400,MATCH(_xlfn.TEXTJOIN(",",TRUE,B152:E152),SF_Output!$AC$1:$AC$400,0)))</f>
        <v>1</v>
      </c>
      <c r="I152" s="125" t="str">
        <f>IFERROR(IF(AND(H152&gt;1,H152&lt;&gt;""),ROUND(SUMIFS(SF_Output!$S$1:$S$400,SF_Output!$AC$1:$AC$400,_xlfn.TEXTJOIN(",",TRUE,B152:E152),SF_Output!$Q$1:$Q$400,"monthly")*(1-W152)/H152,4),""),"")</f>
        <v/>
      </c>
      <c r="J152" s="6">
        <f>IF(B152="","",SUMIFS(SF_Output!$S$1:$S$400,SF_Output!$AC$1:$AC$400,_xlfn.TEXTJOIN(",",TRUE,B152:E152),SF_Output!$Q$1:$Q$400,"One Time",SF_Output!$L$1:$L$400,"license fee")+SUMIFS(SF_Output!$S$1:$S$400,SF_Output!$AC$1:$AC$400,_xlfn.TEXTJOIN(",",TRUE,B152:E152),SF_Output!$Q$1:$Q$400,"One Time",SF_Output!$L$1:$L$400,"software license")+SUMIFS(SF_Output!$S$1:$S$400,SF_Output!$AC$1:$AC$400,_xlfn.TEXTJOIN(",",TRUE,B152:E152),SF_Output!$Q$1:$Q$400,"One Time",SF_Output!$L$1:$L$400,"hardware"))</f>
        <v>0</v>
      </c>
      <c r="K152" s="112" t="str">
        <f>IF(OR(B152=0,B152="",G152="hardware",J152=0),"",IF(AF152&lt;&gt;"exclusion",MAX(K$9,-((SUMIFS(SF_Output!$T$1:$T$400,SF_Output!$AC$1:$AC$400,_xlfn.TEXTJOIN(",",TRUE,$B152:$E152),SF_Output!$Q$1:$Q$400,"One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license"))/J152)))</f>
        <v/>
      </c>
      <c r="L152" s="6">
        <f t="shared" si="35"/>
        <v>0</v>
      </c>
      <c r="N152" s="6">
        <f>IF(B152="","",SUMIFS(SF_Output!$S$1:$S$400,SF_Output!$AC$1:$AC$400,_xlfn.TEXTJOIN(",",TRUE,B152:E152),SF_Output!$Q$1:$Q$400,"One Time",SF_Output!$L$1:$L$400,"professional service"))</f>
        <v>6000</v>
      </c>
      <c r="O152" s="112">
        <f>IF(OR(B152=0,B152="",N152=0),"",IF(AF152&lt;&gt;"exclusion",MAX(O$9,-(SUMIFS(SF_Output!$T$1:$T$400,SF_Output!$AC$1:$AC$400,_xlfn.TEXTJOIN(",",TRUE,$B152:$E152),SF_Output!$Q$1:$Q$400,"One Time",SF_Output!$L$1:$L$400,"professional service"))/N152),-((SUMIFS(SF_Output!$T$1:$T$400,SF_Output!$AC$1:$AC$400,_xlfn.TEXTJOIN(",",TRUE,$B152:$E152),SF_Output!$Q$1:$Q$400,"One Time",SF_Output!$L$1:$L$400,"professional service")/N152))))</f>
        <v>0</v>
      </c>
      <c r="P152" s="6">
        <f t="shared" si="36"/>
        <v>6000</v>
      </c>
      <c r="R152" s="6">
        <f>IF(B152="","",SUMIFS(SF_Output!$S$1:$S$400,SF_Output!$AC$1:$AC$400,_xlfn.TEXTJOIN(",",TRUE,B152:E152),SF_Output!$Q$1:$Q$400,"yearly")+SUMIFS(SF_Output!$S$1:$S$400,SF_Output!$AC$1:$AC$400,_xlfn.TEXTJOIN(",",TRUE,B152:E152),SF_Output!$Q$1:$Q$400,"quarterly")*4)</f>
        <v>0</v>
      </c>
      <c r="S152" s="112" t="str">
        <f>IF(OR(B152=0,B152="",G152="hardware",R152=0),"",IF(AF152&lt;&gt;"exclusion",MAX(S$9,-(SUMIFS(SF_Output!$T$1:$T$400,SF_Output!$AC$1:$AC$400,_xlfn.TEXTJOIN(",",TRUE,$B152:$E152),SF_Output!$Q$1:$Q$400,"yearly"))/R152),-((SUMIFS(SF_Output!$T$1:$T$400,SF_Output!$AC$1:$AC$400,_xlfn.TEXTJOIN(",",TRUE,$B152:$E152),SF_Output!$Q$1:$Q$400,"yearly")/R152))))</f>
        <v/>
      </c>
      <c r="T152" s="6">
        <f t="shared" si="37"/>
        <v>0</v>
      </c>
      <c r="V152" s="6" cm="1">
        <f t="array" ref="V152">_xlfn.IFS(B152="","",AND(B152&lt;&gt;"",H152=SF_Output!$Y$2,SUMIFS(SF_Output!$T$1:$T$400,SF_Output!$AC$1:$AC$400,_xlfn.TEXTJOIN(",",TRUE,B152:E152),SF_Output!$Q$1:$Q$400,"monthly")=0),(SUMIFS(SF_Output!$F$1:$F$400,SF_Output!$AC$1:$AC$400,_xlfn.TEXTJOIN(",",TRUE,B152:E152),SF_Output!$Q$1:$Q$400,"monthly")+SUMIFS(SF_Output!$G$1:$G$400,SF_Output!$AC$1:$AC$400,_xlfn.TEXTJOIN(",",TRUE,B152:E152),SF_Output!$Q$1:$Q$400,"monthly"))*H152,AND(B152&lt;&gt;"",H152=SF_Output!$Y$2,SUMIFS(SF_Output!$T$1:$T$400,SF_Output!$AC$1:$AC$400,_xlfn.TEXTJOIN(",",TRUE,B152:E152),SF_Output!$Q$1:$Q$400,"monthly")&lt;&gt;0),SUMIFS(SF_Output!$S$1:$S$400,SF_Output!$AC$1:$AC$400,_xlfn.TEXTJOIN(",",TRUE,B152:E152),SF_Output!$Q$1:$Q$400,"monthly"),AND(B152&lt;&gt;"",H152&lt;&gt;SF_Output!$Y$2),SUMIFS(SF_Output!$S$1:$S$400,SF_Output!$AC$1:$AC$400,_xlfn.TEXTJOIN(",",TRUE,B152:E152),SF_Output!$Q$1:$Q$400,"monthly"))</f>
        <v>2000</v>
      </c>
      <c r="W152" s="112" cm="1">
        <f t="array" ref="W152">_xlfn.IFS(OR(B152=0,B152="",V152=0),"",AF152&lt;&gt;"exclusion",MAX($W$9,$W$7,(-(SUMIFS(SF_Output!$T$1:$T$400,SF_Output!$AC$1:$AC$400,_xlfn.TEXTJOIN(",",TRUE,$B152:$E152),SF_Output!$Q$1:$Q$400,"monthly"))/V152)),AF152="exclusion",-(SUMIFS(SF_Output!$T$1:$T$400,SF_Output!$AC$1:$AC$400,_xlfn.TEXTJOIN(",",TRUE,$B152:$E152),SF_Output!$Q$1:$Q$400,"monthly"))/V152)</f>
        <v>0</v>
      </c>
      <c r="X152" s="6" cm="1">
        <f t="array" ref="X152">IFERROR(_xlfn.IFS(V152=0,0,V152="","",W152=0,V152,OR(V152&lt;&gt;0,V152&lt;&gt;""),H152*I152),V152*(1-W152))</f>
        <v>2000</v>
      </c>
      <c r="Z152" s="6">
        <f>IFERROR(IF(B152="","",SUMIFS(Billing_Fallout!H:H,Billing_Fallout!N:N,B152)),0)</f>
        <v>0</v>
      </c>
      <c r="AA152" s="6">
        <f t="shared" si="38"/>
        <v>0</v>
      </c>
      <c r="AB152" s="6">
        <f>IFERROR(IF(B152="","",SUMIFS(Billing_Fallout!J:J,Billing_Fallout!N:N,B152)),0)</f>
        <v>0</v>
      </c>
      <c r="AD152" s="6">
        <f t="shared" si="39"/>
        <v>2000</v>
      </c>
      <c r="AF152" t="str">
        <f>IFERROR(INDEX(H_Tables!$B$1:$B$1500,MATCH(INDEX(SF_Output!$J$1:$J$400,MATCH(B152,SF_Output!$M$1:$M$400,0)),H_Tables!$A$1:$A$1500,0)),"")</f>
        <v>Exclusion</v>
      </c>
      <c r="AI152" s="119" t="str">
        <f t="shared" si="40"/>
        <v/>
      </c>
      <c r="AJ152" s="121">
        <f>IFERROR(INDEX(SF_Output!AD:AD,MATCH(_xlfn.TEXTJOIN(",",TRUE,B152:E152),SF_Output!AC1:AC400,0)),0.05)</f>
        <v>118</v>
      </c>
      <c r="AK152" t="str">
        <f>IF(SUMIFS(SF_Output!$F$1:$F$400,SF_Output!$AC$1:$AC$400,_xlfn.TEXTJOIN(",",TRUE,B152:E152))+SUMIFS(SF_Output!$G$1:$G$400,SF_Output!$AC$1:$AC$400,_xlfn.TEXTJOIN(",",TRUE,B152:E152))=0,"","PAP")</f>
        <v/>
      </c>
      <c r="AQ152" s="35"/>
      <c r="AR152" s="35" t="str" cm="1">
        <f t="array" ref="AR152">IFERROR(_xlfn.IFS(AND(E152*1=1,F152="Included"),"Change to Included",AND(E152*1=0,F152="Optional"),"Change to Optional",OR(B152="",F152="replaced"),""),"")</f>
        <v/>
      </c>
      <c r="AS152" s="35" t="str">
        <f t="shared" si="41"/>
        <v/>
      </c>
      <c r="AT152" s="35" t="str">
        <f t="shared" si="42"/>
        <v/>
      </c>
      <c r="AU152" s="35" t="str">
        <f t="shared" si="43"/>
        <v/>
      </c>
      <c r="AV152" s="35" t="str">
        <f t="shared" si="44"/>
        <v/>
      </c>
      <c r="AW152" s="35" t="str">
        <f t="shared" si="45"/>
        <v/>
      </c>
      <c r="AX152" s="35" t="str">
        <f t="shared" si="46"/>
        <v/>
      </c>
      <c r="AY152" s="35" t="str">
        <f t="shared" si="47"/>
        <v/>
      </c>
      <c r="AZ152" s="35" t="str">
        <f t="shared" si="48"/>
        <v/>
      </c>
      <c r="BA152" s="35" t="str">
        <f t="shared" si="49"/>
        <v/>
      </c>
      <c r="BB152" s="35" t="str">
        <f t="shared" si="50"/>
        <v/>
      </c>
      <c r="BC152" s="35"/>
      <c r="BE152" s="35">
        <f ca="1">INDEX(SF_Output!$AA$2:$AA$400,MATCH($B152,SF_Output!$M$2:$M$400,0))</f>
        <v>7</v>
      </c>
      <c r="BF152" s="35" t="str">
        <f ca="1">INDEX(SF_Output!$AB$2:$AB$400,MATCH($B152,SF_Output!$M$2:$M$400,0))</f>
        <v/>
      </c>
    </row>
    <row r="153" spans="2:58" x14ac:dyDescent="0.25">
      <c r="B153" t="s">
        <v>1762</v>
      </c>
      <c r="C153" t="s">
        <v>2122</v>
      </c>
      <c r="D153" t="s">
        <v>2123</v>
      </c>
      <c r="E153" t="s">
        <v>2124</v>
      </c>
      <c r="F153" s="116" t="str">
        <f t="shared" si="34"/>
        <v>Included</v>
      </c>
      <c r="G153" t="str">
        <f>IF(B153="","",INDEX(SF_Output!$K$1:$K$400,MATCH(B153,SF_Output!$M$1:$M$400,0)))</f>
        <v>Fraud</v>
      </c>
      <c r="H153" cm="1">
        <f t="array" ref="H153">_xlfn.IFS(B153="","",(SUMIFS(SF_Output!$F$1:$F$400,SF_Output!$AC$1:$AC$400,_xlfn.TEXTJOIN(",",TRUE,B153:E153))+SUMIFS(SF_Output!$G$1:$G$400,SF_Output!$AC$1:$AC$400,_xlfn.TEXTJOIN(",",TRUE,B153:E153)))&lt;&gt;0,SF_Output!$Y$2,INDEX(SF_Output!$F$1:$F$400,MATCH(_xlfn.TEXTJOIN(",",TRUE,B153:E153),SF_Output!$AC$1:$AC$400,0))=0,INDEX(SF_Output!$R$1:$R$400,MATCH(_xlfn.TEXTJOIN(",",TRUE,B153:E153),SF_Output!$AC$1:$AC$400,0)))</f>
        <v>1</v>
      </c>
      <c r="I153" s="125" t="str">
        <f>IFERROR(IF(AND(H153&gt;1,H153&lt;&gt;""),ROUND(SUMIFS(SF_Output!$S$1:$S$400,SF_Output!$AC$1:$AC$400,_xlfn.TEXTJOIN(",",TRUE,B153:E153),SF_Output!$Q$1:$Q$400,"monthly")*(1-W153)/H153,4),""),"")</f>
        <v/>
      </c>
      <c r="J153" s="6">
        <f>IF(B153="","",SUMIFS(SF_Output!$S$1:$S$400,SF_Output!$AC$1:$AC$400,_xlfn.TEXTJOIN(",",TRUE,B153:E153),SF_Output!$Q$1:$Q$400,"One Time",SF_Output!$L$1:$L$400,"license fee")+SUMIFS(SF_Output!$S$1:$S$400,SF_Output!$AC$1:$AC$400,_xlfn.TEXTJOIN(",",TRUE,B153:E153),SF_Output!$Q$1:$Q$400,"One Time",SF_Output!$L$1:$L$400,"software license")+SUMIFS(SF_Output!$S$1:$S$400,SF_Output!$AC$1:$AC$400,_xlfn.TEXTJOIN(",",TRUE,B153:E153),SF_Output!$Q$1:$Q$400,"One Time",SF_Output!$L$1:$L$400,"hardware"))</f>
        <v>0</v>
      </c>
      <c r="K153" s="112" t="str">
        <f>IF(OR(B153=0,B153="",G153="hardware",J153=0),"",IF(AF153&lt;&gt;"exclusion",MAX(K$9,-((SUMIFS(SF_Output!$T$1:$T$400,SF_Output!$AC$1:$AC$400,_xlfn.TEXTJOIN(",",TRUE,$B153:$E153),SF_Output!$Q$1:$Q$400,"One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license"))/J153)))</f>
        <v/>
      </c>
      <c r="L153" s="6">
        <f t="shared" si="35"/>
        <v>0</v>
      </c>
      <c r="N153" s="6">
        <f>IF(B153="","",SUMIFS(SF_Output!$S$1:$S$400,SF_Output!$AC$1:$AC$400,_xlfn.TEXTJOIN(",",TRUE,B153:E153),SF_Output!$Q$1:$Q$400,"One Time",SF_Output!$L$1:$L$400,"professional service"))</f>
        <v>28500</v>
      </c>
      <c r="O153" s="112">
        <f>IF(OR(B153=0,B153="",N153=0),"",IF(AF153&lt;&gt;"exclusion",MAX(O$9,-(SUMIFS(SF_Output!$T$1:$T$400,SF_Output!$AC$1:$AC$400,_xlfn.TEXTJOIN(",",TRUE,$B153:$E153),SF_Output!$Q$1:$Q$400,"One Time",SF_Output!$L$1:$L$400,"professional service"))/N153),-((SUMIFS(SF_Output!$T$1:$T$400,SF_Output!$AC$1:$AC$400,_xlfn.TEXTJOIN(",",TRUE,$B153:$E153),SF_Output!$Q$1:$Q$400,"One Time",SF_Output!$L$1:$L$400,"professional service")/N153))))</f>
        <v>0</v>
      </c>
      <c r="P153" s="6">
        <f t="shared" si="36"/>
        <v>28500</v>
      </c>
      <c r="R153" s="6">
        <f>IF(B153="","",SUMIFS(SF_Output!$S$1:$S$400,SF_Output!$AC$1:$AC$400,_xlfn.TEXTJOIN(",",TRUE,B153:E153),SF_Output!$Q$1:$Q$400,"yearly")+SUMIFS(SF_Output!$S$1:$S$400,SF_Output!$AC$1:$AC$400,_xlfn.TEXTJOIN(",",TRUE,B153:E153),SF_Output!$Q$1:$Q$400,"quarterly")*4)</f>
        <v>0</v>
      </c>
      <c r="S153" s="112" t="str">
        <f>IF(OR(B153=0,B153="",G153="hardware",R153=0),"",IF(AF153&lt;&gt;"exclusion",MAX(S$9,-(SUMIFS(SF_Output!$T$1:$T$400,SF_Output!$AC$1:$AC$400,_xlfn.TEXTJOIN(",",TRUE,$B153:$E153),SF_Output!$Q$1:$Q$400,"yearly"))/R153),-((SUMIFS(SF_Output!$T$1:$T$400,SF_Output!$AC$1:$AC$400,_xlfn.TEXTJOIN(",",TRUE,$B153:$E153),SF_Output!$Q$1:$Q$400,"yearly")/R153))))</f>
        <v/>
      </c>
      <c r="T153" s="6">
        <f t="shared" si="37"/>
        <v>0</v>
      </c>
      <c r="V153" s="6" cm="1">
        <f t="array" ref="V153">_xlfn.IFS(B153="","",AND(B153&lt;&gt;"",H153=SF_Output!$Y$2,SUMIFS(SF_Output!$T$1:$T$400,SF_Output!$AC$1:$AC$400,_xlfn.TEXTJOIN(",",TRUE,B153:E153),SF_Output!$Q$1:$Q$400,"monthly")=0),(SUMIFS(SF_Output!$F$1:$F$400,SF_Output!$AC$1:$AC$400,_xlfn.TEXTJOIN(",",TRUE,B153:E153),SF_Output!$Q$1:$Q$400,"monthly")+SUMIFS(SF_Output!$G$1:$G$400,SF_Output!$AC$1:$AC$400,_xlfn.TEXTJOIN(",",TRUE,B153:E153),SF_Output!$Q$1:$Q$400,"monthly"))*H153,AND(B153&lt;&gt;"",H153=SF_Output!$Y$2,SUMIFS(SF_Output!$T$1:$T$400,SF_Output!$AC$1:$AC$400,_xlfn.TEXTJOIN(",",TRUE,B153:E153),SF_Output!$Q$1:$Q$400,"monthly")&lt;&gt;0),SUMIFS(SF_Output!$S$1:$S$400,SF_Output!$AC$1:$AC$400,_xlfn.TEXTJOIN(",",TRUE,B153:E153),SF_Output!$Q$1:$Q$400,"monthly"),AND(B153&lt;&gt;"",H153&lt;&gt;SF_Output!$Y$2),SUMIFS(SF_Output!$S$1:$S$400,SF_Output!$AC$1:$AC$400,_xlfn.TEXTJOIN(",",TRUE,B153:E153),SF_Output!$Q$1:$Q$400,"monthly"))</f>
        <v>0</v>
      </c>
      <c r="W153" s="112" t="str" cm="1">
        <f t="array" ref="W153">_xlfn.IFS(OR(B153=0,B153="",V153=0),"",AF153&lt;&gt;"exclusion",MAX($W$9,$W$7,(-(SUMIFS(SF_Output!$T$1:$T$400,SF_Output!$AC$1:$AC$400,_xlfn.TEXTJOIN(",",TRUE,$B153:$E153),SF_Output!$Q$1:$Q$400,"monthly"))/V153)),AF153="exclusion",-(SUMIFS(SF_Output!$T$1:$T$400,SF_Output!$AC$1:$AC$400,_xlfn.TEXTJOIN(",",TRUE,$B153:$E153),SF_Output!$Q$1:$Q$400,"monthly"))/V153)</f>
        <v/>
      </c>
      <c r="X153" s="6" cm="1">
        <f t="array" ref="X153">IFERROR(_xlfn.IFS(V153=0,0,V153="","",W153=0,V153,OR(V153&lt;&gt;0,V153&lt;&gt;""),H153*I153),V153*(1-W153))</f>
        <v>0</v>
      </c>
      <c r="Z153" s="6">
        <f>IFERROR(IF(B153="","",SUMIFS(Billing_Fallout!H:H,Billing_Fallout!N:N,B153)),0)</f>
        <v>0</v>
      </c>
      <c r="AA153" s="6">
        <f t="shared" si="38"/>
        <v>0</v>
      </c>
      <c r="AB153" s="6">
        <f>IFERROR(IF(B153="","",SUMIFS(Billing_Fallout!J:J,Billing_Fallout!N:N,B153)),0)</f>
        <v>0</v>
      </c>
      <c r="AD153" s="6">
        <f t="shared" si="39"/>
        <v>0</v>
      </c>
      <c r="AF153" t="str">
        <f>IFERROR(INDEX(H_Tables!$B$1:$B$1500,MATCH(INDEX(SF_Output!$J$1:$J$400,MATCH(B153,SF_Output!$M$1:$M$400,0)),H_Tables!$A$1:$A$1500,0)),"")</f>
        <v>Exclusion</v>
      </c>
      <c r="AI153" s="119" t="str">
        <f t="shared" si="40"/>
        <v/>
      </c>
      <c r="AJ153" s="121">
        <f>IFERROR(INDEX(SF_Output!AD:AD,MATCH(_xlfn.TEXTJOIN(",",TRUE,B153:E153),SF_Output!AC1:AC400,0)),0.05)</f>
        <v>120</v>
      </c>
      <c r="AK153" t="str">
        <f>IF(SUMIFS(SF_Output!$F$1:$F$400,SF_Output!$AC$1:$AC$400,_xlfn.TEXTJOIN(",",TRUE,B153:E153))+SUMIFS(SF_Output!$G$1:$G$400,SF_Output!$AC$1:$AC$400,_xlfn.TEXTJOIN(",",TRUE,B153:E153))=0,"","PAP")</f>
        <v/>
      </c>
      <c r="AQ153" s="35"/>
      <c r="AR153" s="35" t="str" cm="1">
        <f t="array" ref="AR153">IFERROR(_xlfn.IFS(AND(E153*1=1,F153="Included"),"Change to Included",AND(E153*1=0,F153="Optional"),"Change to Optional",OR(B153="",F153="replaced"),""),"")</f>
        <v/>
      </c>
      <c r="AS153" s="35" t="str">
        <f t="shared" si="41"/>
        <v/>
      </c>
      <c r="AT153" s="35" t="str">
        <f t="shared" si="42"/>
        <v/>
      </c>
      <c r="AU153" s="35" t="str">
        <f t="shared" si="43"/>
        <v/>
      </c>
      <c r="AV153" s="35" t="str">
        <f t="shared" si="44"/>
        <v/>
      </c>
      <c r="AW153" s="35" t="str">
        <f t="shared" si="45"/>
        <v/>
      </c>
      <c r="AX153" s="35" t="str">
        <f t="shared" si="46"/>
        <v/>
      </c>
      <c r="AY153" s="35" t="str">
        <f t="shared" si="47"/>
        <v/>
      </c>
      <c r="AZ153" s="35" t="str">
        <f t="shared" si="48"/>
        <v/>
      </c>
      <c r="BA153" s="35" t="str">
        <f t="shared" si="49"/>
        <v/>
      </c>
      <c r="BB153" s="35" t="str">
        <f t="shared" si="50"/>
        <v/>
      </c>
      <c r="BC153" s="35"/>
      <c r="BE153" s="35">
        <f ca="1">INDEX(SF_Output!$AA$2:$AA$400,MATCH($B153,SF_Output!$M$2:$M$400,0))</f>
        <v>7</v>
      </c>
      <c r="BF153" s="35" t="str">
        <f ca="1">INDEX(SF_Output!$AB$2:$AB$400,MATCH($B153,SF_Output!$M$2:$M$400,0))</f>
        <v/>
      </c>
    </row>
    <row r="154" spans="2:58" x14ac:dyDescent="0.25">
      <c r="B154" t="s">
        <v>640</v>
      </c>
      <c r="C154" t="s">
        <v>2122</v>
      </c>
      <c r="D154" t="s">
        <v>2306</v>
      </c>
      <c r="E154" t="s">
        <v>2124</v>
      </c>
      <c r="F154" s="116" t="str">
        <f t="shared" si="34"/>
        <v>Included</v>
      </c>
      <c r="G154" t="str">
        <f>IF(B154="","",INDEX(SF_Output!$K$1:$K$400,MATCH(B154,SF_Output!$M$1:$M$400,0)))</f>
        <v>jhaEnterprise Workflow</v>
      </c>
      <c r="H154" cm="1">
        <f t="array" ref="H154">_xlfn.IFS(B154="","",(SUMIFS(SF_Output!$F$1:$F$400,SF_Output!$AC$1:$AC$400,_xlfn.TEXTJOIN(",",TRUE,B154:E154))+SUMIFS(SF_Output!$G$1:$G$400,SF_Output!$AC$1:$AC$400,_xlfn.TEXTJOIN(",",TRUE,B154:E154)))&lt;&gt;0,SF_Output!$Y$2,INDEX(SF_Output!$F$1:$F$400,MATCH(_xlfn.TEXTJOIN(",",TRUE,B154:E154),SF_Output!$AC$1:$AC$400,0))=0,INDEX(SF_Output!$R$1:$R$400,MATCH(_xlfn.TEXTJOIN(",",TRUE,B154:E154),SF_Output!$AC$1:$AC$400,0)))</f>
        <v>5000</v>
      </c>
      <c r="I154" s="125">
        <f>IFERROR(IF(AND(H154&gt;1,H154&lt;&gt;""),ROUND(SUMIFS(SF_Output!$S$1:$S$400,SF_Output!$AC$1:$AC$400,_xlfn.TEXTJOIN(",",TRUE,B154:E154),SF_Output!$Q$1:$Q$400,"monthly")*(1-W154)/H154,4),""),"")</f>
        <v>0.1605</v>
      </c>
      <c r="J154" s="6">
        <f>IF(B154="","",SUMIFS(SF_Output!$S$1:$S$400,SF_Output!$AC$1:$AC$400,_xlfn.TEXTJOIN(",",TRUE,B154:E154),SF_Output!$Q$1:$Q$400,"One Time",SF_Output!$L$1:$L$400,"license fee")+SUMIFS(SF_Output!$S$1:$S$400,SF_Output!$AC$1:$AC$400,_xlfn.TEXTJOIN(",",TRUE,B154:E154),SF_Output!$Q$1:$Q$400,"One Time",SF_Output!$L$1:$L$400,"software license")+SUMIFS(SF_Output!$S$1:$S$400,SF_Output!$AC$1:$AC$400,_xlfn.TEXTJOIN(",",TRUE,B154:E154),SF_Output!$Q$1:$Q$400,"One Time",SF_Output!$L$1:$L$400,"hardware"))</f>
        <v>0</v>
      </c>
      <c r="K154" s="112" t="str">
        <f>IF(OR(B154=0,B154="",G154="hardware",J154=0),"",IF(AF154&lt;&gt;"exclusion",MAX(K$9,-((SUMIFS(SF_Output!$T$1:$T$400,SF_Output!$AC$1:$AC$400,_xlfn.TEXTJOIN(",",TRUE,$B154:$E154),SF_Output!$Q$1:$Q$400,"One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license"))/J154)))</f>
        <v/>
      </c>
      <c r="L154" s="6">
        <f t="shared" si="35"/>
        <v>0</v>
      </c>
      <c r="N154" s="6">
        <f>IF(B154="","",SUMIFS(SF_Output!$S$1:$S$400,SF_Output!$AC$1:$AC$400,_xlfn.TEXTJOIN(",",TRUE,B154:E154),SF_Output!$Q$1:$Q$400,"One Time",SF_Output!$L$1:$L$400,"professional service"))</f>
        <v>10000</v>
      </c>
      <c r="O154" s="112">
        <f>IF(OR(B154=0,B154="",N154=0),"",IF(AF154&lt;&gt;"exclusion",MAX(O$9,-(SUMIFS(SF_Output!$T$1:$T$400,SF_Output!$AC$1:$AC$400,_xlfn.TEXTJOIN(",",TRUE,$B154:$E154),SF_Output!$Q$1:$Q$400,"One Time",SF_Output!$L$1:$L$400,"professional service"))/N154),-((SUMIFS(SF_Output!$T$1:$T$400,SF_Output!$AC$1:$AC$400,_xlfn.TEXTJOIN(",",TRUE,$B154:$E154),SF_Output!$Q$1:$Q$400,"One Time",SF_Output!$L$1:$L$400,"professional service")/N154))))</f>
        <v>1</v>
      </c>
      <c r="P154" s="6">
        <f t="shared" si="36"/>
        <v>0</v>
      </c>
      <c r="R154" s="6">
        <f>IF(B154="","",SUMIFS(SF_Output!$S$1:$S$400,SF_Output!$AC$1:$AC$400,_xlfn.TEXTJOIN(",",TRUE,B154:E154),SF_Output!$Q$1:$Q$400,"yearly")+SUMIFS(SF_Output!$S$1:$S$400,SF_Output!$AC$1:$AC$400,_xlfn.TEXTJOIN(",",TRUE,B154:E154),SF_Output!$Q$1:$Q$400,"quarterly")*4)</f>
        <v>0</v>
      </c>
      <c r="S154" s="112" t="str">
        <f>IF(OR(B154=0,B154="",G154="hardware",R154=0),"",IF(AF154&lt;&gt;"exclusion",MAX(S$9,-(SUMIFS(SF_Output!$T$1:$T$400,SF_Output!$AC$1:$AC$400,_xlfn.TEXTJOIN(",",TRUE,$B154:$E154),SF_Output!$Q$1:$Q$400,"yearly"))/R154),-((SUMIFS(SF_Output!$T$1:$T$400,SF_Output!$AC$1:$AC$400,_xlfn.TEXTJOIN(",",TRUE,$B154:$E154),SF_Output!$Q$1:$Q$400,"yearly")/R154))))</f>
        <v/>
      </c>
      <c r="T154" s="6">
        <f t="shared" si="37"/>
        <v>0</v>
      </c>
      <c r="V154" s="6" cm="1">
        <f t="array" ref="V154">_xlfn.IFS(B154="","",AND(B154&lt;&gt;"",H154=SF_Output!$Y$2,SUMIFS(SF_Output!$T$1:$T$400,SF_Output!$AC$1:$AC$400,_xlfn.TEXTJOIN(",",TRUE,B154:E154),SF_Output!$Q$1:$Q$400,"monthly")=0),(SUMIFS(SF_Output!$F$1:$F$400,SF_Output!$AC$1:$AC$400,_xlfn.TEXTJOIN(",",TRUE,B154:E154),SF_Output!$Q$1:$Q$400,"monthly")+SUMIFS(SF_Output!$G$1:$G$400,SF_Output!$AC$1:$AC$400,_xlfn.TEXTJOIN(",",TRUE,B154:E154),SF_Output!$Q$1:$Q$400,"monthly"))*H154,AND(B154&lt;&gt;"",H154=SF_Output!$Y$2,SUMIFS(SF_Output!$T$1:$T$400,SF_Output!$AC$1:$AC$400,_xlfn.TEXTJOIN(",",TRUE,B154:E154),SF_Output!$Q$1:$Q$400,"monthly")&lt;&gt;0),SUMIFS(SF_Output!$S$1:$S$400,SF_Output!$AC$1:$AC$400,_xlfn.TEXTJOIN(",",TRUE,B154:E154),SF_Output!$Q$1:$Q$400,"monthly"),AND(B154&lt;&gt;"",H154&lt;&gt;SF_Output!$Y$2),SUMIFS(SF_Output!$S$1:$S$400,SF_Output!$AC$1:$AC$400,_xlfn.TEXTJOIN(",",TRUE,B154:E154),SF_Output!$Q$1:$Q$400,"monthly"))</f>
        <v>1070</v>
      </c>
      <c r="W154" s="112" cm="1">
        <f t="array" ref="W154">_xlfn.IFS(OR(B154=0,B154="",V154=0),"",AF154&lt;&gt;"exclusion",MAX($W$9,$W$7,(-(SUMIFS(SF_Output!$T$1:$T$400,SF_Output!$AC$1:$AC$400,_xlfn.TEXTJOIN(",",TRUE,$B154:$E154),SF_Output!$Q$1:$Q$400,"monthly"))/V154)),AF154="exclusion",-(SUMIFS(SF_Output!$T$1:$T$400,SF_Output!$AC$1:$AC$400,_xlfn.TEXTJOIN(",",TRUE,$B154:$E154),SF_Output!$Q$1:$Q$400,"monthly"))/V154)</f>
        <v>0.25</v>
      </c>
      <c r="X154" s="6" cm="1">
        <f t="array" ref="X154">IFERROR(_xlfn.IFS(V154=0,0,V154="","",W154=0,V154,OR(V154&lt;&gt;0,V154&lt;&gt;""),H154*I154),V154*(1-W154))</f>
        <v>802.5</v>
      </c>
      <c r="Z154" s="6">
        <f>IFERROR(IF(B154="","",SUMIFS(Billing_Fallout!H:H,Billing_Fallout!N:N,B154)),0)</f>
        <v>0</v>
      </c>
      <c r="AA154" s="6">
        <f t="shared" si="38"/>
        <v>0</v>
      </c>
      <c r="AB154" s="6">
        <f>IFERROR(IF(B154="","",SUMIFS(Billing_Fallout!J:J,Billing_Fallout!N:N,B154)),0)</f>
        <v>0</v>
      </c>
      <c r="AD154" s="6">
        <f t="shared" si="39"/>
        <v>802.5</v>
      </c>
      <c r="AF154" t="str">
        <f>IFERROR(INDEX(H_Tables!$B$1:$B$1500,MATCH(INDEX(SF_Output!$J$1:$J$400,MATCH(B154,SF_Output!$M$1:$M$400,0)),H_Tables!$A$1:$A$1500,0)),"")</f>
        <v/>
      </c>
      <c r="AI154" s="119" t="str">
        <f t="shared" si="40"/>
        <v/>
      </c>
      <c r="AJ154" s="121">
        <f>IFERROR(INDEX(SF_Output!AD:AD,MATCH(_xlfn.TEXTJOIN(",",TRUE,B154:E154),SF_Output!AC1:AC400,0)),0.05)</f>
        <v>133</v>
      </c>
      <c r="AK154" t="str">
        <f>IF(SUMIFS(SF_Output!$F$1:$F$400,SF_Output!$AC$1:$AC$400,_xlfn.TEXTJOIN(",",TRUE,B154:E154))+SUMIFS(SF_Output!$G$1:$G$400,SF_Output!$AC$1:$AC$400,_xlfn.TEXTJOIN(",",TRUE,B154:E154))=0,"","PAP")</f>
        <v>PAP</v>
      </c>
      <c r="AQ154" s="35"/>
      <c r="AR154" s="35" t="str" cm="1">
        <f t="array" ref="AR154">IFERROR(_xlfn.IFS(AND(E154*1=1,F154="Included"),"Change to Included",AND(E154*1=0,F154="Optional"),"Change to Optional",OR(B154="",F154="replaced"),""),"")</f>
        <v/>
      </c>
      <c r="AS154" s="35" t="str">
        <f t="shared" si="41"/>
        <v/>
      </c>
      <c r="AT154" s="35" t="str">
        <f t="shared" si="42"/>
        <v/>
      </c>
      <c r="AU154" s="35" t="str">
        <f t="shared" si="43"/>
        <v/>
      </c>
      <c r="AV154" s="35" t="str">
        <f t="shared" si="44"/>
        <v/>
      </c>
      <c r="AW154" s="35" t="str">
        <f t="shared" si="45"/>
        <v/>
      </c>
      <c r="AX154" s="35" t="str">
        <f t="shared" si="46"/>
        <v/>
      </c>
      <c r="AY154" s="35" t="str">
        <f t="shared" si="47"/>
        <v/>
      </c>
      <c r="AZ154" s="35" t="str">
        <f t="shared" si="48"/>
        <v/>
      </c>
      <c r="BA154" s="35" t="str">
        <f t="shared" si="49"/>
        <v/>
      </c>
      <c r="BB154" s="35" t="str">
        <f t="shared" si="50"/>
        <v/>
      </c>
      <c r="BC154" s="35"/>
      <c r="BE154" s="35">
        <f ca="1">INDEX(SF_Output!$AA$2:$AA$400,MATCH($B154,SF_Output!$M$2:$M$400,0))</f>
        <v>7</v>
      </c>
      <c r="BF154" s="35">
        <f ca="1">INDEX(SF_Output!$AB$2:$AB$400,MATCH($B154,SF_Output!$M$2:$M$400,0))</f>
        <v>2</v>
      </c>
    </row>
    <row r="155" spans="2:58" x14ac:dyDescent="0.25">
      <c r="B155" t="s">
        <v>2310</v>
      </c>
      <c r="C155" t="s">
        <v>2122</v>
      </c>
      <c r="D155" t="s">
        <v>2306</v>
      </c>
      <c r="E155" t="s">
        <v>2124</v>
      </c>
      <c r="F155" s="116" t="str">
        <f t="shared" si="34"/>
        <v>Included</v>
      </c>
      <c r="G155" t="str">
        <f>IF(B155="","",INDEX(SF_Output!$K$1:$K$400,MATCH(B155,SF_Output!$M$1:$M$400,0)))</f>
        <v>jhaEnterprise Workflow</v>
      </c>
      <c r="H155" cm="1">
        <f t="array" ref="H155">_xlfn.IFS(B155="","",(SUMIFS(SF_Output!$F$1:$F$400,SF_Output!$AC$1:$AC$400,_xlfn.TEXTJOIN(",",TRUE,B155:E155))+SUMIFS(SF_Output!$G$1:$G$400,SF_Output!$AC$1:$AC$400,_xlfn.TEXTJOIN(",",TRUE,B155:E155)))&lt;&gt;0,SF_Output!$Y$2,INDEX(SF_Output!$F$1:$F$400,MATCH(_xlfn.TEXTJOIN(",",TRUE,B155:E155),SF_Output!$AC$1:$AC$400,0))=0,INDEX(SF_Output!$R$1:$R$400,MATCH(_xlfn.TEXTJOIN(",",TRUE,B155:E155),SF_Output!$AC$1:$AC$400,0)))</f>
        <v>5000</v>
      </c>
      <c r="I155" s="125">
        <f>IFERROR(IF(AND(H155&gt;1,H155&lt;&gt;""),ROUND(SUMIFS(SF_Output!$S$1:$S$400,SF_Output!$AC$1:$AC$400,_xlfn.TEXTJOIN(",",TRUE,B155:E155),SF_Output!$Q$1:$Q$400,"monthly")*(1-W155)/H155,4),""),"")</f>
        <v>0.1605</v>
      </c>
      <c r="J155" s="6">
        <f>IF(B155="","",SUMIFS(SF_Output!$S$1:$S$400,SF_Output!$AC$1:$AC$400,_xlfn.TEXTJOIN(",",TRUE,B155:E155),SF_Output!$Q$1:$Q$400,"One Time",SF_Output!$L$1:$L$400,"license fee")+SUMIFS(SF_Output!$S$1:$S$400,SF_Output!$AC$1:$AC$400,_xlfn.TEXTJOIN(",",TRUE,B155:E155),SF_Output!$Q$1:$Q$400,"One Time",SF_Output!$L$1:$L$400,"software license")+SUMIFS(SF_Output!$S$1:$S$400,SF_Output!$AC$1:$AC$400,_xlfn.TEXTJOIN(",",TRUE,B155:E155),SF_Output!$Q$1:$Q$400,"One Time",SF_Output!$L$1:$L$400,"hardware"))</f>
        <v>0</v>
      </c>
      <c r="K155" s="112" t="str">
        <f>IF(OR(B155=0,B155="",G155="hardware",J155=0),"",IF(AF155&lt;&gt;"exclusion",MAX(K$9,-((SUMIFS(SF_Output!$T$1:$T$400,SF_Output!$AC$1:$AC$400,_xlfn.TEXTJOIN(",",TRUE,$B155:$E155),SF_Output!$Q$1:$Q$400,"One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license"))/J155)))</f>
        <v/>
      </c>
      <c r="L155" s="6">
        <f t="shared" si="35"/>
        <v>0</v>
      </c>
      <c r="N155" s="6">
        <f>IF(B155="","",SUMIFS(SF_Output!$S$1:$S$400,SF_Output!$AC$1:$AC$400,_xlfn.TEXTJOIN(",",TRUE,B155:E155),SF_Output!$Q$1:$Q$400,"One Time",SF_Output!$L$1:$L$400,"professional service"))</f>
        <v>10000</v>
      </c>
      <c r="O155" s="112">
        <f>IF(OR(B155=0,B155="",N155=0),"",IF(AF155&lt;&gt;"exclusion",MAX(O$9,-(SUMIFS(SF_Output!$T$1:$T$400,SF_Output!$AC$1:$AC$400,_xlfn.TEXTJOIN(",",TRUE,$B155:$E155),SF_Output!$Q$1:$Q$400,"One Time",SF_Output!$L$1:$L$400,"professional service"))/N155),-((SUMIFS(SF_Output!$T$1:$T$400,SF_Output!$AC$1:$AC$400,_xlfn.TEXTJOIN(",",TRUE,$B155:$E155),SF_Output!$Q$1:$Q$400,"One Time",SF_Output!$L$1:$L$400,"professional service")/N155))))</f>
        <v>1</v>
      </c>
      <c r="P155" s="6">
        <f t="shared" si="36"/>
        <v>0</v>
      </c>
      <c r="R155" s="6">
        <f>IF(B155="","",SUMIFS(SF_Output!$S$1:$S$400,SF_Output!$AC$1:$AC$400,_xlfn.TEXTJOIN(",",TRUE,B155:E155),SF_Output!$Q$1:$Q$400,"yearly")+SUMIFS(SF_Output!$S$1:$S$400,SF_Output!$AC$1:$AC$400,_xlfn.TEXTJOIN(",",TRUE,B155:E155),SF_Output!$Q$1:$Q$400,"quarterly")*4)</f>
        <v>0</v>
      </c>
      <c r="S155" s="112" t="str">
        <f>IF(OR(B155=0,B155="",G155="hardware",R155=0),"",IF(AF155&lt;&gt;"exclusion",MAX(S$9,-(SUMIFS(SF_Output!$T$1:$T$400,SF_Output!$AC$1:$AC$400,_xlfn.TEXTJOIN(",",TRUE,$B155:$E155),SF_Output!$Q$1:$Q$400,"yearly"))/R155),-((SUMIFS(SF_Output!$T$1:$T$400,SF_Output!$AC$1:$AC$400,_xlfn.TEXTJOIN(",",TRUE,$B155:$E155),SF_Output!$Q$1:$Q$400,"yearly")/R155))))</f>
        <v/>
      </c>
      <c r="T155" s="6">
        <f t="shared" si="37"/>
        <v>0</v>
      </c>
      <c r="V155" s="6" cm="1">
        <f t="array" ref="V155">_xlfn.IFS(B155="","",AND(B155&lt;&gt;"",H155=SF_Output!$Y$2,SUMIFS(SF_Output!$T$1:$T$400,SF_Output!$AC$1:$AC$400,_xlfn.TEXTJOIN(",",TRUE,B155:E155),SF_Output!$Q$1:$Q$400,"monthly")=0),(SUMIFS(SF_Output!$F$1:$F$400,SF_Output!$AC$1:$AC$400,_xlfn.TEXTJOIN(",",TRUE,B155:E155),SF_Output!$Q$1:$Q$400,"monthly")+SUMIFS(SF_Output!$G$1:$G$400,SF_Output!$AC$1:$AC$400,_xlfn.TEXTJOIN(",",TRUE,B155:E155),SF_Output!$Q$1:$Q$400,"monthly"))*H155,AND(B155&lt;&gt;"",H155=SF_Output!$Y$2,SUMIFS(SF_Output!$T$1:$T$400,SF_Output!$AC$1:$AC$400,_xlfn.TEXTJOIN(",",TRUE,B155:E155),SF_Output!$Q$1:$Q$400,"monthly")&lt;&gt;0),SUMIFS(SF_Output!$S$1:$S$400,SF_Output!$AC$1:$AC$400,_xlfn.TEXTJOIN(",",TRUE,B155:E155),SF_Output!$Q$1:$Q$400,"monthly"),AND(B155&lt;&gt;"",H155&lt;&gt;SF_Output!$Y$2),SUMIFS(SF_Output!$S$1:$S$400,SF_Output!$AC$1:$AC$400,_xlfn.TEXTJOIN(",",TRUE,B155:E155),SF_Output!$Q$1:$Q$400,"monthly"))</f>
        <v>1070</v>
      </c>
      <c r="W155" s="112" cm="1">
        <f t="array" ref="W155">_xlfn.IFS(OR(B155=0,B155="",V155=0),"",AF155&lt;&gt;"exclusion",MAX($W$9,$W$7,(-(SUMIFS(SF_Output!$T$1:$T$400,SF_Output!$AC$1:$AC$400,_xlfn.TEXTJOIN(",",TRUE,$B155:$E155),SF_Output!$Q$1:$Q$400,"monthly"))/V155)),AF155="exclusion",-(SUMIFS(SF_Output!$T$1:$T$400,SF_Output!$AC$1:$AC$400,_xlfn.TEXTJOIN(",",TRUE,$B155:$E155),SF_Output!$Q$1:$Q$400,"monthly"))/V155)</f>
        <v>0.25</v>
      </c>
      <c r="X155" s="6" cm="1">
        <f t="array" ref="X155">IFERROR(_xlfn.IFS(V155=0,0,V155="","",W155=0,V155,OR(V155&lt;&gt;0,V155&lt;&gt;""),H155*I155),V155*(1-W155))</f>
        <v>802.5</v>
      </c>
      <c r="Z155" s="6">
        <f>IFERROR(IF(B155="","",SUMIFS(Billing_Fallout!H:H,Billing_Fallout!N:N,B155)),0)</f>
        <v>0</v>
      </c>
      <c r="AA155" s="6">
        <f t="shared" si="38"/>
        <v>0</v>
      </c>
      <c r="AB155" s="6">
        <f>IFERROR(IF(B155="","",SUMIFS(Billing_Fallout!J:J,Billing_Fallout!N:N,B155)),0)</f>
        <v>0</v>
      </c>
      <c r="AD155" s="6">
        <f t="shared" si="39"/>
        <v>802.5</v>
      </c>
      <c r="AF155" t="str">
        <f>IFERROR(INDEX(H_Tables!$B$1:$B$1500,MATCH(INDEX(SF_Output!$J$1:$J$400,MATCH(B155,SF_Output!$M$1:$M$400,0)),H_Tables!$A$1:$A$1500,0)),"")</f>
        <v/>
      </c>
      <c r="AI155" s="119" t="str">
        <f t="shared" si="40"/>
        <v/>
      </c>
      <c r="AJ155" s="121">
        <f>IFERROR(INDEX(SF_Output!AD:AD,MATCH(_xlfn.TEXTJOIN(",",TRUE,B155:E155),SF_Output!AC1:AC400,0)),0.05)</f>
        <v>135</v>
      </c>
      <c r="AK155" t="str">
        <f>IF(SUMIFS(SF_Output!$F$1:$F$400,SF_Output!$AC$1:$AC$400,_xlfn.TEXTJOIN(",",TRUE,B155:E155))+SUMIFS(SF_Output!$G$1:$G$400,SF_Output!$AC$1:$AC$400,_xlfn.TEXTJOIN(",",TRUE,B155:E155))=0,"","PAP")</f>
        <v>PAP</v>
      </c>
      <c r="AQ155" s="35"/>
      <c r="AR155" s="35" t="str" cm="1">
        <f t="array" ref="AR155">IFERROR(_xlfn.IFS(AND(E155*1=1,F155="Included"),"Change to Included",AND(E155*1=0,F155="Optional"),"Change to Optional",OR(B155="",F155="replaced"),""),"")</f>
        <v/>
      </c>
      <c r="AS155" s="35" t="str">
        <f t="shared" si="41"/>
        <v/>
      </c>
      <c r="AT155" s="35" t="str">
        <f t="shared" si="42"/>
        <v/>
      </c>
      <c r="AU155" s="35" t="str">
        <f t="shared" si="43"/>
        <v/>
      </c>
      <c r="AV155" s="35" t="str">
        <f t="shared" si="44"/>
        <v/>
      </c>
      <c r="AW155" s="35" t="str">
        <f t="shared" si="45"/>
        <v/>
      </c>
      <c r="AX155" s="35" t="str">
        <f t="shared" si="46"/>
        <v/>
      </c>
      <c r="AY155" s="35" t="str">
        <f t="shared" si="47"/>
        <v/>
      </c>
      <c r="AZ155" s="35" t="str">
        <f t="shared" si="48"/>
        <v/>
      </c>
      <c r="BA155" s="35" t="str">
        <f t="shared" si="49"/>
        <v/>
      </c>
      <c r="BB155" s="35" t="str">
        <f t="shared" si="50"/>
        <v/>
      </c>
      <c r="BC155" s="35"/>
      <c r="BE155" s="35">
        <f ca="1">INDEX(SF_Output!$AA$2:$AA$400,MATCH($B155,SF_Output!$M$2:$M$400,0))</f>
        <v>7</v>
      </c>
      <c r="BF155" s="35">
        <f ca="1">INDEX(SF_Output!$AB$2:$AB$400,MATCH($B155,SF_Output!$M$2:$M$400,0))</f>
        <v>2</v>
      </c>
    </row>
    <row r="156" spans="2:58" x14ac:dyDescent="0.25">
      <c r="B156" t="s">
        <v>1073</v>
      </c>
      <c r="C156" t="s">
        <v>2122</v>
      </c>
      <c r="D156" t="s">
        <v>2306</v>
      </c>
      <c r="E156" t="s">
        <v>2124</v>
      </c>
      <c r="F156" s="116" t="str">
        <f t="shared" si="34"/>
        <v>Included</v>
      </c>
      <c r="G156" t="str">
        <f>IF(B156="","",INDEX(SF_Output!$K$1:$K$400,MATCH(B156,SF_Output!$M$1:$M$400,0)))</f>
        <v>jhaEnterprise Workflow</v>
      </c>
      <c r="H156" cm="1">
        <f t="array" ref="H156">_xlfn.IFS(B156="","",(SUMIFS(SF_Output!$F$1:$F$400,SF_Output!$AC$1:$AC$400,_xlfn.TEXTJOIN(",",TRUE,B156:E156))+SUMIFS(SF_Output!$G$1:$G$400,SF_Output!$AC$1:$AC$400,_xlfn.TEXTJOIN(",",TRUE,B156:E156)))&lt;&gt;0,SF_Output!$Y$2,INDEX(SF_Output!$F$1:$F$400,MATCH(_xlfn.TEXTJOIN(",",TRUE,B156:E156),SF_Output!$AC$1:$AC$400,0))=0,INDEX(SF_Output!$R$1:$R$400,MATCH(_xlfn.TEXTJOIN(",",TRUE,B156:E156),SF_Output!$AC$1:$AC$400,0)))</f>
        <v>1</v>
      </c>
      <c r="I156" s="125" t="str">
        <f>IFERROR(IF(AND(H156&gt;1,H156&lt;&gt;""),ROUND(SUMIFS(SF_Output!$S$1:$S$400,SF_Output!$AC$1:$AC$400,_xlfn.TEXTJOIN(",",TRUE,B156:E156),SF_Output!$Q$1:$Q$400,"monthly")*(1-W156)/H156,4),""),"")</f>
        <v/>
      </c>
      <c r="J156" s="6">
        <f>IF(B156="","",SUMIFS(SF_Output!$S$1:$S$400,SF_Output!$AC$1:$AC$400,_xlfn.TEXTJOIN(",",TRUE,B156:E156),SF_Output!$Q$1:$Q$400,"One Time",SF_Output!$L$1:$L$400,"license fee")+SUMIFS(SF_Output!$S$1:$S$400,SF_Output!$AC$1:$AC$400,_xlfn.TEXTJOIN(",",TRUE,B156:E156),SF_Output!$Q$1:$Q$400,"One Time",SF_Output!$L$1:$L$400,"software license")+SUMIFS(SF_Output!$S$1:$S$400,SF_Output!$AC$1:$AC$400,_xlfn.TEXTJOIN(",",TRUE,B156:E156),SF_Output!$Q$1:$Q$400,"One Time",SF_Output!$L$1:$L$400,"hardware"))</f>
        <v>0</v>
      </c>
      <c r="K156" s="112" t="str">
        <f>IF(OR(B156=0,B156="",G156="hardware",J156=0),"",IF(AF156&lt;&gt;"exclusion",MAX(K$9,-((SUMIFS(SF_Output!$T$1:$T$400,SF_Output!$AC$1:$AC$400,_xlfn.TEXTJOIN(",",TRUE,$B156:$E156),SF_Output!$Q$1:$Q$400,"One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license"))/J156)))</f>
        <v/>
      </c>
      <c r="L156" s="6">
        <f t="shared" si="35"/>
        <v>0</v>
      </c>
      <c r="N156" s="6">
        <f>IF(B156="","",SUMIFS(SF_Output!$S$1:$S$400,SF_Output!$AC$1:$AC$400,_xlfn.TEXTJOIN(",",TRUE,B156:E156),SF_Output!$Q$1:$Q$400,"One Time",SF_Output!$L$1:$L$400,"professional service"))</f>
        <v>12500</v>
      </c>
      <c r="O156" s="112">
        <f>IF(OR(B156=0,B156="",N156=0),"",IF(AF156&lt;&gt;"exclusion",MAX(O$9,-(SUMIFS(SF_Output!$T$1:$T$400,SF_Output!$AC$1:$AC$400,_xlfn.TEXTJOIN(",",TRUE,$B156:$E156),SF_Output!$Q$1:$Q$400,"One Time",SF_Output!$L$1:$L$400,"professional service"))/N156),-((SUMIFS(SF_Output!$T$1:$T$400,SF_Output!$AC$1:$AC$400,_xlfn.TEXTJOIN(",",TRUE,$B156:$E156),SF_Output!$Q$1:$Q$400,"One Time",SF_Output!$L$1:$L$400,"professional service")/N156))))</f>
        <v>0</v>
      </c>
      <c r="P156" s="6">
        <f t="shared" si="36"/>
        <v>12500</v>
      </c>
      <c r="R156" s="6">
        <f>IF(B156="","",SUMIFS(SF_Output!$S$1:$S$400,SF_Output!$AC$1:$AC$400,_xlfn.TEXTJOIN(",",TRUE,B156:E156),SF_Output!$Q$1:$Q$400,"yearly")+SUMIFS(SF_Output!$S$1:$S$400,SF_Output!$AC$1:$AC$400,_xlfn.TEXTJOIN(",",TRUE,B156:E156),SF_Output!$Q$1:$Q$400,"quarterly")*4)</f>
        <v>0</v>
      </c>
      <c r="S156" s="112" t="str">
        <f>IF(OR(B156=0,B156="",G156="hardware",R156=0),"",IF(AF156&lt;&gt;"exclusion",MAX(S$9,-(SUMIFS(SF_Output!$T$1:$T$400,SF_Output!$AC$1:$AC$400,_xlfn.TEXTJOIN(",",TRUE,$B156:$E156),SF_Output!$Q$1:$Q$400,"yearly"))/R156),-((SUMIFS(SF_Output!$T$1:$T$400,SF_Output!$AC$1:$AC$400,_xlfn.TEXTJOIN(",",TRUE,$B156:$E156),SF_Output!$Q$1:$Q$400,"yearly")/R156))))</f>
        <v/>
      </c>
      <c r="T156" s="6">
        <f t="shared" si="37"/>
        <v>0</v>
      </c>
      <c r="V156" s="6" cm="1">
        <f t="array" ref="V156">_xlfn.IFS(B156="","",AND(B156&lt;&gt;"",H156=SF_Output!$Y$2,SUMIFS(SF_Output!$T$1:$T$400,SF_Output!$AC$1:$AC$400,_xlfn.TEXTJOIN(",",TRUE,B156:E156),SF_Output!$Q$1:$Q$400,"monthly")=0),(SUMIFS(SF_Output!$F$1:$F$400,SF_Output!$AC$1:$AC$400,_xlfn.TEXTJOIN(",",TRUE,B156:E156),SF_Output!$Q$1:$Q$400,"monthly")+SUMIFS(SF_Output!$G$1:$G$400,SF_Output!$AC$1:$AC$400,_xlfn.TEXTJOIN(",",TRUE,B156:E156),SF_Output!$Q$1:$Q$400,"monthly"))*H156,AND(B156&lt;&gt;"",H156=SF_Output!$Y$2,SUMIFS(SF_Output!$T$1:$T$400,SF_Output!$AC$1:$AC$400,_xlfn.TEXTJOIN(",",TRUE,B156:E156),SF_Output!$Q$1:$Q$400,"monthly")&lt;&gt;0),SUMIFS(SF_Output!$S$1:$S$400,SF_Output!$AC$1:$AC$400,_xlfn.TEXTJOIN(",",TRUE,B156:E156),SF_Output!$Q$1:$Q$400,"monthly"),AND(B156&lt;&gt;"",H156&lt;&gt;SF_Output!$Y$2),SUMIFS(SF_Output!$S$1:$S$400,SF_Output!$AC$1:$AC$400,_xlfn.TEXTJOIN(",",TRUE,B156:E156),SF_Output!$Q$1:$Q$400,"monthly"))</f>
        <v>0</v>
      </c>
      <c r="W156" s="112" t="str" cm="1">
        <f t="array" ref="W156">_xlfn.IFS(OR(B156=0,B156="",V156=0),"",AF156&lt;&gt;"exclusion",MAX($W$9,$W$7,(-(SUMIFS(SF_Output!$T$1:$T$400,SF_Output!$AC$1:$AC$400,_xlfn.TEXTJOIN(",",TRUE,$B156:$E156),SF_Output!$Q$1:$Q$400,"monthly"))/V156)),AF156="exclusion",-(SUMIFS(SF_Output!$T$1:$T$400,SF_Output!$AC$1:$AC$400,_xlfn.TEXTJOIN(",",TRUE,$B156:$E156),SF_Output!$Q$1:$Q$400,"monthly"))/V156)</f>
        <v/>
      </c>
      <c r="X156" s="6" cm="1">
        <f t="array" ref="X156">IFERROR(_xlfn.IFS(V156=0,0,V156="","",W156=0,V156,OR(V156&lt;&gt;0,V156&lt;&gt;""),H156*I156),V156*(1-W156))</f>
        <v>0</v>
      </c>
      <c r="Z156" s="6">
        <f>IFERROR(IF(B156="","",SUMIFS(Billing_Fallout!H:H,Billing_Fallout!N:N,B156)),0)</f>
        <v>0</v>
      </c>
      <c r="AA156" s="6">
        <f t="shared" si="38"/>
        <v>0</v>
      </c>
      <c r="AB156" s="6">
        <f>IFERROR(IF(B156="","",SUMIFS(Billing_Fallout!J:J,Billing_Fallout!N:N,B156)),0)</f>
        <v>0</v>
      </c>
      <c r="AD156" s="6">
        <f t="shared" si="39"/>
        <v>0</v>
      </c>
      <c r="AF156" t="str">
        <f>IFERROR(INDEX(H_Tables!$B$1:$B$1500,MATCH(INDEX(SF_Output!$J$1:$J$400,MATCH(B156,SF_Output!$M$1:$M$400,0)),H_Tables!$A$1:$A$1500,0)),"")</f>
        <v>Exclusion</v>
      </c>
      <c r="AI156" s="119" t="str">
        <f t="shared" si="40"/>
        <v/>
      </c>
      <c r="AJ156" s="121">
        <f>IFERROR(INDEX(SF_Output!AD:AD,MATCH(_xlfn.TEXTJOIN(",",TRUE,B156:E156),SF_Output!AC1:AC400,0)),0.05)</f>
        <v>137</v>
      </c>
      <c r="AK156" t="str">
        <f>IF(SUMIFS(SF_Output!$F$1:$F$400,SF_Output!$AC$1:$AC$400,_xlfn.TEXTJOIN(",",TRUE,B156:E156))+SUMIFS(SF_Output!$G$1:$G$400,SF_Output!$AC$1:$AC$400,_xlfn.TEXTJOIN(",",TRUE,B156:E156))=0,"","PAP")</f>
        <v/>
      </c>
      <c r="AQ156" s="35"/>
      <c r="AR156" s="35" t="str" cm="1">
        <f t="array" ref="AR156">IFERROR(_xlfn.IFS(AND(E156*1=1,F156="Included"),"Change to Included",AND(E156*1=0,F156="Optional"),"Change to Optional",OR(B156="",F156="replaced"),""),"")</f>
        <v/>
      </c>
      <c r="AS156" s="35" t="str">
        <f t="shared" si="41"/>
        <v/>
      </c>
      <c r="AT156" s="35" t="str">
        <f t="shared" si="42"/>
        <v/>
      </c>
      <c r="AU156" s="35" t="str">
        <f t="shared" si="43"/>
        <v/>
      </c>
      <c r="AV156" s="35" t="str">
        <f t="shared" si="44"/>
        <v/>
      </c>
      <c r="AW156" s="35" t="str">
        <f t="shared" si="45"/>
        <v/>
      </c>
      <c r="AX156" s="35" t="str">
        <f t="shared" si="46"/>
        <v/>
      </c>
      <c r="AY156" s="35" t="str">
        <f t="shared" si="47"/>
        <v/>
      </c>
      <c r="AZ156" s="35" t="str">
        <f t="shared" si="48"/>
        <v/>
      </c>
      <c r="BA156" s="35" t="str">
        <f t="shared" si="49"/>
        <v/>
      </c>
      <c r="BB156" s="35" t="str">
        <f t="shared" si="50"/>
        <v/>
      </c>
      <c r="BC156" s="35"/>
      <c r="BE156" s="35">
        <f ca="1">INDEX(SF_Output!$AA$2:$AA$400,MATCH($B156,SF_Output!$M$2:$M$400,0))</f>
        <v>7</v>
      </c>
      <c r="BF156" s="35">
        <f ca="1">INDEX(SF_Output!$AB$2:$AB$400,MATCH($B156,SF_Output!$M$2:$M$400,0))</f>
        <v>2</v>
      </c>
    </row>
    <row r="157" spans="2:58" x14ac:dyDescent="0.25">
      <c r="B157" t="s">
        <v>2312</v>
      </c>
      <c r="C157" t="s">
        <v>2122</v>
      </c>
      <c r="D157" t="s">
        <v>2306</v>
      </c>
      <c r="E157" t="s">
        <v>2124</v>
      </c>
      <c r="F157" s="116" t="str">
        <f t="shared" si="34"/>
        <v>Included</v>
      </c>
      <c r="G157" t="str">
        <f>IF(B157="","",INDEX(SF_Output!$K$1:$K$400,MATCH(B157,SF_Output!$M$1:$M$400,0)))</f>
        <v>jhaEnterprise Workflow</v>
      </c>
      <c r="H157" cm="1">
        <f t="array" ref="H157">_xlfn.IFS(B157="","",(SUMIFS(SF_Output!$F$1:$F$400,SF_Output!$AC$1:$AC$400,_xlfn.TEXTJOIN(",",TRUE,B157:E157))+SUMIFS(SF_Output!$G$1:$G$400,SF_Output!$AC$1:$AC$400,_xlfn.TEXTJOIN(",",TRUE,B157:E157)))&lt;&gt;0,SF_Output!$Y$2,INDEX(SF_Output!$F$1:$F$400,MATCH(_xlfn.TEXTJOIN(",",TRUE,B157:E157),SF_Output!$AC$1:$AC$400,0))=0,INDEX(SF_Output!$R$1:$R$400,MATCH(_xlfn.TEXTJOIN(",",TRUE,B157:E157),SF_Output!$AC$1:$AC$400,0)))</f>
        <v>2</v>
      </c>
      <c r="I157" s="125" t="str">
        <f>IFERROR(IF(AND(H157&gt;1,H157&lt;&gt;""),ROUND(SUMIFS(SF_Output!$S$1:$S$400,SF_Output!$AC$1:$AC$400,_xlfn.TEXTJOIN(",",TRUE,B157:E157),SF_Output!$Q$1:$Q$400,"monthly")*(1-W157)/H157,4),""),"")</f>
        <v/>
      </c>
      <c r="J157" s="6">
        <f>IF(B157="","",SUMIFS(SF_Output!$S$1:$S$400,SF_Output!$AC$1:$AC$400,_xlfn.TEXTJOIN(",",TRUE,B157:E157),SF_Output!$Q$1:$Q$400,"One Time",SF_Output!$L$1:$L$400,"license fee")+SUMIFS(SF_Output!$S$1:$S$400,SF_Output!$AC$1:$AC$400,_xlfn.TEXTJOIN(",",TRUE,B157:E157),SF_Output!$Q$1:$Q$400,"One Time",SF_Output!$L$1:$L$400,"software license")+SUMIFS(SF_Output!$S$1:$S$400,SF_Output!$AC$1:$AC$400,_xlfn.TEXTJOIN(",",TRUE,B157:E157),SF_Output!$Q$1:$Q$400,"One Time",SF_Output!$L$1:$L$400,"hardware"))</f>
        <v>0</v>
      </c>
      <c r="K157" s="112" t="str">
        <f>IF(OR(B157=0,B157="",G157="hardware",J157=0),"",IF(AF157&lt;&gt;"exclusion",MAX(K$9,-((SUMIFS(SF_Output!$T$1:$T$400,SF_Output!$AC$1:$AC$400,_xlfn.TEXTJOIN(",",TRUE,$B157:$E157),SF_Output!$Q$1:$Q$400,"One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license"))/J157)))</f>
        <v/>
      </c>
      <c r="L157" s="6">
        <f t="shared" si="35"/>
        <v>0</v>
      </c>
      <c r="N157" s="6">
        <f>IF(B157="","",SUMIFS(SF_Output!$S$1:$S$400,SF_Output!$AC$1:$AC$400,_xlfn.TEXTJOIN(",",TRUE,B157:E157),SF_Output!$Q$1:$Q$400,"One Time",SF_Output!$L$1:$L$400,"professional service"))</f>
        <v>3600</v>
      </c>
      <c r="O157" s="112">
        <f>IF(OR(B157=0,B157="",N157=0),"",IF(AF157&lt;&gt;"exclusion",MAX(O$9,-(SUMIFS(SF_Output!$T$1:$T$400,SF_Output!$AC$1:$AC$400,_xlfn.TEXTJOIN(",",TRUE,$B157:$E157),SF_Output!$Q$1:$Q$400,"One Time",SF_Output!$L$1:$L$400,"professional service"))/N157),-((SUMIFS(SF_Output!$T$1:$T$400,SF_Output!$AC$1:$AC$400,_xlfn.TEXTJOIN(",",TRUE,$B157:$E157),SF_Output!$Q$1:$Q$400,"One Time",SF_Output!$L$1:$L$400,"professional service")/N157))))</f>
        <v>0</v>
      </c>
      <c r="P157" s="6">
        <f t="shared" si="36"/>
        <v>3600</v>
      </c>
      <c r="R157" s="6">
        <f>IF(B157="","",SUMIFS(SF_Output!$S$1:$S$400,SF_Output!$AC$1:$AC$400,_xlfn.TEXTJOIN(",",TRUE,B157:E157),SF_Output!$Q$1:$Q$400,"yearly")+SUMIFS(SF_Output!$S$1:$S$400,SF_Output!$AC$1:$AC$400,_xlfn.TEXTJOIN(",",TRUE,B157:E157),SF_Output!$Q$1:$Q$400,"quarterly")*4)</f>
        <v>0</v>
      </c>
      <c r="S157" s="112" t="str">
        <f>IF(OR(B157=0,B157="",G157="hardware",R157=0),"",IF(AF157&lt;&gt;"exclusion",MAX(S$9,-(SUMIFS(SF_Output!$T$1:$T$400,SF_Output!$AC$1:$AC$400,_xlfn.TEXTJOIN(",",TRUE,$B157:$E157),SF_Output!$Q$1:$Q$400,"yearly"))/R157),-((SUMIFS(SF_Output!$T$1:$T$400,SF_Output!$AC$1:$AC$400,_xlfn.TEXTJOIN(",",TRUE,$B157:$E157),SF_Output!$Q$1:$Q$400,"yearly")/R157))))</f>
        <v/>
      </c>
      <c r="T157" s="6">
        <f t="shared" si="37"/>
        <v>0</v>
      </c>
      <c r="V157" s="6" cm="1">
        <f t="array" ref="V157">_xlfn.IFS(B157="","",AND(B157&lt;&gt;"",H157=SF_Output!$Y$2,SUMIFS(SF_Output!$T$1:$T$400,SF_Output!$AC$1:$AC$400,_xlfn.TEXTJOIN(",",TRUE,B157:E157),SF_Output!$Q$1:$Q$400,"monthly")=0),(SUMIFS(SF_Output!$F$1:$F$400,SF_Output!$AC$1:$AC$400,_xlfn.TEXTJOIN(",",TRUE,B157:E157),SF_Output!$Q$1:$Q$400,"monthly")+SUMIFS(SF_Output!$G$1:$G$400,SF_Output!$AC$1:$AC$400,_xlfn.TEXTJOIN(",",TRUE,B157:E157),SF_Output!$Q$1:$Q$400,"monthly"))*H157,AND(B157&lt;&gt;"",H157=SF_Output!$Y$2,SUMIFS(SF_Output!$T$1:$T$400,SF_Output!$AC$1:$AC$400,_xlfn.TEXTJOIN(",",TRUE,B157:E157),SF_Output!$Q$1:$Q$400,"monthly")&lt;&gt;0),SUMIFS(SF_Output!$S$1:$S$400,SF_Output!$AC$1:$AC$400,_xlfn.TEXTJOIN(",",TRUE,B157:E157),SF_Output!$Q$1:$Q$400,"monthly"),AND(B157&lt;&gt;"",H157&lt;&gt;SF_Output!$Y$2),SUMIFS(SF_Output!$S$1:$S$400,SF_Output!$AC$1:$AC$400,_xlfn.TEXTJOIN(",",TRUE,B157:E157),SF_Output!$Q$1:$Q$400,"monthly"))</f>
        <v>0</v>
      </c>
      <c r="W157" s="112" t="str" cm="1">
        <f t="array" ref="W157">_xlfn.IFS(OR(B157=0,B157="",V157=0),"",AF157&lt;&gt;"exclusion",MAX($W$9,$W$7,(-(SUMIFS(SF_Output!$T$1:$T$400,SF_Output!$AC$1:$AC$400,_xlfn.TEXTJOIN(",",TRUE,$B157:$E157),SF_Output!$Q$1:$Q$400,"monthly"))/V157)),AF157="exclusion",-(SUMIFS(SF_Output!$T$1:$T$400,SF_Output!$AC$1:$AC$400,_xlfn.TEXTJOIN(",",TRUE,$B157:$E157),SF_Output!$Q$1:$Q$400,"monthly"))/V157)</f>
        <v/>
      </c>
      <c r="X157" s="6" cm="1">
        <f t="array" ref="X157">IFERROR(_xlfn.IFS(V157=0,0,V157="","",W157=0,V157,OR(V157&lt;&gt;0,V157&lt;&gt;""),H157*I157),V157*(1-W157))</f>
        <v>0</v>
      </c>
      <c r="Z157" s="6">
        <f>IFERROR(IF(B157="","",SUMIFS(Billing_Fallout!H:H,Billing_Fallout!N:N,B157)),0)</f>
        <v>0</v>
      </c>
      <c r="AA157" s="6">
        <f t="shared" si="38"/>
        <v>0</v>
      </c>
      <c r="AB157" s="6">
        <f>IFERROR(IF(B157="","",SUMIFS(Billing_Fallout!J:J,Billing_Fallout!N:N,B157)),0)</f>
        <v>0</v>
      </c>
      <c r="AD157" s="6">
        <f t="shared" si="39"/>
        <v>0</v>
      </c>
      <c r="AF157" t="str">
        <f>IFERROR(INDEX(H_Tables!$B$1:$B$1500,MATCH(INDEX(SF_Output!$J$1:$J$400,MATCH(B157,SF_Output!$M$1:$M$400,0)),H_Tables!$A$1:$A$1500,0)),"")</f>
        <v>Exclusion</v>
      </c>
      <c r="AI157" s="119" t="str">
        <f t="shared" si="40"/>
        <v/>
      </c>
      <c r="AJ157" s="121">
        <f>IFERROR(INDEX(SF_Output!AD:AD,MATCH(_xlfn.TEXTJOIN(",",TRUE,B157:E157),SF_Output!AC1:AC400,0)),0.05)</f>
        <v>138</v>
      </c>
      <c r="AK157" t="str">
        <f>IF(SUMIFS(SF_Output!$F$1:$F$400,SF_Output!$AC$1:$AC$400,_xlfn.TEXTJOIN(",",TRUE,B157:E157))+SUMIFS(SF_Output!$G$1:$G$400,SF_Output!$AC$1:$AC$400,_xlfn.TEXTJOIN(",",TRUE,B157:E157))=0,"","PAP")</f>
        <v/>
      </c>
      <c r="AQ157" s="35"/>
      <c r="AR157" s="35" t="str" cm="1">
        <f t="array" ref="AR157">IFERROR(_xlfn.IFS(AND(E157*1=1,F157="Included"),"Change to Included",AND(E157*1=0,F157="Optional"),"Change to Optional",OR(B157="",F157="replaced"),""),"")</f>
        <v/>
      </c>
      <c r="AS157" s="35" t="str">
        <f t="shared" si="41"/>
        <v/>
      </c>
      <c r="AT157" s="35" t="str">
        <f t="shared" si="42"/>
        <v/>
      </c>
      <c r="AU157" s="35" t="str">
        <f t="shared" si="43"/>
        <v/>
      </c>
      <c r="AV157" s="35" t="str">
        <f t="shared" si="44"/>
        <v/>
      </c>
      <c r="AW157" s="35" t="str">
        <f t="shared" si="45"/>
        <v/>
      </c>
      <c r="AX157" s="35" t="str">
        <f t="shared" si="46"/>
        <v/>
      </c>
      <c r="AY157" s="35" t="str">
        <f t="shared" si="47"/>
        <v/>
      </c>
      <c r="AZ157" s="35" t="str">
        <f t="shared" si="48"/>
        <v/>
      </c>
      <c r="BA157" s="35" t="str">
        <f t="shared" si="49"/>
        <v/>
      </c>
      <c r="BB157" s="35" t="str">
        <f t="shared" si="50"/>
        <v/>
      </c>
      <c r="BC157" s="35"/>
      <c r="BE157" s="35">
        <f ca="1">INDEX(SF_Output!$AA$2:$AA$400,MATCH($B157,SF_Output!$M$2:$M$400,0))</f>
        <v>7</v>
      </c>
      <c r="BF157" s="35">
        <f ca="1">INDEX(SF_Output!$AB$2:$AB$400,MATCH($B157,SF_Output!$M$2:$M$400,0))</f>
        <v>2</v>
      </c>
    </row>
    <row r="158" spans="2:58" x14ac:dyDescent="0.25">
      <c r="B158" t="s">
        <v>626</v>
      </c>
      <c r="C158" t="s">
        <v>2122</v>
      </c>
      <c r="D158" t="s">
        <v>2123</v>
      </c>
      <c r="E158" t="s">
        <v>2124</v>
      </c>
      <c r="F158" s="116" t="str">
        <f t="shared" si="34"/>
        <v>Included</v>
      </c>
      <c r="G158" t="str">
        <f>IF(B158="","",INDEX(SF_Output!$K$1:$K$400,MATCH(B158,SF_Output!$M$1:$M$400,0)))</f>
        <v>jConnect</v>
      </c>
      <c r="H158" cm="1">
        <f t="array" ref="H158">_xlfn.IFS(B158="","",(SUMIFS(SF_Output!$F$1:$F$400,SF_Output!$AC$1:$AC$400,_xlfn.TEXTJOIN(",",TRUE,B158:E158))+SUMIFS(SF_Output!$G$1:$G$400,SF_Output!$AC$1:$AC$400,_xlfn.TEXTJOIN(",",TRUE,B158:E158)))&lt;&gt;0,SF_Output!$Y$2,INDEX(SF_Output!$F$1:$F$400,MATCH(_xlfn.TEXTJOIN(",",TRUE,B158:E158),SF_Output!$AC$1:$AC$400,0))=0,INDEX(SF_Output!$R$1:$R$400,MATCH(_xlfn.TEXTJOIN(",",TRUE,B158:E158),SF_Output!$AC$1:$AC$400,0)))</f>
        <v>1</v>
      </c>
      <c r="I158" s="125" t="str">
        <f>IFERROR(IF(AND(H158&gt;1,H158&lt;&gt;""),ROUND(SUMIFS(SF_Output!$S$1:$S$400,SF_Output!$AC$1:$AC$400,_xlfn.TEXTJOIN(",",TRUE,B158:E158),SF_Output!$Q$1:$Q$400,"monthly")*(1-W158)/H158,4),""),"")</f>
        <v/>
      </c>
      <c r="J158" s="6">
        <f>IF(B158="","",SUMIFS(SF_Output!$S$1:$S$400,SF_Output!$AC$1:$AC$400,_xlfn.TEXTJOIN(",",TRUE,B158:E158),SF_Output!$Q$1:$Q$400,"One Time",SF_Output!$L$1:$L$400,"license fee")+SUMIFS(SF_Output!$S$1:$S$400,SF_Output!$AC$1:$AC$400,_xlfn.TEXTJOIN(",",TRUE,B158:E158),SF_Output!$Q$1:$Q$400,"One Time",SF_Output!$L$1:$L$400,"software license")+SUMIFS(SF_Output!$S$1:$S$400,SF_Output!$AC$1:$AC$400,_xlfn.TEXTJOIN(",",TRUE,B158:E158),SF_Output!$Q$1:$Q$400,"One Time",SF_Output!$L$1:$L$400,"hardware"))</f>
        <v>0</v>
      </c>
      <c r="K158" s="112" t="str">
        <f>IF(OR(B158=0,B158="",G158="hardware",J158=0),"",IF(AF158&lt;&gt;"exclusion",MAX(K$9,-((SUMIFS(SF_Output!$T$1:$T$400,SF_Output!$AC$1:$AC$400,_xlfn.TEXTJOIN(",",TRUE,$B158:$E158),SF_Output!$Q$1:$Q$400,"One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license"))/J158)))</f>
        <v/>
      </c>
      <c r="L158" s="6">
        <f t="shared" si="35"/>
        <v>0</v>
      </c>
      <c r="N158" s="6">
        <f>IF(B158="","",SUMIFS(SF_Output!$S$1:$S$400,SF_Output!$AC$1:$AC$400,_xlfn.TEXTJOIN(",",TRUE,B158:E158),SF_Output!$Q$1:$Q$400,"One Time",SF_Output!$L$1:$L$400,"professional service"))</f>
        <v>0</v>
      </c>
      <c r="O158" s="112" t="str">
        <f>IF(OR(B158=0,B158="",N158=0),"",IF(AF158&lt;&gt;"exclusion",MAX(O$9,-(SUMIFS(SF_Output!$T$1:$T$400,SF_Output!$AC$1:$AC$400,_xlfn.TEXTJOIN(",",TRUE,$B158:$E158),SF_Output!$Q$1:$Q$400,"One Time",SF_Output!$L$1:$L$400,"professional service"))/N158),-((SUMIFS(SF_Output!$T$1:$T$400,SF_Output!$AC$1:$AC$400,_xlfn.TEXTJOIN(",",TRUE,$B158:$E158),SF_Output!$Q$1:$Q$400,"One Time",SF_Output!$L$1:$L$400,"professional service")/N158))))</f>
        <v/>
      </c>
      <c r="P158" s="6">
        <f t="shared" si="36"/>
        <v>0</v>
      </c>
      <c r="R158" s="6">
        <f>IF(B158="","",SUMIFS(SF_Output!$S$1:$S$400,SF_Output!$AC$1:$AC$400,_xlfn.TEXTJOIN(",",TRUE,B158:E158),SF_Output!$Q$1:$Q$400,"yearly")+SUMIFS(SF_Output!$S$1:$S$400,SF_Output!$AC$1:$AC$400,_xlfn.TEXTJOIN(",",TRUE,B158:E158),SF_Output!$Q$1:$Q$400,"quarterly")*4)</f>
        <v>0</v>
      </c>
      <c r="S158" s="112" t="str">
        <f>IF(OR(B158=0,B158="",G158="hardware",R158=0),"",IF(AF158&lt;&gt;"exclusion",MAX(S$9,-(SUMIFS(SF_Output!$T$1:$T$400,SF_Output!$AC$1:$AC$400,_xlfn.TEXTJOIN(",",TRUE,$B158:$E158),SF_Output!$Q$1:$Q$400,"yearly"))/R158),-((SUMIFS(SF_Output!$T$1:$T$400,SF_Output!$AC$1:$AC$400,_xlfn.TEXTJOIN(",",TRUE,$B158:$E158),SF_Output!$Q$1:$Q$400,"yearly")/R158))))</f>
        <v/>
      </c>
      <c r="T158" s="6">
        <f t="shared" si="37"/>
        <v>0</v>
      </c>
      <c r="V158" s="6" cm="1">
        <f t="array" ref="V158">_xlfn.IFS(B158="","",AND(B158&lt;&gt;"",H158=SF_Output!$Y$2,SUMIFS(SF_Output!$T$1:$T$400,SF_Output!$AC$1:$AC$400,_xlfn.TEXTJOIN(",",TRUE,B158:E158),SF_Output!$Q$1:$Q$400,"monthly")=0),(SUMIFS(SF_Output!$F$1:$F$400,SF_Output!$AC$1:$AC$400,_xlfn.TEXTJOIN(",",TRUE,B158:E158),SF_Output!$Q$1:$Q$400,"monthly")+SUMIFS(SF_Output!$G$1:$G$400,SF_Output!$AC$1:$AC$400,_xlfn.TEXTJOIN(",",TRUE,B158:E158),SF_Output!$Q$1:$Q$400,"monthly"))*H158,AND(B158&lt;&gt;"",H158=SF_Output!$Y$2,SUMIFS(SF_Output!$T$1:$T$400,SF_Output!$AC$1:$AC$400,_xlfn.TEXTJOIN(",",TRUE,B158:E158),SF_Output!$Q$1:$Q$400,"monthly")&lt;&gt;0),SUMIFS(SF_Output!$S$1:$S$400,SF_Output!$AC$1:$AC$400,_xlfn.TEXTJOIN(",",TRUE,B158:E158),SF_Output!$Q$1:$Q$400,"monthly"),AND(B158&lt;&gt;"",H158&lt;&gt;SF_Output!$Y$2),SUMIFS(SF_Output!$S$1:$S$400,SF_Output!$AC$1:$AC$400,_xlfn.TEXTJOIN(",",TRUE,B158:E158),SF_Output!$Q$1:$Q$400,"monthly"))</f>
        <v>1000</v>
      </c>
      <c r="W158" s="112" cm="1">
        <f t="array" ref="W158">_xlfn.IFS(OR(B158=0,B158="",V158=0),"",AF158&lt;&gt;"exclusion",MAX($W$9,$W$7,(-(SUMIFS(SF_Output!$T$1:$T$400,SF_Output!$AC$1:$AC$400,_xlfn.TEXTJOIN(",",TRUE,$B158:$E158),SF_Output!$Q$1:$Q$400,"monthly"))/V158)),AF158="exclusion",-(SUMIFS(SF_Output!$T$1:$T$400,SF_Output!$AC$1:$AC$400,_xlfn.TEXTJOIN(",",TRUE,$B158:$E158),SF_Output!$Q$1:$Q$400,"monthly"))/V158)</f>
        <v>0</v>
      </c>
      <c r="X158" s="6" cm="1">
        <f t="array" ref="X158">IFERROR(_xlfn.IFS(V158=0,0,V158="","",W158=0,V158,OR(V158&lt;&gt;0,V158&lt;&gt;""),H158*I158),V158*(1-W158))</f>
        <v>1000</v>
      </c>
      <c r="Z158" s="6">
        <f>IFERROR(IF(B158="","",SUMIFS(Billing_Fallout!H:H,Billing_Fallout!N:N,B158)),0)</f>
        <v>0</v>
      </c>
      <c r="AA158" s="6">
        <f t="shared" si="38"/>
        <v>0</v>
      </c>
      <c r="AB158" s="6">
        <f>IFERROR(IF(B158="","",SUMIFS(Billing_Fallout!J:J,Billing_Fallout!N:N,B158)),0)</f>
        <v>0</v>
      </c>
      <c r="AD158" s="6">
        <f t="shared" si="39"/>
        <v>1000</v>
      </c>
      <c r="AF158" t="str">
        <f>IFERROR(INDEX(H_Tables!$B$1:$B$1500,MATCH(INDEX(SF_Output!$J$1:$J$400,MATCH(B158,SF_Output!$M$1:$M$400,0)),H_Tables!$A$1:$A$1500,0)),"")</f>
        <v>Exclusion</v>
      </c>
      <c r="AI158" s="119" t="str">
        <f t="shared" si="40"/>
        <v/>
      </c>
      <c r="AJ158" s="121">
        <f>IFERROR(INDEX(SF_Output!AD:AD,MATCH(_xlfn.TEXTJOIN(",",TRUE,B158:E158),SF_Output!AC1:AC400,0)),0.05)</f>
        <v>142</v>
      </c>
      <c r="AK158" t="str">
        <f>IF(SUMIFS(SF_Output!$F$1:$F$400,SF_Output!$AC$1:$AC$400,_xlfn.TEXTJOIN(",",TRUE,B158:E158))+SUMIFS(SF_Output!$G$1:$G$400,SF_Output!$AC$1:$AC$400,_xlfn.TEXTJOIN(",",TRUE,B158:E158))=0,"","PAP")</f>
        <v/>
      </c>
      <c r="AQ158" s="35"/>
      <c r="AR158" s="35" t="str" cm="1">
        <f t="array" ref="AR158">IFERROR(_xlfn.IFS(AND(E158*1=1,F158="Included"),"Change to Included",AND(E158*1=0,F158="Optional"),"Change to Optional",OR(B158="",F158="replaced"),""),"")</f>
        <v/>
      </c>
      <c r="AS158" s="35" t="str">
        <f t="shared" si="41"/>
        <v/>
      </c>
      <c r="AT158" s="35" t="str">
        <f t="shared" si="42"/>
        <v/>
      </c>
      <c r="AU158" s="35" t="str">
        <f t="shared" si="43"/>
        <v/>
      </c>
      <c r="AV158" s="35" t="str">
        <f t="shared" si="44"/>
        <v/>
      </c>
      <c r="AW158" s="35" t="str">
        <f t="shared" si="45"/>
        <v/>
      </c>
      <c r="AX158" s="35" t="str">
        <f t="shared" si="46"/>
        <v/>
      </c>
      <c r="AY158" s="35" t="str">
        <f t="shared" si="47"/>
        <v/>
      </c>
      <c r="AZ158" s="35" t="str">
        <f t="shared" si="48"/>
        <v/>
      </c>
      <c r="BA158" s="35" t="str">
        <f t="shared" si="49"/>
        <v/>
      </c>
      <c r="BB158" s="35" t="str">
        <f t="shared" si="50"/>
        <v/>
      </c>
      <c r="BC158" s="35"/>
      <c r="BE158" s="35">
        <f ca="1">INDEX(SF_Output!$AA$2:$AA$400,MATCH($B158,SF_Output!$M$2:$M$400,0))</f>
        <v>7</v>
      </c>
      <c r="BF158" s="35">
        <f ca="1">INDEX(SF_Output!$AB$2:$AB$400,MATCH($B158,SF_Output!$M$2:$M$400,0))</f>
        <v>1</v>
      </c>
    </row>
    <row r="159" spans="2:58" x14ac:dyDescent="0.25">
      <c r="B159" t="s">
        <v>1855</v>
      </c>
      <c r="C159" t="s">
        <v>2122</v>
      </c>
      <c r="D159" t="s">
        <v>2207</v>
      </c>
      <c r="E159" t="s">
        <v>2124</v>
      </c>
      <c r="F159" s="116" t="str">
        <f t="shared" si="34"/>
        <v>Included</v>
      </c>
      <c r="G159" t="str">
        <f>IF(B159="","",INDEX(SF_Output!$K$1:$K$400,MATCH(B159,SF_Output!$M$1:$M$400,0)))</f>
        <v>Core</v>
      </c>
      <c r="H159" cm="1">
        <f t="array" ref="H159">_xlfn.IFS(B159="","",(SUMIFS(SF_Output!$F$1:$F$400,SF_Output!$AC$1:$AC$400,_xlfn.TEXTJOIN(",",TRUE,B159:E159))+SUMIFS(SF_Output!$G$1:$G$400,SF_Output!$AC$1:$AC$400,_xlfn.TEXTJOIN(",",TRUE,B159:E159)))&lt;&gt;0,SF_Output!$Y$2,INDEX(SF_Output!$F$1:$F$400,MATCH(_xlfn.TEXTJOIN(",",TRUE,B159:E159),SF_Output!$AC$1:$AC$400,0))=0,INDEX(SF_Output!$R$1:$R$400,MATCH(_xlfn.TEXTJOIN(",",TRUE,B159:E159),SF_Output!$AC$1:$AC$400,0)))</f>
        <v>1</v>
      </c>
      <c r="I159" s="125" t="str">
        <f>IFERROR(IF(AND(H159&gt;1,H159&lt;&gt;""),ROUND(SUMIFS(SF_Output!$S$1:$S$400,SF_Output!$AC$1:$AC$400,_xlfn.TEXTJOIN(",",TRUE,B159:E159),SF_Output!$Q$1:$Q$400,"monthly")*(1-W159)/H159,4),""),"")</f>
        <v/>
      </c>
      <c r="J159" s="6">
        <f>IF(B159="","",SUMIFS(SF_Output!$S$1:$S$400,SF_Output!$AC$1:$AC$400,_xlfn.TEXTJOIN(",",TRUE,B159:E159),SF_Output!$Q$1:$Q$400,"One Time",SF_Output!$L$1:$L$400,"license fee")+SUMIFS(SF_Output!$S$1:$S$400,SF_Output!$AC$1:$AC$400,_xlfn.TEXTJOIN(",",TRUE,B159:E159),SF_Output!$Q$1:$Q$400,"One Time",SF_Output!$L$1:$L$400,"software license")+SUMIFS(SF_Output!$S$1:$S$400,SF_Output!$AC$1:$AC$400,_xlfn.TEXTJOIN(",",TRUE,B159:E159),SF_Output!$Q$1:$Q$400,"One Time",SF_Output!$L$1:$L$400,"hardware"))</f>
        <v>0</v>
      </c>
      <c r="K159" s="112" t="str">
        <f>IF(OR(B159=0,B159="",G159="hardware",J159=0),"",IF(AF159&lt;&gt;"exclusion",MAX(K$9,-((SUMIFS(SF_Output!$T$1:$T$400,SF_Output!$AC$1:$AC$400,_xlfn.TEXTJOIN(",",TRUE,$B159:$E159),SF_Output!$Q$1:$Q$400,"One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license"))/J159)))</f>
        <v/>
      </c>
      <c r="L159" s="6">
        <f t="shared" si="35"/>
        <v>0</v>
      </c>
      <c r="N159" s="6">
        <f>IF(B159="","",SUMIFS(SF_Output!$S$1:$S$400,SF_Output!$AC$1:$AC$400,_xlfn.TEXTJOIN(",",TRUE,B159:E159),SF_Output!$Q$1:$Q$400,"One Time",SF_Output!$L$1:$L$400,"professional service"))</f>
        <v>16625</v>
      </c>
      <c r="O159" s="112">
        <f>IF(OR(B159=0,B159="",N159=0),"",IF(AF159&lt;&gt;"exclusion",MAX(O$9,-(SUMIFS(SF_Output!$T$1:$T$400,SF_Output!$AC$1:$AC$400,_xlfn.TEXTJOIN(",",TRUE,$B159:$E159),SF_Output!$Q$1:$Q$400,"One Time",SF_Output!$L$1:$L$400,"professional service"))/N159),-((SUMIFS(SF_Output!$T$1:$T$400,SF_Output!$AC$1:$AC$400,_xlfn.TEXTJOIN(",",TRUE,$B159:$E159),SF_Output!$Q$1:$Q$400,"One Time",SF_Output!$L$1:$L$400,"professional service")/N159))))</f>
        <v>1</v>
      </c>
      <c r="P159" s="6">
        <f t="shared" si="36"/>
        <v>0</v>
      </c>
      <c r="R159" s="6">
        <f>IF(B159="","",SUMIFS(SF_Output!$S$1:$S$400,SF_Output!$AC$1:$AC$400,_xlfn.TEXTJOIN(",",TRUE,B159:E159),SF_Output!$Q$1:$Q$400,"yearly")+SUMIFS(SF_Output!$S$1:$S$400,SF_Output!$AC$1:$AC$400,_xlfn.TEXTJOIN(",",TRUE,B159:E159),SF_Output!$Q$1:$Q$400,"quarterly")*4)</f>
        <v>0</v>
      </c>
      <c r="S159" s="112" t="str">
        <f>IF(OR(B159=0,B159="",G159="hardware",R159=0),"",IF(AF159&lt;&gt;"exclusion",MAX(S$9,-(SUMIFS(SF_Output!$T$1:$T$400,SF_Output!$AC$1:$AC$400,_xlfn.TEXTJOIN(",",TRUE,$B159:$E159),SF_Output!$Q$1:$Q$400,"yearly"))/R159),-((SUMIFS(SF_Output!$T$1:$T$400,SF_Output!$AC$1:$AC$400,_xlfn.TEXTJOIN(",",TRUE,$B159:$E159),SF_Output!$Q$1:$Q$400,"yearly")/R159))))</f>
        <v/>
      </c>
      <c r="T159" s="6">
        <f t="shared" si="37"/>
        <v>0</v>
      </c>
      <c r="V159" s="6" cm="1">
        <f t="array" ref="V159">_xlfn.IFS(B159="","",AND(B159&lt;&gt;"",H159=SF_Output!$Y$2,SUMIFS(SF_Output!$T$1:$T$400,SF_Output!$AC$1:$AC$400,_xlfn.TEXTJOIN(",",TRUE,B159:E159),SF_Output!$Q$1:$Q$400,"monthly")=0),(SUMIFS(SF_Output!$F$1:$F$400,SF_Output!$AC$1:$AC$400,_xlfn.TEXTJOIN(",",TRUE,B159:E159),SF_Output!$Q$1:$Q$400,"monthly")+SUMIFS(SF_Output!$G$1:$G$400,SF_Output!$AC$1:$AC$400,_xlfn.TEXTJOIN(",",TRUE,B159:E159),SF_Output!$Q$1:$Q$400,"monthly"))*H159,AND(B159&lt;&gt;"",H159=SF_Output!$Y$2,SUMIFS(SF_Output!$T$1:$T$400,SF_Output!$AC$1:$AC$400,_xlfn.TEXTJOIN(",",TRUE,B159:E159),SF_Output!$Q$1:$Q$400,"monthly")&lt;&gt;0),SUMIFS(SF_Output!$S$1:$S$400,SF_Output!$AC$1:$AC$400,_xlfn.TEXTJOIN(",",TRUE,B159:E159),SF_Output!$Q$1:$Q$400,"monthly"),AND(B159&lt;&gt;"",H159&lt;&gt;SF_Output!$Y$2),SUMIFS(SF_Output!$S$1:$S$400,SF_Output!$AC$1:$AC$400,_xlfn.TEXTJOIN(",",TRUE,B159:E159),SF_Output!$Q$1:$Q$400,"monthly"))</f>
        <v>500</v>
      </c>
      <c r="W159" s="112" cm="1">
        <f t="array" ref="W159">_xlfn.IFS(OR(B159=0,B159="",V159=0),"",AF159&lt;&gt;"exclusion",MAX($W$9,$W$7,(-(SUMIFS(SF_Output!$T$1:$T$400,SF_Output!$AC$1:$AC$400,_xlfn.TEXTJOIN(",",TRUE,$B159:$E159),SF_Output!$Q$1:$Q$400,"monthly"))/V159)),AF159="exclusion",-(SUMIFS(SF_Output!$T$1:$T$400,SF_Output!$AC$1:$AC$400,_xlfn.TEXTJOIN(",",TRUE,$B159:$E159),SF_Output!$Q$1:$Q$400,"monthly"))/V159)</f>
        <v>0</v>
      </c>
      <c r="X159" s="6" cm="1">
        <f t="array" ref="X159">IFERROR(_xlfn.IFS(V159=0,0,V159="","",W159=0,V159,OR(V159&lt;&gt;0,V159&lt;&gt;""),H159*I159),V159*(1-W159))</f>
        <v>500</v>
      </c>
      <c r="Z159" s="6">
        <f>IFERROR(IF(B159="","",SUMIFS(Billing_Fallout!H:H,Billing_Fallout!N:N,B159)),0)</f>
        <v>0</v>
      </c>
      <c r="AA159" s="6">
        <f t="shared" si="38"/>
        <v>0</v>
      </c>
      <c r="AB159" s="6">
        <f>IFERROR(IF(B159="","",SUMIFS(Billing_Fallout!J:J,Billing_Fallout!N:N,B159)),0)</f>
        <v>0</v>
      </c>
      <c r="AD159" s="6">
        <f t="shared" si="39"/>
        <v>500</v>
      </c>
      <c r="AF159" t="str">
        <f>IFERROR(INDEX(H_Tables!$B$1:$B$1500,MATCH(INDEX(SF_Output!$J$1:$J$400,MATCH(B159,SF_Output!$M$1:$M$400,0)),H_Tables!$A$1:$A$1500,0)),"")</f>
        <v>Exclusion</v>
      </c>
      <c r="AI159" s="119" t="str">
        <f t="shared" si="40"/>
        <v/>
      </c>
      <c r="AJ159" s="121">
        <f>IFERROR(INDEX(SF_Output!AD:AD,MATCH(_xlfn.TEXTJOIN(",",TRUE,B159:E159),SF_Output!AC1:AC400,0)),0.05)</f>
        <v>55</v>
      </c>
      <c r="AK159" t="str">
        <f>IF(SUMIFS(SF_Output!$F$1:$F$400,SF_Output!$AC$1:$AC$400,_xlfn.TEXTJOIN(",",TRUE,B159:E159))+SUMIFS(SF_Output!$G$1:$G$400,SF_Output!$AC$1:$AC$400,_xlfn.TEXTJOIN(",",TRUE,B159:E159))=0,"","PAP")</f>
        <v/>
      </c>
      <c r="AQ159" s="35"/>
      <c r="AR159" s="35" t="str" cm="1">
        <f t="array" ref="AR159">IFERROR(_xlfn.IFS(AND(E159*1=1,F159="Included"),"Change to Included",AND(E159*1=0,F159="Optional"),"Change to Optional",OR(B159="",F159="replaced"),""),"")</f>
        <v/>
      </c>
      <c r="AS159" s="35" t="str">
        <f t="shared" si="41"/>
        <v/>
      </c>
      <c r="AT159" s="35" t="str">
        <f t="shared" si="42"/>
        <v/>
      </c>
      <c r="AU159" s="35" t="str">
        <f t="shared" si="43"/>
        <v/>
      </c>
      <c r="AV159" s="35" t="str">
        <f t="shared" si="44"/>
        <v/>
      </c>
      <c r="AW159" s="35" t="str">
        <f t="shared" si="45"/>
        <v/>
      </c>
      <c r="AX159" s="35" t="str">
        <f t="shared" si="46"/>
        <v/>
      </c>
      <c r="AY159" s="35" t="str">
        <f t="shared" si="47"/>
        <v/>
      </c>
      <c r="AZ159" s="35" t="str">
        <f t="shared" si="48"/>
        <v/>
      </c>
      <c r="BA159" s="35" t="str">
        <f t="shared" si="49"/>
        <v/>
      </c>
      <c r="BB159" s="35" t="str">
        <f t="shared" si="50"/>
        <v/>
      </c>
      <c r="BC159" s="35"/>
      <c r="BE159" s="35">
        <f ca="1">INDEX(SF_Output!$AA$2:$AA$400,MATCH($B159,SF_Output!$M$2:$M$400,0))</f>
        <v>8</v>
      </c>
      <c r="BF159" s="35">
        <f ca="1">INDEX(SF_Output!$AB$2:$AB$400,MATCH($B159,SF_Output!$M$2:$M$400,0))</f>
        <v>2</v>
      </c>
    </row>
    <row r="160" spans="2:58" x14ac:dyDescent="0.25">
      <c r="B160" t="s">
        <v>1857</v>
      </c>
      <c r="C160" t="s">
        <v>2122</v>
      </c>
      <c r="D160" t="s">
        <v>2207</v>
      </c>
      <c r="E160" t="s">
        <v>2124</v>
      </c>
      <c r="F160" s="116" t="str">
        <f t="shared" si="34"/>
        <v>Included</v>
      </c>
      <c r="G160" t="str">
        <f>IF(B160="","",INDEX(SF_Output!$K$1:$K$400,MATCH(B160,SF_Output!$M$1:$M$400,0)))</f>
        <v>Core</v>
      </c>
      <c r="H160" cm="1">
        <f t="array" ref="H160">_xlfn.IFS(B160="","",(SUMIFS(SF_Output!$F$1:$F$400,SF_Output!$AC$1:$AC$400,_xlfn.TEXTJOIN(",",TRUE,B160:E160))+SUMIFS(SF_Output!$G$1:$G$400,SF_Output!$AC$1:$AC$400,_xlfn.TEXTJOIN(",",TRUE,B160:E160)))&lt;&gt;0,SF_Output!$Y$2,INDEX(SF_Output!$F$1:$F$400,MATCH(_xlfn.TEXTJOIN(",",TRUE,B160:E160),SF_Output!$AC$1:$AC$400,0))=0,INDEX(SF_Output!$R$1:$R$400,MATCH(_xlfn.TEXTJOIN(",",TRUE,B160:E160),SF_Output!$AC$1:$AC$400,0)))</f>
        <v>1</v>
      </c>
      <c r="I160" s="125" t="str">
        <f>IFERROR(IF(AND(H160&gt;1,H160&lt;&gt;""),ROUND(SUMIFS(SF_Output!$S$1:$S$400,SF_Output!$AC$1:$AC$400,_xlfn.TEXTJOIN(",",TRUE,B160:E160),SF_Output!$Q$1:$Q$400,"monthly")*(1-W160)/H160,4),""),"")</f>
        <v/>
      </c>
      <c r="J160" s="6">
        <f>IF(B160="","",SUMIFS(SF_Output!$S$1:$S$400,SF_Output!$AC$1:$AC$400,_xlfn.TEXTJOIN(",",TRUE,B160:E160),SF_Output!$Q$1:$Q$400,"One Time",SF_Output!$L$1:$L$400,"license fee")+SUMIFS(SF_Output!$S$1:$S$400,SF_Output!$AC$1:$AC$400,_xlfn.TEXTJOIN(",",TRUE,B160:E160),SF_Output!$Q$1:$Q$400,"One Time",SF_Output!$L$1:$L$400,"software license")+SUMIFS(SF_Output!$S$1:$S$400,SF_Output!$AC$1:$AC$400,_xlfn.TEXTJOIN(",",TRUE,B160:E160),SF_Output!$Q$1:$Q$400,"One Time",SF_Output!$L$1:$L$400,"hardware"))</f>
        <v>0</v>
      </c>
      <c r="K160" s="112" t="str">
        <f>IF(OR(B160=0,B160="",G160="hardware",J160=0),"",IF(AF160&lt;&gt;"exclusion",MAX(K$9,-((SUMIFS(SF_Output!$T$1:$T$400,SF_Output!$AC$1:$AC$400,_xlfn.TEXTJOIN(",",TRUE,$B160:$E160),SF_Output!$Q$1:$Q$400,"One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license"))/J160)))</f>
        <v/>
      </c>
      <c r="L160" s="6">
        <f t="shared" si="35"/>
        <v>0</v>
      </c>
      <c r="N160" s="6">
        <f>IF(B160="","",SUMIFS(SF_Output!$S$1:$S$400,SF_Output!$AC$1:$AC$400,_xlfn.TEXTJOIN(",",TRUE,B160:E160),SF_Output!$Q$1:$Q$400,"One Time",SF_Output!$L$1:$L$400,"professional service"))</f>
        <v>0</v>
      </c>
      <c r="O160" s="112" t="str">
        <f>IF(OR(B160=0,B160="",N160=0),"",IF(AF160&lt;&gt;"exclusion",MAX(O$9,-(SUMIFS(SF_Output!$T$1:$T$400,SF_Output!$AC$1:$AC$400,_xlfn.TEXTJOIN(",",TRUE,$B160:$E160),SF_Output!$Q$1:$Q$400,"One Time",SF_Output!$L$1:$L$400,"professional service"))/N160),-((SUMIFS(SF_Output!$T$1:$T$400,SF_Output!$AC$1:$AC$400,_xlfn.TEXTJOIN(",",TRUE,$B160:$E160),SF_Output!$Q$1:$Q$400,"One Time",SF_Output!$L$1:$L$400,"professional service")/N160))))</f>
        <v/>
      </c>
      <c r="P160" s="6">
        <f t="shared" si="36"/>
        <v>0</v>
      </c>
      <c r="R160" s="6">
        <f>IF(B160="","",SUMIFS(SF_Output!$S$1:$S$400,SF_Output!$AC$1:$AC$400,_xlfn.TEXTJOIN(",",TRUE,B160:E160),SF_Output!$Q$1:$Q$400,"yearly")+SUMIFS(SF_Output!$S$1:$S$400,SF_Output!$AC$1:$AC$400,_xlfn.TEXTJOIN(",",TRUE,B160:E160),SF_Output!$Q$1:$Q$400,"quarterly")*4)</f>
        <v>0</v>
      </c>
      <c r="S160" s="112" t="str">
        <f>IF(OR(B160=0,B160="",G160="hardware",R160=0),"",IF(AF160&lt;&gt;"exclusion",MAX(S$9,-(SUMIFS(SF_Output!$T$1:$T$400,SF_Output!$AC$1:$AC$400,_xlfn.TEXTJOIN(",",TRUE,$B160:$E160),SF_Output!$Q$1:$Q$400,"yearly"))/R160),-((SUMIFS(SF_Output!$T$1:$T$400,SF_Output!$AC$1:$AC$400,_xlfn.TEXTJOIN(",",TRUE,$B160:$E160),SF_Output!$Q$1:$Q$400,"yearly")/R160))))</f>
        <v/>
      </c>
      <c r="T160" s="6">
        <f t="shared" si="37"/>
        <v>0</v>
      </c>
      <c r="V160" s="6" cm="1">
        <f t="array" ref="V160">_xlfn.IFS(B160="","",AND(B160&lt;&gt;"",H160=SF_Output!$Y$2,SUMIFS(SF_Output!$T$1:$T$400,SF_Output!$AC$1:$AC$400,_xlfn.TEXTJOIN(",",TRUE,B160:E160),SF_Output!$Q$1:$Q$400,"monthly")=0),(SUMIFS(SF_Output!$F$1:$F$400,SF_Output!$AC$1:$AC$400,_xlfn.TEXTJOIN(",",TRUE,B160:E160),SF_Output!$Q$1:$Q$400,"monthly")+SUMIFS(SF_Output!$G$1:$G$400,SF_Output!$AC$1:$AC$400,_xlfn.TEXTJOIN(",",TRUE,B160:E160),SF_Output!$Q$1:$Q$400,"monthly"))*H160,AND(B160&lt;&gt;"",H160=SF_Output!$Y$2,SUMIFS(SF_Output!$T$1:$T$400,SF_Output!$AC$1:$AC$400,_xlfn.TEXTJOIN(",",TRUE,B160:E160),SF_Output!$Q$1:$Q$400,"monthly")&lt;&gt;0),SUMIFS(SF_Output!$S$1:$S$400,SF_Output!$AC$1:$AC$400,_xlfn.TEXTJOIN(",",TRUE,B160:E160),SF_Output!$Q$1:$Q$400,"monthly"),AND(B160&lt;&gt;"",H160&lt;&gt;SF_Output!$Y$2),SUMIFS(SF_Output!$S$1:$S$400,SF_Output!$AC$1:$AC$400,_xlfn.TEXTJOIN(",",TRUE,B160:E160),SF_Output!$Q$1:$Q$400,"monthly"))</f>
        <v>1000</v>
      </c>
      <c r="W160" s="112" cm="1">
        <f t="array" ref="W160">_xlfn.IFS(OR(B160=0,B160="",V160=0),"",AF160&lt;&gt;"exclusion",MAX($W$9,$W$7,(-(SUMIFS(SF_Output!$T$1:$T$400,SF_Output!$AC$1:$AC$400,_xlfn.TEXTJOIN(",",TRUE,$B160:$E160),SF_Output!$Q$1:$Q$400,"monthly"))/V160)),AF160="exclusion",-(SUMIFS(SF_Output!$T$1:$T$400,SF_Output!$AC$1:$AC$400,_xlfn.TEXTJOIN(",",TRUE,$B160:$E160),SF_Output!$Q$1:$Q$400,"monthly"))/V160)</f>
        <v>0</v>
      </c>
      <c r="X160" s="6" cm="1">
        <f t="array" ref="X160">IFERROR(_xlfn.IFS(V160=0,0,V160="","",W160=0,V160,OR(V160&lt;&gt;0,V160&lt;&gt;""),H160*I160),V160*(1-W160))</f>
        <v>1000</v>
      </c>
      <c r="Z160" s="6">
        <f>IFERROR(IF(B160="","",SUMIFS(Billing_Fallout!H:H,Billing_Fallout!N:N,B160)),0)</f>
        <v>0</v>
      </c>
      <c r="AA160" s="6">
        <f t="shared" si="38"/>
        <v>0</v>
      </c>
      <c r="AB160" s="6">
        <f>IFERROR(IF(B160="","",SUMIFS(Billing_Fallout!J:J,Billing_Fallout!N:N,B160)),0)</f>
        <v>0</v>
      </c>
      <c r="AD160" s="6">
        <f t="shared" si="39"/>
        <v>1000</v>
      </c>
      <c r="AF160" t="str">
        <f>IFERROR(INDEX(H_Tables!$B$1:$B$1500,MATCH(INDEX(SF_Output!$J$1:$J$400,MATCH(B160,SF_Output!$M$1:$M$400,0)),H_Tables!$A$1:$A$1500,0)),"")</f>
        <v>Exclusion</v>
      </c>
      <c r="AI160" s="119" t="str">
        <f t="shared" si="40"/>
        <v/>
      </c>
      <c r="AJ160" s="121">
        <f>IFERROR(INDEX(SF_Output!AD:AD,MATCH(_xlfn.TEXTJOIN(",",TRUE,B160:E160),SF_Output!AC1:AC400,0)),0.05)</f>
        <v>57</v>
      </c>
      <c r="AK160" t="str">
        <f>IF(SUMIFS(SF_Output!$F$1:$F$400,SF_Output!$AC$1:$AC$400,_xlfn.TEXTJOIN(",",TRUE,B160:E160))+SUMIFS(SF_Output!$G$1:$G$400,SF_Output!$AC$1:$AC$400,_xlfn.TEXTJOIN(",",TRUE,B160:E160))=0,"","PAP")</f>
        <v/>
      </c>
      <c r="AQ160" s="35"/>
      <c r="AR160" s="35" t="str" cm="1">
        <f t="array" ref="AR160">IFERROR(_xlfn.IFS(AND(E160*1=1,F160="Included"),"Change to Included",AND(E160*1=0,F160="Optional"),"Change to Optional",OR(B160="",F160="replaced"),""),"")</f>
        <v/>
      </c>
      <c r="AS160" s="35" t="str">
        <f t="shared" si="41"/>
        <v/>
      </c>
      <c r="AT160" s="35" t="str">
        <f t="shared" si="42"/>
        <v/>
      </c>
      <c r="AU160" s="35" t="str">
        <f t="shared" si="43"/>
        <v/>
      </c>
      <c r="AV160" s="35" t="str">
        <f t="shared" si="44"/>
        <v/>
      </c>
      <c r="AW160" s="35" t="str">
        <f t="shared" si="45"/>
        <v/>
      </c>
      <c r="AX160" s="35" t="str">
        <f t="shared" si="46"/>
        <v/>
      </c>
      <c r="AY160" s="35" t="str">
        <f t="shared" si="47"/>
        <v/>
      </c>
      <c r="AZ160" s="35" t="str">
        <f t="shared" si="48"/>
        <v/>
      </c>
      <c r="BA160" s="35" t="str">
        <f t="shared" si="49"/>
        <v/>
      </c>
      <c r="BB160" s="35" t="str">
        <f t="shared" si="50"/>
        <v/>
      </c>
      <c r="BC160" s="35"/>
      <c r="BE160" s="35">
        <f ca="1">INDEX(SF_Output!$AA$2:$AA$400,MATCH($B160,SF_Output!$M$2:$M$400,0))</f>
        <v>8</v>
      </c>
      <c r="BF160" s="35">
        <f ca="1">INDEX(SF_Output!$AB$2:$AB$400,MATCH($B160,SF_Output!$M$2:$M$400,0))</f>
        <v>2</v>
      </c>
    </row>
    <row r="161" spans="2:58" x14ac:dyDescent="0.25">
      <c r="B161" t="s">
        <v>1260</v>
      </c>
      <c r="C161" t="s">
        <v>2122</v>
      </c>
      <c r="D161" t="s">
        <v>2123</v>
      </c>
      <c r="E161" t="s">
        <v>2150</v>
      </c>
      <c r="F161" s="116" t="str">
        <f t="shared" si="34"/>
        <v>Optional</v>
      </c>
      <c r="G161" t="str">
        <f>IF(B161="","",INDEX(SF_Output!$K$1:$K$400,MATCH(B161,SF_Output!$M$1:$M$400,0)))</f>
        <v>jhaKnow</v>
      </c>
      <c r="H161" cm="1">
        <f t="array" ref="H161">_xlfn.IFS(B161="","",(SUMIFS(SF_Output!$F$1:$F$400,SF_Output!$AC$1:$AC$400,_xlfn.TEXTJOIN(",",TRUE,B161:E161))+SUMIFS(SF_Output!$G$1:$G$400,SF_Output!$AC$1:$AC$400,_xlfn.TEXTJOIN(",",TRUE,B161:E161)))&lt;&gt;0,SF_Output!$Y$2,INDEX(SF_Output!$F$1:$F$400,MATCH(_xlfn.TEXTJOIN(",",TRUE,B161:E161),SF_Output!$AC$1:$AC$400,0))=0,INDEX(SF_Output!$R$1:$R$400,MATCH(_xlfn.TEXTJOIN(",",TRUE,B161:E161),SF_Output!$AC$1:$AC$400,0)))</f>
        <v>5000</v>
      </c>
      <c r="I161" s="125">
        <f>IFERROR(IF(AND(H161&gt;1,H161&lt;&gt;""),ROUND(SUMIFS(SF_Output!$S$1:$S$400,SF_Output!$AC$1:$AC$400,_xlfn.TEXTJOIN(",",TRUE,B161:E161),SF_Output!$Q$1:$Q$400,"monthly")*(1-W161)/H161,4),""),"")</f>
        <v>0.24979999999999999</v>
      </c>
      <c r="J161" s="6">
        <f>IF(B161="","",SUMIFS(SF_Output!$S$1:$S$400,SF_Output!$AC$1:$AC$400,_xlfn.TEXTJOIN(",",TRUE,B161:E161),SF_Output!$Q$1:$Q$400,"One Time",SF_Output!$L$1:$L$400,"license fee")+SUMIFS(SF_Output!$S$1:$S$400,SF_Output!$AC$1:$AC$400,_xlfn.TEXTJOIN(",",TRUE,B161:E161),SF_Output!$Q$1:$Q$400,"One Time",SF_Output!$L$1:$L$400,"software license")+SUMIFS(SF_Output!$S$1:$S$400,SF_Output!$AC$1:$AC$400,_xlfn.TEXTJOIN(",",TRUE,B161:E161),SF_Output!$Q$1:$Q$400,"One Time",SF_Output!$L$1:$L$400,"hardware"))</f>
        <v>0</v>
      </c>
      <c r="K161" s="112" t="str">
        <f>IF(OR(B161=0,B161="",G161="hardware",J161=0),"",IF(AF161&lt;&gt;"exclusion",MAX(K$9,-((SUMIFS(SF_Output!$T$1:$T$400,SF_Output!$AC$1:$AC$400,_xlfn.TEXTJOIN(",",TRUE,$B161:$E161),SF_Output!$Q$1:$Q$400,"One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license"))/J161)))</f>
        <v/>
      </c>
      <c r="L161" s="6">
        <f t="shared" si="35"/>
        <v>0</v>
      </c>
      <c r="N161" s="6">
        <f>IF(B161="","",SUMIFS(SF_Output!$S$1:$S$400,SF_Output!$AC$1:$AC$400,_xlfn.TEXTJOIN(",",TRUE,B161:E161),SF_Output!$Q$1:$Q$400,"One Time",SF_Output!$L$1:$L$400,"professional service"))</f>
        <v>7500</v>
      </c>
      <c r="O161" s="112">
        <f>IF(OR(B161=0,B161="",N161=0),"",IF(AF161&lt;&gt;"exclusion",MAX(O$9,-(SUMIFS(SF_Output!$T$1:$T$400,SF_Output!$AC$1:$AC$400,_xlfn.TEXTJOIN(",",TRUE,$B161:$E161),SF_Output!$Q$1:$Q$400,"One Time",SF_Output!$L$1:$L$400,"professional service"))/N161),-((SUMIFS(SF_Output!$T$1:$T$400,SF_Output!$AC$1:$AC$400,_xlfn.TEXTJOIN(",",TRUE,$B161:$E161),SF_Output!$Q$1:$Q$400,"One Time",SF_Output!$L$1:$L$400,"professional service")/N161))))</f>
        <v>1</v>
      </c>
      <c r="P161" s="6">
        <f t="shared" si="36"/>
        <v>0</v>
      </c>
      <c r="R161" s="6">
        <f>IF(B161="","",SUMIFS(SF_Output!$S$1:$S$400,SF_Output!$AC$1:$AC$400,_xlfn.TEXTJOIN(",",TRUE,B161:E161),SF_Output!$Q$1:$Q$400,"yearly")+SUMIFS(SF_Output!$S$1:$S$400,SF_Output!$AC$1:$AC$400,_xlfn.TEXTJOIN(",",TRUE,B161:E161),SF_Output!$Q$1:$Q$400,"quarterly")*4)</f>
        <v>0</v>
      </c>
      <c r="S161" s="112" t="str">
        <f>IF(OR(B161=0,B161="",G161="hardware",R161=0),"",IF(AF161&lt;&gt;"exclusion",MAX(S$9,-(SUMIFS(SF_Output!$T$1:$T$400,SF_Output!$AC$1:$AC$400,_xlfn.TEXTJOIN(",",TRUE,$B161:$E161),SF_Output!$Q$1:$Q$400,"yearly"))/R161),-((SUMIFS(SF_Output!$T$1:$T$400,SF_Output!$AC$1:$AC$400,_xlfn.TEXTJOIN(",",TRUE,$B161:$E161),SF_Output!$Q$1:$Q$400,"yearly")/R161))))</f>
        <v/>
      </c>
      <c r="T161" s="6">
        <f t="shared" si="37"/>
        <v>0</v>
      </c>
      <c r="V161" s="6" cm="1">
        <f t="array" ref="V161">_xlfn.IFS(B161="","",AND(B161&lt;&gt;"",H161=SF_Output!$Y$2,SUMIFS(SF_Output!$T$1:$T$400,SF_Output!$AC$1:$AC$400,_xlfn.TEXTJOIN(",",TRUE,B161:E161),SF_Output!$Q$1:$Q$400,"monthly")=0),(SUMIFS(SF_Output!$F$1:$F$400,SF_Output!$AC$1:$AC$400,_xlfn.TEXTJOIN(",",TRUE,B161:E161),SF_Output!$Q$1:$Q$400,"monthly")+SUMIFS(SF_Output!$G$1:$G$400,SF_Output!$AC$1:$AC$400,_xlfn.TEXTJOIN(",",TRUE,B161:E161),SF_Output!$Q$1:$Q$400,"monthly"))*H161,AND(B161&lt;&gt;"",H161=SF_Output!$Y$2,SUMIFS(SF_Output!$T$1:$T$400,SF_Output!$AC$1:$AC$400,_xlfn.TEXTJOIN(",",TRUE,B161:E161),SF_Output!$Q$1:$Q$400,"monthly")&lt;&gt;0),SUMIFS(SF_Output!$S$1:$S$400,SF_Output!$AC$1:$AC$400,_xlfn.TEXTJOIN(",",TRUE,B161:E161),SF_Output!$Q$1:$Q$400,"monthly"),AND(B161&lt;&gt;"",H161&lt;&gt;SF_Output!$Y$2),SUMIFS(SF_Output!$S$1:$S$400,SF_Output!$AC$1:$AC$400,_xlfn.TEXTJOIN(",",TRUE,B161:E161),SF_Output!$Q$1:$Q$400,"monthly"))</f>
        <v>1665</v>
      </c>
      <c r="W161" s="112" cm="1">
        <f t="array" ref="W161">_xlfn.IFS(OR(B161=0,B161="",V161=0),"",AF161&lt;&gt;"exclusion",MAX($W$9,$W$7,(-(SUMIFS(SF_Output!$T$1:$T$400,SF_Output!$AC$1:$AC$400,_xlfn.TEXTJOIN(",",TRUE,$B161:$E161),SF_Output!$Q$1:$Q$400,"monthly"))/V161)),AF161="exclusion",-(SUMIFS(SF_Output!$T$1:$T$400,SF_Output!$AC$1:$AC$400,_xlfn.TEXTJOIN(",",TRUE,$B161:$E161),SF_Output!$Q$1:$Q$400,"monthly"))/V161)</f>
        <v>0.25</v>
      </c>
      <c r="X161" s="6" cm="1">
        <f t="array" ref="X161">IFERROR(_xlfn.IFS(V161=0,0,V161="","",W161=0,V161,OR(V161&lt;&gt;0,V161&lt;&gt;""),H161*I161),V161*(1-W161))</f>
        <v>1249</v>
      </c>
      <c r="Z161" s="6">
        <f>IFERROR(IF(B161="","",SUMIFS(Billing_Fallout!H:H,Billing_Fallout!N:N,B161)),0)</f>
        <v>0</v>
      </c>
      <c r="AA161" s="6">
        <f t="shared" si="38"/>
        <v>0</v>
      </c>
      <c r="AB161" s="6">
        <f>IFERROR(IF(B161="","",SUMIFS(Billing_Fallout!J:J,Billing_Fallout!N:N,B161)),0)</f>
        <v>0</v>
      </c>
      <c r="AD161" s="6">
        <f t="shared" si="39"/>
        <v>1249</v>
      </c>
      <c r="AF161" t="str">
        <f>IFERROR(INDEX(H_Tables!$B$1:$B$1500,MATCH(INDEX(SF_Output!$J$1:$J$400,MATCH(B161,SF_Output!$M$1:$M$400,0)),H_Tables!$A$1:$A$1500,0)),"")</f>
        <v>Exclusion</v>
      </c>
      <c r="AI161" s="119" t="str">
        <f t="shared" si="40"/>
        <v/>
      </c>
      <c r="AJ161" s="121">
        <f>IFERROR(INDEX(SF_Output!AD:AD,MATCH(_xlfn.TEXTJOIN(",",TRUE,B161:E161),SF_Output!AC1:AC400,0)),0.05)</f>
        <v>121</v>
      </c>
      <c r="AK161" t="str">
        <f>IF(SUMIFS(SF_Output!$F$1:$F$400,SF_Output!$AC$1:$AC$400,_xlfn.TEXTJOIN(",",TRUE,B161:E161))+SUMIFS(SF_Output!$G$1:$G$400,SF_Output!$AC$1:$AC$400,_xlfn.TEXTJOIN(",",TRUE,B161:E161))=0,"","PAP")</f>
        <v>PAP</v>
      </c>
      <c r="AQ161" s="35"/>
      <c r="AR161" s="35" t="str" cm="1">
        <f t="array" ref="AR161">IFERROR(_xlfn.IFS(AND(E161*1=1,F161="Included"),"Change to Included",AND(E161*1=0,F161="Optional"),"Change to Optional",OR(B161="",F161="replaced"),""),"")</f>
        <v/>
      </c>
      <c r="AS161" s="35" t="str">
        <f t="shared" si="41"/>
        <v/>
      </c>
      <c r="AT161" s="35" t="str">
        <f t="shared" si="42"/>
        <v/>
      </c>
      <c r="AU161" s="35" t="str">
        <f t="shared" si="43"/>
        <v/>
      </c>
      <c r="AV161" s="35" t="str">
        <f t="shared" si="44"/>
        <v/>
      </c>
      <c r="AW161" s="35" t="str">
        <f t="shared" si="45"/>
        <v/>
      </c>
      <c r="AX161" s="35" t="str">
        <f t="shared" si="46"/>
        <v/>
      </c>
      <c r="AY161" s="35" t="str">
        <f t="shared" si="47"/>
        <v/>
      </c>
      <c r="AZ161" s="35" t="str">
        <f t="shared" si="48"/>
        <v/>
      </c>
      <c r="BA161" s="35" t="str">
        <f t="shared" si="49"/>
        <v/>
      </c>
      <c r="BB161" s="35" t="str">
        <f t="shared" si="50"/>
        <v/>
      </c>
      <c r="BC161" s="35"/>
      <c r="BE161" s="35">
        <f ca="1">INDEX(SF_Output!$AA$2:$AA$400,MATCH($B161,SF_Output!$M$2:$M$400,0))</f>
        <v>8</v>
      </c>
      <c r="BF161" s="35">
        <f ca="1">INDEX(SF_Output!$AB$2:$AB$400,MATCH($B161,SF_Output!$M$2:$M$400,0))</f>
        <v>2</v>
      </c>
    </row>
    <row r="162" spans="2:58" x14ac:dyDescent="0.25">
      <c r="B162" t="s">
        <v>646</v>
      </c>
      <c r="C162" t="s">
        <v>2122</v>
      </c>
      <c r="D162" t="s">
        <v>2123</v>
      </c>
      <c r="E162" t="s">
        <v>2124</v>
      </c>
      <c r="F162" s="116" t="str">
        <f t="shared" si="34"/>
        <v>Included</v>
      </c>
      <c r="G162" t="str">
        <f>IF(B162="","",INDEX(SF_Output!$K$1:$K$400,MATCH(B162,SF_Output!$M$1:$M$400,0)))</f>
        <v>Cognos</v>
      </c>
      <c r="H162" cm="1">
        <f t="array" ref="H162">_xlfn.IFS(B162="","",(SUMIFS(SF_Output!$F$1:$F$400,SF_Output!$AC$1:$AC$400,_xlfn.TEXTJOIN(",",TRUE,B162:E162))+SUMIFS(SF_Output!$G$1:$G$400,SF_Output!$AC$1:$AC$400,_xlfn.TEXTJOIN(",",TRUE,B162:E162)))&lt;&gt;0,SF_Output!$Y$2,INDEX(SF_Output!$F$1:$F$400,MATCH(_xlfn.TEXTJOIN(",",TRUE,B162:E162),SF_Output!$AC$1:$AC$400,0))=0,INDEX(SF_Output!$R$1:$R$400,MATCH(_xlfn.TEXTJOIN(",",TRUE,B162:E162),SF_Output!$AC$1:$AC$400,0)))</f>
        <v>1</v>
      </c>
      <c r="I162" s="125" t="str">
        <f>IFERROR(IF(AND(H162&gt;1,H162&lt;&gt;""),ROUND(SUMIFS(SF_Output!$S$1:$S$400,SF_Output!$AC$1:$AC$400,_xlfn.TEXTJOIN(",",TRUE,B162:E162),SF_Output!$Q$1:$Q$400,"monthly")*(1-W162)/H162,4),""),"")</f>
        <v/>
      </c>
      <c r="J162" s="6">
        <f>IF(B162="","",SUMIFS(SF_Output!$S$1:$S$400,SF_Output!$AC$1:$AC$400,_xlfn.TEXTJOIN(",",TRUE,B162:E162),SF_Output!$Q$1:$Q$400,"One Time",SF_Output!$L$1:$L$400,"license fee")+SUMIFS(SF_Output!$S$1:$S$400,SF_Output!$AC$1:$AC$400,_xlfn.TEXTJOIN(",",TRUE,B162:E162),SF_Output!$Q$1:$Q$400,"One Time",SF_Output!$L$1:$L$400,"software license")+SUMIFS(SF_Output!$S$1:$S$400,SF_Output!$AC$1:$AC$400,_xlfn.TEXTJOIN(",",TRUE,B162:E162),SF_Output!$Q$1:$Q$400,"One Time",SF_Output!$L$1:$L$400,"hardware"))</f>
        <v>0</v>
      </c>
      <c r="K162" s="112" t="str">
        <f>IF(OR(B162=0,B162="",G162="hardware",J162=0),"",IF(AF162&lt;&gt;"exclusion",MAX(K$9,-((SUMIFS(SF_Output!$T$1:$T$400,SF_Output!$AC$1:$AC$400,_xlfn.TEXTJOIN(",",TRUE,$B162:$E162),SF_Output!$Q$1:$Q$400,"One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license"))/J162)))</f>
        <v/>
      </c>
      <c r="L162" s="6">
        <f t="shared" si="35"/>
        <v>0</v>
      </c>
      <c r="N162" s="6">
        <f>IF(B162="","",SUMIFS(SF_Output!$S$1:$S$400,SF_Output!$AC$1:$AC$400,_xlfn.TEXTJOIN(",",TRUE,B162:E162),SF_Output!$Q$1:$Q$400,"One Time",SF_Output!$L$1:$L$400,"professional service"))</f>
        <v>5500</v>
      </c>
      <c r="O162" s="112">
        <f>IF(OR(B162=0,B162="",N162=0),"",IF(AF162&lt;&gt;"exclusion",MAX(O$9,-(SUMIFS(SF_Output!$T$1:$T$400,SF_Output!$AC$1:$AC$400,_xlfn.TEXTJOIN(",",TRUE,$B162:$E162),SF_Output!$Q$1:$Q$400,"One Time",SF_Output!$L$1:$L$400,"professional service"))/N162),-((SUMIFS(SF_Output!$T$1:$T$400,SF_Output!$AC$1:$AC$400,_xlfn.TEXTJOIN(",",TRUE,$B162:$E162),SF_Output!$Q$1:$Q$400,"One Time",SF_Output!$L$1:$L$400,"professional service")/N162))))</f>
        <v>0</v>
      </c>
      <c r="P162" s="6">
        <f t="shared" si="36"/>
        <v>5500</v>
      </c>
      <c r="R162" s="6">
        <f>IF(B162="","",SUMIFS(SF_Output!$S$1:$S$400,SF_Output!$AC$1:$AC$400,_xlfn.TEXTJOIN(",",TRUE,B162:E162),SF_Output!$Q$1:$Q$400,"yearly")+SUMIFS(SF_Output!$S$1:$S$400,SF_Output!$AC$1:$AC$400,_xlfn.TEXTJOIN(",",TRUE,B162:E162),SF_Output!$Q$1:$Q$400,"quarterly")*4)</f>
        <v>0</v>
      </c>
      <c r="S162" s="112" t="str">
        <f>IF(OR(B162=0,B162="",G162="hardware",R162=0),"",IF(AF162&lt;&gt;"exclusion",MAX(S$9,-(SUMIFS(SF_Output!$T$1:$T$400,SF_Output!$AC$1:$AC$400,_xlfn.TEXTJOIN(",",TRUE,$B162:$E162),SF_Output!$Q$1:$Q$400,"yearly"))/R162),-((SUMIFS(SF_Output!$T$1:$T$400,SF_Output!$AC$1:$AC$400,_xlfn.TEXTJOIN(",",TRUE,$B162:$E162),SF_Output!$Q$1:$Q$400,"yearly")/R162))))</f>
        <v/>
      </c>
      <c r="T162" s="6">
        <f t="shared" si="37"/>
        <v>0</v>
      </c>
      <c r="V162" s="6" cm="1">
        <f t="array" ref="V162">_xlfn.IFS(B162="","",AND(B162&lt;&gt;"",H162=SF_Output!$Y$2,SUMIFS(SF_Output!$T$1:$T$400,SF_Output!$AC$1:$AC$400,_xlfn.TEXTJOIN(",",TRUE,B162:E162),SF_Output!$Q$1:$Q$400,"monthly")=0),(SUMIFS(SF_Output!$F$1:$F$400,SF_Output!$AC$1:$AC$400,_xlfn.TEXTJOIN(",",TRUE,B162:E162),SF_Output!$Q$1:$Q$400,"monthly")+SUMIFS(SF_Output!$G$1:$G$400,SF_Output!$AC$1:$AC$400,_xlfn.TEXTJOIN(",",TRUE,B162:E162),SF_Output!$Q$1:$Q$400,"monthly"))*H162,AND(B162&lt;&gt;"",H162=SF_Output!$Y$2,SUMIFS(SF_Output!$T$1:$T$400,SF_Output!$AC$1:$AC$400,_xlfn.TEXTJOIN(",",TRUE,B162:E162),SF_Output!$Q$1:$Q$400,"monthly")&lt;&gt;0),SUMIFS(SF_Output!$S$1:$S$400,SF_Output!$AC$1:$AC$400,_xlfn.TEXTJOIN(",",TRUE,B162:E162),SF_Output!$Q$1:$Q$400,"monthly"),AND(B162&lt;&gt;"",H162&lt;&gt;SF_Output!$Y$2),SUMIFS(SF_Output!$S$1:$S$400,SF_Output!$AC$1:$AC$400,_xlfn.TEXTJOIN(",",TRUE,B162:E162),SF_Output!$Q$1:$Q$400,"monthly"))</f>
        <v>665</v>
      </c>
      <c r="W162" s="112" cm="1">
        <f t="array" ref="W162">_xlfn.IFS(OR(B162=0,B162="",V162=0),"",AF162&lt;&gt;"exclusion",MAX($W$9,$W$7,(-(SUMIFS(SF_Output!$T$1:$T$400,SF_Output!$AC$1:$AC$400,_xlfn.TEXTJOIN(",",TRUE,$B162:$E162),SF_Output!$Q$1:$Q$400,"monthly"))/V162)),AF162="exclusion",-(SUMIFS(SF_Output!$T$1:$T$400,SF_Output!$AC$1:$AC$400,_xlfn.TEXTJOIN(",",TRUE,$B162:$E162),SF_Output!$Q$1:$Q$400,"monthly"))/V162)</f>
        <v>0</v>
      </c>
      <c r="X162" s="6" cm="1">
        <f t="array" ref="X162">IFERROR(_xlfn.IFS(V162=0,0,V162="","",W162=0,V162,OR(V162&lt;&gt;0,V162&lt;&gt;""),H162*I162),V162*(1-W162))</f>
        <v>665</v>
      </c>
      <c r="Z162" s="6">
        <f>IFERROR(IF(B162="","",SUMIFS(Billing_Fallout!H:H,Billing_Fallout!N:N,B162)),0)</f>
        <v>0</v>
      </c>
      <c r="AA162" s="6">
        <f t="shared" si="38"/>
        <v>0</v>
      </c>
      <c r="AB162" s="6">
        <f>IFERROR(IF(B162="","",SUMIFS(Billing_Fallout!J:J,Billing_Fallout!N:N,B162)),0)</f>
        <v>0</v>
      </c>
      <c r="AD162" s="6">
        <f t="shared" si="39"/>
        <v>665</v>
      </c>
      <c r="AF162" t="str">
        <f>IFERROR(INDEX(H_Tables!$B$1:$B$1500,MATCH(INDEX(SF_Output!$J$1:$J$400,MATCH(B162,SF_Output!$M$1:$M$400,0)),H_Tables!$A$1:$A$1500,0)),"")</f>
        <v>Exclusion</v>
      </c>
      <c r="AI162" s="119" t="str">
        <f t="shared" si="40"/>
        <v/>
      </c>
      <c r="AJ162" s="121">
        <f>IFERROR(INDEX(SF_Output!AD:AD,MATCH(_xlfn.TEXTJOIN(",",TRUE,B162:E162),SF_Output!AC1:AC400,0)),0.05)</f>
        <v>123</v>
      </c>
      <c r="AK162" t="str">
        <f>IF(SUMIFS(SF_Output!$F$1:$F$400,SF_Output!$AC$1:$AC$400,_xlfn.TEXTJOIN(",",TRUE,B162:E162))+SUMIFS(SF_Output!$G$1:$G$400,SF_Output!$AC$1:$AC$400,_xlfn.TEXTJOIN(",",TRUE,B162:E162))=0,"","PAP")</f>
        <v/>
      </c>
      <c r="AQ162" s="35"/>
      <c r="AR162" s="35" t="str" cm="1">
        <f t="array" ref="AR162">IFERROR(_xlfn.IFS(AND(E162*1=1,F162="Included"),"Change to Included",AND(E162*1=0,F162="Optional"),"Change to Optional",OR(B162="",F162="replaced"),""),"")</f>
        <v/>
      </c>
      <c r="AS162" s="35" t="str">
        <f t="shared" si="41"/>
        <v/>
      </c>
      <c r="AT162" s="35" t="str">
        <f t="shared" si="42"/>
        <v/>
      </c>
      <c r="AU162" s="35" t="str">
        <f t="shared" si="43"/>
        <v/>
      </c>
      <c r="AV162" s="35" t="str">
        <f t="shared" si="44"/>
        <v/>
      </c>
      <c r="AW162" s="35" t="str">
        <f t="shared" si="45"/>
        <v/>
      </c>
      <c r="AX162" s="35" t="str">
        <f t="shared" si="46"/>
        <v/>
      </c>
      <c r="AY162" s="35" t="str">
        <f t="shared" si="47"/>
        <v/>
      </c>
      <c r="AZ162" s="35" t="str">
        <f t="shared" si="48"/>
        <v/>
      </c>
      <c r="BA162" s="35" t="str">
        <f t="shared" si="49"/>
        <v/>
      </c>
      <c r="BB162" s="35" t="str">
        <f t="shared" si="50"/>
        <v/>
      </c>
      <c r="BC162" s="35"/>
      <c r="BE162" s="35">
        <f ca="1">INDEX(SF_Output!$AA$2:$AA$400,MATCH($B162,SF_Output!$M$2:$M$400,0))</f>
        <v>8</v>
      </c>
      <c r="BF162" s="35">
        <f ca="1">INDEX(SF_Output!$AB$2:$AB$400,MATCH($B162,SF_Output!$M$2:$M$400,0))</f>
        <v>1</v>
      </c>
    </row>
    <row r="163" spans="2:58" x14ac:dyDescent="0.25">
      <c r="B163" t="s">
        <v>2300</v>
      </c>
      <c r="C163" t="s">
        <v>2122</v>
      </c>
      <c r="D163" t="s">
        <v>2123</v>
      </c>
      <c r="E163" t="s">
        <v>2124</v>
      </c>
      <c r="F163" s="116" t="str">
        <f t="shared" si="34"/>
        <v>Included</v>
      </c>
      <c r="G163" t="str">
        <f>IF(B163="","",INDEX(SF_Output!$K$1:$K$400,MATCH(B163,SF_Output!$M$1:$M$400,0)))</f>
        <v>Cognos</v>
      </c>
      <c r="H163" cm="1">
        <f t="array" ref="H163">_xlfn.IFS(B163="","",(SUMIFS(SF_Output!$F$1:$F$400,SF_Output!$AC$1:$AC$400,_xlfn.TEXTJOIN(",",TRUE,B163:E163))+SUMIFS(SF_Output!$G$1:$G$400,SF_Output!$AC$1:$AC$400,_xlfn.TEXTJOIN(",",TRUE,B163:E163)))&lt;&gt;0,SF_Output!$Y$2,INDEX(SF_Output!$F$1:$F$400,MATCH(_xlfn.TEXTJOIN(",",TRUE,B163:E163),SF_Output!$AC$1:$AC$400,0))=0,INDEX(SF_Output!$R$1:$R$400,MATCH(_xlfn.TEXTJOIN(",",TRUE,B163:E163),SF_Output!$AC$1:$AC$400,0)))</f>
        <v>5000</v>
      </c>
      <c r="I163" s="125">
        <f>IFERROR(IF(AND(H163&gt;1,H163&lt;&gt;""),ROUND(SUMIFS(SF_Output!$S$1:$S$400,SF_Output!$AC$1:$AC$400,_xlfn.TEXTJOIN(",",TRUE,B163:E163),SF_Output!$Q$1:$Q$400,"monthly")*(1-W163)/H163,4),""),"")</f>
        <v>1.5800000000000002E-2</v>
      </c>
      <c r="J163" s="6">
        <f>IF(B163="","",SUMIFS(SF_Output!$S$1:$S$400,SF_Output!$AC$1:$AC$400,_xlfn.TEXTJOIN(",",TRUE,B163:E163),SF_Output!$Q$1:$Q$400,"One Time",SF_Output!$L$1:$L$400,"license fee")+SUMIFS(SF_Output!$S$1:$S$400,SF_Output!$AC$1:$AC$400,_xlfn.TEXTJOIN(",",TRUE,B163:E163),SF_Output!$Q$1:$Q$400,"One Time",SF_Output!$L$1:$L$400,"software license")+SUMIFS(SF_Output!$S$1:$S$400,SF_Output!$AC$1:$AC$400,_xlfn.TEXTJOIN(",",TRUE,B163:E163),SF_Output!$Q$1:$Q$400,"One Time",SF_Output!$L$1:$L$400,"hardware"))</f>
        <v>0</v>
      </c>
      <c r="K163" s="112" t="str">
        <f>IF(OR(B163=0,B163="",G163="hardware",J163=0),"",IF(AF163&lt;&gt;"exclusion",MAX(K$9,-((SUMIFS(SF_Output!$T$1:$T$400,SF_Output!$AC$1:$AC$400,_xlfn.TEXTJOIN(",",TRUE,$B163:$E163),SF_Output!$Q$1:$Q$400,"One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license"))/J163)))</f>
        <v/>
      </c>
      <c r="L163" s="6">
        <f t="shared" si="35"/>
        <v>0</v>
      </c>
      <c r="N163" s="6">
        <f>IF(B163="","",SUMIFS(SF_Output!$S$1:$S$400,SF_Output!$AC$1:$AC$400,_xlfn.TEXTJOIN(",",TRUE,B163:E163),SF_Output!$Q$1:$Q$400,"One Time",SF_Output!$L$1:$L$400,"professional service"))</f>
        <v>750</v>
      </c>
      <c r="O163" s="112">
        <f>IF(OR(B163=0,B163="",N163=0),"",IF(AF163&lt;&gt;"exclusion",MAX(O$9,-(SUMIFS(SF_Output!$T$1:$T$400,SF_Output!$AC$1:$AC$400,_xlfn.TEXTJOIN(",",TRUE,$B163:$E163),SF_Output!$Q$1:$Q$400,"One Time",SF_Output!$L$1:$L$400,"professional service"))/N163),-((SUMIFS(SF_Output!$T$1:$T$400,SF_Output!$AC$1:$AC$400,_xlfn.TEXTJOIN(",",TRUE,$B163:$E163),SF_Output!$Q$1:$Q$400,"One Time",SF_Output!$L$1:$L$400,"professional service")/N163))))</f>
        <v>1</v>
      </c>
      <c r="P163" s="6">
        <f t="shared" si="36"/>
        <v>0</v>
      </c>
      <c r="R163" s="6">
        <f>IF(B163="","",SUMIFS(SF_Output!$S$1:$S$400,SF_Output!$AC$1:$AC$400,_xlfn.TEXTJOIN(",",TRUE,B163:E163),SF_Output!$Q$1:$Q$400,"yearly")+SUMIFS(SF_Output!$S$1:$S$400,SF_Output!$AC$1:$AC$400,_xlfn.TEXTJOIN(",",TRUE,B163:E163),SF_Output!$Q$1:$Q$400,"quarterly")*4)</f>
        <v>0</v>
      </c>
      <c r="S163" s="112" t="str">
        <f>IF(OR(B163=0,B163="",G163="hardware",R163=0),"",IF(AF163&lt;&gt;"exclusion",MAX(S$9,-(SUMIFS(SF_Output!$T$1:$T$400,SF_Output!$AC$1:$AC$400,_xlfn.TEXTJOIN(",",TRUE,$B163:$E163),SF_Output!$Q$1:$Q$400,"yearly"))/R163),-((SUMIFS(SF_Output!$T$1:$T$400,SF_Output!$AC$1:$AC$400,_xlfn.TEXTJOIN(",",TRUE,$B163:$E163),SF_Output!$Q$1:$Q$400,"yearly")/R163))))</f>
        <v/>
      </c>
      <c r="T163" s="6">
        <f t="shared" si="37"/>
        <v>0</v>
      </c>
      <c r="V163" s="6" cm="1">
        <f t="array" ref="V163">_xlfn.IFS(B163="","",AND(B163&lt;&gt;"",H163=SF_Output!$Y$2,SUMIFS(SF_Output!$T$1:$T$400,SF_Output!$AC$1:$AC$400,_xlfn.TEXTJOIN(",",TRUE,B163:E163),SF_Output!$Q$1:$Q$400,"monthly")=0),(SUMIFS(SF_Output!$F$1:$F$400,SF_Output!$AC$1:$AC$400,_xlfn.TEXTJOIN(",",TRUE,B163:E163),SF_Output!$Q$1:$Q$400,"monthly")+SUMIFS(SF_Output!$G$1:$G$400,SF_Output!$AC$1:$AC$400,_xlfn.TEXTJOIN(",",TRUE,B163:E163),SF_Output!$Q$1:$Q$400,"monthly"))*H163,AND(B163&lt;&gt;"",H163=SF_Output!$Y$2,SUMIFS(SF_Output!$T$1:$T$400,SF_Output!$AC$1:$AC$400,_xlfn.TEXTJOIN(",",TRUE,B163:E163),SF_Output!$Q$1:$Q$400,"monthly")&lt;&gt;0),SUMIFS(SF_Output!$S$1:$S$400,SF_Output!$AC$1:$AC$400,_xlfn.TEXTJOIN(",",TRUE,B163:E163),SF_Output!$Q$1:$Q$400,"monthly"),AND(B163&lt;&gt;"",H163&lt;&gt;SF_Output!$Y$2),SUMIFS(SF_Output!$S$1:$S$400,SF_Output!$AC$1:$AC$400,_xlfn.TEXTJOIN(",",TRUE,B163:E163),SF_Output!$Q$1:$Q$400,"monthly"))</f>
        <v>105</v>
      </c>
      <c r="W163" s="112" cm="1">
        <f t="array" ref="W163">_xlfn.IFS(OR(B163=0,B163="",V163=0),"",AF163&lt;&gt;"exclusion",MAX($W$9,$W$7,(-(SUMIFS(SF_Output!$T$1:$T$400,SF_Output!$AC$1:$AC$400,_xlfn.TEXTJOIN(",",TRUE,$B163:$E163),SF_Output!$Q$1:$Q$400,"monthly"))/V163)),AF163="exclusion",-(SUMIFS(SF_Output!$T$1:$T$400,SF_Output!$AC$1:$AC$400,_xlfn.TEXTJOIN(",",TRUE,$B163:$E163),SF_Output!$Q$1:$Q$400,"monthly"))/V163)</f>
        <v>0.25</v>
      </c>
      <c r="X163" s="6" cm="1">
        <f t="array" ref="X163">IFERROR(_xlfn.IFS(V163=0,0,V163="","",W163=0,V163,OR(V163&lt;&gt;0,V163&lt;&gt;""),H163*I163),V163*(1-W163))</f>
        <v>79.000000000000014</v>
      </c>
      <c r="Z163" s="6">
        <f>IFERROR(IF(B163="","",SUMIFS(Billing_Fallout!H:H,Billing_Fallout!N:N,B163)),0)</f>
        <v>0</v>
      </c>
      <c r="AA163" s="6">
        <f t="shared" si="38"/>
        <v>0</v>
      </c>
      <c r="AB163" s="6">
        <f>IFERROR(IF(B163="","",SUMIFS(Billing_Fallout!J:J,Billing_Fallout!N:N,B163)),0)</f>
        <v>0</v>
      </c>
      <c r="AD163" s="6">
        <f t="shared" si="39"/>
        <v>79.000000000000014</v>
      </c>
      <c r="AF163" t="str">
        <f>IFERROR(INDEX(H_Tables!$B$1:$B$1500,MATCH(INDEX(SF_Output!$J$1:$J$400,MATCH(B163,SF_Output!$M$1:$M$400,0)),H_Tables!$A$1:$A$1500,0)),"")</f>
        <v>Exclusion</v>
      </c>
      <c r="AI163" s="119" t="str">
        <f t="shared" si="40"/>
        <v/>
      </c>
      <c r="AJ163" s="121">
        <f>IFERROR(INDEX(SF_Output!AD:AD,MATCH(_xlfn.TEXTJOIN(",",TRUE,B163:E163),SF_Output!AC1:AC400,0)),0.05)</f>
        <v>125</v>
      </c>
      <c r="AK163" t="str">
        <f>IF(SUMIFS(SF_Output!$F$1:$F$400,SF_Output!$AC$1:$AC$400,_xlfn.TEXTJOIN(",",TRUE,B163:E163))+SUMIFS(SF_Output!$G$1:$G$400,SF_Output!$AC$1:$AC$400,_xlfn.TEXTJOIN(",",TRUE,B163:E163))=0,"","PAP")</f>
        <v>PAP</v>
      </c>
      <c r="AQ163" s="35"/>
      <c r="AR163" s="35" t="str" cm="1">
        <f t="array" ref="AR163">IFERROR(_xlfn.IFS(AND(E163*1=1,F163="Included"),"Change to Included",AND(E163*1=0,F163="Optional"),"Change to Optional",OR(B163="",F163="replaced"),""),"")</f>
        <v/>
      </c>
      <c r="AS163" s="35" t="str">
        <f t="shared" si="41"/>
        <v/>
      </c>
      <c r="AT163" s="35" t="str">
        <f t="shared" si="42"/>
        <v/>
      </c>
      <c r="AU163" s="35" t="str">
        <f t="shared" si="43"/>
        <v/>
      </c>
      <c r="AV163" s="35" t="str">
        <f t="shared" si="44"/>
        <v/>
      </c>
      <c r="AW163" s="35" t="str">
        <f t="shared" si="45"/>
        <v/>
      </c>
      <c r="AX163" s="35" t="str">
        <f t="shared" si="46"/>
        <v/>
      </c>
      <c r="AY163" s="35" t="str">
        <f t="shared" si="47"/>
        <v/>
      </c>
      <c r="AZ163" s="35" t="str">
        <f t="shared" si="48"/>
        <v/>
      </c>
      <c r="BA163" s="35" t="str">
        <f t="shared" si="49"/>
        <v/>
      </c>
      <c r="BB163" s="35" t="str">
        <f t="shared" si="50"/>
        <v/>
      </c>
      <c r="BC163" s="35"/>
      <c r="BE163" s="35">
        <f ca="1">INDEX(SF_Output!$AA$2:$AA$400,MATCH($B163,SF_Output!$M$2:$M$400,0))</f>
        <v>8</v>
      </c>
      <c r="BF163" s="35">
        <f ca="1">INDEX(SF_Output!$AB$2:$AB$400,MATCH($B163,SF_Output!$M$2:$M$400,0))</f>
        <v>1</v>
      </c>
    </row>
    <row r="164" spans="2:58" x14ac:dyDescent="0.25">
      <c r="B164" t="s">
        <v>2303</v>
      </c>
      <c r="C164" t="s">
        <v>2122</v>
      </c>
      <c r="D164" t="s">
        <v>2123</v>
      </c>
      <c r="E164" t="s">
        <v>2124</v>
      </c>
      <c r="F164" s="116" t="str">
        <f t="shared" si="34"/>
        <v>Included</v>
      </c>
      <c r="G164" t="str">
        <f>IF(B164="","",INDEX(SF_Output!$K$1:$K$400,MATCH(B164,SF_Output!$M$1:$M$400,0)))</f>
        <v>Cognos</v>
      </c>
      <c r="H164" cm="1">
        <f t="array" ref="H164">_xlfn.IFS(B164="","",(SUMIFS(SF_Output!$F$1:$F$400,SF_Output!$AC$1:$AC$400,_xlfn.TEXTJOIN(",",TRUE,B164:E164))+SUMIFS(SF_Output!$G$1:$G$400,SF_Output!$AC$1:$AC$400,_xlfn.TEXTJOIN(",",TRUE,B164:E164)))&lt;&gt;0,SF_Output!$Y$2,INDEX(SF_Output!$F$1:$F$400,MATCH(_xlfn.TEXTJOIN(",",TRUE,B164:E164),SF_Output!$AC$1:$AC$400,0))=0,INDEX(SF_Output!$R$1:$R$400,MATCH(_xlfn.TEXTJOIN(",",TRUE,B164:E164),SF_Output!$AC$1:$AC$400,0)))</f>
        <v>5000</v>
      </c>
      <c r="I164" s="125">
        <f>IFERROR(IF(AND(H164&gt;1,H164&lt;&gt;""),ROUND(SUMIFS(SF_Output!$S$1:$S$400,SF_Output!$AC$1:$AC$400,_xlfn.TEXTJOIN(",",TRUE,B164:E164),SF_Output!$Q$1:$Q$400,"monthly")*(1-W164)/H164,4),""),"")</f>
        <v>1.5800000000000002E-2</v>
      </c>
      <c r="J164" s="6">
        <f>IF(B164="","",SUMIFS(SF_Output!$S$1:$S$400,SF_Output!$AC$1:$AC$400,_xlfn.TEXTJOIN(",",TRUE,B164:E164),SF_Output!$Q$1:$Q$400,"One Time",SF_Output!$L$1:$L$400,"license fee")+SUMIFS(SF_Output!$S$1:$S$400,SF_Output!$AC$1:$AC$400,_xlfn.TEXTJOIN(",",TRUE,B164:E164),SF_Output!$Q$1:$Q$400,"One Time",SF_Output!$L$1:$L$400,"software license")+SUMIFS(SF_Output!$S$1:$S$400,SF_Output!$AC$1:$AC$400,_xlfn.TEXTJOIN(",",TRUE,B164:E164),SF_Output!$Q$1:$Q$400,"One Time",SF_Output!$L$1:$L$400,"hardware"))</f>
        <v>0</v>
      </c>
      <c r="K164" s="112" t="str">
        <f>IF(OR(B164=0,B164="",G164="hardware",J164=0),"",IF(AF164&lt;&gt;"exclusion",MAX(K$9,-((SUMIFS(SF_Output!$T$1:$T$400,SF_Output!$AC$1:$AC$400,_xlfn.TEXTJOIN(",",TRUE,$B164:$E164),SF_Output!$Q$1:$Q$400,"One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license"))/J164)))</f>
        <v/>
      </c>
      <c r="L164" s="6">
        <f t="shared" si="35"/>
        <v>0</v>
      </c>
      <c r="N164" s="6">
        <f>IF(B164="","",SUMIFS(SF_Output!$S$1:$S$400,SF_Output!$AC$1:$AC$400,_xlfn.TEXTJOIN(",",TRUE,B164:E164),SF_Output!$Q$1:$Q$400,"One Time",SF_Output!$L$1:$L$400,"professional service"))</f>
        <v>0</v>
      </c>
      <c r="O164" s="112" t="str">
        <f>IF(OR(B164=0,B164="",N164=0),"",IF(AF164&lt;&gt;"exclusion",MAX(O$9,-(SUMIFS(SF_Output!$T$1:$T$400,SF_Output!$AC$1:$AC$400,_xlfn.TEXTJOIN(",",TRUE,$B164:$E164),SF_Output!$Q$1:$Q$400,"One Time",SF_Output!$L$1:$L$400,"professional service"))/N164),-((SUMIFS(SF_Output!$T$1:$T$400,SF_Output!$AC$1:$AC$400,_xlfn.TEXTJOIN(",",TRUE,$B164:$E164),SF_Output!$Q$1:$Q$400,"One Time",SF_Output!$L$1:$L$400,"professional service")/N164))))</f>
        <v/>
      </c>
      <c r="P164" s="6">
        <f t="shared" si="36"/>
        <v>0</v>
      </c>
      <c r="R164" s="6">
        <f>IF(B164="","",SUMIFS(SF_Output!$S$1:$S$400,SF_Output!$AC$1:$AC$400,_xlfn.TEXTJOIN(",",TRUE,B164:E164),SF_Output!$Q$1:$Q$400,"yearly")+SUMIFS(SF_Output!$S$1:$S$400,SF_Output!$AC$1:$AC$400,_xlfn.TEXTJOIN(",",TRUE,B164:E164),SF_Output!$Q$1:$Q$400,"quarterly")*4)</f>
        <v>0</v>
      </c>
      <c r="S164" s="112" t="str">
        <f>IF(OR(B164=0,B164="",G164="hardware",R164=0),"",IF(AF164&lt;&gt;"exclusion",MAX(S$9,-(SUMIFS(SF_Output!$T$1:$T$400,SF_Output!$AC$1:$AC$400,_xlfn.TEXTJOIN(",",TRUE,$B164:$E164),SF_Output!$Q$1:$Q$400,"yearly"))/R164),-((SUMIFS(SF_Output!$T$1:$T$400,SF_Output!$AC$1:$AC$400,_xlfn.TEXTJOIN(",",TRUE,$B164:$E164),SF_Output!$Q$1:$Q$400,"yearly")/R164))))</f>
        <v/>
      </c>
      <c r="T164" s="6">
        <f t="shared" si="37"/>
        <v>0</v>
      </c>
      <c r="V164" s="6" cm="1">
        <f t="array" ref="V164">_xlfn.IFS(B164="","",AND(B164&lt;&gt;"",H164=SF_Output!$Y$2,SUMIFS(SF_Output!$T$1:$T$400,SF_Output!$AC$1:$AC$400,_xlfn.TEXTJOIN(",",TRUE,B164:E164),SF_Output!$Q$1:$Q$400,"monthly")=0),(SUMIFS(SF_Output!$F$1:$F$400,SF_Output!$AC$1:$AC$400,_xlfn.TEXTJOIN(",",TRUE,B164:E164),SF_Output!$Q$1:$Q$400,"monthly")+SUMIFS(SF_Output!$G$1:$G$400,SF_Output!$AC$1:$AC$400,_xlfn.TEXTJOIN(",",TRUE,B164:E164),SF_Output!$Q$1:$Q$400,"monthly"))*H164,AND(B164&lt;&gt;"",H164=SF_Output!$Y$2,SUMIFS(SF_Output!$T$1:$T$400,SF_Output!$AC$1:$AC$400,_xlfn.TEXTJOIN(",",TRUE,B164:E164),SF_Output!$Q$1:$Q$400,"monthly")&lt;&gt;0),SUMIFS(SF_Output!$S$1:$S$400,SF_Output!$AC$1:$AC$400,_xlfn.TEXTJOIN(",",TRUE,B164:E164),SF_Output!$Q$1:$Q$400,"monthly"),AND(B164&lt;&gt;"",H164&lt;&gt;SF_Output!$Y$2),SUMIFS(SF_Output!$S$1:$S$400,SF_Output!$AC$1:$AC$400,_xlfn.TEXTJOIN(",",TRUE,B164:E164),SF_Output!$Q$1:$Q$400,"monthly"))</f>
        <v>105</v>
      </c>
      <c r="W164" s="112" cm="1">
        <f t="array" ref="W164">_xlfn.IFS(OR(B164=0,B164="",V164=0),"",AF164&lt;&gt;"exclusion",MAX($W$9,$W$7,(-(SUMIFS(SF_Output!$T$1:$T$400,SF_Output!$AC$1:$AC$400,_xlfn.TEXTJOIN(",",TRUE,$B164:$E164),SF_Output!$Q$1:$Q$400,"monthly"))/V164)),AF164="exclusion",-(SUMIFS(SF_Output!$T$1:$T$400,SF_Output!$AC$1:$AC$400,_xlfn.TEXTJOIN(",",TRUE,$B164:$E164),SF_Output!$Q$1:$Q$400,"monthly"))/V164)</f>
        <v>0.25</v>
      </c>
      <c r="X164" s="6" cm="1">
        <f t="array" ref="X164">IFERROR(_xlfn.IFS(V164=0,0,V164="","",W164=0,V164,OR(V164&lt;&gt;0,V164&lt;&gt;""),H164*I164),V164*(1-W164))</f>
        <v>79.000000000000014</v>
      </c>
      <c r="Z164" s="6">
        <f>IFERROR(IF(B164="","",SUMIFS(Billing_Fallout!H:H,Billing_Fallout!N:N,B164)),0)</f>
        <v>0</v>
      </c>
      <c r="AA164" s="6">
        <f t="shared" si="38"/>
        <v>0</v>
      </c>
      <c r="AB164" s="6">
        <f>IFERROR(IF(B164="","",SUMIFS(Billing_Fallout!J:J,Billing_Fallout!N:N,B164)),0)</f>
        <v>0</v>
      </c>
      <c r="AD164" s="6">
        <f t="shared" si="39"/>
        <v>79.000000000000014</v>
      </c>
      <c r="AF164" t="str">
        <f>IFERROR(INDEX(H_Tables!$B$1:$B$1500,MATCH(INDEX(SF_Output!$J$1:$J$400,MATCH(B164,SF_Output!$M$1:$M$400,0)),H_Tables!$A$1:$A$1500,0)),"")</f>
        <v>Exclusion</v>
      </c>
      <c r="AI164" s="119" t="str">
        <f t="shared" si="40"/>
        <v/>
      </c>
      <c r="AJ164" s="121">
        <f>IFERROR(INDEX(SF_Output!AD:AD,MATCH(_xlfn.TEXTJOIN(",",TRUE,B164:E164),SF_Output!AC1:AC400,0)),0.05)</f>
        <v>127</v>
      </c>
      <c r="AK164" t="str">
        <f>IF(SUMIFS(SF_Output!$F$1:$F$400,SF_Output!$AC$1:$AC$400,_xlfn.TEXTJOIN(",",TRUE,B164:E164))+SUMIFS(SF_Output!$G$1:$G$400,SF_Output!$AC$1:$AC$400,_xlfn.TEXTJOIN(",",TRUE,B164:E164))=0,"","PAP")</f>
        <v>PAP</v>
      </c>
      <c r="AQ164" s="35"/>
      <c r="AR164" s="35" t="str" cm="1">
        <f t="array" ref="AR164">IFERROR(_xlfn.IFS(AND(E164*1=1,F164="Included"),"Change to Included",AND(E164*1=0,F164="Optional"),"Change to Optional",OR(B164="",F164="replaced"),""),"")</f>
        <v/>
      </c>
      <c r="AS164" s="35" t="str">
        <f t="shared" si="41"/>
        <v/>
      </c>
      <c r="AT164" s="35" t="str">
        <f t="shared" si="42"/>
        <v/>
      </c>
      <c r="AU164" s="35" t="str">
        <f t="shared" si="43"/>
        <v/>
      </c>
      <c r="AV164" s="35" t="str">
        <f t="shared" si="44"/>
        <v/>
      </c>
      <c r="AW164" s="35" t="str">
        <f t="shared" si="45"/>
        <v/>
      </c>
      <c r="AX164" s="35" t="str">
        <f t="shared" si="46"/>
        <v/>
      </c>
      <c r="AY164" s="35" t="str">
        <f t="shared" si="47"/>
        <v/>
      </c>
      <c r="AZ164" s="35" t="str">
        <f t="shared" si="48"/>
        <v/>
      </c>
      <c r="BA164" s="35" t="str">
        <f t="shared" si="49"/>
        <v/>
      </c>
      <c r="BB164" s="35" t="str">
        <f t="shared" si="50"/>
        <v/>
      </c>
      <c r="BC164" s="35"/>
      <c r="BE164" s="35">
        <f ca="1">INDEX(SF_Output!$AA$2:$AA$400,MATCH($B164,SF_Output!$M$2:$M$400,0))</f>
        <v>8</v>
      </c>
      <c r="BF164" s="35">
        <f ca="1">INDEX(SF_Output!$AB$2:$AB$400,MATCH($B164,SF_Output!$M$2:$M$400,0))</f>
        <v>1</v>
      </c>
    </row>
    <row r="165" spans="2:58" x14ac:dyDescent="0.25">
      <c r="B165" t="s">
        <v>2304</v>
      </c>
      <c r="C165" t="s">
        <v>2122</v>
      </c>
      <c r="D165" t="s">
        <v>2123</v>
      </c>
      <c r="E165" t="s">
        <v>2124</v>
      </c>
      <c r="F165" s="116" t="str">
        <f t="shared" si="34"/>
        <v>Included</v>
      </c>
      <c r="G165" t="str">
        <f>IF(B165="","",INDEX(SF_Output!$K$1:$K$400,MATCH(B165,SF_Output!$M$1:$M$400,0)))</f>
        <v>Cognos</v>
      </c>
      <c r="H165" cm="1">
        <f t="array" ref="H165">_xlfn.IFS(B165="","",(SUMIFS(SF_Output!$F$1:$F$400,SF_Output!$AC$1:$AC$400,_xlfn.TEXTJOIN(",",TRUE,B165:E165))+SUMIFS(SF_Output!$G$1:$G$400,SF_Output!$AC$1:$AC$400,_xlfn.TEXTJOIN(",",TRUE,B165:E165)))&lt;&gt;0,SF_Output!$Y$2,INDEX(SF_Output!$F$1:$F$400,MATCH(_xlfn.TEXTJOIN(",",TRUE,B165:E165),SF_Output!$AC$1:$AC$400,0))=0,INDEX(SF_Output!$R$1:$R$400,MATCH(_xlfn.TEXTJOIN(",",TRUE,B165:E165),SF_Output!$AC$1:$AC$400,0)))</f>
        <v>5000</v>
      </c>
      <c r="I165" s="125">
        <f>IFERROR(IF(AND(H165&gt;1,H165&lt;&gt;""),ROUND(SUMIFS(SF_Output!$S$1:$S$400,SF_Output!$AC$1:$AC$400,_xlfn.TEXTJOIN(",",TRUE,B165:E165),SF_Output!$Q$1:$Q$400,"monthly")*(1-W165)/H165,4),""),"")</f>
        <v>1.5800000000000002E-2</v>
      </c>
      <c r="J165" s="6">
        <f>IF(B165="","",SUMIFS(SF_Output!$S$1:$S$400,SF_Output!$AC$1:$AC$400,_xlfn.TEXTJOIN(",",TRUE,B165:E165),SF_Output!$Q$1:$Q$400,"One Time",SF_Output!$L$1:$L$400,"license fee")+SUMIFS(SF_Output!$S$1:$S$400,SF_Output!$AC$1:$AC$400,_xlfn.TEXTJOIN(",",TRUE,B165:E165),SF_Output!$Q$1:$Q$400,"One Time",SF_Output!$L$1:$L$400,"software license")+SUMIFS(SF_Output!$S$1:$S$400,SF_Output!$AC$1:$AC$400,_xlfn.TEXTJOIN(",",TRUE,B165:E165),SF_Output!$Q$1:$Q$400,"One Time",SF_Output!$L$1:$L$400,"hardware"))</f>
        <v>0</v>
      </c>
      <c r="K165" s="112" t="str">
        <f>IF(OR(B165=0,B165="",G165="hardware",J165=0),"",IF(AF165&lt;&gt;"exclusion",MAX(K$9,-((SUMIFS(SF_Output!$T$1:$T$400,SF_Output!$AC$1:$AC$400,_xlfn.TEXTJOIN(",",TRUE,$B165:$E165),SF_Output!$Q$1:$Q$400,"One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license"))/J165)))</f>
        <v/>
      </c>
      <c r="L165" s="6">
        <f t="shared" si="35"/>
        <v>0</v>
      </c>
      <c r="N165" s="6">
        <f>IF(B165="","",SUMIFS(SF_Output!$S$1:$S$400,SF_Output!$AC$1:$AC$400,_xlfn.TEXTJOIN(",",TRUE,B165:E165),SF_Output!$Q$1:$Q$400,"One Time",SF_Output!$L$1:$L$400,"professional service"))</f>
        <v>1500</v>
      </c>
      <c r="O165" s="112">
        <f>IF(OR(B165=0,B165="",N165=0),"",IF(AF165&lt;&gt;"exclusion",MAX(O$9,-(SUMIFS(SF_Output!$T$1:$T$400,SF_Output!$AC$1:$AC$400,_xlfn.TEXTJOIN(",",TRUE,$B165:$E165),SF_Output!$Q$1:$Q$400,"One Time",SF_Output!$L$1:$L$400,"professional service"))/N165),-((SUMIFS(SF_Output!$T$1:$T$400,SF_Output!$AC$1:$AC$400,_xlfn.TEXTJOIN(",",TRUE,$B165:$E165),SF_Output!$Q$1:$Q$400,"One Time",SF_Output!$L$1:$L$400,"professional service")/N165))))</f>
        <v>1</v>
      </c>
      <c r="P165" s="6">
        <f t="shared" si="36"/>
        <v>0</v>
      </c>
      <c r="R165" s="6">
        <f>IF(B165="","",SUMIFS(SF_Output!$S$1:$S$400,SF_Output!$AC$1:$AC$400,_xlfn.TEXTJOIN(",",TRUE,B165:E165),SF_Output!$Q$1:$Q$400,"yearly")+SUMIFS(SF_Output!$S$1:$S$400,SF_Output!$AC$1:$AC$400,_xlfn.TEXTJOIN(",",TRUE,B165:E165),SF_Output!$Q$1:$Q$400,"quarterly")*4)</f>
        <v>0</v>
      </c>
      <c r="S165" s="112" t="str">
        <f>IF(OR(B165=0,B165="",G165="hardware",R165=0),"",IF(AF165&lt;&gt;"exclusion",MAX(S$9,-(SUMIFS(SF_Output!$T$1:$T$400,SF_Output!$AC$1:$AC$400,_xlfn.TEXTJOIN(",",TRUE,$B165:$E165),SF_Output!$Q$1:$Q$400,"yearly"))/R165),-((SUMIFS(SF_Output!$T$1:$T$400,SF_Output!$AC$1:$AC$400,_xlfn.TEXTJOIN(",",TRUE,$B165:$E165),SF_Output!$Q$1:$Q$400,"yearly")/R165))))</f>
        <v/>
      </c>
      <c r="T165" s="6">
        <f t="shared" si="37"/>
        <v>0</v>
      </c>
      <c r="V165" s="6" cm="1">
        <f t="array" ref="V165">_xlfn.IFS(B165="","",AND(B165&lt;&gt;"",H165=SF_Output!$Y$2,SUMIFS(SF_Output!$T$1:$T$400,SF_Output!$AC$1:$AC$400,_xlfn.TEXTJOIN(",",TRUE,B165:E165),SF_Output!$Q$1:$Q$400,"monthly")=0),(SUMIFS(SF_Output!$F$1:$F$400,SF_Output!$AC$1:$AC$400,_xlfn.TEXTJOIN(",",TRUE,B165:E165),SF_Output!$Q$1:$Q$400,"monthly")+SUMIFS(SF_Output!$G$1:$G$400,SF_Output!$AC$1:$AC$400,_xlfn.TEXTJOIN(",",TRUE,B165:E165),SF_Output!$Q$1:$Q$400,"monthly"))*H165,AND(B165&lt;&gt;"",H165=SF_Output!$Y$2,SUMIFS(SF_Output!$T$1:$T$400,SF_Output!$AC$1:$AC$400,_xlfn.TEXTJOIN(",",TRUE,B165:E165),SF_Output!$Q$1:$Q$400,"monthly")&lt;&gt;0),SUMIFS(SF_Output!$S$1:$S$400,SF_Output!$AC$1:$AC$400,_xlfn.TEXTJOIN(",",TRUE,B165:E165),SF_Output!$Q$1:$Q$400,"monthly"),AND(B165&lt;&gt;"",H165&lt;&gt;SF_Output!$Y$2),SUMIFS(SF_Output!$S$1:$S$400,SF_Output!$AC$1:$AC$400,_xlfn.TEXTJOIN(",",TRUE,B165:E165),SF_Output!$Q$1:$Q$400,"monthly"))</f>
        <v>105</v>
      </c>
      <c r="W165" s="112" cm="1">
        <f t="array" ref="W165">_xlfn.IFS(OR(B165=0,B165="",V165=0),"",AF165&lt;&gt;"exclusion",MAX($W$9,$W$7,(-(SUMIFS(SF_Output!$T$1:$T$400,SF_Output!$AC$1:$AC$400,_xlfn.TEXTJOIN(",",TRUE,$B165:$E165),SF_Output!$Q$1:$Q$400,"monthly"))/V165)),AF165="exclusion",-(SUMIFS(SF_Output!$T$1:$T$400,SF_Output!$AC$1:$AC$400,_xlfn.TEXTJOIN(",",TRUE,$B165:$E165),SF_Output!$Q$1:$Q$400,"monthly"))/V165)</f>
        <v>0.25</v>
      </c>
      <c r="X165" s="6" cm="1">
        <f t="array" ref="X165">IFERROR(_xlfn.IFS(V165=0,0,V165="","",W165=0,V165,OR(V165&lt;&gt;0,V165&lt;&gt;""),H165*I165),V165*(1-W165))</f>
        <v>79.000000000000014</v>
      </c>
      <c r="Z165" s="6">
        <f>IFERROR(IF(B165="","",SUMIFS(Billing_Fallout!H:H,Billing_Fallout!N:N,B165)),0)</f>
        <v>0</v>
      </c>
      <c r="AA165" s="6">
        <f t="shared" si="38"/>
        <v>0</v>
      </c>
      <c r="AB165" s="6">
        <f>IFERROR(IF(B165="","",SUMIFS(Billing_Fallout!J:J,Billing_Fallout!N:N,B165)),0)</f>
        <v>0</v>
      </c>
      <c r="AD165" s="6">
        <f t="shared" si="39"/>
        <v>79.000000000000014</v>
      </c>
      <c r="AF165" t="str">
        <f>IFERROR(INDEX(H_Tables!$B$1:$B$1500,MATCH(INDEX(SF_Output!$J$1:$J$400,MATCH(B165,SF_Output!$M$1:$M$400,0)),H_Tables!$A$1:$A$1500,0)),"")</f>
        <v>Exclusion</v>
      </c>
      <c r="AI165" s="119" t="str">
        <f t="shared" si="40"/>
        <v/>
      </c>
      <c r="AJ165" s="121">
        <f>IFERROR(INDEX(SF_Output!AD:AD,MATCH(_xlfn.TEXTJOIN(",",TRUE,B165:E165),SF_Output!AC1:AC400,0)),0.05)</f>
        <v>129</v>
      </c>
      <c r="AK165" t="str">
        <f>IF(SUMIFS(SF_Output!$F$1:$F$400,SF_Output!$AC$1:$AC$400,_xlfn.TEXTJOIN(",",TRUE,B165:E165))+SUMIFS(SF_Output!$G$1:$G$400,SF_Output!$AC$1:$AC$400,_xlfn.TEXTJOIN(",",TRUE,B165:E165))=0,"","PAP")</f>
        <v>PAP</v>
      </c>
      <c r="AQ165" s="35"/>
      <c r="AR165" s="35" t="str" cm="1">
        <f t="array" ref="AR165">IFERROR(_xlfn.IFS(AND(E165*1=1,F165="Included"),"Change to Included",AND(E165*1=0,F165="Optional"),"Change to Optional",OR(B165="",F165="replaced"),""),"")</f>
        <v/>
      </c>
      <c r="AS165" s="35" t="str">
        <f t="shared" si="41"/>
        <v/>
      </c>
      <c r="AT165" s="35" t="str">
        <f t="shared" si="42"/>
        <v/>
      </c>
      <c r="AU165" s="35" t="str">
        <f t="shared" si="43"/>
        <v/>
      </c>
      <c r="AV165" s="35" t="str">
        <f t="shared" si="44"/>
        <v/>
      </c>
      <c r="AW165" s="35" t="str">
        <f t="shared" si="45"/>
        <v/>
      </c>
      <c r="AX165" s="35" t="str">
        <f t="shared" si="46"/>
        <v/>
      </c>
      <c r="AY165" s="35" t="str">
        <f t="shared" si="47"/>
        <v/>
      </c>
      <c r="AZ165" s="35" t="str">
        <f t="shared" si="48"/>
        <v/>
      </c>
      <c r="BA165" s="35" t="str">
        <f t="shared" si="49"/>
        <v/>
      </c>
      <c r="BB165" s="35" t="str">
        <f t="shared" si="50"/>
        <v/>
      </c>
      <c r="BC165" s="35"/>
      <c r="BE165" s="35">
        <f ca="1">INDEX(SF_Output!$AA$2:$AA$400,MATCH($B165,SF_Output!$M$2:$M$400,0))</f>
        <v>8</v>
      </c>
      <c r="BF165" s="35">
        <f ca="1">INDEX(SF_Output!$AB$2:$AB$400,MATCH($B165,SF_Output!$M$2:$M$400,0))</f>
        <v>1</v>
      </c>
    </row>
    <row r="166" spans="2:58" x14ac:dyDescent="0.25">
      <c r="B166" t="s">
        <v>2305</v>
      </c>
      <c r="C166" t="s">
        <v>2122</v>
      </c>
      <c r="D166" t="s">
        <v>2123</v>
      </c>
      <c r="E166" t="s">
        <v>2124</v>
      </c>
      <c r="F166" s="116" t="str">
        <f t="shared" si="34"/>
        <v>Included</v>
      </c>
      <c r="G166" t="str">
        <f>IF(B166="","",INDEX(SF_Output!$K$1:$K$400,MATCH(B166,SF_Output!$M$1:$M$400,0)))</f>
        <v>Cognos</v>
      </c>
      <c r="H166" cm="1">
        <f t="array" ref="H166">_xlfn.IFS(B166="","",(SUMIFS(SF_Output!$F$1:$F$400,SF_Output!$AC$1:$AC$400,_xlfn.TEXTJOIN(",",TRUE,B166:E166))+SUMIFS(SF_Output!$G$1:$G$400,SF_Output!$AC$1:$AC$400,_xlfn.TEXTJOIN(",",TRUE,B166:E166)))&lt;&gt;0,SF_Output!$Y$2,INDEX(SF_Output!$F$1:$F$400,MATCH(_xlfn.TEXTJOIN(",",TRUE,B166:E166),SF_Output!$AC$1:$AC$400,0))=0,INDEX(SF_Output!$R$1:$R$400,MATCH(_xlfn.TEXTJOIN(",",TRUE,B166:E166),SF_Output!$AC$1:$AC$400,0)))</f>
        <v>5000</v>
      </c>
      <c r="I166" s="125">
        <f>IFERROR(IF(AND(H166&gt;1,H166&lt;&gt;""),ROUND(SUMIFS(SF_Output!$S$1:$S$400,SF_Output!$AC$1:$AC$400,_xlfn.TEXTJOIN(",",TRUE,B166:E166),SF_Output!$Q$1:$Q$400,"monthly")*(1-W166)/H166,4),""),"")</f>
        <v>1.5800000000000002E-2</v>
      </c>
      <c r="J166" s="6">
        <f>IF(B166="","",SUMIFS(SF_Output!$S$1:$S$400,SF_Output!$AC$1:$AC$400,_xlfn.TEXTJOIN(",",TRUE,B166:E166),SF_Output!$Q$1:$Q$400,"One Time",SF_Output!$L$1:$L$400,"license fee")+SUMIFS(SF_Output!$S$1:$S$400,SF_Output!$AC$1:$AC$400,_xlfn.TEXTJOIN(",",TRUE,B166:E166),SF_Output!$Q$1:$Q$400,"One Time",SF_Output!$L$1:$L$400,"software license")+SUMIFS(SF_Output!$S$1:$S$400,SF_Output!$AC$1:$AC$400,_xlfn.TEXTJOIN(",",TRUE,B166:E166),SF_Output!$Q$1:$Q$400,"One Time",SF_Output!$L$1:$L$400,"hardware"))</f>
        <v>0</v>
      </c>
      <c r="K166" s="112" t="str">
        <f>IF(OR(B166=0,B166="",G166="hardware",J166=0),"",IF(AF166&lt;&gt;"exclusion",MAX(K$9,-((SUMIFS(SF_Output!$T$1:$T$400,SF_Output!$AC$1:$AC$400,_xlfn.TEXTJOIN(",",TRUE,$B166:$E166),SF_Output!$Q$1:$Q$400,"One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license"))/J166)))</f>
        <v/>
      </c>
      <c r="L166" s="6">
        <f t="shared" si="35"/>
        <v>0</v>
      </c>
      <c r="N166" s="6">
        <f>IF(B166="","",SUMIFS(SF_Output!$S$1:$S$400,SF_Output!$AC$1:$AC$400,_xlfn.TEXTJOIN(",",TRUE,B166:E166),SF_Output!$Q$1:$Q$400,"One Time",SF_Output!$L$1:$L$400,"professional service"))</f>
        <v>0</v>
      </c>
      <c r="O166" s="112" t="str">
        <f>IF(OR(B166=0,B166="",N166=0),"",IF(AF166&lt;&gt;"exclusion",MAX(O$9,-(SUMIFS(SF_Output!$T$1:$T$400,SF_Output!$AC$1:$AC$400,_xlfn.TEXTJOIN(",",TRUE,$B166:$E166),SF_Output!$Q$1:$Q$400,"One Time",SF_Output!$L$1:$L$400,"professional service"))/N166),-((SUMIFS(SF_Output!$T$1:$T$400,SF_Output!$AC$1:$AC$400,_xlfn.TEXTJOIN(",",TRUE,$B166:$E166),SF_Output!$Q$1:$Q$400,"One Time",SF_Output!$L$1:$L$400,"professional service")/N166))))</f>
        <v/>
      </c>
      <c r="P166" s="6">
        <f t="shared" si="36"/>
        <v>0</v>
      </c>
      <c r="R166" s="6">
        <f>IF(B166="","",SUMIFS(SF_Output!$S$1:$S$400,SF_Output!$AC$1:$AC$400,_xlfn.TEXTJOIN(",",TRUE,B166:E166),SF_Output!$Q$1:$Q$400,"yearly")+SUMIFS(SF_Output!$S$1:$S$400,SF_Output!$AC$1:$AC$400,_xlfn.TEXTJOIN(",",TRUE,B166:E166),SF_Output!$Q$1:$Q$400,"quarterly")*4)</f>
        <v>0</v>
      </c>
      <c r="S166" s="112" t="str">
        <f>IF(OR(B166=0,B166="",G166="hardware",R166=0),"",IF(AF166&lt;&gt;"exclusion",MAX(S$9,-(SUMIFS(SF_Output!$T$1:$T$400,SF_Output!$AC$1:$AC$400,_xlfn.TEXTJOIN(",",TRUE,$B166:$E166),SF_Output!$Q$1:$Q$400,"yearly"))/R166),-((SUMIFS(SF_Output!$T$1:$T$400,SF_Output!$AC$1:$AC$400,_xlfn.TEXTJOIN(",",TRUE,$B166:$E166),SF_Output!$Q$1:$Q$400,"yearly")/R166))))</f>
        <v/>
      </c>
      <c r="T166" s="6">
        <f t="shared" si="37"/>
        <v>0</v>
      </c>
      <c r="V166" s="6" cm="1">
        <f t="array" ref="V166">_xlfn.IFS(B166="","",AND(B166&lt;&gt;"",H166=SF_Output!$Y$2,SUMIFS(SF_Output!$T$1:$T$400,SF_Output!$AC$1:$AC$400,_xlfn.TEXTJOIN(",",TRUE,B166:E166),SF_Output!$Q$1:$Q$400,"monthly")=0),(SUMIFS(SF_Output!$F$1:$F$400,SF_Output!$AC$1:$AC$400,_xlfn.TEXTJOIN(",",TRUE,B166:E166),SF_Output!$Q$1:$Q$400,"monthly")+SUMIFS(SF_Output!$G$1:$G$400,SF_Output!$AC$1:$AC$400,_xlfn.TEXTJOIN(",",TRUE,B166:E166),SF_Output!$Q$1:$Q$400,"monthly"))*H166,AND(B166&lt;&gt;"",H166=SF_Output!$Y$2,SUMIFS(SF_Output!$T$1:$T$400,SF_Output!$AC$1:$AC$400,_xlfn.TEXTJOIN(",",TRUE,B166:E166),SF_Output!$Q$1:$Q$400,"monthly")&lt;&gt;0),SUMIFS(SF_Output!$S$1:$S$400,SF_Output!$AC$1:$AC$400,_xlfn.TEXTJOIN(",",TRUE,B166:E166),SF_Output!$Q$1:$Q$400,"monthly"),AND(B166&lt;&gt;"",H166&lt;&gt;SF_Output!$Y$2),SUMIFS(SF_Output!$S$1:$S$400,SF_Output!$AC$1:$AC$400,_xlfn.TEXTJOIN(",",TRUE,B166:E166),SF_Output!$Q$1:$Q$400,"monthly"))</f>
        <v>105</v>
      </c>
      <c r="W166" s="112" cm="1">
        <f t="array" ref="W166">_xlfn.IFS(OR(B166=0,B166="",V166=0),"",AF166&lt;&gt;"exclusion",MAX($W$9,$W$7,(-(SUMIFS(SF_Output!$T$1:$T$400,SF_Output!$AC$1:$AC$400,_xlfn.TEXTJOIN(",",TRUE,$B166:$E166),SF_Output!$Q$1:$Q$400,"monthly"))/V166)),AF166="exclusion",-(SUMIFS(SF_Output!$T$1:$T$400,SF_Output!$AC$1:$AC$400,_xlfn.TEXTJOIN(",",TRUE,$B166:$E166),SF_Output!$Q$1:$Q$400,"monthly"))/V166)</f>
        <v>0.25</v>
      </c>
      <c r="X166" s="6" cm="1">
        <f t="array" ref="X166">IFERROR(_xlfn.IFS(V166=0,0,V166="","",W166=0,V166,OR(V166&lt;&gt;0,V166&lt;&gt;""),H166*I166),V166*(1-W166))</f>
        <v>79.000000000000014</v>
      </c>
      <c r="Z166" s="6">
        <f>IFERROR(IF(B166="","",SUMIFS(Billing_Fallout!H:H,Billing_Fallout!N:N,B166)),0)</f>
        <v>0</v>
      </c>
      <c r="AA166" s="6">
        <f t="shared" si="38"/>
        <v>0</v>
      </c>
      <c r="AB166" s="6">
        <f>IFERROR(IF(B166="","",SUMIFS(Billing_Fallout!J:J,Billing_Fallout!N:N,B166)),0)</f>
        <v>0</v>
      </c>
      <c r="AD166" s="6">
        <f t="shared" si="39"/>
        <v>79.000000000000014</v>
      </c>
      <c r="AF166" t="str">
        <f>IFERROR(INDEX(H_Tables!$B$1:$B$1500,MATCH(INDEX(SF_Output!$J$1:$J$400,MATCH(B166,SF_Output!$M$1:$M$400,0)),H_Tables!$A$1:$A$1500,0)),"")</f>
        <v>Exclusion</v>
      </c>
      <c r="AI166" s="119" t="str">
        <f t="shared" si="40"/>
        <v/>
      </c>
      <c r="AJ166" s="121">
        <f>IFERROR(INDEX(SF_Output!AD:AD,MATCH(_xlfn.TEXTJOIN(",",TRUE,B166:E166),SF_Output!AC1:AC400,0)),0.05)</f>
        <v>131</v>
      </c>
      <c r="AK166" t="str">
        <f>IF(SUMIFS(SF_Output!$F$1:$F$400,SF_Output!$AC$1:$AC$400,_xlfn.TEXTJOIN(",",TRUE,B166:E166))+SUMIFS(SF_Output!$G$1:$G$400,SF_Output!$AC$1:$AC$400,_xlfn.TEXTJOIN(",",TRUE,B166:E166))=0,"","PAP")</f>
        <v>PAP</v>
      </c>
      <c r="AQ166" s="35"/>
      <c r="AR166" s="35" t="str" cm="1">
        <f t="array" ref="AR166">IFERROR(_xlfn.IFS(AND(E166*1=1,F166="Included"),"Change to Included",AND(E166*1=0,F166="Optional"),"Change to Optional",OR(B166="",F166="replaced"),""),"")</f>
        <v/>
      </c>
      <c r="AS166" s="35" t="str">
        <f t="shared" si="41"/>
        <v/>
      </c>
      <c r="AT166" s="35" t="str">
        <f t="shared" si="42"/>
        <v/>
      </c>
      <c r="AU166" s="35" t="str">
        <f t="shared" si="43"/>
        <v/>
      </c>
      <c r="AV166" s="35" t="str">
        <f t="shared" si="44"/>
        <v/>
      </c>
      <c r="AW166" s="35" t="str">
        <f t="shared" si="45"/>
        <v/>
      </c>
      <c r="AX166" s="35" t="str">
        <f t="shared" si="46"/>
        <v/>
      </c>
      <c r="AY166" s="35" t="str">
        <f t="shared" si="47"/>
        <v/>
      </c>
      <c r="AZ166" s="35" t="str">
        <f t="shared" si="48"/>
        <v/>
      </c>
      <c r="BA166" s="35" t="str">
        <f t="shared" si="49"/>
        <v/>
      </c>
      <c r="BB166" s="35" t="str">
        <f t="shared" si="50"/>
        <v/>
      </c>
      <c r="BC166" s="35"/>
      <c r="BE166" s="35">
        <f ca="1">INDEX(SF_Output!$AA$2:$AA$400,MATCH($B166,SF_Output!$M$2:$M$400,0))</f>
        <v>8</v>
      </c>
      <c r="BF166" s="35">
        <f ca="1">INDEX(SF_Output!$AB$2:$AB$400,MATCH($B166,SF_Output!$M$2:$M$400,0))</f>
        <v>1</v>
      </c>
    </row>
    <row r="167" spans="2:58" x14ac:dyDescent="0.25">
      <c r="B167" t="s">
        <v>1457</v>
      </c>
      <c r="C167" t="s">
        <v>2122</v>
      </c>
      <c r="D167" t="s">
        <v>2207</v>
      </c>
      <c r="E167" t="s">
        <v>2124</v>
      </c>
      <c r="F167" s="116" t="str">
        <f t="shared" si="34"/>
        <v>Included</v>
      </c>
      <c r="G167" t="str">
        <f>IF(B167="","",INDEX(SF_Output!$K$1:$K$400,MATCH(B167,SF_Output!$M$1:$M$400,0)))</f>
        <v>ProfitStars Financial Performance</v>
      </c>
      <c r="H167" cm="1">
        <f t="array" ref="H167">_xlfn.IFS(B167="","",(SUMIFS(SF_Output!$F$1:$F$400,SF_Output!$AC$1:$AC$400,_xlfn.TEXTJOIN(",",TRUE,B167:E167))+SUMIFS(SF_Output!$G$1:$G$400,SF_Output!$AC$1:$AC$400,_xlfn.TEXTJOIN(",",TRUE,B167:E167)))&lt;&gt;0,SF_Output!$Y$2,INDEX(SF_Output!$F$1:$F$400,MATCH(_xlfn.TEXTJOIN(",",TRUE,B167:E167),SF_Output!$AC$1:$AC$400,0))=0,INDEX(SF_Output!$R$1:$R$400,MATCH(_xlfn.TEXTJOIN(",",TRUE,B167:E167),SF_Output!$AC$1:$AC$400,0)))</f>
        <v>5000</v>
      </c>
      <c r="I167" s="125">
        <f>IFERROR(IF(AND(H167&gt;1,H167&lt;&gt;""),ROUND(SUMIFS(SF_Output!$S$1:$S$400,SF_Output!$AC$1:$AC$400,_xlfn.TEXTJOIN(",",TRUE,B167:E167),SF_Output!$Q$1:$Q$400,"monthly")*(1-W167)/H167,4),""),"")</f>
        <v>2.7799999999999998E-2</v>
      </c>
      <c r="J167" s="6">
        <f>IF(B167="","",SUMIFS(SF_Output!$S$1:$S$400,SF_Output!$AC$1:$AC$400,_xlfn.TEXTJOIN(",",TRUE,B167:E167),SF_Output!$Q$1:$Q$400,"One Time",SF_Output!$L$1:$L$400,"license fee")+SUMIFS(SF_Output!$S$1:$S$400,SF_Output!$AC$1:$AC$400,_xlfn.TEXTJOIN(",",TRUE,B167:E167),SF_Output!$Q$1:$Q$400,"One Time",SF_Output!$L$1:$L$400,"software license")+SUMIFS(SF_Output!$S$1:$S$400,SF_Output!$AC$1:$AC$400,_xlfn.TEXTJOIN(",",TRUE,B167:E167),SF_Output!$Q$1:$Q$400,"One Time",SF_Output!$L$1:$L$400,"hardware"))</f>
        <v>0</v>
      </c>
      <c r="K167" s="112" t="str">
        <f>IF(OR(B167=0,B167="",G167="hardware",J167=0),"",IF(AF167&lt;&gt;"exclusion",MAX(K$9,-((SUMIFS(SF_Output!$T$1:$T$400,SF_Output!$AC$1:$AC$400,_xlfn.TEXTJOIN(",",TRUE,$B167:$E167),SF_Output!$Q$1:$Q$400,"One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license"))/J167)))</f>
        <v/>
      </c>
      <c r="L167" s="6">
        <f t="shared" si="35"/>
        <v>0</v>
      </c>
      <c r="N167" s="6">
        <f>IF(B167="","",SUMIFS(SF_Output!$S$1:$S$400,SF_Output!$AC$1:$AC$400,_xlfn.TEXTJOIN(",",TRUE,B167:E167),SF_Output!$Q$1:$Q$400,"One Time",SF_Output!$L$1:$L$400,"professional service"))</f>
        <v>0</v>
      </c>
      <c r="O167" s="112" t="str">
        <f>IF(OR(B167=0,B167="",N167=0),"",IF(AF167&lt;&gt;"exclusion",MAX(O$9,-(SUMIFS(SF_Output!$T$1:$T$400,SF_Output!$AC$1:$AC$400,_xlfn.TEXTJOIN(",",TRUE,$B167:$E167),SF_Output!$Q$1:$Q$400,"One Time",SF_Output!$L$1:$L$400,"professional service"))/N167),-((SUMIFS(SF_Output!$T$1:$T$400,SF_Output!$AC$1:$AC$400,_xlfn.TEXTJOIN(",",TRUE,$B167:$E167),SF_Output!$Q$1:$Q$400,"One Time",SF_Output!$L$1:$L$400,"professional service")/N167))))</f>
        <v/>
      </c>
      <c r="P167" s="6">
        <f t="shared" si="36"/>
        <v>0</v>
      </c>
      <c r="R167" s="6">
        <f>IF(B167="","",SUMIFS(SF_Output!$S$1:$S$400,SF_Output!$AC$1:$AC$400,_xlfn.TEXTJOIN(",",TRUE,B167:E167),SF_Output!$Q$1:$Q$400,"yearly")+SUMIFS(SF_Output!$S$1:$S$400,SF_Output!$AC$1:$AC$400,_xlfn.TEXTJOIN(",",TRUE,B167:E167),SF_Output!$Q$1:$Q$400,"quarterly")*4)</f>
        <v>0</v>
      </c>
      <c r="S167" s="112" t="str">
        <f>IF(OR(B167=0,B167="",G167="hardware",R167=0),"",IF(AF167&lt;&gt;"exclusion",MAX(S$9,-(SUMIFS(SF_Output!$T$1:$T$400,SF_Output!$AC$1:$AC$400,_xlfn.TEXTJOIN(",",TRUE,$B167:$E167),SF_Output!$Q$1:$Q$400,"yearly"))/R167),-((SUMIFS(SF_Output!$T$1:$T$400,SF_Output!$AC$1:$AC$400,_xlfn.TEXTJOIN(",",TRUE,$B167:$E167),SF_Output!$Q$1:$Q$400,"yearly")/R167))))</f>
        <v/>
      </c>
      <c r="T167" s="6">
        <f t="shared" si="37"/>
        <v>0</v>
      </c>
      <c r="V167" s="6" cm="1">
        <f t="array" ref="V167">_xlfn.IFS(B167="","",AND(B167&lt;&gt;"",H167=SF_Output!$Y$2,SUMIFS(SF_Output!$T$1:$T$400,SF_Output!$AC$1:$AC$400,_xlfn.TEXTJOIN(",",TRUE,B167:E167),SF_Output!$Q$1:$Q$400,"monthly")=0),(SUMIFS(SF_Output!$F$1:$F$400,SF_Output!$AC$1:$AC$400,_xlfn.TEXTJOIN(",",TRUE,B167:E167),SF_Output!$Q$1:$Q$400,"monthly")+SUMIFS(SF_Output!$G$1:$G$400,SF_Output!$AC$1:$AC$400,_xlfn.TEXTJOIN(",",TRUE,B167:E167),SF_Output!$Q$1:$Q$400,"monthly"))*H167,AND(B167&lt;&gt;"",H167=SF_Output!$Y$2,SUMIFS(SF_Output!$T$1:$T$400,SF_Output!$AC$1:$AC$400,_xlfn.TEXTJOIN(",",TRUE,B167:E167),SF_Output!$Q$1:$Q$400,"monthly")&lt;&gt;0),SUMIFS(SF_Output!$S$1:$S$400,SF_Output!$AC$1:$AC$400,_xlfn.TEXTJOIN(",",TRUE,B167:E167),SF_Output!$Q$1:$Q$400,"monthly"),AND(B167&lt;&gt;"",H167&lt;&gt;SF_Output!$Y$2),SUMIFS(SF_Output!$S$1:$S$400,SF_Output!$AC$1:$AC$400,_xlfn.TEXTJOIN(",",TRUE,B167:E167),SF_Output!$Q$1:$Q$400,"monthly"))</f>
        <v>185</v>
      </c>
      <c r="W167" s="112" cm="1">
        <f t="array" ref="W167">_xlfn.IFS(OR(B167=0,B167="",V167=0),"",AF167&lt;&gt;"exclusion",MAX($W$9,$W$7,(-(SUMIFS(SF_Output!$T$1:$T$400,SF_Output!$AC$1:$AC$400,_xlfn.TEXTJOIN(",",TRUE,$B167:$E167),SF_Output!$Q$1:$Q$400,"monthly"))/V167)),AF167="exclusion",-(SUMIFS(SF_Output!$T$1:$T$400,SF_Output!$AC$1:$AC$400,_xlfn.TEXTJOIN(",",TRUE,$B167:$E167),SF_Output!$Q$1:$Q$400,"monthly"))/V167)</f>
        <v>0.25</v>
      </c>
      <c r="X167" s="6" cm="1">
        <f t="array" ref="X167">IFERROR(_xlfn.IFS(V167=0,0,V167="","",W167=0,V167,OR(V167&lt;&gt;0,V167&lt;&gt;""),H167*I167),V167*(1-W167))</f>
        <v>139</v>
      </c>
      <c r="Z167" s="6">
        <f>IFERROR(IF(B167="","",SUMIFS(Billing_Fallout!H:H,Billing_Fallout!N:N,B167)),0)</f>
        <v>0</v>
      </c>
      <c r="AA167" s="6">
        <f t="shared" si="38"/>
        <v>0</v>
      </c>
      <c r="AB167" s="6">
        <f>IFERROR(IF(B167="","",SUMIFS(Billing_Fallout!J:J,Billing_Fallout!N:N,B167)),0)</f>
        <v>0</v>
      </c>
      <c r="AD167" s="6">
        <f t="shared" si="39"/>
        <v>139</v>
      </c>
      <c r="AF167" t="str">
        <f>IFERROR(INDEX(H_Tables!$B$1:$B$1500,MATCH(INDEX(SF_Output!$J$1:$J$400,MATCH(B167,SF_Output!$M$1:$M$400,0)),H_Tables!$A$1:$A$1500,0)),"")</f>
        <v>Exclusion</v>
      </c>
      <c r="AI167" s="119" t="str">
        <f t="shared" si="40"/>
        <v/>
      </c>
      <c r="AJ167" s="121">
        <f>IFERROR(INDEX(SF_Output!AD:AD,MATCH(_xlfn.TEXTJOIN(",",TRUE,B167:E167),SF_Output!AC1:AC400,0)),0.05)</f>
        <v>154</v>
      </c>
      <c r="AK167" t="str">
        <f>IF(SUMIFS(SF_Output!$F$1:$F$400,SF_Output!$AC$1:$AC$400,_xlfn.TEXTJOIN(",",TRUE,B167:E167))+SUMIFS(SF_Output!$G$1:$G$400,SF_Output!$AC$1:$AC$400,_xlfn.TEXTJOIN(",",TRUE,B167:E167))=0,"","PAP")</f>
        <v>PAP</v>
      </c>
      <c r="AQ167" s="35"/>
      <c r="AR167" s="35" t="str" cm="1">
        <f t="array" ref="AR167">IFERROR(_xlfn.IFS(AND(E167*1=1,F167="Included"),"Change to Included",AND(E167*1=0,F167="Optional"),"Change to Optional",OR(B167="",F167="replaced"),""),"")</f>
        <v/>
      </c>
      <c r="AS167" s="35" t="str">
        <f t="shared" si="41"/>
        <v/>
      </c>
      <c r="AT167" s="35" t="str">
        <f t="shared" si="42"/>
        <v/>
      </c>
      <c r="AU167" s="35" t="str">
        <f t="shared" si="43"/>
        <v/>
      </c>
      <c r="AV167" s="35" t="str">
        <f t="shared" si="44"/>
        <v/>
      </c>
      <c r="AW167" s="35" t="str">
        <f t="shared" si="45"/>
        <v/>
      </c>
      <c r="AX167" s="35" t="str">
        <f t="shared" si="46"/>
        <v/>
      </c>
      <c r="AY167" s="35" t="str">
        <f t="shared" si="47"/>
        <v/>
      </c>
      <c r="AZ167" s="35" t="str">
        <f t="shared" si="48"/>
        <v/>
      </c>
      <c r="BA167" s="35" t="str">
        <f t="shared" si="49"/>
        <v/>
      </c>
      <c r="BB167" s="35" t="str">
        <f t="shared" si="50"/>
        <v/>
      </c>
      <c r="BC167" s="35"/>
      <c r="BE167" s="35">
        <f ca="1">INDEX(SF_Output!$AA$2:$AA$400,MATCH($B167,SF_Output!$M$2:$M$400,0))</f>
        <v>8</v>
      </c>
      <c r="BF167" s="35">
        <f ca="1">INDEX(SF_Output!$AB$2:$AB$400,MATCH($B167,SF_Output!$M$2:$M$400,0))</f>
        <v>1</v>
      </c>
    </row>
    <row r="168" spans="2:58" x14ac:dyDescent="0.25">
      <c r="B168" t="s">
        <v>1458</v>
      </c>
      <c r="C168" t="s">
        <v>2122</v>
      </c>
      <c r="D168" t="s">
        <v>2207</v>
      </c>
      <c r="E168" t="s">
        <v>2124</v>
      </c>
      <c r="F168" s="116" t="str">
        <f t="shared" si="34"/>
        <v>Included</v>
      </c>
      <c r="G168" t="str">
        <f>IF(B168="","",INDEX(SF_Output!$K$1:$K$400,MATCH(B168,SF_Output!$M$1:$M$400,0)))</f>
        <v>ProfitStars Financial Performance</v>
      </c>
      <c r="H168" cm="1">
        <f t="array" ref="H168">_xlfn.IFS(B168="","",(SUMIFS(SF_Output!$F$1:$F$400,SF_Output!$AC$1:$AC$400,_xlfn.TEXTJOIN(",",TRUE,B168:E168))+SUMIFS(SF_Output!$G$1:$G$400,SF_Output!$AC$1:$AC$400,_xlfn.TEXTJOIN(",",TRUE,B168:E168)))&lt;&gt;0,SF_Output!$Y$2,INDEX(SF_Output!$F$1:$F$400,MATCH(_xlfn.TEXTJOIN(",",TRUE,B168:E168),SF_Output!$AC$1:$AC$400,0))=0,INDEX(SF_Output!$R$1:$R$400,MATCH(_xlfn.TEXTJOIN(",",TRUE,B168:E168),SF_Output!$AC$1:$AC$400,0)))</f>
        <v>5000</v>
      </c>
      <c r="I168" s="125">
        <f>IFERROR(IF(AND(H168&gt;1,H168&lt;&gt;""),ROUND(SUMIFS(SF_Output!$S$1:$S$400,SF_Output!$AC$1:$AC$400,_xlfn.TEXTJOIN(",",TRUE,B168:E168),SF_Output!$Q$1:$Q$400,"monthly")*(1-W168)/H168,4),""),"")</f>
        <v>3.0800000000000001E-2</v>
      </c>
      <c r="J168" s="6">
        <f>IF(B168="","",SUMIFS(SF_Output!$S$1:$S$400,SF_Output!$AC$1:$AC$400,_xlfn.TEXTJOIN(",",TRUE,B168:E168),SF_Output!$Q$1:$Q$400,"One Time",SF_Output!$L$1:$L$400,"license fee")+SUMIFS(SF_Output!$S$1:$S$400,SF_Output!$AC$1:$AC$400,_xlfn.TEXTJOIN(",",TRUE,B168:E168),SF_Output!$Q$1:$Q$400,"One Time",SF_Output!$L$1:$L$400,"software license")+SUMIFS(SF_Output!$S$1:$S$400,SF_Output!$AC$1:$AC$400,_xlfn.TEXTJOIN(",",TRUE,B168:E168),SF_Output!$Q$1:$Q$400,"One Time",SF_Output!$L$1:$L$400,"hardware"))</f>
        <v>0</v>
      </c>
      <c r="K168" s="112" t="str">
        <f>IF(OR(B168=0,B168="",G168="hardware",J168=0),"",IF(AF168&lt;&gt;"exclusion",MAX(K$9,-((SUMIFS(SF_Output!$T$1:$T$400,SF_Output!$AC$1:$AC$400,_xlfn.TEXTJOIN(",",TRUE,$B168:$E168),SF_Output!$Q$1:$Q$400,"One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license"))/J168)))</f>
        <v/>
      </c>
      <c r="L168" s="6">
        <f t="shared" si="35"/>
        <v>0</v>
      </c>
      <c r="N168" s="6">
        <f>IF(B168="","",SUMIFS(SF_Output!$S$1:$S$400,SF_Output!$AC$1:$AC$400,_xlfn.TEXTJOIN(",",TRUE,B168:E168),SF_Output!$Q$1:$Q$400,"One Time",SF_Output!$L$1:$L$400,"professional service"))</f>
        <v>4000</v>
      </c>
      <c r="O168" s="112">
        <f>IF(OR(B168=0,B168="",N168=0),"",IF(AF168&lt;&gt;"exclusion",MAX(O$9,-(SUMIFS(SF_Output!$T$1:$T$400,SF_Output!$AC$1:$AC$400,_xlfn.TEXTJOIN(",",TRUE,$B168:$E168),SF_Output!$Q$1:$Q$400,"One Time",SF_Output!$L$1:$L$400,"professional service"))/N168),-((SUMIFS(SF_Output!$T$1:$T$400,SF_Output!$AC$1:$AC$400,_xlfn.TEXTJOIN(",",TRUE,$B168:$E168),SF_Output!$Q$1:$Q$400,"One Time",SF_Output!$L$1:$L$400,"professional service")/N168))))</f>
        <v>1</v>
      </c>
      <c r="P168" s="6">
        <f t="shared" si="36"/>
        <v>0</v>
      </c>
      <c r="R168" s="6">
        <f>IF(B168="","",SUMIFS(SF_Output!$S$1:$S$400,SF_Output!$AC$1:$AC$400,_xlfn.TEXTJOIN(",",TRUE,B168:E168),SF_Output!$Q$1:$Q$400,"yearly")+SUMIFS(SF_Output!$S$1:$S$400,SF_Output!$AC$1:$AC$400,_xlfn.TEXTJOIN(",",TRUE,B168:E168),SF_Output!$Q$1:$Q$400,"quarterly")*4)</f>
        <v>0</v>
      </c>
      <c r="S168" s="112" t="str">
        <f>IF(OR(B168=0,B168="",G168="hardware",R168=0),"",IF(AF168&lt;&gt;"exclusion",MAX(S$9,-(SUMIFS(SF_Output!$T$1:$T$400,SF_Output!$AC$1:$AC$400,_xlfn.TEXTJOIN(",",TRUE,$B168:$E168),SF_Output!$Q$1:$Q$400,"yearly"))/R168),-((SUMIFS(SF_Output!$T$1:$T$400,SF_Output!$AC$1:$AC$400,_xlfn.TEXTJOIN(",",TRUE,$B168:$E168),SF_Output!$Q$1:$Q$400,"yearly")/R168))))</f>
        <v/>
      </c>
      <c r="T168" s="6">
        <f t="shared" si="37"/>
        <v>0</v>
      </c>
      <c r="V168" s="6" cm="1">
        <f t="array" ref="V168">_xlfn.IFS(B168="","",AND(B168&lt;&gt;"",H168=SF_Output!$Y$2,SUMIFS(SF_Output!$T$1:$T$400,SF_Output!$AC$1:$AC$400,_xlfn.TEXTJOIN(",",TRUE,B168:E168),SF_Output!$Q$1:$Q$400,"monthly")=0),(SUMIFS(SF_Output!$F$1:$F$400,SF_Output!$AC$1:$AC$400,_xlfn.TEXTJOIN(",",TRUE,B168:E168),SF_Output!$Q$1:$Q$400,"monthly")+SUMIFS(SF_Output!$G$1:$G$400,SF_Output!$AC$1:$AC$400,_xlfn.TEXTJOIN(",",TRUE,B168:E168),SF_Output!$Q$1:$Q$400,"monthly"))*H168,AND(B168&lt;&gt;"",H168=SF_Output!$Y$2,SUMIFS(SF_Output!$T$1:$T$400,SF_Output!$AC$1:$AC$400,_xlfn.TEXTJOIN(",",TRUE,B168:E168),SF_Output!$Q$1:$Q$400,"monthly")&lt;&gt;0),SUMIFS(SF_Output!$S$1:$S$400,SF_Output!$AC$1:$AC$400,_xlfn.TEXTJOIN(",",TRUE,B168:E168),SF_Output!$Q$1:$Q$400,"monthly"),AND(B168&lt;&gt;"",H168&lt;&gt;SF_Output!$Y$2),SUMIFS(SF_Output!$S$1:$S$400,SF_Output!$AC$1:$AC$400,_xlfn.TEXTJOIN(",",TRUE,B168:E168),SF_Output!$Q$1:$Q$400,"monthly"))</f>
        <v>205</v>
      </c>
      <c r="W168" s="112" cm="1">
        <f t="array" ref="W168">_xlfn.IFS(OR(B168=0,B168="",V168=0),"",AF168&lt;&gt;"exclusion",MAX($W$9,$W$7,(-(SUMIFS(SF_Output!$T$1:$T$400,SF_Output!$AC$1:$AC$400,_xlfn.TEXTJOIN(",",TRUE,$B168:$E168),SF_Output!$Q$1:$Q$400,"monthly"))/V168)),AF168="exclusion",-(SUMIFS(SF_Output!$T$1:$T$400,SF_Output!$AC$1:$AC$400,_xlfn.TEXTJOIN(",",TRUE,$B168:$E168),SF_Output!$Q$1:$Q$400,"monthly"))/V168)</f>
        <v>0.25</v>
      </c>
      <c r="X168" s="6" cm="1">
        <f t="array" ref="X168">IFERROR(_xlfn.IFS(V168=0,0,V168="","",W168=0,V168,OR(V168&lt;&gt;0,V168&lt;&gt;""),H168*I168),V168*(1-W168))</f>
        <v>154</v>
      </c>
      <c r="Z168" s="6">
        <f>IFERROR(IF(B168="","",SUMIFS(Billing_Fallout!H:H,Billing_Fallout!N:N,B168)),0)</f>
        <v>0</v>
      </c>
      <c r="AA168" s="6">
        <f t="shared" si="38"/>
        <v>0</v>
      </c>
      <c r="AB168" s="6">
        <f>IFERROR(IF(B168="","",SUMIFS(Billing_Fallout!J:J,Billing_Fallout!N:N,B168)),0)</f>
        <v>0</v>
      </c>
      <c r="AD168" s="6">
        <f t="shared" si="39"/>
        <v>154</v>
      </c>
      <c r="AF168" t="str">
        <f>IFERROR(INDEX(H_Tables!$B$1:$B$1500,MATCH(INDEX(SF_Output!$J$1:$J$400,MATCH(B168,SF_Output!$M$1:$M$400,0)),H_Tables!$A$1:$A$1500,0)),"")</f>
        <v>Exclusion</v>
      </c>
      <c r="AI168" s="119" t="str">
        <f t="shared" si="40"/>
        <v/>
      </c>
      <c r="AJ168" s="121">
        <f>IFERROR(INDEX(SF_Output!AD:AD,MATCH(_xlfn.TEXTJOIN(",",TRUE,B168:E168),SF_Output!AC1:AC400,0)),0.05)</f>
        <v>155</v>
      </c>
      <c r="AK168" t="str">
        <f>IF(SUMIFS(SF_Output!$F$1:$F$400,SF_Output!$AC$1:$AC$400,_xlfn.TEXTJOIN(",",TRUE,B168:E168))+SUMIFS(SF_Output!$G$1:$G$400,SF_Output!$AC$1:$AC$400,_xlfn.TEXTJOIN(",",TRUE,B168:E168))=0,"","PAP")</f>
        <v>PAP</v>
      </c>
      <c r="AQ168" s="35"/>
      <c r="AR168" s="35" t="str" cm="1">
        <f t="array" ref="AR168">IFERROR(_xlfn.IFS(AND(E168*1=1,F168="Included"),"Change to Included",AND(E168*1=0,F168="Optional"),"Change to Optional",OR(B168="",F168="replaced"),""),"")</f>
        <v/>
      </c>
      <c r="AS168" s="35" t="str">
        <f t="shared" si="41"/>
        <v/>
      </c>
      <c r="AT168" s="35" t="str">
        <f t="shared" si="42"/>
        <v/>
      </c>
      <c r="AU168" s="35" t="str">
        <f t="shared" si="43"/>
        <v/>
      </c>
      <c r="AV168" s="35" t="str">
        <f t="shared" si="44"/>
        <v/>
      </c>
      <c r="AW168" s="35" t="str">
        <f t="shared" si="45"/>
        <v/>
      </c>
      <c r="AX168" s="35" t="str">
        <f t="shared" si="46"/>
        <v/>
      </c>
      <c r="AY168" s="35" t="str">
        <f t="shared" si="47"/>
        <v/>
      </c>
      <c r="AZ168" s="35" t="str">
        <f t="shared" si="48"/>
        <v/>
      </c>
      <c r="BA168" s="35" t="str">
        <f t="shared" si="49"/>
        <v/>
      </c>
      <c r="BB168" s="35" t="str">
        <f t="shared" si="50"/>
        <v/>
      </c>
      <c r="BC168" s="35"/>
      <c r="BE168" s="35">
        <f ca="1">INDEX(SF_Output!$AA$2:$AA$400,MATCH($B168,SF_Output!$M$2:$M$400,0))</f>
        <v>8</v>
      </c>
      <c r="BF168" s="35">
        <f ca="1">INDEX(SF_Output!$AB$2:$AB$400,MATCH($B168,SF_Output!$M$2:$M$400,0))</f>
        <v>1</v>
      </c>
    </row>
    <row r="169" spans="2:58" x14ac:dyDescent="0.25">
      <c r="B169" t="s">
        <v>2337</v>
      </c>
      <c r="C169" t="s">
        <v>2122</v>
      </c>
      <c r="D169" t="s">
        <v>2123</v>
      </c>
      <c r="E169" t="s">
        <v>2124</v>
      </c>
      <c r="F169" s="116" t="str">
        <f t="shared" si="34"/>
        <v>Included</v>
      </c>
      <c r="G169" t="str">
        <f>IF(B169="","",INDEX(SF_Output!$K$1:$K$400,MATCH(B169,SF_Output!$M$1:$M$400,0)))</f>
        <v>ProfitStars Financial Performance</v>
      </c>
      <c r="H169" cm="1">
        <f t="array" ref="H169">_xlfn.IFS(B169="","",(SUMIFS(SF_Output!$F$1:$F$400,SF_Output!$AC$1:$AC$400,_xlfn.TEXTJOIN(",",TRUE,B169:E169))+SUMIFS(SF_Output!$G$1:$G$400,SF_Output!$AC$1:$AC$400,_xlfn.TEXTJOIN(",",TRUE,B169:E169)))&lt;&gt;0,SF_Output!$Y$2,INDEX(SF_Output!$F$1:$F$400,MATCH(_xlfn.TEXTJOIN(",",TRUE,B169:E169),SF_Output!$AC$1:$AC$400,0))=0,INDEX(SF_Output!$R$1:$R$400,MATCH(_xlfn.TEXTJOIN(",",TRUE,B169:E169),SF_Output!$AC$1:$AC$400,0)))</f>
        <v>1</v>
      </c>
      <c r="I169" s="125" t="str">
        <f>IFERROR(IF(AND(H169&gt;1,H169&lt;&gt;""),ROUND(SUMIFS(SF_Output!$S$1:$S$400,SF_Output!$AC$1:$AC$400,_xlfn.TEXTJOIN(",",TRUE,B169:E169),SF_Output!$Q$1:$Q$400,"monthly")*(1-W169)/H169,4),""),"")</f>
        <v/>
      </c>
      <c r="J169" s="6">
        <f>IF(B169="","",SUMIFS(SF_Output!$S$1:$S$400,SF_Output!$AC$1:$AC$400,_xlfn.TEXTJOIN(",",TRUE,B169:E169),SF_Output!$Q$1:$Q$400,"One Time",SF_Output!$L$1:$L$400,"license fee")+SUMIFS(SF_Output!$S$1:$S$400,SF_Output!$AC$1:$AC$400,_xlfn.TEXTJOIN(",",TRUE,B169:E169),SF_Output!$Q$1:$Q$400,"One Time",SF_Output!$L$1:$L$400,"software license")+SUMIFS(SF_Output!$S$1:$S$400,SF_Output!$AC$1:$AC$400,_xlfn.TEXTJOIN(",",TRUE,B169:E169),SF_Output!$Q$1:$Q$400,"One Time",SF_Output!$L$1:$L$400,"hardware"))</f>
        <v>0</v>
      </c>
      <c r="K169" s="112" t="str">
        <f>IF(OR(B169=0,B169="",G169="hardware",J169=0),"",IF(AF169&lt;&gt;"exclusion",MAX(K$9,-((SUMIFS(SF_Output!$T$1:$T$400,SF_Output!$AC$1:$AC$400,_xlfn.TEXTJOIN(",",TRUE,$B169:$E169),SF_Output!$Q$1:$Q$400,"One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license"))/J169)))</f>
        <v/>
      </c>
      <c r="L169" s="6">
        <f t="shared" si="35"/>
        <v>0</v>
      </c>
      <c r="N169" s="6">
        <f>IF(B169="","",SUMIFS(SF_Output!$S$1:$S$400,SF_Output!$AC$1:$AC$400,_xlfn.TEXTJOIN(",",TRUE,B169:E169),SF_Output!$Q$1:$Q$400,"One Time",SF_Output!$L$1:$L$400,"professional service"))</f>
        <v>3200</v>
      </c>
      <c r="O169" s="112">
        <f>IF(OR(B169=0,B169="",N169=0),"",IF(AF169&lt;&gt;"exclusion",MAX(O$9,-(SUMIFS(SF_Output!$T$1:$T$400,SF_Output!$AC$1:$AC$400,_xlfn.TEXTJOIN(",",TRUE,$B169:$E169),SF_Output!$Q$1:$Q$400,"One Time",SF_Output!$L$1:$L$400,"professional service"))/N169),-((SUMIFS(SF_Output!$T$1:$T$400,SF_Output!$AC$1:$AC$400,_xlfn.TEXTJOIN(",",TRUE,$B169:$E169),SF_Output!$Q$1:$Q$400,"One Time",SF_Output!$L$1:$L$400,"professional service")/N169))))</f>
        <v>1</v>
      </c>
      <c r="P169" s="6">
        <f t="shared" si="36"/>
        <v>0</v>
      </c>
      <c r="R169" s="6">
        <f>IF(B169="","",SUMIFS(SF_Output!$S$1:$S$400,SF_Output!$AC$1:$AC$400,_xlfn.TEXTJOIN(",",TRUE,B169:E169),SF_Output!$Q$1:$Q$400,"yearly")+SUMIFS(SF_Output!$S$1:$S$400,SF_Output!$AC$1:$AC$400,_xlfn.TEXTJOIN(",",TRUE,B169:E169),SF_Output!$Q$1:$Q$400,"quarterly")*4)</f>
        <v>4940</v>
      </c>
      <c r="S169" s="112">
        <f>IF(OR(B169=0,B169="",G169="hardware",R169=0),"",IF(AF169&lt;&gt;"exclusion",MAX(S$9,-(SUMIFS(SF_Output!$T$1:$T$400,SF_Output!$AC$1:$AC$400,_xlfn.TEXTJOIN(",",TRUE,$B169:$E169),SF_Output!$Q$1:$Q$400,"yearly"))/R169),-((SUMIFS(SF_Output!$T$1:$T$400,SF_Output!$AC$1:$AC$400,_xlfn.TEXTJOIN(",",TRUE,$B169:$E169),SF_Output!$Q$1:$Q$400,"yearly")/R169))))</f>
        <v>0</v>
      </c>
      <c r="T169" s="6">
        <f t="shared" si="37"/>
        <v>4940</v>
      </c>
      <c r="V169" s="6" cm="1">
        <f t="array" ref="V169">_xlfn.IFS(B169="","",AND(B169&lt;&gt;"",H169=SF_Output!$Y$2,SUMIFS(SF_Output!$T$1:$T$400,SF_Output!$AC$1:$AC$400,_xlfn.TEXTJOIN(",",TRUE,B169:E169),SF_Output!$Q$1:$Q$400,"monthly")=0),(SUMIFS(SF_Output!$F$1:$F$400,SF_Output!$AC$1:$AC$400,_xlfn.TEXTJOIN(",",TRUE,B169:E169),SF_Output!$Q$1:$Q$400,"monthly")+SUMIFS(SF_Output!$G$1:$G$400,SF_Output!$AC$1:$AC$400,_xlfn.TEXTJOIN(",",TRUE,B169:E169),SF_Output!$Q$1:$Q$400,"monthly"))*H169,AND(B169&lt;&gt;"",H169=SF_Output!$Y$2,SUMIFS(SF_Output!$T$1:$T$400,SF_Output!$AC$1:$AC$400,_xlfn.TEXTJOIN(",",TRUE,B169:E169),SF_Output!$Q$1:$Q$400,"monthly")&lt;&gt;0),SUMIFS(SF_Output!$S$1:$S$400,SF_Output!$AC$1:$AC$400,_xlfn.TEXTJOIN(",",TRUE,B169:E169),SF_Output!$Q$1:$Q$400,"monthly"),AND(B169&lt;&gt;"",H169&lt;&gt;SF_Output!$Y$2),SUMIFS(SF_Output!$S$1:$S$400,SF_Output!$AC$1:$AC$400,_xlfn.TEXTJOIN(",",TRUE,B169:E169),SF_Output!$Q$1:$Q$400,"monthly"))</f>
        <v>0</v>
      </c>
      <c r="W169" s="112" t="str" cm="1">
        <f t="array" ref="W169">_xlfn.IFS(OR(B169=0,B169="",V169=0),"",AF169&lt;&gt;"exclusion",MAX($W$9,$W$7,(-(SUMIFS(SF_Output!$T$1:$T$400,SF_Output!$AC$1:$AC$400,_xlfn.TEXTJOIN(",",TRUE,$B169:$E169),SF_Output!$Q$1:$Q$400,"monthly"))/V169)),AF169="exclusion",-(SUMIFS(SF_Output!$T$1:$T$400,SF_Output!$AC$1:$AC$400,_xlfn.TEXTJOIN(",",TRUE,$B169:$E169),SF_Output!$Q$1:$Q$400,"monthly"))/V169)</f>
        <v/>
      </c>
      <c r="X169" s="6" cm="1">
        <f t="array" ref="X169">IFERROR(_xlfn.IFS(V169=0,0,V169="","",W169=0,V169,OR(V169&lt;&gt;0,V169&lt;&gt;""),H169*I169),V169*(1-W169))</f>
        <v>0</v>
      </c>
      <c r="Z169" s="6">
        <f>IFERROR(IF(B169="","",SUMIFS(Billing_Fallout!H:H,Billing_Fallout!N:N,B169)),0)</f>
        <v>0</v>
      </c>
      <c r="AA169" s="6">
        <f t="shared" si="38"/>
        <v>0</v>
      </c>
      <c r="AB169" s="6">
        <f>IFERROR(IF(B169="","",SUMIFS(Billing_Fallout!J:J,Billing_Fallout!N:N,B169)),0)</f>
        <v>0</v>
      </c>
      <c r="AD169" s="6">
        <f t="shared" si="39"/>
        <v>0</v>
      </c>
      <c r="AF169" t="str">
        <f>IFERROR(INDEX(H_Tables!$B$1:$B$1500,MATCH(INDEX(SF_Output!$J$1:$J$400,MATCH(B169,SF_Output!$M$1:$M$400,0)),H_Tables!$A$1:$A$1500,0)),"")</f>
        <v>Exclusion</v>
      </c>
      <c r="AI169" s="119" t="str">
        <f t="shared" si="40"/>
        <v/>
      </c>
      <c r="AJ169" s="121">
        <f>IFERROR(INDEX(SF_Output!AD:AD,MATCH(_xlfn.TEXTJOIN(",",TRUE,B169:E169),SF_Output!AC1:AC400,0)),0.05)</f>
        <v>157</v>
      </c>
      <c r="AK169" t="str">
        <f>IF(SUMIFS(SF_Output!$F$1:$F$400,SF_Output!$AC$1:$AC$400,_xlfn.TEXTJOIN(",",TRUE,B169:E169))+SUMIFS(SF_Output!$G$1:$G$400,SF_Output!$AC$1:$AC$400,_xlfn.TEXTJOIN(",",TRUE,B169:E169))=0,"","PAP")</f>
        <v/>
      </c>
      <c r="AQ169" s="35"/>
      <c r="AR169" s="35" t="str" cm="1">
        <f t="array" ref="AR169">IFERROR(_xlfn.IFS(AND(E169*1=1,F169="Included"),"Change to Included",AND(E169*1=0,F169="Optional"),"Change to Optional",OR(B169="",F169="replaced"),""),"")</f>
        <v/>
      </c>
      <c r="AS169" s="35" t="str">
        <f t="shared" si="41"/>
        <v/>
      </c>
      <c r="AT169" s="35" t="str">
        <f t="shared" si="42"/>
        <v/>
      </c>
      <c r="AU169" s="35" t="str">
        <f t="shared" si="43"/>
        <v/>
      </c>
      <c r="AV169" s="35" t="str">
        <f t="shared" si="44"/>
        <v/>
      </c>
      <c r="AW169" s="35" t="str">
        <f t="shared" si="45"/>
        <v/>
      </c>
      <c r="AX169" s="35" t="str">
        <f t="shared" si="46"/>
        <v/>
      </c>
      <c r="AY169" s="35" t="str">
        <f t="shared" si="47"/>
        <v/>
      </c>
      <c r="AZ169" s="35" t="str">
        <f t="shared" si="48"/>
        <v/>
      </c>
      <c r="BA169" s="35" t="str">
        <f t="shared" si="49"/>
        <v/>
      </c>
      <c r="BB169" s="35" t="str">
        <f t="shared" si="50"/>
        <v/>
      </c>
      <c r="BC169" s="35"/>
      <c r="BE169" s="35">
        <f ca="1">INDEX(SF_Output!$AA$2:$AA$400,MATCH($B169,SF_Output!$M$2:$M$400,0))</f>
        <v>8</v>
      </c>
      <c r="BF169" s="35">
        <f ca="1">INDEX(SF_Output!$AB$2:$AB$400,MATCH($B169,SF_Output!$M$2:$M$400,0))</f>
        <v>1</v>
      </c>
    </row>
    <row r="170" spans="2:58" x14ac:dyDescent="0.25">
      <c r="B170" t="s">
        <v>1434</v>
      </c>
      <c r="C170" t="s">
        <v>2122</v>
      </c>
      <c r="D170" t="s">
        <v>2123</v>
      </c>
      <c r="E170" t="s">
        <v>2124</v>
      </c>
      <c r="F170" s="116" t="str">
        <f t="shared" si="34"/>
        <v>Included</v>
      </c>
      <c r="G170" t="str">
        <f>IF(B170="","",INDEX(SF_Output!$K$1:$K$400,MATCH(B170,SF_Output!$M$1:$M$400,0)))</f>
        <v>SilverLake</v>
      </c>
      <c r="H170" cm="1">
        <f t="array" ref="H170">_xlfn.IFS(B170="","",(SUMIFS(SF_Output!$F$1:$F$400,SF_Output!$AC$1:$AC$400,_xlfn.TEXTJOIN(",",TRUE,B170:E170))+SUMIFS(SF_Output!$G$1:$G$400,SF_Output!$AC$1:$AC$400,_xlfn.TEXTJOIN(",",TRUE,B170:E170)))&lt;&gt;0,SF_Output!$Y$2,INDEX(SF_Output!$F$1:$F$400,MATCH(_xlfn.TEXTJOIN(",",TRUE,B170:E170),SF_Output!$AC$1:$AC$400,0))=0,INDEX(SF_Output!$R$1:$R$400,MATCH(_xlfn.TEXTJOIN(",",TRUE,B170:E170),SF_Output!$AC$1:$AC$400,0)))</f>
        <v>1</v>
      </c>
      <c r="I170" s="125" t="str">
        <f>IFERROR(IF(AND(H170&gt;1,H170&lt;&gt;""),ROUND(SUMIFS(SF_Output!$S$1:$S$400,SF_Output!$AC$1:$AC$400,_xlfn.TEXTJOIN(",",TRUE,B170:E170),SF_Output!$Q$1:$Q$400,"monthly")*(1-W170)/H170,4),""),"")</f>
        <v/>
      </c>
      <c r="J170" s="6">
        <f>IF(B170="","",SUMIFS(SF_Output!$S$1:$S$400,SF_Output!$AC$1:$AC$400,_xlfn.TEXTJOIN(",",TRUE,B170:E170),SF_Output!$Q$1:$Q$400,"One Time",SF_Output!$L$1:$L$400,"license fee")+SUMIFS(SF_Output!$S$1:$S$400,SF_Output!$AC$1:$AC$400,_xlfn.TEXTJOIN(",",TRUE,B170:E170),SF_Output!$Q$1:$Q$400,"One Time",SF_Output!$L$1:$L$400,"software license")+SUMIFS(SF_Output!$S$1:$S$400,SF_Output!$AC$1:$AC$400,_xlfn.TEXTJOIN(",",TRUE,B170:E170),SF_Output!$Q$1:$Q$400,"One Time",SF_Output!$L$1:$L$400,"hardware"))</f>
        <v>0</v>
      </c>
      <c r="K170" s="112" t="str">
        <f>IF(OR(B170=0,B170="",G170="hardware",J170=0),"",IF(AF170&lt;&gt;"exclusion",MAX(K$9,-((SUMIFS(SF_Output!$T$1:$T$400,SF_Output!$AC$1:$AC$400,_xlfn.TEXTJOIN(",",TRUE,$B170:$E170),SF_Output!$Q$1:$Q$400,"One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license"))/J170)))</f>
        <v/>
      </c>
      <c r="L170" s="6">
        <f t="shared" si="35"/>
        <v>0</v>
      </c>
      <c r="N170" s="6">
        <f>IF(B170="","",SUMIFS(SF_Output!$S$1:$S$400,SF_Output!$AC$1:$AC$400,_xlfn.TEXTJOIN(",",TRUE,B170:E170),SF_Output!$Q$1:$Q$400,"One Time",SF_Output!$L$1:$L$400,"professional service"))</f>
        <v>30000</v>
      </c>
      <c r="O170" s="112">
        <f>IF(OR(B170=0,B170="",N170=0),"",IF(AF170&lt;&gt;"exclusion",MAX(O$9,-(SUMIFS(SF_Output!$T$1:$T$400,SF_Output!$AC$1:$AC$400,_xlfn.TEXTJOIN(",",TRUE,$B170:$E170),SF_Output!$Q$1:$Q$400,"One Time",SF_Output!$L$1:$L$400,"professional service"))/N170),-((SUMIFS(SF_Output!$T$1:$T$400,SF_Output!$AC$1:$AC$400,_xlfn.TEXTJOIN(",",TRUE,$B170:$E170),SF_Output!$Q$1:$Q$400,"One Time",SF_Output!$L$1:$L$400,"professional service")/N170))))</f>
        <v>0</v>
      </c>
      <c r="P170" s="6">
        <f t="shared" si="36"/>
        <v>30000</v>
      </c>
      <c r="R170" s="6">
        <f>IF(B170="","",SUMIFS(SF_Output!$S$1:$S$400,SF_Output!$AC$1:$AC$400,_xlfn.TEXTJOIN(",",TRUE,B170:E170),SF_Output!$Q$1:$Q$400,"yearly")+SUMIFS(SF_Output!$S$1:$S$400,SF_Output!$AC$1:$AC$400,_xlfn.TEXTJOIN(",",TRUE,B170:E170),SF_Output!$Q$1:$Q$400,"quarterly")*4)</f>
        <v>0</v>
      </c>
      <c r="S170" s="112" t="str">
        <f>IF(OR(B170=0,B170="",G170="hardware",R170=0),"",IF(AF170&lt;&gt;"exclusion",MAX(S$9,-(SUMIFS(SF_Output!$T$1:$T$400,SF_Output!$AC$1:$AC$400,_xlfn.TEXTJOIN(",",TRUE,$B170:$E170),SF_Output!$Q$1:$Q$400,"yearly"))/R170),-((SUMIFS(SF_Output!$T$1:$T$400,SF_Output!$AC$1:$AC$400,_xlfn.TEXTJOIN(",",TRUE,$B170:$E170),SF_Output!$Q$1:$Q$400,"yearly")/R170))))</f>
        <v/>
      </c>
      <c r="T170" s="6">
        <f t="shared" si="37"/>
        <v>0</v>
      </c>
      <c r="V170" s="6" cm="1">
        <f t="array" ref="V170">_xlfn.IFS(B170="","",AND(B170&lt;&gt;"",H170=SF_Output!$Y$2,SUMIFS(SF_Output!$T$1:$T$400,SF_Output!$AC$1:$AC$400,_xlfn.TEXTJOIN(",",TRUE,B170:E170),SF_Output!$Q$1:$Q$400,"monthly")=0),(SUMIFS(SF_Output!$F$1:$F$400,SF_Output!$AC$1:$AC$400,_xlfn.TEXTJOIN(",",TRUE,B170:E170),SF_Output!$Q$1:$Q$400,"monthly")+SUMIFS(SF_Output!$G$1:$G$400,SF_Output!$AC$1:$AC$400,_xlfn.TEXTJOIN(",",TRUE,B170:E170),SF_Output!$Q$1:$Q$400,"monthly"))*H170,AND(B170&lt;&gt;"",H170=SF_Output!$Y$2,SUMIFS(SF_Output!$T$1:$T$400,SF_Output!$AC$1:$AC$400,_xlfn.TEXTJOIN(",",TRUE,B170:E170),SF_Output!$Q$1:$Q$400,"monthly")&lt;&gt;0),SUMIFS(SF_Output!$S$1:$S$400,SF_Output!$AC$1:$AC$400,_xlfn.TEXTJOIN(",",TRUE,B170:E170),SF_Output!$Q$1:$Q$400,"monthly"),AND(B170&lt;&gt;"",H170&lt;&gt;SF_Output!$Y$2),SUMIFS(SF_Output!$S$1:$S$400,SF_Output!$AC$1:$AC$400,_xlfn.TEXTJOIN(",",TRUE,B170:E170),SF_Output!$Q$1:$Q$400,"monthly"))</f>
        <v>0</v>
      </c>
      <c r="W170" s="112" t="str" cm="1">
        <f t="array" ref="W170">_xlfn.IFS(OR(B170=0,B170="",V170=0),"",AF170&lt;&gt;"exclusion",MAX($W$9,$W$7,(-(SUMIFS(SF_Output!$T$1:$T$400,SF_Output!$AC$1:$AC$400,_xlfn.TEXTJOIN(",",TRUE,$B170:$E170),SF_Output!$Q$1:$Q$400,"monthly"))/V170)),AF170="exclusion",-(SUMIFS(SF_Output!$T$1:$T$400,SF_Output!$AC$1:$AC$400,_xlfn.TEXTJOIN(",",TRUE,$B170:$E170),SF_Output!$Q$1:$Q$400,"monthly"))/V170)</f>
        <v/>
      </c>
      <c r="X170" s="6" cm="1">
        <f t="array" ref="X170">IFERROR(_xlfn.IFS(V170=0,0,V170="","",W170=0,V170,OR(V170&lt;&gt;0,V170&lt;&gt;""),H170*I170),V170*(1-W170))</f>
        <v>0</v>
      </c>
      <c r="Z170" s="6">
        <f>IFERROR(IF(B170="","",SUMIFS(Billing_Fallout!H:H,Billing_Fallout!N:N,B170)),0)</f>
        <v>0</v>
      </c>
      <c r="AA170" s="6">
        <f t="shared" si="38"/>
        <v>0</v>
      </c>
      <c r="AB170" s="6">
        <f>IFERROR(IF(B170="","",SUMIFS(Billing_Fallout!J:J,Billing_Fallout!N:N,B170)),0)</f>
        <v>0</v>
      </c>
      <c r="AD170" s="6">
        <f t="shared" si="39"/>
        <v>0</v>
      </c>
      <c r="AF170" t="str">
        <f>IFERROR(INDEX(H_Tables!$B$1:$B$1500,MATCH(INDEX(SF_Output!$J$1:$J$400,MATCH(B170,SF_Output!$M$1:$M$400,0)),H_Tables!$A$1:$A$1500,0)),"")</f>
        <v>Exclusion</v>
      </c>
      <c r="AI170" s="119" t="str">
        <f t="shared" si="40"/>
        <v/>
      </c>
      <c r="AJ170" s="121">
        <f>IFERROR(INDEX(SF_Output!AD:AD,MATCH(_xlfn.TEXTJOIN(",",TRUE,B170:E170),SF_Output!AC1:AC400,0)),0.05)</f>
        <v>11</v>
      </c>
      <c r="AK170" t="str">
        <f>IF(SUMIFS(SF_Output!$F$1:$F$400,SF_Output!$AC$1:$AC$400,_xlfn.TEXTJOIN(",",TRUE,B170:E170))+SUMIFS(SF_Output!$G$1:$G$400,SF_Output!$AC$1:$AC$400,_xlfn.TEXTJOIN(",",TRUE,B170:E170))=0,"","PAP")</f>
        <v/>
      </c>
      <c r="AQ170" s="35"/>
      <c r="AR170" s="35" t="str" cm="1">
        <f t="array" ref="AR170">IFERROR(_xlfn.IFS(AND(E170*1=1,F170="Included"),"Change to Included",AND(E170*1=0,F170="Optional"),"Change to Optional",OR(B170="",F170="replaced"),""),"")</f>
        <v/>
      </c>
      <c r="AS170" s="35" t="str">
        <f t="shared" si="41"/>
        <v/>
      </c>
      <c r="AT170" s="35" t="str">
        <f t="shared" si="42"/>
        <v/>
      </c>
      <c r="AU170" s="35" t="str">
        <f t="shared" si="43"/>
        <v/>
      </c>
      <c r="AV170" s="35" t="str">
        <f t="shared" si="44"/>
        <v/>
      </c>
      <c r="AW170" s="35" t="str">
        <f t="shared" si="45"/>
        <v/>
      </c>
      <c r="AX170" s="35" t="str">
        <f t="shared" si="46"/>
        <v/>
      </c>
      <c r="AY170" s="35" t="str">
        <f t="shared" si="47"/>
        <v/>
      </c>
      <c r="AZ170" s="35" t="str">
        <f t="shared" si="48"/>
        <v/>
      </c>
      <c r="BA170" s="35" t="str">
        <f t="shared" si="49"/>
        <v/>
      </c>
      <c r="BB170" s="35" t="str">
        <f t="shared" si="50"/>
        <v/>
      </c>
      <c r="BC170" s="35"/>
      <c r="BE170" s="35">
        <f ca="1">INDEX(SF_Output!$AA$2:$AA$400,MATCH($B170,SF_Output!$M$2:$M$400,0))</f>
        <v>9</v>
      </c>
      <c r="BF170" s="35">
        <f ca="1">INDEX(SF_Output!$AB$2:$AB$400,MATCH($B170,SF_Output!$M$2:$M$400,0))</f>
        <v>1</v>
      </c>
    </row>
    <row r="171" spans="2:58" x14ac:dyDescent="0.25">
      <c r="B171" t="s">
        <v>2147</v>
      </c>
      <c r="C171" t="s">
        <v>2122</v>
      </c>
      <c r="D171" t="s">
        <v>2123</v>
      </c>
      <c r="E171" t="s">
        <v>2124</v>
      </c>
      <c r="F171" s="116" t="str">
        <f t="shared" si="34"/>
        <v>Included</v>
      </c>
      <c r="G171" t="str">
        <f>IF(B171="","",INDEX(SF_Output!$K$1:$K$400,MATCH(B171,SF_Output!$M$1:$M$400,0)))</f>
        <v>SilverLake</v>
      </c>
      <c r="H171" cm="1">
        <f t="array" ref="H171">_xlfn.IFS(B171="","",(SUMIFS(SF_Output!$F$1:$F$400,SF_Output!$AC$1:$AC$400,_xlfn.TEXTJOIN(",",TRUE,B171:E171))+SUMIFS(SF_Output!$G$1:$G$400,SF_Output!$AC$1:$AC$400,_xlfn.TEXTJOIN(",",TRUE,B171:E171)))&lt;&gt;0,SF_Output!$Y$2,INDEX(SF_Output!$F$1:$F$400,MATCH(_xlfn.TEXTJOIN(",",TRUE,B171:E171),SF_Output!$AC$1:$AC$400,0))=0,INDEX(SF_Output!$R$1:$R$400,MATCH(_xlfn.TEXTJOIN(",",TRUE,B171:E171),SF_Output!$AC$1:$AC$400,0)))</f>
        <v>1</v>
      </c>
      <c r="I171" s="125" t="str">
        <f>IFERROR(IF(AND(H171&gt;1,H171&lt;&gt;""),ROUND(SUMIFS(SF_Output!$S$1:$S$400,SF_Output!$AC$1:$AC$400,_xlfn.TEXTJOIN(",",TRUE,B171:E171),SF_Output!$Q$1:$Q$400,"monthly")*(1-W171)/H171,4),""),"")</f>
        <v/>
      </c>
      <c r="J171" s="6">
        <f>IF(B171="","",SUMIFS(SF_Output!$S$1:$S$400,SF_Output!$AC$1:$AC$400,_xlfn.TEXTJOIN(",",TRUE,B171:E171),SF_Output!$Q$1:$Q$400,"One Time",SF_Output!$L$1:$L$400,"license fee")+SUMIFS(SF_Output!$S$1:$S$400,SF_Output!$AC$1:$AC$400,_xlfn.TEXTJOIN(",",TRUE,B171:E171),SF_Output!$Q$1:$Q$400,"One Time",SF_Output!$L$1:$L$400,"software license")+SUMIFS(SF_Output!$S$1:$S$400,SF_Output!$AC$1:$AC$400,_xlfn.TEXTJOIN(",",TRUE,B171:E171),SF_Output!$Q$1:$Q$400,"One Time",SF_Output!$L$1:$L$400,"hardware"))</f>
        <v>0</v>
      </c>
      <c r="K171" s="112" t="str">
        <f>IF(OR(B171=0,B171="",G171="hardware",J171=0),"",IF(AF171&lt;&gt;"exclusion",MAX(K$9,-((SUMIFS(SF_Output!$T$1:$T$400,SF_Output!$AC$1:$AC$400,_xlfn.TEXTJOIN(",",TRUE,$B171:$E171),SF_Output!$Q$1:$Q$400,"One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license"))/J171)))</f>
        <v/>
      </c>
      <c r="L171" s="6">
        <f t="shared" si="35"/>
        <v>0</v>
      </c>
      <c r="N171" s="6">
        <f>IF(B171="","",SUMIFS(SF_Output!$S$1:$S$400,SF_Output!$AC$1:$AC$400,_xlfn.TEXTJOIN(",",TRUE,B171:E171),SF_Output!$Q$1:$Q$400,"One Time",SF_Output!$L$1:$L$400,"professional service"))</f>
        <v>5000</v>
      </c>
      <c r="O171" s="112">
        <f>IF(OR(B171=0,B171="",N171=0),"",IF(AF171&lt;&gt;"exclusion",MAX(O$9,-(SUMIFS(SF_Output!$T$1:$T$400,SF_Output!$AC$1:$AC$400,_xlfn.TEXTJOIN(",",TRUE,$B171:$E171),SF_Output!$Q$1:$Q$400,"One Time",SF_Output!$L$1:$L$400,"professional service"))/N171),-((SUMIFS(SF_Output!$T$1:$T$400,SF_Output!$AC$1:$AC$400,_xlfn.TEXTJOIN(",",TRUE,$B171:$E171),SF_Output!$Q$1:$Q$400,"One Time",SF_Output!$L$1:$L$400,"professional service")/N171))))</f>
        <v>0</v>
      </c>
      <c r="P171" s="6">
        <f t="shared" si="36"/>
        <v>5000</v>
      </c>
      <c r="R171" s="6">
        <f>IF(B171="","",SUMIFS(SF_Output!$S$1:$S$400,SF_Output!$AC$1:$AC$400,_xlfn.TEXTJOIN(",",TRUE,B171:E171),SF_Output!$Q$1:$Q$400,"yearly")+SUMIFS(SF_Output!$S$1:$S$400,SF_Output!$AC$1:$AC$400,_xlfn.TEXTJOIN(",",TRUE,B171:E171),SF_Output!$Q$1:$Q$400,"quarterly")*4)</f>
        <v>0</v>
      </c>
      <c r="S171" s="112" t="str">
        <f>IF(OR(B171=0,B171="",G171="hardware",R171=0),"",IF(AF171&lt;&gt;"exclusion",MAX(S$9,-(SUMIFS(SF_Output!$T$1:$T$400,SF_Output!$AC$1:$AC$400,_xlfn.TEXTJOIN(",",TRUE,$B171:$E171),SF_Output!$Q$1:$Q$400,"yearly"))/R171),-((SUMIFS(SF_Output!$T$1:$T$400,SF_Output!$AC$1:$AC$400,_xlfn.TEXTJOIN(",",TRUE,$B171:$E171),SF_Output!$Q$1:$Q$400,"yearly")/R171))))</f>
        <v/>
      </c>
      <c r="T171" s="6">
        <f t="shared" si="37"/>
        <v>0</v>
      </c>
      <c r="V171" s="6" cm="1">
        <f t="array" ref="V171">_xlfn.IFS(B171="","",AND(B171&lt;&gt;"",H171=SF_Output!$Y$2,SUMIFS(SF_Output!$T$1:$T$400,SF_Output!$AC$1:$AC$400,_xlfn.TEXTJOIN(",",TRUE,B171:E171),SF_Output!$Q$1:$Q$400,"monthly")=0),(SUMIFS(SF_Output!$F$1:$F$400,SF_Output!$AC$1:$AC$400,_xlfn.TEXTJOIN(",",TRUE,B171:E171),SF_Output!$Q$1:$Q$400,"monthly")+SUMIFS(SF_Output!$G$1:$G$400,SF_Output!$AC$1:$AC$400,_xlfn.TEXTJOIN(",",TRUE,B171:E171),SF_Output!$Q$1:$Q$400,"monthly"))*H171,AND(B171&lt;&gt;"",H171=SF_Output!$Y$2,SUMIFS(SF_Output!$T$1:$T$400,SF_Output!$AC$1:$AC$400,_xlfn.TEXTJOIN(",",TRUE,B171:E171),SF_Output!$Q$1:$Q$400,"monthly")&lt;&gt;0),SUMIFS(SF_Output!$S$1:$S$400,SF_Output!$AC$1:$AC$400,_xlfn.TEXTJOIN(",",TRUE,B171:E171),SF_Output!$Q$1:$Q$400,"monthly"),AND(B171&lt;&gt;"",H171&lt;&gt;SF_Output!$Y$2),SUMIFS(SF_Output!$S$1:$S$400,SF_Output!$AC$1:$AC$400,_xlfn.TEXTJOIN(",",TRUE,B171:E171),SF_Output!$Q$1:$Q$400,"monthly"))</f>
        <v>0</v>
      </c>
      <c r="W171" s="112" t="str" cm="1">
        <f t="array" ref="W171">_xlfn.IFS(OR(B171=0,B171="",V171=0),"",AF171&lt;&gt;"exclusion",MAX($W$9,$W$7,(-(SUMIFS(SF_Output!$T$1:$T$400,SF_Output!$AC$1:$AC$400,_xlfn.TEXTJOIN(",",TRUE,$B171:$E171),SF_Output!$Q$1:$Q$400,"monthly"))/V171)),AF171="exclusion",-(SUMIFS(SF_Output!$T$1:$T$400,SF_Output!$AC$1:$AC$400,_xlfn.TEXTJOIN(",",TRUE,$B171:$E171),SF_Output!$Q$1:$Q$400,"monthly"))/V171)</f>
        <v/>
      </c>
      <c r="X171" s="6" cm="1">
        <f t="array" ref="X171">IFERROR(_xlfn.IFS(V171=0,0,V171="","",W171=0,V171,OR(V171&lt;&gt;0,V171&lt;&gt;""),H171*I171),V171*(1-W171))</f>
        <v>0</v>
      </c>
      <c r="Z171" s="6">
        <f>IFERROR(IF(B171="","",SUMIFS(Billing_Fallout!H:H,Billing_Fallout!N:N,B171)),0)</f>
        <v>0</v>
      </c>
      <c r="AA171" s="6">
        <f t="shared" si="38"/>
        <v>0</v>
      </c>
      <c r="AB171" s="6">
        <f>IFERROR(IF(B171="","",SUMIFS(Billing_Fallout!J:J,Billing_Fallout!N:N,B171)),0)</f>
        <v>0</v>
      </c>
      <c r="AD171" s="6">
        <f t="shared" si="39"/>
        <v>0</v>
      </c>
      <c r="AF171" t="str">
        <f>IFERROR(INDEX(H_Tables!$B$1:$B$1500,MATCH(INDEX(SF_Output!$J$1:$J$400,MATCH(B171,SF_Output!$M$1:$M$400,0)),H_Tables!$A$1:$A$1500,0)),"")</f>
        <v>Exclusion</v>
      </c>
      <c r="AI171" s="119" t="str">
        <f t="shared" si="40"/>
        <v/>
      </c>
      <c r="AJ171" s="121">
        <f>IFERROR(INDEX(SF_Output!AD:AD,MATCH(_xlfn.TEXTJOIN(",",TRUE,B171:E171),SF_Output!AC1:AC400,0)),0.05)</f>
        <v>13</v>
      </c>
      <c r="AK171" t="str">
        <f>IF(SUMIFS(SF_Output!$F$1:$F$400,SF_Output!$AC$1:$AC$400,_xlfn.TEXTJOIN(",",TRUE,B171:E171))+SUMIFS(SF_Output!$G$1:$G$400,SF_Output!$AC$1:$AC$400,_xlfn.TEXTJOIN(",",TRUE,B171:E171))=0,"","PAP")</f>
        <v/>
      </c>
      <c r="AQ171" s="35"/>
      <c r="AR171" s="35" t="str" cm="1">
        <f t="array" ref="AR171">IFERROR(_xlfn.IFS(AND(E171*1=1,F171="Included"),"Change to Included",AND(E171*1=0,F171="Optional"),"Change to Optional",OR(B171="",F171="replaced"),""),"")</f>
        <v/>
      </c>
      <c r="AS171" s="35" t="str">
        <f t="shared" si="41"/>
        <v/>
      </c>
      <c r="AT171" s="35" t="str">
        <f t="shared" si="42"/>
        <v/>
      </c>
      <c r="AU171" s="35" t="str">
        <f t="shared" si="43"/>
        <v/>
      </c>
      <c r="AV171" s="35" t="str">
        <f t="shared" si="44"/>
        <v/>
      </c>
      <c r="AW171" s="35" t="str">
        <f t="shared" si="45"/>
        <v/>
      </c>
      <c r="AX171" s="35" t="str">
        <f t="shared" si="46"/>
        <v/>
      </c>
      <c r="AY171" s="35" t="str">
        <f t="shared" si="47"/>
        <v/>
      </c>
      <c r="AZ171" s="35" t="str">
        <f t="shared" si="48"/>
        <v/>
      </c>
      <c r="BA171" s="35" t="str">
        <f t="shared" si="49"/>
        <v/>
      </c>
      <c r="BB171" s="35" t="str">
        <f t="shared" si="50"/>
        <v/>
      </c>
      <c r="BC171" s="35"/>
      <c r="BE171" s="35">
        <f ca="1">INDEX(SF_Output!$AA$2:$AA$400,MATCH($B171,SF_Output!$M$2:$M$400,0))</f>
        <v>9</v>
      </c>
      <c r="BF171" s="35">
        <f ca="1">INDEX(SF_Output!$AB$2:$AB$400,MATCH($B171,SF_Output!$M$2:$M$400,0))</f>
        <v>1</v>
      </c>
    </row>
    <row r="172" spans="2:58" x14ac:dyDescent="0.25">
      <c r="B172" t="s">
        <v>1758</v>
      </c>
      <c r="C172" t="s">
        <v>2122</v>
      </c>
      <c r="D172" t="s">
        <v>2123</v>
      </c>
      <c r="E172" t="s">
        <v>2124</v>
      </c>
      <c r="F172" s="116" t="str">
        <f t="shared" si="34"/>
        <v>Included</v>
      </c>
      <c r="G172" t="str">
        <f>IF(B172="","",INDEX(SF_Output!$K$1:$K$400,MATCH(B172,SF_Output!$M$1:$M$400,0)))</f>
        <v>SilverLake</v>
      </c>
      <c r="H172" cm="1">
        <f t="array" ref="H172">_xlfn.IFS(B172="","",(SUMIFS(SF_Output!$F$1:$F$400,SF_Output!$AC$1:$AC$400,_xlfn.TEXTJOIN(",",TRUE,B172:E172))+SUMIFS(SF_Output!$G$1:$G$400,SF_Output!$AC$1:$AC$400,_xlfn.TEXTJOIN(",",TRUE,B172:E172)))&lt;&gt;0,SF_Output!$Y$2,INDEX(SF_Output!$F$1:$F$400,MATCH(_xlfn.TEXTJOIN(",",TRUE,B172:E172),SF_Output!$AC$1:$AC$400,0))=0,INDEX(SF_Output!$R$1:$R$400,MATCH(_xlfn.TEXTJOIN(",",TRUE,B172:E172),SF_Output!$AC$1:$AC$400,0)))</f>
        <v>1</v>
      </c>
      <c r="I172" s="125" t="str">
        <f>IFERROR(IF(AND(H172&gt;1,H172&lt;&gt;""),ROUND(SUMIFS(SF_Output!$S$1:$S$400,SF_Output!$AC$1:$AC$400,_xlfn.TEXTJOIN(",",TRUE,B172:E172),SF_Output!$Q$1:$Q$400,"monthly")*(1-W172)/H172,4),""),"")</f>
        <v/>
      </c>
      <c r="J172" s="6">
        <f>IF(B172="","",SUMIFS(SF_Output!$S$1:$S$400,SF_Output!$AC$1:$AC$400,_xlfn.TEXTJOIN(",",TRUE,B172:E172),SF_Output!$Q$1:$Q$400,"One Time",SF_Output!$L$1:$L$400,"license fee")+SUMIFS(SF_Output!$S$1:$S$400,SF_Output!$AC$1:$AC$400,_xlfn.TEXTJOIN(",",TRUE,B172:E172),SF_Output!$Q$1:$Q$400,"One Time",SF_Output!$L$1:$L$400,"software license")+SUMIFS(SF_Output!$S$1:$S$400,SF_Output!$AC$1:$AC$400,_xlfn.TEXTJOIN(",",TRUE,B172:E172),SF_Output!$Q$1:$Q$400,"One Time",SF_Output!$L$1:$L$400,"hardware"))</f>
        <v>0</v>
      </c>
      <c r="K172" s="112" t="str">
        <f>IF(OR(B172=0,B172="",G172="hardware",J172=0),"",IF(AF172&lt;&gt;"exclusion",MAX(K$9,-((SUMIFS(SF_Output!$T$1:$T$400,SF_Output!$AC$1:$AC$400,_xlfn.TEXTJOIN(",",TRUE,$B172:$E172),SF_Output!$Q$1:$Q$400,"One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license"))/J172)))</f>
        <v/>
      </c>
      <c r="L172" s="6">
        <f t="shared" si="35"/>
        <v>0</v>
      </c>
      <c r="N172" s="6">
        <f>IF(B172="","",SUMIFS(SF_Output!$S$1:$S$400,SF_Output!$AC$1:$AC$400,_xlfn.TEXTJOIN(",",TRUE,B172:E172),SF_Output!$Q$1:$Q$400,"One Time",SF_Output!$L$1:$L$400,"professional service"))</f>
        <v>10000</v>
      </c>
      <c r="O172" s="112">
        <f>IF(OR(B172=0,B172="",N172=0),"",IF(AF172&lt;&gt;"exclusion",MAX(O$9,-(SUMIFS(SF_Output!$T$1:$T$400,SF_Output!$AC$1:$AC$400,_xlfn.TEXTJOIN(",",TRUE,$B172:$E172),SF_Output!$Q$1:$Q$400,"One Time",SF_Output!$L$1:$L$400,"professional service"))/N172),-((SUMIFS(SF_Output!$T$1:$T$400,SF_Output!$AC$1:$AC$400,_xlfn.TEXTJOIN(",",TRUE,$B172:$E172),SF_Output!$Q$1:$Q$400,"One Time",SF_Output!$L$1:$L$400,"professional service")/N172))))</f>
        <v>0</v>
      </c>
      <c r="P172" s="6">
        <f t="shared" si="36"/>
        <v>10000</v>
      </c>
      <c r="R172" s="6">
        <f>IF(B172="","",SUMIFS(SF_Output!$S$1:$S$400,SF_Output!$AC$1:$AC$400,_xlfn.TEXTJOIN(",",TRUE,B172:E172),SF_Output!$Q$1:$Q$400,"yearly")+SUMIFS(SF_Output!$S$1:$S$400,SF_Output!$AC$1:$AC$400,_xlfn.TEXTJOIN(",",TRUE,B172:E172),SF_Output!$Q$1:$Q$400,"quarterly")*4)</f>
        <v>0</v>
      </c>
      <c r="S172" s="112" t="str">
        <f>IF(OR(B172=0,B172="",G172="hardware",R172=0),"",IF(AF172&lt;&gt;"exclusion",MAX(S$9,-(SUMIFS(SF_Output!$T$1:$T$400,SF_Output!$AC$1:$AC$400,_xlfn.TEXTJOIN(",",TRUE,$B172:$E172),SF_Output!$Q$1:$Q$400,"yearly"))/R172),-((SUMIFS(SF_Output!$T$1:$T$400,SF_Output!$AC$1:$AC$400,_xlfn.TEXTJOIN(",",TRUE,$B172:$E172),SF_Output!$Q$1:$Q$400,"yearly")/R172))))</f>
        <v/>
      </c>
      <c r="T172" s="6">
        <f t="shared" si="37"/>
        <v>0</v>
      </c>
      <c r="V172" s="6" cm="1">
        <f t="array" ref="V172">_xlfn.IFS(B172="","",AND(B172&lt;&gt;"",H172=SF_Output!$Y$2,SUMIFS(SF_Output!$T$1:$T$400,SF_Output!$AC$1:$AC$400,_xlfn.TEXTJOIN(",",TRUE,B172:E172),SF_Output!$Q$1:$Q$400,"monthly")=0),(SUMIFS(SF_Output!$F$1:$F$400,SF_Output!$AC$1:$AC$400,_xlfn.TEXTJOIN(",",TRUE,B172:E172),SF_Output!$Q$1:$Q$400,"monthly")+SUMIFS(SF_Output!$G$1:$G$400,SF_Output!$AC$1:$AC$400,_xlfn.TEXTJOIN(",",TRUE,B172:E172),SF_Output!$Q$1:$Q$400,"monthly"))*H172,AND(B172&lt;&gt;"",H172=SF_Output!$Y$2,SUMIFS(SF_Output!$T$1:$T$400,SF_Output!$AC$1:$AC$400,_xlfn.TEXTJOIN(",",TRUE,B172:E172),SF_Output!$Q$1:$Q$400,"monthly")&lt;&gt;0),SUMIFS(SF_Output!$S$1:$S$400,SF_Output!$AC$1:$AC$400,_xlfn.TEXTJOIN(",",TRUE,B172:E172),SF_Output!$Q$1:$Q$400,"monthly"),AND(B172&lt;&gt;"",H172&lt;&gt;SF_Output!$Y$2),SUMIFS(SF_Output!$S$1:$S$400,SF_Output!$AC$1:$AC$400,_xlfn.TEXTJOIN(",",TRUE,B172:E172),SF_Output!$Q$1:$Q$400,"monthly"))</f>
        <v>0</v>
      </c>
      <c r="W172" s="112" t="str" cm="1">
        <f t="array" ref="W172">_xlfn.IFS(OR(B172=0,B172="",V172=0),"",AF172&lt;&gt;"exclusion",MAX($W$9,$W$7,(-(SUMIFS(SF_Output!$T$1:$T$400,SF_Output!$AC$1:$AC$400,_xlfn.TEXTJOIN(",",TRUE,$B172:$E172),SF_Output!$Q$1:$Q$400,"monthly"))/V172)),AF172="exclusion",-(SUMIFS(SF_Output!$T$1:$T$400,SF_Output!$AC$1:$AC$400,_xlfn.TEXTJOIN(",",TRUE,$B172:$E172),SF_Output!$Q$1:$Q$400,"monthly"))/V172)</f>
        <v/>
      </c>
      <c r="X172" s="6" cm="1">
        <f t="array" ref="X172">IFERROR(_xlfn.IFS(V172=0,0,V172="","",W172=0,V172,OR(V172&lt;&gt;0,V172&lt;&gt;""),H172*I172),V172*(1-W172))</f>
        <v>0</v>
      </c>
      <c r="Z172" s="6">
        <f>IFERROR(IF(B172="","",SUMIFS(Billing_Fallout!H:H,Billing_Fallout!N:N,B172)),0)</f>
        <v>0</v>
      </c>
      <c r="AA172" s="6">
        <f t="shared" si="38"/>
        <v>0</v>
      </c>
      <c r="AB172" s="6">
        <f>IFERROR(IF(B172="","",SUMIFS(Billing_Fallout!J:J,Billing_Fallout!N:N,B172)),0)</f>
        <v>0</v>
      </c>
      <c r="AD172" s="6">
        <f t="shared" si="39"/>
        <v>0</v>
      </c>
      <c r="AF172" t="str">
        <f>IFERROR(INDEX(H_Tables!$B$1:$B$1500,MATCH(INDEX(SF_Output!$J$1:$J$400,MATCH(B172,SF_Output!$M$1:$M$400,0)),H_Tables!$A$1:$A$1500,0)),"")</f>
        <v>Exclusion</v>
      </c>
      <c r="AI172" s="119" t="str">
        <f t="shared" si="40"/>
        <v/>
      </c>
      <c r="AJ172" s="121">
        <f>IFERROR(INDEX(SF_Output!AD:AD,MATCH(_xlfn.TEXTJOIN(",",TRUE,B172:E172),SF_Output!AC1:AC400,0)),0.05)</f>
        <v>22</v>
      </c>
      <c r="AK172" t="str">
        <f>IF(SUMIFS(SF_Output!$F$1:$F$400,SF_Output!$AC$1:$AC$400,_xlfn.TEXTJOIN(",",TRUE,B172:E172))+SUMIFS(SF_Output!$G$1:$G$400,SF_Output!$AC$1:$AC$400,_xlfn.TEXTJOIN(",",TRUE,B172:E172))=0,"","PAP")</f>
        <v/>
      </c>
      <c r="AQ172" s="35"/>
      <c r="AR172" s="35" t="str" cm="1">
        <f t="array" ref="AR172">IFERROR(_xlfn.IFS(AND(E172*1=1,F172="Included"),"Change to Included",AND(E172*1=0,F172="Optional"),"Change to Optional",OR(B172="",F172="replaced"),""),"")</f>
        <v/>
      </c>
      <c r="AS172" s="35" t="str">
        <f t="shared" si="41"/>
        <v/>
      </c>
      <c r="AT172" s="35" t="str">
        <f t="shared" si="42"/>
        <v/>
      </c>
      <c r="AU172" s="35" t="str">
        <f t="shared" si="43"/>
        <v/>
      </c>
      <c r="AV172" s="35" t="str">
        <f t="shared" si="44"/>
        <v/>
      </c>
      <c r="AW172" s="35" t="str">
        <f t="shared" si="45"/>
        <v/>
      </c>
      <c r="AX172" s="35" t="str">
        <f t="shared" si="46"/>
        <v/>
      </c>
      <c r="AY172" s="35" t="str">
        <f t="shared" si="47"/>
        <v/>
      </c>
      <c r="AZ172" s="35" t="str">
        <f t="shared" si="48"/>
        <v/>
      </c>
      <c r="BA172" s="35" t="str">
        <f t="shared" si="49"/>
        <v/>
      </c>
      <c r="BB172" s="35" t="str">
        <f t="shared" si="50"/>
        <v/>
      </c>
      <c r="BC172" s="35"/>
      <c r="BE172" s="35">
        <f ca="1">INDEX(SF_Output!$AA$2:$AA$400,MATCH($B172,SF_Output!$M$2:$M$400,0))</f>
        <v>9</v>
      </c>
      <c r="BF172" s="35">
        <f ca="1">INDEX(SF_Output!$AB$2:$AB$400,MATCH($B172,SF_Output!$M$2:$M$400,0))</f>
        <v>1</v>
      </c>
    </row>
    <row r="173" spans="2:58" x14ac:dyDescent="0.25">
      <c r="B173" t="s">
        <v>2212</v>
      </c>
      <c r="C173" t="s">
        <v>2122</v>
      </c>
      <c r="D173" t="s">
        <v>2207</v>
      </c>
      <c r="E173" t="s">
        <v>2150</v>
      </c>
      <c r="F173" s="116" t="str">
        <f t="shared" si="34"/>
        <v>Optional</v>
      </c>
      <c r="G173" t="str">
        <f>IF(B173="","",INDEX(SF_Output!$K$1:$K$400,MATCH(B173,SF_Output!$M$1:$M$400,0)))</f>
        <v>Core</v>
      </c>
      <c r="H173" cm="1">
        <f t="array" ref="H173">_xlfn.IFS(B173="","",(SUMIFS(SF_Output!$F$1:$F$400,SF_Output!$AC$1:$AC$400,_xlfn.TEXTJOIN(",",TRUE,B173:E173))+SUMIFS(SF_Output!$G$1:$G$400,SF_Output!$AC$1:$AC$400,_xlfn.TEXTJOIN(",",TRUE,B173:E173)))&lt;&gt;0,SF_Output!$Y$2,INDEX(SF_Output!$F$1:$F$400,MATCH(_xlfn.TEXTJOIN(",",TRUE,B173:E173),SF_Output!$AC$1:$AC$400,0))=0,INDEX(SF_Output!$R$1:$R$400,MATCH(_xlfn.TEXTJOIN(",",TRUE,B173:E173),SF_Output!$AC$1:$AC$400,0)))</f>
        <v>1</v>
      </c>
      <c r="I173" s="125" t="str">
        <f>IFERROR(IF(AND(H173&gt;1,H173&lt;&gt;""),ROUND(SUMIFS(SF_Output!$S$1:$S$400,SF_Output!$AC$1:$AC$400,_xlfn.TEXTJOIN(",",TRUE,B173:E173),SF_Output!$Q$1:$Q$400,"monthly")*(1-W173)/H173,4),""),"")</f>
        <v/>
      </c>
      <c r="J173" s="6">
        <f>IF(B173="","",SUMIFS(SF_Output!$S$1:$S$400,SF_Output!$AC$1:$AC$400,_xlfn.TEXTJOIN(",",TRUE,B173:E173),SF_Output!$Q$1:$Q$400,"One Time",SF_Output!$L$1:$L$400,"license fee")+SUMIFS(SF_Output!$S$1:$S$400,SF_Output!$AC$1:$AC$400,_xlfn.TEXTJOIN(",",TRUE,B173:E173),SF_Output!$Q$1:$Q$400,"One Time",SF_Output!$L$1:$L$400,"software license")+SUMIFS(SF_Output!$S$1:$S$400,SF_Output!$AC$1:$AC$400,_xlfn.TEXTJOIN(",",TRUE,B173:E173),SF_Output!$Q$1:$Q$400,"One Time",SF_Output!$L$1:$L$400,"hardware"))</f>
        <v>0</v>
      </c>
      <c r="K173" s="112" t="str">
        <f>IF(OR(B173=0,B173="",G173="hardware",J173=0),"",IF(AF173&lt;&gt;"exclusion",MAX(K$9,-((SUMIFS(SF_Output!$T$1:$T$400,SF_Output!$AC$1:$AC$400,_xlfn.TEXTJOIN(",",TRUE,$B173:$E173),SF_Output!$Q$1:$Q$400,"One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license"))/J173)))</f>
        <v/>
      </c>
      <c r="L173" s="6">
        <f t="shared" si="35"/>
        <v>0</v>
      </c>
      <c r="N173" s="6">
        <f>IF(B173="","",SUMIFS(SF_Output!$S$1:$S$400,SF_Output!$AC$1:$AC$400,_xlfn.TEXTJOIN(",",TRUE,B173:E173),SF_Output!$Q$1:$Q$400,"One Time",SF_Output!$L$1:$L$400,"professional service"))</f>
        <v>18000</v>
      </c>
      <c r="O173" s="112">
        <f>IF(OR(B173=0,B173="",N173=0),"",IF(AF173&lt;&gt;"exclusion",MAX(O$9,-(SUMIFS(SF_Output!$T$1:$T$400,SF_Output!$AC$1:$AC$400,_xlfn.TEXTJOIN(",",TRUE,$B173:$E173),SF_Output!$Q$1:$Q$400,"One Time",SF_Output!$L$1:$L$400,"professional service"))/N173),-((SUMIFS(SF_Output!$T$1:$T$400,SF_Output!$AC$1:$AC$400,_xlfn.TEXTJOIN(",",TRUE,$B173:$E173),SF_Output!$Q$1:$Q$400,"One Time",SF_Output!$L$1:$L$400,"professional service")/N173))))</f>
        <v>0</v>
      </c>
      <c r="P173" s="6">
        <f t="shared" si="36"/>
        <v>18000</v>
      </c>
      <c r="R173" s="6">
        <f>IF(B173="","",SUMIFS(SF_Output!$S$1:$S$400,SF_Output!$AC$1:$AC$400,_xlfn.TEXTJOIN(",",TRUE,B173:E173),SF_Output!$Q$1:$Q$400,"yearly")+SUMIFS(SF_Output!$S$1:$S$400,SF_Output!$AC$1:$AC$400,_xlfn.TEXTJOIN(",",TRUE,B173:E173),SF_Output!$Q$1:$Q$400,"quarterly")*4)</f>
        <v>0</v>
      </c>
      <c r="S173" s="112" t="str">
        <f>IF(OR(B173=0,B173="",G173="hardware",R173=0),"",IF(AF173&lt;&gt;"exclusion",MAX(S$9,-(SUMIFS(SF_Output!$T$1:$T$400,SF_Output!$AC$1:$AC$400,_xlfn.TEXTJOIN(",",TRUE,$B173:$E173),SF_Output!$Q$1:$Q$400,"yearly"))/R173),-((SUMIFS(SF_Output!$T$1:$T$400,SF_Output!$AC$1:$AC$400,_xlfn.TEXTJOIN(",",TRUE,$B173:$E173),SF_Output!$Q$1:$Q$400,"yearly")/R173))))</f>
        <v/>
      </c>
      <c r="T173" s="6">
        <f t="shared" si="37"/>
        <v>0</v>
      </c>
      <c r="V173" s="6" cm="1">
        <f t="array" ref="V173">_xlfn.IFS(B173="","",AND(B173&lt;&gt;"",H173=SF_Output!$Y$2,SUMIFS(SF_Output!$T$1:$T$400,SF_Output!$AC$1:$AC$400,_xlfn.TEXTJOIN(",",TRUE,B173:E173),SF_Output!$Q$1:$Q$400,"monthly")=0),(SUMIFS(SF_Output!$F$1:$F$400,SF_Output!$AC$1:$AC$400,_xlfn.TEXTJOIN(",",TRUE,B173:E173),SF_Output!$Q$1:$Q$400,"monthly")+SUMIFS(SF_Output!$G$1:$G$400,SF_Output!$AC$1:$AC$400,_xlfn.TEXTJOIN(",",TRUE,B173:E173),SF_Output!$Q$1:$Q$400,"monthly"))*H173,AND(B173&lt;&gt;"",H173=SF_Output!$Y$2,SUMIFS(SF_Output!$T$1:$T$400,SF_Output!$AC$1:$AC$400,_xlfn.TEXTJOIN(",",TRUE,B173:E173),SF_Output!$Q$1:$Q$400,"monthly")&lt;&gt;0),SUMIFS(SF_Output!$S$1:$S$400,SF_Output!$AC$1:$AC$400,_xlfn.TEXTJOIN(",",TRUE,B173:E173),SF_Output!$Q$1:$Q$400,"monthly"),AND(B173&lt;&gt;"",H173&lt;&gt;SF_Output!$Y$2),SUMIFS(SF_Output!$S$1:$S$400,SF_Output!$AC$1:$AC$400,_xlfn.TEXTJOIN(",",TRUE,B173:E173),SF_Output!$Q$1:$Q$400,"monthly"))</f>
        <v>0</v>
      </c>
      <c r="W173" s="112" t="str" cm="1">
        <f t="array" ref="W173">_xlfn.IFS(OR(B173=0,B173="",V173=0),"",AF173&lt;&gt;"exclusion",MAX($W$9,$W$7,(-(SUMIFS(SF_Output!$T$1:$T$400,SF_Output!$AC$1:$AC$400,_xlfn.TEXTJOIN(",",TRUE,$B173:$E173),SF_Output!$Q$1:$Q$400,"monthly"))/V173)),AF173="exclusion",-(SUMIFS(SF_Output!$T$1:$T$400,SF_Output!$AC$1:$AC$400,_xlfn.TEXTJOIN(",",TRUE,$B173:$E173),SF_Output!$Q$1:$Q$400,"monthly"))/V173)</f>
        <v/>
      </c>
      <c r="X173" s="6" cm="1">
        <f t="array" ref="X173">IFERROR(_xlfn.IFS(V173=0,0,V173="","",W173=0,V173,OR(V173&lt;&gt;0,V173&lt;&gt;""),H173*I173),V173*(1-W173))</f>
        <v>0</v>
      </c>
      <c r="Z173" s="6">
        <f>IFERROR(IF(B173="","",SUMIFS(Billing_Fallout!H:H,Billing_Fallout!N:N,B173)),0)</f>
        <v>0</v>
      </c>
      <c r="AA173" s="6">
        <f t="shared" si="38"/>
        <v>0</v>
      </c>
      <c r="AB173" s="6">
        <f>IFERROR(IF(B173="","",SUMIFS(Billing_Fallout!J:J,Billing_Fallout!N:N,B173)),0)</f>
        <v>0</v>
      </c>
      <c r="AD173" s="6">
        <f t="shared" si="39"/>
        <v>0</v>
      </c>
      <c r="AF173" t="str">
        <f>IFERROR(INDEX(H_Tables!$B$1:$B$1500,MATCH(INDEX(SF_Output!$J$1:$J$400,MATCH(B173,SF_Output!$M$1:$M$400,0)),H_Tables!$A$1:$A$1500,0)),"")</f>
        <v/>
      </c>
      <c r="AI173" s="119" t="str">
        <f t="shared" si="40"/>
        <v/>
      </c>
      <c r="AJ173" s="121">
        <f>IFERROR(INDEX(SF_Output!AD:AD,MATCH(_xlfn.TEXTJOIN(",",TRUE,B173:E173),SF_Output!AC1:AC400,0)),0.05)</f>
        <v>57</v>
      </c>
      <c r="AK173" t="str">
        <f>IF(SUMIFS(SF_Output!$F$1:$F$400,SF_Output!$AC$1:$AC$400,_xlfn.TEXTJOIN(",",TRUE,B173:E173))+SUMIFS(SF_Output!$G$1:$G$400,SF_Output!$AC$1:$AC$400,_xlfn.TEXTJOIN(",",TRUE,B173:E173))=0,"","PAP")</f>
        <v/>
      </c>
      <c r="AQ173" s="35"/>
      <c r="AR173" s="35" t="str" cm="1">
        <f t="array" ref="AR173">IFERROR(_xlfn.IFS(AND(E173*1=1,F173="Included"),"Change to Included",AND(E173*1=0,F173="Optional"),"Change to Optional",OR(B173="",F173="replaced"),""),"")</f>
        <v/>
      </c>
      <c r="AS173" s="35" t="str">
        <f t="shared" si="41"/>
        <v/>
      </c>
      <c r="AT173" s="35" t="str">
        <f t="shared" si="42"/>
        <v/>
      </c>
      <c r="AU173" s="35" t="str">
        <f t="shared" si="43"/>
        <v/>
      </c>
      <c r="AV173" s="35" t="str">
        <f t="shared" si="44"/>
        <v/>
      </c>
      <c r="AW173" s="35" t="str">
        <f t="shared" si="45"/>
        <v/>
      </c>
      <c r="AX173" s="35" t="str">
        <f t="shared" si="46"/>
        <v/>
      </c>
      <c r="AY173" s="35" t="str">
        <f t="shared" si="47"/>
        <v/>
      </c>
      <c r="AZ173" s="35" t="str">
        <f t="shared" si="48"/>
        <v/>
      </c>
      <c r="BA173" s="35" t="str">
        <f t="shared" si="49"/>
        <v/>
      </c>
      <c r="BB173" s="35" t="str">
        <f t="shared" si="50"/>
        <v/>
      </c>
      <c r="BC173" s="35"/>
      <c r="BE173" s="35">
        <f ca="1">INDEX(SF_Output!$AA$2:$AA$400,MATCH($B173,SF_Output!$M$2:$M$400,0))</f>
        <v>9</v>
      </c>
      <c r="BF173" s="35">
        <f ca="1">INDEX(SF_Output!$AB$2:$AB$400,MATCH($B173,SF_Output!$M$2:$M$400,0))</f>
        <v>2</v>
      </c>
    </row>
    <row r="174" spans="2:58" x14ac:dyDescent="0.25">
      <c r="B174" t="s">
        <v>2215</v>
      </c>
      <c r="C174" t="s">
        <v>2122</v>
      </c>
      <c r="D174" t="s">
        <v>2207</v>
      </c>
      <c r="E174" t="s">
        <v>2150</v>
      </c>
      <c r="F174" s="116" t="str">
        <f t="shared" si="34"/>
        <v>Optional</v>
      </c>
      <c r="G174" t="str">
        <f>IF(B174="","",INDEX(SF_Output!$K$1:$K$400,MATCH(B174,SF_Output!$M$1:$M$400,0)))</f>
        <v>Core</v>
      </c>
      <c r="H174" cm="1">
        <f t="array" ref="H174">_xlfn.IFS(B174="","",(SUMIFS(SF_Output!$F$1:$F$400,SF_Output!$AC$1:$AC$400,_xlfn.TEXTJOIN(",",TRUE,B174:E174))+SUMIFS(SF_Output!$G$1:$G$400,SF_Output!$AC$1:$AC$400,_xlfn.TEXTJOIN(",",TRUE,B174:E174)))&lt;&gt;0,SF_Output!$Y$2,INDEX(SF_Output!$F$1:$F$400,MATCH(_xlfn.TEXTJOIN(",",TRUE,B174:E174),SF_Output!$AC$1:$AC$400,0))=0,INDEX(SF_Output!$R$1:$R$400,MATCH(_xlfn.TEXTJOIN(",",TRUE,B174:E174),SF_Output!$AC$1:$AC$400,0)))</f>
        <v>1</v>
      </c>
      <c r="I174" s="125" t="str">
        <f>IFERROR(IF(AND(H174&gt;1,H174&lt;&gt;""),ROUND(SUMIFS(SF_Output!$S$1:$S$400,SF_Output!$AC$1:$AC$400,_xlfn.TEXTJOIN(",",TRUE,B174:E174),SF_Output!$Q$1:$Q$400,"monthly")*(1-W174)/H174,4),""),"")</f>
        <v/>
      </c>
      <c r="J174" s="6">
        <f>IF(B174="","",SUMIFS(SF_Output!$S$1:$S$400,SF_Output!$AC$1:$AC$400,_xlfn.TEXTJOIN(",",TRUE,B174:E174),SF_Output!$Q$1:$Q$400,"One Time",SF_Output!$L$1:$L$400,"license fee")+SUMIFS(SF_Output!$S$1:$S$400,SF_Output!$AC$1:$AC$400,_xlfn.TEXTJOIN(",",TRUE,B174:E174),SF_Output!$Q$1:$Q$400,"One Time",SF_Output!$L$1:$L$400,"software license")+SUMIFS(SF_Output!$S$1:$S$400,SF_Output!$AC$1:$AC$400,_xlfn.TEXTJOIN(",",TRUE,B174:E174),SF_Output!$Q$1:$Q$400,"One Time",SF_Output!$L$1:$L$400,"hardware"))</f>
        <v>0</v>
      </c>
      <c r="K174" s="112" t="str">
        <f>IF(OR(B174=0,B174="",G174="hardware",J174=0),"",IF(AF174&lt;&gt;"exclusion",MAX(K$9,-((SUMIFS(SF_Output!$T$1:$T$400,SF_Output!$AC$1:$AC$400,_xlfn.TEXTJOIN(",",TRUE,$B174:$E174),SF_Output!$Q$1:$Q$400,"One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license"))/J174)))</f>
        <v/>
      </c>
      <c r="L174" s="6">
        <f t="shared" si="35"/>
        <v>0</v>
      </c>
      <c r="N174" s="6">
        <f>IF(B174="","",SUMIFS(SF_Output!$S$1:$S$400,SF_Output!$AC$1:$AC$400,_xlfn.TEXTJOIN(",",TRUE,B174:E174),SF_Output!$Q$1:$Q$400,"One Time",SF_Output!$L$1:$L$400,"professional service"))</f>
        <v>0</v>
      </c>
      <c r="O174" s="112" t="str">
        <f>IF(OR(B174=0,B174="",N174=0),"",IF(AF174&lt;&gt;"exclusion",MAX(O$9,-(SUMIFS(SF_Output!$T$1:$T$400,SF_Output!$AC$1:$AC$400,_xlfn.TEXTJOIN(",",TRUE,$B174:$E174),SF_Output!$Q$1:$Q$400,"One Time",SF_Output!$L$1:$L$400,"professional service"))/N174),-((SUMIFS(SF_Output!$T$1:$T$400,SF_Output!$AC$1:$AC$400,_xlfn.TEXTJOIN(",",TRUE,$B174:$E174),SF_Output!$Q$1:$Q$400,"One Time",SF_Output!$L$1:$L$400,"professional service")/N174))))</f>
        <v/>
      </c>
      <c r="P174" s="6">
        <f t="shared" si="36"/>
        <v>0</v>
      </c>
      <c r="R174" s="6">
        <f>IF(B174="","",SUMIFS(SF_Output!$S$1:$S$400,SF_Output!$AC$1:$AC$400,_xlfn.TEXTJOIN(",",TRUE,B174:E174),SF_Output!$Q$1:$Q$400,"yearly")+SUMIFS(SF_Output!$S$1:$S$400,SF_Output!$AC$1:$AC$400,_xlfn.TEXTJOIN(",",TRUE,B174:E174),SF_Output!$Q$1:$Q$400,"quarterly")*4)</f>
        <v>3500</v>
      </c>
      <c r="S174" s="112">
        <f>IF(OR(B174=0,B174="",G174="hardware",R174=0),"",IF(AF174&lt;&gt;"exclusion",MAX(S$9,-(SUMIFS(SF_Output!$T$1:$T$400,SF_Output!$AC$1:$AC$400,_xlfn.TEXTJOIN(",",TRUE,$B174:$E174),SF_Output!$Q$1:$Q$400,"yearly"))/R174),-((SUMIFS(SF_Output!$T$1:$T$400,SF_Output!$AC$1:$AC$400,_xlfn.TEXTJOIN(",",TRUE,$B174:$E174),SF_Output!$Q$1:$Q$400,"yearly")/R174))))</f>
        <v>0</v>
      </c>
      <c r="T174" s="6">
        <f t="shared" si="37"/>
        <v>3500</v>
      </c>
      <c r="V174" s="6" cm="1">
        <f t="array" ref="V174">_xlfn.IFS(B174="","",AND(B174&lt;&gt;"",H174=SF_Output!$Y$2,SUMIFS(SF_Output!$T$1:$T$400,SF_Output!$AC$1:$AC$400,_xlfn.TEXTJOIN(",",TRUE,B174:E174),SF_Output!$Q$1:$Q$400,"monthly")=0),(SUMIFS(SF_Output!$F$1:$F$400,SF_Output!$AC$1:$AC$400,_xlfn.TEXTJOIN(",",TRUE,B174:E174),SF_Output!$Q$1:$Q$400,"monthly")+SUMIFS(SF_Output!$G$1:$G$400,SF_Output!$AC$1:$AC$400,_xlfn.TEXTJOIN(",",TRUE,B174:E174),SF_Output!$Q$1:$Q$400,"monthly"))*H174,AND(B174&lt;&gt;"",H174=SF_Output!$Y$2,SUMIFS(SF_Output!$T$1:$T$400,SF_Output!$AC$1:$AC$400,_xlfn.TEXTJOIN(",",TRUE,B174:E174),SF_Output!$Q$1:$Q$400,"monthly")&lt;&gt;0),SUMIFS(SF_Output!$S$1:$S$400,SF_Output!$AC$1:$AC$400,_xlfn.TEXTJOIN(",",TRUE,B174:E174),SF_Output!$Q$1:$Q$400,"monthly"),AND(B174&lt;&gt;"",H174&lt;&gt;SF_Output!$Y$2),SUMIFS(SF_Output!$S$1:$S$400,SF_Output!$AC$1:$AC$400,_xlfn.TEXTJOIN(",",TRUE,B174:E174),SF_Output!$Q$1:$Q$400,"monthly"))</f>
        <v>0</v>
      </c>
      <c r="W174" s="112" t="str" cm="1">
        <f t="array" ref="W174">_xlfn.IFS(OR(B174=0,B174="",V174=0),"",AF174&lt;&gt;"exclusion",MAX($W$9,$W$7,(-(SUMIFS(SF_Output!$T$1:$T$400,SF_Output!$AC$1:$AC$400,_xlfn.TEXTJOIN(",",TRUE,$B174:$E174),SF_Output!$Q$1:$Q$400,"monthly"))/V174)),AF174="exclusion",-(SUMIFS(SF_Output!$T$1:$T$400,SF_Output!$AC$1:$AC$400,_xlfn.TEXTJOIN(",",TRUE,$B174:$E174),SF_Output!$Q$1:$Q$400,"monthly"))/V174)</f>
        <v/>
      </c>
      <c r="X174" s="6" cm="1">
        <f t="array" ref="X174">IFERROR(_xlfn.IFS(V174=0,0,V174="","",W174=0,V174,OR(V174&lt;&gt;0,V174&lt;&gt;""),H174*I174),V174*(1-W174))</f>
        <v>0</v>
      </c>
      <c r="Z174" s="6">
        <f>IFERROR(IF(B174="","",SUMIFS(Billing_Fallout!H:H,Billing_Fallout!N:N,B174)),0)</f>
        <v>0</v>
      </c>
      <c r="AA174" s="6">
        <f t="shared" si="38"/>
        <v>0</v>
      </c>
      <c r="AB174" s="6">
        <f>IFERROR(IF(B174="","",SUMIFS(Billing_Fallout!J:J,Billing_Fallout!N:N,B174)),0)</f>
        <v>0</v>
      </c>
      <c r="AD174" s="6">
        <f t="shared" si="39"/>
        <v>0</v>
      </c>
      <c r="AF174" t="str">
        <f>IFERROR(INDEX(H_Tables!$B$1:$B$1500,MATCH(INDEX(SF_Output!$J$1:$J$400,MATCH(B174,SF_Output!$M$1:$M$400,0)),H_Tables!$A$1:$A$1500,0)),"")</f>
        <v/>
      </c>
      <c r="AI174" s="119" t="str">
        <f t="shared" si="40"/>
        <v/>
      </c>
      <c r="AJ174" s="121">
        <f>IFERROR(INDEX(SF_Output!AD:AD,MATCH(_xlfn.TEXTJOIN(",",TRUE,B174:E174),SF_Output!AC1:AC400,0)),0.05)</f>
        <v>57</v>
      </c>
      <c r="AK174" t="str">
        <f>IF(SUMIFS(SF_Output!$F$1:$F$400,SF_Output!$AC$1:$AC$400,_xlfn.TEXTJOIN(",",TRUE,B174:E174))+SUMIFS(SF_Output!$G$1:$G$400,SF_Output!$AC$1:$AC$400,_xlfn.TEXTJOIN(",",TRUE,B174:E174))=0,"","PAP")</f>
        <v/>
      </c>
      <c r="AQ174" s="35"/>
      <c r="AR174" s="35" t="str" cm="1">
        <f t="array" ref="AR174">IFERROR(_xlfn.IFS(AND(E174*1=1,F174="Included"),"Change to Included",AND(E174*1=0,F174="Optional"),"Change to Optional",OR(B174="",F174="replaced"),""),"")</f>
        <v/>
      </c>
      <c r="AS174" s="35" t="str">
        <f t="shared" si="41"/>
        <v/>
      </c>
      <c r="AT174" s="35" t="str">
        <f t="shared" si="42"/>
        <v/>
      </c>
      <c r="AU174" s="35" t="str">
        <f t="shared" si="43"/>
        <v/>
      </c>
      <c r="AV174" s="35" t="str">
        <f t="shared" si="44"/>
        <v/>
      </c>
      <c r="AW174" s="35" t="str">
        <f t="shared" si="45"/>
        <v/>
      </c>
      <c r="AX174" s="35" t="str">
        <f t="shared" si="46"/>
        <v/>
      </c>
      <c r="AY174" s="35" t="str">
        <f t="shared" si="47"/>
        <v/>
      </c>
      <c r="AZ174" s="35" t="str">
        <f t="shared" si="48"/>
        <v/>
      </c>
      <c r="BA174" s="35" t="str">
        <f t="shared" si="49"/>
        <v/>
      </c>
      <c r="BB174" s="35" t="str">
        <f t="shared" si="50"/>
        <v/>
      </c>
      <c r="BC174" s="35"/>
      <c r="BE174" s="35">
        <f ca="1">INDEX(SF_Output!$AA$2:$AA$400,MATCH($B174,SF_Output!$M$2:$M$400,0))</f>
        <v>9</v>
      </c>
      <c r="BF174" s="35">
        <f ca="1">INDEX(SF_Output!$AB$2:$AB$400,MATCH($B174,SF_Output!$M$2:$M$400,0))</f>
        <v>2</v>
      </c>
    </row>
    <row r="175" spans="2:58" x14ac:dyDescent="0.25">
      <c r="B175" t="s">
        <v>2315</v>
      </c>
      <c r="C175" t="s">
        <v>2122</v>
      </c>
      <c r="D175" t="s">
        <v>2306</v>
      </c>
      <c r="E175" t="s">
        <v>2150</v>
      </c>
      <c r="F175" s="116" t="str">
        <f t="shared" si="34"/>
        <v>Optional</v>
      </c>
      <c r="G175" t="str">
        <f>IF(B175="","",INDEX(SF_Output!$K$1:$K$400,MATCH(B175,SF_Output!$M$1:$M$400,0)))</f>
        <v>jhaEnterprise Workflow</v>
      </c>
      <c r="H175" cm="1">
        <f t="array" ref="H175">_xlfn.IFS(B175="","",(SUMIFS(SF_Output!$F$1:$F$400,SF_Output!$AC$1:$AC$400,_xlfn.TEXTJOIN(",",TRUE,B175:E175))+SUMIFS(SF_Output!$G$1:$G$400,SF_Output!$AC$1:$AC$400,_xlfn.TEXTJOIN(",",TRUE,B175:E175)))&lt;&gt;0,SF_Output!$Y$2,INDEX(SF_Output!$F$1:$F$400,MATCH(_xlfn.TEXTJOIN(",",TRUE,B175:E175),SF_Output!$AC$1:$AC$400,0))=0,INDEX(SF_Output!$R$1:$R$400,MATCH(_xlfn.TEXTJOIN(",",TRUE,B175:E175),SF_Output!$AC$1:$AC$400,0)))</f>
        <v>1</v>
      </c>
      <c r="I175" s="125" t="str">
        <f>IFERROR(IF(AND(H175&gt;1,H175&lt;&gt;""),ROUND(SUMIFS(SF_Output!$S$1:$S$400,SF_Output!$AC$1:$AC$400,_xlfn.TEXTJOIN(",",TRUE,B175:E175),SF_Output!$Q$1:$Q$400,"monthly")*(1-W175)/H175,4),""),"")</f>
        <v/>
      </c>
      <c r="J175" s="6">
        <f>IF(B175="","",SUMIFS(SF_Output!$S$1:$S$400,SF_Output!$AC$1:$AC$400,_xlfn.TEXTJOIN(",",TRUE,B175:E175),SF_Output!$Q$1:$Q$400,"One Time",SF_Output!$L$1:$L$400,"license fee")+SUMIFS(SF_Output!$S$1:$S$400,SF_Output!$AC$1:$AC$400,_xlfn.TEXTJOIN(",",TRUE,B175:E175),SF_Output!$Q$1:$Q$400,"One Time",SF_Output!$L$1:$L$400,"software license")+SUMIFS(SF_Output!$S$1:$S$400,SF_Output!$AC$1:$AC$400,_xlfn.TEXTJOIN(",",TRUE,B175:E175),SF_Output!$Q$1:$Q$400,"One Time",SF_Output!$L$1:$L$400,"hardware"))</f>
        <v>0</v>
      </c>
      <c r="K175" s="112" t="str">
        <f>IF(OR(B175=0,B175="",G175="hardware",J175=0),"",IF(AF175&lt;&gt;"exclusion",MAX(K$9,-((SUMIFS(SF_Output!$T$1:$T$400,SF_Output!$AC$1:$AC$400,_xlfn.TEXTJOIN(",",TRUE,$B175:$E175),SF_Output!$Q$1:$Q$400,"One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license"))/J175)))</f>
        <v/>
      </c>
      <c r="L175" s="6">
        <f t="shared" si="35"/>
        <v>0</v>
      </c>
      <c r="N175" s="6">
        <f>IF(B175="","",SUMIFS(SF_Output!$S$1:$S$400,SF_Output!$AC$1:$AC$400,_xlfn.TEXTJOIN(",",TRUE,B175:E175),SF_Output!$Q$1:$Q$400,"One Time",SF_Output!$L$1:$L$400,"professional service"))</f>
        <v>15000</v>
      </c>
      <c r="O175" s="112">
        <f>IF(OR(B175=0,B175="",N175=0),"",IF(AF175&lt;&gt;"exclusion",MAX(O$9,-(SUMIFS(SF_Output!$T$1:$T$400,SF_Output!$AC$1:$AC$400,_xlfn.TEXTJOIN(",",TRUE,$B175:$E175),SF_Output!$Q$1:$Q$400,"One Time",SF_Output!$L$1:$L$400,"professional service"))/N175),-((SUMIFS(SF_Output!$T$1:$T$400,SF_Output!$AC$1:$AC$400,_xlfn.TEXTJOIN(",",TRUE,$B175:$E175),SF_Output!$Q$1:$Q$400,"One Time",SF_Output!$L$1:$L$400,"professional service")/N175))))</f>
        <v>0</v>
      </c>
      <c r="P175" s="6">
        <f t="shared" si="36"/>
        <v>15000</v>
      </c>
      <c r="R175" s="6">
        <f>IF(B175="","",SUMIFS(SF_Output!$S$1:$S$400,SF_Output!$AC$1:$AC$400,_xlfn.TEXTJOIN(",",TRUE,B175:E175),SF_Output!$Q$1:$Q$400,"yearly")+SUMIFS(SF_Output!$S$1:$S$400,SF_Output!$AC$1:$AC$400,_xlfn.TEXTJOIN(",",TRUE,B175:E175),SF_Output!$Q$1:$Q$400,"quarterly")*4)</f>
        <v>0</v>
      </c>
      <c r="S175" s="112" t="str">
        <f>IF(OR(B175=0,B175="",G175="hardware",R175=0),"",IF(AF175&lt;&gt;"exclusion",MAX(S$9,-(SUMIFS(SF_Output!$T$1:$T$400,SF_Output!$AC$1:$AC$400,_xlfn.TEXTJOIN(",",TRUE,$B175:$E175),SF_Output!$Q$1:$Q$400,"yearly"))/R175),-((SUMIFS(SF_Output!$T$1:$T$400,SF_Output!$AC$1:$AC$400,_xlfn.TEXTJOIN(",",TRUE,$B175:$E175),SF_Output!$Q$1:$Q$400,"yearly")/R175))))</f>
        <v/>
      </c>
      <c r="T175" s="6">
        <f t="shared" si="37"/>
        <v>0</v>
      </c>
      <c r="V175" s="6" cm="1">
        <f t="array" ref="V175">_xlfn.IFS(B175="","",AND(B175&lt;&gt;"",H175=SF_Output!$Y$2,SUMIFS(SF_Output!$T$1:$T$400,SF_Output!$AC$1:$AC$400,_xlfn.TEXTJOIN(",",TRUE,B175:E175),SF_Output!$Q$1:$Q$400,"monthly")=0),(SUMIFS(SF_Output!$F$1:$F$400,SF_Output!$AC$1:$AC$400,_xlfn.TEXTJOIN(",",TRUE,B175:E175),SF_Output!$Q$1:$Q$400,"monthly")+SUMIFS(SF_Output!$G$1:$G$400,SF_Output!$AC$1:$AC$400,_xlfn.TEXTJOIN(",",TRUE,B175:E175),SF_Output!$Q$1:$Q$400,"monthly"))*H175,AND(B175&lt;&gt;"",H175=SF_Output!$Y$2,SUMIFS(SF_Output!$T$1:$T$400,SF_Output!$AC$1:$AC$400,_xlfn.TEXTJOIN(",",TRUE,B175:E175),SF_Output!$Q$1:$Q$400,"monthly")&lt;&gt;0),SUMIFS(SF_Output!$S$1:$S$400,SF_Output!$AC$1:$AC$400,_xlfn.TEXTJOIN(",",TRUE,B175:E175),SF_Output!$Q$1:$Q$400,"monthly"),AND(B175&lt;&gt;"",H175&lt;&gt;SF_Output!$Y$2),SUMIFS(SF_Output!$S$1:$S$400,SF_Output!$AC$1:$AC$400,_xlfn.TEXTJOIN(",",TRUE,B175:E175),SF_Output!$Q$1:$Q$400,"monthly"))</f>
        <v>0</v>
      </c>
      <c r="W175" s="112" t="str" cm="1">
        <f t="array" ref="W175">_xlfn.IFS(OR(B175=0,B175="",V175=0),"",AF175&lt;&gt;"exclusion",MAX($W$9,$W$7,(-(SUMIFS(SF_Output!$T$1:$T$400,SF_Output!$AC$1:$AC$400,_xlfn.TEXTJOIN(",",TRUE,$B175:$E175),SF_Output!$Q$1:$Q$400,"monthly"))/V175)),AF175="exclusion",-(SUMIFS(SF_Output!$T$1:$T$400,SF_Output!$AC$1:$AC$400,_xlfn.TEXTJOIN(",",TRUE,$B175:$E175),SF_Output!$Q$1:$Q$400,"monthly"))/V175)</f>
        <v/>
      </c>
      <c r="X175" s="6" cm="1">
        <f t="array" ref="X175">IFERROR(_xlfn.IFS(V175=0,0,V175="","",W175=0,V175,OR(V175&lt;&gt;0,V175&lt;&gt;""),H175*I175),V175*(1-W175))</f>
        <v>0</v>
      </c>
      <c r="Z175" s="6">
        <f>IFERROR(IF(B175="","",SUMIFS(Billing_Fallout!H:H,Billing_Fallout!N:N,B175)),0)</f>
        <v>0</v>
      </c>
      <c r="AA175" s="6">
        <f t="shared" si="38"/>
        <v>0</v>
      </c>
      <c r="AB175" s="6">
        <f>IFERROR(IF(B175="","",SUMIFS(Billing_Fallout!J:J,Billing_Fallout!N:N,B175)),0)</f>
        <v>0</v>
      </c>
      <c r="AD175" s="6">
        <f t="shared" si="39"/>
        <v>0</v>
      </c>
      <c r="AF175" t="str">
        <f>IFERROR(INDEX(H_Tables!$B$1:$B$1500,MATCH(INDEX(SF_Output!$J$1:$J$400,MATCH(B175,SF_Output!$M$1:$M$400,0)),H_Tables!$A$1:$A$1500,0)),"")</f>
        <v/>
      </c>
      <c r="AI175" s="119" t="str">
        <f t="shared" si="40"/>
        <v/>
      </c>
      <c r="AJ175" s="121">
        <f>IFERROR(INDEX(SF_Output!AD:AD,MATCH(_xlfn.TEXTJOIN(",",TRUE,B175:E175),SF_Output!AC1:AC400,0)),0.05)</f>
        <v>139</v>
      </c>
      <c r="AK175" t="str">
        <f>IF(SUMIFS(SF_Output!$F$1:$F$400,SF_Output!$AC$1:$AC$400,_xlfn.TEXTJOIN(",",TRUE,B175:E175))+SUMIFS(SF_Output!$G$1:$G$400,SF_Output!$AC$1:$AC$400,_xlfn.TEXTJOIN(",",TRUE,B175:E175))=0,"","PAP")</f>
        <v/>
      </c>
      <c r="AQ175" s="35"/>
      <c r="AR175" s="35" t="str" cm="1">
        <f t="array" ref="AR175">IFERROR(_xlfn.IFS(AND(E175*1=1,F175="Included"),"Change to Included",AND(E175*1=0,F175="Optional"),"Change to Optional",OR(B175="",F175="replaced"),""),"")</f>
        <v/>
      </c>
      <c r="AS175" s="35" t="str">
        <f t="shared" si="41"/>
        <v/>
      </c>
      <c r="AT175" s="35" t="str">
        <f t="shared" si="42"/>
        <v/>
      </c>
      <c r="AU175" s="35" t="str">
        <f t="shared" si="43"/>
        <v/>
      </c>
      <c r="AV175" s="35" t="str">
        <f t="shared" si="44"/>
        <v/>
      </c>
      <c r="AW175" s="35" t="str">
        <f t="shared" si="45"/>
        <v/>
      </c>
      <c r="AX175" s="35" t="str">
        <f t="shared" si="46"/>
        <v/>
      </c>
      <c r="AY175" s="35" t="str">
        <f t="shared" si="47"/>
        <v/>
      </c>
      <c r="AZ175" s="35" t="str">
        <f t="shared" si="48"/>
        <v/>
      </c>
      <c r="BA175" s="35" t="str">
        <f t="shared" si="49"/>
        <v/>
      </c>
      <c r="BB175" s="35" t="str">
        <f t="shared" si="50"/>
        <v/>
      </c>
      <c r="BC175" s="35"/>
      <c r="BE175" s="35">
        <f ca="1">INDEX(SF_Output!$AA$2:$AA$400,MATCH($B175,SF_Output!$M$2:$M$400,0))</f>
        <v>9</v>
      </c>
      <c r="BF175" s="35">
        <f ca="1">INDEX(SF_Output!$AB$2:$AB$400,MATCH($B175,SF_Output!$M$2:$M$400,0))</f>
        <v>2</v>
      </c>
    </row>
    <row r="176" spans="2:58" x14ac:dyDescent="0.25">
      <c r="B176" t="s">
        <v>2318</v>
      </c>
      <c r="C176" t="s">
        <v>2122</v>
      </c>
      <c r="D176" t="s">
        <v>2306</v>
      </c>
      <c r="E176" t="s">
        <v>2150</v>
      </c>
      <c r="F176" s="116" t="str">
        <f t="shared" si="34"/>
        <v>Optional</v>
      </c>
      <c r="G176" t="str">
        <f>IF(B176="","",INDEX(SF_Output!$K$1:$K$400,MATCH(B176,SF_Output!$M$1:$M$400,0)))</f>
        <v>jhaEnterprise Workflow</v>
      </c>
      <c r="H176" cm="1">
        <f t="array" ref="H176">_xlfn.IFS(B176="","",(SUMIFS(SF_Output!$F$1:$F$400,SF_Output!$AC$1:$AC$400,_xlfn.TEXTJOIN(",",TRUE,B176:E176))+SUMIFS(SF_Output!$G$1:$G$400,SF_Output!$AC$1:$AC$400,_xlfn.TEXTJOIN(",",TRUE,B176:E176)))&lt;&gt;0,SF_Output!$Y$2,INDEX(SF_Output!$F$1:$F$400,MATCH(_xlfn.TEXTJOIN(",",TRUE,B176:E176),SF_Output!$AC$1:$AC$400,0))=0,INDEX(SF_Output!$R$1:$R$400,MATCH(_xlfn.TEXTJOIN(",",TRUE,B176:E176),SF_Output!$AC$1:$AC$400,0)))</f>
        <v>1</v>
      </c>
      <c r="I176" s="125" t="str">
        <f>IFERROR(IF(AND(H176&gt;1,H176&lt;&gt;""),ROUND(SUMIFS(SF_Output!$S$1:$S$400,SF_Output!$AC$1:$AC$400,_xlfn.TEXTJOIN(",",TRUE,B176:E176),SF_Output!$Q$1:$Q$400,"monthly")*(1-W176)/H176,4),""),"")</f>
        <v/>
      </c>
      <c r="J176" s="6">
        <f>IF(B176="","",SUMIFS(SF_Output!$S$1:$S$400,SF_Output!$AC$1:$AC$400,_xlfn.TEXTJOIN(",",TRUE,B176:E176),SF_Output!$Q$1:$Q$400,"One Time",SF_Output!$L$1:$L$400,"license fee")+SUMIFS(SF_Output!$S$1:$S$400,SF_Output!$AC$1:$AC$400,_xlfn.TEXTJOIN(",",TRUE,B176:E176),SF_Output!$Q$1:$Q$400,"One Time",SF_Output!$L$1:$L$400,"software license")+SUMIFS(SF_Output!$S$1:$S$400,SF_Output!$AC$1:$AC$400,_xlfn.TEXTJOIN(",",TRUE,B176:E176),SF_Output!$Q$1:$Q$400,"One Time",SF_Output!$L$1:$L$400,"hardware"))</f>
        <v>0</v>
      </c>
      <c r="K176" s="112" t="str">
        <f>IF(OR(B176=0,B176="",G176="hardware",J176=0),"",IF(AF176&lt;&gt;"exclusion",MAX(K$9,-((SUMIFS(SF_Output!$T$1:$T$400,SF_Output!$AC$1:$AC$400,_xlfn.TEXTJOIN(",",TRUE,$B176:$E176),SF_Output!$Q$1:$Q$400,"One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license"))/J176)))</f>
        <v/>
      </c>
      <c r="L176" s="6">
        <f t="shared" si="35"/>
        <v>0</v>
      </c>
      <c r="N176" s="6">
        <f>IF(B176="","",SUMIFS(SF_Output!$S$1:$S$400,SF_Output!$AC$1:$AC$400,_xlfn.TEXTJOIN(",",TRUE,B176:E176),SF_Output!$Q$1:$Q$400,"One Time",SF_Output!$L$1:$L$400,"professional service"))</f>
        <v>25000</v>
      </c>
      <c r="O176" s="112">
        <f>IF(OR(B176=0,B176="",N176=0),"",IF(AF176&lt;&gt;"exclusion",MAX(O$9,-(SUMIFS(SF_Output!$T$1:$T$400,SF_Output!$AC$1:$AC$400,_xlfn.TEXTJOIN(",",TRUE,$B176:$E176),SF_Output!$Q$1:$Q$400,"One Time",SF_Output!$L$1:$L$400,"professional service"))/N176),-((SUMIFS(SF_Output!$T$1:$T$400,SF_Output!$AC$1:$AC$400,_xlfn.TEXTJOIN(",",TRUE,$B176:$E176),SF_Output!$Q$1:$Q$400,"One Time",SF_Output!$L$1:$L$400,"professional service")/N176))))</f>
        <v>0</v>
      </c>
      <c r="P176" s="6">
        <f t="shared" si="36"/>
        <v>25000</v>
      </c>
      <c r="R176" s="6">
        <f>IF(B176="","",SUMIFS(SF_Output!$S$1:$S$400,SF_Output!$AC$1:$AC$400,_xlfn.TEXTJOIN(",",TRUE,B176:E176),SF_Output!$Q$1:$Q$400,"yearly")+SUMIFS(SF_Output!$S$1:$S$400,SF_Output!$AC$1:$AC$400,_xlfn.TEXTJOIN(",",TRUE,B176:E176),SF_Output!$Q$1:$Q$400,"quarterly")*4)</f>
        <v>0</v>
      </c>
      <c r="S176" s="112" t="str">
        <f>IF(OR(B176=0,B176="",G176="hardware",R176=0),"",IF(AF176&lt;&gt;"exclusion",MAX(S$9,-(SUMIFS(SF_Output!$T$1:$T$400,SF_Output!$AC$1:$AC$400,_xlfn.TEXTJOIN(",",TRUE,$B176:$E176),SF_Output!$Q$1:$Q$400,"yearly"))/R176),-((SUMIFS(SF_Output!$T$1:$T$400,SF_Output!$AC$1:$AC$400,_xlfn.TEXTJOIN(",",TRUE,$B176:$E176),SF_Output!$Q$1:$Q$400,"yearly")/R176))))</f>
        <v/>
      </c>
      <c r="T176" s="6">
        <f t="shared" si="37"/>
        <v>0</v>
      </c>
      <c r="V176" s="6" cm="1">
        <f t="array" ref="V176">_xlfn.IFS(B176="","",AND(B176&lt;&gt;"",H176=SF_Output!$Y$2,SUMIFS(SF_Output!$T$1:$T$400,SF_Output!$AC$1:$AC$400,_xlfn.TEXTJOIN(",",TRUE,B176:E176),SF_Output!$Q$1:$Q$400,"monthly")=0),(SUMIFS(SF_Output!$F$1:$F$400,SF_Output!$AC$1:$AC$400,_xlfn.TEXTJOIN(",",TRUE,B176:E176),SF_Output!$Q$1:$Q$400,"monthly")+SUMIFS(SF_Output!$G$1:$G$400,SF_Output!$AC$1:$AC$400,_xlfn.TEXTJOIN(",",TRUE,B176:E176),SF_Output!$Q$1:$Q$400,"monthly"))*H176,AND(B176&lt;&gt;"",H176=SF_Output!$Y$2,SUMIFS(SF_Output!$T$1:$T$400,SF_Output!$AC$1:$AC$400,_xlfn.TEXTJOIN(",",TRUE,B176:E176),SF_Output!$Q$1:$Q$400,"monthly")&lt;&gt;0),SUMIFS(SF_Output!$S$1:$S$400,SF_Output!$AC$1:$AC$400,_xlfn.TEXTJOIN(",",TRUE,B176:E176),SF_Output!$Q$1:$Q$400,"monthly"),AND(B176&lt;&gt;"",H176&lt;&gt;SF_Output!$Y$2),SUMIFS(SF_Output!$S$1:$S$400,SF_Output!$AC$1:$AC$400,_xlfn.TEXTJOIN(",",TRUE,B176:E176),SF_Output!$Q$1:$Q$400,"monthly"))</f>
        <v>0</v>
      </c>
      <c r="W176" s="112" t="str" cm="1">
        <f t="array" ref="W176">_xlfn.IFS(OR(B176=0,B176="",V176=0),"",AF176&lt;&gt;"exclusion",MAX($W$9,$W$7,(-(SUMIFS(SF_Output!$T$1:$T$400,SF_Output!$AC$1:$AC$400,_xlfn.TEXTJOIN(",",TRUE,$B176:$E176),SF_Output!$Q$1:$Q$400,"monthly"))/V176)),AF176="exclusion",-(SUMIFS(SF_Output!$T$1:$T$400,SF_Output!$AC$1:$AC$400,_xlfn.TEXTJOIN(",",TRUE,$B176:$E176),SF_Output!$Q$1:$Q$400,"monthly"))/V176)</f>
        <v/>
      </c>
      <c r="X176" s="6" cm="1">
        <f t="array" ref="X176">IFERROR(_xlfn.IFS(V176=0,0,V176="","",W176=0,V176,OR(V176&lt;&gt;0,V176&lt;&gt;""),H176*I176),V176*(1-W176))</f>
        <v>0</v>
      </c>
      <c r="Z176" s="6">
        <f>IFERROR(IF(B176="","",SUMIFS(Billing_Fallout!H:H,Billing_Fallout!N:N,B176)),0)</f>
        <v>0</v>
      </c>
      <c r="AA176" s="6">
        <f t="shared" si="38"/>
        <v>0</v>
      </c>
      <c r="AB176" s="6">
        <f>IFERROR(IF(B176="","",SUMIFS(Billing_Fallout!J:J,Billing_Fallout!N:N,B176)),0)</f>
        <v>0</v>
      </c>
      <c r="AD176" s="6">
        <f t="shared" si="39"/>
        <v>0</v>
      </c>
      <c r="AF176" t="str">
        <f>IFERROR(INDEX(H_Tables!$B$1:$B$1500,MATCH(INDEX(SF_Output!$J$1:$J$400,MATCH(B176,SF_Output!$M$1:$M$400,0)),H_Tables!$A$1:$A$1500,0)),"")</f>
        <v/>
      </c>
      <c r="AI176" s="119" t="str">
        <f t="shared" si="40"/>
        <v/>
      </c>
      <c r="AJ176" s="121">
        <f>IFERROR(INDEX(SF_Output!AD:AD,MATCH(_xlfn.TEXTJOIN(",",TRUE,B176:E176),SF_Output!AC1:AC400,0)),0.05)</f>
        <v>140</v>
      </c>
      <c r="AK176" t="str">
        <f>IF(SUMIFS(SF_Output!$F$1:$F$400,SF_Output!$AC$1:$AC$400,_xlfn.TEXTJOIN(",",TRUE,B176:E176))+SUMIFS(SF_Output!$G$1:$G$400,SF_Output!$AC$1:$AC$400,_xlfn.TEXTJOIN(",",TRUE,B176:E176))=0,"","PAP")</f>
        <v/>
      </c>
      <c r="AQ176" s="35"/>
      <c r="AR176" s="35" t="str" cm="1">
        <f t="array" ref="AR176">IFERROR(_xlfn.IFS(AND(E176*1=1,F176="Included"),"Change to Included",AND(E176*1=0,F176="Optional"),"Change to Optional",OR(B176="",F176="replaced"),""),"")</f>
        <v/>
      </c>
      <c r="AS176" s="35" t="str">
        <f t="shared" si="41"/>
        <v/>
      </c>
      <c r="AT176" s="35" t="str">
        <f t="shared" si="42"/>
        <v/>
      </c>
      <c r="AU176" s="35" t="str">
        <f t="shared" si="43"/>
        <v/>
      </c>
      <c r="AV176" s="35" t="str">
        <f t="shared" si="44"/>
        <v/>
      </c>
      <c r="AW176" s="35" t="str">
        <f t="shared" si="45"/>
        <v/>
      </c>
      <c r="AX176" s="35" t="str">
        <f t="shared" si="46"/>
        <v/>
      </c>
      <c r="AY176" s="35" t="str">
        <f t="shared" si="47"/>
        <v/>
      </c>
      <c r="AZ176" s="35" t="str">
        <f t="shared" si="48"/>
        <v/>
      </c>
      <c r="BA176" s="35" t="str">
        <f t="shared" si="49"/>
        <v/>
      </c>
      <c r="BB176" s="35" t="str">
        <f t="shared" si="50"/>
        <v/>
      </c>
      <c r="BC176" s="35"/>
      <c r="BE176" s="35">
        <f ca="1">INDEX(SF_Output!$AA$2:$AA$400,MATCH($B176,SF_Output!$M$2:$M$400,0))</f>
        <v>9</v>
      </c>
      <c r="BF176" s="35">
        <f ca="1">INDEX(SF_Output!$AB$2:$AB$400,MATCH($B176,SF_Output!$M$2:$M$400,0))</f>
        <v>2</v>
      </c>
    </row>
    <row r="177" spans="2:58" x14ac:dyDescent="0.25">
      <c r="B177" t="s">
        <v>1300</v>
      </c>
      <c r="C177" t="s">
        <v>2122</v>
      </c>
      <c r="D177" t="s">
        <v>2123</v>
      </c>
      <c r="E177" t="s">
        <v>2124</v>
      </c>
      <c r="F177" s="116" t="str">
        <f t="shared" si="34"/>
        <v>Included</v>
      </c>
      <c r="G177" t="str">
        <f>IF(B177="","",INDEX(SF_Output!$K$1:$K$400,MATCH(B177,SF_Output!$M$1:$M$400,0)))</f>
        <v>Know-It-All</v>
      </c>
      <c r="H177" cm="1">
        <f t="array" ref="H177">_xlfn.IFS(B177="","",(SUMIFS(SF_Output!$F$1:$F$400,SF_Output!$AC$1:$AC$400,_xlfn.TEXTJOIN(",",TRUE,B177:E177))+SUMIFS(SF_Output!$G$1:$G$400,SF_Output!$AC$1:$AC$400,_xlfn.TEXTJOIN(",",TRUE,B177:E177)))&lt;&gt;0,SF_Output!$Y$2,INDEX(SF_Output!$F$1:$F$400,MATCH(_xlfn.TEXTJOIN(",",TRUE,B177:E177),SF_Output!$AC$1:$AC$400,0))=0,INDEX(SF_Output!$R$1:$R$400,MATCH(_xlfn.TEXTJOIN(",",TRUE,B177:E177),SF_Output!$AC$1:$AC$400,0)))</f>
        <v>1</v>
      </c>
      <c r="I177" s="125" t="str">
        <f>IFERROR(IF(AND(H177&gt;1,H177&lt;&gt;""),ROUND(SUMIFS(SF_Output!$S$1:$S$400,SF_Output!$AC$1:$AC$400,_xlfn.TEXTJOIN(",",TRUE,B177:E177),SF_Output!$Q$1:$Q$400,"monthly")*(1-W177)/H177,4),""),"")</f>
        <v/>
      </c>
      <c r="J177" s="6">
        <f>IF(B177="","",SUMIFS(SF_Output!$S$1:$S$400,SF_Output!$AC$1:$AC$400,_xlfn.TEXTJOIN(",",TRUE,B177:E177),SF_Output!$Q$1:$Q$400,"One Time",SF_Output!$L$1:$L$400,"license fee")+SUMIFS(SF_Output!$S$1:$S$400,SF_Output!$AC$1:$AC$400,_xlfn.TEXTJOIN(",",TRUE,B177:E177),SF_Output!$Q$1:$Q$400,"One Time",SF_Output!$L$1:$L$400,"software license")+SUMIFS(SF_Output!$S$1:$S$400,SF_Output!$AC$1:$AC$400,_xlfn.TEXTJOIN(",",TRUE,B177:E177),SF_Output!$Q$1:$Q$400,"One Time",SF_Output!$L$1:$L$400,"hardware"))</f>
        <v>0</v>
      </c>
      <c r="K177" s="112" t="str">
        <f>IF(OR(B177=0,B177="",G177="hardware",J177=0),"",IF(AF177&lt;&gt;"exclusion",MAX(K$9,-((SUMIFS(SF_Output!$T$1:$T$400,SF_Output!$AC$1:$AC$400,_xlfn.TEXTJOIN(",",TRUE,$B177:$E177),SF_Output!$Q$1:$Q$400,"One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license"))/J177)))</f>
        <v/>
      </c>
      <c r="L177" s="6">
        <f t="shared" si="35"/>
        <v>0</v>
      </c>
      <c r="N177" s="6">
        <f>IF(B177="","",SUMIFS(SF_Output!$S$1:$S$400,SF_Output!$AC$1:$AC$400,_xlfn.TEXTJOIN(",",TRUE,B177:E177),SF_Output!$Q$1:$Q$400,"One Time",SF_Output!$L$1:$L$400,"professional service"))</f>
        <v>0</v>
      </c>
      <c r="O177" s="112" t="str">
        <f>IF(OR(B177=0,B177="",N177=0),"",IF(AF177&lt;&gt;"exclusion",MAX(O$9,-(SUMIFS(SF_Output!$T$1:$T$400,SF_Output!$AC$1:$AC$400,_xlfn.TEXTJOIN(",",TRUE,$B177:$E177),SF_Output!$Q$1:$Q$400,"One Time",SF_Output!$L$1:$L$400,"professional service"))/N177),-((SUMIFS(SF_Output!$T$1:$T$400,SF_Output!$AC$1:$AC$400,_xlfn.TEXTJOIN(",",TRUE,$B177:$E177),SF_Output!$Q$1:$Q$400,"One Time",SF_Output!$L$1:$L$400,"professional service")/N177))))</f>
        <v/>
      </c>
      <c r="P177" s="6">
        <f t="shared" si="36"/>
        <v>0</v>
      </c>
      <c r="R177" s="6">
        <f>IF(B177="","",SUMIFS(SF_Output!$S$1:$S$400,SF_Output!$AC$1:$AC$400,_xlfn.TEXTJOIN(",",TRUE,B177:E177),SF_Output!$Q$1:$Q$400,"yearly")+SUMIFS(SF_Output!$S$1:$S$400,SF_Output!$AC$1:$AC$400,_xlfn.TEXTJOIN(",",TRUE,B177:E177),SF_Output!$Q$1:$Q$400,"quarterly")*4)</f>
        <v>3500</v>
      </c>
      <c r="S177" s="112">
        <f>IF(OR(B177=0,B177="",G177="hardware",R177=0),"",IF(AF177&lt;&gt;"exclusion",MAX(S$9,-(SUMIFS(SF_Output!$T$1:$T$400,SF_Output!$AC$1:$AC$400,_xlfn.TEXTJOIN(",",TRUE,$B177:$E177),SF_Output!$Q$1:$Q$400,"yearly"))/R177),-((SUMIFS(SF_Output!$T$1:$T$400,SF_Output!$AC$1:$AC$400,_xlfn.TEXTJOIN(",",TRUE,$B177:$E177),SF_Output!$Q$1:$Q$400,"yearly")/R177))))</f>
        <v>0</v>
      </c>
      <c r="T177" s="6">
        <f t="shared" si="37"/>
        <v>3500</v>
      </c>
      <c r="V177" s="6" cm="1">
        <f t="array" ref="V177">_xlfn.IFS(B177="","",AND(B177&lt;&gt;"",H177=SF_Output!$Y$2,SUMIFS(SF_Output!$T$1:$T$400,SF_Output!$AC$1:$AC$400,_xlfn.TEXTJOIN(",",TRUE,B177:E177),SF_Output!$Q$1:$Q$400,"monthly")=0),(SUMIFS(SF_Output!$F$1:$F$400,SF_Output!$AC$1:$AC$400,_xlfn.TEXTJOIN(",",TRUE,B177:E177),SF_Output!$Q$1:$Q$400,"monthly")+SUMIFS(SF_Output!$G$1:$G$400,SF_Output!$AC$1:$AC$400,_xlfn.TEXTJOIN(",",TRUE,B177:E177),SF_Output!$Q$1:$Q$400,"monthly"))*H177,AND(B177&lt;&gt;"",H177=SF_Output!$Y$2,SUMIFS(SF_Output!$T$1:$T$400,SF_Output!$AC$1:$AC$400,_xlfn.TEXTJOIN(",",TRUE,B177:E177),SF_Output!$Q$1:$Q$400,"monthly")&lt;&gt;0),SUMIFS(SF_Output!$S$1:$S$400,SF_Output!$AC$1:$AC$400,_xlfn.TEXTJOIN(",",TRUE,B177:E177),SF_Output!$Q$1:$Q$400,"monthly"),AND(B177&lt;&gt;"",H177&lt;&gt;SF_Output!$Y$2),SUMIFS(SF_Output!$S$1:$S$400,SF_Output!$AC$1:$AC$400,_xlfn.TEXTJOIN(",",TRUE,B177:E177),SF_Output!$Q$1:$Q$400,"monthly"))</f>
        <v>0</v>
      </c>
      <c r="W177" s="112" t="str" cm="1">
        <f t="array" ref="W177">_xlfn.IFS(OR(B177=0,B177="",V177=0),"",AF177&lt;&gt;"exclusion",MAX($W$9,$W$7,(-(SUMIFS(SF_Output!$T$1:$T$400,SF_Output!$AC$1:$AC$400,_xlfn.TEXTJOIN(",",TRUE,$B177:$E177),SF_Output!$Q$1:$Q$400,"monthly"))/V177)),AF177="exclusion",-(SUMIFS(SF_Output!$T$1:$T$400,SF_Output!$AC$1:$AC$400,_xlfn.TEXTJOIN(",",TRUE,$B177:$E177),SF_Output!$Q$1:$Q$400,"monthly"))/V177)</f>
        <v/>
      </c>
      <c r="X177" s="6" cm="1">
        <f t="array" ref="X177">IFERROR(_xlfn.IFS(V177=0,0,V177="","",W177=0,V177,OR(V177&lt;&gt;0,V177&lt;&gt;""),H177*I177),V177*(1-W177))</f>
        <v>0</v>
      </c>
      <c r="Z177" s="6">
        <f>IFERROR(IF(B177="","",SUMIFS(Billing_Fallout!H:H,Billing_Fallout!N:N,B177)),0)</f>
        <v>0</v>
      </c>
      <c r="AA177" s="6">
        <f t="shared" si="38"/>
        <v>0</v>
      </c>
      <c r="AB177" s="6">
        <f>IFERROR(IF(B177="","",SUMIFS(Billing_Fallout!J:J,Billing_Fallout!N:N,B177)),0)</f>
        <v>0</v>
      </c>
      <c r="AD177" s="6">
        <f t="shared" si="39"/>
        <v>0</v>
      </c>
      <c r="AF177" t="str">
        <f>IFERROR(INDEX(H_Tables!$B$1:$B$1500,MATCH(INDEX(SF_Output!$J$1:$J$400,MATCH(B177,SF_Output!$M$1:$M$400,0)),H_Tables!$A$1:$A$1500,0)),"")</f>
        <v>Exclusion</v>
      </c>
      <c r="AI177" s="119" t="str">
        <f t="shared" si="40"/>
        <v/>
      </c>
      <c r="AJ177" s="121">
        <f>IFERROR(INDEX(SF_Output!AD:AD,MATCH(_xlfn.TEXTJOIN(",",TRUE,B177:E177),SF_Output!AC1:AC400,0)),0.05)</f>
        <v>141</v>
      </c>
      <c r="AK177" t="str">
        <f>IF(SUMIFS(SF_Output!$F$1:$F$400,SF_Output!$AC$1:$AC$400,_xlfn.TEXTJOIN(",",TRUE,B177:E177))+SUMIFS(SF_Output!$G$1:$G$400,SF_Output!$AC$1:$AC$400,_xlfn.TEXTJOIN(",",TRUE,B177:E177))=0,"","PAP")</f>
        <v/>
      </c>
      <c r="AQ177" s="35"/>
      <c r="AR177" s="35" t="str" cm="1">
        <f t="array" ref="AR177">IFERROR(_xlfn.IFS(AND(E177*1=1,F177="Included"),"Change to Included",AND(E177*1=0,F177="Optional"),"Change to Optional",OR(B177="",F177="replaced"),""),"")</f>
        <v/>
      </c>
      <c r="AS177" s="35" t="str">
        <f t="shared" si="41"/>
        <v/>
      </c>
      <c r="AT177" s="35" t="str">
        <f t="shared" si="42"/>
        <v/>
      </c>
      <c r="AU177" s="35" t="str">
        <f t="shared" si="43"/>
        <v/>
      </c>
      <c r="AV177" s="35" t="str">
        <f t="shared" si="44"/>
        <v/>
      </c>
      <c r="AW177" s="35" t="str">
        <f t="shared" si="45"/>
        <v/>
      </c>
      <c r="AX177" s="35" t="str">
        <f t="shared" si="46"/>
        <v/>
      </c>
      <c r="AY177" s="35" t="str">
        <f t="shared" si="47"/>
        <v/>
      </c>
      <c r="AZ177" s="35" t="str">
        <f t="shared" si="48"/>
        <v/>
      </c>
      <c r="BA177" s="35" t="str">
        <f t="shared" si="49"/>
        <v/>
      </c>
      <c r="BB177" s="35" t="str">
        <f t="shared" si="50"/>
        <v/>
      </c>
      <c r="BC177" s="35"/>
      <c r="BE177" s="35">
        <f ca="1">INDEX(SF_Output!$AA$2:$AA$400,MATCH($B177,SF_Output!$M$2:$M$400,0))</f>
        <v>9</v>
      </c>
      <c r="BF177" s="35">
        <f ca="1">INDEX(SF_Output!$AB$2:$AB$400,MATCH($B177,SF_Output!$M$2:$M$400,0))</f>
        <v>1</v>
      </c>
    </row>
    <row r="178" spans="2:58" x14ac:dyDescent="0.25">
      <c r="B178" t="s">
        <v>2474</v>
      </c>
      <c r="C178" t="s">
        <v>2474</v>
      </c>
      <c r="D178" t="s">
        <v>2474</v>
      </c>
      <c r="E178" t="s">
        <v>2474</v>
      </c>
      <c r="F178" s="116" t="str">
        <f t="shared" si="34"/>
        <v/>
      </c>
      <c r="G178" t="str">
        <f>IF(B178="","",INDEX(SF_Output!$K$1:$K$400,MATCH(B178,SF_Output!$M$1:$M$400,0)))</f>
        <v/>
      </c>
      <c r="H178" t="str" cm="1">
        <f t="array" ref="H178">_xlfn.IFS(B178="","",(SUMIFS(SF_Output!$F$1:$F$400,SF_Output!$AC$1:$AC$400,_xlfn.TEXTJOIN(",",TRUE,B178:E178))+SUMIFS(SF_Output!$G$1:$G$400,SF_Output!$AC$1:$AC$400,_xlfn.TEXTJOIN(",",TRUE,B178:E178)))&lt;&gt;0,SF_Output!$Y$2,INDEX(SF_Output!$F$1:$F$400,MATCH(_xlfn.TEXTJOIN(",",TRUE,B178:E178),SF_Output!$AC$1:$AC$400,0))=0,INDEX(SF_Output!$R$1:$R$400,MATCH(_xlfn.TEXTJOIN(",",TRUE,B178:E178),SF_Output!$AC$1:$AC$400,0)))</f>
        <v/>
      </c>
      <c r="I178" s="125" t="str">
        <f>IFERROR(IF(AND(H178&gt;1,H178&lt;&gt;""),ROUND(SUMIFS(SF_Output!$S$1:$S$400,SF_Output!$AC$1:$AC$400,_xlfn.TEXTJOIN(",",TRUE,B178:E178),SF_Output!$Q$1:$Q$400,"monthly")*(1-W178)/H178,4),""),"")</f>
        <v/>
      </c>
      <c r="J178" s="6" t="str">
        <f>IF(B178="","",SUMIFS(SF_Output!$S$1:$S$400,SF_Output!$AC$1:$AC$400,_xlfn.TEXTJOIN(",",TRUE,B178:E178),SF_Output!$Q$1:$Q$400,"One Time",SF_Output!$L$1:$L$400,"license fee")+SUMIFS(SF_Output!$S$1:$S$400,SF_Output!$AC$1:$AC$400,_xlfn.TEXTJOIN(",",TRUE,B178:E178),SF_Output!$Q$1:$Q$400,"One Time",SF_Output!$L$1:$L$400,"software license")+SUMIFS(SF_Output!$S$1:$S$400,SF_Output!$AC$1:$AC$400,_xlfn.TEXTJOIN(",",TRUE,B178:E178),SF_Output!$Q$1:$Q$400,"One Time",SF_Output!$L$1:$L$400,"hardware"))</f>
        <v/>
      </c>
      <c r="K178" s="112" t="str">
        <f>IF(OR(B178=0,B178="",G178="hardware",J178=0),"",IF(AF178&lt;&gt;"exclusion",MAX(K$9,-((SUMIFS(SF_Output!$T$1:$T$400,SF_Output!$AC$1:$AC$400,_xlfn.TEXTJOIN(",",TRUE,$B178:$E178),SF_Output!$Q$1:$Q$400,"One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license"))/J178)))</f>
        <v/>
      </c>
      <c r="L178" s="6" t="str">
        <f t="shared" si="35"/>
        <v/>
      </c>
      <c r="N178" s="6" t="str">
        <f>IF(B178="","",SUMIFS(SF_Output!$S$1:$S$400,SF_Output!$AC$1:$AC$400,_xlfn.TEXTJOIN(",",TRUE,B178:E178),SF_Output!$Q$1:$Q$400,"One Time",SF_Output!$L$1:$L$400,"professional service"))</f>
        <v/>
      </c>
      <c r="O178" s="112" t="str">
        <f>IF(OR(B178=0,B178="",N178=0),"",IF(AF178&lt;&gt;"exclusion",MAX(O$9,-(SUMIFS(SF_Output!$T$1:$T$400,SF_Output!$AC$1:$AC$400,_xlfn.TEXTJOIN(",",TRUE,$B178:$E178),SF_Output!$Q$1:$Q$400,"One Time",SF_Output!$L$1:$L$400,"professional service"))/N178),-((SUMIFS(SF_Output!$T$1:$T$400,SF_Output!$AC$1:$AC$400,_xlfn.TEXTJOIN(",",TRUE,$B178:$E178),SF_Output!$Q$1:$Q$400,"One Time",SF_Output!$L$1:$L$400,"professional service")/N178))))</f>
        <v/>
      </c>
      <c r="P178" s="6" t="str">
        <f t="shared" si="36"/>
        <v/>
      </c>
      <c r="R178" s="6" t="str">
        <f>IF(B178="","",SUMIFS(SF_Output!$S$1:$S$400,SF_Output!$AC$1:$AC$400,_xlfn.TEXTJOIN(",",TRUE,B178:E178),SF_Output!$Q$1:$Q$400,"yearly")+SUMIFS(SF_Output!$S$1:$S$400,SF_Output!$AC$1:$AC$400,_xlfn.TEXTJOIN(",",TRUE,B178:E178),SF_Output!$Q$1:$Q$400,"quarterly")*4)</f>
        <v/>
      </c>
      <c r="S178" s="112" t="str">
        <f>IF(OR(B178=0,B178="",G178="hardware",R178=0),"",IF(AF178&lt;&gt;"exclusion",MAX(S$9,-(SUMIFS(SF_Output!$T$1:$T$400,SF_Output!$AC$1:$AC$400,_xlfn.TEXTJOIN(",",TRUE,$B178:$E178),SF_Output!$Q$1:$Q$400,"yearly"))/R178),-((SUMIFS(SF_Output!$T$1:$T$400,SF_Output!$AC$1:$AC$400,_xlfn.TEXTJOIN(",",TRUE,$B178:$E178),SF_Output!$Q$1:$Q$400,"yearly")/R178))))</f>
        <v/>
      </c>
      <c r="T178" s="6" t="str">
        <f t="shared" si="37"/>
        <v/>
      </c>
      <c r="V178" s="6" t="str" cm="1">
        <f t="array" ref="V178">_xlfn.IFS(B178="","",AND(B178&lt;&gt;"",H178=SF_Output!$Y$2,SUMIFS(SF_Output!$T$1:$T$400,SF_Output!$AC$1:$AC$400,_xlfn.TEXTJOIN(",",TRUE,B178:E178),SF_Output!$Q$1:$Q$400,"monthly")=0),(SUMIFS(SF_Output!$F$1:$F$400,SF_Output!$AC$1:$AC$400,_xlfn.TEXTJOIN(",",TRUE,B178:E178),SF_Output!$Q$1:$Q$400,"monthly")+SUMIFS(SF_Output!$G$1:$G$400,SF_Output!$AC$1:$AC$400,_xlfn.TEXTJOIN(",",TRUE,B178:E178),SF_Output!$Q$1:$Q$400,"monthly"))*H178,AND(B178&lt;&gt;"",H178=SF_Output!$Y$2,SUMIFS(SF_Output!$T$1:$T$400,SF_Output!$AC$1:$AC$400,_xlfn.TEXTJOIN(",",TRUE,B178:E178),SF_Output!$Q$1:$Q$400,"monthly")&lt;&gt;0),SUMIFS(SF_Output!$S$1:$S$400,SF_Output!$AC$1:$AC$400,_xlfn.TEXTJOIN(",",TRUE,B178:E178),SF_Output!$Q$1:$Q$400,"monthly"),AND(B178&lt;&gt;"",H178&lt;&gt;SF_Output!$Y$2),SUMIFS(SF_Output!$S$1:$S$400,SF_Output!$AC$1:$AC$400,_xlfn.TEXTJOIN(",",TRUE,B178:E178),SF_Output!$Q$1:$Q$400,"monthly"))</f>
        <v/>
      </c>
      <c r="W178" s="112" t="str" cm="1">
        <f t="array" ref="W178">_xlfn.IFS(OR(B178=0,B178="",V178=0),"",AF178&lt;&gt;"exclusion",MAX($W$9,$W$7,(-(SUMIFS(SF_Output!$T$1:$T$400,SF_Output!$AC$1:$AC$400,_xlfn.TEXTJOIN(",",TRUE,$B178:$E178),SF_Output!$Q$1:$Q$400,"monthly"))/V178)),AF178="exclusion",-(SUMIFS(SF_Output!$T$1:$T$400,SF_Output!$AC$1:$AC$400,_xlfn.TEXTJOIN(",",TRUE,$B178:$E178),SF_Output!$Q$1:$Q$400,"monthly"))/V178)</f>
        <v/>
      </c>
      <c r="X178" s="6" t="str" cm="1">
        <f t="array" ref="X178">IFERROR(_xlfn.IFS(V178=0,0,V178="","",W178=0,V178,OR(V178&lt;&gt;0,V178&lt;&gt;""),H178*I178),V178*(1-W178))</f>
        <v/>
      </c>
      <c r="Z178" s="6" t="str">
        <f>IFERROR(IF(B178="","",SUMIFS(Billing_Fallout!H:H,Billing_Fallout!N:N,B178)),0)</f>
        <v/>
      </c>
      <c r="AA178" s="6" t="str">
        <f t="shared" si="38"/>
        <v/>
      </c>
      <c r="AB178" s="6" t="str">
        <f>IFERROR(IF(B178="","",SUMIFS(Billing_Fallout!J:J,Billing_Fallout!N:N,B178)),0)</f>
        <v/>
      </c>
      <c r="AD178" s="6" t="str">
        <f t="shared" si="39"/>
        <v/>
      </c>
      <c r="AF178" t="str">
        <f>IFERROR(INDEX(H_Tables!$B$1:$B$1500,MATCH(INDEX(SF_Output!$J$1:$J$400,MATCH(B178,SF_Output!$M$1:$M$400,0)),H_Tables!$A$1:$A$1500,0)),"")</f>
        <v/>
      </c>
      <c r="AI178" s="119" t="str">
        <f t="shared" si="40"/>
        <v/>
      </c>
      <c r="AJ178" s="121">
        <f>IFERROR(INDEX(SF_Output!AD:AD,MATCH(_xlfn.TEXTJOIN(",",TRUE,B178:E178),SF_Output!AC1:AC400,0)),0.05)</f>
        <v>241</v>
      </c>
      <c r="AK178" t="str">
        <f>IF(SUMIFS(SF_Output!$F$1:$F$400,SF_Output!$AC$1:$AC$400,_xlfn.TEXTJOIN(",",TRUE,B178:E178))+SUMIFS(SF_Output!$G$1:$G$400,SF_Output!$AC$1:$AC$400,_xlfn.TEXTJOIN(",",TRUE,B178:E178))=0,"","PAP")</f>
        <v/>
      </c>
      <c r="AQ178" s="35"/>
      <c r="AR178" s="35" t="str" cm="1">
        <f t="array" ref="AR178">IFERROR(_xlfn.IFS(AND(E178*1=1,F178="Included"),"Change to Included",AND(E178*1=0,F178="Optional"),"Change to Optional",OR(B178="",F178="replaced"),""),"")</f>
        <v/>
      </c>
      <c r="AS178" s="35" t="str">
        <f t="shared" si="41"/>
        <v/>
      </c>
      <c r="AT178" s="35" t="str">
        <f t="shared" si="42"/>
        <v/>
      </c>
      <c r="AU178" s="35" t="str">
        <f t="shared" si="43"/>
        <v/>
      </c>
      <c r="AV178" s="35" t="str">
        <f t="shared" si="44"/>
        <v/>
      </c>
      <c r="AW178" s="35" t="str">
        <f t="shared" si="45"/>
        <v/>
      </c>
      <c r="AX178" s="35" t="str">
        <f t="shared" si="46"/>
        <v/>
      </c>
      <c r="AY178" s="35" t="str">
        <f t="shared" si="47"/>
        <v/>
      </c>
      <c r="AZ178" s="35" t="str">
        <f t="shared" si="48"/>
        <v/>
      </c>
      <c r="BA178" s="35" t="str">
        <f t="shared" si="49"/>
        <v/>
      </c>
      <c r="BB178" s="35" t="str">
        <f t="shared" si="50"/>
        <v/>
      </c>
      <c r="BC178" s="35"/>
      <c r="BE178" s="35" t="str">
        <f ca="1">INDEX(SF_Output!$AA$2:$AA$400,MATCH($B178,SF_Output!$M$2:$M$400,0))</f>
        <v/>
      </c>
      <c r="BF178" s="35" t="str">
        <f ca="1">INDEX(SF_Output!$AB$2:$AB$400,MATCH($B178,SF_Output!$M$2:$M$400,0))</f>
        <v/>
      </c>
    </row>
    <row r="179" spans="2:58" x14ac:dyDescent="0.25">
      <c r="F179" s="116" t="str">
        <f t="shared" si="34"/>
        <v/>
      </c>
      <c r="G179" t="str">
        <f>IF(B179="","",INDEX(SF_Output!$K$1:$K$400,MATCH(B179,SF_Output!$M$1:$M$400,0)))</f>
        <v/>
      </c>
      <c r="H179" t="str" cm="1">
        <f t="array" ref="H179">_xlfn.IFS(B179="","",(SUMIFS(SF_Output!$F$1:$F$400,SF_Output!$AC$1:$AC$400,_xlfn.TEXTJOIN(",",TRUE,B179:E179))+SUMIFS(SF_Output!$G$1:$G$400,SF_Output!$AC$1:$AC$400,_xlfn.TEXTJOIN(",",TRUE,B179:E179)))&lt;&gt;0,SF_Output!$Y$2,INDEX(SF_Output!$F$1:$F$400,MATCH(_xlfn.TEXTJOIN(",",TRUE,B179:E179),SF_Output!$AC$1:$AC$400,0))=0,INDEX(SF_Output!$R$1:$R$400,MATCH(_xlfn.TEXTJOIN(",",TRUE,B179:E179),SF_Output!$AC$1:$AC$400,0)))</f>
        <v/>
      </c>
      <c r="I179" s="125" t="str">
        <f>IFERROR(IF(AND(H179&gt;1,H179&lt;&gt;""),ROUND(SUMIFS(SF_Output!$S$1:$S$400,SF_Output!$AC$1:$AC$400,_xlfn.TEXTJOIN(",",TRUE,B179:E179),SF_Output!$Q$1:$Q$400,"monthly")*(1-W179)/H179,4),""),"")</f>
        <v/>
      </c>
      <c r="J179" s="6" t="str">
        <f>IF(B179="","",SUMIFS(SF_Output!$S$1:$S$400,SF_Output!$AC$1:$AC$400,_xlfn.TEXTJOIN(",",TRUE,B179:E179),SF_Output!$Q$1:$Q$400,"One Time",SF_Output!$L$1:$L$400,"license fee")+SUMIFS(SF_Output!$S$1:$S$400,SF_Output!$AC$1:$AC$400,_xlfn.TEXTJOIN(",",TRUE,B179:E179),SF_Output!$Q$1:$Q$400,"One Time",SF_Output!$L$1:$L$400,"software license")+SUMIFS(SF_Output!$S$1:$S$400,SF_Output!$AC$1:$AC$400,_xlfn.TEXTJOIN(",",TRUE,B179:E179),SF_Output!$Q$1:$Q$400,"One Time",SF_Output!$L$1:$L$400,"hardware"))</f>
        <v/>
      </c>
      <c r="K179" s="112" t="str">
        <f>IF(OR(B179=0,B179="",G179="hardware",J179=0),"",IF(AF179&lt;&gt;"exclusion",MAX(K$9,-((SUMIFS(SF_Output!$T$1:$T$400,SF_Output!$AC$1:$AC$400,_xlfn.TEXTJOIN(",",TRUE,$B179:$E179),SF_Output!$Q$1:$Q$400,"One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license"))/J179)))</f>
        <v/>
      </c>
      <c r="L179" s="6" t="str">
        <f t="shared" si="35"/>
        <v/>
      </c>
      <c r="N179" s="6" t="str">
        <f>IF(B179="","",SUMIFS(SF_Output!$S$1:$S$400,SF_Output!$AC$1:$AC$400,_xlfn.TEXTJOIN(",",TRUE,B179:E179),SF_Output!$Q$1:$Q$400,"One Time",SF_Output!$L$1:$L$400,"professional service"))</f>
        <v/>
      </c>
      <c r="O179" s="112" t="str">
        <f>IF(OR(B179=0,B179="",N179=0),"",IF(AF179&lt;&gt;"exclusion",MAX(O$9,-(SUMIFS(SF_Output!$T$1:$T$400,SF_Output!$AC$1:$AC$400,_xlfn.TEXTJOIN(",",TRUE,$B179:$E179),SF_Output!$Q$1:$Q$400,"One Time",SF_Output!$L$1:$L$400,"professional service"))/N179),-((SUMIFS(SF_Output!$T$1:$T$400,SF_Output!$AC$1:$AC$400,_xlfn.TEXTJOIN(",",TRUE,$B179:$E179),SF_Output!$Q$1:$Q$400,"One Time",SF_Output!$L$1:$L$400,"professional service")/N179))))</f>
        <v/>
      </c>
      <c r="P179" s="6" t="str">
        <f t="shared" si="36"/>
        <v/>
      </c>
      <c r="R179" s="6" t="str">
        <f>IF(B179="","",SUMIFS(SF_Output!$S$1:$S$400,SF_Output!$AC$1:$AC$400,_xlfn.TEXTJOIN(",",TRUE,B179:E179),SF_Output!$Q$1:$Q$400,"yearly")+SUMIFS(SF_Output!$S$1:$S$400,SF_Output!$AC$1:$AC$400,_xlfn.TEXTJOIN(",",TRUE,B179:E179),SF_Output!$Q$1:$Q$400,"quarterly")*4)</f>
        <v/>
      </c>
      <c r="S179" s="112" t="str">
        <f>IF(OR(B179=0,B179="",G179="hardware",R179=0),"",IF(AF179&lt;&gt;"exclusion",MAX(S$9,-(SUMIFS(SF_Output!$T$1:$T$400,SF_Output!$AC$1:$AC$400,_xlfn.TEXTJOIN(",",TRUE,$B179:$E179),SF_Output!$Q$1:$Q$400,"yearly"))/R179),-((SUMIFS(SF_Output!$T$1:$T$400,SF_Output!$AC$1:$AC$400,_xlfn.TEXTJOIN(",",TRUE,$B179:$E179),SF_Output!$Q$1:$Q$400,"yearly")/R179))))</f>
        <v/>
      </c>
      <c r="T179" s="6" t="str">
        <f t="shared" si="37"/>
        <v/>
      </c>
      <c r="V179" s="6" t="str" cm="1">
        <f t="array" ref="V179">_xlfn.IFS(B179="","",AND(B179&lt;&gt;"",H179=SF_Output!$Y$2,SUMIFS(SF_Output!$T$1:$T$400,SF_Output!$AC$1:$AC$400,_xlfn.TEXTJOIN(",",TRUE,B179:E179),SF_Output!$Q$1:$Q$400,"monthly")=0),(SUMIFS(SF_Output!$F$1:$F$400,SF_Output!$AC$1:$AC$400,_xlfn.TEXTJOIN(",",TRUE,B179:E179),SF_Output!$Q$1:$Q$400,"monthly")+SUMIFS(SF_Output!$G$1:$G$400,SF_Output!$AC$1:$AC$400,_xlfn.TEXTJOIN(",",TRUE,B179:E179),SF_Output!$Q$1:$Q$400,"monthly"))*H179,AND(B179&lt;&gt;"",H179=SF_Output!$Y$2,SUMIFS(SF_Output!$T$1:$T$400,SF_Output!$AC$1:$AC$400,_xlfn.TEXTJOIN(",",TRUE,B179:E179),SF_Output!$Q$1:$Q$400,"monthly")&lt;&gt;0),SUMIFS(SF_Output!$S$1:$S$400,SF_Output!$AC$1:$AC$400,_xlfn.TEXTJOIN(",",TRUE,B179:E179),SF_Output!$Q$1:$Q$400,"monthly"),AND(B179&lt;&gt;"",H179&lt;&gt;SF_Output!$Y$2),SUMIFS(SF_Output!$S$1:$S$400,SF_Output!$AC$1:$AC$400,_xlfn.TEXTJOIN(",",TRUE,B179:E179),SF_Output!$Q$1:$Q$400,"monthly"))</f>
        <v/>
      </c>
      <c r="W179" s="112" t="str" cm="1">
        <f t="array" ref="W179">_xlfn.IFS(OR(B179=0,B179="",V179=0),"",AF179&lt;&gt;"exclusion",MAX($W$9,$W$7,(-(SUMIFS(SF_Output!$T$1:$T$400,SF_Output!$AC$1:$AC$400,_xlfn.TEXTJOIN(",",TRUE,$B179:$E179),SF_Output!$Q$1:$Q$400,"monthly"))/V179)),AF179="exclusion",-(SUMIFS(SF_Output!$T$1:$T$400,SF_Output!$AC$1:$AC$400,_xlfn.TEXTJOIN(",",TRUE,$B179:$E179),SF_Output!$Q$1:$Q$400,"monthly"))/V179)</f>
        <v/>
      </c>
      <c r="X179" s="6" t="str" cm="1">
        <f t="array" ref="X179">IFERROR(_xlfn.IFS(V179=0,0,V179="","",W179=0,V179,OR(V179&lt;&gt;0,V179&lt;&gt;""),H179*I179),V179*(1-W179))</f>
        <v/>
      </c>
      <c r="Z179" s="6" t="str">
        <f>IFERROR(IF(B179="","",SUMIFS(Billing_Fallout!H:H,Billing_Fallout!N:N,B179)),0)</f>
        <v/>
      </c>
      <c r="AA179" s="6" t="str">
        <f t="shared" si="38"/>
        <v/>
      </c>
      <c r="AB179" s="6" t="str">
        <f>IFERROR(IF(B179="","",SUMIFS(Billing_Fallout!J:J,Billing_Fallout!N:N,B179)),0)</f>
        <v/>
      </c>
      <c r="AD179" s="6" t="str">
        <f t="shared" si="39"/>
        <v/>
      </c>
      <c r="AF179" t="str">
        <f>IFERROR(INDEX(H_Tables!$B$1:$B$1500,MATCH(INDEX(SF_Output!$J$1:$J$400,MATCH(B179,SF_Output!$M$1:$M$400,0)),H_Tables!$A$1:$A$1500,0)),"")</f>
        <v/>
      </c>
      <c r="AI179" s="119" t="str">
        <f t="shared" si="40"/>
        <v/>
      </c>
      <c r="AJ179" s="121">
        <f>IFERROR(INDEX(SF_Output!AD:AD,MATCH(_xlfn.TEXTJOIN(",",TRUE,B179:E179),SF_Output!AC1:AC400,0)),0.05)</f>
        <v>241</v>
      </c>
      <c r="AK179" t="str">
        <f>IF(SUMIFS(SF_Output!$F$1:$F$400,SF_Output!$AC$1:$AC$400,_xlfn.TEXTJOIN(",",TRUE,B179:E179))+SUMIFS(SF_Output!$G$1:$G$400,SF_Output!$AC$1:$AC$400,_xlfn.TEXTJOIN(",",TRUE,B179:E179))=0,"","PAP")</f>
        <v/>
      </c>
      <c r="AQ179" s="35"/>
      <c r="AR179" s="35" t="str" cm="1">
        <f t="array" ref="AR179">IFERROR(_xlfn.IFS(AND(E179*1=1,F179="Included"),"Change to Included",AND(E179*1=0,F179="Optional"),"Change to Optional",OR(B179="",F179="replaced"),""),"")</f>
        <v/>
      </c>
      <c r="AS179" s="35" t="str">
        <f t="shared" si="41"/>
        <v/>
      </c>
      <c r="AT179" s="35" t="str">
        <f t="shared" si="42"/>
        <v/>
      </c>
      <c r="AU179" s="35" t="str">
        <f t="shared" si="43"/>
        <v/>
      </c>
      <c r="AV179" s="35" t="str">
        <f t="shared" si="44"/>
        <v/>
      </c>
      <c r="AW179" s="35" t="str">
        <f t="shared" si="45"/>
        <v/>
      </c>
      <c r="AX179" s="35" t="str">
        <f t="shared" si="46"/>
        <v/>
      </c>
      <c r="AY179" s="35" t="str">
        <f t="shared" si="47"/>
        <v/>
      </c>
      <c r="AZ179" s="35" t="str">
        <f t="shared" si="48"/>
        <v/>
      </c>
      <c r="BA179" s="35" t="str">
        <f t="shared" si="49"/>
        <v/>
      </c>
      <c r="BB179" s="35" t="str">
        <f t="shared" si="50"/>
        <v/>
      </c>
      <c r="BC179" s="35"/>
      <c r="BE179" s="35" t="e">
        <f>INDEX(SF_Output!$AA$2:$AA$400,MATCH($B179,SF_Output!$M$2:$M$400,0))</f>
        <v>#N/A</v>
      </c>
      <c r="BF179" s="35" t="e">
        <f>INDEX(SF_Output!$AB$2:$AB$400,MATCH($B179,SF_Output!$M$2:$M$400,0))</f>
        <v>#N/A</v>
      </c>
    </row>
    <row r="180" spans="2:58" x14ac:dyDescent="0.25">
      <c r="F180" s="116" t="str">
        <f t="shared" si="34"/>
        <v/>
      </c>
      <c r="G180" t="str">
        <f>IF(B180="","",INDEX(SF_Output!$K$1:$K$400,MATCH(B180,SF_Output!$M$1:$M$400,0)))</f>
        <v/>
      </c>
      <c r="H180" t="str" cm="1">
        <f t="array" ref="H180">_xlfn.IFS(B180="","",(SUMIFS(SF_Output!$F$1:$F$400,SF_Output!$AC$1:$AC$400,_xlfn.TEXTJOIN(",",TRUE,B180:E180))+SUMIFS(SF_Output!$G$1:$G$400,SF_Output!$AC$1:$AC$400,_xlfn.TEXTJOIN(",",TRUE,B180:E180)))&lt;&gt;0,SF_Output!$Y$2,INDEX(SF_Output!$F$1:$F$400,MATCH(_xlfn.TEXTJOIN(",",TRUE,B180:E180),SF_Output!$AC$1:$AC$400,0))=0,INDEX(SF_Output!$R$1:$R$400,MATCH(_xlfn.TEXTJOIN(",",TRUE,B180:E180),SF_Output!$AC$1:$AC$400,0)))</f>
        <v/>
      </c>
      <c r="I180" s="125" t="str">
        <f>IFERROR(IF(AND(H180&gt;1,H180&lt;&gt;""),ROUND(SUMIFS(SF_Output!$S$1:$S$400,SF_Output!$AC$1:$AC$400,_xlfn.TEXTJOIN(",",TRUE,B180:E180),SF_Output!$Q$1:$Q$400,"monthly")*(1-W180)/H180,4),""),"")</f>
        <v/>
      </c>
      <c r="J180" s="6" t="str">
        <f>IF(B180="","",SUMIFS(SF_Output!$S$1:$S$400,SF_Output!$AC$1:$AC$400,_xlfn.TEXTJOIN(",",TRUE,B180:E180),SF_Output!$Q$1:$Q$400,"One Time",SF_Output!$L$1:$L$400,"license fee")+SUMIFS(SF_Output!$S$1:$S$400,SF_Output!$AC$1:$AC$400,_xlfn.TEXTJOIN(",",TRUE,B180:E180),SF_Output!$Q$1:$Q$400,"One Time",SF_Output!$L$1:$L$400,"software license")+SUMIFS(SF_Output!$S$1:$S$400,SF_Output!$AC$1:$AC$400,_xlfn.TEXTJOIN(",",TRUE,B180:E180),SF_Output!$Q$1:$Q$400,"One Time",SF_Output!$L$1:$L$400,"hardware"))</f>
        <v/>
      </c>
      <c r="K180" s="112" t="str">
        <f>IF(OR(B180=0,B180="",G180="hardware",J180=0),"",IF(AF180&lt;&gt;"exclusion",MAX(K$9,-((SUMIFS(SF_Output!$T$1:$T$400,SF_Output!$AC$1:$AC$400,_xlfn.TEXTJOIN(",",TRUE,$B180:$E180),SF_Output!$Q$1:$Q$400,"One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license"))/J180)))</f>
        <v/>
      </c>
      <c r="L180" s="6" t="str">
        <f t="shared" si="35"/>
        <v/>
      </c>
      <c r="N180" s="6" t="str">
        <f>IF(B180="","",SUMIFS(SF_Output!$S$1:$S$400,SF_Output!$AC$1:$AC$400,_xlfn.TEXTJOIN(",",TRUE,B180:E180),SF_Output!$Q$1:$Q$400,"One Time",SF_Output!$L$1:$L$400,"professional service"))</f>
        <v/>
      </c>
      <c r="O180" s="112" t="str">
        <f>IF(OR(B180=0,B180="",N180=0),"",IF(AF180&lt;&gt;"exclusion",MAX(O$9,-(SUMIFS(SF_Output!$T$1:$T$400,SF_Output!$AC$1:$AC$400,_xlfn.TEXTJOIN(",",TRUE,$B180:$E180),SF_Output!$Q$1:$Q$400,"One Time",SF_Output!$L$1:$L$400,"professional service"))/N180),-((SUMIFS(SF_Output!$T$1:$T$400,SF_Output!$AC$1:$AC$400,_xlfn.TEXTJOIN(",",TRUE,$B180:$E180),SF_Output!$Q$1:$Q$400,"One Time",SF_Output!$L$1:$L$400,"professional service")/N180))))</f>
        <v/>
      </c>
      <c r="P180" s="6" t="str">
        <f t="shared" si="36"/>
        <v/>
      </c>
      <c r="R180" s="6" t="str">
        <f>IF(B180="","",SUMIFS(SF_Output!$S$1:$S$400,SF_Output!$AC$1:$AC$400,_xlfn.TEXTJOIN(",",TRUE,B180:E180),SF_Output!$Q$1:$Q$400,"yearly")+SUMIFS(SF_Output!$S$1:$S$400,SF_Output!$AC$1:$AC$400,_xlfn.TEXTJOIN(",",TRUE,B180:E180),SF_Output!$Q$1:$Q$400,"quarterly")*4)</f>
        <v/>
      </c>
      <c r="S180" s="112" t="str">
        <f>IF(OR(B180=0,B180="",G180="hardware",R180=0),"",IF(AF180&lt;&gt;"exclusion",MAX(S$9,-(SUMIFS(SF_Output!$T$1:$T$400,SF_Output!$AC$1:$AC$400,_xlfn.TEXTJOIN(",",TRUE,$B180:$E180),SF_Output!$Q$1:$Q$400,"yearly"))/R180),-((SUMIFS(SF_Output!$T$1:$T$400,SF_Output!$AC$1:$AC$400,_xlfn.TEXTJOIN(",",TRUE,$B180:$E180),SF_Output!$Q$1:$Q$400,"yearly")/R180))))</f>
        <v/>
      </c>
      <c r="T180" s="6" t="str">
        <f t="shared" si="37"/>
        <v/>
      </c>
      <c r="V180" s="6" t="str" cm="1">
        <f t="array" ref="V180">_xlfn.IFS(B180="","",AND(B180&lt;&gt;"",H180=SF_Output!$Y$2,SUMIFS(SF_Output!$T$1:$T$400,SF_Output!$AC$1:$AC$400,_xlfn.TEXTJOIN(",",TRUE,B180:E180),SF_Output!$Q$1:$Q$400,"monthly")=0),(SUMIFS(SF_Output!$F$1:$F$400,SF_Output!$AC$1:$AC$400,_xlfn.TEXTJOIN(",",TRUE,B180:E180),SF_Output!$Q$1:$Q$400,"monthly")+SUMIFS(SF_Output!$G$1:$G$400,SF_Output!$AC$1:$AC$400,_xlfn.TEXTJOIN(",",TRUE,B180:E180),SF_Output!$Q$1:$Q$400,"monthly"))*H180,AND(B180&lt;&gt;"",H180=SF_Output!$Y$2,SUMIFS(SF_Output!$T$1:$T$400,SF_Output!$AC$1:$AC$400,_xlfn.TEXTJOIN(",",TRUE,B180:E180),SF_Output!$Q$1:$Q$400,"monthly")&lt;&gt;0),SUMIFS(SF_Output!$S$1:$S$400,SF_Output!$AC$1:$AC$400,_xlfn.TEXTJOIN(",",TRUE,B180:E180),SF_Output!$Q$1:$Q$400,"monthly"),AND(B180&lt;&gt;"",H180&lt;&gt;SF_Output!$Y$2),SUMIFS(SF_Output!$S$1:$S$400,SF_Output!$AC$1:$AC$400,_xlfn.TEXTJOIN(",",TRUE,B180:E180),SF_Output!$Q$1:$Q$400,"monthly"))</f>
        <v/>
      </c>
      <c r="W180" s="112" t="str" cm="1">
        <f t="array" ref="W180">_xlfn.IFS(OR(B180=0,B180="",V180=0),"",AF180&lt;&gt;"exclusion",MAX($W$9,$W$7,(-(SUMIFS(SF_Output!$T$1:$T$400,SF_Output!$AC$1:$AC$400,_xlfn.TEXTJOIN(",",TRUE,$B180:$E180),SF_Output!$Q$1:$Q$400,"monthly"))/V180)),AF180="exclusion",-(SUMIFS(SF_Output!$T$1:$T$400,SF_Output!$AC$1:$AC$400,_xlfn.TEXTJOIN(",",TRUE,$B180:$E180),SF_Output!$Q$1:$Q$400,"monthly"))/V180)</f>
        <v/>
      </c>
      <c r="X180" s="6" t="str" cm="1">
        <f t="array" ref="X180">IFERROR(_xlfn.IFS(V180=0,0,V180="","",W180=0,V180,OR(V180&lt;&gt;0,V180&lt;&gt;""),H180*I180),V180*(1-W180))</f>
        <v/>
      </c>
      <c r="Z180" s="6" t="str">
        <f>IFERROR(IF(B180="","",SUMIFS(Billing_Fallout!H:H,Billing_Fallout!N:N,B180)),0)</f>
        <v/>
      </c>
      <c r="AA180" s="6" t="str">
        <f t="shared" si="38"/>
        <v/>
      </c>
      <c r="AB180" s="6" t="str">
        <f>IFERROR(IF(B180="","",SUMIFS(Billing_Fallout!J:J,Billing_Fallout!N:N,B180)),0)</f>
        <v/>
      </c>
      <c r="AD180" s="6" t="str">
        <f t="shared" si="39"/>
        <v/>
      </c>
      <c r="AF180" t="str">
        <f>IFERROR(INDEX(H_Tables!$B$1:$B$1500,MATCH(INDEX(SF_Output!$J$1:$J$400,MATCH(B180,SF_Output!$M$1:$M$400,0)),H_Tables!$A$1:$A$1500,0)),"")</f>
        <v/>
      </c>
      <c r="AI180" s="119" t="str">
        <f t="shared" si="40"/>
        <v/>
      </c>
      <c r="AJ180" s="121">
        <f>IFERROR(INDEX(SF_Output!AD:AD,MATCH(_xlfn.TEXTJOIN(",",TRUE,B180:E180),SF_Output!AC1:AC400,0)),0.05)</f>
        <v>241</v>
      </c>
      <c r="AK180" t="str">
        <f>IF(SUMIFS(SF_Output!$F$1:$F$400,SF_Output!$AC$1:$AC$400,_xlfn.TEXTJOIN(",",TRUE,B180:E180))+SUMIFS(SF_Output!$G$1:$G$400,SF_Output!$AC$1:$AC$400,_xlfn.TEXTJOIN(",",TRUE,B180:E180))=0,"","PAP")</f>
        <v/>
      </c>
      <c r="AQ180" s="35"/>
      <c r="AR180" s="35" t="str" cm="1">
        <f t="array" ref="AR180">IFERROR(_xlfn.IFS(AND(E180*1=1,F180="Included"),"Change to Included",AND(E180*1=0,F180="Optional"),"Change to Optional",OR(B180="",F180="replaced"),""),"")</f>
        <v/>
      </c>
      <c r="AS180" s="35" t="str">
        <f t="shared" si="41"/>
        <v/>
      </c>
      <c r="AT180" s="35" t="str">
        <f t="shared" si="42"/>
        <v/>
      </c>
      <c r="AU180" s="35" t="str">
        <f t="shared" si="43"/>
        <v/>
      </c>
      <c r="AV180" s="35" t="str">
        <f t="shared" si="44"/>
        <v/>
      </c>
      <c r="AW180" s="35" t="str">
        <f t="shared" si="45"/>
        <v/>
      </c>
      <c r="AX180" s="35" t="str">
        <f t="shared" si="46"/>
        <v/>
      </c>
      <c r="AY180" s="35" t="str">
        <f t="shared" si="47"/>
        <v/>
      </c>
      <c r="AZ180" s="35" t="str">
        <f t="shared" si="48"/>
        <v/>
      </c>
      <c r="BA180" s="35" t="str">
        <f t="shared" si="49"/>
        <v/>
      </c>
      <c r="BB180" s="35" t="str">
        <f t="shared" si="50"/>
        <v/>
      </c>
      <c r="BC180" s="35"/>
      <c r="BE180" s="35" t="e">
        <f>INDEX(SF_Output!$AA$2:$AA$400,MATCH($B180,SF_Output!$M$2:$M$400,0))</f>
        <v>#N/A</v>
      </c>
      <c r="BF180" s="35" t="e">
        <f>INDEX(SF_Output!$AB$2:$AB$400,MATCH($B180,SF_Output!$M$2:$M$400,0))</f>
        <v>#N/A</v>
      </c>
    </row>
    <row r="181" spans="2:58" x14ac:dyDescent="0.25">
      <c r="F181" s="116" t="str">
        <f t="shared" si="34"/>
        <v/>
      </c>
      <c r="G181" t="str">
        <f>IF(B181="","",INDEX(SF_Output!$K$1:$K$400,MATCH(B181,SF_Output!$M$1:$M$400,0)))</f>
        <v/>
      </c>
      <c r="H181" t="str" cm="1">
        <f t="array" ref="H181">_xlfn.IFS(B181="","",(SUMIFS(SF_Output!$F$1:$F$400,SF_Output!$AC$1:$AC$400,_xlfn.TEXTJOIN(",",TRUE,B181:E181))+SUMIFS(SF_Output!$G$1:$G$400,SF_Output!$AC$1:$AC$400,_xlfn.TEXTJOIN(",",TRUE,B181:E181)))&lt;&gt;0,SF_Output!$Y$2,INDEX(SF_Output!$F$1:$F$400,MATCH(_xlfn.TEXTJOIN(",",TRUE,B181:E181),SF_Output!$AC$1:$AC$400,0))=0,INDEX(SF_Output!$R$1:$R$400,MATCH(_xlfn.TEXTJOIN(",",TRUE,B181:E181),SF_Output!$AC$1:$AC$400,0)))</f>
        <v/>
      </c>
      <c r="I181" s="125" t="str">
        <f>IFERROR(IF(AND(H181&gt;1,H181&lt;&gt;""),ROUND(SUMIFS(SF_Output!$S$1:$S$400,SF_Output!$AC$1:$AC$400,_xlfn.TEXTJOIN(",",TRUE,B181:E181),SF_Output!$Q$1:$Q$400,"monthly")*(1-W181)/H181,4),""),"")</f>
        <v/>
      </c>
      <c r="J181" s="6" t="str">
        <f>IF(B181="","",SUMIFS(SF_Output!$S$1:$S$400,SF_Output!$AC$1:$AC$400,_xlfn.TEXTJOIN(",",TRUE,B181:E181),SF_Output!$Q$1:$Q$400,"One Time",SF_Output!$L$1:$L$400,"license fee")+SUMIFS(SF_Output!$S$1:$S$400,SF_Output!$AC$1:$AC$400,_xlfn.TEXTJOIN(",",TRUE,B181:E181),SF_Output!$Q$1:$Q$400,"One Time",SF_Output!$L$1:$L$400,"software license")+SUMIFS(SF_Output!$S$1:$S$400,SF_Output!$AC$1:$AC$400,_xlfn.TEXTJOIN(",",TRUE,B181:E181),SF_Output!$Q$1:$Q$400,"One Time",SF_Output!$L$1:$L$400,"hardware"))</f>
        <v/>
      </c>
      <c r="K181" s="112" t="str">
        <f>IF(OR(B181=0,B181="",G181="hardware",J181=0),"",IF(AF181&lt;&gt;"exclusion",MAX(K$9,-((SUMIFS(SF_Output!$T$1:$T$400,SF_Output!$AC$1:$AC$400,_xlfn.TEXTJOIN(",",TRUE,$B181:$E181),SF_Output!$Q$1:$Q$400,"One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license"))/J181)))</f>
        <v/>
      </c>
      <c r="L181" s="6" t="str">
        <f t="shared" si="35"/>
        <v/>
      </c>
      <c r="N181" s="6" t="str">
        <f>IF(B181="","",SUMIFS(SF_Output!$S$1:$S$400,SF_Output!$AC$1:$AC$400,_xlfn.TEXTJOIN(",",TRUE,B181:E181),SF_Output!$Q$1:$Q$400,"One Time",SF_Output!$L$1:$L$400,"professional service"))</f>
        <v/>
      </c>
      <c r="O181" s="112" t="str">
        <f>IF(OR(B181=0,B181="",N181=0),"",IF(AF181&lt;&gt;"exclusion",MAX(O$9,-(SUMIFS(SF_Output!$T$1:$T$400,SF_Output!$AC$1:$AC$400,_xlfn.TEXTJOIN(",",TRUE,$B181:$E181),SF_Output!$Q$1:$Q$400,"One Time",SF_Output!$L$1:$L$400,"professional service"))/N181),-((SUMIFS(SF_Output!$T$1:$T$400,SF_Output!$AC$1:$AC$400,_xlfn.TEXTJOIN(",",TRUE,$B181:$E181),SF_Output!$Q$1:$Q$400,"One Time",SF_Output!$L$1:$L$400,"professional service")/N181))))</f>
        <v/>
      </c>
      <c r="P181" s="6" t="str">
        <f t="shared" si="36"/>
        <v/>
      </c>
      <c r="R181" s="6" t="str">
        <f>IF(B181="","",SUMIFS(SF_Output!$S$1:$S$400,SF_Output!$AC$1:$AC$400,_xlfn.TEXTJOIN(",",TRUE,B181:E181),SF_Output!$Q$1:$Q$400,"yearly")+SUMIFS(SF_Output!$S$1:$S$400,SF_Output!$AC$1:$AC$400,_xlfn.TEXTJOIN(",",TRUE,B181:E181),SF_Output!$Q$1:$Q$400,"quarterly")*4)</f>
        <v/>
      </c>
      <c r="S181" s="112" t="str">
        <f>IF(OR(B181=0,B181="",G181="hardware",R181=0),"",IF(AF181&lt;&gt;"exclusion",MAX(S$9,-(SUMIFS(SF_Output!$T$1:$T$400,SF_Output!$AC$1:$AC$400,_xlfn.TEXTJOIN(",",TRUE,$B181:$E181),SF_Output!$Q$1:$Q$400,"yearly"))/R181),-((SUMIFS(SF_Output!$T$1:$T$400,SF_Output!$AC$1:$AC$400,_xlfn.TEXTJOIN(",",TRUE,$B181:$E181),SF_Output!$Q$1:$Q$400,"yearly")/R181))))</f>
        <v/>
      </c>
      <c r="T181" s="6" t="str">
        <f t="shared" si="37"/>
        <v/>
      </c>
      <c r="V181" s="6" t="str" cm="1">
        <f t="array" ref="V181">_xlfn.IFS(B181="","",AND(B181&lt;&gt;"",H181=SF_Output!$Y$2,SUMIFS(SF_Output!$T$1:$T$400,SF_Output!$AC$1:$AC$400,_xlfn.TEXTJOIN(",",TRUE,B181:E181),SF_Output!$Q$1:$Q$400,"monthly")=0),(SUMIFS(SF_Output!$F$1:$F$400,SF_Output!$AC$1:$AC$400,_xlfn.TEXTJOIN(",",TRUE,B181:E181),SF_Output!$Q$1:$Q$400,"monthly")+SUMIFS(SF_Output!$G$1:$G$400,SF_Output!$AC$1:$AC$400,_xlfn.TEXTJOIN(",",TRUE,B181:E181),SF_Output!$Q$1:$Q$400,"monthly"))*H181,AND(B181&lt;&gt;"",H181=SF_Output!$Y$2,SUMIFS(SF_Output!$T$1:$T$400,SF_Output!$AC$1:$AC$400,_xlfn.TEXTJOIN(",",TRUE,B181:E181),SF_Output!$Q$1:$Q$400,"monthly")&lt;&gt;0),SUMIFS(SF_Output!$S$1:$S$400,SF_Output!$AC$1:$AC$400,_xlfn.TEXTJOIN(",",TRUE,B181:E181),SF_Output!$Q$1:$Q$400,"monthly"),AND(B181&lt;&gt;"",H181&lt;&gt;SF_Output!$Y$2),SUMIFS(SF_Output!$S$1:$S$400,SF_Output!$AC$1:$AC$400,_xlfn.TEXTJOIN(",",TRUE,B181:E181),SF_Output!$Q$1:$Q$400,"monthly"))</f>
        <v/>
      </c>
      <c r="W181" s="112" t="str" cm="1">
        <f t="array" ref="W181">_xlfn.IFS(OR(B181=0,B181="",V181=0),"",AF181&lt;&gt;"exclusion",MAX($W$9,$W$7,(-(SUMIFS(SF_Output!$T$1:$T$400,SF_Output!$AC$1:$AC$400,_xlfn.TEXTJOIN(",",TRUE,$B181:$E181),SF_Output!$Q$1:$Q$400,"monthly"))/V181)),AF181="exclusion",-(SUMIFS(SF_Output!$T$1:$T$400,SF_Output!$AC$1:$AC$400,_xlfn.TEXTJOIN(",",TRUE,$B181:$E181),SF_Output!$Q$1:$Q$400,"monthly"))/V181)</f>
        <v/>
      </c>
      <c r="X181" s="6" t="str" cm="1">
        <f t="array" ref="X181">IFERROR(_xlfn.IFS(V181=0,0,V181="","",W181=0,V181,OR(V181&lt;&gt;0,V181&lt;&gt;""),H181*I181),V181*(1-W181))</f>
        <v/>
      </c>
      <c r="Z181" s="6" t="str">
        <f>IFERROR(IF(B181="","",SUMIFS(Billing_Fallout!H:H,Billing_Fallout!N:N,B181)),0)</f>
        <v/>
      </c>
      <c r="AA181" s="6" t="str">
        <f t="shared" si="38"/>
        <v/>
      </c>
      <c r="AB181" s="6" t="str">
        <f>IFERROR(IF(B181="","",SUMIFS(Billing_Fallout!J:J,Billing_Fallout!N:N,B181)),0)</f>
        <v/>
      </c>
      <c r="AD181" s="6" t="str">
        <f t="shared" si="39"/>
        <v/>
      </c>
      <c r="AF181" t="str">
        <f>IFERROR(INDEX(H_Tables!$B$1:$B$1500,MATCH(INDEX(SF_Output!$J$1:$J$400,MATCH(B181,SF_Output!$M$1:$M$400,0)),H_Tables!$A$1:$A$1500,0)),"")</f>
        <v/>
      </c>
      <c r="AI181" s="119" t="str">
        <f t="shared" si="40"/>
        <v/>
      </c>
      <c r="AJ181" s="121">
        <f>IFERROR(INDEX(SF_Output!AD:AD,MATCH(_xlfn.TEXTJOIN(",",TRUE,B181:E181),SF_Output!AC1:AC400,0)),0.05)</f>
        <v>241</v>
      </c>
      <c r="AK181" t="str">
        <f>IF(SUMIFS(SF_Output!$F$1:$F$400,SF_Output!$AC$1:$AC$400,_xlfn.TEXTJOIN(",",TRUE,B181:E181))+SUMIFS(SF_Output!$G$1:$G$400,SF_Output!$AC$1:$AC$400,_xlfn.TEXTJOIN(",",TRUE,B181:E181))=0,"","PAP")</f>
        <v/>
      </c>
      <c r="AQ181" s="35"/>
      <c r="AR181" s="35" t="str" cm="1">
        <f t="array" ref="AR181">IFERROR(_xlfn.IFS(AND(E181*1=1,F181="Included"),"Change to Included",AND(E181*1=0,F181="Optional"),"Change to Optional",OR(B181="",F181="replaced"),""),"")</f>
        <v/>
      </c>
      <c r="AS181" s="35" t="str">
        <f t="shared" si="41"/>
        <v/>
      </c>
      <c r="AT181" s="35" t="str">
        <f t="shared" si="42"/>
        <v/>
      </c>
      <c r="AU181" s="35" t="str">
        <f t="shared" si="43"/>
        <v/>
      </c>
      <c r="AV181" s="35" t="str">
        <f t="shared" si="44"/>
        <v/>
      </c>
      <c r="AW181" s="35" t="str">
        <f t="shared" si="45"/>
        <v/>
      </c>
      <c r="AX181" s="35" t="str">
        <f t="shared" si="46"/>
        <v/>
      </c>
      <c r="AY181" s="35" t="str">
        <f t="shared" si="47"/>
        <v/>
      </c>
      <c r="AZ181" s="35" t="str">
        <f t="shared" si="48"/>
        <v/>
      </c>
      <c r="BA181" s="35" t="str">
        <f t="shared" si="49"/>
        <v/>
      </c>
      <c r="BB181" s="35" t="str">
        <f t="shared" si="50"/>
        <v/>
      </c>
      <c r="BC181" s="35"/>
      <c r="BE181" s="35" t="e">
        <f>INDEX(SF_Output!$AA$2:$AA$400,MATCH($B181,SF_Output!$M$2:$M$400,0))</f>
        <v>#N/A</v>
      </c>
      <c r="BF181" s="35" t="e">
        <f>INDEX(SF_Output!$AB$2:$AB$400,MATCH($B181,SF_Output!$M$2:$M$400,0))</f>
        <v>#N/A</v>
      </c>
    </row>
    <row r="182" spans="2:58" x14ac:dyDescent="0.25">
      <c r="F182" s="116" t="str">
        <f t="shared" si="34"/>
        <v/>
      </c>
      <c r="G182" t="str">
        <f>IF(B182="","",INDEX(SF_Output!$K$1:$K$400,MATCH(B182,SF_Output!$M$1:$M$400,0)))</f>
        <v/>
      </c>
      <c r="H182" t="str" cm="1">
        <f t="array" ref="H182">_xlfn.IFS(B182="","",(SUMIFS(SF_Output!$F$1:$F$400,SF_Output!$AC$1:$AC$400,_xlfn.TEXTJOIN(",",TRUE,B182:E182))+SUMIFS(SF_Output!$G$1:$G$400,SF_Output!$AC$1:$AC$400,_xlfn.TEXTJOIN(",",TRUE,B182:E182)))&lt;&gt;0,SF_Output!$Y$2,INDEX(SF_Output!$F$1:$F$400,MATCH(_xlfn.TEXTJOIN(",",TRUE,B182:E182),SF_Output!$AC$1:$AC$400,0))=0,INDEX(SF_Output!$R$1:$R$400,MATCH(_xlfn.TEXTJOIN(",",TRUE,B182:E182),SF_Output!$AC$1:$AC$400,0)))</f>
        <v/>
      </c>
      <c r="I182" s="125" t="str">
        <f>IFERROR(IF(AND(H182&gt;1,H182&lt;&gt;""),ROUND(SUMIFS(SF_Output!$S$1:$S$400,SF_Output!$AC$1:$AC$400,_xlfn.TEXTJOIN(",",TRUE,B182:E182),SF_Output!$Q$1:$Q$400,"monthly")*(1-W182)/H182,4),""),"")</f>
        <v/>
      </c>
      <c r="J182" s="6" t="str">
        <f>IF(B182="","",SUMIFS(SF_Output!$S$1:$S$400,SF_Output!$AC$1:$AC$400,_xlfn.TEXTJOIN(",",TRUE,B182:E182),SF_Output!$Q$1:$Q$400,"One Time",SF_Output!$L$1:$L$400,"license fee")+SUMIFS(SF_Output!$S$1:$S$400,SF_Output!$AC$1:$AC$400,_xlfn.TEXTJOIN(",",TRUE,B182:E182),SF_Output!$Q$1:$Q$400,"One Time",SF_Output!$L$1:$L$400,"software license")+SUMIFS(SF_Output!$S$1:$S$400,SF_Output!$AC$1:$AC$400,_xlfn.TEXTJOIN(",",TRUE,B182:E182),SF_Output!$Q$1:$Q$400,"One Time",SF_Output!$L$1:$L$400,"hardware"))</f>
        <v/>
      </c>
      <c r="K182" s="112" t="str">
        <f>IF(OR(B182=0,B182="",G182="hardware",J182=0),"",IF(AF182&lt;&gt;"exclusion",MAX(K$9,-((SUMIFS(SF_Output!$T$1:$T$400,SF_Output!$AC$1:$AC$400,_xlfn.TEXTJOIN(",",TRUE,$B182:$E182),SF_Output!$Q$1:$Q$400,"One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license"))/J182)))</f>
        <v/>
      </c>
      <c r="L182" s="6" t="str">
        <f t="shared" si="35"/>
        <v/>
      </c>
      <c r="N182" s="6" t="str">
        <f>IF(B182="","",SUMIFS(SF_Output!$S$1:$S$400,SF_Output!$AC$1:$AC$400,_xlfn.TEXTJOIN(",",TRUE,B182:E182),SF_Output!$Q$1:$Q$400,"One Time",SF_Output!$L$1:$L$400,"professional service"))</f>
        <v/>
      </c>
      <c r="O182" s="112" t="str">
        <f>IF(OR(B182=0,B182="",N182=0),"",IF(AF182&lt;&gt;"exclusion",MAX(O$9,-(SUMIFS(SF_Output!$T$1:$T$400,SF_Output!$AC$1:$AC$400,_xlfn.TEXTJOIN(",",TRUE,$B182:$E182),SF_Output!$Q$1:$Q$400,"One Time",SF_Output!$L$1:$L$400,"professional service"))/N182),-((SUMIFS(SF_Output!$T$1:$T$400,SF_Output!$AC$1:$AC$400,_xlfn.TEXTJOIN(",",TRUE,$B182:$E182),SF_Output!$Q$1:$Q$400,"One Time",SF_Output!$L$1:$L$400,"professional service")/N182))))</f>
        <v/>
      </c>
      <c r="P182" s="6" t="str">
        <f t="shared" si="36"/>
        <v/>
      </c>
      <c r="R182" s="6" t="str">
        <f>IF(B182="","",SUMIFS(SF_Output!$S$1:$S$400,SF_Output!$AC$1:$AC$400,_xlfn.TEXTJOIN(",",TRUE,B182:E182),SF_Output!$Q$1:$Q$400,"yearly")+SUMIFS(SF_Output!$S$1:$S$400,SF_Output!$AC$1:$AC$400,_xlfn.TEXTJOIN(",",TRUE,B182:E182),SF_Output!$Q$1:$Q$400,"quarterly")*4)</f>
        <v/>
      </c>
      <c r="S182" s="112" t="str">
        <f>IF(OR(B182=0,B182="",G182="hardware",R182=0),"",IF(AF182&lt;&gt;"exclusion",MAX(S$9,-(SUMIFS(SF_Output!$T$1:$T$400,SF_Output!$AC$1:$AC$400,_xlfn.TEXTJOIN(",",TRUE,$B182:$E182),SF_Output!$Q$1:$Q$400,"yearly"))/R182),-((SUMIFS(SF_Output!$T$1:$T$400,SF_Output!$AC$1:$AC$400,_xlfn.TEXTJOIN(",",TRUE,$B182:$E182),SF_Output!$Q$1:$Q$400,"yearly")/R182))))</f>
        <v/>
      </c>
      <c r="T182" s="6" t="str">
        <f t="shared" si="37"/>
        <v/>
      </c>
      <c r="V182" s="6" t="str" cm="1">
        <f t="array" ref="V182">_xlfn.IFS(B182="","",AND(B182&lt;&gt;"",H182=SF_Output!$Y$2,SUMIFS(SF_Output!$T$1:$T$400,SF_Output!$AC$1:$AC$400,_xlfn.TEXTJOIN(",",TRUE,B182:E182),SF_Output!$Q$1:$Q$400,"monthly")=0),(SUMIFS(SF_Output!$F$1:$F$400,SF_Output!$AC$1:$AC$400,_xlfn.TEXTJOIN(",",TRUE,B182:E182),SF_Output!$Q$1:$Q$400,"monthly")+SUMIFS(SF_Output!$G$1:$G$400,SF_Output!$AC$1:$AC$400,_xlfn.TEXTJOIN(",",TRUE,B182:E182),SF_Output!$Q$1:$Q$400,"monthly"))*H182,AND(B182&lt;&gt;"",H182=SF_Output!$Y$2,SUMIFS(SF_Output!$T$1:$T$400,SF_Output!$AC$1:$AC$400,_xlfn.TEXTJOIN(",",TRUE,B182:E182),SF_Output!$Q$1:$Q$400,"monthly")&lt;&gt;0),SUMIFS(SF_Output!$S$1:$S$400,SF_Output!$AC$1:$AC$400,_xlfn.TEXTJOIN(",",TRUE,B182:E182),SF_Output!$Q$1:$Q$400,"monthly"),AND(B182&lt;&gt;"",H182&lt;&gt;SF_Output!$Y$2),SUMIFS(SF_Output!$S$1:$S$400,SF_Output!$AC$1:$AC$400,_xlfn.TEXTJOIN(",",TRUE,B182:E182),SF_Output!$Q$1:$Q$400,"monthly"))</f>
        <v/>
      </c>
      <c r="W182" s="112" t="str" cm="1">
        <f t="array" ref="W182">_xlfn.IFS(OR(B182=0,B182="",V182=0),"",AF182&lt;&gt;"exclusion",MAX($W$9,$W$7,(-(SUMIFS(SF_Output!$T$1:$T$400,SF_Output!$AC$1:$AC$400,_xlfn.TEXTJOIN(",",TRUE,$B182:$E182),SF_Output!$Q$1:$Q$400,"monthly"))/V182)),AF182="exclusion",-(SUMIFS(SF_Output!$T$1:$T$400,SF_Output!$AC$1:$AC$400,_xlfn.TEXTJOIN(",",TRUE,$B182:$E182),SF_Output!$Q$1:$Q$400,"monthly"))/V182)</f>
        <v/>
      </c>
      <c r="X182" s="6" t="str" cm="1">
        <f t="array" ref="X182">IFERROR(_xlfn.IFS(V182=0,0,V182="","",W182=0,V182,OR(V182&lt;&gt;0,V182&lt;&gt;""),H182*I182),V182*(1-W182))</f>
        <v/>
      </c>
      <c r="Z182" s="6" t="str">
        <f>IFERROR(IF(B182="","",SUMIFS(Billing_Fallout!H:H,Billing_Fallout!N:N,B182)),0)</f>
        <v/>
      </c>
      <c r="AA182" s="6" t="str">
        <f t="shared" si="38"/>
        <v/>
      </c>
      <c r="AB182" s="6" t="str">
        <f>IFERROR(IF(B182="","",SUMIFS(Billing_Fallout!J:J,Billing_Fallout!N:N,B182)),0)</f>
        <v/>
      </c>
      <c r="AD182" s="6" t="str">
        <f t="shared" si="39"/>
        <v/>
      </c>
      <c r="AF182" t="str">
        <f>IFERROR(INDEX(H_Tables!$B$1:$B$1500,MATCH(INDEX(SF_Output!$J$1:$J$400,MATCH(B182,SF_Output!$M$1:$M$400,0)),H_Tables!$A$1:$A$1500,0)),"")</f>
        <v/>
      </c>
      <c r="AI182" s="119" t="str">
        <f t="shared" si="40"/>
        <v/>
      </c>
      <c r="AJ182" s="121">
        <f>IFERROR(INDEX(SF_Output!AD:AD,MATCH(_xlfn.TEXTJOIN(",",TRUE,B182:E182),SF_Output!AC1:AC400,0)),0.05)</f>
        <v>241</v>
      </c>
      <c r="AK182" t="str">
        <f>IF(SUMIFS(SF_Output!$F$1:$F$400,SF_Output!$AC$1:$AC$400,_xlfn.TEXTJOIN(",",TRUE,B182:E182))+SUMIFS(SF_Output!$G$1:$G$400,SF_Output!$AC$1:$AC$400,_xlfn.TEXTJOIN(",",TRUE,B182:E182))=0,"","PAP")</f>
        <v/>
      </c>
      <c r="AQ182" s="35"/>
      <c r="AR182" s="35" t="str" cm="1">
        <f t="array" ref="AR182">IFERROR(_xlfn.IFS(AND(E182*1=1,F182="Included"),"Change to Included",AND(E182*1=0,F182="Optional"),"Change to Optional",OR(B182="",F182="replaced"),""),"")</f>
        <v/>
      </c>
      <c r="AS182" s="35" t="str">
        <f t="shared" si="41"/>
        <v/>
      </c>
      <c r="AT182" s="35" t="str">
        <f t="shared" si="42"/>
        <v/>
      </c>
      <c r="AU182" s="35" t="str">
        <f t="shared" si="43"/>
        <v/>
      </c>
      <c r="AV182" s="35" t="str">
        <f t="shared" si="44"/>
        <v/>
      </c>
      <c r="AW182" s="35" t="str">
        <f t="shared" si="45"/>
        <v/>
      </c>
      <c r="AX182" s="35" t="str">
        <f t="shared" si="46"/>
        <v/>
      </c>
      <c r="AY182" s="35" t="str">
        <f t="shared" si="47"/>
        <v/>
      </c>
      <c r="AZ182" s="35" t="str">
        <f t="shared" si="48"/>
        <v/>
      </c>
      <c r="BA182" s="35" t="str">
        <f t="shared" si="49"/>
        <v/>
      </c>
      <c r="BB182" s="35" t="str">
        <f t="shared" si="50"/>
        <v/>
      </c>
      <c r="BC182" s="35"/>
      <c r="BE182" s="35" t="e">
        <f>INDEX(SF_Output!$AA$2:$AA$400,MATCH($B182,SF_Output!$M$2:$M$400,0))</f>
        <v>#N/A</v>
      </c>
      <c r="BF182" s="35" t="e">
        <f>INDEX(SF_Output!$AB$2:$AB$400,MATCH($B182,SF_Output!$M$2:$M$400,0))</f>
        <v>#N/A</v>
      </c>
    </row>
    <row r="183" spans="2:58" x14ac:dyDescent="0.25">
      <c r="F183" s="116" t="str">
        <f t="shared" si="34"/>
        <v/>
      </c>
      <c r="G183" t="str">
        <f>IF(B183="","",INDEX(SF_Output!$K$1:$K$400,MATCH(B183,SF_Output!$M$1:$M$400,0)))</f>
        <v/>
      </c>
      <c r="H183" t="str" cm="1">
        <f t="array" ref="H183">_xlfn.IFS(B183="","",(SUMIFS(SF_Output!$F$1:$F$400,SF_Output!$AC$1:$AC$400,_xlfn.TEXTJOIN(",",TRUE,B183:E183))+SUMIFS(SF_Output!$G$1:$G$400,SF_Output!$AC$1:$AC$400,_xlfn.TEXTJOIN(",",TRUE,B183:E183)))&lt;&gt;0,SF_Output!$Y$2,INDEX(SF_Output!$F$1:$F$400,MATCH(_xlfn.TEXTJOIN(",",TRUE,B183:E183),SF_Output!$AC$1:$AC$400,0))=0,INDEX(SF_Output!$R$1:$R$400,MATCH(_xlfn.TEXTJOIN(",",TRUE,B183:E183),SF_Output!$AC$1:$AC$400,0)))</f>
        <v/>
      </c>
      <c r="I183" s="125" t="str">
        <f>IFERROR(IF(AND(H183&gt;1,H183&lt;&gt;""),ROUND(SUMIFS(SF_Output!$S$1:$S$400,SF_Output!$AC$1:$AC$400,_xlfn.TEXTJOIN(",",TRUE,B183:E183),SF_Output!$Q$1:$Q$400,"monthly")*(1-W183)/H183,4),""),"")</f>
        <v/>
      </c>
      <c r="J183" s="6" t="str">
        <f>IF(B183="","",SUMIFS(SF_Output!$S$1:$S$400,SF_Output!$AC$1:$AC$400,_xlfn.TEXTJOIN(",",TRUE,B183:E183),SF_Output!$Q$1:$Q$400,"One Time",SF_Output!$L$1:$L$400,"license fee")+SUMIFS(SF_Output!$S$1:$S$400,SF_Output!$AC$1:$AC$400,_xlfn.TEXTJOIN(",",TRUE,B183:E183),SF_Output!$Q$1:$Q$400,"One Time",SF_Output!$L$1:$L$400,"software license")+SUMIFS(SF_Output!$S$1:$S$400,SF_Output!$AC$1:$AC$400,_xlfn.TEXTJOIN(",",TRUE,B183:E183),SF_Output!$Q$1:$Q$400,"One Time",SF_Output!$L$1:$L$400,"hardware"))</f>
        <v/>
      </c>
      <c r="K183" s="112" t="str">
        <f>IF(OR(B183=0,B183="",G183="hardware",J183=0),"",IF(AF183&lt;&gt;"exclusion",MAX(K$9,-((SUMIFS(SF_Output!$T$1:$T$400,SF_Output!$AC$1:$AC$400,_xlfn.TEXTJOIN(",",TRUE,$B183:$E183),SF_Output!$Q$1:$Q$400,"One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license"))/J183)))</f>
        <v/>
      </c>
      <c r="L183" s="6" t="str">
        <f t="shared" si="35"/>
        <v/>
      </c>
      <c r="N183" s="6" t="str">
        <f>IF(B183="","",SUMIFS(SF_Output!$S$1:$S$400,SF_Output!$AC$1:$AC$400,_xlfn.TEXTJOIN(",",TRUE,B183:E183),SF_Output!$Q$1:$Q$400,"One Time",SF_Output!$L$1:$L$400,"professional service"))</f>
        <v/>
      </c>
      <c r="O183" s="112" t="str">
        <f>IF(OR(B183=0,B183="",N183=0),"",IF(AF183&lt;&gt;"exclusion",MAX(O$9,-(SUMIFS(SF_Output!$T$1:$T$400,SF_Output!$AC$1:$AC$400,_xlfn.TEXTJOIN(",",TRUE,$B183:$E183),SF_Output!$Q$1:$Q$400,"One Time",SF_Output!$L$1:$L$400,"professional service"))/N183),-((SUMIFS(SF_Output!$T$1:$T$400,SF_Output!$AC$1:$AC$400,_xlfn.TEXTJOIN(",",TRUE,$B183:$E183),SF_Output!$Q$1:$Q$400,"One Time",SF_Output!$L$1:$L$400,"professional service")/N183))))</f>
        <v/>
      </c>
      <c r="P183" s="6" t="str">
        <f t="shared" si="36"/>
        <v/>
      </c>
      <c r="R183" s="6" t="str">
        <f>IF(B183="","",SUMIFS(SF_Output!$S$1:$S$400,SF_Output!$AC$1:$AC$400,_xlfn.TEXTJOIN(",",TRUE,B183:E183),SF_Output!$Q$1:$Q$400,"yearly")+SUMIFS(SF_Output!$S$1:$S$400,SF_Output!$AC$1:$AC$400,_xlfn.TEXTJOIN(",",TRUE,B183:E183),SF_Output!$Q$1:$Q$400,"quarterly")*4)</f>
        <v/>
      </c>
      <c r="S183" s="112" t="str">
        <f>IF(OR(B183=0,B183="",G183="hardware",R183=0),"",IF(AF183&lt;&gt;"exclusion",MAX(S$9,-(SUMIFS(SF_Output!$T$1:$T$400,SF_Output!$AC$1:$AC$400,_xlfn.TEXTJOIN(",",TRUE,$B183:$E183),SF_Output!$Q$1:$Q$400,"yearly"))/R183),-((SUMIFS(SF_Output!$T$1:$T$400,SF_Output!$AC$1:$AC$400,_xlfn.TEXTJOIN(",",TRUE,$B183:$E183),SF_Output!$Q$1:$Q$400,"yearly")/R183))))</f>
        <v/>
      </c>
      <c r="T183" s="6" t="str">
        <f t="shared" si="37"/>
        <v/>
      </c>
      <c r="V183" s="6" t="str" cm="1">
        <f t="array" ref="V183">_xlfn.IFS(B183="","",AND(B183&lt;&gt;"",H183=SF_Output!$Y$2,SUMIFS(SF_Output!$T$1:$T$400,SF_Output!$AC$1:$AC$400,_xlfn.TEXTJOIN(",",TRUE,B183:E183),SF_Output!$Q$1:$Q$400,"monthly")=0),(SUMIFS(SF_Output!$F$1:$F$400,SF_Output!$AC$1:$AC$400,_xlfn.TEXTJOIN(",",TRUE,B183:E183),SF_Output!$Q$1:$Q$400,"monthly")+SUMIFS(SF_Output!$G$1:$G$400,SF_Output!$AC$1:$AC$400,_xlfn.TEXTJOIN(",",TRUE,B183:E183),SF_Output!$Q$1:$Q$400,"monthly"))*H183,AND(B183&lt;&gt;"",H183=SF_Output!$Y$2,SUMIFS(SF_Output!$T$1:$T$400,SF_Output!$AC$1:$AC$400,_xlfn.TEXTJOIN(",",TRUE,B183:E183),SF_Output!$Q$1:$Q$400,"monthly")&lt;&gt;0),SUMIFS(SF_Output!$S$1:$S$400,SF_Output!$AC$1:$AC$400,_xlfn.TEXTJOIN(",",TRUE,B183:E183),SF_Output!$Q$1:$Q$400,"monthly"),AND(B183&lt;&gt;"",H183&lt;&gt;SF_Output!$Y$2),SUMIFS(SF_Output!$S$1:$S$400,SF_Output!$AC$1:$AC$400,_xlfn.TEXTJOIN(",",TRUE,B183:E183),SF_Output!$Q$1:$Q$400,"monthly"))</f>
        <v/>
      </c>
      <c r="W183" s="112" t="str" cm="1">
        <f t="array" ref="W183">_xlfn.IFS(OR(B183=0,B183="",V183=0),"",AF183&lt;&gt;"exclusion",MAX($W$9,$W$7,(-(SUMIFS(SF_Output!$T$1:$T$400,SF_Output!$AC$1:$AC$400,_xlfn.TEXTJOIN(",",TRUE,$B183:$E183),SF_Output!$Q$1:$Q$400,"monthly"))/V183)),AF183="exclusion",-(SUMIFS(SF_Output!$T$1:$T$400,SF_Output!$AC$1:$AC$400,_xlfn.TEXTJOIN(",",TRUE,$B183:$E183),SF_Output!$Q$1:$Q$400,"monthly"))/V183)</f>
        <v/>
      </c>
      <c r="X183" s="6" t="str" cm="1">
        <f t="array" ref="X183">IFERROR(_xlfn.IFS(V183=0,0,V183="","",W183=0,V183,OR(V183&lt;&gt;0,V183&lt;&gt;""),H183*I183),V183*(1-W183))</f>
        <v/>
      </c>
      <c r="Z183" s="6" t="str">
        <f>IFERROR(IF(B183="","",SUMIFS(Billing_Fallout!H:H,Billing_Fallout!N:N,B183)),0)</f>
        <v/>
      </c>
      <c r="AA183" s="6" t="str">
        <f t="shared" si="38"/>
        <v/>
      </c>
      <c r="AB183" s="6" t="str">
        <f>IFERROR(IF(B183="","",SUMIFS(Billing_Fallout!J:J,Billing_Fallout!N:N,B183)),0)</f>
        <v/>
      </c>
      <c r="AD183" s="6" t="str">
        <f t="shared" si="39"/>
        <v/>
      </c>
      <c r="AF183" t="str">
        <f>IFERROR(INDEX(H_Tables!$B$1:$B$1500,MATCH(INDEX(SF_Output!$J$1:$J$400,MATCH(B183,SF_Output!$M$1:$M$400,0)),H_Tables!$A$1:$A$1500,0)),"")</f>
        <v/>
      </c>
      <c r="AI183" s="119" t="str">
        <f t="shared" si="40"/>
        <v/>
      </c>
      <c r="AJ183" s="121">
        <f>IFERROR(INDEX(SF_Output!AD:AD,MATCH(_xlfn.TEXTJOIN(",",TRUE,B183:E183),SF_Output!AC1:AC400,0)),0.05)</f>
        <v>241</v>
      </c>
      <c r="AK183" t="str">
        <f>IF(SUMIFS(SF_Output!$F$1:$F$400,SF_Output!$AC$1:$AC$400,_xlfn.TEXTJOIN(",",TRUE,B183:E183))+SUMIFS(SF_Output!$G$1:$G$400,SF_Output!$AC$1:$AC$400,_xlfn.TEXTJOIN(",",TRUE,B183:E183))=0,"","PAP")</f>
        <v/>
      </c>
      <c r="AQ183" s="35"/>
      <c r="AR183" s="35" t="str" cm="1">
        <f t="array" ref="AR183">IFERROR(_xlfn.IFS(AND(E183*1=1,F183="Included"),"Change to Included",AND(E183*1=0,F183="Optional"),"Change to Optional",OR(B183="",F183="replaced"),""),"")</f>
        <v/>
      </c>
      <c r="AS183" s="35" t="str">
        <f t="shared" si="41"/>
        <v/>
      </c>
      <c r="AT183" s="35" t="str">
        <f t="shared" si="42"/>
        <v/>
      </c>
      <c r="AU183" s="35" t="str">
        <f t="shared" si="43"/>
        <v/>
      </c>
      <c r="AV183" s="35" t="str">
        <f t="shared" si="44"/>
        <v/>
      </c>
      <c r="AW183" s="35" t="str">
        <f t="shared" si="45"/>
        <v/>
      </c>
      <c r="AX183" s="35" t="str">
        <f t="shared" si="46"/>
        <v/>
      </c>
      <c r="AY183" s="35" t="str">
        <f t="shared" si="47"/>
        <v/>
      </c>
      <c r="AZ183" s="35" t="str">
        <f t="shared" si="48"/>
        <v/>
      </c>
      <c r="BA183" s="35" t="str">
        <f t="shared" si="49"/>
        <v/>
      </c>
      <c r="BB183" s="35" t="str">
        <f t="shared" si="50"/>
        <v/>
      </c>
      <c r="BC183" s="35"/>
      <c r="BE183" s="35" t="e">
        <f>INDEX(SF_Output!$AA$2:$AA$400,MATCH($B183,SF_Output!$M$2:$M$400,0))</f>
        <v>#N/A</v>
      </c>
      <c r="BF183" s="35" t="e">
        <f>INDEX(SF_Output!$AB$2:$AB$400,MATCH($B183,SF_Output!$M$2:$M$400,0))</f>
        <v>#N/A</v>
      </c>
    </row>
    <row r="184" spans="2:58" x14ac:dyDescent="0.25">
      <c r="F184" s="116" t="str">
        <f t="shared" si="34"/>
        <v/>
      </c>
      <c r="G184" t="str">
        <f>IF(B184="","",INDEX(SF_Output!$K$1:$K$400,MATCH(B184,SF_Output!$M$1:$M$400,0)))</f>
        <v/>
      </c>
      <c r="H184" t="str" cm="1">
        <f t="array" ref="H184">_xlfn.IFS(B184="","",(SUMIFS(SF_Output!$F$1:$F$400,SF_Output!$AC$1:$AC$400,_xlfn.TEXTJOIN(",",TRUE,B184:E184))+SUMIFS(SF_Output!$G$1:$G$400,SF_Output!$AC$1:$AC$400,_xlfn.TEXTJOIN(",",TRUE,B184:E184)))&lt;&gt;0,SF_Output!$Y$2,INDEX(SF_Output!$F$1:$F$400,MATCH(_xlfn.TEXTJOIN(",",TRUE,B184:E184),SF_Output!$AC$1:$AC$400,0))=0,INDEX(SF_Output!$R$1:$R$400,MATCH(_xlfn.TEXTJOIN(",",TRUE,B184:E184),SF_Output!$AC$1:$AC$400,0)))</f>
        <v/>
      </c>
      <c r="I184" s="125" t="str">
        <f>IFERROR(IF(AND(H184&gt;1,H184&lt;&gt;""),ROUND(SUMIFS(SF_Output!$S$1:$S$400,SF_Output!$AC$1:$AC$400,_xlfn.TEXTJOIN(",",TRUE,B184:E184),SF_Output!$Q$1:$Q$400,"monthly")*(1-W184)/H184,4),""),"")</f>
        <v/>
      </c>
      <c r="J184" s="6" t="str">
        <f>IF(B184="","",SUMIFS(SF_Output!$S$1:$S$400,SF_Output!$AC$1:$AC$400,_xlfn.TEXTJOIN(",",TRUE,B184:E184),SF_Output!$Q$1:$Q$400,"One Time",SF_Output!$L$1:$L$400,"license fee")+SUMIFS(SF_Output!$S$1:$S$400,SF_Output!$AC$1:$AC$400,_xlfn.TEXTJOIN(",",TRUE,B184:E184),SF_Output!$Q$1:$Q$400,"One Time",SF_Output!$L$1:$L$400,"software license")+SUMIFS(SF_Output!$S$1:$S$400,SF_Output!$AC$1:$AC$400,_xlfn.TEXTJOIN(",",TRUE,B184:E184),SF_Output!$Q$1:$Q$400,"One Time",SF_Output!$L$1:$L$400,"hardware"))</f>
        <v/>
      </c>
      <c r="K184" s="112" t="str">
        <f>IF(OR(B184=0,B184="",G184="hardware",J184=0),"",IF(AF184&lt;&gt;"exclusion",MAX(K$9,-((SUMIFS(SF_Output!$T$1:$T$400,SF_Output!$AC$1:$AC$400,_xlfn.TEXTJOIN(",",TRUE,$B184:$E184),SF_Output!$Q$1:$Q$400,"One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license"))/J184)))</f>
        <v/>
      </c>
      <c r="L184" s="6" t="str">
        <f t="shared" si="35"/>
        <v/>
      </c>
      <c r="N184" s="6" t="str">
        <f>IF(B184="","",SUMIFS(SF_Output!$S$1:$S$400,SF_Output!$AC$1:$AC$400,_xlfn.TEXTJOIN(",",TRUE,B184:E184),SF_Output!$Q$1:$Q$400,"One Time",SF_Output!$L$1:$L$400,"professional service"))</f>
        <v/>
      </c>
      <c r="O184" s="112" t="str">
        <f>IF(OR(B184=0,B184="",N184=0),"",IF(AF184&lt;&gt;"exclusion",MAX(O$9,-(SUMIFS(SF_Output!$T$1:$T$400,SF_Output!$AC$1:$AC$400,_xlfn.TEXTJOIN(",",TRUE,$B184:$E184),SF_Output!$Q$1:$Q$400,"One Time",SF_Output!$L$1:$L$400,"professional service"))/N184),-((SUMIFS(SF_Output!$T$1:$T$400,SF_Output!$AC$1:$AC$400,_xlfn.TEXTJOIN(",",TRUE,$B184:$E184),SF_Output!$Q$1:$Q$400,"One Time",SF_Output!$L$1:$L$400,"professional service")/N184))))</f>
        <v/>
      </c>
      <c r="P184" s="6" t="str">
        <f t="shared" si="36"/>
        <v/>
      </c>
      <c r="R184" s="6" t="str">
        <f>IF(B184="","",SUMIFS(SF_Output!$S$1:$S$400,SF_Output!$AC$1:$AC$400,_xlfn.TEXTJOIN(",",TRUE,B184:E184),SF_Output!$Q$1:$Q$400,"yearly")+SUMIFS(SF_Output!$S$1:$S$400,SF_Output!$AC$1:$AC$400,_xlfn.TEXTJOIN(",",TRUE,B184:E184),SF_Output!$Q$1:$Q$400,"quarterly")*4)</f>
        <v/>
      </c>
      <c r="S184" s="112" t="str">
        <f>IF(OR(B184=0,B184="",G184="hardware",R184=0),"",IF(AF184&lt;&gt;"exclusion",MAX(S$9,-(SUMIFS(SF_Output!$T$1:$T$400,SF_Output!$AC$1:$AC$400,_xlfn.TEXTJOIN(",",TRUE,$B184:$E184),SF_Output!$Q$1:$Q$400,"yearly"))/R184),-((SUMIFS(SF_Output!$T$1:$T$400,SF_Output!$AC$1:$AC$400,_xlfn.TEXTJOIN(",",TRUE,$B184:$E184),SF_Output!$Q$1:$Q$400,"yearly")/R184))))</f>
        <v/>
      </c>
      <c r="T184" s="6" t="str">
        <f t="shared" si="37"/>
        <v/>
      </c>
      <c r="V184" s="6" t="str" cm="1">
        <f t="array" ref="V184">_xlfn.IFS(B184="","",AND(B184&lt;&gt;"",H184=SF_Output!$Y$2,SUMIFS(SF_Output!$T$1:$T$400,SF_Output!$AC$1:$AC$400,_xlfn.TEXTJOIN(",",TRUE,B184:E184),SF_Output!$Q$1:$Q$400,"monthly")=0),(SUMIFS(SF_Output!$F$1:$F$400,SF_Output!$AC$1:$AC$400,_xlfn.TEXTJOIN(",",TRUE,B184:E184),SF_Output!$Q$1:$Q$400,"monthly")+SUMIFS(SF_Output!$G$1:$G$400,SF_Output!$AC$1:$AC$400,_xlfn.TEXTJOIN(",",TRUE,B184:E184),SF_Output!$Q$1:$Q$400,"monthly"))*H184,AND(B184&lt;&gt;"",H184=SF_Output!$Y$2,SUMIFS(SF_Output!$T$1:$T$400,SF_Output!$AC$1:$AC$400,_xlfn.TEXTJOIN(",",TRUE,B184:E184),SF_Output!$Q$1:$Q$400,"monthly")&lt;&gt;0),SUMIFS(SF_Output!$S$1:$S$400,SF_Output!$AC$1:$AC$400,_xlfn.TEXTJOIN(",",TRUE,B184:E184),SF_Output!$Q$1:$Q$400,"monthly"),AND(B184&lt;&gt;"",H184&lt;&gt;SF_Output!$Y$2),SUMIFS(SF_Output!$S$1:$S$400,SF_Output!$AC$1:$AC$400,_xlfn.TEXTJOIN(",",TRUE,B184:E184),SF_Output!$Q$1:$Q$400,"monthly"))</f>
        <v/>
      </c>
      <c r="W184" s="112" t="str" cm="1">
        <f t="array" ref="W184">_xlfn.IFS(OR(B184=0,B184="",V184=0),"",AF184&lt;&gt;"exclusion",MAX($W$9,$W$7,(-(SUMIFS(SF_Output!$T$1:$T$400,SF_Output!$AC$1:$AC$400,_xlfn.TEXTJOIN(",",TRUE,$B184:$E184),SF_Output!$Q$1:$Q$400,"monthly"))/V184)),AF184="exclusion",-(SUMIFS(SF_Output!$T$1:$T$400,SF_Output!$AC$1:$AC$400,_xlfn.TEXTJOIN(",",TRUE,$B184:$E184),SF_Output!$Q$1:$Q$400,"monthly"))/V184)</f>
        <v/>
      </c>
      <c r="X184" s="6" t="str" cm="1">
        <f t="array" ref="X184">IFERROR(_xlfn.IFS(V184=0,0,V184="","",W184=0,V184,OR(V184&lt;&gt;0,V184&lt;&gt;""),H184*I184),V184*(1-W184))</f>
        <v/>
      </c>
      <c r="Z184" s="6" t="str">
        <f>IFERROR(IF(B184="","",SUMIFS(Billing_Fallout!H:H,Billing_Fallout!N:N,B184)),0)</f>
        <v/>
      </c>
      <c r="AA184" s="6" t="str">
        <f t="shared" si="38"/>
        <v/>
      </c>
      <c r="AB184" s="6" t="str">
        <f>IFERROR(IF(B184="","",SUMIFS(Billing_Fallout!J:J,Billing_Fallout!N:N,B184)),0)</f>
        <v/>
      </c>
      <c r="AD184" s="6" t="str">
        <f t="shared" si="39"/>
        <v/>
      </c>
      <c r="AF184" t="str">
        <f>IFERROR(INDEX(H_Tables!$B$1:$B$1500,MATCH(INDEX(SF_Output!$J$1:$J$400,MATCH(B184,SF_Output!$M$1:$M$400,0)),H_Tables!$A$1:$A$1500,0)),"")</f>
        <v/>
      </c>
      <c r="AI184" s="119" t="str">
        <f t="shared" si="40"/>
        <v/>
      </c>
      <c r="AJ184" s="121">
        <f>IFERROR(INDEX(SF_Output!AD:AD,MATCH(_xlfn.TEXTJOIN(",",TRUE,B184:E184),SF_Output!AC1:AC400,0)),0.05)</f>
        <v>241</v>
      </c>
      <c r="AK184" t="str">
        <f>IF(SUMIFS(SF_Output!$F$1:$F$400,SF_Output!$AC$1:$AC$400,_xlfn.TEXTJOIN(",",TRUE,B184:E184))+SUMIFS(SF_Output!$G$1:$G$400,SF_Output!$AC$1:$AC$400,_xlfn.TEXTJOIN(",",TRUE,B184:E184))=0,"","PAP")</f>
        <v/>
      </c>
      <c r="AQ184" s="35"/>
      <c r="AR184" s="35" t="str" cm="1">
        <f t="array" ref="AR184">IFERROR(_xlfn.IFS(AND(E184*1=1,F184="Included"),"Change to Included",AND(E184*1=0,F184="Optional"),"Change to Optional",OR(B184="",F184="replaced"),""),"")</f>
        <v/>
      </c>
      <c r="AS184" s="35" t="str">
        <f t="shared" si="41"/>
        <v/>
      </c>
      <c r="AT184" s="35" t="str">
        <f t="shared" si="42"/>
        <v/>
      </c>
      <c r="AU184" s="35" t="str">
        <f t="shared" si="43"/>
        <v/>
      </c>
      <c r="AV184" s="35" t="str">
        <f t="shared" si="44"/>
        <v/>
      </c>
      <c r="AW184" s="35" t="str">
        <f t="shared" si="45"/>
        <v/>
      </c>
      <c r="AX184" s="35" t="str">
        <f t="shared" si="46"/>
        <v/>
      </c>
      <c r="AY184" s="35" t="str">
        <f t="shared" si="47"/>
        <v/>
      </c>
      <c r="AZ184" s="35" t="str">
        <f t="shared" si="48"/>
        <v/>
      </c>
      <c r="BA184" s="35" t="str">
        <f t="shared" si="49"/>
        <v/>
      </c>
      <c r="BB184" s="35" t="str">
        <f t="shared" si="50"/>
        <v/>
      </c>
      <c r="BC184" s="35"/>
      <c r="BE184" s="35" t="e">
        <f>INDEX(SF_Output!$AA$2:$AA$400,MATCH($B184,SF_Output!$M$2:$M$400,0))</f>
        <v>#N/A</v>
      </c>
      <c r="BF184" s="35" t="e">
        <f>INDEX(SF_Output!$AB$2:$AB$400,MATCH($B184,SF_Output!$M$2:$M$400,0))</f>
        <v>#N/A</v>
      </c>
    </row>
    <row r="185" spans="2:58" x14ac:dyDescent="0.25">
      <c r="F185" s="116" t="str">
        <f t="shared" si="34"/>
        <v/>
      </c>
      <c r="G185" t="str">
        <f>IF(B185="","",INDEX(SF_Output!$K$1:$K$400,MATCH(B185,SF_Output!$M$1:$M$400,0)))</f>
        <v/>
      </c>
      <c r="H185" t="str" cm="1">
        <f t="array" ref="H185">_xlfn.IFS(B185="","",(SUMIFS(SF_Output!$F$1:$F$400,SF_Output!$AC$1:$AC$400,_xlfn.TEXTJOIN(",",TRUE,B185:E185))+SUMIFS(SF_Output!$G$1:$G$400,SF_Output!$AC$1:$AC$400,_xlfn.TEXTJOIN(",",TRUE,B185:E185)))&lt;&gt;0,SF_Output!$Y$2,INDEX(SF_Output!$F$1:$F$400,MATCH(_xlfn.TEXTJOIN(",",TRUE,B185:E185),SF_Output!$AC$1:$AC$400,0))=0,INDEX(SF_Output!$R$1:$R$400,MATCH(_xlfn.TEXTJOIN(",",TRUE,B185:E185),SF_Output!$AC$1:$AC$400,0)))</f>
        <v/>
      </c>
      <c r="I185" s="125" t="str">
        <f>IFERROR(IF(AND(H185&gt;1,H185&lt;&gt;""),ROUND(SUMIFS(SF_Output!$S$1:$S$400,SF_Output!$AC$1:$AC$400,_xlfn.TEXTJOIN(",",TRUE,B185:E185),SF_Output!$Q$1:$Q$400,"monthly")*(1-W185)/H185,4),""),"")</f>
        <v/>
      </c>
      <c r="J185" s="6" t="str">
        <f>IF(B185="","",SUMIFS(SF_Output!$S$1:$S$400,SF_Output!$AC$1:$AC$400,_xlfn.TEXTJOIN(",",TRUE,B185:E185),SF_Output!$Q$1:$Q$400,"One Time",SF_Output!$L$1:$L$400,"license fee")+SUMIFS(SF_Output!$S$1:$S$400,SF_Output!$AC$1:$AC$400,_xlfn.TEXTJOIN(",",TRUE,B185:E185),SF_Output!$Q$1:$Q$400,"One Time",SF_Output!$L$1:$L$400,"software license")+SUMIFS(SF_Output!$S$1:$S$400,SF_Output!$AC$1:$AC$400,_xlfn.TEXTJOIN(",",TRUE,B185:E185),SF_Output!$Q$1:$Q$400,"One Time",SF_Output!$L$1:$L$400,"hardware"))</f>
        <v/>
      </c>
      <c r="K185" s="112" t="str">
        <f>IF(OR(B185=0,B185="",G185="hardware",J185=0),"",IF(AF185&lt;&gt;"exclusion",MAX(K$9,-((SUMIFS(SF_Output!$T$1:$T$400,SF_Output!$AC$1:$AC$400,_xlfn.TEXTJOIN(",",TRUE,$B185:$E185),SF_Output!$Q$1:$Q$400,"One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license"))/J185)))</f>
        <v/>
      </c>
      <c r="L185" s="6" t="str">
        <f t="shared" si="35"/>
        <v/>
      </c>
      <c r="N185" s="6" t="str">
        <f>IF(B185="","",SUMIFS(SF_Output!$S$1:$S$400,SF_Output!$AC$1:$AC$400,_xlfn.TEXTJOIN(",",TRUE,B185:E185),SF_Output!$Q$1:$Q$400,"One Time",SF_Output!$L$1:$L$400,"professional service"))</f>
        <v/>
      </c>
      <c r="O185" s="112" t="str">
        <f>IF(OR(B185=0,B185="",N185=0),"",IF(AF185&lt;&gt;"exclusion",MAX(O$9,-(SUMIFS(SF_Output!$T$1:$T$400,SF_Output!$AC$1:$AC$400,_xlfn.TEXTJOIN(",",TRUE,$B185:$E185),SF_Output!$Q$1:$Q$400,"One Time",SF_Output!$L$1:$L$400,"professional service"))/N185),-((SUMIFS(SF_Output!$T$1:$T$400,SF_Output!$AC$1:$AC$400,_xlfn.TEXTJOIN(",",TRUE,$B185:$E185),SF_Output!$Q$1:$Q$400,"One Time",SF_Output!$L$1:$L$400,"professional service")/N185))))</f>
        <v/>
      </c>
      <c r="P185" s="6" t="str">
        <f t="shared" si="36"/>
        <v/>
      </c>
      <c r="R185" s="6" t="str">
        <f>IF(B185="","",SUMIFS(SF_Output!$S$1:$S$400,SF_Output!$AC$1:$AC$400,_xlfn.TEXTJOIN(",",TRUE,B185:E185),SF_Output!$Q$1:$Q$400,"yearly")+SUMIFS(SF_Output!$S$1:$S$400,SF_Output!$AC$1:$AC$400,_xlfn.TEXTJOIN(",",TRUE,B185:E185),SF_Output!$Q$1:$Q$400,"quarterly")*4)</f>
        <v/>
      </c>
      <c r="S185" s="112" t="str">
        <f>IF(OR(B185=0,B185="",G185="hardware",R185=0),"",IF(AF185&lt;&gt;"exclusion",MAX(S$9,-(SUMIFS(SF_Output!$T$1:$T$400,SF_Output!$AC$1:$AC$400,_xlfn.TEXTJOIN(",",TRUE,$B185:$E185),SF_Output!$Q$1:$Q$400,"yearly"))/R185),-((SUMIFS(SF_Output!$T$1:$T$400,SF_Output!$AC$1:$AC$400,_xlfn.TEXTJOIN(",",TRUE,$B185:$E185),SF_Output!$Q$1:$Q$400,"yearly")/R185))))</f>
        <v/>
      </c>
      <c r="T185" s="6" t="str">
        <f t="shared" si="37"/>
        <v/>
      </c>
      <c r="V185" s="6" t="str" cm="1">
        <f t="array" ref="V185">_xlfn.IFS(B185="","",AND(B185&lt;&gt;"",H185=SF_Output!$Y$2,SUMIFS(SF_Output!$T$1:$T$400,SF_Output!$AC$1:$AC$400,_xlfn.TEXTJOIN(",",TRUE,B185:E185),SF_Output!$Q$1:$Q$400,"monthly")=0),(SUMIFS(SF_Output!$F$1:$F$400,SF_Output!$AC$1:$AC$400,_xlfn.TEXTJOIN(",",TRUE,B185:E185),SF_Output!$Q$1:$Q$400,"monthly")+SUMIFS(SF_Output!$G$1:$G$400,SF_Output!$AC$1:$AC$400,_xlfn.TEXTJOIN(",",TRUE,B185:E185),SF_Output!$Q$1:$Q$400,"monthly"))*H185,AND(B185&lt;&gt;"",H185=SF_Output!$Y$2,SUMIFS(SF_Output!$T$1:$T$400,SF_Output!$AC$1:$AC$400,_xlfn.TEXTJOIN(",",TRUE,B185:E185),SF_Output!$Q$1:$Q$400,"monthly")&lt;&gt;0),SUMIFS(SF_Output!$S$1:$S$400,SF_Output!$AC$1:$AC$400,_xlfn.TEXTJOIN(",",TRUE,B185:E185),SF_Output!$Q$1:$Q$400,"monthly"),AND(B185&lt;&gt;"",H185&lt;&gt;SF_Output!$Y$2),SUMIFS(SF_Output!$S$1:$S$400,SF_Output!$AC$1:$AC$400,_xlfn.TEXTJOIN(",",TRUE,B185:E185),SF_Output!$Q$1:$Q$400,"monthly"))</f>
        <v/>
      </c>
      <c r="W185" s="112" t="str" cm="1">
        <f t="array" ref="W185">_xlfn.IFS(OR(B185=0,B185="",V185=0),"",AF185&lt;&gt;"exclusion",MAX($W$9,$W$7,(-(SUMIFS(SF_Output!$T$1:$T$400,SF_Output!$AC$1:$AC$400,_xlfn.TEXTJOIN(",",TRUE,$B185:$E185),SF_Output!$Q$1:$Q$400,"monthly"))/V185)),AF185="exclusion",-(SUMIFS(SF_Output!$T$1:$T$400,SF_Output!$AC$1:$AC$400,_xlfn.TEXTJOIN(",",TRUE,$B185:$E185),SF_Output!$Q$1:$Q$400,"monthly"))/V185)</f>
        <v/>
      </c>
      <c r="X185" s="6" t="str" cm="1">
        <f t="array" ref="X185">IFERROR(_xlfn.IFS(V185=0,0,V185="","",W185=0,V185,OR(V185&lt;&gt;0,V185&lt;&gt;""),H185*I185),V185*(1-W185))</f>
        <v/>
      </c>
      <c r="Z185" s="6" t="str">
        <f>IFERROR(IF(B185="","",SUMIFS(Billing_Fallout!H:H,Billing_Fallout!N:N,B185)),0)</f>
        <v/>
      </c>
      <c r="AA185" s="6" t="str">
        <f t="shared" si="38"/>
        <v/>
      </c>
      <c r="AB185" s="6" t="str">
        <f>IFERROR(IF(B185="","",SUMIFS(Billing_Fallout!J:J,Billing_Fallout!N:N,B185)),0)</f>
        <v/>
      </c>
      <c r="AD185" s="6" t="str">
        <f t="shared" si="39"/>
        <v/>
      </c>
      <c r="AF185" t="str">
        <f>IFERROR(INDEX(H_Tables!$B$1:$B$1500,MATCH(INDEX(SF_Output!$J$1:$J$400,MATCH(B185,SF_Output!$M$1:$M$400,0)),H_Tables!$A$1:$A$1500,0)),"")</f>
        <v/>
      </c>
      <c r="AI185" s="119" t="str">
        <f t="shared" si="40"/>
        <v/>
      </c>
      <c r="AJ185" s="121">
        <f>IFERROR(INDEX(SF_Output!AD:AD,MATCH(_xlfn.TEXTJOIN(",",TRUE,B185:E185),SF_Output!AC1:AC400,0)),0.05)</f>
        <v>241</v>
      </c>
      <c r="AK185" t="str">
        <f>IF(SUMIFS(SF_Output!$F$1:$F$400,SF_Output!$AC$1:$AC$400,_xlfn.TEXTJOIN(",",TRUE,B185:E185))+SUMIFS(SF_Output!$G$1:$G$400,SF_Output!$AC$1:$AC$400,_xlfn.TEXTJOIN(",",TRUE,B185:E185))=0,"","PAP")</f>
        <v/>
      </c>
      <c r="AQ185" s="35"/>
      <c r="AR185" s="35" t="str" cm="1">
        <f t="array" ref="AR185">IFERROR(_xlfn.IFS(AND(E185*1=1,F185="Included"),"Change to Included",AND(E185*1=0,F185="Optional"),"Change to Optional",OR(B185="",F185="replaced"),""),"")</f>
        <v/>
      </c>
      <c r="AS185" s="35" t="str">
        <f t="shared" si="41"/>
        <v/>
      </c>
      <c r="AT185" s="35" t="str">
        <f t="shared" si="42"/>
        <v/>
      </c>
      <c r="AU185" s="35" t="str">
        <f t="shared" si="43"/>
        <v/>
      </c>
      <c r="AV185" s="35" t="str">
        <f t="shared" si="44"/>
        <v/>
      </c>
      <c r="AW185" s="35" t="str">
        <f t="shared" si="45"/>
        <v/>
      </c>
      <c r="AX185" s="35" t="str">
        <f t="shared" si="46"/>
        <v/>
      </c>
      <c r="AY185" s="35" t="str">
        <f t="shared" si="47"/>
        <v/>
      </c>
      <c r="AZ185" s="35" t="str">
        <f t="shared" si="48"/>
        <v/>
      </c>
      <c r="BA185" s="35" t="str">
        <f t="shared" si="49"/>
        <v/>
      </c>
      <c r="BB185" s="35" t="str">
        <f t="shared" si="50"/>
        <v/>
      </c>
      <c r="BC185" s="35"/>
      <c r="BE185" s="35" t="e">
        <f>INDEX(SF_Output!$AA$2:$AA$400,MATCH($B185,SF_Output!$M$2:$M$400,0))</f>
        <v>#N/A</v>
      </c>
      <c r="BF185" s="35" t="e">
        <f>INDEX(SF_Output!$AB$2:$AB$400,MATCH($B185,SF_Output!$M$2:$M$400,0))</f>
        <v>#N/A</v>
      </c>
    </row>
    <row r="186" spans="2:58" x14ac:dyDescent="0.25">
      <c r="F186" s="116" t="str">
        <f t="shared" si="34"/>
        <v/>
      </c>
      <c r="G186" t="str">
        <f>IF(B186="","",INDEX(SF_Output!$K$1:$K$400,MATCH(B186,SF_Output!$M$1:$M$400,0)))</f>
        <v/>
      </c>
      <c r="H186" t="str" cm="1">
        <f t="array" ref="H186">_xlfn.IFS(B186="","",(SUMIFS(SF_Output!$F$1:$F$400,SF_Output!$AC$1:$AC$400,_xlfn.TEXTJOIN(",",TRUE,B186:E186))+SUMIFS(SF_Output!$G$1:$G$400,SF_Output!$AC$1:$AC$400,_xlfn.TEXTJOIN(",",TRUE,B186:E186)))&lt;&gt;0,SF_Output!$Y$2,INDEX(SF_Output!$F$1:$F$400,MATCH(_xlfn.TEXTJOIN(",",TRUE,B186:E186),SF_Output!$AC$1:$AC$400,0))=0,INDEX(SF_Output!$R$1:$R$400,MATCH(_xlfn.TEXTJOIN(",",TRUE,B186:E186),SF_Output!$AC$1:$AC$400,0)))</f>
        <v/>
      </c>
      <c r="I186" s="125" t="str">
        <f>IFERROR(IF(AND(H186&gt;1,H186&lt;&gt;""),ROUND(SUMIFS(SF_Output!$S$1:$S$400,SF_Output!$AC$1:$AC$400,_xlfn.TEXTJOIN(",",TRUE,B186:E186),SF_Output!$Q$1:$Q$400,"monthly")*(1-W186)/H186,4),""),"")</f>
        <v/>
      </c>
      <c r="J186" s="6" t="str">
        <f>IF(B186="","",SUMIFS(SF_Output!$S$1:$S$400,SF_Output!$AC$1:$AC$400,_xlfn.TEXTJOIN(",",TRUE,B186:E186),SF_Output!$Q$1:$Q$400,"One Time",SF_Output!$L$1:$L$400,"license fee")+SUMIFS(SF_Output!$S$1:$S$400,SF_Output!$AC$1:$AC$400,_xlfn.TEXTJOIN(",",TRUE,B186:E186),SF_Output!$Q$1:$Q$400,"One Time",SF_Output!$L$1:$L$400,"software license")+SUMIFS(SF_Output!$S$1:$S$400,SF_Output!$AC$1:$AC$400,_xlfn.TEXTJOIN(",",TRUE,B186:E186),SF_Output!$Q$1:$Q$400,"One Time",SF_Output!$L$1:$L$400,"hardware"))</f>
        <v/>
      </c>
      <c r="K186" s="112" t="str">
        <f>IF(OR(B186=0,B186="",G186="hardware",J186=0),"",IF(AF186&lt;&gt;"exclusion",MAX(K$9,-((SUMIFS(SF_Output!$T$1:$T$400,SF_Output!$AC$1:$AC$400,_xlfn.TEXTJOIN(",",TRUE,$B186:$E186),SF_Output!$Q$1:$Q$400,"One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license"))/J186)))</f>
        <v/>
      </c>
      <c r="L186" s="6" t="str">
        <f t="shared" si="35"/>
        <v/>
      </c>
      <c r="N186" s="6" t="str">
        <f>IF(B186="","",SUMIFS(SF_Output!$S$1:$S$400,SF_Output!$AC$1:$AC$400,_xlfn.TEXTJOIN(",",TRUE,B186:E186),SF_Output!$Q$1:$Q$400,"One Time",SF_Output!$L$1:$L$400,"professional service"))</f>
        <v/>
      </c>
      <c r="O186" s="112" t="str">
        <f>IF(OR(B186=0,B186="",N186=0),"",IF(AF186&lt;&gt;"exclusion",MAX(O$9,-(SUMIFS(SF_Output!$T$1:$T$400,SF_Output!$AC$1:$AC$400,_xlfn.TEXTJOIN(",",TRUE,$B186:$E186),SF_Output!$Q$1:$Q$400,"One Time",SF_Output!$L$1:$L$400,"professional service"))/N186),-((SUMIFS(SF_Output!$T$1:$T$400,SF_Output!$AC$1:$AC$400,_xlfn.TEXTJOIN(",",TRUE,$B186:$E186),SF_Output!$Q$1:$Q$400,"One Time",SF_Output!$L$1:$L$400,"professional service")/N186))))</f>
        <v/>
      </c>
      <c r="P186" s="6" t="str">
        <f t="shared" si="36"/>
        <v/>
      </c>
      <c r="R186" s="6" t="str">
        <f>IF(B186="","",SUMIFS(SF_Output!$S$1:$S$400,SF_Output!$AC$1:$AC$400,_xlfn.TEXTJOIN(",",TRUE,B186:E186),SF_Output!$Q$1:$Q$400,"yearly")+SUMIFS(SF_Output!$S$1:$S$400,SF_Output!$AC$1:$AC$400,_xlfn.TEXTJOIN(",",TRUE,B186:E186),SF_Output!$Q$1:$Q$400,"quarterly")*4)</f>
        <v/>
      </c>
      <c r="S186" s="112" t="str">
        <f>IF(OR(B186=0,B186="",G186="hardware",R186=0),"",IF(AF186&lt;&gt;"exclusion",MAX(S$9,-(SUMIFS(SF_Output!$T$1:$T$400,SF_Output!$AC$1:$AC$400,_xlfn.TEXTJOIN(",",TRUE,$B186:$E186),SF_Output!$Q$1:$Q$400,"yearly"))/R186),-((SUMIFS(SF_Output!$T$1:$T$400,SF_Output!$AC$1:$AC$400,_xlfn.TEXTJOIN(",",TRUE,$B186:$E186),SF_Output!$Q$1:$Q$400,"yearly")/R186))))</f>
        <v/>
      </c>
      <c r="T186" s="6" t="str">
        <f t="shared" si="37"/>
        <v/>
      </c>
      <c r="V186" s="6" t="str" cm="1">
        <f t="array" ref="V186">_xlfn.IFS(B186="","",AND(B186&lt;&gt;"",H186=SF_Output!$Y$2,SUMIFS(SF_Output!$T$1:$T$400,SF_Output!$AC$1:$AC$400,_xlfn.TEXTJOIN(",",TRUE,B186:E186),SF_Output!$Q$1:$Q$400,"monthly")=0),(SUMIFS(SF_Output!$F$1:$F$400,SF_Output!$AC$1:$AC$400,_xlfn.TEXTJOIN(",",TRUE,B186:E186),SF_Output!$Q$1:$Q$400,"monthly")+SUMIFS(SF_Output!$G$1:$G$400,SF_Output!$AC$1:$AC$400,_xlfn.TEXTJOIN(",",TRUE,B186:E186),SF_Output!$Q$1:$Q$400,"monthly"))*H186,AND(B186&lt;&gt;"",H186=SF_Output!$Y$2,SUMIFS(SF_Output!$T$1:$T$400,SF_Output!$AC$1:$AC$400,_xlfn.TEXTJOIN(",",TRUE,B186:E186),SF_Output!$Q$1:$Q$400,"monthly")&lt;&gt;0),SUMIFS(SF_Output!$S$1:$S$400,SF_Output!$AC$1:$AC$400,_xlfn.TEXTJOIN(",",TRUE,B186:E186),SF_Output!$Q$1:$Q$400,"monthly"),AND(B186&lt;&gt;"",H186&lt;&gt;SF_Output!$Y$2),SUMIFS(SF_Output!$S$1:$S$400,SF_Output!$AC$1:$AC$400,_xlfn.TEXTJOIN(",",TRUE,B186:E186),SF_Output!$Q$1:$Q$400,"monthly"))</f>
        <v/>
      </c>
      <c r="W186" s="112" t="str" cm="1">
        <f t="array" ref="W186">_xlfn.IFS(OR(B186=0,B186="",V186=0),"",AF186&lt;&gt;"exclusion",MAX($W$9,$W$7,(-(SUMIFS(SF_Output!$T$1:$T$400,SF_Output!$AC$1:$AC$400,_xlfn.TEXTJOIN(",",TRUE,$B186:$E186),SF_Output!$Q$1:$Q$400,"monthly"))/V186)),AF186="exclusion",-(SUMIFS(SF_Output!$T$1:$T$400,SF_Output!$AC$1:$AC$400,_xlfn.TEXTJOIN(",",TRUE,$B186:$E186),SF_Output!$Q$1:$Q$400,"monthly"))/V186)</f>
        <v/>
      </c>
      <c r="X186" s="6" t="str" cm="1">
        <f t="array" ref="X186">IFERROR(_xlfn.IFS(V186=0,0,V186="","",W186=0,V186,OR(V186&lt;&gt;0,V186&lt;&gt;""),H186*I186),V186*(1-W186))</f>
        <v/>
      </c>
      <c r="Z186" s="6" t="str">
        <f>IFERROR(IF(B186="","",SUMIFS(Billing_Fallout!H:H,Billing_Fallout!N:N,B186)),0)</f>
        <v/>
      </c>
      <c r="AA186" s="6" t="str">
        <f t="shared" si="38"/>
        <v/>
      </c>
      <c r="AB186" s="6" t="str">
        <f>IFERROR(IF(B186="","",SUMIFS(Billing_Fallout!J:J,Billing_Fallout!N:N,B186)),0)</f>
        <v/>
      </c>
      <c r="AD186" s="6" t="str">
        <f t="shared" si="39"/>
        <v/>
      </c>
      <c r="AF186" t="str">
        <f>IFERROR(INDEX(H_Tables!$B$1:$B$1500,MATCH(INDEX(SF_Output!$J$1:$J$400,MATCH(B186,SF_Output!$M$1:$M$400,0)),H_Tables!$A$1:$A$1500,0)),"")</f>
        <v/>
      </c>
      <c r="AI186" s="119" t="str">
        <f t="shared" si="40"/>
        <v/>
      </c>
      <c r="AJ186" s="121">
        <f>IFERROR(INDEX(SF_Output!AD:AD,MATCH(_xlfn.TEXTJOIN(",",TRUE,B186:E186),SF_Output!AC1:AC400,0)),0.05)</f>
        <v>241</v>
      </c>
      <c r="AK186" t="str">
        <f>IF(SUMIFS(SF_Output!$F$1:$F$400,SF_Output!$AC$1:$AC$400,_xlfn.TEXTJOIN(",",TRUE,B186:E186))+SUMIFS(SF_Output!$G$1:$G$400,SF_Output!$AC$1:$AC$400,_xlfn.TEXTJOIN(",",TRUE,B186:E186))=0,"","PAP")</f>
        <v/>
      </c>
      <c r="AQ186" s="35"/>
      <c r="AR186" s="35" t="str" cm="1">
        <f t="array" ref="AR186">IFERROR(_xlfn.IFS(AND(E186*1=1,F186="Included"),"Change to Included",AND(E186*1=0,F186="Optional"),"Change to Optional",OR(B186="",F186="replaced"),""),"")</f>
        <v/>
      </c>
      <c r="AS186" s="35" t="str">
        <f t="shared" si="41"/>
        <v/>
      </c>
      <c r="AT186" s="35" t="str">
        <f t="shared" si="42"/>
        <v/>
      </c>
      <c r="AU186" s="35" t="str">
        <f t="shared" si="43"/>
        <v/>
      </c>
      <c r="AV186" s="35" t="str">
        <f t="shared" si="44"/>
        <v/>
      </c>
      <c r="AW186" s="35" t="str">
        <f t="shared" si="45"/>
        <v/>
      </c>
      <c r="AX186" s="35" t="str">
        <f t="shared" si="46"/>
        <v/>
      </c>
      <c r="AY186" s="35" t="str">
        <f t="shared" si="47"/>
        <v/>
      </c>
      <c r="AZ186" s="35" t="str">
        <f t="shared" si="48"/>
        <v/>
      </c>
      <c r="BA186" s="35" t="str">
        <f t="shared" si="49"/>
        <v/>
      </c>
      <c r="BB186" s="35" t="str">
        <f t="shared" si="50"/>
        <v/>
      </c>
      <c r="BC186" s="35"/>
      <c r="BE186" s="35" t="e">
        <f>INDEX(SF_Output!$AA$2:$AA$400,MATCH($B186,SF_Output!$M$2:$M$400,0))</f>
        <v>#N/A</v>
      </c>
      <c r="BF186" s="35" t="e">
        <f>INDEX(SF_Output!$AB$2:$AB$400,MATCH($B186,SF_Output!$M$2:$M$400,0))</f>
        <v>#N/A</v>
      </c>
    </row>
    <row r="187" spans="2:58" x14ac:dyDescent="0.25">
      <c r="F187" s="116" t="str">
        <f t="shared" si="34"/>
        <v/>
      </c>
      <c r="G187" t="str">
        <f>IF(B187="","",INDEX(SF_Output!$K$1:$K$400,MATCH(B187,SF_Output!$M$1:$M$400,0)))</f>
        <v/>
      </c>
      <c r="H187" t="str" cm="1">
        <f t="array" ref="H187">_xlfn.IFS(B187="","",(SUMIFS(SF_Output!$F$1:$F$400,SF_Output!$AC$1:$AC$400,_xlfn.TEXTJOIN(",",TRUE,B187:E187))+SUMIFS(SF_Output!$G$1:$G$400,SF_Output!$AC$1:$AC$400,_xlfn.TEXTJOIN(",",TRUE,B187:E187)))&lt;&gt;0,SF_Output!$Y$2,INDEX(SF_Output!$F$1:$F$400,MATCH(_xlfn.TEXTJOIN(",",TRUE,B187:E187),SF_Output!$AC$1:$AC$400,0))=0,INDEX(SF_Output!$R$1:$R$400,MATCH(_xlfn.TEXTJOIN(",",TRUE,B187:E187),SF_Output!$AC$1:$AC$400,0)))</f>
        <v/>
      </c>
      <c r="I187" s="125" t="str">
        <f>IFERROR(IF(AND(H187&gt;1,H187&lt;&gt;""),ROUND(SUMIFS(SF_Output!$S$1:$S$400,SF_Output!$AC$1:$AC$400,_xlfn.TEXTJOIN(",",TRUE,B187:E187),SF_Output!$Q$1:$Q$400,"monthly")*(1-W187)/H187,4),""),"")</f>
        <v/>
      </c>
      <c r="J187" s="6" t="str">
        <f>IF(B187="","",SUMIFS(SF_Output!$S$1:$S$400,SF_Output!$AC$1:$AC$400,_xlfn.TEXTJOIN(",",TRUE,B187:E187),SF_Output!$Q$1:$Q$400,"One Time",SF_Output!$L$1:$L$400,"license fee")+SUMIFS(SF_Output!$S$1:$S$400,SF_Output!$AC$1:$AC$400,_xlfn.TEXTJOIN(",",TRUE,B187:E187),SF_Output!$Q$1:$Q$400,"One Time",SF_Output!$L$1:$L$400,"software license")+SUMIFS(SF_Output!$S$1:$S$400,SF_Output!$AC$1:$AC$400,_xlfn.TEXTJOIN(",",TRUE,B187:E187),SF_Output!$Q$1:$Q$400,"One Time",SF_Output!$L$1:$L$400,"hardware"))</f>
        <v/>
      </c>
      <c r="K187" s="112" t="str">
        <f>IF(OR(B187=0,B187="",G187="hardware",J187=0),"",IF(AF187&lt;&gt;"exclusion",MAX(K$9,-((SUMIFS(SF_Output!$T$1:$T$400,SF_Output!$AC$1:$AC$400,_xlfn.TEXTJOIN(",",TRUE,$B187:$E187),SF_Output!$Q$1:$Q$400,"One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license"))/J187)))</f>
        <v/>
      </c>
      <c r="L187" s="6" t="str">
        <f t="shared" si="35"/>
        <v/>
      </c>
      <c r="N187" s="6" t="str">
        <f>IF(B187="","",SUMIFS(SF_Output!$S$1:$S$400,SF_Output!$AC$1:$AC$400,_xlfn.TEXTJOIN(",",TRUE,B187:E187),SF_Output!$Q$1:$Q$400,"One Time",SF_Output!$L$1:$L$400,"professional service"))</f>
        <v/>
      </c>
      <c r="O187" s="112" t="str">
        <f>IF(OR(B187=0,B187="",N187=0),"",IF(AF187&lt;&gt;"exclusion",MAX(O$9,-(SUMIFS(SF_Output!$T$1:$T$400,SF_Output!$AC$1:$AC$400,_xlfn.TEXTJOIN(",",TRUE,$B187:$E187),SF_Output!$Q$1:$Q$400,"One Time",SF_Output!$L$1:$L$400,"professional service"))/N187),-((SUMIFS(SF_Output!$T$1:$T$400,SF_Output!$AC$1:$AC$400,_xlfn.TEXTJOIN(",",TRUE,$B187:$E187),SF_Output!$Q$1:$Q$400,"One Time",SF_Output!$L$1:$L$400,"professional service")/N187))))</f>
        <v/>
      </c>
      <c r="P187" s="6" t="str">
        <f t="shared" si="36"/>
        <v/>
      </c>
      <c r="R187" s="6" t="str">
        <f>IF(B187="","",SUMIFS(SF_Output!$S$1:$S$400,SF_Output!$AC$1:$AC$400,_xlfn.TEXTJOIN(",",TRUE,B187:E187),SF_Output!$Q$1:$Q$400,"yearly")+SUMIFS(SF_Output!$S$1:$S$400,SF_Output!$AC$1:$AC$400,_xlfn.TEXTJOIN(",",TRUE,B187:E187),SF_Output!$Q$1:$Q$400,"quarterly")*4)</f>
        <v/>
      </c>
      <c r="S187" s="112" t="str">
        <f>IF(OR(B187=0,B187="",G187="hardware",R187=0),"",IF(AF187&lt;&gt;"exclusion",MAX(S$9,-(SUMIFS(SF_Output!$T$1:$T$400,SF_Output!$AC$1:$AC$400,_xlfn.TEXTJOIN(",",TRUE,$B187:$E187),SF_Output!$Q$1:$Q$400,"yearly"))/R187),-((SUMIFS(SF_Output!$T$1:$T$400,SF_Output!$AC$1:$AC$400,_xlfn.TEXTJOIN(",",TRUE,$B187:$E187),SF_Output!$Q$1:$Q$400,"yearly")/R187))))</f>
        <v/>
      </c>
      <c r="T187" s="6" t="str">
        <f t="shared" si="37"/>
        <v/>
      </c>
      <c r="V187" s="6" t="str" cm="1">
        <f t="array" ref="V187">_xlfn.IFS(B187="","",AND(B187&lt;&gt;"",H187=SF_Output!$Y$2,SUMIFS(SF_Output!$T$1:$T$400,SF_Output!$AC$1:$AC$400,_xlfn.TEXTJOIN(",",TRUE,B187:E187),SF_Output!$Q$1:$Q$400,"monthly")=0),(SUMIFS(SF_Output!$F$1:$F$400,SF_Output!$AC$1:$AC$400,_xlfn.TEXTJOIN(",",TRUE,B187:E187),SF_Output!$Q$1:$Q$400,"monthly")+SUMIFS(SF_Output!$G$1:$G$400,SF_Output!$AC$1:$AC$400,_xlfn.TEXTJOIN(",",TRUE,B187:E187),SF_Output!$Q$1:$Q$400,"monthly"))*H187,AND(B187&lt;&gt;"",H187=SF_Output!$Y$2,SUMIFS(SF_Output!$T$1:$T$400,SF_Output!$AC$1:$AC$400,_xlfn.TEXTJOIN(",",TRUE,B187:E187),SF_Output!$Q$1:$Q$400,"monthly")&lt;&gt;0),SUMIFS(SF_Output!$S$1:$S$400,SF_Output!$AC$1:$AC$400,_xlfn.TEXTJOIN(",",TRUE,B187:E187),SF_Output!$Q$1:$Q$400,"monthly"),AND(B187&lt;&gt;"",H187&lt;&gt;SF_Output!$Y$2),SUMIFS(SF_Output!$S$1:$S$400,SF_Output!$AC$1:$AC$400,_xlfn.TEXTJOIN(",",TRUE,B187:E187),SF_Output!$Q$1:$Q$400,"monthly"))</f>
        <v/>
      </c>
      <c r="W187" s="112" t="str" cm="1">
        <f t="array" ref="W187">_xlfn.IFS(OR(B187=0,B187="",V187=0),"",AF187&lt;&gt;"exclusion",MAX($W$9,$W$7,(-(SUMIFS(SF_Output!$T$1:$T$400,SF_Output!$AC$1:$AC$400,_xlfn.TEXTJOIN(",",TRUE,$B187:$E187),SF_Output!$Q$1:$Q$400,"monthly"))/V187)),AF187="exclusion",-(SUMIFS(SF_Output!$T$1:$T$400,SF_Output!$AC$1:$AC$400,_xlfn.TEXTJOIN(",",TRUE,$B187:$E187),SF_Output!$Q$1:$Q$400,"monthly"))/V187)</f>
        <v/>
      </c>
      <c r="X187" s="6" t="str" cm="1">
        <f t="array" ref="X187">IFERROR(_xlfn.IFS(V187=0,0,V187="","",W187=0,V187,OR(V187&lt;&gt;0,V187&lt;&gt;""),H187*I187),V187*(1-W187))</f>
        <v/>
      </c>
      <c r="Z187" s="6" t="str">
        <f>IFERROR(IF(B187="","",SUMIFS(Billing_Fallout!H:H,Billing_Fallout!N:N,B187)),0)</f>
        <v/>
      </c>
      <c r="AA187" s="6" t="str">
        <f t="shared" si="38"/>
        <v/>
      </c>
      <c r="AB187" s="6" t="str">
        <f>IFERROR(IF(B187="","",SUMIFS(Billing_Fallout!J:J,Billing_Fallout!N:N,B187)),0)</f>
        <v/>
      </c>
      <c r="AD187" s="6" t="str">
        <f t="shared" si="39"/>
        <v/>
      </c>
      <c r="AF187" t="str">
        <f>IFERROR(INDEX(H_Tables!$B$1:$B$1500,MATCH(INDEX(SF_Output!$J$1:$J$400,MATCH(B187,SF_Output!$M$1:$M$400,0)),H_Tables!$A$1:$A$1500,0)),"")</f>
        <v/>
      </c>
      <c r="AI187" s="119" t="str">
        <f t="shared" si="40"/>
        <v/>
      </c>
      <c r="AJ187" s="121">
        <f>IFERROR(INDEX(SF_Output!AD:AD,MATCH(_xlfn.TEXTJOIN(",",TRUE,B187:E187),SF_Output!AC1:AC400,0)),0.05)</f>
        <v>241</v>
      </c>
      <c r="AK187" t="str">
        <f>IF(SUMIFS(SF_Output!$F$1:$F$400,SF_Output!$AC$1:$AC$400,_xlfn.TEXTJOIN(",",TRUE,B187:E187))+SUMIFS(SF_Output!$G$1:$G$400,SF_Output!$AC$1:$AC$400,_xlfn.TEXTJOIN(",",TRUE,B187:E187))=0,"","PAP")</f>
        <v/>
      </c>
      <c r="AQ187" s="35"/>
      <c r="AR187" s="35" t="str" cm="1">
        <f t="array" ref="AR187">IFERROR(_xlfn.IFS(AND(E187*1=1,F187="Included"),"Change to Included",AND(E187*1=0,F187="Optional"),"Change to Optional",OR(B187="",F187="replaced"),""),"")</f>
        <v/>
      </c>
      <c r="AS187" s="35" t="str">
        <f t="shared" si="41"/>
        <v/>
      </c>
      <c r="AT187" s="35" t="str">
        <f t="shared" si="42"/>
        <v/>
      </c>
      <c r="AU187" s="35" t="str">
        <f t="shared" si="43"/>
        <v/>
      </c>
      <c r="AV187" s="35" t="str">
        <f t="shared" si="44"/>
        <v/>
      </c>
      <c r="AW187" s="35" t="str">
        <f t="shared" si="45"/>
        <v/>
      </c>
      <c r="AX187" s="35" t="str">
        <f t="shared" si="46"/>
        <v/>
      </c>
      <c r="AY187" s="35" t="str">
        <f t="shared" si="47"/>
        <v/>
      </c>
      <c r="AZ187" s="35" t="str">
        <f t="shared" si="48"/>
        <v/>
      </c>
      <c r="BA187" s="35" t="str">
        <f t="shared" si="49"/>
        <v/>
      </c>
      <c r="BB187" s="35" t="str">
        <f t="shared" si="50"/>
        <v/>
      </c>
      <c r="BC187" s="35"/>
      <c r="BE187" s="35" t="e">
        <f>INDEX(SF_Output!$AA$2:$AA$400,MATCH($B187,SF_Output!$M$2:$M$400,0))</f>
        <v>#N/A</v>
      </c>
      <c r="BF187" s="35" t="e">
        <f>INDEX(SF_Output!$AB$2:$AB$400,MATCH($B187,SF_Output!$M$2:$M$400,0))</f>
        <v>#N/A</v>
      </c>
    </row>
    <row r="188" spans="2:58" x14ac:dyDescent="0.25">
      <c r="F188" s="116" t="str">
        <f t="shared" si="34"/>
        <v/>
      </c>
      <c r="G188" t="str">
        <f>IF(B188="","",INDEX(SF_Output!$K$1:$K$400,MATCH(B188,SF_Output!$M$1:$M$400,0)))</f>
        <v/>
      </c>
      <c r="H188" t="str" cm="1">
        <f t="array" ref="H188">_xlfn.IFS(B188="","",(SUMIFS(SF_Output!$F$1:$F$400,SF_Output!$AC$1:$AC$400,_xlfn.TEXTJOIN(",",TRUE,B188:E188))+SUMIFS(SF_Output!$G$1:$G$400,SF_Output!$AC$1:$AC$400,_xlfn.TEXTJOIN(",",TRUE,B188:E188)))&lt;&gt;0,SF_Output!$Y$2,INDEX(SF_Output!$F$1:$F$400,MATCH(_xlfn.TEXTJOIN(",",TRUE,B188:E188),SF_Output!$AC$1:$AC$400,0))=0,INDEX(SF_Output!$R$1:$R$400,MATCH(_xlfn.TEXTJOIN(",",TRUE,B188:E188),SF_Output!$AC$1:$AC$400,0)))</f>
        <v/>
      </c>
      <c r="I188" s="125" t="str">
        <f>IFERROR(IF(AND(H188&gt;1,H188&lt;&gt;""),ROUND(SUMIFS(SF_Output!$S$1:$S$400,SF_Output!$AC$1:$AC$400,_xlfn.TEXTJOIN(",",TRUE,B188:E188),SF_Output!$Q$1:$Q$400,"monthly")*(1-W188)/H188,4),""),"")</f>
        <v/>
      </c>
      <c r="J188" s="6" t="str">
        <f>IF(B188="","",SUMIFS(SF_Output!$S$1:$S$400,SF_Output!$AC$1:$AC$400,_xlfn.TEXTJOIN(",",TRUE,B188:E188),SF_Output!$Q$1:$Q$400,"One Time",SF_Output!$L$1:$L$400,"license fee")+SUMIFS(SF_Output!$S$1:$S$400,SF_Output!$AC$1:$AC$400,_xlfn.TEXTJOIN(",",TRUE,B188:E188),SF_Output!$Q$1:$Q$400,"One Time",SF_Output!$L$1:$L$400,"software license")+SUMIFS(SF_Output!$S$1:$S$400,SF_Output!$AC$1:$AC$400,_xlfn.TEXTJOIN(",",TRUE,B188:E188),SF_Output!$Q$1:$Q$400,"One Time",SF_Output!$L$1:$L$400,"hardware"))</f>
        <v/>
      </c>
      <c r="K188" s="112" t="str">
        <f>IF(OR(B188=0,B188="",G188="hardware",J188=0),"",IF(AF188&lt;&gt;"exclusion",MAX(K$9,-((SUMIFS(SF_Output!$T$1:$T$400,SF_Output!$AC$1:$AC$400,_xlfn.TEXTJOIN(",",TRUE,$B188:$E188),SF_Output!$Q$1:$Q$400,"One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license"))/J188)))</f>
        <v/>
      </c>
      <c r="L188" s="6" t="str">
        <f t="shared" si="35"/>
        <v/>
      </c>
      <c r="N188" s="6" t="str">
        <f>IF(B188="","",SUMIFS(SF_Output!$S$1:$S$400,SF_Output!$AC$1:$AC$400,_xlfn.TEXTJOIN(",",TRUE,B188:E188),SF_Output!$Q$1:$Q$400,"One Time",SF_Output!$L$1:$L$400,"professional service"))</f>
        <v/>
      </c>
      <c r="O188" s="112" t="str">
        <f>IF(OR(B188=0,B188="",N188=0),"",IF(AF188&lt;&gt;"exclusion",MAX(O$9,-(SUMIFS(SF_Output!$T$1:$T$400,SF_Output!$AC$1:$AC$400,_xlfn.TEXTJOIN(",",TRUE,$B188:$E188),SF_Output!$Q$1:$Q$400,"One Time",SF_Output!$L$1:$L$400,"professional service"))/N188),-((SUMIFS(SF_Output!$T$1:$T$400,SF_Output!$AC$1:$AC$400,_xlfn.TEXTJOIN(",",TRUE,$B188:$E188),SF_Output!$Q$1:$Q$400,"One Time",SF_Output!$L$1:$L$400,"professional service")/N188))))</f>
        <v/>
      </c>
      <c r="P188" s="6" t="str">
        <f t="shared" si="36"/>
        <v/>
      </c>
      <c r="R188" s="6" t="str">
        <f>IF(B188="","",SUMIFS(SF_Output!$S$1:$S$400,SF_Output!$AC$1:$AC$400,_xlfn.TEXTJOIN(",",TRUE,B188:E188),SF_Output!$Q$1:$Q$400,"yearly")+SUMIFS(SF_Output!$S$1:$S$400,SF_Output!$AC$1:$AC$400,_xlfn.TEXTJOIN(",",TRUE,B188:E188),SF_Output!$Q$1:$Q$400,"quarterly")*4)</f>
        <v/>
      </c>
      <c r="S188" s="112" t="str">
        <f>IF(OR(B188=0,B188="",G188="hardware",R188=0),"",IF(AF188&lt;&gt;"exclusion",MAX(S$9,-(SUMIFS(SF_Output!$T$1:$T$400,SF_Output!$AC$1:$AC$400,_xlfn.TEXTJOIN(",",TRUE,$B188:$E188),SF_Output!$Q$1:$Q$400,"yearly"))/R188),-((SUMIFS(SF_Output!$T$1:$T$400,SF_Output!$AC$1:$AC$400,_xlfn.TEXTJOIN(",",TRUE,$B188:$E188),SF_Output!$Q$1:$Q$400,"yearly")/R188))))</f>
        <v/>
      </c>
      <c r="T188" s="6" t="str">
        <f t="shared" si="37"/>
        <v/>
      </c>
      <c r="V188" s="6" t="str" cm="1">
        <f t="array" ref="V188">_xlfn.IFS(B188="","",AND(B188&lt;&gt;"",H188=SF_Output!$Y$2,SUMIFS(SF_Output!$T$1:$T$400,SF_Output!$AC$1:$AC$400,_xlfn.TEXTJOIN(",",TRUE,B188:E188),SF_Output!$Q$1:$Q$400,"monthly")=0),(SUMIFS(SF_Output!$F$1:$F$400,SF_Output!$AC$1:$AC$400,_xlfn.TEXTJOIN(",",TRUE,B188:E188),SF_Output!$Q$1:$Q$400,"monthly")+SUMIFS(SF_Output!$G$1:$G$400,SF_Output!$AC$1:$AC$400,_xlfn.TEXTJOIN(",",TRUE,B188:E188),SF_Output!$Q$1:$Q$400,"monthly"))*H188,AND(B188&lt;&gt;"",H188=SF_Output!$Y$2,SUMIFS(SF_Output!$T$1:$T$400,SF_Output!$AC$1:$AC$400,_xlfn.TEXTJOIN(",",TRUE,B188:E188),SF_Output!$Q$1:$Q$400,"monthly")&lt;&gt;0),SUMIFS(SF_Output!$S$1:$S$400,SF_Output!$AC$1:$AC$400,_xlfn.TEXTJOIN(",",TRUE,B188:E188),SF_Output!$Q$1:$Q$400,"monthly"),AND(B188&lt;&gt;"",H188&lt;&gt;SF_Output!$Y$2),SUMIFS(SF_Output!$S$1:$S$400,SF_Output!$AC$1:$AC$400,_xlfn.TEXTJOIN(",",TRUE,B188:E188),SF_Output!$Q$1:$Q$400,"monthly"))</f>
        <v/>
      </c>
      <c r="W188" s="112" t="str" cm="1">
        <f t="array" ref="W188">_xlfn.IFS(OR(B188=0,B188="",V188=0),"",AF188&lt;&gt;"exclusion",MAX($W$9,$W$7,(-(SUMIFS(SF_Output!$T$1:$T$400,SF_Output!$AC$1:$AC$400,_xlfn.TEXTJOIN(",",TRUE,$B188:$E188),SF_Output!$Q$1:$Q$400,"monthly"))/V188)),AF188="exclusion",-(SUMIFS(SF_Output!$T$1:$T$400,SF_Output!$AC$1:$AC$400,_xlfn.TEXTJOIN(",",TRUE,$B188:$E188),SF_Output!$Q$1:$Q$400,"monthly"))/V188)</f>
        <v/>
      </c>
      <c r="X188" s="6" t="str" cm="1">
        <f t="array" ref="X188">IFERROR(_xlfn.IFS(V188=0,0,V188="","",W188=0,V188,OR(V188&lt;&gt;0,V188&lt;&gt;""),H188*I188),V188*(1-W188))</f>
        <v/>
      </c>
      <c r="Z188" s="6" t="str">
        <f>IFERROR(IF(B188="","",SUMIFS(Billing_Fallout!H:H,Billing_Fallout!N:N,B188)),0)</f>
        <v/>
      </c>
      <c r="AA188" s="6" t="str">
        <f t="shared" si="38"/>
        <v/>
      </c>
      <c r="AB188" s="6" t="str">
        <f>IFERROR(IF(B188="","",SUMIFS(Billing_Fallout!J:J,Billing_Fallout!N:N,B188)),0)</f>
        <v/>
      </c>
      <c r="AD188" s="6" t="str">
        <f t="shared" si="39"/>
        <v/>
      </c>
      <c r="AF188" t="str">
        <f>IFERROR(INDEX(H_Tables!$B$1:$B$1500,MATCH(INDEX(SF_Output!$J$1:$J$400,MATCH(B188,SF_Output!$M$1:$M$400,0)),H_Tables!$A$1:$A$1500,0)),"")</f>
        <v/>
      </c>
      <c r="AI188" s="119" t="str">
        <f t="shared" si="40"/>
        <v/>
      </c>
      <c r="AJ188" s="121">
        <f>IFERROR(INDEX(SF_Output!AD:AD,MATCH(_xlfn.TEXTJOIN(",",TRUE,B188:E188),SF_Output!AC1:AC400,0)),0.05)</f>
        <v>241</v>
      </c>
      <c r="AK188" t="str">
        <f>IF(SUMIFS(SF_Output!$F$1:$F$400,SF_Output!$AC$1:$AC$400,_xlfn.TEXTJOIN(",",TRUE,B188:E188))+SUMIFS(SF_Output!$G$1:$G$400,SF_Output!$AC$1:$AC$400,_xlfn.TEXTJOIN(",",TRUE,B188:E188))=0,"","PAP")</f>
        <v/>
      </c>
      <c r="AQ188" s="35"/>
      <c r="AR188" s="35" t="str" cm="1">
        <f t="array" ref="AR188">IFERROR(_xlfn.IFS(AND(E188*1=1,F188="Included"),"Change to Included",AND(E188*1=0,F188="Optional"),"Change to Optional",OR(B188="",F188="replaced"),""),"")</f>
        <v/>
      </c>
      <c r="AS188" s="35" t="str">
        <f t="shared" si="41"/>
        <v/>
      </c>
      <c r="AT188" s="35" t="str">
        <f t="shared" si="42"/>
        <v/>
      </c>
      <c r="AU188" s="35" t="str">
        <f t="shared" si="43"/>
        <v/>
      </c>
      <c r="AV188" s="35" t="str">
        <f t="shared" si="44"/>
        <v/>
      </c>
      <c r="AW188" s="35" t="str">
        <f t="shared" si="45"/>
        <v/>
      </c>
      <c r="AX188" s="35" t="str">
        <f t="shared" si="46"/>
        <v/>
      </c>
      <c r="AY188" s="35" t="str">
        <f t="shared" si="47"/>
        <v/>
      </c>
      <c r="AZ188" s="35" t="str">
        <f t="shared" si="48"/>
        <v/>
      </c>
      <c r="BA188" s="35" t="str">
        <f t="shared" si="49"/>
        <v/>
      </c>
      <c r="BB188" s="35" t="str">
        <f t="shared" si="50"/>
        <v/>
      </c>
      <c r="BC188" s="35"/>
      <c r="BE188" s="35" t="e">
        <f>INDEX(SF_Output!$AA$2:$AA$400,MATCH($B188,SF_Output!$M$2:$M$400,0))</f>
        <v>#N/A</v>
      </c>
      <c r="BF188" s="35" t="e">
        <f>INDEX(SF_Output!$AB$2:$AB$400,MATCH($B188,SF_Output!$M$2:$M$400,0))</f>
        <v>#N/A</v>
      </c>
    </row>
    <row r="189" spans="2:58" x14ac:dyDescent="0.25">
      <c r="F189" s="116" t="str">
        <f t="shared" si="34"/>
        <v/>
      </c>
      <c r="G189" t="str">
        <f>IF(B189="","",INDEX(SF_Output!$K$1:$K$400,MATCH(B189,SF_Output!$M$1:$M$400,0)))</f>
        <v/>
      </c>
      <c r="H189" t="str" cm="1">
        <f t="array" ref="H189">_xlfn.IFS(B189="","",(SUMIFS(SF_Output!$F$1:$F$400,SF_Output!$AC$1:$AC$400,_xlfn.TEXTJOIN(",",TRUE,B189:E189))+SUMIFS(SF_Output!$G$1:$G$400,SF_Output!$AC$1:$AC$400,_xlfn.TEXTJOIN(",",TRUE,B189:E189)))&lt;&gt;0,SF_Output!$Y$2,INDEX(SF_Output!$F$1:$F$400,MATCH(_xlfn.TEXTJOIN(",",TRUE,B189:E189),SF_Output!$AC$1:$AC$400,0))=0,INDEX(SF_Output!$R$1:$R$400,MATCH(_xlfn.TEXTJOIN(",",TRUE,B189:E189),SF_Output!$AC$1:$AC$400,0)))</f>
        <v/>
      </c>
      <c r="I189" s="125" t="str">
        <f>IFERROR(IF(AND(H189&gt;1,H189&lt;&gt;""),ROUND(SUMIFS(SF_Output!$S$1:$S$400,SF_Output!$AC$1:$AC$400,_xlfn.TEXTJOIN(",",TRUE,B189:E189),SF_Output!$Q$1:$Q$400,"monthly")*(1-W189)/H189,4),""),"")</f>
        <v/>
      </c>
      <c r="J189" s="6" t="str">
        <f>IF(B189="","",SUMIFS(SF_Output!$S$1:$S$400,SF_Output!$AC$1:$AC$400,_xlfn.TEXTJOIN(",",TRUE,B189:E189),SF_Output!$Q$1:$Q$400,"One Time",SF_Output!$L$1:$L$400,"license fee")+SUMIFS(SF_Output!$S$1:$S$400,SF_Output!$AC$1:$AC$400,_xlfn.TEXTJOIN(",",TRUE,B189:E189),SF_Output!$Q$1:$Q$400,"One Time",SF_Output!$L$1:$L$400,"software license")+SUMIFS(SF_Output!$S$1:$S$400,SF_Output!$AC$1:$AC$400,_xlfn.TEXTJOIN(",",TRUE,B189:E189),SF_Output!$Q$1:$Q$400,"One Time",SF_Output!$L$1:$L$400,"hardware"))</f>
        <v/>
      </c>
      <c r="K189" s="112" t="str">
        <f>IF(OR(B189=0,B189="",G189="hardware",J189=0),"",IF(AF189&lt;&gt;"exclusion",MAX(K$9,-((SUMIFS(SF_Output!$T$1:$T$400,SF_Output!$AC$1:$AC$400,_xlfn.TEXTJOIN(",",TRUE,$B189:$E189),SF_Output!$Q$1:$Q$400,"One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license"))/J189)))</f>
        <v/>
      </c>
      <c r="L189" s="6" t="str">
        <f t="shared" si="35"/>
        <v/>
      </c>
      <c r="N189" s="6" t="str">
        <f>IF(B189="","",SUMIFS(SF_Output!$S$1:$S$400,SF_Output!$AC$1:$AC$400,_xlfn.TEXTJOIN(",",TRUE,B189:E189),SF_Output!$Q$1:$Q$400,"One Time",SF_Output!$L$1:$L$400,"professional service"))</f>
        <v/>
      </c>
      <c r="O189" s="112" t="str">
        <f>IF(OR(B189=0,B189="",N189=0),"",IF(AF189&lt;&gt;"exclusion",MAX(O$9,-(SUMIFS(SF_Output!$T$1:$T$400,SF_Output!$AC$1:$AC$400,_xlfn.TEXTJOIN(",",TRUE,$B189:$E189),SF_Output!$Q$1:$Q$400,"One Time",SF_Output!$L$1:$L$400,"professional service"))/N189),-((SUMIFS(SF_Output!$T$1:$T$400,SF_Output!$AC$1:$AC$400,_xlfn.TEXTJOIN(",",TRUE,$B189:$E189),SF_Output!$Q$1:$Q$400,"One Time",SF_Output!$L$1:$L$400,"professional service")/N189))))</f>
        <v/>
      </c>
      <c r="P189" s="6" t="str">
        <f t="shared" si="36"/>
        <v/>
      </c>
      <c r="R189" s="6" t="str">
        <f>IF(B189="","",SUMIFS(SF_Output!$S$1:$S$400,SF_Output!$AC$1:$AC$400,_xlfn.TEXTJOIN(",",TRUE,B189:E189),SF_Output!$Q$1:$Q$400,"yearly")+SUMIFS(SF_Output!$S$1:$S$400,SF_Output!$AC$1:$AC$400,_xlfn.TEXTJOIN(",",TRUE,B189:E189),SF_Output!$Q$1:$Q$400,"quarterly")*4)</f>
        <v/>
      </c>
      <c r="S189" s="112" t="str">
        <f>IF(OR(B189=0,B189="",G189="hardware",R189=0),"",IF(AF189&lt;&gt;"exclusion",MAX(S$9,-(SUMIFS(SF_Output!$T$1:$T$400,SF_Output!$AC$1:$AC$400,_xlfn.TEXTJOIN(",",TRUE,$B189:$E189),SF_Output!$Q$1:$Q$400,"yearly"))/R189),-((SUMIFS(SF_Output!$T$1:$T$400,SF_Output!$AC$1:$AC$400,_xlfn.TEXTJOIN(",",TRUE,$B189:$E189),SF_Output!$Q$1:$Q$400,"yearly")/R189))))</f>
        <v/>
      </c>
      <c r="T189" s="6" t="str">
        <f t="shared" si="37"/>
        <v/>
      </c>
      <c r="V189" s="6" t="str" cm="1">
        <f t="array" ref="V189">_xlfn.IFS(B189="","",AND(B189&lt;&gt;"",H189=SF_Output!$Y$2,SUMIFS(SF_Output!$T$1:$T$400,SF_Output!$AC$1:$AC$400,_xlfn.TEXTJOIN(",",TRUE,B189:E189),SF_Output!$Q$1:$Q$400,"monthly")=0),(SUMIFS(SF_Output!$F$1:$F$400,SF_Output!$AC$1:$AC$400,_xlfn.TEXTJOIN(",",TRUE,B189:E189),SF_Output!$Q$1:$Q$400,"monthly")+SUMIFS(SF_Output!$G$1:$G$400,SF_Output!$AC$1:$AC$400,_xlfn.TEXTJOIN(",",TRUE,B189:E189),SF_Output!$Q$1:$Q$400,"monthly"))*H189,AND(B189&lt;&gt;"",H189=SF_Output!$Y$2,SUMIFS(SF_Output!$T$1:$T$400,SF_Output!$AC$1:$AC$400,_xlfn.TEXTJOIN(",",TRUE,B189:E189),SF_Output!$Q$1:$Q$400,"monthly")&lt;&gt;0),SUMIFS(SF_Output!$S$1:$S$400,SF_Output!$AC$1:$AC$400,_xlfn.TEXTJOIN(",",TRUE,B189:E189),SF_Output!$Q$1:$Q$400,"monthly"),AND(B189&lt;&gt;"",H189&lt;&gt;SF_Output!$Y$2),SUMIFS(SF_Output!$S$1:$S$400,SF_Output!$AC$1:$AC$400,_xlfn.TEXTJOIN(",",TRUE,B189:E189),SF_Output!$Q$1:$Q$400,"monthly"))</f>
        <v/>
      </c>
      <c r="W189" s="112" t="str" cm="1">
        <f t="array" ref="W189">_xlfn.IFS(OR(B189=0,B189="",V189=0),"",AF189&lt;&gt;"exclusion",MAX($W$9,$W$7,(-(SUMIFS(SF_Output!$T$1:$T$400,SF_Output!$AC$1:$AC$400,_xlfn.TEXTJOIN(",",TRUE,$B189:$E189),SF_Output!$Q$1:$Q$400,"monthly"))/V189)),AF189="exclusion",-(SUMIFS(SF_Output!$T$1:$T$400,SF_Output!$AC$1:$AC$400,_xlfn.TEXTJOIN(",",TRUE,$B189:$E189),SF_Output!$Q$1:$Q$400,"monthly"))/V189)</f>
        <v/>
      </c>
      <c r="X189" s="6" t="str" cm="1">
        <f t="array" ref="X189">IFERROR(_xlfn.IFS(V189=0,0,V189="","",W189=0,V189,OR(V189&lt;&gt;0,V189&lt;&gt;""),H189*I189),V189*(1-W189))</f>
        <v/>
      </c>
      <c r="Z189" s="6" t="str">
        <f>IFERROR(IF(B189="","",SUMIFS(Billing_Fallout!H:H,Billing_Fallout!N:N,B189)),0)</f>
        <v/>
      </c>
      <c r="AA189" s="6" t="str">
        <f t="shared" si="38"/>
        <v/>
      </c>
      <c r="AB189" s="6" t="str">
        <f>IFERROR(IF(B189="","",SUMIFS(Billing_Fallout!J:J,Billing_Fallout!N:N,B189)),0)</f>
        <v/>
      </c>
      <c r="AD189" s="6" t="str">
        <f t="shared" si="39"/>
        <v/>
      </c>
      <c r="AF189" t="str">
        <f>IFERROR(INDEX(H_Tables!$B$1:$B$1500,MATCH(INDEX(SF_Output!$J$1:$J$400,MATCH(B189,SF_Output!$M$1:$M$400,0)),H_Tables!$A$1:$A$1500,0)),"")</f>
        <v/>
      </c>
      <c r="AI189" s="119" t="str">
        <f t="shared" si="40"/>
        <v/>
      </c>
      <c r="AJ189" s="121">
        <f>IFERROR(INDEX(SF_Output!AD:AD,MATCH(_xlfn.TEXTJOIN(",",TRUE,B189:E189),SF_Output!AC1:AC400,0)),0.05)</f>
        <v>241</v>
      </c>
      <c r="AK189" t="str">
        <f>IF(SUMIFS(SF_Output!$F$1:$F$400,SF_Output!$AC$1:$AC$400,_xlfn.TEXTJOIN(",",TRUE,B189:E189))+SUMIFS(SF_Output!$G$1:$G$400,SF_Output!$AC$1:$AC$400,_xlfn.TEXTJOIN(",",TRUE,B189:E189))=0,"","PAP")</f>
        <v/>
      </c>
      <c r="AQ189" s="35"/>
      <c r="AR189" s="35" t="str" cm="1">
        <f t="array" ref="AR189">IFERROR(_xlfn.IFS(AND(E189*1=1,F189="Included"),"Change to Included",AND(E189*1=0,F189="Optional"),"Change to Optional",OR(B189="",F189="replaced"),""),"")</f>
        <v/>
      </c>
      <c r="AS189" s="35" t="str">
        <f t="shared" si="41"/>
        <v/>
      </c>
      <c r="AT189" s="35" t="str">
        <f t="shared" si="42"/>
        <v/>
      </c>
      <c r="AU189" s="35" t="str">
        <f t="shared" si="43"/>
        <v/>
      </c>
      <c r="AV189" s="35" t="str">
        <f t="shared" si="44"/>
        <v/>
      </c>
      <c r="AW189" s="35" t="str">
        <f t="shared" si="45"/>
        <v/>
      </c>
      <c r="AX189" s="35" t="str">
        <f t="shared" si="46"/>
        <v/>
      </c>
      <c r="AY189" s="35" t="str">
        <f t="shared" si="47"/>
        <v/>
      </c>
      <c r="AZ189" s="35" t="str">
        <f t="shared" si="48"/>
        <v/>
      </c>
      <c r="BA189" s="35" t="str">
        <f t="shared" si="49"/>
        <v/>
      </c>
      <c r="BB189" s="35" t="str">
        <f t="shared" si="50"/>
        <v/>
      </c>
      <c r="BC189" s="35"/>
      <c r="BE189" s="35" t="e">
        <f>INDEX(SF_Output!$AA$2:$AA$400,MATCH($B189,SF_Output!$M$2:$M$400,0))</f>
        <v>#N/A</v>
      </c>
      <c r="BF189" s="35" t="e">
        <f>INDEX(SF_Output!$AB$2:$AB$400,MATCH($B189,SF_Output!$M$2:$M$400,0))</f>
        <v>#N/A</v>
      </c>
    </row>
    <row r="190" spans="2:58" x14ac:dyDescent="0.25">
      <c r="F190" s="116" t="str">
        <f t="shared" si="34"/>
        <v/>
      </c>
      <c r="G190" t="str">
        <f>IF(B190="","",INDEX(SF_Output!$K$1:$K$400,MATCH(B190,SF_Output!$M$1:$M$400,0)))</f>
        <v/>
      </c>
      <c r="H190" t="str" cm="1">
        <f t="array" ref="H190">_xlfn.IFS(B190="","",(SUMIFS(SF_Output!$F$1:$F$400,SF_Output!$AC$1:$AC$400,_xlfn.TEXTJOIN(",",TRUE,B190:E190))+SUMIFS(SF_Output!$G$1:$G$400,SF_Output!$AC$1:$AC$400,_xlfn.TEXTJOIN(",",TRUE,B190:E190)))&lt;&gt;0,SF_Output!$Y$2,INDEX(SF_Output!$F$1:$F$400,MATCH(_xlfn.TEXTJOIN(",",TRUE,B190:E190),SF_Output!$AC$1:$AC$400,0))=0,INDEX(SF_Output!$R$1:$R$400,MATCH(_xlfn.TEXTJOIN(",",TRUE,B190:E190),SF_Output!$AC$1:$AC$400,0)))</f>
        <v/>
      </c>
      <c r="I190" s="125" t="str">
        <f>IFERROR(IF(AND(H190&gt;1,H190&lt;&gt;""),ROUND(SUMIFS(SF_Output!$S$1:$S$400,SF_Output!$AC$1:$AC$400,_xlfn.TEXTJOIN(",",TRUE,B190:E190),SF_Output!$Q$1:$Q$400,"monthly")*(1-W190)/H190,4),""),"")</f>
        <v/>
      </c>
      <c r="J190" s="6" t="str">
        <f>IF(B190="","",SUMIFS(SF_Output!$S$1:$S$400,SF_Output!$AC$1:$AC$400,_xlfn.TEXTJOIN(",",TRUE,B190:E190),SF_Output!$Q$1:$Q$400,"One Time",SF_Output!$L$1:$L$400,"license fee")+SUMIFS(SF_Output!$S$1:$S$400,SF_Output!$AC$1:$AC$400,_xlfn.TEXTJOIN(",",TRUE,B190:E190),SF_Output!$Q$1:$Q$400,"One Time",SF_Output!$L$1:$L$400,"software license")+SUMIFS(SF_Output!$S$1:$S$400,SF_Output!$AC$1:$AC$400,_xlfn.TEXTJOIN(",",TRUE,B190:E190),SF_Output!$Q$1:$Q$400,"One Time",SF_Output!$L$1:$L$400,"hardware"))</f>
        <v/>
      </c>
      <c r="K190" s="112" t="str">
        <f>IF(OR(B190=0,B190="",G190="hardware",J190=0),"",IF(AF190&lt;&gt;"exclusion",MAX(K$9,-((SUMIFS(SF_Output!$T$1:$T$400,SF_Output!$AC$1:$AC$400,_xlfn.TEXTJOIN(",",TRUE,$B190:$E190),SF_Output!$Q$1:$Q$400,"One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license"))/J190)))</f>
        <v/>
      </c>
      <c r="L190" s="6" t="str">
        <f t="shared" si="35"/>
        <v/>
      </c>
      <c r="N190" s="6" t="str">
        <f>IF(B190="","",SUMIFS(SF_Output!$S$1:$S$400,SF_Output!$AC$1:$AC$400,_xlfn.TEXTJOIN(",",TRUE,B190:E190),SF_Output!$Q$1:$Q$400,"One Time",SF_Output!$L$1:$L$400,"professional service"))</f>
        <v/>
      </c>
      <c r="O190" s="112" t="str">
        <f>IF(OR(B190=0,B190="",N190=0),"",IF(AF190&lt;&gt;"exclusion",MAX(O$9,-(SUMIFS(SF_Output!$T$1:$T$400,SF_Output!$AC$1:$AC$400,_xlfn.TEXTJOIN(",",TRUE,$B190:$E190),SF_Output!$Q$1:$Q$400,"One Time",SF_Output!$L$1:$L$400,"professional service"))/N190),-((SUMIFS(SF_Output!$T$1:$T$400,SF_Output!$AC$1:$AC$400,_xlfn.TEXTJOIN(",",TRUE,$B190:$E190),SF_Output!$Q$1:$Q$400,"One Time",SF_Output!$L$1:$L$400,"professional service")/N190))))</f>
        <v/>
      </c>
      <c r="P190" s="6" t="str">
        <f t="shared" si="36"/>
        <v/>
      </c>
      <c r="R190" s="6" t="str">
        <f>IF(B190="","",SUMIFS(SF_Output!$S$1:$S$400,SF_Output!$AC$1:$AC$400,_xlfn.TEXTJOIN(",",TRUE,B190:E190),SF_Output!$Q$1:$Q$400,"yearly")+SUMIFS(SF_Output!$S$1:$S$400,SF_Output!$AC$1:$AC$400,_xlfn.TEXTJOIN(",",TRUE,B190:E190),SF_Output!$Q$1:$Q$400,"quarterly")*4)</f>
        <v/>
      </c>
      <c r="S190" s="112" t="str">
        <f>IF(OR(B190=0,B190="",G190="hardware",R190=0),"",IF(AF190&lt;&gt;"exclusion",MAX(S$9,-(SUMIFS(SF_Output!$T$1:$T$400,SF_Output!$AC$1:$AC$400,_xlfn.TEXTJOIN(",",TRUE,$B190:$E190),SF_Output!$Q$1:$Q$400,"yearly"))/R190),-((SUMIFS(SF_Output!$T$1:$T$400,SF_Output!$AC$1:$AC$400,_xlfn.TEXTJOIN(",",TRUE,$B190:$E190),SF_Output!$Q$1:$Q$400,"yearly")/R190))))</f>
        <v/>
      </c>
      <c r="T190" s="6" t="str">
        <f t="shared" si="37"/>
        <v/>
      </c>
      <c r="V190" s="6" t="str" cm="1">
        <f t="array" ref="V190">_xlfn.IFS(B190="","",AND(B190&lt;&gt;"",H190=SF_Output!$Y$2,SUMIFS(SF_Output!$T$1:$T$400,SF_Output!$AC$1:$AC$400,_xlfn.TEXTJOIN(",",TRUE,B190:E190),SF_Output!$Q$1:$Q$400,"monthly")=0),(SUMIFS(SF_Output!$F$1:$F$400,SF_Output!$AC$1:$AC$400,_xlfn.TEXTJOIN(",",TRUE,B190:E190),SF_Output!$Q$1:$Q$400,"monthly")+SUMIFS(SF_Output!$G$1:$G$400,SF_Output!$AC$1:$AC$400,_xlfn.TEXTJOIN(",",TRUE,B190:E190),SF_Output!$Q$1:$Q$400,"monthly"))*H190,AND(B190&lt;&gt;"",H190=SF_Output!$Y$2,SUMIFS(SF_Output!$T$1:$T$400,SF_Output!$AC$1:$AC$400,_xlfn.TEXTJOIN(",",TRUE,B190:E190),SF_Output!$Q$1:$Q$400,"monthly")&lt;&gt;0),SUMIFS(SF_Output!$S$1:$S$400,SF_Output!$AC$1:$AC$400,_xlfn.TEXTJOIN(",",TRUE,B190:E190),SF_Output!$Q$1:$Q$400,"monthly"),AND(B190&lt;&gt;"",H190&lt;&gt;SF_Output!$Y$2),SUMIFS(SF_Output!$S$1:$S$400,SF_Output!$AC$1:$AC$400,_xlfn.TEXTJOIN(",",TRUE,B190:E190),SF_Output!$Q$1:$Q$400,"monthly"))</f>
        <v/>
      </c>
      <c r="W190" s="112" t="str" cm="1">
        <f t="array" ref="W190">_xlfn.IFS(OR(B190=0,B190="",V190=0),"",AF190&lt;&gt;"exclusion",MAX($W$9,$W$7,(-(SUMIFS(SF_Output!$T$1:$T$400,SF_Output!$AC$1:$AC$400,_xlfn.TEXTJOIN(",",TRUE,$B190:$E190),SF_Output!$Q$1:$Q$400,"monthly"))/V190)),AF190="exclusion",-(SUMIFS(SF_Output!$T$1:$T$400,SF_Output!$AC$1:$AC$400,_xlfn.TEXTJOIN(",",TRUE,$B190:$E190),SF_Output!$Q$1:$Q$400,"monthly"))/V190)</f>
        <v/>
      </c>
      <c r="X190" s="6" t="str" cm="1">
        <f t="array" ref="X190">IFERROR(_xlfn.IFS(V190=0,0,V190="","",W190=0,V190,OR(V190&lt;&gt;0,V190&lt;&gt;""),H190*I190),V190*(1-W190))</f>
        <v/>
      </c>
      <c r="Z190" s="6" t="str">
        <f>IFERROR(IF(B190="","",SUMIFS(Billing_Fallout!H:H,Billing_Fallout!N:N,B190)),0)</f>
        <v/>
      </c>
      <c r="AA190" s="6" t="str">
        <f t="shared" si="38"/>
        <v/>
      </c>
      <c r="AB190" s="6" t="str">
        <f>IFERROR(IF(B190="","",SUMIFS(Billing_Fallout!J:J,Billing_Fallout!N:N,B190)),0)</f>
        <v/>
      </c>
      <c r="AD190" s="6" t="str">
        <f t="shared" si="39"/>
        <v/>
      </c>
      <c r="AF190" t="str">
        <f>IFERROR(INDEX(H_Tables!$B$1:$B$1500,MATCH(INDEX(SF_Output!$J$1:$J$400,MATCH(B190,SF_Output!$M$1:$M$400,0)),H_Tables!$A$1:$A$1500,0)),"")</f>
        <v/>
      </c>
      <c r="AI190" s="119" t="str">
        <f t="shared" si="40"/>
        <v/>
      </c>
      <c r="AJ190" s="121">
        <f>IFERROR(INDEX(SF_Output!AD:AD,MATCH(_xlfn.TEXTJOIN(",",TRUE,B190:E190),SF_Output!AC1:AC400,0)),0.05)</f>
        <v>241</v>
      </c>
      <c r="AK190" t="str">
        <f>IF(SUMIFS(SF_Output!$F$1:$F$400,SF_Output!$AC$1:$AC$400,_xlfn.TEXTJOIN(",",TRUE,B190:E190))+SUMIFS(SF_Output!$G$1:$G$400,SF_Output!$AC$1:$AC$400,_xlfn.TEXTJOIN(",",TRUE,B190:E190))=0,"","PAP")</f>
        <v/>
      </c>
      <c r="AQ190" s="35"/>
      <c r="AR190" s="35" t="str" cm="1">
        <f t="array" ref="AR190">IFERROR(_xlfn.IFS(AND(E190*1=1,F190="Included"),"Change to Included",AND(E190*1=0,F190="Optional"),"Change to Optional",OR(B190="",F190="replaced"),""),"")</f>
        <v/>
      </c>
      <c r="AS190" s="35" t="str">
        <f t="shared" si="41"/>
        <v/>
      </c>
      <c r="AT190" s="35" t="str">
        <f t="shared" si="42"/>
        <v/>
      </c>
      <c r="AU190" s="35" t="str">
        <f t="shared" si="43"/>
        <v/>
      </c>
      <c r="AV190" s="35" t="str">
        <f t="shared" si="44"/>
        <v/>
      </c>
      <c r="AW190" s="35" t="str">
        <f t="shared" si="45"/>
        <v/>
      </c>
      <c r="AX190" s="35" t="str">
        <f t="shared" si="46"/>
        <v/>
      </c>
      <c r="AY190" s="35" t="str">
        <f t="shared" si="47"/>
        <v/>
      </c>
      <c r="AZ190" s="35" t="str">
        <f t="shared" si="48"/>
        <v/>
      </c>
      <c r="BA190" s="35" t="str">
        <f t="shared" si="49"/>
        <v/>
      </c>
      <c r="BB190" s="35" t="str">
        <f t="shared" si="50"/>
        <v/>
      </c>
      <c r="BC190" s="35"/>
      <c r="BE190" s="35" t="e">
        <f>INDEX(SF_Output!$AA$2:$AA$400,MATCH($B190,SF_Output!$M$2:$M$400,0))</f>
        <v>#N/A</v>
      </c>
      <c r="BF190" s="35" t="e">
        <f>INDEX(SF_Output!$AB$2:$AB$400,MATCH($B190,SF_Output!$M$2:$M$400,0))</f>
        <v>#N/A</v>
      </c>
    </row>
    <row r="191" spans="2:58" x14ac:dyDescent="0.25">
      <c r="F191" s="116" t="str">
        <f t="shared" si="34"/>
        <v/>
      </c>
      <c r="G191" t="str">
        <f>IF(B191="","",INDEX(SF_Output!$K$1:$K$400,MATCH(B191,SF_Output!$M$1:$M$400,0)))</f>
        <v/>
      </c>
      <c r="H191" t="str" cm="1">
        <f t="array" ref="H191">_xlfn.IFS(B191="","",(SUMIFS(SF_Output!$F$1:$F$400,SF_Output!$AC$1:$AC$400,_xlfn.TEXTJOIN(",",TRUE,B191:E191))+SUMIFS(SF_Output!$G$1:$G$400,SF_Output!$AC$1:$AC$400,_xlfn.TEXTJOIN(",",TRUE,B191:E191)))&lt;&gt;0,SF_Output!$Y$2,INDEX(SF_Output!$F$1:$F$400,MATCH(_xlfn.TEXTJOIN(",",TRUE,B191:E191),SF_Output!$AC$1:$AC$400,0))=0,INDEX(SF_Output!$R$1:$R$400,MATCH(_xlfn.TEXTJOIN(",",TRUE,B191:E191),SF_Output!$AC$1:$AC$400,0)))</f>
        <v/>
      </c>
      <c r="I191" s="125" t="str">
        <f>IFERROR(IF(AND(H191&gt;1,H191&lt;&gt;""),ROUND(SUMIFS(SF_Output!$S$1:$S$400,SF_Output!$AC$1:$AC$400,_xlfn.TEXTJOIN(",",TRUE,B191:E191),SF_Output!$Q$1:$Q$400,"monthly")*(1-W191)/H191,4),""),"")</f>
        <v/>
      </c>
      <c r="J191" s="6" t="str">
        <f>IF(B191="","",SUMIFS(SF_Output!$S$1:$S$400,SF_Output!$AC$1:$AC$400,_xlfn.TEXTJOIN(",",TRUE,B191:E191),SF_Output!$Q$1:$Q$400,"One Time",SF_Output!$L$1:$L$400,"license fee")+SUMIFS(SF_Output!$S$1:$S$400,SF_Output!$AC$1:$AC$400,_xlfn.TEXTJOIN(",",TRUE,B191:E191),SF_Output!$Q$1:$Q$400,"One Time",SF_Output!$L$1:$L$400,"software license")+SUMIFS(SF_Output!$S$1:$S$400,SF_Output!$AC$1:$AC$400,_xlfn.TEXTJOIN(",",TRUE,B191:E191),SF_Output!$Q$1:$Q$400,"One Time",SF_Output!$L$1:$L$400,"hardware"))</f>
        <v/>
      </c>
      <c r="K191" s="112" t="str">
        <f>IF(OR(B191=0,B191="",G191="hardware",J191=0),"",IF(AF191&lt;&gt;"exclusion",MAX(K$9,-((SUMIFS(SF_Output!$T$1:$T$400,SF_Output!$AC$1:$AC$400,_xlfn.TEXTJOIN(",",TRUE,$B191:$E191),SF_Output!$Q$1:$Q$400,"One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license"))/J191)))</f>
        <v/>
      </c>
      <c r="L191" s="6" t="str">
        <f t="shared" si="35"/>
        <v/>
      </c>
      <c r="N191" s="6" t="str">
        <f>IF(B191="","",SUMIFS(SF_Output!$S$1:$S$400,SF_Output!$AC$1:$AC$400,_xlfn.TEXTJOIN(",",TRUE,B191:E191),SF_Output!$Q$1:$Q$400,"One Time",SF_Output!$L$1:$L$400,"professional service"))</f>
        <v/>
      </c>
      <c r="O191" s="112" t="str">
        <f>IF(OR(B191=0,B191="",N191=0),"",IF(AF191&lt;&gt;"exclusion",MAX(O$9,-(SUMIFS(SF_Output!$T$1:$T$400,SF_Output!$AC$1:$AC$400,_xlfn.TEXTJOIN(",",TRUE,$B191:$E191),SF_Output!$Q$1:$Q$400,"One Time",SF_Output!$L$1:$L$400,"professional service"))/N191),-((SUMIFS(SF_Output!$T$1:$T$400,SF_Output!$AC$1:$AC$400,_xlfn.TEXTJOIN(",",TRUE,$B191:$E191),SF_Output!$Q$1:$Q$400,"One Time",SF_Output!$L$1:$L$400,"professional service")/N191))))</f>
        <v/>
      </c>
      <c r="P191" s="6" t="str">
        <f t="shared" si="36"/>
        <v/>
      </c>
      <c r="R191" s="6" t="str">
        <f>IF(B191="","",SUMIFS(SF_Output!$S$1:$S$400,SF_Output!$AC$1:$AC$400,_xlfn.TEXTJOIN(",",TRUE,B191:E191),SF_Output!$Q$1:$Q$400,"yearly")+SUMIFS(SF_Output!$S$1:$S$400,SF_Output!$AC$1:$AC$400,_xlfn.TEXTJOIN(",",TRUE,B191:E191),SF_Output!$Q$1:$Q$400,"quarterly")*4)</f>
        <v/>
      </c>
      <c r="S191" s="112" t="str">
        <f>IF(OR(B191=0,B191="",G191="hardware",R191=0),"",IF(AF191&lt;&gt;"exclusion",MAX(S$9,-(SUMIFS(SF_Output!$T$1:$T$400,SF_Output!$AC$1:$AC$400,_xlfn.TEXTJOIN(",",TRUE,$B191:$E191),SF_Output!$Q$1:$Q$400,"yearly"))/R191),-((SUMIFS(SF_Output!$T$1:$T$400,SF_Output!$AC$1:$AC$400,_xlfn.TEXTJOIN(",",TRUE,$B191:$E191),SF_Output!$Q$1:$Q$400,"yearly")/R191))))</f>
        <v/>
      </c>
      <c r="T191" s="6" t="str">
        <f t="shared" si="37"/>
        <v/>
      </c>
      <c r="V191" s="6" t="str" cm="1">
        <f t="array" ref="V191">_xlfn.IFS(B191="","",AND(B191&lt;&gt;"",H191=SF_Output!$Y$2,SUMIFS(SF_Output!$T$1:$T$400,SF_Output!$AC$1:$AC$400,_xlfn.TEXTJOIN(",",TRUE,B191:E191),SF_Output!$Q$1:$Q$400,"monthly")=0),(SUMIFS(SF_Output!$F$1:$F$400,SF_Output!$AC$1:$AC$400,_xlfn.TEXTJOIN(",",TRUE,B191:E191),SF_Output!$Q$1:$Q$400,"monthly")+SUMIFS(SF_Output!$G$1:$G$400,SF_Output!$AC$1:$AC$400,_xlfn.TEXTJOIN(",",TRUE,B191:E191),SF_Output!$Q$1:$Q$400,"monthly"))*H191,AND(B191&lt;&gt;"",H191=SF_Output!$Y$2,SUMIFS(SF_Output!$T$1:$T$400,SF_Output!$AC$1:$AC$400,_xlfn.TEXTJOIN(",",TRUE,B191:E191),SF_Output!$Q$1:$Q$400,"monthly")&lt;&gt;0),SUMIFS(SF_Output!$S$1:$S$400,SF_Output!$AC$1:$AC$400,_xlfn.TEXTJOIN(",",TRUE,B191:E191),SF_Output!$Q$1:$Q$400,"monthly"),AND(B191&lt;&gt;"",H191&lt;&gt;SF_Output!$Y$2),SUMIFS(SF_Output!$S$1:$S$400,SF_Output!$AC$1:$AC$400,_xlfn.TEXTJOIN(",",TRUE,B191:E191),SF_Output!$Q$1:$Q$400,"monthly"))</f>
        <v/>
      </c>
      <c r="W191" s="112" t="str" cm="1">
        <f t="array" ref="W191">_xlfn.IFS(OR(B191=0,B191="",V191=0),"",AF191&lt;&gt;"exclusion",MAX($W$9,$W$7,(-(SUMIFS(SF_Output!$T$1:$T$400,SF_Output!$AC$1:$AC$400,_xlfn.TEXTJOIN(",",TRUE,$B191:$E191),SF_Output!$Q$1:$Q$400,"monthly"))/V191)),AF191="exclusion",-(SUMIFS(SF_Output!$T$1:$T$400,SF_Output!$AC$1:$AC$400,_xlfn.TEXTJOIN(",",TRUE,$B191:$E191),SF_Output!$Q$1:$Q$400,"monthly"))/V191)</f>
        <v/>
      </c>
      <c r="X191" s="6" t="str" cm="1">
        <f t="array" ref="X191">IFERROR(_xlfn.IFS(V191=0,0,V191="","",W191=0,V191,OR(V191&lt;&gt;0,V191&lt;&gt;""),H191*I191),V191*(1-W191))</f>
        <v/>
      </c>
      <c r="Z191" s="6" t="str">
        <f>IFERROR(IF(B191="","",SUMIFS(Billing_Fallout!H:H,Billing_Fallout!N:N,B191)),0)</f>
        <v/>
      </c>
      <c r="AA191" s="6" t="str">
        <f t="shared" si="38"/>
        <v/>
      </c>
      <c r="AB191" s="6" t="str">
        <f>IFERROR(IF(B191="","",SUMIFS(Billing_Fallout!J:J,Billing_Fallout!N:N,B191)),0)</f>
        <v/>
      </c>
      <c r="AD191" s="6" t="str">
        <f t="shared" si="39"/>
        <v/>
      </c>
      <c r="AF191" t="str">
        <f>IFERROR(INDEX(H_Tables!$B$1:$B$1500,MATCH(INDEX(SF_Output!$J$1:$J$400,MATCH(B191,SF_Output!$M$1:$M$400,0)),H_Tables!$A$1:$A$1500,0)),"")</f>
        <v/>
      </c>
      <c r="AI191" s="119" t="str">
        <f t="shared" si="40"/>
        <v/>
      </c>
      <c r="AJ191" s="121">
        <f>IFERROR(INDEX(SF_Output!AD:AD,MATCH(_xlfn.TEXTJOIN(",",TRUE,B191:E191),SF_Output!AC1:AC400,0)),0.05)</f>
        <v>241</v>
      </c>
      <c r="AK191" t="str">
        <f>IF(SUMIFS(SF_Output!$F$1:$F$400,SF_Output!$AC$1:$AC$400,_xlfn.TEXTJOIN(",",TRUE,B191:E191))+SUMIFS(SF_Output!$G$1:$G$400,SF_Output!$AC$1:$AC$400,_xlfn.TEXTJOIN(",",TRUE,B191:E191))=0,"","PAP")</f>
        <v/>
      </c>
      <c r="AQ191" s="35"/>
      <c r="AR191" s="35" t="str" cm="1">
        <f t="array" ref="AR191">IFERROR(_xlfn.IFS(AND(E191*1=1,F191="Included"),"Change to Included",AND(E191*1=0,F191="Optional"),"Change to Optional",OR(B191="",F191="replaced"),""),"")</f>
        <v/>
      </c>
      <c r="AS191" s="35" t="str">
        <f t="shared" si="41"/>
        <v/>
      </c>
      <c r="AT191" s="35" t="str">
        <f t="shared" si="42"/>
        <v/>
      </c>
      <c r="AU191" s="35" t="str">
        <f t="shared" si="43"/>
        <v/>
      </c>
      <c r="AV191" s="35" t="str">
        <f t="shared" si="44"/>
        <v/>
      </c>
      <c r="AW191" s="35" t="str">
        <f t="shared" si="45"/>
        <v/>
      </c>
      <c r="AX191" s="35" t="str">
        <f t="shared" si="46"/>
        <v/>
      </c>
      <c r="AY191" s="35" t="str">
        <f t="shared" si="47"/>
        <v/>
      </c>
      <c r="AZ191" s="35" t="str">
        <f t="shared" si="48"/>
        <v/>
      </c>
      <c r="BA191" s="35" t="str">
        <f t="shared" si="49"/>
        <v/>
      </c>
      <c r="BB191" s="35" t="str">
        <f t="shared" si="50"/>
        <v/>
      </c>
      <c r="BC191" s="35"/>
      <c r="BE191" s="35" t="e">
        <f>INDEX(SF_Output!$AA$2:$AA$400,MATCH($B191,SF_Output!$M$2:$M$400,0))</f>
        <v>#N/A</v>
      </c>
      <c r="BF191" s="35" t="e">
        <f>INDEX(SF_Output!$AB$2:$AB$400,MATCH($B191,SF_Output!$M$2:$M$400,0))</f>
        <v>#N/A</v>
      </c>
    </row>
    <row r="192" spans="2:58" x14ac:dyDescent="0.25">
      <c r="F192" s="116" t="str">
        <f t="shared" si="34"/>
        <v/>
      </c>
      <c r="G192" t="str">
        <f>IF(B192="","",INDEX(SF_Output!$K$1:$K$400,MATCH(B192,SF_Output!$M$1:$M$400,0)))</f>
        <v/>
      </c>
      <c r="H192" t="str" cm="1">
        <f t="array" ref="H192">_xlfn.IFS(B192="","",(SUMIFS(SF_Output!$F$1:$F$400,SF_Output!$AC$1:$AC$400,_xlfn.TEXTJOIN(",",TRUE,B192:E192))+SUMIFS(SF_Output!$G$1:$G$400,SF_Output!$AC$1:$AC$400,_xlfn.TEXTJOIN(",",TRUE,B192:E192)))&lt;&gt;0,SF_Output!$Y$2,INDEX(SF_Output!$F$1:$F$400,MATCH(_xlfn.TEXTJOIN(",",TRUE,B192:E192),SF_Output!$AC$1:$AC$400,0))=0,INDEX(SF_Output!$R$1:$R$400,MATCH(_xlfn.TEXTJOIN(",",TRUE,B192:E192),SF_Output!$AC$1:$AC$400,0)))</f>
        <v/>
      </c>
      <c r="I192" s="125" t="str">
        <f>IFERROR(IF(AND(H192&gt;1,H192&lt;&gt;""),ROUND(SUMIFS(SF_Output!$S$1:$S$400,SF_Output!$AC$1:$AC$400,_xlfn.TEXTJOIN(",",TRUE,B192:E192),SF_Output!$Q$1:$Q$400,"monthly")*(1-W192)/H192,4),""),"")</f>
        <v/>
      </c>
      <c r="J192" s="6" t="str">
        <f>IF(B192="","",SUMIFS(SF_Output!$S$1:$S$400,SF_Output!$AC$1:$AC$400,_xlfn.TEXTJOIN(",",TRUE,B192:E192),SF_Output!$Q$1:$Q$400,"One Time",SF_Output!$L$1:$L$400,"license fee")+SUMIFS(SF_Output!$S$1:$S$400,SF_Output!$AC$1:$AC$400,_xlfn.TEXTJOIN(",",TRUE,B192:E192),SF_Output!$Q$1:$Q$400,"One Time",SF_Output!$L$1:$L$400,"software license")+SUMIFS(SF_Output!$S$1:$S$400,SF_Output!$AC$1:$AC$400,_xlfn.TEXTJOIN(",",TRUE,B192:E192),SF_Output!$Q$1:$Q$400,"One Time",SF_Output!$L$1:$L$400,"hardware"))</f>
        <v/>
      </c>
      <c r="K192" s="112" t="str">
        <f>IF(OR(B192=0,B192="",G192="hardware",J192=0),"",IF(AF192&lt;&gt;"exclusion",MAX(K$9,-((SUMIFS(SF_Output!$T$1:$T$400,SF_Output!$AC$1:$AC$400,_xlfn.TEXTJOIN(",",TRUE,$B192:$E192),SF_Output!$Q$1:$Q$400,"One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license"))/J192)))</f>
        <v/>
      </c>
      <c r="L192" s="6" t="str">
        <f t="shared" si="35"/>
        <v/>
      </c>
      <c r="N192" s="6" t="str">
        <f>IF(B192="","",SUMIFS(SF_Output!$S$1:$S$400,SF_Output!$AC$1:$AC$400,_xlfn.TEXTJOIN(",",TRUE,B192:E192),SF_Output!$Q$1:$Q$400,"One Time",SF_Output!$L$1:$L$400,"professional service"))</f>
        <v/>
      </c>
      <c r="O192" s="112" t="str">
        <f>IF(OR(B192=0,B192="",N192=0),"",IF(AF192&lt;&gt;"exclusion",MAX(O$9,-(SUMIFS(SF_Output!$T$1:$T$400,SF_Output!$AC$1:$AC$400,_xlfn.TEXTJOIN(",",TRUE,$B192:$E192),SF_Output!$Q$1:$Q$400,"One Time",SF_Output!$L$1:$L$400,"professional service"))/N192),-((SUMIFS(SF_Output!$T$1:$T$400,SF_Output!$AC$1:$AC$400,_xlfn.TEXTJOIN(",",TRUE,$B192:$E192),SF_Output!$Q$1:$Q$400,"One Time",SF_Output!$L$1:$L$400,"professional service")/N192))))</f>
        <v/>
      </c>
      <c r="P192" s="6" t="str">
        <f t="shared" si="36"/>
        <v/>
      </c>
      <c r="R192" s="6" t="str">
        <f>IF(B192="","",SUMIFS(SF_Output!$S$1:$S$400,SF_Output!$AC$1:$AC$400,_xlfn.TEXTJOIN(",",TRUE,B192:E192),SF_Output!$Q$1:$Q$400,"yearly")+SUMIFS(SF_Output!$S$1:$S$400,SF_Output!$AC$1:$AC$400,_xlfn.TEXTJOIN(",",TRUE,B192:E192),SF_Output!$Q$1:$Q$400,"quarterly")*4)</f>
        <v/>
      </c>
      <c r="S192" s="112" t="str">
        <f>IF(OR(B192=0,B192="",G192="hardware",R192=0),"",IF(AF192&lt;&gt;"exclusion",MAX(S$9,-(SUMIFS(SF_Output!$T$1:$T$400,SF_Output!$AC$1:$AC$400,_xlfn.TEXTJOIN(",",TRUE,$B192:$E192),SF_Output!$Q$1:$Q$400,"yearly"))/R192),-((SUMIFS(SF_Output!$T$1:$T$400,SF_Output!$AC$1:$AC$400,_xlfn.TEXTJOIN(",",TRUE,$B192:$E192),SF_Output!$Q$1:$Q$400,"yearly")/R192))))</f>
        <v/>
      </c>
      <c r="T192" s="6" t="str">
        <f t="shared" si="37"/>
        <v/>
      </c>
      <c r="V192" s="6" t="str" cm="1">
        <f t="array" ref="V192">_xlfn.IFS(B192="","",AND(B192&lt;&gt;"",H192=SF_Output!$Y$2,SUMIFS(SF_Output!$T$1:$T$400,SF_Output!$AC$1:$AC$400,_xlfn.TEXTJOIN(",",TRUE,B192:E192),SF_Output!$Q$1:$Q$400,"monthly")=0),(SUMIFS(SF_Output!$F$1:$F$400,SF_Output!$AC$1:$AC$400,_xlfn.TEXTJOIN(",",TRUE,B192:E192),SF_Output!$Q$1:$Q$400,"monthly")+SUMIFS(SF_Output!$G$1:$G$400,SF_Output!$AC$1:$AC$400,_xlfn.TEXTJOIN(",",TRUE,B192:E192),SF_Output!$Q$1:$Q$400,"monthly"))*H192,AND(B192&lt;&gt;"",H192=SF_Output!$Y$2,SUMIFS(SF_Output!$T$1:$T$400,SF_Output!$AC$1:$AC$400,_xlfn.TEXTJOIN(",",TRUE,B192:E192),SF_Output!$Q$1:$Q$400,"monthly")&lt;&gt;0),SUMIFS(SF_Output!$S$1:$S$400,SF_Output!$AC$1:$AC$400,_xlfn.TEXTJOIN(",",TRUE,B192:E192),SF_Output!$Q$1:$Q$400,"monthly"),AND(B192&lt;&gt;"",H192&lt;&gt;SF_Output!$Y$2),SUMIFS(SF_Output!$S$1:$S$400,SF_Output!$AC$1:$AC$400,_xlfn.TEXTJOIN(",",TRUE,B192:E192),SF_Output!$Q$1:$Q$400,"monthly"))</f>
        <v/>
      </c>
      <c r="W192" s="112" t="str" cm="1">
        <f t="array" ref="W192">_xlfn.IFS(OR(B192=0,B192="",V192=0),"",AF192&lt;&gt;"exclusion",MAX($W$9,$W$7,(-(SUMIFS(SF_Output!$T$1:$T$400,SF_Output!$AC$1:$AC$400,_xlfn.TEXTJOIN(",",TRUE,$B192:$E192),SF_Output!$Q$1:$Q$400,"monthly"))/V192)),AF192="exclusion",-(SUMIFS(SF_Output!$T$1:$T$400,SF_Output!$AC$1:$AC$400,_xlfn.TEXTJOIN(",",TRUE,$B192:$E192),SF_Output!$Q$1:$Q$400,"monthly"))/V192)</f>
        <v/>
      </c>
      <c r="X192" s="6" t="str" cm="1">
        <f t="array" ref="X192">IFERROR(_xlfn.IFS(V192=0,0,V192="","",W192=0,V192,OR(V192&lt;&gt;0,V192&lt;&gt;""),H192*I192),V192*(1-W192))</f>
        <v/>
      </c>
      <c r="Z192" s="6" t="str">
        <f>IFERROR(IF(B192="","",SUMIFS(Billing_Fallout!H:H,Billing_Fallout!N:N,B192)),0)</f>
        <v/>
      </c>
      <c r="AA192" s="6" t="str">
        <f t="shared" si="38"/>
        <v/>
      </c>
      <c r="AB192" s="6" t="str">
        <f>IFERROR(IF(B192="","",SUMIFS(Billing_Fallout!J:J,Billing_Fallout!N:N,B192)),0)</f>
        <v/>
      </c>
      <c r="AD192" s="6" t="str">
        <f t="shared" si="39"/>
        <v/>
      </c>
      <c r="AF192" t="str">
        <f>IFERROR(INDEX(H_Tables!$B$1:$B$1500,MATCH(INDEX(SF_Output!$J$1:$J$400,MATCH(B192,SF_Output!$M$1:$M$400,0)),H_Tables!$A$1:$A$1500,0)),"")</f>
        <v/>
      </c>
      <c r="AI192" s="119" t="str">
        <f t="shared" si="40"/>
        <v/>
      </c>
      <c r="AJ192" s="121">
        <f>IFERROR(INDEX(SF_Output!AD:AD,MATCH(_xlfn.TEXTJOIN(",",TRUE,B192:E192),SF_Output!AC1:AC400,0)),0.05)</f>
        <v>241</v>
      </c>
      <c r="AK192" t="str">
        <f>IF(SUMIFS(SF_Output!$F$1:$F$400,SF_Output!$AC$1:$AC$400,_xlfn.TEXTJOIN(",",TRUE,B192:E192))+SUMIFS(SF_Output!$G$1:$G$400,SF_Output!$AC$1:$AC$400,_xlfn.TEXTJOIN(",",TRUE,B192:E192))=0,"","PAP")</f>
        <v/>
      </c>
      <c r="AQ192" s="35"/>
      <c r="AR192" s="35" t="str" cm="1">
        <f t="array" ref="AR192">IFERROR(_xlfn.IFS(AND(E192*1=1,F192="Included"),"Change to Included",AND(E192*1=0,F192="Optional"),"Change to Optional",OR(B192="",F192="replaced"),""),"")</f>
        <v/>
      </c>
      <c r="AS192" s="35" t="str">
        <f t="shared" si="41"/>
        <v/>
      </c>
      <c r="AT192" s="35" t="str">
        <f t="shared" si="42"/>
        <v/>
      </c>
      <c r="AU192" s="35" t="str">
        <f t="shared" si="43"/>
        <v/>
      </c>
      <c r="AV192" s="35" t="str">
        <f t="shared" si="44"/>
        <v/>
      </c>
      <c r="AW192" s="35" t="str">
        <f t="shared" si="45"/>
        <v/>
      </c>
      <c r="AX192" s="35" t="str">
        <f t="shared" si="46"/>
        <v/>
      </c>
      <c r="AY192" s="35" t="str">
        <f t="shared" si="47"/>
        <v/>
      </c>
      <c r="AZ192" s="35" t="str">
        <f t="shared" si="48"/>
        <v/>
      </c>
      <c r="BA192" s="35" t="str">
        <f t="shared" si="49"/>
        <v/>
      </c>
      <c r="BB192" s="35" t="str">
        <f t="shared" si="50"/>
        <v/>
      </c>
      <c r="BC192" s="35"/>
      <c r="BE192" s="35" t="e">
        <f>INDEX(SF_Output!$AA$2:$AA$400,MATCH($B192,SF_Output!$M$2:$M$400,0))</f>
        <v>#N/A</v>
      </c>
      <c r="BF192" s="35" t="e">
        <f>INDEX(SF_Output!$AB$2:$AB$400,MATCH($B192,SF_Output!$M$2:$M$400,0))</f>
        <v>#N/A</v>
      </c>
    </row>
    <row r="193" spans="6:58" x14ac:dyDescent="0.25">
      <c r="F193" s="116" t="str">
        <f t="shared" si="34"/>
        <v/>
      </c>
      <c r="G193" t="str">
        <f>IF(B193="","",INDEX(SF_Output!$K$1:$K$400,MATCH(B193,SF_Output!$M$1:$M$400,0)))</f>
        <v/>
      </c>
      <c r="H193" t="str" cm="1">
        <f t="array" ref="H193">_xlfn.IFS(B193="","",(SUMIFS(SF_Output!$F$1:$F$400,SF_Output!$AC$1:$AC$400,_xlfn.TEXTJOIN(",",TRUE,B193:E193))+SUMIFS(SF_Output!$G$1:$G$400,SF_Output!$AC$1:$AC$400,_xlfn.TEXTJOIN(",",TRUE,B193:E193)))&lt;&gt;0,SF_Output!$Y$2,INDEX(SF_Output!$F$1:$F$400,MATCH(_xlfn.TEXTJOIN(",",TRUE,B193:E193),SF_Output!$AC$1:$AC$400,0))=0,INDEX(SF_Output!$R$1:$R$400,MATCH(_xlfn.TEXTJOIN(",",TRUE,B193:E193),SF_Output!$AC$1:$AC$400,0)))</f>
        <v/>
      </c>
      <c r="I193" s="125" t="str">
        <f>IFERROR(IF(AND(H193&gt;1,H193&lt;&gt;""),ROUND(SUMIFS(SF_Output!$S$1:$S$400,SF_Output!$AC$1:$AC$400,_xlfn.TEXTJOIN(",",TRUE,B193:E193),SF_Output!$Q$1:$Q$400,"monthly")*(1-W193)/H193,4),""),"")</f>
        <v/>
      </c>
      <c r="J193" s="6" t="str">
        <f>IF(B193="","",SUMIFS(SF_Output!$S$1:$S$400,SF_Output!$AC$1:$AC$400,_xlfn.TEXTJOIN(",",TRUE,B193:E193),SF_Output!$Q$1:$Q$400,"One Time",SF_Output!$L$1:$L$400,"license fee")+SUMIFS(SF_Output!$S$1:$S$400,SF_Output!$AC$1:$AC$400,_xlfn.TEXTJOIN(",",TRUE,B193:E193),SF_Output!$Q$1:$Q$400,"One Time",SF_Output!$L$1:$L$400,"software license")+SUMIFS(SF_Output!$S$1:$S$400,SF_Output!$AC$1:$AC$400,_xlfn.TEXTJOIN(",",TRUE,B193:E193),SF_Output!$Q$1:$Q$400,"One Time",SF_Output!$L$1:$L$400,"hardware"))</f>
        <v/>
      </c>
      <c r="K193" s="112" t="str">
        <f>IF(OR(B193=0,B193="",G193="hardware",J193=0),"",IF(AF193&lt;&gt;"exclusion",MAX(K$9,-((SUMIFS(SF_Output!$T$1:$T$400,SF_Output!$AC$1:$AC$400,_xlfn.TEXTJOIN(",",TRUE,$B193:$E193),SF_Output!$Q$1:$Q$400,"One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license"))/J193)))</f>
        <v/>
      </c>
      <c r="L193" s="6" t="str">
        <f t="shared" si="35"/>
        <v/>
      </c>
      <c r="N193" s="6" t="str">
        <f>IF(B193="","",SUMIFS(SF_Output!$S$1:$S$400,SF_Output!$AC$1:$AC$400,_xlfn.TEXTJOIN(",",TRUE,B193:E193),SF_Output!$Q$1:$Q$400,"One Time",SF_Output!$L$1:$L$400,"professional service"))</f>
        <v/>
      </c>
      <c r="O193" s="112" t="str">
        <f>IF(OR(B193=0,B193="",N193=0),"",IF(AF193&lt;&gt;"exclusion",MAX(O$9,-(SUMIFS(SF_Output!$T$1:$T$400,SF_Output!$AC$1:$AC$400,_xlfn.TEXTJOIN(",",TRUE,$B193:$E193),SF_Output!$Q$1:$Q$400,"One Time",SF_Output!$L$1:$L$400,"professional service"))/N193),-((SUMIFS(SF_Output!$T$1:$T$400,SF_Output!$AC$1:$AC$400,_xlfn.TEXTJOIN(",",TRUE,$B193:$E193),SF_Output!$Q$1:$Q$400,"One Time",SF_Output!$L$1:$L$400,"professional service")/N193))))</f>
        <v/>
      </c>
      <c r="P193" s="6" t="str">
        <f t="shared" si="36"/>
        <v/>
      </c>
      <c r="R193" s="6" t="str">
        <f>IF(B193="","",SUMIFS(SF_Output!$S$1:$S$400,SF_Output!$AC$1:$AC$400,_xlfn.TEXTJOIN(",",TRUE,B193:E193),SF_Output!$Q$1:$Q$400,"yearly")+SUMIFS(SF_Output!$S$1:$S$400,SF_Output!$AC$1:$AC$400,_xlfn.TEXTJOIN(",",TRUE,B193:E193),SF_Output!$Q$1:$Q$400,"quarterly")*4)</f>
        <v/>
      </c>
      <c r="S193" s="112" t="str">
        <f>IF(OR(B193=0,B193="",G193="hardware",R193=0),"",IF(AF193&lt;&gt;"exclusion",MAX(S$9,-(SUMIFS(SF_Output!$T$1:$T$400,SF_Output!$AC$1:$AC$400,_xlfn.TEXTJOIN(",",TRUE,$B193:$E193),SF_Output!$Q$1:$Q$400,"yearly"))/R193),-((SUMIFS(SF_Output!$T$1:$T$400,SF_Output!$AC$1:$AC$400,_xlfn.TEXTJOIN(",",TRUE,$B193:$E193),SF_Output!$Q$1:$Q$400,"yearly")/R193))))</f>
        <v/>
      </c>
      <c r="T193" s="6" t="str">
        <f t="shared" si="37"/>
        <v/>
      </c>
      <c r="V193" s="6" t="str" cm="1">
        <f t="array" ref="V193">_xlfn.IFS(B193="","",AND(B193&lt;&gt;"",H193=SF_Output!$Y$2,SUMIFS(SF_Output!$T$1:$T$400,SF_Output!$AC$1:$AC$400,_xlfn.TEXTJOIN(",",TRUE,B193:E193),SF_Output!$Q$1:$Q$400,"monthly")=0),(SUMIFS(SF_Output!$F$1:$F$400,SF_Output!$AC$1:$AC$400,_xlfn.TEXTJOIN(",",TRUE,B193:E193),SF_Output!$Q$1:$Q$400,"monthly")+SUMIFS(SF_Output!$G$1:$G$400,SF_Output!$AC$1:$AC$400,_xlfn.TEXTJOIN(",",TRUE,B193:E193),SF_Output!$Q$1:$Q$400,"monthly"))*H193,AND(B193&lt;&gt;"",H193=SF_Output!$Y$2,SUMIFS(SF_Output!$T$1:$T$400,SF_Output!$AC$1:$AC$400,_xlfn.TEXTJOIN(",",TRUE,B193:E193),SF_Output!$Q$1:$Q$400,"monthly")&lt;&gt;0),SUMIFS(SF_Output!$S$1:$S$400,SF_Output!$AC$1:$AC$400,_xlfn.TEXTJOIN(",",TRUE,B193:E193),SF_Output!$Q$1:$Q$400,"monthly"),AND(B193&lt;&gt;"",H193&lt;&gt;SF_Output!$Y$2),SUMIFS(SF_Output!$S$1:$S$400,SF_Output!$AC$1:$AC$400,_xlfn.TEXTJOIN(",",TRUE,B193:E193),SF_Output!$Q$1:$Q$400,"monthly"))</f>
        <v/>
      </c>
      <c r="W193" s="112" t="str" cm="1">
        <f t="array" ref="W193">_xlfn.IFS(OR(B193=0,B193="",V193=0),"",AF193&lt;&gt;"exclusion",MAX($W$9,$W$7,(-(SUMIFS(SF_Output!$T$1:$T$400,SF_Output!$AC$1:$AC$400,_xlfn.TEXTJOIN(",",TRUE,$B193:$E193),SF_Output!$Q$1:$Q$400,"monthly"))/V193)),AF193="exclusion",-(SUMIFS(SF_Output!$T$1:$T$400,SF_Output!$AC$1:$AC$400,_xlfn.TEXTJOIN(",",TRUE,$B193:$E193),SF_Output!$Q$1:$Q$400,"monthly"))/V193)</f>
        <v/>
      </c>
      <c r="X193" s="6" t="str" cm="1">
        <f t="array" ref="X193">IFERROR(_xlfn.IFS(V193=0,0,V193="","",W193=0,V193,OR(V193&lt;&gt;0,V193&lt;&gt;""),H193*I193),V193*(1-W193))</f>
        <v/>
      </c>
      <c r="Z193" s="6" t="str">
        <f>IFERROR(IF(B193="","",SUMIFS(Billing_Fallout!H:H,Billing_Fallout!N:N,B193)),0)</f>
        <v/>
      </c>
      <c r="AA193" s="6" t="str">
        <f t="shared" si="38"/>
        <v/>
      </c>
      <c r="AB193" s="6" t="str">
        <f>IFERROR(IF(B193="","",SUMIFS(Billing_Fallout!J:J,Billing_Fallout!N:N,B193)),0)</f>
        <v/>
      </c>
      <c r="AD193" s="6" t="str">
        <f t="shared" si="39"/>
        <v/>
      </c>
      <c r="AF193" t="str">
        <f>IFERROR(INDEX(H_Tables!$B$1:$B$1500,MATCH(INDEX(SF_Output!$J$1:$J$400,MATCH(B193,SF_Output!$M$1:$M$400,0)),H_Tables!$A$1:$A$1500,0)),"")</f>
        <v/>
      </c>
      <c r="AI193" s="119" t="str">
        <f t="shared" si="40"/>
        <v/>
      </c>
      <c r="AJ193" s="121">
        <f>IFERROR(INDEX(SF_Output!AD:AD,MATCH(_xlfn.TEXTJOIN(",",TRUE,B193:E193),SF_Output!AC1:AC400,0)),0.05)</f>
        <v>241</v>
      </c>
      <c r="AK193" t="str">
        <f>IF(SUMIFS(SF_Output!$F$1:$F$400,SF_Output!$AC$1:$AC$400,_xlfn.TEXTJOIN(",",TRUE,B193:E193))+SUMIFS(SF_Output!$G$1:$G$400,SF_Output!$AC$1:$AC$400,_xlfn.TEXTJOIN(",",TRUE,B193:E193))=0,"","PAP")</f>
        <v/>
      </c>
      <c r="AQ193" s="35"/>
      <c r="AR193" s="35" t="str" cm="1">
        <f t="array" ref="AR193">IFERROR(_xlfn.IFS(AND(E193*1=1,F193="Included"),"Change to Included",AND(E193*1=0,F193="Optional"),"Change to Optional",OR(B193="",F193="replaced"),""),"")</f>
        <v/>
      </c>
      <c r="AS193" s="35" t="str">
        <f t="shared" si="41"/>
        <v/>
      </c>
      <c r="AT193" s="35" t="str">
        <f t="shared" si="42"/>
        <v/>
      </c>
      <c r="AU193" s="35" t="str">
        <f t="shared" si="43"/>
        <v/>
      </c>
      <c r="AV193" s="35" t="str">
        <f t="shared" si="44"/>
        <v/>
      </c>
      <c r="AW193" s="35" t="str">
        <f t="shared" si="45"/>
        <v/>
      </c>
      <c r="AX193" s="35" t="str">
        <f t="shared" si="46"/>
        <v/>
      </c>
      <c r="AY193" s="35" t="str">
        <f t="shared" si="47"/>
        <v/>
      </c>
      <c r="AZ193" s="35" t="str">
        <f t="shared" si="48"/>
        <v/>
      </c>
      <c r="BA193" s="35" t="str">
        <f t="shared" si="49"/>
        <v/>
      </c>
      <c r="BB193" s="35" t="str">
        <f t="shared" si="50"/>
        <v/>
      </c>
      <c r="BC193" s="35"/>
      <c r="BE193" s="35" t="e">
        <f>INDEX(SF_Output!$AA$2:$AA$400,MATCH($B193,SF_Output!$M$2:$M$400,0))</f>
        <v>#N/A</v>
      </c>
      <c r="BF193" s="35" t="e">
        <f>INDEX(SF_Output!$AB$2:$AB$400,MATCH($B193,SF_Output!$M$2:$M$400,0))</f>
        <v>#N/A</v>
      </c>
    </row>
    <row r="194" spans="6:58" x14ac:dyDescent="0.25">
      <c r="F194" s="116" t="str">
        <f t="shared" si="34"/>
        <v/>
      </c>
      <c r="G194" t="str">
        <f>IF(B194="","",INDEX(SF_Output!$K$1:$K$400,MATCH(B194,SF_Output!$M$1:$M$400,0)))</f>
        <v/>
      </c>
      <c r="H194" t="str" cm="1">
        <f t="array" ref="H194">_xlfn.IFS(B194="","",(SUMIFS(SF_Output!$F$1:$F$400,SF_Output!$AC$1:$AC$400,_xlfn.TEXTJOIN(",",TRUE,B194:E194))+SUMIFS(SF_Output!$G$1:$G$400,SF_Output!$AC$1:$AC$400,_xlfn.TEXTJOIN(",",TRUE,B194:E194)))&lt;&gt;0,SF_Output!$Y$2,INDEX(SF_Output!$F$1:$F$400,MATCH(_xlfn.TEXTJOIN(",",TRUE,B194:E194),SF_Output!$AC$1:$AC$400,0))=0,INDEX(SF_Output!$R$1:$R$400,MATCH(_xlfn.TEXTJOIN(",",TRUE,B194:E194),SF_Output!$AC$1:$AC$400,0)))</f>
        <v/>
      </c>
      <c r="I194" s="125" t="str">
        <f>IFERROR(IF(AND(H194&gt;1,H194&lt;&gt;""),ROUND(SUMIFS(SF_Output!$S$1:$S$400,SF_Output!$AC$1:$AC$400,_xlfn.TEXTJOIN(",",TRUE,B194:E194),SF_Output!$Q$1:$Q$400,"monthly")*(1-W194)/H194,4),""),"")</f>
        <v/>
      </c>
      <c r="J194" s="6" t="str">
        <f>IF(B194="","",SUMIFS(SF_Output!$S$1:$S$400,SF_Output!$AC$1:$AC$400,_xlfn.TEXTJOIN(",",TRUE,B194:E194),SF_Output!$Q$1:$Q$400,"One Time",SF_Output!$L$1:$L$400,"license fee")+SUMIFS(SF_Output!$S$1:$S$400,SF_Output!$AC$1:$AC$400,_xlfn.TEXTJOIN(",",TRUE,B194:E194),SF_Output!$Q$1:$Q$400,"One Time",SF_Output!$L$1:$L$400,"software license")+SUMIFS(SF_Output!$S$1:$S$400,SF_Output!$AC$1:$AC$400,_xlfn.TEXTJOIN(",",TRUE,B194:E194),SF_Output!$Q$1:$Q$400,"One Time",SF_Output!$L$1:$L$400,"hardware"))</f>
        <v/>
      </c>
      <c r="K194" s="112" t="str">
        <f>IF(OR(B194=0,B194="",G194="hardware",J194=0),"",IF(AF194&lt;&gt;"exclusion",MAX(K$9,-((SUMIFS(SF_Output!$T$1:$T$400,SF_Output!$AC$1:$AC$400,_xlfn.TEXTJOIN(",",TRUE,$B194:$E194),SF_Output!$Q$1:$Q$400,"One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license"))/J194)))</f>
        <v/>
      </c>
      <c r="L194" s="6" t="str">
        <f t="shared" si="35"/>
        <v/>
      </c>
      <c r="N194" s="6" t="str">
        <f>IF(B194="","",SUMIFS(SF_Output!$S$1:$S$400,SF_Output!$AC$1:$AC$400,_xlfn.TEXTJOIN(",",TRUE,B194:E194),SF_Output!$Q$1:$Q$400,"One Time",SF_Output!$L$1:$L$400,"professional service"))</f>
        <v/>
      </c>
      <c r="O194" s="112" t="str">
        <f>IF(OR(B194=0,B194="",N194=0),"",IF(AF194&lt;&gt;"exclusion",MAX(O$9,-(SUMIFS(SF_Output!$T$1:$T$400,SF_Output!$AC$1:$AC$400,_xlfn.TEXTJOIN(",",TRUE,$B194:$E194),SF_Output!$Q$1:$Q$400,"One Time",SF_Output!$L$1:$L$400,"professional service"))/N194),-((SUMIFS(SF_Output!$T$1:$T$400,SF_Output!$AC$1:$AC$400,_xlfn.TEXTJOIN(",",TRUE,$B194:$E194),SF_Output!$Q$1:$Q$400,"One Time",SF_Output!$L$1:$L$400,"professional service")/N194))))</f>
        <v/>
      </c>
      <c r="P194" s="6" t="str">
        <f t="shared" si="36"/>
        <v/>
      </c>
      <c r="R194" s="6" t="str">
        <f>IF(B194="","",SUMIFS(SF_Output!$S$1:$S$400,SF_Output!$AC$1:$AC$400,_xlfn.TEXTJOIN(",",TRUE,B194:E194),SF_Output!$Q$1:$Q$400,"yearly")+SUMIFS(SF_Output!$S$1:$S$400,SF_Output!$AC$1:$AC$400,_xlfn.TEXTJOIN(",",TRUE,B194:E194),SF_Output!$Q$1:$Q$400,"quarterly")*4)</f>
        <v/>
      </c>
      <c r="S194" s="112" t="str">
        <f>IF(OR(B194=0,B194="",G194="hardware",R194=0),"",IF(AF194&lt;&gt;"exclusion",MAX(S$9,-(SUMIFS(SF_Output!$T$1:$T$400,SF_Output!$AC$1:$AC$400,_xlfn.TEXTJOIN(",",TRUE,$B194:$E194),SF_Output!$Q$1:$Q$400,"yearly"))/R194),-((SUMIFS(SF_Output!$T$1:$T$400,SF_Output!$AC$1:$AC$400,_xlfn.TEXTJOIN(",",TRUE,$B194:$E194),SF_Output!$Q$1:$Q$400,"yearly")/R194))))</f>
        <v/>
      </c>
      <c r="T194" s="6" t="str">
        <f t="shared" si="37"/>
        <v/>
      </c>
      <c r="V194" s="6" t="str" cm="1">
        <f t="array" ref="V194">_xlfn.IFS(B194="","",AND(B194&lt;&gt;"",H194=SF_Output!$Y$2,SUMIFS(SF_Output!$T$1:$T$400,SF_Output!$AC$1:$AC$400,_xlfn.TEXTJOIN(",",TRUE,B194:E194),SF_Output!$Q$1:$Q$400,"monthly")=0),(SUMIFS(SF_Output!$F$1:$F$400,SF_Output!$AC$1:$AC$400,_xlfn.TEXTJOIN(",",TRUE,B194:E194),SF_Output!$Q$1:$Q$400,"monthly")+SUMIFS(SF_Output!$G$1:$G$400,SF_Output!$AC$1:$AC$400,_xlfn.TEXTJOIN(",",TRUE,B194:E194),SF_Output!$Q$1:$Q$400,"monthly"))*H194,AND(B194&lt;&gt;"",H194=SF_Output!$Y$2,SUMIFS(SF_Output!$T$1:$T$400,SF_Output!$AC$1:$AC$400,_xlfn.TEXTJOIN(",",TRUE,B194:E194),SF_Output!$Q$1:$Q$400,"monthly")&lt;&gt;0),SUMIFS(SF_Output!$S$1:$S$400,SF_Output!$AC$1:$AC$400,_xlfn.TEXTJOIN(",",TRUE,B194:E194),SF_Output!$Q$1:$Q$400,"monthly"),AND(B194&lt;&gt;"",H194&lt;&gt;SF_Output!$Y$2),SUMIFS(SF_Output!$S$1:$S$400,SF_Output!$AC$1:$AC$400,_xlfn.TEXTJOIN(",",TRUE,B194:E194),SF_Output!$Q$1:$Q$400,"monthly"))</f>
        <v/>
      </c>
      <c r="W194" s="112" t="str" cm="1">
        <f t="array" ref="W194">_xlfn.IFS(OR(B194=0,B194="",V194=0),"",AF194&lt;&gt;"exclusion",MAX($W$9,$W$7,(-(SUMIFS(SF_Output!$T$1:$T$400,SF_Output!$AC$1:$AC$400,_xlfn.TEXTJOIN(",",TRUE,$B194:$E194),SF_Output!$Q$1:$Q$400,"monthly"))/V194)),AF194="exclusion",-(SUMIFS(SF_Output!$T$1:$T$400,SF_Output!$AC$1:$AC$400,_xlfn.TEXTJOIN(",",TRUE,$B194:$E194),SF_Output!$Q$1:$Q$400,"monthly"))/V194)</f>
        <v/>
      </c>
      <c r="X194" s="6" t="str" cm="1">
        <f t="array" ref="X194">IFERROR(_xlfn.IFS(V194=0,0,V194="","",W194=0,V194,OR(V194&lt;&gt;0,V194&lt;&gt;""),H194*I194),V194*(1-W194))</f>
        <v/>
      </c>
      <c r="Z194" s="6" t="str">
        <f>IFERROR(IF(B194="","",SUMIFS(Billing_Fallout!H:H,Billing_Fallout!N:N,B194)),0)</f>
        <v/>
      </c>
      <c r="AA194" s="6" t="str">
        <f t="shared" si="38"/>
        <v/>
      </c>
      <c r="AB194" s="6" t="str">
        <f>IFERROR(IF(B194="","",SUMIFS(Billing_Fallout!J:J,Billing_Fallout!N:N,B194)),0)</f>
        <v/>
      </c>
      <c r="AD194" s="6" t="str">
        <f t="shared" si="39"/>
        <v/>
      </c>
      <c r="AF194" t="str">
        <f>IFERROR(INDEX(H_Tables!$B$1:$B$1500,MATCH(INDEX(SF_Output!$J$1:$J$400,MATCH(B194,SF_Output!$M$1:$M$400,0)),H_Tables!$A$1:$A$1500,0)),"")</f>
        <v/>
      </c>
      <c r="AI194" s="119" t="str">
        <f t="shared" si="40"/>
        <v/>
      </c>
      <c r="AJ194" s="121">
        <f>IFERROR(INDEX(SF_Output!AD:AD,MATCH(_xlfn.TEXTJOIN(",",TRUE,B194:E194),SF_Output!AC1:AC400,0)),0.05)</f>
        <v>241</v>
      </c>
      <c r="AK194" t="str">
        <f>IF(SUMIFS(SF_Output!$F$1:$F$400,SF_Output!$AC$1:$AC$400,_xlfn.TEXTJOIN(",",TRUE,B194:E194))+SUMIFS(SF_Output!$G$1:$G$400,SF_Output!$AC$1:$AC$400,_xlfn.TEXTJOIN(",",TRUE,B194:E194))=0,"","PAP")</f>
        <v/>
      </c>
      <c r="AQ194" s="35"/>
      <c r="AR194" s="35" t="str" cm="1">
        <f t="array" ref="AR194">IFERROR(_xlfn.IFS(AND(E194*1=1,F194="Included"),"Change to Included",AND(E194*1=0,F194="Optional"),"Change to Optional",OR(B194="",F194="replaced"),""),"")</f>
        <v/>
      </c>
      <c r="AS194" s="35" t="str">
        <f t="shared" si="41"/>
        <v/>
      </c>
      <c r="AT194" s="35" t="str">
        <f t="shared" si="42"/>
        <v/>
      </c>
      <c r="AU194" s="35" t="str">
        <f t="shared" si="43"/>
        <v/>
      </c>
      <c r="AV194" s="35" t="str">
        <f t="shared" si="44"/>
        <v/>
      </c>
      <c r="AW194" s="35" t="str">
        <f t="shared" si="45"/>
        <v/>
      </c>
      <c r="AX194" s="35" t="str">
        <f t="shared" si="46"/>
        <v/>
      </c>
      <c r="AY194" s="35" t="str">
        <f t="shared" si="47"/>
        <v/>
      </c>
      <c r="AZ194" s="35" t="str">
        <f t="shared" si="48"/>
        <v/>
      </c>
      <c r="BA194" s="35" t="str">
        <f t="shared" si="49"/>
        <v/>
      </c>
      <c r="BB194" s="35" t="str">
        <f t="shared" si="50"/>
        <v/>
      </c>
      <c r="BC194" s="35"/>
      <c r="BE194" s="35" t="e">
        <f>INDEX(SF_Output!$AA$2:$AA$400,MATCH($B194,SF_Output!$M$2:$M$400,0))</f>
        <v>#N/A</v>
      </c>
      <c r="BF194" s="35" t="e">
        <f>INDEX(SF_Output!$AB$2:$AB$400,MATCH($B194,SF_Output!$M$2:$M$400,0))</f>
        <v>#N/A</v>
      </c>
    </row>
    <row r="195" spans="6:58" x14ac:dyDescent="0.25">
      <c r="F195" s="116" t="str">
        <f t="shared" si="34"/>
        <v/>
      </c>
      <c r="G195" t="str">
        <f>IF(B195="","",INDEX(SF_Output!$K$1:$K$400,MATCH(B195,SF_Output!$M$1:$M$400,0)))</f>
        <v/>
      </c>
      <c r="H195" t="str" cm="1">
        <f t="array" ref="H195">_xlfn.IFS(B195="","",(SUMIFS(SF_Output!$F$1:$F$400,SF_Output!$AC$1:$AC$400,_xlfn.TEXTJOIN(",",TRUE,B195:E195))+SUMIFS(SF_Output!$G$1:$G$400,SF_Output!$AC$1:$AC$400,_xlfn.TEXTJOIN(",",TRUE,B195:E195)))&lt;&gt;0,SF_Output!$Y$2,INDEX(SF_Output!$F$1:$F$400,MATCH(_xlfn.TEXTJOIN(",",TRUE,B195:E195),SF_Output!$AC$1:$AC$400,0))=0,INDEX(SF_Output!$R$1:$R$400,MATCH(_xlfn.TEXTJOIN(",",TRUE,B195:E195),SF_Output!$AC$1:$AC$400,0)))</f>
        <v/>
      </c>
      <c r="I195" s="125" t="str">
        <f>IFERROR(IF(AND(H195&gt;1,H195&lt;&gt;""),ROUND(SUMIFS(SF_Output!$S$1:$S$400,SF_Output!$AC$1:$AC$400,_xlfn.TEXTJOIN(",",TRUE,B195:E195),SF_Output!$Q$1:$Q$400,"monthly")*(1-W195)/H195,4),""),"")</f>
        <v/>
      </c>
      <c r="J195" s="6" t="str">
        <f>IF(B195="","",SUMIFS(SF_Output!$S$1:$S$400,SF_Output!$AC$1:$AC$400,_xlfn.TEXTJOIN(",",TRUE,B195:E195),SF_Output!$Q$1:$Q$400,"One Time",SF_Output!$L$1:$L$400,"license fee")+SUMIFS(SF_Output!$S$1:$S$400,SF_Output!$AC$1:$AC$400,_xlfn.TEXTJOIN(",",TRUE,B195:E195),SF_Output!$Q$1:$Q$400,"One Time",SF_Output!$L$1:$L$400,"software license")+SUMIFS(SF_Output!$S$1:$S$400,SF_Output!$AC$1:$AC$400,_xlfn.TEXTJOIN(",",TRUE,B195:E195),SF_Output!$Q$1:$Q$400,"One Time",SF_Output!$L$1:$L$400,"hardware"))</f>
        <v/>
      </c>
      <c r="K195" s="112" t="str">
        <f>IF(OR(B195=0,B195="",G195="hardware",J195=0),"",IF(AF195&lt;&gt;"exclusion",MAX(K$9,-((SUMIFS(SF_Output!$T$1:$T$400,SF_Output!$AC$1:$AC$400,_xlfn.TEXTJOIN(",",TRUE,$B195:$E195),SF_Output!$Q$1:$Q$400,"One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license"))/J195)))</f>
        <v/>
      </c>
      <c r="L195" s="6" t="str">
        <f t="shared" si="35"/>
        <v/>
      </c>
      <c r="N195" s="6" t="str">
        <f>IF(B195="","",SUMIFS(SF_Output!$S$1:$S$400,SF_Output!$AC$1:$AC$400,_xlfn.TEXTJOIN(",",TRUE,B195:E195),SF_Output!$Q$1:$Q$400,"One Time",SF_Output!$L$1:$L$400,"professional service"))</f>
        <v/>
      </c>
      <c r="O195" s="112" t="str">
        <f>IF(OR(B195=0,B195="",N195=0),"",IF(AF195&lt;&gt;"exclusion",MAX(O$9,-(SUMIFS(SF_Output!$T$1:$T$400,SF_Output!$AC$1:$AC$400,_xlfn.TEXTJOIN(",",TRUE,$B195:$E195),SF_Output!$Q$1:$Q$400,"One Time",SF_Output!$L$1:$L$400,"professional service"))/N195),-((SUMIFS(SF_Output!$T$1:$T$400,SF_Output!$AC$1:$AC$400,_xlfn.TEXTJOIN(",",TRUE,$B195:$E195),SF_Output!$Q$1:$Q$400,"One Time",SF_Output!$L$1:$L$400,"professional service")/N195))))</f>
        <v/>
      </c>
      <c r="P195" s="6" t="str">
        <f t="shared" si="36"/>
        <v/>
      </c>
      <c r="R195" s="6" t="str">
        <f>IF(B195="","",SUMIFS(SF_Output!$S$1:$S$400,SF_Output!$AC$1:$AC$400,_xlfn.TEXTJOIN(",",TRUE,B195:E195),SF_Output!$Q$1:$Q$400,"yearly")+SUMIFS(SF_Output!$S$1:$S$400,SF_Output!$AC$1:$AC$400,_xlfn.TEXTJOIN(",",TRUE,B195:E195),SF_Output!$Q$1:$Q$400,"quarterly")*4)</f>
        <v/>
      </c>
      <c r="S195" s="112" t="str">
        <f>IF(OR(B195=0,B195="",G195="hardware",R195=0),"",IF(AF195&lt;&gt;"exclusion",MAX(S$9,-(SUMIFS(SF_Output!$T$1:$T$400,SF_Output!$AC$1:$AC$400,_xlfn.TEXTJOIN(",",TRUE,$B195:$E195),SF_Output!$Q$1:$Q$400,"yearly"))/R195),-((SUMIFS(SF_Output!$T$1:$T$400,SF_Output!$AC$1:$AC$400,_xlfn.TEXTJOIN(",",TRUE,$B195:$E195),SF_Output!$Q$1:$Q$400,"yearly")/R195))))</f>
        <v/>
      </c>
      <c r="T195" s="6" t="str">
        <f t="shared" si="37"/>
        <v/>
      </c>
      <c r="V195" s="6" t="str" cm="1">
        <f t="array" ref="V195">_xlfn.IFS(B195="","",AND(B195&lt;&gt;"",H195=SF_Output!$Y$2,SUMIFS(SF_Output!$T$1:$T$400,SF_Output!$AC$1:$AC$400,_xlfn.TEXTJOIN(",",TRUE,B195:E195),SF_Output!$Q$1:$Q$400,"monthly")=0),(SUMIFS(SF_Output!$F$1:$F$400,SF_Output!$AC$1:$AC$400,_xlfn.TEXTJOIN(",",TRUE,B195:E195),SF_Output!$Q$1:$Q$400,"monthly")+SUMIFS(SF_Output!$G$1:$G$400,SF_Output!$AC$1:$AC$400,_xlfn.TEXTJOIN(",",TRUE,B195:E195),SF_Output!$Q$1:$Q$400,"monthly"))*H195,AND(B195&lt;&gt;"",H195=SF_Output!$Y$2,SUMIFS(SF_Output!$T$1:$T$400,SF_Output!$AC$1:$AC$400,_xlfn.TEXTJOIN(",",TRUE,B195:E195),SF_Output!$Q$1:$Q$400,"monthly")&lt;&gt;0),SUMIFS(SF_Output!$S$1:$S$400,SF_Output!$AC$1:$AC$400,_xlfn.TEXTJOIN(",",TRUE,B195:E195),SF_Output!$Q$1:$Q$400,"monthly"),AND(B195&lt;&gt;"",H195&lt;&gt;SF_Output!$Y$2),SUMIFS(SF_Output!$S$1:$S$400,SF_Output!$AC$1:$AC$400,_xlfn.TEXTJOIN(",",TRUE,B195:E195),SF_Output!$Q$1:$Q$400,"monthly"))</f>
        <v/>
      </c>
      <c r="W195" s="112" t="str" cm="1">
        <f t="array" ref="W195">_xlfn.IFS(OR(B195=0,B195="",V195=0),"",AF195&lt;&gt;"exclusion",MAX($W$9,$W$7,(-(SUMIFS(SF_Output!$T$1:$T$400,SF_Output!$AC$1:$AC$400,_xlfn.TEXTJOIN(",",TRUE,$B195:$E195),SF_Output!$Q$1:$Q$400,"monthly"))/V195)),AF195="exclusion",-(SUMIFS(SF_Output!$T$1:$T$400,SF_Output!$AC$1:$AC$400,_xlfn.TEXTJOIN(",",TRUE,$B195:$E195),SF_Output!$Q$1:$Q$400,"monthly"))/V195)</f>
        <v/>
      </c>
      <c r="X195" s="6" t="str" cm="1">
        <f t="array" ref="X195">IFERROR(_xlfn.IFS(V195=0,0,V195="","",W195=0,V195,OR(V195&lt;&gt;0,V195&lt;&gt;""),H195*I195),V195*(1-W195))</f>
        <v/>
      </c>
      <c r="Z195" s="6" t="str">
        <f>IFERROR(IF(B195="","",SUMIFS(Billing_Fallout!H:H,Billing_Fallout!N:N,B195)),0)</f>
        <v/>
      </c>
      <c r="AA195" s="6" t="str">
        <f t="shared" si="38"/>
        <v/>
      </c>
      <c r="AB195" s="6" t="str">
        <f>IFERROR(IF(B195="","",SUMIFS(Billing_Fallout!J:J,Billing_Fallout!N:N,B195)),0)</f>
        <v/>
      </c>
      <c r="AD195" s="6" t="str">
        <f t="shared" si="39"/>
        <v/>
      </c>
      <c r="AF195" t="str">
        <f>IFERROR(INDEX(H_Tables!$B$1:$B$1500,MATCH(INDEX(SF_Output!$J$1:$J$400,MATCH(B195,SF_Output!$M$1:$M$400,0)),H_Tables!$A$1:$A$1500,0)),"")</f>
        <v/>
      </c>
      <c r="AI195" s="119" t="str">
        <f t="shared" si="40"/>
        <v/>
      </c>
      <c r="AJ195" s="121">
        <f>IFERROR(INDEX(SF_Output!AD:AD,MATCH(_xlfn.TEXTJOIN(",",TRUE,B195:E195),SF_Output!AC1:AC400,0)),0.05)</f>
        <v>241</v>
      </c>
      <c r="AK195" t="str">
        <f>IF(SUMIFS(SF_Output!$F$1:$F$400,SF_Output!$AC$1:$AC$400,_xlfn.TEXTJOIN(",",TRUE,B195:E195))+SUMIFS(SF_Output!$G$1:$G$400,SF_Output!$AC$1:$AC$400,_xlfn.TEXTJOIN(",",TRUE,B195:E195))=0,"","PAP")</f>
        <v/>
      </c>
      <c r="AQ195" s="35"/>
      <c r="AR195" s="35" t="str" cm="1">
        <f t="array" ref="AR195">IFERROR(_xlfn.IFS(AND(E195*1=1,F195="Included"),"Change to Included",AND(E195*1=0,F195="Optional"),"Change to Optional",OR(B195="",F195="replaced"),""),"")</f>
        <v/>
      </c>
      <c r="AS195" s="35" t="str">
        <f t="shared" si="41"/>
        <v/>
      </c>
      <c r="AT195" s="35" t="str">
        <f t="shared" si="42"/>
        <v/>
      </c>
      <c r="AU195" s="35" t="str">
        <f t="shared" si="43"/>
        <v/>
      </c>
      <c r="AV195" s="35" t="str">
        <f t="shared" si="44"/>
        <v/>
      </c>
      <c r="AW195" s="35" t="str">
        <f t="shared" si="45"/>
        <v/>
      </c>
      <c r="AX195" s="35" t="str">
        <f t="shared" si="46"/>
        <v/>
      </c>
      <c r="AY195" s="35" t="str">
        <f t="shared" si="47"/>
        <v/>
      </c>
      <c r="AZ195" s="35" t="str">
        <f t="shared" si="48"/>
        <v/>
      </c>
      <c r="BA195" s="35" t="str">
        <f t="shared" si="49"/>
        <v/>
      </c>
      <c r="BB195" s="35" t="str">
        <f t="shared" si="50"/>
        <v/>
      </c>
      <c r="BC195" s="35"/>
      <c r="BE195" s="35" t="e">
        <f>INDEX(SF_Output!$AA$2:$AA$400,MATCH($B195,SF_Output!$M$2:$M$400,0))</f>
        <v>#N/A</v>
      </c>
      <c r="BF195" s="35" t="e">
        <f>INDEX(SF_Output!$AB$2:$AB$400,MATCH($B195,SF_Output!$M$2:$M$400,0))</f>
        <v>#N/A</v>
      </c>
    </row>
    <row r="196" spans="6:58" x14ac:dyDescent="0.25">
      <c r="F196" s="116" t="str">
        <f t="shared" si="34"/>
        <v/>
      </c>
      <c r="G196" t="str">
        <f>IF(B196="","",INDEX(SF_Output!$K$1:$K$400,MATCH(B196,SF_Output!$M$1:$M$400,0)))</f>
        <v/>
      </c>
      <c r="H196" t="str" cm="1">
        <f t="array" ref="H196">_xlfn.IFS(B196="","",(SUMIFS(SF_Output!$F$1:$F$400,SF_Output!$AC$1:$AC$400,_xlfn.TEXTJOIN(",",TRUE,B196:E196))+SUMIFS(SF_Output!$G$1:$G$400,SF_Output!$AC$1:$AC$400,_xlfn.TEXTJOIN(",",TRUE,B196:E196)))&lt;&gt;0,SF_Output!$Y$2,INDEX(SF_Output!$F$1:$F$400,MATCH(_xlfn.TEXTJOIN(",",TRUE,B196:E196),SF_Output!$AC$1:$AC$400,0))=0,INDEX(SF_Output!$R$1:$R$400,MATCH(_xlfn.TEXTJOIN(",",TRUE,B196:E196),SF_Output!$AC$1:$AC$400,0)))</f>
        <v/>
      </c>
      <c r="I196" s="125" t="str">
        <f>IFERROR(IF(AND(H196&gt;1,H196&lt;&gt;""),ROUND(SUMIFS(SF_Output!$S$1:$S$400,SF_Output!$AC$1:$AC$400,_xlfn.TEXTJOIN(",",TRUE,B196:E196),SF_Output!$Q$1:$Q$400,"monthly")*(1-W196)/H196,4),""),"")</f>
        <v/>
      </c>
      <c r="J196" s="6" t="str">
        <f>IF(B196="","",SUMIFS(SF_Output!$S$1:$S$400,SF_Output!$AC$1:$AC$400,_xlfn.TEXTJOIN(",",TRUE,B196:E196),SF_Output!$Q$1:$Q$400,"One Time",SF_Output!$L$1:$L$400,"license fee")+SUMIFS(SF_Output!$S$1:$S$400,SF_Output!$AC$1:$AC$400,_xlfn.TEXTJOIN(",",TRUE,B196:E196),SF_Output!$Q$1:$Q$400,"One Time",SF_Output!$L$1:$L$400,"software license")+SUMIFS(SF_Output!$S$1:$S$400,SF_Output!$AC$1:$AC$400,_xlfn.TEXTJOIN(",",TRUE,B196:E196),SF_Output!$Q$1:$Q$400,"One Time",SF_Output!$L$1:$L$400,"hardware"))</f>
        <v/>
      </c>
      <c r="K196" s="112" t="str">
        <f>IF(OR(B196=0,B196="",G196="hardware",J196=0),"",IF(AF196&lt;&gt;"exclusion",MAX(K$9,-((SUMIFS(SF_Output!$T$1:$T$400,SF_Output!$AC$1:$AC$400,_xlfn.TEXTJOIN(",",TRUE,$B196:$E196),SF_Output!$Q$1:$Q$400,"One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license"))/J196)))</f>
        <v/>
      </c>
      <c r="L196" s="6" t="str">
        <f t="shared" si="35"/>
        <v/>
      </c>
      <c r="N196" s="6" t="str">
        <f>IF(B196="","",SUMIFS(SF_Output!$S$1:$S$400,SF_Output!$AC$1:$AC$400,_xlfn.TEXTJOIN(",",TRUE,B196:E196),SF_Output!$Q$1:$Q$400,"One Time",SF_Output!$L$1:$L$400,"professional service"))</f>
        <v/>
      </c>
      <c r="O196" s="112" t="str">
        <f>IF(OR(B196=0,B196="",N196=0),"",IF(AF196&lt;&gt;"exclusion",MAX(O$9,-(SUMIFS(SF_Output!$T$1:$T$400,SF_Output!$AC$1:$AC$400,_xlfn.TEXTJOIN(",",TRUE,$B196:$E196),SF_Output!$Q$1:$Q$400,"One Time",SF_Output!$L$1:$L$400,"professional service"))/N196),-((SUMIFS(SF_Output!$T$1:$T$400,SF_Output!$AC$1:$AC$400,_xlfn.TEXTJOIN(",",TRUE,$B196:$E196),SF_Output!$Q$1:$Q$400,"One Time",SF_Output!$L$1:$L$400,"professional service")/N196))))</f>
        <v/>
      </c>
      <c r="P196" s="6" t="str">
        <f t="shared" si="36"/>
        <v/>
      </c>
      <c r="R196" s="6" t="str">
        <f>IF(B196="","",SUMIFS(SF_Output!$S$1:$S$400,SF_Output!$AC$1:$AC$400,_xlfn.TEXTJOIN(",",TRUE,B196:E196),SF_Output!$Q$1:$Q$400,"yearly")+SUMIFS(SF_Output!$S$1:$S$400,SF_Output!$AC$1:$AC$400,_xlfn.TEXTJOIN(",",TRUE,B196:E196),SF_Output!$Q$1:$Q$400,"quarterly")*4)</f>
        <v/>
      </c>
      <c r="S196" s="112" t="str">
        <f>IF(OR(B196=0,B196="",G196="hardware",R196=0),"",IF(AF196&lt;&gt;"exclusion",MAX(S$9,-(SUMIFS(SF_Output!$T$1:$T$400,SF_Output!$AC$1:$AC$400,_xlfn.TEXTJOIN(",",TRUE,$B196:$E196),SF_Output!$Q$1:$Q$400,"yearly"))/R196),-((SUMIFS(SF_Output!$T$1:$T$400,SF_Output!$AC$1:$AC$400,_xlfn.TEXTJOIN(",",TRUE,$B196:$E196),SF_Output!$Q$1:$Q$400,"yearly")/R196))))</f>
        <v/>
      </c>
      <c r="T196" s="6" t="str">
        <f t="shared" si="37"/>
        <v/>
      </c>
      <c r="V196" s="6" t="str" cm="1">
        <f t="array" ref="V196">_xlfn.IFS(B196="","",AND(B196&lt;&gt;"",H196=SF_Output!$Y$2,SUMIFS(SF_Output!$T$1:$T$400,SF_Output!$AC$1:$AC$400,_xlfn.TEXTJOIN(",",TRUE,B196:E196),SF_Output!$Q$1:$Q$400,"monthly")=0),(SUMIFS(SF_Output!$F$1:$F$400,SF_Output!$AC$1:$AC$400,_xlfn.TEXTJOIN(",",TRUE,B196:E196),SF_Output!$Q$1:$Q$400,"monthly")+SUMIFS(SF_Output!$G$1:$G$400,SF_Output!$AC$1:$AC$400,_xlfn.TEXTJOIN(",",TRUE,B196:E196),SF_Output!$Q$1:$Q$400,"monthly"))*H196,AND(B196&lt;&gt;"",H196=SF_Output!$Y$2,SUMIFS(SF_Output!$T$1:$T$400,SF_Output!$AC$1:$AC$400,_xlfn.TEXTJOIN(",",TRUE,B196:E196),SF_Output!$Q$1:$Q$400,"monthly")&lt;&gt;0),SUMIFS(SF_Output!$S$1:$S$400,SF_Output!$AC$1:$AC$400,_xlfn.TEXTJOIN(",",TRUE,B196:E196),SF_Output!$Q$1:$Q$400,"monthly"),AND(B196&lt;&gt;"",H196&lt;&gt;SF_Output!$Y$2),SUMIFS(SF_Output!$S$1:$S$400,SF_Output!$AC$1:$AC$400,_xlfn.TEXTJOIN(",",TRUE,B196:E196),SF_Output!$Q$1:$Q$400,"monthly"))</f>
        <v/>
      </c>
      <c r="W196" s="112" t="str" cm="1">
        <f t="array" ref="W196">_xlfn.IFS(OR(B196=0,B196="",V196=0),"",AF196&lt;&gt;"exclusion",MAX($W$9,$W$7,(-(SUMIFS(SF_Output!$T$1:$T$400,SF_Output!$AC$1:$AC$400,_xlfn.TEXTJOIN(",",TRUE,$B196:$E196),SF_Output!$Q$1:$Q$400,"monthly"))/V196)),AF196="exclusion",-(SUMIFS(SF_Output!$T$1:$T$400,SF_Output!$AC$1:$AC$400,_xlfn.TEXTJOIN(",",TRUE,$B196:$E196),SF_Output!$Q$1:$Q$400,"monthly"))/V196)</f>
        <v/>
      </c>
      <c r="X196" s="6" t="str" cm="1">
        <f t="array" ref="X196">IFERROR(_xlfn.IFS(V196=0,0,V196="","",W196=0,V196,OR(V196&lt;&gt;0,V196&lt;&gt;""),H196*I196),V196*(1-W196))</f>
        <v/>
      </c>
      <c r="Z196" s="6" t="str">
        <f>IFERROR(IF(B196="","",SUMIFS(Billing_Fallout!H:H,Billing_Fallout!N:N,B196)),0)</f>
        <v/>
      </c>
      <c r="AA196" s="6" t="str">
        <f t="shared" si="38"/>
        <v/>
      </c>
      <c r="AB196" s="6" t="str">
        <f>IFERROR(IF(B196="","",SUMIFS(Billing_Fallout!J:J,Billing_Fallout!N:N,B196)),0)</f>
        <v/>
      </c>
      <c r="AD196" s="6" t="str">
        <f t="shared" si="39"/>
        <v/>
      </c>
      <c r="AF196" t="str">
        <f>IFERROR(INDEX(H_Tables!$B$1:$B$1500,MATCH(INDEX(SF_Output!$J$1:$J$400,MATCH(B196,SF_Output!$M$1:$M$400,0)),H_Tables!$A$1:$A$1500,0)),"")</f>
        <v/>
      </c>
      <c r="AI196" s="119" t="str">
        <f t="shared" si="40"/>
        <v/>
      </c>
      <c r="AJ196" s="121">
        <f>IFERROR(INDEX(SF_Output!AD:AD,MATCH(_xlfn.TEXTJOIN(",",TRUE,B196:E196),SF_Output!AC1:AC400,0)),0.05)</f>
        <v>241</v>
      </c>
      <c r="AK196" t="str">
        <f>IF(SUMIFS(SF_Output!$F$1:$F$400,SF_Output!$AC$1:$AC$400,_xlfn.TEXTJOIN(",",TRUE,B196:E196))+SUMIFS(SF_Output!$G$1:$G$400,SF_Output!$AC$1:$AC$400,_xlfn.TEXTJOIN(",",TRUE,B196:E196))=0,"","PAP")</f>
        <v/>
      </c>
      <c r="AQ196" s="35"/>
      <c r="AR196" s="35" t="str" cm="1">
        <f t="array" ref="AR196">IFERROR(_xlfn.IFS(AND(E196*1=1,F196="Included"),"Change to Included",AND(E196*1=0,F196="Optional"),"Change to Optional",OR(B196="",F196="replaced"),""),"")</f>
        <v/>
      </c>
      <c r="AS196" s="35" t="str">
        <f t="shared" si="41"/>
        <v/>
      </c>
      <c r="AT196" s="35" t="str">
        <f t="shared" si="42"/>
        <v/>
      </c>
      <c r="AU196" s="35" t="str">
        <f t="shared" si="43"/>
        <v/>
      </c>
      <c r="AV196" s="35" t="str">
        <f t="shared" si="44"/>
        <v/>
      </c>
      <c r="AW196" s="35" t="str">
        <f t="shared" si="45"/>
        <v/>
      </c>
      <c r="AX196" s="35" t="str">
        <f t="shared" si="46"/>
        <v/>
      </c>
      <c r="AY196" s="35" t="str">
        <f t="shared" si="47"/>
        <v/>
      </c>
      <c r="AZ196" s="35" t="str">
        <f t="shared" si="48"/>
        <v/>
      </c>
      <c r="BA196" s="35" t="str">
        <f t="shared" si="49"/>
        <v/>
      </c>
      <c r="BB196" s="35" t="str">
        <f t="shared" si="50"/>
        <v/>
      </c>
      <c r="BC196" s="35"/>
      <c r="BE196" s="35" t="e">
        <f>INDEX(SF_Output!$AA$2:$AA$400,MATCH($B196,SF_Output!$M$2:$M$400,0))</f>
        <v>#N/A</v>
      </c>
      <c r="BF196" s="35" t="e">
        <f>INDEX(SF_Output!$AB$2:$AB$400,MATCH($B196,SF_Output!$M$2:$M$400,0))</f>
        <v>#N/A</v>
      </c>
    </row>
    <row r="197" spans="6:58" x14ac:dyDescent="0.25">
      <c r="F197" s="116" t="str">
        <f t="shared" si="34"/>
        <v/>
      </c>
      <c r="G197" t="str">
        <f>IF(B197="","",INDEX(SF_Output!$K$1:$K$400,MATCH(B197,SF_Output!$M$1:$M$400,0)))</f>
        <v/>
      </c>
      <c r="H197" t="str" cm="1">
        <f t="array" ref="H197">_xlfn.IFS(B197="","",(SUMIFS(SF_Output!$F$1:$F$400,SF_Output!$AC$1:$AC$400,_xlfn.TEXTJOIN(",",TRUE,B197:E197))+SUMIFS(SF_Output!$G$1:$G$400,SF_Output!$AC$1:$AC$400,_xlfn.TEXTJOIN(",",TRUE,B197:E197)))&lt;&gt;0,SF_Output!$Y$2,INDEX(SF_Output!$F$1:$F$400,MATCH(_xlfn.TEXTJOIN(",",TRUE,B197:E197),SF_Output!$AC$1:$AC$400,0))=0,INDEX(SF_Output!$R$1:$R$400,MATCH(_xlfn.TEXTJOIN(",",TRUE,B197:E197),SF_Output!$AC$1:$AC$400,0)))</f>
        <v/>
      </c>
      <c r="I197" s="125" t="str">
        <f>IFERROR(IF(AND(H197&gt;1,H197&lt;&gt;""),ROUND(SUMIFS(SF_Output!$S$1:$S$400,SF_Output!$AC$1:$AC$400,_xlfn.TEXTJOIN(",",TRUE,B197:E197),SF_Output!$Q$1:$Q$400,"monthly")*(1-W197)/H197,4),""),"")</f>
        <v/>
      </c>
      <c r="J197" s="6" t="str">
        <f>IF(B197="","",SUMIFS(SF_Output!$S$1:$S$400,SF_Output!$AC$1:$AC$400,_xlfn.TEXTJOIN(",",TRUE,B197:E197),SF_Output!$Q$1:$Q$400,"One Time",SF_Output!$L$1:$L$400,"license fee")+SUMIFS(SF_Output!$S$1:$S$400,SF_Output!$AC$1:$AC$400,_xlfn.TEXTJOIN(",",TRUE,B197:E197),SF_Output!$Q$1:$Q$400,"One Time",SF_Output!$L$1:$L$400,"software license")+SUMIFS(SF_Output!$S$1:$S$400,SF_Output!$AC$1:$AC$400,_xlfn.TEXTJOIN(",",TRUE,B197:E197),SF_Output!$Q$1:$Q$400,"One Time",SF_Output!$L$1:$L$400,"hardware"))</f>
        <v/>
      </c>
      <c r="K197" s="112" t="str">
        <f>IF(OR(B197=0,B197="",G197="hardware",J197=0),"",IF(AF197&lt;&gt;"exclusion",MAX(K$9,-((SUMIFS(SF_Output!$T$1:$T$400,SF_Output!$AC$1:$AC$400,_xlfn.TEXTJOIN(",",TRUE,$B197:$E197),SF_Output!$Q$1:$Q$400,"One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license"))/J197)))</f>
        <v/>
      </c>
      <c r="L197" s="6" t="str">
        <f t="shared" si="35"/>
        <v/>
      </c>
      <c r="N197" s="6" t="str">
        <f>IF(B197="","",SUMIFS(SF_Output!$S$1:$S$400,SF_Output!$AC$1:$AC$400,_xlfn.TEXTJOIN(",",TRUE,B197:E197),SF_Output!$Q$1:$Q$400,"One Time",SF_Output!$L$1:$L$400,"professional service"))</f>
        <v/>
      </c>
      <c r="O197" s="112" t="str">
        <f>IF(OR(B197=0,B197="",N197=0),"",IF(AF197&lt;&gt;"exclusion",MAX(O$9,-(SUMIFS(SF_Output!$T$1:$T$400,SF_Output!$AC$1:$AC$400,_xlfn.TEXTJOIN(",",TRUE,$B197:$E197),SF_Output!$Q$1:$Q$400,"One Time",SF_Output!$L$1:$L$400,"professional service"))/N197),-((SUMIFS(SF_Output!$T$1:$T$400,SF_Output!$AC$1:$AC$400,_xlfn.TEXTJOIN(",",TRUE,$B197:$E197),SF_Output!$Q$1:$Q$400,"One Time",SF_Output!$L$1:$L$400,"professional service")/N197))))</f>
        <v/>
      </c>
      <c r="P197" s="6" t="str">
        <f t="shared" si="36"/>
        <v/>
      </c>
      <c r="R197" s="6" t="str">
        <f>IF(B197="","",SUMIFS(SF_Output!$S$1:$S$400,SF_Output!$AC$1:$AC$400,_xlfn.TEXTJOIN(",",TRUE,B197:E197),SF_Output!$Q$1:$Q$400,"yearly")+SUMIFS(SF_Output!$S$1:$S$400,SF_Output!$AC$1:$AC$400,_xlfn.TEXTJOIN(",",TRUE,B197:E197),SF_Output!$Q$1:$Q$400,"quarterly")*4)</f>
        <v/>
      </c>
      <c r="S197" s="112" t="str">
        <f>IF(OR(B197=0,B197="",G197="hardware",R197=0),"",IF(AF197&lt;&gt;"exclusion",MAX(S$9,-(SUMIFS(SF_Output!$T$1:$T$400,SF_Output!$AC$1:$AC$400,_xlfn.TEXTJOIN(",",TRUE,$B197:$E197),SF_Output!$Q$1:$Q$400,"yearly"))/R197),-((SUMIFS(SF_Output!$T$1:$T$400,SF_Output!$AC$1:$AC$400,_xlfn.TEXTJOIN(",",TRUE,$B197:$E197),SF_Output!$Q$1:$Q$400,"yearly")/R197))))</f>
        <v/>
      </c>
      <c r="T197" s="6" t="str">
        <f t="shared" si="37"/>
        <v/>
      </c>
      <c r="V197" s="6" t="str" cm="1">
        <f t="array" ref="V197">_xlfn.IFS(B197="","",AND(B197&lt;&gt;"",H197=SF_Output!$Y$2,SUMIFS(SF_Output!$T$1:$T$400,SF_Output!$AC$1:$AC$400,_xlfn.TEXTJOIN(",",TRUE,B197:E197),SF_Output!$Q$1:$Q$400,"monthly")=0),(SUMIFS(SF_Output!$F$1:$F$400,SF_Output!$AC$1:$AC$400,_xlfn.TEXTJOIN(",",TRUE,B197:E197),SF_Output!$Q$1:$Q$400,"monthly")+SUMIFS(SF_Output!$G$1:$G$400,SF_Output!$AC$1:$AC$400,_xlfn.TEXTJOIN(",",TRUE,B197:E197),SF_Output!$Q$1:$Q$400,"monthly"))*H197,AND(B197&lt;&gt;"",H197=SF_Output!$Y$2,SUMIFS(SF_Output!$T$1:$T$400,SF_Output!$AC$1:$AC$400,_xlfn.TEXTJOIN(",",TRUE,B197:E197),SF_Output!$Q$1:$Q$400,"monthly")&lt;&gt;0),SUMIFS(SF_Output!$S$1:$S$400,SF_Output!$AC$1:$AC$400,_xlfn.TEXTJOIN(",",TRUE,B197:E197),SF_Output!$Q$1:$Q$400,"monthly"),AND(B197&lt;&gt;"",H197&lt;&gt;SF_Output!$Y$2),SUMIFS(SF_Output!$S$1:$S$400,SF_Output!$AC$1:$AC$400,_xlfn.TEXTJOIN(",",TRUE,B197:E197),SF_Output!$Q$1:$Q$400,"monthly"))</f>
        <v/>
      </c>
      <c r="W197" s="112" t="str" cm="1">
        <f t="array" ref="W197">_xlfn.IFS(OR(B197=0,B197="",V197=0),"",AF197&lt;&gt;"exclusion",MAX($W$9,$W$7,(-(SUMIFS(SF_Output!$T$1:$T$400,SF_Output!$AC$1:$AC$400,_xlfn.TEXTJOIN(",",TRUE,$B197:$E197),SF_Output!$Q$1:$Q$400,"monthly"))/V197)),AF197="exclusion",-(SUMIFS(SF_Output!$T$1:$T$400,SF_Output!$AC$1:$AC$400,_xlfn.TEXTJOIN(",",TRUE,$B197:$E197),SF_Output!$Q$1:$Q$400,"monthly"))/V197)</f>
        <v/>
      </c>
      <c r="X197" s="6" t="str" cm="1">
        <f t="array" ref="X197">IFERROR(_xlfn.IFS(V197=0,0,V197="","",W197=0,V197,OR(V197&lt;&gt;0,V197&lt;&gt;""),H197*I197),V197*(1-W197))</f>
        <v/>
      </c>
      <c r="Z197" s="6" t="str">
        <f>IFERROR(IF(B197="","",SUMIFS(Billing_Fallout!H:H,Billing_Fallout!N:N,B197)),0)</f>
        <v/>
      </c>
      <c r="AA197" s="6" t="str">
        <f t="shared" si="38"/>
        <v/>
      </c>
      <c r="AB197" s="6" t="str">
        <f>IFERROR(IF(B197="","",SUMIFS(Billing_Fallout!J:J,Billing_Fallout!N:N,B197)),0)</f>
        <v/>
      </c>
      <c r="AD197" s="6" t="str">
        <f t="shared" si="39"/>
        <v/>
      </c>
      <c r="AF197" t="str">
        <f>IFERROR(INDEX(H_Tables!$B$1:$B$1500,MATCH(INDEX(SF_Output!$J$1:$J$400,MATCH(B197,SF_Output!$M$1:$M$400,0)),H_Tables!$A$1:$A$1500,0)),"")</f>
        <v/>
      </c>
      <c r="AI197" s="119" t="str">
        <f t="shared" si="40"/>
        <v/>
      </c>
      <c r="AJ197" s="121">
        <f>IFERROR(INDEX(SF_Output!AD:AD,MATCH(_xlfn.TEXTJOIN(",",TRUE,B197:E197),SF_Output!AC1:AC400,0)),0.05)</f>
        <v>241</v>
      </c>
      <c r="AK197" t="str">
        <f>IF(SUMIFS(SF_Output!$F$1:$F$400,SF_Output!$AC$1:$AC$400,_xlfn.TEXTJOIN(",",TRUE,B197:E197))+SUMIFS(SF_Output!$G$1:$G$400,SF_Output!$AC$1:$AC$400,_xlfn.TEXTJOIN(",",TRUE,B197:E197))=0,"","PAP")</f>
        <v/>
      </c>
      <c r="AQ197" s="35"/>
      <c r="AR197" s="35" t="str" cm="1">
        <f t="array" ref="AR197">IFERROR(_xlfn.IFS(AND(E197*1=1,F197="Included"),"Change to Included",AND(E197*1=0,F197="Optional"),"Change to Optional",OR(B197="",F197="replaced"),""),"")</f>
        <v/>
      </c>
      <c r="AS197" s="35" t="str">
        <f t="shared" si="41"/>
        <v/>
      </c>
      <c r="AT197" s="35" t="str">
        <f t="shared" si="42"/>
        <v/>
      </c>
      <c r="AU197" s="35" t="str">
        <f t="shared" si="43"/>
        <v/>
      </c>
      <c r="AV197" s="35" t="str">
        <f t="shared" si="44"/>
        <v/>
      </c>
      <c r="AW197" s="35" t="str">
        <f t="shared" si="45"/>
        <v/>
      </c>
      <c r="AX197" s="35" t="str">
        <f t="shared" si="46"/>
        <v/>
      </c>
      <c r="AY197" s="35" t="str">
        <f t="shared" si="47"/>
        <v/>
      </c>
      <c r="AZ197" s="35" t="str">
        <f t="shared" si="48"/>
        <v/>
      </c>
      <c r="BA197" s="35" t="str">
        <f t="shared" si="49"/>
        <v/>
      </c>
      <c r="BB197" s="35" t="str">
        <f t="shared" si="50"/>
        <v/>
      </c>
      <c r="BC197" s="35"/>
      <c r="BE197" s="35" t="e">
        <f>INDEX(SF_Output!$AA$2:$AA$400,MATCH($B197,SF_Output!$M$2:$M$400,0))</f>
        <v>#N/A</v>
      </c>
      <c r="BF197" s="35" t="e">
        <f>INDEX(SF_Output!$AB$2:$AB$400,MATCH($B197,SF_Output!$M$2:$M$400,0))</f>
        <v>#N/A</v>
      </c>
    </row>
    <row r="198" spans="6:58" x14ac:dyDescent="0.25">
      <c r="F198" s="116" t="str">
        <f t="shared" si="34"/>
        <v/>
      </c>
      <c r="G198" t="str">
        <f>IF(B198="","",INDEX(SF_Output!$K$1:$K$400,MATCH(B198,SF_Output!$M$1:$M$400,0)))</f>
        <v/>
      </c>
      <c r="H198" t="str" cm="1">
        <f t="array" ref="H198">_xlfn.IFS(B198="","",(SUMIFS(SF_Output!$F$1:$F$400,SF_Output!$AC$1:$AC$400,_xlfn.TEXTJOIN(",",TRUE,B198:E198))+SUMIFS(SF_Output!$G$1:$G$400,SF_Output!$AC$1:$AC$400,_xlfn.TEXTJOIN(",",TRUE,B198:E198)))&lt;&gt;0,SF_Output!$Y$2,INDEX(SF_Output!$F$1:$F$400,MATCH(_xlfn.TEXTJOIN(",",TRUE,B198:E198),SF_Output!$AC$1:$AC$400,0))=0,INDEX(SF_Output!$R$1:$R$400,MATCH(_xlfn.TEXTJOIN(",",TRUE,B198:E198),SF_Output!$AC$1:$AC$400,0)))</f>
        <v/>
      </c>
      <c r="I198" s="125" t="str">
        <f>IFERROR(IF(AND(H198&gt;1,H198&lt;&gt;""),ROUND(SUMIFS(SF_Output!$S$1:$S$400,SF_Output!$AC$1:$AC$400,_xlfn.TEXTJOIN(",",TRUE,B198:E198),SF_Output!$Q$1:$Q$400,"monthly")*(1-W198)/H198,4),""),"")</f>
        <v/>
      </c>
      <c r="J198" s="6" t="str">
        <f>IF(B198="","",SUMIFS(SF_Output!$S$1:$S$400,SF_Output!$AC$1:$AC$400,_xlfn.TEXTJOIN(",",TRUE,B198:E198),SF_Output!$Q$1:$Q$400,"One Time",SF_Output!$L$1:$L$400,"license fee")+SUMIFS(SF_Output!$S$1:$S$400,SF_Output!$AC$1:$AC$400,_xlfn.TEXTJOIN(",",TRUE,B198:E198),SF_Output!$Q$1:$Q$400,"One Time",SF_Output!$L$1:$L$400,"software license")+SUMIFS(SF_Output!$S$1:$S$400,SF_Output!$AC$1:$AC$400,_xlfn.TEXTJOIN(",",TRUE,B198:E198),SF_Output!$Q$1:$Q$400,"One Time",SF_Output!$L$1:$L$400,"hardware"))</f>
        <v/>
      </c>
      <c r="K198" s="112" t="str">
        <f>IF(OR(B198=0,B198="",G198="hardware",J198=0),"",IF(AF198&lt;&gt;"exclusion",MAX(K$9,-((SUMIFS(SF_Output!$T$1:$T$400,SF_Output!$AC$1:$AC$400,_xlfn.TEXTJOIN(",",TRUE,$B198:$E198),SF_Output!$Q$1:$Q$400,"One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license"))/J198)))</f>
        <v/>
      </c>
      <c r="L198" s="6" t="str">
        <f t="shared" si="35"/>
        <v/>
      </c>
      <c r="N198" s="6" t="str">
        <f>IF(B198="","",SUMIFS(SF_Output!$S$1:$S$400,SF_Output!$AC$1:$AC$400,_xlfn.TEXTJOIN(",",TRUE,B198:E198),SF_Output!$Q$1:$Q$400,"One Time",SF_Output!$L$1:$L$400,"professional service"))</f>
        <v/>
      </c>
      <c r="O198" s="112" t="str">
        <f>IF(OR(B198=0,B198="",N198=0),"",IF(AF198&lt;&gt;"exclusion",MAX(O$9,-(SUMIFS(SF_Output!$T$1:$T$400,SF_Output!$AC$1:$AC$400,_xlfn.TEXTJOIN(",",TRUE,$B198:$E198),SF_Output!$Q$1:$Q$400,"One Time",SF_Output!$L$1:$L$400,"professional service"))/N198),-((SUMIFS(SF_Output!$T$1:$T$400,SF_Output!$AC$1:$AC$400,_xlfn.TEXTJOIN(",",TRUE,$B198:$E198),SF_Output!$Q$1:$Q$400,"One Time",SF_Output!$L$1:$L$400,"professional service")/N198))))</f>
        <v/>
      </c>
      <c r="P198" s="6" t="str">
        <f t="shared" si="36"/>
        <v/>
      </c>
      <c r="R198" s="6" t="str">
        <f>IF(B198="","",SUMIFS(SF_Output!$S$1:$S$400,SF_Output!$AC$1:$AC$400,_xlfn.TEXTJOIN(",",TRUE,B198:E198),SF_Output!$Q$1:$Q$400,"yearly")+SUMIFS(SF_Output!$S$1:$S$400,SF_Output!$AC$1:$AC$400,_xlfn.TEXTJOIN(",",TRUE,B198:E198),SF_Output!$Q$1:$Q$400,"quarterly")*4)</f>
        <v/>
      </c>
      <c r="S198" s="112" t="str">
        <f>IF(OR(B198=0,B198="",G198="hardware",R198=0),"",IF(AF198&lt;&gt;"exclusion",MAX(S$9,-(SUMIFS(SF_Output!$T$1:$T$400,SF_Output!$AC$1:$AC$400,_xlfn.TEXTJOIN(",",TRUE,$B198:$E198),SF_Output!$Q$1:$Q$400,"yearly"))/R198),-((SUMIFS(SF_Output!$T$1:$T$400,SF_Output!$AC$1:$AC$400,_xlfn.TEXTJOIN(",",TRUE,$B198:$E198),SF_Output!$Q$1:$Q$400,"yearly")/R198))))</f>
        <v/>
      </c>
      <c r="T198" s="6" t="str">
        <f t="shared" si="37"/>
        <v/>
      </c>
      <c r="V198" s="6" t="str" cm="1">
        <f t="array" ref="V198">_xlfn.IFS(B198="","",AND(B198&lt;&gt;"",H198=SF_Output!$Y$2,SUMIFS(SF_Output!$T$1:$T$400,SF_Output!$AC$1:$AC$400,_xlfn.TEXTJOIN(",",TRUE,B198:E198),SF_Output!$Q$1:$Q$400,"monthly")=0),(SUMIFS(SF_Output!$F$1:$F$400,SF_Output!$AC$1:$AC$400,_xlfn.TEXTJOIN(",",TRUE,B198:E198),SF_Output!$Q$1:$Q$400,"monthly")+SUMIFS(SF_Output!$G$1:$G$400,SF_Output!$AC$1:$AC$400,_xlfn.TEXTJOIN(",",TRUE,B198:E198),SF_Output!$Q$1:$Q$400,"monthly"))*H198,AND(B198&lt;&gt;"",H198=SF_Output!$Y$2,SUMIFS(SF_Output!$T$1:$T$400,SF_Output!$AC$1:$AC$400,_xlfn.TEXTJOIN(",",TRUE,B198:E198),SF_Output!$Q$1:$Q$400,"monthly")&lt;&gt;0),SUMIFS(SF_Output!$S$1:$S$400,SF_Output!$AC$1:$AC$400,_xlfn.TEXTJOIN(",",TRUE,B198:E198),SF_Output!$Q$1:$Q$400,"monthly"),AND(B198&lt;&gt;"",H198&lt;&gt;SF_Output!$Y$2),SUMIFS(SF_Output!$S$1:$S$400,SF_Output!$AC$1:$AC$400,_xlfn.TEXTJOIN(",",TRUE,B198:E198),SF_Output!$Q$1:$Q$400,"monthly"))</f>
        <v/>
      </c>
      <c r="W198" s="112" t="str" cm="1">
        <f t="array" ref="W198">_xlfn.IFS(OR(B198=0,B198="",V198=0),"",AF198&lt;&gt;"exclusion",MAX($W$9,$W$7,(-(SUMIFS(SF_Output!$T$1:$T$400,SF_Output!$AC$1:$AC$400,_xlfn.TEXTJOIN(",",TRUE,$B198:$E198),SF_Output!$Q$1:$Q$400,"monthly"))/V198)),AF198="exclusion",-(SUMIFS(SF_Output!$T$1:$T$400,SF_Output!$AC$1:$AC$400,_xlfn.TEXTJOIN(",",TRUE,$B198:$E198),SF_Output!$Q$1:$Q$400,"monthly"))/V198)</f>
        <v/>
      </c>
      <c r="X198" s="6" t="str" cm="1">
        <f t="array" ref="X198">IFERROR(_xlfn.IFS(V198=0,0,V198="","",W198=0,V198,OR(V198&lt;&gt;0,V198&lt;&gt;""),H198*I198),V198*(1-W198))</f>
        <v/>
      </c>
      <c r="Z198" s="6" t="str">
        <f>IFERROR(IF(B198="","",SUMIFS(Billing_Fallout!H:H,Billing_Fallout!N:N,B198)),0)</f>
        <v/>
      </c>
      <c r="AA198" s="6" t="str">
        <f t="shared" si="38"/>
        <v/>
      </c>
      <c r="AB198" s="6" t="str">
        <f>IFERROR(IF(B198="","",SUMIFS(Billing_Fallout!J:J,Billing_Fallout!N:N,B198)),0)</f>
        <v/>
      </c>
      <c r="AD198" s="6" t="str">
        <f t="shared" si="39"/>
        <v/>
      </c>
      <c r="AF198" t="str">
        <f>IFERROR(INDEX(H_Tables!$B$1:$B$1500,MATCH(INDEX(SF_Output!$J$1:$J$400,MATCH(B198,SF_Output!$M$1:$M$400,0)),H_Tables!$A$1:$A$1500,0)),"")</f>
        <v/>
      </c>
      <c r="AI198" s="119" t="str">
        <f t="shared" si="40"/>
        <v/>
      </c>
      <c r="AJ198" s="121">
        <f>IFERROR(INDEX(SF_Output!AD:AD,MATCH(_xlfn.TEXTJOIN(",",TRUE,B198:E198),SF_Output!AC1:AC400,0)),0.05)</f>
        <v>241</v>
      </c>
      <c r="AK198" t="str">
        <f>IF(SUMIFS(SF_Output!$F$1:$F$400,SF_Output!$AC$1:$AC$400,_xlfn.TEXTJOIN(",",TRUE,B198:E198))+SUMIFS(SF_Output!$G$1:$G$400,SF_Output!$AC$1:$AC$400,_xlfn.TEXTJOIN(",",TRUE,B198:E198))=0,"","PAP")</f>
        <v/>
      </c>
      <c r="AQ198" s="35"/>
      <c r="AR198" s="35" t="str" cm="1">
        <f t="array" ref="AR198">IFERROR(_xlfn.IFS(AND(E198*1=1,F198="Included"),"Change to Included",AND(E198*1=0,F198="Optional"),"Change to Optional",OR(B198="",F198="replaced"),""),"")</f>
        <v/>
      </c>
      <c r="AS198" s="35" t="str">
        <f t="shared" si="41"/>
        <v/>
      </c>
      <c r="AT198" s="35" t="str">
        <f t="shared" si="42"/>
        <v/>
      </c>
      <c r="AU198" s="35" t="str">
        <f t="shared" si="43"/>
        <v/>
      </c>
      <c r="AV198" s="35" t="str">
        <f t="shared" si="44"/>
        <v/>
      </c>
      <c r="AW198" s="35" t="str">
        <f t="shared" si="45"/>
        <v/>
      </c>
      <c r="AX198" s="35" t="str">
        <f t="shared" si="46"/>
        <v/>
      </c>
      <c r="AY198" s="35" t="str">
        <f t="shared" si="47"/>
        <v/>
      </c>
      <c r="AZ198" s="35" t="str">
        <f t="shared" si="48"/>
        <v/>
      </c>
      <c r="BA198" s="35" t="str">
        <f t="shared" si="49"/>
        <v/>
      </c>
      <c r="BB198" s="35" t="str">
        <f t="shared" si="50"/>
        <v/>
      </c>
      <c r="BC198" s="35"/>
      <c r="BE198" s="35" t="e">
        <f>INDEX(SF_Output!$AA$2:$AA$400,MATCH($B198,SF_Output!$M$2:$M$400,0))</f>
        <v>#N/A</v>
      </c>
      <c r="BF198" s="35" t="e">
        <f>INDEX(SF_Output!$AB$2:$AB$400,MATCH($B198,SF_Output!$M$2:$M$400,0))</f>
        <v>#N/A</v>
      </c>
    </row>
    <row r="199" spans="6:58" x14ac:dyDescent="0.25">
      <c r="F199" s="116" t="str">
        <f t="shared" si="34"/>
        <v/>
      </c>
      <c r="G199" t="str">
        <f>IF(B199="","",INDEX(SF_Output!$K$1:$K$400,MATCH(B199,SF_Output!$M$1:$M$400,0)))</f>
        <v/>
      </c>
      <c r="H199" t="str" cm="1">
        <f t="array" ref="H199">_xlfn.IFS(B199="","",(SUMIFS(SF_Output!$F$1:$F$400,SF_Output!$AC$1:$AC$400,_xlfn.TEXTJOIN(",",TRUE,B199:E199))+SUMIFS(SF_Output!$G$1:$G$400,SF_Output!$AC$1:$AC$400,_xlfn.TEXTJOIN(",",TRUE,B199:E199)))&lt;&gt;0,SF_Output!$Y$2,INDEX(SF_Output!$F$1:$F$400,MATCH(_xlfn.TEXTJOIN(",",TRUE,B199:E199),SF_Output!$AC$1:$AC$400,0))=0,INDEX(SF_Output!$R$1:$R$400,MATCH(_xlfn.TEXTJOIN(",",TRUE,B199:E199),SF_Output!$AC$1:$AC$400,0)))</f>
        <v/>
      </c>
      <c r="I199" s="125" t="str">
        <f>IFERROR(IF(AND(H199&gt;1,H199&lt;&gt;""),ROUND(SUMIFS(SF_Output!$S$1:$S$400,SF_Output!$AC$1:$AC$400,_xlfn.TEXTJOIN(",",TRUE,B199:E199),SF_Output!$Q$1:$Q$400,"monthly")*(1-W199)/H199,4),""),"")</f>
        <v/>
      </c>
      <c r="J199" s="6" t="str">
        <f>IF(B199="","",SUMIFS(SF_Output!$S$1:$S$400,SF_Output!$AC$1:$AC$400,_xlfn.TEXTJOIN(",",TRUE,B199:E199),SF_Output!$Q$1:$Q$400,"One Time",SF_Output!$L$1:$L$400,"license fee")+SUMIFS(SF_Output!$S$1:$S$400,SF_Output!$AC$1:$AC$400,_xlfn.TEXTJOIN(",",TRUE,B199:E199),SF_Output!$Q$1:$Q$400,"One Time",SF_Output!$L$1:$L$400,"software license")+SUMIFS(SF_Output!$S$1:$S$400,SF_Output!$AC$1:$AC$400,_xlfn.TEXTJOIN(",",TRUE,B199:E199),SF_Output!$Q$1:$Q$400,"One Time",SF_Output!$L$1:$L$400,"hardware"))</f>
        <v/>
      </c>
      <c r="K199" s="112" t="str">
        <f>IF(OR(B199=0,B199="",G199="hardware",J199=0),"",IF(AF199&lt;&gt;"exclusion",MAX(K$9,-((SUMIFS(SF_Output!$T$1:$T$400,SF_Output!$AC$1:$AC$400,_xlfn.TEXTJOIN(",",TRUE,$B199:$E199),SF_Output!$Q$1:$Q$400,"One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license"))/J199)))</f>
        <v/>
      </c>
      <c r="L199" s="6" t="str">
        <f t="shared" si="35"/>
        <v/>
      </c>
      <c r="N199" s="6" t="str">
        <f>IF(B199="","",SUMIFS(SF_Output!$S$1:$S$400,SF_Output!$AC$1:$AC$400,_xlfn.TEXTJOIN(",",TRUE,B199:E199),SF_Output!$Q$1:$Q$400,"One Time",SF_Output!$L$1:$L$400,"professional service"))</f>
        <v/>
      </c>
      <c r="O199" s="112" t="str">
        <f>IF(OR(B199=0,B199="",N199=0),"",IF(AF199&lt;&gt;"exclusion",MAX(O$9,-(SUMIFS(SF_Output!$T$1:$T$400,SF_Output!$AC$1:$AC$400,_xlfn.TEXTJOIN(",",TRUE,$B199:$E199),SF_Output!$Q$1:$Q$400,"One Time",SF_Output!$L$1:$L$400,"professional service"))/N199),-((SUMIFS(SF_Output!$T$1:$T$400,SF_Output!$AC$1:$AC$400,_xlfn.TEXTJOIN(",",TRUE,$B199:$E199),SF_Output!$Q$1:$Q$400,"One Time",SF_Output!$L$1:$L$400,"professional service")/N199))))</f>
        <v/>
      </c>
      <c r="P199" s="6" t="str">
        <f t="shared" si="36"/>
        <v/>
      </c>
      <c r="R199" s="6" t="str">
        <f>IF(B199="","",SUMIFS(SF_Output!$S$1:$S$400,SF_Output!$AC$1:$AC$400,_xlfn.TEXTJOIN(",",TRUE,B199:E199),SF_Output!$Q$1:$Q$400,"yearly")+SUMIFS(SF_Output!$S$1:$S$400,SF_Output!$AC$1:$AC$400,_xlfn.TEXTJOIN(",",TRUE,B199:E199),SF_Output!$Q$1:$Q$400,"quarterly")*4)</f>
        <v/>
      </c>
      <c r="S199" s="112" t="str">
        <f>IF(OR(B199=0,B199="",G199="hardware",R199=0),"",IF(AF199&lt;&gt;"exclusion",MAX(S$9,-(SUMIFS(SF_Output!$T$1:$T$400,SF_Output!$AC$1:$AC$400,_xlfn.TEXTJOIN(",",TRUE,$B199:$E199),SF_Output!$Q$1:$Q$400,"yearly"))/R199),-((SUMIFS(SF_Output!$T$1:$T$400,SF_Output!$AC$1:$AC$400,_xlfn.TEXTJOIN(",",TRUE,$B199:$E199),SF_Output!$Q$1:$Q$400,"yearly")/R199))))</f>
        <v/>
      </c>
      <c r="T199" s="6" t="str">
        <f t="shared" si="37"/>
        <v/>
      </c>
      <c r="V199" s="6" t="str" cm="1">
        <f t="array" ref="V199">_xlfn.IFS(B199="","",AND(B199&lt;&gt;"",H199=SF_Output!$Y$2,SUMIFS(SF_Output!$T$1:$T$400,SF_Output!$AC$1:$AC$400,_xlfn.TEXTJOIN(",",TRUE,B199:E199),SF_Output!$Q$1:$Q$400,"monthly")=0),(SUMIFS(SF_Output!$F$1:$F$400,SF_Output!$AC$1:$AC$400,_xlfn.TEXTJOIN(",",TRUE,B199:E199),SF_Output!$Q$1:$Q$400,"monthly")+SUMIFS(SF_Output!$G$1:$G$400,SF_Output!$AC$1:$AC$400,_xlfn.TEXTJOIN(",",TRUE,B199:E199),SF_Output!$Q$1:$Q$400,"monthly"))*H199,AND(B199&lt;&gt;"",H199=SF_Output!$Y$2,SUMIFS(SF_Output!$T$1:$T$400,SF_Output!$AC$1:$AC$400,_xlfn.TEXTJOIN(",",TRUE,B199:E199),SF_Output!$Q$1:$Q$400,"monthly")&lt;&gt;0),SUMIFS(SF_Output!$S$1:$S$400,SF_Output!$AC$1:$AC$400,_xlfn.TEXTJOIN(",",TRUE,B199:E199),SF_Output!$Q$1:$Q$400,"monthly"),AND(B199&lt;&gt;"",H199&lt;&gt;SF_Output!$Y$2),SUMIFS(SF_Output!$S$1:$S$400,SF_Output!$AC$1:$AC$400,_xlfn.TEXTJOIN(",",TRUE,B199:E199),SF_Output!$Q$1:$Q$400,"monthly"))</f>
        <v/>
      </c>
      <c r="W199" s="112" t="str" cm="1">
        <f t="array" ref="W199">_xlfn.IFS(OR(B199=0,B199="",V199=0),"",AF199&lt;&gt;"exclusion",MAX($W$9,$W$7,(-(SUMIFS(SF_Output!$T$1:$T$400,SF_Output!$AC$1:$AC$400,_xlfn.TEXTJOIN(",",TRUE,$B199:$E199),SF_Output!$Q$1:$Q$400,"monthly"))/V199)),AF199="exclusion",-(SUMIFS(SF_Output!$T$1:$T$400,SF_Output!$AC$1:$AC$400,_xlfn.TEXTJOIN(",",TRUE,$B199:$E199),SF_Output!$Q$1:$Q$400,"monthly"))/V199)</f>
        <v/>
      </c>
      <c r="X199" s="6" t="str" cm="1">
        <f t="array" ref="X199">IFERROR(_xlfn.IFS(V199=0,0,V199="","",W199=0,V199,OR(V199&lt;&gt;0,V199&lt;&gt;""),H199*I199),V199*(1-W199))</f>
        <v/>
      </c>
      <c r="Z199" s="6" t="str">
        <f>IFERROR(IF(B199="","",SUMIFS(Billing_Fallout!H:H,Billing_Fallout!N:N,B199)),0)</f>
        <v/>
      </c>
      <c r="AA199" s="6" t="str">
        <f t="shared" si="38"/>
        <v/>
      </c>
      <c r="AB199" s="6" t="str">
        <f>IFERROR(IF(B199="","",SUMIFS(Billing_Fallout!J:J,Billing_Fallout!N:N,B199)),0)</f>
        <v/>
      </c>
      <c r="AD199" s="6" t="str">
        <f t="shared" si="39"/>
        <v/>
      </c>
      <c r="AF199" t="str">
        <f>IFERROR(INDEX(H_Tables!$B$1:$B$1500,MATCH(INDEX(SF_Output!$J$1:$J$400,MATCH(B199,SF_Output!$M$1:$M$400,0)),H_Tables!$A$1:$A$1500,0)),"")</f>
        <v/>
      </c>
      <c r="AI199" s="119" t="str">
        <f t="shared" si="40"/>
        <v/>
      </c>
      <c r="AJ199" s="121">
        <f>IFERROR(INDEX(SF_Output!AD:AD,MATCH(_xlfn.TEXTJOIN(",",TRUE,B199:E199),SF_Output!AC1:AC400,0)),0.05)</f>
        <v>241</v>
      </c>
      <c r="AK199" t="str">
        <f>IF(SUMIFS(SF_Output!$F$1:$F$400,SF_Output!$AC$1:$AC$400,_xlfn.TEXTJOIN(",",TRUE,B199:E199))+SUMIFS(SF_Output!$G$1:$G$400,SF_Output!$AC$1:$AC$400,_xlfn.TEXTJOIN(",",TRUE,B199:E199))=0,"","PAP")</f>
        <v/>
      </c>
      <c r="AQ199" s="35"/>
      <c r="AR199" s="35" t="str" cm="1">
        <f t="array" ref="AR199">IFERROR(_xlfn.IFS(AND(E199*1=1,F199="Included"),"Change to Included",AND(E199*1=0,F199="Optional"),"Change to Optional",OR(B199="",F199="replaced"),""),"")</f>
        <v/>
      </c>
      <c r="AS199" s="35" t="str">
        <f t="shared" si="41"/>
        <v/>
      </c>
      <c r="AT199" s="35" t="str">
        <f t="shared" si="42"/>
        <v/>
      </c>
      <c r="AU199" s="35" t="str">
        <f t="shared" si="43"/>
        <v/>
      </c>
      <c r="AV199" s="35" t="str">
        <f t="shared" si="44"/>
        <v/>
      </c>
      <c r="AW199" s="35" t="str">
        <f t="shared" si="45"/>
        <v/>
      </c>
      <c r="AX199" s="35" t="str">
        <f t="shared" si="46"/>
        <v/>
      </c>
      <c r="AY199" s="35" t="str">
        <f t="shared" si="47"/>
        <v/>
      </c>
      <c r="AZ199" s="35" t="str">
        <f t="shared" si="48"/>
        <v/>
      </c>
      <c r="BA199" s="35" t="str">
        <f t="shared" si="49"/>
        <v/>
      </c>
      <c r="BB199" s="35" t="str">
        <f t="shared" si="50"/>
        <v/>
      </c>
      <c r="BC199" s="35"/>
      <c r="BE199" s="35" t="e">
        <f>INDEX(SF_Output!$AA$2:$AA$400,MATCH($B199,SF_Output!$M$2:$M$400,0))</f>
        <v>#N/A</v>
      </c>
      <c r="BF199" s="35" t="e">
        <f>INDEX(SF_Output!$AB$2:$AB$400,MATCH($B199,SF_Output!$M$2:$M$400,0))</f>
        <v>#N/A</v>
      </c>
    </row>
    <row r="200" spans="6:58" x14ac:dyDescent="0.25">
      <c r="F200" s="116" t="str">
        <f t="shared" si="34"/>
        <v/>
      </c>
      <c r="G200" t="str">
        <f>IF(B200="","",INDEX(SF_Output!$K$1:$K$400,MATCH(B200,SF_Output!$M$1:$M$400,0)))</f>
        <v/>
      </c>
      <c r="H200" t="str" cm="1">
        <f t="array" ref="H200">_xlfn.IFS(B200="","",(SUMIFS(SF_Output!$F$1:$F$400,SF_Output!$AC$1:$AC$400,_xlfn.TEXTJOIN(",",TRUE,B200:E200))+SUMIFS(SF_Output!$G$1:$G$400,SF_Output!$AC$1:$AC$400,_xlfn.TEXTJOIN(",",TRUE,B200:E200)))&lt;&gt;0,SF_Output!$Y$2,INDEX(SF_Output!$F$1:$F$400,MATCH(_xlfn.TEXTJOIN(",",TRUE,B200:E200),SF_Output!$AC$1:$AC$400,0))=0,INDEX(SF_Output!$R$1:$R$400,MATCH(_xlfn.TEXTJOIN(",",TRUE,B200:E200),SF_Output!$AC$1:$AC$400,0)))</f>
        <v/>
      </c>
      <c r="I200" s="125" t="str">
        <f>IFERROR(IF(AND(H200&gt;1,H200&lt;&gt;""),ROUND(SUMIFS(SF_Output!$S$1:$S$400,SF_Output!$AC$1:$AC$400,_xlfn.TEXTJOIN(",",TRUE,B200:E200),SF_Output!$Q$1:$Q$400,"monthly")*(1-W200)/H200,4),""),"")</f>
        <v/>
      </c>
      <c r="J200" s="6" t="str">
        <f>IF(B200="","",SUMIFS(SF_Output!$S$1:$S$400,SF_Output!$AC$1:$AC$400,_xlfn.TEXTJOIN(",",TRUE,B200:E200),SF_Output!$Q$1:$Q$400,"One Time",SF_Output!$L$1:$L$400,"license fee")+SUMIFS(SF_Output!$S$1:$S$400,SF_Output!$AC$1:$AC$400,_xlfn.TEXTJOIN(",",TRUE,B200:E200),SF_Output!$Q$1:$Q$400,"One Time",SF_Output!$L$1:$L$400,"software license")+SUMIFS(SF_Output!$S$1:$S$400,SF_Output!$AC$1:$AC$400,_xlfn.TEXTJOIN(",",TRUE,B200:E200),SF_Output!$Q$1:$Q$400,"One Time",SF_Output!$L$1:$L$400,"hardware"))</f>
        <v/>
      </c>
      <c r="K200" s="112" t="str">
        <f>IF(OR(B200=0,B200="",G200="hardware",J200=0),"",IF(AF200&lt;&gt;"exclusion",MAX(K$9,-((SUMIFS(SF_Output!$T$1:$T$400,SF_Output!$AC$1:$AC$400,_xlfn.TEXTJOIN(",",TRUE,$B200:$E200),SF_Output!$Q$1:$Q$400,"One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license"))/J200)))</f>
        <v/>
      </c>
      <c r="L200" s="6" t="str">
        <f t="shared" si="35"/>
        <v/>
      </c>
      <c r="N200" s="6" t="str">
        <f>IF(B200="","",SUMIFS(SF_Output!$S$1:$S$400,SF_Output!$AC$1:$AC$400,_xlfn.TEXTJOIN(",",TRUE,B200:E200),SF_Output!$Q$1:$Q$400,"One Time",SF_Output!$L$1:$L$400,"professional service"))</f>
        <v/>
      </c>
      <c r="O200" s="112" t="str">
        <f>IF(OR(B200=0,B200="",N200=0),"",IF(AF200&lt;&gt;"exclusion",MAX(O$9,-(SUMIFS(SF_Output!$T$1:$T$400,SF_Output!$AC$1:$AC$400,_xlfn.TEXTJOIN(",",TRUE,$B200:$E200),SF_Output!$Q$1:$Q$400,"One Time",SF_Output!$L$1:$L$400,"professional service"))/N200),-((SUMIFS(SF_Output!$T$1:$T$400,SF_Output!$AC$1:$AC$400,_xlfn.TEXTJOIN(",",TRUE,$B200:$E200),SF_Output!$Q$1:$Q$400,"One Time",SF_Output!$L$1:$L$400,"professional service")/N200))))</f>
        <v/>
      </c>
      <c r="P200" s="6" t="str">
        <f t="shared" si="36"/>
        <v/>
      </c>
      <c r="R200" s="6" t="str">
        <f>IF(B200="","",SUMIFS(SF_Output!$S$1:$S$400,SF_Output!$AC$1:$AC$400,_xlfn.TEXTJOIN(",",TRUE,B200:E200),SF_Output!$Q$1:$Q$400,"yearly")+SUMIFS(SF_Output!$S$1:$S$400,SF_Output!$AC$1:$AC$400,_xlfn.TEXTJOIN(",",TRUE,B200:E200),SF_Output!$Q$1:$Q$400,"quarterly")*4)</f>
        <v/>
      </c>
      <c r="S200" s="112" t="str">
        <f>IF(OR(B200=0,B200="",G200="hardware",R200=0),"",IF(AF200&lt;&gt;"exclusion",MAX(S$9,-(SUMIFS(SF_Output!$T$1:$T$400,SF_Output!$AC$1:$AC$400,_xlfn.TEXTJOIN(",",TRUE,$B200:$E200),SF_Output!$Q$1:$Q$400,"yearly"))/R200),-((SUMIFS(SF_Output!$T$1:$T$400,SF_Output!$AC$1:$AC$400,_xlfn.TEXTJOIN(",",TRUE,$B200:$E200),SF_Output!$Q$1:$Q$400,"yearly")/R200))))</f>
        <v/>
      </c>
      <c r="T200" s="6" t="str">
        <f t="shared" si="37"/>
        <v/>
      </c>
      <c r="V200" s="6" t="str" cm="1">
        <f t="array" ref="V200">_xlfn.IFS(B200="","",AND(B200&lt;&gt;"",H200=SF_Output!$Y$2,SUMIFS(SF_Output!$T$1:$T$400,SF_Output!$AC$1:$AC$400,_xlfn.TEXTJOIN(",",TRUE,B200:E200),SF_Output!$Q$1:$Q$400,"monthly")=0),(SUMIFS(SF_Output!$F$1:$F$400,SF_Output!$AC$1:$AC$400,_xlfn.TEXTJOIN(",",TRUE,B200:E200),SF_Output!$Q$1:$Q$400,"monthly")+SUMIFS(SF_Output!$G$1:$G$400,SF_Output!$AC$1:$AC$400,_xlfn.TEXTJOIN(",",TRUE,B200:E200),SF_Output!$Q$1:$Q$400,"monthly"))*H200,AND(B200&lt;&gt;"",H200=SF_Output!$Y$2,SUMIFS(SF_Output!$T$1:$T$400,SF_Output!$AC$1:$AC$400,_xlfn.TEXTJOIN(",",TRUE,B200:E200),SF_Output!$Q$1:$Q$400,"monthly")&lt;&gt;0),SUMIFS(SF_Output!$S$1:$S$400,SF_Output!$AC$1:$AC$400,_xlfn.TEXTJOIN(",",TRUE,B200:E200),SF_Output!$Q$1:$Q$400,"monthly"),AND(B200&lt;&gt;"",H200&lt;&gt;SF_Output!$Y$2),SUMIFS(SF_Output!$S$1:$S$400,SF_Output!$AC$1:$AC$400,_xlfn.TEXTJOIN(",",TRUE,B200:E200),SF_Output!$Q$1:$Q$400,"monthly"))</f>
        <v/>
      </c>
      <c r="W200" s="112" t="str" cm="1">
        <f t="array" ref="W200">_xlfn.IFS(OR(B200=0,B200="",V200=0),"",AF200&lt;&gt;"exclusion",MAX($W$9,$W$7,(-(SUMIFS(SF_Output!$T$1:$T$400,SF_Output!$AC$1:$AC$400,_xlfn.TEXTJOIN(",",TRUE,$B200:$E200),SF_Output!$Q$1:$Q$400,"monthly"))/V200)),AF200="exclusion",-(SUMIFS(SF_Output!$T$1:$T$400,SF_Output!$AC$1:$AC$400,_xlfn.TEXTJOIN(",",TRUE,$B200:$E200),SF_Output!$Q$1:$Q$400,"monthly"))/V200)</f>
        <v/>
      </c>
      <c r="X200" s="6" t="str" cm="1">
        <f t="array" ref="X200">IFERROR(_xlfn.IFS(V200=0,0,V200="","",W200=0,V200,OR(V200&lt;&gt;0,V200&lt;&gt;""),H200*I200),V200*(1-W200))</f>
        <v/>
      </c>
      <c r="Z200" s="6" t="str">
        <f>IFERROR(IF(B200="","",SUMIFS(Billing_Fallout!H:H,Billing_Fallout!N:N,B200)),0)</f>
        <v/>
      </c>
      <c r="AA200" s="6" t="str">
        <f t="shared" si="38"/>
        <v/>
      </c>
      <c r="AB200" s="6" t="str">
        <f>IFERROR(IF(B200="","",SUMIFS(Billing_Fallout!J:J,Billing_Fallout!N:N,B200)),0)</f>
        <v/>
      </c>
      <c r="AD200" s="6" t="str">
        <f t="shared" si="39"/>
        <v/>
      </c>
      <c r="AF200" t="str">
        <f>IFERROR(INDEX(H_Tables!$B$1:$B$1500,MATCH(INDEX(SF_Output!$J$1:$J$400,MATCH(B200,SF_Output!$M$1:$M$400,0)),H_Tables!$A$1:$A$1500,0)),"")</f>
        <v/>
      </c>
      <c r="AI200" s="119" t="str">
        <f t="shared" si="40"/>
        <v/>
      </c>
      <c r="AJ200" s="121">
        <f>IFERROR(INDEX(SF_Output!AD:AD,MATCH(_xlfn.TEXTJOIN(",",TRUE,B200:E200),SF_Output!AC1:AC400,0)),0.05)</f>
        <v>241</v>
      </c>
      <c r="AK200" t="str">
        <f>IF(SUMIFS(SF_Output!$F$1:$F$400,SF_Output!$AC$1:$AC$400,_xlfn.TEXTJOIN(",",TRUE,B200:E200))+SUMIFS(SF_Output!$G$1:$G$400,SF_Output!$AC$1:$AC$400,_xlfn.TEXTJOIN(",",TRUE,B200:E200))=0,"","PAP")</f>
        <v/>
      </c>
      <c r="AQ200" s="35"/>
      <c r="AR200" s="35" t="str" cm="1">
        <f t="array" ref="AR200">IFERROR(_xlfn.IFS(AND(E200*1=1,F200="Included"),"Change to Included",AND(E200*1=0,F200="Optional"),"Change to Optional",OR(B200="",F200="replaced"),""),"")</f>
        <v/>
      </c>
      <c r="AS200" s="35" t="str">
        <f t="shared" si="41"/>
        <v/>
      </c>
      <c r="AT200" s="35" t="str">
        <f t="shared" si="42"/>
        <v/>
      </c>
      <c r="AU200" s="35" t="str">
        <f t="shared" si="43"/>
        <v/>
      </c>
      <c r="AV200" s="35" t="str">
        <f t="shared" si="44"/>
        <v/>
      </c>
      <c r="AW200" s="35" t="str">
        <f t="shared" si="45"/>
        <v/>
      </c>
      <c r="AX200" s="35" t="str">
        <f t="shared" si="46"/>
        <v/>
      </c>
      <c r="AY200" s="35" t="str">
        <f t="shared" si="47"/>
        <v/>
      </c>
      <c r="AZ200" s="35" t="str">
        <f t="shared" si="48"/>
        <v/>
      </c>
      <c r="BA200" s="35" t="str">
        <f t="shared" si="49"/>
        <v/>
      </c>
      <c r="BB200" s="35" t="str">
        <f t="shared" si="50"/>
        <v/>
      </c>
      <c r="BC200" s="35"/>
      <c r="BE200" s="35" t="e">
        <f>INDEX(SF_Output!$AA$2:$AA$400,MATCH($B200,SF_Output!$M$2:$M$400,0))</f>
        <v>#N/A</v>
      </c>
      <c r="BF200" s="35" t="e">
        <f>INDEX(SF_Output!$AB$2:$AB$400,MATCH($B200,SF_Output!$M$2:$M$400,0))</f>
        <v>#N/A</v>
      </c>
    </row>
    <row r="201" spans="6:58" x14ac:dyDescent="0.25">
      <c r="F201" s="116" t="str">
        <f t="shared" si="34"/>
        <v/>
      </c>
      <c r="G201" t="str">
        <f>IF(B201="","",INDEX(SF_Output!$K$1:$K$400,MATCH(B201,SF_Output!$M$1:$M$400,0)))</f>
        <v/>
      </c>
      <c r="H201" t="str" cm="1">
        <f t="array" ref="H201">_xlfn.IFS(B201="","",(SUMIFS(SF_Output!$F$1:$F$400,SF_Output!$AC$1:$AC$400,_xlfn.TEXTJOIN(",",TRUE,B201:E201))+SUMIFS(SF_Output!$G$1:$G$400,SF_Output!$AC$1:$AC$400,_xlfn.TEXTJOIN(",",TRUE,B201:E201)))&lt;&gt;0,SF_Output!$Y$2,INDEX(SF_Output!$F$1:$F$400,MATCH(_xlfn.TEXTJOIN(",",TRUE,B201:E201),SF_Output!$AC$1:$AC$400,0))=0,INDEX(SF_Output!$R$1:$R$400,MATCH(_xlfn.TEXTJOIN(",",TRUE,B201:E201),SF_Output!$AC$1:$AC$400,0)))</f>
        <v/>
      </c>
      <c r="I201" s="125" t="str">
        <f>IFERROR(IF(AND(H201&gt;1,H201&lt;&gt;""),ROUND(SUMIFS(SF_Output!$S$1:$S$400,SF_Output!$AC$1:$AC$400,_xlfn.TEXTJOIN(",",TRUE,B201:E201),SF_Output!$Q$1:$Q$400,"monthly")*(1-W201)/H201,4),""),"")</f>
        <v/>
      </c>
      <c r="J201" s="6" t="str">
        <f>IF(B201="","",SUMIFS(SF_Output!$S$1:$S$400,SF_Output!$AC$1:$AC$400,_xlfn.TEXTJOIN(",",TRUE,B201:E201),SF_Output!$Q$1:$Q$400,"One Time",SF_Output!$L$1:$L$400,"license fee")+SUMIFS(SF_Output!$S$1:$S$400,SF_Output!$AC$1:$AC$400,_xlfn.TEXTJOIN(",",TRUE,B201:E201),SF_Output!$Q$1:$Q$400,"One Time",SF_Output!$L$1:$L$400,"software license")+SUMIFS(SF_Output!$S$1:$S$400,SF_Output!$AC$1:$AC$400,_xlfn.TEXTJOIN(",",TRUE,B201:E201),SF_Output!$Q$1:$Q$400,"One Time",SF_Output!$L$1:$L$400,"hardware"))</f>
        <v/>
      </c>
      <c r="K201" s="112" t="str">
        <f>IF(OR(B201=0,B201="",G201="hardware",J201=0),"",IF(AF201&lt;&gt;"exclusion",MAX(K$9,-((SUMIFS(SF_Output!$T$1:$T$400,SF_Output!$AC$1:$AC$400,_xlfn.TEXTJOIN(",",TRUE,$B201:$E201),SF_Output!$Q$1:$Q$400,"One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license"))/J201)))</f>
        <v/>
      </c>
      <c r="L201" s="6" t="str">
        <f t="shared" si="35"/>
        <v/>
      </c>
      <c r="N201" s="6" t="str">
        <f>IF(B201="","",SUMIFS(SF_Output!$S$1:$S$400,SF_Output!$AC$1:$AC$400,_xlfn.TEXTJOIN(",",TRUE,B201:E201),SF_Output!$Q$1:$Q$400,"One Time",SF_Output!$L$1:$L$400,"professional service"))</f>
        <v/>
      </c>
      <c r="O201" s="112" t="str">
        <f>IF(OR(B201=0,B201="",N201=0),"",IF(AF201&lt;&gt;"exclusion",MAX(O$9,-(SUMIFS(SF_Output!$T$1:$T$400,SF_Output!$AC$1:$AC$400,_xlfn.TEXTJOIN(",",TRUE,$B201:$E201),SF_Output!$Q$1:$Q$400,"One Time",SF_Output!$L$1:$L$400,"professional service"))/N201),-((SUMIFS(SF_Output!$T$1:$T$400,SF_Output!$AC$1:$AC$400,_xlfn.TEXTJOIN(",",TRUE,$B201:$E201),SF_Output!$Q$1:$Q$400,"One Time",SF_Output!$L$1:$L$400,"professional service")/N201))))</f>
        <v/>
      </c>
      <c r="P201" s="6" t="str">
        <f t="shared" si="36"/>
        <v/>
      </c>
      <c r="R201" s="6" t="str">
        <f>IF(B201="","",SUMIFS(SF_Output!$S$1:$S$400,SF_Output!$AC$1:$AC$400,_xlfn.TEXTJOIN(",",TRUE,B201:E201),SF_Output!$Q$1:$Q$400,"yearly")+SUMIFS(SF_Output!$S$1:$S$400,SF_Output!$AC$1:$AC$400,_xlfn.TEXTJOIN(",",TRUE,B201:E201),SF_Output!$Q$1:$Q$400,"quarterly")*4)</f>
        <v/>
      </c>
      <c r="S201" s="112" t="str">
        <f>IF(OR(B201=0,B201="",G201="hardware",R201=0),"",IF(AF201&lt;&gt;"exclusion",MAX(S$9,-(SUMIFS(SF_Output!$T$1:$T$400,SF_Output!$AC$1:$AC$400,_xlfn.TEXTJOIN(",",TRUE,$B201:$E201),SF_Output!$Q$1:$Q$400,"yearly"))/R201),-((SUMIFS(SF_Output!$T$1:$T$400,SF_Output!$AC$1:$AC$400,_xlfn.TEXTJOIN(",",TRUE,$B201:$E201),SF_Output!$Q$1:$Q$400,"yearly")/R201))))</f>
        <v/>
      </c>
      <c r="T201" s="6" t="str">
        <f t="shared" si="37"/>
        <v/>
      </c>
      <c r="V201" s="6" t="str" cm="1">
        <f t="array" ref="V201">_xlfn.IFS(B201="","",AND(B201&lt;&gt;"",H201=SF_Output!$Y$2,SUMIFS(SF_Output!$T$1:$T$400,SF_Output!$AC$1:$AC$400,_xlfn.TEXTJOIN(",",TRUE,B201:E201),SF_Output!$Q$1:$Q$400,"monthly")=0),(SUMIFS(SF_Output!$F$1:$F$400,SF_Output!$AC$1:$AC$400,_xlfn.TEXTJOIN(",",TRUE,B201:E201),SF_Output!$Q$1:$Q$400,"monthly")+SUMIFS(SF_Output!$G$1:$G$400,SF_Output!$AC$1:$AC$400,_xlfn.TEXTJOIN(",",TRUE,B201:E201),SF_Output!$Q$1:$Q$400,"monthly"))*H201,AND(B201&lt;&gt;"",H201=SF_Output!$Y$2,SUMIFS(SF_Output!$T$1:$T$400,SF_Output!$AC$1:$AC$400,_xlfn.TEXTJOIN(",",TRUE,B201:E201),SF_Output!$Q$1:$Q$400,"monthly")&lt;&gt;0),SUMIFS(SF_Output!$S$1:$S$400,SF_Output!$AC$1:$AC$400,_xlfn.TEXTJOIN(",",TRUE,B201:E201),SF_Output!$Q$1:$Q$400,"monthly"),AND(B201&lt;&gt;"",H201&lt;&gt;SF_Output!$Y$2),SUMIFS(SF_Output!$S$1:$S$400,SF_Output!$AC$1:$AC$400,_xlfn.TEXTJOIN(",",TRUE,B201:E201),SF_Output!$Q$1:$Q$400,"monthly"))</f>
        <v/>
      </c>
      <c r="W201" s="112" t="str" cm="1">
        <f t="array" ref="W201">_xlfn.IFS(OR(B201=0,B201="",V201=0),"",AF201&lt;&gt;"exclusion",MAX($W$9,$W$7,(-(SUMIFS(SF_Output!$T$1:$T$400,SF_Output!$AC$1:$AC$400,_xlfn.TEXTJOIN(",",TRUE,$B201:$E201),SF_Output!$Q$1:$Q$400,"monthly"))/V201)),AF201="exclusion",-(SUMIFS(SF_Output!$T$1:$T$400,SF_Output!$AC$1:$AC$400,_xlfn.TEXTJOIN(",",TRUE,$B201:$E201),SF_Output!$Q$1:$Q$400,"monthly"))/V201)</f>
        <v/>
      </c>
      <c r="X201" s="6" t="str" cm="1">
        <f t="array" ref="X201">IFERROR(_xlfn.IFS(V201=0,0,V201="","",W201=0,V201,OR(V201&lt;&gt;0,V201&lt;&gt;""),H201*I201),V201*(1-W201))</f>
        <v/>
      </c>
      <c r="Z201" s="6" t="str">
        <f>IFERROR(IF(B201="","",SUMIFS(Billing_Fallout!H:H,Billing_Fallout!N:N,B201)),0)</f>
        <v/>
      </c>
      <c r="AA201" s="6" t="str">
        <f t="shared" si="38"/>
        <v/>
      </c>
      <c r="AB201" s="6" t="str">
        <f>IFERROR(IF(B201="","",SUMIFS(Billing_Fallout!J:J,Billing_Fallout!N:N,B201)),0)</f>
        <v/>
      </c>
      <c r="AD201" s="6" t="str">
        <f t="shared" si="39"/>
        <v/>
      </c>
      <c r="AF201" t="str">
        <f>IFERROR(INDEX(H_Tables!$B$1:$B$1500,MATCH(INDEX(SF_Output!$J$1:$J$400,MATCH(B201,SF_Output!$M$1:$M$400,0)),H_Tables!$A$1:$A$1500,0)),"")</f>
        <v/>
      </c>
      <c r="AI201" s="119" t="str">
        <f t="shared" si="40"/>
        <v/>
      </c>
      <c r="AJ201" s="121">
        <f>IFERROR(INDEX(SF_Output!AD:AD,MATCH(_xlfn.TEXTJOIN(",",TRUE,B201:E201),SF_Output!AC1:AC400,0)),0.05)</f>
        <v>241</v>
      </c>
      <c r="AK201" t="str">
        <f>IF(SUMIFS(SF_Output!$F$1:$F$400,SF_Output!$AC$1:$AC$400,_xlfn.TEXTJOIN(",",TRUE,B201:E201))+SUMIFS(SF_Output!$G$1:$G$400,SF_Output!$AC$1:$AC$400,_xlfn.TEXTJOIN(",",TRUE,B201:E201))=0,"","PAP")</f>
        <v/>
      </c>
      <c r="AQ201" s="35"/>
      <c r="AR201" s="35" t="str" cm="1">
        <f t="array" ref="AR201">IFERROR(_xlfn.IFS(AND(E201*1=1,F201="Included"),"Change to Included",AND(E201*1=0,F201="Optional"),"Change to Optional",OR(B201="",F201="replaced"),""),"")</f>
        <v/>
      </c>
      <c r="AS201" s="35" t="str">
        <f t="shared" si="41"/>
        <v/>
      </c>
      <c r="AT201" s="35" t="str">
        <f t="shared" si="42"/>
        <v/>
      </c>
      <c r="AU201" s="35" t="str">
        <f t="shared" si="43"/>
        <v/>
      </c>
      <c r="AV201" s="35" t="str">
        <f t="shared" si="44"/>
        <v/>
      </c>
      <c r="AW201" s="35" t="str">
        <f t="shared" si="45"/>
        <v/>
      </c>
      <c r="AX201" s="35" t="str">
        <f t="shared" si="46"/>
        <v/>
      </c>
      <c r="AY201" s="35" t="str">
        <f t="shared" si="47"/>
        <v/>
      </c>
      <c r="AZ201" s="35" t="str">
        <f t="shared" si="48"/>
        <v/>
      </c>
      <c r="BA201" s="35" t="str">
        <f t="shared" si="49"/>
        <v/>
      </c>
      <c r="BB201" s="35" t="str">
        <f t="shared" si="50"/>
        <v/>
      </c>
      <c r="BC201" s="35"/>
      <c r="BE201" s="35" t="e">
        <f>INDEX(SF_Output!$AA$2:$AA$400,MATCH($B201,SF_Output!$M$2:$M$400,0))</f>
        <v>#N/A</v>
      </c>
      <c r="BF201" s="35" t="e">
        <f>INDEX(SF_Output!$AB$2:$AB$400,MATCH($B201,SF_Output!$M$2:$M$400,0))</f>
        <v>#N/A</v>
      </c>
    </row>
    <row r="202" spans="6:58" x14ac:dyDescent="0.25">
      <c r="F202" s="116" t="str">
        <f t="shared" si="34"/>
        <v/>
      </c>
      <c r="G202" t="str">
        <f>IF(B202="","",INDEX(SF_Output!$K$1:$K$400,MATCH(B202,SF_Output!$M$1:$M$400,0)))</f>
        <v/>
      </c>
      <c r="H202" t="str" cm="1">
        <f t="array" ref="H202">_xlfn.IFS(B202="","",(SUMIFS(SF_Output!$F$1:$F$400,SF_Output!$AC$1:$AC$400,_xlfn.TEXTJOIN(",",TRUE,B202:E202))+SUMIFS(SF_Output!$G$1:$G$400,SF_Output!$AC$1:$AC$400,_xlfn.TEXTJOIN(",",TRUE,B202:E202)))&lt;&gt;0,SF_Output!$Y$2,INDEX(SF_Output!$F$1:$F$400,MATCH(_xlfn.TEXTJOIN(",",TRUE,B202:E202),SF_Output!$AC$1:$AC$400,0))=0,INDEX(SF_Output!$R$1:$R$400,MATCH(_xlfn.TEXTJOIN(",",TRUE,B202:E202),SF_Output!$AC$1:$AC$400,0)))</f>
        <v/>
      </c>
      <c r="I202" s="125" t="str">
        <f>IFERROR(IF(AND(H202&gt;1,H202&lt;&gt;""),ROUND(SUMIFS(SF_Output!$S$1:$S$400,SF_Output!$AC$1:$AC$400,_xlfn.TEXTJOIN(",",TRUE,B202:E202),SF_Output!$Q$1:$Q$400,"monthly")*(1-W202)/H202,4),""),"")</f>
        <v/>
      </c>
      <c r="J202" s="6" t="str">
        <f>IF(B202="","",SUMIFS(SF_Output!$S$1:$S$400,SF_Output!$AC$1:$AC$400,_xlfn.TEXTJOIN(",",TRUE,B202:E202),SF_Output!$Q$1:$Q$400,"One Time",SF_Output!$L$1:$L$400,"license fee")+SUMIFS(SF_Output!$S$1:$S$400,SF_Output!$AC$1:$AC$400,_xlfn.TEXTJOIN(",",TRUE,B202:E202),SF_Output!$Q$1:$Q$400,"One Time",SF_Output!$L$1:$L$400,"software license")+SUMIFS(SF_Output!$S$1:$S$400,SF_Output!$AC$1:$AC$400,_xlfn.TEXTJOIN(",",TRUE,B202:E202),SF_Output!$Q$1:$Q$400,"One Time",SF_Output!$L$1:$L$400,"hardware"))</f>
        <v/>
      </c>
      <c r="K202" s="112" t="str">
        <f>IF(OR(B202=0,B202="",G202="hardware",J202=0),"",IF(AF202&lt;&gt;"exclusion",MAX(K$9,-((SUMIFS(SF_Output!$T$1:$T$400,SF_Output!$AC$1:$AC$400,_xlfn.TEXTJOIN(",",TRUE,$B202:$E202),SF_Output!$Q$1:$Q$400,"One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license"))/J202)))</f>
        <v/>
      </c>
      <c r="L202" s="6" t="str">
        <f t="shared" si="35"/>
        <v/>
      </c>
      <c r="N202" s="6" t="str">
        <f>IF(B202="","",SUMIFS(SF_Output!$S$1:$S$400,SF_Output!$AC$1:$AC$400,_xlfn.TEXTJOIN(",",TRUE,B202:E202),SF_Output!$Q$1:$Q$400,"One Time",SF_Output!$L$1:$L$400,"professional service"))</f>
        <v/>
      </c>
      <c r="O202" s="112" t="str">
        <f>IF(OR(B202=0,B202="",N202=0),"",IF(AF202&lt;&gt;"exclusion",MAX(O$9,-(SUMIFS(SF_Output!$T$1:$T$400,SF_Output!$AC$1:$AC$400,_xlfn.TEXTJOIN(",",TRUE,$B202:$E202),SF_Output!$Q$1:$Q$400,"One Time",SF_Output!$L$1:$L$400,"professional service"))/N202),-((SUMIFS(SF_Output!$T$1:$T$400,SF_Output!$AC$1:$AC$400,_xlfn.TEXTJOIN(",",TRUE,$B202:$E202),SF_Output!$Q$1:$Q$400,"One Time",SF_Output!$L$1:$L$400,"professional service")/N202))))</f>
        <v/>
      </c>
      <c r="P202" s="6" t="str">
        <f t="shared" si="36"/>
        <v/>
      </c>
      <c r="R202" s="6" t="str">
        <f>IF(B202="","",SUMIFS(SF_Output!$S$1:$S$400,SF_Output!$AC$1:$AC$400,_xlfn.TEXTJOIN(",",TRUE,B202:E202),SF_Output!$Q$1:$Q$400,"yearly")+SUMIFS(SF_Output!$S$1:$S$400,SF_Output!$AC$1:$AC$400,_xlfn.TEXTJOIN(",",TRUE,B202:E202),SF_Output!$Q$1:$Q$400,"quarterly")*4)</f>
        <v/>
      </c>
      <c r="S202" s="112" t="str">
        <f>IF(OR(B202=0,B202="",G202="hardware",R202=0),"",IF(AF202&lt;&gt;"exclusion",MAX(S$9,-(SUMIFS(SF_Output!$T$1:$T$400,SF_Output!$AC$1:$AC$400,_xlfn.TEXTJOIN(",",TRUE,$B202:$E202),SF_Output!$Q$1:$Q$400,"yearly"))/R202),-((SUMIFS(SF_Output!$T$1:$T$400,SF_Output!$AC$1:$AC$400,_xlfn.TEXTJOIN(",",TRUE,$B202:$E202),SF_Output!$Q$1:$Q$400,"yearly")/R202))))</f>
        <v/>
      </c>
      <c r="T202" s="6" t="str">
        <f t="shared" si="37"/>
        <v/>
      </c>
      <c r="V202" s="6" t="str" cm="1">
        <f t="array" ref="V202">_xlfn.IFS(B202="","",AND(B202&lt;&gt;"",H202=SF_Output!$Y$2,SUMIFS(SF_Output!$T$1:$T$400,SF_Output!$AC$1:$AC$400,_xlfn.TEXTJOIN(",",TRUE,B202:E202),SF_Output!$Q$1:$Q$400,"monthly")=0),(SUMIFS(SF_Output!$F$1:$F$400,SF_Output!$AC$1:$AC$400,_xlfn.TEXTJOIN(",",TRUE,B202:E202),SF_Output!$Q$1:$Q$400,"monthly")+SUMIFS(SF_Output!$G$1:$G$400,SF_Output!$AC$1:$AC$400,_xlfn.TEXTJOIN(",",TRUE,B202:E202),SF_Output!$Q$1:$Q$400,"monthly"))*H202,AND(B202&lt;&gt;"",H202=SF_Output!$Y$2,SUMIFS(SF_Output!$T$1:$T$400,SF_Output!$AC$1:$AC$400,_xlfn.TEXTJOIN(",",TRUE,B202:E202),SF_Output!$Q$1:$Q$400,"monthly")&lt;&gt;0),SUMIFS(SF_Output!$S$1:$S$400,SF_Output!$AC$1:$AC$400,_xlfn.TEXTJOIN(",",TRUE,B202:E202),SF_Output!$Q$1:$Q$400,"monthly"),AND(B202&lt;&gt;"",H202&lt;&gt;SF_Output!$Y$2),SUMIFS(SF_Output!$S$1:$S$400,SF_Output!$AC$1:$AC$400,_xlfn.TEXTJOIN(",",TRUE,B202:E202),SF_Output!$Q$1:$Q$400,"monthly"))</f>
        <v/>
      </c>
      <c r="W202" s="112" t="str" cm="1">
        <f t="array" ref="W202">_xlfn.IFS(OR(B202=0,B202="",V202=0),"",AF202&lt;&gt;"exclusion",MAX($W$9,$W$7,(-(SUMIFS(SF_Output!$T$1:$T$400,SF_Output!$AC$1:$AC$400,_xlfn.TEXTJOIN(",",TRUE,$B202:$E202),SF_Output!$Q$1:$Q$400,"monthly"))/V202)),AF202="exclusion",-(SUMIFS(SF_Output!$T$1:$T$400,SF_Output!$AC$1:$AC$400,_xlfn.TEXTJOIN(",",TRUE,$B202:$E202),SF_Output!$Q$1:$Q$400,"monthly"))/V202)</f>
        <v/>
      </c>
      <c r="X202" s="6" t="str" cm="1">
        <f t="array" ref="X202">IFERROR(_xlfn.IFS(V202=0,0,V202="","",W202=0,V202,OR(V202&lt;&gt;0,V202&lt;&gt;""),H202*I202),V202*(1-W202))</f>
        <v/>
      </c>
      <c r="Z202" s="6" t="str">
        <f>IFERROR(IF(B202="","",SUMIFS(Billing_Fallout!H:H,Billing_Fallout!N:N,B202)),0)</f>
        <v/>
      </c>
      <c r="AA202" s="6" t="str">
        <f t="shared" si="38"/>
        <v/>
      </c>
      <c r="AB202" s="6" t="str">
        <f>IFERROR(IF(B202="","",SUMIFS(Billing_Fallout!J:J,Billing_Fallout!N:N,B202)),0)</f>
        <v/>
      </c>
      <c r="AD202" s="6" t="str">
        <f t="shared" si="39"/>
        <v/>
      </c>
      <c r="AF202" t="str">
        <f>IFERROR(INDEX(H_Tables!$B$1:$B$1500,MATCH(INDEX(SF_Output!$J$1:$J$400,MATCH(B202,SF_Output!$M$1:$M$400,0)),H_Tables!$A$1:$A$1500,0)),"")</f>
        <v/>
      </c>
      <c r="AI202" s="119" t="str">
        <f t="shared" si="40"/>
        <v/>
      </c>
      <c r="AJ202" s="121">
        <f>IFERROR(INDEX(SF_Output!AD:AD,MATCH(_xlfn.TEXTJOIN(",",TRUE,B202:E202),SF_Output!AC1:AC400,0)),0.05)</f>
        <v>241</v>
      </c>
      <c r="AK202" t="str">
        <f>IF(SUMIFS(SF_Output!$F$1:$F$400,SF_Output!$AC$1:$AC$400,_xlfn.TEXTJOIN(",",TRUE,B202:E202))+SUMIFS(SF_Output!$G$1:$G$400,SF_Output!$AC$1:$AC$400,_xlfn.TEXTJOIN(",",TRUE,B202:E202))=0,"","PAP")</f>
        <v/>
      </c>
      <c r="AQ202" s="35"/>
      <c r="AR202" s="35" t="str" cm="1">
        <f t="array" ref="AR202">IFERROR(_xlfn.IFS(AND(E202*1=1,F202="Included"),"Change to Included",AND(E202*1=0,F202="Optional"),"Change to Optional",OR(B202="",F202="replaced"),""),"")</f>
        <v/>
      </c>
      <c r="AS202" s="35" t="str">
        <f t="shared" si="41"/>
        <v/>
      </c>
      <c r="AT202" s="35" t="str">
        <f t="shared" si="42"/>
        <v/>
      </c>
      <c r="AU202" s="35" t="str">
        <f t="shared" si="43"/>
        <v/>
      </c>
      <c r="AV202" s="35" t="str">
        <f t="shared" si="44"/>
        <v/>
      </c>
      <c r="AW202" s="35" t="str">
        <f t="shared" si="45"/>
        <v/>
      </c>
      <c r="AX202" s="35" t="str">
        <f t="shared" si="46"/>
        <v/>
      </c>
      <c r="AY202" s="35" t="str">
        <f t="shared" si="47"/>
        <v/>
      </c>
      <c r="AZ202" s="35" t="str">
        <f t="shared" si="48"/>
        <v/>
      </c>
      <c r="BA202" s="35" t="str">
        <f t="shared" si="49"/>
        <v/>
      </c>
      <c r="BB202" s="35" t="str">
        <f t="shared" si="50"/>
        <v/>
      </c>
      <c r="BC202" s="35"/>
      <c r="BE202" s="35" t="e">
        <f>INDEX(SF_Output!$AA$2:$AA$400,MATCH($B202,SF_Output!$M$2:$M$400,0))</f>
        <v>#N/A</v>
      </c>
      <c r="BF202" s="35" t="e">
        <f>INDEX(SF_Output!$AB$2:$AB$400,MATCH($B202,SF_Output!$M$2:$M$400,0))</f>
        <v>#N/A</v>
      </c>
    </row>
    <row r="203" spans="6:58" x14ac:dyDescent="0.25">
      <c r="F203" s="116" t="str">
        <f t="shared" si="34"/>
        <v/>
      </c>
      <c r="G203" t="str">
        <f>IF(B203="","",INDEX(SF_Output!$K$1:$K$400,MATCH(B203,SF_Output!$M$1:$M$400,0)))</f>
        <v/>
      </c>
      <c r="H203" t="str" cm="1">
        <f t="array" ref="H203">_xlfn.IFS(B203="","",(SUMIFS(SF_Output!$F$1:$F$400,SF_Output!$AC$1:$AC$400,_xlfn.TEXTJOIN(",",TRUE,B203:E203))+SUMIFS(SF_Output!$G$1:$G$400,SF_Output!$AC$1:$AC$400,_xlfn.TEXTJOIN(",",TRUE,B203:E203)))&lt;&gt;0,SF_Output!$Y$2,INDEX(SF_Output!$F$1:$F$400,MATCH(_xlfn.TEXTJOIN(",",TRUE,B203:E203),SF_Output!$AC$1:$AC$400,0))=0,INDEX(SF_Output!$R$1:$R$400,MATCH(_xlfn.TEXTJOIN(",",TRUE,B203:E203),SF_Output!$AC$1:$AC$400,0)))</f>
        <v/>
      </c>
      <c r="I203" s="125" t="str">
        <f>IFERROR(IF(AND(H203&gt;1,H203&lt;&gt;""),ROUND(SUMIFS(SF_Output!$S$1:$S$400,SF_Output!$AC$1:$AC$400,_xlfn.TEXTJOIN(",",TRUE,B203:E203),SF_Output!$Q$1:$Q$400,"monthly")*(1-W203)/H203,4),""),"")</f>
        <v/>
      </c>
      <c r="J203" s="6" t="str">
        <f>IF(B203="","",SUMIFS(SF_Output!$S$1:$S$400,SF_Output!$AC$1:$AC$400,_xlfn.TEXTJOIN(",",TRUE,B203:E203),SF_Output!$Q$1:$Q$400,"One Time",SF_Output!$L$1:$L$400,"license fee")+SUMIFS(SF_Output!$S$1:$S$400,SF_Output!$AC$1:$AC$400,_xlfn.TEXTJOIN(",",TRUE,B203:E203),SF_Output!$Q$1:$Q$400,"One Time",SF_Output!$L$1:$L$400,"software license")+SUMIFS(SF_Output!$S$1:$S$400,SF_Output!$AC$1:$AC$400,_xlfn.TEXTJOIN(",",TRUE,B203:E203),SF_Output!$Q$1:$Q$400,"One Time",SF_Output!$L$1:$L$400,"hardware"))</f>
        <v/>
      </c>
      <c r="K203" s="112" t="str">
        <f>IF(OR(B203=0,B203="",G203="hardware",J203=0),"",IF(AF203&lt;&gt;"exclusion",MAX(K$9,-((SUMIFS(SF_Output!$T$1:$T$400,SF_Output!$AC$1:$AC$400,_xlfn.TEXTJOIN(",",TRUE,$B203:$E203),SF_Output!$Q$1:$Q$400,"One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license"))/J203)))</f>
        <v/>
      </c>
      <c r="L203" s="6" t="str">
        <f t="shared" si="35"/>
        <v/>
      </c>
      <c r="N203" s="6" t="str">
        <f>IF(B203="","",SUMIFS(SF_Output!$S$1:$S$400,SF_Output!$AC$1:$AC$400,_xlfn.TEXTJOIN(",",TRUE,B203:E203),SF_Output!$Q$1:$Q$400,"One Time",SF_Output!$L$1:$L$400,"professional service"))</f>
        <v/>
      </c>
      <c r="O203" s="112" t="str">
        <f>IF(OR(B203=0,B203="",N203=0),"",IF(AF203&lt;&gt;"exclusion",MAX(O$9,-(SUMIFS(SF_Output!$T$1:$T$400,SF_Output!$AC$1:$AC$400,_xlfn.TEXTJOIN(",",TRUE,$B203:$E203),SF_Output!$Q$1:$Q$400,"One Time",SF_Output!$L$1:$L$400,"professional service"))/N203),-((SUMIFS(SF_Output!$T$1:$T$400,SF_Output!$AC$1:$AC$400,_xlfn.TEXTJOIN(",",TRUE,$B203:$E203),SF_Output!$Q$1:$Q$400,"One Time",SF_Output!$L$1:$L$400,"professional service")/N203))))</f>
        <v/>
      </c>
      <c r="P203" s="6" t="str">
        <f t="shared" si="36"/>
        <v/>
      </c>
      <c r="R203" s="6" t="str">
        <f>IF(B203="","",SUMIFS(SF_Output!$S$1:$S$400,SF_Output!$AC$1:$AC$400,_xlfn.TEXTJOIN(",",TRUE,B203:E203),SF_Output!$Q$1:$Q$400,"yearly")+SUMIFS(SF_Output!$S$1:$S$400,SF_Output!$AC$1:$AC$400,_xlfn.TEXTJOIN(",",TRUE,B203:E203),SF_Output!$Q$1:$Q$400,"quarterly")*4)</f>
        <v/>
      </c>
      <c r="S203" s="112" t="str">
        <f>IF(OR(B203=0,B203="",G203="hardware",R203=0),"",IF(AF203&lt;&gt;"exclusion",MAX(S$9,-(SUMIFS(SF_Output!$T$1:$T$400,SF_Output!$AC$1:$AC$400,_xlfn.TEXTJOIN(",",TRUE,$B203:$E203),SF_Output!$Q$1:$Q$400,"yearly"))/R203),-((SUMIFS(SF_Output!$T$1:$T$400,SF_Output!$AC$1:$AC$400,_xlfn.TEXTJOIN(",",TRUE,$B203:$E203),SF_Output!$Q$1:$Q$400,"yearly")/R203))))</f>
        <v/>
      </c>
      <c r="T203" s="6" t="str">
        <f t="shared" si="37"/>
        <v/>
      </c>
      <c r="V203" s="6" t="str" cm="1">
        <f t="array" ref="V203">_xlfn.IFS(B203="","",AND(B203&lt;&gt;"",H203=SF_Output!$Y$2,SUMIFS(SF_Output!$T$1:$T$400,SF_Output!$AC$1:$AC$400,_xlfn.TEXTJOIN(",",TRUE,B203:E203),SF_Output!$Q$1:$Q$400,"monthly")=0),(SUMIFS(SF_Output!$F$1:$F$400,SF_Output!$AC$1:$AC$400,_xlfn.TEXTJOIN(",",TRUE,B203:E203),SF_Output!$Q$1:$Q$400,"monthly")+SUMIFS(SF_Output!$G$1:$G$400,SF_Output!$AC$1:$AC$400,_xlfn.TEXTJOIN(",",TRUE,B203:E203),SF_Output!$Q$1:$Q$400,"monthly"))*H203,AND(B203&lt;&gt;"",H203=SF_Output!$Y$2,SUMIFS(SF_Output!$T$1:$T$400,SF_Output!$AC$1:$AC$400,_xlfn.TEXTJOIN(",",TRUE,B203:E203),SF_Output!$Q$1:$Q$400,"monthly")&lt;&gt;0),SUMIFS(SF_Output!$S$1:$S$400,SF_Output!$AC$1:$AC$400,_xlfn.TEXTJOIN(",",TRUE,B203:E203),SF_Output!$Q$1:$Q$400,"monthly"),AND(B203&lt;&gt;"",H203&lt;&gt;SF_Output!$Y$2),SUMIFS(SF_Output!$S$1:$S$400,SF_Output!$AC$1:$AC$400,_xlfn.TEXTJOIN(",",TRUE,B203:E203),SF_Output!$Q$1:$Q$400,"monthly"))</f>
        <v/>
      </c>
      <c r="W203" s="112" t="str" cm="1">
        <f t="array" ref="W203">_xlfn.IFS(OR(B203=0,B203="",V203=0),"",AF203&lt;&gt;"exclusion",MAX($W$9,$W$7,(-(SUMIFS(SF_Output!$T$1:$T$400,SF_Output!$AC$1:$AC$400,_xlfn.TEXTJOIN(",",TRUE,$B203:$E203),SF_Output!$Q$1:$Q$400,"monthly"))/V203)),AF203="exclusion",-(SUMIFS(SF_Output!$T$1:$T$400,SF_Output!$AC$1:$AC$400,_xlfn.TEXTJOIN(",",TRUE,$B203:$E203),SF_Output!$Q$1:$Q$400,"monthly"))/V203)</f>
        <v/>
      </c>
      <c r="X203" s="6" t="str" cm="1">
        <f t="array" ref="X203">IFERROR(_xlfn.IFS(V203=0,0,V203="","",W203=0,V203,OR(V203&lt;&gt;0,V203&lt;&gt;""),H203*I203),V203*(1-W203))</f>
        <v/>
      </c>
      <c r="Z203" s="6" t="str">
        <f>IFERROR(IF(B203="","",SUMIFS(Billing_Fallout!H:H,Billing_Fallout!N:N,B203)),0)</f>
        <v/>
      </c>
      <c r="AA203" s="6" t="str">
        <f t="shared" si="38"/>
        <v/>
      </c>
      <c r="AB203" s="6" t="str">
        <f>IFERROR(IF(B203="","",SUMIFS(Billing_Fallout!J:J,Billing_Fallout!N:N,B203)),0)</f>
        <v/>
      </c>
      <c r="AD203" s="6" t="str">
        <f t="shared" si="39"/>
        <v/>
      </c>
      <c r="AF203" t="str">
        <f>IFERROR(INDEX(H_Tables!$B$1:$B$1500,MATCH(INDEX(SF_Output!$J$1:$J$400,MATCH(B203,SF_Output!$M$1:$M$400,0)),H_Tables!$A$1:$A$1500,0)),"")</f>
        <v/>
      </c>
      <c r="AI203" s="119" t="str">
        <f t="shared" si="40"/>
        <v/>
      </c>
      <c r="AJ203" s="121">
        <f>IFERROR(INDEX(SF_Output!AD:AD,MATCH(_xlfn.TEXTJOIN(",",TRUE,B203:E203),SF_Output!AC1:AC400,0)),0.05)</f>
        <v>241</v>
      </c>
      <c r="AK203" t="str">
        <f>IF(SUMIFS(SF_Output!$F$1:$F$400,SF_Output!$AC$1:$AC$400,_xlfn.TEXTJOIN(",",TRUE,B203:E203))+SUMIFS(SF_Output!$G$1:$G$400,SF_Output!$AC$1:$AC$400,_xlfn.TEXTJOIN(",",TRUE,B203:E203))=0,"","PAP")</f>
        <v/>
      </c>
      <c r="AQ203" s="35"/>
      <c r="AR203" s="35" t="str" cm="1">
        <f t="array" ref="AR203">IFERROR(_xlfn.IFS(AND(E203*1=1,F203="Included"),"Change to Included",AND(E203*1=0,F203="Optional"),"Change to Optional",OR(B203="",F203="replaced"),""),"")</f>
        <v/>
      </c>
      <c r="AS203" s="35" t="str">
        <f t="shared" si="41"/>
        <v/>
      </c>
      <c r="AT203" s="35" t="str">
        <f t="shared" si="42"/>
        <v/>
      </c>
      <c r="AU203" s="35" t="str">
        <f t="shared" si="43"/>
        <v/>
      </c>
      <c r="AV203" s="35" t="str">
        <f t="shared" si="44"/>
        <v/>
      </c>
      <c r="AW203" s="35" t="str">
        <f t="shared" si="45"/>
        <v/>
      </c>
      <c r="AX203" s="35" t="str">
        <f t="shared" si="46"/>
        <v/>
      </c>
      <c r="AY203" s="35" t="str">
        <f t="shared" si="47"/>
        <v/>
      </c>
      <c r="AZ203" s="35" t="str">
        <f t="shared" si="48"/>
        <v/>
      </c>
      <c r="BA203" s="35" t="str">
        <f t="shared" si="49"/>
        <v/>
      </c>
      <c r="BB203" s="35" t="str">
        <f t="shared" si="50"/>
        <v/>
      </c>
      <c r="BC203" s="35"/>
      <c r="BE203" s="35" t="e">
        <f>INDEX(SF_Output!$AA$2:$AA$400,MATCH($B203,SF_Output!$M$2:$M$400,0))</f>
        <v>#N/A</v>
      </c>
      <c r="BF203" s="35" t="e">
        <f>INDEX(SF_Output!$AB$2:$AB$400,MATCH($B203,SF_Output!$M$2:$M$400,0))</f>
        <v>#N/A</v>
      </c>
    </row>
    <row r="204" spans="6:58" x14ac:dyDescent="0.25">
      <c r="F204" s="116" t="str">
        <f t="shared" si="34"/>
        <v/>
      </c>
      <c r="G204" t="str">
        <f>IF(B204="","",INDEX(SF_Output!$K$1:$K$400,MATCH(B204,SF_Output!$M$1:$M$400,0)))</f>
        <v/>
      </c>
      <c r="H204" t="str" cm="1">
        <f t="array" ref="H204">_xlfn.IFS(B204="","",(SUMIFS(SF_Output!$F$1:$F$400,SF_Output!$AC$1:$AC$400,_xlfn.TEXTJOIN(",",TRUE,B204:E204))+SUMIFS(SF_Output!$G$1:$G$400,SF_Output!$AC$1:$AC$400,_xlfn.TEXTJOIN(",",TRUE,B204:E204)))&lt;&gt;0,SF_Output!$Y$2,INDEX(SF_Output!$F$1:$F$400,MATCH(_xlfn.TEXTJOIN(",",TRUE,B204:E204),SF_Output!$AC$1:$AC$400,0))=0,INDEX(SF_Output!$R$1:$R$400,MATCH(_xlfn.TEXTJOIN(",",TRUE,B204:E204),SF_Output!$AC$1:$AC$400,0)))</f>
        <v/>
      </c>
      <c r="I204" s="125" t="str">
        <f>IFERROR(IF(AND(H204&gt;1,H204&lt;&gt;""),ROUND(SUMIFS(SF_Output!$S$1:$S$400,SF_Output!$AC$1:$AC$400,_xlfn.TEXTJOIN(",",TRUE,B204:E204),SF_Output!$Q$1:$Q$400,"monthly")*(1-W204)/H204,4),""),"")</f>
        <v/>
      </c>
      <c r="J204" s="6" t="str">
        <f>IF(B204="","",SUMIFS(SF_Output!$S$1:$S$400,SF_Output!$AC$1:$AC$400,_xlfn.TEXTJOIN(",",TRUE,B204:E204),SF_Output!$Q$1:$Q$400,"One Time",SF_Output!$L$1:$L$400,"license fee")+SUMIFS(SF_Output!$S$1:$S$400,SF_Output!$AC$1:$AC$400,_xlfn.TEXTJOIN(",",TRUE,B204:E204),SF_Output!$Q$1:$Q$400,"One Time",SF_Output!$L$1:$L$400,"software license")+SUMIFS(SF_Output!$S$1:$S$400,SF_Output!$AC$1:$AC$400,_xlfn.TEXTJOIN(",",TRUE,B204:E204),SF_Output!$Q$1:$Q$400,"One Time",SF_Output!$L$1:$L$400,"hardware"))</f>
        <v/>
      </c>
      <c r="K204" s="112" t="str">
        <f>IF(OR(B204=0,B204="",G204="hardware",J204=0),"",IF(AF204&lt;&gt;"exclusion",MAX(K$9,-((SUMIFS(SF_Output!$T$1:$T$400,SF_Output!$AC$1:$AC$400,_xlfn.TEXTJOIN(",",TRUE,$B204:$E204),SF_Output!$Q$1:$Q$400,"One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license"))/J204)))</f>
        <v/>
      </c>
      <c r="L204" s="6" t="str">
        <f t="shared" si="35"/>
        <v/>
      </c>
      <c r="N204" s="6" t="str">
        <f>IF(B204="","",SUMIFS(SF_Output!$S$1:$S$400,SF_Output!$AC$1:$AC$400,_xlfn.TEXTJOIN(",",TRUE,B204:E204),SF_Output!$Q$1:$Q$400,"One Time",SF_Output!$L$1:$L$400,"professional service"))</f>
        <v/>
      </c>
      <c r="O204" s="112" t="str">
        <f>IF(OR(B204=0,B204="",N204=0),"",IF(AF204&lt;&gt;"exclusion",MAX(O$9,-(SUMIFS(SF_Output!$T$1:$T$400,SF_Output!$AC$1:$AC$400,_xlfn.TEXTJOIN(",",TRUE,$B204:$E204),SF_Output!$Q$1:$Q$400,"One Time",SF_Output!$L$1:$L$400,"professional service"))/N204),-((SUMIFS(SF_Output!$T$1:$T$400,SF_Output!$AC$1:$AC$400,_xlfn.TEXTJOIN(",",TRUE,$B204:$E204),SF_Output!$Q$1:$Q$400,"One Time",SF_Output!$L$1:$L$400,"professional service")/N204))))</f>
        <v/>
      </c>
      <c r="P204" s="6" t="str">
        <f t="shared" si="36"/>
        <v/>
      </c>
      <c r="R204" s="6" t="str">
        <f>IF(B204="","",SUMIFS(SF_Output!$S$1:$S$400,SF_Output!$AC$1:$AC$400,_xlfn.TEXTJOIN(",",TRUE,B204:E204),SF_Output!$Q$1:$Q$400,"yearly")+SUMIFS(SF_Output!$S$1:$S$400,SF_Output!$AC$1:$AC$400,_xlfn.TEXTJOIN(",",TRUE,B204:E204),SF_Output!$Q$1:$Q$400,"quarterly")*4)</f>
        <v/>
      </c>
      <c r="S204" s="112" t="str">
        <f>IF(OR(B204=0,B204="",G204="hardware",R204=0),"",IF(AF204&lt;&gt;"exclusion",MAX(S$9,-(SUMIFS(SF_Output!$T$1:$T$400,SF_Output!$AC$1:$AC$400,_xlfn.TEXTJOIN(",",TRUE,$B204:$E204),SF_Output!$Q$1:$Q$400,"yearly"))/R204),-((SUMIFS(SF_Output!$T$1:$T$400,SF_Output!$AC$1:$AC$400,_xlfn.TEXTJOIN(",",TRUE,$B204:$E204),SF_Output!$Q$1:$Q$400,"yearly")/R204))))</f>
        <v/>
      </c>
      <c r="T204" s="6" t="str">
        <f t="shared" si="37"/>
        <v/>
      </c>
      <c r="V204" s="6" t="str" cm="1">
        <f t="array" ref="V204">_xlfn.IFS(B204="","",AND(B204&lt;&gt;"",H204=SF_Output!$Y$2,SUMIFS(SF_Output!$T$1:$T$400,SF_Output!$AC$1:$AC$400,_xlfn.TEXTJOIN(",",TRUE,B204:E204),SF_Output!$Q$1:$Q$400,"monthly")=0),(SUMIFS(SF_Output!$F$1:$F$400,SF_Output!$AC$1:$AC$400,_xlfn.TEXTJOIN(",",TRUE,B204:E204),SF_Output!$Q$1:$Q$400,"monthly")+SUMIFS(SF_Output!$G$1:$G$400,SF_Output!$AC$1:$AC$400,_xlfn.TEXTJOIN(",",TRUE,B204:E204),SF_Output!$Q$1:$Q$400,"monthly"))*H204,AND(B204&lt;&gt;"",H204=SF_Output!$Y$2,SUMIFS(SF_Output!$T$1:$T$400,SF_Output!$AC$1:$AC$400,_xlfn.TEXTJOIN(",",TRUE,B204:E204),SF_Output!$Q$1:$Q$400,"monthly")&lt;&gt;0),SUMIFS(SF_Output!$S$1:$S$400,SF_Output!$AC$1:$AC$400,_xlfn.TEXTJOIN(",",TRUE,B204:E204),SF_Output!$Q$1:$Q$400,"monthly"),AND(B204&lt;&gt;"",H204&lt;&gt;SF_Output!$Y$2),SUMIFS(SF_Output!$S$1:$S$400,SF_Output!$AC$1:$AC$400,_xlfn.TEXTJOIN(",",TRUE,B204:E204),SF_Output!$Q$1:$Q$400,"monthly"))</f>
        <v/>
      </c>
      <c r="W204" s="112" t="str" cm="1">
        <f t="array" ref="W204">_xlfn.IFS(OR(B204=0,B204="",V204=0),"",AF204&lt;&gt;"exclusion",MAX($W$9,$W$7,(-(SUMIFS(SF_Output!$T$1:$T$400,SF_Output!$AC$1:$AC$400,_xlfn.TEXTJOIN(",",TRUE,$B204:$E204),SF_Output!$Q$1:$Q$400,"monthly"))/V204)),AF204="exclusion",-(SUMIFS(SF_Output!$T$1:$T$400,SF_Output!$AC$1:$AC$400,_xlfn.TEXTJOIN(",",TRUE,$B204:$E204),SF_Output!$Q$1:$Q$400,"monthly"))/V204)</f>
        <v/>
      </c>
      <c r="X204" s="6" t="str" cm="1">
        <f t="array" ref="X204">IFERROR(_xlfn.IFS(V204=0,0,V204="","",W204=0,V204,OR(V204&lt;&gt;0,V204&lt;&gt;""),H204*I204),V204*(1-W204))</f>
        <v/>
      </c>
      <c r="Z204" s="6" t="str">
        <f>IFERROR(IF(B204="","",SUMIFS(Billing_Fallout!H:H,Billing_Fallout!N:N,B204)),0)</f>
        <v/>
      </c>
      <c r="AA204" s="6" t="str">
        <f t="shared" si="38"/>
        <v/>
      </c>
      <c r="AB204" s="6" t="str">
        <f>IFERROR(IF(B204="","",SUMIFS(Billing_Fallout!J:J,Billing_Fallout!N:N,B204)),0)</f>
        <v/>
      </c>
      <c r="AD204" s="6" t="str">
        <f t="shared" si="39"/>
        <v/>
      </c>
      <c r="AF204" t="str">
        <f>IFERROR(INDEX(H_Tables!$B$1:$B$1500,MATCH(INDEX(SF_Output!$J$1:$J$400,MATCH(B204,SF_Output!$M$1:$M$400,0)),H_Tables!$A$1:$A$1500,0)),"")</f>
        <v/>
      </c>
      <c r="AI204" s="119" t="str">
        <f t="shared" si="40"/>
        <v/>
      </c>
      <c r="AJ204" s="121">
        <f>IFERROR(INDEX(SF_Output!AD:AD,MATCH(_xlfn.TEXTJOIN(",",TRUE,B204:E204),SF_Output!AC1:AC400,0)),0.05)</f>
        <v>241</v>
      </c>
      <c r="AK204" t="str">
        <f>IF(SUMIFS(SF_Output!$F$1:$F$400,SF_Output!$AC$1:$AC$400,_xlfn.TEXTJOIN(",",TRUE,B204:E204))+SUMIFS(SF_Output!$G$1:$G$400,SF_Output!$AC$1:$AC$400,_xlfn.TEXTJOIN(",",TRUE,B204:E204))=0,"","PAP")</f>
        <v/>
      </c>
      <c r="AQ204" s="35"/>
      <c r="AR204" s="35" t="str" cm="1">
        <f t="array" ref="AR204">IFERROR(_xlfn.IFS(AND(E204*1=1,F204="Included"),"Change to Included",AND(E204*1=0,F204="Optional"),"Change to Optional",OR(B204="",F204="replaced"),""),"")</f>
        <v/>
      </c>
      <c r="AS204" s="35" t="str">
        <f t="shared" si="41"/>
        <v/>
      </c>
      <c r="AT204" s="35" t="str">
        <f t="shared" si="42"/>
        <v/>
      </c>
      <c r="AU204" s="35" t="str">
        <f t="shared" si="43"/>
        <v/>
      </c>
      <c r="AV204" s="35" t="str">
        <f t="shared" si="44"/>
        <v/>
      </c>
      <c r="AW204" s="35" t="str">
        <f t="shared" si="45"/>
        <v/>
      </c>
      <c r="AX204" s="35" t="str">
        <f t="shared" si="46"/>
        <v/>
      </c>
      <c r="AY204" s="35" t="str">
        <f t="shared" si="47"/>
        <v/>
      </c>
      <c r="AZ204" s="35" t="str">
        <f t="shared" si="48"/>
        <v/>
      </c>
      <c r="BA204" s="35" t="str">
        <f t="shared" si="49"/>
        <v/>
      </c>
      <c r="BB204" s="35" t="str">
        <f t="shared" si="50"/>
        <v/>
      </c>
      <c r="BC204" s="35"/>
      <c r="BE204" s="35" t="e">
        <f>INDEX(SF_Output!$AA$2:$AA$400,MATCH($B204,SF_Output!$M$2:$M$400,0))</f>
        <v>#N/A</v>
      </c>
      <c r="BF204" s="35" t="e">
        <f>INDEX(SF_Output!$AB$2:$AB$400,MATCH($B204,SF_Output!$M$2:$M$400,0))</f>
        <v>#N/A</v>
      </c>
    </row>
    <row r="205" spans="6:58" x14ac:dyDescent="0.25">
      <c r="F205" s="116" t="str">
        <f t="shared" si="34"/>
        <v/>
      </c>
      <c r="G205" t="str">
        <f>IF(B205="","",INDEX(SF_Output!$K$1:$K$400,MATCH(B205,SF_Output!$M$1:$M$400,0)))</f>
        <v/>
      </c>
      <c r="H205" t="str" cm="1">
        <f t="array" ref="H205">_xlfn.IFS(B205="","",(SUMIFS(SF_Output!$F$1:$F$400,SF_Output!$AC$1:$AC$400,_xlfn.TEXTJOIN(",",TRUE,B205:E205))+SUMIFS(SF_Output!$G$1:$G$400,SF_Output!$AC$1:$AC$400,_xlfn.TEXTJOIN(",",TRUE,B205:E205)))&lt;&gt;0,SF_Output!$Y$2,INDEX(SF_Output!$F$1:$F$400,MATCH(_xlfn.TEXTJOIN(",",TRUE,B205:E205),SF_Output!$AC$1:$AC$400,0))=0,INDEX(SF_Output!$R$1:$R$400,MATCH(_xlfn.TEXTJOIN(",",TRUE,B205:E205),SF_Output!$AC$1:$AC$400,0)))</f>
        <v/>
      </c>
      <c r="I205" s="125" t="str">
        <f>IFERROR(IF(AND(H205&gt;1,H205&lt;&gt;""),ROUND(SUMIFS(SF_Output!$S$1:$S$400,SF_Output!$AC$1:$AC$400,_xlfn.TEXTJOIN(",",TRUE,B205:E205),SF_Output!$Q$1:$Q$400,"monthly")*(1-W205)/H205,4),""),"")</f>
        <v/>
      </c>
      <c r="J205" s="6" t="str">
        <f>IF(B205="","",SUMIFS(SF_Output!$S$1:$S$400,SF_Output!$AC$1:$AC$400,_xlfn.TEXTJOIN(",",TRUE,B205:E205),SF_Output!$Q$1:$Q$400,"One Time",SF_Output!$L$1:$L$400,"license fee")+SUMIFS(SF_Output!$S$1:$S$400,SF_Output!$AC$1:$AC$400,_xlfn.TEXTJOIN(",",TRUE,B205:E205),SF_Output!$Q$1:$Q$400,"One Time",SF_Output!$L$1:$L$400,"software license")+SUMIFS(SF_Output!$S$1:$S$400,SF_Output!$AC$1:$AC$400,_xlfn.TEXTJOIN(",",TRUE,B205:E205),SF_Output!$Q$1:$Q$400,"One Time",SF_Output!$L$1:$L$400,"hardware"))</f>
        <v/>
      </c>
      <c r="K205" s="112" t="str">
        <f>IF(OR(B205=0,B205="",G205="hardware",J205=0),"",IF(AF205&lt;&gt;"exclusion",MAX(K$9,-((SUMIFS(SF_Output!$T$1:$T$400,SF_Output!$AC$1:$AC$400,_xlfn.TEXTJOIN(",",TRUE,$B205:$E205),SF_Output!$Q$1:$Q$400,"One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license"))/J205)))</f>
        <v/>
      </c>
      <c r="L205" s="6" t="str">
        <f t="shared" si="35"/>
        <v/>
      </c>
      <c r="N205" s="6" t="str">
        <f>IF(B205="","",SUMIFS(SF_Output!$S$1:$S$400,SF_Output!$AC$1:$AC$400,_xlfn.TEXTJOIN(",",TRUE,B205:E205),SF_Output!$Q$1:$Q$400,"One Time",SF_Output!$L$1:$L$400,"professional service"))</f>
        <v/>
      </c>
      <c r="O205" s="112" t="str">
        <f>IF(OR(B205=0,B205="",N205=0),"",IF(AF205&lt;&gt;"exclusion",MAX(O$9,-(SUMIFS(SF_Output!$T$1:$T$400,SF_Output!$AC$1:$AC$400,_xlfn.TEXTJOIN(",",TRUE,$B205:$E205),SF_Output!$Q$1:$Q$400,"One Time",SF_Output!$L$1:$L$400,"professional service"))/N205),-((SUMIFS(SF_Output!$T$1:$T$400,SF_Output!$AC$1:$AC$400,_xlfn.TEXTJOIN(",",TRUE,$B205:$E205),SF_Output!$Q$1:$Q$400,"One Time",SF_Output!$L$1:$L$400,"professional service")/N205))))</f>
        <v/>
      </c>
      <c r="P205" s="6" t="str">
        <f t="shared" si="36"/>
        <v/>
      </c>
      <c r="R205" s="6" t="str">
        <f>IF(B205="","",SUMIFS(SF_Output!$S$1:$S$400,SF_Output!$AC$1:$AC$400,_xlfn.TEXTJOIN(",",TRUE,B205:E205),SF_Output!$Q$1:$Q$400,"yearly")+SUMIFS(SF_Output!$S$1:$S$400,SF_Output!$AC$1:$AC$400,_xlfn.TEXTJOIN(",",TRUE,B205:E205),SF_Output!$Q$1:$Q$400,"quarterly")*4)</f>
        <v/>
      </c>
      <c r="S205" s="112" t="str">
        <f>IF(OR(B205=0,B205="",G205="hardware",R205=0),"",IF(AF205&lt;&gt;"exclusion",MAX(S$9,-(SUMIFS(SF_Output!$T$1:$T$400,SF_Output!$AC$1:$AC$400,_xlfn.TEXTJOIN(",",TRUE,$B205:$E205),SF_Output!$Q$1:$Q$400,"yearly"))/R205),-((SUMIFS(SF_Output!$T$1:$T$400,SF_Output!$AC$1:$AC$400,_xlfn.TEXTJOIN(",",TRUE,$B205:$E205),SF_Output!$Q$1:$Q$400,"yearly")/R205))))</f>
        <v/>
      </c>
      <c r="T205" s="6" t="str">
        <f t="shared" si="37"/>
        <v/>
      </c>
      <c r="V205" s="6" t="str" cm="1">
        <f t="array" ref="V205">_xlfn.IFS(B205="","",AND(B205&lt;&gt;"",H205=SF_Output!$Y$2,SUMIFS(SF_Output!$T$1:$T$400,SF_Output!$AC$1:$AC$400,_xlfn.TEXTJOIN(",",TRUE,B205:E205),SF_Output!$Q$1:$Q$400,"monthly")=0),(SUMIFS(SF_Output!$F$1:$F$400,SF_Output!$AC$1:$AC$400,_xlfn.TEXTJOIN(",",TRUE,B205:E205),SF_Output!$Q$1:$Q$400,"monthly")+SUMIFS(SF_Output!$G$1:$G$400,SF_Output!$AC$1:$AC$400,_xlfn.TEXTJOIN(",",TRUE,B205:E205),SF_Output!$Q$1:$Q$400,"monthly"))*H205,AND(B205&lt;&gt;"",H205=SF_Output!$Y$2,SUMIFS(SF_Output!$T$1:$T$400,SF_Output!$AC$1:$AC$400,_xlfn.TEXTJOIN(",",TRUE,B205:E205),SF_Output!$Q$1:$Q$400,"monthly")&lt;&gt;0),SUMIFS(SF_Output!$S$1:$S$400,SF_Output!$AC$1:$AC$400,_xlfn.TEXTJOIN(",",TRUE,B205:E205),SF_Output!$Q$1:$Q$400,"monthly"),AND(B205&lt;&gt;"",H205&lt;&gt;SF_Output!$Y$2),SUMIFS(SF_Output!$S$1:$S$400,SF_Output!$AC$1:$AC$400,_xlfn.TEXTJOIN(",",TRUE,B205:E205),SF_Output!$Q$1:$Q$400,"monthly"))</f>
        <v/>
      </c>
      <c r="W205" s="112" t="str" cm="1">
        <f t="array" ref="W205">_xlfn.IFS(OR(B205=0,B205="",V205=0),"",AF205&lt;&gt;"exclusion",MAX($W$9,$W$7,(-(SUMIFS(SF_Output!$T$1:$T$400,SF_Output!$AC$1:$AC$400,_xlfn.TEXTJOIN(",",TRUE,$B205:$E205),SF_Output!$Q$1:$Q$400,"monthly"))/V205)),AF205="exclusion",-(SUMIFS(SF_Output!$T$1:$T$400,SF_Output!$AC$1:$AC$400,_xlfn.TEXTJOIN(",",TRUE,$B205:$E205),SF_Output!$Q$1:$Q$400,"monthly"))/V205)</f>
        <v/>
      </c>
      <c r="X205" s="6" t="str" cm="1">
        <f t="array" ref="X205">IFERROR(_xlfn.IFS(V205=0,0,V205="","",W205=0,V205,OR(V205&lt;&gt;0,V205&lt;&gt;""),H205*I205),V205*(1-W205))</f>
        <v/>
      </c>
      <c r="Z205" s="6" t="str">
        <f>IFERROR(IF(B205="","",SUMIFS(Billing_Fallout!H:H,Billing_Fallout!N:N,B205)),0)</f>
        <v/>
      </c>
      <c r="AA205" s="6" t="str">
        <f t="shared" si="38"/>
        <v/>
      </c>
      <c r="AB205" s="6" t="str">
        <f>IFERROR(IF(B205="","",SUMIFS(Billing_Fallout!J:J,Billing_Fallout!N:N,B205)),0)</f>
        <v/>
      </c>
      <c r="AD205" s="6" t="str">
        <f t="shared" si="39"/>
        <v/>
      </c>
      <c r="AF205" t="str">
        <f>IFERROR(INDEX(H_Tables!$B$1:$B$1500,MATCH(INDEX(SF_Output!$J$1:$J$400,MATCH(B205,SF_Output!$M$1:$M$400,0)),H_Tables!$A$1:$A$1500,0)),"")</f>
        <v/>
      </c>
      <c r="AI205" s="119" t="str">
        <f t="shared" si="40"/>
        <v/>
      </c>
      <c r="AJ205" s="121">
        <f>IFERROR(INDEX(SF_Output!AD:AD,MATCH(_xlfn.TEXTJOIN(",",TRUE,B205:E205),SF_Output!AC1:AC400,0)),0.05)</f>
        <v>241</v>
      </c>
      <c r="AK205" t="str">
        <f>IF(SUMIFS(SF_Output!$F$1:$F$400,SF_Output!$AC$1:$AC$400,_xlfn.TEXTJOIN(",",TRUE,B205:E205))+SUMIFS(SF_Output!$G$1:$G$400,SF_Output!$AC$1:$AC$400,_xlfn.TEXTJOIN(",",TRUE,B205:E205))=0,"","PAP")</f>
        <v/>
      </c>
      <c r="AQ205" s="35"/>
      <c r="AR205" s="35" t="str" cm="1">
        <f t="array" ref="AR205">IFERROR(_xlfn.IFS(AND(E205*1=1,F205="Included"),"Change to Included",AND(E205*1=0,F205="Optional"),"Change to Optional",OR(B205="",F205="replaced"),""),"")</f>
        <v/>
      </c>
      <c r="AS205" s="35" t="str">
        <f t="shared" si="41"/>
        <v/>
      </c>
      <c r="AT205" s="35" t="str">
        <f t="shared" si="42"/>
        <v/>
      </c>
      <c r="AU205" s="35" t="str">
        <f t="shared" si="43"/>
        <v/>
      </c>
      <c r="AV205" s="35" t="str">
        <f t="shared" si="44"/>
        <v/>
      </c>
      <c r="AW205" s="35" t="str">
        <f t="shared" si="45"/>
        <v/>
      </c>
      <c r="AX205" s="35" t="str">
        <f t="shared" si="46"/>
        <v/>
      </c>
      <c r="AY205" s="35" t="str">
        <f t="shared" si="47"/>
        <v/>
      </c>
      <c r="AZ205" s="35" t="str">
        <f t="shared" si="48"/>
        <v/>
      </c>
      <c r="BA205" s="35" t="str">
        <f t="shared" si="49"/>
        <v/>
      </c>
      <c r="BB205" s="35" t="str">
        <f t="shared" si="50"/>
        <v/>
      </c>
      <c r="BC205" s="35"/>
      <c r="BE205" s="35" t="e">
        <f>INDEX(SF_Output!$AA$2:$AA$400,MATCH($B205,SF_Output!$M$2:$M$400,0))</f>
        <v>#N/A</v>
      </c>
      <c r="BF205" s="35" t="e">
        <f>INDEX(SF_Output!$AB$2:$AB$400,MATCH($B205,SF_Output!$M$2:$M$400,0))</f>
        <v>#N/A</v>
      </c>
    </row>
    <row r="206" spans="6:58" x14ac:dyDescent="0.25">
      <c r="F206" s="116" t="str">
        <f t="shared" ref="F206:F250" si="51">IF(B206="","",IF(E206*1=0,"Included","Optional"))</f>
        <v/>
      </c>
      <c r="G206" t="str">
        <f>IF(B206="","",INDEX(SF_Output!$K$1:$K$400,MATCH(B206,SF_Output!$M$1:$M$400,0)))</f>
        <v/>
      </c>
      <c r="H206" t="str" cm="1">
        <f t="array" ref="H206">_xlfn.IFS(B206="","",(SUMIFS(SF_Output!$F$1:$F$400,SF_Output!$AC$1:$AC$400,_xlfn.TEXTJOIN(",",TRUE,B206:E206))+SUMIFS(SF_Output!$G$1:$G$400,SF_Output!$AC$1:$AC$400,_xlfn.TEXTJOIN(",",TRUE,B206:E206)))&lt;&gt;0,SF_Output!$Y$2,INDEX(SF_Output!$F$1:$F$400,MATCH(_xlfn.TEXTJOIN(",",TRUE,B206:E206),SF_Output!$AC$1:$AC$400,0))=0,INDEX(SF_Output!$R$1:$R$400,MATCH(_xlfn.TEXTJOIN(",",TRUE,B206:E206),SF_Output!$AC$1:$AC$400,0)))</f>
        <v/>
      </c>
      <c r="I206" s="125" t="str">
        <f>IFERROR(IF(AND(H206&gt;1,H206&lt;&gt;""),ROUND(SUMIFS(SF_Output!$S$1:$S$400,SF_Output!$AC$1:$AC$400,_xlfn.TEXTJOIN(",",TRUE,B206:E206),SF_Output!$Q$1:$Q$400,"monthly")*(1-W206)/H206,4),""),"")</f>
        <v/>
      </c>
      <c r="J206" s="6" t="str">
        <f>IF(B206="","",SUMIFS(SF_Output!$S$1:$S$400,SF_Output!$AC$1:$AC$400,_xlfn.TEXTJOIN(",",TRUE,B206:E206),SF_Output!$Q$1:$Q$400,"One Time",SF_Output!$L$1:$L$400,"license fee")+SUMIFS(SF_Output!$S$1:$S$400,SF_Output!$AC$1:$AC$400,_xlfn.TEXTJOIN(",",TRUE,B206:E206),SF_Output!$Q$1:$Q$400,"One Time",SF_Output!$L$1:$L$400,"software license")+SUMIFS(SF_Output!$S$1:$S$400,SF_Output!$AC$1:$AC$400,_xlfn.TEXTJOIN(",",TRUE,B206:E206),SF_Output!$Q$1:$Q$400,"One Time",SF_Output!$L$1:$L$400,"hardware"))</f>
        <v/>
      </c>
      <c r="K206" s="112" t="str">
        <f>IF(OR(B206=0,B206="",G206="hardware",J206=0),"",IF(AF206&lt;&gt;"exclusion",MAX(K$9,-((SUMIFS(SF_Output!$T$1:$T$400,SF_Output!$AC$1:$AC$400,_xlfn.TEXTJOIN(",",TRUE,$B206:$E206),SF_Output!$Q$1:$Q$400,"One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license"))/J206)))</f>
        <v/>
      </c>
      <c r="L206" s="6" t="str">
        <f t="shared" ref="L206:L250" si="52">IF(K206="",J206,J206*(1-K206))</f>
        <v/>
      </c>
      <c r="N206" s="6" t="str">
        <f>IF(B206="","",SUMIFS(SF_Output!$S$1:$S$400,SF_Output!$AC$1:$AC$400,_xlfn.TEXTJOIN(",",TRUE,B206:E206),SF_Output!$Q$1:$Q$400,"One Time",SF_Output!$L$1:$L$400,"professional service"))</f>
        <v/>
      </c>
      <c r="O206" s="112" t="str">
        <f>IF(OR(B206=0,B206="",N206=0),"",IF(AF206&lt;&gt;"exclusion",MAX(O$9,-(SUMIFS(SF_Output!$T$1:$T$400,SF_Output!$AC$1:$AC$400,_xlfn.TEXTJOIN(",",TRUE,$B206:$E206),SF_Output!$Q$1:$Q$400,"One Time",SF_Output!$L$1:$L$400,"professional service"))/N206),-((SUMIFS(SF_Output!$T$1:$T$400,SF_Output!$AC$1:$AC$400,_xlfn.TEXTJOIN(",",TRUE,$B206:$E206),SF_Output!$Q$1:$Q$400,"One Time",SF_Output!$L$1:$L$400,"professional service")/N206))))</f>
        <v/>
      </c>
      <c r="P206" s="6" t="str">
        <f t="shared" ref="P206:P250" si="53">IF(O206="",N206,N206*(1-O206))</f>
        <v/>
      </c>
      <c r="R206" s="6" t="str">
        <f>IF(B206="","",SUMIFS(SF_Output!$S$1:$S$400,SF_Output!$AC$1:$AC$400,_xlfn.TEXTJOIN(",",TRUE,B206:E206),SF_Output!$Q$1:$Q$400,"yearly")+SUMIFS(SF_Output!$S$1:$S$400,SF_Output!$AC$1:$AC$400,_xlfn.TEXTJOIN(",",TRUE,B206:E206),SF_Output!$Q$1:$Q$400,"quarterly")*4)</f>
        <v/>
      </c>
      <c r="S206" s="112" t="str">
        <f>IF(OR(B206=0,B206="",G206="hardware",R206=0),"",IF(AF206&lt;&gt;"exclusion",MAX(S$9,-(SUMIFS(SF_Output!$T$1:$T$400,SF_Output!$AC$1:$AC$400,_xlfn.TEXTJOIN(",",TRUE,$B206:$E206),SF_Output!$Q$1:$Q$400,"yearly"))/R206),-((SUMIFS(SF_Output!$T$1:$T$400,SF_Output!$AC$1:$AC$400,_xlfn.TEXTJOIN(",",TRUE,$B206:$E206),SF_Output!$Q$1:$Q$400,"yearly")/R206))))</f>
        <v/>
      </c>
      <c r="T206" s="6" t="str">
        <f t="shared" ref="T206:T250" si="54">IF(S206="",R206,R206*(1-S206))</f>
        <v/>
      </c>
      <c r="V206" s="6" t="str" cm="1">
        <f t="array" ref="V206">_xlfn.IFS(B206="","",AND(B206&lt;&gt;"",H206=SF_Output!$Y$2,SUMIFS(SF_Output!$T$1:$T$400,SF_Output!$AC$1:$AC$400,_xlfn.TEXTJOIN(",",TRUE,B206:E206),SF_Output!$Q$1:$Q$400,"monthly")=0),(SUMIFS(SF_Output!$F$1:$F$400,SF_Output!$AC$1:$AC$400,_xlfn.TEXTJOIN(",",TRUE,B206:E206),SF_Output!$Q$1:$Q$400,"monthly")+SUMIFS(SF_Output!$G$1:$G$400,SF_Output!$AC$1:$AC$400,_xlfn.TEXTJOIN(",",TRUE,B206:E206),SF_Output!$Q$1:$Q$400,"monthly"))*H206,AND(B206&lt;&gt;"",H206=SF_Output!$Y$2,SUMIFS(SF_Output!$T$1:$T$400,SF_Output!$AC$1:$AC$400,_xlfn.TEXTJOIN(",",TRUE,B206:E206),SF_Output!$Q$1:$Q$400,"monthly")&lt;&gt;0),SUMIFS(SF_Output!$S$1:$S$400,SF_Output!$AC$1:$AC$400,_xlfn.TEXTJOIN(",",TRUE,B206:E206),SF_Output!$Q$1:$Q$400,"monthly"),AND(B206&lt;&gt;"",H206&lt;&gt;SF_Output!$Y$2),SUMIFS(SF_Output!$S$1:$S$400,SF_Output!$AC$1:$AC$400,_xlfn.TEXTJOIN(",",TRUE,B206:E206),SF_Output!$Q$1:$Q$400,"monthly"))</f>
        <v/>
      </c>
      <c r="W206" s="112" t="str" cm="1">
        <f t="array" ref="W206">_xlfn.IFS(OR(B206=0,B206="",V206=0),"",AF206&lt;&gt;"exclusion",MAX($W$9,$W$7,(-(SUMIFS(SF_Output!$T$1:$T$400,SF_Output!$AC$1:$AC$400,_xlfn.TEXTJOIN(",",TRUE,$B206:$E206),SF_Output!$Q$1:$Q$400,"monthly"))/V206)),AF206="exclusion",-(SUMIFS(SF_Output!$T$1:$T$400,SF_Output!$AC$1:$AC$400,_xlfn.TEXTJOIN(",",TRUE,$B206:$E206),SF_Output!$Q$1:$Q$400,"monthly"))/V206)</f>
        <v/>
      </c>
      <c r="X206" s="6" t="str" cm="1">
        <f t="array" ref="X206">IFERROR(_xlfn.IFS(V206=0,0,V206="","",W206=0,V206,OR(V206&lt;&gt;0,V206&lt;&gt;""),H206*I206),V206*(1-W206))</f>
        <v/>
      </c>
      <c r="Z206" s="6" t="str">
        <f>IFERROR(IF(B206="","",SUMIFS(Billing_Fallout!H:H,Billing_Fallout!N:N,B206)),0)</f>
        <v/>
      </c>
      <c r="AA206" s="6" t="str">
        <f t="shared" ref="AA206:AA250" si="55">IF(Z206="","",AB206-Z206)</f>
        <v/>
      </c>
      <c r="AB206" s="6" t="str">
        <f>IFERROR(IF(B206="","",SUMIFS(Billing_Fallout!J:J,Billing_Fallout!N:N,B206)),0)</f>
        <v/>
      </c>
      <c r="AD206" s="6" t="str">
        <f t="shared" ref="AD206:AD250" si="56">IFERROR(X206-AB206,"")</f>
        <v/>
      </c>
      <c r="AF206" t="str">
        <f>IFERROR(INDEX(H_Tables!$B$1:$B$1500,MATCH(INDEX(SF_Output!$J$1:$J$400,MATCH(B206,SF_Output!$M$1:$M$400,0)),H_Tables!$A$1:$A$1500,0)),"")</f>
        <v/>
      </c>
      <c r="AI206" s="119" t="str">
        <f t="shared" ref="AI206:AI250" si="57">IF(B206="","",IF(F206="remove","Remove Product",IF(F206="add","Add Product",_xlfn.TEXTJOIN(", ",TRUE,AQ206,AR206,AS206,AT206,AU206,AV206,AW206,AX206,AY206,AZ206,BA206,BB206,BC206))))</f>
        <v/>
      </c>
      <c r="AJ206" s="121">
        <f>IFERROR(INDEX(SF_Output!AD:AD,MATCH(_xlfn.TEXTJOIN(",",TRUE,B206:E206),SF_Output!AC1:AC400,0)),0.05)</f>
        <v>241</v>
      </c>
      <c r="AK206" t="str">
        <f>IF(SUMIFS(SF_Output!$F$1:$F$400,SF_Output!$AC$1:$AC$400,_xlfn.TEXTJOIN(",",TRUE,B206:E206))+SUMIFS(SF_Output!$G$1:$G$400,SF_Output!$AC$1:$AC$400,_xlfn.TEXTJOIN(",",TRUE,B206:E206))=0,"","PAP")</f>
        <v/>
      </c>
      <c r="AQ206" s="35"/>
      <c r="AR206" s="35" t="str" cm="1">
        <f t="array" ref="AR206">IFERROR(_xlfn.IFS(AND(E206*1=1,F206="Included"),"Change to Included",AND(E206*1=0,F206="Optional"),"Change to Optional",OR(B206="",F206="replaced"),""),"")</f>
        <v/>
      </c>
      <c r="AS206" s="35" t="str">
        <f t="shared" ref="AS206:AS250" si="58">IF((OR(NOT(_xlfn.ISFORMULA(J206)),NOT(_xlfn.ISFORMULA(L206)))),"Check License Price Override","")</f>
        <v/>
      </c>
      <c r="AT206" s="35" t="str">
        <f t="shared" ref="AT206:AT250" si="59">IF(OR(AND(K206=$K$9,K206&lt;&gt;0),NOT(_xlfn.ISFORMULA(K206))),"License Discount "&amp;K206*100&amp;"%","")</f>
        <v/>
      </c>
      <c r="AU206" s="35" t="str">
        <f t="shared" ref="AU206:AU250" si="60">IF((OR(NOT(_xlfn.ISFORMULA(N206)),NOT(_xlfn.ISFORMULA(P206)))),"Check Install Price Override","")</f>
        <v/>
      </c>
      <c r="AV206" s="35" t="str">
        <f t="shared" ref="AV206:AV250" si="61">IF(OR(AND(O206=$O$9,O206&lt;&gt;0),NOT(_xlfn.ISFORMULA(O206))),"Install Discount "&amp;O206*100&amp;"%","")</f>
        <v/>
      </c>
      <c r="AW206" s="35" t="str">
        <f t="shared" ref="AW206:AW250" si="62">IF((OR(NOT(_xlfn.ISFORMULA(R206)),NOT(_xlfn.ISFORMULA(T206)))),"Check Maintenance Price Override","")</f>
        <v/>
      </c>
      <c r="AX206" s="35" t="str">
        <f t="shared" ref="AX206:AX250" si="63">IF(OR(AND(S206=$S$9,S206&lt;&gt;0),NOT(_xlfn.ISFORMULA(S206))),"Maintenance Discount "&amp;S206*100&amp;"%","")</f>
        <v/>
      </c>
      <c r="AY206" s="35" t="str">
        <f t="shared" ref="AY206:AY250" si="64">IF((OR(NOT(_xlfn.ISFORMULA(V206)),NOT(_xlfn.ISFORMULA(X206)))),"Check Monthly Price Override","")</f>
        <v/>
      </c>
      <c r="AZ206" s="35" t="str">
        <f t="shared" ref="AZ206:AZ250" si="65">IF(OR((AND(W206=$W$9,W206&lt;&gt;0)),(AND(W206=$W$7,W206&lt;&gt;0)),(NOT(_xlfn.ISFORMULA(W206))),AND($W$7+0.2=W206,$W$7&lt;&gt;0)),"Monthly Discount "&amp;W206*100&amp;"%","")</f>
        <v/>
      </c>
      <c r="BA206" s="35" t="str">
        <f t="shared" ref="BA206:BA250" si="66">IF(NOT(_xlfn.ISFORMULA(H206)),"Check Quantity","")</f>
        <v/>
      </c>
      <c r="BB206" s="35" t="str">
        <f t="shared" ref="BB206:BB250" si="67">IF(NOT(_xlfn.ISFORMULA(I206)),"Check Unit Price Override","")</f>
        <v/>
      </c>
      <c r="BC206" s="35"/>
      <c r="BE206" s="35" t="e">
        <f>INDEX(SF_Output!$AA$2:$AA$400,MATCH($B206,SF_Output!$M$2:$M$400,0))</f>
        <v>#N/A</v>
      </c>
      <c r="BF206" s="35" t="e">
        <f>INDEX(SF_Output!$AB$2:$AB$400,MATCH($B206,SF_Output!$M$2:$M$400,0))</f>
        <v>#N/A</v>
      </c>
    </row>
    <row r="207" spans="6:58" x14ac:dyDescent="0.25">
      <c r="F207" s="116" t="str">
        <f t="shared" si="51"/>
        <v/>
      </c>
      <c r="G207" t="str">
        <f>IF(B207="","",INDEX(SF_Output!$K$1:$K$400,MATCH(B207,SF_Output!$M$1:$M$400,0)))</f>
        <v/>
      </c>
      <c r="H207" t="str" cm="1">
        <f t="array" ref="H207">_xlfn.IFS(B207="","",(SUMIFS(SF_Output!$F$1:$F$400,SF_Output!$AC$1:$AC$400,_xlfn.TEXTJOIN(",",TRUE,B207:E207))+SUMIFS(SF_Output!$G$1:$G$400,SF_Output!$AC$1:$AC$400,_xlfn.TEXTJOIN(",",TRUE,B207:E207)))&lt;&gt;0,SF_Output!$Y$2,INDEX(SF_Output!$F$1:$F$400,MATCH(_xlfn.TEXTJOIN(",",TRUE,B207:E207),SF_Output!$AC$1:$AC$400,0))=0,INDEX(SF_Output!$R$1:$R$400,MATCH(_xlfn.TEXTJOIN(",",TRUE,B207:E207),SF_Output!$AC$1:$AC$400,0)))</f>
        <v/>
      </c>
      <c r="I207" s="125" t="str">
        <f>IFERROR(IF(AND(H207&gt;1,H207&lt;&gt;""),ROUND(SUMIFS(SF_Output!$S$1:$S$400,SF_Output!$AC$1:$AC$400,_xlfn.TEXTJOIN(",",TRUE,B207:E207),SF_Output!$Q$1:$Q$400,"monthly")*(1-W207)/H207,4),""),"")</f>
        <v/>
      </c>
      <c r="J207" s="6" t="str">
        <f>IF(B207="","",SUMIFS(SF_Output!$S$1:$S$400,SF_Output!$AC$1:$AC$400,_xlfn.TEXTJOIN(",",TRUE,B207:E207),SF_Output!$Q$1:$Q$400,"One Time",SF_Output!$L$1:$L$400,"license fee")+SUMIFS(SF_Output!$S$1:$S$400,SF_Output!$AC$1:$AC$400,_xlfn.TEXTJOIN(",",TRUE,B207:E207),SF_Output!$Q$1:$Q$400,"One Time",SF_Output!$L$1:$L$400,"software license")+SUMIFS(SF_Output!$S$1:$S$400,SF_Output!$AC$1:$AC$400,_xlfn.TEXTJOIN(",",TRUE,B207:E207),SF_Output!$Q$1:$Q$400,"One Time",SF_Output!$L$1:$L$400,"hardware"))</f>
        <v/>
      </c>
      <c r="K207" s="112" t="str">
        <f>IF(OR(B207=0,B207="",G207="hardware",J207=0),"",IF(AF207&lt;&gt;"exclusion",MAX(K$9,-((SUMIFS(SF_Output!$T$1:$T$400,SF_Output!$AC$1:$AC$400,_xlfn.TEXTJOIN(",",TRUE,$B207:$E207),SF_Output!$Q$1:$Q$400,"One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license"))/J207)))</f>
        <v/>
      </c>
      <c r="L207" s="6" t="str">
        <f t="shared" si="52"/>
        <v/>
      </c>
      <c r="N207" s="6" t="str">
        <f>IF(B207="","",SUMIFS(SF_Output!$S$1:$S$400,SF_Output!$AC$1:$AC$400,_xlfn.TEXTJOIN(",",TRUE,B207:E207),SF_Output!$Q$1:$Q$400,"One Time",SF_Output!$L$1:$L$400,"professional service"))</f>
        <v/>
      </c>
      <c r="O207" s="112" t="str">
        <f>IF(OR(B207=0,B207="",N207=0),"",IF(AF207&lt;&gt;"exclusion",MAX(O$9,-(SUMIFS(SF_Output!$T$1:$T$400,SF_Output!$AC$1:$AC$400,_xlfn.TEXTJOIN(",",TRUE,$B207:$E207),SF_Output!$Q$1:$Q$400,"One Time",SF_Output!$L$1:$L$400,"professional service"))/N207),-((SUMIFS(SF_Output!$T$1:$T$400,SF_Output!$AC$1:$AC$400,_xlfn.TEXTJOIN(",",TRUE,$B207:$E207),SF_Output!$Q$1:$Q$400,"One Time",SF_Output!$L$1:$L$400,"professional service")/N207))))</f>
        <v/>
      </c>
      <c r="P207" s="6" t="str">
        <f t="shared" si="53"/>
        <v/>
      </c>
      <c r="R207" s="6" t="str">
        <f>IF(B207="","",SUMIFS(SF_Output!$S$1:$S$400,SF_Output!$AC$1:$AC$400,_xlfn.TEXTJOIN(",",TRUE,B207:E207),SF_Output!$Q$1:$Q$400,"yearly")+SUMIFS(SF_Output!$S$1:$S$400,SF_Output!$AC$1:$AC$400,_xlfn.TEXTJOIN(",",TRUE,B207:E207),SF_Output!$Q$1:$Q$400,"quarterly")*4)</f>
        <v/>
      </c>
      <c r="S207" s="112" t="str">
        <f>IF(OR(B207=0,B207="",G207="hardware",R207=0),"",IF(AF207&lt;&gt;"exclusion",MAX(S$9,-(SUMIFS(SF_Output!$T$1:$T$400,SF_Output!$AC$1:$AC$400,_xlfn.TEXTJOIN(",",TRUE,$B207:$E207),SF_Output!$Q$1:$Q$400,"yearly"))/R207),-((SUMIFS(SF_Output!$T$1:$T$400,SF_Output!$AC$1:$AC$400,_xlfn.TEXTJOIN(",",TRUE,$B207:$E207),SF_Output!$Q$1:$Q$400,"yearly")/R207))))</f>
        <v/>
      </c>
      <c r="T207" s="6" t="str">
        <f t="shared" si="54"/>
        <v/>
      </c>
      <c r="V207" s="6" t="str" cm="1">
        <f t="array" ref="V207">_xlfn.IFS(B207="","",AND(B207&lt;&gt;"",H207=SF_Output!$Y$2,SUMIFS(SF_Output!$T$1:$T$400,SF_Output!$AC$1:$AC$400,_xlfn.TEXTJOIN(",",TRUE,B207:E207),SF_Output!$Q$1:$Q$400,"monthly")=0),(SUMIFS(SF_Output!$F$1:$F$400,SF_Output!$AC$1:$AC$400,_xlfn.TEXTJOIN(",",TRUE,B207:E207),SF_Output!$Q$1:$Q$400,"monthly")+SUMIFS(SF_Output!$G$1:$G$400,SF_Output!$AC$1:$AC$400,_xlfn.TEXTJOIN(",",TRUE,B207:E207),SF_Output!$Q$1:$Q$400,"monthly"))*H207,AND(B207&lt;&gt;"",H207=SF_Output!$Y$2,SUMIFS(SF_Output!$T$1:$T$400,SF_Output!$AC$1:$AC$400,_xlfn.TEXTJOIN(",",TRUE,B207:E207),SF_Output!$Q$1:$Q$400,"monthly")&lt;&gt;0),SUMIFS(SF_Output!$S$1:$S$400,SF_Output!$AC$1:$AC$400,_xlfn.TEXTJOIN(",",TRUE,B207:E207),SF_Output!$Q$1:$Q$400,"monthly"),AND(B207&lt;&gt;"",H207&lt;&gt;SF_Output!$Y$2),SUMIFS(SF_Output!$S$1:$S$400,SF_Output!$AC$1:$AC$400,_xlfn.TEXTJOIN(",",TRUE,B207:E207),SF_Output!$Q$1:$Q$400,"monthly"))</f>
        <v/>
      </c>
      <c r="W207" s="112" t="str" cm="1">
        <f t="array" ref="W207">_xlfn.IFS(OR(B207=0,B207="",V207=0),"",AF207&lt;&gt;"exclusion",MAX($W$9,$W$7,(-(SUMIFS(SF_Output!$T$1:$T$400,SF_Output!$AC$1:$AC$400,_xlfn.TEXTJOIN(",",TRUE,$B207:$E207),SF_Output!$Q$1:$Q$400,"monthly"))/V207)),AF207="exclusion",-(SUMIFS(SF_Output!$T$1:$T$400,SF_Output!$AC$1:$AC$400,_xlfn.TEXTJOIN(",",TRUE,$B207:$E207),SF_Output!$Q$1:$Q$400,"monthly"))/V207)</f>
        <v/>
      </c>
      <c r="X207" s="6" t="str" cm="1">
        <f t="array" ref="X207">IFERROR(_xlfn.IFS(V207=0,0,V207="","",W207=0,V207,OR(V207&lt;&gt;0,V207&lt;&gt;""),H207*I207),V207*(1-W207))</f>
        <v/>
      </c>
      <c r="Z207" s="6" t="str">
        <f>IFERROR(IF(B207="","",SUMIFS(Billing_Fallout!H:H,Billing_Fallout!N:N,B207)),0)</f>
        <v/>
      </c>
      <c r="AA207" s="6" t="str">
        <f t="shared" si="55"/>
        <v/>
      </c>
      <c r="AB207" s="6" t="str">
        <f>IFERROR(IF(B207="","",SUMIFS(Billing_Fallout!J:J,Billing_Fallout!N:N,B207)),0)</f>
        <v/>
      </c>
      <c r="AD207" s="6" t="str">
        <f t="shared" si="56"/>
        <v/>
      </c>
      <c r="AF207" t="str">
        <f>IFERROR(INDEX(H_Tables!$B$1:$B$1500,MATCH(INDEX(SF_Output!$J$1:$J$400,MATCH(B207,SF_Output!$M$1:$M$400,0)),H_Tables!$A$1:$A$1500,0)),"")</f>
        <v/>
      </c>
      <c r="AI207" s="119" t="str">
        <f t="shared" si="57"/>
        <v/>
      </c>
      <c r="AJ207" s="121">
        <f>IFERROR(INDEX(SF_Output!AD:AD,MATCH(_xlfn.TEXTJOIN(",",TRUE,B207:E207),SF_Output!AC1:AC400,0)),0.05)</f>
        <v>241</v>
      </c>
      <c r="AK207" t="str">
        <f>IF(SUMIFS(SF_Output!$F$1:$F$400,SF_Output!$AC$1:$AC$400,_xlfn.TEXTJOIN(",",TRUE,B207:E207))+SUMIFS(SF_Output!$G$1:$G$400,SF_Output!$AC$1:$AC$400,_xlfn.TEXTJOIN(",",TRUE,B207:E207))=0,"","PAP")</f>
        <v/>
      </c>
      <c r="AQ207" s="35"/>
      <c r="AR207" s="35" t="str" cm="1">
        <f t="array" ref="AR207">IFERROR(_xlfn.IFS(AND(E207*1=1,F207="Included"),"Change to Included",AND(E207*1=0,F207="Optional"),"Change to Optional",OR(B207="",F207="replaced"),""),"")</f>
        <v/>
      </c>
      <c r="AS207" s="35" t="str">
        <f t="shared" si="58"/>
        <v/>
      </c>
      <c r="AT207" s="35" t="str">
        <f t="shared" si="59"/>
        <v/>
      </c>
      <c r="AU207" s="35" t="str">
        <f t="shared" si="60"/>
        <v/>
      </c>
      <c r="AV207" s="35" t="str">
        <f t="shared" si="61"/>
        <v/>
      </c>
      <c r="AW207" s="35" t="str">
        <f t="shared" si="62"/>
        <v/>
      </c>
      <c r="AX207" s="35" t="str">
        <f t="shared" si="63"/>
        <v/>
      </c>
      <c r="AY207" s="35" t="str">
        <f t="shared" si="64"/>
        <v/>
      </c>
      <c r="AZ207" s="35" t="str">
        <f t="shared" si="65"/>
        <v/>
      </c>
      <c r="BA207" s="35" t="str">
        <f t="shared" si="66"/>
        <v/>
      </c>
      <c r="BB207" s="35" t="str">
        <f t="shared" si="67"/>
        <v/>
      </c>
      <c r="BC207" s="35"/>
      <c r="BE207" s="35" t="e">
        <f>INDEX(SF_Output!$AA$2:$AA$400,MATCH($B207,SF_Output!$M$2:$M$400,0))</f>
        <v>#N/A</v>
      </c>
      <c r="BF207" s="35" t="e">
        <f>INDEX(SF_Output!$AB$2:$AB$400,MATCH($B207,SF_Output!$M$2:$M$400,0))</f>
        <v>#N/A</v>
      </c>
    </row>
    <row r="208" spans="6:58" x14ac:dyDescent="0.25">
      <c r="F208" s="116" t="str">
        <f t="shared" si="51"/>
        <v/>
      </c>
      <c r="G208" t="str">
        <f>IF(B208="","",INDEX(SF_Output!$K$1:$K$400,MATCH(B208,SF_Output!$M$1:$M$400,0)))</f>
        <v/>
      </c>
      <c r="H208" t="str" cm="1">
        <f t="array" ref="H208">_xlfn.IFS(B208="","",(SUMIFS(SF_Output!$F$1:$F$400,SF_Output!$AC$1:$AC$400,_xlfn.TEXTJOIN(",",TRUE,B208:E208))+SUMIFS(SF_Output!$G$1:$G$400,SF_Output!$AC$1:$AC$400,_xlfn.TEXTJOIN(",",TRUE,B208:E208)))&lt;&gt;0,SF_Output!$Y$2,INDEX(SF_Output!$F$1:$F$400,MATCH(_xlfn.TEXTJOIN(",",TRUE,B208:E208),SF_Output!$AC$1:$AC$400,0))=0,INDEX(SF_Output!$R$1:$R$400,MATCH(_xlfn.TEXTJOIN(",",TRUE,B208:E208),SF_Output!$AC$1:$AC$400,0)))</f>
        <v/>
      </c>
      <c r="I208" s="125" t="str">
        <f>IFERROR(IF(AND(H208&gt;1,H208&lt;&gt;""),ROUND(SUMIFS(SF_Output!$S$1:$S$400,SF_Output!$AC$1:$AC$400,_xlfn.TEXTJOIN(",",TRUE,B208:E208),SF_Output!$Q$1:$Q$400,"monthly")*(1-W208)/H208,4),""),"")</f>
        <v/>
      </c>
      <c r="J208" s="6" t="str">
        <f>IF(B208="","",SUMIFS(SF_Output!$S$1:$S$400,SF_Output!$AC$1:$AC$400,_xlfn.TEXTJOIN(",",TRUE,B208:E208),SF_Output!$Q$1:$Q$400,"One Time",SF_Output!$L$1:$L$400,"license fee")+SUMIFS(SF_Output!$S$1:$S$400,SF_Output!$AC$1:$AC$400,_xlfn.TEXTJOIN(",",TRUE,B208:E208),SF_Output!$Q$1:$Q$400,"One Time",SF_Output!$L$1:$L$400,"software license")+SUMIFS(SF_Output!$S$1:$S$400,SF_Output!$AC$1:$AC$400,_xlfn.TEXTJOIN(",",TRUE,B208:E208),SF_Output!$Q$1:$Q$400,"One Time",SF_Output!$L$1:$L$400,"hardware"))</f>
        <v/>
      </c>
      <c r="K208" s="112" t="str">
        <f>IF(OR(B208=0,B208="",G208="hardware",J208=0),"",IF(AF208&lt;&gt;"exclusion",MAX(K$9,-((SUMIFS(SF_Output!$T$1:$T$400,SF_Output!$AC$1:$AC$400,_xlfn.TEXTJOIN(",",TRUE,$B208:$E208),SF_Output!$Q$1:$Q$400,"One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license"))/J208)))</f>
        <v/>
      </c>
      <c r="L208" s="6" t="str">
        <f t="shared" si="52"/>
        <v/>
      </c>
      <c r="N208" s="6" t="str">
        <f>IF(B208="","",SUMIFS(SF_Output!$S$1:$S$400,SF_Output!$AC$1:$AC$400,_xlfn.TEXTJOIN(",",TRUE,B208:E208),SF_Output!$Q$1:$Q$400,"One Time",SF_Output!$L$1:$L$400,"professional service"))</f>
        <v/>
      </c>
      <c r="O208" s="112" t="str">
        <f>IF(OR(B208=0,B208="",N208=0),"",IF(AF208&lt;&gt;"exclusion",MAX(O$9,-(SUMIFS(SF_Output!$T$1:$T$400,SF_Output!$AC$1:$AC$400,_xlfn.TEXTJOIN(",",TRUE,$B208:$E208),SF_Output!$Q$1:$Q$400,"One Time",SF_Output!$L$1:$L$400,"professional service"))/N208),-((SUMIFS(SF_Output!$T$1:$T$400,SF_Output!$AC$1:$AC$400,_xlfn.TEXTJOIN(",",TRUE,$B208:$E208),SF_Output!$Q$1:$Q$400,"One Time",SF_Output!$L$1:$L$400,"professional service")/N208))))</f>
        <v/>
      </c>
      <c r="P208" s="6" t="str">
        <f t="shared" si="53"/>
        <v/>
      </c>
      <c r="R208" s="6" t="str">
        <f>IF(B208="","",SUMIFS(SF_Output!$S$1:$S$400,SF_Output!$AC$1:$AC$400,_xlfn.TEXTJOIN(",",TRUE,B208:E208),SF_Output!$Q$1:$Q$400,"yearly")+SUMIFS(SF_Output!$S$1:$S$400,SF_Output!$AC$1:$AC$400,_xlfn.TEXTJOIN(",",TRUE,B208:E208),SF_Output!$Q$1:$Q$400,"quarterly")*4)</f>
        <v/>
      </c>
      <c r="S208" s="112" t="str">
        <f>IF(OR(B208=0,B208="",G208="hardware",R208=0),"",IF(AF208&lt;&gt;"exclusion",MAX(S$9,-(SUMIFS(SF_Output!$T$1:$T$400,SF_Output!$AC$1:$AC$400,_xlfn.TEXTJOIN(",",TRUE,$B208:$E208),SF_Output!$Q$1:$Q$400,"yearly"))/R208),-((SUMIFS(SF_Output!$T$1:$T$400,SF_Output!$AC$1:$AC$400,_xlfn.TEXTJOIN(",",TRUE,$B208:$E208),SF_Output!$Q$1:$Q$400,"yearly")/R208))))</f>
        <v/>
      </c>
      <c r="T208" s="6" t="str">
        <f t="shared" si="54"/>
        <v/>
      </c>
      <c r="V208" s="6" t="str" cm="1">
        <f t="array" ref="V208">_xlfn.IFS(B208="","",AND(B208&lt;&gt;"",H208=SF_Output!$Y$2,SUMIFS(SF_Output!$T$1:$T$400,SF_Output!$AC$1:$AC$400,_xlfn.TEXTJOIN(",",TRUE,B208:E208),SF_Output!$Q$1:$Q$400,"monthly")=0),(SUMIFS(SF_Output!$F$1:$F$400,SF_Output!$AC$1:$AC$400,_xlfn.TEXTJOIN(",",TRUE,B208:E208),SF_Output!$Q$1:$Q$400,"monthly")+SUMIFS(SF_Output!$G$1:$G$400,SF_Output!$AC$1:$AC$400,_xlfn.TEXTJOIN(",",TRUE,B208:E208),SF_Output!$Q$1:$Q$400,"monthly"))*H208,AND(B208&lt;&gt;"",H208=SF_Output!$Y$2,SUMIFS(SF_Output!$T$1:$T$400,SF_Output!$AC$1:$AC$400,_xlfn.TEXTJOIN(",",TRUE,B208:E208),SF_Output!$Q$1:$Q$400,"monthly")&lt;&gt;0),SUMIFS(SF_Output!$S$1:$S$400,SF_Output!$AC$1:$AC$400,_xlfn.TEXTJOIN(",",TRUE,B208:E208),SF_Output!$Q$1:$Q$400,"monthly"),AND(B208&lt;&gt;"",H208&lt;&gt;SF_Output!$Y$2),SUMIFS(SF_Output!$S$1:$S$400,SF_Output!$AC$1:$AC$400,_xlfn.TEXTJOIN(",",TRUE,B208:E208),SF_Output!$Q$1:$Q$400,"monthly"))</f>
        <v/>
      </c>
      <c r="W208" s="112" t="str" cm="1">
        <f t="array" ref="W208">_xlfn.IFS(OR(B208=0,B208="",V208=0),"",AF208&lt;&gt;"exclusion",MAX($W$9,$W$7,(-(SUMIFS(SF_Output!$T$1:$T$400,SF_Output!$AC$1:$AC$400,_xlfn.TEXTJOIN(",",TRUE,$B208:$E208),SF_Output!$Q$1:$Q$400,"monthly"))/V208)),AF208="exclusion",-(SUMIFS(SF_Output!$T$1:$T$400,SF_Output!$AC$1:$AC$400,_xlfn.TEXTJOIN(",",TRUE,$B208:$E208),SF_Output!$Q$1:$Q$400,"monthly"))/V208)</f>
        <v/>
      </c>
      <c r="X208" s="6" t="str" cm="1">
        <f t="array" ref="X208">IFERROR(_xlfn.IFS(V208=0,0,V208="","",W208=0,V208,OR(V208&lt;&gt;0,V208&lt;&gt;""),H208*I208),V208*(1-W208))</f>
        <v/>
      </c>
      <c r="Z208" s="6" t="str">
        <f>IFERROR(IF(B208="","",SUMIFS(Billing_Fallout!H:H,Billing_Fallout!N:N,B208)),0)</f>
        <v/>
      </c>
      <c r="AA208" s="6" t="str">
        <f t="shared" si="55"/>
        <v/>
      </c>
      <c r="AB208" s="6" t="str">
        <f>IFERROR(IF(B208="","",SUMIFS(Billing_Fallout!J:J,Billing_Fallout!N:N,B208)),0)</f>
        <v/>
      </c>
      <c r="AD208" s="6" t="str">
        <f t="shared" si="56"/>
        <v/>
      </c>
      <c r="AF208" t="str">
        <f>IFERROR(INDEX(H_Tables!$B$1:$B$1500,MATCH(INDEX(SF_Output!$J$1:$J$400,MATCH(B208,SF_Output!$M$1:$M$400,0)),H_Tables!$A$1:$A$1500,0)),"")</f>
        <v/>
      </c>
      <c r="AI208" s="119" t="str">
        <f t="shared" si="57"/>
        <v/>
      </c>
      <c r="AJ208" s="121">
        <f>IFERROR(INDEX(SF_Output!AD:AD,MATCH(_xlfn.TEXTJOIN(",",TRUE,B208:E208),SF_Output!AC1:AC400,0)),0.05)</f>
        <v>241</v>
      </c>
      <c r="AK208" t="str">
        <f>IF(SUMIFS(SF_Output!$F$1:$F$400,SF_Output!$AC$1:$AC$400,_xlfn.TEXTJOIN(",",TRUE,B208:E208))+SUMIFS(SF_Output!$G$1:$G$400,SF_Output!$AC$1:$AC$400,_xlfn.TEXTJOIN(",",TRUE,B208:E208))=0,"","PAP")</f>
        <v/>
      </c>
      <c r="AQ208" s="35"/>
      <c r="AR208" s="35" t="str" cm="1">
        <f t="array" ref="AR208">IFERROR(_xlfn.IFS(AND(E208*1=1,F208="Included"),"Change to Included",AND(E208*1=0,F208="Optional"),"Change to Optional",OR(B208="",F208="replaced"),""),"")</f>
        <v/>
      </c>
      <c r="AS208" s="35" t="str">
        <f t="shared" si="58"/>
        <v/>
      </c>
      <c r="AT208" s="35" t="str">
        <f t="shared" si="59"/>
        <v/>
      </c>
      <c r="AU208" s="35" t="str">
        <f t="shared" si="60"/>
        <v/>
      </c>
      <c r="AV208" s="35" t="str">
        <f t="shared" si="61"/>
        <v/>
      </c>
      <c r="AW208" s="35" t="str">
        <f t="shared" si="62"/>
        <v/>
      </c>
      <c r="AX208" s="35" t="str">
        <f t="shared" si="63"/>
        <v/>
      </c>
      <c r="AY208" s="35" t="str">
        <f t="shared" si="64"/>
        <v/>
      </c>
      <c r="AZ208" s="35" t="str">
        <f t="shared" si="65"/>
        <v/>
      </c>
      <c r="BA208" s="35" t="str">
        <f t="shared" si="66"/>
        <v/>
      </c>
      <c r="BB208" s="35" t="str">
        <f t="shared" si="67"/>
        <v/>
      </c>
      <c r="BC208" s="35"/>
      <c r="BE208" s="35" t="e">
        <f>INDEX(SF_Output!$AA$2:$AA$400,MATCH($B208,SF_Output!$M$2:$M$400,0))</f>
        <v>#N/A</v>
      </c>
      <c r="BF208" s="35" t="e">
        <f>INDEX(SF_Output!$AB$2:$AB$400,MATCH($B208,SF_Output!$M$2:$M$400,0))</f>
        <v>#N/A</v>
      </c>
    </row>
    <row r="209" spans="6:58" x14ac:dyDescent="0.25">
      <c r="F209" s="116" t="str">
        <f t="shared" si="51"/>
        <v/>
      </c>
      <c r="G209" t="str">
        <f>IF(B209="","",INDEX(SF_Output!$K$1:$K$400,MATCH(B209,SF_Output!$M$1:$M$400,0)))</f>
        <v/>
      </c>
      <c r="H209" t="str" cm="1">
        <f t="array" ref="H209">_xlfn.IFS(B209="","",(SUMIFS(SF_Output!$F$1:$F$400,SF_Output!$AC$1:$AC$400,_xlfn.TEXTJOIN(",",TRUE,B209:E209))+SUMIFS(SF_Output!$G$1:$G$400,SF_Output!$AC$1:$AC$400,_xlfn.TEXTJOIN(",",TRUE,B209:E209)))&lt;&gt;0,SF_Output!$Y$2,INDEX(SF_Output!$F$1:$F$400,MATCH(_xlfn.TEXTJOIN(",",TRUE,B209:E209),SF_Output!$AC$1:$AC$400,0))=0,INDEX(SF_Output!$R$1:$R$400,MATCH(_xlfn.TEXTJOIN(",",TRUE,B209:E209),SF_Output!$AC$1:$AC$400,0)))</f>
        <v/>
      </c>
      <c r="I209" s="125" t="str">
        <f>IFERROR(IF(AND(H209&gt;1,H209&lt;&gt;""),ROUND(SUMIFS(SF_Output!$S$1:$S$400,SF_Output!$AC$1:$AC$400,_xlfn.TEXTJOIN(",",TRUE,B209:E209),SF_Output!$Q$1:$Q$400,"monthly")*(1-W209)/H209,4),""),"")</f>
        <v/>
      </c>
      <c r="J209" s="6" t="str">
        <f>IF(B209="","",SUMIFS(SF_Output!$S$1:$S$400,SF_Output!$AC$1:$AC$400,_xlfn.TEXTJOIN(",",TRUE,B209:E209),SF_Output!$Q$1:$Q$400,"One Time",SF_Output!$L$1:$L$400,"license fee")+SUMIFS(SF_Output!$S$1:$S$400,SF_Output!$AC$1:$AC$400,_xlfn.TEXTJOIN(",",TRUE,B209:E209),SF_Output!$Q$1:$Q$400,"One Time",SF_Output!$L$1:$L$400,"software license")+SUMIFS(SF_Output!$S$1:$S$400,SF_Output!$AC$1:$AC$400,_xlfn.TEXTJOIN(",",TRUE,B209:E209),SF_Output!$Q$1:$Q$400,"One Time",SF_Output!$L$1:$L$400,"hardware"))</f>
        <v/>
      </c>
      <c r="K209" s="112" t="str">
        <f>IF(OR(B209=0,B209="",G209="hardware",J209=0),"",IF(AF209&lt;&gt;"exclusion",MAX(K$9,-((SUMIFS(SF_Output!$T$1:$T$400,SF_Output!$AC$1:$AC$400,_xlfn.TEXTJOIN(",",TRUE,$B209:$E209),SF_Output!$Q$1:$Q$400,"One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license"))/J209)))</f>
        <v/>
      </c>
      <c r="L209" s="6" t="str">
        <f t="shared" si="52"/>
        <v/>
      </c>
      <c r="N209" s="6" t="str">
        <f>IF(B209="","",SUMIFS(SF_Output!$S$1:$S$400,SF_Output!$AC$1:$AC$400,_xlfn.TEXTJOIN(",",TRUE,B209:E209),SF_Output!$Q$1:$Q$400,"One Time",SF_Output!$L$1:$L$400,"professional service"))</f>
        <v/>
      </c>
      <c r="O209" s="112" t="str">
        <f>IF(OR(B209=0,B209="",N209=0),"",IF(AF209&lt;&gt;"exclusion",MAX(O$9,-(SUMIFS(SF_Output!$T$1:$T$400,SF_Output!$AC$1:$AC$400,_xlfn.TEXTJOIN(",",TRUE,$B209:$E209),SF_Output!$Q$1:$Q$400,"One Time",SF_Output!$L$1:$L$400,"professional service"))/N209),-((SUMIFS(SF_Output!$T$1:$T$400,SF_Output!$AC$1:$AC$400,_xlfn.TEXTJOIN(",",TRUE,$B209:$E209),SF_Output!$Q$1:$Q$400,"One Time",SF_Output!$L$1:$L$400,"professional service")/N209))))</f>
        <v/>
      </c>
      <c r="P209" s="6" t="str">
        <f t="shared" si="53"/>
        <v/>
      </c>
      <c r="R209" s="6" t="str">
        <f>IF(B209="","",SUMIFS(SF_Output!$S$1:$S$400,SF_Output!$AC$1:$AC$400,_xlfn.TEXTJOIN(",",TRUE,B209:E209),SF_Output!$Q$1:$Q$400,"yearly")+SUMIFS(SF_Output!$S$1:$S$400,SF_Output!$AC$1:$AC$400,_xlfn.TEXTJOIN(",",TRUE,B209:E209),SF_Output!$Q$1:$Q$400,"quarterly")*4)</f>
        <v/>
      </c>
      <c r="S209" s="112" t="str">
        <f>IF(OR(B209=0,B209="",G209="hardware",R209=0),"",IF(AF209&lt;&gt;"exclusion",MAX(S$9,-(SUMIFS(SF_Output!$T$1:$T$400,SF_Output!$AC$1:$AC$400,_xlfn.TEXTJOIN(",",TRUE,$B209:$E209),SF_Output!$Q$1:$Q$400,"yearly"))/R209),-((SUMIFS(SF_Output!$T$1:$T$400,SF_Output!$AC$1:$AC$400,_xlfn.TEXTJOIN(",",TRUE,$B209:$E209),SF_Output!$Q$1:$Q$400,"yearly")/R209))))</f>
        <v/>
      </c>
      <c r="T209" s="6" t="str">
        <f t="shared" si="54"/>
        <v/>
      </c>
      <c r="V209" s="6" t="str" cm="1">
        <f t="array" ref="V209">_xlfn.IFS(B209="","",AND(B209&lt;&gt;"",H209=SF_Output!$Y$2,SUMIFS(SF_Output!$T$1:$T$400,SF_Output!$AC$1:$AC$400,_xlfn.TEXTJOIN(",",TRUE,B209:E209),SF_Output!$Q$1:$Q$400,"monthly")=0),(SUMIFS(SF_Output!$F$1:$F$400,SF_Output!$AC$1:$AC$400,_xlfn.TEXTJOIN(",",TRUE,B209:E209),SF_Output!$Q$1:$Q$400,"monthly")+SUMIFS(SF_Output!$G$1:$G$400,SF_Output!$AC$1:$AC$400,_xlfn.TEXTJOIN(",",TRUE,B209:E209),SF_Output!$Q$1:$Q$400,"monthly"))*H209,AND(B209&lt;&gt;"",H209=SF_Output!$Y$2,SUMIFS(SF_Output!$T$1:$T$400,SF_Output!$AC$1:$AC$400,_xlfn.TEXTJOIN(",",TRUE,B209:E209),SF_Output!$Q$1:$Q$400,"monthly")&lt;&gt;0),SUMIFS(SF_Output!$S$1:$S$400,SF_Output!$AC$1:$AC$400,_xlfn.TEXTJOIN(",",TRUE,B209:E209),SF_Output!$Q$1:$Q$400,"monthly"),AND(B209&lt;&gt;"",H209&lt;&gt;SF_Output!$Y$2),SUMIFS(SF_Output!$S$1:$S$400,SF_Output!$AC$1:$AC$400,_xlfn.TEXTJOIN(",",TRUE,B209:E209),SF_Output!$Q$1:$Q$400,"monthly"))</f>
        <v/>
      </c>
      <c r="W209" s="112" t="str" cm="1">
        <f t="array" ref="W209">_xlfn.IFS(OR(B209=0,B209="",V209=0),"",AF209&lt;&gt;"exclusion",MAX($W$9,$W$7,(-(SUMIFS(SF_Output!$T$1:$T$400,SF_Output!$AC$1:$AC$400,_xlfn.TEXTJOIN(",",TRUE,$B209:$E209),SF_Output!$Q$1:$Q$400,"monthly"))/V209)),AF209="exclusion",-(SUMIFS(SF_Output!$T$1:$T$400,SF_Output!$AC$1:$AC$400,_xlfn.TEXTJOIN(",",TRUE,$B209:$E209),SF_Output!$Q$1:$Q$400,"monthly"))/V209)</f>
        <v/>
      </c>
      <c r="X209" s="6" t="str" cm="1">
        <f t="array" ref="X209">IFERROR(_xlfn.IFS(V209=0,0,V209="","",W209=0,V209,OR(V209&lt;&gt;0,V209&lt;&gt;""),H209*I209),V209*(1-W209))</f>
        <v/>
      </c>
      <c r="Z209" s="6" t="str">
        <f>IFERROR(IF(B209="","",SUMIFS(Billing_Fallout!H:H,Billing_Fallout!N:N,B209)),0)</f>
        <v/>
      </c>
      <c r="AA209" s="6" t="str">
        <f t="shared" si="55"/>
        <v/>
      </c>
      <c r="AB209" s="6" t="str">
        <f>IFERROR(IF(B209="","",SUMIFS(Billing_Fallout!J:J,Billing_Fallout!N:N,B209)),0)</f>
        <v/>
      </c>
      <c r="AD209" s="6" t="str">
        <f t="shared" si="56"/>
        <v/>
      </c>
      <c r="AF209" t="str">
        <f>IFERROR(INDEX(H_Tables!$B$1:$B$1500,MATCH(INDEX(SF_Output!$J$1:$J$400,MATCH(B209,SF_Output!$M$1:$M$400,0)),H_Tables!$A$1:$A$1500,0)),"")</f>
        <v/>
      </c>
      <c r="AI209" s="119" t="str">
        <f t="shared" si="57"/>
        <v/>
      </c>
      <c r="AJ209" s="121">
        <f>IFERROR(INDEX(SF_Output!AD:AD,MATCH(_xlfn.TEXTJOIN(",",TRUE,B209:E209),SF_Output!AC1:AC400,0)),0.05)</f>
        <v>241</v>
      </c>
      <c r="AK209" t="str">
        <f>IF(SUMIFS(SF_Output!$F$1:$F$400,SF_Output!$AC$1:$AC$400,_xlfn.TEXTJOIN(",",TRUE,B209:E209))+SUMIFS(SF_Output!$G$1:$G$400,SF_Output!$AC$1:$AC$400,_xlfn.TEXTJOIN(",",TRUE,B209:E209))=0,"","PAP")</f>
        <v/>
      </c>
      <c r="AQ209" s="35"/>
      <c r="AR209" s="35" t="str" cm="1">
        <f t="array" ref="AR209">IFERROR(_xlfn.IFS(AND(E209*1=1,F209="Included"),"Change to Included",AND(E209*1=0,F209="Optional"),"Change to Optional",OR(B209="",F209="replaced"),""),"")</f>
        <v/>
      </c>
      <c r="AS209" s="35" t="str">
        <f t="shared" si="58"/>
        <v/>
      </c>
      <c r="AT209" s="35" t="str">
        <f t="shared" si="59"/>
        <v/>
      </c>
      <c r="AU209" s="35" t="str">
        <f t="shared" si="60"/>
        <v/>
      </c>
      <c r="AV209" s="35" t="str">
        <f t="shared" si="61"/>
        <v/>
      </c>
      <c r="AW209" s="35" t="str">
        <f t="shared" si="62"/>
        <v/>
      </c>
      <c r="AX209" s="35" t="str">
        <f t="shared" si="63"/>
        <v/>
      </c>
      <c r="AY209" s="35" t="str">
        <f t="shared" si="64"/>
        <v/>
      </c>
      <c r="AZ209" s="35" t="str">
        <f t="shared" si="65"/>
        <v/>
      </c>
      <c r="BA209" s="35" t="str">
        <f t="shared" si="66"/>
        <v/>
      </c>
      <c r="BB209" s="35" t="str">
        <f t="shared" si="67"/>
        <v/>
      </c>
      <c r="BC209" s="35"/>
      <c r="BE209" s="35" t="e">
        <f>INDEX(SF_Output!$AA$2:$AA$400,MATCH($B209,SF_Output!$M$2:$M$400,0))</f>
        <v>#N/A</v>
      </c>
      <c r="BF209" s="35" t="e">
        <f>INDEX(SF_Output!$AB$2:$AB$400,MATCH($B209,SF_Output!$M$2:$M$400,0))</f>
        <v>#N/A</v>
      </c>
    </row>
    <row r="210" spans="6:58" x14ac:dyDescent="0.25">
      <c r="F210" s="116" t="str">
        <f t="shared" si="51"/>
        <v/>
      </c>
      <c r="G210" t="str">
        <f>IF(B210="","",INDEX(SF_Output!$K$1:$K$400,MATCH(B210,SF_Output!$M$1:$M$400,0)))</f>
        <v/>
      </c>
      <c r="H210" t="str" cm="1">
        <f t="array" ref="H210">_xlfn.IFS(B210="","",(SUMIFS(SF_Output!$F$1:$F$400,SF_Output!$AC$1:$AC$400,_xlfn.TEXTJOIN(",",TRUE,B210:E210))+SUMIFS(SF_Output!$G$1:$G$400,SF_Output!$AC$1:$AC$400,_xlfn.TEXTJOIN(",",TRUE,B210:E210)))&lt;&gt;0,SF_Output!$Y$2,INDEX(SF_Output!$F$1:$F$400,MATCH(_xlfn.TEXTJOIN(",",TRUE,B210:E210),SF_Output!$AC$1:$AC$400,0))=0,INDEX(SF_Output!$R$1:$R$400,MATCH(_xlfn.TEXTJOIN(",",TRUE,B210:E210),SF_Output!$AC$1:$AC$400,0)))</f>
        <v/>
      </c>
      <c r="I210" s="125" t="str">
        <f>IFERROR(IF(AND(H210&gt;1,H210&lt;&gt;""),ROUND(SUMIFS(SF_Output!$S$1:$S$400,SF_Output!$AC$1:$AC$400,_xlfn.TEXTJOIN(",",TRUE,B210:E210),SF_Output!$Q$1:$Q$400,"monthly")*(1-W210)/H210,4),""),"")</f>
        <v/>
      </c>
      <c r="J210" s="6" t="str">
        <f>IF(B210="","",SUMIFS(SF_Output!$S$1:$S$400,SF_Output!$AC$1:$AC$400,_xlfn.TEXTJOIN(",",TRUE,B210:E210),SF_Output!$Q$1:$Q$400,"One Time",SF_Output!$L$1:$L$400,"license fee")+SUMIFS(SF_Output!$S$1:$S$400,SF_Output!$AC$1:$AC$400,_xlfn.TEXTJOIN(",",TRUE,B210:E210),SF_Output!$Q$1:$Q$400,"One Time",SF_Output!$L$1:$L$400,"software license")+SUMIFS(SF_Output!$S$1:$S$400,SF_Output!$AC$1:$AC$400,_xlfn.TEXTJOIN(",",TRUE,B210:E210),SF_Output!$Q$1:$Q$400,"One Time",SF_Output!$L$1:$L$400,"hardware"))</f>
        <v/>
      </c>
      <c r="K210" s="112" t="str">
        <f>IF(OR(B210=0,B210="",G210="hardware",J210=0),"",IF(AF210&lt;&gt;"exclusion",MAX(K$9,-((SUMIFS(SF_Output!$T$1:$T$400,SF_Output!$AC$1:$AC$400,_xlfn.TEXTJOIN(",",TRUE,$B210:$E210),SF_Output!$Q$1:$Q$400,"One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license"))/J210)))</f>
        <v/>
      </c>
      <c r="L210" s="6" t="str">
        <f t="shared" si="52"/>
        <v/>
      </c>
      <c r="N210" s="6" t="str">
        <f>IF(B210="","",SUMIFS(SF_Output!$S$1:$S$400,SF_Output!$AC$1:$AC$400,_xlfn.TEXTJOIN(",",TRUE,B210:E210),SF_Output!$Q$1:$Q$400,"One Time",SF_Output!$L$1:$L$400,"professional service"))</f>
        <v/>
      </c>
      <c r="O210" s="112" t="str">
        <f>IF(OR(B210=0,B210="",N210=0),"",IF(AF210&lt;&gt;"exclusion",MAX(O$9,-(SUMIFS(SF_Output!$T$1:$T$400,SF_Output!$AC$1:$AC$400,_xlfn.TEXTJOIN(",",TRUE,$B210:$E210),SF_Output!$Q$1:$Q$400,"One Time",SF_Output!$L$1:$L$400,"professional service"))/N210),-((SUMIFS(SF_Output!$T$1:$T$400,SF_Output!$AC$1:$AC$400,_xlfn.TEXTJOIN(",",TRUE,$B210:$E210),SF_Output!$Q$1:$Q$400,"One Time",SF_Output!$L$1:$L$400,"professional service")/N210))))</f>
        <v/>
      </c>
      <c r="P210" s="6" t="str">
        <f t="shared" si="53"/>
        <v/>
      </c>
      <c r="R210" s="6" t="str">
        <f>IF(B210="","",SUMIFS(SF_Output!$S$1:$S$400,SF_Output!$AC$1:$AC$400,_xlfn.TEXTJOIN(",",TRUE,B210:E210),SF_Output!$Q$1:$Q$400,"yearly")+SUMIFS(SF_Output!$S$1:$S$400,SF_Output!$AC$1:$AC$400,_xlfn.TEXTJOIN(",",TRUE,B210:E210),SF_Output!$Q$1:$Q$400,"quarterly")*4)</f>
        <v/>
      </c>
      <c r="S210" s="112" t="str">
        <f>IF(OR(B210=0,B210="",G210="hardware",R210=0),"",IF(AF210&lt;&gt;"exclusion",MAX(S$9,-(SUMIFS(SF_Output!$T$1:$T$400,SF_Output!$AC$1:$AC$400,_xlfn.TEXTJOIN(",",TRUE,$B210:$E210),SF_Output!$Q$1:$Q$400,"yearly"))/R210),-((SUMIFS(SF_Output!$T$1:$T$400,SF_Output!$AC$1:$AC$400,_xlfn.TEXTJOIN(",",TRUE,$B210:$E210),SF_Output!$Q$1:$Q$400,"yearly")/R210))))</f>
        <v/>
      </c>
      <c r="T210" s="6" t="str">
        <f t="shared" si="54"/>
        <v/>
      </c>
      <c r="V210" s="6" t="str" cm="1">
        <f t="array" ref="V210">_xlfn.IFS(B210="","",AND(B210&lt;&gt;"",H210=SF_Output!$Y$2,SUMIFS(SF_Output!$T$1:$T$400,SF_Output!$AC$1:$AC$400,_xlfn.TEXTJOIN(",",TRUE,B210:E210),SF_Output!$Q$1:$Q$400,"monthly")=0),(SUMIFS(SF_Output!$F$1:$F$400,SF_Output!$AC$1:$AC$400,_xlfn.TEXTJOIN(",",TRUE,B210:E210),SF_Output!$Q$1:$Q$400,"monthly")+SUMIFS(SF_Output!$G$1:$G$400,SF_Output!$AC$1:$AC$400,_xlfn.TEXTJOIN(",",TRUE,B210:E210),SF_Output!$Q$1:$Q$400,"monthly"))*H210,AND(B210&lt;&gt;"",H210=SF_Output!$Y$2,SUMIFS(SF_Output!$T$1:$T$400,SF_Output!$AC$1:$AC$400,_xlfn.TEXTJOIN(",",TRUE,B210:E210),SF_Output!$Q$1:$Q$400,"monthly")&lt;&gt;0),SUMIFS(SF_Output!$S$1:$S$400,SF_Output!$AC$1:$AC$400,_xlfn.TEXTJOIN(",",TRUE,B210:E210),SF_Output!$Q$1:$Q$400,"monthly"),AND(B210&lt;&gt;"",H210&lt;&gt;SF_Output!$Y$2),SUMIFS(SF_Output!$S$1:$S$400,SF_Output!$AC$1:$AC$400,_xlfn.TEXTJOIN(",",TRUE,B210:E210),SF_Output!$Q$1:$Q$400,"monthly"))</f>
        <v/>
      </c>
      <c r="W210" s="112" t="str" cm="1">
        <f t="array" ref="W210">_xlfn.IFS(OR(B210=0,B210="",V210=0),"",AF210&lt;&gt;"exclusion",MAX($W$9,$W$7,(-(SUMIFS(SF_Output!$T$1:$T$400,SF_Output!$AC$1:$AC$400,_xlfn.TEXTJOIN(",",TRUE,$B210:$E210),SF_Output!$Q$1:$Q$400,"monthly"))/V210)),AF210="exclusion",-(SUMIFS(SF_Output!$T$1:$T$400,SF_Output!$AC$1:$AC$400,_xlfn.TEXTJOIN(",",TRUE,$B210:$E210),SF_Output!$Q$1:$Q$400,"monthly"))/V210)</f>
        <v/>
      </c>
      <c r="X210" s="6" t="str" cm="1">
        <f t="array" ref="X210">IFERROR(_xlfn.IFS(V210=0,0,V210="","",W210=0,V210,OR(V210&lt;&gt;0,V210&lt;&gt;""),H210*I210),V210*(1-W210))</f>
        <v/>
      </c>
      <c r="Z210" s="6" t="str">
        <f>IFERROR(IF(B210="","",SUMIFS(Billing_Fallout!H:H,Billing_Fallout!N:N,B210)),0)</f>
        <v/>
      </c>
      <c r="AA210" s="6" t="str">
        <f t="shared" si="55"/>
        <v/>
      </c>
      <c r="AB210" s="6" t="str">
        <f>IFERROR(IF(B210="","",SUMIFS(Billing_Fallout!J:J,Billing_Fallout!N:N,B210)),0)</f>
        <v/>
      </c>
      <c r="AD210" s="6" t="str">
        <f t="shared" si="56"/>
        <v/>
      </c>
      <c r="AF210" t="str">
        <f>IFERROR(INDEX(H_Tables!$B$1:$B$1500,MATCH(INDEX(SF_Output!$J$1:$J$400,MATCH(B210,SF_Output!$M$1:$M$400,0)),H_Tables!$A$1:$A$1500,0)),"")</f>
        <v/>
      </c>
      <c r="AI210" s="119" t="str">
        <f t="shared" si="57"/>
        <v/>
      </c>
      <c r="AJ210" s="121">
        <f>IFERROR(INDEX(SF_Output!AD:AD,MATCH(_xlfn.TEXTJOIN(",",TRUE,B210:E210),SF_Output!AC1:AC400,0)),0.05)</f>
        <v>241</v>
      </c>
      <c r="AK210" t="str">
        <f>IF(SUMIFS(SF_Output!$F$1:$F$400,SF_Output!$AC$1:$AC$400,_xlfn.TEXTJOIN(",",TRUE,B210:E210))+SUMIFS(SF_Output!$G$1:$G$400,SF_Output!$AC$1:$AC$400,_xlfn.TEXTJOIN(",",TRUE,B210:E210))=0,"","PAP")</f>
        <v/>
      </c>
      <c r="AQ210" s="35"/>
      <c r="AR210" s="35" t="str" cm="1">
        <f t="array" ref="AR210">IFERROR(_xlfn.IFS(AND(E210*1=1,F210="Included"),"Change to Included",AND(E210*1=0,F210="Optional"),"Change to Optional",OR(B210="",F210="replaced"),""),"")</f>
        <v/>
      </c>
      <c r="AS210" s="35" t="str">
        <f t="shared" si="58"/>
        <v/>
      </c>
      <c r="AT210" s="35" t="str">
        <f t="shared" si="59"/>
        <v/>
      </c>
      <c r="AU210" s="35" t="str">
        <f t="shared" si="60"/>
        <v/>
      </c>
      <c r="AV210" s="35" t="str">
        <f t="shared" si="61"/>
        <v/>
      </c>
      <c r="AW210" s="35" t="str">
        <f t="shared" si="62"/>
        <v/>
      </c>
      <c r="AX210" s="35" t="str">
        <f t="shared" si="63"/>
        <v/>
      </c>
      <c r="AY210" s="35" t="str">
        <f t="shared" si="64"/>
        <v/>
      </c>
      <c r="AZ210" s="35" t="str">
        <f t="shared" si="65"/>
        <v/>
      </c>
      <c r="BA210" s="35" t="str">
        <f t="shared" si="66"/>
        <v/>
      </c>
      <c r="BB210" s="35" t="str">
        <f t="shared" si="67"/>
        <v/>
      </c>
      <c r="BC210" s="35"/>
      <c r="BE210" s="35" t="e">
        <f>INDEX(SF_Output!$AA$2:$AA$400,MATCH($B210,SF_Output!$M$2:$M$400,0))</f>
        <v>#N/A</v>
      </c>
      <c r="BF210" s="35" t="e">
        <f>INDEX(SF_Output!$AB$2:$AB$400,MATCH($B210,SF_Output!$M$2:$M$400,0))</f>
        <v>#N/A</v>
      </c>
    </row>
    <row r="211" spans="6:58" x14ac:dyDescent="0.25">
      <c r="F211" s="116" t="str">
        <f t="shared" si="51"/>
        <v/>
      </c>
      <c r="G211" t="str">
        <f>IF(B211="","",INDEX(SF_Output!$K$1:$K$400,MATCH(B211,SF_Output!$M$1:$M$400,0)))</f>
        <v/>
      </c>
      <c r="H211" t="str" cm="1">
        <f t="array" ref="H211">_xlfn.IFS(B211="","",(SUMIFS(SF_Output!$F$1:$F$400,SF_Output!$AC$1:$AC$400,_xlfn.TEXTJOIN(",",TRUE,B211:E211))+SUMIFS(SF_Output!$G$1:$G$400,SF_Output!$AC$1:$AC$400,_xlfn.TEXTJOIN(",",TRUE,B211:E211)))&lt;&gt;0,SF_Output!$Y$2,INDEX(SF_Output!$F$1:$F$400,MATCH(_xlfn.TEXTJOIN(",",TRUE,B211:E211),SF_Output!$AC$1:$AC$400,0))=0,INDEX(SF_Output!$R$1:$R$400,MATCH(_xlfn.TEXTJOIN(",",TRUE,B211:E211),SF_Output!$AC$1:$AC$400,0)))</f>
        <v/>
      </c>
      <c r="I211" s="125" t="str">
        <f>IFERROR(IF(AND(H211&gt;1,H211&lt;&gt;""),ROUND(SUMIFS(SF_Output!$S$1:$S$400,SF_Output!$AC$1:$AC$400,_xlfn.TEXTJOIN(",",TRUE,B211:E211),SF_Output!$Q$1:$Q$400,"monthly")*(1-W211)/H211,4),""),"")</f>
        <v/>
      </c>
      <c r="J211" s="6" t="str">
        <f>IF(B211="","",SUMIFS(SF_Output!$S$1:$S$400,SF_Output!$AC$1:$AC$400,_xlfn.TEXTJOIN(",",TRUE,B211:E211),SF_Output!$Q$1:$Q$400,"One Time",SF_Output!$L$1:$L$400,"license fee")+SUMIFS(SF_Output!$S$1:$S$400,SF_Output!$AC$1:$AC$400,_xlfn.TEXTJOIN(",",TRUE,B211:E211),SF_Output!$Q$1:$Q$400,"One Time",SF_Output!$L$1:$L$400,"software license")+SUMIFS(SF_Output!$S$1:$S$400,SF_Output!$AC$1:$AC$400,_xlfn.TEXTJOIN(",",TRUE,B211:E211),SF_Output!$Q$1:$Q$400,"One Time",SF_Output!$L$1:$L$400,"hardware"))</f>
        <v/>
      </c>
      <c r="K211" s="112" t="str">
        <f>IF(OR(B211=0,B211="",G211="hardware",J211=0),"",IF(AF211&lt;&gt;"exclusion",MAX(K$9,-((SUMIFS(SF_Output!$T$1:$T$400,SF_Output!$AC$1:$AC$400,_xlfn.TEXTJOIN(",",TRUE,$B211:$E211),SF_Output!$Q$1:$Q$400,"One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license"))/J211)))</f>
        <v/>
      </c>
      <c r="L211" s="6" t="str">
        <f t="shared" si="52"/>
        <v/>
      </c>
      <c r="N211" s="6" t="str">
        <f>IF(B211="","",SUMIFS(SF_Output!$S$1:$S$400,SF_Output!$AC$1:$AC$400,_xlfn.TEXTJOIN(",",TRUE,B211:E211),SF_Output!$Q$1:$Q$400,"One Time",SF_Output!$L$1:$L$400,"professional service"))</f>
        <v/>
      </c>
      <c r="O211" s="112" t="str">
        <f>IF(OR(B211=0,B211="",N211=0),"",IF(AF211&lt;&gt;"exclusion",MAX(O$9,-(SUMIFS(SF_Output!$T$1:$T$400,SF_Output!$AC$1:$AC$400,_xlfn.TEXTJOIN(",",TRUE,$B211:$E211),SF_Output!$Q$1:$Q$400,"One Time",SF_Output!$L$1:$L$400,"professional service"))/N211),-((SUMIFS(SF_Output!$T$1:$T$400,SF_Output!$AC$1:$AC$400,_xlfn.TEXTJOIN(",",TRUE,$B211:$E211),SF_Output!$Q$1:$Q$400,"One Time",SF_Output!$L$1:$L$400,"professional service")/N211))))</f>
        <v/>
      </c>
      <c r="P211" s="6" t="str">
        <f t="shared" si="53"/>
        <v/>
      </c>
      <c r="R211" s="6" t="str">
        <f>IF(B211="","",SUMIFS(SF_Output!$S$1:$S$400,SF_Output!$AC$1:$AC$400,_xlfn.TEXTJOIN(",",TRUE,B211:E211),SF_Output!$Q$1:$Q$400,"yearly")+SUMIFS(SF_Output!$S$1:$S$400,SF_Output!$AC$1:$AC$400,_xlfn.TEXTJOIN(",",TRUE,B211:E211),SF_Output!$Q$1:$Q$400,"quarterly")*4)</f>
        <v/>
      </c>
      <c r="S211" s="112" t="str">
        <f>IF(OR(B211=0,B211="",G211="hardware",R211=0),"",IF(AF211&lt;&gt;"exclusion",MAX(S$9,-(SUMIFS(SF_Output!$T$1:$T$400,SF_Output!$AC$1:$AC$400,_xlfn.TEXTJOIN(",",TRUE,$B211:$E211),SF_Output!$Q$1:$Q$400,"yearly"))/R211),-((SUMIFS(SF_Output!$T$1:$T$400,SF_Output!$AC$1:$AC$400,_xlfn.TEXTJOIN(",",TRUE,$B211:$E211),SF_Output!$Q$1:$Q$400,"yearly")/R211))))</f>
        <v/>
      </c>
      <c r="T211" s="6" t="str">
        <f t="shared" si="54"/>
        <v/>
      </c>
      <c r="V211" s="6" t="str" cm="1">
        <f t="array" ref="V211">_xlfn.IFS(B211="","",AND(B211&lt;&gt;"",H211=SF_Output!$Y$2,SUMIFS(SF_Output!$T$1:$T$400,SF_Output!$AC$1:$AC$400,_xlfn.TEXTJOIN(",",TRUE,B211:E211),SF_Output!$Q$1:$Q$400,"monthly")=0),(SUMIFS(SF_Output!$F$1:$F$400,SF_Output!$AC$1:$AC$400,_xlfn.TEXTJOIN(",",TRUE,B211:E211),SF_Output!$Q$1:$Q$400,"monthly")+SUMIFS(SF_Output!$G$1:$G$400,SF_Output!$AC$1:$AC$400,_xlfn.TEXTJOIN(",",TRUE,B211:E211),SF_Output!$Q$1:$Q$400,"monthly"))*H211,AND(B211&lt;&gt;"",H211=SF_Output!$Y$2,SUMIFS(SF_Output!$T$1:$T$400,SF_Output!$AC$1:$AC$400,_xlfn.TEXTJOIN(",",TRUE,B211:E211),SF_Output!$Q$1:$Q$400,"monthly")&lt;&gt;0),SUMIFS(SF_Output!$S$1:$S$400,SF_Output!$AC$1:$AC$400,_xlfn.TEXTJOIN(",",TRUE,B211:E211),SF_Output!$Q$1:$Q$400,"monthly"),AND(B211&lt;&gt;"",H211&lt;&gt;SF_Output!$Y$2),SUMIFS(SF_Output!$S$1:$S$400,SF_Output!$AC$1:$AC$400,_xlfn.TEXTJOIN(",",TRUE,B211:E211),SF_Output!$Q$1:$Q$400,"monthly"))</f>
        <v/>
      </c>
      <c r="W211" s="112" t="str" cm="1">
        <f t="array" ref="W211">_xlfn.IFS(OR(B211=0,B211="",V211=0),"",AF211&lt;&gt;"exclusion",MAX($W$9,$W$7,(-(SUMIFS(SF_Output!$T$1:$T$400,SF_Output!$AC$1:$AC$400,_xlfn.TEXTJOIN(",",TRUE,$B211:$E211),SF_Output!$Q$1:$Q$400,"monthly"))/V211)),AF211="exclusion",-(SUMIFS(SF_Output!$T$1:$T$400,SF_Output!$AC$1:$AC$400,_xlfn.TEXTJOIN(",",TRUE,$B211:$E211),SF_Output!$Q$1:$Q$400,"monthly"))/V211)</f>
        <v/>
      </c>
      <c r="X211" s="6" t="str" cm="1">
        <f t="array" ref="X211">IFERROR(_xlfn.IFS(V211=0,0,V211="","",W211=0,V211,OR(V211&lt;&gt;0,V211&lt;&gt;""),H211*I211),V211*(1-W211))</f>
        <v/>
      </c>
      <c r="Z211" s="6" t="str">
        <f>IFERROR(IF(B211="","",SUMIFS(Billing_Fallout!H:H,Billing_Fallout!N:N,B211)),0)</f>
        <v/>
      </c>
      <c r="AA211" s="6" t="str">
        <f t="shared" si="55"/>
        <v/>
      </c>
      <c r="AB211" s="6" t="str">
        <f>IFERROR(IF(B211="","",SUMIFS(Billing_Fallout!J:J,Billing_Fallout!N:N,B211)),0)</f>
        <v/>
      </c>
      <c r="AD211" s="6" t="str">
        <f t="shared" si="56"/>
        <v/>
      </c>
      <c r="AF211" t="str">
        <f>IFERROR(INDEX(H_Tables!$B$1:$B$1500,MATCH(INDEX(SF_Output!$J$1:$J$400,MATCH(B211,SF_Output!$M$1:$M$400,0)),H_Tables!$A$1:$A$1500,0)),"")</f>
        <v/>
      </c>
      <c r="AI211" s="119" t="str">
        <f t="shared" si="57"/>
        <v/>
      </c>
      <c r="AJ211" s="121">
        <f>IFERROR(INDEX(SF_Output!AD:AD,MATCH(_xlfn.TEXTJOIN(",",TRUE,B211:E211),SF_Output!AC1:AC400,0)),0.05)</f>
        <v>241</v>
      </c>
      <c r="AK211" t="str">
        <f>IF(SUMIFS(SF_Output!$F$1:$F$400,SF_Output!$AC$1:$AC$400,_xlfn.TEXTJOIN(",",TRUE,B211:E211))+SUMIFS(SF_Output!$G$1:$G$400,SF_Output!$AC$1:$AC$400,_xlfn.TEXTJOIN(",",TRUE,B211:E211))=0,"","PAP")</f>
        <v/>
      </c>
      <c r="AQ211" s="35"/>
      <c r="AR211" s="35" t="str" cm="1">
        <f t="array" ref="AR211">IFERROR(_xlfn.IFS(AND(E211*1=1,F211="Included"),"Change to Included",AND(E211*1=0,F211="Optional"),"Change to Optional",OR(B211="",F211="replaced"),""),"")</f>
        <v/>
      </c>
      <c r="AS211" s="35" t="str">
        <f t="shared" si="58"/>
        <v/>
      </c>
      <c r="AT211" s="35" t="str">
        <f t="shared" si="59"/>
        <v/>
      </c>
      <c r="AU211" s="35" t="str">
        <f t="shared" si="60"/>
        <v/>
      </c>
      <c r="AV211" s="35" t="str">
        <f t="shared" si="61"/>
        <v/>
      </c>
      <c r="AW211" s="35" t="str">
        <f t="shared" si="62"/>
        <v/>
      </c>
      <c r="AX211" s="35" t="str">
        <f t="shared" si="63"/>
        <v/>
      </c>
      <c r="AY211" s="35" t="str">
        <f t="shared" si="64"/>
        <v/>
      </c>
      <c r="AZ211" s="35" t="str">
        <f t="shared" si="65"/>
        <v/>
      </c>
      <c r="BA211" s="35" t="str">
        <f t="shared" si="66"/>
        <v/>
      </c>
      <c r="BB211" s="35" t="str">
        <f t="shared" si="67"/>
        <v/>
      </c>
      <c r="BC211" s="35"/>
      <c r="BE211" s="35" t="e">
        <f>INDEX(SF_Output!$AA$2:$AA$400,MATCH($B211,SF_Output!$M$2:$M$400,0))</f>
        <v>#N/A</v>
      </c>
      <c r="BF211" s="35" t="e">
        <f>INDEX(SF_Output!$AB$2:$AB$400,MATCH($B211,SF_Output!$M$2:$M$400,0))</f>
        <v>#N/A</v>
      </c>
    </row>
    <row r="212" spans="6:58" x14ac:dyDescent="0.25">
      <c r="F212" s="116" t="str">
        <f t="shared" si="51"/>
        <v/>
      </c>
      <c r="G212" t="str">
        <f>IF(B212="","",INDEX(SF_Output!$K$1:$K$400,MATCH(B212,SF_Output!$M$1:$M$400,0)))</f>
        <v/>
      </c>
      <c r="H212" t="str" cm="1">
        <f t="array" ref="H212">_xlfn.IFS(B212="","",(SUMIFS(SF_Output!$F$1:$F$400,SF_Output!$AC$1:$AC$400,_xlfn.TEXTJOIN(",",TRUE,B212:E212))+SUMIFS(SF_Output!$G$1:$G$400,SF_Output!$AC$1:$AC$400,_xlfn.TEXTJOIN(",",TRUE,B212:E212)))&lt;&gt;0,SF_Output!$Y$2,INDEX(SF_Output!$F$1:$F$400,MATCH(_xlfn.TEXTJOIN(",",TRUE,B212:E212),SF_Output!$AC$1:$AC$400,0))=0,INDEX(SF_Output!$R$1:$R$400,MATCH(_xlfn.TEXTJOIN(",",TRUE,B212:E212),SF_Output!$AC$1:$AC$400,0)))</f>
        <v/>
      </c>
      <c r="I212" s="125" t="str">
        <f>IFERROR(IF(AND(H212&gt;1,H212&lt;&gt;""),ROUND(SUMIFS(SF_Output!$S$1:$S$400,SF_Output!$AC$1:$AC$400,_xlfn.TEXTJOIN(",",TRUE,B212:E212),SF_Output!$Q$1:$Q$400,"monthly")*(1-W212)/H212,4),""),"")</f>
        <v/>
      </c>
      <c r="J212" s="6" t="str">
        <f>IF(B212="","",SUMIFS(SF_Output!$S$1:$S$400,SF_Output!$AC$1:$AC$400,_xlfn.TEXTJOIN(",",TRUE,B212:E212),SF_Output!$Q$1:$Q$400,"One Time",SF_Output!$L$1:$L$400,"license fee")+SUMIFS(SF_Output!$S$1:$S$400,SF_Output!$AC$1:$AC$400,_xlfn.TEXTJOIN(",",TRUE,B212:E212),SF_Output!$Q$1:$Q$400,"One Time",SF_Output!$L$1:$L$400,"software license")+SUMIFS(SF_Output!$S$1:$S$400,SF_Output!$AC$1:$AC$400,_xlfn.TEXTJOIN(",",TRUE,B212:E212),SF_Output!$Q$1:$Q$400,"One Time",SF_Output!$L$1:$L$400,"hardware"))</f>
        <v/>
      </c>
      <c r="K212" s="112" t="str">
        <f>IF(OR(B212=0,B212="",G212="hardware",J212=0),"",IF(AF212&lt;&gt;"exclusion",MAX(K$9,-((SUMIFS(SF_Output!$T$1:$T$400,SF_Output!$AC$1:$AC$400,_xlfn.TEXTJOIN(",",TRUE,$B212:$E212),SF_Output!$Q$1:$Q$400,"One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license"))/J212)))</f>
        <v/>
      </c>
      <c r="L212" s="6" t="str">
        <f t="shared" si="52"/>
        <v/>
      </c>
      <c r="N212" s="6" t="str">
        <f>IF(B212="","",SUMIFS(SF_Output!$S$1:$S$400,SF_Output!$AC$1:$AC$400,_xlfn.TEXTJOIN(",",TRUE,B212:E212),SF_Output!$Q$1:$Q$400,"One Time",SF_Output!$L$1:$L$400,"professional service"))</f>
        <v/>
      </c>
      <c r="O212" s="112" t="str">
        <f>IF(OR(B212=0,B212="",N212=0),"",IF(AF212&lt;&gt;"exclusion",MAX(O$9,-(SUMIFS(SF_Output!$T$1:$T$400,SF_Output!$AC$1:$AC$400,_xlfn.TEXTJOIN(",",TRUE,$B212:$E212),SF_Output!$Q$1:$Q$400,"One Time",SF_Output!$L$1:$L$400,"professional service"))/N212),-((SUMIFS(SF_Output!$T$1:$T$400,SF_Output!$AC$1:$AC$400,_xlfn.TEXTJOIN(",",TRUE,$B212:$E212),SF_Output!$Q$1:$Q$400,"One Time",SF_Output!$L$1:$L$400,"professional service")/N212))))</f>
        <v/>
      </c>
      <c r="P212" s="6" t="str">
        <f t="shared" si="53"/>
        <v/>
      </c>
      <c r="R212" s="6" t="str">
        <f>IF(B212="","",SUMIFS(SF_Output!$S$1:$S$400,SF_Output!$AC$1:$AC$400,_xlfn.TEXTJOIN(",",TRUE,B212:E212),SF_Output!$Q$1:$Q$400,"yearly")+SUMIFS(SF_Output!$S$1:$S$400,SF_Output!$AC$1:$AC$400,_xlfn.TEXTJOIN(",",TRUE,B212:E212),SF_Output!$Q$1:$Q$400,"quarterly")*4)</f>
        <v/>
      </c>
      <c r="S212" s="112" t="str">
        <f>IF(OR(B212=0,B212="",G212="hardware",R212=0),"",IF(AF212&lt;&gt;"exclusion",MAX(S$9,-(SUMIFS(SF_Output!$T$1:$T$400,SF_Output!$AC$1:$AC$400,_xlfn.TEXTJOIN(",",TRUE,$B212:$E212),SF_Output!$Q$1:$Q$400,"yearly"))/R212),-((SUMIFS(SF_Output!$T$1:$T$400,SF_Output!$AC$1:$AC$400,_xlfn.TEXTJOIN(",",TRUE,$B212:$E212),SF_Output!$Q$1:$Q$400,"yearly")/R212))))</f>
        <v/>
      </c>
      <c r="T212" s="6" t="str">
        <f t="shared" si="54"/>
        <v/>
      </c>
      <c r="V212" s="6" t="str" cm="1">
        <f t="array" ref="V212">_xlfn.IFS(B212="","",AND(B212&lt;&gt;"",H212=SF_Output!$Y$2,SUMIFS(SF_Output!$T$1:$T$400,SF_Output!$AC$1:$AC$400,_xlfn.TEXTJOIN(",",TRUE,B212:E212),SF_Output!$Q$1:$Q$400,"monthly")=0),(SUMIFS(SF_Output!$F$1:$F$400,SF_Output!$AC$1:$AC$400,_xlfn.TEXTJOIN(",",TRUE,B212:E212),SF_Output!$Q$1:$Q$400,"monthly")+SUMIFS(SF_Output!$G$1:$G$400,SF_Output!$AC$1:$AC$400,_xlfn.TEXTJOIN(",",TRUE,B212:E212),SF_Output!$Q$1:$Q$400,"monthly"))*H212,AND(B212&lt;&gt;"",H212=SF_Output!$Y$2,SUMIFS(SF_Output!$T$1:$T$400,SF_Output!$AC$1:$AC$400,_xlfn.TEXTJOIN(",",TRUE,B212:E212),SF_Output!$Q$1:$Q$400,"monthly")&lt;&gt;0),SUMIFS(SF_Output!$S$1:$S$400,SF_Output!$AC$1:$AC$400,_xlfn.TEXTJOIN(",",TRUE,B212:E212),SF_Output!$Q$1:$Q$400,"monthly"),AND(B212&lt;&gt;"",H212&lt;&gt;SF_Output!$Y$2),SUMIFS(SF_Output!$S$1:$S$400,SF_Output!$AC$1:$AC$400,_xlfn.TEXTJOIN(",",TRUE,B212:E212),SF_Output!$Q$1:$Q$400,"monthly"))</f>
        <v/>
      </c>
      <c r="W212" s="112" t="str" cm="1">
        <f t="array" ref="W212">_xlfn.IFS(OR(B212=0,B212="",V212=0),"",AF212&lt;&gt;"exclusion",MAX($W$9,$W$7,(-(SUMIFS(SF_Output!$T$1:$T$400,SF_Output!$AC$1:$AC$400,_xlfn.TEXTJOIN(",",TRUE,$B212:$E212),SF_Output!$Q$1:$Q$400,"monthly"))/V212)),AF212="exclusion",-(SUMIFS(SF_Output!$T$1:$T$400,SF_Output!$AC$1:$AC$400,_xlfn.TEXTJOIN(",",TRUE,$B212:$E212),SF_Output!$Q$1:$Q$400,"monthly"))/V212)</f>
        <v/>
      </c>
      <c r="X212" s="6" t="str" cm="1">
        <f t="array" ref="X212">IFERROR(_xlfn.IFS(V212=0,0,V212="","",W212=0,V212,OR(V212&lt;&gt;0,V212&lt;&gt;""),H212*I212),V212*(1-W212))</f>
        <v/>
      </c>
      <c r="Z212" s="6" t="str">
        <f>IFERROR(IF(B212="","",SUMIFS(Billing_Fallout!H:H,Billing_Fallout!N:N,B212)),0)</f>
        <v/>
      </c>
      <c r="AA212" s="6" t="str">
        <f t="shared" si="55"/>
        <v/>
      </c>
      <c r="AB212" s="6" t="str">
        <f>IFERROR(IF(B212="","",SUMIFS(Billing_Fallout!J:J,Billing_Fallout!N:N,B212)),0)</f>
        <v/>
      </c>
      <c r="AD212" s="6" t="str">
        <f t="shared" si="56"/>
        <v/>
      </c>
      <c r="AF212" t="str">
        <f>IFERROR(INDEX(H_Tables!$B$1:$B$1500,MATCH(INDEX(SF_Output!$J$1:$J$400,MATCH(B212,SF_Output!$M$1:$M$400,0)),H_Tables!$A$1:$A$1500,0)),"")</f>
        <v/>
      </c>
      <c r="AI212" s="119" t="str">
        <f t="shared" si="57"/>
        <v/>
      </c>
      <c r="AJ212" s="121">
        <f>IFERROR(INDEX(SF_Output!AD:AD,MATCH(_xlfn.TEXTJOIN(",",TRUE,B212:E212),SF_Output!AC1:AC400,0)),0.05)</f>
        <v>241</v>
      </c>
      <c r="AK212" t="str">
        <f>IF(SUMIFS(SF_Output!$F$1:$F$400,SF_Output!$AC$1:$AC$400,_xlfn.TEXTJOIN(",",TRUE,B212:E212))+SUMIFS(SF_Output!$G$1:$G$400,SF_Output!$AC$1:$AC$400,_xlfn.TEXTJOIN(",",TRUE,B212:E212))=0,"","PAP")</f>
        <v/>
      </c>
      <c r="AQ212" s="35"/>
      <c r="AR212" s="35" t="str" cm="1">
        <f t="array" ref="AR212">IFERROR(_xlfn.IFS(AND(E212*1=1,F212="Included"),"Change to Included",AND(E212*1=0,F212="Optional"),"Change to Optional",OR(B212="",F212="replaced"),""),"")</f>
        <v/>
      </c>
      <c r="AS212" s="35" t="str">
        <f t="shared" si="58"/>
        <v/>
      </c>
      <c r="AT212" s="35" t="str">
        <f t="shared" si="59"/>
        <v/>
      </c>
      <c r="AU212" s="35" t="str">
        <f t="shared" si="60"/>
        <v/>
      </c>
      <c r="AV212" s="35" t="str">
        <f t="shared" si="61"/>
        <v/>
      </c>
      <c r="AW212" s="35" t="str">
        <f t="shared" si="62"/>
        <v/>
      </c>
      <c r="AX212" s="35" t="str">
        <f t="shared" si="63"/>
        <v/>
      </c>
      <c r="AY212" s="35" t="str">
        <f t="shared" si="64"/>
        <v/>
      </c>
      <c r="AZ212" s="35" t="str">
        <f t="shared" si="65"/>
        <v/>
      </c>
      <c r="BA212" s="35" t="str">
        <f t="shared" si="66"/>
        <v/>
      </c>
      <c r="BB212" s="35" t="str">
        <f t="shared" si="67"/>
        <v/>
      </c>
      <c r="BC212" s="35"/>
      <c r="BE212" s="35" t="e">
        <f>INDEX(SF_Output!$AA$2:$AA$400,MATCH($B212,SF_Output!$M$2:$M$400,0))</f>
        <v>#N/A</v>
      </c>
      <c r="BF212" s="35" t="e">
        <f>INDEX(SF_Output!$AB$2:$AB$400,MATCH($B212,SF_Output!$M$2:$M$400,0))</f>
        <v>#N/A</v>
      </c>
    </row>
    <row r="213" spans="6:58" x14ac:dyDescent="0.25">
      <c r="F213" s="116" t="str">
        <f t="shared" si="51"/>
        <v/>
      </c>
      <c r="G213" t="str">
        <f>IF(B213="","",INDEX(SF_Output!$K$1:$K$400,MATCH(B213,SF_Output!$M$1:$M$400,0)))</f>
        <v/>
      </c>
      <c r="H213" t="str" cm="1">
        <f t="array" ref="H213">_xlfn.IFS(B213="","",(SUMIFS(SF_Output!$F$1:$F$400,SF_Output!$AC$1:$AC$400,_xlfn.TEXTJOIN(",",TRUE,B213:E213))+SUMIFS(SF_Output!$G$1:$G$400,SF_Output!$AC$1:$AC$400,_xlfn.TEXTJOIN(",",TRUE,B213:E213)))&lt;&gt;0,SF_Output!$Y$2,INDEX(SF_Output!$F$1:$F$400,MATCH(_xlfn.TEXTJOIN(",",TRUE,B213:E213),SF_Output!$AC$1:$AC$400,0))=0,INDEX(SF_Output!$R$1:$R$400,MATCH(_xlfn.TEXTJOIN(",",TRUE,B213:E213),SF_Output!$AC$1:$AC$400,0)))</f>
        <v/>
      </c>
      <c r="I213" s="125" t="str">
        <f>IFERROR(IF(AND(H213&gt;1,H213&lt;&gt;""),ROUND(SUMIFS(SF_Output!$S$1:$S$400,SF_Output!$AC$1:$AC$400,_xlfn.TEXTJOIN(",",TRUE,B213:E213),SF_Output!$Q$1:$Q$400,"monthly")*(1-W213)/H213,4),""),"")</f>
        <v/>
      </c>
      <c r="J213" s="6" t="str">
        <f>IF(B213="","",SUMIFS(SF_Output!$S$1:$S$400,SF_Output!$AC$1:$AC$400,_xlfn.TEXTJOIN(",",TRUE,B213:E213),SF_Output!$Q$1:$Q$400,"One Time",SF_Output!$L$1:$L$400,"license fee")+SUMIFS(SF_Output!$S$1:$S$400,SF_Output!$AC$1:$AC$400,_xlfn.TEXTJOIN(",",TRUE,B213:E213),SF_Output!$Q$1:$Q$400,"One Time",SF_Output!$L$1:$L$400,"software license")+SUMIFS(SF_Output!$S$1:$S$400,SF_Output!$AC$1:$AC$400,_xlfn.TEXTJOIN(",",TRUE,B213:E213),SF_Output!$Q$1:$Q$400,"One Time",SF_Output!$L$1:$L$400,"hardware"))</f>
        <v/>
      </c>
      <c r="K213" s="112" t="str">
        <f>IF(OR(B213=0,B213="",G213="hardware",J213=0),"",IF(AF213&lt;&gt;"exclusion",MAX(K$9,-((SUMIFS(SF_Output!$T$1:$T$400,SF_Output!$AC$1:$AC$400,_xlfn.TEXTJOIN(",",TRUE,$B213:$E213),SF_Output!$Q$1:$Q$400,"One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license"))/J213)))</f>
        <v/>
      </c>
      <c r="L213" s="6" t="str">
        <f t="shared" si="52"/>
        <v/>
      </c>
      <c r="N213" s="6" t="str">
        <f>IF(B213="","",SUMIFS(SF_Output!$S$1:$S$400,SF_Output!$AC$1:$AC$400,_xlfn.TEXTJOIN(",",TRUE,B213:E213),SF_Output!$Q$1:$Q$400,"One Time",SF_Output!$L$1:$L$400,"professional service"))</f>
        <v/>
      </c>
      <c r="O213" s="112" t="str">
        <f>IF(OR(B213=0,B213="",N213=0),"",IF(AF213&lt;&gt;"exclusion",MAX(O$9,-(SUMIFS(SF_Output!$T$1:$T$400,SF_Output!$AC$1:$AC$400,_xlfn.TEXTJOIN(",",TRUE,$B213:$E213),SF_Output!$Q$1:$Q$400,"One Time",SF_Output!$L$1:$L$400,"professional service"))/N213),-((SUMIFS(SF_Output!$T$1:$T$400,SF_Output!$AC$1:$AC$400,_xlfn.TEXTJOIN(",",TRUE,$B213:$E213),SF_Output!$Q$1:$Q$400,"One Time",SF_Output!$L$1:$L$400,"professional service")/N213))))</f>
        <v/>
      </c>
      <c r="P213" s="6" t="str">
        <f t="shared" si="53"/>
        <v/>
      </c>
      <c r="R213" s="6" t="str">
        <f>IF(B213="","",SUMIFS(SF_Output!$S$1:$S$400,SF_Output!$AC$1:$AC$400,_xlfn.TEXTJOIN(",",TRUE,B213:E213),SF_Output!$Q$1:$Q$400,"yearly")+SUMIFS(SF_Output!$S$1:$S$400,SF_Output!$AC$1:$AC$400,_xlfn.TEXTJOIN(",",TRUE,B213:E213),SF_Output!$Q$1:$Q$400,"quarterly")*4)</f>
        <v/>
      </c>
      <c r="S213" s="112" t="str">
        <f>IF(OR(B213=0,B213="",G213="hardware",R213=0),"",IF(AF213&lt;&gt;"exclusion",MAX(S$9,-(SUMIFS(SF_Output!$T$1:$T$400,SF_Output!$AC$1:$AC$400,_xlfn.TEXTJOIN(",",TRUE,$B213:$E213),SF_Output!$Q$1:$Q$400,"yearly"))/R213),-((SUMIFS(SF_Output!$T$1:$T$400,SF_Output!$AC$1:$AC$400,_xlfn.TEXTJOIN(",",TRUE,$B213:$E213),SF_Output!$Q$1:$Q$400,"yearly")/R213))))</f>
        <v/>
      </c>
      <c r="T213" s="6" t="str">
        <f t="shared" si="54"/>
        <v/>
      </c>
      <c r="V213" s="6" t="str" cm="1">
        <f t="array" ref="V213">_xlfn.IFS(B213="","",AND(B213&lt;&gt;"",H213=SF_Output!$Y$2,SUMIFS(SF_Output!$T$1:$T$400,SF_Output!$AC$1:$AC$400,_xlfn.TEXTJOIN(",",TRUE,B213:E213),SF_Output!$Q$1:$Q$400,"monthly")=0),(SUMIFS(SF_Output!$F$1:$F$400,SF_Output!$AC$1:$AC$400,_xlfn.TEXTJOIN(",",TRUE,B213:E213),SF_Output!$Q$1:$Q$400,"monthly")+SUMIFS(SF_Output!$G$1:$G$400,SF_Output!$AC$1:$AC$400,_xlfn.TEXTJOIN(",",TRUE,B213:E213),SF_Output!$Q$1:$Q$400,"monthly"))*H213,AND(B213&lt;&gt;"",H213=SF_Output!$Y$2,SUMIFS(SF_Output!$T$1:$T$400,SF_Output!$AC$1:$AC$400,_xlfn.TEXTJOIN(",",TRUE,B213:E213),SF_Output!$Q$1:$Q$400,"monthly")&lt;&gt;0),SUMIFS(SF_Output!$S$1:$S$400,SF_Output!$AC$1:$AC$400,_xlfn.TEXTJOIN(",",TRUE,B213:E213),SF_Output!$Q$1:$Q$400,"monthly"),AND(B213&lt;&gt;"",H213&lt;&gt;SF_Output!$Y$2),SUMIFS(SF_Output!$S$1:$S$400,SF_Output!$AC$1:$AC$400,_xlfn.TEXTJOIN(",",TRUE,B213:E213),SF_Output!$Q$1:$Q$400,"monthly"))</f>
        <v/>
      </c>
      <c r="W213" s="112" t="str" cm="1">
        <f t="array" ref="W213">_xlfn.IFS(OR(B213=0,B213="",V213=0),"",AF213&lt;&gt;"exclusion",MAX($W$9,$W$7,(-(SUMIFS(SF_Output!$T$1:$T$400,SF_Output!$AC$1:$AC$400,_xlfn.TEXTJOIN(",",TRUE,$B213:$E213),SF_Output!$Q$1:$Q$400,"monthly"))/V213)),AF213="exclusion",-(SUMIFS(SF_Output!$T$1:$T$400,SF_Output!$AC$1:$AC$400,_xlfn.TEXTJOIN(",",TRUE,$B213:$E213),SF_Output!$Q$1:$Q$400,"monthly"))/V213)</f>
        <v/>
      </c>
      <c r="X213" s="6" t="str" cm="1">
        <f t="array" ref="X213">IFERROR(_xlfn.IFS(V213=0,0,V213="","",W213=0,V213,OR(V213&lt;&gt;0,V213&lt;&gt;""),H213*I213),V213*(1-W213))</f>
        <v/>
      </c>
      <c r="Z213" s="6" t="str">
        <f>IFERROR(IF(B213="","",SUMIFS(Billing_Fallout!H:H,Billing_Fallout!N:N,B213)),0)</f>
        <v/>
      </c>
      <c r="AA213" s="6" t="str">
        <f t="shared" si="55"/>
        <v/>
      </c>
      <c r="AB213" s="6" t="str">
        <f>IFERROR(IF(B213="","",SUMIFS(Billing_Fallout!J:J,Billing_Fallout!N:N,B213)),0)</f>
        <v/>
      </c>
      <c r="AD213" s="6" t="str">
        <f t="shared" si="56"/>
        <v/>
      </c>
      <c r="AF213" t="str">
        <f>IFERROR(INDEX(H_Tables!$B$1:$B$1500,MATCH(INDEX(SF_Output!$J$1:$J$400,MATCH(B213,SF_Output!$M$1:$M$400,0)),H_Tables!$A$1:$A$1500,0)),"")</f>
        <v/>
      </c>
      <c r="AI213" s="119" t="str">
        <f t="shared" si="57"/>
        <v/>
      </c>
      <c r="AJ213" s="121">
        <f>IFERROR(INDEX(SF_Output!AD:AD,MATCH(_xlfn.TEXTJOIN(",",TRUE,B213:E213),SF_Output!AC1:AC400,0)),0.05)</f>
        <v>241</v>
      </c>
      <c r="AK213" t="str">
        <f>IF(SUMIFS(SF_Output!$F$1:$F$400,SF_Output!$AC$1:$AC$400,_xlfn.TEXTJOIN(",",TRUE,B213:E213))+SUMIFS(SF_Output!$G$1:$G$400,SF_Output!$AC$1:$AC$400,_xlfn.TEXTJOIN(",",TRUE,B213:E213))=0,"","PAP")</f>
        <v/>
      </c>
      <c r="AQ213" s="35"/>
      <c r="AR213" s="35" t="str" cm="1">
        <f t="array" ref="AR213">IFERROR(_xlfn.IFS(AND(E213*1=1,F213="Included"),"Change to Included",AND(E213*1=0,F213="Optional"),"Change to Optional",OR(B213="",F213="replaced"),""),"")</f>
        <v/>
      </c>
      <c r="AS213" s="35" t="str">
        <f t="shared" si="58"/>
        <v/>
      </c>
      <c r="AT213" s="35" t="str">
        <f t="shared" si="59"/>
        <v/>
      </c>
      <c r="AU213" s="35" t="str">
        <f t="shared" si="60"/>
        <v/>
      </c>
      <c r="AV213" s="35" t="str">
        <f t="shared" si="61"/>
        <v/>
      </c>
      <c r="AW213" s="35" t="str">
        <f t="shared" si="62"/>
        <v/>
      </c>
      <c r="AX213" s="35" t="str">
        <f t="shared" si="63"/>
        <v/>
      </c>
      <c r="AY213" s="35" t="str">
        <f t="shared" si="64"/>
        <v/>
      </c>
      <c r="AZ213" s="35" t="str">
        <f t="shared" si="65"/>
        <v/>
      </c>
      <c r="BA213" s="35" t="str">
        <f t="shared" si="66"/>
        <v/>
      </c>
      <c r="BB213" s="35" t="str">
        <f t="shared" si="67"/>
        <v/>
      </c>
      <c r="BC213" s="35"/>
      <c r="BE213" s="35" t="e">
        <f>INDEX(SF_Output!$AA$2:$AA$400,MATCH($B213,SF_Output!$M$2:$M$400,0))</f>
        <v>#N/A</v>
      </c>
      <c r="BF213" s="35" t="e">
        <f>INDEX(SF_Output!$AB$2:$AB$400,MATCH($B213,SF_Output!$M$2:$M$400,0))</f>
        <v>#N/A</v>
      </c>
    </row>
    <row r="214" spans="6:58" x14ac:dyDescent="0.25">
      <c r="F214" s="116" t="str">
        <f t="shared" si="51"/>
        <v/>
      </c>
      <c r="G214" t="str">
        <f>IF(B214="","",INDEX(SF_Output!$K$1:$K$400,MATCH(B214,SF_Output!$M$1:$M$400,0)))</f>
        <v/>
      </c>
      <c r="H214" t="str" cm="1">
        <f t="array" ref="H214">_xlfn.IFS(B214="","",(SUMIFS(SF_Output!$F$1:$F$400,SF_Output!$AC$1:$AC$400,_xlfn.TEXTJOIN(",",TRUE,B214:E214))+SUMIFS(SF_Output!$G$1:$G$400,SF_Output!$AC$1:$AC$400,_xlfn.TEXTJOIN(",",TRUE,B214:E214)))&lt;&gt;0,SF_Output!$Y$2,INDEX(SF_Output!$F$1:$F$400,MATCH(_xlfn.TEXTJOIN(",",TRUE,B214:E214),SF_Output!$AC$1:$AC$400,0))=0,INDEX(SF_Output!$R$1:$R$400,MATCH(_xlfn.TEXTJOIN(",",TRUE,B214:E214),SF_Output!$AC$1:$AC$400,0)))</f>
        <v/>
      </c>
      <c r="I214" s="125" t="str">
        <f>IFERROR(IF(AND(H214&gt;1,H214&lt;&gt;""),ROUND(SUMIFS(SF_Output!$S$1:$S$400,SF_Output!$AC$1:$AC$400,_xlfn.TEXTJOIN(",",TRUE,B214:E214),SF_Output!$Q$1:$Q$400,"monthly")*(1-W214)/H214,4),""),"")</f>
        <v/>
      </c>
      <c r="J214" s="6" t="str">
        <f>IF(B214="","",SUMIFS(SF_Output!$S$1:$S$400,SF_Output!$AC$1:$AC$400,_xlfn.TEXTJOIN(",",TRUE,B214:E214),SF_Output!$Q$1:$Q$400,"One Time",SF_Output!$L$1:$L$400,"license fee")+SUMIFS(SF_Output!$S$1:$S$400,SF_Output!$AC$1:$AC$400,_xlfn.TEXTJOIN(",",TRUE,B214:E214),SF_Output!$Q$1:$Q$400,"One Time",SF_Output!$L$1:$L$400,"software license")+SUMIFS(SF_Output!$S$1:$S$400,SF_Output!$AC$1:$AC$400,_xlfn.TEXTJOIN(",",TRUE,B214:E214),SF_Output!$Q$1:$Q$400,"One Time",SF_Output!$L$1:$L$400,"hardware"))</f>
        <v/>
      </c>
      <c r="K214" s="112" t="str">
        <f>IF(OR(B214=0,B214="",G214="hardware",J214=0),"",IF(AF214&lt;&gt;"exclusion",MAX(K$9,-((SUMIFS(SF_Output!$T$1:$T$400,SF_Output!$AC$1:$AC$400,_xlfn.TEXTJOIN(",",TRUE,$B214:$E214),SF_Output!$Q$1:$Q$400,"One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license"))/J214)))</f>
        <v/>
      </c>
      <c r="L214" s="6" t="str">
        <f t="shared" si="52"/>
        <v/>
      </c>
      <c r="N214" s="6" t="str">
        <f>IF(B214="","",SUMIFS(SF_Output!$S$1:$S$400,SF_Output!$AC$1:$AC$400,_xlfn.TEXTJOIN(",",TRUE,B214:E214),SF_Output!$Q$1:$Q$400,"One Time",SF_Output!$L$1:$L$400,"professional service"))</f>
        <v/>
      </c>
      <c r="O214" s="112" t="str">
        <f>IF(OR(B214=0,B214="",N214=0),"",IF(AF214&lt;&gt;"exclusion",MAX(O$9,-(SUMIFS(SF_Output!$T$1:$T$400,SF_Output!$AC$1:$AC$400,_xlfn.TEXTJOIN(",",TRUE,$B214:$E214),SF_Output!$Q$1:$Q$400,"One Time",SF_Output!$L$1:$L$400,"professional service"))/N214),-((SUMIFS(SF_Output!$T$1:$T$400,SF_Output!$AC$1:$AC$400,_xlfn.TEXTJOIN(",",TRUE,$B214:$E214),SF_Output!$Q$1:$Q$400,"One Time",SF_Output!$L$1:$L$400,"professional service")/N214))))</f>
        <v/>
      </c>
      <c r="P214" s="6" t="str">
        <f t="shared" si="53"/>
        <v/>
      </c>
      <c r="R214" s="6" t="str">
        <f>IF(B214="","",SUMIFS(SF_Output!$S$1:$S$400,SF_Output!$AC$1:$AC$400,_xlfn.TEXTJOIN(",",TRUE,B214:E214),SF_Output!$Q$1:$Q$400,"yearly")+SUMIFS(SF_Output!$S$1:$S$400,SF_Output!$AC$1:$AC$400,_xlfn.TEXTJOIN(",",TRUE,B214:E214),SF_Output!$Q$1:$Q$400,"quarterly")*4)</f>
        <v/>
      </c>
      <c r="S214" s="112" t="str">
        <f>IF(OR(B214=0,B214="",G214="hardware",R214=0),"",IF(AF214&lt;&gt;"exclusion",MAX(S$9,-(SUMIFS(SF_Output!$T$1:$T$400,SF_Output!$AC$1:$AC$400,_xlfn.TEXTJOIN(",",TRUE,$B214:$E214),SF_Output!$Q$1:$Q$400,"yearly"))/R214),-((SUMIFS(SF_Output!$T$1:$T$400,SF_Output!$AC$1:$AC$400,_xlfn.TEXTJOIN(",",TRUE,$B214:$E214),SF_Output!$Q$1:$Q$400,"yearly")/R214))))</f>
        <v/>
      </c>
      <c r="T214" s="6" t="str">
        <f t="shared" si="54"/>
        <v/>
      </c>
      <c r="V214" s="6" t="str" cm="1">
        <f t="array" ref="V214">_xlfn.IFS(B214="","",AND(B214&lt;&gt;"",H214=SF_Output!$Y$2,SUMIFS(SF_Output!$T$1:$T$400,SF_Output!$AC$1:$AC$400,_xlfn.TEXTJOIN(",",TRUE,B214:E214),SF_Output!$Q$1:$Q$400,"monthly")=0),(SUMIFS(SF_Output!$F$1:$F$400,SF_Output!$AC$1:$AC$400,_xlfn.TEXTJOIN(",",TRUE,B214:E214),SF_Output!$Q$1:$Q$400,"monthly")+SUMIFS(SF_Output!$G$1:$G$400,SF_Output!$AC$1:$AC$400,_xlfn.TEXTJOIN(",",TRUE,B214:E214),SF_Output!$Q$1:$Q$400,"monthly"))*H214,AND(B214&lt;&gt;"",H214=SF_Output!$Y$2,SUMIFS(SF_Output!$T$1:$T$400,SF_Output!$AC$1:$AC$400,_xlfn.TEXTJOIN(",",TRUE,B214:E214),SF_Output!$Q$1:$Q$400,"monthly")&lt;&gt;0),SUMIFS(SF_Output!$S$1:$S$400,SF_Output!$AC$1:$AC$400,_xlfn.TEXTJOIN(",",TRUE,B214:E214),SF_Output!$Q$1:$Q$400,"monthly"),AND(B214&lt;&gt;"",H214&lt;&gt;SF_Output!$Y$2),SUMIFS(SF_Output!$S$1:$S$400,SF_Output!$AC$1:$AC$400,_xlfn.TEXTJOIN(",",TRUE,B214:E214),SF_Output!$Q$1:$Q$400,"monthly"))</f>
        <v/>
      </c>
      <c r="W214" s="112" t="str" cm="1">
        <f t="array" ref="W214">_xlfn.IFS(OR(B214=0,B214="",V214=0),"",AF214&lt;&gt;"exclusion",MAX($W$9,$W$7,(-(SUMIFS(SF_Output!$T$1:$T$400,SF_Output!$AC$1:$AC$400,_xlfn.TEXTJOIN(",",TRUE,$B214:$E214),SF_Output!$Q$1:$Q$400,"monthly"))/V214)),AF214="exclusion",-(SUMIFS(SF_Output!$T$1:$T$400,SF_Output!$AC$1:$AC$400,_xlfn.TEXTJOIN(",",TRUE,$B214:$E214),SF_Output!$Q$1:$Q$400,"monthly"))/V214)</f>
        <v/>
      </c>
      <c r="X214" s="6" t="str" cm="1">
        <f t="array" ref="X214">IFERROR(_xlfn.IFS(V214=0,0,V214="","",W214=0,V214,OR(V214&lt;&gt;0,V214&lt;&gt;""),H214*I214),V214*(1-W214))</f>
        <v/>
      </c>
      <c r="Z214" s="6" t="str">
        <f>IFERROR(IF(B214="","",SUMIFS(Billing_Fallout!H:H,Billing_Fallout!N:N,B214)),0)</f>
        <v/>
      </c>
      <c r="AA214" s="6" t="str">
        <f t="shared" si="55"/>
        <v/>
      </c>
      <c r="AB214" s="6" t="str">
        <f>IFERROR(IF(B214="","",SUMIFS(Billing_Fallout!J:J,Billing_Fallout!N:N,B214)),0)</f>
        <v/>
      </c>
      <c r="AD214" s="6" t="str">
        <f t="shared" si="56"/>
        <v/>
      </c>
      <c r="AF214" t="str">
        <f>IFERROR(INDEX(H_Tables!$B$1:$B$1500,MATCH(INDEX(SF_Output!$J$1:$J$400,MATCH(B214,SF_Output!$M$1:$M$400,0)),H_Tables!$A$1:$A$1500,0)),"")</f>
        <v/>
      </c>
      <c r="AI214" s="119" t="str">
        <f t="shared" si="57"/>
        <v/>
      </c>
      <c r="AJ214" s="121">
        <f>IFERROR(INDEX(SF_Output!AD:AD,MATCH(_xlfn.TEXTJOIN(",",TRUE,B214:E214),SF_Output!AC1:AC400,0)),0.05)</f>
        <v>241</v>
      </c>
      <c r="AK214" t="str">
        <f>IF(SUMIFS(SF_Output!$F$1:$F$400,SF_Output!$AC$1:$AC$400,_xlfn.TEXTJOIN(",",TRUE,B214:E214))+SUMIFS(SF_Output!$G$1:$G$400,SF_Output!$AC$1:$AC$400,_xlfn.TEXTJOIN(",",TRUE,B214:E214))=0,"","PAP")</f>
        <v/>
      </c>
      <c r="AQ214" s="35"/>
      <c r="AR214" s="35" t="str" cm="1">
        <f t="array" ref="AR214">IFERROR(_xlfn.IFS(AND(E214*1=1,F214="Included"),"Change to Included",AND(E214*1=0,F214="Optional"),"Change to Optional",OR(B214="",F214="replaced"),""),"")</f>
        <v/>
      </c>
      <c r="AS214" s="35" t="str">
        <f t="shared" si="58"/>
        <v/>
      </c>
      <c r="AT214" s="35" t="str">
        <f t="shared" si="59"/>
        <v/>
      </c>
      <c r="AU214" s="35" t="str">
        <f t="shared" si="60"/>
        <v/>
      </c>
      <c r="AV214" s="35" t="str">
        <f t="shared" si="61"/>
        <v/>
      </c>
      <c r="AW214" s="35" t="str">
        <f t="shared" si="62"/>
        <v/>
      </c>
      <c r="AX214" s="35" t="str">
        <f t="shared" si="63"/>
        <v/>
      </c>
      <c r="AY214" s="35" t="str">
        <f t="shared" si="64"/>
        <v/>
      </c>
      <c r="AZ214" s="35" t="str">
        <f t="shared" si="65"/>
        <v/>
      </c>
      <c r="BA214" s="35" t="str">
        <f t="shared" si="66"/>
        <v/>
      </c>
      <c r="BB214" s="35" t="str">
        <f t="shared" si="67"/>
        <v/>
      </c>
      <c r="BC214" s="35"/>
      <c r="BE214" s="35" t="e">
        <f>INDEX(SF_Output!$AA$2:$AA$400,MATCH($B214,SF_Output!$M$2:$M$400,0))</f>
        <v>#N/A</v>
      </c>
      <c r="BF214" s="35" t="e">
        <f>INDEX(SF_Output!$AB$2:$AB$400,MATCH($B214,SF_Output!$M$2:$M$400,0))</f>
        <v>#N/A</v>
      </c>
    </row>
    <row r="215" spans="6:58" x14ac:dyDescent="0.25">
      <c r="F215" s="116" t="str">
        <f t="shared" si="51"/>
        <v/>
      </c>
      <c r="G215" t="str">
        <f>IF(B215="","",INDEX(SF_Output!$K$1:$K$400,MATCH(B215,SF_Output!$M$1:$M$400,0)))</f>
        <v/>
      </c>
      <c r="H215" t="str" cm="1">
        <f t="array" ref="H215">_xlfn.IFS(B215="","",(SUMIFS(SF_Output!$F$1:$F$400,SF_Output!$AC$1:$AC$400,_xlfn.TEXTJOIN(",",TRUE,B215:E215))+SUMIFS(SF_Output!$G$1:$G$400,SF_Output!$AC$1:$AC$400,_xlfn.TEXTJOIN(",",TRUE,B215:E215)))&lt;&gt;0,SF_Output!$Y$2,INDEX(SF_Output!$F$1:$F$400,MATCH(_xlfn.TEXTJOIN(",",TRUE,B215:E215),SF_Output!$AC$1:$AC$400,0))=0,INDEX(SF_Output!$R$1:$R$400,MATCH(_xlfn.TEXTJOIN(",",TRUE,B215:E215),SF_Output!$AC$1:$AC$400,0)))</f>
        <v/>
      </c>
      <c r="I215" s="125" t="str">
        <f>IFERROR(IF(AND(H215&gt;1,H215&lt;&gt;""),ROUND(SUMIFS(SF_Output!$S$1:$S$400,SF_Output!$AC$1:$AC$400,_xlfn.TEXTJOIN(",",TRUE,B215:E215),SF_Output!$Q$1:$Q$400,"monthly")*(1-W215)/H215,4),""),"")</f>
        <v/>
      </c>
      <c r="J215" s="6" t="str">
        <f>IF(B215="","",SUMIFS(SF_Output!$S$1:$S$400,SF_Output!$AC$1:$AC$400,_xlfn.TEXTJOIN(",",TRUE,B215:E215),SF_Output!$Q$1:$Q$400,"One Time",SF_Output!$L$1:$L$400,"license fee")+SUMIFS(SF_Output!$S$1:$S$400,SF_Output!$AC$1:$AC$400,_xlfn.TEXTJOIN(",",TRUE,B215:E215),SF_Output!$Q$1:$Q$400,"One Time",SF_Output!$L$1:$L$400,"software license")+SUMIFS(SF_Output!$S$1:$S$400,SF_Output!$AC$1:$AC$400,_xlfn.TEXTJOIN(",",TRUE,B215:E215),SF_Output!$Q$1:$Q$400,"One Time",SF_Output!$L$1:$L$400,"hardware"))</f>
        <v/>
      </c>
      <c r="K215" s="112" t="str">
        <f>IF(OR(B215=0,B215="",G215="hardware",J215=0),"",IF(AF215&lt;&gt;"exclusion",MAX(K$9,-((SUMIFS(SF_Output!$T$1:$T$400,SF_Output!$AC$1:$AC$400,_xlfn.TEXTJOIN(",",TRUE,$B215:$E215),SF_Output!$Q$1:$Q$400,"One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license"))/J215)))</f>
        <v/>
      </c>
      <c r="L215" s="6" t="str">
        <f t="shared" si="52"/>
        <v/>
      </c>
      <c r="N215" s="6" t="str">
        <f>IF(B215="","",SUMIFS(SF_Output!$S$1:$S$400,SF_Output!$AC$1:$AC$400,_xlfn.TEXTJOIN(",",TRUE,B215:E215),SF_Output!$Q$1:$Q$400,"One Time",SF_Output!$L$1:$L$400,"professional service"))</f>
        <v/>
      </c>
      <c r="O215" s="112" t="str">
        <f>IF(OR(B215=0,B215="",N215=0),"",IF(AF215&lt;&gt;"exclusion",MAX(O$9,-(SUMIFS(SF_Output!$T$1:$T$400,SF_Output!$AC$1:$AC$400,_xlfn.TEXTJOIN(",",TRUE,$B215:$E215),SF_Output!$Q$1:$Q$400,"One Time",SF_Output!$L$1:$L$400,"professional service"))/N215),-((SUMIFS(SF_Output!$T$1:$T$400,SF_Output!$AC$1:$AC$400,_xlfn.TEXTJOIN(",",TRUE,$B215:$E215),SF_Output!$Q$1:$Q$400,"One Time",SF_Output!$L$1:$L$400,"professional service")/N215))))</f>
        <v/>
      </c>
      <c r="P215" s="6" t="str">
        <f t="shared" si="53"/>
        <v/>
      </c>
      <c r="R215" s="6" t="str">
        <f>IF(B215="","",SUMIFS(SF_Output!$S$1:$S$400,SF_Output!$AC$1:$AC$400,_xlfn.TEXTJOIN(",",TRUE,B215:E215),SF_Output!$Q$1:$Q$400,"yearly")+SUMIFS(SF_Output!$S$1:$S$400,SF_Output!$AC$1:$AC$400,_xlfn.TEXTJOIN(",",TRUE,B215:E215),SF_Output!$Q$1:$Q$400,"quarterly")*4)</f>
        <v/>
      </c>
      <c r="S215" s="112" t="str">
        <f>IF(OR(B215=0,B215="",G215="hardware",R215=0),"",IF(AF215&lt;&gt;"exclusion",MAX(S$9,-(SUMIFS(SF_Output!$T$1:$T$400,SF_Output!$AC$1:$AC$400,_xlfn.TEXTJOIN(",",TRUE,$B215:$E215),SF_Output!$Q$1:$Q$400,"yearly"))/R215),-((SUMIFS(SF_Output!$T$1:$T$400,SF_Output!$AC$1:$AC$400,_xlfn.TEXTJOIN(",",TRUE,$B215:$E215),SF_Output!$Q$1:$Q$400,"yearly")/R215))))</f>
        <v/>
      </c>
      <c r="T215" s="6" t="str">
        <f t="shared" si="54"/>
        <v/>
      </c>
      <c r="V215" s="6" t="str" cm="1">
        <f t="array" ref="V215">_xlfn.IFS(B215="","",AND(B215&lt;&gt;"",H215=SF_Output!$Y$2,SUMIFS(SF_Output!$T$1:$T$400,SF_Output!$AC$1:$AC$400,_xlfn.TEXTJOIN(",",TRUE,B215:E215),SF_Output!$Q$1:$Q$400,"monthly")=0),(SUMIFS(SF_Output!$F$1:$F$400,SF_Output!$AC$1:$AC$400,_xlfn.TEXTJOIN(",",TRUE,B215:E215),SF_Output!$Q$1:$Q$400,"monthly")+SUMIFS(SF_Output!$G$1:$G$400,SF_Output!$AC$1:$AC$400,_xlfn.TEXTJOIN(",",TRUE,B215:E215),SF_Output!$Q$1:$Q$400,"monthly"))*H215,AND(B215&lt;&gt;"",H215=SF_Output!$Y$2,SUMIFS(SF_Output!$T$1:$T$400,SF_Output!$AC$1:$AC$400,_xlfn.TEXTJOIN(",",TRUE,B215:E215),SF_Output!$Q$1:$Q$400,"monthly")&lt;&gt;0),SUMIFS(SF_Output!$S$1:$S$400,SF_Output!$AC$1:$AC$400,_xlfn.TEXTJOIN(",",TRUE,B215:E215),SF_Output!$Q$1:$Q$400,"monthly"),AND(B215&lt;&gt;"",H215&lt;&gt;SF_Output!$Y$2),SUMIFS(SF_Output!$S$1:$S$400,SF_Output!$AC$1:$AC$400,_xlfn.TEXTJOIN(",",TRUE,B215:E215),SF_Output!$Q$1:$Q$400,"monthly"))</f>
        <v/>
      </c>
      <c r="W215" s="112" t="str" cm="1">
        <f t="array" ref="W215">_xlfn.IFS(OR(B215=0,B215="",V215=0),"",AF215&lt;&gt;"exclusion",MAX($W$9,$W$7,(-(SUMIFS(SF_Output!$T$1:$T$400,SF_Output!$AC$1:$AC$400,_xlfn.TEXTJOIN(",",TRUE,$B215:$E215),SF_Output!$Q$1:$Q$400,"monthly"))/V215)),AF215="exclusion",-(SUMIFS(SF_Output!$T$1:$T$400,SF_Output!$AC$1:$AC$400,_xlfn.TEXTJOIN(",",TRUE,$B215:$E215),SF_Output!$Q$1:$Q$400,"monthly"))/V215)</f>
        <v/>
      </c>
      <c r="X215" s="6" t="str" cm="1">
        <f t="array" ref="X215">IFERROR(_xlfn.IFS(V215=0,0,V215="","",W215=0,V215,OR(V215&lt;&gt;0,V215&lt;&gt;""),H215*I215),V215*(1-W215))</f>
        <v/>
      </c>
      <c r="Z215" s="6" t="str">
        <f>IFERROR(IF(B215="","",SUMIFS(Billing_Fallout!H:H,Billing_Fallout!N:N,B215)),0)</f>
        <v/>
      </c>
      <c r="AA215" s="6" t="str">
        <f t="shared" si="55"/>
        <v/>
      </c>
      <c r="AB215" s="6" t="str">
        <f>IFERROR(IF(B215="","",SUMIFS(Billing_Fallout!J:J,Billing_Fallout!N:N,B215)),0)</f>
        <v/>
      </c>
      <c r="AD215" s="6" t="str">
        <f t="shared" si="56"/>
        <v/>
      </c>
      <c r="AF215" t="str">
        <f>IFERROR(INDEX(H_Tables!$B$1:$B$1500,MATCH(INDEX(SF_Output!$J$1:$J$400,MATCH(B215,SF_Output!$M$1:$M$400,0)),H_Tables!$A$1:$A$1500,0)),"")</f>
        <v/>
      </c>
      <c r="AI215" s="119" t="str">
        <f t="shared" si="57"/>
        <v/>
      </c>
      <c r="AJ215" s="121">
        <f>IFERROR(INDEX(SF_Output!AD:AD,MATCH(_xlfn.TEXTJOIN(",",TRUE,B215:E215),SF_Output!AC1:AC400,0)),0.05)</f>
        <v>241</v>
      </c>
      <c r="AK215" t="str">
        <f>IF(SUMIFS(SF_Output!$F$1:$F$400,SF_Output!$AC$1:$AC$400,_xlfn.TEXTJOIN(",",TRUE,B215:E215))+SUMIFS(SF_Output!$G$1:$G$400,SF_Output!$AC$1:$AC$400,_xlfn.TEXTJOIN(",",TRUE,B215:E215))=0,"","PAP")</f>
        <v/>
      </c>
      <c r="AQ215" s="35"/>
      <c r="AR215" s="35" t="str" cm="1">
        <f t="array" ref="AR215">IFERROR(_xlfn.IFS(AND(E215*1=1,F215="Included"),"Change to Included",AND(E215*1=0,F215="Optional"),"Change to Optional",OR(B215="",F215="replaced"),""),"")</f>
        <v/>
      </c>
      <c r="AS215" s="35" t="str">
        <f t="shared" si="58"/>
        <v/>
      </c>
      <c r="AT215" s="35" t="str">
        <f t="shared" si="59"/>
        <v/>
      </c>
      <c r="AU215" s="35" t="str">
        <f t="shared" si="60"/>
        <v/>
      </c>
      <c r="AV215" s="35" t="str">
        <f t="shared" si="61"/>
        <v/>
      </c>
      <c r="AW215" s="35" t="str">
        <f t="shared" si="62"/>
        <v/>
      </c>
      <c r="AX215" s="35" t="str">
        <f t="shared" si="63"/>
        <v/>
      </c>
      <c r="AY215" s="35" t="str">
        <f t="shared" si="64"/>
        <v/>
      </c>
      <c r="AZ215" s="35" t="str">
        <f t="shared" si="65"/>
        <v/>
      </c>
      <c r="BA215" s="35" t="str">
        <f t="shared" si="66"/>
        <v/>
      </c>
      <c r="BB215" s="35" t="str">
        <f t="shared" si="67"/>
        <v/>
      </c>
      <c r="BC215" s="35"/>
      <c r="BE215" s="35" t="e">
        <f>INDEX(SF_Output!$AA$2:$AA$400,MATCH($B215,SF_Output!$M$2:$M$400,0))</f>
        <v>#N/A</v>
      </c>
      <c r="BF215" s="35" t="e">
        <f>INDEX(SF_Output!$AB$2:$AB$400,MATCH($B215,SF_Output!$M$2:$M$400,0))</f>
        <v>#N/A</v>
      </c>
    </row>
    <row r="216" spans="6:58" x14ac:dyDescent="0.25">
      <c r="F216" s="116" t="str">
        <f t="shared" si="51"/>
        <v/>
      </c>
      <c r="G216" t="str">
        <f>IF(B216="","",INDEX(SF_Output!$K$1:$K$400,MATCH(B216,SF_Output!$M$1:$M$400,0)))</f>
        <v/>
      </c>
      <c r="H216" t="str" cm="1">
        <f t="array" ref="H216">_xlfn.IFS(B216="","",(SUMIFS(SF_Output!$F$1:$F$400,SF_Output!$AC$1:$AC$400,_xlfn.TEXTJOIN(",",TRUE,B216:E216))+SUMIFS(SF_Output!$G$1:$G$400,SF_Output!$AC$1:$AC$400,_xlfn.TEXTJOIN(",",TRUE,B216:E216)))&lt;&gt;0,SF_Output!$Y$2,INDEX(SF_Output!$F$1:$F$400,MATCH(_xlfn.TEXTJOIN(",",TRUE,B216:E216),SF_Output!$AC$1:$AC$400,0))=0,INDEX(SF_Output!$R$1:$R$400,MATCH(_xlfn.TEXTJOIN(",",TRUE,B216:E216),SF_Output!$AC$1:$AC$400,0)))</f>
        <v/>
      </c>
      <c r="I216" s="125" t="str">
        <f>IFERROR(IF(AND(H216&gt;1,H216&lt;&gt;""),ROUND(SUMIFS(SF_Output!$S$1:$S$400,SF_Output!$AC$1:$AC$400,_xlfn.TEXTJOIN(",",TRUE,B216:E216),SF_Output!$Q$1:$Q$400,"monthly")*(1-W216)/H216,4),""),"")</f>
        <v/>
      </c>
      <c r="J216" s="6" t="str">
        <f>IF(B216="","",SUMIFS(SF_Output!$S$1:$S$400,SF_Output!$AC$1:$AC$400,_xlfn.TEXTJOIN(",",TRUE,B216:E216),SF_Output!$Q$1:$Q$400,"One Time",SF_Output!$L$1:$L$400,"license fee")+SUMIFS(SF_Output!$S$1:$S$400,SF_Output!$AC$1:$AC$400,_xlfn.TEXTJOIN(",",TRUE,B216:E216),SF_Output!$Q$1:$Q$400,"One Time",SF_Output!$L$1:$L$400,"software license")+SUMIFS(SF_Output!$S$1:$S$400,SF_Output!$AC$1:$AC$400,_xlfn.TEXTJOIN(",",TRUE,B216:E216),SF_Output!$Q$1:$Q$400,"One Time",SF_Output!$L$1:$L$400,"hardware"))</f>
        <v/>
      </c>
      <c r="K216" s="112" t="str">
        <f>IF(OR(B216=0,B216="",G216="hardware",J216=0),"",IF(AF216&lt;&gt;"exclusion",MAX(K$9,-((SUMIFS(SF_Output!$T$1:$T$400,SF_Output!$AC$1:$AC$400,_xlfn.TEXTJOIN(",",TRUE,$B216:$E216),SF_Output!$Q$1:$Q$400,"One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license"))/J216)))</f>
        <v/>
      </c>
      <c r="L216" s="6" t="str">
        <f t="shared" si="52"/>
        <v/>
      </c>
      <c r="N216" s="6" t="str">
        <f>IF(B216="","",SUMIFS(SF_Output!$S$1:$S$400,SF_Output!$AC$1:$AC$400,_xlfn.TEXTJOIN(",",TRUE,B216:E216),SF_Output!$Q$1:$Q$400,"One Time",SF_Output!$L$1:$L$400,"professional service"))</f>
        <v/>
      </c>
      <c r="O216" s="112" t="str">
        <f>IF(OR(B216=0,B216="",N216=0),"",IF(AF216&lt;&gt;"exclusion",MAX(O$9,-(SUMIFS(SF_Output!$T$1:$T$400,SF_Output!$AC$1:$AC$400,_xlfn.TEXTJOIN(",",TRUE,$B216:$E216),SF_Output!$Q$1:$Q$400,"One Time",SF_Output!$L$1:$L$400,"professional service"))/N216),-((SUMIFS(SF_Output!$T$1:$T$400,SF_Output!$AC$1:$AC$400,_xlfn.TEXTJOIN(",",TRUE,$B216:$E216),SF_Output!$Q$1:$Q$400,"One Time",SF_Output!$L$1:$L$400,"professional service")/N216))))</f>
        <v/>
      </c>
      <c r="P216" s="6" t="str">
        <f t="shared" si="53"/>
        <v/>
      </c>
      <c r="R216" s="6" t="str">
        <f>IF(B216="","",SUMIFS(SF_Output!$S$1:$S$400,SF_Output!$AC$1:$AC$400,_xlfn.TEXTJOIN(",",TRUE,B216:E216),SF_Output!$Q$1:$Q$400,"yearly")+SUMIFS(SF_Output!$S$1:$S$400,SF_Output!$AC$1:$AC$400,_xlfn.TEXTJOIN(",",TRUE,B216:E216),SF_Output!$Q$1:$Q$400,"quarterly")*4)</f>
        <v/>
      </c>
      <c r="S216" s="112" t="str">
        <f>IF(OR(B216=0,B216="",G216="hardware",R216=0),"",IF(AF216&lt;&gt;"exclusion",MAX(S$9,-(SUMIFS(SF_Output!$T$1:$T$400,SF_Output!$AC$1:$AC$400,_xlfn.TEXTJOIN(",",TRUE,$B216:$E216),SF_Output!$Q$1:$Q$400,"yearly"))/R216),-((SUMIFS(SF_Output!$T$1:$T$400,SF_Output!$AC$1:$AC$400,_xlfn.TEXTJOIN(",",TRUE,$B216:$E216),SF_Output!$Q$1:$Q$400,"yearly")/R216))))</f>
        <v/>
      </c>
      <c r="T216" s="6" t="str">
        <f t="shared" si="54"/>
        <v/>
      </c>
      <c r="V216" s="6" t="str" cm="1">
        <f t="array" ref="V216">_xlfn.IFS(B216="","",AND(B216&lt;&gt;"",H216=SF_Output!$Y$2,SUMIFS(SF_Output!$T$1:$T$400,SF_Output!$AC$1:$AC$400,_xlfn.TEXTJOIN(",",TRUE,B216:E216),SF_Output!$Q$1:$Q$400,"monthly")=0),(SUMIFS(SF_Output!$F$1:$F$400,SF_Output!$AC$1:$AC$400,_xlfn.TEXTJOIN(",",TRUE,B216:E216),SF_Output!$Q$1:$Q$400,"monthly")+SUMIFS(SF_Output!$G$1:$G$400,SF_Output!$AC$1:$AC$400,_xlfn.TEXTJOIN(",",TRUE,B216:E216),SF_Output!$Q$1:$Q$400,"monthly"))*H216,AND(B216&lt;&gt;"",H216=SF_Output!$Y$2,SUMIFS(SF_Output!$T$1:$T$400,SF_Output!$AC$1:$AC$400,_xlfn.TEXTJOIN(",",TRUE,B216:E216),SF_Output!$Q$1:$Q$400,"monthly")&lt;&gt;0),SUMIFS(SF_Output!$S$1:$S$400,SF_Output!$AC$1:$AC$400,_xlfn.TEXTJOIN(",",TRUE,B216:E216),SF_Output!$Q$1:$Q$400,"monthly"),AND(B216&lt;&gt;"",H216&lt;&gt;SF_Output!$Y$2),SUMIFS(SF_Output!$S$1:$S$400,SF_Output!$AC$1:$AC$400,_xlfn.TEXTJOIN(",",TRUE,B216:E216),SF_Output!$Q$1:$Q$400,"monthly"))</f>
        <v/>
      </c>
      <c r="W216" s="112" t="str" cm="1">
        <f t="array" ref="W216">_xlfn.IFS(OR(B216=0,B216="",V216=0),"",AF216&lt;&gt;"exclusion",MAX($W$9,$W$7,(-(SUMIFS(SF_Output!$T$1:$T$400,SF_Output!$AC$1:$AC$400,_xlfn.TEXTJOIN(",",TRUE,$B216:$E216),SF_Output!$Q$1:$Q$400,"monthly"))/V216)),AF216="exclusion",-(SUMIFS(SF_Output!$T$1:$T$400,SF_Output!$AC$1:$AC$400,_xlfn.TEXTJOIN(",",TRUE,$B216:$E216),SF_Output!$Q$1:$Q$400,"monthly"))/V216)</f>
        <v/>
      </c>
      <c r="X216" s="6" t="str" cm="1">
        <f t="array" ref="X216">IFERROR(_xlfn.IFS(V216=0,0,V216="","",W216=0,V216,OR(V216&lt;&gt;0,V216&lt;&gt;""),H216*I216),V216*(1-W216))</f>
        <v/>
      </c>
      <c r="Z216" s="6" t="str">
        <f>IFERROR(IF(B216="","",SUMIFS(Billing_Fallout!H:H,Billing_Fallout!N:N,B216)),0)</f>
        <v/>
      </c>
      <c r="AA216" s="6" t="str">
        <f t="shared" si="55"/>
        <v/>
      </c>
      <c r="AB216" s="6" t="str">
        <f>IFERROR(IF(B216="","",SUMIFS(Billing_Fallout!J:J,Billing_Fallout!N:N,B216)),0)</f>
        <v/>
      </c>
      <c r="AD216" s="6" t="str">
        <f t="shared" si="56"/>
        <v/>
      </c>
      <c r="AF216" t="str">
        <f>IFERROR(INDEX(H_Tables!$B$1:$B$1500,MATCH(INDEX(SF_Output!$J$1:$J$400,MATCH(B216,SF_Output!$M$1:$M$400,0)),H_Tables!$A$1:$A$1500,0)),"")</f>
        <v/>
      </c>
      <c r="AI216" s="119" t="str">
        <f t="shared" si="57"/>
        <v/>
      </c>
      <c r="AJ216" s="121">
        <f>IFERROR(INDEX(SF_Output!AD:AD,MATCH(_xlfn.TEXTJOIN(",",TRUE,B216:E216),SF_Output!AC1:AC400,0)),0.05)</f>
        <v>241</v>
      </c>
      <c r="AK216" t="str">
        <f>IF(SUMIFS(SF_Output!$F$1:$F$400,SF_Output!$AC$1:$AC$400,_xlfn.TEXTJOIN(",",TRUE,B216:E216))+SUMIFS(SF_Output!$G$1:$G$400,SF_Output!$AC$1:$AC$400,_xlfn.TEXTJOIN(",",TRUE,B216:E216))=0,"","PAP")</f>
        <v/>
      </c>
      <c r="AQ216" s="35"/>
      <c r="AR216" s="35" t="str" cm="1">
        <f t="array" ref="AR216">IFERROR(_xlfn.IFS(AND(E216*1=1,F216="Included"),"Change to Included",AND(E216*1=0,F216="Optional"),"Change to Optional",OR(B216="",F216="replaced"),""),"")</f>
        <v/>
      </c>
      <c r="AS216" s="35" t="str">
        <f t="shared" si="58"/>
        <v/>
      </c>
      <c r="AT216" s="35" t="str">
        <f t="shared" si="59"/>
        <v/>
      </c>
      <c r="AU216" s="35" t="str">
        <f t="shared" si="60"/>
        <v/>
      </c>
      <c r="AV216" s="35" t="str">
        <f t="shared" si="61"/>
        <v/>
      </c>
      <c r="AW216" s="35" t="str">
        <f t="shared" si="62"/>
        <v/>
      </c>
      <c r="AX216" s="35" t="str">
        <f t="shared" si="63"/>
        <v/>
      </c>
      <c r="AY216" s="35" t="str">
        <f t="shared" si="64"/>
        <v/>
      </c>
      <c r="AZ216" s="35" t="str">
        <f t="shared" si="65"/>
        <v/>
      </c>
      <c r="BA216" s="35" t="str">
        <f t="shared" si="66"/>
        <v/>
      </c>
      <c r="BB216" s="35" t="str">
        <f t="shared" si="67"/>
        <v/>
      </c>
      <c r="BC216" s="35"/>
      <c r="BE216" s="35" t="e">
        <f>INDEX(SF_Output!$AA$2:$AA$400,MATCH($B216,SF_Output!$M$2:$M$400,0))</f>
        <v>#N/A</v>
      </c>
      <c r="BF216" s="35" t="e">
        <f>INDEX(SF_Output!$AB$2:$AB$400,MATCH($B216,SF_Output!$M$2:$M$400,0))</f>
        <v>#N/A</v>
      </c>
    </row>
    <row r="217" spans="6:58" x14ac:dyDescent="0.25">
      <c r="F217" s="116" t="str">
        <f t="shared" si="51"/>
        <v/>
      </c>
      <c r="G217" t="str">
        <f>IF(B217="","",INDEX(SF_Output!$K$1:$K$400,MATCH(B217,SF_Output!$M$1:$M$400,0)))</f>
        <v/>
      </c>
      <c r="H217" t="str" cm="1">
        <f t="array" ref="H217">_xlfn.IFS(B217="","",(SUMIFS(SF_Output!$F$1:$F$400,SF_Output!$AC$1:$AC$400,_xlfn.TEXTJOIN(",",TRUE,B217:E217))+SUMIFS(SF_Output!$G$1:$G$400,SF_Output!$AC$1:$AC$400,_xlfn.TEXTJOIN(",",TRUE,B217:E217)))&lt;&gt;0,SF_Output!$Y$2,INDEX(SF_Output!$F$1:$F$400,MATCH(_xlfn.TEXTJOIN(",",TRUE,B217:E217),SF_Output!$AC$1:$AC$400,0))=0,INDEX(SF_Output!$R$1:$R$400,MATCH(_xlfn.TEXTJOIN(",",TRUE,B217:E217),SF_Output!$AC$1:$AC$400,0)))</f>
        <v/>
      </c>
      <c r="I217" s="125" t="str">
        <f>IFERROR(IF(AND(H217&gt;1,H217&lt;&gt;""),ROUND(SUMIFS(SF_Output!$S$1:$S$400,SF_Output!$AC$1:$AC$400,_xlfn.TEXTJOIN(",",TRUE,B217:E217),SF_Output!$Q$1:$Q$400,"monthly")*(1-W217)/H217,4),""),"")</f>
        <v/>
      </c>
      <c r="J217" s="6" t="str">
        <f>IF(B217="","",SUMIFS(SF_Output!$S$1:$S$400,SF_Output!$AC$1:$AC$400,_xlfn.TEXTJOIN(",",TRUE,B217:E217),SF_Output!$Q$1:$Q$400,"One Time",SF_Output!$L$1:$L$400,"license fee")+SUMIFS(SF_Output!$S$1:$S$400,SF_Output!$AC$1:$AC$400,_xlfn.TEXTJOIN(",",TRUE,B217:E217),SF_Output!$Q$1:$Q$400,"One Time",SF_Output!$L$1:$L$400,"software license")+SUMIFS(SF_Output!$S$1:$S$400,SF_Output!$AC$1:$AC$400,_xlfn.TEXTJOIN(",",TRUE,B217:E217),SF_Output!$Q$1:$Q$400,"One Time",SF_Output!$L$1:$L$400,"hardware"))</f>
        <v/>
      </c>
      <c r="K217" s="112" t="str">
        <f>IF(OR(B217=0,B217="",G217="hardware",J217=0),"",IF(AF217&lt;&gt;"exclusion",MAX(K$9,-((SUMIFS(SF_Output!$T$1:$T$400,SF_Output!$AC$1:$AC$400,_xlfn.TEXTJOIN(",",TRUE,$B217:$E217),SF_Output!$Q$1:$Q$400,"One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license"))/J217)))</f>
        <v/>
      </c>
      <c r="L217" s="6" t="str">
        <f t="shared" si="52"/>
        <v/>
      </c>
      <c r="N217" s="6" t="str">
        <f>IF(B217="","",SUMIFS(SF_Output!$S$1:$S$400,SF_Output!$AC$1:$AC$400,_xlfn.TEXTJOIN(",",TRUE,B217:E217),SF_Output!$Q$1:$Q$400,"One Time",SF_Output!$L$1:$L$400,"professional service"))</f>
        <v/>
      </c>
      <c r="O217" s="112" t="str">
        <f>IF(OR(B217=0,B217="",N217=0),"",IF(AF217&lt;&gt;"exclusion",MAX(O$9,-(SUMIFS(SF_Output!$T$1:$T$400,SF_Output!$AC$1:$AC$400,_xlfn.TEXTJOIN(",",TRUE,$B217:$E217),SF_Output!$Q$1:$Q$400,"One Time",SF_Output!$L$1:$L$400,"professional service"))/N217),-((SUMIFS(SF_Output!$T$1:$T$400,SF_Output!$AC$1:$AC$400,_xlfn.TEXTJOIN(",",TRUE,$B217:$E217),SF_Output!$Q$1:$Q$400,"One Time",SF_Output!$L$1:$L$400,"professional service")/N217))))</f>
        <v/>
      </c>
      <c r="P217" s="6" t="str">
        <f t="shared" si="53"/>
        <v/>
      </c>
      <c r="R217" s="6" t="str">
        <f>IF(B217="","",SUMIFS(SF_Output!$S$1:$S$400,SF_Output!$AC$1:$AC$400,_xlfn.TEXTJOIN(",",TRUE,B217:E217),SF_Output!$Q$1:$Q$400,"yearly")+SUMIFS(SF_Output!$S$1:$S$400,SF_Output!$AC$1:$AC$400,_xlfn.TEXTJOIN(",",TRUE,B217:E217),SF_Output!$Q$1:$Q$400,"quarterly")*4)</f>
        <v/>
      </c>
      <c r="S217" s="112" t="str">
        <f>IF(OR(B217=0,B217="",G217="hardware",R217=0),"",IF(AF217&lt;&gt;"exclusion",MAX(S$9,-(SUMIFS(SF_Output!$T$1:$T$400,SF_Output!$AC$1:$AC$400,_xlfn.TEXTJOIN(",",TRUE,$B217:$E217),SF_Output!$Q$1:$Q$400,"yearly"))/R217),-((SUMIFS(SF_Output!$T$1:$T$400,SF_Output!$AC$1:$AC$400,_xlfn.TEXTJOIN(",",TRUE,$B217:$E217),SF_Output!$Q$1:$Q$400,"yearly")/R217))))</f>
        <v/>
      </c>
      <c r="T217" s="6" t="str">
        <f t="shared" si="54"/>
        <v/>
      </c>
      <c r="V217" s="6" t="str" cm="1">
        <f t="array" ref="V217">_xlfn.IFS(B217="","",AND(B217&lt;&gt;"",H217=SF_Output!$Y$2,SUMIFS(SF_Output!$T$1:$T$400,SF_Output!$AC$1:$AC$400,_xlfn.TEXTJOIN(",",TRUE,B217:E217),SF_Output!$Q$1:$Q$400,"monthly")=0),(SUMIFS(SF_Output!$F$1:$F$400,SF_Output!$AC$1:$AC$400,_xlfn.TEXTJOIN(",",TRUE,B217:E217),SF_Output!$Q$1:$Q$400,"monthly")+SUMIFS(SF_Output!$G$1:$G$400,SF_Output!$AC$1:$AC$400,_xlfn.TEXTJOIN(",",TRUE,B217:E217),SF_Output!$Q$1:$Q$400,"monthly"))*H217,AND(B217&lt;&gt;"",H217=SF_Output!$Y$2,SUMIFS(SF_Output!$T$1:$T$400,SF_Output!$AC$1:$AC$400,_xlfn.TEXTJOIN(",",TRUE,B217:E217),SF_Output!$Q$1:$Q$400,"monthly")&lt;&gt;0),SUMIFS(SF_Output!$S$1:$S$400,SF_Output!$AC$1:$AC$400,_xlfn.TEXTJOIN(",",TRUE,B217:E217),SF_Output!$Q$1:$Q$400,"monthly"),AND(B217&lt;&gt;"",H217&lt;&gt;SF_Output!$Y$2),SUMIFS(SF_Output!$S$1:$S$400,SF_Output!$AC$1:$AC$400,_xlfn.TEXTJOIN(",",TRUE,B217:E217),SF_Output!$Q$1:$Q$400,"monthly"))</f>
        <v/>
      </c>
      <c r="W217" s="112" t="str" cm="1">
        <f t="array" ref="W217">_xlfn.IFS(OR(B217=0,B217="",V217=0),"",AF217&lt;&gt;"exclusion",MAX($W$9,$W$7,(-(SUMIFS(SF_Output!$T$1:$T$400,SF_Output!$AC$1:$AC$400,_xlfn.TEXTJOIN(",",TRUE,$B217:$E217),SF_Output!$Q$1:$Q$400,"monthly"))/V217)),AF217="exclusion",-(SUMIFS(SF_Output!$T$1:$T$400,SF_Output!$AC$1:$AC$400,_xlfn.TEXTJOIN(",",TRUE,$B217:$E217),SF_Output!$Q$1:$Q$400,"monthly"))/V217)</f>
        <v/>
      </c>
      <c r="X217" s="6" t="str" cm="1">
        <f t="array" ref="X217">IFERROR(_xlfn.IFS(V217=0,0,V217="","",W217=0,V217,OR(V217&lt;&gt;0,V217&lt;&gt;""),H217*I217),V217*(1-W217))</f>
        <v/>
      </c>
      <c r="Z217" s="6" t="str">
        <f>IFERROR(IF(B217="","",SUMIFS(Billing_Fallout!H:H,Billing_Fallout!N:N,B217)),0)</f>
        <v/>
      </c>
      <c r="AA217" s="6" t="str">
        <f t="shared" si="55"/>
        <v/>
      </c>
      <c r="AB217" s="6" t="str">
        <f>IFERROR(IF(B217="","",SUMIFS(Billing_Fallout!J:J,Billing_Fallout!N:N,B217)),0)</f>
        <v/>
      </c>
      <c r="AD217" s="6" t="str">
        <f t="shared" si="56"/>
        <v/>
      </c>
      <c r="AF217" t="str">
        <f>IFERROR(INDEX(H_Tables!$B$1:$B$1500,MATCH(INDEX(SF_Output!$J$1:$J$400,MATCH(B217,SF_Output!$M$1:$M$400,0)),H_Tables!$A$1:$A$1500,0)),"")</f>
        <v/>
      </c>
      <c r="AI217" s="119" t="str">
        <f t="shared" si="57"/>
        <v/>
      </c>
      <c r="AJ217" s="121">
        <f>IFERROR(INDEX(SF_Output!AD:AD,MATCH(_xlfn.TEXTJOIN(",",TRUE,B217:E217),SF_Output!AC1:AC400,0)),0.05)</f>
        <v>241</v>
      </c>
      <c r="AK217" t="str">
        <f>IF(SUMIFS(SF_Output!$F$1:$F$400,SF_Output!$AC$1:$AC$400,_xlfn.TEXTJOIN(",",TRUE,B217:E217))+SUMIFS(SF_Output!$G$1:$G$400,SF_Output!$AC$1:$AC$400,_xlfn.TEXTJOIN(",",TRUE,B217:E217))=0,"","PAP")</f>
        <v/>
      </c>
      <c r="AQ217" s="35"/>
      <c r="AR217" s="35" t="str" cm="1">
        <f t="array" ref="AR217">IFERROR(_xlfn.IFS(AND(E217*1=1,F217="Included"),"Change to Included",AND(E217*1=0,F217="Optional"),"Change to Optional",OR(B217="",F217="replaced"),""),"")</f>
        <v/>
      </c>
      <c r="AS217" s="35" t="str">
        <f t="shared" si="58"/>
        <v/>
      </c>
      <c r="AT217" s="35" t="str">
        <f t="shared" si="59"/>
        <v/>
      </c>
      <c r="AU217" s="35" t="str">
        <f t="shared" si="60"/>
        <v/>
      </c>
      <c r="AV217" s="35" t="str">
        <f t="shared" si="61"/>
        <v/>
      </c>
      <c r="AW217" s="35" t="str">
        <f t="shared" si="62"/>
        <v/>
      </c>
      <c r="AX217" s="35" t="str">
        <f t="shared" si="63"/>
        <v/>
      </c>
      <c r="AY217" s="35" t="str">
        <f t="shared" si="64"/>
        <v/>
      </c>
      <c r="AZ217" s="35" t="str">
        <f t="shared" si="65"/>
        <v/>
      </c>
      <c r="BA217" s="35" t="str">
        <f t="shared" si="66"/>
        <v/>
      </c>
      <c r="BB217" s="35" t="str">
        <f t="shared" si="67"/>
        <v/>
      </c>
      <c r="BC217" s="35"/>
      <c r="BE217" s="35" t="e">
        <f>INDEX(SF_Output!$AA$2:$AA$400,MATCH($B217,SF_Output!$M$2:$M$400,0))</f>
        <v>#N/A</v>
      </c>
      <c r="BF217" s="35" t="e">
        <f>INDEX(SF_Output!$AB$2:$AB$400,MATCH($B217,SF_Output!$M$2:$M$400,0))</f>
        <v>#N/A</v>
      </c>
    </row>
    <row r="218" spans="6:58" x14ac:dyDescent="0.25">
      <c r="F218" s="116" t="str">
        <f t="shared" si="51"/>
        <v/>
      </c>
      <c r="G218" t="str">
        <f>IF(B218="","",INDEX(SF_Output!$K$1:$K$400,MATCH(B218,SF_Output!$M$1:$M$400,0)))</f>
        <v/>
      </c>
      <c r="H218" t="str" cm="1">
        <f t="array" ref="H218">_xlfn.IFS(B218="","",(SUMIFS(SF_Output!$F$1:$F$400,SF_Output!$AC$1:$AC$400,_xlfn.TEXTJOIN(",",TRUE,B218:E218))+SUMIFS(SF_Output!$G$1:$G$400,SF_Output!$AC$1:$AC$400,_xlfn.TEXTJOIN(",",TRUE,B218:E218)))&lt;&gt;0,SF_Output!$Y$2,INDEX(SF_Output!$F$1:$F$400,MATCH(_xlfn.TEXTJOIN(",",TRUE,B218:E218),SF_Output!$AC$1:$AC$400,0))=0,INDEX(SF_Output!$R$1:$R$400,MATCH(_xlfn.TEXTJOIN(",",TRUE,B218:E218),SF_Output!$AC$1:$AC$400,0)))</f>
        <v/>
      </c>
      <c r="I218" s="125" t="str">
        <f>IFERROR(IF(AND(H218&gt;1,H218&lt;&gt;""),ROUND(SUMIFS(SF_Output!$S$1:$S$400,SF_Output!$AC$1:$AC$400,_xlfn.TEXTJOIN(",",TRUE,B218:E218),SF_Output!$Q$1:$Q$400,"monthly")*(1-W218)/H218,4),""),"")</f>
        <v/>
      </c>
      <c r="J218" s="6" t="str">
        <f>IF(B218="","",SUMIFS(SF_Output!$S$1:$S$400,SF_Output!$AC$1:$AC$400,_xlfn.TEXTJOIN(",",TRUE,B218:E218),SF_Output!$Q$1:$Q$400,"One Time",SF_Output!$L$1:$L$400,"license fee")+SUMIFS(SF_Output!$S$1:$S$400,SF_Output!$AC$1:$AC$400,_xlfn.TEXTJOIN(",",TRUE,B218:E218),SF_Output!$Q$1:$Q$400,"One Time",SF_Output!$L$1:$L$400,"software license")+SUMIFS(SF_Output!$S$1:$S$400,SF_Output!$AC$1:$AC$400,_xlfn.TEXTJOIN(",",TRUE,B218:E218),SF_Output!$Q$1:$Q$400,"One Time",SF_Output!$L$1:$L$400,"hardware"))</f>
        <v/>
      </c>
      <c r="K218" s="112" t="str">
        <f>IF(OR(B218=0,B218="",G218="hardware",J218=0),"",IF(AF218&lt;&gt;"exclusion",MAX(K$9,-((SUMIFS(SF_Output!$T$1:$T$400,SF_Output!$AC$1:$AC$400,_xlfn.TEXTJOIN(",",TRUE,$B218:$E218),SF_Output!$Q$1:$Q$400,"One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license"))/J218)))</f>
        <v/>
      </c>
      <c r="L218" s="6" t="str">
        <f t="shared" si="52"/>
        <v/>
      </c>
      <c r="N218" s="6" t="str">
        <f>IF(B218="","",SUMIFS(SF_Output!$S$1:$S$400,SF_Output!$AC$1:$AC$400,_xlfn.TEXTJOIN(",",TRUE,B218:E218),SF_Output!$Q$1:$Q$400,"One Time",SF_Output!$L$1:$L$400,"professional service"))</f>
        <v/>
      </c>
      <c r="O218" s="112" t="str">
        <f>IF(OR(B218=0,B218="",N218=0),"",IF(AF218&lt;&gt;"exclusion",MAX(O$9,-(SUMIFS(SF_Output!$T$1:$T$400,SF_Output!$AC$1:$AC$400,_xlfn.TEXTJOIN(",",TRUE,$B218:$E218),SF_Output!$Q$1:$Q$400,"One Time",SF_Output!$L$1:$L$400,"professional service"))/N218),-((SUMIFS(SF_Output!$T$1:$T$400,SF_Output!$AC$1:$AC$400,_xlfn.TEXTJOIN(",",TRUE,$B218:$E218),SF_Output!$Q$1:$Q$400,"One Time",SF_Output!$L$1:$L$400,"professional service")/N218))))</f>
        <v/>
      </c>
      <c r="P218" s="6" t="str">
        <f t="shared" si="53"/>
        <v/>
      </c>
      <c r="R218" s="6" t="str">
        <f>IF(B218="","",SUMIFS(SF_Output!$S$1:$S$400,SF_Output!$AC$1:$AC$400,_xlfn.TEXTJOIN(",",TRUE,B218:E218),SF_Output!$Q$1:$Q$400,"yearly")+SUMIFS(SF_Output!$S$1:$S$400,SF_Output!$AC$1:$AC$400,_xlfn.TEXTJOIN(",",TRUE,B218:E218),SF_Output!$Q$1:$Q$400,"quarterly")*4)</f>
        <v/>
      </c>
      <c r="S218" s="112" t="str">
        <f>IF(OR(B218=0,B218="",G218="hardware",R218=0),"",IF(AF218&lt;&gt;"exclusion",MAX(S$9,-(SUMIFS(SF_Output!$T$1:$T$400,SF_Output!$AC$1:$AC$400,_xlfn.TEXTJOIN(",",TRUE,$B218:$E218),SF_Output!$Q$1:$Q$400,"yearly"))/R218),-((SUMIFS(SF_Output!$T$1:$T$400,SF_Output!$AC$1:$AC$400,_xlfn.TEXTJOIN(",",TRUE,$B218:$E218),SF_Output!$Q$1:$Q$400,"yearly")/R218))))</f>
        <v/>
      </c>
      <c r="T218" s="6" t="str">
        <f t="shared" si="54"/>
        <v/>
      </c>
      <c r="V218" s="6" t="str" cm="1">
        <f t="array" ref="V218">_xlfn.IFS(B218="","",AND(B218&lt;&gt;"",H218=SF_Output!$Y$2,SUMIFS(SF_Output!$T$1:$T$400,SF_Output!$AC$1:$AC$400,_xlfn.TEXTJOIN(",",TRUE,B218:E218),SF_Output!$Q$1:$Q$400,"monthly")=0),(SUMIFS(SF_Output!$F$1:$F$400,SF_Output!$AC$1:$AC$400,_xlfn.TEXTJOIN(",",TRUE,B218:E218),SF_Output!$Q$1:$Q$400,"monthly")+SUMIFS(SF_Output!$G$1:$G$400,SF_Output!$AC$1:$AC$400,_xlfn.TEXTJOIN(",",TRUE,B218:E218),SF_Output!$Q$1:$Q$400,"monthly"))*H218,AND(B218&lt;&gt;"",H218=SF_Output!$Y$2,SUMIFS(SF_Output!$T$1:$T$400,SF_Output!$AC$1:$AC$400,_xlfn.TEXTJOIN(",",TRUE,B218:E218),SF_Output!$Q$1:$Q$400,"monthly")&lt;&gt;0),SUMIFS(SF_Output!$S$1:$S$400,SF_Output!$AC$1:$AC$400,_xlfn.TEXTJOIN(",",TRUE,B218:E218),SF_Output!$Q$1:$Q$400,"monthly"),AND(B218&lt;&gt;"",H218&lt;&gt;SF_Output!$Y$2),SUMIFS(SF_Output!$S$1:$S$400,SF_Output!$AC$1:$AC$400,_xlfn.TEXTJOIN(",",TRUE,B218:E218),SF_Output!$Q$1:$Q$400,"monthly"))</f>
        <v/>
      </c>
      <c r="W218" s="112" t="str" cm="1">
        <f t="array" ref="W218">_xlfn.IFS(OR(B218=0,B218="",V218=0),"",AF218&lt;&gt;"exclusion",MAX($W$9,$W$7,(-(SUMIFS(SF_Output!$T$1:$T$400,SF_Output!$AC$1:$AC$400,_xlfn.TEXTJOIN(",",TRUE,$B218:$E218),SF_Output!$Q$1:$Q$400,"monthly"))/V218)),AF218="exclusion",-(SUMIFS(SF_Output!$T$1:$T$400,SF_Output!$AC$1:$AC$400,_xlfn.TEXTJOIN(",",TRUE,$B218:$E218),SF_Output!$Q$1:$Q$400,"monthly"))/V218)</f>
        <v/>
      </c>
      <c r="X218" s="6" t="str" cm="1">
        <f t="array" ref="X218">IFERROR(_xlfn.IFS(V218=0,0,V218="","",W218=0,V218,OR(V218&lt;&gt;0,V218&lt;&gt;""),H218*I218),V218*(1-W218))</f>
        <v/>
      </c>
      <c r="Z218" s="6" t="str">
        <f>IFERROR(IF(B218="","",SUMIFS(Billing_Fallout!H:H,Billing_Fallout!N:N,B218)),0)</f>
        <v/>
      </c>
      <c r="AA218" s="6" t="str">
        <f t="shared" si="55"/>
        <v/>
      </c>
      <c r="AB218" s="6" t="str">
        <f>IFERROR(IF(B218="","",SUMIFS(Billing_Fallout!J:J,Billing_Fallout!N:N,B218)),0)</f>
        <v/>
      </c>
      <c r="AD218" s="6" t="str">
        <f t="shared" si="56"/>
        <v/>
      </c>
      <c r="AF218" t="str">
        <f>IFERROR(INDEX(H_Tables!$B$1:$B$1500,MATCH(INDEX(SF_Output!$J$1:$J$400,MATCH(B218,SF_Output!$M$1:$M$400,0)),H_Tables!$A$1:$A$1500,0)),"")</f>
        <v/>
      </c>
      <c r="AI218" s="119" t="str">
        <f t="shared" si="57"/>
        <v/>
      </c>
      <c r="AJ218" s="121">
        <f>IFERROR(INDEX(SF_Output!AD:AD,MATCH(_xlfn.TEXTJOIN(",",TRUE,B218:E218),SF_Output!AC1:AC400,0)),0.05)</f>
        <v>241</v>
      </c>
      <c r="AK218" t="str">
        <f>IF(SUMIFS(SF_Output!$F$1:$F$400,SF_Output!$AC$1:$AC$400,_xlfn.TEXTJOIN(",",TRUE,B218:E218))+SUMIFS(SF_Output!$G$1:$G$400,SF_Output!$AC$1:$AC$400,_xlfn.TEXTJOIN(",",TRUE,B218:E218))=0,"","PAP")</f>
        <v/>
      </c>
      <c r="AQ218" s="35"/>
      <c r="AR218" s="35" t="str" cm="1">
        <f t="array" ref="AR218">IFERROR(_xlfn.IFS(AND(E218*1=1,F218="Included"),"Change to Included",AND(E218*1=0,F218="Optional"),"Change to Optional",OR(B218="",F218="replaced"),""),"")</f>
        <v/>
      </c>
      <c r="AS218" s="35" t="str">
        <f t="shared" si="58"/>
        <v/>
      </c>
      <c r="AT218" s="35" t="str">
        <f t="shared" si="59"/>
        <v/>
      </c>
      <c r="AU218" s="35" t="str">
        <f t="shared" si="60"/>
        <v/>
      </c>
      <c r="AV218" s="35" t="str">
        <f t="shared" si="61"/>
        <v/>
      </c>
      <c r="AW218" s="35" t="str">
        <f t="shared" si="62"/>
        <v/>
      </c>
      <c r="AX218" s="35" t="str">
        <f t="shared" si="63"/>
        <v/>
      </c>
      <c r="AY218" s="35" t="str">
        <f t="shared" si="64"/>
        <v/>
      </c>
      <c r="AZ218" s="35" t="str">
        <f t="shared" si="65"/>
        <v/>
      </c>
      <c r="BA218" s="35" t="str">
        <f t="shared" si="66"/>
        <v/>
      </c>
      <c r="BB218" s="35" t="str">
        <f t="shared" si="67"/>
        <v/>
      </c>
      <c r="BC218" s="35"/>
      <c r="BE218" s="35" t="e">
        <f>INDEX(SF_Output!$AA$2:$AA$400,MATCH($B218,SF_Output!$M$2:$M$400,0))</f>
        <v>#N/A</v>
      </c>
      <c r="BF218" s="35" t="e">
        <f>INDEX(SF_Output!$AB$2:$AB$400,MATCH($B218,SF_Output!$M$2:$M$400,0))</f>
        <v>#N/A</v>
      </c>
    </row>
    <row r="219" spans="6:58" x14ac:dyDescent="0.25">
      <c r="F219" s="116" t="str">
        <f t="shared" si="51"/>
        <v/>
      </c>
      <c r="G219" t="str">
        <f>IF(B219="","",INDEX(SF_Output!$K$1:$K$400,MATCH(B219,SF_Output!$M$1:$M$400,0)))</f>
        <v/>
      </c>
      <c r="H219" t="str" cm="1">
        <f t="array" ref="H219">_xlfn.IFS(B219="","",(SUMIFS(SF_Output!$F$1:$F$400,SF_Output!$AC$1:$AC$400,_xlfn.TEXTJOIN(",",TRUE,B219:E219))+SUMIFS(SF_Output!$G$1:$G$400,SF_Output!$AC$1:$AC$400,_xlfn.TEXTJOIN(",",TRUE,B219:E219)))&lt;&gt;0,SF_Output!$Y$2,INDEX(SF_Output!$F$1:$F$400,MATCH(_xlfn.TEXTJOIN(",",TRUE,B219:E219),SF_Output!$AC$1:$AC$400,0))=0,INDEX(SF_Output!$R$1:$R$400,MATCH(_xlfn.TEXTJOIN(",",TRUE,B219:E219),SF_Output!$AC$1:$AC$400,0)))</f>
        <v/>
      </c>
      <c r="I219" s="125" t="str">
        <f>IFERROR(IF(AND(H219&gt;1,H219&lt;&gt;""),ROUND(SUMIFS(SF_Output!$S$1:$S$400,SF_Output!$AC$1:$AC$400,_xlfn.TEXTJOIN(",",TRUE,B219:E219),SF_Output!$Q$1:$Q$400,"monthly")*(1-W219)/H219,4),""),"")</f>
        <v/>
      </c>
      <c r="J219" s="6" t="str">
        <f>IF(B219="","",SUMIFS(SF_Output!$S$1:$S$400,SF_Output!$AC$1:$AC$400,_xlfn.TEXTJOIN(",",TRUE,B219:E219),SF_Output!$Q$1:$Q$400,"One Time",SF_Output!$L$1:$L$400,"license fee")+SUMIFS(SF_Output!$S$1:$S$400,SF_Output!$AC$1:$AC$400,_xlfn.TEXTJOIN(",",TRUE,B219:E219),SF_Output!$Q$1:$Q$400,"One Time",SF_Output!$L$1:$L$400,"software license")+SUMIFS(SF_Output!$S$1:$S$400,SF_Output!$AC$1:$AC$400,_xlfn.TEXTJOIN(",",TRUE,B219:E219),SF_Output!$Q$1:$Q$400,"One Time",SF_Output!$L$1:$L$400,"hardware"))</f>
        <v/>
      </c>
      <c r="K219" s="112" t="str">
        <f>IF(OR(B219=0,B219="",G219="hardware",J219=0),"",IF(AF219&lt;&gt;"exclusion",MAX(K$9,-((SUMIFS(SF_Output!$T$1:$T$400,SF_Output!$AC$1:$AC$400,_xlfn.TEXTJOIN(",",TRUE,$B219:$E219),SF_Output!$Q$1:$Q$400,"One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license"))/J219)))</f>
        <v/>
      </c>
      <c r="L219" s="6" t="str">
        <f t="shared" si="52"/>
        <v/>
      </c>
      <c r="N219" s="6" t="str">
        <f>IF(B219="","",SUMIFS(SF_Output!$S$1:$S$400,SF_Output!$AC$1:$AC$400,_xlfn.TEXTJOIN(",",TRUE,B219:E219),SF_Output!$Q$1:$Q$400,"One Time",SF_Output!$L$1:$L$400,"professional service"))</f>
        <v/>
      </c>
      <c r="O219" s="112" t="str">
        <f>IF(OR(B219=0,B219="",N219=0),"",IF(AF219&lt;&gt;"exclusion",MAX(O$9,-(SUMIFS(SF_Output!$T$1:$T$400,SF_Output!$AC$1:$AC$400,_xlfn.TEXTJOIN(",",TRUE,$B219:$E219),SF_Output!$Q$1:$Q$400,"One Time",SF_Output!$L$1:$L$400,"professional service"))/N219),-((SUMIFS(SF_Output!$T$1:$T$400,SF_Output!$AC$1:$AC$400,_xlfn.TEXTJOIN(",",TRUE,$B219:$E219),SF_Output!$Q$1:$Q$400,"One Time",SF_Output!$L$1:$L$400,"professional service")/N219))))</f>
        <v/>
      </c>
      <c r="P219" s="6" t="str">
        <f t="shared" si="53"/>
        <v/>
      </c>
      <c r="R219" s="6" t="str">
        <f>IF(B219="","",SUMIFS(SF_Output!$S$1:$S$400,SF_Output!$AC$1:$AC$400,_xlfn.TEXTJOIN(",",TRUE,B219:E219),SF_Output!$Q$1:$Q$400,"yearly")+SUMIFS(SF_Output!$S$1:$S$400,SF_Output!$AC$1:$AC$400,_xlfn.TEXTJOIN(",",TRUE,B219:E219),SF_Output!$Q$1:$Q$400,"quarterly")*4)</f>
        <v/>
      </c>
      <c r="S219" s="112" t="str">
        <f>IF(OR(B219=0,B219="",G219="hardware",R219=0),"",IF(AF219&lt;&gt;"exclusion",MAX(S$9,-(SUMIFS(SF_Output!$T$1:$T$400,SF_Output!$AC$1:$AC$400,_xlfn.TEXTJOIN(",",TRUE,$B219:$E219),SF_Output!$Q$1:$Q$400,"yearly"))/R219),-((SUMIFS(SF_Output!$T$1:$T$400,SF_Output!$AC$1:$AC$400,_xlfn.TEXTJOIN(",",TRUE,$B219:$E219),SF_Output!$Q$1:$Q$400,"yearly")/R219))))</f>
        <v/>
      </c>
      <c r="T219" s="6" t="str">
        <f t="shared" si="54"/>
        <v/>
      </c>
      <c r="V219" s="6" t="str" cm="1">
        <f t="array" ref="V219">_xlfn.IFS(B219="","",AND(B219&lt;&gt;"",H219=SF_Output!$Y$2,SUMIFS(SF_Output!$T$1:$T$400,SF_Output!$AC$1:$AC$400,_xlfn.TEXTJOIN(",",TRUE,B219:E219),SF_Output!$Q$1:$Q$400,"monthly")=0),(SUMIFS(SF_Output!$F$1:$F$400,SF_Output!$AC$1:$AC$400,_xlfn.TEXTJOIN(",",TRUE,B219:E219),SF_Output!$Q$1:$Q$400,"monthly")+SUMIFS(SF_Output!$G$1:$G$400,SF_Output!$AC$1:$AC$400,_xlfn.TEXTJOIN(",",TRUE,B219:E219),SF_Output!$Q$1:$Q$400,"monthly"))*H219,AND(B219&lt;&gt;"",H219=SF_Output!$Y$2,SUMIFS(SF_Output!$T$1:$T$400,SF_Output!$AC$1:$AC$400,_xlfn.TEXTJOIN(",",TRUE,B219:E219),SF_Output!$Q$1:$Q$400,"monthly")&lt;&gt;0),SUMIFS(SF_Output!$S$1:$S$400,SF_Output!$AC$1:$AC$400,_xlfn.TEXTJOIN(",",TRUE,B219:E219),SF_Output!$Q$1:$Q$400,"monthly"),AND(B219&lt;&gt;"",H219&lt;&gt;SF_Output!$Y$2),SUMIFS(SF_Output!$S$1:$S$400,SF_Output!$AC$1:$AC$400,_xlfn.TEXTJOIN(",",TRUE,B219:E219),SF_Output!$Q$1:$Q$400,"monthly"))</f>
        <v/>
      </c>
      <c r="W219" s="112" t="str" cm="1">
        <f t="array" ref="W219">_xlfn.IFS(OR(B219=0,B219="",V219=0),"",AF219&lt;&gt;"exclusion",MAX($W$9,$W$7,(-(SUMIFS(SF_Output!$T$1:$T$400,SF_Output!$AC$1:$AC$400,_xlfn.TEXTJOIN(",",TRUE,$B219:$E219),SF_Output!$Q$1:$Q$400,"monthly"))/V219)),AF219="exclusion",-(SUMIFS(SF_Output!$T$1:$T$400,SF_Output!$AC$1:$AC$400,_xlfn.TEXTJOIN(",",TRUE,$B219:$E219),SF_Output!$Q$1:$Q$400,"monthly"))/V219)</f>
        <v/>
      </c>
      <c r="X219" s="6" t="str" cm="1">
        <f t="array" ref="X219">IFERROR(_xlfn.IFS(V219=0,0,V219="","",W219=0,V219,OR(V219&lt;&gt;0,V219&lt;&gt;""),H219*I219),V219*(1-W219))</f>
        <v/>
      </c>
      <c r="Z219" s="6" t="str">
        <f>IFERROR(IF(B219="","",SUMIFS(Billing_Fallout!H:H,Billing_Fallout!N:N,B219)),0)</f>
        <v/>
      </c>
      <c r="AA219" s="6" t="str">
        <f t="shared" si="55"/>
        <v/>
      </c>
      <c r="AB219" s="6" t="str">
        <f>IFERROR(IF(B219="","",SUMIFS(Billing_Fallout!J:J,Billing_Fallout!N:N,B219)),0)</f>
        <v/>
      </c>
      <c r="AD219" s="6" t="str">
        <f t="shared" si="56"/>
        <v/>
      </c>
      <c r="AF219" t="str">
        <f>IFERROR(INDEX(H_Tables!$B$1:$B$1500,MATCH(INDEX(SF_Output!$J$1:$J$400,MATCH(B219,SF_Output!$M$1:$M$400,0)),H_Tables!$A$1:$A$1500,0)),"")</f>
        <v/>
      </c>
      <c r="AI219" s="119" t="str">
        <f t="shared" si="57"/>
        <v/>
      </c>
      <c r="AJ219" s="121">
        <f>IFERROR(INDEX(SF_Output!AD:AD,MATCH(_xlfn.TEXTJOIN(",",TRUE,B219:E219),SF_Output!AC1:AC400,0)),0.05)</f>
        <v>241</v>
      </c>
      <c r="AK219" t="str">
        <f>IF(SUMIFS(SF_Output!$F$1:$F$400,SF_Output!$AC$1:$AC$400,_xlfn.TEXTJOIN(",",TRUE,B219:E219))+SUMIFS(SF_Output!$G$1:$G$400,SF_Output!$AC$1:$AC$400,_xlfn.TEXTJOIN(",",TRUE,B219:E219))=0,"","PAP")</f>
        <v/>
      </c>
      <c r="AQ219" s="35"/>
      <c r="AR219" s="35" t="str" cm="1">
        <f t="array" ref="AR219">IFERROR(_xlfn.IFS(AND(E219*1=1,F219="Included"),"Change to Included",AND(E219*1=0,F219="Optional"),"Change to Optional",OR(B219="",F219="replaced"),""),"")</f>
        <v/>
      </c>
      <c r="AS219" s="35" t="str">
        <f t="shared" si="58"/>
        <v/>
      </c>
      <c r="AT219" s="35" t="str">
        <f t="shared" si="59"/>
        <v/>
      </c>
      <c r="AU219" s="35" t="str">
        <f t="shared" si="60"/>
        <v/>
      </c>
      <c r="AV219" s="35" t="str">
        <f t="shared" si="61"/>
        <v/>
      </c>
      <c r="AW219" s="35" t="str">
        <f t="shared" si="62"/>
        <v/>
      </c>
      <c r="AX219" s="35" t="str">
        <f t="shared" si="63"/>
        <v/>
      </c>
      <c r="AY219" s="35" t="str">
        <f t="shared" si="64"/>
        <v/>
      </c>
      <c r="AZ219" s="35" t="str">
        <f t="shared" si="65"/>
        <v/>
      </c>
      <c r="BA219" s="35" t="str">
        <f t="shared" si="66"/>
        <v/>
      </c>
      <c r="BB219" s="35" t="str">
        <f t="shared" si="67"/>
        <v/>
      </c>
      <c r="BC219" s="35"/>
      <c r="BE219" s="35" t="e">
        <f>INDEX(SF_Output!$AA$2:$AA$400,MATCH($B219,SF_Output!$M$2:$M$400,0))</f>
        <v>#N/A</v>
      </c>
      <c r="BF219" s="35" t="e">
        <f>INDEX(SF_Output!$AB$2:$AB$400,MATCH($B219,SF_Output!$M$2:$M$400,0))</f>
        <v>#N/A</v>
      </c>
    </row>
    <row r="220" spans="6:58" x14ac:dyDescent="0.25">
      <c r="F220" s="116" t="str">
        <f t="shared" si="51"/>
        <v/>
      </c>
      <c r="G220" t="str">
        <f>IF(B220="","",INDEX(SF_Output!$K$1:$K$400,MATCH(B220,SF_Output!$M$1:$M$400,0)))</f>
        <v/>
      </c>
      <c r="H220" t="str" cm="1">
        <f t="array" ref="H220">_xlfn.IFS(B220="","",(SUMIFS(SF_Output!$F$1:$F$400,SF_Output!$AC$1:$AC$400,_xlfn.TEXTJOIN(",",TRUE,B220:E220))+SUMIFS(SF_Output!$G$1:$G$400,SF_Output!$AC$1:$AC$400,_xlfn.TEXTJOIN(",",TRUE,B220:E220)))&lt;&gt;0,SF_Output!$Y$2,INDEX(SF_Output!$F$1:$F$400,MATCH(_xlfn.TEXTJOIN(",",TRUE,B220:E220),SF_Output!$AC$1:$AC$400,0))=0,INDEX(SF_Output!$R$1:$R$400,MATCH(_xlfn.TEXTJOIN(",",TRUE,B220:E220),SF_Output!$AC$1:$AC$400,0)))</f>
        <v/>
      </c>
      <c r="I220" s="125" t="str">
        <f>IFERROR(IF(AND(H220&gt;1,H220&lt;&gt;""),ROUND(SUMIFS(SF_Output!$S$1:$S$400,SF_Output!$AC$1:$AC$400,_xlfn.TEXTJOIN(",",TRUE,B220:E220),SF_Output!$Q$1:$Q$400,"monthly")*(1-W220)/H220,4),""),"")</f>
        <v/>
      </c>
      <c r="J220" s="6" t="str">
        <f>IF(B220="","",SUMIFS(SF_Output!$S$1:$S$400,SF_Output!$AC$1:$AC$400,_xlfn.TEXTJOIN(",",TRUE,B220:E220),SF_Output!$Q$1:$Q$400,"One Time",SF_Output!$L$1:$L$400,"license fee")+SUMIFS(SF_Output!$S$1:$S$400,SF_Output!$AC$1:$AC$400,_xlfn.TEXTJOIN(",",TRUE,B220:E220),SF_Output!$Q$1:$Q$400,"One Time",SF_Output!$L$1:$L$400,"software license")+SUMIFS(SF_Output!$S$1:$S$400,SF_Output!$AC$1:$AC$400,_xlfn.TEXTJOIN(",",TRUE,B220:E220),SF_Output!$Q$1:$Q$400,"One Time",SF_Output!$L$1:$L$400,"hardware"))</f>
        <v/>
      </c>
      <c r="K220" s="112" t="str">
        <f>IF(OR(B220=0,B220="",G220="hardware",J220=0),"",IF(AF220&lt;&gt;"exclusion",MAX(K$9,-((SUMIFS(SF_Output!$T$1:$T$400,SF_Output!$AC$1:$AC$400,_xlfn.TEXTJOIN(",",TRUE,$B220:$E220),SF_Output!$Q$1:$Q$400,"One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license"))/J220)))</f>
        <v/>
      </c>
      <c r="L220" s="6" t="str">
        <f t="shared" si="52"/>
        <v/>
      </c>
      <c r="N220" s="6" t="str">
        <f>IF(B220="","",SUMIFS(SF_Output!$S$1:$S$400,SF_Output!$AC$1:$AC$400,_xlfn.TEXTJOIN(",",TRUE,B220:E220),SF_Output!$Q$1:$Q$400,"One Time",SF_Output!$L$1:$L$400,"professional service"))</f>
        <v/>
      </c>
      <c r="O220" s="112" t="str">
        <f>IF(OR(B220=0,B220="",N220=0),"",IF(AF220&lt;&gt;"exclusion",MAX(O$9,-(SUMIFS(SF_Output!$T$1:$T$400,SF_Output!$AC$1:$AC$400,_xlfn.TEXTJOIN(",",TRUE,$B220:$E220),SF_Output!$Q$1:$Q$400,"One Time",SF_Output!$L$1:$L$400,"professional service"))/N220),-((SUMIFS(SF_Output!$T$1:$T$400,SF_Output!$AC$1:$AC$400,_xlfn.TEXTJOIN(",",TRUE,$B220:$E220),SF_Output!$Q$1:$Q$400,"One Time",SF_Output!$L$1:$L$400,"professional service")/N220))))</f>
        <v/>
      </c>
      <c r="P220" s="6" t="str">
        <f t="shared" si="53"/>
        <v/>
      </c>
      <c r="R220" s="6" t="str">
        <f>IF(B220="","",SUMIFS(SF_Output!$S$1:$S$400,SF_Output!$AC$1:$AC$400,_xlfn.TEXTJOIN(",",TRUE,B220:E220),SF_Output!$Q$1:$Q$400,"yearly")+SUMIFS(SF_Output!$S$1:$S$400,SF_Output!$AC$1:$AC$400,_xlfn.TEXTJOIN(",",TRUE,B220:E220),SF_Output!$Q$1:$Q$400,"quarterly")*4)</f>
        <v/>
      </c>
      <c r="S220" s="112" t="str">
        <f>IF(OR(B220=0,B220="",G220="hardware",R220=0),"",IF(AF220&lt;&gt;"exclusion",MAX(S$9,-(SUMIFS(SF_Output!$T$1:$T$400,SF_Output!$AC$1:$AC$400,_xlfn.TEXTJOIN(",",TRUE,$B220:$E220),SF_Output!$Q$1:$Q$400,"yearly"))/R220),-((SUMIFS(SF_Output!$T$1:$T$400,SF_Output!$AC$1:$AC$400,_xlfn.TEXTJOIN(",",TRUE,$B220:$E220),SF_Output!$Q$1:$Q$400,"yearly")/R220))))</f>
        <v/>
      </c>
      <c r="T220" s="6" t="str">
        <f t="shared" si="54"/>
        <v/>
      </c>
      <c r="V220" s="6" t="str" cm="1">
        <f t="array" ref="V220">_xlfn.IFS(B220="","",AND(B220&lt;&gt;"",H220=SF_Output!$Y$2,SUMIFS(SF_Output!$T$1:$T$400,SF_Output!$AC$1:$AC$400,_xlfn.TEXTJOIN(",",TRUE,B220:E220),SF_Output!$Q$1:$Q$400,"monthly")=0),(SUMIFS(SF_Output!$F$1:$F$400,SF_Output!$AC$1:$AC$400,_xlfn.TEXTJOIN(",",TRUE,B220:E220),SF_Output!$Q$1:$Q$400,"monthly")+SUMIFS(SF_Output!$G$1:$G$400,SF_Output!$AC$1:$AC$400,_xlfn.TEXTJOIN(",",TRUE,B220:E220),SF_Output!$Q$1:$Q$400,"monthly"))*H220,AND(B220&lt;&gt;"",H220=SF_Output!$Y$2,SUMIFS(SF_Output!$T$1:$T$400,SF_Output!$AC$1:$AC$400,_xlfn.TEXTJOIN(",",TRUE,B220:E220),SF_Output!$Q$1:$Q$400,"monthly")&lt;&gt;0),SUMIFS(SF_Output!$S$1:$S$400,SF_Output!$AC$1:$AC$400,_xlfn.TEXTJOIN(",",TRUE,B220:E220),SF_Output!$Q$1:$Q$400,"monthly"),AND(B220&lt;&gt;"",H220&lt;&gt;SF_Output!$Y$2),SUMIFS(SF_Output!$S$1:$S$400,SF_Output!$AC$1:$AC$400,_xlfn.TEXTJOIN(",",TRUE,B220:E220),SF_Output!$Q$1:$Q$400,"monthly"))</f>
        <v/>
      </c>
      <c r="W220" s="112" t="str" cm="1">
        <f t="array" ref="W220">_xlfn.IFS(OR(B220=0,B220="",V220=0),"",AF220&lt;&gt;"exclusion",MAX($W$9,$W$7,(-(SUMIFS(SF_Output!$T$1:$T$400,SF_Output!$AC$1:$AC$400,_xlfn.TEXTJOIN(",",TRUE,$B220:$E220),SF_Output!$Q$1:$Q$400,"monthly"))/V220)),AF220="exclusion",-(SUMIFS(SF_Output!$T$1:$T$400,SF_Output!$AC$1:$AC$400,_xlfn.TEXTJOIN(",",TRUE,$B220:$E220),SF_Output!$Q$1:$Q$400,"monthly"))/V220)</f>
        <v/>
      </c>
      <c r="X220" s="6" t="str" cm="1">
        <f t="array" ref="X220">IFERROR(_xlfn.IFS(V220=0,0,V220="","",W220=0,V220,OR(V220&lt;&gt;0,V220&lt;&gt;""),H220*I220),V220*(1-W220))</f>
        <v/>
      </c>
      <c r="Z220" s="6" t="str">
        <f>IFERROR(IF(B220="","",SUMIFS(Billing_Fallout!H:H,Billing_Fallout!N:N,B220)),0)</f>
        <v/>
      </c>
      <c r="AA220" s="6" t="str">
        <f t="shared" si="55"/>
        <v/>
      </c>
      <c r="AB220" s="6" t="str">
        <f>IFERROR(IF(B220="","",SUMIFS(Billing_Fallout!J:J,Billing_Fallout!N:N,B220)),0)</f>
        <v/>
      </c>
      <c r="AD220" s="6" t="str">
        <f t="shared" si="56"/>
        <v/>
      </c>
      <c r="AF220" t="str">
        <f>IFERROR(INDEX(H_Tables!$B$1:$B$1500,MATCH(INDEX(SF_Output!$J$1:$J$400,MATCH(B220,SF_Output!$M$1:$M$400,0)),H_Tables!$A$1:$A$1500,0)),"")</f>
        <v/>
      </c>
      <c r="AI220" s="119" t="str">
        <f t="shared" si="57"/>
        <v/>
      </c>
      <c r="AJ220" s="121">
        <f>IFERROR(INDEX(SF_Output!AD:AD,MATCH(_xlfn.TEXTJOIN(",",TRUE,B220:E220),SF_Output!AC1:AC400,0)),0.05)</f>
        <v>241</v>
      </c>
      <c r="AK220" t="str">
        <f>IF(SUMIFS(SF_Output!$F$1:$F$400,SF_Output!$AC$1:$AC$400,_xlfn.TEXTJOIN(",",TRUE,B220:E220))+SUMIFS(SF_Output!$G$1:$G$400,SF_Output!$AC$1:$AC$400,_xlfn.TEXTJOIN(",",TRUE,B220:E220))=0,"","PAP")</f>
        <v/>
      </c>
      <c r="AQ220" s="35"/>
      <c r="AR220" s="35" t="str" cm="1">
        <f t="array" ref="AR220">IFERROR(_xlfn.IFS(AND(E220*1=1,F220="Included"),"Change to Included",AND(E220*1=0,F220="Optional"),"Change to Optional",OR(B220="",F220="replaced"),""),"")</f>
        <v/>
      </c>
      <c r="AS220" s="35" t="str">
        <f t="shared" si="58"/>
        <v/>
      </c>
      <c r="AT220" s="35" t="str">
        <f t="shared" si="59"/>
        <v/>
      </c>
      <c r="AU220" s="35" t="str">
        <f t="shared" si="60"/>
        <v/>
      </c>
      <c r="AV220" s="35" t="str">
        <f t="shared" si="61"/>
        <v/>
      </c>
      <c r="AW220" s="35" t="str">
        <f t="shared" si="62"/>
        <v/>
      </c>
      <c r="AX220" s="35" t="str">
        <f t="shared" si="63"/>
        <v/>
      </c>
      <c r="AY220" s="35" t="str">
        <f t="shared" si="64"/>
        <v/>
      </c>
      <c r="AZ220" s="35" t="str">
        <f t="shared" si="65"/>
        <v/>
      </c>
      <c r="BA220" s="35" t="str">
        <f t="shared" si="66"/>
        <v/>
      </c>
      <c r="BB220" s="35" t="str">
        <f t="shared" si="67"/>
        <v/>
      </c>
      <c r="BC220" s="35"/>
      <c r="BE220" s="35" t="e">
        <f>INDEX(SF_Output!$AA$2:$AA$400,MATCH($B220,SF_Output!$M$2:$M$400,0))</f>
        <v>#N/A</v>
      </c>
      <c r="BF220" s="35" t="e">
        <f>INDEX(SF_Output!$AB$2:$AB$400,MATCH($B220,SF_Output!$M$2:$M$400,0))</f>
        <v>#N/A</v>
      </c>
    </row>
    <row r="221" spans="6:58" x14ac:dyDescent="0.25">
      <c r="F221" s="116" t="str">
        <f t="shared" si="51"/>
        <v/>
      </c>
      <c r="G221" t="str">
        <f>IF(B221="","",INDEX(SF_Output!$K$1:$K$400,MATCH(B221,SF_Output!$M$1:$M$400,0)))</f>
        <v/>
      </c>
      <c r="H221" t="str" cm="1">
        <f t="array" ref="H221">_xlfn.IFS(B221="","",(SUMIFS(SF_Output!$F$1:$F$400,SF_Output!$AC$1:$AC$400,_xlfn.TEXTJOIN(",",TRUE,B221:E221))+SUMIFS(SF_Output!$G$1:$G$400,SF_Output!$AC$1:$AC$400,_xlfn.TEXTJOIN(",",TRUE,B221:E221)))&lt;&gt;0,SF_Output!$Y$2,INDEX(SF_Output!$F$1:$F$400,MATCH(_xlfn.TEXTJOIN(",",TRUE,B221:E221),SF_Output!$AC$1:$AC$400,0))=0,INDEX(SF_Output!$R$1:$R$400,MATCH(_xlfn.TEXTJOIN(",",TRUE,B221:E221),SF_Output!$AC$1:$AC$400,0)))</f>
        <v/>
      </c>
      <c r="I221" s="125" t="str">
        <f>IFERROR(IF(AND(H221&gt;1,H221&lt;&gt;""),ROUND(SUMIFS(SF_Output!$S$1:$S$400,SF_Output!$AC$1:$AC$400,_xlfn.TEXTJOIN(",",TRUE,B221:E221),SF_Output!$Q$1:$Q$400,"monthly")*(1-W221)/H221,4),""),"")</f>
        <v/>
      </c>
      <c r="J221" s="6" t="str">
        <f>IF(B221="","",SUMIFS(SF_Output!$S$1:$S$400,SF_Output!$AC$1:$AC$400,_xlfn.TEXTJOIN(",",TRUE,B221:E221),SF_Output!$Q$1:$Q$400,"One Time",SF_Output!$L$1:$L$400,"license fee")+SUMIFS(SF_Output!$S$1:$S$400,SF_Output!$AC$1:$AC$400,_xlfn.TEXTJOIN(",",TRUE,B221:E221),SF_Output!$Q$1:$Q$400,"One Time",SF_Output!$L$1:$L$400,"software license")+SUMIFS(SF_Output!$S$1:$S$400,SF_Output!$AC$1:$AC$400,_xlfn.TEXTJOIN(",",TRUE,B221:E221),SF_Output!$Q$1:$Q$400,"One Time",SF_Output!$L$1:$L$400,"hardware"))</f>
        <v/>
      </c>
      <c r="K221" s="112" t="str">
        <f>IF(OR(B221=0,B221="",G221="hardware",J221=0),"",IF(AF221&lt;&gt;"exclusion",MAX(K$9,-((SUMIFS(SF_Output!$T$1:$T$400,SF_Output!$AC$1:$AC$400,_xlfn.TEXTJOIN(",",TRUE,$B221:$E221),SF_Output!$Q$1:$Q$400,"One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license"))/J221)))</f>
        <v/>
      </c>
      <c r="L221" s="6" t="str">
        <f t="shared" si="52"/>
        <v/>
      </c>
      <c r="N221" s="6" t="str">
        <f>IF(B221="","",SUMIFS(SF_Output!$S$1:$S$400,SF_Output!$AC$1:$AC$400,_xlfn.TEXTJOIN(",",TRUE,B221:E221),SF_Output!$Q$1:$Q$400,"One Time",SF_Output!$L$1:$L$400,"professional service"))</f>
        <v/>
      </c>
      <c r="O221" s="112" t="str">
        <f>IF(OR(B221=0,B221="",N221=0),"",IF(AF221&lt;&gt;"exclusion",MAX(O$9,-(SUMIFS(SF_Output!$T$1:$T$400,SF_Output!$AC$1:$AC$400,_xlfn.TEXTJOIN(",",TRUE,$B221:$E221),SF_Output!$Q$1:$Q$400,"One Time",SF_Output!$L$1:$L$400,"professional service"))/N221),-((SUMIFS(SF_Output!$T$1:$T$400,SF_Output!$AC$1:$AC$400,_xlfn.TEXTJOIN(",",TRUE,$B221:$E221),SF_Output!$Q$1:$Q$400,"One Time",SF_Output!$L$1:$L$400,"professional service")/N221))))</f>
        <v/>
      </c>
      <c r="P221" s="6" t="str">
        <f t="shared" si="53"/>
        <v/>
      </c>
      <c r="R221" s="6" t="str">
        <f>IF(B221="","",SUMIFS(SF_Output!$S$1:$S$400,SF_Output!$AC$1:$AC$400,_xlfn.TEXTJOIN(",",TRUE,B221:E221),SF_Output!$Q$1:$Q$400,"yearly")+SUMIFS(SF_Output!$S$1:$S$400,SF_Output!$AC$1:$AC$400,_xlfn.TEXTJOIN(",",TRUE,B221:E221),SF_Output!$Q$1:$Q$400,"quarterly")*4)</f>
        <v/>
      </c>
      <c r="S221" s="112" t="str">
        <f>IF(OR(B221=0,B221="",G221="hardware",R221=0),"",IF(AF221&lt;&gt;"exclusion",MAX(S$9,-(SUMIFS(SF_Output!$T$1:$T$400,SF_Output!$AC$1:$AC$400,_xlfn.TEXTJOIN(",",TRUE,$B221:$E221),SF_Output!$Q$1:$Q$400,"yearly"))/R221),-((SUMIFS(SF_Output!$T$1:$T$400,SF_Output!$AC$1:$AC$400,_xlfn.TEXTJOIN(",",TRUE,$B221:$E221),SF_Output!$Q$1:$Q$400,"yearly")/R221))))</f>
        <v/>
      </c>
      <c r="T221" s="6" t="str">
        <f t="shared" si="54"/>
        <v/>
      </c>
      <c r="V221" s="6" t="str" cm="1">
        <f t="array" ref="V221">_xlfn.IFS(B221="","",AND(B221&lt;&gt;"",H221=SF_Output!$Y$2,SUMIFS(SF_Output!$T$1:$T$400,SF_Output!$AC$1:$AC$400,_xlfn.TEXTJOIN(",",TRUE,B221:E221),SF_Output!$Q$1:$Q$400,"monthly")=0),(SUMIFS(SF_Output!$F$1:$F$400,SF_Output!$AC$1:$AC$400,_xlfn.TEXTJOIN(",",TRUE,B221:E221),SF_Output!$Q$1:$Q$400,"monthly")+SUMIFS(SF_Output!$G$1:$G$400,SF_Output!$AC$1:$AC$400,_xlfn.TEXTJOIN(",",TRUE,B221:E221),SF_Output!$Q$1:$Q$400,"monthly"))*H221,AND(B221&lt;&gt;"",H221=SF_Output!$Y$2,SUMIFS(SF_Output!$T$1:$T$400,SF_Output!$AC$1:$AC$400,_xlfn.TEXTJOIN(",",TRUE,B221:E221),SF_Output!$Q$1:$Q$400,"monthly")&lt;&gt;0),SUMIFS(SF_Output!$S$1:$S$400,SF_Output!$AC$1:$AC$400,_xlfn.TEXTJOIN(",",TRUE,B221:E221),SF_Output!$Q$1:$Q$400,"monthly"),AND(B221&lt;&gt;"",H221&lt;&gt;SF_Output!$Y$2),SUMIFS(SF_Output!$S$1:$S$400,SF_Output!$AC$1:$AC$400,_xlfn.TEXTJOIN(",",TRUE,B221:E221),SF_Output!$Q$1:$Q$400,"monthly"))</f>
        <v/>
      </c>
      <c r="W221" s="112" t="str" cm="1">
        <f t="array" ref="W221">_xlfn.IFS(OR(B221=0,B221="",V221=0),"",AF221&lt;&gt;"exclusion",MAX($W$9,$W$7,(-(SUMIFS(SF_Output!$T$1:$T$400,SF_Output!$AC$1:$AC$400,_xlfn.TEXTJOIN(",",TRUE,$B221:$E221),SF_Output!$Q$1:$Q$400,"monthly"))/V221)),AF221="exclusion",-(SUMIFS(SF_Output!$T$1:$T$400,SF_Output!$AC$1:$AC$400,_xlfn.TEXTJOIN(",",TRUE,$B221:$E221),SF_Output!$Q$1:$Q$400,"monthly"))/V221)</f>
        <v/>
      </c>
      <c r="X221" s="6" t="str" cm="1">
        <f t="array" ref="X221">IFERROR(_xlfn.IFS(V221=0,0,V221="","",W221=0,V221,OR(V221&lt;&gt;0,V221&lt;&gt;""),H221*I221),V221*(1-W221))</f>
        <v/>
      </c>
      <c r="Z221" s="6" t="str">
        <f>IFERROR(IF(B221="","",SUMIFS(Billing_Fallout!H:H,Billing_Fallout!N:N,B221)),0)</f>
        <v/>
      </c>
      <c r="AA221" s="6" t="str">
        <f t="shared" si="55"/>
        <v/>
      </c>
      <c r="AB221" s="6" t="str">
        <f>IFERROR(IF(B221="","",SUMIFS(Billing_Fallout!J:J,Billing_Fallout!N:N,B221)),0)</f>
        <v/>
      </c>
      <c r="AD221" s="6" t="str">
        <f t="shared" si="56"/>
        <v/>
      </c>
      <c r="AF221" t="str">
        <f>IFERROR(INDEX(H_Tables!$B$1:$B$1500,MATCH(INDEX(SF_Output!$J$1:$J$400,MATCH(B221,SF_Output!$M$1:$M$400,0)),H_Tables!$A$1:$A$1500,0)),"")</f>
        <v/>
      </c>
      <c r="AI221" s="119" t="str">
        <f t="shared" si="57"/>
        <v/>
      </c>
      <c r="AJ221" s="121">
        <f>IFERROR(INDEX(SF_Output!AD:AD,MATCH(_xlfn.TEXTJOIN(",",TRUE,B221:E221),SF_Output!AC1:AC400,0)),0.05)</f>
        <v>241</v>
      </c>
      <c r="AK221" t="str">
        <f>IF(SUMIFS(SF_Output!$F$1:$F$400,SF_Output!$AC$1:$AC$400,_xlfn.TEXTJOIN(",",TRUE,B221:E221))+SUMIFS(SF_Output!$G$1:$G$400,SF_Output!$AC$1:$AC$400,_xlfn.TEXTJOIN(",",TRUE,B221:E221))=0,"","PAP")</f>
        <v/>
      </c>
      <c r="AQ221" s="35"/>
      <c r="AR221" s="35" t="str" cm="1">
        <f t="array" ref="AR221">IFERROR(_xlfn.IFS(AND(E221*1=1,F221="Included"),"Change to Included",AND(E221*1=0,F221="Optional"),"Change to Optional",OR(B221="",F221="replaced"),""),"")</f>
        <v/>
      </c>
      <c r="AS221" s="35" t="str">
        <f t="shared" si="58"/>
        <v/>
      </c>
      <c r="AT221" s="35" t="str">
        <f t="shared" si="59"/>
        <v/>
      </c>
      <c r="AU221" s="35" t="str">
        <f t="shared" si="60"/>
        <v/>
      </c>
      <c r="AV221" s="35" t="str">
        <f t="shared" si="61"/>
        <v/>
      </c>
      <c r="AW221" s="35" t="str">
        <f t="shared" si="62"/>
        <v/>
      </c>
      <c r="AX221" s="35" t="str">
        <f t="shared" si="63"/>
        <v/>
      </c>
      <c r="AY221" s="35" t="str">
        <f t="shared" si="64"/>
        <v/>
      </c>
      <c r="AZ221" s="35" t="str">
        <f t="shared" si="65"/>
        <v/>
      </c>
      <c r="BA221" s="35" t="str">
        <f t="shared" si="66"/>
        <v/>
      </c>
      <c r="BB221" s="35" t="str">
        <f t="shared" si="67"/>
        <v/>
      </c>
      <c r="BC221" s="35"/>
      <c r="BE221" s="35" t="e">
        <f>INDEX(SF_Output!$AA$2:$AA$400,MATCH($B221,SF_Output!$M$2:$M$400,0))</f>
        <v>#N/A</v>
      </c>
      <c r="BF221" s="35" t="e">
        <f>INDEX(SF_Output!$AB$2:$AB$400,MATCH($B221,SF_Output!$M$2:$M$400,0))</f>
        <v>#N/A</v>
      </c>
    </row>
    <row r="222" spans="6:58" x14ac:dyDescent="0.25">
      <c r="F222" s="116" t="str">
        <f t="shared" si="51"/>
        <v/>
      </c>
      <c r="G222" t="str">
        <f>IF(B222="","",INDEX(SF_Output!$K$1:$K$400,MATCH(B222,SF_Output!$M$1:$M$400,0)))</f>
        <v/>
      </c>
      <c r="H222" t="str" cm="1">
        <f t="array" ref="H222">_xlfn.IFS(B222="","",(SUMIFS(SF_Output!$F$1:$F$400,SF_Output!$AC$1:$AC$400,_xlfn.TEXTJOIN(",",TRUE,B222:E222))+SUMIFS(SF_Output!$G$1:$G$400,SF_Output!$AC$1:$AC$400,_xlfn.TEXTJOIN(",",TRUE,B222:E222)))&lt;&gt;0,SF_Output!$Y$2,INDEX(SF_Output!$F$1:$F$400,MATCH(_xlfn.TEXTJOIN(",",TRUE,B222:E222),SF_Output!$AC$1:$AC$400,0))=0,INDEX(SF_Output!$R$1:$R$400,MATCH(_xlfn.TEXTJOIN(",",TRUE,B222:E222),SF_Output!$AC$1:$AC$400,0)))</f>
        <v/>
      </c>
      <c r="I222" s="125" t="str">
        <f>IFERROR(IF(AND(H222&gt;1,H222&lt;&gt;""),ROUND(SUMIFS(SF_Output!$S$1:$S$400,SF_Output!$AC$1:$AC$400,_xlfn.TEXTJOIN(",",TRUE,B222:E222),SF_Output!$Q$1:$Q$400,"monthly")*(1-W222)/H222,4),""),"")</f>
        <v/>
      </c>
      <c r="J222" s="6" t="str">
        <f>IF(B222="","",SUMIFS(SF_Output!$S$1:$S$400,SF_Output!$AC$1:$AC$400,_xlfn.TEXTJOIN(",",TRUE,B222:E222),SF_Output!$Q$1:$Q$400,"One Time",SF_Output!$L$1:$L$400,"license fee")+SUMIFS(SF_Output!$S$1:$S$400,SF_Output!$AC$1:$AC$400,_xlfn.TEXTJOIN(",",TRUE,B222:E222),SF_Output!$Q$1:$Q$400,"One Time",SF_Output!$L$1:$L$400,"software license")+SUMIFS(SF_Output!$S$1:$S$400,SF_Output!$AC$1:$AC$400,_xlfn.TEXTJOIN(",",TRUE,B222:E222),SF_Output!$Q$1:$Q$400,"One Time",SF_Output!$L$1:$L$400,"hardware"))</f>
        <v/>
      </c>
      <c r="K222" s="112" t="str">
        <f>IF(OR(B222=0,B222="",G222="hardware",J222=0),"",IF(AF222&lt;&gt;"exclusion",MAX(K$9,-((SUMIFS(SF_Output!$T$1:$T$400,SF_Output!$AC$1:$AC$400,_xlfn.TEXTJOIN(",",TRUE,$B222:$E222),SF_Output!$Q$1:$Q$400,"One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license"))/J222)))</f>
        <v/>
      </c>
      <c r="L222" s="6" t="str">
        <f t="shared" si="52"/>
        <v/>
      </c>
      <c r="N222" s="6" t="str">
        <f>IF(B222="","",SUMIFS(SF_Output!$S$1:$S$400,SF_Output!$AC$1:$AC$400,_xlfn.TEXTJOIN(",",TRUE,B222:E222),SF_Output!$Q$1:$Q$400,"One Time",SF_Output!$L$1:$L$400,"professional service"))</f>
        <v/>
      </c>
      <c r="O222" s="112" t="str">
        <f>IF(OR(B222=0,B222="",N222=0),"",IF(AF222&lt;&gt;"exclusion",MAX(O$9,-(SUMIFS(SF_Output!$T$1:$T$400,SF_Output!$AC$1:$AC$400,_xlfn.TEXTJOIN(",",TRUE,$B222:$E222),SF_Output!$Q$1:$Q$400,"One Time",SF_Output!$L$1:$L$400,"professional service"))/N222),-((SUMIFS(SF_Output!$T$1:$T$400,SF_Output!$AC$1:$AC$400,_xlfn.TEXTJOIN(",",TRUE,$B222:$E222),SF_Output!$Q$1:$Q$400,"One Time",SF_Output!$L$1:$L$400,"professional service")/N222))))</f>
        <v/>
      </c>
      <c r="P222" s="6" t="str">
        <f t="shared" si="53"/>
        <v/>
      </c>
      <c r="R222" s="6" t="str">
        <f>IF(B222="","",SUMIFS(SF_Output!$S$1:$S$400,SF_Output!$AC$1:$AC$400,_xlfn.TEXTJOIN(",",TRUE,B222:E222),SF_Output!$Q$1:$Q$400,"yearly")+SUMIFS(SF_Output!$S$1:$S$400,SF_Output!$AC$1:$AC$400,_xlfn.TEXTJOIN(",",TRUE,B222:E222),SF_Output!$Q$1:$Q$400,"quarterly")*4)</f>
        <v/>
      </c>
      <c r="S222" s="112" t="str">
        <f>IF(OR(B222=0,B222="",G222="hardware",R222=0),"",IF(AF222&lt;&gt;"exclusion",MAX(S$9,-(SUMIFS(SF_Output!$T$1:$T$400,SF_Output!$AC$1:$AC$400,_xlfn.TEXTJOIN(",",TRUE,$B222:$E222),SF_Output!$Q$1:$Q$400,"yearly"))/R222),-((SUMIFS(SF_Output!$T$1:$T$400,SF_Output!$AC$1:$AC$400,_xlfn.TEXTJOIN(",",TRUE,$B222:$E222),SF_Output!$Q$1:$Q$400,"yearly")/R222))))</f>
        <v/>
      </c>
      <c r="T222" s="6" t="str">
        <f t="shared" si="54"/>
        <v/>
      </c>
      <c r="V222" s="6" t="str" cm="1">
        <f t="array" ref="V222">_xlfn.IFS(B222="","",AND(B222&lt;&gt;"",H222=SF_Output!$Y$2,SUMIFS(SF_Output!$T$1:$T$400,SF_Output!$AC$1:$AC$400,_xlfn.TEXTJOIN(",",TRUE,B222:E222),SF_Output!$Q$1:$Q$400,"monthly")=0),(SUMIFS(SF_Output!$F$1:$F$400,SF_Output!$AC$1:$AC$400,_xlfn.TEXTJOIN(",",TRUE,B222:E222),SF_Output!$Q$1:$Q$400,"monthly")+SUMIFS(SF_Output!$G$1:$G$400,SF_Output!$AC$1:$AC$400,_xlfn.TEXTJOIN(",",TRUE,B222:E222),SF_Output!$Q$1:$Q$400,"monthly"))*H222,AND(B222&lt;&gt;"",H222=SF_Output!$Y$2,SUMIFS(SF_Output!$T$1:$T$400,SF_Output!$AC$1:$AC$400,_xlfn.TEXTJOIN(",",TRUE,B222:E222),SF_Output!$Q$1:$Q$400,"monthly")&lt;&gt;0),SUMIFS(SF_Output!$S$1:$S$400,SF_Output!$AC$1:$AC$400,_xlfn.TEXTJOIN(",",TRUE,B222:E222),SF_Output!$Q$1:$Q$400,"monthly"),AND(B222&lt;&gt;"",H222&lt;&gt;SF_Output!$Y$2),SUMIFS(SF_Output!$S$1:$S$400,SF_Output!$AC$1:$AC$400,_xlfn.TEXTJOIN(",",TRUE,B222:E222),SF_Output!$Q$1:$Q$400,"monthly"))</f>
        <v/>
      </c>
      <c r="W222" s="112" t="str" cm="1">
        <f t="array" ref="W222">_xlfn.IFS(OR(B222=0,B222="",V222=0),"",AF222&lt;&gt;"exclusion",MAX($W$9,$W$7,(-(SUMIFS(SF_Output!$T$1:$T$400,SF_Output!$AC$1:$AC$400,_xlfn.TEXTJOIN(",",TRUE,$B222:$E222),SF_Output!$Q$1:$Q$400,"monthly"))/V222)),AF222="exclusion",-(SUMIFS(SF_Output!$T$1:$T$400,SF_Output!$AC$1:$AC$400,_xlfn.TEXTJOIN(",",TRUE,$B222:$E222),SF_Output!$Q$1:$Q$400,"monthly"))/V222)</f>
        <v/>
      </c>
      <c r="X222" s="6" t="str" cm="1">
        <f t="array" ref="X222">IFERROR(_xlfn.IFS(V222=0,0,V222="","",W222=0,V222,OR(V222&lt;&gt;0,V222&lt;&gt;""),H222*I222),V222*(1-W222))</f>
        <v/>
      </c>
      <c r="Z222" s="6" t="str">
        <f>IFERROR(IF(B222="","",SUMIFS(Billing_Fallout!H:H,Billing_Fallout!N:N,B222)),0)</f>
        <v/>
      </c>
      <c r="AA222" s="6" t="str">
        <f t="shared" si="55"/>
        <v/>
      </c>
      <c r="AB222" s="6" t="str">
        <f>IFERROR(IF(B222="","",SUMIFS(Billing_Fallout!J:J,Billing_Fallout!N:N,B222)),0)</f>
        <v/>
      </c>
      <c r="AD222" s="6" t="str">
        <f t="shared" si="56"/>
        <v/>
      </c>
      <c r="AF222" t="str">
        <f>IFERROR(INDEX(H_Tables!$B$1:$B$1500,MATCH(INDEX(SF_Output!$J$1:$J$400,MATCH(B222,SF_Output!$M$1:$M$400,0)),H_Tables!$A$1:$A$1500,0)),"")</f>
        <v/>
      </c>
      <c r="AI222" s="119" t="str">
        <f t="shared" si="57"/>
        <v/>
      </c>
      <c r="AJ222" s="121">
        <f>IFERROR(INDEX(SF_Output!AD:AD,MATCH(_xlfn.TEXTJOIN(",",TRUE,B222:E222),SF_Output!AC1:AC400,0)),0.05)</f>
        <v>241</v>
      </c>
      <c r="AK222" t="str">
        <f>IF(SUMIFS(SF_Output!$F$1:$F$400,SF_Output!$AC$1:$AC$400,_xlfn.TEXTJOIN(",",TRUE,B222:E222))+SUMIFS(SF_Output!$G$1:$G$400,SF_Output!$AC$1:$AC$400,_xlfn.TEXTJOIN(",",TRUE,B222:E222))=0,"","PAP")</f>
        <v/>
      </c>
      <c r="AQ222" s="35"/>
      <c r="AR222" s="35" t="str" cm="1">
        <f t="array" ref="AR222">IFERROR(_xlfn.IFS(AND(E222*1=1,F222="Included"),"Change to Included",AND(E222*1=0,F222="Optional"),"Change to Optional",OR(B222="",F222="replaced"),""),"")</f>
        <v/>
      </c>
      <c r="AS222" s="35" t="str">
        <f t="shared" si="58"/>
        <v/>
      </c>
      <c r="AT222" s="35" t="str">
        <f t="shared" si="59"/>
        <v/>
      </c>
      <c r="AU222" s="35" t="str">
        <f t="shared" si="60"/>
        <v/>
      </c>
      <c r="AV222" s="35" t="str">
        <f t="shared" si="61"/>
        <v/>
      </c>
      <c r="AW222" s="35" t="str">
        <f t="shared" si="62"/>
        <v/>
      </c>
      <c r="AX222" s="35" t="str">
        <f t="shared" si="63"/>
        <v/>
      </c>
      <c r="AY222" s="35" t="str">
        <f t="shared" si="64"/>
        <v/>
      </c>
      <c r="AZ222" s="35" t="str">
        <f t="shared" si="65"/>
        <v/>
      </c>
      <c r="BA222" s="35" t="str">
        <f t="shared" si="66"/>
        <v/>
      </c>
      <c r="BB222" s="35" t="str">
        <f t="shared" si="67"/>
        <v/>
      </c>
      <c r="BC222" s="35"/>
      <c r="BE222" s="35" t="e">
        <f>INDEX(SF_Output!$AA$2:$AA$400,MATCH($B222,SF_Output!$M$2:$M$400,0))</f>
        <v>#N/A</v>
      </c>
      <c r="BF222" s="35" t="e">
        <f>INDEX(SF_Output!$AB$2:$AB$400,MATCH($B222,SF_Output!$M$2:$M$400,0))</f>
        <v>#N/A</v>
      </c>
    </row>
    <row r="223" spans="6:58" x14ac:dyDescent="0.25">
      <c r="F223" s="116" t="str">
        <f t="shared" si="51"/>
        <v/>
      </c>
      <c r="G223" t="str">
        <f>IF(B223="","",INDEX(SF_Output!$K$1:$K$400,MATCH(B223,SF_Output!$M$1:$M$400,0)))</f>
        <v/>
      </c>
      <c r="H223" t="str" cm="1">
        <f t="array" ref="H223">_xlfn.IFS(B223="","",(SUMIFS(SF_Output!$F$1:$F$400,SF_Output!$AC$1:$AC$400,_xlfn.TEXTJOIN(",",TRUE,B223:E223))+SUMIFS(SF_Output!$G$1:$G$400,SF_Output!$AC$1:$AC$400,_xlfn.TEXTJOIN(",",TRUE,B223:E223)))&lt;&gt;0,SF_Output!$Y$2,INDEX(SF_Output!$F$1:$F$400,MATCH(_xlfn.TEXTJOIN(",",TRUE,B223:E223),SF_Output!$AC$1:$AC$400,0))=0,INDEX(SF_Output!$R$1:$R$400,MATCH(_xlfn.TEXTJOIN(",",TRUE,B223:E223),SF_Output!$AC$1:$AC$400,0)))</f>
        <v/>
      </c>
      <c r="I223" s="125" t="str">
        <f>IFERROR(IF(AND(H223&gt;1,H223&lt;&gt;""),ROUND(SUMIFS(SF_Output!$S$1:$S$400,SF_Output!$AC$1:$AC$400,_xlfn.TEXTJOIN(",",TRUE,B223:E223),SF_Output!$Q$1:$Q$400,"monthly")*(1-W223)/H223,4),""),"")</f>
        <v/>
      </c>
      <c r="J223" s="6" t="str">
        <f>IF(B223="","",SUMIFS(SF_Output!$S$1:$S$400,SF_Output!$AC$1:$AC$400,_xlfn.TEXTJOIN(",",TRUE,B223:E223),SF_Output!$Q$1:$Q$400,"One Time",SF_Output!$L$1:$L$400,"license fee")+SUMIFS(SF_Output!$S$1:$S$400,SF_Output!$AC$1:$AC$400,_xlfn.TEXTJOIN(",",TRUE,B223:E223),SF_Output!$Q$1:$Q$400,"One Time",SF_Output!$L$1:$L$400,"software license")+SUMIFS(SF_Output!$S$1:$S$400,SF_Output!$AC$1:$AC$400,_xlfn.TEXTJOIN(",",TRUE,B223:E223),SF_Output!$Q$1:$Q$400,"One Time",SF_Output!$L$1:$L$400,"hardware"))</f>
        <v/>
      </c>
      <c r="K223" s="112" t="str">
        <f>IF(OR(B223=0,B223="",G223="hardware",J223=0),"",IF(AF223&lt;&gt;"exclusion",MAX(K$9,-((SUMIFS(SF_Output!$T$1:$T$400,SF_Output!$AC$1:$AC$400,_xlfn.TEXTJOIN(",",TRUE,$B223:$E223),SF_Output!$Q$1:$Q$400,"One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license"))/J223)))</f>
        <v/>
      </c>
      <c r="L223" s="6" t="str">
        <f t="shared" si="52"/>
        <v/>
      </c>
      <c r="N223" s="6" t="str">
        <f>IF(B223="","",SUMIFS(SF_Output!$S$1:$S$400,SF_Output!$AC$1:$AC$400,_xlfn.TEXTJOIN(",",TRUE,B223:E223),SF_Output!$Q$1:$Q$400,"One Time",SF_Output!$L$1:$L$400,"professional service"))</f>
        <v/>
      </c>
      <c r="O223" s="112" t="str">
        <f>IF(OR(B223=0,B223="",N223=0),"",IF(AF223&lt;&gt;"exclusion",MAX(O$9,-(SUMIFS(SF_Output!$T$1:$T$400,SF_Output!$AC$1:$AC$400,_xlfn.TEXTJOIN(",",TRUE,$B223:$E223),SF_Output!$Q$1:$Q$400,"One Time",SF_Output!$L$1:$L$400,"professional service"))/N223),-((SUMIFS(SF_Output!$T$1:$T$400,SF_Output!$AC$1:$AC$400,_xlfn.TEXTJOIN(",",TRUE,$B223:$E223),SF_Output!$Q$1:$Q$400,"One Time",SF_Output!$L$1:$L$400,"professional service")/N223))))</f>
        <v/>
      </c>
      <c r="P223" s="6" t="str">
        <f t="shared" si="53"/>
        <v/>
      </c>
      <c r="R223" s="6" t="str">
        <f>IF(B223="","",SUMIFS(SF_Output!$S$1:$S$400,SF_Output!$AC$1:$AC$400,_xlfn.TEXTJOIN(",",TRUE,B223:E223),SF_Output!$Q$1:$Q$400,"yearly")+SUMIFS(SF_Output!$S$1:$S$400,SF_Output!$AC$1:$AC$400,_xlfn.TEXTJOIN(",",TRUE,B223:E223),SF_Output!$Q$1:$Q$400,"quarterly")*4)</f>
        <v/>
      </c>
      <c r="S223" s="112" t="str">
        <f>IF(OR(B223=0,B223="",G223="hardware",R223=0),"",IF(AF223&lt;&gt;"exclusion",MAX(S$9,-(SUMIFS(SF_Output!$T$1:$T$400,SF_Output!$AC$1:$AC$400,_xlfn.TEXTJOIN(",",TRUE,$B223:$E223),SF_Output!$Q$1:$Q$400,"yearly"))/R223),-((SUMIFS(SF_Output!$T$1:$T$400,SF_Output!$AC$1:$AC$400,_xlfn.TEXTJOIN(",",TRUE,$B223:$E223),SF_Output!$Q$1:$Q$400,"yearly")/R223))))</f>
        <v/>
      </c>
      <c r="T223" s="6" t="str">
        <f t="shared" si="54"/>
        <v/>
      </c>
      <c r="V223" s="6" t="str" cm="1">
        <f t="array" ref="V223">_xlfn.IFS(B223="","",AND(B223&lt;&gt;"",H223=SF_Output!$Y$2,SUMIFS(SF_Output!$T$1:$T$400,SF_Output!$AC$1:$AC$400,_xlfn.TEXTJOIN(",",TRUE,B223:E223),SF_Output!$Q$1:$Q$400,"monthly")=0),(SUMIFS(SF_Output!$F$1:$F$400,SF_Output!$AC$1:$AC$400,_xlfn.TEXTJOIN(",",TRUE,B223:E223),SF_Output!$Q$1:$Q$400,"monthly")+SUMIFS(SF_Output!$G$1:$G$400,SF_Output!$AC$1:$AC$400,_xlfn.TEXTJOIN(",",TRUE,B223:E223),SF_Output!$Q$1:$Q$400,"monthly"))*H223,AND(B223&lt;&gt;"",H223=SF_Output!$Y$2,SUMIFS(SF_Output!$T$1:$T$400,SF_Output!$AC$1:$AC$400,_xlfn.TEXTJOIN(",",TRUE,B223:E223),SF_Output!$Q$1:$Q$400,"monthly")&lt;&gt;0),SUMIFS(SF_Output!$S$1:$S$400,SF_Output!$AC$1:$AC$400,_xlfn.TEXTJOIN(",",TRUE,B223:E223),SF_Output!$Q$1:$Q$400,"monthly"),AND(B223&lt;&gt;"",H223&lt;&gt;SF_Output!$Y$2),SUMIFS(SF_Output!$S$1:$S$400,SF_Output!$AC$1:$AC$400,_xlfn.TEXTJOIN(",",TRUE,B223:E223),SF_Output!$Q$1:$Q$400,"monthly"))</f>
        <v/>
      </c>
      <c r="W223" s="112" t="str" cm="1">
        <f t="array" ref="W223">_xlfn.IFS(OR(B223=0,B223="",V223=0),"",AF223&lt;&gt;"exclusion",MAX($W$9,$W$7,(-(SUMIFS(SF_Output!$T$1:$T$400,SF_Output!$AC$1:$AC$400,_xlfn.TEXTJOIN(",",TRUE,$B223:$E223),SF_Output!$Q$1:$Q$400,"monthly"))/V223)),AF223="exclusion",-(SUMIFS(SF_Output!$T$1:$T$400,SF_Output!$AC$1:$AC$400,_xlfn.TEXTJOIN(",",TRUE,$B223:$E223),SF_Output!$Q$1:$Q$400,"monthly"))/V223)</f>
        <v/>
      </c>
      <c r="X223" s="6" t="str" cm="1">
        <f t="array" ref="X223">IFERROR(_xlfn.IFS(V223=0,0,V223="","",W223=0,V223,OR(V223&lt;&gt;0,V223&lt;&gt;""),H223*I223),V223*(1-W223))</f>
        <v/>
      </c>
      <c r="Z223" s="6" t="str">
        <f>IFERROR(IF(B223="","",SUMIFS(Billing_Fallout!H:H,Billing_Fallout!N:N,B223)),0)</f>
        <v/>
      </c>
      <c r="AA223" s="6" t="str">
        <f t="shared" si="55"/>
        <v/>
      </c>
      <c r="AB223" s="6" t="str">
        <f>IFERROR(IF(B223="","",SUMIFS(Billing_Fallout!J:J,Billing_Fallout!N:N,B223)),0)</f>
        <v/>
      </c>
      <c r="AD223" s="6" t="str">
        <f t="shared" si="56"/>
        <v/>
      </c>
      <c r="AF223" t="str">
        <f>IFERROR(INDEX(H_Tables!$B$1:$B$1500,MATCH(INDEX(SF_Output!$J$1:$J$400,MATCH(B223,SF_Output!$M$1:$M$400,0)),H_Tables!$A$1:$A$1500,0)),"")</f>
        <v/>
      </c>
      <c r="AI223" s="119" t="str">
        <f t="shared" si="57"/>
        <v/>
      </c>
      <c r="AJ223" s="121">
        <f>IFERROR(INDEX(SF_Output!AD:AD,MATCH(_xlfn.TEXTJOIN(",",TRUE,B223:E223),SF_Output!AC1:AC400,0)),0.05)</f>
        <v>241</v>
      </c>
      <c r="AK223" t="str">
        <f>IF(SUMIFS(SF_Output!$F$1:$F$400,SF_Output!$AC$1:$AC$400,_xlfn.TEXTJOIN(",",TRUE,B223:E223))+SUMIFS(SF_Output!$G$1:$G$400,SF_Output!$AC$1:$AC$400,_xlfn.TEXTJOIN(",",TRUE,B223:E223))=0,"","PAP")</f>
        <v/>
      </c>
      <c r="AQ223" s="35"/>
      <c r="AR223" s="35" t="str" cm="1">
        <f t="array" ref="AR223">IFERROR(_xlfn.IFS(AND(E223*1=1,F223="Included"),"Change to Included",AND(E223*1=0,F223="Optional"),"Change to Optional",OR(B223="",F223="replaced"),""),"")</f>
        <v/>
      </c>
      <c r="AS223" s="35" t="str">
        <f t="shared" si="58"/>
        <v/>
      </c>
      <c r="AT223" s="35" t="str">
        <f t="shared" si="59"/>
        <v/>
      </c>
      <c r="AU223" s="35" t="str">
        <f t="shared" si="60"/>
        <v/>
      </c>
      <c r="AV223" s="35" t="str">
        <f t="shared" si="61"/>
        <v/>
      </c>
      <c r="AW223" s="35" t="str">
        <f t="shared" si="62"/>
        <v/>
      </c>
      <c r="AX223" s="35" t="str">
        <f t="shared" si="63"/>
        <v/>
      </c>
      <c r="AY223" s="35" t="str">
        <f t="shared" si="64"/>
        <v/>
      </c>
      <c r="AZ223" s="35" t="str">
        <f t="shared" si="65"/>
        <v/>
      </c>
      <c r="BA223" s="35" t="str">
        <f t="shared" si="66"/>
        <v/>
      </c>
      <c r="BB223" s="35" t="str">
        <f t="shared" si="67"/>
        <v/>
      </c>
      <c r="BC223" s="35"/>
      <c r="BE223" s="35" t="e">
        <f>INDEX(SF_Output!$AA$2:$AA$400,MATCH($B223,SF_Output!$M$2:$M$400,0))</f>
        <v>#N/A</v>
      </c>
      <c r="BF223" s="35" t="e">
        <f>INDEX(SF_Output!$AB$2:$AB$400,MATCH($B223,SF_Output!$M$2:$M$400,0))</f>
        <v>#N/A</v>
      </c>
    </row>
    <row r="224" spans="6:58" x14ac:dyDescent="0.25">
      <c r="F224" s="116" t="str">
        <f t="shared" si="51"/>
        <v/>
      </c>
      <c r="G224" t="str">
        <f>IF(B224="","",INDEX(SF_Output!$K$1:$K$400,MATCH(B224,SF_Output!$M$1:$M$400,0)))</f>
        <v/>
      </c>
      <c r="H224" t="str" cm="1">
        <f t="array" ref="H224">_xlfn.IFS(B224="","",(SUMIFS(SF_Output!$F$1:$F$400,SF_Output!$AC$1:$AC$400,_xlfn.TEXTJOIN(",",TRUE,B224:E224))+SUMIFS(SF_Output!$G$1:$G$400,SF_Output!$AC$1:$AC$400,_xlfn.TEXTJOIN(",",TRUE,B224:E224)))&lt;&gt;0,SF_Output!$Y$2,INDEX(SF_Output!$F$1:$F$400,MATCH(_xlfn.TEXTJOIN(",",TRUE,B224:E224),SF_Output!$AC$1:$AC$400,0))=0,INDEX(SF_Output!$R$1:$R$400,MATCH(_xlfn.TEXTJOIN(",",TRUE,B224:E224),SF_Output!$AC$1:$AC$400,0)))</f>
        <v/>
      </c>
      <c r="I224" s="125" t="str">
        <f>IFERROR(IF(AND(H224&gt;1,H224&lt;&gt;""),ROUND(SUMIFS(SF_Output!$S$1:$S$400,SF_Output!$AC$1:$AC$400,_xlfn.TEXTJOIN(",",TRUE,B224:E224),SF_Output!$Q$1:$Q$400,"monthly")*(1-W224)/H224,4),""),"")</f>
        <v/>
      </c>
      <c r="J224" s="6" t="str">
        <f>IF(B224="","",SUMIFS(SF_Output!$S$1:$S$400,SF_Output!$AC$1:$AC$400,_xlfn.TEXTJOIN(",",TRUE,B224:E224),SF_Output!$Q$1:$Q$400,"One Time",SF_Output!$L$1:$L$400,"license fee")+SUMIFS(SF_Output!$S$1:$S$400,SF_Output!$AC$1:$AC$400,_xlfn.TEXTJOIN(",",TRUE,B224:E224),SF_Output!$Q$1:$Q$400,"One Time",SF_Output!$L$1:$L$400,"software license")+SUMIFS(SF_Output!$S$1:$S$400,SF_Output!$AC$1:$AC$400,_xlfn.TEXTJOIN(",",TRUE,B224:E224),SF_Output!$Q$1:$Q$400,"One Time",SF_Output!$L$1:$L$400,"hardware"))</f>
        <v/>
      </c>
      <c r="K224" s="112" t="str">
        <f>IF(OR(B224=0,B224="",G224="hardware",J224=0),"",IF(AF224&lt;&gt;"exclusion",MAX(K$9,-((SUMIFS(SF_Output!$T$1:$T$400,SF_Output!$AC$1:$AC$400,_xlfn.TEXTJOIN(",",TRUE,$B224:$E224),SF_Output!$Q$1:$Q$400,"One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license"))/J224)))</f>
        <v/>
      </c>
      <c r="L224" s="6" t="str">
        <f t="shared" si="52"/>
        <v/>
      </c>
      <c r="N224" s="6" t="str">
        <f>IF(B224="","",SUMIFS(SF_Output!$S$1:$S$400,SF_Output!$AC$1:$AC$400,_xlfn.TEXTJOIN(",",TRUE,B224:E224),SF_Output!$Q$1:$Q$400,"One Time",SF_Output!$L$1:$L$400,"professional service"))</f>
        <v/>
      </c>
      <c r="O224" s="112" t="str">
        <f>IF(OR(B224=0,B224="",N224=0),"",IF(AF224&lt;&gt;"exclusion",MAX(O$9,-(SUMIFS(SF_Output!$T$1:$T$400,SF_Output!$AC$1:$AC$400,_xlfn.TEXTJOIN(",",TRUE,$B224:$E224),SF_Output!$Q$1:$Q$400,"One Time",SF_Output!$L$1:$L$400,"professional service"))/N224),-((SUMIFS(SF_Output!$T$1:$T$400,SF_Output!$AC$1:$AC$400,_xlfn.TEXTJOIN(",",TRUE,$B224:$E224),SF_Output!$Q$1:$Q$400,"One Time",SF_Output!$L$1:$L$400,"professional service")/N224))))</f>
        <v/>
      </c>
      <c r="P224" s="6" t="str">
        <f t="shared" si="53"/>
        <v/>
      </c>
      <c r="R224" s="6" t="str">
        <f>IF(B224="","",SUMIFS(SF_Output!$S$1:$S$400,SF_Output!$AC$1:$AC$400,_xlfn.TEXTJOIN(",",TRUE,B224:E224),SF_Output!$Q$1:$Q$400,"yearly")+SUMIFS(SF_Output!$S$1:$S$400,SF_Output!$AC$1:$AC$400,_xlfn.TEXTJOIN(",",TRUE,B224:E224),SF_Output!$Q$1:$Q$400,"quarterly")*4)</f>
        <v/>
      </c>
      <c r="S224" s="112" t="str">
        <f>IF(OR(B224=0,B224="",G224="hardware",R224=0),"",IF(AF224&lt;&gt;"exclusion",MAX(S$9,-(SUMIFS(SF_Output!$T$1:$T$400,SF_Output!$AC$1:$AC$400,_xlfn.TEXTJOIN(",",TRUE,$B224:$E224),SF_Output!$Q$1:$Q$400,"yearly"))/R224),-((SUMIFS(SF_Output!$T$1:$T$400,SF_Output!$AC$1:$AC$400,_xlfn.TEXTJOIN(",",TRUE,$B224:$E224),SF_Output!$Q$1:$Q$400,"yearly")/R224))))</f>
        <v/>
      </c>
      <c r="T224" s="6" t="str">
        <f t="shared" si="54"/>
        <v/>
      </c>
      <c r="V224" s="6" t="str" cm="1">
        <f t="array" ref="V224">_xlfn.IFS(B224="","",AND(B224&lt;&gt;"",H224=SF_Output!$Y$2,SUMIFS(SF_Output!$T$1:$T$400,SF_Output!$AC$1:$AC$400,_xlfn.TEXTJOIN(",",TRUE,B224:E224),SF_Output!$Q$1:$Q$400,"monthly")=0),(SUMIFS(SF_Output!$F$1:$F$400,SF_Output!$AC$1:$AC$400,_xlfn.TEXTJOIN(",",TRUE,B224:E224),SF_Output!$Q$1:$Q$400,"monthly")+SUMIFS(SF_Output!$G$1:$G$400,SF_Output!$AC$1:$AC$400,_xlfn.TEXTJOIN(",",TRUE,B224:E224),SF_Output!$Q$1:$Q$400,"monthly"))*H224,AND(B224&lt;&gt;"",H224=SF_Output!$Y$2,SUMIFS(SF_Output!$T$1:$T$400,SF_Output!$AC$1:$AC$400,_xlfn.TEXTJOIN(",",TRUE,B224:E224),SF_Output!$Q$1:$Q$400,"monthly")&lt;&gt;0),SUMIFS(SF_Output!$S$1:$S$400,SF_Output!$AC$1:$AC$400,_xlfn.TEXTJOIN(",",TRUE,B224:E224),SF_Output!$Q$1:$Q$400,"monthly"),AND(B224&lt;&gt;"",H224&lt;&gt;SF_Output!$Y$2),SUMIFS(SF_Output!$S$1:$S$400,SF_Output!$AC$1:$AC$400,_xlfn.TEXTJOIN(",",TRUE,B224:E224),SF_Output!$Q$1:$Q$400,"monthly"))</f>
        <v/>
      </c>
      <c r="W224" s="112" t="str" cm="1">
        <f t="array" ref="W224">_xlfn.IFS(OR(B224=0,B224="",V224=0),"",AF224&lt;&gt;"exclusion",MAX($W$9,$W$7,(-(SUMIFS(SF_Output!$T$1:$T$400,SF_Output!$AC$1:$AC$400,_xlfn.TEXTJOIN(",",TRUE,$B224:$E224),SF_Output!$Q$1:$Q$400,"monthly"))/V224)),AF224="exclusion",-(SUMIFS(SF_Output!$T$1:$T$400,SF_Output!$AC$1:$AC$400,_xlfn.TEXTJOIN(",",TRUE,$B224:$E224),SF_Output!$Q$1:$Q$400,"monthly"))/V224)</f>
        <v/>
      </c>
      <c r="X224" s="6" t="str" cm="1">
        <f t="array" ref="X224">IFERROR(_xlfn.IFS(V224=0,0,V224="","",W224=0,V224,OR(V224&lt;&gt;0,V224&lt;&gt;""),H224*I224),V224*(1-W224))</f>
        <v/>
      </c>
      <c r="Z224" s="6" t="str">
        <f>IFERROR(IF(B224="","",SUMIFS(Billing_Fallout!H:H,Billing_Fallout!N:N,B224)),0)</f>
        <v/>
      </c>
      <c r="AA224" s="6" t="str">
        <f t="shared" si="55"/>
        <v/>
      </c>
      <c r="AB224" s="6" t="str">
        <f>IFERROR(IF(B224="","",SUMIFS(Billing_Fallout!J:J,Billing_Fallout!N:N,B224)),0)</f>
        <v/>
      </c>
      <c r="AD224" s="6" t="str">
        <f t="shared" si="56"/>
        <v/>
      </c>
      <c r="AF224" t="str">
        <f>IFERROR(INDEX(H_Tables!$B$1:$B$1500,MATCH(INDEX(SF_Output!$J$1:$J$400,MATCH(B224,SF_Output!$M$1:$M$400,0)),H_Tables!$A$1:$A$1500,0)),"")</f>
        <v/>
      </c>
      <c r="AI224" s="119" t="str">
        <f t="shared" si="57"/>
        <v/>
      </c>
      <c r="AJ224" s="121">
        <f>IFERROR(INDEX(SF_Output!AD:AD,MATCH(_xlfn.TEXTJOIN(",",TRUE,B224:E224),SF_Output!AC1:AC400,0)),0.05)</f>
        <v>241</v>
      </c>
      <c r="AK224" t="str">
        <f>IF(SUMIFS(SF_Output!$F$1:$F$400,SF_Output!$AC$1:$AC$400,_xlfn.TEXTJOIN(",",TRUE,B224:E224))+SUMIFS(SF_Output!$G$1:$G$400,SF_Output!$AC$1:$AC$400,_xlfn.TEXTJOIN(",",TRUE,B224:E224))=0,"","PAP")</f>
        <v/>
      </c>
      <c r="AQ224" s="35"/>
      <c r="AR224" s="35" t="str" cm="1">
        <f t="array" ref="AR224">IFERROR(_xlfn.IFS(AND(E224*1=1,F224="Included"),"Change to Included",AND(E224*1=0,F224="Optional"),"Change to Optional",OR(B224="",F224="replaced"),""),"")</f>
        <v/>
      </c>
      <c r="AS224" s="35" t="str">
        <f t="shared" si="58"/>
        <v/>
      </c>
      <c r="AT224" s="35" t="str">
        <f t="shared" si="59"/>
        <v/>
      </c>
      <c r="AU224" s="35" t="str">
        <f t="shared" si="60"/>
        <v/>
      </c>
      <c r="AV224" s="35" t="str">
        <f t="shared" si="61"/>
        <v/>
      </c>
      <c r="AW224" s="35" t="str">
        <f t="shared" si="62"/>
        <v/>
      </c>
      <c r="AX224" s="35" t="str">
        <f t="shared" si="63"/>
        <v/>
      </c>
      <c r="AY224" s="35" t="str">
        <f t="shared" si="64"/>
        <v/>
      </c>
      <c r="AZ224" s="35" t="str">
        <f t="shared" si="65"/>
        <v/>
      </c>
      <c r="BA224" s="35" t="str">
        <f t="shared" si="66"/>
        <v/>
      </c>
      <c r="BB224" s="35" t="str">
        <f t="shared" si="67"/>
        <v/>
      </c>
      <c r="BC224" s="35"/>
      <c r="BE224" s="35" t="e">
        <f>INDEX(SF_Output!$AA$2:$AA$400,MATCH($B224,SF_Output!$M$2:$M$400,0))</f>
        <v>#N/A</v>
      </c>
      <c r="BF224" s="35" t="e">
        <f>INDEX(SF_Output!$AB$2:$AB$400,MATCH($B224,SF_Output!$M$2:$M$400,0))</f>
        <v>#N/A</v>
      </c>
    </row>
    <row r="225" spans="6:58" x14ac:dyDescent="0.25">
      <c r="F225" s="116" t="str">
        <f t="shared" si="51"/>
        <v/>
      </c>
      <c r="G225" t="str">
        <f>IF(B225="","",INDEX(SF_Output!$K$1:$K$400,MATCH(B225,SF_Output!$M$1:$M$400,0)))</f>
        <v/>
      </c>
      <c r="H225" t="str" cm="1">
        <f t="array" ref="H225">_xlfn.IFS(B225="","",(SUMIFS(SF_Output!$F$1:$F$400,SF_Output!$AC$1:$AC$400,_xlfn.TEXTJOIN(",",TRUE,B225:E225))+SUMIFS(SF_Output!$G$1:$G$400,SF_Output!$AC$1:$AC$400,_xlfn.TEXTJOIN(",",TRUE,B225:E225)))&lt;&gt;0,SF_Output!$Y$2,INDEX(SF_Output!$F$1:$F$400,MATCH(_xlfn.TEXTJOIN(",",TRUE,B225:E225),SF_Output!$AC$1:$AC$400,0))=0,INDEX(SF_Output!$R$1:$R$400,MATCH(_xlfn.TEXTJOIN(",",TRUE,B225:E225),SF_Output!$AC$1:$AC$400,0)))</f>
        <v/>
      </c>
      <c r="I225" s="125" t="str">
        <f>IFERROR(IF(AND(H225&gt;1,H225&lt;&gt;""),ROUND(SUMIFS(SF_Output!$S$1:$S$400,SF_Output!$AC$1:$AC$400,_xlfn.TEXTJOIN(",",TRUE,B225:E225),SF_Output!$Q$1:$Q$400,"monthly")*(1-W225)/H225,4),""),"")</f>
        <v/>
      </c>
      <c r="J225" s="6" t="str">
        <f>IF(B225="","",SUMIFS(SF_Output!$S$1:$S$400,SF_Output!$AC$1:$AC$400,_xlfn.TEXTJOIN(",",TRUE,B225:E225),SF_Output!$Q$1:$Q$400,"One Time",SF_Output!$L$1:$L$400,"license fee")+SUMIFS(SF_Output!$S$1:$S$400,SF_Output!$AC$1:$AC$400,_xlfn.TEXTJOIN(",",TRUE,B225:E225),SF_Output!$Q$1:$Q$400,"One Time",SF_Output!$L$1:$L$400,"software license")+SUMIFS(SF_Output!$S$1:$S$400,SF_Output!$AC$1:$AC$400,_xlfn.TEXTJOIN(",",TRUE,B225:E225),SF_Output!$Q$1:$Q$400,"One Time",SF_Output!$L$1:$L$400,"hardware"))</f>
        <v/>
      </c>
      <c r="K225" s="112" t="str">
        <f>IF(OR(B225=0,B225="",G225="hardware",J225=0),"",IF(AF225&lt;&gt;"exclusion",MAX(K$9,-((SUMIFS(SF_Output!$T$1:$T$400,SF_Output!$AC$1:$AC$400,_xlfn.TEXTJOIN(",",TRUE,$B225:$E225),SF_Output!$Q$1:$Q$400,"One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license"))/J225)))</f>
        <v/>
      </c>
      <c r="L225" s="6" t="str">
        <f t="shared" si="52"/>
        <v/>
      </c>
      <c r="N225" s="6" t="str">
        <f>IF(B225="","",SUMIFS(SF_Output!$S$1:$S$400,SF_Output!$AC$1:$AC$400,_xlfn.TEXTJOIN(",",TRUE,B225:E225),SF_Output!$Q$1:$Q$400,"One Time",SF_Output!$L$1:$L$400,"professional service"))</f>
        <v/>
      </c>
      <c r="O225" s="112" t="str">
        <f>IF(OR(B225=0,B225="",N225=0),"",IF(AF225&lt;&gt;"exclusion",MAX(O$9,-(SUMIFS(SF_Output!$T$1:$T$400,SF_Output!$AC$1:$AC$400,_xlfn.TEXTJOIN(",",TRUE,$B225:$E225),SF_Output!$Q$1:$Q$400,"One Time",SF_Output!$L$1:$L$400,"professional service"))/N225),-((SUMIFS(SF_Output!$T$1:$T$400,SF_Output!$AC$1:$AC$400,_xlfn.TEXTJOIN(",",TRUE,$B225:$E225),SF_Output!$Q$1:$Q$400,"One Time",SF_Output!$L$1:$L$400,"professional service")/N225))))</f>
        <v/>
      </c>
      <c r="P225" s="6" t="str">
        <f t="shared" si="53"/>
        <v/>
      </c>
      <c r="R225" s="6" t="str">
        <f>IF(B225="","",SUMIFS(SF_Output!$S$1:$S$400,SF_Output!$AC$1:$AC$400,_xlfn.TEXTJOIN(",",TRUE,B225:E225),SF_Output!$Q$1:$Q$400,"yearly")+SUMIFS(SF_Output!$S$1:$S$400,SF_Output!$AC$1:$AC$400,_xlfn.TEXTJOIN(",",TRUE,B225:E225),SF_Output!$Q$1:$Q$400,"quarterly")*4)</f>
        <v/>
      </c>
      <c r="S225" s="112" t="str">
        <f>IF(OR(B225=0,B225="",G225="hardware",R225=0),"",IF(AF225&lt;&gt;"exclusion",MAX(S$9,-(SUMIFS(SF_Output!$T$1:$T$400,SF_Output!$AC$1:$AC$400,_xlfn.TEXTJOIN(",",TRUE,$B225:$E225),SF_Output!$Q$1:$Q$400,"yearly"))/R225),-((SUMIFS(SF_Output!$T$1:$T$400,SF_Output!$AC$1:$AC$400,_xlfn.TEXTJOIN(",",TRUE,$B225:$E225),SF_Output!$Q$1:$Q$400,"yearly")/R225))))</f>
        <v/>
      </c>
      <c r="T225" s="6" t="str">
        <f t="shared" si="54"/>
        <v/>
      </c>
      <c r="V225" s="6" t="str" cm="1">
        <f t="array" ref="V225">_xlfn.IFS(B225="","",AND(B225&lt;&gt;"",H225=SF_Output!$Y$2,SUMIFS(SF_Output!$T$1:$T$400,SF_Output!$AC$1:$AC$400,_xlfn.TEXTJOIN(",",TRUE,B225:E225),SF_Output!$Q$1:$Q$400,"monthly")=0),(SUMIFS(SF_Output!$F$1:$F$400,SF_Output!$AC$1:$AC$400,_xlfn.TEXTJOIN(",",TRUE,B225:E225),SF_Output!$Q$1:$Q$400,"monthly")+SUMIFS(SF_Output!$G$1:$G$400,SF_Output!$AC$1:$AC$400,_xlfn.TEXTJOIN(",",TRUE,B225:E225),SF_Output!$Q$1:$Q$400,"monthly"))*H225,AND(B225&lt;&gt;"",H225=SF_Output!$Y$2,SUMIFS(SF_Output!$T$1:$T$400,SF_Output!$AC$1:$AC$400,_xlfn.TEXTJOIN(",",TRUE,B225:E225),SF_Output!$Q$1:$Q$400,"monthly")&lt;&gt;0),SUMIFS(SF_Output!$S$1:$S$400,SF_Output!$AC$1:$AC$400,_xlfn.TEXTJOIN(",",TRUE,B225:E225),SF_Output!$Q$1:$Q$400,"monthly"),AND(B225&lt;&gt;"",H225&lt;&gt;SF_Output!$Y$2),SUMIFS(SF_Output!$S$1:$S$400,SF_Output!$AC$1:$AC$400,_xlfn.TEXTJOIN(",",TRUE,B225:E225),SF_Output!$Q$1:$Q$400,"monthly"))</f>
        <v/>
      </c>
      <c r="W225" s="112" t="str" cm="1">
        <f t="array" ref="W225">_xlfn.IFS(OR(B225=0,B225="",V225=0),"",AF225&lt;&gt;"exclusion",MAX($W$9,$W$7,(-(SUMIFS(SF_Output!$T$1:$T$400,SF_Output!$AC$1:$AC$400,_xlfn.TEXTJOIN(",",TRUE,$B225:$E225),SF_Output!$Q$1:$Q$400,"monthly"))/V225)),AF225="exclusion",-(SUMIFS(SF_Output!$T$1:$T$400,SF_Output!$AC$1:$AC$400,_xlfn.TEXTJOIN(",",TRUE,$B225:$E225),SF_Output!$Q$1:$Q$400,"monthly"))/V225)</f>
        <v/>
      </c>
      <c r="X225" s="6" t="str" cm="1">
        <f t="array" ref="X225">IFERROR(_xlfn.IFS(V225=0,0,V225="","",W225=0,V225,OR(V225&lt;&gt;0,V225&lt;&gt;""),H225*I225),V225*(1-W225))</f>
        <v/>
      </c>
      <c r="Z225" s="6" t="str">
        <f>IFERROR(IF(B225="","",SUMIFS(Billing_Fallout!H:H,Billing_Fallout!N:N,B225)),0)</f>
        <v/>
      </c>
      <c r="AA225" s="6" t="str">
        <f t="shared" si="55"/>
        <v/>
      </c>
      <c r="AB225" s="6" t="str">
        <f>IFERROR(IF(B225="","",SUMIFS(Billing_Fallout!J:J,Billing_Fallout!N:N,B225)),0)</f>
        <v/>
      </c>
      <c r="AD225" s="6" t="str">
        <f t="shared" si="56"/>
        <v/>
      </c>
      <c r="AF225" t="str">
        <f>IFERROR(INDEX(H_Tables!$B$1:$B$1500,MATCH(INDEX(SF_Output!$J$1:$J$400,MATCH(B225,SF_Output!$M$1:$M$400,0)),H_Tables!$A$1:$A$1500,0)),"")</f>
        <v/>
      </c>
      <c r="AI225" s="119" t="str">
        <f t="shared" si="57"/>
        <v/>
      </c>
      <c r="AJ225" s="121">
        <f>IFERROR(INDEX(SF_Output!AD:AD,MATCH(_xlfn.TEXTJOIN(",",TRUE,B225:E225),SF_Output!AC1:AC400,0)),0.05)</f>
        <v>241</v>
      </c>
      <c r="AK225" t="str">
        <f>IF(SUMIFS(SF_Output!$F$1:$F$400,SF_Output!$AC$1:$AC$400,_xlfn.TEXTJOIN(",",TRUE,B225:E225))+SUMIFS(SF_Output!$G$1:$G$400,SF_Output!$AC$1:$AC$400,_xlfn.TEXTJOIN(",",TRUE,B225:E225))=0,"","PAP")</f>
        <v/>
      </c>
      <c r="AQ225" s="35"/>
      <c r="AR225" s="35" t="str" cm="1">
        <f t="array" ref="AR225">IFERROR(_xlfn.IFS(AND(E225*1=1,F225="Included"),"Change to Included",AND(E225*1=0,F225="Optional"),"Change to Optional",OR(B225="",F225="replaced"),""),"")</f>
        <v/>
      </c>
      <c r="AS225" s="35" t="str">
        <f t="shared" si="58"/>
        <v/>
      </c>
      <c r="AT225" s="35" t="str">
        <f t="shared" si="59"/>
        <v/>
      </c>
      <c r="AU225" s="35" t="str">
        <f t="shared" si="60"/>
        <v/>
      </c>
      <c r="AV225" s="35" t="str">
        <f t="shared" si="61"/>
        <v/>
      </c>
      <c r="AW225" s="35" t="str">
        <f t="shared" si="62"/>
        <v/>
      </c>
      <c r="AX225" s="35" t="str">
        <f t="shared" si="63"/>
        <v/>
      </c>
      <c r="AY225" s="35" t="str">
        <f t="shared" si="64"/>
        <v/>
      </c>
      <c r="AZ225" s="35" t="str">
        <f t="shared" si="65"/>
        <v/>
      </c>
      <c r="BA225" s="35" t="str">
        <f t="shared" si="66"/>
        <v/>
      </c>
      <c r="BB225" s="35" t="str">
        <f t="shared" si="67"/>
        <v/>
      </c>
      <c r="BC225" s="35"/>
      <c r="BE225" s="35" t="e">
        <f>INDEX(SF_Output!$AA$2:$AA$400,MATCH($B225,SF_Output!$M$2:$M$400,0))</f>
        <v>#N/A</v>
      </c>
      <c r="BF225" s="35" t="e">
        <f>INDEX(SF_Output!$AB$2:$AB$400,MATCH($B225,SF_Output!$M$2:$M$400,0))</f>
        <v>#N/A</v>
      </c>
    </row>
    <row r="226" spans="6:58" x14ac:dyDescent="0.25">
      <c r="F226" s="116" t="str">
        <f t="shared" si="51"/>
        <v/>
      </c>
      <c r="G226" t="str">
        <f>IF(B226="","",INDEX(SF_Output!$K$1:$K$400,MATCH(B226,SF_Output!$M$1:$M$400,0)))</f>
        <v/>
      </c>
      <c r="H226" t="str" cm="1">
        <f t="array" ref="H226">_xlfn.IFS(B226="","",(SUMIFS(SF_Output!$F$1:$F$400,SF_Output!$AC$1:$AC$400,_xlfn.TEXTJOIN(",",TRUE,B226:E226))+SUMIFS(SF_Output!$G$1:$G$400,SF_Output!$AC$1:$AC$400,_xlfn.TEXTJOIN(",",TRUE,B226:E226)))&lt;&gt;0,SF_Output!$Y$2,INDEX(SF_Output!$F$1:$F$400,MATCH(_xlfn.TEXTJOIN(",",TRUE,B226:E226),SF_Output!$AC$1:$AC$400,0))=0,INDEX(SF_Output!$R$1:$R$400,MATCH(_xlfn.TEXTJOIN(",",TRUE,B226:E226),SF_Output!$AC$1:$AC$400,0)))</f>
        <v/>
      </c>
      <c r="I226" s="125" t="str">
        <f>IFERROR(IF(AND(H226&gt;1,H226&lt;&gt;""),ROUND(SUMIFS(SF_Output!$S$1:$S$400,SF_Output!$AC$1:$AC$400,_xlfn.TEXTJOIN(",",TRUE,B226:E226),SF_Output!$Q$1:$Q$400,"monthly")*(1-W226)/H226,4),""),"")</f>
        <v/>
      </c>
      <c r="J226" s="6" t="str">
        <f>IF(B226="","",SUMIFS(SF_Output!$S$1:$S$400,SF_Output!$AC$1:$AC$400,_xlfn.TEXTJOIN(",",TRUE,B226:E226),SF_Output!$Q$1:$Q$400,"One Time",SF_Output!$L$1:$L$400,"license fee")+SUMIFS(SF_Output!$S$1:$S$400,SF_Output!$AC$1:$AC$400,_xlfn.TEXTJOIN(",",TRUE,B226:E226),SF_Output!$Q$1:$Q$400,"One Time",SF_Output!$L$1:$L$400,"software license")+SUMIFS(SF_Output!$S$1:$S$400,SF_Output!$AC$1:$AC$400,_xlfn.TEXTJOIN(",",TRUE,B226:E226),SF_Output!$Q$1:$Q$400,"One Time",SF_Output!$L$1:$L$400,"hardware"))</f>
        <v/>
      </c>
      <c r="K226" s="112" t="str">
        <f>IF(OR(B226=0,B226="",G226="hardware",J226=0),"",IF(AF226&lt;&gt;"exclusion",MAX(K$9,-((SUMIFS(SF_Output!$T$1:$T$400,SF_Output!$AC$1:$AC$400,_xlfn.TEXTJOIN(",",TRUE,$B226:$E226),SF_Output!$Q$1:$Q$400,"One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license"))/J226)))</f>
        <v/>
      </c>
      <c r="L226" s="6" t="str">
        <f t="shared" si="52"/>
        <v/>
      </c>
      <c r="N226" s="6" t="str">
        <f>IF(B226="","",SUMIFS(SF_Output!$S$1:$S$400,SF_Output!$AC$1:$AC$400,_xlfn.TEXTJOIN(",",TRUE,B226:E226),SF_Output!$Q$1:$Q$400,"One Time",SF_Output!$L$1:$L$400,"professional service"))</f>
        <v/>
      </c>
      <c r="O226" s="112" t="str">
        <f>IF(OR(B226=0,B226="",N226=0),"",IF(AF226&lt;&gt;"exclusion",MAX(O$9,-(SUMIFS(SF_Output!$T$1:$T$400,SF_Output!$AC$1:$AC$400,_xlfn.TEXTJOIN(",",TRUE,$B226:$E226),SF_Output!$Q$1:$Q$400,"One Time",SF_Output!$L$1:$L$400,"professional service"))/N226),-((SUMIFS(SF_Output!$T$1:$T$400,SF_Output!$AC$1:$AC$400,_xlfn.TEXTJOIN(",",TRUE,$B226:$E226),SF_Output!$Q$1:$Q$400,"One Time",SF_Output!$L$1:$L$400,"professional service")/N226))))</f>
        <v/>
      </c>
      <c r="P226" s="6" t="str">
        <f t="shared" si="53"/>
        <v/>
      </c>
      <c r="R226" s="6" t="str">
        <f>IF(B226="","",SUMIFS(SF_Output!$S$1:$S$400,SF_Output!$AC$1:$AC$400,_xlfn.TEXTJOIN(",",TRUE,B226:E226),SF_Output!$Q$1:$Q$400,"yearly")+SUMIFS(SF_Output!$S$1:$S$400,SF_Output!$AC$1:$AC$400,_xlfn.TEXTJOIN(",",TRUE,B226:E226),SF_Output!$Q$1:$Q$400,"quarterly")*4)</f>
        <v/>
      </c>
      <c r="S226" s="112" t="str">
        <f>IF(OR(B226=0,B226="",G226="hardware",R226=0),"",IF(AF226&lt;&gt;"exclusion",MAX(S$9,-(SUMIFS(SF_Output!$T$1:$T$400,SF_Output!$AC$1:$AC$400,_xlfn.TEXTJOIN(",",TRUE,$B226:$E226),SF_Output!$Q$1:$Q$400,"yearly"))/R226),-((SUMIFS(SF_Output!$T$1:$T$400,SF_Output!$AC$1:$AC$400,_xlfn.TEXTJOIN(",",TRUE,$B226:$E226),SF_Output!$Q$1:$Q$400,"yearly")/R226))))</f>
        <v/>
      </c>
      <c r="T226" s="6" t="str">
        <f t="shared" si="54"/>
        <v/>
      </c>
      <c r="V226" s="6" t="str" cm="1">
        <f t="array" ref="V226">_xlfn.IFS(B226="","",AND(B226&lt;&gt;"",H226=SF_Output!$Y$2,SUMIFS(SF_Output!$T$1:$T$400,SF_Output!$AC$1:$AC$400,_xlfn.TEXTJOIN(",",TRUE,B226:E226),SF_Output!$Q$1:$Q$400,"monthly")=0),(SUMIFS(SF_Output!$F$1:$F$400,SF_Output!$AC$1:$AC$400,_xlfn.TEXTJOIN(",",TRUE,B226:E226),SF_Output!$Q$1:$Q$400,"monthly")+SUMIFS(SF_Output!$G$1:$G$400,SF_Output!$AC$1:$AC$400,_xlfn.TEXTJOIN(",",TRUE,B226:E226),SF_Output!$Q$1:$Q$400,"monthly"))*H226,AND(B226&lt;&gt;"",H226=SF_Output!$Y$2,SUMIFS(SF_Output!$T$1:$T$400,SF_Output!$AC$1:$AC$400,_xlfn.TEXTJOIN(",",TRUE,B226:E226),SF_Output!$Q$1:$Q$400,"monthly")&lt;&gt;0),SUMIFS(SF_Output!$S$1:$S$400,SF_Output!$AC$1:$AC$400,_xlfn.TEXTJOIN(",",TRUE,B226:E226),SF_Output!$Q$1:$Q$400,"monthly"),AND(B226&lt;&gt;"",H226&lt;&gt;SF_Output!$Y$2),SUMIFS(SF_Output!$S$1:$S$400,SF_Output!$AC$1:$AC$400,_xlfn.TEXTJOIN(",",TRUE,B226:E226),SF_Output!$Q$1:$Q$400,"monthly"))</f>
        <v/>
      </c>
      <c r="W226" s="112" t="str" cm="1">
        <f t="array" ref="W226">_xlfn.IFS(OR(B226=0,B226="",V226=0),"",AF226&lt;&gt;"exclusion",MAX($W$9,$W$7,(-(SUMIFS(SF_Output!$T$1:$T$400,SF_Output!$AC$1:$AC$400,_xlfn.TEXTJOIN(",",TRUE,$B226:$E226),SF_Output!$Q$1:$Q$400,"monthly"))/V226)),AF226="exclusion",-(SUMIFS(SF_Output!$T$1:$T$400,SF_Output!$AC$1:$AC$400,_xlfn.TEXTJOIN(",",TRUE,$B226:$E226),SF_Output!$Q$1:$Q$400,"monthly"))/V226)</f>
        <v/>
      </c>
      <c r="X226" s="6" t="str" cm="1">
        <f t="array" ref="X226">IFERROR(_xlfn.IFS(V226=0,0,V226="","",W226=0,V226,OR(V226&lt;&gt;0,V226&lt;&gt;""),H226*I226),V226*(1-W226))</f>
        <v/>
      </c>
      <c r="Z226" s="6" t="str">
        <f>IFERROR(IF(B226="","",SUMIFS(Billing_Fallout!H:H,Billing_Fallout!N:N,B226)),0)</f>
        <v/>
      </c>
      <c r="AA226" s="6" t="str">
        <f t="shared" si="55"/>
        <v/>
      </c>
      <c r="AB226" s="6" t="str">
        <f>IFERROR(IF(B226="","",SUMIFS(Billing_Fallout!J:J,Billing_Fallout!N:N,B226)),0)</f>
        <v/>
      </c>
      <c r="AD226" s="6" t="str">
        <f t="shared" si="56"/>
        <v/>
      </c>
      <c r="AF226" t="str">
        <f>IFERROR(INDEX(H_Tables!$B$1:$B$1500,MATCH(INDEX(SF_Output!$J$1:$J$400,MATCH(B226,SF_Output!$M$1:$M$400,0)),H_Tables!$A$1:$A$1500,0)),"")</f>
        <v/>
      </c>
      <c r="AI226" s="119" t="str">
        <f t="shared" si="57"/>
        <v/>
      </c>
      <c r="AJ226" s="121">
        <f>IFERROR(INDEX(SF_Output!AD:AD,MATCH(_xlfn.TEXTJOIN(",",TRUE,B226:E226),SF_Output!AC1:AC400,0)),0.05)</f>
        <v>241</v>
      </c>
      <c r="AK226" t="str">
        <f>IF(SUMIFS(SF_Output!$F$1:$F$400,SF_Output!$AC$1:$AC$400,_xlfn.TEXTJOIN(",",TRUE,B226:E226))+SUMIFS(SF_Output!$G$1:$G$400,SF_Output!$AC$1:$AC$400,_xlfn.TEXTJOIN(",",TRUE,B226:E226))=0,"","PAP")</f>
        <v/>
      </c>
      <c r="AQ226" s="35"/>
      <c r="AR226" s="35" t="str" cm="1">
        <f t="array" ref="AR226">IFERROR(_xlfn.IFS(AND(E226*1=1,F226="Included"),"Change to Included",AND(E226*1=0,F226="Optional"),"Change to Optional",OR(B226="",F226="replaced"),""),"")</f>
        <v/>
      </c>
      <c r="AS226" s="35" t="str">
        <f t="shared" si="58"/>
        <v/>
      </c>
      <c r="AT226" s="35" t="str">
        <f t="shared" si="59"/>
        <v/>
      </c>
      <c r="AU226" s="35" t="str">
        <f t="shared" si="60"/>
        <v/>
      </c>
      <c r="AV226" s="35" t="str">
        <f t="shared" si="61"/>
        <v/>
      </c>
      <c r="AW226" s="35" t="str">
        <f t="shared" si="62"/>
        <v/>
      </c>
      <c r="AX226" s="35" t="str">
        <f t="shared" si="63"/>
        <v/>
      </c>
      <c r="AY226" s="35" t="str">
        <f t="shared" si="64"/>
        <v/>
      </c>
      <c r="AZ226" s="35" t="str">
        <f t="shared" si="65"/>
        <v/>
      </c>
      <c r="BA226" s="35" t="str">
        <f t="shared" si="66"/>
        <v/>
      </c>
      <c r="BB226" s="35" t="str">
        <f t="shared" si="67"/>
        <v/>
      </c>
      <c r="BC226" s="35"/>
      <c r="BE226" s="35" t="e">
        <f>INDEX(SF_Output!$AA$2:$AA$400,MATCH($B226,SF_Output!$M$2:$M$400,0))</f>
        <v>#N/A</v>
      </c>
      <c r="BF226" s="35" t="e">
        <f>INDEX(SF_Output!$AB$2:$AB$400,MATCH($B226,SF_Output!$M$2:$M$400,0))</f>
        <v>#N/A</v>
      </c>
    </row>
    <row r="227" spans="6:58" x14ac:dyDescent="0.25">
      <c r="F227" s="116" t="str">
        <f t="shared" si="51"/>
        <v/>
      </c>
      <c r="G227" t="str">
        <f>IF(B227="","",INDEX(SF_Output!$K$1:$K$400,MATCH(B227,SF_Output!$M$1:$M$400,0)))</f>
        <v/>
      </c>
      <c r="H227" t="str" cm="1">
        <f t="array" ref="H227">_xlfn.IFS(B227="","",(SUMIFS(SF_Output!$F$1:$F$400,SF_Output!$AC$1:$AC$400,_xlfn.TEXTJOIN(",",TRUE,B227:E227))+SUMIFS(SF_Output!$G$1:$G$400,SF_Output!$AC$1:$AC$400,_xlfn.TEXTJOIN(",",TRUE,B227:E227)))&lt;&gt;0,SF_Output!$Y$2,INDEX(SF_Output!$F$1:$F$400,MATCH(_xlfn.TEXTJOIN(",",TRUE,B227:E227),SF_Output!$AC$1:$AC$400,0))=0,INDEX(SF_Output!$R$1:$R$400,MATCH(_xlfn.TEXTJOIN(",",TRUE,B227:E227),SF_Output!$AC$1:$AC$400,0)))</f>
        <v/>
      </c>
      <c r="I227" s="125" t="str">
        <f>IFERROR(IF(AND(H227&gt;1,H227&lt;&gt;""),ROUND(SUMIFS(SF_Output!$S$1:$S$400,SF_Output!$AC$1:$AC$400,_xlfn.TEXTJOIN(",",TRUE,B227:E227),SF_Output!$Q$1:$Q$400,"monthly")*(1-W227)/H227,4),""),"")</f>
        <v/>
      </c>
      <c r="J227" s="6" t="str">
        <f>IF(B227="","",SUMIFS(SF_Output!$S$1:$S$400,SF_Output!$AC$1:$AC$400,_xlfn.TEXTJOIN(",",TRUE,B227:E227),SF_Output!$Q$1:$Q$400,"One Time",SF_Output!$L$1:$L$400,"license fee")+SUMIFS(SF_Output!$S$1:$S$400,SF_Output!$AC$1:$AC$400,_xlfn.TEXTJOIN(",",TRUE,B227:E227),SF_Output!$Q$1:$Q$400,"One Time",SF_Output!$L$1:$L$400,"software license")+SUMIFS(SF_Output!$S$1:$S$400,SF_Output!$AC$1:$AC$400,_xlfn.TEXTJOIN(",",TRUE,B227:E227),SF_Output!$Q$1:$Q$400,"One Time",SF_Output!$L$1:$L$400,"hardware"))</f>
        <v/>
      </c>
      <c r="K227" s="112" t="str">
        <f>IF(OR(B227=0,B227="",G227="hardware",J227=0),"",IF(AF227&lt;&gt;"exclusion",MAX(K$9,-((SUMIFS(SF_Output!$T$1:$T$400,SF_Output!$AC$1:$AC$400,_xlfn.TEXTJOIN(",",TRUE,$B227:$E227),SF_Output!$Q$1:$Q$400,"One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license"))/J227)))</f>
        <v/>
      </c>
      <c r="L227" s="6" t="str">
        <f t="shared" si="52"/>
        <v/>
      </c>
      <c r="N227" s="6" t="str">
        <f>IF(B227="","",SUMIFS(SF_Output!$S$1:$S$400,SF_Output!$AC$1:$AC$400,_xlfn.TEXTJOIN(",",TRUE,B227:E227),SF_Output!$Q$1:$Q$400,"One Time",SF_Output!$L$1:$L$400,"professional service"))</f>
        <v/>
      </c>
      <c r="O227" s="112" t="str">
        <f>IF(OR(B227=0,B227="",N227=0),"",IF(AF227&lt;&gt;"exclusion",MAX(O$9,-(SUMIFS(SF_Output!$T$1:$T$400,SF_Output!$AC$1:$AC$400,_xlfn.TEXTJOIN(",",TRUE,$B227:$E227),SF_Output!$Q$1:$Q$400,"One Time",SF_Output!$L$1:$L$400,"professional service"))/N227),-((SUMIFS(SF_Output!$T$1:$T$400,SF_Output!$AC$1:$AC$400,_xlfn.TEXTJOIN(",",TRUE,$B227:$E227),SF_Output!$Q$1:$Q$400,"One Time",SF_Output!$L$1:$L$400,"professional service")/N227))))</f>
        <v/>
      </c>
      <c r="P227" s="6" t="str">
        <f t="shared" si="53"/>
        <v/>
      </c>
      <c r="R227" s="6" t="str">
        <f>IF(B227="","",SUMIFS(SF_Output!$S$1:$S$400,SF_Output!$AC$1:$AC$400,_xlfn.TEXTJOIN(",",TRUE,B227:E227),SF_Output!$Q$1:$Q$400,"yearly")+SUMIFS(SF_Output!$S$1:$S$400,SF_Output!$AC$1:$AC$400,_xlfn.TEXTJOIN(",",TRUE,B227:E227),SF_Output!$Q$1:$Q$400,"quarterly")*4)</f>
        <v/>
      </c>
      <c r="S227" s="112" t="str">
        <f>IF(OR(B227=0,B227="",G227="hardware",R227=0),"",IF(AF227&lt;&gt;"exclusion",MAX(S$9,-(SUMIFS(SF_Output!$T$1:$T$400,SF_Output!$AC$1:$AC$400,_xlfn.TEXTJOIN(",",TRUE,$B227:$E227),SF_Output!$Q$1:$Q$400,"yearly"))/R227),-((SUMIFS(SF_Output!$T$1:$T$400,SF_Output!$AC$1:$AC$400,_xlfn.TEXTJOIN(",",TRUE,$B227:$E227),SF_Output!$Q$1:$Q$400,"yearly")/R227))))</f>
        <v/>
      </c>
      <c r="T227" s="6" t="str">
        <f t="shared" si="54"/>
        <v/>
      </c>
      <c r="V227" s="6" t="str" cm="1">
        <f t="array" ref="V227">_xlfn.IFS(B227="","",AND(B227&lt;&gt;"",H227=SF_Output!$Y$2,SUMIFS(SF_Output!$T$1:$T$400,SF_Output!$AC$1:$AC$400,_xlfn.TEXTJOIN(",",TRUE,B227:E227),SF_Output!$Q$1:$Q$400,"monthly")=0),(SUMIFS(SF_Output!$F$1:$F$400,SF_Output!$AC$1:$AC$400,_xlfn.TEXTJOIN(",",TRUE,B227:E227),SF_Output!$Q$1:$Q$400,"monthly")+SUMIFS(SF_Output!$G$1:$G$400,SF_Output!$AC$1:$AC$400,_xlfn.TEXTJOIN(",",TRUE,B227:E227),SF_Output!$Q$1:$Q$400,"monthly"))*H227,AND(B227&lt;&gt;"",H227=SF_Output!$Y$2,SUMIFS(SF_Output!$T$1:$T$400,SF_Output!$AC$1:$AC$400,_xlfn.TEXTJOIN(",",TRUE,B227:E227),SF_Output!$Q$1:$Q$400,"monthly")&lt;&gt;0),SUMIFS(SF_Output!$S$1:$S$400,SF_Output!$AC$1:$AC$400,_xlfn.TEXTJOIN(",",TRUE,B227:E227),SF_Output!$Q$1:$Q$400,"monthly"),AND(B227&lt;&gt;"",H227&lt;&gt;SF_Output!$Y$2),SUMIFS(SF_Output!$S$1:$S$400,SF_Output!$AC$1:$AC$400,_xlfn.TEXTJOIN(",",TRUE,B227:E227),SF_Output!$Q$1:$Q$400,"monthly"))</f>
        <v/>
      </c>
      <c r="W227" s="112" t="str" cm="1">
        <f t="array" ref="W227">_xlfn.IFS(OR(B227=0,B227="",V227=0),"",AF227&lt;&gt;"exclusion",MAX($W$9,$W$7,(-(SUMIFS(SF_Output!$T$1:$T$400,SF_Output!$AC$1:$AC$400,_xlfn.TEXTJOIN(",",TRUE,$B227:$E227),SF_Output!$Q$1:$Q$400,"monthly"))/V227)),AF227="exclusion",-(SUMIFS(SF_Output!$T$1:$T$400,SF_Output!$AC$1:$AC$400,_xlfn.TEXTJOIN(",",TRUE,$B227:$E227),SF_Output!$Q$1:$Q$400,"monthly"))/V227)</f>
        <v/>
      </c>
      <c r="X227" s="6" t="str" cm="1">
        <f t="array" ref="X227">IFERROR(_xlfn.IFS(V227=0,0,V227="","",W227=0,V227,OR(V227&lt;&gt;0,V227&lt;&gt;""),H227*I227),V227*(1-W227))</f>
        <v/>
      </c>
      <c r="Z227" s="6" t="str">
        <f>IFERROR(IF(B227="","",SUMIFS(Billing_Fallout!H:H,Billing_Fallout!N:N,B227)),0)</f>
        <v/>
      </c>
      <c r="AA227" s="6" t="str">
        <f t="shared" si="55"/>
        <v/>
      </c>
      <c r="AB227" s="6" t="str">
        <f>IFERROR(IF(B227="","",SUMIFS(Billing_Fallout!J:J,Billing_Fallout!N:N,B227)),0)</f>
        <v/>
      </c>
      <c r="AD227" s="6" t="str">
        <f t="shared" si="56"/>
        <v/>
      </c>
      <c r="AF227" t="str">
        <f>IFERROR(INDEX(H_Tables!$B$1:$B$1500,MATCH(INDEX(SF_Output!$J$1:$J$400,MATCH(B227,SF_Output!$M$1:$M$400,0)),H_Tables!$A$1:$A$1500,0)),"")</f>
        <v/>
      </c>
      <c r="AI227" s="119" t="str">
        <f t="shared" si="57"/>
        <v/>
      </c>
      <c r="AJ227" s="121">
        <f>IFERROR(INDEX(SF_Output!AD:AD,MATCH(_xlfn.TEXTJOIN(",",TRUE,B227:E227),SF_Output!AC1:AC400,0)),0.05)</f>
        <v>241</v>
      </c>
      <c r="AK227" t="str">
        <f>IF(SUMIFS(SF_Output!$F$1:$F$400,SF_Output!$AC$1:$AC$400,_xlfn.TEXTJOIN(",",TRUE,B227:E227))+SUMIFS(SF_Output!$G$1:$G$400,SF_Output!$AC$1:$AC$400,_xlfn.TEXTJOIN(",",TRUE,B227:E227))=0,"","PAP")</f>
        <v/>
      </c>
      <c r="AQ227" s="35"/>
      <c r="AR227" s="35" t="str" cm="1">
        <f t="array" ref="AR227">IFERROR(_xlfn.IFS(AND(E227*1=1,F227="Included"),"Change to Included",AND(E227*1=0,F227="Optional"),"Change to Optional",OR(B227="",F227="replaced"),""),"")</f>
        <v/>
      </c>
      <c r="AS227" s="35" t="str">
        <f t="shared" si="58"/>
        <v/>
      </c>
      <c r="AT227" s="35" t="str">
        <f t="shared" si="59"/>
        <v/>
      </c>
      <c r="AU227" s="35" t="str">
        <f t="shared" si="60"/>
        <v/>
      </c>
      <c r="AV227" s="35" t="str">
        <f t="shared" si="61"/>
        <v/>
      </c>
      <c r="AW227" s="35" t="str">
        <f t="shared" si="62"/>
        <v/>
      </c>
      <c r="AX227" s="35" t="str">
        <f t="shared" si="63"/>
        <v/>
      </c>
      <c r="AY227" s="35" t="str">
        <f t="shared" si="64"/>
        <v/>
      </c>
      <c r="AZ227" s="35" t="str">
        <f t="shared" si="65"/>
        <v/>
      </c>
      <c r="BA227" s="35" t="str">
        <f t="shared" si="66"/>
        <v/>
      </c>
      <c r="BB227" s="35" t="str">
        <f t="shared" si="67"/>
        <v/>
      </c>
      <c r="BC227" s="35"/>
      <c r="BE227" s="35" t="e">
        <f>INDEX(SF_Output!$AA$2:$AA$400,MATCH($B227,SF_Output!$M$2:$M$400,0))</f>
        <v>#N/A</v>
      </c>
      <c r="BF227" s="35" t="e">
        <f>INDEX(SF_Output!$AB$2:$AB$400,MATCH($B227,SF_Output!$M$2:$M$400,0))</f>
        <v>#N/A</v>
      </c>
    </row>
    <row r="228" spans="6:58" x14ac:dyDescent="0.25">
      <c r="F228" s="116" t="str">
        <f t="shared" si="51"/>
        <v/>
      </c>
      <c r="G228" t="str">
        <f>IF(B228="","",INDEX(SF_Output!$K$1:$K$400,MATCH(B228,SF_Output!$M$1:$M$400,0)))</f>
        <v/>
      </c>
      <c r="H228" t="str" cm="1">
        <f t="array" ref="H228">_xlfn.IFS(B228="","",(SUMIFS(SF_Output!$F$1:$F$400,SF_Output!$AC$1:$AC$400,_xlfn.TEXTJOIN(",",TRUE,B228:E228))+SUMIFS(SF_Output!$G$1:$G$400,SF_Output!$AC$1:$AC$400,_xlfn.TEXTJOIN(",",TRUE,B228:E228)))&lt;&gt;0,SF_Output!$Y$2,INDEX(SF_Output!$F$1:$F$400,MATCH(_xlfn.TEXTJOIN(",",TRUE,B228:E228),SF_Output!$AC$1:$AC$400,0))=0,INDEX(SF_Output!$R$1:$R$400,MATCH(_xlfn.TEXTJOIN(",",TRUE,B228:E228),SF_Output!$AC$1:$AC$400,0)))</f>
        <v/>
      </c>
      <c r="I228" s="125" t="str">
        <f>IFERROR(IF(AND(H228&gt;1,H228&lt;&gt;""),ROUND(SUMIFS(SF_Output!$S$1:$S$400,SF_Output!$AC$1:$AC$400,_xlfn.TEXTJOIN(",",TRUE,B228:E228),SF_Output!$Q$1:$Q$400,"monthly")*(1-W228)/H228,4),""),"")</f>
        <v/>
      </c>
      <c r="J228" s="6" t="str">
        <f>IF(B228="","",SUMIFS(SF_Output!$S$1:$S$400,SF_Output!$AC$1:$AC$400,_xlfn.TEXTJOIN(",",TRUE,B228:E228),SF_Output!$Q$1:$Q$400,"One Time",SF_Output!$L$1:$L$400,"license fee")+SUMIFS(SF_Output!$S$1:$S$400,SF_Output!$AC$1:$AC$400,_xlfn.TEXTJOIN(",",TRUE,B228:E228),SF_Output!$Q$1:$Q$400,"One Time",SF_Output!$L$1:$L$400,"software license")+SUMIFS(SF_Output!$S$1:$S$400,SF_Output!$AC$1:$AC$400,_xlfn.TEXTJOIN(",",TRUE,B228:E228),SF_Output!$Q$1:$Q$400,"One Time",SF_Output!$L$1:$L$400,"hardware"))</f>
        <v/>
      </c>
      <c r="K228" s="112" t="str">
        <f>IF(OR(B228=0,B228="",G228="hardware",J228=0),"",IF(AF228&lt;&gt;"exclusion",MAX(K$9,-((SUMIFS(SF_Output!$T$1:$T$400,SF_Output!$AC$1:$AC$400,_xlfn.TEXTJOIN(",",TRUE,$B228:$E228),SF_Output!$Q$1:$Q$400,"One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license"))/J228)))</f>
        <v/>
      </c>
      <c r="L228" s="6" t="str">
        <f t="shared" si="52"/>
        <v/>
      </c>
      <c r="N228" s="6" t="str">
        <f>IF(B228="","",SUMIFS(SF_Output!$S$1:$S$400,SF_Output!$AC$1:$AC$400,_xlfn.TEXTJOIN(",",TRUE,B228:E228),SF_Output!$Q$1:$Q$400,"One Time",SF_Output!$L$1:$L$400,"professional service"))</f>
        <v/>
      </c>
      <c r="O228" s="112" t="str">
        <f>IF(OR(B228=0,B228="",N228=0),"",IF(AF228&lt;&gt;"exclusion",MAX(O$9,-(SUMIFS(SF_Output!$T$1:$T$400,SF_Output!$AC$1:$AC$400,_xlfn.TEXTJOIN(",",TRUE,$B228:$E228),SF_Output!$Q$1:$Q$400,"One Time",SF_Output!$L$1:$L$400,"professional service"))/N228),-((SUMIFS(SF_Output!$T$1:$T$400,SF_Output!$AC$1:$AC$400,_xlfn.TEXTJOIN(",",TRUE,$B228:$E228),SF_Output!$Q$1:$Q$400,"One Time",SF_Output!$L$1:$L$400,"professional service")/N228))))</f>
        <v/>
      </c>
      <c r="P228" s="6" t="str">
        <f t="shared" si="53"/>
        <v/>
      </c>
      <c r="R228" s="6" t="str">
        <f>IF(B228="","",SUMIFS(SF_Output!$S$1:$S$400,SF_Output!$AC$1:$AC$400,_xlfn.TEXTJOIN(",",TRUE,B228:E228),SF_Output!$Q$1:$Q$400,"yearly")+SUMIFS(SF_Output!$S$1:$S$400,SF_Output!$AC$1:$AC$400,_xlfn.TEXTJOIN(",",TRUE,B228:E228),SF_Output!$Q$1:$Q$400,"quarterly")*4)</f>
        <v/>
      </c>
      <c r="S228" s="112" t="str">
        <f>IF(OR(B228=0,B228="",G228="hardware",R228=0),"",IF(AF228&lt;&gt;"exclusion",MAX(S$9,-(SUMIFS(SF_Output!$T$1:$T$400,SF_Output!$AC$1:$AC$400,_xlfn.TEXTJOIN(",",TRUE,$B228:$E228),SF_Output!$Q$1:$Q$400,"yearly"))/R228),-((SUMIFS(SF_Output!$T$1:$T$400,SF_Output!$AC$1:$AC$400,_xlfn.TEXTJOIN(",",TRUE,$B228:$E228),SF_Output!$Q$1:$Q$400,"yearly")/R228))))</f>
        <v/>
      </c>
      <c r="T228" s="6" t="str">
        <f t="shared" si="54"/>
        <v/>
      </c>
      <c r="V228" s="6" t="str" cm="1">
        <f t="array" ref="V228">_xlfn.IFS(B228="","",AND(B228&lt;&gt;"",H228=SF_Output!$Y$2,SUMIFS(SF_Output!$T$1:$T$400,SF_Output!$AC$1:$AC$400,_xlfn.TEXTJOIN(",",TRUE,B228:E228),SF_Output!$Q$1:$Q$400,"monthly")=0),(SUMIFS(SF_Output!$F$1:$F$400,SF_Output!$AC$1:$AC$400,_xlfn.TEXTJOIN(",",TRUE,B228:E228),SF_Output!$Q$1:$Q$400,"monthly")+SUMIFS(SF_Output!$G$1:$G$400,SF_Output!$AC$1:$AC$400,_xlfn.TEXTJOIN(",",TRUE,B228:E228),SF_Output!$Q$1:$Q$400,"monthly"))*H228,AND(B228&lt;&gt;"",H228=SF_Output!$Y$2,SUMIFS(SF_Output!$T$1:$T$400,SF_Output!$AC$1:$AC$400,_xlfn.TEXTJOIN(",",TRUE,B228:E228),SF_Output!$Q$1:$Q$400,"monthly")&lt;&gt;0),SUMIFS(SF_Output!$S$1:$S$400,SF_Output!$AC$1:$AC$400,_xlfn.TEXTJOIN(",",TRUE,B228:E228),SF_Output!$Q$1:$Q$400,"monthly"),AND(B228&lt;&gt;"",H228&lt;&gt;SF_Output!$Y$2),SUMIFS(SF_Output!$S$1:$S$400,SF_Output!$AC$1:$AC$400,_xlfn.TEXTJOIN(",",TRUE,B228:E228),SF_Output!$Q$1:$Q$400,"monthly"))</f>
        <v/>
      </c>
      <c r="W228" s="112" t="str" cm="1">
        <f t="array" ref="W228">_xlfn.IFS(OR(B228=0,B228="",V228=0),"",AF228&lt;&gt;"exclusion",MAX($W$9,$W$7,(-(SUMIFS(SF_Output!$T$1:$T$400,SF_Output!$AC$1:$AC$400,_xlfn.TEXTJOIN(",",TRUE,$B228:$E228),SF_Output!$Q$1:$Q$400,"monthly"))/V228)),AF228="exclusion",-(SUMIFS(SF_Output!$T$1:$T$400,SF_Output!$AC$1:$AC$400,_xlfn.TEXTJOIN(",",TRUE,$B228:$E228),SF_Output!$Q$1:$Q$400,"monthly"))/V228)</f>
        <v/>
      </c>
      <c r="X228" s="6" t="str" cm="1">
        <f t="array" ref="X228">IFERROR(_xlfn.IFS(V228=0,0,V228="","",W228=0,V228,OR(V228&lt;&gt;0,V228&lt;&gt;""),H228*I228),V228*(1-W228))</f>
        <v/>
      </c>
      <c r="Z228" s="6" t="str">
        <f>IFERROR(IF(B228="","",SUMIFS(Billing_Fallout!H:H,Billing_Fallout!N:N,B228)),0)</f>
        <v/>
      </c>
      <c r="AA228" s="6" t="str">
        <f t="shared" si="55"/>
        <v/>
      </c>
      <c r="AB228" s="6" t="str">
        <f>IFERROR(IF(B228="","",SUMIFS(Billing_Fallout!J:J,Billing_Fallout!N:N,B228)),0)</f>
        <v/>
      </c>
      <c r="AD228" s="6" t="str">
        <f t="shared" si="56"/>
        <v/>
      </c>
      <c r="AF228" t="str">
        <f>IFERROR(INDEX(H_Tables!$B$1:$B$1500,MATCH(INDEX(SF_Output!$J$1:$J$400,MATCH(B228,SF_Output!$M$1:$M$400,0)),H_Tables!$A$1:$A$1500,0)),"")</f>
        <v/>
      </c>
      <c r="AI228" s="119" t="str">
        <f t="shared" si="57"/>
        <v/>
      </c>
      <c r="AJ228" s="121">
        <f>IFERROR(INDEX(SF_Output!AD:AD,MATCH(_xlfn.TEXTJOIN(",",TRUE,B228:E228),SF_Output!AC1:AC400,0)),0.05)</f>
        <v>241</v>
      </c>
      <c r="AK228" t="str">
        <f>IF(SUMIFS(SF_Output!$F$1:$F$400,SF_Output!$AC$1:$AC$400,_xlfn.TEXTJOIN(",",TRUE,B228:E228))+SUMIFS(SF_Output!$G$1:$G$400,SF_Output!$AC$1:$AC$400,_xlfn.TEXTJOIN(",",TRUE,B228:E228))=0,"","PAP")</f>
        <v/>
      </c>
      <c r="AQ228" s="35"/>
      <c r="AR228" s="35" t="str" cm="1">
        <f t="array" ref="AR228">IFERROR(_xlfn.IFS(AND(E228*1=1,F228="Included"),"Change to Included",AND(E228*1=0,F228="Optional"),"Change to Optional",OR(B228="",F228="replaced"),""),"")</f>
        <v/>
      </c>
      <c r="AS228" s="35" t="str">
        <f t="shared" si="58"/>
        <v/>
      </c>
      <c r="AT228" s="35" t="str">
        <f t="shared" si="59"/>
        <v/>
      </c>
      <c r="AU228" s="35" t="str">
        <f t="shared" si="60"/>
        <v/>
      </c>
      <c r="AV228" s="35" t="str">
        <f t="shared" si="61"/>
        <v/>
      </c>
      <c r="AW228" s="35" t="str">
        <f t="shared" si="62"/>
        <v/>
      </c>
      <c r="AX228" s="35" t="str">
        <f t="shared" si="63"/>
        <v/>
      </c>
      <c r="AY228" s="35" t="str">
        <f t="shared" si="64"/>
        <v/>
      </c>
      <c r="AZ228" s="35" t="str">
        <f t="shared" si="65"/>
        <v/>
      </c>
      <c r="BA228" s="35" t="str">
        <f t="shared" si="66"/>
        <v/>
      </c>
      <c r="BB228" s="35" t="str">
        <f t="shared" si="67"/>
        <v/>
      </c>
      <c r="BC228" s="35"/>
      <c r="BE228" s="35" t="e">
        <f>INDEX(SF_Output!$AA$2:$AA$400,MATCH($B228,SF_Output!$M$2:$M$400,0))</f>
        <v>#N/A</v>
      </c>
      <c r="BF228" s="35" t="e">
        <f>INDEX(SF_Output!$AB$2:$AB$400,MATCH($B228,SF_Output!$M$2:$M$400,0))</f>
        <v>#N/A</v>
      </c>
    </row>
    <row r="229" spans="6:58" x14ac:dyDescent="0.25">
      <c r="F229" s="116" t="str">
        <f t="shared" si="51"/>
        <v/>
      </c>
      <c r="G229" t="str">
        <f>IF(B229="","",INDEX(SF_Output!$K$1:$K$400,MATCH(B229,SF_Output!$M$1:$M$400,0)))</f>
        <v/>
      </c>
      <c r="H229" t="str" cm="1">
        <f t="array" ref="H229">_xlfn.IFS(B229="","",(SUMIFS(SF_Output!$F$1:$F$400,SF_Output!$AC$1:$AC$400,_xlfn.TEXTJOIN(",",TRUE,B229:E229))+SUMIFS(SF_Output!$G$1:$G$400,SF_Output!$AC$1:$AC$400,_xlfn.TEXTJOIN(",",TRUE,B229:E229)))&lt;&gt;0,SF_Output!$Y$2,INDEX(SF_Output!$F$1:$F$400,MATCH(_xlfn.TEXTJOIN(",",TRUE,B229:E229),SF_Output!$AC$1:$AC$400,0))=0,INDEX(SF_Output!$R$1:$R$400,MATCH(_xlfn.TEXTJOIN(",",TRUE,B229:E229),SF_Output!$AC$1:$AC$400,0)))</f>
        <v/>
      </c>
      <c r="I229" s="125" t="str">
        <f>IFERROR(IF(AND(H229&gt;1,H229&lt;&gt;""),ROUND(SUMIFS(SF_Output!$S$1:$S$400,SF_Output!$AC$1:$AC$400,_xlfn.TEXTJOIN(",",TRUE,B229:E229),SF_Output!$Q$1:$Q$400,"monthly")*(1-W229)/H229,4),""),"")</f>
        <v/>
      </c>
      <c r="J229" s="6" t="str">
        <f>IF(B229="","",SUMIFS(SF_Output!$S$1:$S$400,SF_Output!$AC$1:$AC$400,_xlfn.TEXTJOIN(",",TRUE,B229:E229),SF_Output!$Q$1:$Q$400,"One Time",SF_Output!$L$1:$L$400,"license fee")+SUMIFS(SF_Output!$S$1:$S$400,SF_Output!$AC$1:$AC$400,_xlfn.TEXTJOIN(",",TRUE,B229:E229),SF_Output!$Q$1:$Q$400,"One Time",SF_Output!$L$1:$L$400,"software license")+SUMIFS(SF_Output!$S$1:$S$400,SF_Output!$AC$1:$AC$400,_xlfn.TEXTJOIN(",",TRUE,B229:E229),SF_Output!$Q$1:$Q$400,"One Time",SF_Output!$L$1:$L$400,"hardware"))</f>
        <v/>
      </c>
      <c r="K229" s="112" t="str">
        <f>IF(OR(B229=0,B229="",G229="hardware",J229=0),"",IF(AF229&lt;&gt;"exclusion",MAX(K$9,-((SUMIFS(SF_Output!$T$1:$T$400,SF_Output!$AC$1:$AC$400,_xlfn.TEXTJOIN(",",TRUE,$B229:$E229),SF_Output!$Q$1:$Q$400,"One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license"))/J229)))</f>
        <v/>
      </c>
      <c r="L229" s="6" t="str">
        <f t="shared" si="52"/>
        <v/>
      </c>
      <c r="N229" s="6" t="str">
        <f>IF(B229="","",SUMIFS(SF_Output!$S$1:$S$400,SF_Output!$AC$1:$AC$400,_xlfn.TEXTJOIN(",",TRUE,B229:E229),SF_Output!$Q$1:$Q$400,"One Time",SF_Output!$L$1:$L$400,"professional service"))</f>
        <v/>
      </c>
      <c r="O229" s="112" t="str">
        <f>IF(OR(B229=0,B229="",N229=0),"",IF(AF229&lt;&gt;"exclusion",MAX(O$9,-(SUMIFS(SF_Output!$T$1:$T$400,SF_Output!$AC$1:$AC$400,_xlfn.TEXTJOIN(",",TRUE,$B229:$E229),SF_Output!$Q$1:$Q$400,"One Time",SF_Output!$L$1:$L$400,"professional service"))/N229),-((SUMIFS(SF_Output!$T$1:$T$400,SF_Output!$AC$1:$AC$400,_xlfn.TEXTJOIN(",",TRUE,$B229:$E229),SF_Output!$Q$1:$Q$400,"One Time",SF_Output!$L$1:$L$400,"professional service")/N229))))</f>
        <v/>
      </c>
      <c r="P229" s="6" t="str">
        <f t="shared" si="53"/>
        <v/>
      </c>
      <c r="R229" s="6" t="str">
        <f>IF(B229="","",SUMIFS(SF_Output!$S$1:$S$400,SF_Output!$AC$1:$AC$400,_xlfn.TEXTJOIN(",",TRUE,B229:E229),SF_Output!$Q$1:$Q$400,"yearly")+SUMIFS(SF_Output!$S$1:$S$400,SF_Output!$AC$1:$AC$400,_xlfn.TEXTJOIN(",",TRUE,B229:E229),SF_Output!$Q$1:$Q$400,"quarterly")*4)</f>
        <v/>
      </c>
      <c r="S229" s="112" t="str">
        <f>IF(OR(B229=0,B229="",G229="hardware",R229=0),"",IF(AF229&lt;&gt;"exclusion",MAX(S$9,-(SUMIFS(SF_Output!$T$1:$T$400,SF_Output!$AC$1:$AC$400,_xlfn.TEXTJOIN(",",TRUE,$B229:$E229),SF_Output!$Q$1:$Q$400,"yearly"))/R229),-((SUMIFS(SF_Output!$T$1:$T$400,SF_Output!$AC$1:$AC$400,_xlfn.TEXTJOIN(",",TRUE,$B229:$E229),SF_Output!$Q$1:$Q$400,"yearly")/R229))))</f>
        <v/>
      </c>
      <c r="T229" s="6" t="str">
        <f t="shared" si="54"/>
        <v/>
      </c>
      <c r="V229" s="6" t="str" cm="1">
        <f t="array" ref="V229">_xlfn.IFS(B229="","",AND(B229&lt;&gt;"",H229=SF_Output!$Y$2,SUMIFS(SF_Output!$T$1:$T$400,SF_Output!$AC$1:$AC$400,_xlfn.TEXTJOIN(",",TRUE,B229:E229),SF_Output!$Q$1:$Q$400,"monthly")=0),(SUMIFS(SF_Output!$F$1:$F$400,SF_Output!$AC$1:$AC$400,_xlfn.TEXTJOIN(",",TRUE,B229:E229),SF_Output!$Q$1:$Q$400,"monthly")+SUMIFS(SF_Output!$G$1:$G$400,SF_Output!$AC$1:$AC$400,_xlfn.TEXTJOIN(",",TRUE,B229:E229),SF_Output!$Q$1:$Q$400,"monthly"))*H229,AND(B229&lt;&gt;"",H229=SF_Output!$Y$2,SUMIFS(SF_Output!$T$1:$T$400,SF_Output!$AC$1:$AC$400,_xlfn.TEXTJOIN(",",TRUE,B229:E229),SF_Output!$Q$1:$Q$400,"monthly")&lt;&gt;0),SUMIFS(SF_Output!$S$1:$S$400,SF_Output!$AC$1:$AC$400,_xlfn.TEXTJOIN(",",TRUE,B229:E229),SF_Output!$Q$1:$Q$400,"monthly"),AND(B229&lt;&gt;"",H229&lt;&gt;SF_Output!$Y$2),SUMIFS(SF_Output!$S$1:$S$400,SF_Output!$AC$1:$AC$400,_xlfn.TEXTJOIN(",",TRUE,B229:E229),SF_Output!$Q$1:$Q$400,"monthly"))</f>
        <v/>
      </c>
      <c r="W229" s="112" t="str" cm="1">
        <f t="array" ref="W229">_xlfn.IFS(OR(B229=0,B229="",V229=0),"",AF229&lt;&gt;"exclusion",MAX($W$9,$W$7,(-(SUMIFS(SF_Output!$T$1:$T$400,SF_Output!$AC$1:$AC$400,_xlfn.TEXTJOIN(",",TRUE,$B229:$E229),SF_Output!$Q$1:$Q$400,"monthly"))/V229)),AF229="exclusion",-(SUMIFS(SF_Output!$T$1:$T$400,SF_Output!$AC$1:$AC$400,_xlfn.TEXTJOIN(",",TRUE,$B229:$E229),SF_Output!$Q$1:$Q$400,"monthly"))/V229)</f>
        <v/>
      </c>
      <c r="X229" s="6" t="str" cm="1">
        <f t="array" ref="X229">IFERROR(_xlfn.IFS(V229=0,0,V229="","",W229=0,V229,OR(V229&lt;&gt;0,V229&lt;&gt;""),H229*I229),V229*(1-W229))</f>
        <v/>
      </c>
      <c r="Z229" s="6" t="str">
        <f>IFERROR(IF(B229="","",SUMIFS(Billing_Fallout!H:H,Billing_Fallout!N:N,B229)),0)</f>
        <v/>
      </c>
      <c r="AA229" s="6" t="str">
        <f t="shared" si="55"/>
        <v/>
      </c>
      <c r="AB229" s="6" t="str">
        <f>IFERROR(IF(B229="","",SUMIFS(Billing_Fallout!J:J,Billing_Fallout!N:N,B229)),0)</f>
        <v/>
      </c>
      <c r="AD229" s="6" t="str">
        <f t="shared" si="56"/>
        <v/>
      </c>
      <c r="AF229" t="str">
        <f>IFERROR(INDEX(H_Tables!$B$1:$B$1500,MATCH(INDEX(SF_Output!$J$1:$J$400,MATCH(B229,SF_Output!$M$1:$M$400,0)),H_Tables!$A$1:$A$1500,0)),"")</f>
        <v/>
      </c>
      <c r="AI229" s="119" t="str">
        <f t="shared" si="57"/>
        <v/>
      </c>
      <c r="AJ229" s="121">
        <f>IFERROR(INDEX(SF_Output!AD:AD,MATCH(_xlfn.TEXTJOIN(",",TRUE,B229:E229),SF_Output!AC1:AC400,0)),0.05)</f>
        <v>241</v>
      </c>
      <c r="AK229" t="str">
        <f>IF(SUMIFS(SF_Output!$F$1:$F$400,SF_Output!$AC$1:$AC$400,_xlfn.TEXTJOIN(",",TRUE,B229:E229))+SUMIFS(SF_Output!$G$1:$G$400,SF_Output!$AC$1:$AC$400,_xlfn.TEXTJOIN(",",TRUE,B229:E229))=0,"","PAP")</f>
        <v/>
      </c>
      <c r="AQ229" s="35"/>
      <c r="AR229" s="35" t="str" cm="1">
        <f t="array" ref="AR229">IFERROR(_xlfn.IFS(AND(E229*1=1,F229="Included"),"Change to Included",AND(E229*1=0,F229="Optional"),"Change to Optional",OR(B229="",F229="replaced"),""),"")</f>
        <v/>
      </c>
      <c r="AS229" s="35" t="str">
        <f t="shared" si="58"/>
        <v/>
      </c>
      <c r="AT229" s="35" t="str">
        <f t="shared" si="59"/>
        <v/>
      </c>
      <c r="AU229" s="35" t="str">
        <f t="shared" si="60"/>
        <v/>
      </c>
      <c r="AV229" s="35" t="str">
        <f t="shared" si="61"/>
        <v/>
      </c>
      <c r="AW229" s="35" t="str">
        <f t="shared" si="62"/>
        <v/>
      </c>
      <c r="AX229" s="35" t="str">
        <f t="shared" si="63"/>
        <v/>
      </c>
      <c r="AY229" s="35" t="str">
        <f t="shared" si="64"/>
        <v/>
      </c>
      <c r="AZ229" s="35" t="str">
        <f t="shared" si="65"/>
        <v/>
      </c>
      <c r="BA229" s="35" t="str">
        <f t="shared" si="66"/>
        <v/>
      </c>
      <c r="BB229" s="35" t="str">
        <f t="shared" si="67"/>
        <v/>
      </c>
      <c r="BC229" s="35"/>
      <c r="BE229" s="35" t="e">
        <f>INDEX(SF_Output!$AA$2:$AA$400,MATCH($B229,SF_Output!$M$2:$M$400,0))</f>
        <v>#N/A</v>
      </c>
      <c r="BF229" s="35" t="e">
        <f>INDEX(SF_Output!$AB$2:$AB$400,MATCH($B229,SF_Output!$M$2:$M$400,0))</f>
        <v>#N/A</v>
      </c>
    </row>
    <row r="230" spans="6:58" x14ac:dyDescent="0.25">
      <c r="F230" s="116" t="str">
        <f t="shared" si="51"/>
        <v/>
      </c>
      <c r="G230" t="str">
        <f>IF(B230="","",INDEX(SF_Output!$K$1:$K$400,MATCH(B230,SF_Output!$M$1:$M$400,0)))</f>
        <v/>
      </c>
      <c r="H230" t="str" cm="1">
        <f t="array" ref="H230">_xlfn.IFS(B230="","",(SUMIFS(SF_Output!$F$1:$F$400,SF_Output!$AC$1:$AC$400,_xlfn.TEXTJOIN(",",TRUE,B230:E230))+SUMIFS(SF_Output!$G$1:$G$400,SF_Output!$AC$1:$AC$400,_xlfn.TEXTJOIN(",",TRUE,B230:E230)))&lt;&gt;0,SF_Output!$Y$2,INDEX(SF_Output!$F$1:$F$400,MATCH(_xlfn.TEXTJOIN(",",TRUE,B230:E230),SF_Output!$AC$1:$AC$400,0))=0,INDEX(SF_Output!$R$1:$R$400,MATCH(_xlfn.TEXTJOIN(",",TRUE,B230:E230),SF_Output!$AC$1:$AC$400,0)))</f>
        <v/>
      </c>
      <c r="I230" s="125" t="str">
        <f>IFERROR(IF(AND(H230&gt;1,H230&lt;&gt;""),ROUND(SUMIFS(SF_Output!$S$1:$S$400,SF_Output!$AC$1:$AC$400,_xlfn.TEXTJOIN(",",TRUE,B230:E230),SF_Output!$Q$1:$Q$400,"monthly")*(1-W230)/H230,4),""),"")</f>
        <v/>
      </c>
      <c r="J230" s="6" t="str">
        <f>IF(B230="","",SUMIFS(SF_Output!$S$1:$S$400,SF_Output!$AC$1:$AC$400,_xlfn.TEXTJOIN(",",TRUE,B230:E230),SF_Output!$Q$1:$Q$400,"One Time",SF_Output!$L$1:$L$400,"license fee")+SUMIFS(SF_Output!$S$1:$S$400,SF_Output!$AC$1:$AC$400,_xlfn.TEXTJOIN(",",TRUE,B230:E230),SF_Output!$Q$1:$Q$400,"One Time",SF_Output!$L$1:$L$400,"software license")+SUMIFS(SF_Output!$S$1:$S$400,SF_Output!$AC$1:$AC$400,_xlfn.TEXTJOIN(",",TRUE,B230:E230),SF_Output!$Q$1:$Q$400,"One Time",SF_Output!$L$1:$L$400,"hardware"))</f>
        <v/>
      </c>
      <c r="K230" s="112" t="str">
        <f>IF(OR(B230=0,B230="",G230="hardware",J230=0),"",IF(AF230&lt;&gt;"exclusion",MAX(K$9,-((SUMIFS(SF_Output!$T$1:$T$400,SF_Output!$AC$1:$AC$400,_xlfn.TEXTJOIN(",",TRUE,$B230:$E230),SF_Output!$Q$1:$Q$400,"One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license"))/J230)))</f>
        <v/>
      </c>
      <c r="L230" s="6" t="str">
        <f t="shared" si="52"/>
        <v/>
      </c>
      <c r="N230" s="6" t="str">
        <f>IF(B230="","",SUMIFS(SF_Output!$S$1:$S$400,SF_Output!$AC$1:$AC$400,_xlfn.TEXTJOIN(",",TRUE,B230:E230),SF_Output!$Q$1:$Q$400,"One Time",SF_Output!$L$1:$L$400,"professional service"))</f>
        <v/>
      </c>
      <c r="O230" s="112" t="str">
        <f>IF(OR(B230=0,B230="",N230=0),"",IF(AF230&lt;&gt;"exclusion",MAX(O$9,-(SUMIFS(SF_Output!$T$1:$T$400,SF_Output!$AC$1:$AC$400,_xlfn.TEXTJOIN(",",TRUE,$B230:$E230),SF_Output!$Q$1:$Q$400,"One Time",SF_Output!$L$1:$L$400,"professional service"))/N230),-((SUMIFS(SF_Output!$T$1:$T$400,SF_Output!$AC$1:$AC$400,_xlfn.TEXTJOIN(",",TRUE,$B230:$E230),SF_Output!$Q$1:$Q$400,"One Time",SF_Output!$L$1:$L$400,"professional service")/N230))))</f>
        <v/>
      </c>
      <c r="P230" s="6" t="str">
        <f t="shared" si="53"/>
        <v/>
      </c>
      <c r="R230" s="6" t="str">
        <f>IF(B230="","",SUMIFS(SF_Output!$S$1:$S$400,SF_Output!$AC$1:$AC$400,_xlfn.TEXTJOIN(",",TRUE,B230:E230),SF_Output!$Q$1:$Q$400,"yearly")+SUMIFS(SF_Output!$S$1:$S$400,SF_Output!$AC$1:$AC$400,_xlfn.TEXTJOIN(",",TRUE,B230:E230),SF_Output!$Q$1:$Q$400,"quarterly")*4)</f>
        <v/>
      </c>
      <c r="S230" s="112" t="str">
        <f>IF(OR(B230=0,B230="",G230="hardware",R230=0),"",IF(AF230&lt;&gt;"exclusion",MAX(S$9,-(SUMIFS(SF_Output!$T$1:$T$400,SF_Output!$AC$1:$AC$400,_xlfn.TEXTJOIN(",",TRUE,$B230:$E230),SF_Output!$Q$1:$Q$400,"yearly"))/R230),-((SUMIFS(SF_Output!$T$1:$T$400,SF_Output!$AC$1:$AC$400,_xlfn.TEXTJOIN(",",TRUE,$B230:$E230),SF_Output!$Q$1:$Q$400,"yearly")/R230))))</f>
        <v/>
      </c>
      <c r="T230" s="6" t="str">
        <f t="shared" si="54"/>
        <v/>
      </c>
      <c r="V230" s="6" t="str" cm="1">
        <f t="array" ref="V230">_xlfn.IFS(B230="","",AND(B230&lt;&gt;"",H230=SF_Output!$Y$2,SUMIFS(SF_Output!$T$1:$T$400,SF_Output!$AC$1:$AC$400,_xlfn.TEXTJOIN(",",TRUE,B230:E230),SF_Output!$Q$1:$Q$400,"monthly")=0),(SUMIFS(SF_Output!$F$1:$F$400,SF_Output!$AC$1:$AC$400,_xlfn.TEXTJOIN(",",TRUE,B230:E230),SF_Output!$Q$1:$Q$400,"monthly")+SUMIFS(SF_Output!$G$1:$G$400,SF_Output!$AC$1:$AC$400,_xlfn.TEXTJOIN(",",TRUE,B230:E230),SF_Output!$Q$1:$Q$400,"monthly"))*H230,AND(B230&lt;&gt;"",H230=SF_Output!$Y$2,SUMIFS(SF_Output!$T$1:$T$400,SF_Output!$AC$1:$AC$400,_xlfn.TEXTJOIN(",",TRUE,B230:E230),SF_Output!$Q$1:$Q$400,"monthly")&lt;&gt;0),SUMIFS(SF_Output!$S$1:$S$400,SF_Output!$AC$1:$AC$400,_xlfn.TEXTJOIN(",",TRUE,B230:E230),SF_Output!$Q$1:$Q$400,"monthly"),AND(B230&lt;&gt;"",H230&lt;&gt;SF_Output!$Y$2),SUMIFS(SF_Output!$S$1:$S$400,SF_Output!$AC$1:$AC$400,_xlfn.TEXTJOIN(",",TRUE,B230:E230),SF_Output!$Q$1:$Q$400,"monthly"))</f>
        <v/>
      </c>
      <c r="W230" s="112" t="str" cm="1">
        <f t="array" ref="W230">_xlfn.IFS(OR(B230=0,B230="",V230=0),"",AF230&lt;&gt;"exclusion",MAX($W$9,$W$7,(-(SUMIFS(SF_Output!$T$1:$T$400,SF_Output!$AC$1:$AC$400,_xlfn.TEXTJOIN(",",TRUE,$B230:$E230),SF_Output!$Q$1:$Q$400,"monthly"))/V230)),AF230="exclusion",-(SUMIFS(SF_Output!$T$1:$T$400,SF_Output!$AC$1:$AC$400,_xlfn.TEXTJOIN(",",TRUE,$B230:$E230),SF_Output!$Q$1:$Q$400,"monthly"))/V230)</f>
        <v/>
      </c>
      <c r="X230" s="6" t="str" cm="1">
        <f t="array" ref="X230">IFERROR(_xlfn.IFS(V230=0,0,V230="","",W230=0,V230,OR(V230&lt;&gt;0,V230&lt;&gt;""),H230*I230),V230*(1-W230))</f>
        <v/>
      </c>
      <c r="Z230" s="6" t="str">
        <f>IFERROR(IF(B230="","",SUMIFS(Billing_Fallout!H:H,Billing_Fallout!N:N,B230)),0)</f>
        <v/>
      </c>
      <c r="AA230" s="6" t="str">
        <f t="shared" si="55"/>
        <v/>
      </c>
      <c r="AB230" s="6" t="str">
        <f>IFERROR(IF(B230="","",SUMIFS(Billing_Fallout!J:J,Billing_Fallout!N:N,B230)),0)</f>
        <v/>
      </c>
      <c r="AD230" s="6" t="str">
        <f t="shared" si="56"/>
        <v/>
      </c>
      <c r="AF230" t="str">
        <f>IFERROR(INDEX(H_Tables!$B$1:$B$1500,MATCH(INDEX(SF_Output!$J$1:$J$400,MATCH(B230,SF_Output!$M$1:$M$400,0)),H_Tables!$A$1:$A$1500,0)),"")</f>
        <v/>
      </c>
      <c r="AI230" s="119" t="str">
        <f t="shared" si="57"/>
        <v/>
      </c>
      <c r="AJ230" s="121">
        <f>IFERROR(INDEX(SF_Output!AD:AD,MATCH(_xlfn.TEXTJOIN(",",TRUE,B230:E230),SF_Output!AC1:AC400,0)),0.05)</f>
        <v>241</v>
      </c>
      <c r="AK230" t="str">
        <f>IF(SUMIFS(SF_Output!$F$1:$F$400,SF_Output!$AC$1:$AC$400,_xlfn.TEXTJOIN(",",TRUE,B230:E230))+SUMIFS(SF_Output!$G$1:$G$400,SF_Output!$AC$1:$AC$400,_xlfn.TEXTJOIN(",",TRUE,B230:E230))=0,"","PAP")</f>
        <v/>
      </c>
      <c r="AQ230" s="35"/>
      <c r="AR230" s="35" t="str" cm="1">
        <f t="array" ref="AR230">IFERROR(_xlfn.IFS(AND(E230*1=1,F230="Included"),"Change to Included",AND(E230*1=0,F230="Optional"),"Change to Optional",OR(B230="",F230="replaced"),""),"")</f>
        <v/>
      </c>
      <c r="AS230" s="35" t="str">
        <f t="shared" si="58"/>
        <v/>
      </c>
      <c r="AT230" s="35" t="str">
        <f t="shared" si="59"/>
        <v/>
      </c>
      <c r="AU230" s="35" t="str">
        <f t="shared" si="60"/>
        <v/>
      </c>
      <c r="AV230" s="35" t="str">
        <f t="shared" si="61"/>
        <v/>
      </c>
      <c r="AW230" s="35" t="str">
        <f t="shared" si="62"/>
        <v/>
      </c>
      <c r="AX230" s="35" t="str">
        <f t="shared" si="63"/>
        <v/>
      </c>
      <c r="AY230" s="35" t="str">
        <f t="shared" si="64"/>
        <v/>
      </c>
      <c r="AZ230" s="35" t="str">
        <f t="shared" si="65"/>
        <v/>
      </c>
      <c r="BA230" s="35" t="str">
        <f t="shared" si="66"/>
        <v/>
      </c>
      <c r="BB230" s="35" t="str">
        <f t="shared" si="67"/>
        <v/>
      </c>
      <c r="BC230" s="35"/>
      <c r="BE230" s="35" t="e">
        <f>INDEX(SF_Output!$AA$2:$AA$400,MATCH($B230,SF_Output!$M$2:$M$400,0))</f>
        <v>#N/A</v>
      </c>
      <c r="BF230" s="35" t="e">
        <f>INDEX(SF_Output!$AB$2:$AB$400,MATCH($B230,SF_Output!$M$2:$M$400,0))</f>
        <v>#N/A</v>
      </c>
    </row>
    <row r="231" spans="6:58" x14ac:dyDescent="0.25">
      <c r="F231" s="116" t="str">
        <f t="shared" si="51"/>
        <v/>
      </c>
      <c r="G231" t="str">
        <f>IF(B231="","",INDEX(SF_Output!$K$1:$K$400,MATCH(B231,SF_Output!$M$1:$M$400,0)))</f>
        <v/>
      </c>
      <c r="H231" t="str" cm="1">
        <f t="array" ref="H231">_xlfn.IFS(B231="","",(SUMIFS(SF_Output!$F$1:$F$400,SF_Output!$AC$1:$AC$400,_xlfn.TEXTJOIN(",",TRUE,B231:E231))+SUMIFS(SF_Output!$G$1:$G$400,SF_Output!$AC$1:$AC$400,_xlfn.TEXTJOIN(",",TRUE,B231:E231)))&lt;&gt;0,SF_Output!$Y$2,INDEX(SF_Output!$F$1:$F$400,MATCH(_xlfn.TEXTJOIN(",",TRUE,B231:E231),SF_Output!$AC$1:$AC$400,0))=0,INDEX(SF_Output!$R$1:$R$400,MATCH(_xlfn.TEXTJOIN(",",TRUE,B231:E231),SF_Output!$AC$1:$AC$400,0)))</f>
        <v/>
      </c>
      <c r="I231" s="125" t="str">
        <f>IFERROR(IF(AND(H231&gt;1,H231&lt;&gt;""),ROUND(SUMIFS(SF_Output!$S$1:$S$400,SF_Output!$AC$1:$AC$400,_xlfn.TEXTJOIN(",",TRUE,B231:E231),SF_Output!$Q$1:$Q$400,"monthly")*(1-W231)/H231,4),""),"")</f>
        <v/>
      </c>
      <c r="J231" s="6" t="str">
        <f>IF(B231="","",SUMIFS(SF_Output!$S$1:$S$400,SF_Output!$AC$1:$AC$400,_xlfn.TEXTJOIN(",",TRUE,B231:E231),SF_Output!$Q$1:$Q$400,"One Time",SF_Output!$L$1:$L$400,"license fee")+SUMIFS(SF_Output!$S$1:$S$400,SF_Output!$AC$1:$AC$400,_xlfn.TEXTJOIN(",",TRUE,B231:E231),SF_Output!$Q$1:$Q$400,"One Time",SF_Output!$L$1:$L$400,"software license")+SUMIFS(SF_Output!$S$1:$S$400,SF_Output!$AC$1:$AC$400,_xlfn.TEXTJOIN(",",TRUE,B231:E231),SF_Output!$Q$1:$Q$400,"One Time",SF_Output!$L$1:$L$400,"hardware"))</f>
        <v/>
      </c>
      <c r="K231" s="112" t="str">
        <f>IF(OR(B231=0,B231="",G231="hardware",J231=0),"",IF(AF231&lt;&gt;"exclusion",MAX(K$9,-((SUMIFS(SF_Output!$T$1:$T$400,SF_Output!$AC$1:$AC$400,_xlfn.TEXTJOIN(",",TRUE,$B231:$E231),SF_Output!$Q$1:$Q$400,"One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license"))/J231)))</f>
        <v/>
      </c>
      <c r="L231" s="6" t="str">
        <f t="shared" si="52"/>
        <v/>
      </c>
      <c r="N231" s="6" t="str">
        <f>IF(B231="","",SUMIFS(SF_Output!$S$1:$S$400,SF_Output!$AC$1:$AC$400,_xlfn.TEXTJOIN(",",TRUE,B231:E231),SF_Output!$Q$1:$Q$400,"One Time",SF_Output!$L$1:$L$400,"professional service"))</f>
        <v/>
      </c>
      <c r="O231" s="112" t="str">
        <f>IF(OR(B231=0,B231="",N231=0),"",IF(AF231&lt;&gt;"exclusion",MAX(O$9,-(SUMIFS(SF_Output!$T$1:$T$400,SF_Output!$AC$1:$AC$400,_xlfn.TEXTJOIN(",",TRUE,$B231:$E231),SF_Output!$Q$1:$Q$400,"One Time",SF_Output!$L$1:$L$400,"professional service"))/N231),-((SUMIFS(SF_Output!$T$1:$T$400,SF_Output!$AC$1:$AC$400,_xlfn.TEXTJOIN(",",TRUE,$B231:$E231),SF_Output!$Q$1:$Q$400,"One Time",SF_Output!$L$1:$L$400,"professional service")/N231))))</f>
        <v/>
      </c>
      <c r="P231" s="6" t="str">
        <f t="shared" si="53"/>
        <v/>
      </c>
      <c r="R231" s="6" t="str">
        <f>IF(B231="","",SUMIFS(SF_Output!$S$1:$S$400,SF_Output!$AC$1:$AC$400,_xlfn.TEXTJOIN(",",TRUE,B231:E231),SF_Output!$Q$1:$Q$400,"yearly")+SUMIFS(SF_Output!$S$1:$S$400,SF_Output!$AC$1:$AC$400,_xlfn.TEXTJOIN(",",TRUE,B231:E231),SF_Output!$Q$1:$Q$400,"quarterly")*4)</f>
        <v/>
      </c>
      <c r="S231" s="112" t="str">
        <f>IF(OR(B231=0,B231="",G231="hardware",R231=0),"",IF(AF231&lt;&gt;"exclusion",MAX(S$9,-(SUMIFS(SF_Output!$T$1:$T$400,SF_Output!$AC$1:$AC$400,_xlfn.TEXTJOIN(",",TRUE,$B231:$E231),SF_Output!$Q$1:$Q$400,"yearly"))/R231),-((SUMIFS(SF_Output!$T$1:$T$400,SF_Output!$AC$1:$AC$400,_xlfn.TEXTJOIN(",",TRUE,$B231:$E231),SF_Output!$Q$1:$Q$400,"yearly")/R231))))</f>
        <v/>
      </c>
      <c r="T231" s="6" t="str">
        <f t="shared" si="54"/>
        <v/>
      </c>
      <c r="V231" s="6" t="str" cm="1">
        <f t="array" ref="V231">_xlfn.IFS(B231="","",AND(B231&lt;&gt;"",H231=SF_Output!$Y$2,SUMIFS(SF_Output!$T$1:$T$400,SF_Output!$AC$1:$AC$400,_xlfn.TEXTJOIN(",",TRUE,B231:E231),SF_Output!$Q$1:$Q$400,"monthly")=0),(SUMIFS(SF_Output!$F$1:$F$400,SF_Output!$AC$1:$AC$400,_xlfn.TEXTJOIN(",",TRUE,B231:E231),SF_Output!$Q$1:$Q$400,"monthly")+SUMIFS(SF_Output!$G$1:$G$400,SF_Output!$AC$1:$AC$400,_xlfn.TEXTJOIN(",",TRUE,B231:E231),SF_Output!$Q$1:$Q$400,"monthly"))*H231,AND(B231&lt;&gt;"",H231=SF_Output!$Y$2,SUMIFS(SF_Output!$T$1:$T$400,SF_Output!$AC$1:$AC$400,_xlfn.TEXTJOIN(",",TRUE,B231:E231),SF_Output!$Q$1:$Q$400,"monthly")&lt;&gt;0),SUMIFS(SF_Output!$S$1:$S$400,SF_Output!$AC$1:$AC$400,_xlfn.TEXTJOIN(",",TRUE,B231:E231),SF_Output!$Q$1:$Q$400,"monthly"),AND(B231&lt;&gt;"",H231&lt;&gt;SF_Output!$Y$2),SUMIFS(SF_Output!$S$1:$S$400,SF_Output!$AC$1:$AC$400,_xlfn.TEXTJOIN(",",TRUE,B231:E231),SF_Output!$Q$1:$Q$400,"monthly"))</f>
        <v/>
      </c>
      <c r="W231" s="112" t="str" cm="1">
        <f t="array" ref="W231">_xlfn.IFS(OR(B231=0,B231="",V231=0),"",AF231&lt;&gt;"exclusion",MAX($W$9,$W$7,(-(SUMIFS(SF_Output!$T$1:$T$400,SF_Output!$AC$1:$AC$400,_xlfn.TEXTJOIN(",",TRUE,$B231:$E231),SF_Output!$Q$1:$Q$400,"monthly"))/V231)),AF231="exclusion",-(SUMIFS(SF_Output!$T$1:$T$400,SF_Output!$AC$1:$AC$400,_xlfn.TEXTJOIN(",",TRUE,$B231:$E231),SF_Output!$Q$1:$Q$400,"monthly"))/V231)</f>
        <v/>
      </c>
      <c r="X231" s="6" t="str" cm="1">
        <f t="array" ref="X231">IFERROR(_xlfn.IFS(V231=0,0,V231="","",W231=0,V231,OR(V231&lt;&gt;0,V231&lt;&gt;""),H231*I231),V231*(1-W231))</f>
        <v/>
      </c>
      <c r="Z231" s="6" t="str">
        <f>IFERROR(IF(B231="","",SUMIFS(Billing_Fallout!H:H,Billing_Fallout!N:N,B231)),0)</f>
        <v/>
      </c>
      <c r="AA231" s="6" t="str">
        <f t="shared" si="55"/>
        <v/>
      </c>
      <c r="AB231" s="6" t="str">
        <f>IFERROR(IF(B231="","",SUMIFS(Billing_Fallout!J:J,Billing_Fallout!N:N,B231)),0)</f>
        <v/>
      </c>
      <c r="AD231" s="6" t="str">
        <f t="shared" si="56"/>
        <v/>
      </c>
      <c r="AF231" t="str">
        <f>IFERROR(INDEX(H_Tables!$B$1:$B$1500,MATCH(INDEX(SF_Output!$J$1:$J$400,MATCH(B231,SF_Output!$M$1:$M$400,0)),H_Tables!$A$1:$A$1500,0)),"")</f>
        <v/>
      </c>
      <c r="AI231" s="119" t="str">
        <f t="shared" si="57"/>
        <v/>
      </c>
      <c r="AJ231" s="121">
        <f>IFERROR(INDEX(SF_Output!AD:AD,MATCH(_xlfn.TEXTJOIN(",",TRUE,B231:E231),SF_Output!AC1:AC400,0)),0.05)</f>
        <v>241</v>
      </c>
      <c r="AK231" t="str">
        <f>IF(SUMIFS(SF_Output!$F$1:$F$400,SF_Output!$AC$1:$AC$400,_xlfn.TEXTJOIN(",",TRUE,B231:E231))+SUMIFS(SF_Output!$G$1:$G$400,SF_Output!$AC$1:$AC$400,_xlfn.TEXTJOIN(",",TRUE,B231:E231))=0,"","PAP")</f>
        <v/>
      </c>
      <c r="AQ231" s="35"/>
      <c r="AR231" s="35" t="str" cm="1">
        <f t="array" ref="AR231">IFERROR(_xlfn.IFS(AND(E231*1=1,F231="Included"),"Change to Included",AND(E231*1=0,F231="Optional"),"Change to Optional",OR(B231="",F231="replaced"),""),"")</f>
        <v/>
      </c>
      <c r="AS231" s="35" t="str">
        <f t="shared" si="58"/>
        <v/>
      </c>
      <c r="AT231" s="35" t="str">
        <f t="shared" si="59"/>
        <v/>
      </c>
      <c r="AU231" s="35" t="str">
        <f t="shared" si="60"/>
        <v/>
      </c>
      <c r="AV231" s="35" t="str">
        <f t="shared" si="61"/>
        <v/>
      </c>
      <c r="AW231" s="35" t="str">
        <f t="shared" si="62"/>
        <v/>
      </c>
      <c r="AX231" s="35" t="str">
        <f t="shared" si="63"/>
        <v/>
      </c>
      <c r="AY231" s="35" t="str">
        <f t="shared" si="64"/>
        <v/>
      </c>
      <c r="AZ231" s="35" t="str">
        <f t="shared" si="65"/>
        <v/>
      </c>
      <c r="BA231" s="35" t="str">
        <f t="shared" si="66"/>
        <v/>
      </c>
      <c r="BB231" s="35" t="str">
        <f t="shared" si="67"/>
        <v/>
      </c>
      <c r="BC231" s="35"/>
      <c r="BE231" s="35" t="e">
        <f>INDEX(SF_Output!$AA$2:$AA$400,MATCH($B231,SF_Output!$M$2:$M$400,0))</f>
        <v>#N/A</v>
      </c>
      <c r="BF231" s="35" t="e">
        <f>INDEX(SF_Output!$AB$2:$AB$400,MATCH($B231,SF_Output!$M$2:$M$400,0))</f>
        <v>#N/A</v>
      </c>
    </row>
    <row r="232" spans="6:58" x14ac:dyDescent="0.25">
      <c r="F232" s="116" t="str">
        <f t="shared" si="51"/>
        <v/>
      </c>
      <c r="G232" t="str">
        <f>IF(B232="","",INDEX(SF_Output!$K$1:$K$400,MATCH(B232,SF_Output!$M$1:$M$400,0)))</f>
        <v/>
      </c>
      <c r="H232" t="str" cm="1">
        <f t="array" ref="H232">_xlfn.IFS(B232="","",(SUMIFS(SF_Output!$F$1:$F$400,SF_Output!$AC$1:$AC$400,_xlfn.TEXTJOIN(",",TRUE,B232:E232))+SUMIFS(SF_Output!$G$1:$G$400,SF_Output!$AC$1:$AC$400,_xlfn.TEXTJOIN(",",TRUE,B232:E232)))&lt;&gt;0,SF_Output!$Y$2,INDEX(SF_Output!$F$1:$F$400,MATCH(_xlfn.TEXTJOIN(",",TRUE,B232:E232),SF_Output!$AC$1:$AC$400,0))=0,INDEX(SF_Output!$R$1:$R$400,MATCH(_xlfn.TEXTJOIN(",",TRUE,B232:E232),SF_Output!$AC$1:$AC$400,0)))</f>
        <v/>
      </c>
      <c r="I232" s="125" t="str">
        <f>IFERROR(IF(AND(H232&gt;1,H232&lt;&gt;""),ROUND(SUMIFS(SF_Output!$S$1:$S$400,SF_Output!$AC$1:$AC$400,_xlfn.TEXTJOIN(",",TRUE,B232:E232),SF_Output!$Q$1:$Q$400,"monthly")*(1-W232)/H232,4),""),"")</f>
        <v/>
      </c>
      <c r="J232" s="6" t="str">
        <f>IF(B232="","",SUMIFS(SF_Output!$S$1:$S$400,SF_Output!$AC$1:$AC$400,_xlfn.TEXTJOIN(",",TRUE,B232:E232),SF_Output!$Q$1:$Q$400,"One Time",SF_Output!$L$1:$L$400,"license fee")+SUMIFS(SF_Output!$S$1:$S$400,SF_Output!$AC$1:$AC$400,_xlfn.TEXTJOIN(",",TRUE,B232:E232),SF_Output!$Q$1:$Q$400,"One Time",SF_Output!$L$1:$L$400,"software license")+SUMIFS(SF_Output!$S$1:$S$400,SF_Output!$AC$1:$AC$400,_xlfn.TEXTJOIN(",",TRUE,B232:E232),SF_Output!$Q$1:$Q$400,"One Time",SF_Output!$L$1:$L$400,"hardware"))</f>
        <v/>
      </c>
      <c r="K232" s="112" t="str">
        <f>IF(OR(B232=0,B232="",G232="hardware",J232=0),"",IF(AF232&lt;&gt;"exclusion",MAX(K$9,-((SUMIFS(SF_Output!$T$1:$T$400,SF_Output!$AC$1:$AC$400,_xlfn.TEXTJOIN(",",TRUE,$B232:$E232),SF_Output!$Q$1:$Q$400,"One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license"))/J232)))</f>
        <v/>
      </c>
      <c r="L232" s="6" t="str">
        <f t="shared" si="52"/>
        <v/>
      </c>
      <c r="N232" s="6" t="str">
        <f>IF(B232="","",SUMIFS(SF_Output!$S$1:$S$400,SF_Output!$AC$1:$AC$400,_xlfn.TEXTJOIN(",",TRUE,B232:E232),SF_Output!$Q$1:$Q$400,"One Time",SF_Output!$L$1:$L$400,"professional service"))</f>
        <v/>
      </c>
      <c r="O232" s="112" t="str">
        <f>IF(OR(B232=0,B232="",N232=0),"",IF(AF232&lt;&gt;"exclusion",MAX(O$9,-(SUMIFS(SF_Output!$T$1:$T$400,SF_Output!$AC$1:$AC$400,_xlfn.TEXTJOIN(",",TRUE,$B232:$E232),SF_Output!$Q$1:$Q$400,"One Time",SF_Output!$L$1:$L$400,"professional service"))/N232),-((SUMIFS(SF_Output!$T$1:$T$400,SF_Output!$AC$1:$AC$400,_xlfn.TEXTJOIN(",",TRUE,$B232:$E232),SF_Output!$Q$1:$Q$400,"One Time",SF_Output!$L$1:$L$400,"professional service")/N232))))</f>
        <v/>
      </c>
      <c r="P232" s="6" t="str">
        <f t="shared" si="53"/>
        <v/>
      </c>
      <c r="R232" s="6" t="str">
        <f>IF(B232="","",SUMIFS(SF_Output!$S$1:$S$400,SF_Output!$AC$1:$AC$400,_xlfn.TEXTJOIN(",",TRUE,B232:E232),SF_Output!$Q$1:$Q$400,"yearly")+SUMIFS(SF_Output!$S$1:$S$400,SF_Output!$AC$1:$AC$400,_xlfn.TEXTJOIN(",",TRUE,B232:E232),SF_Output!$Q$1:$Q$400,"quarterly")*4)</f>
        <v/>
      </c>
      <c r="S232" s="112" t="str">
        <f>IF(OR(B232=0,B232="",G232="hardware",R232=0),"",IF(AF232&lt;&gt;"exclusion",MAX(S$9,-(SUMIFS(SF_Output!$T$1:$T$400,SF_Output!$AC$1:$AC$400,_xlfn.TEXTJOIN(",",TRUE,$B232:$E232),SF_Output!$Q$1:$Q$400,"yearly"))/R232),-((SUMIFS(SF_Output!$T$1:$T$400,SF_Output!$AC$1:$AC$400,_xlfn.TEXTJOIN(",",TRUE,$B232:$E232),SF_Output!$Q$1:$Q$400,"yearly")/R232))))</f>
        <v/>
      </c>
      <c r="T232" s="6" t="str">
        <f t="shared" si="54"/>
        <v/>
      </c>
      <c r="V232" s="6" t="str" cm="1">
        <f t="array" ref="V232">_xlfn.IFS(B232="","",AND(B232&lt;&gt;"",H232=SF_Output!$Y$2,SUMIFS(SF_Output!$T$1:$T$400,SF_Output!$AC$1:$AC$400,_xlfn.TEXTJOIN(",",TRUE,B232:E232),SF_Output!$Q$1:$Q$400,"monthly")=0),(SUMIFS(SF_Output!$F$1:$F$400,SF_Output!$AC$1:$AC$400,_xlfn.TEXTJOIN(",",TRUE,B232:E232),SF_Output!$Q$1:$Q$400,"monthly")+SUMIFS(SF_Output!$G$1:$G$400,SF_Output!$AC$1:$AC$400,_xlfn.TEXTJOIN(",",TRUE,B232:E232),SF_Output!$Q$1:$Q$400,"monthly"))*H232,AND(B232&lt;&gt;"",H232=SF_Output!$Y$2,SUMIFS(SF_Output!$T$1:$T$400,SF_Output!$AC$1:$AC$400,_xlfn.TEXTJOIN(",",TRUE,B232:E232),SF_Output!$Q$1:$Q$400,"monthly")&lt;&gt;0),SUMIFS(SF_Output!$S$1:$S$400,SF_Output!$AC$1:$AC$400,_xlfn.TEXTJOIN(",",TRUE,B232:E232),SF_Output!$Q$1:$Q$400,"monthly"),AND(B232&lt;&gt;"",H232&lt;&gt;SF_Output!$Y$2),SUMIFS(SF_Output!$S$1:$S$400,SF_Output!$AC$1:$AC$400,_xlfn.TEXTJOIN(",",TRUE,B232:E232),SF_Output!$Q$1:$Q$400,"monthly"))</f>
        <v/>
      </c>
      <c r="W232" s="112" t="str" cm="1">
        <f t="array" ref="W232">_xlfn.IFS(OR(B232=0,B232="",V232=0),"",AF232&lt;&gt;"exclusion",MAX($W$9,$W$7,(-(SUMIFS(SF_Output!$T$1:$T$400,SF_Output!$AC$1:$AC$400,_xlfn.TEXTJOIN(",",TRUE,$B232:$E232),SF_Output!$Q$1:$Q$400,"monthly"))/V232)),AF232="exclusion",-(SUMIFS(SF_Output!$T$1:$T$400,SF_Output!$AC$1:$AC$400,_xlfn.TEXTJOIN(",",TRUE,$B232:$E232),SF_Output!$Q$1:$Q$400,"monthly"))/V232)</f>
        <v/>
      </c>
      <c r="X232" s="6" t="str" cm="1">
        <f t="array" ref="X232">IFERROR(_xlfn.IFS(V232=0,0,V232="","",W232=0,V232,OR(V232&lt;&gt;0,V232&lt;&gt;""),H232*I232),V232*(1-W232))</f>
        <v/>
      </c>
      <c r="Z232" s="6" t="str">
        <f>IFERROR(IF(B232="","",SUMIFS(Billing_Fallout!H:H,Billing_Fallout!N:N,B232)),0)</f>
        <v/>
      </c>
      <c r="AA232" s="6" t="str">
        <f t="shared" si="55"/>
        <v/>
      </c>
      <c r="AB232" s="6" t="str">
        <f>IFERROR(IF(B232="","",SUMIFS(Billing_Fallout!J:J,Billing_Fallout!N:N,B232)),0)</f>
        <v/>
      </c>
      <c r="AD232" s="6" t="str">
        <f t="shared" si="56"/>
        <v/>
      </c>
      <c r="AF232" t="str">
        <f>IFERROR(INDEX(H_Tables!$B$1:$B$1500,MATCH(INDEX(SF_Output!$J$1:$J$400,MATCH(B232,SF_Output!$M$1:$M$400,0)),H_Tables!$A$1:$A$1500,0)),"")</f>
        <v/>
      </c>
      <c r="AI232" s="119" t="str">
        <f t="shared" si="57"/>
        <v/>
      </c>
      <c r="AJ232" s="121">
        <f>IFERROR(INDEX(SF_Output!AD:AD,MATCH(_xlfn.TEXTJOIN(",",TRUE,B232:E232),SF_Output!AC1:AC400,0)),0.05)</f>
        <v>241</v>
      </c>
      <c r="AK232" t="str">
        <f>IF(SUMIFS(SF_Output!$F$1:$F$400,SF_Output!$AC$1:$AC$400,_xlfn.TEXTJOIN(",",TRUE,B232:E232))+SUMIFS(SF_Output!$G$1:$G$400,SF_Output!$AC$1:$AC$400,_xlfn.TEXTJOIN(",",TRUE,B232:E232))=0,"","PAP")</f>
        <v/>
      </c>
      <c r="AQ232" s="35"/>
      <c r="AR232" s="35" t="str" cm="1">
        <f t="array" ref="AR232">IFERROR(_xlfn.IFS(AND(E232*1=1,F232="Included"),"Change to Included",AND(E232*1=0,F232="Optional"),"Change to Optional",OR(B232="",F232="replaced"),""),"")</f>
        <v/>
      </c>
      <c r="AS232" s="35" t="str">
        <f t="shared" si="58"/>
        <v/>
      </c>
      <c r="AT232" s="35" t="str">
        <f t="shared" si="59"/>
        <v/>
      </c>
      <c r="AU232" s="35" t="str">
        <f t="shared" si="60"/>
        <v/>
      </c>
      <c r="AV232" s="35" t="str">
        <f t="shared" si="61"/>
        <v/>
      </c>
      <c r="AW232" s="35" t="str">
        <f t="shared" si="62"/>
        <v/>
      </c>
      <c r="AX232" s="35" t="str">
        <f t="shared" si="63"/>
        <v/>
      </c>
      <c r="AY232" s="35" t="str">
        <f t="shared" si="64"/>
        <v/>
      </c>
      <c r="AZ232" s="35" t="str">
        <f t="shared" si="65"/>
        <v/>
      </c>
      <c r="BA232" s="35" t="str">
        <f t="shared" si="66"/>
        <v/>
      </c>
      <c r="BB232" s="35" t="str">
        <f t="shared" si="67"/>
        <v/>
      </c>
      <c r="BC232" s="35"/>
      <c r="BE232" s="35" t="e">
        <f>INDEX(SF_Output!$AA$2:$AA$400,MATCH($B232,SF_Output!$M$2:$M$400,0))</f>
        <v>#N/A</v>
      </c>
      <c r="BF232" s="35" t="e">
        <f>INDEX(SF_Output!$AB$2:$AB$400,MATCH($B232,SF_Output!$M$2:$M$400,0))</f>
        <v>#N/A</v>
      </c>
    </row>
    <row r="233" spans="6:58" x14ac:dyDescent="0.25">
      <c r="F233" s="116" t="str">
        <f t="shared" si="51"/>
        <v/>
      </c>
      <c r="G233" t="str">
        <f>IF(B233="","",INDEX(SF_Output!$K$1:$K$400,MATCH(B233,SF_Output!$M$1:$M$400,0)))</f>
        <v/>
      </c>
      <c r="H233" t="str" cm="1">
        <f t="array" ref="H233">_xlfn.IFS(B233="","",(SUMIFS(SF_Output!$F$1:$F$400,SF_Output!$AC$1:$AC$400,_xlfn.TEXTJOIN(",",TRUE,B233:E233))+SUMIFS(SF_Output!$G$1:$G$400,SF_Output!$AC$1:$AC$400,_xlfn.TEXTJOIN(",",TRUE,B233:E233)))&lt;&gt;0,SF_Output!$Y$2,INDEX(SF_Output!$F$1:$F$400,MATCH(_xlfn.TEXTJOIN(",",TRUE,B233:E233),SF_Output!$AC$1:$AC$400,0))=0,INDEX(SF_Output!$R$1:$R$400,MATCH(_xlfn.TEXTJOIN(",",TRUE,B233:E233),SF_Output!$AC$1:$AC$400,0)))</f>
        <v/>
      </c>
      <c r="I233" s="125" t="str">
        <f>IFERROR(IF(AND(H233&gt;1,H233&lt;&gt;""),ROUND(SUMIFS(SF_Output!$S$1:$S$400,SF_Output!$AC$1:$AC$400,_xlfn.TEXTJOIN(",",TRUE,B233:E233),SF_Output!$Q$1:$Q$400,"monthly")*(1-W233)/H233,4),""),"")</f>
        <v/>
      </c>
      <c r="J233" s="6" t="str">
        <f>IF(B233="","",SUMIFS(SF_Output!$S$1:$S$400,SF_Output!$AC$1:$AC$400,_xlfn.TEXTJOIN(",",TRUE,B233:E233),SF_Output!$Q$1:$Q$400,"One Time",SF_Output!$L$1:$L$400,"license fee")+SUMIFS(SF_Output!$S$1:$S$400,SF_Output!$AC$1:$AC$400,_xlfn.TEXTJOIN(",",TRUE,B233:E233),SF_Output!$Q$1:$Q$400,"One Time",SF_Output!$L$1:$L$400,"software license")+SUMIFS(SF_Output!$S$1:$S$400,SF_Output!$AC$1:$AC$400,_xlfn.TEXTJOIN(",",TRUE,B233:E233),SF_Output!$Q$1:$Q$400,"One Time",SF_Output!$L$1:$L$400,"hardware"))</f>
        <v/>
      </c>
      <c r="K233" s="112" t="str">
        <f>IF(OR(B233=0,B233="",G233="hardware",J233=0),"",IF(AF233&lt;&gt;"exclusion",MAX(K$9,-((SUMIFS(SF_Output!$T$1:$T$400,SF_Output!$AC$1:$AC$400,_xlfn.TEXTJOIN(",",TRUE,$B233:$E233),SF_Output!$Q$1:$Q$400,"One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license"))/J233)))</f>
        <v/>
      </c>
      <c r="L233" s="6" t="str">
        <f t="shared" si="52"/>
        <v/>
      </c>
      <c r="N233" s="6" t="str">
        <f>IF(B233="","",SUMIFS(SF_Output!$S$1:$S$400,SF_Output!$AC$1:$AC$400,_xlfn.TEXTJOIN(",",TRUE,B233:E233),SF_Output!$Q$1:$Q$400,"One Time",SF_Output!$L$1:$L$400,"professional service"))</f>
        <v/>
      </c>
      <c r="O233" s="112" t="str">
        <f>IF(OR(B233=0,B233="",N233=0),"",IF(AF233&lt;&gt;"exclusion",MAX(O$9,-(SUMIFS(SF_Output!$T$1:$T$400,SF_Output!$AC$1:$AC$400,_xlfn.TEXTJOIN(",",TRUE,$B233:$E233),SF_Output!$Q$1:$Q$400,"One Time",SF_Output!$L$1:$L$400,"professional service"))/N233),-((SUMIFS(SF_Output!$T$1:$T$400,SF_Output!$AC$1:$AC$400,_xlfn.TEXTJOIN(",",TRUE,$B233:$E233),SF_Output!$Q$1:$Q$400,"One Time",SF_Output!$L$1:$L$400,"professional service")/N233))))</f>
        <v/>
      </c>
      <c r="P233" s="6" t="str">
        <f t="shared" si="53"/>
        <v/>
      </c>
      <c r="R233" s="6" t="str">
        <f>IF(B233="","",SUMIFS(SF_Output!$S$1:$S$400,SF_Output!$AC$1:$AC$400,_xlfn.TEXTJOIN(",",TRUE,B233:E233),SF_Output!$Q$1:$Q$400,"yearly")+SUMIFS(SF_Output!$S$1:$S$400,SF_Output!$AC$1:$AC$400,_xlfn.TEXTJOIN(",",TRUE,B233:E233),SF_Output!$Q$1:$Q$400,"quarterly")*4)</f>
        <v/>
      </c>
      <c r="S233" s="112" t="str">
        <f>IF(OR(B233=0,B233="",G233="hardware",R233=0),"",IF(AF233&lt;&gt;"exclusion",MAX(S$9,-(SUMIFS(SF_Output!$T$1:$T$400,SF_Output!$AC$1:$AC$400,_xlfn.TEXTJOIN(",",TRUE,$B233:$E233),SF_Output!$Q$1:$Q$400,"yearly"))/R233),-((SUMIFS(SF_Output!$T$1:$T$400,SF_Output!$AC$1:$AC$400,_xlfn.TEXTJOIN(",",TRUE,$B233:$E233),SF_Output!$Q$1:$Q$400,"yearly")/R233))))</f>
        <v/>
      </c>
      <c r="T233" s="6" t="str">
        <f t="shared" si="54"/>
        <v/>
      </c>
      <c r="V233" s="6" t="str" cm="1">
        <f t="array" ref="V233">_xlfn.IFS(B233="","",AND(B233&lt;&gt;"",H233=SF_Output!$Y$2,SUMIFS(SF_Output!$T$1:$T$400,SF_Output!$AC$1:$AC$400,_xlfn.TEXTJOIN(",",TRUE,B233:E233),SF_Output!$Q$1:$Q$400,"monthly")=0),(SUMIFS(SF_Output!$F$1:$F$400,SF_Output!$AC$1:$AC$400,_xlfn.TEXTJOIN(",",TRUE,B233:E233),SF_Output!$Q$1:$Q$400,"monthly")+SUMIFS(SF_Output!$G$1:$G$400,SF_Output!$AC$1:$AC$400,_xlfn.TEXTJOIN(",",TRUE,B233:E233),SF_Output!$Q$1:$Q$400,"monthly"))*H233,AND(B233&lt;&gt;"",H233=SF_Output!$Y$2,SUMIFS(SF_Output!$T$1:$T$400,SF_Output!$AC$1:$AC$400,_xlfn.TEXTJOIN(",",TRUE,B233:E233),SF_Output!$Q$1:$Q$400,"monthly")&lt;&gt;0),SUMIFS(SF_Output!$S$1:$S$400,SF_Output!$AC$1:$AC$400,_xlfn.TEXTJOIN(",",TRUE,B233:E233),SF_Output!$Q$1:$Q$400,"monthly"),AND(B233&lt;&gt;"",H233&lt;&gt;SF_Output!$Y$2),SUMIFS(SF_Output!$S$1:$S$400,SF_Output!$AC$1:$AC$400,_xlfn.TEXTJOIN(",",TRUE,B233:E233),SF_Output!$Q$1:$Q$400,"monthly"))</f>
        <v/>
      </c>
      <c r="W233" s="112" t="str" cm="1">
        <f t="array" ref="W233">_xlfn.IFS(OR(B233=0,B233="",V233=0),"",AF233&lt;&gt;"exclusion",MAX($W$9,$W$7,(-(SUMIFS(SF_Output!$T$1:$T$400,SF_Output!$AC$1:$AC$400,_xlfn.TEXTJOIN(",",TRUE,$B233:$E233),SF_Output!$Q$1:$Q$400,"monthly"))/V233)),AF233="exclusion",-(SUMIFS(SF_Output!$T$1:$T$400,SF_Output!$AC$1:$AC$400,_xlfn.TEXTJOIN(",",TRUE,$B233:$E233),SF_Output!$Q$1:$Q$400,"monthly"))/V233)</f>
        <v/>
      </c>
      <c r="X233" s="6" t="str" cm="1">
        <f t="array" ref="X233">IFERROR(_xlfn.IFS(V233=0,0,V233="","",W233=0,V233,OR(V233&lt;&gt;0,V233&lt;&gt;""),H233*I233),V233*(1-W233))</f>
        <v/>
      </c>
      <c r="Z233" s="6" t="str">
        <f>IFERROR(IF(B233="","",SUMIFS(Billing_Fallout!H:H,Billing_Fallout!N:N,B233)),0)</f>
        <v/>
      </c>
      <c r="AA233" s="6" t="str">
        <f t="shared" si="55"/>
        <v/>
      </c>
      <c r="AB233" s="6" t="str">
        <f>IFERROR(IF(B233="","",SUMIFS(Billing_Fallout!J:J,Billing_Fallout!N:N,B233)),0)</f>
        <v/>
      </c>
      <c r="AD233" s="6" t="str">
        <f t="shared" si="56"/>
        <v/>
      </c>
      <c r="AF233" t="str">
        <f>IFERROR(INDEX(H_Tables!$B$1:$B$1500,MATCH(INDEX(SF_Output!$J$1:$J$400,MATCH(B233,SF_Output!$M$1:$M$400,0)),H_Tables!$A$1:$A$1500,0)),"")</f>
        <v/>
      </c>
      <c r="AI233" s="119" t="str">
        <f t="shared" si="57"/>
        <v/>
      </c>
      <c r="AJ233" s="121">
        <f>IFERROR(INDEX(SF_Output!AD:AD,MATCH(_xlfn.TEXTJOIN(",",TRUE,B233:E233),SF_Output!AC1:AC400,0)),0.05)</f>
        <v>241</v>
      </c>
      <c r="AK233" t="str">
        <f>IF(SUMIFS(SF_Output!$F$1:$F$400,SF_Output!$AC$1:$AC$400,_xlfn.TEXTJOIN(",",TRUE,B233:E233))+SUMIFS(SF_Output!$G$1:$G$400,SF_Output!$AC$1:$AC$400,_xlfn.TEXTJOIN(",",TRUE,B233:E233))=0,"","PAP")</f>
        <v/>
      </c>
      <c r="AQ233" s="35"/>
      <c r="AR233" s="35" t="str" cm="1">
        <f t="array" ref="AR233">IFERROR(_xlfn.IFS(AND(E233*1=1,F233="Included"),"Change to Included",AND(E233*1=0,F233="Optional"),"Change to Optional",OR(B233="",F233="replaced"),""),"")</f>
        <v/>
      </c>
      <c r="AS233" s="35" t="str">
        <f t="shared" si="58"/>
        <v/>
      </c>
      <c r="AT233" s="35" t="str">
        <f t="shared" si="59"/>
        <v/>
      </c>
      <c r="AU233" s="35" t="str">
        <f t="shared" si="60"/>
        <v/>
      </c>
      <c r="AV233" s="35" t="str">
        <f t="shared" si="61"/>
        <v/>
      </c>
      <c r="AW233" s="35" t="str">
        <f t="shared" si="62"/>
        <v/>
      </c>
      <c r="AX233" s="35" t="str">
        <f t="shared" si="63"/>
        <v/>
      </c>
      <c r="AY233" s="35" t="str">
        <f t="shared" si="64"/>
        <v/>
      </c>
      <c r="AZ233" s="35" t="str">
        <f t="shared" si="65"/>
        <v/>
      </c>
      <c r="BA233" s="35" t="str">
        <f t="shared" si="66"/>
        <v/>
      </c>
      <c r="BB233" s="35" t="str">
        <f t="shared" si="67"/>
        <v/>
      </c>
      <c r="BC233" s="35"/>
      <c r="BE233" s="35" t="e">
        <f>INDEX(SF_Output!$AA$2:$AA$400,MATCH($B233,SF_Output!$M$2:$M$400,0))</f>
        <v>#N/A</v>
      </c>
      <c r="BF233" s="35" t="e">
        <f>INDEX(SF_Output!$AB$2:$AB$400,MATCH($B233,SF_Output!$M$2:$M$400,0))</f>
        <v>#N/A</v>
      </c>
    </row>
    <row r="234" spans="6:58" x14ac:dyDescent="0.25">
      <c r="F234" s="116" t="str">
        <f t="shared" si="51"/>
        <v/>
      </c>
      <c r="G234" t="str">
        <f>IF(B234="","",INDEX(SF_Output!$K$1:$K$400,MATCH(B234,SF_Output!$M$1:$M$400,0)))</f>
        <v/>
      </c>
      <c r="H234" t="str" cm="1">
        <f t="array" ref="H234">_xlfn.IFS(B234="","",(SUMIFS(SF_Output!$F$1:$F$400,SF_Output!$AC$1:$AC$400,_xlfn.TEXTJOIN(",",TRUE,B234:E234))+SUMIFS(SF_Output!$G$1:$G$400,SF_Output!$AC$1:$AC$400,_xlfn.TEXTJOIN(",",TRUE,B234:E234)))&lt;&gt;0,SF_Output!$Y$2,INDEX(SF_Output!$F$1:$F$400,MATCH(_xlfn.TEXTJOIN(",",TRUE,B234:E234),SF_Output!$AC$1:$AC$400,0))=0,INDEX(SF_Output!$R$1:$R$400,MATCH(_xlfn.TEXTJOIN(",",TRUE,B234:E234),SF_Output!$AC$1:$AC$400,0)))</f>
        <v/>
      </c>
      <c r="I234" s="125" t="str">
        <f>IFERROR(IF(AND(H234&gt;1,H234&lt;&gt;""),ROUND(SUMIFS(SF_Output!$S$1:$S$400,SF_Output!$AC$1:$AC$400,_xlfn.TEXTJOIN(",",TRUE,B234:E234),SF_Output!$Q$1:$Q$400,"monthly")*(1-W234)/H234,4),""),"")</f>
        <v/>
      </c>
      <c r="J234" s="6" t="str">
        <f>IF(B234="","",SUMIFS(SF_Output!$S$1:$S$400,SF_Output!$AC$1:$AC$400,_xlfn.TEXTJOIN(",",TRUE,B234:E234),SF_Output!$Q$1:$Q$400,"One Time",SF_Output!$L$1:$L$400,"license fee")+SUMIFS(SF_Output!$S$1:$S$400,SF_Output!$AC$1:$AC$400,_xlfn.TEXTJOIN(",",TRUE,B234:E234),SF_Output!$Q$1:$Q$400,"One Time",SF_Output!$L$1:$L$400,"software license")+SUMIFS(SF_Output!$S$1:$S$400,SF_Output!$AC$1:$AC$400,_xlfn.TEXTJOIN(",",TRUE,B234:E234),SF_Output!$Q$1:$Q$400,"One Time",SF_Output!$L$1:$L$400,"hardware"))</f>
        <v/>
      </c>
      <c r="K234" s="112" t="str">
        <f>IF(OR(B234=0,B234="",G234="hardware",J234=0),"",IF(AF234&lt;&gt;"exclusion",MAX(K$9,-((SUMIFS(SF_Output!$T$1:$T$400,SF_Output!$AC$1:$AC$400,_xlfn.TEXTJOIN(",",TRUE,$B234:$E234),SF_Output!$Q$1:$Q$400,"One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license"))/J234)))</f>
        <v/>
      </c>
      <c r="L234" s="6" t="str">
        <f t="shared" si="52"/>
        <v/>
      </c>
      <c r="N234" s="6" t="str">
        <f>IF(B234="","",SUMIFS(SF_Output!$S$1:$S$400,SF_Output!$AC$1:$AC$400,_xlfn.TEXTJOIN(",",TRUE,B234:E234),SF_Output!$Q$1:$Q$400,"One Time",SF_Output!$L$1:$L$400,"professional service"))</f>
        <v/>
      </c>
      <c r="O234" s="112" t="str">
        <f>IF(OR(B234=0,B234="",N234=0),"",IF(AF234&lt;&gt;"exclusion",MAX(O$9,-(SUMIFS(SF_Output!$T$1:$T$400,SF_Output!$AC$1:$AC$400,_xlfn.TEXTJOIN(",",TRUE,$B234:$E234),SF_Output!$Q$1:$Q$400,"One Time",SF_Output!$L$1:$L$400,"professional service"))/N234),-((SUMIFS(SF_Output!$T$1:$T$400,SF_Output!$AC$1:$AC$400,_xlfn.TEXTJOIN(",",TRUE,$B234:$E234),SF_Output!$Q$1:$Q$400,"One Time",SF_Output!$L$1:$L$400,"professional service")/N234))))</f>
        <v/>
      </c>
      <c r="P234" s="6" t="str">
        <f t="shared" si="53"/>
        <v/>
      </c>
      <c r="R234" s="6" t="str">
        <f>IF(B234="","",SUMIFS(SF_Output!$S$1:$S$400,SF_Output!$AC$1:$AC$400,_xlfn.TEXTJOIN(",",TRUE,B234:E234),SF_Output!$Q$1:$Q$400,"yearly")+SUMIFS(SF_Output!$S$1:$S$400,SF_Output!$AC$1:$AC$400,_xlfn.TEXTJOIN(",",TRUE,B234:E234),SF_Output!$Q$1:$Q$400,"quarterly")*4)</f>
        <v/>
      </c>
      <c r="S234" s="112" t="str">
        <f>IF(OR(B234=0,B234="",G234="hardware",R234=0),"",IF(AF234&lt;&gt;"exclusion",MAX(S$9,-(SUMIFS(SF_Output!$T$1:$T$400,SF_Output!$AC$1:$AC$400,_xlfn.TEXTJOIN(",",TRUE,$B234:$E234),SF_Output!$Q$1:$Q$400,"yearly"))/R234),-((SUMIFS(SF_Output!$T$1:$T$400,SF_Output!$AC$1:$AC$400,_xlfn.TEXTJOIN(",",TRUE,$B234:$E234),SF_Output!$Q$1:$Q$400,"yearly")/R234))))</f>
        <v/>
      </c>
      <c r="T234" s="6" t="str">
        <f t="shared" si="54"/>
        <v/>
      </c>
      <c r="V234" s="6" t="str" cm="1">
        <f t="array" ref="V234">_xlfn.IFS(B234="","",AND(B234&lt;&gt;"",H234=SF_Output!$Y$2,SUMIFS(SF_Output!$T$1:$T$400,SF_Output!$AC$1:$AC$400,_xlfn.TEXTJOIN(",",TRUE,B234:E234),SF_Output!$Q$1:$Q$400,"monthly")=0),(SUMIFS(SF_Output!$F$1:$F$400,SF_Output!$AC$1:$AC$400,_xlfn.TEXTJOIN(",",TRUE,B234:E234),SF_Output!$Q$1:$Q$400,"monthly")+SUMIFS(SF_Output!$G$1:$G$400,SF_Output!$AC$1:$AC$400,_xlfn.TEXTJOIN(",",TRUE,B234:E234),SF_Output!$Q$1:$Q$400,"monthly"))*H234,AND(B234&lt;&gt;"",H234=SF_Output!$Y$2,SUMIFS(SF_Output!$T$1:$T$400,SF_Output!$AC$1:$AC$400,_xlfn.TEXTJOIN(",",TRUE,B234:E234),SF_Output!$Q$1:$Q$400,"monthly")&lt;&gt;0),SUMIFS(SF_Output!$S$1:$S$400,SF_Output!$AC$1:$AC$400,_xlfn.TEXTJOIN(",",TRUE,B234:E234),SF_Output!$Q$1:$Q$400,"monthly"),AND(B234&lt;&gt;"",H234&lt;&gt;SF_Output!$Y$2),SUMIFS(SF_Output!$S$1:$S$400,SF_Output!$AC$1:$AC$400,_xlfn.TEXTJOIN(",",TRUE,B234:E234),SF_Output!$Q$1:$Q$400,"monthly"))</f>
        <v/>
      </c>
      <c r="W234" s="112" t="str" cm="1">
        <f t="array" ref="W234">_xlfn.IFS(OR(B234=0,B234="",V234=0),"",AF234&lt;&gt;"exclusion",MAX($W$9,$W$7,(-(SUMIFS(SF_Output!$T$1:$T$400,SF_Output!$AC$1:$AC$400,_xlfn.TEXTJOIN(",",TRUE,$B234:$E234),SF_Output!$Q$1:$Q$400,"monthly"))/V234)),AF234="exclusion",-(SUMIFS(SF_Output!$T$1:$T$400,SF_Output!$AC$1:$AC$400,_xlfn.TEXTJOIN(",",TRUE,$B234:$E234),SF_Output!$Q$1:$Q$400,"monthly"))/V234)</f>
        <v/>
      </c>
      <c r="X234" s="6" t="str" cm="1">
        <f t="array" ref="X234">IFERROR(_xlfn.IFS(V234=0,0,V234="","",W234=0,V234,OR(V234&lt;&gt;0,V234&lt;&gt;""),H234*I234),V234*(1-W234))</f>
        <v/>
      </c>
      <c r="Z234" s="6" t="str">
        <f>IFERROR(IF(B234="","",SUMIFS(Billing_Fallout!H:H,Billing_Fallout!N:N,B234)),0)</f>
        <v/>
      </c>
      <c r="AA234" s="6" t="str">
        <f t="shared" si="55"/>
        <v/>
      </c>
      <c r="AB234" s="6" t="str">
        <f>IFERROR(IF(B234="","",SUMIFS(Billing_Fallout!J:J,Billing_Fallout!N:N,B234)),0)</f>
        <v/>
      </c>
      <c r="AD234" s="6" t="str">
        <f t="shared" si="56"/>
        <v/>
      </c>
      <c r="AF234" t="str">
        <f>IFERROR(INDEX(H_Tables!$B$1:$B$1500,MATCH(INDEX(SF_Output!$J$1:$J$400,MATCH(B234,SF_Output!$M$1:$M$400,0)),H_Tables!$A$1:$A$1500,0)),"")</f>
        <v/>
      </c>
      <c r="AI234" s="119" t="str">
        <f t="shared" si="57"/>
        <v/>
      </c>
      <c r="AJ234" s="121">
        <f>IFERROR(INDEX(SF_Output!AD:AD,MATCH(_xlfn.TEXTJOIN(",",TRUE,B234:E234),SF_Output!AC1:AC400,0)),0.05)</f>
        <v>241</v>
      </c>
      <c r="AK234" t="str">
        <f>IF(SUMIFS(SF_Output!$F$1:$F$400,SF_Output!$AC$1:$AC$400,_xlfn.TEXTJOIN(",",TRUE,B234:E234))+SUMIFS(SF_Output!$G$1:$G$400,SF_Output!$AC$1:$AC$400,_xlfn.TEXTJOIN(",",TRUE,B234:E234))=0,"","PAP")</f>
        <v/>
      </c>
      <c r="AQ234" s="35"/>
      <c r="AR234" s="35" t="str" cm="1">
        <f t="array" ref="AR234">IFERROR(_xlfn.IFS(AND(E234*1=1,F234="Included"),"Change to Included",AND(E234*1=0,F234="Optional"),"Change to Optional",OR(B234="",F234="replaced"),""),"")</f>
        <v/>
      </c>
      <c r="AS234" s="35" t="str">
        <f t="shared" si="58"/>
        <v/>
      </c>
      <c r="AT234" s="35" t="str">
        <f t="shared" si="59"/>
        <v/>
      </c>
      <c r="AU234" s="35" t="str">
        <f t="shared" si="60"/>
        <v/>
      </c>
      <c r="AV234" s="35" t="str">
        <f t="shared" si="61"/>
        <v/>
      </c>
      <c r="AW234" s="35" t="str">
        <f t="shared" si="62"/>
        <v/>
      </c>
      <c r="AX234" s="35" t="str">
        <f t="shared" si="63"/>
        <v/>
      </c>
      <c r="AY234" s="35" t="str">
        <f t="shared" si="64"/>
        <v/>
      </c>
      <c r="AZ234" s="35" t="str">
        <f t="shared" si="65"/>
        <v/>
      </c>
      <c r="BA234" s="35" t="str">
        <f t="shared" si="66"/>
        <v/>
      </c>
      <c r="BB234" s="35" t="str">
        <f t="shared" si="67"/>
        <v/>
      </c>
      <c r="BC234" s="35"/>
      <c r="BE234" s="35" t="e">
        <f>INDEX(SF_Output!$AA$2:$AA$400,MATCH($B234,SF_Output!$M$2:$M$400,0))</f>
        <v>#N/A</v>
      </c>
      <c r="BF234" s="35" t="e">
        <f>INDEX(SF_Output!$AB$2:$AB$400,MATCH($B234,SF_Output!$M$2:$M$400,0))</f>
        <v>#N/A</v>
      </c>
    </row>
    <row r="235" spans="6:58" x14ac:dyDescent="0.25">
      <c r="F235" s="116" t="str">
        <f t="shared" si="51"/>
        <v/>
      </c>
      <c r="G235" t="str">
        <f>IF(B235="","",INDEX(SF_Output!$K$1:$K$400,MATCH(B235,SF_Output!$M$1:$M$400,0)))</f>
        <v/>
      </c>
      <c r="H235" t="str" cm="1">
        <f t="array" ref="H235">_xlfn.IFS(B235="","",(SUMIFS(SF_Output!$F$1:$F$400,SF_Output!$AC$1:$AC$400,_xlfn.TEXTJOIN(",",TRUE,B235:E235))+SUMIFS(SF_Output!$G$1:$G$400,SF_Output!$AC$1:$AC$400,_xlfn.TEXTJOIN(",",TRUE,B235:E235)))&lt;&gt;0,SF_Output!$Y$2,INDEX(SF_Output!$F$1:$F$400,MATCH(_xlfn.TEXTJOIN(",",TRUE,B235:E235),SF_Output!$AC$1:$AC$400,0))=0,INDEX(SF_Output!$R$1:$R$400,MATCH(_xlfn.TEXTJOIN(",",TRUE,B235:E235),SF_Output!$AC$1:$AC$400,0)))</f>
        <v/>
      </c>
      <c r="I235" s="125" t="str">
        <f>IFERROR(IF(AND(H235&gt;1,H235&lt;&gt;""),ROUND(SUMIFS(SF_Output!$S$1:$S$400,SF_Output!$AC$1:$AC$400,_xlfn.TEXTJOIN(",",TRUE,B235:E235),SF_Output!$Q$1:$Q$400,"monthly")*(1-W235)/H235,4),""),"")</f>
        <v/>
      </c>
      <c r="J235" s="6" t="str">
        <f>IF(B235="","",SUMIFS(SF_Output!$S$1:$S$400,SF_Output!$AC$1:$AC$400,_xlfn.TEXTJOIN(",",TRUE,B235:E235),SF_Output!$Q$1:$Q$400,"One Time",SF_Output!$L$1:$L$400,"license fee")+SUMIFS(SF_Output!$S$1:$S$400,SF_Output!$AC$1:$AC$400,_xlfn.TEXTJOIN(",",TRUE,B235:E235),SF_Output!$Q$1:$Q$400,"One Time",SF_Output!$L$1:$L$400,"software license")+SUMIFS(SF_Output!$S$1:$S$400,SF_Output!$AC$1:$AC$400,_xlfn.TEXTJOIN(",",TRUE,B235:E235),SF_Output!$Q$1:$Q$400,"One Time",SF_Output!$L$1:$L$400,"hardware"))</f>
        <v/>
      </c>
      <c r="K235" s="112" t="str">
        <f>IF(OR(B235=0,B235="",G235="hardware",J235=0),"",IF(AF235&lt;&gt;"exclusion",MAX(K$9,-((SUMIFS(SF_Output!$T$1:$T$400,SF_Output!$AC$1:$AC$400,_xlfn.TEXTJOIN(",",TRUE,$B235:$E235),SF_Output!$Q$1:$Q$400,"One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license"))/J235)))</f>
        <v/>
      </c>
      <c r="L235" s="6" t="str">
        <f t="shared" si="52"/>
        <v/>
      </c>
      <c r="N235" s="6" t="str">
        <f>IF(B235="","",SUMIFS(SF_Output!$S$1:$S$400,SF_Output!$AC$1:$AC$400,_xlfn.TEXTJOIN(",",TRUE,B235:E235),SF_Output!$Q$1:$Q$400,"One Time",SF_Output!$L$1:$L$400,"professional service"))</f>
        <v/>
      </c>
      <c r="O235" s="112" t="str">
        <f>IF(OR(B235=0,B235="",N235=0),"",IF(AF235&lt;&gt;"exclusion",MAX(O$9,-(SUMIFS(SF_Output!$T$1:$T$400,SF_Output!$AC$1:$AC$400,_xlfn.TEXTJOIN(",",TRUE,$B235:$E235),SF_Output!$Q$1:$Q$400,"One Time",SF_Output!$L$1:$L$400,"professional service"))/N235),-((SUMIFS(SF_Output!$T$1:$T$400,SF_Output!$AC$1:$AC$400,_xlfn.TEXTJOIN(",",TRUE,$B235:$E235),SF_Output!$Q$1:$Q$400,"One Time",SF_Output!$L$1:$L$400,"professional service")/N235))))</f>
        <v/>
      </c>
      <c r="P235" s="6" t="str">
        <f t="shared" si="53"/>
        <v/>
      </c>
      <c r="R235" s="6" t="str">
        <f>IF(B235="","",SUMIFS(SF_Output!$S$1:$S$400,SF_Output!$AC$1:$AC$400,_xlfn.TEXTJOIN(",",TRUE,B235:E235),SF_Output!$Q$1:$Q$400,"yearly")+SUMIFS(SF_Output!$S$1:$S$400,SF_Output!$AC$1:$AC$400,_xlfn.TEXTJOIN(",",TRUE,B235:E235),SF_Output!$Q$1:$Q$400,"quarterly")*4)</f>
        <v/>
      </c>
      <c r="S235" s="112" t="str">
        <f>IF(OR(B235=0,B235="",G235="hardware",R235=0),"",IF(AF235&lt;&gt;"exclusion",MAX(S$9,-(SUMIFS(SF_Output!$T$1:$T$400,SF_Output!$AC$1:$AC$400,_xlfn.TEXTJOIN(",",TRUE,$B235:$E235),SF_Output!$Q$1:$Q$400,"yearly"))/R235),-((SUMIFS(SF_Output!$T$1:$T$400,SF_Output!$AC$1:$AC$400,_xlfn.TEXTJOIN(",",TRUE,$B235:$E235),SF_Output!$Q$1:$Q$400,"yearly")/R235))))</f>
        <v/>
      </c>
      <c r="T235" s="6" t="str">
        <f t="shared" si="54"/>
        <v/>
      </c>
      <c r="V235" s="6" t="str" cm="1">
        <f t="array" ref="V235">_xlfn.IFS(B235="","",AND(B235&lt;&gt;"",H235=SF_Output!$Y$2,SUMIFS(SF_Output!$T$1:$T$400,SF_Output!$AC$1:$AC$400,_xlfn.TEXTJOIN(",",TRUE,B235:E235),SF_Output!$Q$1:$Q$400,"monthly")=0),(SUMIFS(SF_Output!$F$1:$F$400,SF_Output!$AC$1:$AC$400,_xlfn.TEXTJOIN(",",TRUE,B235:E235),SF_Output!$Q$1:$Q$400,"monthly")+SUMIFS(SF_Output!$G$1:$G$400,SF_Output!$AC$1:$AC$400,_xlfn.TEXTJOIN(",",TRUE,B235:E235),SF_Output!$Q$1:$Q$400,"monthly"))*H235,AND(B235&lt;&gt;"",H235=SF_Output!$Y$2,SUMIFS(SF_Output!$T$1:$T$400,SF_Output!$AC$1:$AC$400,_xlfn.TEXTJOIN(",",TRUE,B235:E235),SF_Output!$Q$1:$Q$400,"monthly")&lt;&gt;0),SUMIFS(SF_Output!$S$1:$S$400,SF_Output!$AC$1:$AC$400,_xlfn.TEXTJOIN(",",TRUE,B235:E235),SF_Output!$Q$1:$Q$400,"monthly"),AND(B235&lt;&gt;"",H235&lt;&gt;SF_Output!$Y$2),SUMIFS(SF_Output!$S$1:$S$400,SF_Output!$AC$1:$AC$400,_xlfn.TEXTJOIN(",",TRUE,B235:E235),SF_Output!$Q$1:$Q$400,"monthly"))</f>
        <v/>
      </c>
      <c r="W235" s="112" t="str" cm="1">
        <f t="array" ref="W235">_xlfn.IFS(OR(B235=0,B235="",V235=0),"",AF235&lt;&gt;"exclusion",MAX($W$9,$W$7,(-(SUMIFS(SF_Output!$T$1:$T$400,SF_Output!$AC$1:$AC$400,_xlfn.TEXTJOIN(",",TRUE,$B235:$E235),SF_Output!$Q$1:$Q$400,"monthly"))/V235)),AF235="exclusion",-(SUMIFS(SF_Output!$T$1:$T$400,SF_Output!$AC$1:$AC$400,_xlfn.TEXTJOIN(",",TRUE,$B235:$E235),SF_Output!$Q$1:$Q$400,"monthly"))/V235)</f>
        <v/>
      </c>
      <c r="X235" s="6" t="str" cm="1">
        <f t="array" ref="X235">IFERROR(_xlfn.IFS(V235=0,0,V235="","",W235=0,V235,OR(V235&lt;&gt;0,V235&lt;&gt;""),H235*I235),V235*(1-W235))</f>
        <v/>
      </c>
      <c r="Z235" s="6" t="str">
        <f>IFERROR(IF(B235="","",SUMIFS(Billing_Fallout!H:H,Billing_Fallout!N:N,B235)),0)</f>
        <v/>
      </c>
      <c r="AA235" s="6" t="str">
        <f t="shared" si="55"/>
        <v/>
      </c>
      <c r="AB235" s="6" t="str">
        <f>IFERROR(IF(B235="","",SUMIFS(Billing_Fallout!J:J,Billing_Fallout!N:N,B235)),0)</f>
        <v/>
      </c>
      <c r="AD235" s="6" t="str">
        <f t="shared" si="56"/>
        <v/>
      </c>
      <c r="AF235" t="str">
        <f>IFERROR(INDEX(H_Tables!$B$1:$B$1500,MATCH(INDEX(SF_Output!$J$1:$J$400,MATCH(B235,SF_Output!$M$1:$M$400,0)),H_Tables!$A$1:$A$1500,0)),"")</f>
        <v/>
      </c>
      <c r="AI235" s="119" t="str">
        <f t="shared" si="57"/>
        <v/>
      </c>
      <c r="AJ235" s="121">
        <f>IFERROR(INDEX(SF_Output!AD:AD,MATCH(_xlfn.TEXTJOIN(",",TRUE,B235:E235),SF_Output!AC1:AC400,0)),0.05)</f>
        <v>241</v>
      </c>
      <c r="AK235" t="str">
        <f>IF(SUMIFS(SF_Output!$F$1:$F$400,SF_Output!$AC$1:$AC$400,_xlfn.TEXTJOIN(",",TRUE,B235:E235))+SUMIFS(SF_Output!$G$1:$G$400,SF_Output!$AC$1:$AC$400,_xlfn.TEXTJOIN(",",TRUE,B235:E235))=0,"","PAP")</f>
        <v/>
      </c>
      <c r="AQ235" s="35"/>
      <c r="AR235" s="35" t="str" cm="1">
        <f t="array" ref="AR235">IFERROR(_xlfn.IFS(AND(E235*1=1,F235="Included"),"Change to Included",AND(E235*1=0,F235="Optional"),"Change to Optional",OR(B235="",F235="replaced"),""),"")</f>
        <v/>
      </c>
      <c r="AS235" s="35" t="str">
        <f t="shared" si="58"/>
        <v/>
      </c>
      <c r="AT235" s="35" t="str">
        <f t="shared" si="59"/>
        <v/>
      </c>
      <c r="AU235" s="35" t="str">
        <f t="shared" si="60"/>
        <v/>
      </c>
      <c r="AV235" s="35" t="str">
        <f t="shared" si="61"/>
        <v/>
      </c>
      <c r="AW235" s="35" t="str">
        <f t="shared" si="62"/>
        <v/>
      </c>
      <c r="AX235" s="35" t="str">
        <f t="shared" si="63"/>
        <v/>
      </c>
      <c r="AY235" s="35" t="str">
        <f t="shared" si="64"/>
        <v/>
      </c>
      <c r="AZ235" s="35" t="str">
        <f t="shared" si="65"/>
        <v/>
      </c>
      <c r="BA235" s="35" t="str">
        <f t="shared" si="66"/>
        <v/>
      </c>
      <c r="BB235" s="35" t="str">
        <f t="shared" si="67"/>
        <v/>
      </c>
      <c r="BC235" s="35"/>
      <c r="BE235" s="35" t="e">
        <f>INDEX(SF_Output!$AA$2:$AA$400,MATCH($B235,SF_Output!$M$2:$M$400,0))</f>
        <v>#N/A</v>
      </c>
      <c r="BF235" s="35" t="e">
        <f>INDEX(SF_Output!$AB$2:$AB$400,MATCH($B235,SF_Output!$M$2:$M$400,0))</f>
        <v>#N/A</v>
      </c>
    </row>
    <row r="236" spans="6:58" x14ac:dyDescent="0.25">
      <c r="F236" s="116" t="str">
        <f t="shared" si="51"/>
        <v/>
      </c>
      <c r="G236" t="str">
        <f>IF(B236="","",INDEX(SF_Output!$K$1:$K$400,MATCH(B236,SF_Output!$M$1:$M$400,0)))</f>
        <v/>
      </c>
      <c r="H236" t="str" cm="1">
        <f t="array" ref="H236">_xlfn.IFS(B236="","",(SUMIFS(SF_Output!$F$1:$F$400,SF_Output!$AC$1:$AC$400,_xlfn.TEXTJOIN(",",TRUE,B236:E236))+SUMIFS(SF_Output!$G$1:$G$400,SF_Output!$AC$1:$AC$400,_xlfn.TEXTJOIN(",",TRUE,B236:E236)))&lt;&gt;0,SF_Output!$Y$2,INDEX(SF_Output!$F$1:$F$400,MATCH(_xlfn.TEXTJOIN(",",TRUE,B236:E236),SF_Output!$AC$1:$AC$400,0))=0,INDEX(SF_Output!$R$1:$R$400,MATCH(_xlfn.TEXTJOIN(",",TRUE,B236:E236),SF_Output!$AC$1:$AC$400,0)))</f>
        <v/>
      </c>
      <c r="I236" s="125" t="str">
        <f>IFERROR(IF(AND(H236&gt;1,H236&lt;&gt;""),ROUND(SUMIFS(SF_Output!$S$1:$S$400,SF_Output!$AC$1:$AC$400,_xlfn.TEXTJOIN(",",TRUE,B236:E236),SF_Output!$Q$1:$Q$400,"monthly")*(1-W236)/H236,4),""),"")</f>
        <v/>
      </c>
      <c r="J236" s="6" t="str">
        <f>IF(B236="","",SUMIFS(SF_Output!$S$1:$S$400,SF_Output!$AC$1:$AC$400,_xlfn.TEXTJOIN(",",TRUE,B236:E236),SF_Output!$Q$1:$Q$400,"One Time",SF_Output!$L$1:$L$400,"license fee")+SUMIFS(SF_Output!$S$1:$S$400,SF_Output!$AC$1:$AC$400,_xlfn.TEXTJOIN(",",TRUE,B236:E236),SF_Output!$Q$1:$Q$400,"One Time",SF_Output!$L$1:$L$400,"software license")+SUMIFS(SF_Output!$S$1:$S$400,SF_Output!$AC$1:$AC$400,_xlfn.TEXTJOIN(",",TRUE,B236:E236),SF_Output!$Q$1:$Q$400,"One Time",SF_Output!$L$1:$L$400,"hardware"))</f>
        <v/>
      </c>
      <c r="K236" s="112" t="str">
        <f>IF(OR(B236=0,B236="",G236="hardware",J236=0),"",IF(AF236&lt;&gt;"exclusion",MAX(K$9,-((SUMIFS(SF_Output!$T$1:$T$400,SF_Output!$AC$1:$AC$400,_xlfn.TEXTJOIN(",",TRUE,$B236:$E236),SF_Output!$Q$1:$Q$400,"One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license"))/J236)))</f>
        <v/>
      </c>
      <c r="L236" s="6" t="str">
        <f t="shared" si="52"/>
        <v/>
      </c>
      <c r="N236" s="6" t="str">
        <f>IF(B236="","",SUMIFS(SF_Output!$S$1:$S$400,SF_Output!$AC$1:$AC$400,_xlfn.TEXTJOIN(",",TRUE,B236:E236),SF_Output!$Q$1:$Q$400,"One Time",SF_Output!$L$1:$L$400,"professional service"))</f>
        <v/>
      </c>
      <c r="O236" s="112" t="str">
        <f>IF(OR(B236=0,B236="",N236=0),"",IF(AF236&lt;&gt;"exclusion",MAX(O$9,-(SUMIFS(SF_Output!$T$1:$T$400,SF_Output!$AC$1:$AC$400,_xlfn.TEXTJOIN(",",TRUE,$B236:$E236),SF_Output!$Q$1:$Q$400,"One Time",SF_Output!$L$1:$L$400,"professional service"))/N236),-((SUMIFS(SF_Output!$T$1:$T$400,SF_Output!$AC$1:$AC$400,_xlfn.TEXTJOIN(",",TRUE,$B236:$E236),SF_Output!$Q$1:$Q$400,"One Time",SF_Output!$L$1:$L$400,"professional service")/N236))))</f>
        <v/>
      </c>
      <c r="P236" s="6" t="str">
        <f t="shared" si="53"/>
        <v/>
      </c>
      <c r="R236" s="6" t="str">
        <f>IF(B236="","",SUMIFS(SF_Output!$S$1:$S$400,SF_Output!$AC$1:$AC$400,_xlfn.TEXTJOIN(",",TRUE,B236:E236),SF_Output!$Q$1:$Q$400,"yearly")+SUMIFS(SF_Output!$S$1:$S$400,SF_Output!$AC$1:$AC$400,_xlfn.TEXTJOIN(",",TRUE,B236:E236),SF_Output!$Q$1:$Q$400,"quarterly")*4)</f>
        <v/>
      </c>
      <c r="S236" s="112" t="str">
        <f>IF(OR(B236=0,B236="",G236="hardware",R236=0),"",IF(AF236&lt;&gt;"exclusion",MAX(S$9,-(SUMIFS(SF_Output!$T$1:$T$400,SF_Output!$AC$1:$AC$400,_xlfn.TEXTJOIN(",",TRUE,$B236:$E236),SF_Output!$Q$1:$Q$400,"yearly"))/R236),-((SUMIFS(SF_Output!$T$1:$T$400,SF_Output!$AC$1:$AC$400,_xlfn.TEXTJOIN(",",TRUE,$B236:$E236),SF_Output!$Q$1:$Q$400,"yearly")/R236))))</f>
        <v/>
      </c>
      <c r="T236" s="6" t="str">
        <f t="shared" si="54"/>
        <v/>
      </c>
      <c r="V236" s="6" t="str" cm="1">
        <f t="array" ref="V236">_xlfn.IFS(B236="","",AND(B236&lt;&gt;"",H236=SF_Output!$Y$2,SUMIFS(SF_Output!$T$1:$T$400,SF_Output!$AC$1:$AC$400,_xlfn.TEXTJOIN(",",TRUE,B236:E236),SF_Output!$Q$1:$Q$400,"monthly")=0),(SUMIFS(SF_Output!$F$1:$F$400,SF_Output!$AC$1:$AC$400,_xlfn.TEXTJOIN(",",TRUE,B236:E236),SF_Output!$Q$1:$Q$400,"monthly")+SUMIFS(SF_Output!$G$1:$G$400,SF_Output!$AC$1:$AC$400,_xlfn.TEXTJOIN(",",TRUE,B236:E236),SF_Output!$Q$1:$Q$400,"monthly"))*H236,AND(B236&lt;&gt;"",H236=SF_Output!$Y$2,SUMIFS(SF_Output!$T$1:$T$400,SF_Output!$AC$1:$AC$400,_xlfn.TEXTJOIN(",",TRUE,B236:E236),SF_Output!$Q$1:$Q$400,"monthly")&lt;&gt;0),SUMIFS(SF_Output!$S$1:$S$400,SF_Output!$AC$1:$AC$400,_xlfn.TEXTJOIN(",",TRUE,B236:E236),SF_Output!$Q$1:$Q$400,"monthly"),AND(B236&lt;&gt;"",H236&lt;&gt;SF_Output!$Y$2),SUMIFS(SF_Output!$S$1:$S$400,SF_Output!$AC$1:$AC$400,_xlfn.TEXTJOIN(",",TRUE,B236:E236),SF_Output!$Q$1:$Q$400,"monthly"))</f>
        <v/>
      </c>
      <c r="W236" s="112" t="str" cm="1">
        <f t="array" ref="W236">_xlfn.IFS(OR(B236=0,B236="",V236=0),"",AF236&lt;&gt;"exclusion",MAX($W$9,$W$7,(-(SUMIFS(SF_Output!$T$1:$T$400,SF_Output!$AC$1:$AC$400,_xlfn.TEXTJOIN(",",TRUE,$B236:$E236),SF_Output!$Q$1:$Q$400,"monthly"))/V236)),AF236="exclusion",-(SUMIFS(SF_Output!$T$1:$T$400,SF_Output!$AC$1:$AC$400,_xlfn.TEXTJOIN(",",TRUE,$B236:$E236),SF_Output!$Q$1:$Q$400,"monthly"))/V236)</f>
        <v/>
      </c>
      <c r="X236" s="6" t="str" cm="1">
        <f t="array" ref="X236">IFERROR(_xlfn.IFS(V236=0,0,V236="","",W236=0,V236,OR(V236&lt;&gt;0,V236&lt;&gt;""),H236*I236),V236*(1-W236))</f>
        <v/>
      </c>
      <c r="Z236" s="6" t="str">
        <f>IFERROR(IF(B236="","",SUMIFS(Billing_Fallout!H:H,Billing_Fallout!N:N,B236)),0)</f>
        <v/>
      </c>
      <c r="AA236" s="6" t="str">
        <f t="shared" si="55"/>
        <v/>
      </c>
      <c r="AB236" s="6" t="str">
        <f>IFERROR(IF(B236="","",SUMIFS(Billing_Fallout!J:J,Billing_Fallout!N:N,B236)),0)</f>
        <v/>
      </c>
      <c r="AD236" s="6" t="str">
        <f t="shared" si="56"/>
        <v/>
      </c>
      <c r="AF236" t="str">
        <f>IFERROR(INDEX(H_Tables!$B$1:$B$1500,MATCH(INDEX(SF_Output!$J$1:$J$400,MATCH(B236,SF_Output!$M$1:$M$400,0)),H_Tables!$A$1:$A$1500,0)),"")</f>
        <v/>
      </c>
      <c r="AI236" s="119" t="str">
        <f t="shared" si="57"/>
        <v/>
      </c>
      <c r="AJ236" s="121">
        <f>IFERROR(INDEX(SF_Output!AD:AD,MATCH(_xlfn.TEXTJOIN(",",TRUE,B236:E236),SF_Output!AC1:AC400,0)),0.05)</f>
        <v>241</v>
      </c>
      <c r="AK236" t="str">
        <f>IF(SUMIFS(SF_Output!$F$1:$F$400,SF_Output!$AC$1:$AC$400,_xlfn.TEXTJOIN(",",TRUE,B236:E236))+SUMIFS(SF_Output!$G$1:$G$400,SF_Output!$AC$1:$AC$400,_xlfn.TEXTJOIN(",",TRUE,B236:E236))=0,"","PAP")</f>
        <v/>
      </c>
      <c r="AQ236" s="35"/>
      <c r="AR236" s="35" t="str" cm="1">
        <f t="array" ref="AR236">IFERROR(_xlfn.IFS(AND(E236*1=1,F236="Included"),"Change to Included",AND(E236*1=0,F236="Optional"),"Change to Optional",OR(B236="",F236="replaced"),""),"")</f>
        <v/>
      </c>
      <c r="AS236" s="35" t="str">
        <f t="shared" si="58"/>
        <v/>
      </c>
      <c r="AT236" s="35" t="str">
        <f t="shared" si="59"/>
        <v/>
      </c>
      <c r="AU236" s="35" t="str">
        <f t="shared" si="60"/>
        <v/>
      </c>
      <c r="AV236" s="35" t="str">
        <f t="shared" si="61"/>
        <v/>
      </c>
      <c r="AW236" s="35" t="str">
        <f t="shared" si="62"/>
        <v/>
      </c>
      <c r="AX236" s="35" t="str">
        <f t="shared" si="63"/>
        <v/>
      </c>
      <c r="AY236" s="35" t="str">
        <f t="shared" si="64"/>
        <v/>
      </c>
      <c r="AZ236" s="35" t="str">
        <f t="shared" si="65"/>
        <v/>
      </c>
      <c r="BA236" s="35" t="str">
        <f t="shared" si="66"/>
        <v/>
      </c>
      <c r="BB236" s="35" t="str">
        <f t="shared" si="67"/>
        <v/>
      </c>
      <c r="BC236" s="35"/>
      <c r="BE236" s="35" t="e">
        <f>INDEX(SF_Output!$AA$2:$AA$400,MATCH($B236,SF_Output!$M$2:$M$400,0))</f>
        <v>#N/A</v>
      </c>
      <c r="BF236" s="35" t="e">
        <f>INDEX(SF_Output!$AB$2:$AB$400,MATCH($B236,SF_Output!$M$2:$M$400,0))</f>
        <v>#N/A</v>
      </c>
    </row>
    <row r="237" spans="6:58" x14ac:dyDescent="0.25">
      <c r="F237" s="116" t="str">
        <f t="shared" si="51"/>
        <v/>
      </c>
      <c r="G237" t="str">
        <f>IF(B237="","",INDEX(SF_Output!$K$1:$K$400,MATCH(B237,SF_Output!$M$1:$M$400,0)))</f>
        <v/>
      </c>
      <c r="H237" t="str" cm="1">
        <f t="array" ref="H237">_xlfn.IFS(B237="","",(SUMIFS(SF_Output!$F$1:$F$400,SF_Output!$AC$1:$AC$400,_xlfn.TEXTJOIN(",",TRUE,B237:E237))+SUMIFS(SF_Output!$G$1:$G$400,SF_Output!$AC$1:$AC$400,_xlfn.TEXTJOIN(",",TRUE,B237:E237)))&lt;&gt;0,SF_Output!$Y$2,INDEX(SF_Output!$F$1:$F$400,MATCH(_xlfn.TEXTJOIN(",",TRUE,B237:E237),SF_Output!$AC$1:$AC$400,0))=0,INDEX(SF_Output!$R$1:$R$400,MATCH(_xlfn.TEXTJOIN(",",TRUE,B237:E237),SF_Output!$AC$1:$AC$400,0)))</f>
        <v/>
      </c>
      <c r="I237" s="125" t="str">
        <f>IFERROR(IF(AND(H237&gt;1,H237&lt;&gt;""),ROUND(SUMIFS(SF_Output!$S$1:$S$400,SF_Output!$AC$1:$AC$400,_xlfn.TEXTJOIN(",",TRUE,B237:E237),SF_Output!$Q$1:$Q$400,"monthly")*(1-W237)/H237,4),""),"")</f>
        <v/>
      </c>
      <c r="J237" s="6" t="str">
        <f>IF(B237="","",SUMIFS(SF_Output!$S$1:$S$400,SF_Output!$AC$1:$AC$400,_xlfn.TEXTJOIN(",",TRUE,B237:E237),SF_Output!$Q$1:$Q$400,"One Time",SF_Output!$L$1:$L$400,"license fee")+SUMIFS(SF_Output!$S$1:$S$400,SF_Output!$AC$1:$AC$400,_xlfn.TEXTJOIN(",",TRUE,B237:E237),SF_Output!$Q$1:$Q$400,"One Time",SF_Output!$L$1:$L$400,"software license")+SUMIFS(SF_Output!$S$1:$S$400,SF_Output!$AC$1:$AC$400,_xlfn.TEXTJOIN(",",TRUE,B237:E237),SF_Output!$Q$1:$Q$400,"One Time",SF_Output!$L$1:$L$400,"hardware"))</f>
        <v/>
      </c>
      <c r="K237" s="112" t="str">
        <f>IF(OR(B237=0,B237="",G237="hardware",J237=0),"",IF(AF237&lt;&gt;"exclusion",MAX(K$9,-((SUMIFS(SF_Output!$T$1:$T$400,SF_Output!$AC$1:$AC$400,_xlfn.TEXTJOIN(",",TRUE,$B237:$E237),SF_Output!$Q$1:$Q$400,"One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license"))/J237)))</f>
        <v/>
      </c>
      <c r="L237" s="6" t="str">
        <f t="shared" si="52"/>
        <v/>
      </c>
      <c r="N237" s="6" t="str">
        <f>IF(B237="","",SUMIFS(SF_Output!$S$1:$S$400,SF_Output!$AC$1:$AC$400,_xlfn.TEXTJOIN(",",TRUE,B237:E237),SF_Output!$Q$1:$Q$400,"One Time",SF_Output!$L$1:$L$400,"professional service"))</f>
        <v/>
      </c>
      <c r="O237" s="112" t="str">
        <f>IF(OR(B237=0,B237="",N237=0),"",IF(AF237&lt;&gt;"exclusion",MAX(O$9,-(SUMIFS(SF_Output!$T$1:$T$400,SF_Output!$AC$1:$AC$400,_xlfn.TEXTJOIN(",",TRUE,$B237:$E237),SF_Output!$Q$1:$Q$400,"One Time",SF_Output!$L$1:$L$400,"professional service"))/N237),-((SUMIFS(SF_Output!$T$1:$T$400,SF_Output!$AC$1:$AC$400,_xlfn.TEXTJOIN(",",TRUE,$B237:$E237),SF_Output!$Q$1:$Q$400,"One Time",SF_Output!$L$1:$L$400,"professional service")/N237))))</f>
        <v/>
      </c>
      <c r="P237" s="6" t="str">
        <f t="shared" si="53"/>
        <v/>
      </c>
      <c r="R237" s="6" t="str">
        <f>IF(B237="","",SUMIFS(SF_Output!$S$1:$S$400,SF_Output!$AC$1:$AC$400,_xlfn.TEXTJOIN(",",TRUE,B237:E237),SF_Output!$Q$1:$Q$400,"yearly")+SUMIFS(SF_Output!$S$1:$S$400,SF_Output!$AC$1:$AC$400,_xlfn.TEXTJOIN(",",TRUE,B237:E237),SF_Output!$Q$1:$Q$400,"quarterly")*4)</f>
        <v/>
      </c>
      <c r="S237" s="112" t="str">
        <f>IF(OR(B237=0,B237="",G237="hardware",R237=0),"",IF(AF237&lt;&gt;"exclusion",MAX(S$9,-(SUMIFS(SF_Output!$T$1:$T$400,SF_Output!$AC$1:$AC$400,_xlfn.TEXTJOIN(",",TRUE,$B237:$E237),SF_Output!$Q$1:$Q$400,"yearly"))/R237),-((SUMIFS(SF_Output!$T$1:$T$400,SF_Output!$AC$1:$AC$400,_xlfn.TEXTJOIN(",",TRUE,$B237:$E237),SF_Output!$Q$1:$Q$400,"yearly")/R237))))</f>
        <v/>
      </c>
      <c r="T237" s="6" t="str">
        <f t="shared" si="54"/>
        <v/>
      </c>
      <c r="V237" s="6" t="str" cm="1">
        <f t="array" ref="V237">_xlfn.IFS(B237="","",AND(B237&lt;&gt;"",H237=SF_Output!$Y$2,SUMIFS(SF_Output!$T$1:$T$400,SF_Output!$AC$1:$AC$400,_xlfn.TEXTJOIN(",",TRUE,B237:E237),SF_Output!$Q$1:$Q$400,"monthly")=0),(SUMIFS(SF_Output!$F$1:$F$400,SF_Output!$AC$1:$AC$400,_xlfn.TEXTJOIN(",",TRUE,B237:E237),SF_Output!$Q$1:$Q$400,"monthly")+SUMIFS(SF_Output!$G$1:$G$400,SF_Output!$AC$1:$AC$400,_xlfn.TEXTJOIN(",",TRUE,B237:E237),SF_Output!$Q$1:$Q$400,"monthly"))*H237,AND(B237&lt;&gt;"",H237=SF_Output!$Y$2,SUMIFS(SF_Output!$T$1:$T$400,SF_Output!$AC$1:$AC$400,_xlfn.TEXTJOIN(",",TRUE,B237:E237),SF_Output!$Q$1:$Q$400,"monthly")&lt;&gt;0),SUMIFS(SF_Output!$S$1:$S$400,SF_Output!$AC$1:$AC$400,_xlfn.TEXTJOIN(",",TRUE,B237:E237),SF_Output!$Q$1:$Q$400,"monthly"),AND(B237&lt;&gt;"",H237&lt;&gt;SF_Output!$Y$2),SUMIFS(SF_Output!$S$1:$S$400,SF_Output!$AC$1:$AC$400,_xlfn.TEXTJOIN(",",TRUE,B237:E237),SF_Output!$Q$1:$Q$400,"monthly"))</f>
        <v/>
      </c>
      <c r="W237" s="112" t="str" cm="1">
        <f t="array" ref="W237">_xlfn.IFS(OR(B237=0,B237="",V237=0),"",AF237&lt;&gt;"exclusion",MAX($W$9,$W$7,(-(SUMIFS(SF_Output!$T$1:$T$400,SF_Output!$AC$1:$AC$400,_xlfn.TEXTJOIN(",",TRUE,$B237:$E237),SF_Output!$Q$1:$Q$400,"monthly"))/V237)),AF237="exclusion",-(SUMIFS(SF_Output!$T$1:$T$400,SF_Output!$AC$1:$AC$400,_xlfn.TEXTJOIN(",",TRUE,$B237:$E237),SF_Output!$Q$1:$Q$400,"monthly"))/V237)</f>
        <v/>
      </c>
      <c r="X237" s="6" t="str" cm="1">
        <f t="array" ref="X237">IFERROR(_xlfn.IFS(V237=0,0,V237="","",W237=0,V237,OR(V237&lt;&gt;0,V237&lt;&gt;""),H237*I237),V237*(1-W237))</f>
        <v/>
      </c>
      <c r="Z237" s="6" t="str">
        <f>IFERROR(IF(B237="","",SUMIFS(Billing_Fallout!H:H,Billing_Fallout!N:N,B237)),0)</f>
        <v/>
      </c>
      <c r="AA237" s="6" t="str">
        <f t="shared" si="55"/>
        <v/>
      </c>
      <c r="AB237" s="6" t="str">
        <f>IFERROR(IF(B237="","",SUMIFS(Billing_Fallout!J:J,Billing_Fallout!N:N,B237)),0)</f>
        <v/>
      </c>
      <c r="AD237" s="6" t="str">
        <f t="shared" si="56"/>
        <v/>
      </c>
      <c r="AF237" t="str">
        <f>IFERROR(INDEX(H_Tables!$B$1:$B$1500,MATCH(INDEX(SF_Output!$J$1:$J$400,MATCH(B237,SF_Output!$M$1:$M$400,0)),H_Tables!$A$1:$A$1500,0)),"")</f>
        <v/>
      </c>
      <c r="AI237" s="119" t="str">
        <f t="shared" si="57"/>
        <v/>
      </c>
      <c r="AJ237" s="121">
        <f>IFERROR(INDEX(SF_Output!AD:AD,MATCH(_xlfn.TEXTJOIN(",",TRUE,B237:E237),SF_Output!AC1:AC400,0)),0.05)</f>
        <v>241</v>
      </c>
      <c r="AK237" t="str">
        <f>IF(SUMIFS(SF_Output!$F$1:$F$400,SF_Output!$AC$1:$AC$400,_xlfn.TEXTJOIN(",",TRUE,B237:E237))+SUMIFS(SF_Output!$G$1:$G$400,SF_Output!$AC$1:$AC$400,_xlfn.TEXTJOIN(",",TRUE,B237:E237))=0,"","PAP")</f>
        <v/>
      </c>
      <c r="AQ237" s="35"/>
      <c r="AR237" s="35" t="str" cm="1">
        <f t="array" ref="AR237">IFERROR(_xlfn.IFS(AND(E237*1=1,F237="Included"),"Change to Included",AND(E237*1=0,F237="Optional"),"Change to Optional",OR(B237="",F237="replaced"),""),"")</f>
        <v/>
      </c>
      <c r="AS237" s="35" t="str">
        <f t="shared" si="58"/>
        <v/>
      </c>
      <c r="AT237" s="35" t="str">
        <f t="shared" si="59"/>
        <v/>
      </c>
      <c r="AU237" s="35" t="str">
        <f t="shared" si="60"/>
        <v/>
      </c>
      <c r="AV237" s="35" t="str">
        <f t="shared" si="61"/>
        <v/>
      </c>
      <c r="AW237" s="35" t="str">
        <f t="shared" si="62"/>
        <v/>
      </c>
      <c r="AX237" s="35" t="str">
        <f t="shared" si="63"/>
        <v/>
      </c>
      <c r="AY237" s="35" t="str">
        <f t="shared" si="64"/>
        <v/>
      </c>
      <c r="AZ237" s="35" t="str">
        <f t="shared" si="65"/>
        <v/>
      </c>
      <c r="BA237" s="35" t="str">
        <f t="shared" si="66"/>
        <v/>
      </c>
      <c r="BB237" s="35" t="str">
        <f t="shared" si="67"/>
        <v/>
      </c>
      <c r="BC237" s="35"/>
      <c r="BE237" s="35" t="e">
        <f>INDEX(SF_Output!$AA$2:$AA$400,MATCH($B237,SF_Output!$M$2:$M$400,0))</f>
        <v>#N/A</v>
      </c>
      <c r="BF237" s="35" t="e">
        <f>INDEX(SF_Output!$AB$2:$AB$400,MATCH($B237,SF_Output!$M$2:$M$400,0))</f>
        <v>#N/A</v>
      </c>
    </row>
    <row r="238" spans="6:58" x14ac:dyDescent="0.25">
      <c r="F238" s="116" t="str">
        <f t="shared" si="51"/>
        <v/>
      </c>
      <c r="G238" t="str">
        <f>IF(B238="","",INDEX(SF_Output!$K$1:$K$400,MATCH(B238,SF_Output!$M$1:$M$400,0)))</f>
        <v/>
      </c>
      <c r="H238" t="str" cm="1">
        <f t="array" ref="H238">_xlfn.IFS(B238="","",(SUMIFS(SF_Output!$F$1:$F$400,SF_Output!$AC$1:$AC$400,_xlfn.TEXTJOIN(",",TRUE,B238:E238))+SUMIFS(SF_Output!$G$1:$G$400,SF_Output!$AC$1:$AC$400,_xlfn.TEXTJOIN(",",TRUE,B238:E238)))&lt;&gt;0,SF_Output!$Y$2,INDEX(SF_Output!$F$1:$F$400,MATCH(_xlfn.TEXTJOIN(",",TRUE,B238:E238),SF_Output!$AC$1:$AC$400,0))=0,INDEX(SF_Output!$R$1:$R$400,MATCH(_xlfn.TEXTJOIN(",",TRUE,B238:E238),SF_Output!$AC$1:$AC$400,0)))</f>
        <v/>
      </c>
      <c r="I238" s="125" t="str">
        <f>IFERROR(IF(AND(H238&gt;1,H238&lt;&gt;""),ROUND(SUMIFS(SF_Output!$S$1:$S$400,SF_Output!$AC$1:$AC$400,_xlfn.TEXTJOIN(",",TRUE,B238:E238),SF_Output!$Q$1:$Q$400,"monthly")*(1-W238)/H238,4),""),"")</f>
        <v/>
      </c>
      <c r="J238" s="6" t="str">
        <f>IF(B238="","",SUMIFS(SF_Output!$S$1:$S$400,SF_Output!$AC$1:$AC$400,_xlfn.TEXTJOIN(",",TRUE,B238:E238),SF_Output!$Q$1:$Q$400,"One Time",SF_Output!$L$1:$L$400,"license fee")+SUMIFS(SF_Output!$S$1:$S$400,SF_Output!$AC$1:$AC$400,_xlfn.TEXTJOIN(",",TRUE,B238:E238),SF_Output!$Q$1:$Q$400,"One Time",SF_Output!$L$1:$L$400,"software license")+SUMIFS(SF_Output!$S$1:$S$400,SF_Output!$AC$1:$AC$400,_xlfn.TEXTJOIN(",",TRUE,B238:E238),SF_Output!$Q$1:$Q$400,"One Time",SF_Output!$L$1:$L$400,"hardware"))</f>
        <v/>
      </c>
      <c r="K238" s="112" t="str">
        <f>IF(OR(B238=0,B238="",G238="hardware",J238=0),"",IF(AF238&lt;&gt;"exclusion",MAX(K$9,-((SUMIFS(SF_Output!$T$1:$T$400,SF_Output!$AC$1:$AC$400,_xlfn.TEXTJOIN(",",TRUE,$B238:$E238),SF_Output!$Q$1:$Q$400,"One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license"))/J238)))</f>
        <v/>
      </c>
      <c r="L238" s="6" t="str">
        <f t="shared" si="52"/>
        <v/>
      </c>
      <c r="N238" s="6" t="str">
        <f>IF(B238="","",SUMIFS(SF_Output!$S$1:$S$400,SF_Output!$AC$1:$AC$400,_xlfn.TEXTJOIN(",",TRUE,B238:E238),SF_Output!$Q$1:$Q$400,"One Time",SF_Output!$L$1:$L$400,"professional service"))</f>
        <v/>
      </c>
      <c r="O238" s="112" t="str">
        <f>IF(OR(B238=0,B238="",N238=0),"",IF(AF238&lt;&gt;"exclusion",MAX(O$9,-(SUMIFS(SF_Output!$T$1:$T$400,SF_Output!$AC$1:$AC$400,_xlfn.TEXTJOIN(",",TRUE,$B238:$E238),SF_Output!$Q$1:$Q$400,"One Time",SF_Output!$L$1:$L$400,"professional service"))/N238),-((SUMIFS(SF_Output!$T$1:$T$400,SF_Output!$AC$1:$AC$400,_xlfn.TEXTJOIN(",",TRUE,$B238:$E238),SF_Output!$Q$1:$Q$400,"One Time",SF_Output!$L$1:$L$400,"professional service")/N238))))</f>
        <v/>
      </c>
      <c r="P238" s="6" t="str">
        <f t="shared" si="53"/>
        <v/>
      </c>
      <c r="R238" s="6" t="str">
        <f>IF(B238="","",SUMIFS(SF_Output!$S$1:$S$400,SF_Output!$AC$1:$AC$400,_xlfn.TEXTJOIN(",",TRUE,B238:E238),SF_Output!$Q$1:$Q$400,"yearly")+SUMIFS(SF_Output!$S$1:$S$400,SF_Output!$AC$1:$AC$400,_xlfn.TEXTJOIN(",",TRUE,B238:E238),SF_Output!$Q$1:$Q$400,"quarterly")*4)</f>
        <v/>
      </c>
      <c r="S238" s="112" t="str">
        <f>IF(OR(B238=0,B238="",G238="hardware",R238=0),"",IF(AF238&lt;&gt;"exclusion",MAX(S$9,-(SUMIFS(SF_Output!$T$1:$T$400,SF_Output!$AC$1:$AC$400,_xlfn.TEXTJOIN(",",TRUE,$B238:$E238),SF_Output!$Q$1:$Q$400,"yearly"))/R238),-((SUMIFS(SF_Output!$T$1:$T$400,SF_Output!$AC$1:$AC$400,_xlfn.TEXTJOIN(",",TRUE,$B238:$E238),SF_Output!$Q$1:$Q$400,"yearly")/R238))))</f>
        <v/>
      </c>
      <c r="T238" s="6" t="str">
        <f t="shared" si="54"/>
        <v/>
      </c>
      <c r="V238" s="6" t="str" cm="1">
        <f t="array" ref="V238">_xlfn.IFS(B238="","",AND(B238&lt;&gt;"",H238=SF_Output!$Y$2,SUMIFS(SF_Output!$T$1:$T$400,SF_Output!$AC$1:$AC$400,_xlfn.TEXTJOIN(",",TRUE,B238:E238),SF_Output!$Q$1:$Q$400,"monthly")=0),(SUMIFS(SF_Output!$F$1:$F$400,SF_Output!$AC$1:$AC$400,_xlfn.TEXTJOIN(",",TRUE,B238:E238),SF_Output!$Q$1:$Q$400,"monthly")+SUMIFS(SF_Output!$G$1:$G$400,SF_Output!$AC$1:$AC$400,_xlfn.TEXTJOIN(",",TRUE,B238:E238),SF_Output!$Q$1:$Q$400,"monthly"))*H238,AND(B238&lt;&gt;"",H238=SF_Output!$Y$2,SUMIFS(SF_Output!$T$1:$T$400,SF_Output!$AC$1:$AC$400,_xlfn.TEXTJOIN(",",TRUE,B238:E238),SF_Output!$Q$1:$Q$400,"monthly")&lt;&gt;0),SUMIFS(SF_Output!$S$1:$S$400,SF_Output!$AC$1:$AC$400,_xlfn.TEXTJOIN(",",TRUE,B238:E238),SF_Output!$Q$1:$Q$400,"monthly"),AND(B238&lt;&gt;"",H238&lt;&gt;SF_Output!$Y$2),SUMIFS(SF_Output!$S$1:$S$400,SF_Output!$AC$1:$AC$400,_xlfn.TEXTJOIN(",",TRUE,B238:E238),SF_Output!$Q$1:$Q$400,"monthly"))</f>
        <v/>
      </c>
      <c r="W238" s="112" t="str" cm="1">
        <f t="array" ref="W238">_xlfn.IFS(OR(B238=0,B238="",V238=0),"",AF238&lt;&gt;"exclusion",MAX($W$9,$W$7,(-(SUMIFS(SF_Output!$T$1:$T$400,SF_Output!$AC$1:$AC$400,_xlfn.TEXTJOIN(",",TRUE,$B238:$E238),SF_Output!$Q$1:$Q$400,"monthly"))/V238)),AF238="exclusion",-(SUMIFS(SF_Output!$T$1:$T$400,SF_Output!$AC$1:$AC$400,_xlfn.TEXTJOIN(",",TRUE,$B238:$E238),SF_Output!$Q$1:$Q$400,"monthly"))/V238)</f>
        <v/>
      </c>
      <c r="X238" s="6" t="str" cm="1">
        <f t="array" ref="X238">IFERROR(_xlfn.IFS(V238=0,0,V238="","",W238=0,V238,OR(V238&lt;&gt;0,V238&lt;&gt;""),H238*I238),V238*(1-W238))</f>
        <v/>
      </c>
      <c r="Z238" s="6" t="str">
        <f>IFERROR(IF(B238="","",SUMIFS(Billing_Fallout!H:H,Billing_Fallout!N:N,B238)),0)</f>
        <v/>
      </c>
      <c r="AA238" s="6" t="str">
        <f t="shared" si="55"/>
        <v/>
      </c>
      <c r="AB238" s="6" t="str">
        <f>IFERROR(IF(B238="","",SUMIFS(Billing_Fallout!J:J,Billing_Fallout!N:N,B238)),0)</f>
        <v/>
      </c>
      <c r="AD238" s="6" t="str">
        <f t="shared" si="56"/>
        <v/>
      </c>
      <c r="AF238" t="str">
        <f>IFERROR(INDEX(H_Tables!$B$1:$B$1500,MATCH(INDEX(SF_Output!$J$1:$J$400,MATCH(B238,SF_Output!$M$1:$M$400,0)),H_Tables!$A$1:$A$1500,0)),"")</f>
        <v/>
      </c>
      <c r="AI238" s="119" t="str">
        <f t="shared" si="57"/>
        <v/>
      </c>
      <c r="AJ238" s="121">
        <f>IFERROR(INDEX(SF_Output!AD:AD,MATCH(_xlfn.TEXTJOIN(",",TRUE,B238:E238),SF_Output!AC1:AC400,0)),0.05)</f>
        <v>241</v>
      </c>
      <c r="AK238" t="str">
        <f>IF(SUMIFS(SF_Output!$F$1:$F$400,SF_Output!$AC$1:$AC$400,_xlfn.TEXTJOIN(",",TRUE,B238:E238))+SUMIFS(SF_Output!$G$1:$G$400,SF_Output!$AC$1:$AC$400,_xlfn.TEXTJOIN(",",TRUE,B238:E238))=0,"","PAP")</f>
        <v/>
      </c>
      <c r="AQ238" s="35"/>
      <c r="AR238" s="35" t="str" cm="1">
        <f t="array" ref="AR238">IFERROR(_xlfn.IFS(AND(E238*1=1,F238="Included"),"Change to Included",AND(E238*1=0,F238="Optional"),"Change to Optional",OR(B238="",F238="replaced"),""),"")</f>
        <v/>
      </c>
      <c r="AS238" s="35" t="str">
        <f t="shared" si="58"/>
        <v/>
      </c>
      <c r="AT238" s="35" t="str">
        <f t="shared" si="59"/>
        <v/>
      </c>
      <c r="AU238" s="35" t="str">
        <f t="shared" si="60"/>
        <v/>
      </c>
      <c r="AV238" s="35" t="str">
        <f t="shared" si="61"/>
        <v/>
      </c>
      <c r="AW238" s="35" t="str">
        <f t="shared" si="62"/>
        <v/>
      </c>
      <c r="AX238" s="35" t="str">
        <f t="shared" si="63"/>
        <v/>
      </c>
      <c r="AY238" s="35" t="str">
        <f t="shared" si="64"/>
        <v/>
      </c>
      <c r="AZ238" s="35" t="str">
        <f t="shared" si="65"/>
        <v/>
      </c>
      <c r="BA238" s="35" t="str">
        <f t="shared" si="66"/>
        <v/>
      </c>
      <c r="BB238" s="35" t="str">
        <f t="shared" si="67"/>
        <v/>
      </c>
      <c r="BC238" s="35"/>
      <c r="BE238" s="35" t="e">
        <f>INDEX(SF_Output!$AA$2:$AA$400,MATCH($B238,SF_Output!$M$2:$M$400,0))</f>
        <v>#N/A</v>
      </c>
      <c r="BF238" s="35" t="e">
        <f>INDEX(SF_Output!$AB$2:$AB$400,MATCH($B238,SF_Output!$M$2:$M$400,0))</f>
        <v>#N/A</v>
      </c>
    </row>
    <row r="239" spans="6:58" x14ac:dyDescent="0.25">
      <c r="F239" s="116" t="str">
        <f t="shared" si="51"/>
        <v/>
      </c>
      <c r="G239" t="str">
        <f>IF(B239="","",INDEX(SF_Output!$K$1:$K$400,MATCH(B239,SF_Output!$M$1:$M$400,0)))</f>
        <v/>
      </c>
      <c r="H239" t="str" cm="1">
        <f t="array" ref="H239">_xlfn.IFS(B239="","",(SUMIFS(SF_Output!$F$1:$F$400,SF_Output!$AC$1:$AC$400,_xlfn.TEXTJOIN(",",TRUE,B239:E239))+SUMIFS(SF_Output!$G$1:$G$400,SF_Output!$AC$1:$AC$400,_xlfn.TEXTJOIN(",",TRUE,B239:E239)))&lt;&gt;0,SF_Output!$Y$2,INDEX(SF_Output!$F$1:$F$400,MATCH(_xlfn.TEXTJOIN(",",TRUE,B239:E239),SF_Output!$AC$1:$AC$400,0))=0,INDEX(SF_Output!$R$1:$R$400,MATCH(_xlfn.TEXTJOIN(",",TRUE,B239:E239),SF_Output!$AC$1:$AC$400,0)))</f>
        <v/>
      </c>
      <c r="I239" s="125" t="str">
        <f>IFERROR(IF(AND(H239&gt;1,H239&lt;&gt;""),ROUND(SUMIFS(SF_Output!$S$1:$S$400,SF_Output!$AC$1:$AC$400,_xlfn.TEXTJOIN(",",TRUE,B239:E239),SF_Output!$Q$1:$Q$400,"monthly")*(1-W239)/H239,4),""),"")</f>
        <v/>
      </c>
      <c r="J239" s="6" t="str">
        <f>IF(B239="","",SUMIFS(SF_Output!$S$1:$S$400,SF_Output!$AC$1:$AC$400,_xlfn.TEXTJOIN(",",TRUE,B239:E239),SF_Output!$Q$1:$Q$400,"One Time",SF_Output!$L$1:$L$400,"license fee")+SUMIFS(SF_Output!$S$1:$S$400,SF_Output!$AC$1:$AC$400,_xlfn.TEXTJOIN(",",TRUE,B239:E239),SF_Output!$Q$1:$Q$400,"One Time",SF_Output!$L$1:$L$400,"software license")+SUMIFS(SF_Output!$S$1:$S$400,SF_Output!$AC$1:$AC$400,_xlfn.TEXTJOIN(",",TRUE,B239:E239),SF_Output!$Q$1:$Q$400,"One Time",SF_Output!$L$1:$L$400,"hardware"))</f>
        <v/>
      </c>
      <c r="K239" s="112" t="str">
        <f>IF(OR(B239=0,B239="",G239="hardware",J239=0),"",IF(AF239&lt;&gt;"exclusion",MAX(K$9,-((SUMIFS(SF_Output!$T$1:$T$400,SF_Output!$AC$1:$AC$400,_xlfn.TEXTJOIN(",",TRUE,$B239:$E239),SF_Output!$Q$1:$Q$400,"One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license"))/J239)))</f>
        <v/>
      </c>
      <c r="L239" s="6" t="str">
        <f t="shared" si="52"/>
        <v/>
      </c>
      <c r="N239" s="6" t="str">
        <f>IF(B239="","",SUMIFS(SF_Output!$S$1:$S$400,SF_Output!$AC$1:$AC$400,_xlfn.TEXTJOIN(",",TRUE,B239:E239),SF_Output!$Q$1:$Q$400,"One Time",SF_Output!$L$1:$L$400,"professional service"))</f>
        <v/>
      </c>
      <c r="O239" s="112" t="str">
        <f>IF(OR(B239=0,B239="",N239=0),"",IF(AF239&lt;&gt;"exclusion",MAX(O$9,-(SUMIFS(SF_Output!$T$1:$T$400,SF_Output!$AC$1:$AC$400,_xlfn.TEXTJOIN(",",TRUE,$B239:$E239),SF_Output!$Q$1:$Q$400,"One Time",SF_Output!$L$1:$L$400,"professional service"))/N239),-((SUMIFS(SF_Output!$T$1:$T$400,SF_Output!$AC$1:$AC$400,_xlfn.TEXTJOIN(",",TRUE,$B239:$E239),SF_Output!$Q$1:$Q$400,"One Time",SF_Output!$L$1:$L$400,"professional service")/N239))))</f>
        <v/>
      </c>
      <c r="P239" s="6" t="str">
        <f t="shared" si="53"/>
        <v/>
      </c>
      <c r="R239" s="6" t="str">
        <f>IF(B239="","",SUMIFS(SF_Output!$S$1:$S$400,SF_Output!$AC$1:$AC$400,_xlfn.TEXTJOIN(",",TRUE,B239:E239),SF_Output!$Q$1:$Q$400,"yearly")+SUMIFS(SF_Output!$S$1:$S$400,SF_Output!$AC$1:$AC$400,_xlfn.TEXTJOIN(",",TRUE,B239:E239),SF_Output!$Q$1:$Q$400,"quarterly")*4)</f>
        <v/>
      </c>
      <c r="S239" s="112" t="str">
        <f>IF(OR(B239=0,B239="",G239="hardware",R239=0),"",IF(AF239&lt;&gt;"exclusion",MAX(S$9,-(SUMIFS(SF_Output!$T$1:$T$400,SF_Output!$AC$1:$AC$400,_xlfn.TEXTJOIN(",",TRUE,$B239:$E239),SF_Output!$Q$1:$Q$400,"yearly"))/R239),-((SUMIFS(SF_Output!$T$1:$T$400,SF_Output!$AC$1:$AC$400,_xlfn.TEXTJOIN(",",TRUE,$B239:$E239),SF_Output!$Q$1:$Q$400,"yearly")/R239))))</f>
        <v/>
      </c>
      <c r="T239" s="6" t="str">
        <f t="shared" si="54"/>
        <v/>
      </c>
      <c r="V239" s="6" t="str" cm="1">
        <f t="array" ref="V239">_xlfn.IFS(B239="","",AND(B239&lt;&gt;"",H239=SF_Output!$Y$2,SUMIFS(SF_Output!$T$1:$T$400,SF_Output!$AC$1:$AC$400,_xlfn.TEXTJOIN(",",TRUE,B239:E239),SF_Output!$Q$1:$Q$400,"monthly")=0),(SUMIFS(SF_Output!$F$1:$F$400,SF_Output!$AC$1:$AC$400,_xlfn.TEXTJOIN(",",TRUE,B239:E239),SF_Output!$Q$1:$Q$400,"monthly")+SUMIFS(SF_Output!$G$1:$G$400,SF_Output!$AC$1:$AC$400,_xlfn.TEXTJOIN(",",TRUE,B239:E239),SF_Output!$Q$1:$Q$400,"monthly"))*H239,AND(B239&lt;&gt;"",H239=SF_Output!$Y$2,SUMIFS(SF_Output!$T$1:$T$400,SF_Output!$AC$1:$AC$400,_xlfn.TEXTJOIN(",",TRUE,B239:E239),SF_Output!$Q$1:$Q$400,"monthly")&lt;&gt;0),SUMIFS(SF_Output!$S$1:$S$400,SF_Output!$AC$1:$AC$400,_xlfn.TEXTJOIN(",",TRUE,B239:E239),SF_Output!$Q$1:$Q$400,"monthly"),AND(B239&lt;&gt;"",H239&lt;&gt;SF_Output!$Y$2),SUMIFS(SF_Output!$S$1:$S$400,SF_Output!$AC$1:$AC$400,_xlfn.TEXTJOIN(",",TRUE,B239:E239),SF_Output!$Q$1:$Q$400,"monthly"))</f>
        <v/>
      </c>
      <c r="W239" s="112" t="str" cm="1">
        <f t="array" ref="W239">_xlfn.IFS(OR(B239=0,B239="",V239=0),"",AF239&lt;&gt;"exclusion",MAX($W$9,$W$7,(-(SUMIFS(SF_Output!$T$1:$T$400,SF_Output!$AC$1:$AC$400,_xlfn.TEXTJOIN(",",TRUE,$B239:$E239),SF_Output!$Q$1:$Q$400,"monthly"))/V239)),AF239="exclusion",-(SUMIFS(SF_Output!$T$1:$T$400,SF_Output!$AC$1:$AC$400,_xlfn.TEXTJOIN(",",TRUE,$B239:$E239),SF_Output!$Q$1:$Q$400,"monthly"))/V239)</f>
        <v/>
      </c>
      <c r="X239" s="6" t="str" cm="1">
        <f t="array" ref="X239">IFERROR(_xlfn.IFS(V239=0,0,V239="","",W239=0,V239,OR(V239&lt;&gt;0,V239&lt;&gt;""),H239*I239),V239*(1-W239))</f>
        <v/>
      </c>
      <c r="Z239" s="6" t="str">
        <f>IFERROR(IF(B239="","",SUMIFS(Billing_Fallout!H:H,Billing_Fallout!N:N,B239)),0)</f>
        <v/>
      </c>
      <c r="AA239" s="6" t="str">
        <f t="shared" si="55"/>
        <v/>
      </c>
      <c r="AB239" s="6" t="str">
        <f>IFERROR(IF(B239="","",SUMIFS(Billing_Fallout!J:J,Billing_Fallout!N:N,B239)),0)</f>
        <v/>
      </c>
      <c r="AD239" s="6" t="str">
        <f t="shared" si="56"/>
        <v/>
      </c>
      <c r="AF239" t="str">
        <f>IFERROR(INDEX(H_Tables!$B$1:$B$1500,MATCH(INDEX(SF_Output!$J$1:$J$400,MATCH(B239,SF_Output!$M$1:$M$400,0)),H_Tables!$A$1:$A$1500,0)),"")</f>
        <v/>
      </c>
      <c r="AI239" s="119" t="str">
        <f t="shared" si="57"/>
        <v/>
      </c>
      <c r="AJ239" s="121">
        <f>IFERROR(INDEX(SF_Output!AD:AD,MATCH(_xlfn.TEXTJOIN(",",TRUE,B239:E239),SF_Output!AC1:AC400,0)),0.05)</f>
        <v>241</v>
      </c>
      <c r="AK239" t="str">
        <f>IF(SUMIFS(SF_Output!$F$1:$F$400,SF_Output!$AC$1:$AC$400,_xlfn.TEXTJOIN(",",TRUE,B239:E239))+SUMIFS(SF_Output!$G$1:$G$400,SF_Output!$AC$1:$AC$400,_xlfn.TEXTJOIN(",",TRUE,B239:E239))=0,"","PAP")</f>
        <v/>
      </c>
      <c r="AQ239" s="35"/>
      <c r="AR239" s="35" t="str" cm="1">
        <f t="array" ref="AR239">IFERROR(_xlfn.IFS(AND(E239*1=1,F239="Included"),"Change to Included",AND(E239*1=0,F239="Optional"),"Change to Optional",OR(B239="",F239="replaced"),""),"")</f>
        <v/>
      </c>
      <c r="AS239" s="35" t="str">
        <f t="shared" si="58"/>
        <v/>
      </c>
      <c r="AT239" s="35" t="str">
        <f t="shared" si="59"/>
        <v/>
      </c>
      <c r="AU239" s="35" t="str">
        <f t="shared" si="60"/>
        <v/>
      </c>
      <c r="AV239" s="35" t="str">
        <f t="shared" si="61"/>
        <v/>
      </c>
      <c r="AW239" s="35" t="str">
        <f t="shared" si="62"/>
        <v/>
      </c>
      <c r="AX239" s="35" t="str">
        <f t="shared" si="63"/>
        <v/>
      </c>
      <c r="AY239" s="35" t="str">
        <f t="shared" si="64"/>
        <v/>
      </c>
      <c r="AZ239" s="35" t="str">
        <f t="shared" si="65"/>
        <v/>
      </c>
      <c r="BA239" s="35" t="str">
        <f t="shared" si="66"/>
        <v/>
      </c>
      <c r="BB239" s="35" t="str">
        <f t="shared" si="67"/>
        <v/>
      </c>
      <c r="BC239" s="35"/>
      <c r="BE239" s="35" t="e">
        <f>INDEX(SF_Output!$AA$2:$AA$400,MATCH($B239,SF_Output!$M$2:$M$400,0))</f>
        <v>#N/A</v>
      </c>
      <c r="BF239" s="35" t="e">
        <f>INDEX(SF_Output!$AB$2:$AB$400,MATCH($B239,SF_Output!$M$2:$M$400,0))</f>
        <v>#N/A</v>
      </c>
    </row>
    <row r="240" spans="6:58" x14ac:dyDescent="0.25">
      <c r="F240" s="116" t="str">
        <f t="shared" si="51"/>
        <v/>
      </c>
      <c r="G240" t="str">
        <f>IF(B240="","",INDEX(SF_Output!$K$1:$K$400,MATCH(B240,SF_Output!$M$1:$M$400,0)))</f>
        <v/>
      </c>
      <c r="H240" t="str" cm="1">
        <f t="array" ref="H240">_xlfn.IFS(B240="","",(SUMIFS(SF_Output!$F$1:$F$400,SF_Output!$AC$1:$AC$400,_xlfn.TEXTJOIN(",",TRUE,B240:E240))+SUMIFS(SF_Output!$G$1:$G$400,SF_Output!$AC$1:$AC$400,_xlfn.TEXTJOIN(",",TRUE,B240:E240)))&lt;&gt;0,SF_Output!$Y$2,INDEX(SF_Output!$F$1:$F$400,MATCH(_xlfn.TEXTJOIN(",",TRUE,B240:E240),SF_Output!$AC$1:$AC$400,0))=0,INDEX(SF_Output!$R$1:$R$400,MATCH(_xlfn.TEXTJOIN(",",TRUE,B240:E240),SF_Output!$AC$1:$AC$400,0)))</f>
        <v/>
      </c>
      <c r="I240" s="125" t="str">
        <f>IFERROR(IF(AND(H240&gt;1,H240&lt;&gt;""),ROUND(SUMIFS(SF_Output!$S$1:$S$400,SF_Output!$AC$1:$AC$400,_xlfn.TEXTJOIN(",",TRUE,B240:E240),SF_Output!$Q$1:$Q$400,"monthly")*(1-W240)/H240,4),""),"")</f>
        <v/>
      </c>
      <c r="J240" s="6" t="str">
        <f>IF(B240="","",SUMIFS(SF_Output!$S$1:$S$400,SF_Output!$AC$1:$AC$400,_xlfn.TEXTJOIN(",",TRUE,B240:E240),SF_Output!$Q$1:$Q$400,"One Time",SF_Output!$L$1:$L$400,"license fee")+SUMIFS(SF_Output!$S$1:$S$400,SF_Output!$AC$1:$AC$400,_xlfn.TEXTJOIN(",",TRUE,B240:E240),SF_Output!$Q$1:$Q$400,"One Time",SF_Output!$L$1:$L$400,"software license")+SUMIFS(SF_Output!$S$1:$S$400,SF_Output!$AC$1:$AC$400,_xlfn.TEXTJOIN(",",TRUE,B240:E240),SF_Output!$Q$1:$Q$400,"One Time",SF_Output!$L$1:$L$400,"hardware"))</f>
        <v/>
      </c>
      <c r="K240" s="112" t="str">
        <f>IF(OR(B240=0,B240="",G240="hardware",J240=0),"",IF(AF240&lt;&gt;"exclusion",MAX(K$9,-((SUMIFS(SF_Output!$T$1:$T$400,SF_Output!$AC$1:$AC$400,_xlfn.TEXTJOIN(",",TRUE,$B240:$E240),SF_Output!$Q$1:$Q$400,"One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license"))/J240)))</f>
        <v/>
      </c>
      <c r="L240" s="6" t="str">
        <f t="shared" si="52"/>
        <v/>
      </c>
      <c r="N240" s="6" t="str">
        <f>IF(B240="","",SUMIFS(SF_Output!$S$1:$S$400,SF_Output!$AC$1:$AC$400,_xlfn.TEXTJOIN(",",TRUE,B240:E240),SF_Output!$Q$1:$Q$400,"One Time",SF_Output!$L$1:$L$400,"professional service"))</f>
        <v/>
      </c>
      <c r="O240" s="112" t="str">
        <f>IF(OR(B240=0,B240="",N240=0),"",IF(AF240&lt;&gt;"exclusion",MAX(O$9,-(SUMIFS(SF_Output!$T$1:$T$400,SF_Output!$AC$1:$AC$400,_xlfn.TEXTJOIN(",",TRUE,$B240:$E240),SF_Output!$Q$1:$Q$400,"One Time",SF_Output!$L$1:$L$400,"professional service"))/N240),-((SUMIFS(SF_Output!$T$1:$T$400,SF_Output!$AC$1:$AC$400,_xlfn.TEXTJOIN(",",TRUE,$B240:$E240),SF_Output!$Q$1:$Q$400,"One Time",SF_Output!$L$1:$L$400,"professional service")/N240))))</f>
        <v/>
      </c>
      <c r="P240" s="6" t="str">
        <f t="shared" si="53"/>
        <v/>
      </c>
      <c r="R240" s="6" t="str">
        <f>IF(B240="","",SUMIFS(SF_Output!$S$1:$S$400,SF_Output!$AC$1:$AC$400,_xlfn.TEXTJOIN(",",TRUE,B240:E240),SF_Output!$Q$1:$Q$400,"yearly")+SUMIFS(SF_Output!$S$1:$S$400,SF_Output!$AC$1:$AC$400,_xlfn.TEXTJOIN(",",TRUE,B240:E240),SF_Output!$Q$1:$Q$400,"quarterly")*4)</f>
        <v/>
      </c>
      <c r="S240" s="112" t="str">
        <f>IF(OR(B240=0,B240="",G240="hardware",R240=0),"",IF(AF240&lt;&gt;"exclusion",MAX(S$9,-(SUMIFS(SF_Output!$T$1:$T$400,SF_Output!$AC$1:$AC$400,_xlfn.TEXTJOIN(",",TRUE,$B240:$E240),SF_Output!$Q$1:$Q$400,"yearly"))/R240),-((SUMIFS(SF_Output!$T$1:$T$400,SF_Output!$AC$1:$AC$400,_xlfn.TEXTJOIN(",",TRUE,$B240:$E240),SF_Output!$Q$1:$Q$400,"yearly")/R240))))</f>
        <v/>
      </c>
      <c r="T240" s="6" t="str">
        <f t="shared" si="54"/>
        <v/>
      </c>
      <c r="V240" s="6" t="str" cm="1">
        <f t="array" ref="V240">_xlfn.IFS(B240="","",AND(B240&lt;&gt;"",H240=SF_Output!$Y$2,SUMIFS(SF_Output!$T$1:$T$400,SF_Output!$AC$1:$AC$400,_xlfn.TEXTJOIN(",",TRUE,B240:E240),SF_Output!$Q$1:$Q$400,"monthly")=0),(SUMIFS(SF_Output!$F$1:$F$400,SF_Output!$AC$1:$AC$400,_xlfn.TEXTJOIN(",",TRUE,B240:E240),SF_Output!$Q$1:$Q$400,"monthly")+SUMIFS(SF_Output!$G$1:$G$400,SF_Output!$AC$1:$AC$400,_xlfn.TEXTJOIN(",",TRUE,B240:E240),SF_Output!$Q$1:$Q$400,"monthly"))*H240,AND(B240&lt;&gt;"",H240=SF_Output!$Y$2,SUMIFS(SF_Output!$T$1:$T$400,SF_Output!$AC$1:$AC$400,_xlfn.TEXTJOIN(",",TRUE,B240:E240),SF_Output!$Q$1:$Q$400,"monthly")&lt;&gt;0),SUMIFS(SF_Output!$S$1:$S$400,SF_Output!$AC$1:$AC$400,_xlfn.TEXTJOIN(",",TRUE,B240:E240),SF_Output!$Q$1:$Q$400,"monthly"),AND(B240&lt;&gt;"",H240&lt;&gt;SF_Output!$Y$2),SUMIFS(SF_Output!$S$1:$S$400,SF_Output!$AC$1:$AC$400,_xlfn.TEXTJOIN(",",TRUE,B240:E240),SF_Output!$Q$1:$Q$400,"monthly"))</f>
        <v/>
      </c>
      <c r="W240" s="112" t="str" cm="1">
        <f t="array" ref="W240">_xlfn.IFS(OR(B240=0,B240="",V240=0),"",AF240&lt;&gt;"exclusion",MAX($W$9,$W$7,(-(SUMIFS(SF_Output!$T$1:$T$400,SF_Output!$AC$1:$AC$400,_xlfn.TEXTJOIN(",",TRUE,$B240:$E240),SF_Output!$Q$1:$Q$400,"monthly"))/V240)),AF240="exclusion",-(SUMIFS(SF_Output!$T$1:$T$400,SF_Output!$AC$1:$AC$400,_xlfn.TEXTJOIN(",",TRUE,$B240:$E240),SF_Output!$Q$1:$Q$400,"monthly"))/V240)</f>
        <v/>
      </c>
      <c r="X240" s="6" t="str" cm="1">
        <f t="array" ref="X240">IFERROR(_xlfn.IFS(V240=0,0,V240="","",W240=0,V240,OR(V240&lt;&gt;0,V240&lt;&gt;""),H240*I240),V240*(1-W240))</f>
        <v/>
      </c>
      <c r="Z240" s="6" t="str">
        <f>IFERROR(IF(B240="","",SUMIFS(Billing_Fallout!H:H,Billing_Fallout!N:N,B240)),0)</f>
        <v/>
      </c>
      <c r="AA240" s="6" t="str">
        <f t="shared" si="55"/>
        <v/>
      </c>
      <c r="AB240" s="6" t="str">
        <f>IFERROR(IF(B240="","",SUMIFS(Billing_Fallout!J:J,Billing_Fallout!N:N,B240)),0)</f>
        <v/>
      </c>
      <c r="AD240" s="6" t="str">
        <f t="shared" si="56"/>
        <v/>
      </c>
      <c r="AF240" t="str">
        <f>IFERROR(INDEX(H_Tables!$B$1:$B$1500,MATCH(INDEX(SF_Output!$J$1:$J$400,MATCH(B240,SF_Output!$M$1:$M$400,0)),H_Tables!$A$1:$A$1500,0)),"")</f>
        <v/>
      </c>
      <c r="AI240" s="119" t="str">
        <f t="shared" si="57"/>
        <v/>
      </c>
      <c r="AJ240" s="121">
        <f>IFERROR(INDEX(SF_Output!AD:AD,MATCH(_xlfn.TEXTJOIN(",",TRUE,B240:E240),SF_Output!AC1:AC400,0)),0.05)</f>
        <v>241</v>
      </c>
      <c r="AK240" t="str">
        <f>IF(SUMIFS(SF_Output!$F$1:$F$400,SF_Output!$AC$1:$AC$400,_xlfn.TEXTJOIN(",",TRUE,B240:E240))+SUMIFS(SF_Output!$G$1:$G$400,SF_Output!$AC$1:$AC$400,_xlfn.TEXTJOIN(",",TRUE,B240:E240))=0,"","PAP")</f>
        <v/>
      </c>
      <c r="AQ240" s="35"/>
      <c r="AR240" s="35" t="str" cm="1">
        <f t="array" ref="AR240">IFERROR(_xlfn.IFS(AND(E240*1=1,F240="Included"),"Change to Included",AND(E240*1=0,F240="Optional"),"Change to Optional",OR(B240="",F240="replaced"),""),"")</f>
        <v/>
      </c>
      <c r="AS240" s="35" t="str">
        <f t="shared" si="58"/>
        <v/>
      </c>
      <c r="AT240" s="35" t="str">
        <f t="shared" si="59"/>
        <v/>
      </c>
      <c r="AU240" s="35" t="str">
        <f t="shared" si="60"/>
        <v/>
      </c>
      <c r="AV240" s="35" t="str">
        <f t="shared" si="61"/>
        <v/>
      </c>
      <c r="AW240" s="35" t="str">
        <f t="shared" si="62"/>
        <v/>
      </c>
      <c r="AX240" s="35" t="str">
        <f t="shared" si="63"/>
        <v/>
      </c>
      <c r="AY240" s="35" t="str">
        <f t="shared" si="64"/>
        <v/>
      </c>
      <c r="AZ240" s="35" t="str">
        <f t="shared" si="65"/>
        <v/>
      </c>
      <c r="BA240" s="35" t="str">
        <f t="shared" si="66"/>
        <v/>
      </c>
      <c r="BB240" s="35" t="str">
        <f t="shared" si="67"/>
        <v/>
      </c>
      <c r="BC240" s="35"/>
      <c r="BE240" s="35" t="e">
        <f>INDEX(SF_Output!$AA$2:$AA$400,MATCH($B240,SF_Output!$M$2:$M$400,0))</f>
        <v>#N/A</v>
      </c>
      <c r="BF240" s="35" t="e">
        <f>INDEX(SF_Output!$AB$2:$AB$400,MATCH($B240,SF_Output!$M$2:$M$400,0))</f>
        <v>#N/A</v>
      </c>
    </row>
    <row r="241" spans="6:58" x14ac:dyDescent="0.25">
      <c r="F241" s="116" t="str">
        <f t="shared" si="51"/>
        <v/>
      </c>
      <c r="G241" t="str">
        <f>IF(B241="","",INDEX(SF_Output!$K$1:$K$400,MATCH(B241,SF_Output!$M$1:$M$400,0)))</f>
        <v/>
      </c>
      <c r="H241" t="str" cm="1">
        <f t="array" ref="H241">_xlfn.IFS(B241="","",(SUMIFS(SF_Output!$F$1:$F$400,SF_Output!$AC$1:$AC$400,_xlfn.TEXTJOIN(",",TRUE,B241:E241))+SUMIFS(SF_Output!$G$1:$G$400,SF_Output!$AC$1:$AC$400,_xlfn.TEXTJOIN(",",TRUE,B241:E241)))&lt;&gt;0,SF_Output!$Y$2,INDEX(SF_Output!$F$1:$F$400,MATCH(_xlfn.TEXTJOIN(",",TRUE,B241:E241),SF_Output!$AC$1:$AC$400,0))=0,INDEX(SF_Output!$R$1:$R$400,MATCH(_xlfn.TEXTJOIN(",",TRUE,B241:E241),SF_Output!$AC$1:$AC$400,0)))</f>
        <v/>
      </c>
      <c r="I241" s="125" t="str">
        <f>IFERROR(IF(AND(H241&gt;1,H241&lt;&gt;""),ROUND(SUMIFS(SF_Output!$S$1:$S$400,SF_Output!$AC$1:$AC$400,_xlfn.TEXTJOIN(",",TRUE,B241:E241),SF_Output!$Q$1:$Q$400,"monthly")*(1-W241)/H241,4),""),"")</f>
        <v/>
      </c>
      <c r="J241" s="6" t="str">
        <f>IF(B241="","",SUMIFS(SF_Output!$S$1:$S$400,SF_Output!$AC$1:$AC$400,_xlfn.TEXTJOIN(",",TRUE,B241:E241),SF_Output!$Q$1:$Q$400,"One Time",SF_Output!$L$1:$L$400,"license fee")+SUMIFS(SF_Output!$S$1:$S$400,SF_Output!$AC$1:$AC$400,_xlfn.TEXTJOIN(",",TRUE,B241:E241),SF_Output!$Q$1:$Q$400,"One Time",SF_Output!$L$1:$L$400,"software license")+SUMIFS(SF_Output!$S$1:$S$400,SF_Output!$AC$1:$AC$400,_xlfn.TEXTJOIN(",",TRUE,B241:E241),SF_Output!$Q$1:$Q$400,"One Time",SF_Output!$L$1:$L$400,"hardware"))</f>
        <v/>
      </c>
      <c r="K241" s="112" t="str">
        <f>IF(OR(B241=0,B241="",G241="hardware",J241=0),"",IF(AF241&lt;&gt;"exclusion",MAX(K$9,-((SUMIFS(SF_Output!$T$1:$T$400,SF_Output!$AC$1:$AC$400,_xlfn.TEXTJOIN(",",TRUE,$B241:$E241),SF_Output!$Q$1:$Q$400,"One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license"))/J241)))</f>
        <v/>
      </c>
      <c r="L241" s="6" t="str">
        <f t="shared" si="52"/>
        <v/>
      </c>
      <c r="N241" s="6" t="str">
        <f>IF(B241="","",SUMIFS(SF_Output!$S$1:$S$400,SF_Output!$AC$1:$AC$400,_xlfn.TEXTJOIN(",",TRUE,B241:E241),SF_Output!$Q$1:$Q$400,"One Time",SF_Output!$L$1:$L$400,"professional service"))</f>
        <v/>
      </c>
      <c r="O241" s="112" t="str">
        <f>IF(OR(B241=0,B241="",N241=0),"",IF(AF241&lt;&gt;"exclusion",MAX(O$9,-(SUMIFS(SF_Output!$T$1:$T$400,SF_Output!$AC$1:$AC$400,_xlfn.TEXTJOIN(",",TRUE,$B241:$E241),SF_Output!$Q$1:$Q$400,"One Time",SF_Output!$L$1:$L$400,"professional service"))/N241),-((SUMIFS(SF_Output!$T$1:$T$400,SF_Output!$AC$1:$AC$400,_xlfn.TEXTJOIN(",",TRUE,$B241:$E241),SF_Output!$Q$1:$Q$400,"One Time",SF_Output!$L$1:$L$400,"professional service")/N241))))</f>
        <v/>
      </c>
      <c r="P241" s="6" t="str">
        <f t="shared" si="53"/>
        <v/>
      </c>
      <c r="R241" s="6" t="str">
        <f>IF(B241="","",SUMIFS(SF_Output!$S$1:$S$400,SF_Output!$AC$1:$AC$400,_xlfn.TEXTJOIN(",",TRUE,B241:E241),SF_Output!$Q$1:$Q$400,"yearly")+SUMIFS(SF_Output!$S$1:$S$400,SF_Output!$AC$1:$AC$400,_xlfn.TEXTJOIN(",",TRUE,B241:E241),SF_Output!$Q$1:$Q$400,"quarterly")*4)</f>
        <v/>
      </c>
      <c r="S241" s="112" t="str">
        <f>IF(OR(B241=0,B241="",G241="hardware",R241=0),"",IF(AF241&lt;&gt;"exclusion",MAX(S$9,-(SUMIFS(SF_Output!$T$1:$T$400,SF_Output!$AC$1:$AC$400,_xlfn.TEXTJOIN(",",TRUE,$B241:$E241),SF_Output!$Q$1:$Q$400,"yearly"))/R241),-((SUMIFS(SF_Output!$T$1:$T$400,SF_Output!$AC$1:$AC$400,_xlfn.TEXTJOIN(",",TRUE,$B241:$E241),SF_Output!$Q$1:$Q$400,"yearly")/R241))))</f>
        <v/>
      </c>
      <c r="T241" s="6" t="str">
        <f t="shared" si="54"/>
        <v/>
      </c>
      <c r="V241" s="6" t="str" cm="1">
        <f t="array" ref="V241">_xlfn.IFS(B241="","",AND(B241&lt;&gt;"",H241=SF_Output!$Y$2,SUMIFS(SF_Output!$T$1:$T$400,SF_Output!$AC$1:$AC$400,_xlfn.TEXTJOIN(",",TRUE,B241:E241),SF_Output!$Q$1:$Q$400,"monthly")=0),(SUMIFS(SF_Output!$F$1:$F$400,SF_Output!$AC$1:$AC$400,_xlfn.TEXTJOIN(",",TRUE,B241:E241),SF_Output!$Q$1:$Q$400,"monthly")+SUMIFS(SF_Output!$G$1:$G$400,SF_Output!$AC$1:$AC$400,_xlfn.TEXTJOIN(",",TRUE,B241:E241),SF_Output!$Q$1:$Q$400,"monthly"))*H241,AND(B241&lt;&gt;"",H241=SF_Output!$Y$2,SUMIFS(SF_Output!$T$1:$T$400,SF_Output!$AC$1:$AC$400,_xlfn.TEXTJOIN(",",TRUE,B241:E241),SF_Output!$Q$1:$Q$400,"monthly")&lt;&gt;0),SUMIFS(SF_Output!$S$1:$S$400,SF_Output!$AC$1:$AC$400,_xlfn.TEXTJOIN(",",TRUE,B241:E241),SF_Output!$Q$1:$Q$400,"monthly"),AND(B241&lt;&gt;"",H241&lt;&gt;SF_Output!$Y$2),SUMIFS(SF_Output!$S$1:$S$400,SF_Output!$AC$1:$AC$400,_xlfn.TEXTJOIN(",",TRUE,B241:E241),SF_Output!$Q$1:$Q$400,"monthly"))</f>
        <v/>
      </c>
      <c r="W241" s="112" t="str" cm="1">
        <f t="array" ref="W241">_xlfn.IFS(OR(B241=0,B241="",V241=0),"",AF241&lt;&gt;"exclusion",MAX($W$9,$W$7,(-(SUMIFS(SF_Output!$T$1:$T$400,SF_Output!$AC$1:$AC$400,_xlfn.TEXTJOIN(",",TRUE,$B241:$E241),SF_Output!$Q$1:$Q$400,"monthly"))/V241)),AF241="exclusion",-(SUMIFS(SF_Output!$T$1:$T$400,SF_Output!$AC$1:$AC$400,_xlfn.TEXTJOIN(",",TRUE,$B241:$E241),SF_Output!$Q$1:$Q$400,"monthly"))/V241)</f>
        <v/>
      </c>
      <c r="X241" s="6" t="str" cm="1">
        <f t="array" ref="X241">IFERROR(_xlfn.IFS(V241=0,0,V241="","",W241=0,V241,OR(V241&lt;&gt;0,V241&lt;&gt;""),H241*I241),V241*(1-W241))</f>
        <v/>
      </c>
      <c r="Z241" s="6" t="str">
        <f>IFERROR(IF(B241="","",SUMIFS(Billing_Fallout!H:H,Billing_Fallout!N:N,B241)),0)</f>
        <v/>
      </c>
      <c r="AA241" s="6" t="str">
        <f t="shared" si="55"/>
        <v/>
      </c>
      <c r="AB241" s="6" t="str">
        <f>IFERROR(IF(B241="","",SUMIFS(Billing_Fallout!J:J,Billing_Fallout!N:N,B241)),0)</f>
        <v/>
      </c>
      <c r="AD241" s="6" t="str">
        <f t="shared" si="56"/>
        <v/>
      </c>
      <c r="AF241" t="str">
        <f>IFERROR(INDEX(H_Tables!$B$1:$B$1500,MATCH(INDEX(SF_Output!$J$1:$J$400,MATCH(B241,SF_Output!$M$1:$M$400,0)),H_Tables!$A$1:$A$1500,0)),"")</f>
        <v/>
      </c>
      <c r="AI241" s="119" t="str">
        <f t="shared" si="57"/>
        <v/>
      </c>
      <c r="AJ241" s="121">
        <f>IFERROR(INDEX(SF_Output!AD:AD,MATCH(_xlfn.TEXTJOIN(",",TRUE,B241:E241),SF_Output!AC1:AC400,0)),0.05)</f>
        <v>241</v>
      </c>
      <c r="AK241" t="str">
        <f>IF(SUMIFS(SF_Output!$F$1:$F$400,SF_Output!$AC$1:$AC$400,_xlfn.TEXTJOIN(",",TRUE,B241:E241))+SUMIFS(SF_Output!$G$1:$G$400,SF_Output!$AC$1:$AC$400,_xlfn.TEXTJOIN(",",TRUE,B241:E241))=0,"","PAP")</f>
        <v/>
      </c>
      <c r="AQ241" s="35"/>
      <c r="AR241" s="35" t="str" cm="1">
        <f t="array" ref="AR241">IFERROR(_xlfn.IFS(AND(E241*1=1,F241="Included"),"Change to Included",AND(E241*1=0,F241="Optional"),"Change to Optional",OR(B241="",F241="replaced"),""),"")</f>
        <v/>
      </c>
      <c r="AS241" s="35" t="str">
        <f t="shared" si="58"/>
        <v/>
      </c>
      <c r="AT241" s="35" t="str">
        <f t="shared" si="59"/>
        <v/>
      </c>
      <c r="AU241" s="35" t="str">
        <f t="shared" si="60"/>
        <v/>
      </c>
      <c r="AV241" s="35" t="str">
        <f t="shared" si="61"/>
        <v/>
      </c>
      <c r="AW241" s="35" t="str">
        <f t="shared" si="62"/>
        <v/>
      </c>
      <c r="AX241" s="35" t="str">
        <f t="shared" si="63"/>
        <v/>
      </c>
      <c r="AY241" s="35" t="str">
        <f t="shared" si="64"/>
        <v/>
      </c>
      <c r="AZ241" s="35" t="str">
        <f t="shared" si="65"/>
        <v/>
      </c>
      <c r="BA241" s="35" t="str">
        <f t="shared" si="66"/>
        <v/>
      </c>
      <c r="BB241" s="35" t="str">
        <f t="shared" si="67"/>
        <v/>
      </c>
      <c r="BC241" s="35"/>
      <c r="BE241" s="35" t="e">
        <f>INDEX(SF_Output!$AA$2:$AA$400,MATCH($B241,SF_Output!$M$2:$M$400,0))</f>
        <v>#N/A</v>
      </c>
      <c r="BF241" s="35" t="e">
        <f>INDEX(SF_Output!$AB$2:$AB$400,MATCH($B241,SF_Output!$M$2:$M$400,0))</f>
        <v>#N/A</v>
      </c>
    </row>
    <row r="242" spans="6:58" x14ac:dyDescent="0.25">
      <c r="F242" s="116" t="str">
        <f t="shared" si="51"/>
        <v/>
      </c>
      <c r="G242" t="str">
        <f>IF(B242="","",INDEX(SF_Output!$K$1:$K$400,MATCH(B242,SF_Output!$M$1:$M$400,0)))</f>
        <v/>
      </c>
      <c r="H242" t="str" cm="1">
        <f t="array" ref="H242">_xlfn.IFS(B242="","",(SUMIFS(SF_Output!$F$1:$F$400,SF_Output!$AC$1:$AC$400,_xlfn.TEXTJOIN(",",TRUE,B242:E242))+SUMIFS(SF_Output!$G$1:$G$400,SF_Output!$AC$1:$AC$400,_xlfn.TEXTJOIN(",",TRUE,B242:E242)))&lt;&gt;0,SF_Output!$Y$2,INDEX(SF_Output!$F$1:$F$400,MATCH(_xlfn.TEXTJOIN(",",TRUE,B242:E242),SF_Output!$AC$1:$AC$400,0))=0,INDEX(SF_Output!$R$1:$R$400,MATCH(_xlfn.TEXTJOIN(",",TRUE,B242:E242),SF_Output!$AC$1:$AC$400,0)))</f>
        <v/>
      </c>
      <c r="I242" s="125" t="str">
        <f>IFERROR(IF(AND(H242&gt;1,H242&lt;&gt;""),ROUND(SUMIFS(SF_Output!$S$1:$S$400,SF_Output!$AC$1:$AC$400,_xlfn.TEXTJOIN(",",TRUE,B242:E242),SF_Output!$Q$1:$Q$400,"monthly")*(1-W242)/H242,4),""),"")</f>
        <v/>
      </c>
      <c r="J242" s="6" t="str">
        <f>IF(B242="","",SUMIFS(SF_Output!$S$1:$S$400,SF_Output!$AC$1:$AC$400,_xlfn.TEXTJOIN(",",TRUE,B242:E242),SF_Output!$Q$1:$Q$400,"One Time",SF_Output!$L$1:$L$400,"license fee")+SUMIFS(SF_Output!$S$1:$S$400,SF_Output!$AC$1:$AC$400,_xlfn.TEXTJOIN(",",TRUE,B242:E242),SF_Output!$Q$1:$Q$400,"One Time",SF_Output!$L$1:$L$400,"software license")+SUMIFS(SF_Output!$S$1:$S$400,SF_Output!$AC$1:$AC$400,_xlfn.TEXTJOIN(",",TRUE,B242:E242),SF_Output!$Q$1:$Q$400,"One Time",SF_Output!$L$1:$L$400,"hardware"))</f>
        <v/>
      </c>
      <c r="K242" s="112" t="str">
        <f>IF(OR(B242=0,B242="",G242="hardware",J242=0),"",IF(AF242&lt;&gt;"exclusion",MAX(K$9,-((SUMIFS(SF_Output!$T$1:$T$400,SF_Output!$AC$1:$AC$400,_xlfn.TEXTJOIN(",",TRUE,$B242:$E242),SF_Output!$Q$1:$Q$400,"One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license"))/J242)))</f>
        <v/>
      </c>
      <c r="L242" s="6" t="str">
        <f t="shared" si="52"/>
        <v/>
      </c>
      <c r="N242" s="6" t="str">
        <f>IF(B242="","",SUMIFS(SF_Output!$S$1:$S$400,SF_Output!$AC$1:$AC$400,_xlfn.TEXTJOIN(",",TRUE,B242:E242),SF_Output!$Q$1:$Q$400,"One Time",SF_Output!$L$1:$L$400,"professional service"))</f>
        <v/>
      </c>
      <c r="O242" s="112" t="str">
        <f>IF(OR(B242=0,B242="",N242=0),"",IF(AF242&lt;&gt;"exclusion",MAX(O$9,-(SUMIFS(SF_Output!$T$1:$T$400,SF_Output!$AC$1:$AC$400,_xlfn.TEXTJOIN(",",TRUE,$B242:$E242),SF_Output!$Q$1:$Q$400,"One Time",SF_Output!$L$1:$L$400,"professional service"))/N242),-((SUMIFS(SF_Output!$T$1:$T$400,SF_Output!$AC$1:$AC$400,_xlfn.TEXTJOIN(",",TRUE,$B242:$E242),SF_Output!$Q$1:$Q$400,"One Time",SF_Output!$L$1:$L$400,"professional service")/N242))))</f>
        <v/>
      </c>
      <c r="P242" s="6" t="str">
        <f t="shared" si="53"/>
        <v/>
      </c>
      <c r="R242" s="6" t="str">
        <f>IF(B242="","",SUMIFS(SF_Output!$S$1:$S$400,SF_Output!$AC$1:$AC$400,_xlfn.TEXTJOIN(",",TRUE,B242:E242),SF_Output!$Q$1:$Q$400,"yearly")+SUMIFS(SF_Output!$S$1:$S$400,SF_Output!$AC$1:$AC$400,_xlfn.TEXTJOIN(",",TRUE,B242:E242),SF_Output!$Q$1:$Q$400,"quarterly")*4)</f>
        <v/>
      </c>
      <c r="S242" s="112" t="str">
        <f>IF(OR(B242=0,B242="",G242="hardware",R242=0),"",IF(AF242&lt;&gt;"exclusion",MAX(S$9,-(SUMIFS(SF_Output!$T$1:$T$400,SF_Output!$AC$1:$AC$400,_xlfn.TEXTJOIN(",",TRUE,$B242:$E242),SF_Output!$Q$1:$Q$400,"yearly"))/R242),-((SUMIFS(SF_Output!$T$1:$T$400,SF_Output!$AC$1:$AC$400,_xlfn.TEXTJOIN(",",TRUE,$B242:$E242),SF_Output!$Q$1:$Q$400,"yearly")/R242))))</f>
        <v/>
      </c>
      <c r="T242" s="6" t="str">
        <f t="shared" si="54"/>
        <v/>
      </c>
      <c r="V242" s="6" t="str" cm="1">
        <f t="array" ref="V242">_xlfn.IFS(B242="","",AND(B242&lt;&gt;"",H242=SF_Output!$Y$2,SUMIFS(SF_Output!$T$1:$T$400,SF_Output!$AC$1:$AC$400,_xlfn.TEXTJOIN(",",TRUE,B242:E242),SF_Output!$Q$1:$Q$400,"monthly")=0),(SUMIFS(SF_Output!$F$1:$F$400,SF_Output!$AC$1:$AC$400,_xlfn.TEXTJOIN(",",TRUE,B242:E242),SF_Output!$Q$1:$Q$400,"monthly")+SUMIFS(SF_Output!$G$1:$G$400,SF_Output!$AC$1:$AC$400,_xlfn.TEXTJOIN(",",TRUE,B242:E242),SF_Output!$Q$1:$Q$400,"monthly"))*H242,AND(B242&lt;&gt;"",H242=SF_Output!$Y$2,SUMIFS(SF_Output!$T$1:$T$400,SF_Output!$AC$1:$AC$400,_xlfn.TEXTJOIN(",",TRUE,B242:E242),SF_Output!$Q$1:$Q$400,"monthly")&lt;&gt;0),SUMIFS(SF_Output!$S$1:$S$400,SF_Output!$AC$1:$AC$400,_xlfn.TEXTJOIN(",",TRUE,B242:E242),SF_Output!$Q$1:$Q$400,"monthly"),AND(B242&lt;&gt;"",H242&lt;&gt;SF_Output!$Y$2),SUMIFS(SF_Output!$S$1:$S$400,SF_Output!$AC$1:$AC$400,_xlfn.TEXTJOIN(",",TRUE,B242:E242),SF_Output!$Q$1:$Q$400,"monthly"))</f>
        <v/>
      </c>
      <c r="W242" s="112" t="str" cm="1">
        <f t="array" ref="W242">_xlfn.IFS(OR(B242=0,B242="",V242=0),"",AF242&lt;&gt;"exclusion",MAX($W$9,$W$7,(-(SUMIFS(SF_Output!$T$1:$T$400,SF_Output!$AC$1:$AC$400,_xlfn.TEXTJOIN(",",TRUE,$B242:$E242),SF_Output!$Q$1:$Q$400,"monthly"))/V242)),AF242="exclusion",-(SUMIFS(SF_Output!$T$1:$T$400,SF_Output!$AC$1:$AC$400,_xlfn.TEXTJOIN(",",TRUE,$B242:$E242),SF_Output!$Q$1:$Q$400,"monthly"))/V242)</f>
        <v/>
      </c>
      <c r="X242" s="6" t="str" cm="1">
        <f t="array" ref="X242">IFERROR(_xlfn.IFS(V242=0,0,V242="","",W242=0,V242,OR(V242&lt;&gt;0,V242&lt;&gt;""),H242*I242),V242*(1-W242))</f>
        <v/>
      </c>
      <c r="Z242" s="6" t="str">
        <f>IFERROR(IF(B242="","",SUMIFS(Billing_Fallout!H:H,Billing_Fallout!N:N,B242)),0)</f>
        <v/>
      </c>
      <c r="AA242" s="6" t="str">
        <f t="shared" si="55"/>
        <v/>
      </c>
      <c r="AB242" s="6" t="str">
        <f>IFERROR(IF(B242="","",SUMIFS(Billing_Fallout!J:J,Billing_Fallout!N:N,B242)),0)</f>
        <v/>
      </c>
      <c r="AD242" s="6" t="str">
        <f t="shared" si="56"/>
        <v/>
      </c>
      <c r="AF242" t="str">
        <f>IFERROR(INDEX(H_Tables!$B$1:$B$1500,MATCH(INDEX(SF_Output!$J$1:$J$400,MATCH(B242,SF_Output!$M$1:$M$400,0)),H_Tables!$A$1:$A$1500,0)),"")</f>
        <v/>
      </c>
      <c r="AI242" s="119" t="str">
        <f t="shared" si="57"/>
        <v/>
      </c>
      <c r="AJ242" s="121">
        <f>IFERROR(INDEX(SF_Output!AD:AD,MATCH(_xlfn.TEXTJOIN(",",TRUE,B242:E242),SF_Output!AC1:AC400,0)),0.05)</f>
        <v>241</v>
      </c>
      <c r="AK242" t="str">
        <f>IF(SUMIFS(SF_Output!$F$1:$F$400,SF_Output!$AC$1:$AC$400,_xlfn.TEXTJOIN(",",TRUE,B242:E242))+SUMIFS(SF_Output!$G$1:$G$400,SF_Output!$AC$1:$AC$400,_xlfn.TEXTJOIN(",",TRUE,B242:E242))=0,"","PAP")</f>
        <v/>
      </c>
      <c r="AQ242" s="35"/>
      <c r="AR242" s="35" t="str" cm="1">
        <f t="array" ref="AR242">IFERROR(_xlfn.IFS(AND(E242*1=1,F242="Included"),"Change to Included",AND(E242*1=0,F242="Optional"),"Change to Optional",OR(B242="",F242="replaced"),""),"")</f>
        <v/>
      </c>
      <c r="AS242" s="35" t="str">
        <f t="shared" si="58"/>
        <v/>
      </c>
      <c r="AT242" s="35" t="str">
        <f t="shared" si="59"/>
        <v/>
      </c>
      <c r="AU242" s="35" t="str">
        <f t="shared" si="60"/>
        <v/>
      </c>
      <c r="AV242" s="35" t="str">
        <f t="shared" si="61"/>
        <v/>
      </c>
      <c r="AW242" s="35" t="str">
        <f t="shared" si="62"/>
        <v/>
      </c>
      <c r="AX242" s="35" t="str">
        <f t="shared" si="63"/>
        <v/>
      </c>
      <c r="AY242" s="35" t="str">
        <f t="shared" si="64"/>
        <v/>
      </c>
      <c r="AZ242" s="35" t="str">
        <f t="shared" si="65"/>
        <v/>
      </c>
      <c r="BA242" s="35" t="str">
        <f t="shared" si="66"/>
        <v/>
      </c>
      <c r="BB242" s="35" t="str">
        <f t="shared" si="67"/>
        <v/>
      </c>
      <c r="BC242" s="35"/>
      <c r="BE242" s="35" t="e">
        <f>INDEX(SF_Output!$AA$2:$AA$400,MATCH($B242,SF_Output!$M$2:$M$400,0))</f>
        <v>#N/A</v>
      </c>
      <c r="BF242" s="35" t="e">
        <f>INDEX(SF_Output!$AB$2:$AB$400,MATCH($B242,SF_Output!$M$2:$M$400,0))</f>
        <v>#N/A</v>
      </c>
    </row>
    <row r="243" spans="6:58" x14ac:dyDescent="0.25">
      <c r="F243" s="116" t="str">
        <f t="shared" si="51"/>
        <v/>
      </c>
      <c r="G243" t="str">
        <f>IF(B243="","",INDEX(SF_Output!$K$1:$K$400,MATCH(B243,SF_Output!$M$1:$M$400,0)))</f>
        <v/>
      </c>
      <c r="H243" t="str" cm="1">
        <f t="array" ref="H243">_xlfn.IFS(B243="","",(SUMIFS(SF_Output!$F$1:$F$400,SF_Output!$AC$1:$AC$400,_xlfn.TEXTJOIN(",",TRUE,B243:E243))+SUMIFS(SF_Output!$G$1:$G$400,SF_Output!$AC$1:$AC$400,_xlfn.TEXTJOIN(",",TRUE,B243:E243)))&lt;&gt;0,SF_Output!$Y$2,INDEX(SF_Output!$F$1:$F$400,MATCH(_xlfn.TEXTJOIN(",",TRUE,B243:E243),SF_Output!$AC$1:$AC$400,0))=0,INDEX(SF_Output!$R$1:$R$400,MATCH(_xlfn.TEXTJOIN(",",TRUE,B243:E243),SF_Output!$AC$1:$AC$400,0)))</f>
        <v/>
      </c>
      <c r="I243" s="125" t="str">
        <f>IFERROR(IF(AND(H243&gt;1,H243&lt;&gt;""),ROUND(SUMIFS(SF_Output!$S$1:$S$400,SF_Output!$AC$1:$AC$400,_xlfn.TEXTJOIN(",",TRUE,B243:E243),SF_Output!$Q$1:$Q$400,"monthly")*(1-W243)/H243,4),""),"")</f>
        <v/>
      </c>
      <c r="J243" s="6" t="str">
        <f>IF(B243="","",SUMIFS(SF_Output!$S$1:$S$400,SF_Output!$AC$1:$AC$400,_xlfn.TEXTJOIN(",",TRUE,B243:E243),SF_Output!$Q$1:$Q$400,"One Time",SF_Output!$L$1:$L$400,"license fee")+SUMIFS(SF_Output!$S$1:$S$400,SF_Output!$AC$1:$AC$400,_xlfn.TEXTJOIN(",",TRUE,B243:E243),SF_Output!$Q$1:$Q$400,"One Time",SF_Output!$L$1:$L$400,"software license")+SUMIFS(SF_Output!$S$1:$S$400,SF_Output!$AC$1:$AC$400,_xlfn.TEXTJOIN(",",TRUE,B243:E243),SF_Output!$Q$1:$Q$400,"One Time",SF_Output!$L$1:$L$400,"hardware"))</f>
        <v/>
      </c>
      <c r="K243" s="112" t="str">
        <f>IF(OR(B243=0,B243="",G243="hardware",J243=0),"",IF(AF243&lt;&gt;"exclusion",MAX(K$9,-((SUMIFS(SF_Output!$T$1:$T$400,SF_Output!$AC$1:$AC$400,_xlfn.TEXTJOIN(",",TRUE,$B243:$E243),SF_Output!$Q$1:$Q$400,"One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license"))/J243)))</f>
        <v/>
      </c>
      <c r="L243" s="6" t="str">
        <f t="shared" si="52"/>
        <v/>
      </c>
      <c r="N243" s="6" t="str">
        <f>IF(B243="","",SUMIFS(SF_Output!$S$1:$S$400,SF_Output!$AC$1:$AC$400,_xlfn.TEXTJOIN(",",TRUE,B243:E243),SF_Output!$Q$1:$Q$400,"One Time",SF_Output!$L$1:$L$400,"professional service"))</f>
        <v/>
      </c>
      <c r="O243" s="112" t="str">
        <f>IF(OR(B243=0,B243="",N243=0),"",IF(AF243&lt;&gt;"exclusion",MAX(O$9,-(SUMIFS(SF_Output!$T$1:$T$400,SF_Output!$AC$1:$AC$400,_xlfn.TEXTJOIN(",",TRUE,$B243:$E243),SF_Output!$Q$1:$Q$400,"One Time",SF_Output!$L$1:$L$400,"professional service"))/N243),-((SUMIFS(SF_Output!$T$1:$T$400,SF_Output!$AC$1:$AC$400,_xlfn.TEXTJOIN(",",TRUE,$B243:$E243),SF_Output!$Q$1:$Q$400,"One Time",SF_Output!$L$1:$L$400,"professional service")/N243))))</f>
        <v/>
      </c>
      <c r="P243" s="6" t="str">
        <f t="shared" si="53"/>
        <v/>
      </c>
      <c r="R243" s="6" t="str">
        <f>IF(B243="","",SUMIFS(SF_Output!$S$1:$S$400,SF_Output!$AC$1:$AC$400,_xlfn.TEXTJOIN(",",TRUE,B243:E243),SF_Output!$Q$1:$Q$400,"yearly")+SUMIFS(SF_Output!$S$1:$S$400,SF_Output!$AC$1:$AC$400,_xlfn.TEXTJOIN(",",TRUE,B243:E243),SF_Output!$Q$1:$Q$400,"quarterly")*4)</f>
        <v/>
      </c>
      <c r="S243" s="112" t="str">
        <f>IF(OR(B243=0,B243="",G243="hardware",R243=0),"",IF(AF243&lt;&gt;"exclusion",MAX(S$9,-(SUMIFS(SF_Output!$T$1:$T$400,SF_Output!$AC$1:$AC$400,_xlfn.TEXTJOIN(",",TRUE,$B243:$E243),SF_Output!$Q$1:$Q$400,"yearly"))/R243),-((SUMIFS(SF_Output!$T$1:$T$400,SF_Output!$AC$1:$AC$400,_xlfn.TEXTJOIN(",",TRUE,$B243:$E243),SF_Output!$Q$1:$Q$400,"yearly")/R243))))</f>
        <v/>
      </c>
      <c r="T243" s="6" t="str">
        <f t="shared" si="54"/>
        <v/>
      </c>
      <c r="V243" s="6" t="str" cm="1">
        <f t="array" ref="V243">_xlfn.IFS(B243="","",AND(B243&lt;&gt;"",H243=SF_Output!$Y$2,SUMIFS(SF_Output!$T$1:$T$400,SF_Output!$AC$1:$AC$400,_xlfn.TEXTJOIN(",",TRUE,B243:E243),SF_Output!$Q$1:$Q$400,"monthly")=0),(SUMIFS(SF_Output!$F$1:$F$400,SF_Output!$AC$1:$AC$400,_xlfn.TEXTJOIN(",",TRUE,B243:E243),SF_Output!$Q$1:$Q$400,"monthly")+SUMIFS(SF_Output!$G$1:$G$400,SF_Output!$AC$1:$AC$400,_xlfn.TEXTJOIN(",",TRUE,B243:E243),SF_Output!$Q$1:$Q$400,"monthly"))*H243,AND(B243&lt;&gt;"",H243=SF_Output!$Y$2,SUMIFS(SF_Output!$T$1:$T$400,SF_Output!$AC$1:$AC$400,_xlfn.TEXTJOIN(",",TRUE,B243:E243),SF_Output!$Q$1:$Q$400,"monthly")&lt;&gt;0),SUMIFS(SF_Output!$S$1:$S$400,SF_Output!$AC$1:$AC$400,_xlfn.TEXTJOIN(",",TRUE,B243:E243),SF_Output!$Q$1:$Q$400,"monthly"),AND(B243&lt;&gt;"",H243&lt;&gt;SF_Output!$Y$2),SUMIFS(SF_Output!$S$1:$S$400,SF_Output!$AC$1:$AC$400,_xlfn.TEXTJOIN(",",TRUE,B243:E243),SF_Output!$Q$1:$Q$400,"monthly"))</f>
        <v/>
      </c>
      <c r="W243" s="112" t="str" cm="1">
        <f t="array" ref="W243">_xlfn.IFS(OR(B243=0,B243="",V243=0),"",AF243&lt;&gt;"exclusion",MAX($W$9,$W$7,(-(SUMIFS(SF_Output!$T$1:$T$400,SF_Output!$AC$1:$AC$400,_xlfn.TEXTJOIN(",",TRUE,$B243:$E243),SF_Output!$Q$1:$Q$400,"monthly"))/V243)),AF243="exclusion",-(SUMIFS(SF_Output!$T$1:$T$400,SF_Output!$AC$1:$AC$400,_xlfn.TEXTJOIN(",",TRUE,$B243:$E243),SF_Output!$Q$1:$Q$400,"monthly"))/V243)</f>
        <v/>
      </c>
      <c r="X243" s="6" t="str" cm="1">
        <f t="array" ref="X243">IFERROR(_xlfn.IFS(V243=0,0,V243="","",W243=0,V243,OR(V243&lt;&gt;0,V243&lt;&gt;""),H243*I243),V243*(1-W243))</f>
        <v/>
      </c>
      <c r="Z243" s="6" t="str">
        <f>IFERROR(IF(B243="","",SUMIFS(Billing_Fallout!H:H,Billing_Fallout!N:N,B243)),0)</f>
        <v/>
      </c>
      <c r="AA243" s="6" t="str">
        <f t="shared" si="55"/>
        <v/>
      </c>
      <c r="AB243" s="6" t="str">
        <f>IFERROR(IF(B243="","",SUMIFS(Billing_Fallout!J:J,Billing_Fallout!N:N,B243)),0)</f>
        <v/>
      </c>
      <c r="AD243" s="6" t="str">
        <f t="shared" si="56"/>
        <v/>
      </c>
      <c r="AF243" t="str">
        <f>IFERROR(INDEX(H_Tables!$B$1:$B$1500,MATCH(INDEX(SF_Output!$J$1:$J$400,MATCH(B243,SF_Output!$M$1:$M$400,0)),H_Tables!$A$1:$A$1500,0)),"")</f>
        <v/>
      </c>
      <c r="AI243" s="119" t="str">
        <f t="shared" si="57"/>
        <v/>
      </c>
      <c r="AJ243" s="121">
        <f>IFERROR(INDEX(SF_Output!AD:AD,MATCH(_xlfn.TEXTJOIN(",",TRUE,B243:E243),SF_Output!AC1:AC400,0)),0.05)</f>
        <v>241</v>
      </c>
      <c r="AK243" t="str">
        <f>IF(SUMIFS(SF_Output!$F$1:$F$400,SF_Output!$AC$1:$AC$400,_xlfn.TEXTJOIN(",",TRUE,B243:E243))+SUMIFS(SF_Output!$G$1:$G$400,SF_Output!$AC$1:$AC$400,_xlfn.TEXTJOIN(",",TRUE,B243:E243))=0,"","PAP")</f>
        <v/>
      </c>
      <c r="AQ243" s="35"/>
      <c r="AR243" s="35" t="str" cm="1">
        <f t="array" ref="AR243">IFERROR(_xlfn.IFS(AND(E243*1=1,F243="Included"),"Change to Included",AND(E243*1=0,F243="Optional"),"Change to Optional",OR(B243="",F243="replaced"),""),"")</f>
        <v/>
      </c>
      <c r="AS243" s="35" t="str">
        <f t="shared" si="58"/>
        <v/>
      </c>
      <c r="AT243" s="35" t="str">
        <f t="shared" si="59"/>
        <v/>
      </c>
      <c r="AU243" s="35" t="str">
        <f t="shared" si="60"/>
        <v/>
      </c>
      <c r="AV243" s="35" t="str">
        <f t="shared" si="61"/>
        <v/>
      </c>
      <c r="AW243" s="35" t="str">
        <f t="shared" si="62"/>
        <v/>
      </c>
      <c r="AX243" s="35" t="str">
        <f t="shared" si="63"/>
        <v/>
      </c>
      <c r="AY243" s="35" t="str">
        <f t="shared" si="64"/>
        <v/>
      </c>
      <c r="AZ243" s="35" t="str">
        <f t="shared" si="65"/>
        <v/>
      </c>
      <c r="BA243" s="35" t="str">
        <f t="shared" si="66"/>
        <v/>
      </c>
      <c r="BB243" s="35" t="str">
        <f t="shared" si="67"/>
        <v/>
      </c>
      <c r="BC243" s="35"/>
      <c r="BE243" s="35" t="e">
        <f>INDEX(SF_Output!$AA$2:$AA$400,MATCH($B243,SF_Output!$M$2:$M$400,0))</f>
        <v>#N/A</v>
      </c>
      <c r="BF243" s="35" t="e">
        <f>INDEX(SF_Output!$AB$2:$AB$400,MATCH($B243,SF_Output!$M$2:$M$400,0))</f>
        <v>#N/A</v>
      </c>
    </row>
    <row r="244" spans="6:58" x14ac:dyDescent="0.25">
      <c r="F244" s="116" t="str">
        <f t="shared" si="51"/>
        <v/>
      </c>
      <c r="G244" t="str">
        <f>IF(B244="","",INDEX(SF_Output!$K$1:$K$400,MATCH(B244,SF_Output!$M$1:$M$400,0)))</f>
        <v/>
      </c>
      <c r="H244" t="str" cm="1">
        <f t="array" ref="H244">_xlfn.IFS(B244="","",(SUMIFS(SF_Output!$F$1:$F$400,SF_Output!$AC$1:$AC$400,_xlfn.TEXTJOIN(",",TRUE,B244:E244))+SUMIFS(SF_Output!$G$1:$G$400,SF_Output!$AC$1:$AC$400,_xlfn.TEXTJOIN(",",TRUE,B244:E244)))&lt;&gt;0,SF_Output!$Y$2,INDEX(SF_Output!$F$1:$F$400,MATCH(_xlfn.TEXTJOIN(",",TRUE,B244:E244),SF_Output!$AC$1:$AC$400,0))=0,INDEX(SF_Output!$R$1:$R$400,MATCH(_xlfn.TEXTJOIN(",",TRUE,B244:E244),SF_Output!$AC$1:$AC$400,0)))</f>
        <v/>
      </c>
      <c r="I244" s="125" t="str">
        <f>IFERROR(IF(AND(H244&gt;1,H244&lt;&gt;""),ROUND(SUMIFS(SF_Output!$S$1:$S$400,SF_Output!$AC$1:$AC$400,_xlfn.TEXTJOIN(",",TRUE,B244:E244),SF_Output!$Q$1:$Q$400,"monthly")*(1-W244)/H244,4),""),"")</f>
        <v/>
      </c>
      <c r="J244" s="6" t="str">
        <f>IF(B244="","",SUMIFS(SF_Output!$S$1:$S$400,SF_Output!$AC$1:$AC$400,_xlfn.TEXTJOIN(",",TRUE,B244:E244),SF_Output!$Q$1:$Q$400,"One Time",SF_Output!$L$1:$L$400,"license fee")+SUMIFS(SF_Output!$S$1:$S$400,SF_Output!$AC$1:$AC$400,_xlfn.TEXTJOIN(",",TRUE,B244:E244),SF_Output!$Q$1:$Q$400,"One Time",SF_Output!$L$1:$L$400,"software license")+SUMIFS(SF_Output!$S$1:$S$400,SF_Output!$AC$1:$AC$400,_xlfn.TEXTJOIN(",",TRUE,B244:E244),SF_Output!$Q$1:$Q$400,"One Time",SF_Output!$L$1:$L$400,"hardware"))</f>
        <v/>
      </c>
      <c r="K244" s="112" t="str">
        <f>IF(OR(B244=0,B244="",G244="hardware",J244=0),"",IF(AF244&lt;&gt;"exclusion",MAX(K$9,-((SUMIFS(SF_Output!$T$1:$T$400,SF_Output!$AC$1:$AC$400,_xlfn.TEXTJOIN(",",TRUE,$B244:$E244),SF_Output!$Q$1:$Q$400,"One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license"))/J244)))</f>
        <v/>
      </c>
      <c r="L244" s="6" t="str">
        <f t="shared" si="52"/>
        <v/>
      </c>
      <c r="N244" s="6" t="str">
        <f>IF(B244="","",SUMIFS(SF_Output!$S$1:$S$400,SF_Output!$AC$1:$AC$400,_xlfn.TEXTJOIN(",",TRUE,B244:E244),SF_Output!$Q$1:$Q$400,"One Time",SF_Output!$L$1:$L$400,"professional service"))</f>
        <v/>
      </c>
      <c r="O244" s="112" t="str">
        <f>IF(OR(B244=0,B244="",N244=0),"",IF(AF244&lt;&gt;"exclusion",MAX(O$9,-(SUMIFS(SF_Output!$T$1:$T$400,SF_Output!$AC$1:$AC$400,_xlfn.TEXTJOIN(",",TRUE,$B244:$E244),SF_Output!$Q$1:$Q$400,"One Time",SF_Output!$L$1:$L$400,"professional service"))/N244),-((SUMIFS(SF_Output!$T$1:$T$400,SF_Output!$AC$1:$AC$400,_xlfn.TEXTJOIN(",",TRUE,$B244:$E244),SF_Output!$Q$1:$Q$400,"One Time",SF_Output!$L$1:$L$400,"professional service")/N244))))</f>
        <v/>
      </c>
      <c r="P244" s="6" t="str">
        <f t="shared" si="53"/>
        <v/>
      </c>
      <c r="R244" s="6" t="str">
        <f>IF(B244="","",SUMIFS(SF_Output!$S$1:$S$400,SF_Output!$AC$1:$AC$400,_xlfn.TEXTJOIN(",",TRUE,B244:E244),SF_Output!$Q$1:$Q$400,"yearly")+SUMIFS(SF_Output!$S$1:$S$400,SF_Output!$AC$1:$AC$400,_xlfn.TEXTJOIN(",",TRUE,B244:E244),SF_Output!$Q$1:$Q$400,"quarterly")*4)</f>
        <v/>
      </c>
      <c r="S244" s="112" t="str">
        <f>IF(OR(B244=0,B244="",G244="hardware",R244=0),"",IF(AF244&lt;&gt;"exclusion",MAX(S$9,-(SUMIFS(SF_Output!$T$1:$T$400,SF_Output!$AC$1:$AC$400,_xlfn.TEXTJOIN(",",TRUE,$B244:$E244),SF_Output!$Q$1:$Q$400,"yearly"))/R244),-((SUMIFS(SF_Output!$T$1:$T$400,SF_Output!$AC$1:$AC$400,_xlfn.TEXTJOIN(",",TRUE,$B244:$E244),SF_Output!$Q$1:$Q$400,"yearly")/R244))))</f>
        <v/>
      </c>
      <c r="T244" s="6" t="str">
        <f t="shared" si="54"/>
        <v/>
      </c>
      <c r="V244" s="6" t="str" cm="1">
        <f t="array" ref="V244">_xlfn.IFS(B244="","",AND(B244&lt;&gt;"",H244=SF_Output!$Y$2,SUMIFS(SF_Output!$T$1:$T$400,SF_Output!$AC$1:$AC$400,_xlfn.TEXTJOIN(",",TRUE,B244:E244),SF_Output!$Q$1:$Q$400,"monthly")=0),(SUMIFS(SF_Output!$F$1:$F$400,SF_Output!$AC$1:$AC$400,_xlfn.TEXTJOIN(",",TRUE,B244:E244),SF_Output!$Q$1:$Q$400,"monthly")+SUMIFS(SF_Output!$G$1:$G$400,SF_Output!$AC$1:$AC$400,_xlfn.TEXTJOIN(",",TRUE,B244:E244),SF_Output!$Q$1:$Q$400,"monthly"))*H244,AND(B244&lt;&gt;"",H244=SF_Output!$Y$2,SUMIFS(SF_Output!$T$1:$T$400,SF_Output!$AC$1:$AC$400,_xlfn.TEXTJOIN(",",TRUE,B244:E244),SF_Output!$Q$1:$Q$400,"monthly")&lt;&gt;0),SUMIFS(SF_Output!$S$1:$S$400,SF_Output!$AC$1:$AC$400,_xlfn.TEXTJOIN(",",TRUE,B244:E244),SF_Output!$Q$1:$Q$400,"monthly"),AND(B244&lt;&gt;"",H244&lt;&gt;SF_Output!$Y$2),SUMIFS(SF_Output!$S$1:$S$400,SF_Output!$AC$1:$AC$400,_xlfn.TEXTJOIN(",",TRUE,B244:E244),SF_Output!$Q$1:$Q$400,"monthly"))</f>
        <v/>
      </c>
      <c r="W244" s="112" t="str" cm="1">
        <f t="array" ref="W244">_xlfn.IFS(OR(B244=0,B244="",V244=0),"",AF244&lt;&gt;"exclusion",MAX($W$9,$W$7,(-(SUMIFS(SF_Output!$T$1:$T$400,SF_Output!$AC$1:$AC$400,_xlfn.TEXTJOIN(",",TRUE,$B244:$E244),SF_Output!$Q$1:$Q$400,"monthly"))/V244)),AF244="exclusion",-(SUMIFS(SF_Output!$T$1:$T$400,SF_Output!$AC$1:$AC$400,_xlfn.TEXTJOIN(",",TRUE,$B244:$E244),SF_Output!$Q$1:$Q$400,"monthly"))/V244)</f>
        <v/>
      </c>
      <c r="X244" s="6" t="str" cm="1">
        <f t="array" ref="X244">IFERROR(_xlfn.IFS(V244=0,0,V244="","",W244=0,V244,OR(V244&lt;&gt;0,V244&lt;&gt;""),H244*I244),V244*(1-W244))</f>
        <v/>
      </c>
      <c r="Z244" s="6" t="str">
        <f>IFERROR(IF(B244="","",SUMIFS(Billing_Fallout!H:H,Billing_Fallout!N:N,B244)),0)</f>
        <v/>
      </c>
      <c r="AA244" s="6" t="str">
        <f t="shared" si="55"/>
        <v/>
      </c>
      <c r="AB244" s="6" t="str">
        <f>IFERROR(IF(B244="","",SUMIFS(Billing_Fallout!J:J,Billing_Fallout!N:N,B244)),0)</f>
        <v/>
      </c>
      <c r="AD244" s="6" t="str">
        <f t="shared" si="56"/>
        <v/>
      </c>
      <c r="AF244" t="str">
        <f>IFERROR(INDEX(H_Tables!$B$1:$B$1500,MATCH(INDEX(SF_Output!$J$1:$J$400,MATCH(B244,SF_Output!$M$1:$M$400,0)),H_Tables!$A$1:$A$1500,0)),"")</f>
        <v/>
      </c>
      <c r="AI244" s="119" t="str">
        <f t="shared" si="57"/>
        <v/>
      </c>
      <c r="AJ244" s="121">
        <f>IFERROR(INDEX(SF_Output!AD:AD,MATCH(_xlfn.TEXTJOIN(",",TRUE,B244:E244),SF_Output!AC1:AC400,0)),0.05)</f>
        <v>241</v>
      </c>
      <c r="AK244" t="str">
        <f>IF(SUMIFS(SF_Output!$F$1:$F$400,SF_Output!$AC$1:$AC$400,_xlfn.TEXTJOIN(",",TRUE,B244:E244))+SUMIFS(SF_Output!$G$1:$G$400,SF_Output!$AC$1:$AC$400,_xlfn.TEXTJOIN(",",TRUE,B244:E244))=0,"","PAP")</f>
        <v/>
      </c>
      <c r="AQ244" s="35"/>
      <c r="AR244" s="35" t="str" cm="1">
        <f t="array" ref="AR244">IFERROR(_xlfn.IFS(AND(E244*1=1,F244="Included"),"Change to Included",AND(E244*1=0,F244="Optional"),"Change to Optional",OR(B244="",F244="replaced"),""),"")</f>
        <v/>
      </c>
      <c r="AS244" s="35" t="str">
        <f t="shared" si="58"/>
        <v/>
      </c>
      <c r="AT244" s="35" t="str">
        <f t="shared" si="59"/>
        <v/>
      </c>
      <c r="AU244" s="35" t="str">
        <f t="shared" si="60"/>
        <v/>
      </c>
      <c r="AV244" s="35" t="str">
        <f t="shared" si="61"/>
        <v/>
      </c>
      <c r="AW244" s="35" t="str">
        <f t="shared" si="62"/>
        <v/>
      </c>
      <c r="AX244" s="35" t="str">
        <f t="shared" si="63"/>
        <v/>
      </c>
      <c r="AY244" s="35" t="str">
        <f t="shared" si="64"/>
        <v/>
      </c>
      <c r="AZ244" s="35" t="str">
        <f t="shared" si="65"/>
        <v/>
      </c>
      <c r="BA244" s="35" t="str">
        <f t="shared" si="66"/>
        <v/>
      </c>
      <c r="BB244" s="35" t="str">
        <f t="shared" si="67"/>
        <v/>
      </c>
      <c r="BC244" s="35"/>
      <c r="BE244" s="35" t="e">
        <f>INDEX(SF_Output!$AA$2:$AA$400,MATCH($B244,SF_Output!$M$2:$M$400,0))</f>
        <v>#N/A</v>
      </c>
      <c r="BF244" s="35" t="e">
        <f>INDEX(SF_Output!$AB$2:$AB$400,MATCH($B244,SF_Output!$M$2:$M$400,0))</f>
        <v>#N/A</v>
      </c>
    </row>
    <row r="245" spans="6:58" x14ac:dyDescent="0.25">
      <c r="F245" s="116" t="str">
        <f t="shared" si="51"/>
        <v/>
      </c>
      <c r="G245" t="str">
        <f>IF(B245="","",INDEX(SF_Output!$K$1:$K$400,MATCH(B245,SF_Output!$M$1:$M$400,0)))</f>
        <v/>
      </c>
      <c r="H245" t="str" cm="1">
        <f t="array" ref="H245">_xlfn.IFS(B245="","",(SUMIFS(SF_Output!$F$1:$F$400,SF_Output!$AC$1:$AC$400,_xlfn.TEXTJOIN(",",TRUE,B245:E245))+SUMIFS(SF_Output!$G$1:$G$400,SF_Output!$AC$1:$AC$400,_xlfn.TEXTJOIN(",",TRUE,B245:E245)))&lt;&gt;0,SF_Output!$Y$2,INDEX(SF_Output!$F$1:$F$400,MATCH(_xlfn.TEXTJOIN(",",TRUE,B245:E245),SF_Output!$AC$1:$AC$400,0))=0,INDEX(SF_Output!$R$1:$R$400,MATCH(_xlfn.TEXTJOIN(",",TRUE,B245:E245),SF_Output!$AC$1:$AC$400,0)))</f>
        <v/>
      </c>
      <c r="I245" s="125" t="str">
        <f>IFERROR(IF(AND(H245&gt;1,H245&lt;&gt;""),ROUND(SUMIFS(SF_Output!$S$1:$S$400,SF_Output!$AC$1:$AC$400,_xlfn.TEXTJOIN(",",TRUE,B245:E245),SF_Output!$Q$1:$Q$400,"monthly")*(1-W245)/H245,4),""),"")</f>
        <v/>
      </c>
      <c r="J245" s="6" t="str">
        <f>IF(B245="","",SUMIFS(SF_Output!$S$1:$S$400,SF_Output!$AC$1:$AC$400,_xlfn.TEXTJOIN(",",TRUE,B245:E245),SF_Output!$Q$1:$Q$400,"One Time",SF_Output!$L$1:$L$400,"license fee")+SUMIFS(SF_Output!$S$1:$S$400,SF_Output!$AC$1:$AC$400,_xlfn.TEXTJOIN(",",TRUE,B245:E245),SF_Output!$Q$1:$Q$400,"One Time",SF_Output!$L$1:$L$400,"software license")+SUMIFS(SF_Output!$S$1:$S$400,SF_Output!$AC$1:$AC$400,_xlfn.TEXTJOIN(",",TRUE,B245:E245),SF_Output!$Q$1:$Q$400,"One Time",SF_Output!$L$1:$L$400,"hardware"))</f>
        <v/>
      </c>
      <c r="K245" s="112" t="str">
        <f>IF(OR(B245=0,B245="",G245="hardware",J245=0),"",IF(AF245&lt;&gt;"exclusion",MAX(K$9,-((SUMIFS(SF_Output!$T$1:$T$400,SF_Output!$AC$1:$AC$400,_xlfn.TEXTJOIN(",",TRUE,$B245:$E245),SF_Output!$Q$1:$Q$400,"One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license"))/J245)))</f>
        <v/>
      </c>
      <c r="L245" s="6" t="str">
        <f t="shared" si="52"/>
        <v/>
      </c>
      <c r="N245" s="6" t="str">
        <f>IF(B245="","",SUMIFS(SF_Output!$S$1:$S$400,SF_Output!$AC$1:$AC$400,_xlfn.TEXTJOIN(",",TRUE,B245:E245),SF_Output!$Q$1:$Q$400,"One Time",SF_Output!$L$1:$L$400,"professional service"))</f>
        <v/>
      </c>
      <c r="O245" s="112" t="str">
        <f>IF(OR(B245=0,B245="",N245=0),"",IF(AF245&lt;&gt;"exclusion",MAX(O$9,-(SUMIFS(SF_Output!$T$1:$T$400,SF_Output!$AC$1:$AC$400,_xlfn.TEXTJOIN(",",TRUE,$B245:$E245),SF_Output!$Q$1:$Q$400,"One Time",SF_Output!$L$1:$L$400,"professional service"))/N245),-((SUMIFS(SF_Output!$T$1:$T$400,SF_Output!$AC$1:$AC$400,_xlfn.TEXTJOIN(",",TRUE,$B245:$E245),SF_Output!$Q$1:$Q$400,"One Time",SF_Output!$L$1:$L$400,"professional service")/N245))))</f>
        <v/>
      </c>
      <c r="P245" s="6" t="str">
        <f t="shared" si="53"/>
        <v/>
      </c>
      <c r="R245" s="6" t="str">
        <f>IF(B245="","",SUMIFS(SF_Output!$S$1:$S$400,SF_Output!$AC$1:$AC$400,_xlfn.TEXTJOIN(",",TRUE,B245:E245),SF_Output!$Q$1:$Q$400,"yearly")+SUMIFS(SF_Output!$S$1:$S$400,SF_Output!$AC$1:$AC$400,_xlfn.TEXTJOIN(",",TRUE,B245:E245),SF_Output!$Q$1:$Q$400,"quarterly")*4)</f>
        <v/>
      </c>
      <c r="S245" s="112" t="str">
        <f>IF(OR(B245=0,B245="",G245="hardware",R245=0),"",IF(AF245&lt;&gt;"exclusion",MAX(S$9,-(SUMIFS(SF_Output!$T$1:$T$400,SF_Output!$AC$1:$AC$400,_xlfn.TEXTJOIN(",",TRUE,$B245:$E245),SF_Output!$Q$1:$Q$400,"yearly"))/R245),-((SUMIFS(SF_Output!$T$1:$T$400,SF_Output!$AC$1:$AC$400,_xlfn.TEXTJOIN(",",TRUE,$B245:$E245),SF_Output!$Q$1:$Q$400,"yearly")/R245))))</f>
        <v/>
      </c>
      <c r="T245" s="6" t="str">
        <f t="shared" si="54"/>
        <v/>
      </c>
      <c r="V245" s="6" t="str" cm="1">
        <f t="array" ref="V245">_xlfn.IFS(B245="","",AND(B245&lt;&gt;"",H245=SF_Output!$Y$2,SUMIFS(SF_Output!$T$1:$T$400,SF_Output!$AC$1:$AC$400,_xlfn.TEXTJOIN(",",TRUE,B245:E245),SF_Output!$Q$1:$Q$400,"monthly")=0),(SUMIFS(SF_Output!$F$1:$F$400,SF_Output!$AC$1:$AC$400,_xlfn.TEXTJOIN(",",TRUE,B245:E245),SF_Output!$Q$1:$Q$400,"monthly")+SUMIFS(SF_Output!$G$1:$G$400,SF_Output!$AC$1:$AC$400,_xlfn.TEXTJOIN(",",TRUE,B245:E245),SF_Output!$Q$1:$Q$400,"monthly"))*H245,AND(B245&lt;&gt;"",H245=SF_Output!$Y$2,SUMIFS(SF_Output!$T$1:$T$400,SF_Output!$AC$1:$AC$400,_xlfn.TEXTJOIN(",",TRUE,B245:E245),SF_Output!$Q$1:$Q$400,"monthly")&lt;&gt;0),SUMIFS(SF_Output!$S$1:$S$400,SF_Output!$AC$1:$AC$400,_xlfn.TEXTJOIN(",",TRUE,B245:E245),SF_Output!$Q$1:$Q$400,"monthly"),AND(B245&lt;&gt;"",H245&lt;&gt;SF_Output!$Y$2),SUMIFS(SF_Output!$S$1:$S$400,SF_Output!$AC$1:$AC$400,_xlfn.TEXTJOIN(",",TRUE,B245:E245),SF_Output!$Q$1:$Q$400,"monthly"))</f>
        <v/>
      </c>
      <c r="W245" s="112" t="str" cm="1">
        <f t="array" ref="W245">_xlfn.IFS(OR(B245=0,B245="",V245=0),"",AF245&lt;&gt;"exclusion",MAX($W$9,$W$7,(-(SUMIFS(SF_Output!$T$1:$T$400,SF_Output!$AC$1:$AC$400,_xlfn.TEXTJOIN(",",TRUE,$B245:$E245),SF_Output!$Q$1:$Q$400,"monthly"))/V245)),AF245="exclusion",-(SUMIFS(SF_Output!$T$1:$T$400,SF_Output!$AC$1:$AC$400,_xlfn.TEXTJOIN(",",TRUE,$B245:$E245),SF_Output!$Q$1:$Q$400,"monthly"))/V245)</f>
        <v/>
      </c>
      <c r="X245" s="6" t="str" cm="1">
        <f t="array" ref="X245">IFERROR(_xlfn.IFS(V245=0,0,V245="","",W245=0,V245,OR(V245&lt;&gt;0,V245&lt;&gt;""),H245*I245),V245*(1-W245))</f>
        <v/>
      </c>
      <c r="Z245" s="6" t="str">
        <f>IFERROR(IF(B245="","",SUMIFS(Billing_Fallout!H:H,Billing_Fallout!N:N,B245)),0)</f>
        <v/>
      </c>
      <c r="AA245" s="6" t="str">
        <f t="shared" si="55"/>
        <v/>
      </c>
      <c r="AB245" s="6" t="str">
        <f>IFERROR(IF(B245="","",SUMIFS(Billing_Fallout!J:J,Billing_Fallout!N:N,B245)),0)</f>
        <v/>
      </c>
      <c r="AD245" s="6" t="str">
        <f t="shared" si="56"/>
        <v/>
      </c>
      <c r="AF245" t="str">
        <f>IFERROR(INDEX(H_Tables!$B$1:$B$1500,MATCH(INDEX(SF_Output!$J$1:$J$400,MATCH(B245,SF_Output!$M$1:$M$400,0)),H_Tables!$A$1:$A$1500,0)),"")</f>
        <v/>
      </c>
      <c r="AI245" s="119" t="str">
        <f t="shared" si="57"/>
        <v/>
      </c>
      <c r="AJ245" s="121">
        <f>IFERROR(INDEX(SF_Output!AD:AD,MATCH(_xlfn.TEXTJOIN(",",TRUE,B245:E245),SF_Output!AC1:AC400,0)),0.05)</f>
        <v>241</v>
      </c>
      <c r="AK245" t="str">
        <f>IF(SUMIFS(SF_Output!$F$1:$F$400,SF_Output!$AC$1:$AC$400,_xlfn.TEXTJOIN(",",TRUE,B245:E245))+SUMIFS(SF_Output!$G$1:$G$400,SF_Output!$AC$1:$AC$400,_xlfn.TEXTJOIN(",",TRUE,B245:E245))=0,"","PAP")</f>
        <v/>
      </c>
      <c r="AQ245" s="35"/>
      <c r="AR245" s="35" t="str" cm="1">
        <f t="array" ref="AR245">IFERROR(_xlfn.IFS(AND(E245*1=1,F245="Included"),"Change to Included",AND(E245*1=0,F245="Optional"),"Change to Optional",OR(B245="",F245="replaced"),""),"")</f>
        <v/>
      </c>
      <c r="AS245" s="35" t="str">
        <f t="shared" si="58"/>
        <v/>
      </c>
      <c r="AT245" s="35" t="str">
        <f t="shared" si="59"/>
        <v/>
      </c>
      <c r="AU245" s="35" t="str">
        <f t="shared" si="60"/>
        <v/>
      </c>
      <c r="AV245" s="35" t="str">
        <f t="shared" si="61"/>
        <v/>
      </c>
      <c r="AW245" s="35" t="str">
        <f t="shared" si="62"/>
        <v/>
      </c>
      <c r="AX245" s="35" t="str">
        <f t="shared" si="63"/>
        <v/>
      </c>
      <c r="AY245" s="35" t="str">
        <f t="shared" si="64"/>
        <v/>
      </c>
      <c r="AZ245" s="35" t="str">
        <f t="shared" si="65"/>
        <v/>
      </c>
      <c r="BA245" s="35" t="str">
        <f t="shared" si="66"/>
        <v/>
      </c>
      <c r="BB245" s="35" t="str">
        <f t="shared" si="67"/>
        <v/>
      </c>
      <c r="BC245" s="35"/>
      <c r="BE245" s="35" t="e">
        <f>INDEX(SF_Output!$AA$2:$AA$400,MATCH($B245,SF_Output!$M$2:$M$400,0))</f>
        <v>#N/A</v>
      </c>
      <c r="BF245" s="35" t="e">
        <f>INDEX(SF_Output!$AB$2:$AB$400,MATCH($B245,SF_Output!$M$2:$M$400,0))</f>
        <v>#N/A</v>
      </c>
    </row>
    <row r="246" spans="6:58" x14ac:dyDescent="0.25">
      <c r="F246" s="116" t="str">
        <f t="shared" si="51"/>
        <v/>
      </c>
      <c r="G246" t="str">
        <f>IF(B246="","",INDEX(SF_Output!$K$1:$K$400,MATCH(B246,SF_Output!$M$1:$M$400,0)))</f>
        <v/>
      </c>
      <c r="H246" t="str" cm="1">
        <f t="array" ref="H246">_xlfn.IFS(B246="","",(SUMIFS(SF_Output!$F$1:$F$400,SF_Output!$AC$1:$AC$400,_xlfn.TEXTJOIN(",",TRUE,B246:E246))+SUMIFS(SF_Output!$G$1:$G$400,SF_Output!$AC$1:$AC$400,_xlfn.TEXTJOIN(",",TRUE,B246:E246)))&lt;&gt;0,SF_Output!$Y$2,INDEX(SF_Output!$F$1:$F$400,MATCH(_xlfn.TEXTJOIN(",",TRUE,B246:E246),SF_Output!$AC$1:$AC$400,0))=0,INDEX(SF_Output!$R$1:$R$400,MATCH(_xlfn.TEXTJOIN(",",TRUE,B246:E246),SF_Output!$AC$1:$AC$400,0)))</f>
        <v/>
      </c>
      <c r="I246" s="125" t="str">
        <f>IFERROR(IF(AND(H246&gt;1,H246&lt;&gt;""),ROUND(SUMIFS(SF_Output!$S$1:$S$400,SF_Output!$AC$1:$AC$400,_xlfn.TEXTJOIN(",",TRUE,B246:E246),SF_Output!$Q$1:$Q$400,"monthly")*(1-W246)/H246,4),""),"")</f>
        <v/>
      </c>
      <c r="J246" s="6" t="str">
        <f>IF(B246="","",SUMIFS(SF_Output!$S$1:$S$400,SF_Output!$AC$1:$AC$400,_xlfn.TEXTJOIN(",",TRUE,B246:E246),SF_Output!$Q$1:$Q$400,"One Time",SF_Output!$L$1:$L$400,"license fee")+SUMIFS(SF_Output!$S$1:$S$400,SF_Output!$AC$1:$AC$400,_xlfn.TEXTJOIN(",",TRUE,B246:E246),SF_Output!$Q$1:$Q$400,"One Time",SF_Output!$L$1:$L$400,"software license")+SUMIFS(SF_Output!$S$1:$S$400,SF_Output!$AC$1:$AC$400,_xlfn.TEXTJOIN(",",TRUE,B246:E246),SF_Output!$Q$1:$Q$400,"One Time",SF_Output!$L$1:$L$400,"hardware"))</f>
        <v/>
      </c>
      <c r="K246" s="112" t="str">
        <f>IF(OR(B246=0,B246="",G246="hardware",J246=0),"",IF(AF246&lt;&gt;"exclusion",MAX(K$9,-((SUMIFS(SF_Output!$T$1:$T$400,SF_Output!$AC$1:$AC$400,_xlfn.TEXTJOIN(",",TRUE,$B246:$E246),SF_Output!$Q$1:$Q$400,"One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license"))/J246)))</f>
        <v/>
      </c>
      <c r="L246" s="6" t="str">
        <f t="shared" si="52"/>
        <v/>
      </c>
      <c r="N246" s="6" t="str">
        <f>IF(B246="","",SUMIFS(SF_Output!$S$1:$S$400,SF_Output!$AC$1:$AC$400,_xlfn.TEXTJOIN(",",TRUE,B246:E246),SF_Output!$Q$1:$Q$400,"One Time",SF_Output!$L$1:$L$400,"professional service"))</f>
        <v/>
      </c>
      <c r="O246" s="112" t="str">
        <f>IF(OR(B246=0,B246="",N246=0),"",IF(AF246&lt;&gt;"exclusion",MAX(O$9,-(SUMIFS(SF_Output!$T$1:$T$400,SF_Output!$AC$1:$AC$400,_xlfn.TEXTJOIN(",",TRUE,$B246:$E246),SF_Output!$Q$1:$Q$400,"One Time",SF_Output!$L$1:$L$400,"professional service"))/N246),-((SUMIFS(SF_Output!$T$1:$T$400,SF_Output!$AC$1:$AC$400,_xlfn.TEXTJOIN(",",TRUE,$B246:$E246),SF_Output!$Q$1:$Q$400,"One Time",SF_Output!$L$1:$L$400,"professional service")/N246))))</f>
        <v/>
      </c>
      <c r="P246" s="6" t="str">
        <f t="shared" si="53"/>
        <v/>
      </c>
      <c r="R246" s="6" t="str">
        <f>IF(B246="","",SUMIFS(SF_Output!$S$1:$S$400,SF_Output!$AC$1:$AC$400,_xlfn.TEXTJOIN(",",TRUE,B246:E246),SF_Output!$Q$1:$Q$400,"yearly")+SUMIFS(SF_Output!$S$1:$S$400,SF_Output!$AC$1:$AC$400,_xlfn.TEXTJOIN(",",TRUE,B246:E246),SF_Output!$Q$1:$Q$400,"quarterly")*4)</f>
        <v/>
      </c>
      <c r="S246" s="112" t="str">
        <f>IF(OR(B246=0,B246="",G246="hardware",R246=0),"",IF(AF246&lt;&gt;"exclusion",MAX(S$9,-(SUMIFS(SF_Output!$T$1:$T$400,SF_Output!$AC$1:$AC$400,_xlfn.TEXTJOIN(",",TRUE,$B246:$E246),SF_Output!$Q$1:$Q$400,"yearly"))/R246),-((SUMIFS(SF_Output!$T$1:$T$400,SF_Output!$AC$1:$AC$400,_xlfn.TEXTJOIN(",",TRUE,$B246:$E246),SF_Output!$Q$1:$Q$400,"yearly")/R246))))</f>
        <v/>
      </c>
      <c r="T246" s="6" t="str">
        <f t="shared" si="54"/>
        <v/>
      </c>
      <c r="V246" s="6" t="str" cm="1">
        <f t="array" ref="V246">_xlfn.IFS(B246="","",AND(B246&lt;&gt;"",H246=SF_Output!$Y$2,SUMIFS(SF_Output!$T$1:$T$400,SF_Output!$AC$1:$AC$400,_xlfn.TEXTJOIN(",",TRUE,B246:E246),SF_Output!$Q$1:$Q$400,"monthly")=0),(SUMIFS(SF_Output!$F$1:$F$400,SF_Output!$AC$1:$AC$400,_xlfn.TEXTJOIN(",",TRUE,B246:E246),SF_Output!$Q$1:$Q$400,"monthly")+SUMIFS(SF_Output!$G$1:$G$400,SF_Output!$AC$1:$AC$400,_xlfn.TEXTJOIN(",",TRUE,B246:E246),SF_Output!$Q$1:$Q$400,"monthly"))*H246,AND(B246&lt;&gt;"",H246=SF_Output!$Y$2,SUMIFS(SF_Output!$T$1:$T$400,SF_Output!$AC$1:$AC$400,_xlfn.TEXTJOIN(",",TRUE,B246:E246),SF_Output!$Q$1:$Q$400,"monthly")&lt;&gt;0),SUMIFS(SF_Output!$S$1:$S$400,SF_Output!$AC$1:$AC$400,_xlfn.TEXTJOIN(",",TRUE,B246:E246),SF_Output!$Q$1:$Q$400,"monthly"),AND(B246&lt;&gt;"",H246&lt;&gt;SF_Output!$Y$2),SUMIFS(SF_Output!$S$1:$S$400,SF_Output!$AC$1:$AC$400,_xlfn.TEXTJOIN(",",TRUE,B246:E246),SF_Output!$Q$1:$Q$400,"monthly"))</f>
        <v/>
      </c>
      <c r="W246" s="112" t="str" cm="1">
        <f t="array" ref="W246">_xlfn.IFS(OR(B246=0,B246="",V246=0),"",AF246&lt;&gt;"exclusion",MAX($W$9,$W$7,(-(SUMIFS(SF_Output!$T$1:$T$400,SF_Output!$AC$1:$AC$400,_xlfn.TEXTJOIN(",",TRUE,$B246:$E246),SF_Output!$Q$1:$Q$400,"monthly"))/V246)),AF246="exclusion",-(SUMIFS(SF_Output!$T$1:$T$400,SF_Output!$AC$1:$AC$400,_xlfn.TEXTJOIN(",",TRUE,$B246:$E246),SF_Output!$Q$1:$Q$400,"monthly"))/V246)</f>
        <v/>
      </c>
      <c r="X246" s="6" t="str" cm="1">
        <f t="array" ref="X246">IFERROR(_xlfn.IFS(V246=0,0,V246="","",W246=0,V246,OR(V246&lt;&gt;0,V246&lt;&gt;""),H246*I246),V246*(1-W246))</f>
        <v/>
      </c>
      <c r="Z246" s="6" t="str">
        <f>IFERROR(IF(B246="","",SUMIFS(Billing_Fallout!H:H,Billing_Fallout!N:N,B246)),0)</f>
        <v/>
      </c>
      <c r="AA246" s="6" t="str">
        <f t="shared" si="55"/>
        <v/>
      </c>
      <c r="AB246" s="6" t="str">
        <f>IFERROR(IF(B246="","",SUMIFS(Billing_Fallout!J:J,Billing_Fallout!N:N,B246)),0)</f>
        <v/>
      </c>
      <c r="AD246" s="6" t="str">
        <f t="shared" si="56"/>
        <v/>
      </c>
      <c r="AF246" t="str">
        <f>IFERROR(INDEX(H_Tables!$B$1:$B$1500,MATCH(INDEX(SF_Output!$J$1:$J$400,MATCH(B246,SF_Output!$M$1:$M$400,0)),H_Tables!$A$1:$A$1500,0)),"")</f>
        <v/>
      </c>
      <c r="AI246" s="119" t="str">
        <f t="shared" si="57"/>
        <v/>
      </c>
      <c r="AJ246" s="121">
        <f>IFERROR(INDEX(SF_Output!AD:AD,MATCH(_xlfn.TEXTJOIN(",",TRUE,B246:E246),SF_Output!AC1:AC400,0)),0.05)</f>
        <v>241</v>
      </c>
      <c r="AK246" t="str">
        <f>IF(SUMIFS(SF_Output!$F$1:$F$400,SF_Output!$AC$1:$AC$400,_xlfn.TEXTJOIN(",",TRUE,B246:E246))+SUMIFS(SF_Output!$G$1:$G$400,SF_Output!$AC$1:$AC$400,_xlfn.TEXTJOIN(",",TRUE,B246:E246))=0,"","PAP")</f>
        <v/>
      </c>
      <c r="AQ246" s="35"/>
      <c r="AR246" s="35" t="str" cm="1">
        <f t="array" ref="AR246">IFERROR(_xlfn.IFS(AND(E246*1=1,F246="Included"),"Change to Included",AND(E246*1=0,F246="Optional"),"Change to Optional",OR(B246="",F246="replaced"),""),"")</f>
        <v/>
      </c>
      <c r="AS246" s="35" t="str">
        <f t="shared" si="58"/>
        <v/>
      </c>
      <c r="AT246" s="35" t="str">
        <f t="shared" si="59"/>
        <v/>
      </c>
      <c r="AU246" s="35" t="str">
        <f t="shared" si="60"/>
        <v/>
      </c>
      <c r="AV246" s="35" t="str">
        <f t="shared" si="61"/>
        <v/>
      </c>
      <c r="AW246" s="35" t="str">
        <f t="shared" si="62"/>
        <v/>
      </c>
      <c r="AX246" s="35" t="str">
        <f t="shared" si="63"/>
        <v/>
      </c>
      <c r="AY246" s="35" t="str">
        <f t="shared" si="64"/>
        <v/>
      </c>
      <c r="AZ246" s="35" t="str">
        <f t="shared" si="65"/>
        <v/>
      </c>
      <c r="BA246" s="35" t="str">
        <f t="shared" si="66"/>
        <v/>
      </c>
      <c r="BB246" s="35" t="str">
        <f t="shared" si="67"/>
        <v/>
      </c>
      <c r="BC246" s="35"/>
      <c r="BE246" s="35" t="e">
        <f>INDEX(SF_Output!$AA$2:$AA$400,MATCH($B246,SF_Output!$M$2:$M$400,0))</f>
        <v>#N/A</v>
      </c>
      <c r="BF246" s="35" t="e">
        <f>INDEX(SF_Output!$AB$2:$AB$400,MATCH($B246,SF_Output!$M$2:$M$400,0))</f>
        <v>#N/A</v>
      </c>
    </row>
    <row r="247" spans="6:58" x14ac:dyDescent="0.25">
      <c r="F247" s="116" t="str">
        <f t="shared" si="51"/>
        <v/>
      </c>
      <c r="G247" t="str">
        <f>IF(B247="","",INDEX(SF_Output!$K$1:$K$400,MATCH(B247,SF_Output!$M$1:$M$400,0)))</f>
        <v/>
      </c>
      <c r="H247" t="str" cm="1">
        <f t="array" ref="H247">_xlfn.IFS(B247="","",(SUMIFS(SF_Output!$F$1:$F$400,SF_Output!$AC$1:$AC$400,_xlfn.TEXTJOIN(",",TRUE,B247:E247))+SUMIFS(SF_Output!$G$1:$G$400,SF_Output!$AC$1:$AC$400,_xlfn.TEXTJOIN(",",TRUE,B247:E247)))&lt;&gt;0,SF_Output!$Y$2,INDEX(SF_Output!$F$1:$F$400,MATCH(_xlfn.TEXTJOIN(",",TRUE,B247:E247),SF_Output!$AC$1:$AC$400,0))=0,INDEX(SF_Output!$R$1:$R$400,MATCH(_xlfn.TEXTJOIN(",",TRUE,B247:E247),SF_Output!$AC$1:$AC$400,0)))</f>
        <v/>
      </c>
      <c r="I247" s="125" t="str">
        <f>IFERROR(IF(AND(H247&gt;1,H247&lt;&gt;""),ROUND(SUMIFS(SF_Output!$S$1:$S$400,SF_Output!$AC$1:$AC$400,_xlfn.TEXTJOIN(",",TRUE,B247:E247),SF_Output!$Q$1:$Q$400,"monthly")*(1-W247)/H247,4),""),"")</f>
        <v/>
      </c>
      <c r="J247" s="6" t="str">
        <f>IF(B247="","",SUMIFS(SF_Output!$S$1:$S$400,SF_Output!$AC$1:$AC$400,_xlfn.TEXTJOIN(",",TRUE,B247:E247),SF_Output!$Q$1:$Q$400,"One Time",SF_Output!$L$1:$L$400,"license fee")+SUMIFS(SF_Output!$S$1:$S$400,SF_Output!$AC$1:$AC$400,_xlfn.TEXTJOIN(",",TRUE,B247:E247),SF_Output!$Q$1:$Q$400,"One Time",SF_Output!$L$1:$L$400,"software license")+SUMIFS(SF_Output!$S$1:$S$400,SF_Output!$AC$1:$AC$400,_xlfn.TEXTJOIN(",",TRUE,B247:E247),SF_Output!$Q$1:$Q$400,"One Time",SF_Output!$L$1:$L$400,"hardware"))</f>
        <v/>
      </c>
      <c r="K247" s="112" t="str">
        <f>IF(OR(B247=0,B247="",G247="hardware",J247=0),"",IF(AF247&lt;&gt;"exclusion",MAX(K$9,-((SUMIFS(SF_Output!$T$1:$T$400,SF_Output!$AC$1:$AC$400,_xlfn.TEXTJOIN(",",TRUE,$B247:$E247),SF_Output!$Q$1:$Q$400,"One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license"))/J247)))</f>
        <v/>
      </c>
      <c r="L247" s="6" t="str">
        <f t="shared" si="52"/>
        <v/>
      </c>
      <c r="N247" s="6" t="str">
        <f>IF(B247="","",SUMIFS(SF_Output!$S$1:$S$400,SF_Output!$AC$1:$AC$400,_xlfn.TEXTJOIN(",",TRUE,B247:E247),SF_Output!$Q$1:$Q$400,"One Time",SF_Output!$L$1:$L$400,"professional service"))</f>
        <v/>
      </c>
      <c r="O247" s="112" t="str">
        <f>IF(OR(B247=0,B247="",N247=0),"",IF(AF247&lt;&gt;"exclusion",MAX(O$9,-(SUMIFS(SF_Output!$T$1:$T$400,SF_Output!$AC$1:$AC$400,_xlfn.TEXTJOIN(",",TRUE,$B247:$E247),SF_Output!$Q$1:$Q$400,"One Time",SF_Output!$L$1:$L$400,"professional service"))/N247),-((SUMIFS(SF_Output!$T$1:$T$400,SF_Output!$AC$1:$AC$400,_xlfn.TEXTJOIN(",",TRUE,$B247:$E247),SF_Output!$Q$1:$Q$400,"One Time",SF_Output!$L$1:$L$400,"professional service")/N247))))</f>
        <v/>
      </c>
      <c r="P247" s="6" t="str">
        <f t="shared" si="53"/>
        <v/>
      </c>
      <c r="R247" s="6" t="str">
        <f>IF(B247="","",SUMIFS(SF_Output!$S$1:$S$400,SF_Output!$AC$1:$AC$400,_xlfn.TEXTJOIN(",",TRUE,B247:E247),SF_Output!$Q$1:$Q$400,"yearly")+SUMIFS(SF_Output!$S$1:$S$400,SF_Output!$AC$1:$AC$400,_xlfn.TEXTJOIN(",",TRUE,B247:E247),SF_Output!$Q$1:$Q$400,"quarterly")*4)</f>
        <v/>
      </c>
      <c r="S247" s="112" t="str">
        <f>IF(OR(B247=0,B247="",G247="hardware",R247=0),"",IF(AF247&lt;&gt;"exclusion",MAX(S$9,-(SUMIFS(SF_Output!$T$1:$T$400,SF_Output!$AC$1:$AC$400,_xlfn.TEXTJOIN(",",TRUE,$B247:$E247),SF_Output!$Q$1:$Q$400,"yearly"))/R247),-((SUMIFS(SF_Output!$T$1:$T$400,SF_Output!$AC$1:$AC$400,_xlfn.TEXTJOIN(",",TRUE,$B247:$E247),SF_Output!$Q$1:$Q$400,"yearly")/R247))))</f>
        <v/>
      </c>
      <c r="T247" s="6" t="str">
        <f t="shared" si="54"/>
        <v/>
      </c>
      <c r="V247" s="6" t="str" cm="1">
        <f t="array" ref="V247">_xlfn.IFS(B247="","",AND(B247&lt;&gt;"",H247=SF_Output!$Y$2,SUMIFS(SF_Output!$T$1:$T$400,SF_Output!$AC$1:$AC$400,_xlfn.TEXTJOIN(",",TRUE,B247:E247),SF_Output!$Q$1:$Q$400,"monthly")=0),(SUMIFS(SF_Output!$F$1:$F$400,SF_Output!$AC$1:$AC$400,_xlfn.TEXTJOIN(",",TRUE,B247:E247),SF_Output!$Q$1:$Q$400,"monthly")+SUMIFS(SF_Output!$G$1:$G$400,SF_Output!$AC$1:$AC$400,_xlfn.TEXTJOIN(",",TRUE,B247:E247),SF_Output!$Q$1:$Q$400,"monthly"))*H247,AND(B247&lt;&gt;"",H247=SF_Output!$Y$2,SUMIFS(SF_Output!$T$1:$T$400,SF_Output!$AC$1:$AC$400,_xlfn.TEXTJOIN(",",TRUE,B247:E247),SF_Output!$Q$1:$Q$400,"monthly")&lt;&gt;0),SUMIFS(SF_Output!$S$1:$S$400,SF_Output!$AC$1:$AC$400,_xlfn.TEXTJOIN(",",TRUE,B247:E247),SF_Output!$Q$1:$Q$400,"monthly"),AND(B247&lt;&gt;"",H247&lt;&gt;SF_Output!$Y$2),SUMIFS(SF_Output!$S$1:$S$400,SF_Output!$AC$1:$AC$400,_xlfn.TEXTJOIN(",",TRUE,B247:E247),SF_Output!$Q$1:$Q$400,"monthly"))</f>
        <v/>
      </c>
      <c r="W247" s="112" t="str" cm="1">
        <f t="array" ref="W247">_xlfn.IFS(OR(B247=0,B247="",V247=0),"",AF247&lt;&gt;"exclusion",MAX($W$9,$W$7,(-(SUMIFS(SF_Output!$T$1:$T$400,SF_Output!$AC$1:$AC$400,_xlfn.TEXTJOIN(",",TRUE,$B247:$E247),SF_Output!$Q$1:$Q$400,"monthly"))/V247)),AF247="exclusion",-(SUMIFS(SF_Output!$T$1:$T$400,SF_Output!$AC$1:$AC$400,_xlfn.TEXTJOIN(",",TRUE,$B247:$E247),SF_Output!$Q$1:$Q$400,"monthly"))/V247)</f>
        <v/>
      </c>
      <c r="X247" s="6" t="str" cm="1">
        <f t="array" ref="X247">IFERROR(_xlfn.IFS(V247=0,0,V247="","",W247=0,V247,OR(V247&lt;&gt;0,V247&lt;&gt;""),H247*I247),V247*(1-W247))</f>
        <v/>
      </c>
      <c r="Z247" s="6" t="str">
        <f>IFERROR(IF(B247="","",SUMIFS(Billing_Fallout!H:H,Billing_Fallout!N:N,B247)),0)</f>
        <v/>
      </c>
      <c r="AA247" s="6" t="str">
        <f t="shared" si="55"/>
        <v/>
      </c>
      <c r="AB247" s="6" t="str">
        <f>IFERROR(IF(B247="","",SUMIFS(Billing_Fallout!J:J,Billing_Fallout!N:N,B247)),0)</f>
        <v/>
      </c>
      <c r="AD247" s="6" t="str">
        <f t="shared" si="56"/>
        <v/>
      </c>
      <c r="AF247" t="str">
        <f>IFERROR(INDEX(H_Tables!$B$1:$B$1500,MATCH(INDEX(SF_Output!$J$1:$J$400,MATCH(B247,SF_Output!$M$1:$M$400,0)),H_Tables!$A$1:$A$1500,0)),"")</f>
        <v/>
      </c>
      <c r="AI247" s="119" t="str">
        <f t="shared" si="57"/>
        <v/>
      </c>
      <c r="AJ247" s="121">
        <f>IFERROR(INDEX(SF_Output!AD:AD,MATCH(_xlfn.TEXTJOIN(",",TRUE,B247:E247),SF_Output!AC1:AC400,0)),0.05)</f>
        <v>241</v>
      </c>
      <c r="AK247" t="str">
        <f>IF(SUMIFS(SF_Output!$F$1:$F$400,SF_Output!$AC$1:$AC$400,_xlfn.TEXTJOIN(",",TRUE,B247:E247))+SUMIFS(SF_Output!$G$1:$G$400,SF_Output!$AC$1:$AC$400,_xlfn.TEXTJOIN(",",TRUE,B247:E247))=0,"","PAP")</f>
        <v/>
      </c>
      <c r="AQ247" s="35"/>
      <c r="AR247" s="35" t="str" cm="1">
        <f t="array" ref="AR247">IFERROR(_xlfn.IFS(AND(E247*1=1,F247="Included"),"Change to Included",AND(E247*1=0,F247="Optional"),"Change to Optional",OR(B247="",F247="replaced"),""),"")</f>
        <v/>
      </c>
      <c r="AS247" s="35" t="str">
        <f t="shared" si="58"/>
        <v/>
      </c>
      <c r="AT247" s="35" t="str">
        <f t="shared" si="59"/>
        <v/>
      </c>
      <c r="AU247" s="35" t="str">
        <f t="shared" si="60"/>
        <v/>
      </c>
      <c r="AV247" s="35" t="str">
        <f t="shared" si="61"/>
        <v/>
      </c>
      <c r="AW247" s="35" t="str">
        <f t="shared" si="62"/>
        <v/>
      </c>
      <c r="AX247" s="35" t="str">
        <f t="shared" si="63"/>
        <v/>
      </c>
      <c r="AY247" s="35" t="str">
        <f t="shared" si="64"/>
        <v/>
      </c>
      <c r="AZ247" s="35" t="str">
        <f t="shared" si="65"/>
        <v/>
      </c>
      <c r="BA247" s="35" t="str">
        <f t="shared" si="66"/>
        <v/>
      </c>
      <c r="BB247" s="35" t="str">
        <f t="shared" si="67"/>
        <v/>
      </c>
      <c r="BC247" s="35"/>
      <c r="BE247" s="35" t="e">
        <f>INDEX(SF_Output!$AA$2:$AA$400,MATCH($B247,SF_Output!$M$2:$M$400,0))</f>
        <v>#N/A</v>
      </c>
      <c r="BF247" s="35" t="e">
        <f>INDEX(SF_Output!$AB$2:$AB$400,MATCH($B247,SF_Output!$M$2:$M$400,0))</f>
        <v>#N/A</v>
      </c>
    </row>
    <row r="248" spans="6:58" x14ac:dyDescent="0.25">
      <c r="F248" s="116" t="str">
        <f t="shared" si="51"/>
        <v/>
      </c>
      <c r="G248" t="str">
        <f>IF(B248="","",INDEX(SF_Output!$K$1:$K$400,MATCH(B248,SF_Output!$M$1:$M$400,0)))</f>
        <v/>
      </c>
      <c r="H248" t="str" cm="1">
        <f t="array" ref="H248">_xlfn.IFS(B248="","",(SUMIFS(SF_Output!$F$1:$F$400,SF_Output!$AC$1:$AC$400,_xlfn.TEXTJOIN(",",TRUE,B248:E248))+SUMIFS(SF_Output!$G$1:$G$400,SF_Output!$AC$1:$AC$400,_xlfn.TEXTJOIN(",",TRUE,B248:E248)))&lt;&gt;0,SF_Output!$Y$2,INDEX(SF_Output!$F$1:$F$400,MATCH(_xlfn.TEXTJOIN(",",TRUE,B248:E248),SF_Output!$AC$1:$AC$400,0))=0,INDEX(SF_Output!$R$1:$R$400,MATCH(_xlfn.TEXTJOIN(",",TRUE,B248:E248),SF_Output!$AC$1:$AC$400,0)))</f>
        <v/>
      </c>
      <c r="I248" s="125" t="str">
        <f>IFERROR(IF(AND(H248&gt;1,H248&lt;&gt;""),ROUND(SUMIFS(SF_Output!$S$1:$S$400,SF_Output!$AC$1:$AC$400,_xlfn.TEXTJOIN(",",TRUE,B248:E248),SF_Output!$Q$1:$Q$400,"monthly")*(1-W248)/H248,4),""),"")</f>
        <v/>
      </c>
      <c r="J248" s="6" t="str">
        <f>IF(B248="","",SUMIFS(SF_Output!$S$1:$S$400,SF_Output!$AC$1:$AC$400,_xlfn.TEXTJOIN(",",TRUE,B248:E248),SF_Output!$Q$1:$Q$400,"One Time",SF_Output!$L$1:$L$400,"license fee")+SUMIFS(SF_Output!$S$1:$S$400,SF_Output!$AC$1:$AC$400,_xlfn.TEXTJOIN(",",TRUE,B248:E248),SF_Output!$Q$1:$Q$400,"One Time",SF_Output!$L$1:$L$400,"software license")+SUMIFS(SF_Output!$S$1:$S$400,SF_Output!$AC$1:$AC$400,_xlfn.TEXTJOIN(",",TRUE,B248:E248),SF_Output!$Q$1:$Q$400,"One Time",SF_Output!$L$1:$L$400,"hardware"))</f>
        <v/>
      </c>
      <c r="K248" s="112" t="str">
        <f>IF(OR(B248=0,B248="",G248="hardware",J248=0),"",IF(AF248&lt;&gt;"exclusion",MAX(K$9,-((SUMIFS(SF_Output!$T$1:$T$400,SF_Output!$AC$1:$AC$400,_xlfn.TEXTJOIN(",",TRUE,$B248:$E248),SF_Output!$Q$1:$Q$400,"One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license"))/J248)))</f>
        <v/>
      </c>
      <c r="L248" s="6" t="str">
        <f t="shared" si="52"/>
        <v/>
      </c>
      <c r="N248" s="6" t="str">
        <f>IF(B248="","",SUMIFS(SF_Output!$S$1:$S$400,SF_Output!$AC$1:$AC$400,_xlfn.TEXTJOIN(",",TRUE,B248:E248),SF_Output!$Q$1:$Q$400,"One Time",SF_Output!$L$1:$L$400,"professional service"))</f>
        <v/>
      </c>
      <c r="O248" s="112" t="str">
        <f>IF(OR(B248=0,B248="",N248=0),"",IF(AF248&lt;&gt;"exclusion",MAX(O$9,-(SUMIFS(SF_Output!$T$1:$T$400,SF_Output!$AC$1:$AC$400,_xlfn.TEXTJOIN(",",TRUE,$B248:$E248),SF_Output!$Q$1:$Q$400,"One Time",SF_Output!$L$1:$L$400,"professional service"))/N248),-((SUMIFS(SF_Output!$T$1:$T$400,SF_Output!$AC$1:$AC$400,_xlfn.TEXTJOIN(",",TRUE,$B248:$E248),SF_Output!$Q$1:$Q$400,"One Time",SF_Output!$L$1:$L$400,"professional service")/N248))))</f>
        <v/>
      </c>
      <c r="P248" s="6" t="str">
        <f t="shared" si="53"/>
        <v/>
      </c>
      <c r="R248" s="6" t="str">
        <f>IF(B248="","",SUMIFS(SF_Output!$S$1:$S$400,SF_Output!$AC$1:$AC$400,_xlfn.TEXTJOIN(",",TRUE,B248:E248),SF_Output!$Q$1:$Q$400,"yearly")+SUMIFS(SF_Output!$S$1:$S$400,SF_Output!$AC$1:$AC$400,_xlfn.TEXTJOIN(",",TRUE,B248:E248),SF_Output!$Q$1:$Q$400,"quarterly")*4)</f>
        <v/>
      </c>
      <c r="S248" s="112" t="str">
        <f>IF(OR(B248=0,B248="",G248="hardware",R248=0),"",IF(AF248&lt;&gt;"exclusion",MAX(S$9,-(SUMIFS(SF_Output!$T$1:$T$400,SF_Output!$AC$1:$AC$400,_xlfn.TEXTJOIN(",",TRUE,$B248:$E248),SF_Output!$Q$1:$Q$400,"yearly"))/R248),-((SUMIFS(SF_Output!$T$1:$T$400,SF_Output!$AC$1:$AC$400,_xlfn.TEXTJOIN(",",TRUE,$B248:$E248),SF_Output!$Q$1:$Q$400,"yearly")/R248))))</f>
        <v/>
      </c>
      <c r="T248" s="6" t="str">
        <f t="shared" si="54"/>
        <v/>
      </c>
      <c r="V248" s="6" t="str" cm="1">
        <f t="array" ref="V248">_xlfn.IFS(B248="","",AND(B248&lt;&gt;"",H248=SF_Output!$Y$2,SUMIFS(SF_Output!$T$1:$T$400,SF_Output!$AC$1:$AC$400,_xlfn.TEXTJOIN(",",TRUE,B248:E248),SF_Output!$Q$1:$Q$400,"monthly")=0),(SUMIFS(SF_Output!$F$1:$F$400,SF_Output!$AC$1:$AC$400,_xlfn.TEXTJOIN(",",TRUE,B248:E248),SF_Output!$Q$1:$Q$400,"monthly")+SUMIFS(SF_Output!$G$1:$G$400,SF_Output!$AC$1:$AC$400,_xlfn.TEXTJOIN(",",TRUE,B248:E248),SF_Output!$Q$1:$Q$400,"monthly"))*H248,AND(B248&lt;&gt;"",H248=SF_Output!$Y$2,SUMIFS(SF_Output!$T$1:$T$400,SF_Output!$AC$1:$AC$400,_xlfn.TEXTJOIN(",",TRUE,B248:E248),SF_Output!$Q$1:$Q$400,"monthly")&lt;&gt;0),SUMIFS(SF_Output!$S$1:$S$400,SF_Output!$AC$1:$AC$400,_xlfn.TEXTJOIN(",",TRUE,B248:E248),SF_Output!$Q$1:$Q$400,"monthly"),AND(B248&lt;&gt;"",H248&lt;&gt;SF_Output!$Y$2),SUMIFS(SF_Output!$S$1:$S$400,SF_Output!$AC$1:$AC$400,_xlfn.TEXTJOIN(",",TRUE,B248:E248),SF_Output!$Q$1:$Q$400,"monthly"))</f>
        <v/>
      </c>
      <c r="W248" s="112" t="str" cm="1">
        <f t="array" ref="W248">_xlfn.IFS(OR(B248=0,B248="",V248=0),"",AF248&lt;&gt;"exclusion",MAX($W$9,$W$7,(-(SUMIFS(SF_Output!$T$1:$T$400,SF_Output!$AC$1:$AC$400,_xlfn.TEXTJOIN(",",TRUE,$B248:$E248),SF_Output!$Q$1:$Q$400,"monthly"))/V248)),AF248="exclusion",-(SUMIFS(SF_Output!$T$1:$T$400,SF_Output!$AC$1:$AC$400,_xlfn.TEXTJOIN(",",TRUE,$B248:$E248),SF_Output!$Q$1:$Q$400,"monthly"))/V248)</f>
        <v/>
      </c>
      <c r="X248" s="6" t="str" cm="1">
        <f t="array" ref="X248">IFERROR(_xlfn.IFS(V248=0,0,V248="","",W248=0,V248,OR(V248&lt;&gt;0,V248&lt;&gt;""),H248*I248),V248*(1-W248))</f>
        <v/>
      </c>
      <c r="Z248" s="6" t="str">
        <f>IFERROR(IF(B248="","",SUMIFS(Billing_Fallout!H:H,Billing_Fallout!N:N,B248)),0)</f>
        <v/>
      </c>
      <c r="AA248" s="6" t="str">
        <f t="shared" si="55"/>
        <v/>
      </c>
      <c r="AB248" s="6" t="str">
        <f>IFERROR(IF(B248="","",SUMIFS(Billing_Fallout!J:J,Billing_Fallout!N:N,B248)),0)</f>
        <v/>
      </c>
      <c r="AD248" s="6" t="str">
        <f t="shared" si="56"/>
        <v/>
      </c>
      <c r="AF248" t="str">
        <f>IFERROR(INDEX(H_Tables!$B$1:$B$1500,MATCH(INDEX(SF_Output!$J$1:$J$400,MATCH(B248,SF_Output!$M$1:$M$400,0)),H_Tables!$A$1:$A$1500,0)),"")</f>
        <v/>
      </c>
      <c r="AI248" s="119" t="str">
        <f t="shared" si="57"/>
        <v/>
      </c>
      <c r="AJ248" s="121">
        <f>IFERROR(INDEX(SF_Output!AD:AD,MATCH(_xlfn.TEXTJOIN(",",TRUE,B248:E248),SF_Output!AC1:AC400,0)),0.05)</f>
        <v>241</v>
      </c>
      <c r="AK248" t="str">
        <f>IF(SUMIFS(SF_Output!$F$1:$F$400,SF_Output!$AC$1:$AC$400,_xlfn.TEXTJOIN(",",TRUE,B248:E248))+SUMIFS(SF_Output!$G$1:$G$400,SF_Output!$AC$1:$AC$400,_xlfn.TEXTJOIN(",",TRUE,B248:E248))=0,"","PAP")</f>
        <v/>
      </c>
      <c r="AQ248" s="35"/>
      <c r="AR248" s="35" t="str" cm="1">
        <f t="array" ref="AR248">IFERROR(_xlfn.IFS(AND(E248*1=1,F248="Included"),"Change to Included",AND(E248*1=0,F248="Optional"),"Change to Optional",OR(B248="",F248="replaced"),""),"")</f>
        <v/>
      </c>
      <c r="AS248" s="35" t="str">
        <f t="shared" si="58"/>
        <v/>
      </c>
      <c r="AT248" s="35" t="str">
        <f t="shared" si="59"/>
        <v/>
      </c>
      <c r="AU248" s="35" t="str">
        <f t="shared" si="60"/>
        <v/>
      </c>
      <c r="AV248" s="35" t="str">
        <f t="shared" si="61"/>
        <v/>
      </c>
      <c r="AW248" s="35" t="str">
        <f t="shared" si="62"/>
        <v/>
      </c>
      <c r="AX248" s="35" t="str">
        <f t="shared" si="63"/>
        <v/>
      </c>
      <c r="AY248" s="35" t="str">
        <f t="shared" si="64"/>
        <v/>
      </c>
      <c r="AZ248" s="35" t="str">
        <f t="shared" si="65"/>
        <v/>
      </c>
      <c r="BA248" s="35" t="str">
        <f t="shared" si="66"/>
        <v/>
      </c>
      <c r="BB248" s="35" t="str">
        <f t="shared" si="67"/>
        <v/>
      </c>
      <c r="BC248" s="35"/>
      <c r="BE248" s="35" t="e">
        <f>INDEX(SF_Output!$AA$2:$AA$400,MATCH($B248,SF_Output!$M$2:$M$400,0))</f>
        <v>#N/A</v>
      </c>
      <c r="BF248" s="35" t="e">
        <f>INDEX(SF_Output!$AB$2:$AB$400,MATCH($B248,SF_Output!$M$2:$M$400,0))</f>
        <v>#N/A</v>
      </c>
    </row>
    <row r="249" spans="6:58" x14ac:dyDescent="0.25">
      <c r="F249" s="116" t="str">
        <f t="shared" si="51"/>
        <v/>
      </c>
      <c r="G249" t="str">
        <f>IF(B249="","",INDEX(SF_Output!$K$1:$K$400,MATCH(B249,SF_Output!$M$1:$M$400,0)))</f>
        <v/>
      </c>
      <c r="H249" t="str" cm="1">
        <f t="array" ref="H249">_xlfn.IFS(B249="","",(SUMIFS(SF_Output!$F$1:$F$400,SF_Output!$AC$1:$AC$400,_xlfn.TEXTJOIN(",",TRUE,B249:E249))+SUMIFS(SF_Output!$G$1:$G$400,SF_Output!$AC$1:$AC$400,_xlfn.TEXTJOIN(",",TRUE,B249:E249)))&lt;&gt;0,SF_Output!$Y$2,INDEX(SF_Output!$F$1:$F$400,MATCH(_xlfn.TEXTJOIN(",",TRUE,B249:E249),SF_Output!$AC$1:$AC$400,0))=0,INDEX(SF_Output!$R$1:$R$400,MATCH(_xlfn.TEXTJOIN(",",TRUE,B249:E249),SF_Output!$AC$1:$AC$400,0)))</f>
        <v/>
      </c>
      <c r="I249" s="125" t="str">
        <f>IFERROR(IF(AND(H249&gt;1,H249&lt;&gt;""),ROUND(SUMIFS(SF_Output!$S$1:$S$400,SF_Output!$AC$1:$AC$400,_xlfn.TEXTJOIN(",",TRUE,B249:E249),SF_Output!$Q$1:$Q$400,"monthly")*(1-W249)/H249,4),""),"")</f>
        <v/>
      </c>
      <c r="J249" s="6" t="str">
        <f>IF(B249="","",SUMIFS(SF_Output!$S$1:$S$400,SF_Output!$AC$1:$AC$400,_xlfn.TEXTJOIN(",",TRUE,B249:E249),SF_Output!$Q$1:$Q$400,"One Time",SF_Output!$L$1:$L$400,"license fee")+SUMIFS(SF_Output!$S$1:$S$400,SF_Output!$AC$1:$AC$400,_xlfn.TEXTJOIN(",",TRUE,B249:E249),SF_Output!$Q$1:$Q$400,"One Time",SF_Output!$L$1:$L$400,"software license")+SUMIFS(SF_Output!$S$1:$S$400,SF_Output!$AC$1:$AC$400,_xlfn.TEXTJOIN(",",TRUE,B249:E249),SF_Output!$Q$1:$Q$400,"One Time",SF_Output!$L$1:$L$400,"hardware"))</f>
        <v/>
      </c>
      <c r="K249" s="112" t="str">
        <f>IF(OR(B249=0,B249="",G249="hardware",J249=0),"",IF(AF249&lt;&gt;"exclusion",MAX(K$9,-((SUMIFS(SF_Output!$T$1:$T$400,SF_Output!$AC$1:$AC$400,_xlfn.TEXTJOIN(",",TRUE,$B249:$E249),SF_Output!$Q$1:$Q$400,"One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license"))/J249)))</f>
        <v/>
      </c>
      <c r="L249" s="6" t="str">
        <f t="shared" si="52"/>
        <v/>
      </c>
      <c r="N249" s="6" t="str">
        <f>IF(B249="","",SUMIFS(SF_Output!$S$1:$S$400,SF_Output!$AC$1:$AC$400,_xlfn.TEXTJOIN(",",TRUE,B249:E249),SF_Output!$Q$1:$Q$400,"One Time",SF_Output!$L$1:$L$400,"professional service"))</f>
        <v/>
      </c>
      <c r="O249" s="112" t="str">
        <f>IF(OR(B249=0,B249="",N249=0),"",IF(AF249&lt;&gt;"exclusion",MAX(O$9,-(SUMIFS(SF_Output!$T$1:$T$400,SF_Output!$AC$1:$AC$400,_xlfn.TEXTJOIN(",",TRUE,$B249:$E249),SF_Output!$Q$1:$Q$400,"One Time",SF_Output!$L$1:$L$400,"professional service"))/N249),-((SUMIFS(SF_Output!$T$1:$T$400,SF_Output!$AC$1:$AC$400,_xlfn.TEXTJOIN(",",TRUE,$B249:$E249),SF_Output!$Q$1:$Q$400,"One Time",SF_Output!$L$1:$L$400,"professional service")/N249))))</f>
        <v/>
      </c>
      <c r="P249" s="6" t="str">
        <f t="shared" si="53"/>
        <v/>
      </c>
      <c r="R249" s="6" t="str">
        <f>IF(B249="","",SUMIFS(SF_Output!$S$1:$S$400,SF_Output!$AC$1:$AC$400,_xlfn.TEXTJOIN(",",TRUE,B249:E249),SF_Output!$Q$1:$Q$400,"yearly")+SUMIFS(SF_Output!$S$1:$S$400,SF_Output!$AC$1:$AC$400,_xlfn.TEXTJOIN(",",TRUE,B249:E249),SF_Output!$Q$1:$Q$400,"quarterly")*4)</f>
        <v/>
      </c>
      <c r="S249" s="112" t="str">
        <f>IF(OR(B249=0,B249="",G249="hardware",R249=0),"",IF(AF249&lt;&gt;"exclusion",MAX(S$9,-(SUMIFS(SF_Output!$T$1:$T$400,SF_Output!$AC$1:$AC$400,_xlfn.TEXTJOIN(",",TRUE,$B249:$E249),SF_Output!$Q$1:$Q$400,"yearly"))/R249),-((SUMIFS(SF_Output!$T$1:$T$400,SF_Output!$AC$1:$AC$400,_xlfn.TEXTJOIN(",",TRUE,$B249:$E249),SF_Output!$Q$1:$Q$400,"yearly")/R249))))</f>
        <v/>
      </c>
      <c r="T249" s="6" t="str">
        <f t="shared" si="54"/>
        <v/>
      </c>
      <c r="V249" s="6" t="str" cm="1">
        <f t="array" ref="V249">_xlfn.IFS(B249="","",AND(B249&lt;&gt;"",H249=SF_Output!$Y$2,SUMIFS(SF_Output!$T$1:$T$400,SF_Output!$AC$1:$AC$400,_xlfn.TEXTJOIN(",",TRUE,B249:E249),SF_Output!$Q$1:$Q$400,"monthly")=0),(SUMIFS(SF_Output!$F$1:$F$400,SF_Output!$AC$1:$AC$400,_xlfn.TEXTJOIN(",",TRUE,B249:E249),SF_Output!$Q$1:$Q$400,"monthly")+SUMIFS(SF_Output!$G$1:$G$400,SF_Output!$AC$1:$AC$400,_xlfn.TEXTJOIN(",",TRUE,B249:E249),SF_Output!$Q$1:$Q$400,"monthly"))*H249,AND(B249&lt;&gt;"",H249=SF_Output!$Y$2,SUMIFS(SF_Output!$T$1:$T$400,SF_Output!$AC$1:$AC$400,_xlfn.TEXTJOIN(",",TRUE,B249:E249),SF_Output!$Q$1:$Q$400,"monthly")&lt;&gt;0),SUMIFS(SF_Output!$S$1:$S$400,SF_Output!$AC$1:$AC$400,_xlfn.TEXTJOIN(",",TRUE,B249:E249),SF_Output!$Q$1:$Q$400,"monthly"),AND(B249&lt;&gt;"",H249&lt;&gt;SF_Output!$Y$2),SUMIFS(SF_Output!$S$1:$S$400,SF_Output!$AC$1:$AC$400,_xlfn.TEXTJOIN(",",TRUE,B249:E249),SF_Output!$Q$1:$Q$400,"monthly"))</f>
        <v/>
      </c>
      <c r="W249" s="112" t="str" cm="1">
        <f t="array" ref="W249">_xlfn.IFS(OR(B249=0,B249="",V249=0),"",AF249&lt;&gt;"exclusion",MAX($W$9,$W$7,(-(SUMIFS(SF_Output!$T$1:$T$400,SF_Output!$AC$1:$AC$400,_xlfn.TEXTJOIN(",",TRUE,$B249:$E249),SF_Output!$Q$1:$Q$400,"monthly"))/V249)),AF249="exclusion",-(SUMIFS(SF_Output!$T$1:$T$400,SF_Output!$AC$1:$AC$400,_xlfn.TEXTJOIN(",",TRUE,$B249:$E249),SF_Output!$Q$1:$Q$400,"monthly"))/V249)</f>
        <v/>
      </c>
      <c r="X249" s="6" t="str" cm="1">
        <f t="array" ref="X249">IFERROR(_xlfn.IFS(V249=0,0,V249="","",W249=0,V249,OR(V249&lt;&gt;0,V249&lt;&gt;""),H249*I249),V249*(1-W249))</f>
        <v/>
      </c>
      <c r="Z249" s="6" t="str">
        <f>IFERROR(IF(B249="","",SUMIFS(Billing_Fallout!H:H,Billing_Fallout!N:N,B249)),0)</f>
        <v/>
      </c>
      <c r="AA249" s="6" t="str">
        <f t="shared" si="55"/>
        <v/>
      </c>
      <c r="AB249" s="6" t="str">
        <f>IFERROR(IF(B249="","",SUMIFS(Billing_Fallout!J:J,Billing_Fallout!N:N,B249)),0)</f>
        <v/>
      </c>
      <c r="AD249" s="6" t="str">
        <f t="shared" si="56"/>
        <v/>
      </c>
      <c r="AF249" t="str">
        <f>IFERROR(INDEX(H_Tables!$B$1:$B$1500,MATCH(INDEX(SF_Output!$J$1:$J$400,MATCH(B249,SF_Output!$M$1:$M$400,0)),H_Tables!$A$1:$A$1500,0)),"")</f>
        <v/>
      </c>
      <c r="AI249" s="119" t="str">
        <f t="shared" si="57"/>
        <v/>
      </c>
      <c r="AJ249" s="121">
        <f>IFERROR(INDEX(SF_Output!AD:AD,MATCH(_xlfn.TEXTJOIN(",",TRUE,B249:E249),SF_Output!AC1:AC400,0)),0.05)</f>
        <v>241</v>
      </c>
      <c r="AK249" t="str">
        <f>IF(SUMIFS(SF_Output!$F$1:$F$400,SF_Output!$AC$1:$AC$400,_xlfn.TEXTJOIN(",",TRUE,B249:E249))+SUMIFS(SF_Output!$G$1:$G$400,SF_Output!$AC$1:$AC$400,_xlfn.TEXTJOIN(",",TRUE,B249:E249))=0,"","PAP")</f>
        <v/>
      </c>
      <c r="AQ249" s="35"/>
      <c r="AR249" s="35" t="str" cm="1">
        <f t="array" ref="AR249">IFERROR(_xlfn.IFS(AND(E249*1=1,F249="Included"),"Change to Included",AND(E249*1=0,F249="Optional"),"Change to Optional",OR(B249="",F249="replaced"),""),"")</f>
        <v/>
      </c>
      <c r="AS249" s="35" t="str">
        <f t="shared" si="58"/>
        <v/>
      </c>
      <c r="AT249" s="35" t="str">
        <f t="shared" si="59"/>
        <v/>
      </c>
      <c r="AU249" s="35" t="str">
        <f t="shared" si="60"/>
        <v/>
      </c>
      <c r="AV249" s="35" t="str">
        <f t="shared" si="61"/>
        <v/>
      </c>
      <c r="AW249" s="35" t="str">
        <f t="shared" si="62"/>
        <v/>
      </c>
      <c r="AX249" s="35" t="str">
        <f t="shared" si="63"/>
        <v/>
      </c>
      <c r="AY249" s="35" t="str">
        <f t="shared" si="64"/>
        <v/>
      </c>
      <c r="AZ249" s="35" t="str">
        <f t="shared" si="65"/>
        <v/>
      </c>
      <c r="BA249" s="35" t="str">
        <f t="shared" si="66"/>
        <v/>
      </c>
      <c r="BB249" s="35" t="str">
        <f t="shared" si="67"/>
        <v/>
      </c>
      <c r="BC249" s="35"/>
      <c r="BE249" s="35" t="e">
        <f>INDEX(SF_Output!$AA$2:$AA$400,MATCH($B249,SF_Output!$M$2:$M$400,0))</f>
        <v>#N/A</v>
      </c>
      <c r="BF249" s="35" t="e">
        <f>INDEX(SF_Output!$AB$2:$AB$400,MATCH($B249,SF_Output!$M$2:$M$400,0))</f>
        <v>#N/A</v>
      </c>
    </row>
    <row r="250" spans="6:58" x14ac:dyDescent="0.25">
      <c r="F250" s="116" t="str">
        <f t="shared" si="51"/>
        <v/>
      </c>
      <c r="G250" t="str">
        <f>IF(B250="","",INDEX(SF_Output!$K$1:$K$400,MATCH(B250,SF_Output!$M$1:$M$400,0)))</f>
        <v/>
      </c>
      <c r="H250" t="str" cm="1">
        <f t="array" ref="H250">_xlfn.IFS(B250="","",(SUMIFS(SF_Output!$F$1:$F$400,SF_Output!$AC$1:$AC$400,_xlfn.TEXTJOIN(",",TRUE,B250:E250))+SUMIFS(SF_Output!$G$1:$G$400,SF_Output!$AC$1:$AC$400,_xlfn.TEXTJOIN(",",TRUE,B250:E250)))&lt;&gt;0,SF_Output!$Y$2,INDEX(SF_Output!$F$1:$F$400,MATCH(_xlfn.TEXTJOIN(",",TRUE,B250:E250),SF_Output!$AC$1:$AC$400,0))=0,INDEX(SF_Output!$R$1:$R$400,MATCH(_xlfn.TEXTJOIN(",",TRUE,B250:E250),SF_Output!$AC$1:$AC$400,0)))</f>
        <v/>
      </c>
      <c r="I250" s="125" t="str">
        <f>IFERROR(IF(AND(H250&gt;1,H250&lt;&gt;""),ROUND(SUMIFS(SF_Output!$S$1:$S$400,SF_Output!$AC$1:$AC$400,_xlfn.TEXTJOIN(",",TRUE,B250:E250),SF_Output!$Q$1:$Q$400,"monthly")*(1-W250)/H250,4),""),"")</f>
        <v/>
      </c>
      <c r="J250" s="6" t="str">
        <f>IF(B250="","",SUMIFS(SF_Output!$S$1:$S$400,SF_Output!$AC$1:$AC$400,_xlfn.TEXTJOIN(",",TRUE,B250:E250),SF_Output!$Q$1:$Q$400,"One Time",SF_Output!$L$1:$L$400,"license fee")+SUMIFS(SF_Output!$S$1:$S$400,SF_Output!$AC$1:$AC$400,_xlfn.TEXTJOIN(",",TRUE,B250:E250),SF_Output!$Q$1:$Q$400,"One Time",SF_Output!$L$1:$L$400,"software license")+SUMIFS(SF_Output!$S$1:$S$400,SF_Output!$AC$1:$AC$400,_xlfn.TEXTJOIN(",",TRUE,B250:E250),SF_Output!$Q$1:$Q$400,"One Time",SF_Output!$L$1:$L$400,"hardware"))</f>
        <v/>
      </c>
      <c r="K250" s="112" t="str">
        <f>IF(OR(B250=0,B250="",G250="hardware",J250=0),"",IF(AF250&lt;&gt;"exclusion",MAX(K$9,-((SUMIFS(SF_Output!$T$1:$T$400,SF_Output!$AC$1:$AC$400,_xlfn.TEXTJOIN(",",TRUE,$B250:$E250),SF_Output!$Q$1:$Q$400,"One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license"))/J250)))</f>
        <v/>
      </c>
      <c r="L250" s="6" t="str">
        <f t="shared" si="52"/>
        <v/>
      </c>
      <c r="N250" s="6" t="str">
        <f>IF(B250="","",SUMIFS(SF_Output!$S$1:$S$400,SF_Output!$AC$1:$AC$400,_xlfn.TEXTJOIN(",",TRUE,B250:E250),SF_Output!$Q$1:$Q$400,"One Time",SF_Output!$L$1:$L$400,"professional service"))</f>
        <v/>
      </c>
      <c r="O250" s="112" t="str">
        <f>IF(OR(B250=0,B250="",N250=0),"",IF(AF250&lt;&gt;"exclusion",MAX(O$9,-(SUMIFS(SF_Output!$T$1:$T$400,SF_Output!$AC$1:$AC$400,_xlfn.TEXTJOIN(",",TRUE,$B250:$E250),SF_Output!$Q$1:$Q$400,"One Time",SF_Output!$L$1:$L$400,"professional service"))/N250),-((SUMIFS(SF_Output!$T$1:$T$400,SF_Output!$AC$1:$AC$400,_xlfn.TEXTJOIN(",",TRUE,$B250:$E250),SF_Output!$Q$1:$Q$400,"One Time",SF_Output!$L$1:$L$400,"professional service")/N250))))</f>
        <v/>
      </c>
      <c r="P250" s="6" t="str">
        <f t="shared" si="53"/>
        <v/>
      </c>
      <c r="R250" s="6" t="str">
        <f>IF(B250="","",SUMIFS(SF_Output!$S$1:$S$400,SF_Output!$AC$1:$AC$400,_xlfn.TEXTJOIN(",",TRUE,B250:E250),SF_Output!$Q$1:$Q$400,"yearly")+SUMIFS(SF_Output!$S$1:$S$400,SF_Output!$AC$1:$AC$400,_xlfn.TEXTJOIN(",",TRUE,B250:E250),SF_Output!$Q$1:$Q$400,"quarterly")*4)</f>
        <v/>
      </c>
      <c r="S250" s="112" t="str">
        <f>IF(OR(B250=0,B250="",G250="hardware",R250=0),"",IF(AF250&lt;&gt;"exclusion",MAX(S$9,-(SUMIFS(SF_Output!$T$1:$T$400,SF_Output!$AC$1:$AC$400,_xlfn.TEXTJOIN(",",TRUE,$B250:$E250),SF_Output!$Q$1:$Q$400,"yearly"))/R250),-((SUMIFS(SF_Output!$T$1:$T$400,SF_Output!$AC$1:$AC$400,_xlfn.TEXTJOIN(",",TRUE,$B250:$E250),SF_Output!$Q$1:$Q$400,"yearly")/R250))))</f>
        <v/>
      </c>
      <c r="T250" s="6" t="str">
        <f t="shared" si="54"/>
        <v/>
      </c>
      <c r="V250" s="6" t="str" cm="1">
        <f t="array" ref="V250">_xlfn.IFS(B250="","",AND(B250&lt;&gt;"",H250=SF_Output!$Y$2,SUMIFS(SF_Output!$T$1:$T$400,SF_Output!$AC$1:$AC$400,_xlfn.TEXTJOIN(",",TRUE,B250:E250),SF_Output!$Q$1:$Q$400,"monthly")=0),(SUMIFS(SF_Output!$F$1:$F$400,SF_Output!$AC$1:$AC$400,_xlfn.TEXTJOIN(",",TRUE,B250:E250),SF_Output!$Q$1:$Q$400,"monthly")+SUMIFS(SF_Output!$G$1:$G$400,SF_Output!$AC$1:$AC$400,_xlfn.TEXTJOIN(",",TRUE,B250:E250),SF_Output!$Q$1:$Q$400,"monthly"))*H250,AND(B250&lt;&gt;"",H250=SF_Output!$Y$2,SUMIFS(SF_Output!$T$1:$T$400,SF_Output!$AC$1:$AC$400,_xlfn.TEXTJOIN(",",TRUE,B250:E250),SF_Output!$Q$1:$Q$400,"monthly")&lt;&gt;0),SUMIFS(SF_Output!$S$1:$S$400,SF_Output!$AC$1:$AC$400,_xlfn.TEXTJOIN(",",TRUE,B250:E250),SF_Output!$Q$1:$Q$400,"monthly"),AND(B250&lt;&gt;"",H250&lt;&gt;SF_Output!$Y$2),SUMIFS(SF_Output!$S$1:$S$400,SF_Output!$AC$1:$AC$400,_xlfn.TEXTJOIN(",",TRUE,B250:E250),SF_Output!$Q$1:$Q$400,"monthly"))</f>
        <v/>
      </c>
      <c r="W250" s="112" t="str" cm="1">
        <f t="array" ref="W250">_xlfn.IFS(OR(B250=0,B250="",V250=0),"",AF250&lt;&gt;"exclusion",MAX($W$9,$W$7,(-(SUMIFS(SF_Output!$T$1:$T$400,SF_Output!$AC$1:$AC$400,_xlfn.TEXTJOIN(",",TRUE,$B250:$E250),SF_Output!$Q$1:$Q$400,"monthly"))/V250)),AF250="exclusion",-(SUMIFS(SF_Output!$T$1:$T$400,SF_Output!$AC$1:$AC$400,_xlfn.TEXTJOIN(",",TRUE,$B250:$E250),SF_Output!$Q$1:$Q$400,"monthly"))/V250)</f>
        <v/>
      </c>
      <c r="X250" s="6" t="str" cm="1">
        <f t="array" ref="X250">IFERROR(_xlfn.IFS(V250=0,0,V250="","",W250=0,V250,OR(V250&lt;&gt;0,V250&lt;&gt;""),H250*I250),V250*(1-W250))</f>
        <v/>
      </c>
      <c r="Z250" s="6" t="str">
        <f>IFERROR(IF(B250="","",SUMIFS(Billing_Fallout!H:H,Billing_Fallout!N:N,B250)),0)</f>
        <v/>
      </c>
      <c r="AA250" s="6" t="str">
        <f t="shared" si="55"/>
        <v/>
      </c>
      <c r="AB250" s="6" t="str">
        <f>IFERROR(IF(B250="","",SUMIFS(Billing_Fallout!J:J,Billing_Fallout!N:N,B250)),0)</f>
        <v/>
      </c>
      <c r="AD250" s="6" t="str">
        <f t="shared" si="56"/>
        <v/>
      </c>
      <c r="AF250" t="str">
        <f>IFERROR(INDEX(H_Tables!$B$1:$B$1500,MATCH(INDEX(SF_Output!$J$1:$J$400,MATCH(B250,SF_Output!$M$1:$M$400,0)),H_Tables!$A$1:$A$1500,0)),"")</f>
        <v/>
      </c>
      <c r="AI250" s="119" t="str">
        <f t="shared" si="57"/>
        <v/>
      </c>
      <c r="AJ250" s="121">
        <f>IFERROR(INDEX(SF_Output!AD:AD,MATCH(_xlfn.TEXTJOIN(",",TRUE,B250:E250),SF_Output!AC1:AC400,0)),0.05)</f>
        <v>241</v>
      </c>
      <c r="AK250" t="str">
        <f>IF(SUMIFS(SF_Output!$F$1:$F$400,SF_Output!$AC$1:$AC$400,_xlfn.TEXTJOIN(",",TRUE,B250:E250))+SUMIFS(SF_Output!$G$1:$G$400,SF_Output!$AC$1:$AC$400,_xlfn.TEXTJOIN(",",TRUE,B250:E250))=0,"","PAP")</f>
        <v/>
      </c>
      <c r="AQ250" s="35"/>
      <c r="AR250" s="35" t="str" cm="1">
        <f t="array" ref="AR250">IFERROR(_xlfn.IFS(AND(E250*1=1,F250="Included"),"Change to Included",AND(E250*1=0,F250="Optional"),"Change to Optional",OR(B250="",F250="replaced"),""),"")</f>
        <v/>
      </c>
      <c r="AS250" s="35" t="str">
        <f t="shared" si="58"/>
        <v/>
      </c>
      <c r="AT250" s="35" t="str">
        <f t="shared" si="59"/>
        <v/>
      </c>
      <c r="AU250" s="35" t="str">
        <f t="shared" si="60"/>
        <v/>
      </c>
      <c r="AV250" s="35" t="str">
        <f t="shared" si="61"/>
        <v/>
      </c>
      <c r="AW250" s="35" t="str">
        <f t="shared" si="62"/>
        <v/>
      </c>
      <c r="AX250" s="35" t="str">
        <f t="shared" si="63"/>
        <v/>
      </c>
      <c r="AY250" s="35" t="str">
        <f t="shared" si="64"/>
        <v/>
      </c>
      <c r="AZ250" s="35" t="str">
        <f t="shared" si="65"/>
        <v/>
      </c>
      <c r="BA250" s="35" t="str">
        <f t="shared" si="66"/>
        <v/>
      </c>
      <c r="BB250" s="35" t="str">
        <f t="shared" si="67"/>
        <v/>
      </c>
      <c r="BC250" s="35"/>
      <c r="BE250" s="35" t="e">
        <f>INDEX(SF_Output!$AA$2:$AA$400,MATCH($B250,SF_Output!$M$2:$M$400,0))</f>
        <v>#N/A</v>
      </c>
      <c r="BF250" s="35" t="e">
        <f>INDEX(SF_Output!$AB$2:$AB$400,MATCH($B250,SF_Output!$M$2:$M$400,0))</f>
        <v>#N/A</v>
      </c>
    </row>
    <row r="251" spans="6:58" x14ac:dyDescent="0.25">
      <c r="F251" s="116" t="str">
        <f t="shared" ref="F251:F300" si="68">IF(B251="","",IF(E251*1=0,"Included","Optional"))</f>
        <v/>
      </c>
      <c r="G251" t="str">
        <f>IF(B251="","",INDEX(SF_Output!$K$1:$K$400,MATCH(B251,SF_Output!$M$1:$M$400,0)))</f>
        <v/>
      </c>
      <c r="H251" t="str" cm="1">
        <f t="array" ref="H251">_xlfn.IFS(B251="","",(SUMIFS(SF_Output!$F$1:$F$400,SF_Output!$AC$1:$AC$400,_xlfn.TEXTJOIN(",",TRUE,B251:E251))+SUMIFS(SF_Output!$G$1:$G$400,SF_Output!$AC$1:$AC$400,_xlfn.TEXTJOIN(",",TRUE,B251:E251)))&lt;&gt;0,SF_Output!$Y$2,INDEX(SF_Output!$F$1:$F$400,MATCH(_xlfn.TEXTJOIN(",",TRUE,B251:E251),SF_Output!$AC$1:$AC$400,0))=0,INDEX(SF_Output!$R$1:$R$400,MATCH(_xlfn.TEXTJOIN(",",TRUE,B251:E251),SF_Output!$AC$1:$AC$400,0)))</f>
        <v/>
      </c>
      <c r="I251" s="125" t="str">
        <f>IFERROR(IF(AND(H251&gt;1,H251&lt;&gt;""),ROUND(SUMIFS(SF_Output!$S$1:$S$400,SF_Output!$AC$1:$AC$400,_xlfn.TEXTJOIN(",",TRUE,B251:E251),SF_Output!$Q$1:$Q$400,"monthly")*(1-W251)/H251,4),""),"")</f>
        <v/>
      </c>
      <c r="J251" s="6" t="str">
        <f>IF(B251="","",SUMIFS(SF_Output!$S$1:$S$400,SF_Output!$AC$1:$AC$400,_xlfn.TEXTJOIN(",",TRUE,B251:E251),SF_Output!$Q$1:$Q$400,"One Time",SF_Output!$L$1:$L$400,"license fee")+SUMIFS(SF_Output!$S$1:$S$400,SF_Output!$AC$1:$AC$400,_xlfn.TEXTJOIN(",",TRUE,B251:E251),SF_Output!$Q$1:$Q$400,"One Time",SF_Output!$L$1:$L$400,"software license")+SUMIFS(SF_Output!$S$1:$S$400,SF_Output!$AC$1:$AC$400,_xlfn.TEXTJOIN(",",TRUE,B251:E251),SF_Output!$Q$1:$Q$400,"One Time",SF_Output!$L$1:$L$400,"hardware"))</f>
        <v/>
      </c>
      <c r="K251" s="112" t="str">
        <f>IF(OR(B251=0,B251="",G251="hardware",J251=0),"",IF(AF251&lt;&gt;"exclusion",MAX(K$9,-((SUMIFS(SF_Output!$T$1:$T$400,SF_Output!$AC$1:$AC$400,_xlfn.TEXTJOIN(",",TRUE,$B251:$E251),SF_Output!$Q$1:$Q$400,"One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license"))/J251)))</f>
        <v/>
      </c>
      <c r="L251" s="6" t="str">
        <f t="shared" ref="L251:L300" si="69">IF(K251="",J251,J251*(1-K251))</f>
        <v/>
      </c>
      <c r="N251" s="6" t="str">
        <f>IF(B251="","",SUMIFS(SF_Output!$S$1:$S$400,SF_Output!$AC$1:$AC$400,_xlfn.TEXTJOIN(",",TRUE,B251:E251),SF_Output!$Q$1:$Q$400,"One Time",SF_Output!$L$1:$L$400,"professional service"))</f>
        <v/>
      </c>
      <c r="O251" s="112" t="str">
        <f>IF(OR(B251=0,B251="",N251=0),"",IF(AF251&lt;&gt;"exclusion",MAX(O$9,-(SUMIFS(SF_Output!$T$1:$T$400,SF_Output!$AC$1:$AC$400,_xlfn.TEXTJOIN(",",TRUE,$B251:$E251),SF_Output!$Q$1:$Q$400,"One Time",SF_Output!$L$1:$L$400,"professional service"))/N251),-((SUMIFS(SF_Output!$T$1:$T$400,SF_Output!$AC$1:$AC$400,_xlfn.TEXTJOIN(",",TRUE,$B251:$E251),SF_Output!$Q$1:$Q$400,"One Time",SF_Output!$L$1:$L$400,"professional service")/N251))))</f>
        <v/>
      </c>
      <c r="P251" s="6" t="str">
        <f t="shared" ref="P251:P300" si="70">IF(O251="",N251,N251*(1-O251))</f>
        <v/>
      </c>
      <c r="R251" s="6" t="str">
        <f>IF(B251="","",SUMIFS(SF_Output!$S$1:$S$400,SF_Output!$AC$1:$AC$400,_xlfn.TEXTJOIN(",",TRUE,B251:E251),SF_Output!$Q$1:$Q$400,"yearly")+SUMIFS(SF_Output!$S$1:$S$400,SF_Output!$AC$1:$AC$400,_xlfn.TEXTJOIN(",",TRUE,B251:E251),SF_Output!$Q$1:$Q$400,"quarterly")*4)</f>
        <v/>
      </c>
      <c r="S251" s="112" t="str">
        <f>IF(OR(B251=0,B251="",G251="hardware",R251=0),"",IF(AF251&lt;&gt;"exclusion",MAX(S$9,-(SUMIFS(SF_Output!$T$1:$T$400,SF_Output!$AC$1:$AC$400,_xlfn.TEXTJOIN(",",TRUE,$B251:$E251),SF_Output!$Q$1:$Q$400,"yearly"))/R251),-((SUMIFS(SF_Output!$T$1:$T$400,SF_Output!$AC$1:$AC$400,_xlfn.TEXTJOIN(",",TRUE,$B251:$E251),SF_Output!$Q$1:$Q$400,"yearly")/R251))))</f>
        <v/>
      </c>
      <c r="T251" s="6" t="str">
        <f t="shared" ref="T251:T300" si="71">IF(S251="",R251,R251*(1-S251))</f>
        <v/>
      </c>
      <c r="V251" s="6" t="str" cm="1">
        <f t="array" ref="V251">_xlfn.IFS(B251="","",AND(B251&lt;&gt;"",H251=SF_Output!$Y$2,SUMIFS(SF_Output!$T$1:$T$400,SF_Output!$AC$1:$AC$400,_xlfn.TEXTJOIN(",",TRUE,B251:E251),SF_Output!$Q$1:$Q$400,"monthly")=0),(SUMIFS(SF_Output!$F$1:$F$400,SF_Output!$AC$1:$AC$400,_xlfn.TEXTJOIN(",",TRUE,B251:E251),SF_Output!$Q$1:$Q$400,"monthly")+SUMIFS(SF_Output!$G$1:$G$400,SF_Output!$AC$1:$AC$400,_xlfn.TEXTJOIN(",",TRUE,B251:E251),SF_Output!$Q$1:$Q$400,"monthly"))*H251,AND(B251&lt;&gt;"",H251=SF_Output!$Y$2,SUMIFS(SF_Output!$T$1:$T$400,SF_Output!$AC$1:$AC$400,_xlfn.TEXTJOIN(",",TRUE,B251:E251),SF_Output!$Q$1:$Q$400,"monthly")&lt;&gt;0),SUMIFS(SF_Output!$S$1:$S$400,SF_Output!$AC$1:$AC$400,_xlfn.TEXTJOIN(",",TRUE,B251:E251),SF_Output!$Q$1:$Q$400,"monthly"),AND(B251&lt;&gt;"",H251&lt;&gt;SF_Output!$Y$2),SUMIFS(SF_Output!$S$1:$S$400,SF_Output!$AC$1:$AC$400,_xlfn.TEXTJOIN(",",TRUE,B251:E251),SF_Output!$Q$1:$Q$400,"monthly"))</f>
        <v/>
      </c>
      <c r="W251" s="112" t="str" cm="1">
        <f t="array" ref="W251">_xlfn.IFS(OR(B251=0,B251="",V251=0),"",AF251&lt;&gt;"exclusion",MAX($W$9,$W$7,(-(SUMIFS(SF_Output!$T$1:$T$400,SF_Output!$AC$1:$AC$400,_xlfn.TEXTJOIN(",",TRUE,$B251:$E251),SF_Output!$Q$1:$Q$400,"monthly"))/V251)),AF251="exclusion",-(SUMIFS(SF_Output!$T$1:$T$400,SF_Output!$AC$1:$AC$400,_xlfn.TEXTJOIN(",",TRUE,$B251:$E251),SF_Output!$Q$1:$Q$400,"monthly"))/V251)</f>
        <v/>
      </c>
      <c r="X251" s="6" t="str" cm="1">
        <f t="array" ref="X251">IFERROR(_xlfn.IFS(V251=0,0,V251="","",W251=0,V251,OR(V251&lt;&gt;0,V251&lt;&gt;""),H251*I251),V251*(1-W251))</f>
        <v/>
      </c>
      <c r="Z251" s="6" t="str">
        <f>IFERROR(IF(B251="","",SUMIFS(Billing_Fallout!H:H,Billing_Fallout!N:N,B251)),0)</f>
        <v/>
      </c>
      <c r="AA251" s="6" t="str">
        <f t="shared" ref="AA251:AA300" si="72">IF(Z251="","",AB251-Z251)</f>
        <v/>
      </c>
      <c r="AB251" s="6" t="str">
        <f>IFERROR(IF(B251="","",SUMIFS(Billing_Fallout!J:J,Billing_Fallout!N:N,B251)),0)</f>
        <v/>
      </c>
      <c r="AD251" s="6" t="str">
        <f t="shared" ref="AD251:AD300" si="73">IFERROR(X251-AB251,"")</f>
        <v/>
      </c>
      <c r="AF251" t="str">
        <f>IFERROR(INDEX(H_Tables!$B$1:$B$1500,MATCH(INDEX(SF_Output!$J$1:$J$400,MATCH(B251,SF_Output!$M$1:$M$400,0)),H_Tables!$A$1:$A$1500,0)),"")</f>
        <v/>
      </c>
      <c r="AI251" s="119" t="str">
        <f t="shared" ref="AI251:AI300" si="74">IF(B251="","",IF(F251="remove","Remove Product",IF(F251="add","Add Product",_xlfn.TEXTJOIN(", ",TRUE,AQ251,AR251,AS251,AT251,AU251,AV251,AW251,AX251,AY251,AZ251,BA251,BB251,BC251))))</f>
        <v/>
      </c>
      <c r="AJ251" s="121">
        <f>IFERROR(INDEX(SF_Output!AD:AD,MATCH(_xlfn.TEXTJOIN(",",TRUE,B251:E251),SF_Output!AC2:AC401,0)),0.05)</f>
        <v>240</v>
      </c>
      <c r="AK251" t="str">
        <f>IF(SUMIFS(SF_Output!$F$1:$F$400,SF_Output!$AC$1:$AC$400,_xlfn.TEXTJOIN(",",TRUE,B251:E251))+SUMIFS(SF_Output!$G$1:$G$400,SF_Output!$AC$1:$AC$400,_xlfn.TEXTJOIN(",",TRUE,B251:E251))=0,"","PAP")</f>
        <v/>
      </c>
      <c r="AQ251" s="35"/>
      <c r="AR251" s="35" t="str" cm="1">
        <f t="array" ref="AR251">IFERROR(_xlfn.IFS(AND(E251*1=1,F251="Included"),"Change to Included",AND(E251*1=0,F251="Optional"),"Change to Optional",OR(B251="",F251="replaced"),""),"")</f>
        <v/>
      </c>
      <c r="AS251" s="35" t="str">
        <f t="shared" ref="AS251:AS300" si="75">IF((OR(NOT(_xlfn.ISFORMULA(J251)),NOT(_xlfn.ISFORMULA(L251)))),"Check License Price Override","")</f>
        <v/>
      </c>
      <c r="AT251" s="35" t="str">
        <f t="shared" ref="AT251:AT300" si="76">IF(OR(AND(K251=$K$9,K251&lt;&gt;0),NOT(_xlfn.ISFORMULA(K251))),"License Discount "&amp;K251*100&amp;"%","")</f>
        <v/>
      </c>
      <c r="AU251" s="35" t="str">
        <f t="shared" ref="AU251:AU300" si="77">IF((OR(NOT(_xlfn.ISFORMULA(N251)),NOT(_xlfn.ISFORMULA(P251)))),"Check Install Price Override","")</f>
        <v/>
      </c>
      <c r="AV251" s="35" t="str">
        <f t="shared" ref="AV251:AV300" si="78">IF(OR(AND(O251=$O$9,O251&lt;&gt;0),NOT(_xlfn.ISFORMULA(O251))),"Install Discount "&amp;O251*100&amp;"%","")</f>
        <v/>
      </c>
      <c r="AW251" s="35" t="str">
        <f t="shared" ref="AW251:AW300" si="79">IF((OR(NOT(_xlfn.ISFORMULA(R251)),NOT(_xlfn.ISFORMULA(T251)))),"Check Maintenance Price Override","")</f>
        <v/>
      </c>
      <c r="AX251" s="35" t="str">
        <f t="shared" ref="AX251:AX300" si="80">IF(OR(AND(S251=$S$9,S251&lt;&gt;0),NOT(_xlfn.ISFORMULA(S251))),"Maintenance Discount "&amp;S251*100&amp;"%","")</f>
        <v/>
      </c>
      <c r="AY251" s="35" t="str">
        <f t="shared" ref="AY251:AY300" si="81">IF((OR(NOT(_xlfn.ISFORMULA(V251)),NOT(_xlfn.ISFORMULA(X251)))),"Check Monthly Price Override","")</f>
        <v/>
      </c>
      <c r="AZ251" s="35" t="str">
        <f t="shared" ref="AZ251:AZ300" si="82">IF(OR((AND(W251=$W$9,W251&lt;&gt;0)),(AND(W251=$W$7,W251&lt;&gt;0)),(NOT(_xlfn.ISFORMULA(W251))),AND($W$7+0.2=W251,$W$7&lt;&gt;0)),"Monthly Discount "&amp;W251*100&amp;"%","")</f>
        <v/>
      </c>
      <c r="BA251" s="35" t="str">
        <f t="shared" ref="BA251:BA300" si="83">IF(NOT(_xlfn.ISFORMULA(H251)),"Check Quantity","")</f>
        <v/>
      </c>
      <c r="BB251" s="35" t="str">
        <f t="shared" ref="BB251:BB300" si="84">IF(NOT(_xlfn.ISFORMULA(I251)),"Check Unit Price Override","")</f>
        <v/>
      </c>
      <c r="BC251" s="35"/>
      <c r="BE251" s="35" t="e">
        <f>INDEX(SF_Output!$AA$2:$AA$400,MATCH($B251,SF_Output!$M$2:$M$400,0))</f>
        <v>#N/A</v>
      </c>
      <c r="BF251" s="35" t="e">
        <f>INDEX(SF_Output!$AB$2:$AB$400,MATCH($B251,SF_Output!$M$2:$M$400,0))</f>
        <v>#N/A</v>
      </c>
    </row>
    <row r="252" spans="6:58" x14ac:dyDescent="0.25">
      <c r="F252" s="116" t="str">
        <f t="shared" si="68"/>
        <v/>
      </c>
      <c r="G252" t="str">
        <f>IF(B252="","",INDEX(SF_Output!$K$1:$K$400,MATCH(B252,SF_Output!$M$1:$M$400,0)))</f>
        <v/>
      </c>
      <c r="H252" t="str" cm="1">
        <f t="array" ref="H252">_xlfn.IFS(B252="","",(SUMIFS(SF_Output!$F$1:$F$400,SF_Output!$AC$1:$AC$400,_xlfn.TEXTJOIN(",",TRUE,B252:E252))+SUMIFS(SF_Output!$G$1:$G$400,SF_Output!$AC$1:$AC$400,_xlfn.TEXTJOIN(",",TRUE,B252:E252)))&lt;&gt;0,SF_Output!$Y$2,INDEX(SF_Output!$F$1:$F$400,MATCH(_xlfn.TEXTJOIN(",",TRUE,B252:E252),SF_Output!$AC$1:$AC$400,0))=0,INDEX(SF_Output!$R$1:$R$400,MATCH(_xlfn.TEXTJOIN(",",TRUE,B252:E252),SF_Output!$AC$1:$AC$400,0)))</f>
        <v/>
      </c>
      <c r="I252" s="125" t="str">
        <f>IFERROR(IF(AND(H252&gt;1,H252&lt;&gt;""),ROUND(SUMIFS(SF_Output!$S$1:$S$400,SF_Output!$AC$1:$AC$400,_xlfn.TEXTJOIN(",",TRUE,B252:E252),SF_Output!$Q$1:$Q$400,"monthly")*(1-W252)/H252,4),""),"")</f>
        <v/>
      </c>
      <c r="J252" s="6" t="str">
        <f>IF(B252="","",SUMIFS(SF_Output!$S$1:$S$400,SF_Output!$AC$1:$AC$400,_xlfn.TEXTJOIN(",",TRUE,B252:E252),SF_Output!$Q$1:$Q$400,"One Time",SF_Output!$L$1:$L$400,"license fee")+SUMIFS(SF_Output!$S$1:$S$400,SF_Output!$AC$1:$AC$400,_xlfn.TEXTJOIN(",",TRUE,B252:E252),SF_Output!$Q$1:$Q$400,"One Time",SF_Output!$L$1:$L$400,"software license")+SUMIFS(SF_Output!$S$1:$S$400,SF_Output!$AC$1:$AC$400,_xlfn.TEXTJOIN(",",TRUE,B252:E252),SF_Output!$Q$1:$Q$400,"One Time",SF_Output!$L$1:$L$400,"hardware"))</f>
        <v/>
      </c>
      <c r="K252" s="112" t="str">
        <f>IF(OR(B252=0,B252="",G252="hardware",J252=0),"",IF(AF252&lt;&gt;"exclusion",MAX(K$9,-((SUMIFS(SF_Output!$T$1:$T$400,SF_Output!$AC$1:$AC$400,_xlfn.TEXTJOIN(",",TRUE,$B252:$E252),SF_Output!$Q$1:$Q$400,"One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license"))/J252)))</f>
        <v/>
      </c>
      <c r="L252" s="6" t="str">
        <f t="shared" si="69"/>
        <v/>
      </c>
      <c r="N252" s="6" t="str">
        <f>IF(B252="","",SUMIFS(SF_Output!$S$1:$S$400,SF_Output!$AC$1:$AC$400,_xlfn.TEXTJOIN(",",TRUE,B252:E252),SF_Output!$Q$1:$Q$400,"One Time",SF_Output!$L$1:$L$400,"professional service"))</f>
        <v/>
      </c>
      <c r="O252" s="112" t="str">
        <f>IF(OR(B252=0,B252="",N252=0),"",IF(AF252&lt;&gt;"exclusion",MAX(O$9,-(SUMIFS(SF_Output!$T$1:$T$400,SF_Output!$AC$1:$AC$400,_xlfn.TEXTJOIN(",",TRUE,$B252:$E252),SF_Output!$Q$1:$Q$400,"One Time",SF_Output!$L$1:$L$400,"professional service"))/N252),-((SUMIFS(SF_Output!$T$1:$T$400,SF_Output!$AC$1:$AC$400,_xlfn.TEXTJOIN(",",TRUE,$B252:$E252),SF_Output!$Q$1:$Q$400,"One Time",SF_Output!$L$1:$L$400,"professional service")/N252))))</f>
        <v/>
      </c>
      <c r="P252" s="6" t="str">
        <f t="shared" si="70"/>
        <v/>
      </c>
      <c r="R252" s="6" t="str">
        <f>IF(B252="","",SUMIFS(SF_Output!$S$1:$S$400,SF_Output!$AC$1:$AC$400,_xlfn.TEXTJOIN(",",TRUE,B252:E252),SF_Output!$Q$1:$Q$400,"yearly")+SUMIFS(SF_Output!$S$1:$S$400,SF_Output!$AC$1:$AC$400,_xlfn.TEXTJOIN(",",TRUE,B252:E252),SF_Output!$Q$1:$Q$400,"quarterly")*4)</f>
        <v/>
      </c>
      <c r="S252" s="112" t="str">
        <f>IF(OR(B252=0,B252="",G252="hardware",R252=0),"",IF(AF252&lt;&gt;"exclusion",MAX(S$9,-(SUMIFS(SF_Output!$T$1:$T$400,SF_Output!$AC$1:$AC$400,_xlfn.TEXTJOIN(",",TRUE,$B252:$E252),SF_Output!$Q$1:$Q$400,"yearly"))/R252),-((SUMIFS(SF_Output!$T$1:$T$400,SF_Output!$AC$1:$AC$400,_xlfn.TEXTJOIN(",",TRUE,$B252:$E252),SF_Output!$Q$1:$Q$400,"yearly")/R252))))</f>
        <v/>
      </c>
      <c r="T252" s="6" t="str">
        <f t="shared" si="71"/>
        <v/>
      </c>
      <c r="V252" s="6" t="str" cm="1">
        <f t="array" ref="V252">_xlfn.IFS(B252="","",AND(B252&lt;&gt;"",H252=SF_Output!$Y$2,SUMIFS(SF_Output!$T$1:$T$400,SF_Output!$AC$1:$AC$400,_xlfn.TEXTJOIN(",",TRUE,B252:E252),SF_Output!$Q$1:$Q$400,"monthly")=0),(SUMIFS(SF_Output!$F$1:$F$400,SF_Output!$AC$1:$AC$400,_xlfn.TEXTJOIN(",",TRUE,B252:E252),SF_Output!$Q$1:$Q$400,"monthly")+SUMIFS(SF_Output!$G$1:$G$400,SF_Output!$AC$1:$AC$400,_xlfn.TEXTJOIN(",",TRUE,B252:E252),SF_Output!$Q$1:$Q$400,"monthly"))*H252,AND(B252&lt;&gt;"",H252=SF_Output!$Y$2,SUMIFS(SF_Output!$T$1:$T$400,SF_Output!$AC$1:$AC$400,_xlfn.TEXTJOIN(",",TRUE,B252:E252),SF_Output!$Q$1:$Q$400,"monthly")&lt;&gt;0),SUMIFS(SF_Output!$S$1:$S$400,SF_Output!$AC$1:$AC$400,_xlfn.TEXTJOIN(",",TRUE,B252:E252),SF_Output!$Q$1:$Q$400,"monthly"),AND(B252&lt;&gt;"",H252&lt;&gt;SF_Output!$Y$2),SUMIFS(SF_Output!$S$1:$S$400,SF_Output!$AC$1:$AC$400,_xlfn.TEXTJOIN(",",TRUE,B252:E252),SF_Output!$Q$1:$Q$400,"monthly"))</f>
        <v/>
      </c>
      <c r="W252" s="112" t="str" cm="1">
        <f t="array" ref="W252">_xlfn.IFS(OR(B252=0,B252="",V252=0),"",AF252&lt;&gt;"exclusion",MAX($W$9,$W$7,(-(SUMIFS(SF_Output!$T$1:$T$400,SF_Output!$AC$1:$AC$400,_xlfn.TEXTJOIN(",",TRUE,$B252:$E252),SF_Output!$Q$1:$Q$400,"monthly"))/V252)),AF252="exclusion",-(SUMIFS(SF_Output!$T$1:$T$400,SF_Output!$AC$1:$AC$400,_xlfn.TEXTJOIN(",",TRUE,$B252:$E252),SF_Output!$Q$1:$Q$400,"monthly"))/V252)</f>
        <v/>
      </c>
      <c r="X252" s="6" t="str" cm="1">
        <f t="array" ref="X252">IFERROR(_xlfn.IFS(V252=0,0,V252="","",W252=0,V252,OR(V252&lt;&gt;0,V252&lt;&gt;""),H252*I252),V252*(1-W252))</f>
        <v/>
      </c>
      <c r="Z252" s="6" t="str">
        <f>IFERROR(IF(B252="","",SUMIFS(Billing_Fallout!H:H,Billing_Fallout!N:N,B252)),0)</f>
        <v/>
      </c>
      <c r="AA252" s="6" t="str">
        <f t="shared" si="72"/>
        <v/>
      </c>
      <c r="AB252" s="6" t="str">
        <f>IFERROR(IF(B252="","",SUMIFS(Billing_Fallout!J:J,Billing_Fallout!N:N,B252)),0)</f>
        <v/>
      </c>
      <c r="AD252" s="6" t="str">
        <f t="shared" si="73"/>
        <v/>
      </c>
      <c r="AF252" t="str">
        <f>IFERROR(INDEX(H_Tables!$B$1:$B$1500,MATCH(INDEX(SF_Output!$J$1:$J$400,MATCH(B252,SF_Output!$M$1:$M$400,0)),H_Tables!$A$1:$A$1500,0)),"")</f>
        <v/>
      </c>
      <c r="AI252" s="119" t="str">
        <f t="shared" si="74"/>
        <v/>
      </c>
      <c r="AJ252" s="121">
        <f>IFERROR(INDEX(SF_Output!AD:AD,MATCH(_xlfn.TEXTJOIN(",",TRUE,B252:E252),SF_Output!AC3:AC402,0)),0.05)</f>
        <v>239</v>
      </c>
      <c r="AK252" t="str">
        <f>IF(SUMIFS(SF_Output!$F$1:$F$400,SF_Output!$AC$1:$AC$400,_xlfn.TEXTJOIN(",",TRUE,B252:E252))+SUMIFS(SF_Output!$G$1:$G$400,SF_Output!$AC$1:$AC$400,_xlfn.TEXTJOIN(",",TRUE,B252:E252))=0,"","PAP")</f>
        <v/>
      </c>
      <c r="AQ252" s="35"/>
      <c r="AR252" s="35" t="str" cm="1">
        <f t="array" ref="AR252">IFERROR(_xlfn.IFS(AND(E252*1=1,F252="Included"),"Change to Included",AND(E252*1=0,F252="Optional"),"Change to Optional",OR(B252="",F252="replaced"),""),"")</f>
        <v/>
      </c>
      <c r="AS252" s="35" t="str">
        <f t="shared" si="75"/>
        <v/>
      </c>
      <c r="AT252" s="35" t="str">
        <f t="shared" si="76"/>
        <v/>
      </c>
      <c r="AU252" s="35" t="str">
        <f t="shared" si="77"/>
        <v/>
      </c>
      <c r="AV252" s="35" t="str">
        <f t="shared" si="78"/>
        <v/>
      </c>
      <c r="AW252" s="35" t="str">
        <f t="shared" si="79"/>
        <v/>
      </c>
      <c r="AX252" s="35" t="str">
        <f t="shared" si="80"/>
        <v/>
      </c>
      <c r="AY252" s="35" t="str">
        <f t="shared" si="81"/>
        <v/>
      </c>
      <c r="AZ252" s="35" t="str">
        <f t="shared" si="82"/>
        <v/>
      </c>
      <c r="BA252" s="35" t="str">
        <f t="shared" si="83"/>
        <v/>
      </c>
      <c r="BB252" s="35" t="str">
        <f t="shared" si="84"/>
        <v/>
      </c>
      <c r="BC252" s="35"/>
      <c r="BE252" s="35" t="e">
        <f>INDEX(SF_Output!$AA$2:$AA$400,MATCH($B252,SF_Output!$M$2:$M$400,0))</f>
        <v>#N/A</v>
      </c>
      <c r="BF252" s="35" t="e">
        <f>INDEX(SF_Output!$AB$2:$AB$400,MATCH($B252,SF_Output!$M$2:$M$400,0))</f>
        <v>#N/A</v>
      </c>
    </row>
    <row r="253" spans="6:58" x14ac:dyDescent="0.25">
      <c r="F253" s="116" t="str">
        <f t="shared" si="68"/>
        <v/>
      </c>
      <c r="G253" t="str">
        <f>IF(B253="","",INDEX(SF_Output!$K$1:$K$400,MATCH(B253,SF_Output!$M$1:$M$400,0)))</f>
        <v/>
      </c>
      <c r="H253" t="str" cm="1">
        <f t="array" ref="H253">_xlfn.IFS(B253="","",(SUMIFS(SF_Output!$F$1:$F$400,SF_Output!$AC$1:$AC$400,_xlfn.TEXTJOIN(",",TRUE,B253:E253))+SUMIFS(SF_Output!$G$1:$G$400,SF_Output!$AC$1:$AC$400,_xlfn.TEXTJOIN(",",TRUE,B253:E253)))&lt;&gt;0,SF_Output!$Y$2,INDEX(SF_Output!$F$1:$F$400,MATCH(_xlfn.TEXTJOIN(",",TRUE,B253:E253),SF_Output!$AC$1:$AC$400,0))=0,INDEX(SF_Output!$R$1:$R$400,MATCH(_xlfn.TEXTJOIN(",",TRUE,B253:E253),SF_Output!$AC$1:$AC$400,0)))</f>
        <v/>
      </c>
      <c r="I253" s="125" t="str">
        <f>IFERROR(IF(AND(H253&gt;1,H253&lt;&gt;""),ROUND(SUMIFS(SF_Output!$S$1:$S$400,SF_Output!$AC$1:$AC$400,_xlfn.TEXTJOIN(",",TRUE,B253:E253),SF_Output!$Q$1:$Q$400,"monthly")*(1-W253)/H253,4),""),"")</f>
        <v/>
      </c>
      <c r="J253" s="6" t="str">
        <f>IF(B253="","",SUMIFS(SF_Output!$S$1:$S$400,SF_Output!$AC$1:$AC$400,_xlfn.TEXTJOIN(",",TRUE,B253:E253),SF_Output!$Q$1:$Q$400,"One Time",SF_Output!$L$1:$L$400,"license fee")+SUMIFS(SF_Output!$S$1:$S$400,SF_Output!$AC$1:$AC$400,_xlfn.TEXTJOIN(",",TRUE,B253:E253),SF_Output!$Q$1:$Q$400,"One Time",SF_Output!$L$1:$L$400,"software license")+SUMIFS(SF_Output!$S$1:$S$400,SF_Output!$AC$1:$AC$400,_xlfn.TEXTJOIN(",",TRUE,B253:E253),SF_Output!$Q$1:$Q$400,"One Time",SF_Output!$L$1:$L$400,"hardware"))</f>
        <v/>
      </c>
      <c r="K253" s="112" t="str">
        <f>IF(OR(B253=0,B253="",G253="hardware",J253=0),"",IF(AF253&lt;&gt;"exclusion",MAX(K$9,-((SUMIFS(SF_Output!$T$1:$T$400,SF_Output!$AC$1:$AC$400,_xlfn.TEXTJOIN(",",TRUE,$B253:$E253),SF_Output!$Q$1:$Q$400,"One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license"))/J253)))</f>
        <v/>
      </c>
      <c r="L253" s="6" t="str">
        <f t="shared" si="69"/>
        <v/>
      </c>
      <c r="N253" s="6" t="str">
        <f>IF(B253="","",SUMIFS(SF_Output!$S$1:$S$400,SF_Output!$AC$1:$AC$400,_xlfn.TEXTJOIN(",",TRUE,B253:E253),SF_Output!$Q$1:$Q$400,"One Time",SF_Output!$L$1:$L$400,"professional service"))</f>
        <v/>
      </c>
      <c r="O253" s="112" t="str">
        <f>IF(OR(B253=0,B253="",N253=0),"",IF(AF253&lt;&gt;"exclusion",MAX(O$9,-(SUMIFS(SF_Output!$T$1:$T$400,SF_Output!$AC$1:$AC$400,_xlfn.TEXTJOIN(",",TRUE,$B253:$E253),SF_Output!$Q$1:$Q$400,"One Time",SF_Output!$L$1:$L$400,"professional service"))/N253),-((SUMIFS(SF_Output!$T$1:$T$400,SF_Output!$AC$1:$AC$400,_xlfn.TEXTJOIN(",",TRUE,$B253:$E253),SF_Output!$Q$1:$Q$400,"One Time",SF_Output!$L$1:$L$400,"professional service")/N253))))</f>
        <v/>
      </c>
      <c r="P253" s="6" t="str">
        <f t="shared" si="70"/>
        <v/>
      </c>
      <c r="R253" s="6" t="str">
        <f>IF(B253="","",SUMIFS(SF_Output!$S$1:$S$400,SF_Output!$AC$1:$AC$400,_xlfn.TEXTJOIN(",",TRUE,B253:E253),SF_Output!$Q$1:$Q$400,"yearly")+SUMIFS(SF_Output!$S$1:$S$400,SF_Output!$AC$1:$AC$400,_xlfn.TEXTJOIN(",",TRUE,B253:E253),SF_Output!$Q$1:$Q$400,"quarterly")*4)</f>
        <v/>
      </c>
      <c r="S253" s="112" t="str">
        <f>IF(OR(B253=0,B253="",G253="hardware",R253=0),"",IF(AF253&lt;&gt;"exclusion",MAX(S$9,-(SUMIFS(SF_Output!$T$1:$T$400,SF_Output!$AC$1:$AC$400,_xlfn.TEXTJOIN(",",TRUE,$B253:$E253),SF_Output!$Q$1:$Q$400,"yearly"))/R253),-((SUMIFS(SF_Output!$T$1:$T$400,SF_Output!$AC$1:$AC$400,_xlfn.TEXTJOIN(",",TRUE,$B253:$E253),SF_Output!$Q$1:$Q$400,"yearly")/R253))))</f>
        <v/>
      </c>
      <c r="T253" s="6" t="str">
        <f t="shared" si="71"/>
        <v/>
      </c>
      <c r="V253" s="6" t="str" cm="1">
        <f t="array" ref="V253">_xlfn.IFS(B253="","",AND(B253&lt;&gt;"",H253=SF_Output!$Y$2,SUMIFS(SF_Output!$T$1:$T$400,SF_Output!$AC$1:$AC$400,_xlfn.TEXTJOIN(",",TRUE,B253:E253),SF_Output!$Q$1:$Q$400,"monthly")=0),(SUMIFS(SF_Output!$F$1:$F$400,SF_Output!$AC$1:$AC$400,_xlfn.TEXTJOIN(",",TRUE,B253:E253),SF_Output!$Q$1:$Q$400,"monthly")+SUMIFS(SF_Output!$G$1:$G$400,SF_Output!$AC$1:$AC$400,_xlfn.TEXTJOIN(",",TRUE,B253:E253),SF_Output!$Q$1:$Q$400,"monthly"))*H253,AND(B253&lt;&gt;"",H253=SF_Output!$Y$2,SUMIFS(SF_Output!$T$1:$T$400,SF_Output!$AC$1:$AC$400,_xlfn.TEXTJOIN(",",TRUE,B253:E253),SF_Output!$Q$1:$Q$400,"monthly")&lt;&gt;0),SUMIFS(SF_Output!$S$1:$S$400,SF_Output!$AC$1:$AC$400,_xlfn.TEXTJOIN(",",TRUE,B253:E253),SF_Output!$Q$1:$Q$400,"monthly"),AND(B253&lt;&gt;"",H253&lt;&gt;SF_Output!$Y$2),SUMIFS(SF_Output!$S$1:$S$400,SF_Output!$AC$1:$AC$400,_xlfn.TEXTJOIN(",",TRUE,B253:E253),SF_Output!$Q$1:$Q$400,"monthly"))</f>
        <v/>
      </c>
      <c r="W253" s="112" t="str" cm="1">
        <f t="array" ref="W253">_xlfn.IFS(OR(B253=0,B253="",V253=0),"",AF253&lt;&gt;"exclusion",MAX($W$9,$W$7,(-(SUMIFS(SF_Output!$T$1:$T$400,SF_Output!$AC$1:$AC$400,_xlfn.TEXTJOIN(",",TRUE,$B253:$E253),SF_Output!$Q$1:$Q$400,"monthly"))/V253)),AF253="exclusion",-(SUMIFS(SF_Output!$T$1:$T$400,SF_Output!$AC$1:$AC$400,_xlfn.TEXTJOIN(",",TRUE,$B253:$E253),SF_Output!$Q$1:$Q$400,"monthly"))/V253)</f>
        <v/>
      </c>
      <c r="X253" s="6" t="str" cm="1">
        <f t="array" ref="X253">IFERROR(_xlfn.IFS(V253=0,0,V253="","",W253=0,V253,OR(V253&lt;&gt;0,V253&lt;&gt;""),H253*I253),V253*(1-W253))</f>
        <v/>
      </c>
      <c r="Z253" s="6" t="str">
        <f>IFERROR(IF(B253="","",SUMIFS(Billing_Fallout!H:H,Billing_Fallout!N:N,B253)),0)</f>
        <v/>
      </c>
      <c r="AA253" s="6" t="str">
        <f t="shared" si="72"/>
        <v/>
      </c>
      <c r="AB253" s="6" t="str">
        <f>IFERROR(IF(B253="","",SUMIFS(Billing_Fallout!J:J,Billing_Fallout!N:N,B253)),0)</f>
        <v/>
      </c>
      <c r="AD253" s="6" t="str">
        <f t="shared" si="73"/>
        <v/>
      </c>
      <c r="AF253" t="str">
        <f>IFERROR(INDEX(H_Tables!$B$1:$B$1500,MATCH(INDEX(SF_Output!$J$1:$J$400,MATCH(B253,SF_Output!$M$1:$M$400,0)),H_Tables!$A$1:$A$1500,0)),"")</f>
        <v/>
      </c>
      <c r="AI253" s="119" t="str">
        <f t="shared" si="74"/>
        <v/>
      </c>
      <c r="AJ253" s="121">
        <f>IFERROR(INDEX(SF_Output!AD:AD,MATCH(_xlfn.TEXTJOIN(",",TRUE,B253:E253),SF_Output!AC4:AC403,0)),0.05)</f>
        <v>238</v>
      </c>
      <c r="AK253" t="str">
        <f>IF(SUMIFS(SF_Output!$F$1:$F$400,SF_Output!$AC$1:$AC$400,_xlfn.TEXTJOIN(",",TRUE,B253:E253))+SUMIFS(SF_Output!$G$1:$G$400,SF_Output!$AC$1:$AC$400,_xlfn.TEXTJOIN(",",TRUE,B253:E253))=0,"","PAP")</f>
        <v/>
      </c>
      <c r="AQ253" s="35"/>
      <c r="AR253" s="35" t="str" cm="1">
        <f t="array" ref="AR253">IFERROR(_xlfn.IFS(AND(E253*1=1,F253="Included"),"Change to Included",AND(E253*1=0,F253="Optional"),"Change to Optional",OR(B253="",F253="replaced"),""),"")</f>
        <v/>
      </c>
      <c r="AS253" s="35" t="str">
        <f t="shared" si="75"/>
        <v/>
      </c>
      <c r="AT253" s="35" t="str">
        <f t="shared" si="76"/>
        <v/>
      </c>
      <c r="AU253" s="35" t="str">
        <f t="shared" si="77"/>
        <v/>
      </c>
      <c r="AV253" s="35" t="str">
        <f t="shared" si="78"/>
        <v/>
      </c>
      <c r="AW253" s="35" t="str">
        <f t="shared" si="79"/>
        <v/>
      </c>
      <c r="AX253" s="35" t="str">
        <f t="shared" si="80"/>
        <v/>
      </c>
      <c r="AY253" s="35" t="str">
        <f t="shared" si="81"/>
        <v/>
      </c>
      <c r="AZ253" s="35" t="str">
        <f t="shared" si="82"/>
        <v/>
      </c>
      <c r="BA253" s="35" t="str">
        <f t="shared" si="83"/>
        <v/>
      </c>
      <c r="BB253" s="35" t="str">
        <f t="shared" si="84"/>
        <v/>
      </c>
      <c r="BC253" s="35"/>
      <c r="BE253" s="35" t="e">
        <f>INDEX(SF_Output!$AA$2:$AA$400,MATCH($B253,SF_Output!$M$2:$M$400,0))</f>
        <v>#N/A</v>
      </c>
      <c r="BF253" s="35" t="e">
        <f>INDEX(SF_Output!$AB$2:$AB$400,MATCH($B253,SF_Output!$M$2:$M$400,0))</f>
        <v>#N/A</v>
      </c>
    </row>
    <row r="254" spans="6:58" x14ac:dyDescent="0.25">
      <c r="F254" s="116" t="str">
        <f t="shared" si="68"/>
        <v/>
      </c>
      <c r="G254" t="str">
        <f>IF(B254="","",INDEX(SF_Output!$K$1:$K$400,MATCH(B254,SF_Output!$M$1:$M$400,0)))</f>
        <v/>
      </c>
      <c r="H254" t="str" cm="1">
        <f t="array" ref="H254">_xlfn.IFS(B254="","",(SUMIFS(SF_Output!$F$1:$F$400,SF_Output!$AC$1:$AC$400,_xlfn.TEXTJOIN(",",TRUE,B254:E254))+SUMIFS(SF_Output!$G$1:$G$400,SF_Output!$AC$1:$AC$400,_xlfn.TEXTJOIN(",",TRUE,B254:E254)))&lt;&gt;0,SF_Output!$Y$2,INDEX(SF_Output!$F$1:$F$400,MATCH(_xlfn.TEXTJOIN(",",TRUE,B254:E254),SF_Output!$AC$1:$AC$400,0))=0,INDEX(SF_Output!$R$1:$R$400,MATCH(_xlfn.TEXTJOIN(",",TRUE,B254:E254),SF_Output!$AC$1:$AC$400,0)))</f>
        <v/>
      </c>
      <c r="I254" s="125" t="str">
        <f>IFERROR(IF(AND(H254&gt;1,H254&lt;&gt;""),ROUND(SUMIFS(SF_Output!$S$1:$S$400,SF_Output!$AC$1:$AC$400,_xlfn.TEXTJOIN(",",TRUE,B254:E254),SF_Output!$Q$1:$Q$400,"monthly")*(1-W254)/H254,4),""),"")</f>
        <v/>
      </c>
      <c r="J254" s="6" t="str">
        <f>IF(B254="","",SUMIFS(SF_Output!$S$1:$S$400,SF_Output!$AC$1:$AC$400,_xlfn.TEXTJOIN(",",TRUE,B254:E254),SF_Output!$Q$1:$Q$400,"One Time",SF_Output!$L$1:$L$400,"license fee")+SUMIFS(SF_Output!$S$1:$S$400,SF_Output!$AC$1:$AC$400,_xlfn.TEXTJOIN(",",TRUE,B254:E254),SF_Output!$Q$1:$Q$400,"One Time",SF_Output!$L$1:$L$400,"software license")+SUMIFS(SF_Output!$S$1:$S$400,SF_Output!$AC$1:$AC$400,_xlfn.TEXTJOIN(",",TRUE,B254:E254),SF_Output!$Q$1:$Q$400,"One Time",SF_Output!$L$1:$L$400,"hardware"))</f>
        <v/>
      </c>
      <c r="K254" s="112" t="str">
        <f>IF(OR(B254=0,B254="",G254="hardware",J254=0),"",IF(AF254&lt;&gt;"exclusion",MAX(K$9,-((SUMIFS(SF_Output!$T$1:$T$400,SF_Output!$AC$1:$AC$400,_xlfn.TEXTJOIN(",",TRUE,$B254:$E254),SF_Output!$Q$1:$Q$400,"One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license"))/J254)))</f>
        <v/>
      </c>
      <c r="L254" s="6" t="str">
        <f t="shared" si="69"/>
        <v/>
      </c>
      <c r="N254" s="6" t="str">
        <f>IF(B254="","",SUMIFS(SF_Output!$S$1:$S$400,SF_Output!$AC$1:$AC$400,_xlfn.TEXTJOIN(",",TRUE,B254:E254),SF_Output!$Q$1:$Q$400,"One Time",SF_Output!$L$1:$L$400,"professional service"))</f>
        <v/>
      </c>
      <c r="O254" s="112" t="str">
        <f>IF(OR(B254=0,B254="",N254=0),"",IF(AF254&lt;&gt;"exclusion",MAX(O$9,-(SUMIFS(SF_Output!$T$1:$T$400,SF_Output!$AC$1:$AC$400,_xlfn.TEXTJOIN(",",TRUE,$B254:$E254),SF_Output!$Q$1:$Q$400,"One Time",SF_Output!$L$1:$L$400,"professional service"))/N254),-((SUMIFS(SF_Output!$T$1:$T$400,SF_Output!$AC$1:$AC$400,_xlfn.TEXTJOIN(",",TRUE,$B254:$E254),SF_Output!$Q$1:$Q$400,"One Time",SF_Output!$L$1:$L$400,"professional service")/N254))))</f>
        <v/>
      </c>
      <c r="P254" s="6" t="str">
        <f t="shared" si="70"/>
        <v/>
      </c>
      <c r="R254" s="6" t="str">
        <f>IF(B254="","",SUMIFS(SF_Output!$S$1:$S$400,SF_Output!$AC$1:$AC$400,_xlfn.TEXTJOIN(",",TRUE,B254:E254),SF_Output!$Q$1:$Q$400,"yearly")+SUMIFS(SF_Output!$S$1:$S$400,SF_Output!$AC$1:$AC$400,_xlfn.TEXTJOIN(",",TRUE,B254:E254),SF_Output!$Q$1:$Q$400,"quarterly")*4)</f>
        <v/>
      </c>
      <c r="S254" s="112" t="str">
        <f>IF(OR(B254=0,B254="",G254="hardware",R254=0),"",IF(AF254&lt;&gt;"exclusion",MAX(S$9,-(SUMIFS(SF_Output!$T$1:$T$400,SF_Output!$AC$1:$AC$400,_xlfn.TEXTJOIN(",",TRUE,$B254:$E254),SF_Output!$Q$1:$Q$400,"yearly"))/R254),-((SUMIFS(SF_Output!$T$1:$T$400,SF_Output!$AC$1:$AC$400,_xlfn.TEXTJOIN(",",TRUE,$B254:$E254),SF_Output!$Q$1:$Q$400,"yearly")/R254))))</f>
        <v/>
      </c>
      <c r="T254" s="6" t="str">
        <f t="shared" si="71"/>
        <v/>
      </c>
      <c r="V254" s="6" t="str" cm="1">
        <f t="array" ref="V254">_xlfn.IFS(B254="","",AND(B254&lt;&gt;"",H254=SF_Output!$Y$2,SUMIFS(SF_Output!$T$1:$T$400,SF_Output!$AC$1:$AC$400,_xlfn.TEXTJOIN(",",TRUE,B254:E254),SF_Output!$Q$1:$Q$400,"monthly")=0),(SUMIFS(SF_Output!$F$1:$F$400,SF_Output!$AC$1:$AC$400,_xlfn.TEXTJOIN(",",TRUE,B254:E254),SF_Output!$Q$1:$Q$400,"monthly")+SUMIFS(SF_Output!$G$1:$G$400,SF_Output!$AC$1:$AC$400,_xlfn.TEXTJOIN(",",TRUE,B254:E254),SF_Output!$Q$1:$Q$400,"monthly"))*H254,AND(B254&lt;&gt;"",H254=SF_Output!$Y$2,SUMIFS(SF_Output!$T$1:$T$400,SF_Output!$AC$1:$AC$400,_xlfn.TEXTJOIN(",",TRUE,B254:E254),SF_Output!$Q$1:$Q$400,"monthly")&lt;&gt;0),SUMIFS(SF_Output!$S$1:$S$400,SF_Output!$AC$1:$AC$400,_xlfn.TEXTJOIN(",",TRUE,B254:E254),SF_Output!$Q$1:$Q$400,"monthly"),AND(B254&lt;&gt;"",H254&lt;&gt;SF_Output!$Y$2),SUMIFS(SF_Output!$S$1:$S$400,SF_Output!$AC$1:$AC$400,_xlfn.TEXTJOIN(",",TRUE,B254:E254),SF_Output!$Q$1:$Q$400,"monthly"))</f>
        <v/>
      </c>
      <c r="W254" s="112" t="str" cm="1">
        <f t="array" ref="W254">_xlfn.IFS(OR(B254=0,B254="",V254=0),"",AF254&lt;&gt;"exclusion",MAX($W$9,$W$7,(-(SUMIFS(SF_Output!$T$1:$T$400,SF_Output!$AC$1:$AC$400,_xlfn.TEXTJOIN(",",TRUE,$B254:$E254),SF_Output!$Q$1:$Q$400,"monthly"))/V254)),AF254="exclusion",-(SUMIFS(SF_Output!$T$1:$T$400,SF_Output!$AC$1:$AC$400,_xlfn.TEXTJOIN(",",TRUE,$B254:$E254),SF_Output!$Q$1:$Q$400,"monthly"))/V254)</f>
        <v/>
      </c>
      <c r="X254" s="6" t="str" cm="1">
        <f t="array" ref="X254">IFERROR(_xlfn.IFS(V254=0,0,V254="","",W254=0,V254,OR(V254&lt;&gt;0,V254&lt;&gt;""),H254*I254),V254*(1-W254))</f>
        <v/>
      </c>
      <c r="Z254" s="6" t="str">
        <f>IFERROR(IF(B254="","",SUMIFS(Billing_Fallout!H:H,Billing_Fallout!N:N,B254)),0)</f>
        <v/>
      </c>
      <c r="AA254" s="6" t="str">
        <f t="shared" si="72"/>
        <v/>
      </c>
      <c r="AB254" s="6" t="str">
        <f>IFERROR(IF(B254="","",SUMIFS(Billing_Fallout!J:J,Billing_Fallout!N:N,B254)),0)</f>
        <v/>
      </c>
      <c r="AD254" s="6" t="str">
        <f t="shared" si="73"/>
        <v/>
      </c>
      <c r="AF254" t="str">
        <f>IFERROR(INDEX(H_Tables!$B$1:$B$1500,MATCH(INDEX(SF_Output!$J$1:$J$400,MATCH(B254,SF_Output!$M$1:$M$400,0)),H_Tables!$A$1:$A$1500,0)),"")</f>
        <v/>
      </c>
      <c r="AI254" s="119" t="str">
        <f t="shared" si="74"/>
        <v/>
      </c>
      <c r="AJ254" s="121">
        <f>IFERROR(INDEX(SF_Output!AD:AD,MATCH(_xlfn.TEXTJOIN(",",TRUE,B254:E254),SF_Output!AC5:AC404,0)),0.05)</f>
        <v>237</v>
      </c>
      <c r="AK254" t="str">
        <f>IF(SUMIFS(SF_Output!$F$1:$F$400,SF_Output!$AC$1:$AC$400,_xlfn.TEXTJOIN(",",TRUE,B254:E254))+SUMIFS(SF_Output!$G$1:$G$400,SF_Output!$AC$1:$AC$400,_xlfn.TEXTJOIN(",",TRUE,B254:E254))=0,"","PAP")</f>
        <v/>
      </c>
      <c r="AQ254" s="35"/>
      <c r="AR254" s="35" t="str" cm="1">
        <f t="array" ref="AR254">IFERROR(_xlfn.IFS(AND(E254*1=1,F254="Included"),"Change to Included",AND(E254*1=0,F254="Optional"),"Change to Optional",OR(B254="",F254="replaced"),""),"")</f>
        <v/>
      </c>
      <c r="AS254" s="35" t="str">
        <f t="shared" si="75"/>
        <v/>
      </c>
      <c r="AT254" s="35" t="str">
        <f t="shared" si="76"/>
        <v/>
      </c>
      <c r="AU254" s="35" t="str">
        <f t="shared" si="77"/>
        <v/>
      </c>
      <c r="AV254" s="35" t="str">
        <f t="shared" si="78"/>
        <v/>
      </c>
      <c r="AW254" s="35" t="str">
        <f t="shared" si="79"/>
        <v/>
      </c>
      <c r="AX254" s="35" t="str">
        <f t="shared" si="80"/>
        <v/>
      </c>
      <c r="AY254" s="35" t="str">
        <f t="shared" si="81"/>
        <v/>
      </c>
      <c r="AZ254" s="35" t="str">
        <f t="shared" si="82"/>
        <v/>
      </c>
      <c r="BA254" s="35" t="str">
        <f t="shared" si="83"/>
        <v/>
      </c>
      <c r="BB254" s="35" t="str">
        <f t="shared" si="84"/>
        <v/>
      </c>
      <c r="BC254" s="35"/>
      <c r="BE254" s="35" t="e">
        <f>INDEX(SF_Output!$AA$2:$AA$400,MATCH($B254,SF_Output!$M$2:$M$400,0))</f>
        <v>#N/A</v>
      </c>
      <c r="BF254" s="35" t="e">
        <f>INDEX(SF_Output!$AB$2:$AB$400,MATCH($B254,SF_Output!$M$2:$M$400,0))</f>
        <v>#N/A</v>
      </c>
    </row>
    <row r="255" spans="6:58" x14ac:dyDescent="0.25">
      <c r="F255" s="116" t="str">
        <f t="shared" si="68"/>
        <v/>
      </c>
      <c r="G255" t="str">
        <f>IF(B255="","",INDEX(SF_Output!$K$1:$K$400,MATCH(B255,SF_Output!$M$1:$M$400,0)))</f>
        <v/>
      </c>
      <c r="H255" t="str" cm="1">
        <f t="array" ref="H255">_xlfn.IFS(B255="","",(SUMIFS(SF_Output!$F$1:$F$400,SF_Output!$AC$1:$AC$400,_xlfn.TEXTJOIN(",",TRUE,B255:E255))+SUMIFS(SF_Output!$G$1:$G$400,SF_Output!$AC$1:$AC$400,_xlfn.TEXTJOIN(",",TRUE,B255:E255)))&lt;&gt;0,SF_Output!$Y$2,INDEX(SF_Output!$F$1:$F$400,MATCH(_xlfn.TEXTJOIN(",",TRUE,B255:E255),SF_Output!$AC$1:$AC$400,0))=0,INDEX(SF_Output!$R$1:$R$400,MATCH(_xlfn.TEXTJOIN(",",TRUE,B255:E255),SF_Output!$AC$1:$AC$400,0)))</f>
        <v/>
      </c>
      <c r="I255" s="125" t="str">
        <f>IFERROR(IF(AND(H255&gt;1,H255&lt;&gt;""),ROUND(SUMIFS(SF_Output!$S$1:$S$400,SF_Output!$AC$1:$AC$400,_xlfn.TEXTJOIN(",",TRUE,B255:E255),SF_Output!$Q$1:$Q$400,"monthly")*(1-W255)/H255,4),""),"")</f>
        <v/>
      </c>
      <c r="J255" s="6" t="str">
        <f>IF(B255="","",SUMIFS(SF_Output!$S$1:$S$400,SF_Output!$AC$1:$AC$400,_xlfn.TEXTJOIN(",",TRUE,B255:E255),SF_Output!$Q$1:$Q$400,"One Time",SF_Output!$L$1:$L$400,"license fee")+SUMIFS(SF_Output!$S$1:$S$400,SF_Output!$AC$1:$AC$400,_xlfn.TEXTJOIN(",",TRUE,B255:E255),SF_Output!$Q$1:$Q$400,"One Time",SF_Output!$L$1:$L$400,"software license")+SUMIFS(SF_Output!$S$1:$S$400,SF_Output!$AC$1:$AC$400,_xlfn.TEXTJOIN(",",TRUE,B255:E255),SF_Output!$Q$1:$Q$400,"One Time",SF_Output!$L$1:$L$400,"hardware"))</f>
        <v/>
      </c>
      <c r="K255" s="112" t="str">
        <f>IF(OR(B255=0,B255="",G255="hardware",J255=0),"",IF(AF255&lt;&gt;"exclusion",MAX(K$9,-((SUMIFS(SF_Output!$T$1:$T$400,SF_Output!$AC$1:$AC$400,_xlfn.TEXTJOIN(",",TRUE,$B255:$E255),SF_Output!$Q$1:$Q$400,"One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license"))/J255)))</f>
        <v/>
      </c>
      <c r="L255" s="6" t="str">
        <f t="shared" si="69"/>
        <v/>
      </c>
      <c r="N255" s="6" t="str">
        <f>IF(B255="","",SUMIFS(SF_Output!$S$1:$S$400,SF_Output!$AC$1:$AC$400,_xlfn.TEXTJOIN(",",TRUE,B255:E255),SF_Output!$Q$1:$Q$400,"One Time",SF_Output!$L$1:$L$400,"professional service"))</f>
        <v/>
      </c>
      <c r="O255" s="112" t="str">
        <f>IF(OR(B255=0,B255="",N255=0),"",IF(AF255&lt;&gt;"exclusion",MAX(O$9,-(SUMIFS(SF_Output!$T$1:$T$400,SF_Output!$AC$1:$AC$400,_xlfn.TEXTJOIN(",",TRUE,$B255:$E255),SF_Output!$Q$1:$Q$400,"One Time",SF_Output!$L$1:$L$400,"professional service"))/N255),-((SUMIFS(SF_Output!$T$1:$T$400,SF_Output!$AC$1:$AC$400,_xlfn.TEXTJOIN(",",TRUE,$B255:$E255),SF_Output!$Q$1:$Q$400,"One Time",SF_Output!$L$1:$L$400,"professional service")/N255))))</f>
        <v/>
      </c>
      <c r="P255" s="6" t="str">
        <f t="shared" si="70"/>
        <v/>
      </c>
      <c r="R255" s="6" t="str">
        <f>IF(B255="","",SUMIFS(SF_Output!$S$1:$S$400,SF_Output!$AC$1:$AC$400,_xlfn.TEXTJOIN(",",TRUE,B255:E255),SF_Output!$Q$1:$Q$400,"yearly")+SUMIFS(SF_Output!$S$1:$S$400,SF_Output!$AC$1:$AC$400,_xlfn.TEXTJOIN(",",TRUE,B255:E255),SF_Output!$Q$1:$Q$400,"quarterly")*4)</f>
        <v/>
      </c>
      <c r="S255" s="112" t="str">
        <f>IF(OR(B255=0,B255="",G255="hardware",R255=0),"",IF(AF255&lt;&gt;"exclusion",MAX(S$9,-(SUMIFS(SF_Output!$T$1:$T$400,SF_Output!$AC$1:$AC$400,_xlfn.TEXTJOIN(",",TRUE,$B255:$E255),SF_Output!$Q$1:$Q$400,"yearly"))/R255),-((SUMIFS(SF_Output!$T$1:$T$400,SF_Output!$AC$1:$AC$400,_xlfn.TEXTJOIN(",",TRUE,$B255:$E255),SF_Output!$Q$1:$Q$400,"yearly")/R255))))</f>
        <v/>
      </c>
      <c r="T255" s="6" t="str">
        <f t="shared" si="71"/>
        <v/>
      </c>
      <c r="V255" s="6" t="str" cm="1">
        <f t="array" ref="V255">_xlfn.IFS(B255="","",AND(B255&lt;&gt;"",H255=SF_Output!$Y$2,SUMIFS(SF_Output!$T$1:$T$400,SF_Output!$AC$1:$AC$400,_xlfn.TEXTJOIN(",",TRUE,B255:E255),SF_Output!$Q$1:$Q$400,"monthly")=0),(SUMIFS(SF_Output!$F$1:$F$400,SF_Output!$AC$1:$AC$400,_xlfn.TEXTJOIN(",",TRUE,B255:E255),SF_Output!$Q$1:$Q$400,"monthly")+SUMIFS(SF_Output!$G$1:$G$400,SF_Output!$AC$1:$AC$400,_xlfn.TEXTJOIN(",",TRUE,B255:E255),SF_Output!$Q$1:$Q$400,"monthly"))*H255,AND(B255&lt;&gt;"",H255=SF_Output!$Y$2,SUMIFS(SF_Output!$T$1:$T$400,SF_Output!$AC$1:$AC$400,_xlfn.TEXTJOIN(",",TRUE,B255:E255),SF_Output!$Q$1:$Q$400,"monthly")&lt;&gt;0),SUMIFS(SF_Output!$S$1:$S$400,SF_Output!$AC$1:$AC$400,_xlfn.TEXTJOIN(",",TRUE,B255:E255),SF_Output!$Q$1:$Q$400,"monthly"),AND(B255&lt;&gt;"",H255&lt;&gt;SF_Output!$Y$2),SUMIFS(SF_Output!$S$1:$S$400,SF_Output!$AC$1:$AC$400,_xlfn.TEXTJOIN(",",TRUE,B255:E255),SF_Output!$Q$1:$Q$400,"monthly"))</f>
        <v/>
      </c>
      <c r="W255" s="112" t="str" cm="1">
        <f t="array" ref="W255">_xlfn.IFS(OR(B255=0,B255="",V255=0),"",AF255&lt;&gt;"exclusion",MAX($W$9,$W$7,(-(SUMIFS(SF_Output!$T$1:$T$400,SF_Output!$AC$1:$AC$400,_xlfn.TEXTJOIN(",",TRUE,$B255:$E255),SF_Output!$Q$1:$Q$400,"monthly"))/V255)),AF255="exclusion",-(SUMIFS(SF_Output!$T$1:$T$400,SF_Output!$AC$1:$AC$400,_xlfn.TEXTJOIN(",",TRUE,$B255:$E255),SF_Output!$Q$1:$Q$400,"monthly"))/V255)</f>
        <v/>
      </c>
      <c r="X255" s="6" t="str" cm="1">
        <f t="array" ref="X255">IFERROR(_xlfn.IFS(V255=0,0,V255="","",W255=0,V255,OR(V255&lt;&gt;0,V255&lt;&gt;""),H255*I255),V255*(1-W255))</f>
        <v/>
      </c>
      <c r="Z255" s="6" t="str">
        <f>IFERROR(IF(B255="","",SUMIFS(Billing_Fallout!H:H,Billing_Fallout!N:N,B255)),0)</f>
        <v/>
      </c>
      <c r="AA255" s="6" t="str">
        <f t="shared" si="72"/>
        <v/>
      </c>
      <c r="AB255" s="6" t="str">
        <f>IFERROR(IF(B255="","",SUMIFS(Billing_Fallout!J:J,Billing_Fallout!N:N,B255)),0)</f>
        <v/>
      </c>
      <c r="AD255" s="6" t="str">
        <f t="shared" si="73"/>
        <v/>
      </c>
      <c r="AF255" t="str">
        <f>IFERROR(INDEX(H_Tables!$B$1:$B$1500,MATCH(INDEX(SF_Output!$J$1:$J$400,MATCH(B255,SF_Output!$M$1:$M$400,0)),H_Tables!$A$1:$A$1500,0)),"")</f>
        <v/>
      </c>
      <c r="AI255" s="119" t="str">
        <f t="shared" si="74"/>
        <v/>
      </c>
      <c r="AJ255" s="121">
        <f>IFERROR(INDEX(SF_Output!AD:AD,MATCH(_xlfn.TEXTJOIN(",",TRUE,B255:E255),SF_Output!AC6:AC405,0)),0.05)</f>
        <v>236</v>
      </c>
      <c r="AK255" t="str">
        <f>IF(SUMIFS(SF_Output!$F$1:$F$400,SF_Output!$AC$1:$AC$400,_xlfn.TEXTJOIN(",",TRUE,B255:E255))+SUMIFS(SF_Output!$G$1:$G$400,SF_Output!$AC$1:$AC$400,_xlfn.TEXTJOIN(",",TRUE,B255:E255))=0,"","PAP")</f>
        <v/>
      </c>
      <c r="AQ255" s="35"/>
      <c r="AR255" s="35" t="str" cm="1">
        <f t="array" ref="AR255">IFERROR(_xlfn.IFS(AND(E255*1=1,F255="Included"),"Change to Included",AND(E255*1=0,F255="Optional"),"Change to Optional",OR(B255="",F255="replaced"),""),"")</f>
        <v/>
      </c>
      <c r="AS255" s="35" t="str">
        <f t="shared" si="75"/>
        <v/>
      </c>
      <c r="AT255" s="35" t="str">
        <f t="shared" si="76"/>
        <v/>
      </c>
      <c r="AU255" s="35" t="str">
        <f t="shared" si="77"/>
        <v/>
      </c>
      <c r="AV255" s="35" t="str">
        <f t="shared" si="78"/>
        <v/>
      </c>
      <c r="AW255" s="35" t="str">
        <f t="shared" si="79"/>
        <v/>
      </c>
      <c r="AX255" s="35" t="str">
        <f t="shared" si="80"/>
        <v/>
      </c>
      <c r="AY255" s="35" t="str">
        <f t="shared" si="81"/>
        <v/>
      </c>
      <c r="AZ255" s="35" t="str">
        <f t="shared" si="82"/>
        <v/>
      </c>
      <c r="BA255" s="35" t="str">
        <f t="shared" si="83"/>
        <v/>
      </c>
      <c r="BB255" s="35" t="str">
        <f t="shared" si="84"/>
        <v/>
      </c>
      <c r="BC255" s="35"/>
      <c r="BE255" s="35" t="e">
        <f>INDEX(SF_Output!$AA$2:$AA$400,MATCH($B255,SF_Output!$M$2:$M$400,0))</f>
        <v>#N/A</v>
      </c>
      <c r="BF255" s="35" t="e">
        <f>INDEX(SF_Output!$AB$2:$AB$400,MATCH($B255,SF_Output!$M$2:$M$400,0))</f>
        <v>#N/A</v>
      </c>
    </row>
    <row r="256" spans="6:58" x14ac:dyDescent="0.25">
      <c r="F256" s="116" t="str">
        <f t="shared" si="68"/>
        <v/>
      </c>
      <c r="G256" t="str">
        <f>IF(B256="","",INDEX(SF_Output!$K$1:$K$400,MATCH(B256,SF_Output!$M$1:$M$400,0)))</f>
        <v/>
      </c>
      <c r="H256" t="str" cm="1">
        <f t="array" ref="H256">_xlfn.IFS(B256="","",(SUMIFS(SF_Output!$F$1:$F$400,SF_Output!$AC$1:$AC$400,_xlfn.TEXTJOIN(",",TRUE,B256:E256))+SUMIFS(SF_Output!$G$1:$G$400,SF_Output!$AC$1:$AC$400,_xlfn.TEXTJOIN(",",TRUE,B256:E256)))&lt;&gt;0,SF_Output!$Y$2,INDEX(SF_Output!$F$1:$F$400,MATCH(_xlfn.TEXTJOIN(",",TRUE,B256:E256),SF_Output!$AC$1:$AC$400,0))=0,INDEX(SF_Output!$R$1:$R$400,MATCH(_xlfn.TEXTJOIN(",",TRUE,B256:E256),SF_Output!$AC$1:$AC$400,0)))</f>
        <v/>
      </c>
      <c r="I256" s="125" t="str">
        <f>IFERROR(IF(AND(H256&gt;1,H256&lt;&gt;""),ROUND(SUMIFS(SF_Output!$S$1:$S$400,SF_Output!$AC$1:$AC$400,_xlfn.TEXTJOIN(",",TRUE,B256:E256),SF_Output!$Q$1:$Q$400,"monthly")*(1-W256)/H256,4),""),"")</f>
        <v/>
      </c>
      <c r="J256" s="6" t="str">
        <f>IF(B256="","",SUMIFS(SF_Output!$S$1:$S$400,SF_Output!$AC$1:$AC$400,_xlfn.TEXTJOIN(",",TRUE,B256:E256),SF_Output!$Q$1:$Q$400,"One Time",SF_Output!$L$1:$L$400,"license fee")+SUMIFS(SF_Output!$S$1:$S$400,SF_Output!$AC$1:$AC$400,_xlfn.TEXTJOIN(",",TRUE,B256:E256),SF_Output!$Q$1:$Q$400,"One Time",SF_Output!$L$1:$L$400,"software license")+SUMIFS(SF_Output!$S$1:$S$400,SF_Output!$AC$1:$AC$400,_xlfn.TEXTJOIN(",",TRUE,B256:E256),SF_Output!$Q$1:$Q$400,"One Time",SF_Output!$L$1:$L$400,"hardware"))</f>
        <v/>
      </c>
      <c r="K256" s="112" t="str">
        <f>IF(OR(B256=0,B256="",G256="hardware",J256=0),"",IF(AF256&lt;&gt;"exclusion",MAX(K$9,-((SUMIFS(SF_Output!$T$1:$T$400,SF_Output!$AC$1:$AC$400,_xlfn.TEXTJOIN(",",TRUE,$B256:$E256),SF_Output!$Q$1:$Q$400,"One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license"))/J256)))</f>
        <v/>
      </c>
      <c r="L256" s="6" t="str">
        <f t="shared" si="69"/>
        <v/>
      </c>
      <c r="N256" s="6" t="str">
        <f>IF(B256="","",SUMIFS(SF_Output!$S$1:$S$400,SF_Output!$AC$1:$AC$400,_xlfn.TEXTJOIN(",",TRUE,B256:E256),SF_Output!$Q$1:$Q$400,"One Time",SF_Output!$L$1:$L$400,"professional service"))</f>
        <v/>
      </c>
      <c r="O256" s="112" t="str">
        <f>IF(OR(B256=0,B256="",N256=0),"",IF(AF256&lt;&gt;"exclusion",MAX(O$9,-(SUMIFS(SF_Output!$T$1:$T$400,SF_Output!$AC$1:$AC$400,_xlfn.TEXTJOIN(",",TRUE,$B256:$E256),SF_Output!$Q$1:$Q$400,"One Time",SF_Output!$L$1:$L$400,"professional service"))/N256),-((SUMIFS(SF_Output!$T$1:$T$400,SF_Output!$AC$1:$AC$400,_xlfn.TEXTJOIN(",",TRUE,$B256:$E256),SF_Output!$Q$1:$Q$400,"One Time",SF_Output!$L$1:$L$400,"professional service")/N256))))</f>
        <v/>
      </c>
      <c r="P256" s="6" t="str">
        <f t="shared" si="70"/>
        <v/>
      </c>
      <c r="R256" s="6" t="str">
        <f>IF(B256="","",SUMIFS(SF_Output!$S$1:$S$400,SF_Output!$AC$1:$AC$400,_xlfn.TEXTJOIN(",",TRUE,B256:E256),SF_Output!$Q$1:$Q$400,"yearly")+SUMIFS(SF_Output!$S$1:$S$400,SF_Output!$AC$1:$AC$400,_xlfn.TEXTJOIN(",",TRUE,B256:E256),SF_Output!$Q$1:$Q$400,"quarterly")*4)</f>
        <v/>
      </c>
      <c r="S256" s="112" t="str">
        <f>IF(OR(B256=0,B256="",G256="hardware",R256=0),"",IF(AF256&lt;&gt;"exclusion",MAX(S$9,-(SUMIFS(SF_Output!$T$1:$T$400,SF_Output!$AC$1:$AC$400,_xlfn.TEXTJOIN(",",TRUE,$B256:$E256),SF_Output!$Q$1:$Q$400,"yearly"))/R256),-((SUMIFS(SF_Output!$T$1:$T$400,SF_Output!$AC$1:$AC$400,_xlfn.TEXTJOIN(",",TRUE,$B256:$E256),SF_Output!$Q$1:$Q$400,"yearly")/R256))))</f>
        <v/>
      </c>
      <c r="T256" s="6" t="str">
        <f t="shared" si="71"/>
        <v/>
      </c>
      <c r="V256" s="6" t="str" cm="1">
        <f t="array" ref="V256">_xlfn.IFS(B256="","",AND(B256&lt;&gt;"",H256=SF_Output!$Y$2,SUMIFS(SF_Output!$T$1:$T$400,SF_Output!$AC$1:$AC$400,_xlfn.TEXTJOIN(",",TRUE,B256:E256),SF_Output!$Q$1:$Q$400,"monthly")=0),(SUMIFS(SF_Output!$F$1:$F$400,SF_Output!$AC$1:$AC$400,_xlfn.TEXTJOIN(",",TRUE,B256:E256),SF_Output!$Q$1:$Q$400,"monthly")+SUMIFS(SF_Output!$G$1:$G$400,SF_Output!$AC$1:$AC$400,_xlfn.TEXTJOIN(",",TRUE,B256:E256),SF_Output!$Q$1:$Q$400,"monthly"))*H256,AND(B256&lt;&gt;"",H256=SF_Output!$Y$2,SUMIFS(SF_Output!$T$1:$T$400,SF_Output!$AC$1:$AC$400,_xlfn.TEXTJOIN(",",TRUE,B256:E256),SF_Output!$Q$1:$Q$400,"monthly")&lt;&gt;0),SUMIFS(SF_Output!$S$1:$S$400,SF_Output!$AC$1:$AC$400,_xlfn.TEXTJOIN(",",TRUE,B256:E256),SF_Output!$Q$1:$Q$400,"monthly"),AND(B256&lt;&gt;"",H256&lt;&gt;SF_Output!$Y$2),SUMIFS(SF_Output!$S$1:$S$400,SF_Output!$AC$1:$AC$400,_xlfn.TEXTJOIN(",",TRUE,B256:E256),SF_Output!$Q$1:$Q$400,"monthly"))</f>
        <v/>
      </c>
      <c r="W256" s="112" t="str" cm="1">
        <f t="array" ref="W256">_xlfn.IFS(OR(B256=0,B256="",V256=0),"",AF256&lt;&gt;"exclusion",MAX($W$9,$W$7,(-(SUMIFS(SF_Output!$T$1:$T$400,SF_Output!$AC$1:$AC$400,_xlfn.TEXTJOIN(",",TRUE,$B256:$E256),SF_Output!$Q$1:$Q$400,"monthly"))/V256)),AF256="exclusion",-(SUMIFS(SF_Output!$T$1:$T$400,SF_Output!$AC$1:$AC$400,_xlfn.TEXTJOIN(",",TRUE,$B256:$E256),SF_Output!$Q$1:$Q$400,"monthly"))/V256)</f>
        <v/>
      </c>
      <c r="X256" s="6" t="str" cm="1">
        <f t="array" ref="X256">IFERROR(_xlfn.IFS(V256=0,0,V256="","",W256=0,V256,OR(V256&lt;&gt;0,V256&lt;&gt;""),H256*I256),V256*(1-W256))</f>
        <v/>
      </c>
      <c r="Z256" s="6" t="str">
        <f>IFERROR(IF(B256="","",SUMIFS(Billing_Fallout!H:H,Billing_Fallout!N:N,B256)),0)</f>
        <v/>
      </c>
      <c r="AA256" s="6" t="str">
        <f t="shared" si="72"/>
        <v/>
      </c>
      <c r="AB256" s="6" t="str">
        <f>IFERROR(IF(B256="","",SUMIFS(Billing_Fallout!J:J,Billing_Fallout!N:N,B256)),0)</f>
        <v/>
      </c>
      <c r="AD256" s="6" t="str">
        <f t="shared" si="73"/>
        <v/>
      </c>
      <c r="AF256" t="str">
        <f>IFERROR(INDEX(H_Tables!$B$1:$B$1500,MATCH(INDEX(SF_Output!$J$1:$J$400,MATCH(B256,SF_Output!$M$1:$M$400,0)),H_Tables!$A$1:$A$1500,0)),"")</f>
        <v/>
      </c>
      <c r="AI256" s="119" t="str">
        <f t="shared" si="74"/>
        <v/>
      </c>
      <c r="AJ256" s="121">
        <f>IFERROR(INDEX(SF_Output!AD:AD,MATCH(_xlfn.TEXTJOIN(",",TRUE,B256:E256),SF_Output!AC7:AC406,0)),0.05)</f>
        <v>235</v>
      </c>
      <c r="AK256" t="str">
        <f>IF(SUMIFS(SF_Output!$F$1:$F$400,SF_Output!$AC$1:$AC$400,_xlfn.TEXTJOIN(",",TRUE,B256:E256))+SUMIFS(SF_Output!$G$1:$G$400,SF_Output!$AC$1:$AC$400,_xlfn.TEXTJOIN(",",TRUE,B256:E256))=0,"","PAP")</f>
        <v/>
      </c>
      <c r="AQ256" s="35"/>
      <c r="AR256" s="35" t="str" cm="1">
        <f t="array" ref="AR256">IFERROR(_xlfn.IFS(AND(E256*1=1,F256="Included"),"Change to Included",AND(E256*1=0,F256="Optional"),"Change to Optional",OR(B256="",F256="replaced"),""),"")</f>
        <v/>
      </c>
      <c r="AS256" s="35" t="str">
        <f t="shared" si="75"/>
        <v/>
      </c>
      <c r="AT256" s="35" t="str">
        <f t="shared" si="76"/>
        <v/>
      </c>
      <c r="AU256" s="35" t="str">
        <f t="shared" si="77"/>
        <v/>
      </c>
      <c r="AV256" s="35" t="str">
        <f t="shared" si="78"/>
        <v/>
      </c>
      <c r="AW256" s="35" t="str">
        <f t="shared" si="79"/>
        <v/>
      </c>
      <c r="AX256" s="35" t="str">
        <f t="shared" si="80"/>
        <v/>
      </c>
      <c r="AY256" s="35" t="str">
        <f t="shared" si="81"/>
        <v/>
      </c>
      <c r="AZ256" s="35" t="str">
        <f t="shared" si="82"/>
        <v/>
      </c>
      <c r="BA256" s="35" t="str">
        <f t="shared" si="83"/>
        <v/>
      </c>
      <c r="BB256" s="35" t="str">
        <f t="shared" si="84"/>
        <v/>
      </c>
      <c r="BC256" s="35"/>
      <c r="BE256" s="35" t="e">
        <f>INDEX(SF_Output!$AA$2:$AA$400,MATCH($B256,SF_Output!$M$2:$M$400,0))</f>
        <v>#N/A</v>
      </c>
      <c r="BF256" s="35" t="e">
        <f>INDEX(SF_Output!$AB$2:$AB$400,MATCH($B256,SF_Output!$M$2:$M$400,0))</f>
        <v>#N/A</v>
      </c>
    </row>
    <row r="257" spans="6:58" x14ac:dyDescent="0.25">
      <c r="F257" s="116" t="str">
        <f t="shared" si="68"/>
        <v/>
      </c>
      <c r="G257" t="str">
        <f>IF(B257="","",INDEX(SF_Output!$K$1:$K$400,MATCH(B257,SF_Output!$M$1:$M$400,0)))</f>
        <v/>
      </c>
      <c r="H257" t="str" cm="1">
        <f t="array" ref="H257">_xlfn.IFS(B257="","",(SUMIFS(SF_Output!$F$1:$F$400,SF_Output!$AC$1:$AC$400,_xlfn.TEXTJOIN(",",TRUE,B257:E257))+SUMIFS(SF_Output!$G$1:$G$400,SF_Output!$AC$1:$AC$400,_xlfn.TEXTJOIN(",",TRUE,B257:E257)))&lt;&gt;0,SF_Output!$Y$2,INDEX(SF_Output!$F$1:$F$400,MATCH(_xlfn.TEXTJOIN(",",TRUE,B257:E257),SF_Output!$AC$1:$AC$400,0))=0,INDEX(SF_Output!$R$1:$R$400,MATCH(_xlfn.TEXTJOIN(",",TRUE,B257:E257),SF_Output!$AC$1:$AC$400,0)))</f>
        <v/>
      </c>
      <c r="I257" s="125" t="str">
        <f>IFERROR(IF(AND(H257&gt;1,H257&lt;&gt;""),ROUND(SUMIFS(SF_Output!$S$1:$S$400,SF_Output!$AC$1:$AC$400,_xlfn.TEXTJOIN(",",TRUE,B257:E257),SF_Output!$Q$1:$Q$400,"monthly")*(1-W257)/H257,4),""),"")</f>
        <v/>
      </c>
      <c r="J257" s="6" t="str">
        <f>IF(B257="","",SUMIFS(SF_Output!$S$1:$S$400,SF_Output!$AC$1:$AC$400,_xlfn.TEXTJOIN(",",TRUE,B257:E257),SF_Output!$Q$1:$Q$400,"One Time",SF_Output!$L$1:$L$400,"license fee")+SUMIFS(SF_Output!$S$1:$S$400,SF_Output!$AC$1:$AC$400,_xlfn.TEXTJOIN(",",TRUE,B257:E257),SF_Output!$Q$1:$Q$400,"One Time",SF_Output!$L$1:$L$400,"software license")+SUMIFS(SF_Output!$S$1:$S$400,SF_Output!$AC$1:$AC$400,_xlfn.TEXTJOIN(",",TRUE,B257:E257),SF_Output!$Q$1:$Q$400,"One Time",SF_Output!$L$1:$L$400,"hardware"))</f>
        <v/>
      </c>
      <c r="K257" s="112" t="str">
        <f>IF(OR(B257=0,B257="",G257="hardware",J257=0),"",IF(AF257&lt;&gt;"exclusion",MAX(K$9,-((SUMIFS(SF_Output!$T$1:$T$400,SF_Output!$AC$1:$AC$400,_xlfn.TEXTJOIN(",",TRUE,$B257:$E257),SF_Output!$Q$1:$Q$400,"One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license"))/J257)))</f>
        <v/>
      </c>
      <c r="L257" s="6" t="str">
        <f t="shared" si="69"/>
        <v/>
      </c>
      <c r="N257" s="6" t="str">
        <f>IF(B257="","",SUMIFS(SF_Output!$S$1:$S$400,SF_Output!$AC$1:$AC$400,_xlfn.TEXTJOIN(",",TRUE,B257:E257),SF_Output!$Q$1:$Q$400,"One Time",SF_Output!$L$1:$L$400,"professional service"))</f>
        <v/>
      </c>
      <c r="O257" s="112" t="str">
        <f>IF(OR(B257=0,B257="",N257=0),"",IF(AF257&lt;&gt;"exclusion",MAX(O$9,-(SUMIFS(SF_Output!$T$1:$T$400,SF_Output!$AC$1:$AC$400,_xlfn.TEXTJOIN(",",TRUE,$B257:$E257),SF_Output!$Q$1:$Q$400,"One Time",SF_Output!$L$1:$L$400,"professional service"))/N257),-((SUMIFS(SF_Output!$T$1:$T$400,SF_Output!$AC$1:$AC$400,_xlfn.TEXTJOIN(",",TRUE,$B257:$E257),SF_Output!$Q$1:$Q$400,"One Time",SF_Output!$L$1:$L$400,"professional service")/N257))))</f>
        <v/>
      </c>
      <c r="P257" s="6" t="str">
        <f t="shared" si="70"/>
        <v/>
      </c>
      <c r="R257" s="6" t="str">
        <f>IF(B257="","",SUMIFS(SF_Output!$S$1:$S$400,SF_Output!$AC$1:$AC$400,_xlfn.TEXTJOIN(",",TRUE,B257:E257),SF_Output!$Q$1:$Q$400,"yearly")+SUMIFS(SF_Output!$S$1:$S$400,SF_Output!$AC$1:$AC$400,_xlfn.TEXTJOIN(",",TRUE,B257:E257),SF_Output!$Q$1:$Q$400,"quarterly")*4)</f>
        <v/>
      </c>
      <c r="S257" s="112" t="str">
        <f>IF(OR(B257=0,B257="",G257="hardware",R257=0),"",IF(AF257&lt;&gt;"exclusion",MAX(S$9,-(SUMIFS(SF_Output!$T$1:$T$400,SF_Output!$AC$1:$AC$400,_xlfn.TEXTJOIN(",",TRUE,$B257:$E257),SF_Output!$Q$1:$Q$400,"yearly"))/R257),-((SUMIFS(SF_Output!$T$1:$T$400,SF_Output!$AC$1:$AC$400,_xlfn.TEXTJOIN(",",TRUE,$B257:$E257),SF_Output!$Q$1:$Q$400,"yearly")/R257))))</f>
        <v/>
      </c>
      <c r="T257" s="6" t="str">
        <f t="shared" si="71"/>
        <v/>
      </c>
      <c r="V257" s="6" t="str" cm="1">
        <f t="array" ref="V257">_xlfn.IFS(B257="","",AND(B257&lt;&gt;"",H257=SF_Output!$Y$2,SUMIFS(SF_Output!$T$1:$T$400,SF_Output!$AC$1:$AC$400,_xlfn.TEXTJOIN(",",TRUE,B257:E257),SF_Output!$Q$1:$Q$400,"monthly")=0),(SUMIFS(SF_Output!$F$1:$F$400,SF_Output!$AC$1:$AC$400,_xlfn.TEXTJOIN(",",TRUE,B257:E257),SF_Output!$Q$1:$Q$400,"monthly")+SUMIFS(SF_Output!$G$1:$G$400,SF_Output!$AC$1:$AC$400,_xlfn.TEXTJOIN(",",TRUE,B257:E257),SF_Output!$Q$1:$Q$400,"monthly"))*H257,AND(B257&lt;&gt;"",H257=SF_Output!$Y$2,SUMIFS(SF_Output!$T$1:$T$400,SF_Output!$AC$1:$AC$400,_xlfn.TEXTJOIN(",",TRUE,B257:E257),SF_Output!$Q$1:$Q$400,"monthly")&lt;&gt;0),SUMIFS(SF_Output!$S$1:$S$400,SF_Output!$AC$1:$AC$400,_xlfn.TEXTJOIN(",",TRUE,B257:E257),SF_Output!$Q$1:$Q$400,"monthly"),AND(B257&lt;&gt;"",H257&lt;&gt;SF_Output!$Y$2),SUMIFS(SF_Output!$S$1:$S$400,SF_Output!$AC$1:$AC$400,_xlfn.TEXTJOIN(",",TRUE,B257:E257),SF_Output!$Q$1:$Q$400,"monthly"))</f>
        <v/>
      </c>
      <c r="W257" s="112" t="str" cm="1">
        <f t="array" ref="W257">_xlfn.IFS(OR(B257=0,B257="",V257=0),"",AF257&lt;&gt;"exclusion",MAX($W$9,$W$7,(-(SUMIFS(SF_Output!$T$1:$T$400,SF_Output!$AC$1:$AC$400,_xlfn.TEXTJOIN(",",TRUE,$B257:$E257),SF_Output!$Q$1:$Q$400,"monthly"))/V257)),AF257="exclusion",-(SUMIFS(SF_Output!$T$1:$T$400,SF_Output!$AC$1:$AC$400,_xlfn.TEXTJOIN(",",TRUE,$B257:$E257),SF_Output!$Q$1:$Q$400,"monthly"))/V257)</f>
        <v/>
      </c>
      <c r="X257" s="6" t="str" cm="1">
        <f t="array" ref="X257">IFERROR(_xlfn.IFS(V257=0,0,V257="","",W257=0,V257,OR(V257&lt;&gt;0,V257&lt;&gt;""),H257*I257),V257*(1-W257))</f>
        <v/>
      </c>
      <c r="Z257" s="6" t="str">
        <f>IFERROR(IF(B257="","",SUMIFS(Billing_Fallout!H:H,Billing_Fallout!N:N,B257)),0)</f>
        <v/>
      </c>
      <c r="AA257" s="6" t="str">
        <f t="shared" si="72"/>
        <v/>
      </c>
      <c r="AB257" s="6" t="str">
        <f>IFERROR(IF(B257="","",SUMIFS(Billing_Fallout!J:J,Billing_Fallout!N:N,B257)),0)</f>
        <v/>
      </c>
      <c r="AD257" s="6" t="str">
        <f t="shared" si="73"/>
        <v/>
      </c>
      <c r="AF257" t="str">
        <f>IFERROR(INDEX(H_Tables!$B$1:$B$1500,MATCH(INDEX(SF_Output!$J$1:$J$400,MATCH(B257,SF_Output!$M$1:$M$400,0)),H_Tables!$A$1:$A$1500,0)),"")</f>
        <v/>
      </c>
      <c r="AI257" s="119" t="str">
        <f t="shared" si="74"/>
        <v/>
      </c>
      <c r="AJ257" s="121">
        <f>IFERROR(INDEX(SF_Output!AD:AD,MATCH(_xlfn.TEXTJOIN(",",TRUE,B257:E257),SF_Output!AC8:AC407,0)),0.05)</f>
        <v>234</v>
      </c>
      <c r="AK257" t="str">
        <f>IF(SUMIFS(SF_Output!$F$1:$F$400,SF_Output!$AC$1:$AC$400,_xlfn.TEXTJOIN(",",TRUE,B257:E257))+SUMIFS(SF_Output!$G$1:$G$400,SF_Output!$AC$1:$AC$400,_xlfn.TEXTJOIN(",",TRUE,B257:E257))=0,"","PAP")</f>
        <v/>
      </c>
      <c r="AQ257" s="35"/>
      <c r="AR257" s="35" t="str" cm="1">
        <f t="array" ref="AR257">IFERROR(_xlfn.IFS(AND(E257*1=1,F257="Included"),"Change to Included",AND(E257*1=0,F257="Optional"),"Change to Optional",OR(B257="",F257="replaced"),""),"")</f>
        <v/>
      </c>
      <c r="AS257" s="35" t="str">
        <f t="shared" si="75"/>
        <v/>
      </c>
      <c r="AT257" s="35" t="str">
        <f t="shared" si="76"/>
        <v/>
      </c>
      <c r="AU257" s="35" t="str">
        <f t="shared" si="77"/>
        <v/>
      </c>
      <c r="AV257" s="35" t="str">
        <f t="shared" si="78"/>
        <v/>
      </c>
      <c r="AW257" s="35" t="str">
        <f t="shared" si="79"/>
        <v/>
      </c>
      <c r="AX257" s="35" t="str">
        <f t="shared" si="80"/>
        <v/>
      </c>
      <c r="AY257" s="35" t="str">
        <f t="shared" si="81"/>
        <v/>
      </c>
      <c r="AZ257" s="35" t="str">
        <f t="shared" si="82"/>
        <v/>
      </c>
      <c r="BA257" s="35" t="str">
        <f t="shared" si="83"/>
        <v/>
      </c>
      <c r="BB257" s="35" t="str">
        <f t="shared" si="84"/>
        <v/>
      </c>
      <c r="BC257" s="35"/>
      <c r="BE257" s="35" t="e">
        <f>INDEX(SF_Output!$AA$2:$AA$400,MATCH($B257,SF_Output!$M$2:$M$400,0))</f>
        <v>#N/A</v>
      </c>
      <c r="BF257" s="35" t="e">
        <f>INDEX(SF_Output!$AB$2:$AB$400,MATCH($B257,SF_Output!$M$2:$M$400,0))</f>
        <v>#N/A</v>
      </c>
    </row>
    <row r="258" spans="6:58" x14ac:dyDescent="0.25">
      <c r="F258" s="116" t="str">
        <f t="shared" si="68"/>
        <v/>
      </c>
      <c r="G258" t="str">
        <f>IF(B258="","",INDEX(SF_Output!$K$1:$K$400,MATCH(B258,SF_Output!$M$1:$M$400,0)))</f>
        <v/>
      </c>
      <c r="H258" t="str" cm="1">
        <f t="array" ref="H258">_xlfn.IFS(B258="","",(SUMIFS(SF_Output!$F$1:$F$400,SF_Output!$AC$1:$AC$400,_xlfn.TEXTJOIN(",",TRUE,B258:E258))+SUMIFS(SF_Output!$G$1:$G$400,SF_Output!$AC$1:$AC$400,_xlfn.TEXTJOIN(",",TRUE,B258:E258)))&lt;&gt;0,SF_Output!$Y$2,INDEX(SF_Output!$F$1:$F$400,MATCH(_xlfn.TEXTJOIN(",",TRUE,B258:E258),SF_Output!$AC$1:$AC$400,0))=0,INDEX(SF_Output!$R$1:$R$400,MATCH(_xlfn.TEXTJOIN(",",TRUE,B258:E258),SF_Output!$AC$1:$AC$400,0)))</f>
        <v/>
      </c>
      <c r="I258" s="125" t="str">
        <f>IFERROR(IF(AND(H258&gt;1,H258&lt;&gt;""),ROUND(SUMIFS(SF_Output!$S$1:$S$400,SF_Output!$AC$1:$AC$400,_xlfn.TEXTJOIN(",",TRUE,B258:E258),SF_Output!$Q$1:$Q$400,"monthly")*(1-W258)/H258,4),""),"")</f>
        <v/>
      </c>
      <c r="J258" s="6" t="str">
        <f>IF(B258="","",SUMIFS(SF_Output!$S$1:$S$400,SF_Output!$AC$1:$AC$400,_xlfn.TEXTJOIN(",",TRUE,B258:E258),SF_Output!$Q$1:$Q$400,"One Time",SF_Output!$L$1:$L$400,"license fee")+SUMIFS(SF_Output!$S$1:$S$400,SF_Output!$AC$1:$AC$400,_xlfn.TEXTJOIN(",",TRUE,B258:E258),SF_Output!$Q$1:$Q$400,"One Time",SF_Output!$L$1:$L$400,"software license")+SUMIFS(SF_Output!$S$1:$S$400,SF_Output!$AC$1:$AC$400,_xlfn.TEXTJOIN(",",TRUE,B258:E258),SF_Output!$Q$1:$Q$400,"One Time",SF_Output!$L$1:$L$400,"hardware"))</f>
        <v/>
      </c>
      <c r="K258" s="112" t="str">
        <f>IF(OR(B258=0,B258="",G258="hardware",J258=0),"",IF(AF258&lt;&gt;"exclusion",MAX(K$9,-((SUMIFS(SF_Output!$T$1:$T$400,SF_Output!$AC$1:$AC$400,_xlfn.TEXTJOIN(",",TRUE,$B258:$E258),SF_Output!$Q$1:$Q$400,"One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license"))/J258)))</f>
        <v/>
      </c>
      <c r="L258" s="6" t="str">
        <f t="shared" si="69"/>
        <v/>
      </c>
      <c r="N258" s="6" t="str">
        <f>IF(B258="","",SUMIFS(SF_Output!$S$1:$S$400,SF_Output!$AC$1:$AC$400,_xlfn.TEXTJOIN(",",TRUE,B258:E258),SF_Output!$Q$1:$Q$400,"One Time",SF_Output!$L$1:$L$400,"professional service"))</f>
        <v/>
      </c>
      <c r="O258" s="112" t="str">
        <f>IF(OR(B258=0,B258="",N258=0),"",IF(AF258&lt;&gt;"exclusion",MAX(O$9,-(SUMIFS(SF_Output!$T$1:$T$400,SF_Output!$AC$1:$AC$400,_xlfn.TEXTJOIN(",",TRUE,$B258:$E258),SF_Output!$Q$1:$Q$400,"One Time",SF_Output!$L$1:$L$400,"professional service"))/N258),-((SUMIFS(SF_Output!$T$1:$T$400,SF_Output!$AC$1:$AC$400,_xlfn.TEXTJOIN(",",TRUE,$B258:$E258),SF_Output!$Q$1:$Q$400,"One Time",SF_Output!$L$1:$L$400,"professional service")/N258))))</f>
        <v/>
      </c>
      <c r="P258" s="6" t="str">
        <f t="shared" si="70"/>
        <v/>
      </c>
      <c r="R258" s="6" t="str">
        <f>IF(B258="","",SUMIFS(SF_Output!$S$1:$S$400,SF_Output!$AC$1:$AC$400,_xlfn.TEXTJOIN(",",TRUE,B258:E258),SF_Output!$Q$1:$Q$400,"yearly")+SUMIFS(SF_Output!$S$1:$S$400,SF_Output!$AC$1:$AC$400,_xlfn.TEXTJOIN(",",TRUE,B258:E258),SF_Output!$Q$1:$Q$400,"quarterly")*4)</f>
        <v/>
      </c>
      <c r="S258" s="112" t="str">
        <f>IF(OR(B258=0,B258="",G258="hardware",R258=0),"",IF(AF258&lt;&gt;"exclusion",MAX(S$9,-(SUMIFS(SF_Output!$T$1:$T$400,SF_Output!$AC$1:$AC$400,_xlfn.TEXTJOIN(",",TRUE,$B258:$E258),SF_Output!$Q$1:$Q$400,"yearly"))/R258),-((SUMIFS(SF_Output!$T$1:$T$400,SF_Output!$AC$1:$AC$400,_xlfn.TEXTJOIN(",",TRUE,$B258:$E258),SF_Output!$Q$1:$Q$400,"yearly")/R258))))</f>
        <v/>
      </c>
      <c r="T258" s="6" t="str">
        <f t="shared" si="71"/>
        <v/>
      </c>
      <c r="V258" s="6" t="str" cm="1">
        <f t="array" ref="V258">_xlfn.IFS(B258="","",AND(B258&lt;&gt;"",H258=SF_Output!$Y$2,SUMIFS(SF_Output!$T$1:$T$400,SF_Output!$AC$1:$AC$400,_xlfn.TEXTJOIN(",",TRUE,B258:E258),SF_Output!$Q$1:$Q$400,"monthly")=0),(SUMIFS(SF_Output!$F$1:$F$400,SF_Output!$AC$1:$AC$400,_xlfn.TEXTJOIN(",",TRUE,B258:E258),SF_Output!$Q$1:$Q$400,"monthly")+SUMIFS(SF_Output!$G$1:$G$400,SF_Output!$AC$1:$AC$400,_xlfn.TEXTJOIN(",",TRUE,B258:E258),SF_Output!$Q$1:$Q$400,"monthly"))*H258,AND(B258&lt;&gt;"",H258=SF_Output!$Y$2,SUMIFS(SF_Output!$T$1:$T$400,SF_Output!$AC$1:$AC$400,_xlfn.TEXTJOIN(",",TRUE,B258:E258),SF_Output!$Q$1:$Q$400,"monthly")&lt;&gt;0),SUMIFS(SF_Output!$S$1:$S$400,SF_Output!$AC$1:$AC$400,_xlfn.TEXTJOIN(",",TRUE,B258:E258),SF_Output!$Q$1:$Q$400,"monthly"),AND(B258&lt;&gt;"",H258&lt;&gt;SF_Output!$Y$2),SUMIFS(SF_Output!$S$1:$S$400,SF_Output!$AC$1:$AC$400,_xlfn.TEXTJOIN(",",TRUE,B258:E258),SF_Output!$Q$1:$Q$400,"monthly"))</f>
        <v/>
      </c>
      <c r="W258" s="112" t="str" cm="1">
        <f t="array" ref="W258">_xlfn.IFS(OR(B258=0,B258="",V258=0),"",AF258&lt;&gt;"exclusion",MAX($W$9,$W$7,(-(SUMIFS(SF_Output!$T$1:$T$400,SF_Output!$AC$1:$AC$400,_xlfn.TEXTJOIN(",",TRUE,$B258:$E258),SF_Output!$Q$1:$Q$400,"monthly"))/V258)),AF258="exclusion",-(SUMIFS(SF_Output!$T$1:$T$400,SF_Output!$AC$1:$AC$400,_xlfn.TEXTJOIN(",",TRUE,$B258:$E258),SF_Output!$Q$1:$Q$400,"monthly"))/V258)</f>
        <v/>
      </c>
      <c r="X258" s="6" t="str" cm="1">
        <f t="array" ref="X258">IFERROR(_xlfn.IFS(V258=0,0,V258="","",W258=0,V258,OR(V258&lt;&gt;0,V258&lt;&gt;""),H258*I258),V258*(1-W258))</f>
        <v/>
      </c>
      <c r="Z258" s="6" t="str">
        <f>IFERROR(IF(B258="","",SUMIFS(Billing_Fallout!H:H,Billing_Fallout!N:N,B258)),0)</f>
        <v/>
      </c>
      <c r="AA258" s="6" t="str">
        <f t="shared" si="72"/>
        <v/>
      </c>
      <c r="AB258" s="6" t="str">
        <f>IFERROR(IF(B258="","",SUMIFS(Billing_Fallout!J:J,Billing_Fallout!N:N,B258)),0)</f>
        <v/>
      </c>
      <c r="AD258" s="6" t="str">
        <f t="shared" si="73"/>
        <v/>
      </c>
      <c r="AF258" t="str">
        <f>IFERROR(INDEX(H_Tables!$B$1:$B$1500,MATCH(INDEX(SF_Output!$J$1:$J$400,MATCH(B258,SF_Output!$M$1:$M$400,0)),H_Tables!$A$1:$A$1500,0)),"")</f>
        <v/>
      </c>
      <c r="AI258" s="119" t="str">
        <f t="shared" si="74"/>
        <v/>
      </c>
      <c r="AJ258" s="121">
        <f>IFERROR(INDEX(SF_Output!AD:AD,MATCH(_xlfn.TEXTJOIN(",",TRUE,B258:E258),SF_Output!AC9:AC408,0)),0.05)</f>
        <v>233</v>
      </c>
      <c r="AK258" t="str">
        <f>IF(SUMIFS(SF_Output!$F$1:$F$400,SF_Output!$AC$1:$AC$400,_xlfn.TEXTJOIN(",",TRUE,B258:E258))+SUMIFS(SF_Output!$G$1:$G$400,SF_Output!$AC$1:$AC$400,_xlfn.TEXTJOIN(",",TRUE,B258:E258))=0,"","PAP")</f>
        <v/>
      </c>
      <c r="AQ258" s="35"/>
      <c r="AR258" s="35" t="str" cm="1">
        <f t="array" ref="AR258">IFERROR(_xlfn.IFS(AND(E258*1=1,F258="Included"),"Change to Included",AND(E258*1=0,F258="Optional"),"Change to Optional",OR(B258="",F258="replaced"),""),"")</f>
        <v/>
      </c>
      <c r="AS258" s="35" t="str">
        <f t="shared" si="75"/>
        <v/>
      </c>
      <c r="AT258" s="35" t="str">
        <f t="shared" si="76"/>
        <v/>
      </c>
      <c r="AU258" s="35" t="str">
        <f t="shared" si="77"/>
        <v/>
      </c>
      <c r="AV258" s="35" t="str">
        <f t="shared" si="78"/>
        <v/>
      </c>
      <c r="AW258" s="35" t="str">
        <f t="shared" si="79"/>
        <v/>
      </c>
      <c r="AX258" s="35" t="str">
        <f t="shared" si="80"/>
        <v/>
      </c>
      <c r="AY258" s="35" t="str">
        <f t="shared" si="81"/>
        <v/>
      </c>
      <c r="AZ258" s="35" t="str">
        <f t="shared" si="82"/>
        <v/>
      </c>
      <c r="BA258" s="35" t="str">
        <f t="shared" si="83"/>
        <v/>
      </c>
      <c r="BB258" s="35" t="str">
        <f t="shared" si="84"/>
        <v/>
      </c>
      <c r="BC258" s="35"/>
      <c r="BE258" s="35" t="e">
        <f>INDEX(SF_Output!$AA$2:$AA$400,MATCH($B258,SF_Output!$M$2:$M$400,0))</f>
        <v>#N/A</v>
      </c>
      <c r="BF258" s="35" t="e">
        <f>INDEX(SF_Output!$AB$2:$AB$400,MATCH($B258,SF_Output!$M$2:$M$400,0))</f>
        <v>#N/A</v>
      </c>
    </row>
    <row r="259" spans="6:58" x14ac:dyDescent="0.25">
      <c r="F259" s="116" t="str">
        <f t="shared" si="68"/>
        <v/>
      </c>
      <c r="G259" t="str">
        <f>IF(B259="","",INDEX(SF_Output!$K$1:$K$400,MATCH(B259,SF_Output!$M$1:$M$400,0)))</f>
        <v/>
      </c>
      <c r="H259" t="str" cm="1">
        <f t="array" ref="H259">_xlfn.IFS(B259="","",(SUMIFS(SF_Output!$F$1:$F$400,SF_Output!$AC$1:$AC$400,_xlfn.TEXTJOIN(",",TRUE,B259:E259))+SUMIFS(SF_Output!$G$1:$G$400,SF_Output!$AC$1:$AC$400,_xlfn.TEXTJOIN(",",TRUE,B259:E259)))&lt;&gt;0,SF_Output!$Y$2,INDEX(SF_Output!$F$1:$F$400,MATCH(_xlfn.TEXTJOIN(",",TRUE,B259:E259),SF_Output!$AC$1:$AC$400,0))=0,INDEX(SF_Output!$R$1:$R$400,MATCH(_xlfn.TEXTJOIN(",",TRUE,B259:E259),SF_Output!$AC$1:$AC$400,0)))</f>
        <v/>
      </c>
      <c r="I259" s="125" t="str">
        <f>IFERROR(IF(AND(H259&gt;1,H259&lt;&gt;""),ROUND(SUMIFS(SF_Output!$S$1:$S$400,SF_Output!$AC$1:$AC$400,_xlfn.TEXTJOIN(",",TRUE,B259:E259),SF_Output!$Q$1:$Q$400,"monthly")*(1-W259)/H259,4),""),"")</f>
        <v/>
      </c>
      <c r="J259" s="6" t="str">
        <f>IF(B259="","",SUMIFS(SF_Output!$S$1:$S$400,SF_Output!$AC$1:$AC$400,_xlfn.TEXTJOIN(",",TRUE,B259:E259),SF_Output!$Q$1:$Q$400,"One Time",SF_Output!$L$1:$L$400,"license fee")+SUMIFS(SF_Output!$S$1:$S$400,SF_Output!$AC$1:$AC$400,_xlfn.TEXTJOIN(",",TRUE,B259:E259),SF_Output!$Q$1:$Q$400,"One Time",SF_Output!$L$1:$L$400,"software license")+SUMIFS(SF_Output!$S$1:$S$400,SF_Output!$AC$1:$AC$400,_xlfn.TEXTJOIN(",",TRUE,B259:E259),SF_Output!$Q$1:$Q$400,"One Time",SF_Output!$L$1:$L$400,"hardware"))</f>
        <v/>
      </c>
      <c r="K259" s="112" t="str">
        <f>IF(OR(B259=0,B259="",G259="hardware",J259=0),"",IF(AF259&lt;&gt;"exclusion",MAX(K$9,-((SUMIFS(SF_Output!$T$1:$T$400,SF_Output!$AC$1:$AC$400,_xlfn.TEXTJOIN(",",TRUE,$B259:$E259),SF_Output!$Q$1:$Q$400,"One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license"))/J259)))</f>
        <v/>
      </c>
      <c r="L259" s="6" t="str">
        <f t="shared" si="69"/>
        <v/>
      </c>
      <c r="N259" s="6" t="str">
        <f>IF(B259="","",SUMIFS(SF_Output!$S$1:$S$400,SF_Output!$AC$1:$AC$400,_xlfn.TEXTJOIN(",",TRUE,B259:E259),SF_Output!$Q$1:$Q$400,"One Time",SF_Output!$L$1:$L$400,"professional service"))</f>
        <v/>
      </c>
      <c r="O259" s="112" t="str">
        <f>IF(OR(B259=0,B259="",N259=0),"",IF(AF259&lt;&gt;"exclusion",MAX(O$9,-(SUMIFS(SF_Output!$T$1:$T$400,SF_Output!$AC$1:$AC$400,_xlfn.TEXTJOIN(",",TRUE,$B259:$E259),SF_Output!$Q$1:$Q$400,"One Time",SF_Output!$L$1:$L$400,"professional service"))/N259),-((SUMIFS(SF_Output!$T$1:$T$400,SF_Output!$AC$1:$AC$400,_xlfn.TEXTJOIN(",",TRUE,$B259:$E259),SF_Output!$Q$1:$Q$400,"One Time",SF_Output!$L$1:$L$400,"professional service")/N259))))</f>
        <v/>
      </c>
      <c r="P259" s="6" t="str">
        <f t="shared" si="70"/>
        <v/>
      </c>
      <c r="R259" s="6" t="str">
        <f>IF(B259="","",SUMIFS(SF_Output!$S$1:$S$400,SF_Output!$AC$1:$AC$400,_xlfn.TEXTJOIN(",",TRUE,B259:E259),SF_Output!$Q$1:$Q$400,"yearly")+SUMIFS(SF_Output!$S$1:$S$400,SF_Output!$AC$1:$AC$400,_xlfn.TEXTJOIN(",",TRUE,B259:E259),SF_Output!$Q$1:$Q$400,"quarterly")*4)</f>
        <v/>
      </c>
      <c r="S259" s="112" t="str">
        <f>IF(OR(B259=0,B259="",G259="hardware",R259=0),"",IF(AF259&lt;&gt;"exclusion",MAX(S$9,-(SUMIFS(SF_Output!$T$1:$T$400,SF_Output!$AC$1:$AC$400,_xlfn.TEXTJOIN(",",TRUE,$B259:$E259),SF_Output!$Q$1:$Q$400,"yearly"))/R259),-((SUMIFS(SF_Output!$T$1:$T$400,SF_Output!$AC$1:$AC$400,_xlfn.TEXTJOIN(",",TRUE,$B259:$E259),SF_Output!$Q$1:$Q$400,"yearly")/R259))))</f>
        <v/>
      </c>
      <c r="T259" s="6" t="str">
        <f t="shared" si="71"/>
        <v/>
      </c>
      <c r="V259" s="6" t="str" cm="1">
        <f t="array" ref="V259">_xlfn.IFS(B259="","",AND(B259&lt;&gt;"",H259=SF_Output!$Y$2,SUMIFS(SF_Output!$T$1:$T$400,SF_Output!$AC$1:$AC$400,_xlfn.TEXTJOIN(",",TRUE,B259:E259),SF_Output!$Q$1:$Q$400,"monthly")=0),(SUMIFS(SF_Output!$F$1:$F$400,SF_Output!$AC$1:$AC$400,_xlfn.TEXTJOIN(",",TRUE,B259:E259),SF_Output!$Q$1:$Q$400,"monthly")+SUMIFS(SF_Output!$G$1:$G$400,SF_Output!$AC$1:$AC$400,_xlfn.TEXTJOIN(",",TRUE,B259:E259),SF_Output!$Q$1:$Q$400,"monthly"))*H259,AND(B259&lt;&gt;"",H259=SF_Output!$Y$2,SUMIFS(SF_Output!$T$1:$T$400,SF_Output!$AC$1:$AC$400,_xlfn.TEXTJOIN(",",TRUE,B259:E259),SF_Output!$Q$1:$Q$400,"monthly")&lt;&gt;0),SUMIFS(SF_Output!$S$1:$S$400,SF_Output!$AC$1:$AC$400,_xlfn.TEXTJOIN(",",TRUE,B259:E259),SF_Output!$Q$1:$Q$400,"monthly"),AND(B259&lt;&gt;"",H259&lt;&gt;SF_Output!$Y$2),SUMIFS(SF_Output!$S$1:$S$400,SF_Output!$AC$1:$AC$400,_xlfn.TEXTJOIN(",",TRUE,B259:E259),SF_Output!$Q$1:$Q$400,"monthly"))</f>
        <v/>
      </c>
      <c r="W259" s="112" t="str" cm="1">
        <f t="array" ref="W259">_xlfn.IFS(OR(B259=0,B259="",V259=0),"",AF259&lt;&gt;"exclusion",MAX($W$9,$W$7,(-(SUMIFS(SF_Output!$T$1:$T$400,SF_Output!$AC$1:$AC$400,_xlfn.TEXTJOIN(",",TRUE,$B259:$E259),SF_Output!$Q$1:$Q$400,"monthly"))/V259)),AF259="exclusion",-(SUMIFS(SF_Output!$T$1:$T$400,SF_Output!$AC$1:$AC$400,_xlfn.TEXTJOIN(",",TRUE,$B259:$E259),SF_Output!$Q$1:$Q$400,"monthly"))/V259)</f>
        <v/>
      </c>
      <c r="X259" s="6" t="str" cm="1">
        <f t="array" ref="X259">IFERROR(_xlfn.IFS(V259=0,0,V259="","",W259=0,V259,OR(V259&lt;&gt;0,V259&lt;&gt;""),H259*I259),V259*(1-W259))</f>
        <v/>
      </c>
      <c r="Z259" s="6" t="str">
        <f>IFERROR(IF(B259="","",SUMIFS(Billing_Fallout!H:H,Billing_Fallout!N:N,B259)),0)</f>
        <v/>
      </c>
      <c r="AA259" s="6" t="str">
        <f t="shared" si="72"/>
        <v/>
      </c>
      <c r="AB259" s="6" t="str">
        <f>IFERROR(IF(B259="","",SUMIFS(Billing_Fallout!J:J,Billing_Fallout!N:N,B259)),0)</f>
        <v/>
      </c>
      <c r="AD259" s="6" t="str">
        <f t="shared" si="73"/>
        <v/>
      </c>
      <c r="AF259" t="str">
        <f>IFERROR(INDEX(H_Tables!$B$1:$B$1500,MATCH(INDEX(SF_Output!$J$1:$J$400,MATCH(B259,SF_Output!$M$1:$M$400,0)),H_Tables!$A$1:$A$1500,0)),"")</f>
        <v/>
      </c>
      <c r="AI259" s="119" t="str">
        <f t="shared" si="74"/>
        <v/>
      </c>
      <c r="AJ259" s="121">
        <f>IFERROR(INDEX(SF_Output!AD:AD,MATCH(_xlfn.TEXTJOIN(",",TRUE,B259:E259),SF_Output!AC10:AC409,0)),0.05)</f>
        <v>232</v>
      </c>
      <c r="AK259" t="str">
        <f>IF(SUMIFS(SF_Output!$F$1:$F$400,SF_Output!$AC$1:$AC$400,_xlfn.TEXTJOIN(",",TRUE,B259:E259))+SUMIFS(SF_Output!$G$1:$G$400,SF_Output!$AC$1:$AC$400,_xlfn.TEXTJOIN(",",TRUE,B259:E259))=0,"","PAP")</f>
        <v/>
      </c>
      <c r="AQ259" s="35"/>
      <c r="AR259" s="35" t="str" cm="1">
        <f t="array" ref="AR259">IFERROR(_xlfn.IFS(AND(E259*1=1,F259="Included"),"Change to Included",AND(E259*1=0,F259="Optional"),"Change to Optional",OR(B259="",F259="replaced"),""),"")</f>
        <v/>
      </c>
      <c r="AS259" s="35" t="str">
        <f t="shared" si="75"/>
        <v/>
      </c>
      <c r="AT259" s="35" t="str">
        <f t="shared" si="76"/>
        <v/>
      </c>
      <c r="AU259" s="35" t="str">
        <f t="shared" si="77"/>
        <v/>
      </c>
      <c r="AV259" s="35" t="str">
        <f t="shared" si="78"/>
        <v/>
      </c>
      <c r="AW259" s="35" t="str">
        <f t="shared" si="79"/>
        <v/>
      </c>
      <c r="AX259" s="35" t="str">
        <f t="shared" si="80"/>
        <v/>
      </c>
      <c r="AY259" s="35" t="str">
        <f t="shared" si="81"/>
        <v/>
      </c>
      <c r="AZ259" s="35" t="str">
        <f t="shared" si="82"/>
        <v/>
      </c>
      <c r="BA259" s="35" t="str">
        <f t="shared" si="83"/>
        <v/>
      </c>
      <c r="BB259" s="35" t="str">
        <f t="shared" si="84"/>
        <v/>
      </c>
      <c r="BC259" s="35"/>
      <c r="BE259" s="35" t="e">
        <f>INDEX(SF_Output!$AA$2:$AA$400,MATCH($B259,SF_Output!$M$2:$M$400,0))</f>
        <v>#N/A</v>
      </c>
      <c r="BF259" s="35" t="e">
        <f>INDEX(SF_Output!$AB$2:$AB$400,MATCH($B259,SF_Output!$M$2:$M$400,0))</f>
        <v>#N/A</v>
      </c>
    </row>
    <row r="260" spans="6:58" x14ac:dyDescent="0.25">
      <c r="F260" s="116" t="str">
        <f t="shared" si="68"/>
        <v/>
      </c>
      <c r="G260" t="str">
        <f>IF(B260="","",INDEX(SF_Output!$K$1:$K$400,MATCH(B260,SF_Output!$M$1:$M$400,0)))</f>
        <v/>
      </c>
      <c r="H260" t="str" cm="1">
        <f t="array" ref="H260">_xlfn.IFS(B260="","",(SUMIFS(SF_Output!$F$1:$F$400,SF_Output!$AC$1:$AC$400,_xlfn.TEXTJOIN(",",TRUE,B260:E260))+SUMIFS(SF_Output!$G$1:$G$400,SF_Output!$AC$1:$AC$400,_xlfn.TEXTJOIN(",",TRUE,B260:E260)))&lt;&gt;0,SF_Output!$Y$2,INDEX(SF_Output!$F$1:$F$400,MATCH(_xlfn.TEXTJOIN(",",TRUE,B260:E260),SF_Output!$AC$1:$AC$400,0))=0,INDEX(SF_Output!$R$1:$R$400,MATCH(_xlfn.TEXTJOIN(",",TRUE,B260:E260),SF_Output!$AC$1:$AC$400,0)))</f>
        <v/>
      </c>
      <c r="I260" s="125" t="str">
        <f>IFERROR(IF(AND(H260&gt;1,H260&lt;&gt;""),ROUND(SUMIFS(SF_Output!$S$1:$S$400,SF_Output!$AC$1:$AC$400,_xlfn.TEXTJOIN(",",TRUE,B260:E260),SF_Output!$Q$1:$Q$400,"monthly")*(1-W260)/H260,4),""),"")</f>
        <v/>
      </c>
      <c r="J260" s="6" t="str">
        <f>IF(B260="","",SUMIFS(SF_Output!$S$1:$S$400,SF_Output!$AC$1:$AC$400,_xlfn.TEXTJOIN(",",TRUE,B260:E260),SF_Output!$Q$1:$Q$400,"One Time",SF_Output!$L$1:$L$400,"license fee")+SUMIFS(SF_Output!$S$1:$S$400,SF_Output!$AC$1:$AC$400,_xlfn.TEXTJOIN(",",TRUE,B260:E260),SF_Output!$Q$1:$Q$400,"One Time",SF_Output!$L$1:$L$400,"software license")+SUMIFS(SF_Output!$S$1:$S$400,SF_Output!$AC$1:$AC$400,_xlfn.TEXTJOIN(",",TRUE,B260:E260),SF_Output!$Q$1:$Q$400,"One Time",SF_Output!$L$1:$L$400,"hardware"))</f>
        <v/>
      </c>
      <c r="K260" s="112" t="str">
        <f>IF(OR(B260=0,B260="",G260="hardware",J260=0),"",IF(AF260&lt;&gt;"exclusion",MAX(K$9,-((SUMIFS(SF_Output!$T$1:$T$400,SF_Output!$AC$1:$AC$400,_xlfn.TEXTJOIN(",",TRUE,$B260:$E260),SF_Output!$Q$1:$Q$400,"One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license"))/J260)))</f>
        <v/>
      </c>
      <c r="L260" s="6" t="str">
        <f t="shared" si="69"/>
        <v/>
      </c>
      <c r="N260" s="6" t="str">
        <f>IF(B260="","",SUMIFS(SF_Output!$S$1:$S$400,SF_Output!$AC$1:$AC$400,_xlfn.TEXTJOIN(",",TRUE,B260:E260),SF_Output!$Q$1:$Q$400,"One Time",SF_Output!$L$1:$L$400,"professional service"))</f>
        <v/>
      </c>
      <c r="O260" s="112" t="str">
        <f>IF(OR(B260=0,B260="",N260=0),"",IF(AF260&lt;&gt;"exclusion",MAX(O$9,-(SUMIFS(SF_Output!$T$1:$T$400,SF_Output!$AC$1:$AC$400,_xlfn.TEXTJOIN(",",TRUE,$B260:$E260),SF_Output!$Q$1:$Q$400,"One Time",SF_Output!$L$1:$L$400,"professional service"))/N260),-((SUMIFS(SF_Output!$T$1:$T$400,SF_Output!$AC$1:$AC$400,_xlfn.TEXTJOIN(",",TRUE,$B260:$E260),SF_Output!$Q$1:$Q$400,"One Time",SF_Output!$L$1:$L$400,"professional service")/N260))))</f>
        <v/>
      </c>
      <c r="P260" s="6" t="str">
        <f t="shared" si="70"/>
        <v/>
      </c>
      <c r="R260" s="6" t="str">
        <f>IF(B260="","",SUMIFS(SF_Output!$S$1:$S$400,SF_Output!$AC$1:$AC$400,_xlfn.TEXTJOIN(",",TRUE,B260:E260),SF_Output!$Q$1:$Q$400,"yearly")+SUMIFS(SF_Output!$S$1:$S$400,SF_Output!$AC$1:$AC$400,_xlfn.TEXTJOIN(",",TRUE,B260:E260),SF_Output!$Q$1:$Q$400,"quarterly")*4)</f>
        <v/>
      </c>
      <c r="S260" s="112" t="str">
        <f>IF(OR(B260=0,B260="",G260="hardware",R260=0),"",IF(AF260&lt;&gt;"exclusion",MAX(S$9,-(SUMIFS(SF_Output!$T$1:$T$400,SF_Output!$AC$1:$AC$400,_xlfn.TEXTJOIN(",",TRUE,$B260:$E260),SF_Output!$Q$1:$Q$400,"yearly"))/R260),-((SUMIFS(SF_Output!$T$1:$T$400,SF_Output!$AC$1:$AC$400,_xlfn.TEXTJOIN(",",TRUE,$B260:$E260),SF_Output!$Q$1:$Q$400,"yearly")/R260))))</f>
        <v/>
      </c>
      <c r="T260" s="6" t="str">
        <f t="shared" si="71"/>
        <v/>
      </c>
      <c r="V260" s="6" t="str" cm="1">
        <f t="array" ref="V260">_xlfn.IFS(B260="","",AND(B260&lt;&gt;"",H260=SF_Output!$Y$2,SUMIFS(SF_Output!$T$1:$T$400,SF_Output!$AC$1:$AC$400,_xlfn.TEXTJOIN(",",TRUE,B260:E260),SF_Output!$Q$1:$Q$400,"monthly")=0),(SUMIFS(SF_Output!$F$1:$F$400,SF_Output!$AC$1:$AC$400,_xlfn.TEXTJOIN(",",TRUE,B260:E260),SF_Output!$Q$1:$Q$400,"monthly")+SUMIFS(SF_Output!$G$1:$G$400,SF_Output!$AC$1:$AC$400,_xlfn.TEXTJOIN(",",TRUE,B260:E260),SF_Output!$Q$1:$Q$400,"monthly"))*H260,AND(B260&lt;&gt;"",H260=SF_Output!$Y$2,SUMIFS(SF_Output!$T$1:$T$400,SF_Output!$AC$1:$AC$400,_xlfn.TEXTJOIN(",",TRUE,B260:E260),SF_Output!$Q$1:$Q$400,"monthly")&lt;&gt;0),SUMIFS(SF_Output!$S$1:$S$400,SF_Output!$AC$1:$AC$400,_xlfn.TEXTJOIN(",",TRUE,B260:E260),SF_Output!$Q$1:$Q$400,"monthly"),AND(B260&lt;&gt;"",H260&lt;&gt;SF_Output!$Y$2),SUMIFS(SF_Output!$S$1:$S$400,SF_Output!$AC$1:$AC$400,_xlfn.TEXTJOIN(",",TRUE,B260:E260),SF_Output!$Q$1:$Q$400,"monthly"))</f>
        <v/>
      </c>
      <c r="W260" s="112" t="str" cm="1">
        <f t="array" ref="W260">_xlfn.IFS(OR(B260=0,B260="",V260=0),"",AF260&lt;&gt;"exclusion",MAX($W$9,$W$7,(-(SUMIFS(SF_Output!$T$1:$T$400,SF_Output!$AC$1:$AC$400,_xlfn.TEXTJOIN(",",TRUE,$B260:$E260),SF_Output!$Q$1:$Q$400,"monthly"))/V260)),AF260="exclusion",-(SUMIFS(SF_Output!$T$1:$T$400,SF_Output!$AC$1:$AC$400,_xlfn.TEXTJOIN(",",TRUE,$B260:$E260),SF_Output!$Q$1:$Q$400,"monthly"))/V260)</f>
        <v/>
      </c>
      <c r="X260" s="6" t="str" cm="1">
        <f t="array" ref="X260">IFERROR(_xlfn.IFS(V260=0,0,V260="","",W260=0,V260,OR(V260&lt;&gt;0,V260&lt;&gt;""),H260*I260),V260*(1-W260))</f>
        <v/>
      </c>
      <c r="Z260" s="6" t="str">
        <f>IFERROR(IF(B260="","",SUMIFS(Billing_Fallout!H:H,Billing_Fallout!N:N,B260)),0)</f>
        <v/>
      </c>
      <c r="AA260" s="6" t="str">
        <f t="shared" si="72"/>
        <v/>
      </c>
      <c r="AB260" s="6" t="str">
        <f>IFERROR(IF(B260="","",SUMIFS(Billing_Fallout!J:J,Billing_Fallout!N:N,B260)),0)</f>
        <v/>
      </c>
      <c r="AD260" s="6" t="str">
        <f t="shared" si="73"/>
        <v/>
      </c>
      <c r="AF260" t="str">
        <f>IFERROR(INDEX(H_Tables!$B$1:$B$1500,MATCH(INDEX(SF_Output!$J$1:$J$400,MATCH(B260,SF_Output!$M$1:$M$400,0)),H_Tables!$A$1:$A$1500,0)),"")</f>
        <v/>
      </c>
      <c r="AI260" s="119" t="str">
        <f t="shared" si="74"/>
        <v/>
      </c>
      <c r="AJ260" s="121">
        <f>IFERROR(INDEX(SF_Output!AD:AD,MATCH(_xlfn.TEXTJOIN(",",TRUE,B260:E260),SF_Output!AC11:AC410,0)),0.05)</f>
        <v>231</v>
      </c>
      <c r="AK260" t="str">
        <f>IF(SUMIFS(SF_Output!$F$1:$F$400,SF_Output!$AC$1:$AC$400,_xlfn.TEXTJOIN(",",TRUE,B260:E260))+SUMIFS(SF_Output!$G$1:$G$400,SF_Output!$AC$1:$AC$400,_xlfn.TEXTJOIN(",",TRUE,B260:E260))=0,"","PAP")</f>
        <v/>
      </c>
      <c r="AQ260" s="35"/>
      <c r="AR260" s="35" t="str" cm="1">
        <f t="array" ref="AR260">IFERROR(_xlfn.IFS(AND(E260*1=1,F260="Included"),"Change to Included",AND(E260*1=0,F260="Optional"),"Change to Optional",OR(B260="",F260="replaced"),""),"")</f>
        <v/>
      </c>
      <c r="AS260" s="35" t="str">
        <f t="shared" si="75"/>
        <v/>
      </c>
      <c r="AT260" s="35" t="str">
        <f t="shared" si="76"/>
        <v/>
      </c>
      <c r="AU260" s="35" t="str">
        <f t="shared" si="77"/>
        <v/>
      </c>
      <c r="AV260" s="35" t="str">
        <f t="shared" si="78"/>
        <v/>
      </c>
      <c r="AW260" s="35" t="str">
        <f t="shared" si="79"/>
        <v/>
      </c>
      <c r="AX260" s="35" t="str">
        <f t="shared" si="80"/>
        <v/>
      </c>
      <c r="AY260" s="35" t="str">
        <f t="shared" si="81"/>
        <v/>
      </c>
      <c r="AZ260" s="35" t="str">
        <f t="shared" si="82"/>
        <v/>
      </c>
      <c r="BA260" s="35" t="str">
        <f t="shared" si="83"/>
        <v/>
      </c>
      <c r="BB260" s="35" t="str">
        <f t="shared" si="84"/>
        <v/>
      </c>
      <c r="BC260" s="35"/>
      <c r="BE260" s="35" t="e">
        <f>INDEX(SF_Output!$AA$2:$AA$400,MATCH($B260,SF_Output!$M$2:$M$400,0))</f>
        <v>#N/A</v>
      </c>
      <c r="BF260" s="35" t="e">
        <f>INDEX(SF_Output!$AB$2:$AB$400,MATCH($B260,SF_Output!$M$2:$M$400,0))</f>
        <v>#N/A</v>
      </c>
    </row>
    <row r="261" spans="6:58" x14ac:dyDescent="0.25">
      <c r="F261" s="116" t="str">
        <f t="shared" si="68"/>
        <v/>
      </c>
      <c r="G261" t="str">
        <f>IF(B261="","",INDEX(SF_Output!$K$1:$K$400,MATCH(B261,SF_Output!$M$1:$M$400,0)))</f>
        <v/>
      </c>
      <c r="H261" t="str" cm="1">
        <f t="array" ref="H261">_xlfn.IFS(B261="","",(SUMIFS(SF_Output!$F$1:$F$400,SF_Output!$AC$1:$AC$400,_xlfn.TEXTJOIN(",",TRUE,B261:E261))+SUMIFS(SF_Output!$G$1:$G$400,SF_Output!$AC$1:$AC$400,_xlfn.TEXTJOIN(",",TRUE,B261:E261)))&lt;&gt;0,SF_Output!$Y$2,INDEX(SF_Output!$F$1:$F$400,MATCH(_xlfn.TEXTJOIN(",",TRUE,B261:E261),SF_Output!$AC$1:$AC$400,0))=0,INDEX(SF_Output!$R$1:$R$400,MATCH(_xlfn.TEXTJOIN(",",TRUE,B261:E261),SF_Output!$AC$1:$AC$400,0)))</f>
        <v/>
      </c>
      <c r="I261" s="125" t="str">
        <f>IFERROR(IF(AND(H261&gt;1,H261&lt;&gt;""),ROUND(SUMIFS(SF_Output!$S$1:$S$400,SF_Output!$AC$1:$AC$400,_xlfn.TEXTJOIN(",",TRUE,B261:E261),SF_Output!$Q$1:$Q$400,"monthly")*(1-W261)/H261,4),""),"")</f>
        <v/>
      </c>
      <c r="J261" s="6" t="str">
        <f>IF(B261="","",SUMIFS(SF_Output!$S$1:$S$400,SF_Output!$AC$1:$AC$400,_xlfn.TEXTJOIN(",",TRUE,B261:E261),SF_Output!$Q$1:$Q$400,"One Time",SF_Output!$L$1:$L$400,"license fee")+SUMIFS(SF_Output!$S$1:$S$400,SF_Output!$AC$1:$AC$400,_xlfn.TEXTJOIN(",",TRUE,B261:E261),SF_Output!$Q$1:$Q$400,"One Time",SF_Output!$L$1:$L$400,"software license")+SUMIFS(SF_Output!$S$1:$S$400,SF_Output!$AC$1:$AC$400,_xlfn.TEXTJOIN(",",TRUE,B261:E261),SF_Output!$Q$1:$Q$400,"One Time",SF_Output!$L$1:$L$400,"hardware"))</f>
        <v/>
      </c>
      <c r="K261" s="112" t="str">
        <f>IF(OR(B261=0,B261="",G261="hardware",J261=0),"",IF(AF261&lt;&gt;"exclusion",MAX(K$9,-((SUMIFS(SF_Output!$T$1:$T$400,SF_Output!$AC$1:$AC$400,_xlfn.TEXTJOIN(",",TRUE,$B261:$E261),SF_Output!$Q$1:$Q$400,"One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license"))/J261)))</f>
        <v/>
      </c>
      <c r="L261" s="6" t="str">
        <f t="shared" si="69"/>
        <v/>
      </c>
      <c r="N261" s="6" t="str">
        <f>IF(B261="","",SUMIFS(SF_Output!$S$1:$S$400,SF_Output!$AC$1:$AC$400,_xlfn.TEXTJOIN(",",TRUE,B261:E261),SF_Output!$Q$1:$Q$400,"One Time",SF_Output!$L$1:$L$400,"professional service"))</f>
        <v/>
      </c>
      <c r="O261" s="112" t="str">
        <f>IF(OR(B261=0,B261="",N261=0),"",IF(AF261&lt;&gt;"exclusion",MAX(O$9,-(SUMIFS(SF_Output!$T$1:$T$400,SF_Output!$AC$1:$AC$400,_xlfn.TEXTJOIN(",",TRUE,$B261:$E261),SF_Output!$Q$1:$Q$400,"One Time",SF_Output!$L$1:$L$400,"professional service"))/N261),-((SUMIFS(SF_Output!$T$1:$T$400,SF_Output!$AC$1:$AC$400,_xlfn.TEXTJOIN(",",TRUE,$B261:$E261),SF_Output!$Q$1:$Q$400,"One Time",SF_Output!$L$1:$L$400,"professional service")/N261))))</f>
        <v/>
      </c>
      <c r="P261" s="6" t="str">
        <f t="shared" si="70"/>
        <v/>
      </c>
      <c r="R261" s="6" t="str">
        <f>IF(B261="","",SUMIFS(SF_Output!$S$1:$S$400,SF_Output!$AC$1:$AC$400,_xlfn.TEXTJOIN(",",TRUE,B261:E261),SF_Output!$Q$1:$Q$400,"yearly")+SUMIFS(SF_Output!$S$1:$S$400,SF_Output!$AC$1:$AC$400,_xlfn.TEXTJOIN(",",TRUE,B261:E261),SF_Output!$Q$1:$Q$400,"quarterly")*4)</f>
        <v/>
      </c>
      <c r="S261" s="112" t="str">
        <f>IF(OR(B261=0,B261="",G261="hardware",R261=0),"",IF(AF261&lt;&gt;"exclusion",MAX(S$9,-(SUMIFS(SF_Output!$T$1:$T$400,SF_Output!$AC$1:$AC$400,_xlfn.TEXTJOIN(",",TRUE,$B261:$E261),SF_Output!$Q$1:$Q$400,"yearly"))/R261),-((SUMIFS(SF_Output!$T$1:$T$400,SF_Output!$AC$1:$AC$400,_xlfn.TEXTJOIN(",",TRUE,$B261:$E261),SF_Output!$Q$1:$Q$400,"yearly")/R261))))</f>
        <v/>
      </c>
      <c r="T261" s="6" t="str">
        <f t="shared" si="71"/>
        <v/>
      </c>
      <c r="V261" s="6" t="str" cm="1">
        <f t="array" ref="V261">_xlfn.IFS(B261="","",AND(B261&lt;&gt;"",H261=SF_Output!$Y$2,SUMIFS(SF_Output!$T$1:$T$400,SF_Output!$AC$1:$AC$400,_xlfn.TEXTJOIN(",",TRUE,B261:E261),SF_Output!$Q$1:$Q$400,"monthly")=0),(SUMIFS(SF_Output!$F$1:$F$400,SF_Output!$AC$1:$AC$400,_xlfn.TEXTJOIN(",",TRUE,B261:E261),SF_Output!$Q$1:$Q$400,"monthly")+SUMIFS(SF_Output!$G$1:$G$400,SF_Output!$AC$1:$AC$400,_xlfn.TEXTJOIN(",",TRUE,B261:E261),SF_Output!$Q$1:$Q$400,"monthly"))*H261,AND(B261&lt;&gt;"",H261=SF_Output!$Y$2,SUMIFS(SF_Output!$T$1:$T$400,SF_Output!$AC$1:$AC$400,_xlfn.TEXTJOIN(",",TRUE,B261:E261),SF_Output!$Q$1:$Q$400,"monthly")&lt;&gt;0),SUMIFS(SF_Output!$S$1:$S$400,SF_Output!$AC$1:$AC$400,_xlfn.TEXTJOIN(",",TRUE,B261:E261),SF_Output!$Q$1:$Q$400,"monthly"),AND(B261&lt;&gt;"",H261&lt;&gt;SF_Output!$Y$2),SUMIFS(SF_Output!$S$1:$S$400,SF_Output!$AC$1:$AC$400,_xlfn.TEXTJOIN(",",TRUE,B261:E261),SF_Output!$Q$1:$Q$400,"monthly"))</f>
        <v/>
      </c>
      <c r="W261" s="112" t="str" cm="1">
        <f t="array" ref="W261">_xlfn.IFS(OR(B261=0,B261="",V261=0),"",AF261&lt;&gt;"exclusion",MAX($W$9,$W$7,(-(SUMIFS(SF_Output!$T$1:$T$400,SF_Output!$AC$1:$AC$400,_xlfn.TEXTJOIN(",",TRUE,$B261:$E261),SF_Output!$Q$1:$Q$400,"monthly"))/V261)),AF261="exclusion",-(SUMIFS(SF_Output!$T$1:$T$400,SF_Output!$AC$1:$AC$400,_xlfn.TEXTJOIN(",",TRUE,$B261:$E261),SF_Output!$Q$1:$Q$400,"monthly"))/V261)</f>
        <v/>
      </c>
      <c r="X261" s="6" t="str" cm="1">
        <f t="array" ref="X261">IFERROR(_xlfn.IFS(V261=0,0,V261="","",W261=0,V261,OR(V261&lt;&gt;0,V261&lt;&gt;""),H261*I261),V261*(1-W261))</f>
        <v/>
      </c>
      <c r="Z261" s="6" t="str">
        <f>IFERROR(IF(B261="","",SUMIFS(Billing_Fallout!H:H,Billing_Fallout!N:N,B261)),0)</f>
        <v/>
      </c>
      <c r="AA261" s="6" t="str">
        <f t="shared" si="72"/>
        <v/>
      </c>
      <c r="AB261" s="6" t="str">
        <f>IFERROR(IF(B261="","",SUMIFS(Billing_Fallout!J:J,Billing_Fallout!N:N,B261)),0)</f>
        <v/>
      </c>
      <c r="AD261" s="6" t="str">
        <f t="shared" si="73"/>
        <v/>
      </c>
      <c r="AF261" t="str">
        <f>IFERROR(INDEX(H_Tables!$B$1:$B$1500,MATCH(INDEX(SF_Output!$J$1:$J$400,MATCH(B261,SF_Output!$M$1:$M$400,0)),H_Tables!$A$1:$A$1500,0)),"")</f>
        <v/>
      </c>
      <c r="AI261" s="119" t="str">
        <f t="shared" si="74"/>
        <v/>
      </c>
      <c r="AJ261" s="121">
        <f>IFERROR(INDEX(SF_Output!AD:AD,MATCH(_xlfn.TEXTJOIN(",",TRUE,B261:E261),SF_Output!AC12:AC411,0)),0.05)</f>
        <v>230</v>
      </c>
      <c r="AK261" t="str">
        <f>IF(SUMIFS(SF_Output!$F$1:$F$400,SF_Output!$AC$1:$AC$400,_xlfn.TEXTJOIN(",",TRUE,B261:E261))+SUMIFS(SF_Output!$G$1:$G$400,SF_Output!$AC$1:$AC$400,_xlfn.TEXTJOIN(",",TRUE,B261:E261))=0,"","PAP")</f>
        <v/>
      </c>
      <c r="AQ261" s="35"/>
      <c r="AR261" s="35" t="str" cm="1">
        <f t="array" ref="AR261">IFERROR(_xlfn.IFS(AND(E261*1=1,F261="Included"),"Change to Included",AND(E261*1=0,F261="Optional"),"Change to Optional",OR(B261="",F261="replaced"),""),"")</f>
        <v/>
      </c>
      <c r="AS261" s="35" t="str">
        <f t="shared" si="75"/>
        <v/>
      </c>
      <c r="AT261" s="35" t="str">
        <f t="shared" si="76"/>
        <v/>
      </c>
      <c r="AU261" s="35" t="str">
        <f t="shared" si="77"/>
        <v/>
      </c>
      <c r="AV261" s="35" t="str">
        <f t="shared" si="78"/>
        <v/>
      </c>
      <c r="AW261" s="35" t="str">
        <f t="shared" si="79"/>
        <v/>
      </c>
      <c r="AX261" s="35" t="str">
        <f t="shared" si="80"/>
        <v/>
      </c>
      <c r="AY261" s="35" t="str">
        <f t="shared" si="81"/>
        <v/>
      </c>
      <c r="AZ261" s="35" t="str">
        <f t="shared" si="82"/>
        <v/>
      </c>
      <c r="BA261" s="35" t="str">
        <f t="shared" si="83"/>
        <v/>
      </c>
      <c r="BB261" s="35" t="str">
        <f t="shared" si="84"/>
        <v/>
      </c>
      <c r="BC261" s="35"/>
      <c r="BE261" s="35" t="e">
        <f>INDEX(SF_Output!$AA$2:$AA$400,MATCH($B261,SF_Output!$M$2:$M$400,0))</f>
        <v>#N/A</v>
      </c>
      <c r="BF261" s="35" t="e">
        <f>INDEX(SF_Output!$AB$2:$AB$400,MATCH($B261,SF_Output!$M$2:$M$400,0))</f>
        <v>#N/A</v>
      </c>
    </row>
    <row r="262" spans="6:58" x14ac:dyDescent="0.25">
      <c r="F262" s="116" t="str">
        <f t="shared" si="68"/>
        <v/>
      </c>
      <c r="G262" t="str">
        <f>IF(B262="","",INDEX(SF_Output!$K$1:$K$400,MATCH(B262,SF_Output!$M$1:$M$400,0)))</f>
        <v/>
      </c>
      <c r="H262" t="str" cm="1">
        <f t="array" ref="H262">_xlfn.IFS(B262="","",(SUMIFS(SF_Output!$F$1:$F$400,SF_Output!$AC$1:$AC$400,_xlfn.TEXTJOIN(",",TRUE,B262:E262))+SUMIFS(SF_Output!$G$1:$G$400,SF_Output!$AC$1:$AC$400,_xlfn.TEXTJOIN(",",TRUE,B262:E262)))&lt;&gt;0,SF_Output!$Y$2,INDEX(SF_Output!$F$1:$F$400,MATCH(_xlfn.TEXTJOIN(",",TRUE,B262:E262),SF_Output!$AC$1:$AC$400,0))=0,INDEX(SF_Output!$R$1:$R$400,MATCH(_xlfn.TEXTJOIN(",",TRUE,B262:E262),SF_Output!$AC$1:$AC$400,0)))</f>
        <v/>
      </c>
      <c r="I262" s="125" t="str">
        <f>IFERROR(IF(AND(H262&gt;1,H262&lt;&gt;""),ROUND(SUMIFS(SF_Output!$S$1:$S$400,SF_Output!$AC$1:$AC$400,_xlfn.TEXTJOIN(",",TRUE,B262:E262),SF_Output!$Q$1:$Q$400,"monthly")*(1-W262)/H262,4),""),"")</f>
        <v/>
      </c>
      <c r="J262" s="6" t="str">
        <f>IF(B262="","",SUMIFS(SF_Output!$S$1:$S$400,SF_Output!$AC$1:$AC$400,_xlfn.TEXTJOIN(",",TRUE,B262:E262),SF_Output!$Q$1:$Q$400,"One Time",SF_Output!$L$1:$L$400,"license fee")+SUMIFS(SF_Output!$S$1:$S$400,SF_Output!$AC$1:$AC$400,_xlfn.TEXTJOIN(",",TRUE,B262:E262),SF_Output!$Q$1:$Q$400,"One Time",SF_Output!$L$1:$L$400,"software license")+SUMIFS(SF_Output!$S$1:$S$400,SF_Output!$AC$1:$AC$400,_xlfn.TEXTJOIN(",",TRUE,B262:E262),SF_Output!$Q$1:$Q$400,"One Time",SF_Output!$L$1:$L$400,"hardware"))</f>
        <v/>
      </c>
      <c r="K262" s="112" t="str">
        <f>IF(OR(B262=0,B262="",G262="hardware",J262=0),"",IF(AF262&lt;&gt;"exclusion",MAX(K$9,-((SUMIFS(SF_Output!$T$1:$T$400,SF_Output!$AC$1:$AC$400,_xlfn.TEXTJOIN(",",TRUE,$B262:$E262),SF_Output!$Q$1:$Q$400,"One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license"))/J262)))</f>
        <v/>
      </c>
      <c r="L262" s="6" t="str">
        <f t="shared" si="69"/>
        <v/>
      </c>
      <c r="N262" s="6" t="str">
        <f>IF(B262="","",SUMIFS(SF_Output!$S$1:$S$400,SF_Output!$AC$1:$AC$400,_xlfn.TEXTJOIN(",",TRUE,B262:E262),SF_Output!$Q$1:$Q$400,"One Time",SF_Output!$L$1:$L$400,"professional service"))</f>
        <v/>
      </c>
      <c r="O262" s="112" t="str">
        <f>IF(OR(B262=0,B262="",N262=0),"",IF(AF262&lt;&gt;"exclusion",MAX(O$9,-(SUMIFS(SF_Output!$T$1:$T$400,SF_Output!$AC$1:$AC$400,_xlfn.TEXTJOIN(",",TRUE,$B262:$E262),SF_Output!$Q$1:$Q$400,"One Time",SF_Output!$L$1:$L$400,"professional service"))/N262),-((SUMIFS(SF_Output!$T$1:$T$400,SF_Output!$AC$1:$AC$400,_xlfn.TEXTJOIN(",",TRUE,$B262:$E262),SF_Output!$Q$1:$Q$400,"One Time",SF_Output!$L$1:$L$400,"professional service")/N262))))</f>
        <v/>
      </c>
      <c r="P262" s="6" t="str">
        <f t="shared" si="70"/>
        <v/>
      </c>
      <c r="R262" s="6" t="str">
        <f>IF(B262="","",SUMIFS(SF_Output!$S$1:$S$400,SF_Output!$AC$1:$AC$400,_xlfn.TEXTJOIN(",",TRUE,B262:E262),SF_Output!$Q$1:$Q$400,"yearly")+SUMIFS(SF_Output!$S$1:$S$400,SF_Output!$AC$1:$AC$400,_xlfn.TEXTJOIN(",",TRUE,B262:E262),SF_Output!$Q$1:$Q$400,"quarterly")*4)</f>
        <v/>
      </c>
      <c r="S262" s="112" t="str">
        <f>IF(OR(B262=0,B262="",G262="hardware",R262=0),"",IF(AF262&lt;&gt;"exclusion",MAX(S$9,-(SUMIFS(SF_Output!$T$1:$T$400,SF_Output!$AC$1:$AC$400,_xlfn.TEXTJOIN(",",TRUE,$B262:$E262),SF_Output!$Q$1:$Q$400,"yearly"))/R262),-((SUMIFS(SF_Output!$T$1:$T$400,SF_Output!$AC$1:$AC$400,_xlfn.TEXTJOIN(",",TRUE,$B262:$E262),SF_Output!$Q$1:$Q$400,"yearly")/R262))))</f>
        <v/>
      </c>
      <c r="T262" s="6" t="str">
        <f t="shared" si="71"/>
        <v/>
      </c>
      <c r="V262" s="6" t="str" cm="1">
        <f t="array" ref="V262">_xlfn.IFS(B262="","",AND(B262&lt;&gt;"",H262=SF_Output!$Y$2,SUMIFS(SF_Output!$T$1:$T$400,SF_Output!$AC$1:$AC$400,_xlfn.TEXTJOIN(",",TRUE,B262:E262),SF_Output!$Q$1:$Q$400,"monthly")=0),(SUMIFS(SF_Output!$F$1:$F$400,SF_Output!$AC$1:$AC$400,_xlfn.TEXTJOIN(",",TRUE,B262:E262),SF_Output!$Q$1:$Q$400,"monthly")+SUMIFS(SF_Output!$G$1:$G$400,SF_Output!$AC$1:$AC$400,_xlfn.TEXTJOIN(",",TRUE,B262:E262),SF_Output!$Q$1:$Q$400,"monthly"))*H262,AND(B262&lt;&gt;"",H262=SF_Output!$Y$2,SUMIFS(SF_Output!$T$1:$T$400,SF_Output!$AC$1:$AC$400,_xlfn.TEXTJOIN(",",TRUE,B262:E262),SF_Output!$Q$1:$Q$400,"monthly")&lt;&gt;0),SUMIFS(SF_Output!$S$1:$S$400,SF_Output!$AC$1:$AC$400,_xlfn.TEXTJOIN(",",TRUE,B262:E262),SF_Output!$Q$1:$Q$400,"monthly"),AND(B262&lt;&gt;"",H262&lt;&gt;SF_Output!$Y$2),SUMIFS(SF_Output!$S$1:$S$400,SF_Output!$AC$1:$AC$400,_xlfn.TEXTJOIN(",",TRUE,B262:E262),SF_Output!$Q$1:$Q$400,"monthly"))</f>
        <v/>
      </c>
      <c r="W262" s="112" t="str" cm="1">
        <f t="array" ref="W262">_xlfn.IFS(OR(B262=0,B262="",V262=0),"",AF262&lt;&gt;"exclusion",MAX($W$9,$W$7,(-(SUMIFS(SF_Output!$T$1:$T$400,SF_Output!$AC$1:$AC$400,_xlfn.TEXTJOIN(",",TRUE,$B262:$E262),SF_Output!$Q$1:$Q$400,"monthly"))/V262)),AF262="exclusion",-(SUMIFS(SF_Output!$T$1:$T$400,SF_Output!$AC$1:$AC$400,_xlfn.TEXTJOIN(",",TRUE,$B262:$E262),SF_Output!$Q$1:$Q$400,"monthly"))/V262)</f>
        <v/>
      </c>
      <c r="X262" s="6" t="str" cm="1">
        <f t="array" ref="X262">IFERROR(_xlfn.IFS(V262=0,0,V262="","",W262=0,V262,OR(V262&lt;&gt;0,V262&lt;&gt;""),H262*I262),V262*(1-W262))</f>
        <v/>
      </c>
      <c r="Z262" s="6" t="str">
        <f>IFERROR(IF(B262="","",SUMIFS(Billing_Fallout!H:H,Billing_Fallout!N:N,B262)),0)</f>
        <v/>
      </c>
      <c r="AA262" s="6" t="str">
        <f t="shared" si="72"/>
        <v/>
      </c>
      <c r="AB262" s="6" t="str">
        <f>IFERROR(IF(B262="","",SUMIFS(Billing_Fallout!J:J,Billing_Fallout!N:N,B262)),0)</f>
        <v/>
      </c>
      <c r="AD262" s="6" t="str">
        <f t="shared" si="73"/>
        <v/>
      </c>
      <c r="AF262" t="str">
        <f>IFERROR(INDEX(H_Tables!$B$1:$B$1500,MATCH(INDEX(SF_Output!$J$1:$J$400,MATCH(B262,SF_Output!$M$1:$M$400,0)),H_Tables!$A$1:$A$1500,0)),"")</f>
        <v/>
      </c>
      <c r="AI262" s="119" t="str">
        <f t="shared" si="74"/>
        <v/>
      </c>
      <c r="AJ262" s="121">
        <f>IFERROR(INDEX(SF_Output!AD:AD,MATCH(_xlfn.TEXTJOIN(",",TRUE,B262:E262),SF_Output!AC13:AC412,0)),0.05)</f>
        <v>229</v>
      </c>
      <c r="AK262" t="str">
        <f>IF(SUMIFS(SF_Output!$F$1:$F$400,SF_Output!$AC$1:$AC$400,_xlfn.TEXTJOIN(",",TRUE,B262:E262))+SUMIFS(SF_Output!$G$1:$G$400,SF_Output!$AC$1:$AC$400,_xlfn.TEXTJOIN(",",TRUE,B262:E262))=0,"","PAP")</f>
        <v/>
      </c>
      <c r="AQ262" s="35"/>
      <c r="AR262" s="35" t="str" cm="1">
        <f t="array" ref="AR262">IFERROR(_xlfn.IFS(AND(E262*1=1,F262="Included"),"Change to Included",AND(E262*1=0,F262="Optional"),"Change to Optional",OR(B262="",F262="replaced"),""),"")</f>
        <v/>
      </c>
      <c r="AS262" s="35" t="str">
        <f t="shared" si="75"/>
        <v/>
      </c>
      <c r="AT262" s="35" t="str">
        <f t="shared" si="76"/>
        <v/>
      </c>
      <c r="AU262" s="35" t="str">
        <f t="shared" si="77"/>
        <v/>
      </c>
      <c r="AV262" s="35" t="str">
        <f t="shared" si="78"/>
        <v/>
      </c>
      <c r="AW262" s="35" t="str">
        <f t="shared" si="79"/>
        <v/>
      </c>
      <c r="AX262" s="35" t="str">
        <f t="shared" si="80"/>
        <v/>
      </c>
      <c r="AY262" s="35" t="str">
        <f t="shared" si="81"/>
        <v/>
      </c>
      <c r="AZ262" s="35" t="str">
        <f t="shared" si="82"/>
        <v/>
      </c>
      <c r="BA262" s="35" t="str">
        <f t="shared" si="83"/>
        <v/>
      </c>
      <c r="BB262" s="35" t="str">
        <f t="shared" si="84"/>
        <v/>
      </c>
      <c r="BC262" s="35"/>
      <c r="BE262" s="35" t="e">
        <f>INDEX(SF_Output!$AA$2:$AA$400,MATCH($B262,SF_Output!$M$2:$M$400,0))</f>
        <v>#N/A</v>
      </c>
      <c r="BF262" s="35" t="e">
        <f>INDEX(SF_Output!$AB$2:$AB$400,MATCH($B262,SF_Output!$M$2:$M$400,0))</f>
        <v>#N/A</v>
      </c>
    </row>
    <row r="263" spans="6:58" x14ac:dyDescent="0.25">
      <c r="F263" s="116" t="str">
        <f t="shared" si="68"/>
        <v/>
      </c>
      <c r="G263" t="str">
        <f>IF(B263="","",INDEX(SF_Output!$K$1:$K$400,MATCH(B263,SF_Output!$M$1:$M$400,0)))</f>
        <v/>
      </c>
      <c r="H263" t="str" cm="1">
        <f t="array" ref="H263">_xlfn.IFS(B263="","",(SUMIFS(SF_Output!$F$1:$F$400,SF_Output!$AC$1:$AC$400,_xlfn.TEXTJOIN(",",TRUE,B263:E263))+SUMIFS(SF_Output!$G$1:$G$400,SF_Output!$AC$1:$AC$400,_xlfn.TEXTJOIN(",",TRUE,B263:E263)))&lt;&gt;0,SF_Output!$Y$2,INDEX(SF_Output!$F$1:$F$400,MATCH(_xlfn.TEXTJOIN(",",TRUE,B263:E263),SF_Output!$AC$1:$AC$400,0))=0,INDEX(SF_Output!$R$1:$R$400,MATCH(_xlfn.TEXTJOIN(",",TRUE,B263:E263),SF_Output!$AC$1:$AC$400,0)))</f>
        <v/>
      </c>
      <c r="I263" s="125" t="str">
        <f>IFERROR(IF(AND(H263&gt;1,H263&lt;&gt;""),ROUND(SUMIFS(SF_Output!$S$1:$S$400,SF_Output!$AC$1:$AC$400,_xlfn.TEXTJOIN(",",TRUE,B263:E263),SF_Output!$Q$1:$Q$400,"monthly")*(1-W263)/H263,4),""),"")</f>
        <v/>
      </c>
      <c r="J263" s="6" t="str">
        <f>IF(B263="","",SUMIFS(SF_Output!$S$1:$S$400,SF_Output!$AC$1:$AC$400,_xlfn.TEXTJOIN(",",TRUE,B263:E263),SF_Output!$Q$1:$Q$400,"One Time",SF_Output!$L$1:$L$400,"license fee")+SUMIFS(SF_Output!$S$1:$S$400,SF_Output!$AC$1:$AC$400,_xlfn.TEXTJOIN(",",TRUE,B263:E263),SF_Output!$Q$1:$Q$400,"One Time",SF_Output!$L$1:$L$400,"software license")+SUMIFS(SF_Output!$S$1:$S$400,SF_Output!$AC$1:$AC$400,_xlfn.TEXTJOIN(",",TRUE,B263:E263),SF_Output!$Q$1:$Q$400,"One Time",SF_Output!$L$1:$L$400,"hardware"))</f>
        <v/>
      </c>
      <c r="K263" s="112" t="str">
        <f>IF(OR(B263=0,B263="",G263="hardware",J263=0),"",IF(AF263&lt;&gt;"exclusion",MAX(K$9,-((SUMIFS(SF_Output!$T$1:$T$400,SF_Output!$AC$1:$AC$400,_xlfn.TEXTJOIN(",",TRUE,$B263:$E263),SF_Output!$Q$1:$Q$400,"One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license"))/J263)))</f>
        <v/>
      </c>
      <c r="L263" s="6" t="str">
        <f t="shared" si="69"/>
        <v/>
      </c>
      <c r="N263" s="6" t="str">
        <f>IF(B263="","",SUMIFS(SF_Output!$S$1:$S$400,SF_Output!$AC$1:$AC$400,_xlfn.TEXTJOIN(",",TRUE,B263:E263),SF_Output!$Q$1:$Q$400,"One Time",SF_Output!$L$1:$L$400,"professional service"))</f>
        <v/>
      </c>
      <c r="O263" s="112" t="str">
        <f>IF(OR(B263=0,B263="",N263=0),"",IF(AF263&lt;&gt;"exclusion",MAX(O$9,-(SUMIFS(SF_Output!$T$1:$T$400,SF_Output!$AC$1:$AC$400,_xlfn.TEXTJOIN(",",TRUE,$B263:$E263),SF_Output!$Q$1:$Q$400,"One Time",SF_Output!$L$1:$L$400,"professional service"))/N263),-((SUMIFS(SF_Output!$T$1:$T$400,SF_Output!$AC$1:$AC$400,_xlfn.TEXTJOIN(",",TRUE,$B263:$E263),SF_Output!$Q$1:$Q$400,"One Time",SF_Output!$L$1:$L$400,"professional service")/N263))))</f>
        <v/>
      </c>
      <c r="P263" s="6" t="str">
        <f t="shared" si="70"/>
        <v/>
      </c>
      <c r="R263" s="6" t="str">
        <f>IF(B263="","",SUMIFS(SF_Output!$S$1:$S$400,SF_Output!$AC$1:$AC$400,_xlfn.TEXTJOIN(",",TRUE,B263:E263),SF_Output!$Q$1:$Q$400,"yearly")+SUMIFS(SF_Output!$S$1:$S$400,SF_Output!$AC$1:$AC$400,_xlfn.TEXTJOIN(",",TRUE,B263:E263),SF_Output!$Q$1:$Q$400,"quarterly")*4)</f>
        <v/>
      </c>
      <c r="S263" s="112" t="str">
        <f>IF(OR(B263=0,B263="",G263="hardware",R263=0),"",IF(AF263&lt;&gt;"exclusion",MAX(S$9,-(SUMIFS(SF_Output!$T$1:$T$400,SF_Output!$AC$1:$AC$400,_xlfn.TEXTJOIN(",",TRUE,$B263:$E263),SF_Output!$Q$1:$Q$400,"yearly"))/R263),-((SUMIFS(SF_Output!$T$1:$T$400,SF_Output!$AC$1:$AC$400,_xlfn.TEXTJOIN(",",TRUE,$B263:$E263),SF_Output!$Q$1:$Q$400,"yearly")/R263))))</f>
        <v/>
      </c>
      <c r="T263" s="6" t="str">
        <f t="shared" si="71"/>
        <v/>
      </c>
      <c r="V263" s="6" t="str" cm="1">
        <f t="array" ref="V263">_xlfn.IFS(B263="","",AND(B263&lt;&gt;"",H263=SF_Output!$Y$2,SUMIFS(SF_Output!$T$1:$T$400,SF_Output!$AC$1:$AC$400,_xlfn.TEXTJOIN(",",TRUE,B263:E263),SF_Output!$Q$1:$Q$400,"monthly")=0),(SUMIFS(SF_Output!$F$1:$F$400,SF_Output!$AC$1:$AC$400,_xlfn.TEXTJOIN(",",TRUE,B263:E263),SF_Output!$Q$1:$Q$400,"monthly")+SUMIFS(SF_Output!$G$1:$G$400,SF_Output!$AC$1:$AC$400,_xlfn.TEXTJOIN(",",TRUE,B263:E263),SF_Output!$Q$1:$Q$400,"monthly"))*H263,AND(B263&lt;&gt;"",H263=SF_Output!$Y$2,SUMIFS(SF_Output!$T$1:$T$400,SF_Output!$AC$1:$AC$400,_xlfn.TEXTJOIN(",",TRUE,B263:E263),SF_Output!$Q$1:$Q$400,"monthly")&lt;&gt;0),SUMIFS(SF_Output!$S$1:$S$400,SF_Output!$AC$1:$AC$400,_xlfn.TEXTJOIN(",",TRUE,B263:E263),SF_Output!$Q$1:$Q$400,"monthly"),AND(B263&lt;&gt;"",H263&lt;&gt;SF_Output!$Y$2),SUMIFS(SF_Output!$S$1:$S$400,SF_Output!$AC$1:$AC$400,_xlfn.TEXTJOIN(",",TRUE,B263:E263),SF_Output!$Q$1:$Q$400,"monthly"))</f>
        <v/>
      </c>
      <c r="W263" s="112" t="str" cm="1">
        <f t="array" ref="W263">_xlfn.IFS(OR(B263=0,B263="",V263=0),"",AF263&lt;&gt;"exclusion",MAX($W$9,$W$7,(-(SUMIFS(SF_Output!$T$1:$T$400,SF_Output!$AC$1:$AC$400,_xlfn.TEXTJOIN(",",TRUE,$B263:$E263),SF_Output!$Q$1:$Q$400,"monthly"))/V263)),AF263="exclusion",-(SUMIFS(SF_Output!$T$1:$T$400,SF_Output!$AC$1:$AC$400,_xlfn.TEXTJOIN(",",TRUE,$B263:$E263),SF_Output!$Q$1:$Q$400,"monthly"))/V263)</f>
        <v/>
      </c>
      <c r="X263" s="6" t="str" cm="1">
        <f t="array" ref="X263">IFERROR(_xlfn.IFS(V263=0,0,V263="","",W263=0,V263,OR(V263&lt;&gt;0,V263&lt;&gt;""),H263*I263),V263*(1-W263))</f>
        <v/>
      </c>
      <c r="Z263" s="6" t="str">
        <f>IFERROR(IF(B263="","",SUMIFS(Billing_Fallout!H:H,Billing_Fallout!N:N,B263)),0)</f>
        <v/>
      </c>
      <c r="AA263" s="6" t="str">
        <f t="shared" si="72"/>
        <v/>
      </c>
      <c r="AB263" s="6" t="str">
        <f>IFERROR(IF(B263="","",SUMIFS(Billing_Fallout!J:J,Billing_Fallout!N:N,B263)),0)</f>
        <v/>
      </c>
      <c r="AD263" s="6" t="str">
        <f t="shared" si="73"/>
        <v/>
      </c>
      <c r="AF263" t="str">
        <f>IFERROR(INDEX(H_Tables!$B$1:$B$1500,MATCH(INDEX(SF_Output!$J$1:$J$400,MATCH(B263,SF_Output!$M$1:$M$400,0)),H_Tables!$A$1:$A$1500,0)),"")</f>
        <v/>
      </c>
      <c r="AI263" s="119" t="str">
        <f t="shared" si="74"/>
        <v/>
      </c>
      <c r="AJ263" s="121">
        <f>IFERROR(INDEX(SF_Output!AD:AD,MATCH(_xlfn.TEXTJOIN(",",TRUE,B263:E263),SF_Output!AC14:AC413,0)),0.05)</f>
        <v>228</v>
      </c>
      <c r="AK263" t="str">
        <f>IF(SUMIFS(SF_Output!$F$1:$F$400,SF_Output!$AC$1:$AC$400,_xlfn.TEXTJOIN(",",TRUE,B263:E263))+SUMIFS(SF_Output!$G$1:$G$400,SF_Output!$AC$1:$AC$400,_xlfn.TEXTJOIN(",",TRUE,B263:E263))=0,"","PAP")</f>
        <v/>
      </c>
      <c r="AQ263" s="35"/>
      <c r="AR263" s="35" t="str" cm="1">
        <f t="array" ref="AR263">IFERROR(_xlfn.IFS(AND(E263*1=1,F263="Included"),"Change to Included",AND(E263*1=0,F263="Optional"),"Change to Optional",OR(B263="",F263="replaced"),""),"")</f>
        <v/>
      </c>
      <c r="AS263" s="35" t="str">
        <f t="shared" si="75"/>
        <v/>
      </c>
      <c r="AT263" s="35" t="str">
        <f t="shared" si="76"/>
        <v/>
      </c>
      <c r="AU263" s="35" t="str">
        <f t="shared" si="77"/>
        <v/>
      </c>
      <c r="AV263" s="35" t="str">
        <f t="shared" si="78"/>
        <v/>
      </c>
      <c r="AW263" s="35" t="str">
        <f t="shared" si="79"/>
        <v/>
      </c>
      <c r="AX263" s="35" t="str">
        <f t="shared" si="80"/>
        <v/>
      </c>
      <c r="AY263" s="35" t="str">
        <f t="shared" si="81"/>
        <v/>
      </c>
      <c r="AZ263" s="35" t="str">
        <f t="shared" si="82"/>
        <v/>
      </c>
      <c r="BA263" s="35" t="str">
        <f t="shared" si="83"/>
        <v/>
      </c>
      <c r="BB263" s="35" t="str">
        <f t="shared" si="84"/>
        <v/>
      </c>
      <c r="BC263" s="35"/>
      <c r="BE263" s="35" t="e">
        <f>INDEX(SF_Output!$AA$2:$AA$400,MATCH($B263,SF_Output!$M$2:$M$400,0))</f>
        <v>#N/A</v>
      </c>
      <c r="BF263" s="35" t="e">
        <f>INDEX(SF_Output!$AB$2:$AB$400,MATCH($B263,SF_Output!$M$2:$M$400,0))</f>
        <v>#N/A</v>
      </c>
    </row>
    <row r="264" spans="6:58" x14ac:dyDescent="0.25">
      <c r="F264" s="116" t="str">
        <f t="shared" si="68"/>
        <v/>
      </c>
      <c r="G264" t="str">
        <f>IF(B264="","",INDEX(SF_Output!$K$1:$K$400,MATCH(B264,SF_Output!$M$1:$M$400,0)))</f>
        <v/>
      </c>
      <c r="H264" t="str" cm="1">
        <f t="array" ref="H264">_xlfn.IFS(B264="","",(SUMIFS(SF_Output!$F$1:$F$400,SF_Output!$AC$1:$AC$400,_xlfn.TEXTJOIN(",",TRUE,B264:E264))+SUMIFS(SF_Output!$G$1:$G$400,SF_Output!$AC$1:$AC$400,_xlfn.TEXTJOIN(",",TRUE,B264:E264)))&lt;&gt;0,SF_Output!$Y$2,INDEX(SF_Output!$F$1:$F$400,MATCH(_xlfn.TEXTJOIN(",",TRUE,B264:E264),SF_Output!$AC$1:$AC$400,0))=0,INDEX(SF_Output!$R$1:$R$400,MATCH(_xlfn.TEXTJOIN(",",TRUE,B264:E264),SF_Output!$AC$1:$AC$400,0)))</f>
        <v/>
      </c>
      <c r="I264" s="125" t="str">
        <f>IFERROR(IF(AND(H264&gt;1,H264&lt;&gt;""),ROUND(SUMIFS(SF_Output!$S$1:$S$400,SF_Output!$AC$1:$AC$400,_xlfn.TEXTJOIN(",",TRUE,B264:E264),SF_Output!$Q$1:$Q$400,"monthly")*(1-W264)/H264,4),""),"")</f>
        <v/>
      </c>
      <c r="J264" s="6" t="str">
        <f>IF(B264="","",SUMIFS(SF_Output!$S$1:$S$400,SF_Output!$AC$1:$AC$400,_xlfn.TEXTJOIN(",",TRUE,B264:E264),SF_Output!$Q$1:$Q$400,"One Time",SF_Output!$L$1:$L$400,"license fee")+SUMIFS(SF_Output!$S$1:$S$400,SF_Output!$AC$1:$AC$400,_xlfn.TEXTJOIN(",",TRUE,B264:E264),SF_Output!$Q$1:$Q$400,"One Time",SF_Output!$L$1:$L$400,"software license")+SUMIFS(SF_Output!$S$1:$S$400,SF_Output!$AC$1:$AC$400,_xlfn.TEXTJOIN(",",TRUE,B264:E264),SF_Output!$Q$1:$Q$400,"One Time",SF_Output!$L$1:$L$400,"hardware"))</f>
        <v/>
      </c>
      <c r="K264" s="112" t="str">
        <f>IF(OR(B264=0,B264="",G264="hardware",J264=0),"",IF(AF264&lt;&gt;"exclusion",MAX(K$9,-((SUMIFS(SF_Output!$T$1:$T$400,SF_Output!$AC$1:$AC$400,_xlfn.TEXTJOIN(",",TRUE,$B264:$E264),SF_Output!$Q$1:$Q$400,"One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license"))/J264)))</f>
        <v/>
      </c>
      <c r="L264" s="6" t="str">
        <f t="shared" si="69"/>
        <v/>
      </c>
      <c r="N264" s="6" t="str">
        <f>IF(B264="","",SUMIFS(SF_Output!$S$1:$S$400,SF_Output!$AC$1:$AC$400,_xlfn.TEXTJOIN(",",TRUE,B264:E264),SF_Output!$Q$1:$Q$400,"One Time",SF_Output!$L$1:$L$400,"professional service"))</f>
        <v/>
      </c>
      <c r="O264" s="112" t="str">
        <f>IF(OR(B264=0,B264="",N264=0),"",IF(AF264&lt;&gt;"exclusion",MAX(O$9,-(SUMIFS(SF_Output!$T$1:$T$400,SF_Output!$AC$1:$AC$400,_xlfn.TEXTJOIN(",",TRUE,$B264:$E264),SF_Output!$Q$1:$Q$400,"One Time",SF_Output!$L$1:$L$400,"professional service"))/N264),-((SUMIFS(SF_Output!$T$1:$T$400,SF_Output!$AC$1:$AC$400,_xlfn.TEXTJOIN(",",TRUE,$B264:$E264),SF_Output!$Q$1:$Q$400,"One Time",SF_Output!$L$1:$L$400,"professional service")/N264))))</f>
        <v/>
      </c>
      <c r="P264" s="6" t="str">
        <f t="shared" si="70"/>
        <v/>
      </c>
      <c r="R264" s="6" t="str">
        <f>IF(B264="","",SUMIFS(SF_Output!$S$1:$S$400,SF_Output!$AC$1:$AC$400,_xlfn.TEXTJOIN(",",TRUE,B264:E264),SF_Output!$Q$1:$Q$400,"yearly")+SUMIFS(SF_Output!$S$1:$S$400,SF_Output!$AC$1:$AC$400,_xlfn.TEXTJOIN(",",TRUE,B264:E264),SF_Output!$Q$1:$Q$400,"quarterly")*4)</f>
        <v/>
      </c>
      <c r="S264" s="112" t="str">
        <f>IF(OR(B264=0,B264="",G264="hardware",R264=0),"",IF(AF264&lt;&gt;"exclusion",MAX(S$9,-(SUMIFS(SF_Output!$T$1:$T$400,SF_Output!$AC$1:$AC$400,_xlfn.TEXTJOIN(",",TRUE,$B264:$E264),SF_Output!$Q$1:$Q$400,"yearly"))/R264),-((SUMIFS(SF_Output!$T$1:$T$400,SF_Output!$AC$1:$AC$400,_xlfn.TEXTJOIN(",",TRUE,$B264:$E264),SF_Output!$Q$1:$Q$400,"yearly")/R264))))</f>
        <v/>
      </c>
      <c r="T264" s="6" t="str">
        <f t="shared" si="71"/>
        <v/>
      </c>
      <c r="V264" s="6" t="str" cm="1">
        <f t="array" ref="V264">_xlfn.IFS(B264="","",AND(B264&lt;&gt;"",H264=SF_Output!$Y$2,SUMIFS(SF_Output!$T$1:$T$400,SF_Output!$AC$1:$AC$400,_xlfn.TEXTJOIN(",",TRUE,B264:E264),SF_Output!$Q$1:$Q$400,"monthly")=0),(SUMIFS(SF_Output!$F$1:$F$400,SF_Output!$AC$1:$AC$400,_xlfn.TEXTJOIN(",",TRUE,B264:E264),SF_Output!$Q$1:$Q$400,"monthly")+SUMIFS(SF_Output!$G$1:$G$400,SF_Output!$AC$1:$AC$400,_xlfn.TEXTJOIN(",",TRUE,B264:E264),SF_Output!$Q$1:$Q$400,"monthly"))*H264,AND(B264&lt;&gt;"",H264=SF_Output!$Y$2,SUMIFS(SF_Output!$T$1:$T$400,SF_Output!$AC$1:$AC$400,_xlfn.TEXTJOIN(",",TRUE,B264:E264),SF_Output!$Q$1:$Q$400,"monthly")&lt;&gt;0),SUMIFS(SF_Output!$S$1:$S$400,SF_Output!$AC$1:$AC$400,_xlfn.TEXTJOIN(",",TRUE,B264:E264),SF_Output!$Q$1:$Q$400,"monthly"),AND(B264&lt;&gt;"",H264&lt;&gt;SF_Output!$Y$2),SUMIFS(SF_Output!$S$1:$S$400,SF_Output!$AC$1:$AC$400,_xlfn.TEXTJOIN(",",TRUE,B264:E264),SF_Output!$Q$1:$Q$400,"monthly"))</f>
        <v/>
      </c>
      <c r="W264" s="112" t="str" cm="1">
        <f t="array" ref="W264">_xlfn.IFS(OR(B264=0,B264="",V264=0),"",AF264&lt;&gt;"exclusion",MAX($W$9,$W$7,(-(SUMIFS(SF_Output!$T$1:$T$400,SF_Output!$AC$1:$AC$400,_xlfn.TEXTJOIN(",",TRUE,$B264:$E264),SF_Output!$Q$1:$Q$400,"monthly"))/V264)),AF264="exclusion",-(SUMIFS(SF_Output!$T$1:$T$400,SF_Output!$AC$1:$AC$400,_xlfn.TEXTJOIN(",",TRUE,$B264:$E264),SF_Output!$Q$1:$Q$400,"monthly"))/V264)</f>
        <v/>
      </c>
      <c r="X264" s="6" t="str" cm="1">
        <f t="array" ref="X264">IFERROR(_xlfn.IFS(V264=0,0,V264="","",W264=0,V264,OR(V264&lt;&gt;0,V264&lt;&gt;""),H264*I264),V264*(1-W264))</f>
        <v/>
      </c>
      <c r="Z264" s="6" t="str">
        <f>IFERROR(IF(B264="","",SUMIFS(Billing_Fallout!H:H,Billing_Fallout!N:N,B264)),0)</f>
        <v/>
      </c>
      <c r="AA264" s="6" t="str">
        <f t="shared" si="72"/>
        <v/>
      </c>
      <c r="AB264" s="6" t="str">
        <f>IFERROR(IF(B264="","",SUMIFS(Billing_Fallout!J:J,Billing_Fallout!N:N,B264)),0)</f>
        <v/>
      </c>
      <c r="AD264" s="6" t="str">
        <f t="shared" si="73"/>
        <v/>
      </c>
      <c r="AF264" t="str">
        <f>IFERROR(INDEX(H_Tables!$B$1:$B$1500,MATCH(INDEX(SF_Output!$J$1:$J$400,MATCH(B264,SF_Output!$M$1:$M$400,0)),H_Tables!$A$1:$A$1500,0)),"")</f>
        <v/>
      </c>
      <c r="AI264" s="119" t="str">
        <f t="shared" si="74"/>
        <v/>
      </c>
      <c r="AJ264" s="121">
        <f>IFERROR(INDEX(SF_Output!AD:AD,MATCH(_xlfn.TEXTJOIN(",",TRUE,B264:E264),SF_Output!AC15:AC414,0)),0.05)</f>
        <v>227</v>
      </c>
      <c r="AK264" t="str">
        <f>IF(SUMIFS(SF_Output!$F$1:$F$400,SF_Output!$AC$1:$AC$400,_xlfn.TEXTJOIN(",",TRUE,B264:E264))+SUMIFS(SF_Output!$G$1:$G$400,SF_Output!$AC$1:$AC$400,_xlfn.TEXTJOIN(",",TRUE,B264:E264))=0,"","PAP")</f>
        <v/>
      </c>
      <c r="AQ264" s="35"/>
      <c r="AR264" s="35" t="str" cm="1">
        <f t="array" ref="AR264">IFERROR(_xlfn.IFS(AND(E264*1=1,F264="Included"),"Change to Included",AND(E264*1=0,F264="Optional"),"Change to Optional",OR(B264="",F264="replaced"),""),"")</f>
        <v/>
      </c>
      <c r="AS264" s="35" t="str">
        <f t="shared" si="75"/>
        <v/>
      </c>
      <c r="AT264" s="35" t="str">
        <f t="shared" si="76"/>
        <v/>
      </c>
      <c r="AU264" s="35" t="str">
        <f t="shared" si="77"/>
        <v/>
      </c>
      <c r="AV264" s="35" t="str">
        <f t="shared" si="78"/>
        <v/>
      </c>
      <c r="AW264" s="35" t="str">
        <f t="shared" si="79"/>
        <v/>
      </c>
      <c r="AX264" s="35" t="str">
        <f t="shared" si="80"/>
        <v/>
      </c>
      <c r="AY264" s="35" t="str">
        <f t="shared" si="81"/>
        <v/>
      </c>
      <c r="AZ264" s="35" t="str">
        <f t="shared" si="82"/>
        <v/>
      </c>
      <c r="BA264" s="35" t="str">
        <f t="shared" si="83"/>
        <v/>
      </c>
      <c r="BB264" s="35" t="str">
        <f t="shared" si="84"/>
        <v/>
      </c>
      <c r="BC264" s="35"/>
      <c r="BE264" s="35" t="e">
        <f>INDEX(SF_Output!$AA$2:$AA$400,MATCH($B264,SF_Output!$M$2:$M$400,0))</f>
        <v>#N/A</v>
      </c>
      <c r="BF264" s="35" t="e">
        <f>INDEX(SF_Output!$AB$2:$AB$400,MATCH($B264,SF_Output!$M$2:$M$400,0))</f>
        <v>#N/A</v>
      </c>
    </row>
    <row r="265" spans="6:58" x14ac:dyDescent="0.25">
      <c r="F265" s="116" t="str">
        <f t="shared" si="68"/>
        <v/>
      </c>
      <c r="G265" t="str">
        <f>IF(B265="","",INDEX(SF_Output!$K$1:$K$400,MATCH(B265,SF_Output!$M$1:$M$400,0)))</f>
        <v/>
      </c>
      <c r="H265" t="str" cm="1">
        <f t="array" ref="H265">_xlfn.IFS(B265="","",(SUMIFS(SF_Output!$F$1:$F$400,SF_Output!$AC$1:$AC$400,_xlfn.TEXTJOIN(",",TRUE,B265:E265))+SUMIFS(SF_Output!$G$1:$G$400,SF_Output!$AC$1:$AC$400,_xlfn.TEXTJOIN(",",TRUE,B265:E265)))&lt;&gt;0,SF_Output!$Y$2,INDEX(SF_Output!$F$1:$F$400,MATCH(_xlfn.TEXTJOIN(",",TRUE,B265:E265),SF_Output!$AC$1:$AC$400,0))=0,INDEX(SF_Output!$R$1:$R$400,MATCH(_xlfn.TEXTJOIN(",",TRUE,B265:E265),SF_Output!$AC$1:$AC$400,0)))</f>
        <v/>
      </c>
      <c r="I265" s="125" t="str">
        <f>IFERROR(IF(AND(H265&gt;1,H265&lt;&gt;""),ROUND(SUMIFS(SF_Output!$S$1:$S$400,SF_Output!$AC$1:$AC$400,_xlfn.TEXTJOIN(",",TRUE,B265:E265),SF_Output!$Q$1:$Q$400,"monthly")*(1-W265)/H265,4),""),"")</f>
        <v/>
      </c>
      <c r="J265" s="6" t="str">
        <f>IF(B265="","",SUMIFS(SF_Output!$S$1:$S$400,SF_Output!$AC$1:$AC$400,_xlfn.TEXTJOIN(",",TRUE,B265:E265),SF_Output!$Q$1:$Q$400,"One Time",SF_Output!$L$1:$L$400,"license fee")+SUMIFS(SF_Output!$S$1:$S$400,SF_Output!$AC$1:$AC$400,_xlfn.TEXTJOIN(",",TRUE,B265:E265),SF_Output!$Q$1:$Q$400,"One Time",SF_Output!$L$1:$L$400,"software license")+SUMIFS(SF_Output!$S$1:$S$400,SF_Output!$AC$1:$AC$400,_xlfn.TEXTJOIN(",",TRUE,B265:E265),SF_Output!$Q$1:$Q$400,"One Time",SF_Output!$L$1:$L$400,"hardware"))</f>
        <v/>
      </c>
      <c r="K265" s="112" t="str">
        <f>IF(OR(B265=0,B265="",G265="hardware",J265=0),"",IF(AF265&lt;&gt;"exclusion",MAX(K$9,-((SUMIFS(SF_Output!$T$1:$T$400,SF_Output!$AC$1:$AC$400,_xlfn.TEXTJOIN(",",TRUE,$B265:$E265),SF_Output!$Q$1:$Q$400,"One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license"))/J265)))</f>
        <v/>
      </c>
      <c r="L265" s="6" t="str">
        <f t="shared" si="69"/>
        <v/>
      </c>
      <c r="N265" s="6" t="str">
        <f>IF(B265="","",SUMIFS(SF_Output!$S$1:$S$400,SF_Output!$AC$1:$AC$400,_xlfn.TEXTJOIN(",",TRUE,B265:E265),SF_Output!$Q$1:$Q$400,"One Time",SF_Output!$L$1:$L$400,"professional service"))</f>
        <v/>
      </c>
      <c r="O265" s="112" t="str">
        <f>IF(OR(B265=0,B265="",N265=0),"",IF(AF265&lt;&gt;"exclusion",MAX(O$9,-(SUMIFS(SF_Output!$T$1:$T$400,SF_Output!$AC$1:$AC$400,_xlfn.TEXTJOIN(",",TRUE,$B265:$E265),SF_Output!$Q$1:$Q$400,"One Time",SF_Output!$L$1:$L$400,"professional service"))/N265),-((SUMIFS(SF_Output!$T$1:$T$400,SF_Output!$AC$1:$AC$400,_xlfn.TEXTJOIN(",",TRUE,$B265:$E265),SF_Output!$Q$1:$Q$400,"One Time",SF_Output!$L$1:$L$400,"professional service")/N265))))</f>
        <v/>
      </c>
      <c r="P265" s="6" t="str">
        <f t="shared" si="70"/>
        <v/>
      </c>
      <c r="R265" s="6" t="str">
        <f>IF(B265="","",SUMIFS(SF_Output!$S$1:$S$400,SF_Output!$AC$1:$AC$400,_xlfn.TEXTJOIN(",",TRUE,B265:E265),SF_Output!$Q$1:$Q$400,"yearly")+SUMIFS(SF_Output!$S$1:$S$400,SF_Output!$AC$1:$AC$400,_xlfn.TEXTJOIN(",",TRUE,B265:E265),SF_Output!$Q$1:$Q$400,"quarterly")*4)</f>
        <v/>
      </c>
      <c r="S265" s="112" t="str">
        <f>IF(OR(B265=0,B265="",G265="hardware",R265=0),"",IF(AF265&lt;&gt;"exclusion",MAX(S$9,-(SUMIFS(SF_Output!$T$1:$T$400,SF_Output!$AC$1:$AC$400,_xlfn.TEXTJOIN(",",TRUE,$B265:$E265),SF_Output!$Q$1:$Q$400,"yearly"))/R265),-((SUMIFS(SF_Output!$T$1:$T$400,SF_Output!$AC$1:$AC$400,_xlfn.TEXTJOIN(",",TRUE,$B265:$E265),SF_Output!$Q$1:$Q$400,"yearly")/R265))))</f>
        <v/>
      </c>
      <c r="T265" s="6" t="str">
        <f t="shared" si="71"/>
        <v/>
      </c>
      <c r="V265" s="6" t="str" cm="1">
        <f t="array" ref="V265">_xlfn.IFS(B265="","",AND(B265&lt;&gt;"",H265=SF_Output!$Y$2,SUMIFS(SF_Output!$T$1:$T$400,SF_Output!$AC$1:$AC$400,_xlfn.TEXTJOIN(",",TRUE,B265:E265),SF_Output!$Q$1:$Q$400,"monthly")=0),(SUMIFS(SF_Output!$F$1:$F$400,SF_Output!$AC$1:$AC$400,_xlfn.TEXTJOIN(",",TRUE,B265:E265),SF_Output!$Q$1:$Q$400,"monthly")+SUMIFS(SF_Output!$G$1:$G$400,SF_Output!$AC$1:$AC$400,_xlfn.TEXTJOIN(",",TRUE,B265:E265),SF_Output!$Q$1:$Q$400,"monthly"))*H265,AND(B265&lt;&gt;"",H265=SF_Output!$Y$2,SUMIFS(SF_Output!$T$1:$T$400,SF_Output!$AC$1:$AC$400,_xlfn.TEXTJOIN(",",TRUE,B265:E265),SF_Output!$Q$1:$Q$400,"monthly")&lt;&gt;0),SUMIFS(SF_Output!$S$1:$S$400,SF_Output!$AC$1:$AC$400,_xlfn.TEXTJOIN(",",TRUE,B265:E265),SF_Output!$Q$1:$Q$400,"monthly"),AND(B265&lt;&gt;"",H265&lt;&gt;SF_Output!$Y$2),SUMIFS(SF_Output!$S$1:$S$400,SF_Output!$AC$1:$AC$400,_xlfn.TEXTJOIN(",",TRUE,B265:E265),SF_Output!$Q$1:$Q$400,"monthly"))</f>
        <v/>
      </c>
      <c r="W265" s="112" t="str" cm="1">
        <f t="array" ref="W265">_xlfn.IFS(OR(B265=0,B265="",V265=0),"",AF265&lt;&gt;"exclusion",MAX($W$9,$W$7,(-(SUMIFS(SF_Output!$T$1:$T$400,SF_Output!$AC$1:$AC$400,_xlfn.TEXTJOIN(",",TRUE,$B265:$E265),SF_Output!$Q$1:$Q$400,"monthly"))/V265)),AF265="exclusion",-(SUMIFS(SF_Output!$T$1:$T$400,SF_Output!$AC$1:$AC$400,_xlfn.TEXTJOIN(",",TRUE,$B265:$E265),SF_Output!$Q$1:$Q$400,"monthly"))/V265)</f>
        <v/>
      </c>
      <c r="X265" s="6" t="str" cm="1">
        <f t="array" ref="X265">IFERROR(_xlfn.IFS(V265=0,0,V265="","",W265=0,V265,OR(V265&lt;&gt;0,V265&lt;&gt;""),H265*I265),V265*(1-W265))</f>
        <v/>
      </c>
      <c r="Z265" s="6" t="str">
        <f>IFERROR(IF(B265="","",SUMIFS(Billing_Fallout!H:H,Billing_Fallout!N:N,B265)),0)</f>
        <v/>
      </c>
      <c r="AA265" s="6" t="str">
        <f t="shared" si="72"/>
        <v/>
      </c>
      <c r="AB265" s="6" t="str">
        <f>IFERROR(IF(B265="","",SUMIFS(Billing_Fallout!J:J,Billing_Fallout!N:N,B265)),0)</f>
        <v/>
      </c>
      <c r="AD265" s="6" t="str">
        <f t="shared" si="73"/>
        <v/>
      </c>
      <c r="AF265" t="str">
        <f>IFERROR(INDEX(H_Tables!$B$1:$B$1500,MATCH(INDEX(SF_Output!$J$1:$J$400,MATCH(B265,SF_Output!$M$1:$M$400,0)),H_Tables!$A$1:$A$1500,0)),"")</f>
        <v/>
      </c>
      <c r="AI265" s="119" t="str">
        <f t="shared" si="74"/>
        <v/>
      </c>
      <c r="AJ265" s="121">
        <f>IFERROR(INDEX(SF_Output!AD:AD,MATCH(_xlfn.TEXTJOIN(",",TRUE,B265:E265),SF_Output!AC16:AC415,0)),0.05)</f>
        <v>226</v>
      </c>
      <c r="AK265" t="str">
        <f>IF(SUMIFS(SF_Output!$F$1:$F$400,SF_Output!$AC$1:$AC$400,_xlfn.TEXTJOIN(",",TRUE,B265:E265))+SUMIFS(SF_Output!$G$1:$G$400,SF_Output!$AC$1:$AC$400,_xlfn.TEXTJOIN(",",TRUE,B265:E265))=0,"","PAP")</f>
        <v/>
      </c>
      <c r="AQ265" s="35"/>
      <c r="AR265" s="35" t="str" cm="1">
        <f t="array" ref="AR265">IFERROR(_xlfn.IFS(AND(E265*1=1,F265="Included"),"Change to Included",AND(E265*1=0,F265="Optional"),"Change to Optional",OR(B265="",F265="replaced"),""),"")</f>
        <v/>
      </c>
      <c r="AS265" s="35" t="str">
        <f t="shared" si="75"/>
        <v/>
      </c>
      <c r="AT265" s="35" t="str">
        <f t="shared" si="76"/>
        <v/>
      </c>
      <c r="AU265" s="35" t="str">
        <f t="shared" si="77"/>
        <v/>
      </c>
      <c r="AV265" s="35" t="str">
        <f t="shared" si="78"/>
        <v/>
      </c>
      <c r="AW265" s="35" t="str">
        <f t="shared" si="79"/>
        <v/>
      </c>
      <c r="AX265" s="35" t="str">
        <f t="shared" si="80"/>
        <v/>
      </c>
      <c r="AY265" s="35" t="str">
        <f t="shared" si="81"/>
        <v/>
      </c>
      <c r="AZ265" s="35" t="str">
        <f t="shared" si="82"/>
        <v/>
      </c>
      <c r="BA265" s="35" t="str">
        <f t="shared" si="83"/>
        <v/>
      </c>
      <c r="BB265" s="35" t="str">
        <f t="shared" si="84"/>
        <v/>
      </c>
      <c r="BC265" s="35"/>
      <c r="BE265" s="35" t="e">
        <f>INDEX(SF_Output!$AA$2:$AA$400,MATCH($B265,SF_Output!$M$2:$M$400,0))</f>
        <v>#N/A</v>
      </c>
      <c r="BF265" s="35" t="e">
        <f>INDEX(SF_Output!$AB$2:$AB$400,MATCH($B265,SF_Output!$M$2:$M$400,0))</f>
        <v>#N/A</v>
      </c>
    </row>
    <row r="266" spans="6:58" x14ac:dyDescent="0.25">
      <c r="F266" s="116" t="str">
        <f t="shared" si="68"/>
        <v/>
      </c>
      <c r="G266" t="str">
        <f>IF(B266="","",INDEX(SF_Output!$K$1:$K$400,MATCH(B266,SF_Output!$M$1:$M$400,0)))</f>
        <v/>
      </c>
      <c r="H266" t="str" cm="1">
        <f t="array" ref="H266">_xlfn.IFS(B266="","",(SUMIFS(SF_Output!$F$1:$F$400,SF_Output!$AC$1:$AC$400,_xlfn.TEXTJOIN(",",TRUE,B266:E266))+SUMIFS(SF_Output!$G$1:$G$400,SF_Output!$AC$1:$AC$400,_xlfn.TEXTJOIN(",",TRUE,B266:E266)))&lt;&gt;0,SF_Output!$Y$2,INDEX(SF_Output!$F$1:$F$400,MATCH(_xlfn.TEXTJOIN(",",TRUE,B266:E266),SF_Output!$AC$1:$AC$400,0))=0,INDEX(SF_Output!$R$1:$R$400,MATCH(_xlfn.TEXTJOIN(",",TRUE,B266:E266),SF_Output!$AC$1:$AC$400,0)))</f>
        <v/>
      </c>
      <c r="I266" s="125" t="str">
        <f>IFERROR(IF(AND(H266&gt;1,H266&lt;&gt;""),ROUND(SUMIFS(SF_Output!$S$1:$S$400,SF_Output!$AC$1:$AC$400,_xlfn.TEXTJOIN(",",TRUE,B266:E266),SF_Output!$Q$1:$Q$400,"monthly")*(1-W266)/H266,4),""),"")</f>
        <v/>
      </c>
      <c r="J266" s="6" t="str">
        <f>IF(B266="","",SUMIFS(SF_Output!$S$1:$S$400,SF_Output!$AC$1:$AC$400,_xlfn.TEXTJOIN(",",TRUE,B266:E266),SF_Output!$Q$1:$Q$400,"One Time",SF_Output!$L$1:$L$400,"license fee")+SUMIFS(SF_Output!$S$1:$S$400,SF_Output!$AC$1:$AC$400,_xlfn.TEXTJOIN(",",TRUE,B266:E266),SF_Output!$Q$1:$Q$400,"One Time",SF_Output!$L$1:$L$400,"software license")+SUMIFS(SF_Output!$S$1:$S$400,SF_Output!$AC$1:$AC$400,_xlfn.TEXTJOIN(",",TRUE,B266:E266),SF_Output!$Q$1:$Q$400,"One Time",SF_Output!$L$1:$L$400,"hardware"))</f>
        <v/>
      </c>
      <c r="K266" s="112" t="str">
        <f>IF(OR(B266=0,B266="",G266="hardware",J266=0),"",IF(AF266&lt;&gt;"exclusion",MAX(K$9,-((SUMIFS(SF_Output!$T$1:$T$400,SF_Output!$AC$1:$AC$400,_xlfn.TEXTJOIN(",",TRUE,$B266:$E266),SF_Output!$Q$1:$Q$400,"One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license"))/J266)))</f>
        <v/>
      </c>
      <c r="L266" s="6" t="str">
        <f t="shared" si="69"/>
        <v/>
      </c>
      <c r="N266" s="6" t="str">
        <f>IF(B266="","",SUMIFS(SF_Output!$S$1:$S$400,SF_Output!$AC$1:$AC$400,_xlfn.TEXTJOIN(",",TRUE,B266:E266),SF_Output!$Q$1:$Q$400,"One Time",SF_Output!$L$1:$L$400,"professional service"))</f>
        <v/>
      </c>
      <c r="O266" s="112" t="str">
        <f>IF(OR(B266=0,B266="",N266=0),"",IF(AF266&lt;&gt;"exclusion",MAX(O$9,-(SUMIFS(SF_Output!$T$1:$T$400,SF_Output!$AC$1:$AC$400,_xlfn.TEXTJOIN(",",TRUE,$B266:$E266),SF_Output!$Q$1:$Q$400,"One Time",SF_Output!$L$1:$L$400,"professional service"))/N266),-((SUMIFS(SF_Output!$T$1:$T$400,SF_Output!$AC$1:$AC$400,_xlfn.TEXTJOIN(",",TRUE,$B266:$E266),SF_Output!$Q$1:$Q$400,"One Time",SF_Output!$L$1:$L$400,"professional service")/N266))))</f>
        <v/>
      </c>
      <c r="P266" s="6" t="str">
        <f t="shared" si="70"/>
        <v/>
      </c>
      <c r="R266" s="6" t="str">
        <f>IF(B266="","",SUMIFS(SF_Output!$S$1:$S$400,SF_Output!$AC$1:$AC$400,_xlfn.TEXTJOIN(",",TRUE,B266:E266),SF_Output!$Q$1:$Q$400,"yearly")+SUMIFS(SF_Output!$S$1:$S$400,SF_Output!$AC$1:$AC$400,_xlfn.TEXTJOIN(",",TRUE,B266:E266),SF_Output!$Q$1:$Q$400,"quarterly")*4)</f>
        <v/>
      </c>
      <c r="S266" s="112" t="str">
        <f>IF(OR(B266=0,B266="",G266="hardware",R266=0),"",IF(AF266&lt;&gt;"exclusion",MAX(S$9,-(SUMIFS(SF_Output!$T$1:$T$400,SF_Output!$AC$1:$AC$400,_xlfn.TEXTJOIN(",",TRUE,$B266:$E266),SF_Output!$Q$1:$Q$400,"yearly"))/R266),-((SUMIFS(SF_Output!$T$1:$T$400,SF_Output!$AC$1:$AC$400,_xlfn.TEXTJOIN(",",TRUE,$B266:$E266),SF_Output!$Q$1:$Q$400,"yearly")/R266))))</f>
        <v/>
      </c>
      <c r="T266" s="6" t="str">
        <f t="shared" si="71"/>
        <v/>
      </c>
      <c r="V266" s="6" t="str" cm="1">
        <f t="array" ref="V266">_xlfn.IFS(B266="","",AND(B266&lt;&gt;"",H266=SF_Output!$Y$2,SUMIFS(SF_Output!$T$1:$T$400,SF_Output!$AC$1:$AC$400,_xlfn.TEXTJOIN(",",TRUE,B266:E266),SF_Output!$Q$1:$Q$400,"monthly")=0),(SUMIFS(SF_Output!$F$1:$F$400,SF_Output!$AC$1:$AC$400,_xlfn.TEXTJOIN(",",TRUE,B266:E266),SF_Output!$Q$1:$Q$400,"monthly")+SUMIFS(SF_Output!$G$1:$G$400,SF_Output!$AC$1:$AC$400,_xlfn.TEXTJOIN(",",TRUE,B266:E266),SF_Output!$Q$1:$Q$400,"monthly"))*H266,AND(B266&lt;&gt;"",H266=SF_Output!$Y$2,SUMIFS(SF_Output!$T$1:$T$400,SF_Output!$AC$1:$AC$400,_xlfn.TEXTJOIN(",",TRUE,B266:E266),SF_Output!$Q$1:$Q$400,"monthly")&lt;&gt;0),SUMIFS(SF_Output!$S$1:$S$400,SF_Output!$AC$1:$AC$400,_xlfn.TEXTJOIN(",",TRUE,B266:E266),SF_Output!$Q$1:$Q$400,"monthly"),AND(B266&lt;&gt;"",H266&lt;&gt;SF_Output!$Y$2),SUMIFS(SF_Output!$S$1:$S$400,SF_Output!$AC$1:$AC$400,_xlfn.TEXTJOIN(",",TRUE,B266:E266),SF_Output!$Q$1:$Q$400,"monthly"))</f>
        <v/>
      </c>
      <c r="W266" s="112" t="str" cm="1">
        <f t="array" ref="W266">_xlfn.IFS(OR(B266=0,B266="",V266=0),"",AF266&lt;&gt;"exclusion",MAX($W$9,$W$7,(-(SUMIFS(SF_Output!$T$1:$T$400,SF_Output!$AC$1:$AC$400,_xlfn.TEXTJOIN(",",TRUE,$B266:$E266),SF_Output!$Q$1:$Q$400,"monthly"))/V266)),AF266="exclusion",-(SUMIFS(SF_Output!$T$1:$T$400,SF_Output!$AC$1:$AC$400,_xlfn.TEXTJOIN(",",TRUE,$B266:$E266),SF_Output!$Q$1:$Q$400,"monthly"))/V266)</f>
        <v/>
      </c>
      <c r="X266" s="6" t="str" cm="1">
        <f t="array" ref="X266">IFERROR(_xlfn.IFS(V266=0,0,V266="","",W266=0,V266,OR(V266&lt;&gt;0,V266&lt;&gt;""),H266*I266),V266*(1-W266))</f>
        <v/>
      </c>
      <c r="Z266" s="6" t="str">
        <f>IFERROR(IF(B266="","",SUMIFS(Billing_Fallout!H:H,Billing_Fallout!N:N,B266)),0)</f>
        <v/>
      </c>
      <c r="AA266" s="6" t="str">
        <f t="shared" si="72"/>
        <v/>
      </c>
      <c r="AB266" s="6" t="str">
        <f>IFERROR(IF(B266="","",SUMIFS(Billing_Fallout!J:J,Billing_Fallout!N:N,B266)),0)</f>
        <v/>
      </c>
      <c r="AD266" s="6" t="str">
        <f t="shared" si="73"/>
        <v/>
      </c>
      <c r="AF266" t="str">
        <f>IFERROR(INDEX(H_Tables!$B$1:$B$1500,MATCH(INDEX(SF_Output!$J$1:$J$400,MATCH(B266,SF_Output!$M$1:$M$400,0)),H_Tables!$A$1:$A$1500,0)),"")</f>
        <v/>
      </c>
      <c r="AI266" s="119" t="str">
        <f t="shared" si="74"/>
        <v/>
      </c>
      <c r="AJ266" s="121">
        <f>IFERROR(INDEX(SF_Output!AD:AD,MATCH(_xlfn.TEXTJOIN(",",TRUE,B266:E266),SF_Output!AC17:AC416,0)),0.05)</f>
        <v>225</v>
      </c>
      <c r="AK266" t="str">
        <f>IF(SUMIFS(SF_Output!$F$1:$F$400,SF_Output!$AC$1:$AC$400,_xlfn.TEXTJOIN(",",TRUE,B266:E266))+SUMIFS(SF_Output!$G$1:$G$400,SF_Output!$AC$1:$AC$400,_xlfn.TEXTJOIN(",",TRUE,B266:E266))=0,"","PAP")</f>
        <v/>
      </c>
      <c r="AQ266" s="35"/>
      <c r="AR266" s="35" t="str" cm="1">
        <f t="array" ref="AR266">IFERROR(_xlfn.IFS(AND(E266*1=1,F266="Included"),"Change to Included",AND(E266*1=0,F266="Optional"),"Change to Optional",OR(B266="",F266="replaced"),""),"")</f>
        <v/>
      </c>
      <c r="AS266" s="35" t="str">
        <f t="shared" si="75"/>
        <v/>
      </c>
      <c r="AT266" s="35" t="str">
        <f t="shared" si="76"/>
        <v/>
      </c>
      <c r="AU266" s="35" t="str">
        <f t="shared" si="77"/>
        <v/>
      </c>
      <c r="AV266" s="35" t="str">
        <f t="shared" si="78"/>
        <v/>
      </c>
      <c r="AW266" s="35" t="str">
        <f t="shared" si="79"/>
        <v/>
      </c>
      <c r="AX266" s="35" t="str">
        <f t="shared" si="80"/>
        <v/>
      </c>
      <c r="AY266" s="35" t="str">
        <f t="shared" si="81"/>
        <v/>
      </c>
      <c r="AZ266" s="35" t="str">
        <f t="shared" si="82"/>
        <v/>
      </c>
      <c r="BA266" s="35" t="str">
        <f t="shared" si="83"/>
        <v/>
      </c>
      <c r="BB266" s="35" t="str">
        <f t="shared" si="84"/>
        <v/>
      </c>
      <c r="BC266" s="35"/>
      <c r="BE266" s="35" t="e">
        <f>INDEX(SF_Output!$AA$2:$AA$400,MATCH($B266,SF_Output!$M$2:$M$400,0))</f>
        <v>#N/A</v>
      </c>
      <c r="BF266" s="35" t="e">
        <f>INDEX(SF_Output!$AB$2:$AB$400,MATCH($B266,SF_Output!$M$2:$M$400,0))</f>
        <v>#N/A</v>
      </c>
    </row>
    <row r="267" spans="6:58" x14ac:dyDescent="0.25">
      <c r="F267" s="116" t="str">
        <f t="shared" si="68"/>
        <v/>
      </c>
      <c r="G267" t="str">
        <f>IF(B267="","",INDEX(SF_Output!$K$1:$K$400,MATCH(B267,SF_Output!$M$1:$M$400,0)))</f>
        <v/>
      </c>
      <c r="H267" t="str" cm="1">
        <f t="array" ref="H267">_xlfn.IFS(B267="","",(SUMIFS(SF_Output!$F$1:$F$400,SF_Output!$AC$1:$AC$400,_xlfn.TEXTJOIN(",",TRUE,B267:E267))+SUMIFS(SF_Output!$G$1:$G$400,SF_Output!$AC$1:$AC$400,_xlfn.TEXTJOIN(",",TRUE,B267:E267)))&lt;&gt;0,SF_Output!$Y$2,INDEX(SF_Output!$F$1:$F$400,MATCH(_xlfn.TEXTJOIN(",",TRUE,B267:E267),SF_Output!$AC$1:$AC$400,0))=0,INDEX(SF_Output!$R$1:$R$400,MATCH(_xlfn.TEXTJOIN(",",TRUE,B267:E267),SF_Output!$AC$1:$AC$400,0)))</f>
        <v/>
      </c>
      <c r="I267" s="125" t="str">
        <f>IFERROR(IF(AND(H267&gt;1,H267&lt;&gt;""),ROUND(SUMIFS(SF_Output!$S$1:$S$400,SF_Output!$AC$1:$AC$400,_xlfn.TEXTJOIN(",",TRUE,B267:E267),SF_Output!$Q$1:$Q$400,"monthly")*(1-W267)/H267,4),""),"")</f>
        <v/>
      </c>
      <c r="J267" s="6" t="str">
        <f>IF(B267="","",SUMIFS(SF_Output!$S$1:$S$400,SF_Output!$AC$1:$AC$400,_xlfn.TEXTJOIN(",",TRUE,B267:E267),SF_Output!$Q$1:$Q$400,"One Time",SF_Output!$L$1:$L$400,"license fee")+SUMIFS(SF_Output!$S$1:$S$400,SF_Output!$AC$1:$AC$400,_xlfn.TEXTJOIN(",",TRUE,B267:E267),SF_Output!$Q$1:$Q$400,"One Time",SF_Output!$L$1:$L$400,"software license")+SUMIFS(SF_Output!$S$1:$S$400,SF_Output!$AC$1:$AC$400,_xlfn.TEXTJOIN(",",TRUE,B267:E267),SF_Output!$Q$1:$Q$400,"One Time",SF_Output!$L$1:$L$400,"hardware"))</f>
        <v/>
      </c>
      <c r="K267" s="112" t="str">
        <f>IF(OR(B267=0,B267="",G267="hardware",J267=0),"",IF(AF267&lt;&gt;"exclusion",MAX(K$9,-((SUMIFS(SF_Output!$T$1:$T$400,SF_Output!$AC$1:$AC$400,_xlfn.TEXTJOIN(",",TRUE,$B267:$E267),SF_Output!$Q$1:$Q$400,"One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license"))/J267)))</f>
        <v/>
      </c>
      <c r="L267" s="6" t="str">
        <f t="shared" si="69"/>
        <v/>
      </c>
      <c r="N267" s="6" t="str">
        <f>IF(B267="","",SUMIFS(SF_Output!$S$1:$S$400,SF_Output!$AC$1:$AC$400,_xlfn.TEXTJOIN(",",TRUE,B267:E267),SF_Output!$Q$1:$Q$400,"One Time",SF_Output!$L$1:$L$400,"professional service"))</f>
        <v/>
      </c>
      <c r="O267" s="112" t="str">
        <f>IF(OR(B267=0,B267="",N267=0),"",IF(AF267&lt;&gt;"exclusion",MAX(O$9,-(SUMIFS(SF_Output!$T$1:$T$400,SF_Output!$AC$1:$AC$400,_xlfn.TEXTJOIN(",",TRUE,$B267:$E267),SF_Output!$Q$1:$Q$400,"One Time",SF_Output!$L$1:$L$400,"professional service"))/N267),-((SUMIFS(SF_Output!$T$1:$T$400,SF_Output!$AC$1:$AC$400,_xlfn.TEXTJOIN(",",TRUE,$B267:$E267),SF_Output!$Q$1:$Q$400,"One Time",SF_Output!$L$1:$L$400,"professional service")/N267))))</f>
        <v/>
      </c>
      <c r="P267" s="6" t="str">
        <f t="shared" si="70"/>
        <v/>
      </c>
      <c r="R267" s="6" t="str">
        <f>IF(B267="","",SUMIFS(SF_Output!$S$1:$S$400,SF_Output!$AC$1:$AC$400,_xlfn.TEXTJOIN(",",TRUE,B267:E267),SF_Output!$Q$1:$Q$400,"yearly")+SUMIFS(SF_Output!$S$1:$S$400,SF_Output!$AC$1:$AC$400,_xlfn.TEXTJOIN(",",TRUE,B267:E267),SF_Output!$Q$1:$Q$400,"quarterly")*4)</f>
        <v/>
      </c>
      <c r="S267" s="112" t="str">
        <f>IF(OR(B267=0,B267="",G267="hardware",R267=0),"",IF(AF267&lt;&gt;"exclusion",MAX(S$9,-(SUMIFS(SF_Output!$T$1:$T$400,SF_Output!$AC$1:$AC$400,_xlfn.TEXTJOIN(",",TRUE,$B267:$E267),SF_Output!$Q$1:$Q$400,"yearly"))/R267),-((SUMIFS(SF_Output!$T$1:$T$400,SF_Output!$AC$1:$AC$400,_xlfn.TEXTJOIN(",",TRUE,$B267:$E267),SF_Output!$Q$1:$Q$400,"yearly")/R267))))</f>
        <v/>
      </c>
      <c r="T267" s="6" t="str">
        <f t="shared" si="71"/>
        <v/>
      </c>
      <c r="V267" s="6" t="str" cm="1">
        <f t="array" ref="V267">_xlfn.IFS(B267="","",AND(B267&lt;&gt;"",H267=SF_Output!$Y$2,SUMIFS(SF_Output!$T$1:$T$400,SF_Output!$AC$1:$AC$400,_xlfn.TEXTJOIN(",",TRUE,B267:E267),SF_Output!$Q$1:$Q$400,"monthly")=0),(SUMIFS(SF_Output!$F$1:$F$400,SF_Output!$AC$1:$AC$400,_xlfn.TEXTJOIN(",",TRUE,B267:E267),SF_Output!$Q$1:$Q$400,"monthly")+SUMIFS(SF_Output!$G$1:$G$400,SF_Output!$AC$1:$AC$400,_xlfn.TEXTJOIN(",",TRUE,B267:E267),SF_Output!$Q$1:$Q$400,"monthly"))*H267,AND(B267&lt;&gt;"",H267=SF_Output!$Y$2,SUMIFS(SF_Output!$T$1:$T$400,SF_Output!$AC$1:$AC$400,_xlfn.TEXTJOIN(",",TRUE,B267:E267),SF_Output!$Q$1:$Q$400,"monthly")&lt;&gt;0),SUMIFS(SF_Output!$S$1:$S$400,SF_Output!$AC$1:$AC$400,_xlfn.TEXTJOIN(",",TRUE,B267:E267),SF_Output!$Q$1:$Q$400,"monthly"),AND(B267&lt;&gt;"",H267&lt;&gt;SF_Output!$Y$2),SUMIFS(SF_Output!$S$1:$S$400,SF_Output!$AC$1:$AC$400,_xlfn.TEXTJOIN(",",TRUE,B267:E267),SF_Output!$Q$1:$Q$400,"monthly"))</f>
        <v/>
      </c>
      <c r="W267" s="112" t="str" cm="1">
        <f t="array" ref="W267">_xlfn.IFS(OR(B267=0,B267="",V267=0),"",AF267&lt;&gt;"exclusion",MAX($W$9,$W$7,(-(SUMIFS(SF_Output!$T$1:$T$400,SF_Output!$AC$1:$AC$400,_xlfn.TEXTJOIN(",",TRUE,$B267:$E267),SF_Output!$Q$1:$Q$400,"monthly"))/V267)),AF267="exclusion",-(SUMIFS(SF_Output!$T$1:$T$400,SF_Output!$AC$1:$AC$400,_xlfn.TEXTJOIN(",",TRUE,$B267:$E267),SF_Output!$Q$1:$Q$400,"monthly"))/V267)</f>
        <v/>
      </c>
      <c r="X267" s="6" t="str" cm="1">
        <f t="array" ref="X267">IFERROR(_xlfn.IFS(V267=0,0,V267="","",W267=0,V267,OR(V267&lt;&gt;0,V267&lt;&gt;""),H267*I267),V267*(1-W267))</f>
        <v/>
      </c>
      <c r="Z267" s="6" t="str">
        <f>IFERROR(IF(B267="","",SUMIFS(Billing_Fallout!H:H,Billing_Fallout!N:N,B267)),0)</f>
        <v/>
      </c>
      <c r="AA267" s="6" t="str">
        <f t="shared" si="72"/>
        <v/>
      </c>
      <c r="AB267" s="6" t="str">
        <f>IFERROR(IF(B267="","",SUMIFS(Billing_Fallout!J:J,Billing_Fallout!N:N,B267)),0)</f>
        <v/>
      </c>
      <c r="AD267" s="6" t="str">
        <f t="shared" si="73"/>
        <v/>
      </c>
      <c r="AF267" t="str">
        <f>IFERROR(INDEX(H_Tables!$B$1:$B$1500,MATCH(INDEX(SF_Output!$J$1:$J$400,MATCH(B267,SF_Output!$M$1:$M$400,0)),H_Tables!$A$1:$A$1500,0)),"")</f>
        <v/>
      </c>
      <c r="AI267" s="119" t="str">
        <f t="shared" si="74"/>
        <v/>
      </c>
      <c r="AJ267" s="121">
        <f>IFERROR(INDEX(SF_Output!AD:AD,MATCH(_xlfn.TEXTJOIN(",",TRUE,B267:E267),SF_Output!AC18:AC417,0)),0.05)</f>
        <v>224</v>
      </c>
      <c r="AK267" t="str">
        <f>IF(SUMIFS(SF_Output!$F$1:$F$400,SF_Output!$AC$1:$AC$400,_xlfn.TEXTJOIN(",",TRUE,B267:E267))+SUMIFS(SF_Output!$G$1:$G$400,SF_Output!$AC$1:$AC$400,_xlfn.TEXTJOIN(",",TRUE,B267:E267))=0,"","PAP")</f>
        <v/>
      </c>
      <c r="AQ267" s="35"/>
      <c r="AR267" s="35" t="str" cm="1">
        <f t="array" ref="AR267">IFERROR(_xlfn.IFS(AND(E267*1=1,F267="Included"),"Change to Included",AND(E267*1=0,F267="Optional"),"Change to Optional",OR(B267="",F267="replaced"),""),"")</f>
        <v/>
      </c>
      <c r="AS267" s="35" t="str">
        <f t="shared" si="75"/>
        <v/>
      </c>
      <c r="AT267" s="35" t="str">
        <f t="shared" si="76"/>
        <v/>
      </c>
      <c r="AU267" s="35" t="str">
        <f t="shared" si="77"/>
        <v/>
      </c>
      <c r="AV267" s="35" t="str">
        <f t="shared" si="78"/>
        <v/>
      </c>
      <c r="AW267" s="35" t="str">
        <f t="shared" si="79"/>
        <v/>
      </c>
      <c r="AX267" s="35" t="str">
        <f t="shared" si="80"/>
        <v/>
      </c>
      <c r="AY267" s="35" t="str">
        <f t="shared" si="81"/>
        <v/>
      </c>
      <c r="AZ267" s="35" t="str">
        <f t="shared" si="82"/>
        <v/>
      </c>
      <c r="BA267" s="35" t="str">
        <f t="shared" si="83"/>
        <v/>
      </c>
      <c r="BB267" s="35" t="str">
        <f t="shared" si="84"/>
        <v/>
      </c>
      <c r="BC267" s="35"/>
      <c r="BE267" s="35" t="e">
        <f>INDEX(SF_Output!$AA$2:$AA$400,MATCH($B267,SF_Output!$M$2:$M$400,0))</f>
        <v>#N/A</v>
      </c>
      <c r="BF267" s="35" t="e">
        <f>INDEX(SF_Output!$AB$2:$AB$400,MATCH($B267,SF_Output!$M$2:$M$400,0))</f>
        <v>#N/A</v>
      </c>
    </row>
    <row r="268" spans="6:58" x14ac:dyDescent="0.25">
      <c r="F268" s="116" t="str">
        <f t="shared" si="68"/>
        <v/>
      </c>
      <c r="G268" t="str">
        <f>IF(B268="","",INDEX(SF_Output!$K$1:$K$400,MATCH(B268,SF_Output!$M$1:$M$400,0)))</f>
        <v/>
      </c>
      <c r="H268" t="str" cm="1">
        <f t="array" ref="H268">_xlfn.IFS(B268="","",(SUMIFS(SF_Output!$F$1:$F$400,SF_Output!$AC$1:$AC$400,_xlfn.TEXTJOIN(",",TRUE,B268:E268))+SUMIFS(SF_Output!$G$1:$G$400,SF_Output!$AC$1:$AC$400,_xlfn.TEXTJOIN(",",TRUE,B268:E268)))&lt;&gt;0,SF_Output!$Y$2,INDEX(SF_Output!$F$1:$F$400,MATCH(_xlfn.TEXTJOIN(",",TRUE,B268:E268),SF_Output!$AC$1:$AC$400,0))=0,INDEX(SF_Output!$R$1:$R$400,MATCH(_xlfn.TEXTJOIN(",",TRUE,B268:E268),SF_Output!$AC$1:$AC$400,0)))</f>
        <v/>
      </c>
      <c r="I268" s="125" t="str">
        <f>IFERROR(IF(AND(H268&gt;1,H268&lt;&gt;""),ROUND(SUMIFS(SF_Output!$S$1:$S$400,SF_Output!$AC$1:$AC$400,_xlfn.TEXTJOIN(",",TRUE,B268:E268),SF_Output!$Q$1:$Q$400,"monthly")*(1-W268)/H268,4),""),"")</f>
        <v/>
      </c>
      <c r="J268" s="6" t="str">
        <f>IF(B268="","",SUMIFS(SF_Output!$S$1:$S$400,SF_Output!$AC$1:$AC$400,_xlfn.TEXTJOIN(",",TRUE,B268:E268),SF_Output!$Q$1:$Q$400,"One Time",SF_Output!$L$1:$L$400,"license fee")+SUMIFS(SF_Output!$S$1:$S$400,SF_Output!$AC$1:$AC$400,_xlfn.TEXTJOIN(",",TRUE,B268:E268),SF_Output!$Q$1:$Q$400,"One Time",SF_Output!$L$1:$L$400,"software license")+SUMIFS(SF_Output!$S$1:$S$400,SF_Output!$AC$1:$AC$400,_xlfn.TEXTJOIN(",",TRUE,B268:E268),SF_Output!$Q$1:$Q$400,"One Time",SF_Output!$L$1:$L$400,"hardware"))</f>
        <v/>
      </c>
      <c r="K268" s="112" t="str">
        <f>IF(OR(B268=0,B268="",G268="hardware",J268=0),"",IF(AF268&lt;&gt;"exclusion",MAX(K$9,-((SUMIFS(SF_Output!$T$1:$T$400,SF_Output!$AC$1:$AC$400,_xlfn.TEXTJOIN(",",TRUE,$B268:$E268),SF_Output!$Q$1:$Q$400,"One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license"))/J268)))</f>
        <v/>
      </c>
      <c r="L268" s="6" t="str">
        <f t="shared" si="69"/>
        <v/>
      </c>
      <c r="N268" s="6" t="str">
        <f>IF(B268="","",SUMIFS(SF_Output!$S$1:$S$400,SF_Output!$AC$1:$AC$400,_xlfn.TEXTJOIN(",",TRUE,B268:E268),SF_Output!$Q$1:$Q$400,"One Time",SF_Output!$L$1:$L$400,"professional service"))</f>
        <v/>
      </c>
      <c r="O268" s="112" t="str">
        <f>IF(OR(B268=0,B268="",N268=0),"",IF(AF268&lt;&gt;"exclusion",MAX(O$9,-(SUMIFS(SF_Output!$T$1:$T$400,SF_Output!$AC$1:$AC$400,_xlfn.TEXTJOIN(",",TRUE,$B268:$E268),SF_Output!$Q$1:$Q$400,"One Time",SF_Output!$L$1:$L$400,"professional service"))/N268),-((SUMIFS(SF_Output!$T$1:$T$400,SF_Output!$AC$1:$AC$400,_xlfn.TEXTJOIN(",",TRUE,$B268:$E268),SF_Output!$Q$1:$Q$400,"One Time",SF_Output!$L$1:$L$400,"professional service")/N268))))</f>
        <v/>
      </c>
      <c r="P268" s="6" t="str">
        <f t="shared" si="70"/>
        <v/>
      </c>
      <c r="R268" s="6" t="str">
        <f>IF(B268="","",SUMIFS(SF_Output!$S$1:$S$400,SF_Output!$AC$1:$AC$400,_xlfn.TEXTJOIN(",",TRUE,B268:E268),SF_Output!$Q$1:$Q$400,"yearly")+SUMIFS(SF_Output!$S$1:$S$400,SF_Output!$AC$1:$AC$400,_xlfn.TEXTJOIN(",",TRUE,B268:E268),SF_Output!$Q$1:$Q$400,"quarterly")*4)</f>
        <v/>
      </c>
      <c r="S268" s="112" t="str">
        <f>IF(OR(B268=0,B268="",G268="hardware",R268=0),"",IF(AF268&lt;&gt;"exclusion",MAX(S$9,-(SUMIFS(SF_Output!$T$1:$T$400,SF_Output!$AC$1:$AC$400,_xlfn.TEXTJOIN(",",TRUE,$B268:$E268),SF_Output!$Q$1:$Q$400,"yearly"))/R268),-((SUMIFS(SF_Output!$T$1:$T$400,SF_Output!$AC$1:$AC$400,_xlfn.TEXTJOIN(",",TRUE,$B268:$E268),SF_Output!$Q$1:$Q$400,"yearly")/R268))))</f>
        <v/>
      </c>
      <c r="T268" s="6" t="str">
        <f t="shared" si="71"/>
        <v/>
      </c>
      <c r="V268" s="6" t="str" cm="1">
        <f t="array" ref="V268">_xlfn.IFS(B268="","",AND(B268&lt;&gt;"",H268=SF_Output!$Y$2,SUMIFS(SF_Output!$T$1:$T$400,SF_Output!$AC$1:$AC$400,_xlfn.TEXTJOIN(",",TRUE,B268:E268),SF_Output!$Q$1:$Q$400,"monthly")=0),(SUMIFS(SF_Output!$F$1:$F$400,SF_Output!$AC$1:$AC$400,_xlfn.TEXTJOIN(",",TRUE,B268:E268),SF_Output!$Q$1:$Q$400,"monthly")+SUMIFS(SF_Output!$G$1:$G$400,SF_Output!$AC$1:$AC$400,_xlfn.TEXTJOIN(",",TRUE,B268:E268),SF_Output!$Q$1:$Q$400,"monthly"))*H268,AND(B268&lt;&gt;"",H268=SF_Output!$Y$2,SUMIFS(SF_Output!$T$1:$T$400,SF_Output!$AC$1:$AC$400,_xlfn.TEXTJOIN(",",TRUE,B268:E268),SF_Output!$Q$1:$Q$400,"monthly")&lt;&gt;0),SUMIFS(SF_Output!$S$1:$S$400,SF_Output!$AC$1:$AC$400,_xlfn.TEXTJOIN(",",TRUE,B268:E268),SF_Output!$Q$1:$Q$400,"monthly"),AND(B268&lt;&gt;"",H268&lt;&gt;SF_Output!$Y$2),SUMIFS(SF_Output!$S$1:$S$400,SF_Output!$AC$1:$AC$400,_xlfn.TEXTJOIN(",",TRUE,B268:E268),SF_Output!$Q$1:$Q$400,"monthly"))</f>
        <v/>
      </c>
      <c r="W268" s="112" t="str" cm="1">
        <f t="array" ref="W268">_xlfn.IFS(OR(B268=0,B268="",V268=0),"",AF268&lt;&gt;"exclusion",MAX($W$9,$W$7,(-(SUMIFS(SF_Output!$T$1:$T$400,SF_Output!$AC$1:$AC$400,_xlfn.TEXTJOIN(",",TRUE,$B268:$E268),SF_Output!$Q$1:$Q$400,"monthly"))/V268)),AF268="exclusion",-(SUMIFS(SF_Output!$T$1:$T$400,SF_Output!$AC$1:$AC$400,_xlfn.TEXTJOIN(",",TRUE,$B268:$E268),SF_Output!$Q$1:$Q$400,"monthly"))/V268)</f>
        <v/>
      </c>
      <c r="X268" s="6" t="str" cm="1">
        <f t="array" ref="X268">IFERROR(_xlfn.IFS(V268=0,0,V268="","",W268=0,V268,OR(V268&lt;&gt;0,V268&lt;&gt;""),H268*I268),V268*(1-W268))</f>
        <v/>
      </c>
      <c r="Z268" s="6" t="str">
        <f>IFERROR(IF(B268="","",SUMIFS(Billing_Fallout!H:H,Billing_Fallout!N:N,B268)),0)</f>
        <v/>
      </c>
      <c r="AA268" s="6" t="str">
        <f t="shared" si="72"/>
        <v/>
      </c>
      <c r="AB268" s="6" t="str">
        <f>IFERROR(IF(B268="","",SUMIFS(Billing_Fallout!J:J,Billing_Fallout!N:N,B268)),0)</f>
        <v/>
      </c>
      <c r="AD268" s="6" t="str">
        <f t="shared" si="73"/>
        <v/>
      </c>
      <c r="AF268" t="str">
        <f>IFERROR(INDEX(H_Tables!$B$1:$B$1500,MATCH(INDEX(SF_Output!$J$1:$J$400,MATCH(B268,SF_Output!$M$1:$M$400,0)),H_Tables!$A$1:$A$1500,0)),"")</f>
        <v/>
      </c>
      <c r="AI268" s="119" t="str">
        <f t="shared" si="74"/>
        <v/>
      </c>
      <c r="AJ268" s="121">
        <f>IFERROR(INDEX(SF_Output!AD:AD,MATCH(_xlfn.TEXTJOIN(",",TRUE,B268:E268),SF_Output!AC19:AC418,0)),0.05)</f>
        <v>223</v>
      </c>
      <c r="AK268" t="str">
        <f>IF(SUMIFS(SF_Output!$F$1:$F$400,SF_Output!$AC$1:$AC$400,_xlfn.TEXTJOIN(",",TRUE,B268:E268))+SUMIFS(SF_Output!$G$1:$G$400,SF_Output!$AC$1:$AC$400,_xlfn.TEXTJOIN(",",TRUE,B268:E268))=0,"","PAP")</f>
        <v/>
      </c>
      <c r="AQ268" s="35"/>
      <c r="AR268" s="35" t="str" cm="1">
        <f t="array" ref="AR268">IFERROR(_xlfn.IFS(AND(E268*1=1,F268="Included"),"Change to Included",AND(E268*1=0,F268="Optional"),"Change to Optional",OR(B268="",F268="replaced"),""),"")</f>
        <v/>
      </c>
      <c r="AS268" s="35" t="str">
        <f t="shared" si="75"/>
        <v/>
      </c>
      <c r="AT268" s="35" t="str">
        <f t="shared" si="76"/>
        <v/>
      </c>
      <c r="AU268" s="35" t="str">
        <f t="shared" si="77"/>
        <v/>
      </c>
      <c r="AV268" s="35" t="str">
        <f t="shared" si="78"/>
        <v/>
      </c>
      <c r="AW268" s="35" t="str">
        <f t="shared" si="79"/>
        <v/>
      </c>
      <c r="AX268" s="35" t="str">
        <f t="shared" si="80"/>
        <v/>
      </c>
      <c r="AY268" s="35" t="str">
        <f t="shared" si="81"/>
        <v/>
      </c>
      <c r="AZ268" s="35" t="str">
        <f t="shared" si="82"/>
        <v/>
      </c>
      <c r="BA268" s="35" t="str">
        <f t="shared" si="83"/>
        <v/>
      </c>
      <c r="BB268" s="35" t="str">
        <f t="shared" si="84"/>
        <v/>
      </c>
      <c r="BC268" s="35"/>
      <c r="BE268" s="35" t="e">
        <f>INDEX(SF_Output!$AA$2:$AA$400,MATCH($B268,SF_Output!$M$2:$M$400,0))</f>
        <v>#N/A</v>
      </c>
      <c r="BF268" s="35" t="e">
        <f>INDEX(SF_Output!$AB$2:$AB$400,MATCH($B268,SF_Output!$M$2:$M$400,0))</f>
        <v>#N/A</v>
      </c>
    </row>
    <row r="269" spans="6:58" x14ac:dyDescent="0.25">
      <c r="F269" s="116" t="str">
        <f t="shared" si="68"/>
        <v/>
      </c>
      <c r="G269" t="str">
        <f>IF(B269="","",INDEX(SF_Output!$K$1:$K$400,MATCH(B269,SF_Output!$M$1:$M$400,0)))</f>
        <v/>
      </c>
      <c r="H269" t="str" cm="1">
        <f t="array" ref="H269">_xlfn.IFS(B269="","",(SUMIFS(SF_Output!$F$1:$F$400,SF_Output!$AC$1:$AC$400,_xlfn.TEXTJOIN(",",TRUE,B269:E269))+SUMIFS(SF_Output!$G$1:$G$400,SF_Output!$AC$1:$AC$400,_xlfn.TEXTJOIN(",",TRUE,B269:E269)))&lt;&gt;0,SF_Output!$Y$2,INDEX(SF_Output!$F$1:$F$400,MATCH(_xlfn.TEXTJOIN(",",TRUE,B269:E269),SF_Output!$AC$1:$AC$400,0))=0,INDEX(SF_Output!$R$1:$R$400,MATCH(_xlfn.TEXTJOIN(",",TRUE,B269:E269),SF_Output!$AC$1:$AC$400,0)))</f>
        <v/>
      </c>
      <c r="I269" s="125" t="str">
        <f>IFERROR(IF(AND(H269&gt;1,H269&lt;&gt;""),ROUND(SUMIFS(SF_Output!$S$1:$S$400,SF_Output!$AC$1:$AC$400,_xlfn.TEXTJOIN(",",TRUE,B269:E269),SF_Output!$Q$1:$Q$400,"monthly")*(1-W269)/H269,4),""),"")</f>
        <v/>
      </c>
      <c r="J269" s="6" t="str">
        <f>IF(B269="","",SUMIFS(SF_Output!$S$1:$S$400,SF_Output!$AC$1:$AC$400,_xlfn.TEXTJOIN(",",TRUE,B269:E269),SF_Output!$Q$1:$Q$400,"One Time",SF_Output!$L$1:$L$400,"license fee")+SUMIFS(SF_Output!$S$1:$S$400,SF_Output!$AC$1:$AC$400,_xlfn.TEXTJOIN(",",TRUE,B269:E269),SF_Output!$Q$1:$Q$400,"One Time",SF_Output!$L$1:$L$400,"software license")+SUMIFS(SF_Output!$S$1:$S$400,SF_Output!$AC$1:$AC$400,_xlfn.TEXTJOIN(",",TRUE,B269:E269),SF_Output!$Q$1:$Q$400,"One Time",SF_Output!$L$1:$L$400,"hardware"))</f>
        <v/>
      </c>
      <c r="K269" s="112" t="str">
        <f>IF(OR(B269=0,B269="",G269="hardware",J269=0),"",IF(AF269&lt;&gt;"exclusion",MAX(K$9,-((SUMIFS(SF_Output!$T$1:$T$400,SF_Output!$AC$1:$AC$400,_xlfn.TEXTJOIN(",",TRUE,$B269:$E269),SF_Output!$Q$1:$Q$400,"One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license"))/J269)))</f>
        <v/>
      </c>
      <c r="L269" s="6" t="str">
        <f t="shared" si="69"/>
        <v/>
      </c>
      <c r="N269" s="6" t="str">
        <f>IF(B269="","",SUMIFS(SF_Output!$S$1:$S$400,SF_Output!$AC$1:$AC$400,_xlfn.TEXTJOIN(",",TRUE,B269:E269),SF_Output!$Q$1:$Q$400,"One Time",SF_Output!$L$1:$L$400,"professional service"))</f>
        <v/>
      </c>
      <c r="O269" s="112" t="str">
        <f>IF(OR(B269=0,B269="",N269=0),"",IF(AF269&lt;&gt;"exclusion",MAX(O$9,-(SUMIFS(SF_Output!$T$1:$T$400,SF_Output!$AC$1:$AC$400,_xlfn.TEXTJOIN(",",TRUE,$B269:$E269),SF_Output!$Q$1:$Q$400,"One Time",SF_Output!$L$1:$L$400,"professional service"))/N269),-((SUMIFS(SF_Output!$T$1:$T$400,SF_Output!$AC$1:$AC$400,_xlfn.TEXTJOIN(",",TRUE,$B269:$E269),SF_Output!$Q$1:$Q$400,"One Time",SF_Output!$L$1:$L$400,"professional service")/N269))))</f>
        <v/>
      </c>
      <c r="P269" s="6" t="str">
        <f t="shared" si="70"/>
        <v/>
      </c>
      <c r="R269" s="6" t="str">
        <f>IF(B269="","",SUMIFS(SF_Output!$S$1:$S$400,SF_Output!$AC$1:$AC$400,_xlfn.TEXTJOIN(",",TRUE,B269:E269),SF_Output!$Q$1:$Q$400,"yearly")+SUMIFS(SF_Output!$S$1:$S$400,SF_Output!$AC$1:$AC$400,_xlfn.TEXTJOIN(",",TRUE,B269:E269),SF_Output!$Q$1:$Q$400,"quarterly")*4)</f>
        <v/>
      </c>
      <c r="S269" s="112" t="str">
        <f>IF(OR(B269=0,B269="",G269="hardware",R269=0),"",IF(AF269&lt;&gt;"exclusion",MAX(S$9,-(SUMIFS(SF_Output!$T$1:$T$400,SF_Output!$AC$1:$AC$400,_xlfn.TEXTJOIN(",",TRUE,$B269:$E269),SF_Output!$Q$1:$Q$400,"yearly"))/R269),-((SUMIFS(SF_Output!$T$1:$T$400,SF_Output!$AC$1:$AC$400,_xlfn.TEXTJOIN(",",TRUE,$B269:$E269),SF_Output!$Q$1:$Q$400,"yearly")/R269))))</f>
        <v/>
      </c>
      <c r="T269" s="6" t="str">
        <f t="shared" si="71"/>
        <v/>
      </c>
      <c r="V269" s="6" t="str" cm="1">
        <f t="array" ref="V269">_xlfn.IFS(B269="","",AND(B269&lt;&gt;"",H269=SF_Output!$Y$2,SUMIFS(SF_Output!$T$1:$T$400,SF_Output!$AC$1:$AC$400,_xlfn.TEXTJOIN(",",TRUE,B269:E269),SF_Output!$Q$1:$Q$400,"monthly")=0),(SUMIFS(SF_Output!$F$1:$F$400,SF_Output!$AC$1:$AC$400,_xlfn.TEXTJOIN(",",TRUE,B269:E269),SF_Output!$Q$1:$Q$400,"monthly")+SUMIFS(SF_Output!$G$1:$G$400,SF_Output!$AC$1:$AC$400,_xlfn.TEXTJOIN(",",TRUE,B269:E269),SF_Output!$Q$1:$Q$400,"monthly"))*H269,AND(B269&lt;&gt;"",H269=SF_Output!$Y$2,SUMIFS(SF_Output!$T$1:$T$400,SF_Output!$AC$1:$AC$400,_xlfn.TEXTJOIN(",",TRUE,B269:E269),SF_Output!$Q$1:$Q$400,"monthly")&lt;&gt;0),SUMIFS(SF_Output!$S$1:$S$400,SF_Output!$AC$1:$AC$400,_xlfn.TEXTJOIN(",",TRUE,B269:E269),SF_Output!$Q$1:$Q$400,"monthly"),AND(B269&lt;&gt;"",H269&lt;&gt;SF_Output!$Y$2),SUMIFS(SF_Output!$S$1:$S$400,SF_Output!$AC$1:$AC$400,_xlfn.TEXTJOIN(",",TRUE,B269:E269),SF_Output!$Q$1:$Q$400,"monthly"))</f>
        <v/>
      </c>
      <c r="W269" s="112" t="str" cm="1">
        <f t="array" ref="W269">_xlfn.IFS(OR(B269=0,B269="",V269=0),"",AF269&lt;&gt;"exclusion",MAX($W$9,$W$7,(-(SUMIFS(SF_Output!$T$1:$T$400,SF_Output!$AC$1:$AC$400,_xlfn.TEXTJOIN(",",TRUE,$B269:$E269),SF_Output!$Q$1:$Q$400,"monthly"))/V269)),AF269="exclusion",-(SUMIFS(SF_Output!$T$1:$T$400,SF_Output!$AC$1:$AC$400,_xlfn.TEXTJOIN(",",TRUE,$B269:$E269),SF_Output!$Q$1:$Q$400,"monthly"))/V269)</f>
        <v/>
      </c>
      <c r="X269" s="6" t="str" cm="1">
        <f t="array" ref="X269">IFERROR(_xlfn.IFS(V269=0,0,V269="","",W269=0,V269,OR(V269&lt;&gt;0,V269&lt;&gt;""),H269*I269),V269*(1-W269))</f>
        <v/>
      </c>
      <c r="Z269" s="6" t="str">
        <f>IFERROR(IF(B269="","",SUMIFS(Billing_Fallout!H:H,Billing_Fallout!N:N,B269)),0)</f>
        <v/>
      </c>
      <c r="AA269" s="6" t="str">
        <f t="shared" si="72"/>
        <v/>
      </c>
      <c r="AB269" s="6" t="str">
        <f>IFERROR(IF(B269="","",SUMIFS(Billing_Fallout!J:J,Billing_Fallout!N:N,B269)),0)</f>
        <v/>
      </c>
      <c r="AD269" s="6" t="str">
        <f t="shared" si="73"/>
        <v/>
      </c>
      <c r="AF269" t="str">
        <f>IFERROR(INDEX(H_Tables!$B$1:$B$1500,MATCH(INDEX(SF_Output!$J$1:$J$400,MATCH(B269,SF_Output!$M$1:$M$400,0)),H_Tables!$A$1:$A$1500,0)),"")</f>
        <v/>
      </c>
      <c r="AI269" s="119" t="str">
        <f t="shared" si="74"/>
        <v/>
      </c>
      <c r="AJ269" s="121">
        <f>IFERROR(INDEX(SF_Output!AD:AD,MATCH(_xlfn.TEXTJOIN(",",TRUE,B269:E269),SF_Output!AC20:AC419,0)),0.05)</f>
        <v>222</v>
      </c>
      <c r="AK269" t="str">
        <f>IF(SUMIFS(SF_Output!$F$1:$F$400,SF_Output!$AC$1:$AC$400,_xlfn.TEXTJOIN(",",TRUE,B269:E269))+SUMIFS(SF_Output!$G$1:$G$400,SF_Output!$AC$1:$AC$400,_xlfn.TEXTJOIN(",",TRUE,B269:E269))=0,"","PAP")</f>
        <v/>
      </c>
      <c r="AQ269" s="35"/>
      <c r="AR269" s="35" t="str" cm="1">
        <f t="array" ref="AR269">IFERROR(_xlfn.IFS(AND(E269*1=1,F269="Included"),"Change to Included",AND(E269*1=0,F269="Optional"),"Change to Optional",OR(B269="",F269="replaced"),""),"")</f>
        <v/>
      </c>
      <c r="AS269" s="35" t="str">
        <f t="shared" si="75"/>
        <v/>
      </c>
      <c r="AT269" s="35" t="str">
        <f t="shared" si="76"/>
        <v/>
      </c>
      <c r="AU269" s="35" t="str">
        <f t="shared" si="77"/>
        <v/>
      </c>
      <c r="AV269" s="35" t="str">
        <f t="shared" si="78"/>
        <v/>
      </c>
      <c r="AW269" s="35" t="str">
        <f t="shared" si="79"/>
        <v/>
      </c>
      <c r="AX269" s="35" t="str">
        <f t="shared" si="80"/>
        <v/>
      </c>
      <c r="AY269" s="35" t="str">
        <f t="shared" si="81"/>
        <v/>
      </c>
      <c r="AZ269" s="35" t="str">
        <f t="shared" si="82"/>
        <v/>
      </c>
      <c r="BA269" s="35" t="str">
        <f t="shared" si="83"/>
        <v/>
      </c>
      <c r="BB269" s="35" t="str">
        <f t="shared" si="84"/>
        <v/>
      </c>
      <c r="BC269" s="35"/>
      <c r="BE269" s="35" t="e">
        <f>INDEX(SF_Output!$AA$2:$AA$400,MATCH($B269,SF_Output!$M$2:$M$400,0))</f>
        <v>#N/A</v>
      </c>
      <c r="BF269" s="35" t="e">
        <f>INDEX(SF_Output!$AB$2:$AB$400,MATCH($B269,SF_Output!$M$2:$M$400,0))</f>
        <v>#N/A</v>
      </c>
    </row>
    <row r="270" spans="6:58" x14ac:dyDescent="0.25">
      <c r="F270" s="116" t="str">
        <f t="shared" si="68"/>
        <v/>
      </c>
      <c r="G270" t="str">
        <f>IF(B270="","",INDEX(SF_Output!$K$1:$K$400,MATCH(B270,SF_Output!$M$1:$M$400,0)))</f>
        <v/>
      </c>
      <c r="H270" t="str" cm="1">
        <f t="array" ref="H270">_xlfn.IFS(B270="","",(SUMIFS(SF_Output!$F$1:$F$400,SF_Output!$AC$1:$AC$400,_xlfn.TEXTJOIN(",",TRUE,B270:E270))+SUMIFS(SF_Output!$G$1:$G$400,SF_Output!$AC$1:$AC$400,_xlfn.TEXTJOIN(",",TRUE,B270:E270)))&lt;&gt;0,SF_Output!$Y$2,INDEX(SF_Output!$F$1:$F$400,MATCH(_xlfn.TEXTJOIN(",",TRUE,B270:E270),SF_Output!$AC$1:$AC$400,0))=0,INDEX(SF_Output!$R$1:$R$400,MATCH(_xlfn.TEXTJOIN(",",TRUE,B270:E270),SF_Output!$AC$1:$AC$400,0)))</f>
        <v/>
      </c>
      <c r="I270" s="125" t="str">
        <f>IFERROR(IF(AND(H270&gt;1,H270&lt;&gt;""),ROUND(SUMIFS(SF_Output!$S$1:$S$400,SF_Output!$AC$1:$AC$400,_xlfn.TEXTJOIN(",",TRUE,B270:E270),SF_Output!$Q$1:$Q$400,"monthly")*(1-W270)/H270,4),""),"")</f>
        <v/>
      </c>
      <c r="J270" s="6" t="str">
        <f>IF(B270="","",SUMIFS(SF_Output!$S$1:$S$400,SF_Output!$AC$1:$AC$400,_xlfn.TEXTJOIN(",",TRUE,B270:E270),SF_Output!$Q$1:$Q$400,"One Time",SF_Output!$L$1:$L$400,"license fee")+SUMIFS(SF_Output!$S$1:$S$400,SF_Output!$AC$1:$AC$400,_xlfn.TEXTJOIN(",",TRUE,B270:E270),SF_Output!$Q$1:$Q$400,"One Time",SF_Output!$L$1:$L$400,"software license")+SUMIFS(SF_Output!$S$1:$S$400,SF_Output!$AC$1:$AC$400,_xlfn.TEXTJOIN(",",TRUE,B270:E270),SF_Output!$Q$1:$Q$400,"One Time",SF_Output!$L$1:$L$400,"hardware"))</f>
        <v/>
      </c>
      <c r="K270" s="112" t="str">
        <f>IF(OR(B270=0,B270="",G270="hardware",J270=0),"",IF(AF270&lt;&gt;"exclusion",MAX(K$9,-((SUMIFS(SF_Output!$T$1:$T$400,SF_Output!$AC$1:$AC$400,_xlfn.TEXTJOIN(",",TRUE,$B270:$E270),SF_Output!$Q$1:$Q$400,"One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license"))/J270)))</f>
        <v/>
      </c>
      <c r="L270" s="6" t="str">
        <f t="shared" si="69"/>
        <v/>
      </c>
      <c r="N270" s="6" t="str">
        <f>IF(B270="","",SUMIFS(SF_Output!$S$1:$S$400,SF_Output!$AC$1:$AC$400,_xlfn.TEXTJOIN(",",TRUE,B270:E270),SF_Output!$Q$1:$Q$400,"One Time",SF_Output!$L$1:$L$400,"professional service"))</f>
        <v/>
      </c>
      <c r="O270" s="112" t="str">
        <f>IF(OR(B270=0,B270="",N270=0),"",IF(AF270&lt;&gt;"exclusion",MAX(O$9,-(SUMIFS(SF_Output!$T$1:$T$400,SF_Output!$AC$1:$AC$400,_xlfn.TEXTJOIN(",",TRUE,$B270:$E270),SF_Output!$Q$1:$Q$400,"One Time",SF_Output!$L$1:$L$400,"professional service"))/N270),-((SUMIFS(SF_Output!$T$1:$T$400,SF_Output!$AC$1:$AC$400,_xlfn.TEXTJOIN(",",TRUE,$B270:$E270),SF_Output!$Q$1:$Q$400,"One Time",SF_Output!$L$1:$L$400,"professional service")/N270))))</f>
        <v/>
      </c>
      <c r="P270" s="6" t="str">
        <f t="shared" si="70"/>
        <v/>
      </c>
      <c r="R270" s="6" t="str">
        <f>IF(B270="","",SUMIFS(SF_Output!$S$1:$S$400,SF_Output!$AC$1:$AC$400,_xlfn.TEXTJOIN(",",TRUE,B270:E270),SF_Output!$Q$1:$Q$400,"yearly")+SUMIFS(SF_Output!$S$1:$S$400,SF_Output!$AC$1:$AC$400,_xlfn.TEXTJOIN(",",TRUE,B270:E270),SF_Output!$Q$1:$Q$400,"quarterly")*4)</f>
        <v/>
      </c>
      <c r="S270" s="112" t="str">
        <f>IF(OR(B270=0,B270="",G270="hardware",R270=0),"",IF(AF270&lt;&gt;"exclusion",MAX(S$9,-(SUMIFS(SF_Output!$T$1:$T$400,SF_Output!$AC$1:$AC$400,_xlfn.TEXTJOIN(",",TRUE,$B270:$E270),SF_Output!$Q$1:$Q$400,"yearly"))/R270),-((SUMIFS(SF_Output!$T$1:$T$400,SF_Output!$AC$1:$AC$400,_xlfn.TEXTJOIN(",",TRUE,$B270:$E270),SF_Output!$Q$1:$Q$400,"yearly")/R270))))</f>
        <v/>
      </c>
      <c r="T270" s="6" t="str">
        <f t="shared" si="71"/>
        <v/>
      </c>
      <c r="V270" s="6" t="str" cm="1">
        <f t="array" ref="V270">_xlfn.IFS(B270="","",AND(B270&lt;&gt;"",H270=SF_Output!$Y$2,SUMIFS(SF_Output!$T$1:$T$400,SF_Output!$AC$1:$AC$400,_xlfn.TEXTJOIN(",",TRUE,B270:E270),SF_Output!$Q$1:$Q$400,"monthly")=0),(SUMIFS(SF_Output!$F$1:$F$400,SF_Output!$AC$1:$AC$400,_xlfn.TEXTJOIN(",",TRUE,B270:E270),SF_Output!$Q$1:$Q$400,"monthly")+SUMIFS(SF_Output!$G$1:$G$400,SF_Output!$AC$1:$AC$400,_xlfn.TEXTJOIN(",",TRUE,B270:E270),SF_Output!$Q$1:$Q$400,"monthly"))*H270,AND(B270&lt;&gt;"",H270=SF_Output!$Y$2,SUMIFS(SF_Output!$T$1:$T$400,SF_Output!$AC$1:$AC$400,_xlfn.TEXTJOIN(",",TRUE,B270:E270),SF_Output!$Q$1:$Q$400,"monthly")&lt;&gt;0),SUMIFS(SF_Output!$S$1:$S$400,SF_Output!$AC$1:$AC$400,_xlfn.TEXTJOIN(",",TRUE,B270:E270),SF_Output!$Q$1:$Q$400,"monthly"),AND(B270&lt;&gt;"",H270&lt;&gt;SF_Output!$Y$2),SUMIFS(SF_Output!$S$1:$S$400,SF_Output!$AC$1:$AC$400,_xlfn.TEXTJOIN(",",TRUE,B270:E270),SF_Output!$Q$1:$Q$400,"monthly"))</f>
        <v/>
      </c>
      <c r="W270" s="112" t="str" cm="1">
        <f t="array" ref="W270">_xlfn.IFS(OR(B270=0,B270="",V270=0),"",AF270&lt;&gt;"exclusion",MAX($W$9,$W$7,(-(SUMIFS(SF_Output!$T$1:$T$400,SF_Output!$AC$1:$AC$400,_xlfn.TEXTJOIN(",",TRUE,$B270:$E270),SF_Output!$Q$1:$Q$400,"monthly"))/V270)),AF270="exclusion",-(SUMIFS(SF_Output!$T$1:$T$400,SF_Output!$AC$1:$AC$400,_xlfn.TEXTJOIN(",",TRUE,$B270:$E270),SF_Output!$Q$1:$Q$400,"monthly"))/V270)</f>
        <v/>
      </c>
      <c r="X270" s="6" t="str" cm="1">
        <f t="array" ref="X270">IFERROR(_xlfn.IFS(V270=0,0,V270="","",W270=0,V270,OR(V270&lt;&gt;0,V270&lt;&gt;""),H270*I270),V270*(1-W270))</f>
        <v/>
      </c>
      <c r="Z270" s="6" t="str">
        <f>IFERROR(IF(B270="","",SUMIFS(Billing_Fallout!H:H,Billing_Fallout!N:N,B270)),0)</f>
        <v/>
      </c>
      <c r="AA270" s="6" t="str">
        <f t="shared" si="72"/>
        <v/>
      </c>
      <c r="AB270" s="6" t="str">
        <f>IFERROR(IF(B270="","",SUMIFS(Billing_Fallout!J:J,Billing_Fallout!N:N,B270)),0)</f>
        <v/>
      </c>
      <c r="AD270" s="6" t="str">
        <f t="shared" si="73"/>
        <v/>
      </c>
      <c r="AF270" t="str">
        <f>IFERROR(INDEX(H_Tables!$B$1:$B$1500,MATCH(INDEX(SF_Output!$J$1:$J$400,MATCH(B270,SF_Output!$M$1:$M$400,0)),H_Tables!$A$1:$A$1500,0)),"")</f>
        <v/>
      </c>
      <c r="AI270" s="119" t="str">
        <f t="shared" si="74"/>
        <v/>
      </c>
      <c r="AJ270" s="121">
        <f>IFERROR(INDEX(SF_Output!AD:AD,MATCH(_xlfn.TEXTJOIN(",",TRUE,B270:E270),SF_Output!AC21:AC420,0)),0.05)</f>
        <v>221</v>
      </c>
      <c r="AK270" t="str">
        <f>IF(SUMIFS(SF_Output!$F$1:$F$400,SF_Output!$AC$1:$AC$400,_xlfn.TEXTJOIN(",",TRUE,B270:E270))+SUMIFS(SF_Output!$G$1:$G$400,SF_Output!$AC$1:$AC$400,_xlfn.TEXTJOIN(",",TRUE,B270:E270))=0,"","PAP")</f>
        <v/>
      </c>
      <c r="AQ270" s="35"/>
      <c r="AR270" s="35" t="str" cm="1">
        <f t="array" ref="AR270">IFERROR(_xlfn.IFS(AND(E270*1=1,F270="Included"),"Change to Included",AND(E270*1=0,F270="Optional"),"Change to Optional",OR(B270="",F270="replaced"),""),"")</f>
        <v/>
      </c>
      <c r="AS270" s="35" t="str">
        <f t="shared" si="75"/>
        <v/>
      </c>
      <c r="AT270" s="35" t="str">
        <f t="shared" si="76"/>
        <v/>
      </c>
      <c r="AU270" s="35" t="str">
        <f t="shared" si="77"/>
        <v/>
      </c>
      <c r="AV270" s="35" t="str">
        <f t="shared" si="78"/>
        <v/>
      </c>
      <c r="AW270" s="35" t="str">
        <f t="shared" si="79"/>
        <v/>
      </c>
      <c r="AX270" s="35" t="str">
        <f t="shared" si="80"/>
        <v/>
      </c>
      <c r="AY270" s="35" t="str">
        <f t="shared" si="81"/>
        <v/>
      </c>
      <c r="AZ270" s="35" t="str">
        <f t="shared" si="82"/>
        <v/>
      </c>
      <c r="BA270" s="35" t="str">
        <f t="shared" si="83"/>
        <v/>
      </c>
      <c r="BB270" s="35" t="str">
        <f t="shared" si="84"/>
        <v/>
      </c>
      <c r="BC270" s="35"/>
      <c r="BE270" s="35" t="e">
        <f>INDEX(SF_Output!$AA$2:$AA$400,MATCH($B270,SF_Output!$M$2:$M$400,0))</f>
        <v>#N/A</v>
      </c>
      <c r="BF270" s="35" t="e">
        <f>INDEX(SF_Output!$AB$2:$AB$400,MATCH($B270,SF_Output!$M$2:$M$400,0))</f>
        <v>#N/A</v>
      </c>
    </row>
    <row r="271" spans="6:58" x14ac:dyDescent="0.25">
      <c r="F271" s="116" t="str">
        <f t="shared" si="68"/>
        <v/>
      </c>
      <c r="G271" t="str">
        <f>IF(B271="","",INDEX(SF_Output!$K$1:$K$400,MATCH(B271,SF_Output!$M$1:$M$400,0)))</f>
        <v/>
      </c>
      <c r="H271" t="str" cm="1">
        <f t="array" ref="H271">_xlfn.IFS(B271="","",(SUMIFS(SF_Output!$F$1:$F$400,SF_Output!$AC$1:$AC$400,_xlfn.TEXTJOIN(",",TRUE,B271:E271))+SUMIFS(SF_Output!$G$1:$G$400,SF_Output!$AC$1:$AC$400,_xlfn.TEXTJOIN(",",TRUE,B271:E271)))&lt;&gt;0,SF_Output!$Y$2,INDEX(SF_Output!$F$1:$F$400,MATCH(_xlfn.TEXTJOIN(",",TRUE,B271:E271),SF_Output!$AC$1:$AC$400,0))=0,INDEX(SF_Output!$R$1:$R$400,MATCH(_xlfn.TEXTJOIN(",",TRUE,B271:E271),SF_Output!$AC$1:$AC$400,0)))</f>
        <v/>
      </c>
      <c r="I271" s="125" t="str">
        <f>IFERROR(IF(AND(H271&gt;1,H271&lt;&gt;""),ROUND(SUMIFS(SF_Output!$S$1:$S$400,SF_Output!$AC$1:$AC$400,_xlfn.TEXTJOIN(",",TRUE,B271:E271),SF_Output!$Q$1:$Q$400,"monthly")*(1-W271)/H271,4),""),"")</f>
        <v/>
      </c>
      <c r="J271" s="6" t="str">
        <f>IF(B271="","",SUMIFS(SF_Output!$S$1:$S$400,SF_Output!$AC$1:$AC$400,_xlfn.TEXTJOIN(",",TRUE,B271:E271),SF_Output!$Q$1:$Q$400,"One Time",SF_Output!$L$1:$L$400,"license fee")+SUMIFS(SF_Output!$S$1:$S$400,SF_Output!$AC$1:$AC$400,_xlfn.TEXTJOIN(",",TRUE,B271:E271),SF_Output!$Q$1:$Q$400,"One Time",SF_Output!$L$1:$L$400,"software license")+SUMIFS(SF_Output!$S$1:$S$400,SF_Output!$AC$1:$AC$400,_xlfn.TEXTJOIN(",",TRUE,B271:E271),SF_Output!$Q$1:$Q$400,"One Time",SF_Output!$L$1:$L$400,"hardware"))</f>
        <v/>
      </c>
      <c r="K271" s="112" t="str">
        <f>IF(OR(B271=0,B271="",G271="hardware",J271=0),"",IF(AF271&lt;&gt;"exclusion",MAX(K$9,-((SUMIFS(SF_Output!$T$1:$T$400,SF_Output!$AC$1:$AC$400,_xlfn.TEXTJOIN(",",TRUE,$B271:$E271),SF_Output!$Q$1:$Q$400,"One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license"))/J271)))</f>
        <v/>
      </c>
      <c r="L271" s="6" t="str">
        <f t="shared" si="69"/>
        <v/>
      </c>
      <c r="N271" s="6" t="str">
        <f>IF(B271="","",SUMIFS(SF_Output!$S$1:$S$400,SF_Output!$AC$1:$AC$400,_xlfn.TEXTJOIN(",",TRUE,B271:E271),SF_Output!$Q$1:$Q$400,"One Time",SF_Output!$L$1:$L$400,"professional service"))</f>
        <v/>
      </c>
      <c r="O271" s="112" t="str">
        <f>IF(OR(B271=0,B271="",N271=0),"",IF(AF271&lt;&gt;"exclusion",MAX(O$9,-(SUMIFS(SF_Output!$T$1:$T$400,SF_Output!$AC$1:$AC$400,_xlfn.TEXTJOIN(",",TRUE,$B271:$E271),SF_Output!$Q$1:$Q$400,"One Time",SF_Output!$L$1:$L$400,"professional service"))/N271),-((SUMIFS(SF_Output!$T$1:$T$400,SF_Output!$AC$1:$AC$400,_xlfn.TEXTJOIN(",",TRUE,$B271:$E271),SF_Output!$Q$1:$Q$400,"One Time",SF_Output!$L$1:$L$400,"professional service")/N271))))</f>
        <v/>
      </c>
      <c r="P271" s="6" t="str">
        <f t="shared" si="70"/>
        <v/>
      </c>
      <c r="R271" s="6" t="str">
        <f>IF(B271="","",SUMIFS(SF_Output!$S$1:$S$400,SF_Output!$AC$1:$AC$400,_xlfn.TEXTJOIN(",",TRUE,B271:E271),SF_Output!$Q$1:$Q$400,"yearly")+SUMIFS(SF_Output!$S$1:$S$400,SF_Output!$AC$1:$AC$400,_xlfn.TEXTJOIN(",",TRUE,B271:E271),SF_Output!$Q$1:$Q$400,"quarterly")*4)</f>
        <v/>
      </c>
      <c r="S271" s="112" t="str">
        <f>IF(OR(B271=0,B271="",G271="hardware",R271=0),"",IF(AF271&lt;&gt;"exclusion",MAX(S$9,-(SUMIFS(SF_Output!$T$1:$T$400,SF_Output!$AC$1:$AC$400,_xlfn.TEXTJOIN(",",TRUE,$B271:$E271),SF_Output!$Q$1:$Q$400,"yearly"))/R271),-((SUMIFS(SF_Output!$T$1:$T$400,SF_Output!$AC$1:$AC$400,_xlfn.TEXTJOIN(",",TRUE,$B271:$E271),SF_Output!$Q$1:$Q$400,"yearly")/R271))))</f>
        <v/>
      </c>
      <c r="T271" s="6" t="str">
        <f t="shared" si="71"/>
        <v/>
      </c>
      <c r="V271" s="6" t="str" cm="1">
        <f t="array" ref="V271">_xlfn.IFS(B271="","",AND(B271&lt;&gt;"",H271=SF_Output!$Y$2,SUMIFS(SF_Output!$T$1:$T$400,SF_Output!$AC$1:$AC$400,_xlfn.TEXTJOIN(",",TRUE,B271:E271),SF_Output!$Q$1:$Q$400,"monthly")=0),(SUMIFS(SF_Output!$F$1:$F$400,SF_Output!$AC$1:$AC$400,_xlfn.TEXTJOIN(",",TRUE,B271:E271),SF_Output!$Q$1:$Q$400,"monthly")+SUMIFS(SF_Output!$G$1:$G$400,SF_Output!$AC$1:$AC$400,_xlfn.TEXTJOIN(",",TRUE,B271:E271),SF_Output!$Q$1:$Q$400,"monthly"))*H271,AND(B271&lt;&gt;"",H271=SF_Output!$Y$2,SUMIFS(SF_Output!$T$1:$T$400,SF_Output!$AC$1:$AC$400,_xlfn.TEXTJOIN(",",TRUE,B271:E271),SF_Output!$Q$1:$Q$400,"monthly")&lt;&gt;0),SUMIFS(SF_Output!$S$1:$S$400,SF_Output!$AC$1:$AC$400,_xlfn.TEXTJOIN(",",TRUE,B271:E271),SF_Output!$Q$1:$Q$400,"monthly"),AND(B271&lt;&gt;"",H271&lt;&gt;SF_Output!$Y$2),SUMIFS(SF_Output!$S$1:$S$400,SF_Output!$AC$1:$AC$400,_xlfn.TEXTJOIN(",",TRUE,B271:E271),SF_Output!$Q$1:$Q$400,"monthly"))</f>
        <v/>
      </c>
      <c r="W271" s="112" t="str" cm="1">
        <f t="array" ref="W271">_xlfn.IFS(OR(B271=0,B271="",V271=0),"",AF271&lt;&gt;"exclusion",MAX($W$9,$W$7,(-(SUMIFS(SF_Output!$T$1:$T$400,SF_Output!$AC$1:$AC$400,_xlfn.TEXTJOIN(",",TRUE,$B271:$E271),SF_Output!$Q$1:$Q$400,"monthly"))/V271)),AF271="exclusion",-(SUMIFS(SF_Output!$T$1:$T$400,SF_Output!$AC$1:$AC$400,_xlfn.TEXTJOIN(",",TRUE,$B271:$E271),SF_Output!$Q$1:$Q$400,"monthly"))/V271)</f>
        <v/>
      </c>
      <c r="X271" s="6" t="str" cm="1">
        <f t="array" ref="X271">IFERROR(_xlfn.IFS(V271=0,0,V271="","",W271=0,V271,OR(V271&lt;&gt;0,V271&lt;&gt;""),H271*I271),V271*(1-W271))</f>
        <v/>
      </c>
      <c r="Z271" s="6" t="str">
        <f>IFERROR(IF(B271="","",SUMIFS(Billing_Fallout!H:H,Billing_Fallout!N:N,B271)),0)</f>
        <v/>
      </c>
      <c r="AA271" s="6" t="str">
        <f t="shared" si="72"/>
        <v/>
      </c>
      <c r="AB271" s="6" t="str">
        <f>IFERROR(IF(B271="","",SUMIFS(Billing_Fallout!J:J,Billing_Fallout!N:N,B271)),0)</f>
        <v/>
      </c>
      <c r="AD271" s="6" t="str">
        <f t="shared" si="73"/>
        <v/>
      </c>
      <c r="AF271" t="str">
        <f>IFERROR(INDEX(H_Tables!$B$1:$B$1500,MATCH(INDEX(SF_Output!$J$1:$J$400,MATCH(B271,SF_Output!$M$1:$M$400,0)),H_Tables!$A$1:$A$1500,0)),"")</f>
        <v/>
      </c>
      <c r="AI271" s="119" t="str">
        <f t="shared" si="74"/>
        <v/>
      </c>
      <c r="AJ271" s="121">
        <f>IFERROR(INDEX(SF_Output!AD:AD,MATCH(_xlfn.TEXTJOIN(",",TRUE,B271:E271),SF_Output!AC22:AC421,0)),0.05)</f>
        <v>220</v>
      </c>
      <c r="AK271" t="str">
        <f>IF(SUMIFS(SF_Output!$F$1:$F$400,SF_Output!$AC$1:$AC$400,_xlfn.TEXTJOIN(",",TRUE,B271:E271))+SUMIFS(SF_Output!$G$1:$G$400,SF_Output!$AC$1:$AC$400,_xlfn.TEXTJOIN(",",TRUE,B271:E271))=0,"","PAP")</f>
        <v/>
      </c>
      <c r="AQ271" s="35"/>
      <c r="AR271" s="35" t="str" cm="1">
        <f t="array" ref="AR271">IFERROR(_xlfn.IFS(AND(E271*1=1,F271="Included"),"Change to Included",AND(E271*1=0,F271="Optional"),"Change to Optional",OR(B271="",F271="replaced"),""),"")</f>
        <v/>
      </c>
      <c r="AS271" s="35" t="str">
        <f t="shared" si="75"/>
        <v/>
      </c>
      <c r="AT271" s="35" t="str">
        <f t="shared" si="76"/>
        <v/>
      </c>
      <c r="AU271" s="35" t="str">
        <f t="shared" si="77"/>
        <v/>
      </c>
      <c r="AV271" s="35" t="str">
        <f t="shared" si="78"/>
        <v/>
      </c>
      <c r="AW271" s="35" t="str">
        <f t="shared" si="79"/>
        <v/>
      </c>
      <c r="AX271" s="35" t="str">
        <f t="shared" si="80"/>
        <v/>
      </c>
      <c r="AY271" s="35" t="str">
        <f t="shared" si="81"/>
        <v/>
      </c>
      <c r="AZ271" s="35" t="str">
        <f t="shared" si="82"/>
        <v/>
      </c>
      <c r="BA271" s="35" t="str">
        <f t="shared" si="83"/>
        <v/>
      </c>
      <c r="BB271" s="35" t="str">
        <f t="shared" si="84"/>
        <v/>
      </c>
      <c r="BC271" s="35"/>
      <c r="BE271" s="35" t="e">
        <f>INDEX(SF_Output!$AA$2:$AA$400,MATCH($B271,SF_Output!$M$2:$M$400,0))</f>
        <v>#N/A</v>
      </c>
      <c r="BF271" s="35" t="e">
        <f>INDEX(SF_Output!$AB$2:$AB$400,MATCH($B271,SF_Output!$M$2:$M$400,0))</f>
        <v>#N/A</v>
      </c>
    </row>
    <row r="272" spans="6:58" x14ac:dyDescent="0.25">
      <c r="F272" s="116" t="str">
        <f t="shared" si="68"/>
        <v/>
      </c>
      <c r="G272" t="str">
        <f>IF(B272="","",INDEX(SF_Output!$K$1:$K$400,MATCH(B272,SF_Output!$M$1:$M$400,0)))</f>
        <v/>
      </c>
      <c r="H272" t="str" cm="1">
        <f t="array" ref="H272">_xlfn.IFS(B272="","",(SUMIFS(SF_Output!$F$1:$F$400,SF_Output!$AC$1:$AC$400,_xlfn.TEXTJOIN(",",TRUE,B272:E272))+SUMIFS(SF_Output!$G$1:$G$400,SF_Output!$AC$1:$AC$400,_xlfn.TEXTJOIN(",",TRUE,B272:E272)))&lt;&gt;0,SF_Output!$Y$2,INDEX(SF_Output!$F$1:$F$400,MATCH(_xlfn.TEXTJOIN(",",TRUE,B272:E272),SF_Output!$AC$1:$AC$400,0))=0,INDEX(SF_Output!$R$1:$R$400,MATCH(_xlfn.TEXTJOIN(",",TRUE,B272:E272),SF_Output!$AC$1:$AC$400,0)))</f>
        <v/>
      </c>
      <c r="I272" s="125" t="str">
        <f>IFERROR(IF(AND(H272&gt;1,H272&lt;&gt;""),ROUND(SUMIFS(SF_Output!$S$1:$S$400,SF_Output!$AC$1:$AC$400,_xlfn.TEXTJOIN(",",TRUE,B272:E272),SF_Output!$Q$1:$Q$400,"monthly")*(1-W272)/H272,4),""),"")</f>
        <v/>
      </c>
      <c r="J272" s="6" t="str">
        <f>IF(B272="","",SUMIFS(SF_Output!$S$1:$S$400,SF_Output!$AC$1:$AC$400,_xlfn.TEXTJOIN(",",TRUE,B272:E272),SF_Output!$Q$1:$Q$400,"One Time",SF_Output!$L$1:$L$400,"license fee")+SUMIFS(SF_Output!$S$1:$S$400,SF_Output!$AC$1:$AC$400,_xlfn.TEXTJOIN(",",TRUE,B272:E272),SF_Output!$Q$1:$Q$400,"One Time",SF_Output!$L$1:$L$400,"software license")+SUMIFS(SF_Output!$S$1:$S$400,SF_Output!$AC$1:$AC$400,_xlfn.TEXTJOIN(",",TRUE,B272:E272),SF_Output!$Q$1:$Q$400,"One Time",SF_Output!$L$1:$L$400,"hardware"))</f>
        <v/>
      </c>
      <c r="K272" s="112" t="str">
        <f>IF(OR(B272=0,B272="",G272="hardware",J272=0),"",IF(AF272&lt;&gt;"exclusion",MAX(K$9,-((SUMIFS(SF_Output!$T$1:$T$400,SF_Output!$AC$1:$AC$400,_xlfn.TEXTJOIN(",",TRUE,$B272:$E272),SF_Output!$Q$1:$Q$400,"One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license"))/J272)))</f>
        <v/>
      </c>
      <c r="L272" s="6" t="str">
        <f t="shared" si="69"/>
        <v/>
      </c>
      <c r="N272" s="6" t="str">
        <f>IF(B272="","",SUMIFS(SF_Output!$S$1:$S$400,SF_Output!$AC$1:$AC$400,_xlfn.TEXTJOIN(",",TRUE,B272:E272),SF_Output!$Q$1:$Q$400,"One Time",SF_Output!$L$1:$L$400,"professional service"))</f>
        <v/>
      </c>
      <c r="O272" s="112" t="str">
        <f>IF(OR(B272=0,B272="",N272=0),"",IF(AF272&lt;&gt;"exclusion",MAX(O$9,-(SUMIFS(SF_Output!$T$1:$T$400,SF_Output!$AC$1:$AC$400,_xlfn.TEXTJOIN(",",TRUE,$B272:$E272),SF_Output!$Q$1:$Q$400,"One Time",SF_Output!$L$1:$L$400,"professional service"))/N272),-((SUMIFS(SF_Output!$T$1:$T$400,SF_Output!$AC$1:$AC$400,_xlfn.TEXTJOIN(",",TRUE,$B272:$E272),SF_Output!$Q$1:$Q$400,"One Time",SF_Output!$L$1:$L$400,"professional service")/N272))))</f>
        <v/>
      </c>
      <c r="P272" s="6" t="str">
        <f t="shared" si="70"/>
        <v/>
      </c>
      <c r="R272" s="6" t="str">
        <f>IF(B272="","",SUMIFS(SF_Output!$S$1:$S$400,SF_Output!$AC$1:$AC$400,_xlfn.TEXTJOIN(",",TRUE,B272:E272),SF_Output!$Q$1:$Q$400,"yearly")+SUMIFS(SF_Output!$S$1:$S$400,SF_Output!$AC$1:$AC$400,_xlfn.TEXTJOIN(",",TRUE,B272:E272),SF_Output!$Q$1:$Q$400,"quarterly")*4)</f>
        <v/>
      </c>
      <c r="S272" s="112" t="str">
        <f>IF(OR(B272=0,B272="",G272="hardware",R272=0),"",IF(AF272&lt;&gt;"exclusion",MAX(S$9,-(SUMIFS(SF_Output!$T$1:$T$400,SF_Output!$AC$1:$AC$400,_xlfn.TEXTJOIN(",",TRUE,$B272:$E272),SF_Output!$Q$1:$Q$400,"yearly"))/R272),-((SUMIFS(SF_Output!$T$1:$T$400,SF_Output!$AC$1:$AC$400,_xlfn.TEXTJOIN(",",TRUE,$B272:$E272),SF_Output!$Q$1:$Q$400,"yearly")/R272))))</f>
        <v/>
      </c>
      <c r="T272" s="6" t="str">
        <f t="shared" si="71"/>
        <v/>
      </c>
      <c r="V272" s="6" t="str" cm="1">
        <f t="array" ref="V272">_xlfn.IFS(B272="","",AND(B272&lt;&gt;"",H272=SF_Output!$Y$2,SUMIFS(SF_Output!$T$1:$T$400,SF_Output!$AC$1:$AC$400,_xlfn.TEXTJOIN(",",TRUE,B272:E272),SF_Output!$Q$1:$Q$400,"monthly")=0),(SUMIFS(SF_Output!$F$1:$F$400,SF_Output!$AC$1:$AC$400,_xlfn.TEXTJOIN(",",TRUE,B272:E272),SF_Output!$Q$1:$Q$400,"monthly")+SUMIFS(SF_Output!$G$1:$G$400,SF_Output!$AC$1:$AC$400,_xlfn.TEXTJOIN(",",TRUE,B272:E272),SF_Output!$Q$1:$Q$400,"monthly"))*H272,AND(B272&lt;&gt;"",H272=SF_Output!$Y$2,SUMIFS(SF_Output!$T$1:$T$400,SF_Output!$AC$1:$AC$400,_xlfn.TEXTJOIN(",",TRUE,B272:E272),SF_Output!$Q$1:$Q$400,"monthly")&lt;&gt;0),SUMIFS(SF_Output!$S$1:$S$400,SF_Output!$AC$1:$AC$400,_xlfn.TEXTJOIN(",",TRUE,B272:E272),SF_Output!$Q$1:$Q$400,"monthly"),AND(B272&lt;&gt;"",H272&lt;&gt;SF_Output!$Y$2),SUMIFS(SF_Output!$S$1:$S$400,SF_Output!$AC$1:$AC$400,_xlfn.TEXTJOIN(",",TRUE,B272:E272),SF_Output!$Q$1:$Q$400,"monthly"))</f>
        <v/>
      </c>
      <c r="W272" s="112" t="str" cm="1">
        <f t="array" ref="W272">_xlfn.IFS(OR(B272=0,B272="",V272=0),"",AF272&lt;&gt;"exclusion",MAX($W$9,$W$7,(-(SUMIFS(SF_Output!$T$1:$T$400,SF_Output!$AC$1:$AC$400,_xlfn.TEXTJOIN(",",TRUE,$B272:$E272),SF_Output!$Q$1:$Q$400,"monthly"))/V272)),AF272="exclusion",-(SUMIFS(SF_Output!$T$1:$T$400,SF_Output!$AC$1:$AC$400,_xlfn.TEXTJOIN(",",TRUE,$B272:$E272),SF_Output!$Q$1:$Q$400,"monthly"))/V272)</f>
        <v/>
      </c>
      <c r="X272" s="6" t="str" cm="1">
        <f t="array" ref="X272">IFERROR(_xlfn.IFS(V272=0,0,V272="","",W272=0,V272,OR(V272&lt;&gt;0,V272&lt;&gt;""),H272*I272),V272*(1-W272))</f>
        <v/>
      </c>
      <c r="Z272" s="6" t="str">
        <f>IFERROR(IF(B272="","",SUMIFS(Billing_Fallout!H:H,Billing_Fallout!N:N,B272)),0)</f>
        <v/>
      </c>
      <c r="AA272" s="6" t="str">
        <f t="shared" si="72"/>
        <v/>
      </c>
      <c r="AB272" s="6" t="str">
        <f>IFERROR(IF(B272="","",SUMIFS(Billing_Fallout!J:J,Billing_Fallout!N:N,B272)),0)</f>
        <v/>
      </c>
      <c r="AD272" s="6" t="str">
        <f t="shared" si="73"/>
        <v/>
      </c>
      <c r="AF272" t="str">
        <f>IFERROR(INDEX(H_Tables!$B$1:$B$1500,MATCH(INDEX(SF_Output!$J$1:$J$400,MATCH(B272,SF_Output!$M$1:$M$400,0)),H_Tables!$A$1:$A$1500,0)),"")</f>
        <v/>
      </c>
      <c r="AI272" s="119" t="str">
        <f t="shared" si="74"/>
        <v/>
      </c>
      <c r="AJ272" s="121">
        <f>IFERROR(INDEX(SF_Output!AD:AD,MATCH(_xlfn.TEXTJOIN(",",TRUE,B272:E272),SF_Output!AC23:AC422,0)),0.05)</f>
        <v>219</v>
      </c>
      <c r="AK272" t="str">
        <f>IF(SUMIFS(SF_Output!$F$1:$F$400,SF_Output!$AC$1:$AC$400,_xlfn.TEXTJOIN(",",TRUE,B272:E272))+SUMIFS(SF_Output!$G$1:$G$400,SF_Output!$AC$1:$AC$400,_xlfn.TEXTJOIN(",",TRUE,B272:E272))=0,"","PAP")</f>
        <v/>
      </c>
      <c r="AQ272" s="35"/>
      <c r="AR272" s="35" t="str" cm="1">
        <f t="array" ref="AR272">IFERROR(_xlfn.IFS(AND(E272*1=1,F272="Included"),"Change to Included",AND(E272*1=0,F272="Optional"),"Change to Optional",OR(B272="",F272="replaced"),""),"")</f>
        <v/>
      </c>
      <c r="AS272" s="35" t="str">
        <f t="shared" si="75"/>
        <v/>
      </c>
      <c r="AT272" s="35" t="str">
        <f t="shared" si="76"/>
        <v/>
      </c>
      <c r="AU272" s="35" t="str">
        <f t="shared" si="77"/>
        <v/>
      </c>
      <c r="AV272" s="35" t="str">
        <f t="shared" si="78"/>
        <v/>
      </c>
      <c r="AW272" s="35" t="str">
        <f t="shared" si="79"/>
        <v/>
      </c>
      <c r="AX272" s="35" t="str">
        <f t="shared" si="80"/>
        <v/>
      </c>
      <c r="AY272" s="35" t="str">
        <f t="shared" si="81"/>
        <v/>
      </c>
      <c r="AZ272" s="35" t="str">
        <f t="shared" si="82"/>
        <v/>
      </c>
      <c r="BA272" s="35" t="str">
        <f t="shared" si="83"/>
        <v/>
      </c>
      <c r="BB272" s="35" t="str">
        <f t="shared" si="84"/>
        <v/>
      </c>
      <c r="BC272" s="35"/>
      <c r="BE272" s="35" t="e">
        <f>INDEX(SF_Output!$AA$2:$AA$400,MATCH($B272,SF_Output!$M$2:$M$400,0))</f>
        <v>#N/A</v>
      </c>
      <c r="BF272" s="35" t="e">
        <f>INDEX(SF_Output!$AB$2:$AB$400,MATCH($B272,SF_Output!$M$2:$M$400,0))</f>
        <v>#N/A</v>
      </c>
    </row>
    <row r="273" spans="6:58" x14ac:dyDescent="0.25">
      <c r="F273" s="116" t="str">
        <f t="shared" si="68"/>
        <v/>
      </c>
      <c r="G273" t="str">
        <f>IF(B273="","",INDEX(SF_Output!$K$1:$K$400,MATCH(B273,SF_Output!$M$1:$M$400,0)))</f>
        <v/>
      </c>
      <c r="H273" t="str" cm="1">
        <f t="array" ref="H273">_xlfn.IFS(B273="","",(SUMIFS(SF_Output!$F$1:$F$400,SF_Output!$AC$1:$AC$400,_xlfn.TEXTJOIN(",",TRUE,B273:E273))+SUMIFS(SF_Output!$G$1:$G$400,SF_Output!$AC$1:$AC$400,_xlfn.TEXTJOIN(",",TRUE,B273:E273)))&lt;&gt;0,SF_Output!$Y$2,INDEX(SF_Output!$F$1:$F$400,MATCH(_xlfn.TEXTJOIN(",",TRUE,B273:E273),SF_Output!$AC$1:$AC$400,0))=0,INDEX(SF_Output!$R$1:$R$400,MATCH(_xlfn.TEXTJOIN(",",TRUE,B273:E273),SF_Output!$AC$1:$AC$400,0)))</f>
        <v/>
      </c>
      <c r="I273" s="125" t="str">
        <f>IFERROR(IF(AND(H273&gt;1,H273&lt;&gt;""),ROUND(SUMIFS(SF_Output!$S$1:$S$400,SF_Output!$AC$1:$AC$400,_xlfn.TEXTJOIN(",",TRUE,B273:E273),SF_Output!$Q$1:$Q$400,"monthly")*(1-W273)/H273,4),""),"")</f>
        <v/>
      </c>
      <c r="J273" s="6" t="str">
        <f>IF(B273="","",SUMIFS(SF_Output!$S$1:$S$400,SF_Output!$AC$1:$AC$400,_xlfn.TEXTJOIN(",",TRUE,B273:E273),SF_Output!$Q$1:$Q$400,"One Time",SF_Output!$L$1:$L$400,"license fee")+SUMIFS(SF_Output!$S$1:$S$400,SF_Output!$AC$1:$AC$400,_xlfn.TEXTJOIN(",",TRUE,B273:E273),SF_Output!$Q$1:$Q$400,"One Time",SF_Output!$L$1:$L$400,"software license")+SUMIFS(SF_Output!$S$1:$S$400,SF_Output!$AC$1:$AC$400,_xlfn.TEXTJOIN(",",TRUE,B273:E273),SF_Output!$Q$1:$Q$400,"One Time",SF_Output!$L$1:$L$400,"hardware"))</f>
        <v/>
      </c>
      <c r="K273" s="112" t="str">
        <f>IF(OR(B273=0,B273="",G273="hardware",J273=0),"",IF(AF273&lt;&gt;"exclusion",MAX(K$9,-((SUMIFS(SF_Output!$T$1:$T$400,SF_Output!$AC$1:$AC$400,_xlfn.TEXTJOIN(",",TRUE,$B273:$E273),SF_Output!$Q$1:$Q$400,"One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license"))/J273)))</f>
        <v/>
      </c>
      <c r="L273" s="6" t="str">
        <f t="shared" si="69"/>
        <v/>
      </c>
      <c r="N273" s="6" t="str">
        <f>IF(B273="","",SUMIFS(SF_Output!$S$1:$S$400,SF_Output!$AC$1:$AC$400,_xlfn.TEXTJOIN(",",TRUE,B273:E273),SF_Output!$Q$1:$Q$400,"One Time",SF_Output!$L$1:$L$400,"professional service"))</f>
        <v/>
      </c>
      <c r="O273" s="112" t="str">
        <f>IF(OR(B273=0,B273="",N273=0),"",IF(AF273&lt;&gt;"exclusion",MAX(O$9,-(SUMIFS(SF_Output!$T$1:$T$400,SF_Output!$AC$1:$AC$400,_xlfn.TEXTJOIN(",",TRUE,$B273:$E273),SF_Output!$Q$1:$Q$400,"One Time",SF_Output!$L$1:$L$400,"professional service"))/N273),-((SUMIFS(SF_Output!$T$1:$T$400,SF_Output!$AC$1:$AC$400,_xlfn.TEXTJOIN(",",TRUE,$B273:$E273),SF_Output!$Q$1:$Q$400,"One Time",SF_Output!$L$1:$L$400,"professional service")/N273))))</f>
        <v/>
      </c>
      <c r="P273" s="6" t="str">
        <f t="shared" si="70"/>
        <v/>
      </c>
      <c r="R273" s="6" t="str">
        <f>IF(B273="","",SUMIFS(SF_Output!$S$1:$S$400,SF_Output!$AC$1:$AC$400,_xlfn.TEXTJOIN(",",TRUE,B273:E273),SF_Output!$Q$1:$Q$400,"yearly")+SUMIFS(SF_Output!$S$1:$S$400,SF_Output!$AC$1:$AC$400,_xlfn.TEXTJOIN(",",TRUE,B273:E273),SF_Output!$Q$1:$Q$400,"quarterly")*4)</f>
        <v/>
      </c>
      <c r="S273" s="112" t="str">
        <f>IF(OR(B273=0,B273="",G273="hardware",R273=0),"",IF(AF273&lt;&gt;"exclusion",MAX(S$9,-(SUMIFS(SF_Output!$T$1:$T$400,SF_Output!$AC$1:$AC$400,_xlfn.TEXTJOIN(",",TRUE,$B273:$E273),SF_Output!$Q$1:$Q$400,"yearly"))/R273),-((SUMIFS(SF_Output!$T$1:$T$400,SF_Output!$AC$1:$AC$400,_xlfn.TEXTJOIN(",",TRUE,$B273:$E273),SF_Output!$Q$1:$Q$400,"yearly")/R273))))</f>
        <v/>
      </c>
      <c r="T273" s="6" t="str">
        <f t="shared" si="71"/>
        <v/>
      </c>
      <c r="V273" s="6" t="str" cm="1">
        <f t="array" ref="V273">_xlfn.IFS(B273="","",AND(B273&lt;&gt;"",H273=SF_Output!$Y$2,SUMIFS(SF_Output!$T$1:$T$400,SF_Output!$AC$1:$AC$400,_xlfn.TEXTJOIN(",",TRUE,B273:E273),SF_Output!$Q$1:$Q$400,"monthly")=0),(SUMIFS(SF_Output!$F$1:$F$400,SF_Output!$AC$1:$AC$400,_xlfn.TEXTJOIN(",",TRUE,B273:E273),SF_Output!$Q$1:$Q$400,"monthly")+SUMIFS(SF_Output!$G$1:$G$400,SF_Output!$AC$1:$AC$400,_xlfn.TEXTJOIN(",",TRUE,B273:E273),SF_Output!$Q$1:$Q$400,"monthly"))*H273,AND(B273&lt;&gt;"",H273=SF_Output!$Y$2,SUMIFS(SF_Output!$T$1:$T$400,SF_Output!$AC$1:$AC$400,_xlfn.TEXTJOIN(",",TRUE,B273:E273),SF_Output!$Q$1:$Q$400,"monthly")&lt;&gt;0),SUMIFS(SF_Output!$S$1:$S$400,SF_Output!$AC$1:$AC$400,_xlfn.TEXTJOIN(",",TRUE,B273:E273),SF_Output!$Q$1:$Q$400,"monthly"),AND(B273&lt;&gt;"",H273&lt;&gt;SF_Output!$Y$2),SUMIFS(SF_Output!$S$1:$S$400,SF_Output!$AC$1:$AC$400,_xlfn.TEXTJOIN(",",TRUE,B273:E273),SF_Output!$Q$1:$Q$400,"monthly"))</f>
        <v/>
      </c>
      <c r="W273" s="112" t="str" cm="1">
        <f t="array" ref="W273">_xlfn.IFS(OR(B273=0,B273="",V273=0),"",AF273&lt;&gt;"exclusion",MAX($W$9,$W$7,(-(SUMIFS(SF_Output!$T$1:$T$400,SF_Output!$AC$1:$AC$400,_xlfn.TEXTJOIN(",",TRUE,$B273:$E273),SF_Output!$Q$1:$Q$400,"monthly"))/V273)),AF273="exclusion",-(SUMIFS(SF_Output!$T$1:$T$400,SF_Output!$AC$1:$AC$400,_xlfn.TEXTJOIN(",",TRUE,$B273:$E273),SF_Output!$Q$1:$Q$400,"monthly"))/V273)</f>
        <v/>
      </c>
      <c r="X273" s="6" t="str" cm="1">
        <f t="array" ref="X273">IFERROR(_xlfn.IFS(V273=0,0,V273="","",W273=0,V273,OR(V273&lt;&gt;0,V273&lt;&gt;""),H273*I273),V273*(1-W273))</f>
        <v/>
      </c>
      <c r="Z273" s="6" t="str">
        <f>IFERROR(IF(B273="","",SUMIFS(Billing_Fallout!H:H,Billing_Fallout!N:N,B273)),0)</f>
        <v/>
      </c>
      <c r="AA273" s="6" t="str">
        <f t="shared" si="72"/>
        <v/>
      </c>
      <c r="AB273" s="6" t="str">
        <f>IFERROR(IF(B273="","",SUMIFS(Billing_Fallout!J:J,Billing_Fallout!N:N,B273)),0)</f>
        <v/>
      </c>
      <c r="AD273" s="6" t="str">
        <f t="shared" si="73"/>
        <v/>
      </c>
      <c r="AF273" t="str">
        <f>IFERROR(INDEX(H_Tables!$B$1:$B$1500,MATCH(INDEX(SF_Output!$J$1:$J$400,MATCH(B273,SF_Output!$M$1:$M$400,0)),H_Tables!$A$1:$A$1500,0)),"")</f>
        <v/>
      </c>
      <c r="AI273" s="119" t="str">
        <f t="shared" si="74"/>
        <v/>
      </c>
      <c r="AJ273" s="121">
        <f>IFERROR(INDEX(SF_Output!AD:AD,MATCH(_xlfn.TEXTJOIN(",",TRUE,B273:E273),SF_Output!AC24:AC423,0)),0.05)</f>
        <v>218</v>
      </c>
      <c r="AK273" t="str">
        <f>IF(SUMIFS(SF_Output!$F$1:$F$400,SF_Output!$AC$1:$AC$400,_xlfn.TEXTJOIN(",",TRUE,B273:E273))+SUMIFS(SF_Output!$G$1:$G$400,SF_Output!$AC$1:$AC$400,_xlfn.TEXTJOIN(",",TRUE,B273:E273))=0,"","PAP")</f>
        <v/>
      </c>
      <c r="AQ273" s="35"/>
      <c r="AR273" s="35" t="str" cm="1">
        <f t="array" ref="AR273">IFERROR(_xlfn.IFS(AND(E273*1=1,F273="Included"),"Change to Included",AND(E273*1=0,F273="Optional"),"Change to Optional",OR(B273="",F273="replaced"),""),"")</f>
        <v/>
      </c>
      <c r="AS273" s="35" t="str">
        <f t="shared" si="75"/>
        <v/>
      </c>
      <c r="AT273" s="35" t="str">
        <f t="shared" si="76"/>
        <v/>
      </c>
      <c r="AU273" s="35" t="str">
        <f t="shared" si="77"/>
        <v/>
      </c>
      <c r="AV273" s="35" t="str">
        <f t="shared" si="78"/>
        <v/>
      </c>
      <c r="AW273" s="35" t="str">
        <f t="shared" si="79"/>
        <v/>
      </c>
      <c r="AX273" s="35" t="str">
        <f t="shared" si="80"/>
        <v/>
      </c>
      <c r="AY273" s="35" t="str">
        <f t="shared" si="81"/>
        <v/>
      </c>
      <c r="AZ273" s="35" t="str">
        <f t="shared" si="82"/>
        <v/>
      </c>
      <c r="BA273" s="35" t="str">
        <f t="shared" si="83"/>
        <v/>
      </c>
      <c r="BB273" s="35" t="str">
        <f t="shared" si="84"/>
        <v/>
      </c>
      <c r="BC273" s="35"/>
      <c r="BE273" s="35" t="e">
        <f>INDEX(SF_Output!$AA$2:$AA$400,MATCH($B273,SF_Output!$M$2:$M$400,0))</f>
        <v>#N/A</v>
      </c>
      <c r="BF273" s="35" t="e">
        <f>INDEX(SF_Output!$AB$2:$AB$400,MATCH($B273,SF_Output!$M$2:$M$400,0))</f>
        <v>#N/A</v>
      </c>
    </row>
    <row r="274" spans="6:58" x14ac:dyDescent="0.25">
      <c r="F274" s="116" t="str">
        <f t="shared" si="68"/>
        <v/>
      </c>
      <c r="G274" t="str">
        <f>IF(B274="","",INDEX(SF_Output!$K$1:$K$400,MATCH(B274,SF_Output!$M$1:$M$400,0)))</f>
        <v/>
      </c>
      <c r="H274" t="str" cm="1">
        <f t="array" ref="H274">_xlfn.IFS(B274="","",(SUMIFS(SF_Output!$F$1:$F$400,SF_Output!$AC$1:$AC$400,_xlfn.TEXTJOIN(",",TRUE,B274:E274))+SUMIFS(SF_Output!$G$1:$G$400,SF_Output!$AC$1:$AC$400,_xlfn.TEXTJOIN(",",TRUE,B274:E274)))&lt;&gt;0,SF_Output!$Y$2,INDEX(SF_Output!$F$1:$F$400,MATCH(_xlfn.TEXTJOIN(",",TRUE,B274:E274),SF_Output!$AC$1:$AC$400,0))=0,INDEX(SF_Output!$R$1:$R$400,MATCH(_xlfn.TEXTJOIN(",",TRUE,B274:E274),SF_Output!$AC$1:$AC$400,0)))</f>
        <v/>
      </c>
      <c r="I274" s="125" t="str">
        <f>IFERROR(IF(AND(H274&gt;1,H274&lt;&gt;""),ROUND(SUMIFS(SF_Output!$S$1:$S$400,SF_Output!$AC$1:$AC$400,_xlfn.TEXTJOIN(",",TRUE,B274:E274),SF_Output!$Q$1:$Q$400,"monthly")*(1-W274)/H274,4),""),"")</f>
        <v/>
      </c>
      <c r="J274" s="6" t="str">
        <f>IF(B274="","",SUMIFS(SF_Output!$S$1:$S$400,SF_Output!$AC$1:$AC$400,_xlfn.TEXTJOIN(",",TRUE,B274:E274),SF_Output!$Q$1:$Q$400,"One Time",SF_Output!$L$1:$L$400,"license fee")+SUMIFS(SF_Output!$S$1:$S$400,SF_Output!$AC$1:$AC$400,_xlfn.TEXTJOIN(",",TRUE,B274:E274),SF_Output!$Q$1:$Q$400,"One Time",SF_Output!$L$1:$L$400,"software license")+SUMIFS(SF_Output!$S$1:$S$400,SF_Output!$AC$1:$AC$400,_xlfn.TEXTJOIN(",",TRUE,B274:E274),SF_Output!$Q$1:$Q$400,"One Time",SF_Output!$L$1:$L$400,"hardware"))</f>
        <v/>
      </c>
      <c r="K274" s="112" t="str">
        <f>IF(OR(B274=0,B274="",G274="hardware",J274=0),"",IF(AF274&lt;&gt;"exclusion",MAX(K$9,-((SUMIFS(SF_Output!$T$1:$T$400,SF_Output!$AC$1:$AC$400,_xlfn.TEXTJOIN(",",TRUE,$B274:$E274),SF_Output!$Q$1:$Q$400,"One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license"))/J274)))</f>
        <v/>
      </c>
      <c r="L274" s="6" t="str">
        <f t="shared" si="69"/>
        <v/>
      </c>
      <c r="N274" s="6" t="str">
        <f>IF(B274="","",SUMIFS(SF_Output!$S$1:$S$400,SF_Output!$AC$1:$AC$400,_xlfn.TEXTJOIN(",",TRUE,B274:E274),SF_Output!$Q$1:$Q$400,"One Time",SF_Output!$L$1:$L$400,"professional service"))</f>
        <v/>
      </c>
      <c r="O274" s="112" t="str">
        <f>IF(OR(B274=0,B274="",N274=0),"",IF(AF274&lt;&gt;"exclusion",MAX(O$9,-(SUMIFS(SF_Output!$T$1:$T$400,SF_Output!$AC$1:$AC$400,_xlfn.TEXTJOIN(",",TRUE,$B274:$E274),SF_Output!$Q$1:$Q$400,"One Time",SF_Output!$L$1:$L$400,"professional service"))/N274),-((SUMIFS(SF_Output!$T$1:$T$400,SF_Output!$AC$1:$AC$400,_xlfn.TEXTJOIN(",",TRUE,$B274:$E274),SF_Output!$Q$1:$Q$400,"One Time",SF_Output!$L$1:$L$400,"professional service")/N274))))</f>
        <v/>
      </c>
      <c r="P274" s="6" t="str">
        <f t="shared" si="70"/>
        <v/>
      </c>
      <c r="R274" s="6" t="str">
        <f>IF(B274="","",SUMIFS(SF_Output!$S$1:$S$400,SF_Output!$AC$1:$AC$400,_xlfn.TEXTJOIN(",",TRUE,B274:E274),SF_Output!$Q$1:$Q$400,"yearly")+SUMIFS(SF_Output!$S$1:$S$400,SF_Output!$AC$1:$AC$400,_xlfn.TEXTJOIN(",",TRUE,B274:E274),SF_Output!$Q$1:$Q$400,"quarterly")*4)</f>
        <v/>
      </c>
      <c r="S274" s="112" t="str">
        <f>IF(OR(B274=0,B274="",G274="hardware",R274=0),"",IF(AF274&lt;&gt;"exclusion",MAX(S$9,-(SUMIFS(SF_Output!$T$1:$T$400,SF_Output!$AC$1:$AC$400,_xlfn.TEXTJOIN(",",TRUE,$B274:$E274),SF_Output!$Q$1:$Q$400,"yearly"))/R274),-((SUMIFS(SF_Output!$T$1:$T$400,SF_Output!$AC$1:$AC$400,_xlfn.TEXTJOIN(",",TRUE,$B274:$E274),SF_Output!$Q$1:$Q$400,"yearly")/R274))))</f>
        <v/>
      </c>
      <c r="T274" s="6" t="str">
        <f t="shared" si="71"/>
        <v/>
      </c>
      <c r="V274" s="6" t="str" cm="1">
        <f t="array" ref="V274">_xlfn.IFS(B274="","",AND(B274&lt;&gt;"",H274=SF_Output!$Y$2,SUMIFS(SF_Output!$T$1:$T$400,SF_Output!$AC$1:$AC$400,_xlfn.TEXTJOIN(",",TRUE,B274:E274),SF_Output!$Q$1:$Q$400,"monthly")=0),(SUMIFS(SF_Output!$F$1:$F$400,SF_Output!$AC$1:$AC$400,_xlfn.TEXTJOIN(",",TRUE,B274:E274),SF_Output!$Q$1:$Q$400,"monthly")+SUMIFS(SF_Output!$G$1:$G$400,SF_Output!$AC$1:$AC$400,_xlfn.TEXTJOIN(",",TRUE,B274:E274),SF_Output!$Q$1:$Q$400,"monthly"))*H274,AND(B274&lt;&gt;"",H274=SF_Output!$Y$2,SUMIFS(SF_Output!$T$1:$T$400,SF_Output!$AC$1:$AC$400,_xlfn.TEXTJOIN(",",TRUE,B274:E274),SF_Output!$Q$1:$Q$400,"monthly")&lt;&gt;0),SUMIFS(SF_Output!$S$1:$S$400,SF_Output!$AC$1:$AC$400,_xlfn.TEXTJOIN(",",TRUE,B274:E274),SF_Output!$Q$1:$Q$400,"monthly"),AND(B274&lt;&gt;"",H274&lt;&gt;SF_Output!$Y$2),SUMIFS(SF_Output!$S$1:$S$400,SF_Output!$AC$1:$AC$400,_xlfn.TEXTJOIN(",",TRUE,B274:E274),SF_Output!$Q$1:$Q$400,"monthly"))</f>
        <v/>
      </c>
      <c r="W274" s="112" t="str" cm="1">
        <f t="array" ref="W274">_xlfn.IFS(OR(B274=0,B274="",V274=0),"",AF274&lt;&gt;"exclusion",MAX($W$9,$W$7,(-(SUMIFS(SF_Output!$T$1:$T$400,SF_Output!$AC$1:$AC$400,_xlfn.TEXTJOIN(",",TRUE,$B274:$E274),SF_Output!$Q$1:$Q$400,"monthly"))/V274)),AF274="exclusion",-(SUMIFS(SF_Output!$T$1:$T$400,SF_Output!$AC$1:$AC$400,_xlfn.TEXTJOIN(",",TRUE,$B274:$E274),SF_Output!$Q$1:$Q$400,"monthly"))/V274)</f>
        <v/>
      </c>
      <c r="X274" s="6" t="str" cm="1">
        <f t="array" ref="X274">IFERROR(_xlfn.IFS(V274=0,0,V274="","",W274=0,V274,OR(V274&lt;&gt;0,V274&lt;&gt;""),H274*I274),V274*(1-W274))</f>
        <v/>
      </c>
      <c r="Z274" s="6" t="str">
        <f>IFERROR(IF(B274="","",SUMIFS(Billing_Fallout!H:H,Billing_Fallout!N:N,B274)),0)</f>
        <v/>
      </c>
      <c r="AA274" s="6" t="str">
        <f t="shared" si="72"/>
        <v/>
      </c>
      <c r="AB274" s="6" t="str">
        <f>IFERROR(IF(B274="","",SUMIFS(Billing_Fallout!J:J,Billing_Fallout!N:N,B274)),0)</f>
        <v/>
      </c>
      <c r="AD274" s="6" t="str">
        <f t="shared" si="73"/>
        <v/>
      </c>
      <c r="AF274" t="str">
        <f>IFERROR(INDEX(H_Tables!$B$1:$B$1500,MATCH(INDEX(SF_Output!$J$1:$J$400,MATCH(B274,SF_Output!$M$1:$M$400,0)),H_Tables!$A$1:$A$1500,0)),"")</f>
        <v/>
      </c>
      <c r="AI274" s="119" t="str">
        <f t="shared" si="74"/>
        <v/>
      </c>
      <c r="AJ274" s="121">
        <f>IFERROR(INDEX(SF_Output!AD:AD,MATCH(_xlfn.TEXTJOIN(",",TRUE,B274:E274),SF_Output!AC25:AC424,0)),0.05)</f>
        <v>217</v>
      </c>
      <c r="AK274" t="str">
        <f>IF(SUMIFS(SF_Output!$F$1:$F$400,SF_Output!$AC$1:$AC$400,_xlfn.TEXTJOIN(",",TRUE,B274:E274))+SUMIFS(SF_Output!$G$1:$G$400,SF_Output!$AC$1:$AC$400,_xlfn.TEXTJOIN(",",TRUE,B274:E274))=0,"","PAP")</f>
        <v/>
      </c>
      <c r="AQ274" s="35"/>
      <c r="AR274" s="35" t="str" cm="1">
        <f t="array" ref="AR274">IFERROR(_xlfn.IFS(AND(E274*1=1,F274="Included"),"Change to Included",AND(E274*1=0,F274="Optional"),"Change to Optional",OR(B274="",F274="replaced"),""),"")</f>
        <v/>
      </c>
      <c r="AS274" s="35" t="str">
        <f t="shared" si="75"/>
        <v/>
      </c>
      <c r="AT274" s="35" t="str">
        <f t="shared" si="76"/>
        <v/>
      </c>
      <c r="AU274" s="35" t="str">
        <f t="shared" si="77"/>
        <v/>
      </c>
      <c r="AV274" s="35" t="str">
        <f t="shared" si="78"/>
        <v/>
      </c>
      <c r="AW274" s="35" t="str">
        <f t="shared" si="79"/>
        <v/>
      </c>
      <c r="AX274" s="35" t="str">
        <f t="shared" si="80"/>
        <v/>
      </c>
      <c r="AY274" s="35" t="str">
        <f t="shared" si="81"/>
        <v/>
      </c>
      <c r="AZ274" s="35" t="str">
        <f t="shared" si="82"/>
        <v/>
      </c>
      <c r="BA274" s="35" t="str">
        <f t="shared" si="83"/>
        <v/>
      </c>
      <c r="BB274" s="35" t="str">
        <f t="shared" si="84"/>
        <v/>
      </c>
      <c r="BC274" s="35"/>
      <c r="BE274" s="35" t="e">
        <f>INDEX(SF_Output!$AA$2:$AA$400,MATCH($B274,SF_Output!$M$2:$M$400,0))</f>
        <v>#N/A</v>
      </c>
      <c r="BF274" s="35" t="e">
        <f>INDEX(SF_Output!$AB$2:$AB$400,MATCH($B274,SF_Output!$M$2:$M$400,0))</f>
        <v>#N/A</v>
      </c>
    </row>
    <row r="275" spans="6:58" x14ac:dyDescent="0.25">
      <c r="F275" s="116" t="str">
        <f t="shared" si="68"/>
        <v/>
      </c>
      <c r="G275" t="str">
        <f>IF(B275="","",INDEX(SF_Output!$K$1:$K$400,MATCH(B275,SF_Output!$M$1:$M$400,0)))</f>
        <v/>
      </c>
      <c r="H275" t="str" cm="1">
        <f t="array" ref="H275">_xlfn.IFS(B275="","",(SUMIFS(SF_Output!$F$1:$F$400,SF_Output!$AC$1:$AC$400,_xlfn.TEXTJOIN(",",TRUE,B275:E275))+SUMIFS(SF_Output!$G$1:$G$400,SF_Output!$AC$1:$AC$400,_xlfn.TEXTJOIN(",",TRUE,B275:E275)))&lt;&gt;0,SF_Output!$Y$2,INDEX(SF_Output!$F$1:$F$400,MATCH(_xlfn.TEXTJOIN(",",TRUE,B275:E275),SF_Output!$AC$1:$AC$400,0))=0,INDEX(SF_Output!$R$1:$R$400,MATCH(_xlfn.TEXTJOIN(",",TRUE,B275:E275),SF_Output!$AC$1:$AC$400,0)))</f>
        <v/>
      </c>
      <c r="I275" s="125" t="str">
        <f>IFERROR(IF(AND(H275&gt;1,H275&lt;&gt;""),ROUND(SUMIFS(SF_Output!$S$1:$S$400,SF_Output!$AC$1:$AC$400,_xlfn.TEXTJOIN(",",TRUE,B275:E275),SF_Output!$Q$1:$Q$400,"monthly")*(1-W275)/H275,4),""),"")</f>
        <v/>
      </c>
      <c r="J275" s="6" t="str">
        <f>IF(B275="","",SUMIFS(SF_Output!$S$1:$S$400,SF_Output!$AC$1:$AC$400,_xlfn.TEXTJOIN(",",TRUE,B275:E275),SF_Output!$Q$1:$Q$400,"One Time",SF_Output!$L$1:$L$400,"license fee")+SUMIFS(SF_Output!$S$1:$S$400,SF_Output!$AC$1:$AC$400,_xlfn.TEXTJOIN(",",TRUE,B275:E275),SF_Output!$Q$1:$Q$400,"One Time",SF_Output!$L$1:$L$400,"software license")+SUMIFS(SF_Output!$S$1:$S$400,SF_Output!$AC$1:$AC$400,_xlfn.TEXTJOIN(",",TRUE,B275:E275),SF_Output!$Q$1:$Q$400,"One Time",SF_Output!$L$1:$L$400,"hardware"))</f>
        <v/>
      </c>
      <c r="K275" s="112" t="str">
        <f>IF(OR(B275=0,B275="",G275="hardware",J275=0),"",IF(AF275&lt;&gt;"exclusion",MAX(K$9,-((SUMIFS(SF_Output!$T$1:$T$400,SF_Output!$AC$1:$AC$400,_xlfn.TEXTJOIN(",",TRUE,$B275:$E275),SF_Output!$Q$1:$Q$400,"One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license"))/J275)))</f>
        <v/>
      </c>
      <c r="L275" s="6" t="str">
        <f t="shared" si="69"/>
        <v/>
      </c>
      <c r="N275" s="6" t="str">
        <f>IF(B275="","",SUMIFS(SF_Output!$S$1:$S$400,SF_Output!$AC$1:$AC$400,_xlfn.TEXTJOIN(",",TRUE,B275:E275),SF_Output!$Q$1:$Q$400,"One Time",SF_Output!$L$1:$L$400,"professional service"))</f>
        <v/>
      </c>
      <c r="O275" s="112" t="str">
        <f>IF(OR(B275=0,B275="",N275=0),"",IF(AF275&lt;&gt;"exclusion",MAX(O$9,-(SUMIFS(SF_Output!$T$1:$T$400,SF_Output!$AC$1:$AC$400,_xlfn.TEXTJOIN(",",TRUE,$B275:$E275),SF_Output!$Q$1:$Q$400,"One Time",SF_Output!$L$1:$L$400,"professional service"))/N275),-((SUMIFS(SF_Output!$T$1:$T$400,SF_Output!$AC$1:$AC$400,_xlfn.TEXTJOIN(",",TRUE,$B275:$E275),SF_Output!$Q$1:$Q$400,"One Time",SF_Output!$L$1:$L$400,"professional service")/N275))))</f>
        <v/>
      </c>
      <c r="P275" s="6" t="str">
        <f t="shared" si="70"/>
        <v/>
      </c>
      <c r="R275" s="6" t="str">
        <f>IF(B275="","",SUMIFS(SF_Output!$S$1:$S$400,SF_Output!$AC$1:$AC$400,_xlfn.TEXTJOIN(",",TRUE,B275:E275),SF_Output!$Q$1:$Q$400,"yearly")+SUMIFS(SF_Output!$S$1:$S$400,SF_Output!$AC$1:$AC$400,_xlfn.TEXTJOIN(",",TRUE,B275:E275),SF_Output!$Q$1:$Q$400,"quarterly")*4)</f>
        <v/>
      </c>
      <c r="S275" s="112" t="str">
        <f>IF(OR(B275=0,B275="",G275="hardware",R275=0),"",IF(AF275&lt;&gt;"exclusion",MAX(S$9,-(SUMIFS(SF_Output!$T$1:$T$400,SF_Output!$AC$1:$AC$400,_xlfn.TEXTJOIN(",",TRUE,$B275:$E275),SF_Output!$Q$1:$Q$400,"yearly"))/R275),-((SUMIFS(SF_Output!$T$1:$T$400,SF_Output!$AC$1:$AC$400,_xlfn.TEXTJOIN(",",TRUE,$B275:$E275),SF_Output!$Q$1:$Q$400,"yearly")/R275))))</f>
        <v/>
      </c>
      <c r="T275" s="6" t="str">
        <f t="shared" si="71"/>
        <v/>
      </c>
      <c r="V275" s="6" t="str" cm="1">
        <f t="array" ref="V275">_xlfn.IFS(B275="","",AND(B275&lt;&gt;"",H275=SF_Output!$Y$2,SUMIFS(SF_Output!$T$1:$T$400,SF_Output!$AC$1:$AC$400,_xlfn.TEXTJOIN(",",TRUE,B275:E275),SF_Output!$Q$1:$Q$400,"monthly")=0),(SUMIFS(SF_Output!$F$1:$F$400,SF_Output!$AC$1:$AC$400,_xlfn.TEXTJOIN(",",TRUE,B275:E275),SF_Output!$Q$1:$Q$400,"monthly")+SUMIFS(SF_Output!$G$1:$G$400,SF_Output!$AC$1:$AC$400,_xlfn.TEXTJOIN(",",TRUE,B275:E275),SF_Output!$Q$1:$Q$400,"monthly"))*H275,AND(B275&lt;&gt;"",H275=SF_Output!$Y$2,SUMIFS(SF_Output!$T$1:$T$400,SF_Output!$AC$1:$AC$400,_xlfn.TEXTJOIN(",",TRUE,B275:E275),SF_Output!$Q$1:$Q$400,"monthly")&lt;&gt;0),SUMIFS(SF_Output!$S$1:$S$400,SF_Output!$AC$1:$AC$400,_xlfn.TEXTJOIN(",",TRUE,B275:E275),SF_Output!$Q$1:$Q$400,"monthly"),AND(B275&lt;&gt;"",H275&lt;&gt;SF_Output!$Y$2),SUMIFS(SF_Output!$S$1:$S$400,SF_Output!$AC$1:$AC$400,_xlfn.TEXTJOIN(",",TRUE,B275:E275),SF_Output!$Q$1:$Q$400,"monthly"))</f>
        <v/>
      </c>
      <c r="W275" s="112" t="str" cm="1">
        <f t="array" ref="W275">_xlfn.IFS(OR(B275=0,B275="",V275=0),"",AF275&lt;&gt;"exclusion",MAX($W$9,$W$7,(-(SUMIFS(SF_Output!$T$1:$T$400,SF_Output!$AC$1:$AC$400,_xlfn.TEXTJOIN(",",TRUE,$B275:$E275),SF_Output!$Q$1:$Q$400,"monthly"))/V275)),AF275="exclusion",-(SUMIFS(SF_Output!$T$1:$T$400,SF_Output!$AC$1:$AC$400,_xlfn.TEXTJOIN(",",TRUE,$B275:$E275),SF_Output!$Q$1:$Q$400,"monthly"))/V275)</f>
        <v/>
      </c>
      <c r="X275" s="6" t="str" cm="1">
        <f t="array" ref="X275">IFERROR(_xlfn.IFS(V275=0,0,V275="","",W275=0,V275,OR(V275&lt;&gt;0,V275&lt;&gt;""),H275*I275),V275*(1-W275))</f>
        <v/>
      </c>
      <c r="Z275" s="6" t="str">
        <f>IFERROR(IF(B275="","",SUMIFS(Billing_Fallout!H:H,Billing_Fallout!N:N,B275)),0)</f>
        <v/>
      </c>
      <c r="AA275" s="6" t="str">
        <f t="shared" si="72"/>
        <v/>
      </c>
      <c r="AB275" s="6" t="str">
        <f>IFERROR(IF(B275="","",SUMIFS(Billing_Fallout!J:J,Billing_Fallout!N:N,B275)),0)</f>
        <v/>
      </c>
      <c r="AD275" s="6" t="str">
        <f t="shared" si="73"/>
        <v/>
      </c>
      <c r="AF275" t="str">
        <f>IFERROR(INDEX(H_Tables!$B$1:$B$1500,MATCH(INDEX(SF_Output!$J$1:$J$400,MATCH(B275,SF_Output!$M$1:$M$400,0)),H_Tables!$A$1:$A$1500,0)),"")</f>
        <v/>
      </c>
      <c r="AI275" s="119" t="str">
        <f t="shared" si="74"/>
        <v/>
      </c>
      <c r="AJ275" s="121">
        <f>IFERROR(INDEX(SF_Output!AD:AD,MATCH(_xlfn.TEXTJOIN(",",TRUE,B275:E275),SF_Output!AC26:AC425,0)),0.05)</f>
        <v>216</v>
      </c>
      <c r="AK275" t="str">
        <f>IF(SUMIFS(SF_Output!$F$1:$F$400,SF_Output!$AC$1:$AC$400,_xlfn.TEXTJOIN(",",TRUE,B275:E275))+SUMIFS(SF_Output!$G$1:$G$400,SF_Output!$AC$1:$AC$400,_xlfn.TEXTJOIN(",",TRUE,B275:E275))=0,"","PAP")</f>
        <v/>
      </c>
      <c r="AQ275" s="35"/>
      <c r="AR275" s="35" t="str" cm="1">
        <f t="array" ref="AR275">IFERROR(_xlfn.IFS(AND(E275*1=1,F275="Included"),"Change to Included",AND(E275*1=0,F275="Optional"),"Change to Optional",OR(B275="",F275="replaced"),""),"")</f>
        <v/>
      </c>
      <c r="AS275" s="35" t="str">
        <f t="shared" si="75"/>
        <v/>
      </c>
      <c r="AT275" s="35" t="str">
        <f t="shared" si="76"/>
        <v/>
      </c>
      <c r="AU275" s="35" t="str">
        <f t="shared" si="77"/>
        <v/>
      </c>
      <c r="AV275" s="35" t="str">
        <f t="shared" si="78"/>
        <v/>
      </c>
      <c r="AW275" s="35" t="str">
        <f t="shared" si="79"/>
        <v/>
      </c>
      <c r="AX275" s="35" t="str">
        <f t="shared" si="80"/>
        <v/>
      </c>
      <c r="AY275" s="35" t="str">
        <f t="shared" si="81"/>
        <v/>
      </c>
      <c r="AZ275" s="35" t="str">
        <f t="shared" si="82"/>
        <v/>
      </c>
      <c r="BA275" s="35" t="str">
        <f t="shared" si="83"/>
        <v/>
      </c>
      <c r="BB275" s="35" t="str">
        <f t="shared" si="84"/>
        <v/>
      </c>
      <c r="BC275" s="35"/>
      <c r="BE275" s="35" t="e">
        <f>INDEX(SF_Output!$AA$2:$AA$400,MATCH($B275,SF_Output!$M$2:$M$400,0))</f>
        <v>#N/A</v>
      </c>
      <c r="BF275" s="35" t="e">
        <f>INDEX(SF_Output!$AB$2:$AB$400,MATCH($B275,SF_Output!$M$2:$M$400,0))</f>
        <v>#N/A</v>
      </c>
    </row>
    <row r="276" spans="6:58" x14ac:dyDescent="0.25">
      <c r="F276" s="116" t="str">
        <f t="shared" si="68"/>
        <v/>
      </c>
      <c r="G276" t="str">
        <f>IF(B276="","",INDEX(SF_Output!$K$1:$K$400,MATCH(B276,SF_Output!$M$1:$M$400,0)))</f>
        <v/>
      </c>
      <c r="H276" t="str" cm="1">
        <f t="array" ref="H276">_xlfn.IFS(B276="","",(SUMIFS(SF_Output!$F$1:$F$400,SF_Output!$AC$1:$AC$400,_xlfn.TEXTJOIN(",",TRUE,B276:E276))+SUMIFS(SF_Output!$G$1:$G$400,SF_Output!$AC$1:$AC$400,_xlfn.TEXTJOIN(",",TRUE,B276:E276)))&lt;&gt;0,SF_Output!$Y$2,INDEX(SF_Output!$F$1:$F$400,MATCH(_xlfn.TEXTJOIN(",",TRUE,B276:E276),SF_Output!$AC$1:$AC$400,0))=0,INDEX(SF_Output!$R$1:$R$400,MATCH(_xlfn.TEXTJOIN(",",TRUE,B276:E276),SF_Output!$AC$1:$AC$400,0)))</f>
        <v/>
      </c>
      <c r="I276" s="125" t="str">
        <f>IFERROR(IF(AND(H276&gt;1,H276&lt;&gt;""),ROUND(SUMIFS(SF_Output!$S$1:$S$400,SF_Output!$AC$1:$AC$400,_xlfn.TEXTJOIN(",",TRUE,B276:E276),SF_Output!$Q$1:$Q$400,"monthly")*(1-W276)/H276,4),""),"")</f>
        <v/>
      </c>
      <c r="J276" s="6" t="str">
        <f>IF(B276="","",SUMIFS(SF_Output!$S$1:$S$400,SF_Output!$AC$1:$AC$400,_xlfn.TEXTJOIN(",",TRUE,B276:E276),SF_Output!$Q$1:$Q$400,"One Time",SF_Output!$L$1:$L$400,"license fee")+SUMIFS(SF_Output!$S$1:$S$400,SF_Output!$AC$1:$AC$400,_xlfn.TEXTJOIN(",",TRUE,B276:E276),SF_Output!$Q$1:$Q$400,"One Time",SF_Output!$L$1:$L$400,"software license")+SUMIFS(SF_Output!$S$1:$S$400,SF_Output!$AC$1:$AC$400,_xlfn.TEXTJOIN(",",TRUE,B276:E276),SF_Output!$Q$1:$Q$400,"One Time",SF_Output!$L$1:$L$400,"hardware"))</f>
        <v/>
      </c>
      <c r="K276" s="112" t="str">
        <f>IF(OR(B276=0,B276="",G276="hardware",J276=0),"",IF(AF276&lt;&gt;"exclusion",MAX(K$9,-((SUMIFS(SF_Output!$T$1:$T$400,SF_Output!$AC$1:$AC$400,_xlfn.TEXTJOIN(",",TRUE,$B276:$E276),SF_Output!$Q$1:$Q$400,"One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license"))/J276)))</f>
        <v/>
      </c>
      <c r="L276" s="6" t="str">
        <f t="shared" si="69"/>
        <v/>
      </c>
      <c r="N276" s="6" t="str">
        <f>IF(B276="","",SUMIFS(SF_Output!$S$1:$S$400,SF_Output!$AC$1:$AC$400,_xlfn.TEXTJOIN(",",TRUE,B276:E276),SF_Output!$Q$1:$Q$400,"One Time",SF_Output!$L$1:$L$400,"professional service"))</f>
        <v/>
      </c>
      <c r="O276" s="112" t="str">
        <f>IF(OR(B276=0,B276="",N276=0),"",IF(AF276&lt;&gt;"exclusion",MAX(O$9,-(SUMIFS(SF_Output!$T$1:$T$400,SF_Output!$AC$1:$AC$400,_xlfn.TEXTJOIN(",",TRUE,$B276:$E276),SF_Output!$Q$1:$Q$400,"One Time",SF_Output!$L$1:$L$400,"professional service"))/N276),-((SUMIFS(SF_Output!$T$1:$T$400,SF_Output!$AC$1:$AC$400,_xlfn.TEXTJOIN(",",TRUE,$B276:$E276),SF_Output!$Q$1:$Q$400,"One Time",SF_Output!$L$1:$L$400,"professional service")/N276))))</f>
        <v/>
      </c>
      <c r="P276" s="6" t="str">
        <f t="shared" si="70"/>
        <v/>
      </c>
      <c r="R276" s="6" t="str">
        <f>IF(B276="","",SUMIFS(SF_Output!$S$1:$S$400,SF_Output!$AC$1:$AC$400,_xlfn.TEXTJOIN(",",TRUE,B276:E276),SF_Output!$Q$1:$Q$400,"yearly")+SUMIFS(SF_Output!$S$1:$S$400,SF_Output!$AC$1:$AC$400,_xlfn.TEXTJOIN(",",TRUE,B276:E276),SF_Output!$Q$1:$Q$400,"quarterly")*4)</f>
        <v/>
      </c>
      <c r="S276" s="112" t="str">
        <f>IF(OR(B276=0,B276="",G276="hardware",R276=0),"",IF(AF276&lt;&gt;"exclusion",MAX(S$9,-(SUMIFS(SF_Output!$T$1:$T$400,SF_Output!$AC$1:$AC$400,_xlfn.TEXTJOIN(",",TRUE,$B276:$E276),SF_Output!$Q$1:$Q$400,"yearly"))/R276),-((SUMIFS(SF_Output!$T$1:$T$400,SF_Output!$AC$1:$AC$400,_xlfn.TEXTJOIN(",",TRUE,$B276:$E276),SF_Output!$Q$1:$Q$400,"yearly")/R276))))</f>
        <v/>
      </c>
      <c r="T276" s="6" t="str">
        <f t="shared" si="71"/>
        <v/>
      </c>
      <c r="V276" s="6" t="str" cm="1">
        <f t="array" ref="V276">_xlfn.IFS(B276="","",AND(B276&lt;&gt;"",H276=SF_Output!$Y$2,SUMIFS(SF_Output!$T$1:$T$400,SF_Output!$AC$1:$AC$400,_xlfn.TEXTJOIN(",",TRUE,B276:E276),SF_Output!$Q$1:$Q$400,"monthly")=0),(SUMIFS(SF_Output!$F$1:$F$400,SF_Output!$AC$1:$AC$400,_xlfn.TEXTJOIN(",",TRUE,B276:E276),SF_Output!$Q$1:$Q$400,"monthly")+SUMIFS(SF_Output!$G$1:$G$400,SF_Output!$AC$1:$AC$400,_xlfn.TEXTJOIN(",",TRUE,B276:E276),SF_Output!$Q$1:$Q$400,"monthly"))*H276,AND(B276&lt;&gt;"",H276=SF_Output!$Y$2,SUMIFS(SF_Output!$T$1:$T$400,SF_Output!$AC$1:$AC$400,_xlfn.TEXTJOIN(",",TRUE,B276:E276),SF_Output!$Q$1:$Q$400,"monthly")&lt;&gt;0),SUMIFS(SF_Output!$S$1:$S$400,SF_Output!$AC$1:$AC$400,_xlfn.TEXTJOIN(",",TRUE,B276:E276),SF_Output!$Q$1:$Q$400,"monthly"),AND(B276&lt;&gt;"",H276&lt;&gt;SF_Output!$Y$2),SUMIFS(SF_Output!$S$1:$S$400,SF_Output!$AC$1:$AC$400,_xlfn.TEXTJOIN(",",TRUE,B276:E276),SF_Output!$Q$1:$Q$400,"monthly"))</f>
        <v/>
      </c>
      <c r="W276" s="112" t="str" cm="1">
        <f t="array" ref="W276">_xlfn.IFS(OR(B276=0,B276="",V276=0),"",AF276&lt;&gt;"exclusion",MAX($W$9,$W$7,(-(SUMIFS(SF_Output!$T$1:$T$400,SF_Output!$AC$1:$AC$400,_xlfn.TEXTJOIN(",",TRUE,$B276:$E276),SF_Output!$Q$1:$Q$400,"monthly"))/V276)),AF276="exclusion",-(SUMIFS(SF_Output!$T$1:$T$400,SF_Output!$AC$1:$AC$400,_xlfn.TEXTJOIN(",",TRUE,$B276:$E276),SF_Output!$Q$1:$Q$400,"monthly"))/V276)</f>
        <v/>
      </c>
      <c r="X276" s="6" t="str" cm="1">
        <f t="array" ref="X276">IFERROR(_xlfn.IFS(V276=0,0,V276="","",W276=0,V276,OR(V276&lt;&gt;0,V276&lt;&gt;""),H276*I276),V276*(1-W276))</f>
        <v/>
      </c>
      <c r="Z276" s="6" t="str">
        <f>IFERROR(IF(B276="","",SUMIFS(Billing_Fallout!H:H,Billing_Fallout!N:N,B276)),0)</f>
        <v/>
      </c>
      <c r="AA276" s="6" t="str">
        <f t="shared" si="72"/>
        <v/>
      </c>
      <c r="AB276" s="6" t="str">
        <f>IFERROR(IF(B276="","",SUMIFS(Billing_Fallout!J:J,Billing_Fallout!N:N,B276)),0)</f>
        <v/>
      </c>
      <c r="AD276" s="6" t="str">
        <f t="shared" si="73"/>
        <v/>
      </c>
      <c r="AF276" t="str">
        <f>IFERROR(INDEX(H_Tables!$B$1:$B$1500,MATCH(INDEX(SF_Output!$J$1:$J$400,MATCH(B276,SF_Output!$M$1:$M$400,0)),H_Tables!$A$1:$A$1500,0)),"")</f>
        <v/>
      </c>
      <c r="AI276" s="119" t="str">
        <f t="shared" si="74"/>
        <v/>
      </c>
      <c r="AJ276" s="121">
        <f>IFERROR(INDEX(SF_Output!AD:AD,MATCH(_xlfn.TEXTJOIN(",",TRUE,B276:E276),SF_Output!AC27:AC426,0)),0.05)</f>
        <v>215</v>
      </c>
      <c r="AK276" t="str">
        <f>IF(SUMIFS(SF_Output!$F$1:$F$400,SF_Output!$AC$1:$AC$400,_xlfn.TEXTJOIN(",",TRUE,B276:E276))+SUMIFS(SF_Output!$G$1:$G$400,SF_Output!$AC$1:$AC$400,_xlfn.TEXTJOIN(",",TRUE,B276:E276))=0,"","PAP")</f>
        <v/>
      </c>
      <c r="AQ276" s="35"/>
      <c r="AR276" s="35" t="str" cm="1">
        <f t="array" ref="AR276">IFERROR(_xlfn.IFS(AND(E276*1=1,F276="Included"),"Change to Included",AND(E276*1=0,F276="Optional"),"Change to Optional",OR(B276="",F276="replaced"),""),"")</f>
        <v/>
      </c>
      <c r="AS276" s="35" t="str">
        <f t="shared" si="75"/>
        <v/>
      </c>
      <c r="AT276" s="35" t="str">
        <f t="shared" si="76"/>
        <v/>
      </c>
      <c r="AU276" s="35" t="str">
        <f t="shared" si="77"/>
        <v/>
      </c>
      <c r="AV276" s="35" t="str">
        <f t="shared" si="78"/>
        <v/>
      </c>
      <c r="AW276" s="35" t="str">
        <f t="shared" si="79"/>
        <v/>
      </c>
      <c r="AX276" s="35" t="str">
        <f t="shared" si="80"/>
        <v/>
      </c>
      <c r="AY276" s="35" t="str">
        <f t="shared" si="81"/>
        <v/>
      </c>
      <c r="AZ276" s="35" t="str">
        <f t="shared" si="82"/>
        <v/>
      </c>
      <c r="BA276" s="35" t="str">
        <f t="shared" si="83"/>
        <v/>
      </c>
      <c r="BB276" s="35" t="str">
        <f t="shared" si="84"/>
        <v/>
      </c>
      <c r="BC276" s="35"/>
      <c r="BE276" s="35" t="e">
        <f>INDEX(SF_Output!$AA$2:$AA$400,MATCH($B276,SF_Output!$M$2:$M$400,0))</f>
        <v>#N/A</v>
      </c>
      <c r="BF276" s="35" t="e">
        <f>INDEX(SF_Output!$AB$2:$AB$400,MATCH($B276,SF_Output!$M$2:$M$400,0))</f>
        <v>#N/A</v>
      </c>
    </row>
    <row r="277" spans="6:58" x14ac:dyDescent="0.25">
      <c r="F277" s="116" t="str">
        <f t="shared" si="68"/>
        <v/>
      </c>
      <c r="G277" t="str">
        <f>IF(B277="","",INDEX(SF_Output!$K$1:$K$400,MATCH(B277,SF_Output!$M$1:$M$400,0)))</f>
        <v/>
      </c>
      <c r="H277" t="str" cm="1">
        <f t="array" ref="H277">_xlfn.IFS(B277="","",(SUMIFS(SF_Output!$F$1:$F$400,SF_Output!$AC$1:$AC$400,_xlfn.TEXTJOIN(",",TRUE,B277:E277))+SUMIFS(SF_Output!$G$1:$G$400,SF_Output!$AC$1:$AC$400,_xlfn.TEXTJOIN(",",TRUE,B277:E277)))&lt;&gt;0,SF_Output!$Y$2,INDEX(SF_Output!$F$1:$F$400,MATCH(_xlfn.TEXTJOIN(",",TRUE,B277:E277),SF_Output!$AC$1:$AC$400,0))=0,INDEX(SF_Output!$R$1:$R$400,MATCH(_xlfn.TEXTJOIN(",",TRUE,B277:E277),SF_Output!$AC$1:$AC$400,0)))</f>
        <v/>
      </c>
      <c r="I277" s="125" t="str">
        <f>IFERROR(IF(AND(H277&gt;1,H277&lt;&gt;""),ROUND(SUMIFS(SF_Output!$S$1:$S$400,SF_Output!$AC$1:$AC$400,_xlfn.TEXTJOIN(",",TRUE,B277:E277),SF_Output!$Q$1:$Q$400,"monthly")*(1-W277)/H277,4),""),"")</f>
        <v/>
      </c>
      <c r="J277" s="6" t="str">
        <f>IF(B277="","",SUMIFS(SF_Output!$S$1:$S$400,SF_Output!$AC$1:$AC$400,_xlfn.TEXTJOIN(",",TRUE,B277:E277),SF_Output!$Q$1:$Q$400,"One Time",SF_Output!$L$1:$L$400,"license fee")+SUMIFS(SF_Output!$S$1:$S$400,SF_Output!$AC$1:$AC$400,_xlfn.TEXTJOIN(",",TRUE,B277:E277),SF_Output!$Q$1:$Q$400,"One Time",SF_Output!$L$1:$L$400,"software license")+SUMIFS(SF_Output!$S$1:$S$400,SF_Output!$AC$1:$AC$400,_xlfn.TEXTJOIN(",",TRUE,B277:E277),SF_Output!$Q$1:$Q$400,"One Time",SF_Output!$L$1:$L$400,"hardware"))</f>
        <v/>
      </c>
      <c r="K277" s="112" t="str">
        <f>IF(OR(B277=0,B277="",G277="hardware",J277=0),"",IF(AF277&lt;&gt;"exclusion",MAX(K$9,-((SUMIFS(SF_Output!$T$1:$T$400,SF_Output!$AC$1:$AC$400,_xlfn.TEXTJOIN(",",TRUE,$B277:$E277),SF_Output!$Q$1:$Q$400,"One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license"))/J277)))</f>
        <v/>
      </c>
      <c r="L277" s="6" t="str">
        <f t="shared" si="69"/>
        <v/>
      </c>
      <c r="N277" s="6" t="str">
        <f>IF(B277="","",SUMIFS(SF_Output!$S$1:$S$400,SF_Output!$AC$1:$AC$400,_xlfn.TEXTJOIN(",",TRUE,B277:E277),SF_Output!$Q$1:$Q$400,"One Time",SF_Output!$L$1:$L$400,"professional service"))</f>
        <v/>
      </c>
      <c r="O277" s="112" t="str">
        <f>IF(OR(B277=0,B277="",N277=0),"",IF(AF277&lt;&gt;"exclusion",MAX(O$9,-(SUMIFS(SF_Output!$T$1:$T$400,SF_Output!$AC$1:$AC$400,_xlfn.TEXTJOIN(",",TRUE,$B277:$E277),SF_Output!$Q$1:$Q$400,"One Time",SF_Output!$L$1:$L$400,"professional service"))/N277),-((SUMIFS(SF_Output!$T$1:$T$400,SF_Output!$AC$1:$AC$400,_xlfn.TEXTJOIN(",",TRUE,$B277:$E277),SF_Output!$Q$1:$Q$400,"One Time",SF_Output!$L$1:$L$400,"professional service")/N277))))</f>
        <v/>
      </c>
      <c r="P277" s="6" t="str">
        <f t="shared" si="70"/>
        <v/>
      </c>
      <c r="R277" s="6" t="str">
        <f>IF(B277="","",SUMIFS(SF_Output!$S$1:$S$400,SF_Output!$AC$1:$AC$400,_xlfn.TEXTJOIN(",",TRUE,B277:E277),SF_Output!$Q$1:$Q$400,"yearly")+SUMIFS(SF_Output!$S$1:$S$400,SF_Output!$AC$1:$AC$400,_xlfn.TEXTJOIN(",",TRUE,B277:E277),SF_Output!$Q$1:$Q$400,"quarterly")*4)</f>
        <v/>
      </c>
      <c r="S277" s="112" t="str">
        <f>IF(OR(B277=0,B277="",G277="hardware",R277=0),"",IF(AF277&lt;&gt;"exclusion",MAX(S$9,-(SUMIFS(SF_Output!$T$1:$T$400,SF_Output!$AC$1:$AC$400,_xlfn.TEXTJOIN(",",TRUE,$B277:$E277),SF_Output!$Q$1:$Q$400,"yearly"))/R277),-((SUMIFS(SF_Output!$T$1:$T$400,SF_Output!$AC$1:$AC$400,_xlfn.TEXTJOIN(",",TRUE,$B277:$E277),SF_Output!$Q$1:$Q$400,"yearly")/R277))))</f>
        <v/>
      </c>
      <c r="T277" s="6" t="str">
        <f t="shared" si="71"/>
        <v/>
      </c>
      <c r="V277" s="6" t="str" cm="1">
        <f t="array" ref="V277">_xlfn.IFS(B277="","",AND(B277&lt;&gt;"",H277=SF_Output!$Y$2,SUMIFS(SF_Output!$T$1:$T$400,SF_Output!$AC$1:$AC$400,_xlfn.TEXTJOIN(",",TRUE,B277:E277),SF_Output!$Q$1:$Q$400,"monthly")=0),(SUMIFS(SF_Output!$F$1:$F$400,SF_Output!$AC$1:$AC$400,_xlfn.TEXTJOIN(",",TRUE,B277:E277),SF_Output!$Q$1:$Q$400,"monthly")+SUMIFS(SF_Output!$G$1:$G$400,SF_Output!$AC$1:$AC$400,_xlfn.TEXTJOIN(",",TRUE,B277:E277),SF_Output!$Q$1:$Q$400,"monthly"))*H277,AND(B277&lt;&gt;"",H277=SF_Output!$Y$2,SUMIFS(SF_Output!$T$1:$T$400,SF_Output!$AC$1:$AC$400,_xlfn.TEXTJOIN(",",TRUE,B277:E277),SF_Output!$Q$1:$Q$400,"monthly")&lt;&gt;0),SUMIFS(SF_Output!$S$1:$S$400,SF_Output!$AC$1:$AC$400,_xlfn.TEXTJOIN(",",TRUE,B277:E277),SF_Output!$Q$1:$Q$400,"monthly"),AND(B277&lt;&gt;"",H277&lt;&gt;SF_Output!$Y$2),SUMIFS(SF_Output!$S$1:$S$400,SF_Output!$AC$1:$AC$400,_xlfn.TEXTJOIN(",",TRUE,B277:E277),SF_Output!$Q$1:$Q$400,"monthly"))</f>
        <v/>
      </c>
      <c r="W277" s="112" t="str" cm="1">
        <f t="array" ref="W277">_xlfn.IFS(OR(B277=0,B277="",V277=0),"",AF277&lt;&gt;"exclusion",MAX($W$9,$W$7,(-(SUMIFS(SF_Output!$T$1:$T$400,SF_Output!$AC$1:$AC$400,_xlfn.TEXTJOIN(",",TRUE,$B277:$E277),SF_Output!$Q$1:$Q$400,"monthly"))/V277)),AF277="exclusion",-(SUMIFS(SF_Output!$T$1:$T$400,SF_Output!$AC$1:$AC$400,_xlfn.TEXTJOIN(",",TRUE,$B277:$E277),SF_Output!$Q$1:$Q$400,"monthly"))/V277)</f>
        <v/>
      </c>
      <c r="X277" s="6" t="str" cm="1">
        <f t="array" ref="X277">IFERROR(_xlfn.IFS(V277=0,0,V277="","",W277=0,V277,OR(V277&lt;&gt;0,V277&lt;&gt;""),H277*I277),V277*(1-W277))</f>
        <v/>
      </c>
      <c r="Z277" s="6" t="str">
        <f>IFERROR(IF(B277="","",SUMIFS(Billing_Fallout!H:H,Billing_Fallout!N:N,B277)),0)</f>
        <v/>
      </c>
      <c r="AA277" s="6" t="str">
        <f t="shared" si="72"/>
        <v/>
      </c>
      <c r="AB277" s="6" t="str">
        <f>IFERROR(IF(B277="","",SUMIFS(Billing_Fallout!J:J,Billing_Fallout!N:N,B277)),0)</f>
        <v/>
      </c>
      <c r="AD277" s="6" t="str">
        <f t="shared" si="73"/>
        <v/>
      </c>
      <c r="AF277" t="str">
        <f>IFERROR(INDEX(H_Tables!$B$1:$B$1500,MATCH(INDEX(SF_Output!$J$1:$J$400,MATCH(B277,SF_Output!$M$1:$M$400,0)),H_Tables!$A$1:$A$1500,0)),"")</f>
        <v/>
      </c>
      <c r="AI277" s="119" t="str">
        <f t="shared" si="74"/>
        <v/>
      </c>
      <c r="AJ277" s="121">
        <f>IFERROR(INDEX(SF_Output!AD:AD,MATCH(_xlfn.TEXTJOIN(",",TRUE,B277:E277),SF_Output!AC28:AC427,0)),0.05)</f>
        <v>214</v>
      </c>
      <c r="AK277" t="str">
        <f>IF(SUMIFS(SF_Output!$F$1:$F$400,SF_Output!$AC$1:$AC$400,_xlfn.TEXTJOIN(",",TRUE,B277:E277))+SUMIFS(SF_Output!$G$1:$G$400,SF_Output!$AC$1:$AC$400,_xlfn.TEXTJOIN(",",TRUE,B277:E277))=0,"","PAP")</f>
        <v/>
      </c>
      <c r="AQ277" s="35"/>
      <c r="AR277" s="35" t="str" cm="1">
        <f t="array" ref="AR277">IFERROR(_xlfn.IFS(AND(E277*1=1,F277="Included"),"Change to Included",AND(E277*1=0,F277="Optional"),"Change to Optional",OR(B277="",F277="replaced"),""),"")</f>
        <v/>
      </c>
      <c r="AS277" s="35" t="str">
        <f t="shared" si="75"/>
        <v/>
      </c>
      <c r="AT277" s="35" t="str">
        <f t="shared" si="76"/>
        <v/>
      </c>
      <c r="AU277" s="35" t="str">
        <f t="shared" si="77"/>
        <v/>
      </c>
      <c r="AV277" s="35" t="str">
        <f t="shared" si="78"/>
        <v/>
      </c>
      <c r="AW277" s="35" t="str">
        <f t="shared" si="79"/>
        <v/>
      </c>
      <c r="AX277" s="35" t="str">
        <f t="shared" si="80"/>
        <v/>
      </c>
      <c r="AY277" s="35" t="str">
        <f t="shared" si="81"/>
        <v/>
      </c>
      <c r="AZ277" s="35" t="str">
        <f t="shared" si="82"/>
        <v/>
      </c>
      <c r="BA277" s="35" t="str">
        <f t="shared" si="83"/>
        <v/>
      </c>
      <c r="BB277" s="35" t="str">
        <f t="shared" si="84"/>
        <v/>
      </c>
      <c r="BC277" s="35"/>
      <c r="BE277" s="35" t="e">
        <f>INDEX(SF_Output!$AA$2:$AA$400,MATCH($B277,SF_Output!$M$2:$M$400,0))</f>
        <v>#N/A</v>
      </c>
      <c r="BF277" s="35" t="e">
        <f>INDEX(SF_Output!$AB$2:$AB$400,MATCH($B277,SF_Output!$M$2:$M$400,0))</f>
        <v>#N/A</v>
      </c>
    </row>
    <row r="278" spans="6:58" x14ac:dyDescent="0.25">
      <c r="F278" s="116" t="str">
        <f t="shared" si="68"/>
        <v/>
      </c>
      <c r="G278" t="str">
        <f>IF(B278="","",INDEX(SF_Output!$K$1:$K$400,MATCH(B278,SF_Output!$M$1:$M$400,0)))</f>
        <v/>
      </c>
      <c r="H278" t="str" cm="1">
        <f t="array" ref="H278">_xlfn.IFS(B278="","",(SUMIFS(SF_Output!$F$1:$F$400,SF_Output!$AC$1:$AC$400,_xlfn.TEXTJOIN(",",TRUE,B278:E278))+SUMIFS(SF_Output!$G$1:$G$400,SF_Output!$AC$1:$AC$400,_xlfn.TEXTJOIN(",",TRUE,B278:E278)))&lt;&gt;0,SF_Output!$Y$2,INDEX(SF_Output!$F$1:$F$400,MATCH(_xlfn.TEXTJOIN(",",TRUE,B278:E278),SF_Output!$AC$1:$AC$400,0))=0,INDEX(SF_Output!$R$1:$R$400,MATCH(_xlfn.TEXTJOIN(",",TRUE,B278:E278),SF_Output!$AC$1:$AC$400,0)))</f>
        <v/>
      </c>
      <c r="I278" s="125" t="str">
        <f>IFERROR(IF(AND(H278&gt;1,H278&lt;&gt;""),ROUND(SUMIFS(SF_Output!$S$1:$S$400,SF_Output!$AC$1:$AC$400,_xlfn.TEXTJOIN(",",TRUE,B278:E278),SF_Output!$Q$1:$Q$400,"monthly")*(1-W278)/H278,4),""),"")</f>
        <v/>
      </c>
      <c r="J278" s="6" t="str">
        <f>IF(B278="","",SUMIFS(SF_Output!$S$1:$S$400,SF_Output!$AC$1:$AC$400,_xlfn.TEXTJOIN(",",TRUE,B278:E278),SF_Output!$Q$1:$Q$400,"One Time",SF_Output!$L$1:$L$400,"license fee")+SUMIFS(SF_Output!$S$1:$S$400,SF_Output!$AC$1:$AC$400,_xlfn.TEXTJOIN(",",TRUE,B278:E278),SF_Output!$Q$1:$Q$400,"One Time",SF_Output!$L$1:$L$400,"software license")+SUMIFS(SF_Output!$S$1:$S$400,SF_Output!$AC$1:$AC$400,_xlfn.TEXTJOIN(",",TRUE,B278:E278),SF_Output!$Q$1:$Q$400,"One Time",SF_Output!$L$1:$L$400,"hardware"))</f>
        <v/>
      </c>
      <c r="K278" s="112" t="str">
        <f>IF(OR(B278=0,B278="",G278="hardware",J278=0),"",IF(AF278&lt;&gt;"exclusion",MAX(K$9,-((SUMIFS(SF_Output!$T$1:$T$400,SF_Output!$AC$1:$AC$400,_xlfn.TEXTJOIN(",",TRUE,$B278:$E278),SF_Output!$Q$1:$Q$400,"One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license"))/J278)))</f>
        <v/>
      </c>
      <c r="L278" s="6" t="str">
        <f t="shared" si="69"/>
        <v/>
      </c>
      <c r="N278" s="6" t="str">
        <f>IF(B278="","",SUMIFS(SF_Output!$S$1:$S$400,SF_Output!$AC$1:$AC$400,_xlfn.TEXTJOIN(",",TRUE,B278:E278),SF_Output!$Q$1:$Q$400,"One Time",SF_Output!$L$1:$L$400,"professional service"))</f>
        <v/>
      </c>
      <c r="O278" s="112" t="str">
        <f>IF(OR(B278=0,B278="",N278=0),"",IF(AF278&lt;&gt;"exclusion",MAX(O$9,-(SUMIFS(SF_Output!$T$1:$T$400,SF_Output!$AC$1:$AC$400,_xlfn.TEXTJOIN(",",TRUE,$B278:$E278),SF_Output!$Q$1:$Q$400,"One Time",SF_Output!$L$1:$L$400,"professional service"))/N278),-((SUMIFS(SF_Output!$T$1:$T$400,SF_Output!$AC$1:$AC$400,_xlfn.TEXTJOIN(",",TRUE,$B278:$E278),SF_Output!$Q$1:$Q$400,"One Time",SF_Output!$L$1:$L$400,"professional service")/N278))))</f>
        <v/>
      </c>
      <c r="P278" s="6" t="str">
        <f t="shared" si="70"/>
        <v/>
      </c>
      <c r="R278" s="6" t="str">
        <f>IF(B278="","",SUMIFS(SF_Output!$S$1:$S$400,SF_Output!$AC$1:$AC$400,_xlfn.TEXTJOIN(",",TRUE,B278:E278),SF_Output!$Q$1:$Q$400,"yearly")+SUMIFS(SF_Output!$S$1:$S$400,SF_Output!$AC$1:$AC$400,_xlfn.TEXTJOIN(",",TRUE,B278:E278),SF_Output!$Q$1:$Q$400,"quarterly")*4)</f>
        <v/>
      </c>
      <c r="S278" s="112" t="str">
        <f>IF(OR(B278=0,B278="",G278="hardware",R278=0),"",IF(AF278&lt;&gt;"exclusion",MAX(S$9,-(SUMIFS(SF_Output!$T$1:$T$400,SF_Output!$AC$1:$AC$400,_xlfn.TEXTJOIN(",",TRUE,$B278:$E278),SF_Output!$Q$1:$Q$400,"yearly"))/R278),-((SUMIFS(SF_Output!$T$1:$T$400,SF_Output!$AC$1:$AC$400,_xlfn.TEXTJOIN(",",TRUE,$B278:$E278),SF_Output!$Q$1:$Q$400,"yearly")/R278))))</f>
        <v/>
      </c>
      <c r="T278" s="6" t="str">
        <f t="shared" si="71"/>
        <v/>
      </c>
      <c r="V278" s="6" t="str" cm="1">
        <f t="array" ref="V278">_xlfn.IFS(B278="","",AND(B278&lt;&gt;"",H278=SF_Output!$Y$2,SUMIFS(SF_Output!$T$1:$T$400,SF_Output!$AC$1:$AC$400,_xlfn.TEXTJOIN(",",TRUE,B278:E278),SF_Output!$Q$1:$Q$400,"monthly")=0),(SUMIFS(SF_Output!$F$1:$F$400,SF_Output!$AC$1:$AC$400,_xlfn.TEXTJOIN(",",TRUE,B278:E278),SF_Output!$Q$1:$Q$400,"monthly")+SUMIFS(SF_Output!$G$1:$G$400,SF_Output!$AC$1:$AC$400,_xlfn.TEXTJOIN(",",TRUE,B278:E278),SF_Output!$Q$1:$Q$400,"monthly"))*H278,AND(B278&lt;&gt;"",H278=SF_Output!$Y$2,SUMIFS(SF_Output!$T$1:$T$400,SF_Output!$AC$1:$AC$400,_xlfn.TEXTJOIN(",",TRUE,B278:E278),SF_Output!$Q$1:$Q$400,"monthly")&lt;&gt;0),SUMIFS(SF_Output!$S$1:$S$400,SF_Output!$AC$1:$AC$400,_xlfn.TEXTJOIN(",",TRUE,B278:E278),SF_Output!$Q$1:$Q$400,"monthly"),AND(B278&lt;&gt;"",H278&lt;&gt;SF_Output!$Y$2),SUMIFS(SF_Output!$S$1:$S$400,SF_Output!$AC$1:$AC$400,_xlfn.TEXTJOIN(",",TRUE,B278:E278),SF_Output!$Q$1:$Q$400,"monthly"))</f>
        <v/>
      </c>
      <c r="W278" s="112" t="str" cm="1">
        <f t="array" ref="W278">_xlfn.IFS(OR(B278=0,B278="",V278=0),"",AF278&lt;&gt;"exclusion",MAX($W$9,$W$7,(-(SUMIFS(SF_Output!$T$1:$T$400,SF_Output!$AC$1:$AC$400,_xlfn.TEXTJOIN(",",TRUE,$B278:$E278),SF_Output!$Q$1:$Q$400,"monthly"))/V278)),AF278="exclusion",-(SUMIFS(SF_Output!$T$1:$T$400,SF_Output!$AC$1:$AC$400,_xlfn.TEXTJOIN(",",TRUE,$B278:$E278),SF_Output!$Q$1:$Q$400,"monthly"))/V278)</f>
        <v/>
      </c>
      <c r="X278" s="6" t="str" cm="1">
        <f t="array" ref="X278">IFERROR(_xlfn.IFS(V278=0,0,V278="","",W278=0,V278,OR(V278&lt;&gt;0,V278&lt;&gt;""),H278*I278),V278*(1-W278))</f>
        <v/>
      </c>
      <c r="Z278" s="6" t="str">
        <f>IFERROR(IF(B278="","",SUMIFS(Billing_Fallout!H:H,Billing_Fallout!N:N,B278)),0)</f>
        <v/>
      </c>
      <c r="AA278" s="6" t="str">
        <f t="shared" si="72"/>
        <v/>
      </c>
      <c r="AB278" s="6" t="str">
        <f>IFERROR(IF(B278="","",SUMIFS(Billing_Fallout!J:J,Billing_Fallout!N:N,B278)),0)</f>
        <v/>
      </c>
      <c r="AD278" s="6" t="str">
        <f t="shared" si="73"/>
        <v/>
      </c>
      <c r="AF278" t="str">
        <f>IFERROR(INDEX(H_Tables!$B$1:$B$1500,MATCH(INDEX(SF_Output!$J$1:$J$400,MATCH(B278,SF_Output!$M$1:$M$400,0)),H_Tables!$A$1:$A$1500,0)),"")</f>
        <v/>
      </c>
      <c r="AI278" s="119" t="str">
        <f t="shared" si="74"/>
        <v/>
      </c>
      <c r="AJ278" s="121">
        <f>IFERROR(INDEX(SF_Output!AD:AD,MATCH(_xlfn.TEXTJOIN(",",TRUE,B278:E278),SF_Output!AC29:AC428,0)),0.05)</f>
        <v>213</v>
      </c>
      <c r="AK278" t="str">
        <f>IF(SUMIFS(SF_Output!$F$1:$F$400,SF_Output!$AC$1:$AC$400,_xlfn.TEXTJOIN(",",TRUE,B278:E278))+SUMIFS(SF_Output!$G$1:$G$400,SF_Output!$AC$1:$AC$400,_xlfn.TEXTJOIN(",",TRUE,B278:E278))=0,"","PAP")</f>
        <v/>
      </c>
      <c r="AQ278" s="35"/>
      <c r="AR278" s="35" t="str" cm="1">
        <f t="array" ref="AR278">IFERROR(_xlfn.IFS(AND(E278*1=1,F278="Included"),"Change to Included",AND(E278*1=0,F278="Optional"),"Change to Optional",OR(B278="",F278="replaced"),""),"")</f>
        <v/>
      </c>
      <c r="AS278" s="35" t="str">
        <f t="shared" si="75"/>
        <v/>
      </c>
      <c r="AT278" s="35" t="str">
        <f t="shared" si="76"/>
        <v/>
      </c>
      <c r="AU278" s="35" t="str">
        <f t="shared" si="77"/>
        <v/>
      </c>
      <c r="AV278" s="35" t="str">
        <f t="shared" si="78"/>
        <v/>
      </c>
      <c r="AW278" s="35" t="str">
        <f t="shared" si="79"/>
        <v/>
      </c>
      <c r="AX278" s="35" t="str">
        <f t="shared" si="80"/>
        <v/>
      </c>
      <c r="AY278" s="35" t="str">
        <f t="shared" si="81"/>
        <v/>
      </c>
      <c r="AZ278" s="35" t="str">
        <f t="shared" si="82"/>
        <v/>
      </c>
      <c r="BA278" s="35" t="str">
        <f t="shared" si="83"/>
        <v/>
      </c>
      <c r="BB278" s="35" t="str">
        <f t="shared" si="84"/>
        <v/>
      </c>
      <c r="BC278" s="35"/>
      <c r="BE278" s="35" t="e">
        <f>INDEX(SF_Output!$AA$2:$AA$400,MATCH($B278,SF_Output!$M$2:$M$400,0))</f>
        <v>#N/A</v>
      </c>
      <c r="BF278" s="35" t="e">
        <f>INDEX(SF_Output!$AB$2:$AB$400,MATCH($B278,SF_Output!$M$2:$M$400,0))</f>
        <v>#N/A</v>
      </c>
    </row>
    <row r="279" spans="6:58" x14ac:dyDescent="0.25">
      <c r="F279" s="116" t="str">
        <f t="shared" si="68"/>
        <v/>
      </c>
      <c r="G279" t="str">
        <f>IF(B279="","",INDEX(SF_Output!$K$1:$K$400,MATCH(B279,SF_Output!$M$1:$M$400,0)))</f>
        <v/>
      </c>
      <c r="H279" t="str" cm="1">
        <f t="array" ref="H279">_xlfn.IFS(B279="","",(SUMIFS(SF_Output!$F$1:$F$400,SF_Output!$AC$1:$AC$400,_xlfn.TEXTJOIN(",",TRUE,B279:E279))+SUMIFS(SF_Output!$G$1:$G$400,SF_Output!$AC$1:$AC$400,_xlfn.TEXTJOIN(",",TRUE,B279:E279)))&lt;&gt;0,SF_Output!$Y$2,INDEX(SF_Output!$F$1:$F$400,MATCH(_xlfn.TEXTJOIN(",",TRUE,B279:E279),SF_Output!$AC$1:$AC$400,0))=0,INDEX(SF_Output!$R$1:$R$400,MATCH(_xlfn.TEXTJOIN(",",TRUE,B279:E279),SF_Output!$AC$1:$AC$400,0)))</f>
        <v/>
      </c>
      <c r="I279" s="125" t="str">
        <f>IFERROR(IF(AND(H279&gt;1,H279&lt;&gt;""),ROUND(SUMIFS(SF_Output!$S$1:$S$400,SF_Output!$AC$1:$AC$400,_xlfn.TEXTJOIN(",",TRUE,B279:E279),SF_Output!$Q$1:$Q$400,"monthly")*(1-W279)/H279,4),""),"")</f>
        <v/>
      </c>
      <c r="J279" s="6" t="str">
        <f>IF(B279="","",SUMIFS(SF_Output!$S$1:$S$400,SF_Output!$AC$1:$AC$400,_xlfn.TEXTJOIN(",",TRUE,B279:E279),SF_Output!$Q$1:$Q$400,"One Time",SF_Output!$L$1:$L$400,"license fee")+SUMIFS(SF_Output!$S$1:$S$400,SF_Output!$AC$1:$AC$400,_xlfn.TEXTJOIN(",",TRUE,B279:E279),SF_Output!$Q$1:$Q$400,"One Time",SF_Output!$L$1:$L$400,"software license")+SUMIFS(SF_Output!$S$1:$S$400,SF_Output!$AC$1:$AC$400,_xlfn.TEXTJOIN(",",TRUE,B279:E279),SF_Output!$Q$1:$Q$400,"One Time",SF_Output!$L$1:$L$400,"hardware"))</f>
        <v/>
      </c>
      <c r="K279" s="112" t="str">
        <f>IF(OR(B279=0,B279="",G279="hardware",J279=0),"",IF(AF279&lt;&gt;"exclusion",MAX(K$9,-((SUMIFS(SF_Output!$T$1:$T$400,SF_Output!$AC$1:$AC$400,_xlfn.TEXTJOIN(",",TRUE,$B279:$E279),SF_Output!$Q$1:$Q$400,"One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license"))/J279)))</f>
        <v/>
      </c>
      <c r="L279" s="6" t="str">
        <f t="shared" si="69"/>
        <v/>
      </c>
      <c r="N279" s="6" t="str">
        <f>IF(B279="","",SUMIFS(SF_Output!$S$1:$S$400,SF_Output!$AC$1:$AC$400,_xlfn.TEXTJOIN(",",TRUE,B279:E279),SF_Output!$Q$1:$Q$400,"One Time",SF_Output!$L$1:$L$400,"professional service"))</f>
        <v/>
      </c>
      <c r="O279" s="112" t="str">
        <f>IF(OR(B279=0,B279="",N279=0),"",IF(AF279&lt;&gt;"exclusion",MAX(O$9,-(SUMIFS(SF_Output!$T$1:$T$400,SF_Output!$AC$1:$AC$400,_xlfn.TEXTJOIN(",",TRUE,$B279:$E279),SF_Output!$Q$1:$Q$400,"One Time",SF_Output!$L$1:$L$400,"professional service"))/N279),-((SUMIFS(SF_Output!$T$1:$T$400,SF_Output!$AC$1:$AC$400,_xlfn.TEXTJOIN(",",TRUE,$B279:$E279),SF_Output!$Q$1:$Q$400,"One Time",SF_Output!$L$1:$L$400,"professional service")/N279))))</f>
        <v/>
      </c>
      <c r="P279" s="6" t="str">
        <f t="shared" si="70"/>
        <v/>
      </c>
      <c r="R279" s="6" t="str">
        <f>IF(B279="","",SUMIFS(SF_Output!$S$1:$S$400,SF_Output!$AC$1:$AC$400,_xlfn.TEXTJOIN(",",TRUE,B279:E279),SF_Output!$Q$1:$Q$400,"yearly")+SUMIFS(SF_Output!$S$1:$S$400,SF_Output!$AC$1:$AC$400,_xlfn.TEXTJOIN(",",TRUE,B279:E279),SF_Output!$Q$1:$Q$400,"quarterly")*4)</f>
        <v/>
      </c>
      <c r="S279" s="112" t="str">
        <f>IF(OR(B279=0,B279="",G279="hardware",R279=0),"",IF(AF279&lt;&gt;"exclusion",MAX(S$9,-(SUMIFS(SF_Output!$T$1:$T$400,SF_Output!$AC$1:$AC$400,_xlfn.TEXTJOIN(",",TRUE,$B279:$E279),SF_Output!$Q$1:$Q$400,"yearly"))/R279),-((SUMIFS(SF_Output!$T$1:$T$400,SF_Output!$AC$1:$AC$400,_xlfn.TEXTJOIN(",",TRUE,$B279:$E279),SF_Output!$Q$1:$Q$400,"yearly")/R279))))</f>
        <v/>
      </c>
      <c r="T279" s="6" t="str">
        <f t="shared" si="71"/>
        <v/>
      </c>
      <c r="V279" s="6" t="str" cm="1">
        <f t="array" ref="V279">_xlfn.IFS(B279="","",AND(B279&lt;&gt;"",H279=SF_Output!$Y$2,SUMIFS(SF_Output!$T$1:$T$400,SF_Output!$AC$1:$AC$400,_xlfn.TEXTJOIN(",",TRUE,B279:E279),SF_Output!$Q$1:$Q$400,"monthly")=0),(SUMIFS(SF_Output!$F$1:$F$400,SF_Output!$AC$1:$AC$400,_xlfn.TEXTJOIN(",",TRUE,B279:E279),SF_Output!$Q$1:$Q$400,"monthly")+SUMIFS(SF_Output!$G$1:$G$400,SF_Output!$AC$1:$AC$400,_xlfn.TEXTJOIN(",",TRUE,B279:E279),SF_Output!$Q$1:$Q$400,"monthly"))*H279,AND(B279&lt;&gt;"",H279=SF_Output!$Y$2,SUMIFS(SF_Output!$T$1:$T$400,SF_Output!$AC$1:$AC$400,_xlfn.TEXTJOIN(",",TRUE,B279:E279),SF_Output!$Q$1:$Q$400,"monthly")&lt;&gt;0),SUMIFS(SF_Output!$S$1:$S$400,SF_Output!$AC$1:$AC$400,_xlfn.TEXTJOIN(",",TRUE,B279:E279),SF_Output!$Q$1:$Q$400,"monthly"),AND(B279&lt;&gt;"",H279&lt;&gt;SF_Output!$Y$2),SUMIFS(SF_Output!$S$1:$S$400,SF_Output!$AC$1:$AC$400,_xlfn.TEXTJOIN(",",TRUE,B279:E279),SF_Output!$Q$1:$Q$400,"monthly"))</f>
        <v/>
      </c>
      <c r="W279" s="112" t="str" cm="1">
        <f t="array" ref="W279">_xlfn.IFS(OR(B279=0,B279="",V279=0),"",AF279&lt;&gt;"exclusion",MAX($W$9,$W$7,(-(SUMIFS(SF_Output!$T$1:$T$400,SF_Output!$AC$1:$AC$400,_xlfn.TEXTJOIN(",",TRUE,$B279:$E279),SF_Output!$Q$1:$Q$400,"monthly"))/V279)),AF279="exclusion",-(SUMIFS(SF_Output!$T$1:$T$400,SF_Output!$AC$1:$AC$400,_xlfn.TEXTJOIN(",",TRUE,$B279:$E279),SF_Output!$Q$1:$Q$400,"monthly"))/V279)</f>
        <v/>
      </c>
      <c r="X279" s="6" t="str" cm="1">
        <f t="array" ref="X279">IFERROR(_xlfn.IFS(V279=0,0,V279="","",W279=0,V279,OR(V279&lt;&gt;0,V279&lt;&gt;""),H279*I279),V279*(1-W279))</f>
        <v/>
      </c>
      <c r="Z279" s="6" t="str">
        <f>IFERROR(IF(B279="","",SUMIFS(Billing_Fallout!H:H,Billing_Fallout!N:N,B279)),0)</f>
        <v/>
      </c>
      <c r="AA279" s="6" t="str">
        <f t="shared" si="72"/>
        <v/>
      </c>
      <c r="AB279" s="6" t="str">
        <f>IFERROR(IF(B279="","",SUMIFS(Billing_Fallout!J:J,Billing_Fallout!N:N,B279)),0)</f>
        <v/>
      </c>
      <c r="AD279" s="6" t="str">
        <f t="shared" si="73"/>
        <v/>
      </c>
      <c r="AF279" t="str">
        <f>IFERROR(INDEX(H_Tables!$B$1:$B$1500,MATCH(INDEX(SF_Output!$J$1:$J$400,MATCH(B279,SF_Output!$M$1:$M$400,0)),H_Tables!$A$1:$A$1500,0)),"")</f>
        <v/>
      </c>
      <c r="AI279" s="119" t="str">
        <f t="shared" si="74"/>
        <v/>
      </c>
      <c r="AJ279" s="121">
        <f>IFERROR(INDEX(SF_Output!AD:AD,MATCH(_xlfn.TEXTJOIN(",",TRUE,B279:E279),SF_Output!AC30:AC429,0)),0.05)</f>
        <v>212</v>
      </c>
      <c r="AK279" t="str">
        <f>IF(SUMIFS(SF_Output!$F$1:$F$400,SF_Output!$AC$1:$AC$400,_xlfn.TEXTJOIN(",",TRUE,B279:E279))+SUMIFS(SF_Output!$G$1:$G$400,SF_Output!$AC$1:$AC$400,_xlfn.TEXTJOIN(",",TRUE,B279:E279))=0,"","PAP")</f>
        <v/>
      </c>
      <c r="AQ279" s="35"/>
      <c r="AR279" s="35" t="str" cm="1">
        <f t="array" ref="AR279">IFERROR(_xlfn.IFS(AND(E279*1=1,F279="Included"),"Change to Included",AND(E279*1=0,F279="Optional"),"Change to Optional",OR(B279="",F279="replaced"),""),"")</f>
        <v/>
      </c>
      <c r="AS279" s="35" t="str">
        <f t="shared" si="75"/>
        <v/>
      </c>
      <c r="AT279" s="35" t="str">
        <f t="shared" si="76"/>
        <v/>
      </c>
      <c r="AU279" s="35" t="str">
        <f t="shared" si="77"/>
        <v/>
      </c>
      <c r="AV279" s="35" t="str">
        <f t="shared" si="78"/>
        <v/>
      </c>
      <c r="AW279" s="35" t="str">
        <f t="shared" si="79"/>
        <v/>
      </c>
      <c r="AX279" s="35" t="str">
        <f t="shared" si="80"/>
        <v/>
      </c>
      <c r="AY279" s="35" t="str">
        <f t="shared" si="81"/>
        <v/>
      </c>
      <c r="AZ279" s="35" t="str">
        <f t="shared" si="82"/>
        <v/>
      </c>
      <c r="BA279" s="35" t="str">
        <f t="shared" si="83"/>
        <v/>
      </c>
      <c r="BB279" s="35" t="str">
        <f t="shared" si="84"/>
        <v/>
      </c>
      <c r="BC279" s="35"/>
      <c r="BE279" s="35" t="e">
        <f>INDEX(SF_Output!$AA$2:$AA$400,MATCH($B279,SF_Output!$M$2:$M$400,0))</f>
        <v>#N/A</v>
      </c>
      <c r="BF279" s="35" t="e">
        <f>INDEX(SF_Output!$AB$2:$AB$400,MATCH($B279,SF_Output!$M$2:$M$400,0))</f>
        <v>#N/A</v>
      </c>
    </row>
    <row r="280" spans="6:58" x14ac:dyDescent="0.25">
      <c r="F280" s="116" t="str">
        <f t="shared" si="68"/>
        <v/>
      </c>
      <c r="G280" t="str">
        <f>IF(B280="","",INDEX(SF_Output!$K$1:$K$400,MATCH(B280,SF_Output!$M$1:$M$400,0)))</f>
        <v/>
      </c>
      <c r="H280" t="str" cm="1">
        <f t="array" ref="H280">_xlfn.IFS(B280="","",(SUMIFS(SF_Output!$F$1:$F$400,SF_Output!$AC$1:$AC$400,_xlfn.TEXTJOIN(",",TRUE,B280:E280))+SUMIFS(SF_Output!$G$1:$G$400,SF_Output!$AC$1:$AC$400,_xlfn.TEXTJOIN(",",TRUE,B280:E280)))&lt;&gt;0,SF_Output!$Y$2,INDEX(SF_Output!$F$1:$F$400,MATCH(_xlfn.TEXTJOIN(",",TRUE,B280:E280),SF_Output!$AC$1:$AC$400,0))=0,INDEX(SF_Output!$R$1:$R$400,MATCH(_xlfn.TEXTJOIN(",",TRUE,B280:E280),SF_Output!$AC$1:$AC$400,0)))</f>
        <v/>
      </c>
      <c r="I280" s="125" t="str">
        <f>IFERROR(IF(AND(H280&gt;1,H280&lt;&gt;""),ROUND(SUMIFS(SF_Output!$S$1:$S$400,SF_Output!$AC$1:$AC$400,_xlfn.TEXTJOIN(",",TRUE,B280:E280),SF_Output!$Q$1:$Q$400,"monthly")*(1-W280)/H280,4),""),"")</f>
        <v/>
      </c>
      <c r="J280" s="6" t="str">
        <f>IF(B280="","",SUMIFS(SF_Output!$S$1:$S$400,SF_Output!$AC$1:$AC$400,_xlfn.TEXTJOIN(",",TRUE,B280:E280),SF_Output!$Q$1:$Q$400,"One Time",SF_Output!$L$1:$L$400,"license fee")+SUMIFS(SF_Output!$S$1:$S$400,SF_Output!$AC$1:$AC$400,_xlfn.TEXTJOIN(",",TRUE,B280:E280),SF_Output!$Q$1:$Q$400,"One Time",SF_Output!$L$1:$L$400,"software license")+SUMIFS(SF_Output!$S$1:$S$400,SF_Output!$AC$1:$AC$400,_xlfn.TEXTJOIN(",",TRUE,B280:E280),SF_Output!$Q$1:$Q$400,"One Time",SF_Output!$L$1:$L$400,"hardware"))</f>
        <v/>
      </c>
      <c r="K280" s="112" t="str">
        <f>IF(OR(B280=0,B280="",G280="hardware",J280=0),"",IF(AF280&lt;&gt;"exclusion",MAX(K$9,-((SUMIFS(SF_Output!$T$1:$T$400,SF_Output!$AC$1:$AC$400,_xlfn.TEXTJOIN(",",TRUE,$B280:$E280),SF_Output!$Q$1:$Q$400,"One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license"))/J280)))</f>
        <v/>
      </c>
      <c r="L280" s="6" t="str">
        <f t="shared" si="69"/>
        <v/>
      </c>
      <c r="N280" s="6" t="str">
        <f>IF(B280="","",SUMIFS(SF_Output!$S$1:$S$400,SF_Output!$AC$1:$AC$400,_xlfn.TEXTJOIN(",",TRUE,B280:E280),SF_Output!$Q$1:$Q$400,"One Time",SF_Output!$L$1:$L$400,"professional service"))</f>
        <v/>
      </c>
      <c r="O280" s="112" t="str">
        <f>IF(OR(B280=0,B280="",N280=0),"",IF(AF280&lt;&gt;"exclusion",MAX(O$9,-(SUMIFS(SF_Output!$T$1:$T$400,SF_Output!$AC$1:$AC$400,_xlfn.TEXTJOIN(",",TRUE,$B280:$E280),SF_Output!$Q$1:$Q$400,"One Time",SF_Output!$L$1:$L$400,"professional service"))/N280),-((SUMIFS(SF_Output!$T$1:$T$400,SF_Output!$AC$1:$AC$400,_xlfn.TEXTJOIN(",",TRUE,$B280:$E280),SF_Output!$Q$1:$Q$400,"One Time",SF_Output!$L$1:$L$400,"professional service")/N280))))</f>
        <v/>
      </c>
      <c r="P280" s="6" t="str">
        <f t="shared" si="70"/>
        <v/>
      </c>
      <c r="R280" s="6" t="str">
        <f>IF(B280="","",SUMIFS(SF_Output!$S$1:$S$400,SF_Output!$AC$1:$AC$400,_xlfn.TEXTJOIN(",",TRUE,B280:E280),SF_Output!$Q$1:$Q$400,"yearly")+SUMIFS(SF_Output!$S$1:$S$400,SF_Output!$AC$1:$AC$400,_xlfn.TEXTJOIN(",",TRUE,B280:E280),SF_Output!$Q$1:$Q$400,"quarterly")*4)</f>
        <v/>
      </c>
      <c r="S280" s="112" t="str">
        <f>IF(OR(B280=0,B280="",G280="hardware",R280=0),"",IF(AF280&lt;&gt;"exclusion",MAX(S$9,-(SUMIFS(SF_Output!$T$1:$T$400,SF_Output!$AC$1:$AC$400,_xlfn.TEXTJOIN(",",TRUE,$B280:$E280),SF_Output!$Q$1:$Q$400,"yearly"))/R280),-((SUMIFS(SF_Output!$T$1:$T$400,SF_Output!$AC$1:$AC$400,_xlfn.TEXTJOIN(",",TRUE,$B280:$E280),SF_Output!$Q$1:$Q$400,"yearly")/R280))))</f>
        <v/>
      </c>
      <c r="T280" s="6" t="str">
        <f t="shared" si="71"/>
        <v/>
      </c>
      <c r="V280" s="6" t="str" cm="1">
        <f t="array" ref="V280">_xlfn.IFS(B280="","",AND(B280&lt;&gt;"",H280=SF_Output!$Y$2,SUMIFS(SF_Output!$T$1:$T$400,SF_Output!$AC$1:$AC$400,_xlfn.TEXTJOIN(",",TRUE,B280:E280),SF_Output!$Q$1:$Q$400,"monthly")=0),(SUMIFS(SF_Output!$F$1:$F$400,SF_Output!$AC$1:$AC$400,_xlfn.TEXTJOIN(",",TRUE,B280:E280),SF_Output!$Q$1:$Q$400,"monthly")+SUMIFS(SF_Output!$G$1:$G$400,SF_Output!$AC$1:$AC$400,_xlfn.TEXTJOIN(",",TRUE,B280:E280),SF_Output!$Q$1:$Q$400,"monthly"))*H280,AND(B280&lt;&gt;"",H280=SF_Output!$Y$2,SUMIFS(SF_Output!$T$1:$T$400,SF_Output!$AC$1:$AC$400,_xlfn.TEXTJOIN(",",TRUE,B280:E280),SF_Output!$Q$1:$Q$400,"monthly")&lt;&gt;0),SUMIFS(SF_Output!$S$1:$S$400,SF_Output!$AC$1:$AC$400,_xlfn.TEXTJOIN(",",TRUE,B280:E280),SF_Output!$Q$1:$Q$400,"monthly"),AND(B280&lt;&gt;"",H280&lt;&gt;SF_Output!$Y$2),SUMIFS(SF_Output!$S$1:$S$400,SF_Output!$AC$1:$AC$400,_xlfn.TEXTJOIN(",",TRUE,B280:E280),SF_Output!$Q$1:$Q$400,"monthly"))</f>
        <v/>
      </c>
      <c r="W280" s="112" t="str" cm="1">
        <f t="array" ref="W280">_xlfn.IFS(OR(B280=0,B280="",V280=0),"",AF280&lt;&gt;"exclusion",MAX($W$9,$W$7,(-(SUMIFS(SF_Output!$T$1:$T$400,SF_Output!$AC$1:$AC$400,_xlfn.TEXTJOIN(",",TRUE,$B280:$E280),SF_Output!$Q$1:$Q$400,"monthly"))/V280)),AF280="exclusion",-(SUMIFS(SF_Output!$T$1:$T$400,SF_Output!$AC$1:$AC$400,_xlfn.TEXTJOIN(",",TRUE,$B280:$E280),SF_Output!$Q$1:$Q$400,"monthly"))/V280)</f>
        <v/>
      </c>
      <c r="X280" s="6" t="str" cm="1">
        <f t="array" ref="X280">IFERROR(_xlfn.IFS(V280=0,0,V280="","",W280=0,V280,OR(V280&lt;&gt;0,V280&lt;&gt;""),H280*I280),V280*(1-W280))</f>
        <v/>
      </c>
      <c r="Z280" s="6" t="str">
        <f>IFERROR(IF(B280="","",SUMIFS(Billing_Fallout!H:H,Billing_Fallout!N:N,B280)),0)</f>
        <v/>
      </c>
      <c r="AA280" s="6" t="str">
        <f t="shared" si="72"/>
        <v/>
      </c>
      <c r="AB280" s="6" t="str">
        <f>IFERROR(IF(B280="","",SUMIFS(Billing_Fallout!J:J,Billing_Fallout!N:N,B280)),0)</f>
        <v/>
      </c>
      <c r="AD280" s="6" t="str">
        <f t="shared" si="73"/>
        <v/>
      </c>
      <c r="AF280" t="str">
        <f>IFERROR(INDEX(H_Tables!$B$1:$B$1500,MATCH(INDEX(SF_Output!$J$1:$J$400,MATCH(B280,SF_Output!$M$1:$M$400,0)),H_Tables!$A$1:$A$1500,0)),"")</f>
        <v/>
      </c>
      <c r="AI280" s="119" t="str">
        <f t="shared" si="74"/>
        <v/>
      </c>
      <c r="AJ280" s="121">
        <f>IFERROR(INDEX(SF_Output!AD:AD,MATCH(_xlfn.TEXTJOIN(",",TRUE,B280:E280),SF_Output!AC31:AC430,0)),0.05)</f>
        <v>211</v>
      </c>
      <c r="AK280" t="str">
        <f>IF(SUMIFS(SF_Output!$F$1:$F$400,SF_Output!$AC$1:$AC$400,_xlfn.TEXTJOIN(",",TRUE,B280:E280))+SUMIFS(SF_Output!$G$1:$G$400,SF_Output!$AC$1:$AC$400,_xlfn.TEXTJOIN(",",TRUE,B280:E280))=0,"","PAP")</f>
        <v/>
      </c>
      <c r="AQ280" s="35"/>
      <c r="AR280" s="35" t="str" cm="1">
        <f t="array" ref="AR280">IFERROR(_xlfn.IFS(AND(E280*1=1,F280="Included"),"Change to Included",AND(E280*1=0,F280="Optional"),"Change to Optional",OR(B280="",F280="replaced"),""),"")</f>
        <v/>
      </c>
      <c r="AS280" s="35" t="str">
        <f t="shared" si="75"/>
        <v/>
      </c>
      <c r="AT280" s="35" t="str">
        <f t="shared" si="76"/>
        <v/>
      </c>
      <c r="AU280" s="35" t="str">
        <f t="shared" si="77"/>
        <v/>
      </c>
      <c r="AV280" s="35" t="str">
        <f t="shared" si="78"/>
        <v/>
      </c>
      <c r="AW280" s="35" t="str">
        <f t="shared" si="79"/>
        <v/>
      </c>
      <c r="AX280" s="35" t="str">
        <f t="shared" si="80"/>
        <v/>
      </c>
      <c r="AY280" s="35" t="str">
        <f t="shared" si="81"/>
        <v/>
      </c>
      <c r="AZ280" s="35" t="str">
        <f t="shared" si="82"/>
        <v/>
      </c>
      <c r="BA280" s="35" t="str">
        <f t="shared" si="83"/>
        <v/>
      </c>
      <c r="BB280" s="35" t="str">
        <f t="shared" si="84"/>
        <v/>
      </c>
      <c r="BC280" s="35"/>
      <c r="BE280" s="35" t="e">
        <f>INDEX(SF_Output!$AA$2:$AA$400,MATCH($B280,SF_Output!$M$2:$M$400,0))</f>
        <v>#N/A</v>
      </c>
      <c r="BF280" s="35" t="e">
        <f>INDEX(SF_Output!$AB$2:$AB$400,MATCH($B280,SF_Output!$M$2:$M$400,0))</f>
        <v>#N/A</v>
      </c>
    </row>
    <row r="281" spans="6:58" x14ac:dyDescent="0.25">
      <c r="F281" s="116" t="str">
        <f t="shared" si="68"/>
        <v/>
      </c>
      <c r="G281" t="str">
        <f>IF(B281="","",INDEX(SF_Output!$K$1:$K$400,MATCH(B281,SF_Output!$M$1:$M$400,0)))</f>
        <v/>
      </c>
      <c r="H281" t="str" cm="1">
        <f t="array" ref="H281">_xlfn.IFS(B281="","",(SUMIFS(SF_Output!$F$1:$F$400,SF_Output!$AC$1:$AC$400,_xlfn.TEXTJOIN(",",TRUE,B281:E281))+SUMIFS(SF_Output!$G$1:$G$400,SF_Output!$AC$1:$AC$400,_xlfn.TEXTJOIN(",",TRUE,B281:E281)))&lt;&gt;0,SF_Output!$Y$2,INDEX(SF_Output!$F$1:$F$400,MATCH(_xlfn.TEXTJOIN(",",TRUE,B281:E281),SF_Output!$AC$1:$AC$400,0))=0,INDEX(SF_Output!$R$1:$R$400,MATCH(_xlfn.TEXTJOIN(",",TRUE,B281:E281),SF_Output!$AC$1:$AC$400,0)))</f>
        <v/>
      </c>
      <c r="I281" s="125" t="str">
        <f>IFERROR(IF(AND(H281&gt;1,H281&lt;&gt;""),ROUND(SUMIFS(SF_Output!$S$1:$S$400,SF_Output!$AC$1:$AC$400,_xlfn.TEXTJOIN(",",TRUE,B281:E281),SF_Output!$Q$1:$Q$400,"monthly")*(1-W281)/H281,4),""),"")</f>
        <v/>
      </c>
      <c r="J281" s="6" t="str">
        <f>IF(B281="","",SUMIFS(SF_Output!$S$1:$S$400,SF_Output!$AC$1:$AC$400,_xlfn.TEXTJOIN(",",TRUE,B281:E281),SF_Output!$Q$1:$Q$400,"One Time",SF_Output!$L$1:$L$400,"license fee")+SUMIFS(SF_Output!$S$1:$S$400,SF_Output!$AC$1:$AC$400,_xlfn.TEXTJOIN(",",TRUE,B281:E281),SF_Output!$Q$1:$Q$400,"One Time",SF_Output!$L$1:$L$400,"software license")+SUMIFS(SF_Output!$S$1:$S$400,SF_Output!$AC$1:$AC$400,_xlfn.TEXTJOIN(",",TRUE,B281:E281),SF_Output!$Q$1:$Q$400,"One Time",SF_Output!$L$1:$L$400,"hardware"))</f>
        <v/>
      </c>
      <c r="K281" s="112" t="str">
        <f>IF(OR(B281=0,B281="",G281="hardware",J281=0),"",IF(AF281&lt;&gt;"exclusion",MAX(K$9,-((SUMIFS(SF_Output!$T$1:$T$400,SF_Output!$AC$1:$AC$400,_xlfn.TEXTJOIN(",",TRUE,$B281:$E281),SF_Output!$Q$1:$Q$400,"One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license"))/J281)))</f>
        <v/>
      </c>
      <c r="L281" s="6" t="str">
        <f t="shared" si="69"/>
        <v/>
      </c>
      <c r="N281" s="6" t="str">
        <f>IF(B281="","",SUMIFS(SF_Output!$S$1:$S$400,SF_Output!$AC$1:$AC$400,_xlfn.TEXTJOIN(",",TRUE,B281:E281),SF_Output!$Q$1:$Q$400,"One Time",SF_Output!$L$1:$L$400,"professional service"))</f>
        <v/>
      </c>
      <c r="O281" s="112" t="str">
        <f>IF(OR(B281=0,B281="",N281=0),"",IF(AF281&lt;&gt;"exclusion",MAX(O$9,-(SUMIFS(SF_Output!$T$1:$T$400,SF_Output!$AC$1:$AC$400,_xlfn.TEXTJOIN(",",TRUE,$B281:$E281),SF_Output!$Q$1:$Q$400,"One Time",SF_Output!$L$1:$L$400,"professional service"))/N281),-((SUMIFS(SF_Output!$T$1:$T$400,SF_Output!$AC$1:$AC$400,_xlfn.TEXTJOIN(",",TRUE,$B281:$E281),SF_Output!$Q$1:$Q$400,"One Time",SF_Output!$L$1:$L$400,"professional service")/N281))))</f>
        <v/>
      </c>
      <c r="P281" s="6" t="str">
        <f t="shared" si="70"/>
        <v/>
      </c>
      <c r="R281" s="6" t="str">
        <f>IF(B281="","",SUMIFS(SF_Output!$S$1:$S$400,SF_Output!$AC$1:$AC$400,_xlfn.TEXTJOIN(",",TRUE,B281:E281),SF_Output!$Q$1:$Q$400,"yearly")+SUMIFS(SF_Output!$S$1:$S$400,SF_Output!$AC$1:$AC$400,_xlfn.TEXTJOIN(",",TRUE,B281:E281),SF_Output!$Q$1:$Q$400,"quarterly")*4)</f>
        <v/>
      </c>
      <c r="S281" s="112" t="str">
        <f>IF(OR(B281=0,B281="",G281="hardware",R281=0),"",IF(AF281&lt;&gt;"exclusion",MAX(S$9,-(SUMIFS(SF_Output!$T$1:$T$400,SF_Output!$AC$1:$AC$400,_xlfn.TEXTJOIN(",",TRUE,$B281:$E281),SF_Output!$Q$1:$Q$400,"yearly"))/R281),-((SUMIFS(SF_Output!$T$1:$T$400,SF_Output!$AC$1:$AC$400,_xlfn.TEXTJOIN(",",TRUE,$B281:$E281),SF_Output!$Q$1:$Q$400,"yearly")/R281))))</f>
        <v/>
      </c>
      <c r="T281" s="6" t="str">
        <f t="shared" si="71"/>
        <v/>
      </c>
      <c r="V281" s="6" t="str" cm="1">
        <f t="array" ref="V281">_xlfn.IFS(B281="","",AND(B281&lt;&gt;"",H281=SF_Output!$Y$2,SUMIFS(SF_Output!$T$1:$T$400,SF_Output!$AC$1:$AC$400,_xlfn.TEXTJOIN(",",TRUE,B281:E281),SF_Output!$Q$1:$Q$400,"monthly")=0),(SUMIFS(SF_Output!$F$1:$F$400,SF_Output!$AC$1:$AC$400,_xlfn.TEXTJOIN(",",TRUE,B281:E281),SF_Output!$Q$1:$Q$400,"monthly")+SUMIFS(SF_Output!$G$1:$G$400,SF_Output!$AC$1:$AC$400,_xlfn.TEXTJOIN(",",TRUE,B281:E281),SF_Output!$Q$1:$Q$400,"monthly"))*H281,AND(B281&lt;&gt;"",H281=SF_Output!$Y$2,SUMIFS(SF_Output!$T$1:$T$400,SF_Output!$AC$1:$AC$400,_xlfn.TEXTJOIN(",",TRUE,B281:E281),SF_Output!$Q$1:$Q$400,"monthly")&lt;&gt;0),SUMIFS(SF_Output!$S$1:$S$400,SF_Output!$AC$1:$AC$400,_xlfn.TEXTJOIN(",",TRUE,B281:E281),SF_Output!$Q$1:$Q$400,"monthly"),AND(B281&lt;&gt;"",H281&lt;&gt;SF_Output!$Y$2),SUMIFS(SF_Output!$S$1:$S$400,SF_Output!$AC$1:$AC$400,_xlfn.TEXTJOIN(",",TRUE,B281:E281),SF_Output!$Q$1:$Q$400,"monthly"))</f>
        <v/>
      </c>
      <c r="W281" s="112" t="str" cm="1">
        <f t="array" ref="W281">_xlfn.IFS(OR(B281=0,B281="",V281=0),"",AF281&lt;&gt;"exclusion",MAX($W$9,$W$7,(-(SUMIFS(SF_Output!$T$1:$T$400,SF_Output!$AC$1:$AC$400,_xlfn.TEXTJOIN(",",TRUE,$B281:$E281),SF_Output!$Q$1:$Q$400,"monthly"))/V281)),AF281="exclusion",-(SUMIFS(SF_Output!$T$1:$T$400,SF_Output!$AC$1:$AC$400,_xlfn.TEXTJOIN(",",TRUE,$B281:$E281),SF_Output!$Q$1:$Q$400,"monthly"))/V281)</f>
        <v/>
      </c>
      <c r="X281" s="6" t="str" cm="1">
        <f t="array" ref="X281">IFERROR(_xlfn.IFS(V281=0,0,V281="","",W281=0,V281,OR(V281&lt;&gt;0,V281&lt;&gt;""),H281*I281),V281*(1-W281))</f>
        <v/>
      </c>
      <c r="Z281" s="6" t="str">
        <f>IFERROR(IF(B281="","",SUMIFS(Billing_Fallout!H:H,Billing_Fallout!N:N,B281)),0)</f>
        <v/>
      </c>
      <c r="AA281" s="6" t="str">
        <f t="shared" si="72"/>
        <v/>
      </c>
      <c r="AB281" s="6" t="str">
        <f>IFERROR(IF(B281="","",SUMIFS(Billing_Fallout!J:J,Billing_Fallout!N:N,B281)),0)</f>
        <v/>
      </c>
      <c r="AD281" s="6" t="str">
        <f t="shared" si="73"/>
        <v/>
      </c>
      <c r="AF281" t="str">
        <f>IFERROR(INDEX(H_Tables!$B$1:$B$1500,MATCH(INDEX(SF_Output!$J$1:$J$400,MATCH(B281,SF_Output!$M$1:$M$400,0)),H_Tables!$A$1:$A$1500,0)),"")</f>
        <v/>
      </c>
      <c r="AI281" s="119" t="str">
        <f t="shared" si="74"/>
        <v/>
      </c>
      <c r="AJ281" s="121">
        <f>IFERROR(INDEX(SF_Output!AD:AD,MATCH(_xlfn.TEXTJOIN(",",TRUE,B281:E281),SF_Output!AC32:AC431,0)),0.05)</f>
        <v>210</v>
      </c>
      <c r="AK281" t="str">
        <f>IF(SUMIFS(SF_Output!$F$1:$F$400,SF_Output!$AC$1:$AC$400,_xlfn.TEXTJOIN(",",TRUE,B281:E281))+SUMIFS(SF_Output!$G$1:$G$400,SF_Output!$AC$1:$AC$400,_xlfn.TEXTJOIN(",",TRUE,B281:E281))=0,"","PAP")</f>
        <v/>
      </c>
      <c r="AQ281" s="35"/>
      <c r="AR281" s="35" t="str" cm="1">
        <f t="array" ref="AR281">IFERROR(_xlfn.IFS(AND(E281*1=1,F281="Included"),"Change to Included",AND(E281*1=0,F281="Optional"),"Change to Optional",OR(B281="",F281="replaced"),""),"")</f>
        <v/>
      </c>
      <c r="AS281" s="35" t="str">
        <f t="shared" si="75"/>
        <v/>
      </c>
      <c r="AT281" s="35" t="str">
        <f t="shared" si="76"/>
        <v/>
      </c>
      <c r="AU281" s="35" t="str">
        <f t="shared" si="77"/>
        <v/>
      </c>
      <c r="AV281" s="35" t="str">
        <f t="shared" si="78"/>
        <v/>
      </c>
      <c r="AW281" s="35" t="str">
        <f t="shared" si="79"/>
        <v/>
      </c>
      <c r="AX281" s="35" t="str">
        <f t="shared" si="80"/>
        <v/>
      </c>
      <c r="AY281" s="35" t="str">
        <f t="shared" si="81"/>
        <v/>
      </c>
      <c r="AZ281" s="35" t="str">
        <f t="shared" si="82"/>
        <v/>
      </c>
      <c r="BA281" s="35" t="str">
        <f t="shared" si="83"/>
        <v/>
      </c>
      <c r="BB281" s="35" t="str">
        <f t="shared" si="84"/>
        <v/>
      </c>
      <c r="BC281" s="35"/>
      <c r="BE281" s="35" t="e">
        <f>INDEX(SF_Output!$AA$2:$AA$400,MATCH($B281,SF_Output!$M$2:$M$400,0))</f>
        <v>#N/A</v>
      </c>
      <c r="BF281" s="35" t="e">
        <f>INDEX(SF_Output!$AB$2:$AB$400,MATCH($B281,SF_Output!$M$2:$M$400,0))</f>
        <v>#N/A</v>
      </c>
    </row>
    <row r="282" spans="6:58" x14ac:dyDescent="0.25">
      <c r="F282" s="116" t="str">
        <f t="shared" si="68"/>
        <v/>
      </c>
      <c r="G282" t="str">
        <f>IF(B282="","",INDEX(SF_Output!$K$1:$K$400,MATCH(B282,SF_Output!$M$1:$M$400,0)))</f>
        <v/>
      </c>
      <c r="H282" t="str" cm="1">
        <f t="array" ref="H282">_xlfn.IFS(B282="","",(SUMIFS(SF_Output!$F$1:$F$400,SF_Output!$AC$1:$AC$400,_xlfn.TEXTJOIN(",",TRUE,B282:E282))+SUMIFS(SF_Output!$G$1:$G$400,SF_Output!$AC$1:$AC$400,_xlfn.TEXTJOIN(",",TRUE,B282:E282)))&lt;&gt;0,SF_Output!$Y$2,INDEX(SF_Output!$F$1:$F$400,MATCH(_xlfn.TEXTJOIN(",",TRUE,B282:E282),SF_Output!$AC$1:$AC$400,0))=0,INDEX(SF_Output!$R$1:$R$400,MATCH(_xlfn.TEXTJOIN(",",TRUE,B282:E282),SF_Output!$AC$1:$AC$400,0)))</f>
        <v/>
      </c>
      <c r="I282" s="125" t="str">
        <f>IFERROR(IF(AND(H282&gt;1,H282&lt;&gt;""),ROUND(SUMIFS(SF_Output!$S$1:$S$400,SF_Output!$AC$1:$AC$400,_xlfn.TEXTJOIN(",",TRUE,B282:E282),SF_Output!$Q$1:$Q$400,"monthly")*(1-W282)/H282,4),""),"")</f>
        <v/>
      </c>
      <c r="J282" s="6" t="str">
        <f>IF(B282="","",SUMIFS(SF_Output!$S$1:$S$400,SF_Output!$AC$1:$AC$400,_xlfn.TEXTJOIN(",",TRUE,B282:E282),SF_Output!$Q$1:$Q$400,"One Time",SF_Output!$L$1:$L$400,"license fee")+SUMIFS(SF_Output!$S$1:$S$400,SF_Output!$AC$1:$AC$400,_xlfn.TEXTJOIN(",",TRUE,B282:E282),SF_Output!$Q$1:$Q$400,"One Time",SF_Output!$L$1:$L$400,"software license")+SUMIFS(SF_Output!$S$1:$S$400,SF_Output!$AC$1:$AC$400,_xlfn.TEXTJOIN(",",TRUE,B282:E282),SF_Output!$Q$1:$Q$400,"One Time",SF_Output!$L$1:$L$400,"hardware"))</f>
        <v/>
      </c>
      <c r="K282" s="112" t="str">
        <f>IF(OR(B282=0,B282="",G282="hardware",J282=0),"",IF(AF282&lt;&gt;"exclusion",MAX(K$9,-((SUMIFS(SF_Output!$T$1:$T$400,SF_Output!$AC$1:$AC$400,_xlfn.TEXTJOIN(",",TRUE,$B282:$E282),SF_Output!$Q$1:$Q$400,"One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license"))/J282)))</f>
        <v/>
      </c>
      <c r="L282" s="6" t="str">
        <f t="shared" si="69"/>
        <v/>
      </c>
      <c r="N282" s="6" t="str">
        <f>IF(B282="","",SUMIFS(SF_Output!$S$1:$S$400,SF_Output!$AC$1:$AC$400,_xlfn.TEXTJOIN(",",TRUE,B282:E282),SF_Output!$Q$1:$Q$400,"One Time",SF_Output!$L$1:$L$400,"professional service"))</f>
        <v/>
      </c>
      <c r="O282" s="112" t="str">
        <f>IF(OR(B282=0,B282="",N282=0),"",IF(AF282&lt;&gt;"exclusion",MAX(O$9,-(SUMIFS(SF_Output!$T$1:$T$400,SF_Output!$AC$1:$AC$400,_xlfn.TEXTJOIN(",",TRUE,$B282:$E282),SF_Output!$Q$1:$Q$400,"One Time",SF_Output!$L$1:$L$400,"professional service"))/N282),-((SUMIFS(SF_Output!$T$1:$T$400,SF_Output!$AC$1:$AC$400,_xlfn.TEXTJOIN(",",TRUE,$B282:$E282),SF_Output!$Q$1:$Q$400,"One Time",SF_Output!$L$1:$L$400,"professional service")/N282))))</f>
        <v/>
      </c>
      <c r="P282" s="6" t="str">
        <f t="shared" si="70"/>
        <v/>
      </c>
      <c r="R282" s="6" t="str">
        <f>IF(B282="","",SUMIFS(SF_Output!$S$1:$S$400,SF_Output!$AC$1:$AC$400,_xlfn.TEXTJOIN(",",TRUE,B282:E282),SF_Output!$Q$1:$Q$400,"yearly")+SUMIFS(SF_Output!$S$1:$S$400,SF_Output!$AC$1:$AC$400,_xlfn.TEXTJOIN(",",TRUE,B282:E282),SF_Output!$Q$1:$Q$400,"quarterly")*4)</f>
        <v/>
      </c>
      <c r="S282" s="112" t="str">
        <f>IF(OR(B282=0,B282="",G282="hardware",R282=0),"",IF(AF282&lt;&gt;"exclusion",MAX(S$9,-(SUMIFS(SF_Output!$T$1:$T$400,SF_Output!$AC$1:$AC$400,_xlfn.TEXTJOIN(",",TRUE,$B282:$E282),SF_Output!$Q$1:$Q$400,"yearly"))/R282),-((SUMIFS(SF_Output!$T$1:$T$400,SF_Output!$AC$1:$AC$400,_xlfn.TEXTJOIN(",",TRUE,$B282:$E282),SF_Output!$Q$1:$Q$400,"yearly")/R282))))</f>
        <v/>
      </c>
      <c r="T282" s="6" t="str">
        <f t="shared" si="71"/>
        <v/>
      </c>
      <c r="V282" s="6" t="str" cm="1">
        <f t="array" ref="V282">_xlfn.IFS(B282="","",AND(B282&lt;&gt;"",H282=SF_Output!$Y$2,SUMIFS(SF_Output!$T$1:$T$400,SF_Output!$AC$1:$AC$400,_xlfn.TEXTJOIN(",",TRUE,B282:E282),SF_Output!$Q$1:$Q$400,"monthly")=0),(SUMIFS(SF_Output!$F$1:$F$400,SF_Output!$AC$1:$AC$400,_xlfn.TEXTJOIN(",",TRUE,B282:E282),SF_Output!$Q$1:$Q$400,"monthly")+SUMIFS(SF_Output!$G$1:$G$400,SF_Output!$AC$1:$AC$400,_xlfn.TEXTJOIN(",",TRUE,B282:E282),SF_Output!$Q$1:$Q$400,"monthly"))*H282,AND(B282&lt;&gt;"",H282=SF_Output!$Y$2,SUMIFS(SF_Output!$T$1:$T$400,SF_Output!$AC$1:$AC$400,_xlfn.TEXTJOIN(",",TRUE,B282:E282),SF_Output!$Q$1:$Q$400,"monthly")&lt;&gt;0),SUMIFS(SF_Output!$S$1:$S$400,SF_Output!$AC$1:$AC$400,_xlfn.TEXTJOIN(",",TRUE,B282:E282),SF_Output!$Q$1:$Q$400,"monthly"),AND(B282&lt;&gt;"",H282&lt;&gt;SF_Output!$Y$2),SUMIFS(SF_Output!$S$1:$S$400,SF_Output!$AC$1:$AC$400,_xlfn.TEXTJOIN(",",TRUE,B282:E282),SF_Output!$Q$1:$Q$400,"monthly"))</f>
        <v/>
      </c>
      <c r="W282" s="112" t="str" cm="1">
        <f t="array" ref="W282">_xlfn.IFS(OR(B282=0,B282="",V282=0),"",AF282&lt;&gt;"exclusion",MAX($W$9,$W$7,(-(SUMIFS(SF_Output!$T$1:$T$400,SF_Output!$AC$1:$AC$400,_xlfn.TEXTJOIN(",",TRUE,$B282:$E282),SF_Output!$Q$1:$Q$400,"monthly"))/V282)),AF282="exclusion",-(SUMIFS(SF_Output!$T$1:$T$400,SF_Output!$AC$1:$AC$400,_xlfn.TEXTJOIN(",",TRUE,$B282:$E282),SF_Output!$Q$1:$Q$400,"monthly"))/V282)</f>
        <v/>
      </c>
      <c r="X282" s="6" t="str" cm="1">
        <f t="array" ref="X282">IFERROR(_xlfn.IFS(V282=0,0,V282="","",W282=0,V282,OR(V282&lt;&gt;0,V282&lt;&gt;""),H282*I282),V282*(1-W282))</f>
        <v/>
      </c>
      <c r="Z282" s="6" t="str">
        <f>IFERROR(IF(B282="","",SUMIFS(Billing_Fallout!H:H,Billing_Fallout!N:N,B282)),0)</f>
        <v/>
      </c>
      <c r="AA282" s="6" t="str">
        <f t="shared" si="72"/>
        <v/>
      </c>
      <c r="AB282" s="6" t="str">
        <f>IFERROR(IF(B282="","",SUMIFS(Billing_Fallout!J:J,Billing_Fallout!N:N,B282)),0)</f>
        <v/>
      </c>
      <c r="AD282" s="6" t="str">
        <f t="shared" si="73"/>
        <v/>
      </c>
      <c r="AF282" t="str">
        <f>IFERROR(INDEX(H_Tables!$B$1:$B$1500,MATCH(INDEX(SF_Output!$J$1:$J$400,MATCH(B282,SF_Output!$M$1:$M$400,0)),H_Tables!$A$1:$A$1500,0)),"")</f>
        <v/>
      </c>
      <c r="AI282" s="119" t="str">
        <f t="shared" si="74"/>
        <v/>
      </c>
      <c r="AJ282" s="121">
        <f>IFERROR(INDEX(SF_Output!AD:AD,MATCH(_xlfn.TEXTJOIN(",",TRUE,B282:E282),SF_Output!AC33:AC432,0)),0.05)</f>
        <v>209</v>
      </c>
      <c r="AK282" t="str">
        <f>IF(SUMIFS(SF_Output!$F$1:$F$400,SF_Output!$AC$1:$AC$400,_xlfn.TEXTJOIN(",",TRUE,B282:E282))+SUMIFS(SF_Output!$G$1:$G$400,SF_Output!$AC$1:$AC$400,_xlfn.TEXTJOIN(",",TRUE,B282:E282))=0,"","PAP")</f>
        <v/>
      </c>
      <c r="AQ282" s="35"/>
      <c r="AR282" s="35" t="str" cm="1">
        <f t="array" ref="AR282">IFERROR(_xlfn.IFS(AND(E282*1=1,F282="Included"),"Change to Included",AND(E282*1=0,F282="Optional"),"Change to Optional",OR(B282="",F282="replaced"),""),"")</f>
        <v/>
      </c>
      <c r="AS282" s="35" t="str">
        <f t="shared" si="75"/>
        <v/>
      </c>
      <c r="AT282" s="35" t="str">
        <f t="shared" si="76"/>
        <v/>
      </c>
      <c r="AU282" s="35" t="str">
        <f t="shared" si="77"/>
        <v/>
      </c>
      <c r="AV282" s="35" t="str">
        <f t="shared" si="78"/>
        <v/>
      </c>
      <c r="AW282" s="35" t="str">
        <f t="shared" si="79"/>
        <v/>
      </c>
      <c r="AX282" s="35" t="str">
        <f t="shared" si="80"/>
        <v/>
      </c>
      <c r="AY282" s="35" t="str">
        <f t="shared" si="81"/>
        <v/>
      </c>
      <c r="AZ282" s="35" t="str">
        <f t="shared" si="82"/>
        <v/>
      </c>
      <c r="BA282" s="35" t="str">
        <f t="shared" si="83"/>
        <v/>
      </c>
      <c r="BB282" s="35" t="str">
        <f t="shared" si="84"/>
        <v/>
      </c>
      <c r="BC282" s="35"/>
      <c r="BE282" s="35" t="e">
        <f>INDEX(SF_Output!$AA$2:$AA$400,MATCH($B282,SF_Output!$M$2:$M$400,0))</f>
        <v>#N/A</v>
      </c>
      <c r="BF282" s="35" t="e">
        <f>INDEX(SF_Output!$AB$2:$AB$400,MATCH($B282,SF_Output!$M$2:$M$400,0))</f>
        <v>#N/A</v>
      </c>
    </row>
    <row r="283" spans="6:58" x14ac:dyDescent="0.25">
      <c r="F283" s="116" t="str">
        <f t="shared" si="68"/>
        <v/>
      </c>
      <c r="G283" t="str">
        <f>IF(B283="","",INDEX(SF_Output!$K$1:$K$400,MATCH(B283,SF_Output!$M$1:$M$400,0)))</f>
        <v/>
      </c>
      <c r="H283" t="str" cm="1">
        <f t="array" ref="H283">_xlfn.IFS(B283="","",(SUMIFS(SF_Output!$F$1:$F$400,SF_Output!$AC$1:$AC$400,_xlfn.TEXTJOIN(",",TRUE,B283:E283))+SUMIFS(SF_Output!$G$1:$G$400,SF_Output!$AC$1:$AC$400,_xlfn.TEXTJOIN(",",TRUE,B283:E283)))&lt;&gt;0,SF_Output!$Y$2,INDEX(SF_Output!$F$1:$F$400,MATCH(_xlfn.TEXTJOIN(",",TRUE,B283:E283),SF_Output!$AC$1:$AC$400,0))=0,INDEX(SF_Output!$R$1:$R$400,MATCH(_xlfn.TEXTJOIN(",",TRUE,B283:E283),SF_Output!$AC$1:$AC$400,0)))</f>
        <v/>
      </c>
      <c r="I283" s="125" t="str">
        <f>IFERROR(IF(AND(H283&gt;1,H283&lt;&gt;""),ROUND(SUMIFS(SF_Output!$S$1:$S$400,SF_Output!$AC$1:$AC$400,_xlfn.TEXTJOIN(",",TRUE,B283:E283),SF_Output!$Q$1:$Q$400,"monthly")*(1-W283)/H283,4),""),"")</f>
        <v/>
      </c>
      <c r="J283" s="6" t="str">
        <f>IF(B283="","",SUMIFS(SF_Output!$S$1:$S$400,SF_Output!$AC$1:$AC$400,_xlfn.TEXTJOIN(",",TRUE,B283:E283),SF_Output!$Q$1:$Q$400,"One Time",SF_Output!$L$1:$L$400,"license fee")+SUMIFS(SF_Output!$S$1:$S$400,SF_Output!$AC$1:$AC$400,_xlfn.TEXTJOIN(",",TRUE,B283:E283),SF_Output!$Q$1:$Q$400,"One Time",SF_Output!$L$1:$L$400,"software license")+SUMIFS(SF_Output!$S$1:$S$400,SF_Output!$AC$1:$AC$400,_xlfn.TEXTJOIN(",",TRUE,B283:E283),SF_Output!$Q$1:$Q$400,"One Time",SF_Output!$L$1:$L$400,"hardware"))</f>
        <v/>
      </c>
      <c r="K283" s="112" t="str">
        <f>IF(OR(B283=0,B283="",G283="hardware",J283=0),"",IF(AF283&lt;&gt;"exclusion",MAX(K$9,-((SUMIFS(SF_Output!$T$1:$T$400,SF_Output!$AC$1:$AC$400,_xlfn.TEXTJOIN(",",TRUE,$B283:$E283),SF_Output!$Q$1:$Q$400,"One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license"))/J283)))</f>
        <v/>
      </c>
      <c r="L283" s="6" t="str">
        <f t="shared" si="69"/>
        <v/>
      </c>
      <c r="N283" s="6" t="str">
        <f>IF(B283="","",SUMIFS(SF_Output!$S$1:$S$400,SF_Output!$AC$1:$AC$400,_xlfn.TEXTJOIN(",",TRUE,B283:E283),SF_Output!$Q$1:$Q$400,"One Time",SF_Output!$L$1:$L$400,"professional service"))</f>
        <v/>
      </c>
      <c r="O283" s="112" t="str">
        <f>IF(OR(B283=0,B283="",N283=0),"",IF(AF283&lt;&gt;"exclusion",MAX(O$9,-(SUMIFS(SF_Output!$T$1:$T$400,SF_Output!$AC$1:$AC$400,_xlfn.TEXTJOIN(",",TRUE,$B283:$E283),SF_Output!$Q$1:$Q$400,"One Time",SF_Output!$L$1:$L$400,"professional service"))/N283),-((SUMIFS(SF_Output!$T$1:$T$400,SF_Output!$AC$1:$AC$400,_xlfn.TEXTJOIN(",",TRUE,$B283:$E283),SF_Output!$Q$1:$Q$400,"One Time",SF_Output!$L$1:$L$400,"professional service")/N283))))</f>
        <v/>
      </c>
      <c r="P283" s="6" t="str">
        <f t="shared" si="70"/>
        <v/>
      </c>
      <c r="R283" s="6" t="str">
        <f>IF(B283="","",SUMIFS(SF_Output!$S$1:$S$400,SF_Output!$AC$1:$AC$400,_xlfn.TEXTJOIN(",",TRUE,B283:E283),SF_Output!$Q$1:$Q$400,"yearly")+SUMIFS(SF_Output!$S$1:$S$400,SF_Output!$AC$1:$AC$400,_xlfn.TEXTJOIN(",",TRUE,B283:E283),SF_Output!$Q$1:$Q$400,"quarterly")*4)</f>
        <v/>
      </c>
      <c r="S283" s="112" t="str">
        <f>IF(OR(B283=0,B283="",G283="hardware",R283=0),"",IF(AF283&lt;&gt;"exclusion",MAX(S$9,-(SUMIFS(SF_Output!$T$1:$T$400,SF_Output!$AC$1:$AC$400,_xlfn.TEXTJOIN(",",TRUE,$B283:$E283),SF_Output!$Q$1:$Q$400,"yearly"))/R283),-((SUMIFS(SF_Output!$T$1:$T$400,SF_Output!$AC$1:$AC$400,_xlfn.TEXTJOIN(",",TRUE,$B283:$E283),SF_Output!$Q$1:$Q$400,"yearly")/R283))))</f>
        <v/>
      </c>
      <c r="T283" s="6" t="str">
        <f t="shared" si="71"/>
        <v/>
      </c>
      <c r="V283" s="6" t="str" cm="1">
        <f t="array" ref="V283">_xlfn.IFS(B283="","",AND(B283&lt;&gt;"",H283=SF_Output!$Y$2,SUMIFS(SF_Output!$T$1:$T$400,SF_Output!$AC$1:$AC$400,_xlfn.TEXTJOIN(",",TRUE,B283:E283),SF_Output!$Q$1:$Q$400,"monthly")=0),(SUMIFS(SF_Output!$F$1:$F$400,SF_Output!$AC$1:$AC$400,_xlfn.TEXTJOIN(",",TRUE,B283:E283),SF_Output!$Q$1:$Q$400,"monthly")+SUMIFS(SF_Output!$G$1:$G$400,SF_Output!$AC$1:$AC$400,_xlfn.TEXTJOIN(",",TRUE,B283:E283),SF_Output!$Q$1:$Q$400,"monthly"))*H283,AND(B283&lt;&gt;"",H283=SF_Output!$Y$2,SUMIFS(SF_Output!$T$1:$T$400,SF_Output!$AC$1:$AC$400,_xlfn.TEXTJOIN(",",TRUE,B283:E283),SF_Output!$Q$1:$Q$400,"monthly")&lt;&gt;0),SUMIFS(SF_Output!$S$1:$S$400,SF_Output!$AC$1:$AC$400,_xlfn.TEXTJOIN(",",TRUE,B283:E283),SF_Output!$Q$1:$Q$400,"monthly"),AND(B283&lt;&gt;"",H283&lt;&gt;SF_Output!$Y$2),SUMIFS(SF_Output!$S$1:$S$400,SF_Output!$AC$1:$AC$400,_xlfn.TEXTJOIN(",",TRUE,B283:E283),SF_Output!$Q$1:$Q$400,"monthly"))</f>
        <v/>
      </c>
      <c r="W283" s="112" t="str" cm="1">
        <f t="array" ref="W283">_xlfn.IFS(OR(B283=0,B283="",V283=0),"",AF283&lt;&gt;"exclusion",MAX($W$9,$W$7,(-(SUMIFS(SF_Output!$T$1:$T$400,SF_Output!$AC$1:$AC$400,_xlfn.TEXTJOIN(",",TRUE,$B283:$E283),SF_Output!$Q$1:$Q$400,"monthly"))/V283)),AF283="exclusion",-(SUMIFS(SF_Output!$T$1:$T$400,SF_Output!$AC$1:$AC$400,_xlfn.TEXTJOIN(",",TRUE,$B283:$E283),SF_Output!$Q$1:$Q$400,"monthly"))/V283)</f>
        <v/>
      </c>
      <c r="X283" s="6" t="str" cm="1">
        <f t="array" ref="X283">IFERROR(_xlfn.IFS(V283=0,0,V283="","",W283=0,V283,OR(V283&lt;&gt;0,V283&lt;&gt;""),H283*I283),V283*(1-W283))</f>
        <v/>
      </c>
      <c r="Z283" s="6" t="str">
        <f>IFERROR(IF(B283="","",SUMIFS(Billing_Fallout!H:H,Billing_Fallout!N:N,B283)),0)</f>
        <v/>
      </c>
      <c r="AA283" s="6" t="str">
        <f t="shared" si="72"/>
        <v/>
      </c>
      <c r="AB283" s="6" t="str">
        <f>IFERROR(IF(B283="","",SUMIFS(Billing_Fallout!J:J,Billing_Fallout!N:N,B283)),0)</f>
        <v/>
      </c>
      <c r="AD283" s="6" t="str">
        <f t="shared" si="73"/>
        <v/>
      </c>
      <c r="AF283" t="str">
        <f>IFERROR(INDEX(H_Tables!$B$1:$B$1500,MATCH(INDEX(SF_Output!$J$1:$J$400,MATCH(B283,SF_Output!$M$1:$M$400,0)),H_Tables!$A$1:$A$1500,0)),"")</f>
        <v/>
      </c>
      <c r="AI283" s="119" t="str">
        <f t="shared" si="74"/>
        <v/>
      </c>
      <c r="AJ283" s="121">
        <f>IFERROR(INDEX(SF_Output!AD:AD,MATCH(_xlfn.TEXTJOIN(",",TRUE,B283:E283),SF_Output!AC34:AC433,0)),0.05)</f>
        <v>208</v>
      </c>
      <c r="AK283" t="str">
        <f>IF(SUMIFS(SF_Output!$F$1:$F$400,SF_Output!$AC$1:$AC$400,_xlfn.TEXTJOIN(",",TRUE,B283:E283))+SUMIFS(SF_Output!$G$1:$G$400,SF_Output!$AC$1:$AC$400,_xlfn.TEXTJOIN(",",TRUE,B283:E283))=0,"","PAP")</f>
        <v/>
      </c>
      <c r="AQ283" s="35"/>
      <c r="AR283" s="35" t="str" cm="1">
        <f t="array" ref="AR283">IFERROR(_xlfn.IFS(AND(E283*1=1,F283="Included"),"Change to Included",AND(E283*1=0,F283="Optional"),"Change to Optional",OR(B283="",F283="replaced"),""),"")</f>
        <v/>
      </c>
      <c r="AS283" s="35" t="str">
        <f t="shared" si="75"/>
        <v/>
      </c>
      <c r="AT283" s="35" t="str">
        <f t="shared" si="76"/>
        <v/>
      </c>
      <c r="AU283" s="35" t="str">
        <f t="shared" si="77"/>
        <v/>
      </c>
      <c r="AV283" s="35" t="str">
        <f t="shared" si="78"/>
        <v/>
      </c>
      <c r="AW283" s="35" t="str">
        <f t="shared" si="79"/>
        <v/>
      </c>
      <c r="AX283" s="35" t="str">
        <f t="shared" si="80"/>
        <v/>
      </c>
      <c r="AY283" s="35" t="str">
        <f t="shared" si="81"/>
        <v/>
      </c>
      <c r="AZ283" s="35" t="str">
        <f t="shared" si="82"/>
        <v/>
      </c>
      <c r="BA283" s="35" t="str">
        <f t="shared" si="83"/>
        <v/>
      </c>
      <c r="BB283" s="35" t="str">
        <f t="shared" si="84"/>
        <v/>
      </c>
      <c r="BC283" s="35"/>
      <c r="BE283" s="35" t="e">
        <f>INDEX(SF_Output!$AA$2:$AA$400,MATCH($B283,SF_Output!$M$2:$M$400,0))</f>
        <v>#N/A</v>
      </c>
      <c r="BF283" s="35" t="e">
        <f>INDEX(SF_Output!$AB$2:$AB$400,MATCH($B283,SF_Output!$M$2:$M$400,0))</f>
        <v>#N/A</v>
      </c>
    </row>
    <row r="284" spans="6:58" x14ac:dyDescent="0.25">
      <c r="F284" s="116" t="str">
        <f t="shared" si="68"/>
        <v/>
      </c>
      <c r="G284" t="str">
        <f>IF(B284="","",INDEX(SF_Output!$K$1:$K$400,MATCH(B284,SF_Output!$M$1:$M$400,0)))</f>
        <v/>
      </c>
      <c r="H284" t="str" cm="1">
        <f t="array" ref="H284">_xlfn.IFS(B284="","",(SUMIFS(SF_Output!$F$1:$F$400,SF_Output!$AC$1:$AC$400,_xlfn.TEXTJOIN(",",TRUE,B284:E284))+SUMIFS(SF_Output!$G$1:$G$400,SF_Output!$AC$1:$AC$400,_xlfn.TEXTJOIN(",",TRUE,B284:E284)))&lt;&gt;0,SF_Output!$Y$2,INDEX(SF_Output!$F$1:$F$400,MATCH(_xlfn.TEXTJOIN(",",TRUE,B284:E284),SF_Output!$AC$1:$AC$400,0))=0,INDEX(SF_Output!$R$1:$R$400,MATCH(_xlfn.TEXTJOIN(",",TRUE,B284:E284),SF_Output!$AC$1:$AC$400,0)))</f>
        <v/>
      </c>
      <c r="I284" s="125" t="str">
        <f>IFERROR(IF(AND(H284&gt;1,H284&lt;&gt;""),ROUND(SUMIFS(SF_Output!$S$1:$S$400,SF_Output!$AC$1:$AC$400,_xlfn.TEXTJOIN(",",TRUE,B284:E284),SF_Output!$Q$1:$Q$400,"monthly")*(1-W284)/H284,4),""),"")</f>
        <v/>
      </c>
      <c r="J284" s="6" t="str">
        <f>IF(B284="","",SUMIFS(SF_Output!$S$1:$S$400,SF_Output!$AC$1:$AC$400,_xlfn.TEXTJOIN(",",TRUE,B284:E284),SF_Output!$Q$1:$Q$400,"One Time",SF_Output!$L$1:$L$400,"license fee")+SUMIFS(SF_Output!$S$1:$S$400,SF_Output!$AC$1:$AC$400,_xlfn.TEXTJOIN(",",TRUE,B284:E284),SF_Output!$Q$1:$Q$400,"One Time",SF_Output!$L$1:$L$400,"software license")+SUMIFS(SF_Output!$S$1:$S$400,SF_Output!$AC$1:$AC$400,_xlfn.TEXTJOIN(",",TRUE,B284:E284),SF_Output!$Q$1:$Q$400,"One Time",SF_Output!$L$1:$L$400,"hardware"))</f>
        <v/>
      </c>
      <c r="K284" s="112" t="str">
        <f>IF(OR(B284=0,B284="",G284="hardware",J284=0),"",IF(AF284&lt;&gt;"exclusion",MAX(K$9,-((SUMIFS(SF_Output!$T$1:$T$400,SF_Output!$AC$1:$AC$400,_xlfn.TEXTJOIN(",",TRUE,$B284:$E284),SF_Output!$Q$1:$Q$400,"One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license"))/J284)))</f>
        <v/>
      </c>
      <c r="L284" s="6" t="str">
        <f t="shared" si="69"/>
        <v/>
      </c>
      <c r="N284" s="6" t="str">
        <f>IF(B284="","",SUMIFS(SF_Output!$S$1:$S$400,SF_Output!$AC$1:$AC$400,_xlfn.TEXTJOIN(",",TRUE,B284:E284),SF_Output!$Q$1:$Q$400,"One Time",SF_Output!$L$1:$L$400,"professional service"))</f>
        <v/>
      </c>
      <c r="O284" s="112" t="str">
        <f>IF(OR(B284=0,B284="",N284=0),"",IF(AF284&lt;&gt;"exclusion",MAX(O$9,-(SUMIFS(SF_Output!$T$1:$T$400,SF_Output!$AC$1:$AC$400,_xlfn.TEXTJOIN(",",TRUE,$B284:$E284),SF_Output!$Q$1:$Q$400,"One Time",SF_Output!$L$1:$L$400,"professional service"))/N284),-((SUMIFS(SF_Output!$T$1:$T$400,SF_Output!$AC$1:$AC$400,_xlfn.TEXTJOIN(",",TRUE,$B284:$E284),SF_Output!$Q$1:$Q$400,"One Time",SF_Output!$L$1:$L$400,"professional service")/N284))))</f>
        <v/>
      </c>
      <c r="P284" s="6" t="str">
        <f t="shared" si="70"/>
        <v/>
      </c>
      <c r="R284" s="6" t="str">
        <f>IF(B284="","",SUMIFS(SF_Output!$S$1:$S$400,SF_Output!$AC$1:$AC$400,_xlfn.TEXTJOIN(",",TRUE,B284:E284),SF_Output!$Q$1:$Q$400,"yearly")+SUMIFS(SF_Output!$S$1:$S$400,SF_Output!$AC$1:$AC$400,_xlfn.TEXTJOIN(",",TRUE,B284:E284),SF_Output!$Q$1:$Q$400,"quarterly")*4)</f>
        <v/>
      </c>
      <c r="S284" s="112" t="str">
        <f>IF(OR(B284=0,B284="",G284="hardware",R284=0),"",IF(AF284&lt;&gt;"exclusion",MAX(S$9,-(SUMIFS(SF_Output!$T$1:$T$400,SF_Output!$AC$1:$AC$400,_xlfn.TEXTJOIN(",",TRUE,$B284:$E284),SF_Output!$Q$1:$Q$400,"yearly"))/R284),-((SUMIFS(SF_Output!$T$1:$T$400,SF_Output!$AC$1:$AC$400,_xlfn.TEXTJOIN(",",TRUE,$B284:$E284),SF_Output!$Q$1:$Q$400,"yearly")/R284))))</f>
        <v/>
      </c>
      <c r="T284" s="6" t="str">
        <f t="shared" si="71"/>
        <v/>
      </c>
      <c r="V284" s="6" t="str" cm="1">
        <f t="array" ref="V284">_xlfn.IFS(B284="","",AND(B284&lt;&gt;"",H284=SF_Output!$Y$2,SUMIFS(SF_Output!$T$1:$T$400,SF_Output!$AC$1:$AC$400,_xlfn.TEXTJOIN(",",TRUE,B284:E284),SF_Output!$Q$1:$Q$400,"monthly")=0),(SUMIFS(SF_Output!$F$1:$F$400,SF_Output!$AC$1:$AC$400,_xlfn.TEXTJOIN(",",TRUE,B284:E284),SF_Output!$Q$1:$Q$400,"monthly")+SUMIFS(SF_Output!$G$1:$G$400,SF_Output!$AC$1:$AC$400,_xlfn.TEXTJOIN(",",TRUE,B284:E284),SF_Output!$Q$1:$Q$400,"monthly"))*H284,AND(B284&lt;&gt;"",H284=SF_Output!$Y$2,SUMIFS(SF_Output!$T$1:$T$400,SF_Output!$AC$1:$AC$400,_xlfn.TEXTJOIN(",",TRUE,B284:E284),SF_Output!$Q$1:$Q$400,"monthly")&lt;&gt;0),SUMIFS(SF_Output!$S$1:$S$400,SF_Output!$AC$1:$AC$400,_xlfn.TEXTJOIN(",",TRUE,B284:E284),SF_Output!$Q$1:$Q$400,"monthly"),AND(B284&lt;&gt;"",H284&lt;&gt;SF_Output!$Y$2),SUMIFS(SF_Output!$S$1:$S$400,SF_Output!$AC$1:$AC$400,_xlfn.TEXTJOIN(",",TRUE,B284:E284),SF_Output!$Q$1:$Q$400,"monthly"))</f>
        <v/>
      </c>
      <c r="W284" s="112" t="str" cm="1">
        <f t="array" ref="W284">_xlfn.IFS(OR(B284=0,B284="",V284=0),"",AF284&lt;&gt;"exclusion",MAX($W$9,$W$7,(-(SUMIFS(SF_Output!$T$1:$T$400,SF_Output!$AC$1:$AC$400,_xlfn.TEXTJOIN(",",TRUE,$B284:$E284),SF_Output!$Q$1:$Q$400,"monthly"))/V284)),AF284="exclusion",-(SUMIFS(SF_Output!$T$1:$T$400,SF_Output!$AC$1:$AC$400,_xlfn.TEXTJOIN(",",TRUE,$B284:$E284),SF_Output!$Q$1:$Q$400,"monthly"))/V284)</f>
        <v/>
      </c>
      <c r="X284" s="6" t="str" cm="1">
        <f t="array" ref="X284">IFERROR(_xlfn.IFS(V284=0,0,V284="","",W284=0,V284,OR(V284&lt;&gt;0,V284&lt;&gt;""),H284*I284),V284*(1-W284))</f>
        <v/>
      </c>
      <c r="Z284" s="6" t="str">
        <f>IFERROR(IF(B284="","",SUMIFS(Billing_Fallout!H:H,Billing_Fallout!N:N,B284)),0)</f>
        <v/>
      </c>
      <c r="AA284" s="6" t="str">
        <f t="shared" si="72"/>
        <v/>
      </c>
      <c r="AB284" s="6" t="str">
        <f>IFERROR(IF(B284="","",SUMIFS(Billing_Fallout!J:J,Billing_Fallout!N:N,B284)),0)</f>
        <v/>
      </c>
      <c r="AD284" s="6" t="str">
        <f t="shared" si="73"/>
        <v/>
      </c>
      <c r="AF284" t="str">
        <f>IFERROR(INDEX(H_Tables!$B$1:$B$1500,MATCH(INDEX(SF_Output!$J$1:$J$400,MATCH(B284,SF_Output!$M$1:$M$400,0)),H_Tables!$A$1:$A$1500,0)),"")</f>
        <v/>
      </c>
      <c r="AI284" s="119" t="str">
        <f t="shared" si="74"/>
        <v/>
      </c>
      <c r="AJ284" s="121">
        <f>IFERROR(INDEX(SF_Output!AD:AD,MATCH(_xlfn.TEXTJOIN(",",TRUE,B284:E284),SF_Output!AC35:AC434,0)),0.05)</f>
        <v>207</v>
      </c>
      <c r="AK284" t="str">
        <f>IF(SUMIFS(SF_Output!$F$1:$F$400,SF_Output!$AC$1:$AC$400,_xlfn.TEXTJOIN(",",TRUE,B284:E284))+SUMIFS(SF_Output!$G$1:$G$400,SF_Output!$AC$1:$AC$400,_xlfn.TEXTJOIN(",",TRUE,B284:E284))=0,"","PAP")</f>
        <v/>
      </c>
      <c r="AQ284" s="35"/>
      <c r="AR284" s="35" t="str" cm="1">
        <f t="array" ref="AR284">IFERROR(_xlfn.IFS(AND(E284*1=1,F284="Included"),"Change to Included",AND(E284*1=0,F284="Optional"),"Change to Optional",OR(B284="",F284="replaced"),""),"")</f>
        <v/>
      </c>
      <c r="AS284" s="35" t="str">
        <f t="shared" si="75"/>
        <v/>
      </c>
      <c r="AT284" s="35" t="str">
        <f t="shared" si="76"/>
        <v/>
      </c>
      <c r="AU284" s="35" t="str">
        <f t="shared" si="77"/>
        <v/>
      </c>
      <c r="AV284" s="35" t="str">
        <f t="shared" si="78"/>
        <v/>
      </c>
      <c r="AW284" s="35" t="str">
        <f t="shared" si="79"/>
        <v/>
      </c>
      <c r="AX284" s="35" t="str">
        <f t="shared" si="80"/>
        <v/>
      </c>
      <c r="AY284" s="35" t="str">
        <f t="shared" si="81"/>
        <v/>
      </c>
      <c r="AZ284" s="35" t="str">
        <f t="shared" si="82"/>
        <v/>
      </c>
      <c r="BA284" s="35" t="str">
        <f t="shared" si="83"/>
        <v/>
      </c>
      <c r="BB284" s="35" t="str">
        <f t="shared" si="84"/>
        <v/>
      </c>
      <c r="BC284" s="35"/>
      <c r="BE284" s="35" t="e">
        <f>INDEX(SF_Output!$AA$2:$AA$400,MATCH($B284,SF_Output!$M$2:$M$400,0))</f>
        <v>#N/A</v>
      </c>
      <c r="BF284" s="35" t="e">
        <f>INDEX(SF_Output!$AB$2:$AB$400,MATCH($B284,SF_Output!$M$2:$M$400,0))</f>
        <v>#N/A</v>
      </c>
    </row>
    <row r="285" spans="6:58" x14ac:dyDescent="0.25">
      <c r="F285" s="116" t="str">
        <f t="shared" si="68"/>
        <v/>
      </c>
      <c r="G285" t="str">
        <f>IF(B285="","",INDEX(SF_Output!$K$1:$K$400,MATCH(B285,SF_Output!$M$1:$M$400,0)))</f>
        <v/>
      </c>
      <c r="H285" t="str" cm="1">
        <f t="array" ref="H285">_xlfn.IFS(B285="","",(SUMIFS(SF_Output!$F$1:$F$400,SF_Output!$AC$1:$AC$400,_xlfn.TEXTJOIN(",",TRUE,B285:E285))+SUMIFS(SF_Output!$G$1:$G$400,SF_Output!$AC$1:$AC$400,_xlfn.TEXTJOIN(",",TRUE,B285:E285)))&lt;&gt;0,SF_Output!$Y$2,INDEX(SF_Output!$F$1:$F$400,MATCH(_xlfn.TEXTJOIN(",",TRUE,B285:E285),SF_Output!$AC$1:$AC$400,0))=0,INDEX(SF_Output!$R$1:$R$400,MATCH(_xlfn.TEXTJOIN(",",TRUE,B285:E285),SF_Output!$AC$1:$AC$400,0)))</f>
        <v/>
      </c>
      <c r="I285" s="125" t="str">
        <f>IFERROR(IF(AND(H285&gt;1,H285&lt;&gt;""),ROUND(SUMIFS(SF_Output!$S$1:$S$400,SF_Output!$AC$1:$AC$400,_xlfn.TEXTJOIN(",",TRUE,B285:E285),SF_Output!$Q$1:$Q$400,"monthly")*(1-W285)/H285,4),""),"")</f>
        <v/>
      </c>
      <c r="J285" s="6" t="str">
        <f>IF(B285="","",SUMIFS(SF_Output!$S$1:$S$400,SF_Output!$AC$1:$AC$400,_xlfn.TEXTJOIN(",",TRUE,B285:E285),SF_Output!$Q$1:$Q$400,"One Time",SF_Output!$L$1:$L$400,"license fee")+SUMIFS(SF_Output!$S$1:$S$400,SF_Output!$AC$1:$AC$400,_xlfn.TEXTJOIN(",",TRUE,B285:E285),SF_Output!$Q$1:$Q$400,"One Time",SF_Output!$L$1:$L$400,"software license")+SUMIFS(SF_Output!$S$1:$S$400,SF_Output!$AC$1:$AC$400,_xlfn.TEXTJOIN(",",TRUE,B285:E285),SF_Output!$Q$1:$Q$400,"One Time",SF_Output!$L$1:$L$400,"hardware"))</f>
        <v/>
      </c>
      <c r="K285" s="112" t="str">
        <f>IF(OR(B285=0,B285="",G285="hardware",J285=0),"",IF(AF285&lt;&gt;"exclusion",MAX(K$9,-((SUMIFS(SF_Output!$T$1:$T$400,SF_Output!$AC$1:$AC$400,_xlfn.TEXTJOIN(",",TRUE,$B285:$E285),SF_Output!$Q$1:$Q$400,"One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license"))/J285)))</f>
        <v/>
      </c>
      <c r="L285" s="6" t="str">
        <f t="shared" si="69"/>
        <v/>
      </c>
      <c r="N285" s="6" t="str">
        <f>IF(B285="","",SUMIFS(SF_Output!$S$1:$S$400,SF_Output!$AC$1:$AC$400,_xlfn.TEXTJOIN(",",TRUE,B285:E285),SF_Output!$Q$1:$Q$400,"One Time",SF_Output!$L$1:$L$400,"professional service"))</f>
        <v/>
      </c>
      <c r="O285" s="112" t="str">
        <f>IF(OR(B285=0,B285="",N285=0),"",IF(AF285&lt;&gt;"exclusion",MAX(O$9,-(SUMIFS(SF_Output!$T$1:$T$400,SF_Output!$AC$1:$AC$400,_xlfn.TEXTJOIN(",",TRUE,$B285:$E285),SF_Output!$Q$1:$Q$400,"One Time",SF_Output!$L$1:$L$400,"professional service"))/N285),-((SUMIFS(SF_Output!$T$1:$T$400,SF_Output!$AC$1:$AC$400,_xlfn.TEXTJOIN(",",TRUE,$B285:$E285),SF_Output!$Q$1:$Q$400,"One Time",SF_Output!$L$1:$L$400,"professional service")/N285))))</f>
        <v/>
      </c>
      <c r="P285" s="6" t="str">
        <f t="shared" si="70"/>
        <v/>
      </c>
      <c r="R285" s="6" t="str">
        <f>IF(B285="","",SUMIFS(SF_Output!$S$1:$S$400,SF_Output!$AC$1:$AC$400,_xlfn.TEXTJOIN(",",TRUE,B285:E285),SF_Output!$Q$1:$Q$400,"yearly")+SUMIFS(SF_Output!$S$1:$S$400,SF_Output!$AC$1:$AC$400,_xlfn.TEXTJOIN(",",TRUE,B285:E285),SF_Output!$Q$1:$Q$400,"quarterly")*4)</f>
        <v/>
      </c>
      <c r="S285" s="112" t="str">
        <f>IF(OR(B285=0,B285="",G285="hardware",R285=0),"",IF(AF285&lt;&gt;"exclusion",MAX(S$9,-(SUMIFS(SF_Output!$T$1:$T$400,SF_Output!$AC$1:$AC$400,_xlfn.TEXTJOIN(",",TRUE,$B285:$E285),SF_Output!$Q$1:$Q$400,"yearly"))/R285),-((SUMIFS(SF_Output!$T$1:$T$400,SF_Output!$AC$1:$AC$400,_xlfn.TEXTJOIN(",",TRUE,$B285:$E285),SF_Output!$Q$1:$Q$400,"yearly")/R285))))</f>
        <v/>
      </c>
      <c r="T285" s="6" t="str">
        <f t="shared" si="71"/>
        <v/>
      </c>
      <c r="V285" s="6" t="str" cm="1">
        <f t="array" ref="V285">_xlfn.IFS(B285="","",AND(B285&lt;&gt;"",H285=SF_Output!$Y$2,SUMIFS(SF_Output!$T$1:$T$400,SF_Output!$AC$1:$AC$400,_xlfn.TEXTJOIN(",",TRUE,B285:E285),SF_Output!$Q$1:$Q$400,"monthly")=0),(SUMIFS(SF_Output!$F$1:$F$400,SF_Output!$AC$1:$AC$400,_xlfn.TEXTJOIN(",",TRUE,B285:E285),SF_Output!$Q$1:$Q$400,"monthly")+SUMIFS(SF_Output!$G$1:$G$400,SF_Output!$AC$1:$AC$400,_xlfn.TEXTJOIN(",",TRUE,B285:E285),SF_Output!$Q$1:$Q$400,"monthly"))*H285,AND(B285&lt;&gt;"",H285=SF_Output!$Y$2,SUMIFS(SF_Output!$T$1:$T$400,SF_Output!$AC$1:$AC$400,_xlfn.TEXTJOIN(",",TRUE,B285:E285),SF_Output!$Q$1:$Q$400,"monthly")&lt;&gt;0),SUMIFS(SF_Output!$S$1:$S$400,SF_Output!$AC$1:$AC$400,_xlfn.TEXTJOIN(",",TRUE,B285:E285),SF_Output!$Q$1:$Q$400,"monthly"),AND(B285&lt;&gt;"",H285&lt;&gt;SF_Output!$Y$2),SUMIFS(SF_Output!$S$1:$S$400,SF_Output!$AC$1:$AC$400,_xlfn.TEXTJOIN(",",TRUE,B285:E285),SF_Output!$Q$1:$Q$400,"monthly"))</f>
        <v/>
      </c>
      <c r="W285" s="112" t="str" cm="1">
        <f t="array" ref="W285">_xlfn.IFS(OR(B285=0,B285="",V285=0),"",AF285&lt;&gt;"exclusion",MAX($W$9,$W$7,(-(SUMIFS(SF_Output!$T$1:$T$400,SF_Output!$AC$1:$AC$400,_xlfn.TEXTJOIN(",",TRUE,$B285:$E285),SF_Output!$Q$1:$Q$400,"monthly"))/V285)),AF285="exclusion",-(SUMIFS(SF_Output!$T$1:$T$400,SF_Output!$AC$1:$AC$400,_xlfn.TEXTJOIN(",",TRUE,$B285:$E285),SF_Output!$Q$1:$Q$400,"monthly"))/V285)</f>
        <v/>
      </c>
      <c r="X285" s="6" t="str" cm="1">
        <f t="array" ref="X285">IFERROR(_xlfn.IFS(V285=0,0,V285="","",W285=0,V285,OR(V285&lt;&gt;0,V285&lt;&gt;""),H285*I285),V285*(1-W285))</f>
        <v/>
      </c>
      <c r="Z285" s="6" t="str">
        <f>IFERROR(IF(B285="","",SUMIFS(Billing_Fallout!H:H,Billing_Fallout!N:N,B285)),0)</f>
        <v/>
      </c>
      <c r="AA285" s="6" t="str">
        <f t="shared" si="72"/>
        <v/>
      </c>
      <c r="AB285" s="6" t="str">
        <f>IFERROR(IF(B285="","",SUMIFS(Billing_Fallout!J:J,Billing_Fallout!N:N,B285)),0)</f>
        <v/>
      </c>
      <c r="AD285" s="6" t="str">
        <f t="shared" si="73"/>
        <v/>
      </c>
      <c r="AF285" t="str">
        <f>IFERROR(INDEX(H_Tables!$B$1:$B$1500,MATCH(INDEX(SF_Output!$J$1:$J$400,MATCH(B285,SF_Output!$M$1:$M$400,0)),H_Tables!$A$1:$A$1500,0)),"")</f>
        <v/>
      </c>
      <c r="AI285" s="119" t="str">
        <f t="shared" si="74"/>
        <v/>
      </c>
      <c r="AJ285" s="121">
        <f>IFERROR(INDEX(SF_Output!AD:AD,MATCH(_xlfn.TEXTJOIN(",",TRUE,B285:E285),SF_Output!AC36:AC435,0)),0.05)</f>
        <v>206</v>
      </c>
      <c r="AK285" t="str">
        <f>IF(SUMIFS(SF_Output!$F$1:$F$400,SF_Output!$AC$1:$AC$400,_xlfn.TEXTJOIN(",",TRUE,B285:E285))+SUMIFS(SF_Output!$G$1:$G$400,SF_Output!$AC$1:$AC$400,_xlfn.TEXTJOIN(",",TRUE,B285:E285))=0,"","PAP")</f>
        <v/>
      </c>
      <c r="AQ285" s="35"/>
      <c r="AR285" s="35" t="str" cm="1">
        <f t="array" ref="AR285">IFERROR(_xlfn.IFS(AND(E285*1=1,F285="Included"),"Change to Included",AND(E285*1=0,F285="Optional"),"Change to Optional",OR(B285="",F285="replaced"),""),"")</f>
        <v/>
      </c>
      <c r="AS285" s="35" t="str">
        <f t="shared" si="75"/>
        <v/>
      </c>
      <c r="AT285" s="35" t="str">
        <f t="shared" si="76"/>
        <v/>
      </c>
      <c r="AU285" s="35" t="str">
        <f t="shared" si="77"/>
        <v/>
      </c>
      <c r="AV285" s="35" t="str">
        <f t="shared" si="78"/>
        <v/>
      </c>
      <c r="AW285" s="35" t="str">
        <f t="shared" si="79"/>
        <v/>
      </c>
      <c r="AX285" s="35" t="str">
        <f t="shared" si="80"/>
        <v/>
      </c>
      <c r="AY285" s="35" t="str">
        <f t="shared" si="81"/>
        <v/>
      </c>
      <c r="AZ285" s="35" t="str">
        <f t="shared" si="82"/>
        <v/>
      </c>
      <c r="BA285" s="35" t="str">
        <f t="shared" si="83"/>
        <v/>
      </c>
      <c r="BB285" s="35" t="str">
        <f t="shared" si="84"/>
        <v/>
      </c>
      <c r="BC285" s="35"/>
      <c r="BE285" s="35" t="e">
        <f>INDEX(SF_Output!$AA$2:$AA$400,MATCH($B285,SF_Output!$M$2:$M$400,0))</f>
        <v>#N/A</v>
      </c>
      <c r="BF285" s="35" t="e">
        <f>INDEX(SF_Output!$AB$2:$AB$400,MATCH($B285,SF_Output!$M$2:$M$400,0))</f>
        <v>#N/A</v>
      </c>
    </row>
    <row r="286" spans="6:58" x14ac:dyDescent="0.25">
      <c r="F286" s="116" t="str">
        <f t="shared" si="68"/>
        <v/>
      </c>
      <c r="G286" t="str">
        <f>IF(B286="","",INDEX(SF_Output!$K$1:$K$400,MATCH(B286,SF_Output!$M$1:$M$400,0)))</f>
        <v/>
      </c>
      <c r="H286" t="str" cm="1">
        <f t="array" ref="H286">_xlfn.IFS(B286="","",(SUMIFS(SF_Output!$F$1:$F$400,SF_Output!$AC$1:$AC$400,_xlfn.TEXTJOIN(",",TRUE,B286:E286))+SUMIFS(SF_Output!$G$1:$G$400,SF_Output!$AC$1:$AC$400,_xlfn.TEXTJOIN(",",TRUE,B286:E286)))&lt;&gt;0,SF_Output!$Y$2,INDEX(SF_Output!$F$1:$F$400,MATCH(_xlfn.TEXTJOIN(",",TRUE,B286:E286),SF_Output!$AC$1:$AC$400,0))=0,INDEX(SF_Output!$R$1:$R$400,MATCH(_xlfn.TEXTJOIN(",",TRUE,B286:E286),SF_Output!$AC$1:$AC$400,0)))</f>
        <v/>
      </c>
      <c r="I286" s="125" t="str">
        <f>IFERROR(IF(AND(H286&gt;1,H286&lt;&gt;""),ROUND(SUMIFS(SF_Output!$S$1:$S$400,SF_Output!$AC$1:$AC$400,_xlfn.TEXTJOIN(",",TRUE,B286:E286),SF_Output!$Q$1:$Q$400,"monthly")*(1-W286)/H286,4),""),"")</f>
        <v/>
      </c>
      <c r="J286" s="6" t="str">
        <f>IF(B286="","",SUMIFS(SF_Output!$S$1:$S$400,SF_Output!$AC$1:$AC$400,_xlfn.TEXTJOIN(",",TRUE,B286:E286),SF_Output!$Q$1:$Q$400,"One Time",SF_Output!$L$1:$L$400,"license fee")+SUMIFS(SF_Output!$S$1:$S$400,SF_Output!$AC$1:$AC$400,_xlfn.TEXTJOIN(",",TRUE,B286:E286),SF_Output!$Q$1:$Q$400,"One Time",SF_Output!$L$1:$L$400,"software license")+SUMIFS(SF_Output!$S$1:$S$400,SF_Output!$AC$1:$AC$400,_xlfn.TEXTJOIN(",",TRUE,B286:E286),SF_Output!$Q$1:$Q$400,"One Time",SF_Output!$L$1:$L$400,"hardware"))</f>
        <v/>
      </c>
      <c r="K286" s="112" t="str">
        <f>IF(OR(B286=0,B286="",G286="hardware",J286=0),"",IF(AF286&lt;&gt;"exclusion",MAX(K$9,-((SUMIFS(SF_Output!$T$1:$T$400,SF_Output!$AC$1:$AC$400,_xlfn.TEXTJOIN(",",TRUE,$B286:$E286),SF_Output!$Q$1:$Q$400,"One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license"))/J286)))</f>
        <v/>
      </c>
      <c r="L286" s="6" t="str">
        <f t="shared" si="69"/>
        <v/>
      </c>
      <c r="N286" s="6" t="str">
        <f>IF(B286="","",SUMIFS(SF_Output!$S$1:$S$400,SF_Output!$AC$1:$AC$400,_xlfn.TEXTJOIN(",",TRUE,B286:E286),SF_Output!$Q$1:$Q$400,"One Time",SF_Output!$L$1:$L$400,"professional service"))</f>
        <v/>
      </c>
      <c r="O286" s="112" t="str">
        <f>IF(OR(B286=0,B286="",N286=0),"",IF(AF286&lt;&gt;"exclusion",MAX(O$9,-(SUMIFS(SF_Output!$T$1:$T$400,SF_Output!$AC$1:$AC$400,_xlfn.TEXTJOIN(",",TRUE,$B286:$E286),SF_Output!$Q$1:$Q$400,"One Time",SF_Output!$L$1:$L$400,"professional service"))/N286),-((SUMIFS(SF_Output!$T$1:$T$400,SF_Output!$AC$1:$AC$400,_xlfn.TEXTJOIN(",",TRUE,$B286:$E286),SF_Output!$Q$1:$Q$400,"One Time",SF_Output!$L$1:$L$400,"professional service")/N286))))</f>
        <v/>
      </c>
      <c r="P286" s="6" t="str">
        <f t="shared" si="70"/>
        <v/>
      </c>
      <c r="R286" s="6" t="str">
        <f>IF(B286="","",SUMIFS(SF_Output!$S$1:$S$400,SF_Output!$AC$1:$AC$400,_xlfn.TEXTJOIN(",",TRUE,B286:E286),SF_Output!$Q$1:$Q$400,"yearly")+SUMIFS(SF_Output!$S$1:$S$400,SF_Output!$AC$1:$AC$400,_xlfn.TEXTJOIN(",",TRUE,B286:E286),SF_Output!$Q$1:$Q$400,"quarterly")*4)</f>
        <v/>
      </c>
      <c r="S286" s="112" t="str">
        <f>IF(OR(B286=0,B286="",G286="hardware",R286=0),"",IF(AF286&lt;&gt;"exclusion",MAX(S$9,-(SUMIFS(SF_Output!$T$1:$T$400,SF_Output!$AC$1:$AC$400,_xlfn.TEXTJOIN(",",TRUE,$B286:$E286),SF_Output!$Q$1:$Q$400,"yearly"))/R286),-((SUMIFS(SF_Output!$T$1:$T$400,SF_Output!$AC$1:$AC$400,_xlfn.TEXTJOIN(",",TRUE,$B286:$E286),SF_Output!$Q$1:$Q$400,"yearly")/R286))))</f>
        <v/>
      </c>
      <c r="T286" s="6" t="str">
        <f t="shared" si="71"/>
        <v/>
      </c>
      <c r="V286" s="6" t="str" cm="1">
        <f t="array" ref="V286">_xlfn.IFS(B286="","",AND(B286&lt;&gt;"",H286=SF_Output!$Y$2,SUMIFS(SF_Output!$T$1:$T$400,SF_Output!$AC$1:$AC$400,_xlfn.TEXTJOIN(",",TRUE,B286:E286),SF_Output!$Q$1:$Q$400,"monthly")=0),(SUMIFS(SF_Output!$F$1:$F$400,SF_Output!$AC$1:$AC$400,_xlfn.TEXTJOIN(",",TRUE,B286:E286),SF_Output!$Q$1:$Q$400,"monthly")+SUMIFS(SF_Output!$G$1:$G$400,SF_Output!$AC$1:$AC$400,_xlfn.TEXTJOIN(",",TRUE,B286:E286),SF_Output!$Q$1:$Q$400,"monthly"))*H286,AND(B286&lt;&gt;"",H286=SF_Output!$Y$2,SUMIFS(SF_Output!$T$1:$T$400,SF_Output!$AC$1:$AC$400,_xlfn.TEXTJOIN(",",TRUE,B286:E286),SF_Output!$Q$1:$Q$400,"monthly")&lt;&gt;0),SUMIFS(SF_Output!$S$1:$S$400,SF_Output!$AC$1:$AC$400,_xlfn.TEXTJOIN(",",TRUE,B286:E286),SF_Output!$Q$1:$Q$400,"monthly"),AND(B286&lt;&gt;"",H286&lt;&gt;SF_Output!$Y$2),SUMIFS(SF_Output!$S$1:$S$400,SF_Output!$AC$1:$AC$400,_xlfn.TEXTJOIN(",",TRUE,B286:E286),SF_Output!$Q$1:$Q$400,"monthly"))</f>
        <v/>
      </c>
      <c r="W286" s="112" t="str" cm="1">
        <f t="array" ref="W286">_xlfn.IFS(OR(B286=0,B286="",V286=0),"",AF286&lt;&gt;"exclusion",MAX($W$9,$W$7,(-(SUMIFS(SF_Output!$T$1:$T$400,SF_Output!$AC$1:$AC$400,_xlfn.TEXTJOIN(",",TRUE,$B286:$E286),SF_Output!$Q$1:$Q$400,"monthly"))/V286)),AF286="exclusion",-(SUMIFS(SF_Output!$T$1:$T$400,SF_Output!$AC$1:$AC$400,_xlfn.TEXTJOIN(",",TRUE,$B286:$E286),SF_Output!$Q$1:$Q$400,"monthly"))/V286)</f>
        <v/>
      </c>
      <c r="X286" s="6" t="str" cm="1">
        <f t="array" ref="X286">IFERROR(_xlfn.IFS(V286=0,0,V286="","",W286=0,V286,OR(V286&lt;&gt;0,V286&lt;&gt;""),H286*I286),V286*(1-W286))</f>
        <v/>
      </c>
      <c r="Z286" s="6" t="str">
        <f>IFERROR(IF(B286="","",SUMIFS(Billing_Fallout!H:H,Billing_Fallout!N:N,B286)),0)</f>
        <v/>
      </c>
      <c r="AA286" s="6" t="str">
        <f t="shared" si="72"/>
        <v/>
      </c>
      <c r="AB286" s="6" t="str">
        <f>IFERROR(IF(B286="","",SUMIFS(Billing_Fallout!J:J,Billing_Fallout!N:N,B286)),0)</f>
        <v/>
      </c>
      <c r="AD286" s="6" t="str">
        <f t="shared" si="73"/>
        <v/>
      </c>
      <c r="AF286" t="str">
        <f>IFERROR(INDEX(H_Tables!$B$1:$B$1500,MATCH(INDEX(SF_Output!$J$1:$J$400,MATCH(B286,SF_Output!$M$1:$M$400,0)),H_Tables!$A$1:$A$1500,0)),"")</f>
        <v/>
      </c>
      <c r="AI286" s="119" t="str">
        <f t="shared" si="74"/>
        <v/>
      </c>
      <c r="AJ286" s="121">
        <f>IFERROR(INDEX(SF_Output!AD:AD,MATCH(_xlfn.TEXTJOIN(",",TRUE,B286:E286),SF_Output!AC37:AC436,0)),0.05)</f>
        <v>205</v>
      </c>
      <c r="AK286" t="str">
        <f>IF(SUMIFS(SF_Output!$F$1:$F$400,SF_Output!$AC$1:$AC$400,_xlfn.TEXTJOIN(",",TRUE,B286:E286))+SUMIFS(SF_Output!$G$1:$G$400,SF_Output!$AC$1:$AC$400,_xlfn.TEXTJOIN(",",TRUE,B286:E286))=0,"","PAP")</f>
        <v/>
      </c>
      <c r="AQ286" s="35"/>
      <c r="AR286" s="35" t="str" cm="1">
        <f t="array" ref="AR286">IFERROR(_xlfn.IFS(AND(E286*1=1,F286="Included"),"Change to Included",AND(E286*1=0,F286="Optional"),"Change to Optional",OR(B286="",F286="replaced"),""),"")</f>
        <v/>
      </c>
      <c r="AS286" s="35" t="str">
        <f t="shared" si="75"/>
        <v/>
      </c>
      <c r="AT286" s="35" t="str">
        <f t="shared" si="76"/>
        <v/>
      </c>
      <c r="AU286" s="35" t="str">
        <f t="shared" si="77"/>
        <v/>
      </c>
      <c r="AV286" s="35" t="str">
        <f t="shared" si="78"/>
        <v/>
      </c>
      <c r="AW286" s="35" t="str">
        <f t="shared" si="79"/>
        <v/>
      </c>
      <c r="AX286" s="35" t="str">
        <f t="shared" si="80"/>
        <v/>
      </c>
      <c r="AY286" s="35" t="str">
        <f t="shared" si="81"/>
        <v/>
      </c>
      <c r="AZ286" s="35" t="str">
        <f t="shared" si="82"/>
        <v/>
      </c>
      <c r="BA286" s="35" t="str">
        <f t="shared" si="83"/>
        <v/>
      </c>
      <c r="BB286" s="35" t="str">
        <f t="shared" si="84"/>
        <v/>
      </c>
      <c r="BC286" s="35"/>
      <c r="BE286" s="35" t="e">
        <f>INDEX(SF_Output!$AA$2:$AA$400,MATCH($B286,SF_Output!$M$2:$M$400,0))</f>
        <v>#N/A</v>
      </c>
      <c r="BF286" s="35" t="e">
        <f>INDEX(SF_Output!$AB$2:$AB$400,MATCH($B286,SF_Output!$M$2:$M$400,0))</f>
        <v>#N/A</v>
      </c>
    </row>
    <row r="287" spans="6:58" x14ac:dyDescent="0.25">
      <c r="F287" s="116" t="str">
        <f t="shared" si="68"/>
        <v/>
      </c>
      <c r="G287" t="str">
        <f>IF(B287="","",INDEX(SF_Output!$K$1:$K$400,MATCH(B287,SF_Output!$M$1:$M$400,0)))</f>
        <v/>
      </c>
      <c r="H287" t="str" cm="1">
        <f t="array" ref="H287">_xlfn.IFS(B287="","",(SUMIFS(SF_Output!$F$1:$F$400,SF_Output!$AC$1:$AC$400,_xlfn.TEXTJOIN(",",TRUE,B287:E287))+SUMIFS(SF_Output!$G$1:$G$400,SF_Output!$AC$1:$AC$400,_xlfn.TEXTJOIN(",",TRUE,B287:E287)))&lt;&gt;0,SF_Output!$Y$2,INDEX(SF_Output!$F$1:$F$400,MATCH(_xlfn.TEXTJOIN(",",TRUE,B287:E287),SF_Output!$AC$1:$AC$400,0))=0,INDEX(SF_Output!$R$1:$R$400,MATCH(_xlfn.TEXTJOIN(",",TRUE,B287:E287),SF_Output!$AC$1:$AC$400,0)))</f>
        <v/>
      </c>
      <c r="I287" s="125" t="str">
        <f>IFERROR(IF(AND(H287&gt;1,H287&lt;&gt;""),ROUND(SUMIFS(SF_Output!$S$1:$S$400,SF_Output!$AC$1:$AC$400,_xlfn.TEXTJOIN(",",TRUE,B287:E287),SF_Output!$Q$1:$Q$400,"monthly")*(1-W287)/H287,4),""),"")</f>
        <v/>
      </c>
      <c r="J287" s="6" t="str">
        <f>IF(B287="","",SUMIFS(SF_Output!$S$1:$S$400,SF_Output!$AC$1:$AC$400,_xlfn.TEXTJOIN(",",TRUE,B287:E287),SF_Output!$Q$1:$Q$400,"One Time",SF_Output!$L$1:$L$400,"license fee")+SUMIFS(SF_Output!$S$1:$S$400,SF_Output!$AC$1:$AC$400,_xlfn.TEXTJOIN(",",TRUE,B287:E287),SF_Output!$Q$1:$Q$400,"One Time",SF_Output!$L$1:$L$400,"software license")+SUMIFS(SF_Output!$S$1:$S$400,SF_Output!$AC$1:$AC$400,_xlfn.TEXTJOIN(",",TRUE,B287:E287),SF_Output!$Q$1:$Q$400,"One Time",SF_Output!$L$1:$L$400,"hardware"))</f>
        <v/>
      </c>
      <c r="K287" s="112" t="str">
        <f>IF(OR(B287=0,B287="",G287="hardware",J287=0),"",IF(AF287&lt;&gt;"exclusion",MAX(K$9,-((SUMIFS(SF_Output!$T$1:$T$400,SF_Output!$AC$1:$AC$400,_xlfn.TEXTJOIN(",",TRUE,$B287:$E287),SF_Output!$Q$1:$Q$400,"One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license"))/J287)))</f>
        <v/>
      </c>
      <c r="L287" s="6" t="str">
        <f t="shared" si="69"/>
        <v/>
      </c>
      <c r="N287" s="6" t="str">
        <f>IF(B287="","",SUMIFS(SF_Output!$S$1:$S$400,SF_Output!$AC$1:$AC$400,_xlfn.TEXTJOIN(",",TRUE,B287:E287),SF_Output!$Q$1:$Q$400,"One Time",SF_Output!$L$1:$L$400,"professional service"))</f>
        <v/>
      </c>
      <c r="O287" s="112" t="str">
        <f>IF(OR(B287=0,B287="",N287=0),"",IF(AF287&lt;&gt;"exclusion",MAX(O$9,-(SUMIFS(SF_Output!$T$1:$T$400,SF_Output!$AC$1:$AC$400,_xlfn.TEXTJOIN(",",TRUE,$B287:$E287),SF_Output!$Q$1:$Q$400,"One Time",SF_Output!$L$1:$L$400,"professional service"))/N287),-((SUMIFS(SF_Output!$T$1:$T$400,SF_Output!$AC$1:$AC$400,_xlfn.TEXTJOIN(",",TRUE,$B287:$E287),SF_Output!$Q$1:$Q$400,"One Time",SF_Output!$L$1:$L$400,"professional service")/N287))))</f>
        <v/>
      </c>
      <c r="P287" s="6" t="str">
        <f t="shared" si="70"/>
        <v/>
      </c>
      <c r="R287" s="6" t="str">
        <f>IF(B287="","",SUMIFS(SF_Output!$S$1:$S$400,SF_Output!$AC$1:$AC$400,_xlfn.TEXTJOIN(",",TRUE,B287:E287),SF_Output!$Q$1:$Q$400,"yearly")+SUMIFS(SF_Output!$S$1:$S$400,SF_Output!$AC$1:$AC$400,_xlfn.TEXTJOIN(",",TRUE,B287:E287),SF_Output!$Q$1:$Q$400,"quarterly")*4)</f>
        <v/>
      </c>
      <c r="S287" s="112" t="str">
        <f>IF(OR(B287=0,B287="",G287="hardware",R287=0),"",IF(AF287&lt;&gt;"exclusion",MAX(S$9,-(SUMIFS(SF_Output!$T$1:$T$400,SF_Output!$AC$1:$AC$400,_xlfn.TEXTJOIN(",",TRUE,$B287:$E287),SF_Output!$Q$1:$Q$400,"yearly"))/R287),-((SUMIFS(SF_Output!$T$1:$T$400,SF_Output!$AC$1:$AC$400,_xlfn.TEXTJOIN(",",TRUE,$B287:$E287),SF_Output!$Q$1:$Q$400,"yearly")/R287))))</f>
        <v/>
      </c>
      <c r="T287" s="6" t="str">
        <f t="shared" si="71"/>
        <v/>
      </c>
      <c r="V287" s="6" t="str" cm="1">
        <f t="array" ref="V287">_xlfn.IFS(B287="","",AND(B287&lt;&gt;"",H287=SF_Output!$Y$2,SUMIFS(SF_Output!$T$1:$T$400,SF_Output!$AC$1:$AC$400,_xlfn.TEXTJOIN(",",TRUE,B287:E287),SF_Output!$Q$1:$Q$400,"monthly")=0),(SUMIFS(SF_Output!$F$1:$F$400,SF_Output!$AC$1:$AC$400,_xlfn.TEXTJOIN(",",TRUE,B287:E287),SF_Output!$Q$1:$Q$400,"monthly")+SUMIFS(SF_Output!$G$1:$G$400,SF_Output!$AC$1:$AC$400,_xlfn.TEXTJOIN(",",TRUE,B287:E287),SF_Output!$Q$1:$Q$400,"monthly"))*H287,AND(B287&lt;&gt;"",H287=SF_Output!$Y$2,SUMIFS(SF_Output!$T$1:$T$400,SF_Output!$AC$1:$AC$400,_xlfn.TEXTJOIN(",",TRUE,B287:E287),SF_Output!$Q$1:$Q$400,"monthly")&lt;&gt;0),SUMIFS(SF_Output!$S$1:$S$400,SF_Output!$AC$1:$AC$400,_xlfn.TEXTJOIN(",",TRUE,B287:E287),SF_Output!$Q$1:$Q$400,"monthly"),AND(B287&lt;&gt;"",H287&lt;&gt;SF_Output!$Y$2),SUMIFS(SF_Output!$S$1:$S$400,SF_Output!$AC$1:$AC$400,_xlfn.TEXTJOIN(",",TRUE,B287:E287),SF_Output!$Q$1:$Q$400,"monthly"))</f>
        <v/>
      </c>
      <c r="W287" s="112" t="str" cm="1">
        <f t="array" ref="W287">_xlfn.IFS(OR(B287=0,B287="",V287=0),"",AF287&lt;&gt;"exclusion",MAX($W$9,$W$7,(-(SUMIFS(SF_Output!$T$1:$T$400,SF_Output!$AC$1:$AC$400,_xlfn.TEXTJOIN(",",TRUE,$B287:$E287),SF_Output!$Q$1:$Q$400,"monthly"))/V287)),AF287="exclusion",-(SUMIFS(SF_Output!$T$1:$T$400,SF_Output!$AC$1:$AC$400,_xlfn.TEXTJOIN(",",TRUE,$B287:$E287),SF_Output!$Q$1:$Q$400,"monthly"))/V287)</f>
        <v/>
      </c>
      <c r="X287" s="6" t="str" cm="1">
        <f t="array" ref="X287">IFERROR(_xlfn.IFS(V287=0,0,V287="","",W287=0,V287,OR(V287&lt;&gt;0,V287&lt;&gt;""),H287*I287),V287*(1-W287))</f>
        <v/>
      </c>
      <c r="Z287" s="6" t="str">
        <f>IFERROR(IF(B287="","",SUMIFS(Billing_Fallout!H:H,Billing_Fallout!N:N,B287)),0)</f>
        <v/>
      </c>
      <c r="AA287" s="6" t="str">
        <f t="shared" si="72"/>
        <v/>
      </c>
      <c r="AB287" s="6" t="str">
        <f>IFERROR(IF(B287="","",SUMIFS(Billing_Fallout!J:J,Billing_Fallout!N:N,B287)),0)</f>
        <v/>
      </c>
      <c r="AD287" s="6" t="str">
        <f t="shared" si="73"/>
        <v/>
      </c>
      <c r="AF287" t="str">
        <f>IFERROR(INDEX(H_Tables!$B$1:$B$1500,MATCH(INDEX(SF_Output!$J$1:$J$400,MATCH(B287,SF_Output!$M$1:$M$400,0)),H_Tables!$A$1:$A$1500,0)),"")</f>
        <v/>
      </c>
      <c r="AI287" s="119" t="str">
        <f t="shared" si="74"/>
        <v/>
      </c>
      <c r="AJ287" s="121">
        <f>IFERROR(INDEX(SF_Output!AD:AD,MATCH(_xlfn.TEXTJOIN(",",TRUE,B287:E287),SF_Output!AC38:AC437,0)),0.05)</f>
        <v>204</v>
      </c>
      <c r="AK287" t="str">
        <f>IF(SUMIFS(SF_Output!$F$1:$F$400,SF_Output!$AC$1:$AC$400,_xlfn.TEXTJOIN(",",TRUE,B287:E287))+SUMIFS(SF_Output!$G$1:$G$400,SF_Output!$AC$1:$AC$400,_xlfn.TEXTJOIN(",",TRUE,B287:E287))=0,"","PAP")</f>
        <v/>
      </c>
      <c r="AQ287" s="35"/>
      <c r="AR287" s="35" t="str" cm="1">
        <f t="array" ref="AR287">IFERROR(_xlfn.IFS(AND(E287*1=1,F287="Included"),"Change to Included",AND(E287*1=0,F287="Optional"),"Change to Optional",OR(B287="",F287="replaced"),""),"")</f>
        <v/>
      </c>
      <c r="AS287" s="35" t="str">
        <f t="shared" si="75"/>
        <v/>
      </c>
      <c r="AT287" s="35" t="str">
        <f t="shared" si="76"/>
        <v/>
      </c>
      <c r="AU287" s="35" t="str">
        <f t="shared" si="77"/>
        <v/>
      </c>
      <c r="AV287" s="35" t="str">
        <f t="shared" si="78"/>
        <v/>
      </c>
      <c r="AW287" s="35" t="str">
        <f t="shared" si="79"/>
        <v/>
      </c>
      <c r="AX287" s="35" t="str">
        <f t="shared" si="80"/>
        <v/>
      </c>
      <c r="AY287" s="35" t="str">
        <f t="shared" si="81"/>
        <v/>
      </c>
      <c r="AZ287" s="35" t="str">
        <f t="shared" si="82"/>
        <v/>
      </c>
      <c r="BA287" s="35" t="str">
        <f t="shared" si="83"/>
        <v/>
      </c>
      <c r="BB287" s="35" t="str">
        <f t="shared" si="84"/>
        <v/>
      </c>
      <c r="BC287" s="35"/>
      <c r="BE287" s="35" t="e">
        <f>INDEX(SF_Output!$AA$2:$AA$400,MATCH($B287,SF_Output!$M$2:$M$400,0))</f>
        <v>#N/A</v>
      </c>
      <c r="BF287" s="35" t="e">
        <f>INDEX(SF_Output!$AB$2:$AB$400,MATCH($B287,SF_Output!$M$2:$M$400,0))</f>
        <v>#N/A</v>
      </c>
    </row>
    <row r="288" spans="6:58" x14ac:dyDescent="0.25">
      <c r="F288" s="116" t="str">
        <f t="shared" si="68"/>
        <v/>
      </c>
      <c r="G288" t="str">
        <f>IF(B288="","",INDEX(SF_Output!$K$1:$K$400,MATCH(B288,SF_Output!$M$1:$M$400,0)))</f>
        <v/>
      </c>
      <c r="H288" t="str" cm="1">
        <f t="array" ref="H288">_xlfn.IFS(B288="","",(SUMIFS(SF_Output!$F$1:$F$400,SF_Output!$AC$1:$AC$400,_xlfn.TEXTJOIN(",",TRUE,B288:E288))+SUMIFS(SF_Output!$G$1:$G$400,SF_Output!$AC$1:$AC$400,_xlfn.TEXTJOIN(",",TRUE,B288:E288)))&lt;&gt;0,SF_Output!$Y$2,INDEX(SF_Output!$F$1:$F$400,MATCH(_xlfn.TEXTJOIN(",",TRUE,B288:E288),SF_Output!$AC$1:$AC$400,0))=0,INDEX(SF_Output!$R$1:$R$400,MATCH(_xlfn.TEXTJOIN(",",TRUE,B288:E288),SF_Output!$AC$1:$AC$400,0)))</f>
        <v/>
      </c>
      <c r="I288" s="125" t="str">
        <f>IFERROR(IF(AND(H288&gt;1,H288&lt;&gt;""),ROUND(SUMIFS(SF_Output!$S$1:$S$400,SF_Output!$AC$1:$AC$400,_xlfn.TEXTJOIN(",",TRUE,B288:E288),SF_Output!$Q$1:$Q$400,"monthly")*(1-W288)/H288,4),""),"")</f>
        <v/>
      </c>
      <c r="J288" s="6" t="str">
        <f>IF(B288="","",SUMIFS(SF_Output!$S$1:$S$400,SF_Output!$AC$1:$AC$400,_xlfn.TEXTJOIN(",",TRUE,B288:E288),SF_Output!$Q$1:$Q$400,"One Time",SF_Output!$L$1:$L$400,"license fee")+SUMIFS(SF_Output!$S$1:$S$400,SF_Output!$AC$1:$AC$400,_xlfn.TEXTJOIN(",",TRUE,B288:E288),SF_Output!$Q$1:$Q$400,"One Time",SF_Output!$L$1:$L$400,"software license")+SUMIFS(SF_Output!$S$1:$S$400,SF_Output!$AC$1:$AC$400,_xlfn.TEXTJOIN(",",TRUE,B288:E288),SF_Output!$Q$1:$Q$400,"One Time",SF_Output!$L$1:$L$400,"hardware"))</f>
        <v/>
      </c>
      <c r="K288" s="112" t="str">
        <f>IF(OR(B288=0,B288="",G288="hardware",J288=0),"",IF(AF288&lt;&gt;"exclusion",MAX(K$9,-((SUMIFS(SF_Output!$T$1:$T$400,SF_Output!$AC$1:$AC$400,_xlfn.TEXTJOIN(",",TRUE,$B288:$E288),SF_Output!$Q$1:$Q$400,"One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license"))/J288)))</f>
        <v/>
      </c>
      <c r="L288" s="6" t="str">
        <f t="shared" si="69"/>
        <v/>
      </c>
      <c r="N288" s="6" t="str">
        <f>IF(B288="","",SUMIFS(SF_Output!$S$1:$S$400,SF_Output!$AC$1:$AC$400,_xlfn.TEXTJOIN(",",TRUE,B288:E288),SF_Output!$Q$1:$Q$400,"One Time",SF_Output!$L$1:$L$400,"professional service"))</f>
        <v/>
      </c>
      <c r="O288" s="112" t="str">
        <f>IF(OR(B288=0,B288="",N288=0),"",IF(AF288&lt;&gt;"exclusion",MAX(O$9,-(SUMIFS(SF_Output!$T$1:$T$400,SF_Output!$AC$1:$AC$400,_xlfn.TEXTJOIN(",",TRUE,$B288:$E288),SF_Output!$Q$1:$Q$400,"One Time",SF_Output!$L$1:$L$400,"professional service"))/N288),-((SUMIFS(SF_Output!$T$1:$T$400,SF_Output!$AC$1:$AC$400,_xlfn.TEXTJOIN(",",TRUE,$B288:$E288),SF_Output!$Q$1:$Q$400,"One Time",SF_Output!$L$1:$L$400,"professional service")/N288))))</f>
        <v/>
      </c>
      <c r="P288" s="6" t="str">
        <f t="shared" si="70"/>
        <v/>
      </c>
      <c r="R288" s="6" t="str">
        <f>IF(B288="","",SUMIFS(SF_Output!$S$1:$S$400,SF_Output!$AC$1:$AC$400,_xlfn.TEXTJOIN(",",TRUE,B288:E288),SF_Output!$Q$1:$Q$400,"yearly")+SUMIFS(SF_Output!$S$1:$S$400,SF_Output!$AC$1:$AC$400,_xlfn.TEXTJOIN(",",TRUE,B288:E288),SF_Output!$Q$1:$Q$400,"quarterly")*4)</f>
        <v/>
      </c>
      <c r="S288" s="112" t="str">
        <f>IF(OR(B288=0,B288="",G288="hardware",R288=0),"",IF(AF288&lt;&gt;"exclusion",MAX(S$9,-(SUMIFS(SF_Output!$T$1:$T$400,SF_Output!$AC$1:$AC$400,_xlfn.TEXTJOIN(",",TRUE,$B288:$E288),SF_Output!$Q$1:$Q$400,"yearly"))/R288),-((SUMIFS(SF_Output!$T$1:$T$400,SF_Output!$AC$1:$AC$400,_xlfn.TEXTJOIN(",",TRUE,$B288:$E288),SF_Output!$Q$1:$Q$400,"yearly")/R288))))</f>
        <v/>
      </c>
      <c r="T288" s="6" t="str">
        <f t="shared" si="71"/>
        <v/>
      </c>
      <c r="V288" s="6" t="str" cm="1">
        <f t="array" ref="V288">_xlfn.IFS(B288="","",AND(B288&lt;&gt;"",H288=SF_Output!$Y$2,SUMIFS(SF_Output!$T$1:$T$400,SF_Output!$AC$1:$AC$400,_xlfn.TEXTJOIN(",",TRUE,B288:E288),SF_Output!$Q$1:$Q$400,"monthly")=0),(SUMIFS(SF_Output!$F$1:$F$400,SF_Output!$AC$1:$AC$400,_xlfn.TEXTJOIN(",",TRUE,B288:E288),SF_Output!$Q$1:$Q$400,"monthly")+SUMIFS(SF_Output!$G$1:$G$400,SF_Output!$AC$1:$AC$400,_xlfn.TEXTJOIN(",",TRUE,B288:E288),SF_Output!$Q$1:$Q$400,"monthly"))*H288,AND(B288&lt;&gt;"",H288=SF_Output!$Y$2,SUMIFS(SF_Output!$T$1:$T$400,SF_Output!$AC$1:$AC$400,_xlfn.TEXTJOIN(",",TRUE,B288:E288),SF_Output!$Q$1:$Q$400,"monthly")&lt;&gt;0),SUMIFS(SF_Output!$S$1:$S$400,SF_Output!$AC$1:$AC$400,_xlfn.TEXTJOIN(",",TRUE,B288:E288),SF_Output!$Q$1:$Q$400,"monthly"),AND(B288&lt;&gt;"",H288&lt;&gt;SF_Output!$Y$2),SUMIFS(SF_Output!$S$1:$S$400,SF_Output!$AC$1:$AC$400,_xlfn.TEXTJOIN(",",TRUE,B288:E288),SF_Output!$Q$1:$Q$400,"monthly"))</f>
        <v/>
      </c>
      <c r="W288" s="112" t="str" cm="1">
        <f t="array" ref="W288">_xlfn.IFS(OR(B288=0,B288="",V288=0),"",AF288&lt;&gt;"exclusion",MAX($W$9,$W$7,(-(SUMIFS(SF_Output!$T$1:$T$400,SF_Output!$AC$1:$AC$400,_xlfn.TEXTJOIN(",",TRUE,$B288:$E288),SF_Output!$Q$1:$Q$400,"monthly"))/V288)),AF288="exclusion",-(SUMIFS(SF_Output!$T$1:$T$400,SF_Output!$AC$1:$AC$400,_xlfn.TEXTJOIN(",",TRUE,$B288:$E288),SF_Output!$Q$1:$Q$400,"monthly"))/V288)</f>
        <v/>
      </c>
      <c r="X288" s="6" t="str" cm="1">
        <f t="array" ref="X288">IFERROR(_xlfn.IFS(V288=0,0,V288="","",W288=0,V288,OR(V288&lt;&gt;0,V288&lt;&gt;""),H288*I288),V288*(1-W288))</f>
        <v/>
      </c>
      <c r="Z288" s="6" t="str">
        <f>IFERROR(IF(B288="","",SUMIFS(Billing_Fallout!H:H,Billing_Fallout!N:N,B288)),0)</f>
        <v/>
      </c>
      <c r="AA288" s="6" t="str">
        <f t="shared" si="72"/>
        <v/>
      </c>
      <c r="AB288" s="6" t="str">
        <f>IFERROR(IF(B288="","",SUMIFS(Billing_Fallout!J:J,Billing_Fallout!N:N,B288)),0)</f>
        <v/>
      </c>
      <c r="AD288" s="6" t="str">
        <f t="shared" si="73"/>
        <v/>
      </c>
      <c r="AF288" t="str">
        <f>IFERROR(INDEX(H_Tables!$B$1:$B$1500,MATCH(INDEX(SF_Output!$J$1:$J$400,MATCH(B288,SF_Output!$M$1:$M$400,0)),H_Tables!$A$1:$A$1500,0)),"")</f>
        <v/>
      </c>
      <c r="AI288" s="119" t="str">
        <f t="shared" si="74"/>
        <v/>
      </c>
      <c r="AJ288" s="121">
        <f>IFERROR(INDEX(SF_Output!AD:AD,MATCH(_xlfn.TEXTJOIN(",",TRUE,B288:E288),SF_Output!AC39:AC438,0)),0.05)</f>
        <v>203</v>
      </c>
      <c r="AK288" t="str">
        <f>IF(SUMIFS(SF_Output!$F$1:$F$400,SF_Output!$AC$1:$AC$400,_xlfn.TEXTJOIN(",",TRUE,B288:E288))+SUMIFS(SF_Output!$G$1:$G$400,SF_Output!$AC$1:$AC$400,_xlfn.TEXTJOIN(",",TRUE,B288:E288))=0,"","PAP")</f>
        <v/>
      </c>
      <c r="AQ288" s="35"/>
      <c r="AR288" s="35" t="str" cm="1">
        <f t="array" ref="AR288">IFERROR(_xlfn.IFS(AND(E288*1=1,F288="Included"),"Change to Included",AND(E288*1=0,F288="Optional"),"Change to Optional",OR(B288="",F288="replaced"),""),"")</f>
        <v/>
      </c>
      <c r="AS288" s="35" t="str">
        <f t="shared" si="75"/>
        <v/>
      </c>
      <c r="AT288" s="35" t="str">
        <f t="shared" si="76"/>
        <v/>
      </c>
      <c r="AU288" s="35" t="str">
        <f t="shared" si="77"/>
        <v/>
      </c>
      <c r="AV288" s="35" t="str">
        <f t="shared" si="78"/>
        <v/>
      </c>
      <c r="AW288" s="35" t="str">
        <f t="shared" si="79"/>
        <v/>
      </c>
      <c r="AX288" s="35" t="str">
        <f t="shared" si="80"/>
        <v/>
      </c>
      <c r="AY288" s="35" t="str">
        <f t="shared" si="81"/>
        <v/>
      </c>
      <c r="AZ288" s="35" t="str">
        <f t="shared" si="82"/>
        <v/>
      </c>
      <c r="BA288" s="35" t="str">
        <f t="shared" si="83"/>
        <v/>
      </c>
      <c r="BB288" s="35" t="str">
        <f t="shared" si="84"/>
        <v/>
      </c>
      <c r="BC288" s="35"/>
      <c r="BE288" s="35" t="e">
        <f>INDEX(SF_Output!$AA$2:$AA$400,MATCH($B288,SF_Output!$M$2:$M$400,0))</f>
        <v>#N/A</v>
      </c>
      <c r="BF288" s="35" t="e">
        <f>INDEX(SF_Output!$AB$2:$AB$400,MATCH($B288,SF_Output!$M$2:$M$400,0))</f>
        <v>#N/A</v>
      </c>
    </row>
    <row r="289" spans="6:58" x14ac:dyDescent="0.25">
      <c r="F289" s="116" t="str">
        <f t="shared" si="68"/>
        <v/>
      </c>
      <c r="G289" t="str">
        <f>IF(B289="","",INDEX(SF_Output!$K$1:$K$400,MATCH(B289,SF_Output!$M$1:$M$400,0)))</f>
        <v/>
      </c>
      <c r="H289" t="str" cm="1">
        <f t="array" ref="H289">_xlfn.IFS(B289="","",(SUMIFS(SF_Output!$F$1:$F$400,SF_Output!$AC$1:$AC$400,_xlfn.TEXTJOIN(",",TRUE,B289:E289))+SUMIFS(SF_Output!$G$1:$G$400,SF_Output!$AC$1:$AC$400,_xlfn.TEXTJOIN(",",TRUE,B289:E289)))&lt;&gt;0,SF_Output!$Y$2,INDEX(SF_Output!$F$1:$F$400,MATCH(_xlfn.TEXTJOIN(",",TRUE,B289:E289),SF_Output!$AC$1:$AC$400,0))=0,INDEX(SF_Output!$R$1:$R$400,MATCH(_xlfn.TEXTJOIN(",",TRUE,B289:E289),SF_Output!$AC$1:$AC$400,0)))</f>
        <v/>
      </c>
      <c r="I289" s="125" t="str">
        <f>IFERROR(IF(AND(H289&gt;1,H289&lt;&gt;""),ROUND(SUMIFS(SF_Output!$S$1:$S$400,SF_Output!$AC$1:$AC$400,_xlfn.TEXTJOIN(",",TRUE,B289:E289),SF_Output!$Q$1:$Q$400,"monthly")*(1-W289)/H289,4),""),"")</f>
        <v/>
      </c>
      <c r="J289" s="6" t="str">
        <f>IF(B289="","",SUMIFS(SF_Output!$S$1:$S$400,SF_Output!$AC$1:$AC$400,_xlfn.TEXTJOIN(",",TRUE,B289:E289),SF_Output!$Q$1:$Q$400,"One Time",SF_Output!$L$1:$L$400,"license fee")+SUMIFS(SF_Output!$S$1:$S$400,SF_Output!$AC$1:$AC$400,_xlfn.TEXTJOIN(",",TRUE,B289:E289),SF_Output!$Q$1:$Q$400,"One Time",SF_Output!$L$1:$L$400,"software license")+SUMIFS(SF_Output!$S$1:$S$400,SF_Output!$AC$1:$AC$400,_xlfn.TEXTJOIN(",",TRUE,B289:E289),SF_Output!$Q$1:$Q$400,"One Time",SF_Output!$L$1:$L$400,"hardware"))</f>
        <v/>
      </c>
      <c r="K289" s="112" t="str">
        <f>IF(OR(B289=0,B289="",G289="hardware",J289=0),"",IF(AF289&lt;&gt;"exclusion",MAX(K$9,-((SUMIFS(SF_Output!$T$1:$T$400,SF_Output!$AC$1:$AC$400,_xlfn.TEXTJOIN(",",TRUE,$B289:$E289),SF_Output!$Q$1:$Q$400,"One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license"))/J289)))</f>
        <v/>
      </c>
      <c r="L289" s="6" t="str">
        <f t="shared" si="69"/>
        <v/>
      </c>
      <c r="N289" s="6" t="str">
        <f>IF(B289="","",SUMIFS(SF_Output!$S$1:$S$400,SF_Output!$AC$1:$AC$400,_xlfn.TEXTJOIN(",",TRUE,B289:E289),SF_Output!$Q$1:$Q$400,"One Time",SF_Output!$L$1:$L$400,"professional service"))</f>
        <v/>
      </c>
      <c r="O289" s="112" t="str">
        <f>IF(OR(B289=0,B289="",N289=0),"",IF(AF289&lt;&gt;"exclusion",MAX(O$9,-(SUMIFS(SF_Output!$T$1:$T$400,SF_Output!$AC$1:$AC$400,_xlfn.TEXTJOIN(",",TRUE,$B289:$E289),SF_Output!$Q$1:$Q$400,"One Time",SF_Output!$L$1:$L$400,"professional service"))/N289),-((SUMIFS(SF_Output!$T$1:$T$400,SF_Output!$AC$1:$AC$400,_xlfn.TEXTJOIN(",",TRUE,$B289:$E289),SF_Output!$Q$1:$Q$400,"One Time",SF_Output!$L$1:$L$400,"professional service")/N289))))</f>
        <v/>
      </c>
      <c r="P289" s="6" t="str">
        <f t="shared" si="70"/>
        <v/>
      </c>
      <c r="R289" s="6" t="str">
        <f>IF(B289="","",SUMIFS(SF_Output!$S$1:$S$400,SF_Output!$AC$1:$AC$400,_xlfn.TEXTJOIN(",",TRUE,B289:E289),SF_Output!$Q$1:$Q$400,"yearly")+SUMIFS(SF_Output!$S$1:$S$400,SF_Output!$AC$1:$AC$400,_xlfn.TEXTJOIN(",",TRUE,B289:E289),SF_Output!$Q$1:$Q$400,"quarterly")*4)</f>
        <v/>
      </c>
      <c r="S289" s="112" t="str">
        <f>IF(OR(B289=0,B289="",G289="hardware",R289=0),"",IF(AF289&lt;&gt;"exclusion",MAX(S$9,-(SUMIFS(SF_Output!$T$1:$T$400,SF_Output!$AC$1:$AC$400,_xlfn.TEXTJOIN(",",TRUE,$B289:$E289),SF_Output!$Q$1:$Q$400,"yearly"))/R289),-((SUMIFS(SF_Output!$T$1:$T$400,SF_Output!$AC$1:$AC$400,_xlfn.TEXTJOIN(",",TRUE,$B289:$E289),SF_Output!$Q$1:$Q$400,"yearly")/R289))))</f>
        <v/>
      </c>
      <c r="T289" s="6" t="str">
        <f t="shared" si="71"/>
        <v/>
      </c>
      <c r="V289" s="6" t="str" cm="1">
        <f t="array" ref="V289">_xlfn.IFS(B289="","",AND(B289&lt;&gt;"",H289=SF_Output!$Y$2,SUMIFS(SF_Output!$T$1:$T$400,SF_Output!$AC$1:$AC$400,_xlfn.TEXTJOIN(",",TRUE,B289:E289),SF_Output!$Q$1:$Q$400,"monthly")=0),(SUMIFS(SF_Output!$F$1:$F$400,SF_Output!$AC$1:$AC$400,_xlfn.TEXTJOIN(",",TRUE,B289:E289),SF_Output!$Q$1:$Q$400,"monthly")+SUMIFS(SF_Output!$G$1:$G$400,SF_Output!$AC$1:$AC$400,_xlfn.TEXTJOIN(",",TRUE,B289:E289),SF_Output!$Q$1:$Q$400,"monthly"))*H289,AND(B289&lt;&gt;"",H289=SF_Output!$Y$2,SUMIFS(SF_Output!$T$1:$T$400,SF_Output!$AC$1:$AC$400,_xlfn.TEXTJOIN(",",TRUE,B289:E289),SF_Output!$Q$1:$Q$400,"monthly")&lt;&gt;0),SUMIFS(SF_Output!$S$1:$S$400,SF_Output!$AC$1:$AC$400,_xlfn.TEXTJOIN(",",TRUE,B289:E289),SF_Output!$Q$1:$Q$400,"monthly"),AND(B289&lt;&gt;"",H289&lt;&gt;SF_Output!$Y$2),SUMIFS(SF_Output!$S$1:$S$400,SF_Output!$AC$1:$AC$400,_xlfn.TEXTJOIN(",",TRUE,B289:E289),SF_Output!$Q$1:$Q$400,"monthly"))</f>
        <v/>
      </c>
      <c r="W289" s="112" t="str" cm="1">
        <f t="array" ref="W289">_xlfn.IFS(OR(B289=0,B289="",V289=0),"",AF289&lt;&gt;"exclusion",MAX($W$9,$W$7,(-(SUMIFS(SF_Output!$T$1:$T$400,SF_Output!$AC$1:$AC$400,_xlfn.TEXTJOIN(",",TRUE,$B289:$E289),SF_Output!$Q$1:$Q$400,"monthly"))/V289)),AF289="exclusion",-(SUMIFS(SF_Output!$T$1:$T$400,SF_Output!$AC$1:$AC$400,_xlfn.TEXTJOIN(",",TRUE,$B289:$E289),SF_Output!$Q$1:$Q$400,"monthly"))/V289)</f>
        <v/>
      </c>
      <c r="X289" s="6" t="str" cm="1">
        <f t="array" ref="X289">IFERROR(_xlfn.IFS(V289=0,0,V289="","",W289=0,V289,OR(V289&lt;&gt;0,V289&lt;&gt;""),H289*I289),V289*(1-W289))</f>
        <v/>
      </c>
      <c r="Z289" s="6" t="str">
        <f>IFERROR(IF(B289="","",SUMIFS(Billing_Fallout!H:H,Billing_Fallout!N:N,B289)),0)</f>
        <v/>
      </c>
      <c r="AA289" s="6" t="str">
        <f t="shared" si="72"/>
        <v/>
      </c>
      <c r="AB289" s="6" t="str">
        <f>IFERROR(IF(B289="","",SUMIFS(Billing_Fallout!J:J,Billing_Fallout!N:N,B289)),0)</f>
        <v/>
      </c>
      <c r="AD289" s="6" t="str">
        <f t="shared" si="73"/>
        <v/>
      </c>
      <c r="AF289" t="str">
        <f>IFERROR(INDEX(H_Tables!$B$1:$B$1500,MATCH(INDEX(SF_Output!$J$1:$J$400,MATCH(B289,SF_Output!$M$1:$M$400,0)),H_Tables!$A$1:$A$1500,0)),"")</f>
        <v/>
      </c>
      <c r="AI289" s="119" t="str">
        <f t="shared" si="74"/>
        <v/>
      </c>
      <c r="AJ289" s="121">
        <f>IFERROR(INDEX(SF_Output!AD:AD,MATCH(_xlfn.TEXTJOIN(",",TRUE,B289:E289),SF_Output!AC40:AC439,0)),0.05)</f>
        <v>202</v>
      </c>
      <c r="AK289" t="str">
        <f>IF(SUMIFS(SF_Output!$F$1:$F$400,SF_Output!$AC$1:$AC$400,_xlfn.TEXTJOIN(",",TRUE,B289:E289))+SUMIFS(SF_Output!$G$1:$G$400,SF_Output!$AC$1:$AC$400,_xlfn.TEXTJOIN(",",TRUE,B289:E289))=0,"","PAP")</f>
        <v/>
      </c>
      <c r="AQ289" s="35"/>
      <c r="AR289" s="35" t="str" cm="1">
        <f t="array" ref="AR289">IFERROR(_xlfn.IFS(AND(E289*1=1,F289="Included"),"Change to Included",AND(E289*1=0,F289="Optional"),"Change to Optional",OR(B289="",F289="replaced"),""),"")</f>
        <v/>
      </c>
      <c r="AS289" s="35" t="str">
        <f t="shared" si="75"/>
        <v/>
      </c>
      <c r="AT289" s="35" t="str">
        <f t="shared" si="76"/>
        <v/>
      </c>
      <c r="AU289" s="35" t="str">
        <f t="shared" si="77"/>
        <v/>
      </c>
      <c r="AV289" s="35" t="str">
        <f t="shared" si="78"/>
        <v/>
      </c>
      <c r="AW289" s="35" t="str">
        <f t="shared" si="79"/>
        <v/>
      </c>
      <c r="AX289" s="35" t="str">
        <f t="shared" si="80"/>
        <v/>
      </c>
      <c r="AY289" s="35" t="str">
        <f t="shared" si="81"/>
        <v/>
      </c>
      <c r="AZ289" s="35" t="str">
        <f t="shared" si="82"/>
        <v/>
      </c>
      <c r="BA289" s="35" t="str">
        <f t="shared" si="83"/>
        <v/>
      </c>
      <c r="BB289" s="35" t="str">
        <f t="shared" si="84"/>
        <v/>
      </c>
      <c r="BC289" s="35"/>
      <c r="BE289" s="35" t="e">
        <f>INDEX(SF_Output!$AA$2:$AA$400,MATCH($B289,SF_Output!$M$2:$M$400,0))</f>
        <v>#N/A</v>
      </c>
      <c r="BF289" s="35" t="e">
        <f>INDEX(SF_Output!$AB$2:$AB$400,MATCH($B289,SF_Output!$M$2:$M$400,0))</f>
        <v>#N/A</v>
      </c>
    </row>
    <row r="290" spans="6:58" x14ac:dyDescent="0.25">
      <c r="F290" s="116" t="str">
        <f t="shared" si="68"/>
        <v/>
      </c>
      <c r="G290" t="str">
        <f>IF(B290="","",INDEX(SF_Output!$K$1:$K$400,MATCH(B290,SF_Output!$M$1:$M$400,0)))</f>
        <v/>
      </c>
      <c r="H290" t="str" cm="1">
        <f t="array" ref="H290">_xlfn.IFS(B290="","",(SUMIFS(SF_Output!$F$1:$F$400,SF_Output!$AC$1:$AC$400,_xlfn.TEXTJOIN(",",TRUE,B290:E290))+SUMIFS(SF_Output!$G$1:$G$400,SF_Output!$AC$1:$AC$400,_xlfn.TEXTJOIN(",",TRUE,B290:E290)))&lt;&gt;0,SF_Output!$Y$2,INDEX(SF_Output!$F$1:$F$400,MATCH(_xlfn.TEXTJOIN(",",TRUE,B290:E290),SF_Output!$AC$1:$AC$400,0))=0,INDEX(SF_Output!$R$1:$R$400,MATCH(_xlfn.TEXTJOIN(",",TRUE,B290:E290),SF_Output!$AC$1:$AC$400,0)))</f>
        <v/>
      </c>
      <c r="I290" s="125" t="str">
        <f>IFERROR(IF(AND(H290&gt;1,H290&lt;&gt;""),ROUND(SUMIFS(SF_Output!$S$1:$S$400,SF_Output!$AC$1:$AC$400,_xlfn.TEXTJOIN(",",TRUE,B290:E290),SF_Output!$Q$1:$Q$400,"monthly")*(1-W290)/H290,4),""),"")</f>
        <v/>
      </c>
      <c r="J290" s="6" t="str">
        <f>IF(B290="","",SUMIFS(SF_Output!$S$1:$S$400,SF_Output!$AC$1:$AC$400,_xlfn.TEXTJOIN(",",TRUE,B290:E290),SF_Output!$Q$1:$Q$400,"One Time",SF_Output!$L$1:$L$400,"license fee")+SUMIFS(SF_Output!$S$1:$S$400,SF_Output!$AC$1:$AC$400,_xlfn.TEXTJOIN(",",TRUE,B290:E290),SF_Output!$Q$1:$Q$400,"One Time",SF_Output!$L$1:$L$400,"software license")+SUMIFS(SF_Output!$S$1:$S$400,SF_Output!$AC$1:$AC$400,_xlfn.TEXTJOIN(",",TRUE,B290:E290),SF_Output!$Q$1:$Q$400,"One Time",SF_Output!$L$1:$L$400,"hardware"))</f>
        <v/>
      </c>
      <c r="K290" s="112" t="str">
        <f>IF(OR(B290=0,B290="",G290="hardware",J290=0),"",IF(AF290&lt;&gt;"exclusion",MAX(K$9,-((SUMIFS(SF_Output!$T$1:$T$400,SF_Output!$AC$1:$AC$400,_xlfn.TEXTJOIN(",",TRUE,$B290:$E290),SF_Output!$Q$1:$Q$400,"One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license"))/J290)))</f>
        <v/>
      </c>
      <c r="L290" s="6" t="str">
        <f t="shared" si="69"/>
        <v/>
      </c>
      <c r="N290" s="6" t="str">
        <f>IF(B290="","",SUMIFS(SF_Output!$S$1:$S$400,SF_Output!$AC$1:$AC$400,_xlfn.TEXTJOIN(",",TRUE,B290:E290),SF_Output!$Q$1:$Q$400,"One Time",SF_Output!$L$1:$L$400,"professional service"))</f>
        <v/>
      </c>
      <c r="O290" s="112" t="str">
        <f>IF(OR(B290=0,B290="",N290=0),"",IF(AF290&lt;&gt;"exclusion",MAX(O$9,-(SUMIFS(SF_Output!$T$1:$T$400,SF_Output!$AC$1:$AC$400,_xlfn.TEXTJOIN(",",TRUE,$B290:$E290),SF_Output!$Q$1:$Q$400,"One Time",SF_Output!$L$1:$L$400,"professional service"))/N290),-((SUMIFS(SF_Output!$T$1:$T$400,SF_Output!$AC$1:$AC$400,_xlfn.TEXTJOIN(",",TRUE,$B290:$E290),SF_Output!$Q$1:$Q$400,"One Time",SF_Output!$L$1:$L$400,"professional service")/N290))))</f>
        <v/>
      </c>
      <c r="P290" s="6" t="str">
        <f t="shared" si="70"/>
        <v/>
      </c>
      <c r="R290" s="6" t="str">
        <f>IF(B290="","",SUMIFS(SF_Output!$S$1:$S$400,SF_Output!$AC$1:$AC$400,_xlfn.TEXTJOIN(",",TRUE,B290:E290),SF_Output!$Q$1:$Q$400,"yearly")+SUMIFS(SF_Output!$S$1:$S$400,SF_Output!$AC$1:$AC$400,_xlfn.TEXTJOIN(",",TRUE,B290:E290),SF_Output!$Q$1:$Q$400,"quarterly")*4)</f>
        <v/>
      </c>
      <c r="S290" s="112" t="str">
        <f>IF(OR(B290=0,B290="",G290="hardware",R290=0),"",IF(AF290&lt;&gt;"exclusion",MAX(S$9,-(SUMIFS(SF_Output!$T$1:$T$400,SF_Output!$AC$1:$AC$400,_xlfn.TEXTJOIN(",",TRUE,$B290:$E290),SF_Output!$Q$1:$Q$400,"yearly"))/R290),-((SUMIFS(SF_Output!$T$1:$T$400,SF_Output!$AC$1:$AC$400,_xlfn.TEXTJOIN(",",TRUE,$B290:$E290),SF_Output!$Q$1:$Q$400,"yearly")/R290))))</f>
        <v/>
      </c>
      <c r="T290" s="6" t="str">
        <f t="shared" si="71"/>
        <v/>
      </c>
      <c r="V290" s="6" t="str" cm="1">
        <f t="array" ref="V290">_xlfn.IFS(B290="","",AND(B290&lt;&gt;"",H290=SF_Output!$Y$2,SUMIFS(SF_Output!$T$1:$T$400,SF_Output!$AC$1:$AC$400,_xlfn.TEXTJOIN(",",TRUE,B290:E290),SF_Output!$Q$1:$Q$400,"monthly")=0),(SUMIFS(SF_Output!$F$1:$F$400,SF_Output!$AC$1:$AC$400,_xlfn.TEXTJOIN(",",TRUE,B290:E290),SF_Output!$Q$1:$Q$400,"monthly")+SUMIFS(SF_Output!$G$1:$G$400,SF_Output!$AC$1:$AC$400,_xlfn.TEXTJOIN(",",TRUE,B290:E290),SF_Output!$Q$1:$Q$400,"monthly"))*H290,AND(B290&lt;&gt;"",H290=SF_Output!$Y$2,SUMIFS(SF_Output!$T$1:$T$400,SF_Output!$AC$1:$AC$400,_xlfn.TEXTJOIN(",",TRUE,B290:E290),SF_Output!$Q$1:$Q$400,"monthly")&lt;&gt;0),SUMIFS(SF_Output!$S$1:$S$400,SF_Output!$AC$1:$AC$400,_xlfn.TEXTJOIN(",",TRUE,B290:E290),SF_Output!$Q$1:$Q$400,"monthly"),AND(B290&lt;&gt;"",H290&lt;&gt;SF_Output!$Y$2),SUMIFS(SF_Output!$S$1:$S$400,SF_Output!$AC$1:$AC$400,_xlfn.TEXTJOIN(",",TRUE,B290:E290),SF_Output!$Q$1:$Q$400,"monthly"))</f>
        <v/>
      </c>
      <c r="W290" s="112" t="str" cm="1">
        <f t="array" ref="W290">_xlfn.IFS(OR(B290=0,B290="",V290=0),"",AF290&lt;&gt;"exclusion",MAX($W$9,$W$7,(-(SUMIFS(SF_Output!$T$1:$T$400,SF_Output!$AC$1:$AC$400,_xlfn.TEXTJOIN(",",TRUE,$B290:$E290),SF_Output!$Q$1:$Q$400,"monthly"))/V290)),AF290="exclusion",-(SUMIFS(SF_Output!$T$1:$T$400,SF_Output!$AC$1:$AC$400,_xlfn.TEXTJOIN(",",TRUE,$B290:$E290),SF_Output!$Q$1:$Q$400,"monthly"))/V290)</f>
        <v/>
      </c>
      <c r="X290" s="6" t="str" cm="1">
        <f t="array" ref="X290">IFERROR(_xlfn.IFS(V290=0,0,V290="","",W290=0,V290,OR(V290&lt;&gt;0,V290&lt;&gt;""),H290*I290),V290*(1-W290))</f>
        <v/>
      </c>
      <c r="Z290" s="6" t="str">
        <f>IFERROR(IF(B290="","",SUMIFS(Billing_Fallout!H:H,Billing_Fallout!N:N,B290)),0)</f>
        <v/>
      </c>
      <c r="AA290" s="6" t="str">
        <f t="shared" si="72"/>
        <v/>
      </c>
      <c r="AB290" s="6" t="str">
        <f>IFERROR(IF(B290="","",SUMIFS(Billing_Fallout!J:J,Billing_Fallout!N:N,B290)),0)</f>
        <v/>
      </c>
      <c r="AD290" s="6" t="str">
        <f t="shared" si="73"/>
        <v/>
      </c>
      <c r="AF290" t="str">
        <f>IFERROR(INDEX(H_Tables!$B$1:$B$1500,MATCH(INDEX(SF_Output!$J$1:$J$400,MATCH(B290,SF_Output!$M$1:$M$400,0)),H_Tables!$A$1:$A$1500,0)),"")</f>
        <v/>
      </c>
      <c r="AI290" s="119" t="str">
        <f t="shared" si="74"/>
        <v/>
      </c>
      <c r="AJ290" s="121">
        <f>IFERROR(INDEX(SF_Output!AD:AD,MATCH(_xlfn.TEXTJOIN(",",TRUE,B290:E290),SF_Output!AC41:AC440,0)),0.05)</f>
        <v>201</v>
      </c>
      <c r="AK290" t="str">
        <f>IF(SUMIFS(SF_Output!$F$1:$F$400,SF_Output!$AC$1:$AC$400,_xlfn.TEXTJOIN(",",TRUE,B290:E290))+SUMIFS(SF_Output!$G$1:$G$400,SF_Output!$AC$1:$AC$400,_xlfn.TEXTJOIN(",",TRUE,B290:E290))=0,"","PAP")</f>
        <v/>
      </c>
      <c r="AQ290" s="35"/>
      <c r="AR290" s="35" t="str" cm="1">
        <f t="array" ref="AR290">IFERROR(_xlfn.IFS(AND(E290*1=1,F290="Included"),"Change to Included",AND(E290*1=0,F290="Optional"),"Change to Optional",OR(B290="",F290="replaced"),""),"")</f>
        <v/>
      </c>
      <c r="AS290" s="35" t="str">
        <f t="shared" si="75"/>
        <v/>
      </c>
      <c r="AT290" s="35" t="str">
        <f t="shared" si="76"/>
        <v/>
      </c>
      <c r="AU290" s="35" t="str">
        <f t="shared" si="77"/>
        <v/>
      </c>
      <c r="AV290" s="35" t="str">
        <f t="shared" si="78"/>
        <v/>
      </c>
      <c r="AW290" s="35" t="str">
        <f t="shared" si="79"/>
        <v/>
      </c>
      <c r="AX290" s="35" t="str">
        <f t="shared" si="80"/>
        <v/>
      </c>
      <c r="AY290" s="35" t="str">
        <f t="shared" si="81"/>
        <v/>
      </c>
      <c r="AZ290" s="35" t="str">
        <f t="shared" si="82"/>
        <v/>
      </c>
      <c r="BA290" s="35" t="str">
        <f t="shared" si="83"/>
        <v/>
      </c>
      <c r="BB290" s="35" t="str">
        <f t="shared" si="84"/>
        <v/>
      </c>
      <c r="BC290" s="35"/>
      <c r="BE290" s="35" t="e">
        <f>INDEX(SF_Output!$AA$2:$AA$400,MATCH($B290,SF_Output!$M$2:$M$400,0))</f>
        <v>#N/A</v>
      </c>
      <c r="BF290" s="35" t="e">
        <f>INDEX(SF_Output!$AB$2:$AB$400,MATCH($B290,SF_Output!$M$2:$M$400,0))</f>
        <v>#N/A</v>
      </c>
    </row>
    <row r="291" spans="6:58" x14ac:dyDescent="0.25">
      <c r="F291" s="116" t="str">
        <f t="shared" si="68"/>
        <v/>
      </c>
      <c r="G291" t="str">
        <f>IF(B291="","",INDEX(SF_Output!$K$1:$K$400,MATCH(B291,SF_Output!$M$1:$M$400,0)))</f>
        <v/>
      </c>
      <c r="H291" t="str" cm="1">
        <f t="array" ref="H291">_xlfn.IFS(B291="","",(SUMIFS(SF_Output!$F$1:$F$400,SF_Output!$AC$1:$AC$400,_xlfn.TEXTJOIN(",",TRUE,B291:E291))+SUMIFS(SF_Output!$G$1:$G$400,SF_Output!$AC$1:$AC$400,_xlfn.TEXTJOIN(",",TRUE,B291:E291)))&lt;&gt;0,SF_Output!$Y$2,INDEX(SF_Output!$F$1:$F$400,MATCH(_xlfn.TEXTJOIN(",",TRUE,B291:E291),SF_Output!$AC$1:$AC$400,0))=0,INDEX(SF_Output!$R$1:$R$400,MATCH(_xlfn.TEXTJOIN(",",TRUE,B291:E291),SF_Output!$AC$1:$AC$400,0)))</f>
        <v/>
      </c>
      <c r="I291" s="125" t="str">
        <f>IFERROR(IF(AND(H291&gt;1,H291&lt;&gt;""),ROUND(SUMIFS(SF_Output!$S$1:$S$400,SF_Output!$AC$1:$AC$400,_xlfn.TEXTJOIN(",",TRUE,B291:E291),SF_Output!$Q$1:$Q$400,"monthly")*(1-W291)/H291,4),""),"")</f>
        <v/>
      </c>
      <c r="J291" s="6" t="str">
        <f>IF(B291="","",SUMIFS(SF_Output!$S$1:$S$400,SF_Output!$AC$1:$AC$400,_xlfn.TEXTJOIN(",",TRUE,B291:E291),SF_Output!$Q$1:$Q$400,"One Time",SF_Output!$L$1:$L$400,"license fee")+SUMIFS(SF_Output!$S$1:$S$400,SF_Output!$AC$1:$AC$400,_xlfn.TEXTJOIN(",",TRUE,B291:E291),SF_Output!$Q$1:$Q$400,"One Time",SF_Output!$L$1:$L$400,"software license")+SUMIFS(SF_Output!$S$1:$S$400,SF_Output!$AC$1:$AC$400,_xlfn.TEXTJOIN(",",TRUE,B291:E291),SF_Output!$Q$1:$Q$400,"One Time",SF_Output!$L$1:$L$400,"hardware"))</f>
        <v/>
      </c>
      <c r="K291" s="112" t="str">
        <f>IF(OR(B291=0,B291="",G291="hardware",J291=0),"",IF(AF291&lt;&gt;"exclusion",MAX(K$9,-((SUMIFS(SF_Output!$T$1:$T$400,SF_Output!$AC$1:$AC$400,_xlfn.TEXTJOIN(",",TRUE,$B291:$E291),SF_Output!$Q$1:$Q$400,"One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license"))/J291)))</f>
        <v/>
      </c>
      <c r="L291" s="6" t="str">
        <f t="shared" si="69"/>
        <v/>
      </c>
      <c r="N291" s="6" t="str">
        <f>IF(B291="","",SUMIFS(SF_Output!$S$1:$S$400,SF_Output!$AC$1:$AC$400,_xlfn.TEXTJOIN(",",TRUE,B291:E291),SF_Output!$Q$1:$Q$400,"One Time",SF_Output!$L$1:$L$400,"professional service"))</f>
        <v/>
      </c>
      <c r="O291" s="112" t="str">
        <f>IF(OR(B291=0,B291="",N291=0),"",IF(AF291&lt;&gt;"exclusion",MAX(O$9,-(SUMIFS(SF_Output!$T$1:$T$400,SF_Output!$AC$1:$AC$400,_xlfn.TEXTJOIN(",",TRUE,$B291:$E291),SF_Output!$Q$1:$Q$400,"One Time",SF_Output!$L$1:$L$400,"professional service"))/N291),-((SUMIFS(SF_Output!$T$1:$T$400,SF_Output!$AC$1:$AC$400,_xlfn.TEXTJOIN(",",TRUE,$B291:$E291),SF_Output!$Q$1:$Q$400,"One Time",SF_Output!$L$1:$L$400,"professional service")/N291))))</f>
        <v/>
      </c>
      <c r="P291" s="6" t="str">
        <f t="shared" si="70"/>
        <v/>
      </c>
      <c r="R291" s="6" t="str">
        <f>IF(B291="","",SUMIFS(SF_Output!$S$1:$S$400,SF_Output!$AC$1:$AC$400,_xlfn.TEXTJOIN(",",TRUE,B291:E291),SF_Output!$Q$1:$Q$400,"yearly")+SUMIFS(SF_Output!$S$1:$S$400,SF_Output!$AC$1:$AC$400,_xlfn.TEXTJOIN(",",TRUE,B291:E291),SF_Output!$Q$1:$Q$400,"quarterly")*4)</f>
        <v/>
      </c>
      <c r="S291" s="112" t="str">
        <f>IF(OR(B291=0,B291="",G291="hardware",R291=0),"",IF(AF291&lt;&gt;"exclusion",MAX(S$9,-(SUMIFS(SF_Output!$T$1:$T$400,SF_Output!$AC$1:$AC$400,_xlfn.TEXTJOIN(",",TRUE,$B291:$E291),SF_Output!$Q$1:$Q$400,"yearly"))/R291),-((SUMIFS(SF_Output!$T$1:$T$400,SF_Output!$AC$1:$AC$400,_xlfn.TEXTJOIN(",",TRUE,$B291:$E291),SF_Output!$Q$1:$Q$400,"yearly")/R291))))</f>
        <v/>
      </c>
      <c r="T291" s="6" t="str">
        <f t="shared" si="71"/>
        <v/>
      </c>
      <c r="V291" s="6" t="str" cm="1">
        <f t="array" ref="V291">_xlfn.IFS(B291="","",AND(B291&lt;&gt;"",H291=SF_Output!$Y$2,SUMIFS(SF_Output!$T$1:$T$400,SF_Output!$AC$1:$AC$400,_xlfn.TEXTJOIN(",",TRUE,B291:E291),SF_Output!$Q$1:$Q$400,"monthly")=0),(SUMIFS(SF_Output!$F$1:$F$400,SF_Output!$AC$1:$AC$400,_xlfn.TEXTJOIN(",",TRUE,B291:E291),SF_Output!$Q$1:$Q$400,"monthly")+SUMIFS(SF_Output!$G$1:$G$400,SF_Output!$AC$1:$AC$400,_xlfn.TEXTJOIN(",",TRUE,B291:E291),SF_Output!$Q$1:$Q$400,"monthly"))*H291,AND(B291&lt;&gt;"",H291=SF_Output!$Y$2,SUMIFS(SF_Output!$T$1:$T$400,SF_Output!$AC$1:$AC$400,_xlfn.TEXTJOIN(",",TRUE,B291:E291),SF_Output!$Q$1:$Q$400,"monthly")&lt;&gt;0),SUMIFS(SF_Output!$S$1:$S$400,SF_Output!$AC$1:$AC$400,_xlfn.TEXTJOIN(",",TRUE,B291:E291),SF_Output!$Q$1:$Q$400,"monthly"),AND(B291&lt;&gt;"",H291&lt;&gt;SF_Output!$Y$2),SUMIFS(SF_Output!$S$1:$S$400,SF_Output!$AC$1:$AC$400,_xlfn.TEXTJOIN(",",TRUE,B291:E291),SF_Output!$Q$1:$Q$400,"monthly"))</f>
        <v/>
      </c>
      <c r="W291" s="112" t="str" cm="1">
        <f t="array" ref="W291">_xlfn.IFS(OR(B291=0,B291="",V291=0),"",AF291&lt;&gt;"exclusion",MAX($W$9,$W$7,(-(SUMIFS(SF_Output!$T$1:$T$400,SF_Output!$AC$1:$AC$400,_xlfn.TEXTJOIN(",",TRUE,$B291:$E291),SF_Output!$Q$1:$Q$400,"monthly"))/V291)),AF291="exclusion",-(SUMIFS(SF_Output!$T$1:$T$400,SF_Output!$AC$1:$AC$400,_xlfn.TEXTJOIN(",",TRUE,$B291:$E291),SF_Output!$Q$1:$Q$400,"monthly"))/V291)</f>
        <v/>
      </c>
      <c r="X291" s="6" t="str" cm="1">
        <f t="array" ref="X291">IFERROR(_xlfn.IFS(V291=0,0,V291="","",W291=0,V291,OR(V291&lt;&gt;0,V291&lt;&gt;""),H291*I291),V291*(1-W291))</f>
        <v/>
      </c>
      <c r="Z291" s="6" t="str">
        <f>IFERROR(IF(B291="","",SUMIFS(Billing_Fallout!H:H,Billing_Fallout!N:N,B291)),0)</f>
        <v/>
      </c>
      <c r="AA291" s="6" t="str">
        <f t="shared" si="72"/>
        <v/>
      </c>
      <c r="AB291" s="6" t="str">
        <f>IFERROR(IF(B291="","",SUMIFS(Billing_Fallout!J:J,Billing_Fallout!N:N,B291)),0)</f>
        <v/>
      </c>
      <c r="AD291" s="6" t="str">
        <f t="shared" si="73"/>
        <v/>
      </c>
      <c r="AF291" t="str">
        <f>IFERROR(INDEX(H_Tables!$B$1:$B$1500,MATCH(INDEX(SF_Output!$J$1:$J$400,MATCH(B291,SF_Output!$M$1:$M$400,0)),H_Tables!$A$1:$A$1500,0)),"")</f>
        <v/>
      </c>
      <c r="AI291" s="119" t="str">
        <f t="shared" si="74"/>
        <v/>
      </c>
      <c r="AJ291" s="121">
        <f>IFERROR(INDEX(SF_Output!AD:AD,MATCH(_xlfn.TEXTJOIN(",",TRUE,B291:E291),SF_Output!AC42:AC441,0)),0.05)</f>
        <v>200</v>
      </c>
      <c r="AK291" t="str">
        <f>IF(SUMIFS(SF_Output!$F$1:$F$400,SF_Output!$AC$1:$AC$400,_xlfn.TEXTJOIN(",",TRUE,B291:E291))+SUMIFS(SF_Output!$G$1:$G$400,SF_Output!$AC$1:$AC$400,_xlfn.TEXTJOIN(",",TRUE,B291:E291))=0,"","PAP")</f>
        <v/>
      </c>
      <c r="AQ291" s="35"/>
      <c r="AR291" s="35" t="str" cm="1">
        <f t="array" ref="AR291">IFERROR(_xlfn.IFS(AND(E291*1=1,F291="Included"),"Change to Included",AND(E291*1=0,F291="Optional"),"Change to Optional",OR(B291="",F291="replaced"),""),"")</f>
        <v/>
      </c>
      <c r="AS291" s="35" t="str">
        <f t="shared" si="75"/>
        <v/>
      </c>
      <c r="AT291" s="35" t="str">
        <f t="shared" si="76"/>
        <v/>
      </c>
      <c r="AU291" s="35" t="str">
        <f t="shared" si="77"/>
        <v/>
      </c>
      <c r="AV291" s="35" t="str">
        <f t="shared" si="78"/>
        <v/>
      </c>
      <c r="AW291" s="35" t="str">
        <f t="shared" si="79"/>
        <v/>
      </c>
      <c r="AX291" s="35" t="str">
        <f t="shared" si="80"/>
        <v/>
      </c>
      <c r="AY291" s="35" t="str">
        <f t="shared" si="81"/>
        <v/>
      </c>
      <c r="AZ291" s="35" t="str">
        <f t="shared" si="82"/>
        <v/>
      </c>
      <c r="BA291" s="35" t="str">
        <f t="shared" si="83"/>
        <v/>
      </c>
      <c r="BB291" s="35" t="str">
        <f t="shared" si="84"/>
        <v/>
      </c>
      <c r="BC291" s="35"/>
      <c r="BE291" s="35" t="e">
        <f>INDEX(SF_Output!$AA$2:$AA$400,MATCH($B291,SF_Output!$M$2:$M$400,0))</f>
        <v>#N/A</v>
      </c>
      <c r="BF291" s="35" t="e">
        <f>INDEX(SF_Output!$AB$2:$AB$400,MATCH($B291,SF_Output!$M$2:$M$400,0))</f>
        <v>#N/A</v>
      </c>
    </row>
    <row r="292" spans="6:58" x14ac:dyDescent="0.25">
      <c r="F292" s="116" t="str">
        <f t="shared" si="68"/>
        <v/>
      </c>
      <c r="G292" t="str">
        <f>IF(B292="","",INDEX(SF_Output!$K$1:$K$400,MATCH(B292,SF_Output!$M$1:$M$400,0)))</f>
        <v/>
      </c>
      <c r="H292" t="str" cm="1">
        <f t="array" ref="H292">_xlfn.IFS(B292="","",(SUMIFS(SF_Output!$F$1:$F$400,SF_Output!$AC$1:$AC$400,_xlfn.TEXTJOIN(",",TRUE,B292:E292))+SUMIFS(SF_Output!$G$1:$G$400,SF_Output!$AC$1:$AC$400,_xlfn.TEXTJOIN(",",TRUE,B292:E292)))&lt;&gt;0,SF_Output!$Y$2,INDEX(SF_Output!$F$1:$F$400,MATCH(_xlfn.TEXTJOIN(",",TRUE,B292:E292),SF_Output!$AC$1:$AC$400,0))=0,INDEX(SF_Output!$R$1:$R$400,MATCH(_xlfn.TEXTJOIN(",",TRUE,B292:E292),SF_Output!$AC$1:$AC$400,0)))</f>
        <v/>
      </c>
      <c r="I292" s="125" t="str">
        <f>IFERROR(IF(AND(H292&gt;1,H292&lt;&gt;""),ROUND(SUMIFS(SF_Output!$S$1:$S$400,SF_Output!$AC$1:$AC$400,_xlfn.TEXTJOIN(",",TRUE,B292:E292),SF_Output!$Q$1:$Q$400,"monthly")*(1-W292)/H292,4),""),"")</f>
        <v/>
      </c>
      <c r="J292" s="6" t="str">
        <f>IF(B292="","",SUMIFS(SF_Output!$S$1:$S$400,SF_Output!$AC$1:$AC$400,_xlfn.TEXTJOIN(",",TRUE,B292:E292),SF_Output!$Q$1:$Q$400,"One Time",SF_Output!$L$1:$L$400,"license fee")+SUMIFS(SF_Output!$S$1:$S$400,SF_Output!$AC$1:$AC$400,_xlfn.TEXTJOIN(",",TRUE,B292:E292),SF_Output!$Q$1:$Q$400,"One Time",SF_Output!$L$1:$L$400,"software license")+SUMIFS(SF_Output!$S$1:$S$400,SF_Output!$AC$1:$AC$400,_xlfn.TEXTJOIN(",",TRUE,B292:E292),SF_Output!$Q$1:$Q$400,"One Time",SF_Output!$L$1:$L$400,"hardware"))</f>
        <v/>
      </c>
      <c r="K292" s="112" t="str">
        <f>IF(OR(B292=0,B292="",G292="hardware",J292=0),"",IF(AF292&lt;&gt;"exclusion",MAX(K$9,-((SUMIFS(SF_Output!$T$1:$T$400,SF_Output!$AC$1:$AC$400,_xlfn.TEXTJOIN(",",TRUE,$B292:$E292),SF_Output!$Q$1:$Q$400,"One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license"))/J292)))</f>
        <v/>
      </c>
      <c r="L292" s="6" t="str">
        <f t="shared" si="69"/>
        <v/>
      </c>
      <c r="N292" s="6" t="str">
        <f>IF(B292="","",SUMIFS(SF_Output!$S$1:$S$400,SF_Output!$AC$1:$AC$400,_xlfn.TEXTJOIN(",",TRUE,B292:E292),SF_Output!$Q$1:$Q$400,"One Time",SF_Output!$L$1:$L$400,"professional service"))</f>
        <v/>
      </c>
      <c r="O292" s="112" t="str">
        <f>IF(OR(B292=0,B292="",N292=0),"",IF(AF292&lt;&gt;"exclusion",MAX(O$9,-(SUMIFS(SF_Output!$T$1:$T$400,SF_Output!$AC$1:$AC$400,_xlfn.TEXTJOIN(",",TRUE,$B292:$E292),SF_Output!$Q$1:$Q$400,"One Time",SF_Output!$L$1:$L$400,"professional service"))/N292),-((SUMIFS(SF_Output!$T$1:$T$400,SF_Output!$AC$1:$AC$400,_xlfn.TEXTJOIN(",",TRUE,$B292:$E292),SF_Output!$Q$1:$Q$400,"One Time",SF_Output!$L$1:$L$400,"professional service")/N292))))</f>
        <v/>
      </c>
      <c r="P292" s="6" t="str">
        <f t="shared" si="70"/>
        <v/>
      </c>
      <c r="R292" s="6" t="str">
        <f>IF(B292="","",SUMIFS(SF_Output!$S$1:$S$400,SF_Output!$AC$1:$AC$400,_xlfn.TEXTJOIN(",",TRUE,B292:E292),SF_Output!$Q$1:$Q$400,"yearly")+SUMIFS(SF_Output!$S$1:$S$400,SF_Output!$AC$1:$AC$400,_xlfn.TEXTJOIN(",",TRUE,B292:E292),SF_Output!$Q$1:$Q$400,"quarterly")*4)</f>
        <v/>
      </c>
      <c r="S292" s="112" t="str">
        <f>IF(OR(B292=0,B292="",G292="hardware",R292=0),"",IF(AF292&lt;&gt;"exclusion",MAX(S$9,-(SUMIFS(SF_Output!$T$1:$T$400,SF_Output!$AC$1:$AC$400,_xlfn.TEXTJOIN(",",TRUE,$B292:$E292),SF_Output!$Q$1:$Q$400,"yearly"))/R292),-((SUMIFS(SF_Output!$T$1:$T$400,SF_Output!$AC$1:$AC$400,_xlfn.TEXTJOIN(",",TRUE,$B292:$E292),SF_Output!$Q$1:$Q$400,"yearly")/R292))))</f>
        <v/>
      </c>
      <c r="T292" s="6" t="str">
        <f t="shared" si="71"/>
        <v/>
      </c>
      <c r="V292" s="6" t="str" cm="1">
        <f t="array" ref="V292">_xlfn.IFS(B292="","",AND(B292&lt;&gt;"",H292=SF_Output!$Y$2,SUMIFS(SF_Output!$T$1:$T$400,SF_Output!$AC$1:$AC$400,_xlfn.TEXTJOIN(",",TRUE,B292:E292),SF_Output!$Q$1:$Q$400,"monthly")=0),(SUMIFS(SF_Output!$F$1:$F$400,SF_Output!$AC$1:$AC$400,_xlfn.TEXTJOIN(",",TRUE,B292:E292),SF_Output!$Q$1:$Q$400,"monthly")+SUMIFS(SF_Output!$G$1:$G$400,SF_Output!$AC$1:$AC$400,_xlfn.TEXTJOIN(",",TRUE,B292:E292),SF_Output!$Q$1:$Q$400,"monthly"))*H292,AND(B292&lt;&gt;"",H292=SF_Output!$Y$2,SUMIFS(SF_Output!$T$1:$T$400,SF_Output!$AC$1:$AC$400,_xlfn.TEXTJOIN(",",TRUE,B292:E292),SF_Output!$Q$1:$Q$400,"monthly")&lt;&gt;0),SUMIFS(SF_Output!$S$1:$S$400,SF_Output!$AC$1:$AC$400,_xlfn.TEXTJOIN(",",TRUE,B292:E292),SF_Output!$Q$1:$Q$400,"monthly"),AND(B292&lt;&gt;"",H292&lt;&gt;SF_Output!$Y$2),SUMIFS(SF_Output!$S$1:$S$400,SF_Output!$AC$1:$AC$400,_xlfn.TEXTJOIN(",",TRUE,B292:E292),SF_Output!$Q$1:$Q$400,"monthly"))</f>
        <v/>
      </c>
      <c r="W292" s="112" t="str" cm="1">
        <f t="array" ref="W292">_xlfn.IFS(OR(B292=0,B292="",V292=0),"",AF292&lt;&gt;"exclusion",MAX($W$9,$W$7,(-(SUMIFS(SF_Output!$T$1:$T$400,SF_Output!$AC$1:$AC$400,_xlfn.TEXTJOIN(",",TRUE,$B292:$E292),SF_Output!$Q$1:$Q$400,"monthly"))/V292)),AF292="exclusion",-(SUMIFS(SF_Output!$T$1:$T$400,SF_Output!$AC$1:$AC$400,_xlfn.TEXTJOIN(",",TRUE,$B292:$E292),SF_Output!$Q$1:$Q$400,"monthly"))/V292)</f>
        <v/>
      </c>
      <c r="X292" s="6" t="str" cm="1">
        <f t="array" ref="X292">IFERROR(_xlfn.IFS(V292=0,0,V292="","",W292=0,V292,OR(V292&lt;&gt;0,V292&lt;&gt;""),H292*I292),V292*(1-W292))</f>
        <v/>
      </c>
      <c r="Z292" s="6" t="str">
        <f>IFERROR(IF(B292="","",SUMIFS(Billing_Fallout!H:H,Billing_Fallout!N:N,B292)),0)</f>
        <v/>
      </c>
      <c r="AA292" s="6" t="str">
        <f t="shared" si="72"/>
        <v/>
      </c>
      <c r="AB292" s="6" t="str">
        <f>IFERROR(IF(B292="","",SUMIFS(Billing_Fallout!J:J,Billing_Fallout!N:N,B292)),0)</f>
        <v/>
      </c>
      <c r="AD292" s="6" t="str">
        <f t="shared" si="73"/>
        <v/>
      </c>
      <c r="AF292" t="str">
        <f>IFERROR(INDEX(H_Tables!$B$1:$B$1500,MATCH(INDEX(SF_Output!$J$1:$J$400,MATCH(B292,SF_Output!$M$1:$M$400,0)),H_Tables!$A$1:$A$1500,0)),"")</f>
        <v/>
      </c>
      <c r="AI292" s="119" t="str">
        <f t="shared" si="74"/>
        <v/>
      </c>
      <c r="AJ292" s="121">
        <f>IFERROR(INDEX(SF_Output!AD:AD,MATCH(_xlfn.TEXTJOIN(",",TRUE,B292:E292),SF_Output!AC43:AC442,0)),0.05)</f>
        <v>199</v>
      </c>
      <c r="AK292" t="str">
        <f>IF(SUMIFS(SF_Output!$F$1:$F$400,SF_Output!$AC$1:$AC$400,_xlfn.TEXTJOIN(",",TRUE,B292:E292))+SUMIFS(SF_Output!$G$1:$G$400,SF_Output!$AC$1:$AC$400,_xlfn.TEXTJOIN(",",TRUE,B292:E292))=0,"","PAP")</f>
        <v/>
      </c>
      <c r="AQ292" s="35"/>
      <c r="AR292" s="35" t="str" cm="1">
        <f t="array" ref="AR292">IFERROR(_xlfn.IFS(AND(E292*1=1,F292="Included"),"Change to Included",AND(E292*1=0,F292="Optional"),"Change to Optional",OR(B292="",F292="replaced"),""),"")</f>
        <v/>
      </c>
      <c r="AS292" s="35" t="str">
        <f t="shared" si="75"/>
        <v/>
      </c>
      <c r="AT292" s="35" t="str">
        <f t="shared" si="76"/>
        <v/>
      </c>
      <c r="AU292" s="35" t="str">
        <f t="shared" si="77"/>
        <v/>
      </c>
      <c r="AV292" s="35" t="str">
        <f t="shared" si="78"/>
        <v/>
      </c>
      <c r="AW292" s="35" t="str">
        <f t="shared" si="79"/>
        <v/>
      </c>
      <c r="AX292" s="35" t="str">
        <f t="shared" si="80"/>
        <v/>
      </c>
      <c r="AY292" s="35" t="str">
        <f t="shared" si="81"/>
        <v/>
      </c>
      <c r="AZ292" s="35" t="str">
        <f t="shared" si="82"/>
        <v/>
      </c>
      <c r="BA292" s="35" t="str">
        <f t="shared" si="83"/>
        <v/>
      </c>
      <c r="BB292" s="35" t="str">
        <f t="shared" si="84"/>
        <v/>
      </c>
      <c r="BC292" s="35"/>
      <c r="BE292" s="35" t="e">
        <f>INDEX(SF_Output!$AA$2:$AA$400,MATCH($B292,SF_Output!$M$2:$M$400,0))</f>
        <v>#N/A</v>
      </c>
      <c r="BF292" s="35" t="e">
        <f>INDEX(SF_Output!$AB$2:$AB$400,MATCH($B292,SF_Output!$M$2:$M$400,0))</f>
        <v>#N/A</v>
      </c>
    </row>
    <row r="293" spans="6:58" x14ac:dyDescent="0.25">
      <c r="F293" s="116" t="str">
        <f t="shared" si="68"/>
        <v/>
      </c>
      <c r="G293" t="str">
        <f>IF(B293="","",INDEX(SF_Output!$K$1:$K$400,MATCH(B293,SF_Output!$M$1:$M$400,0)))</f>
        <v/>
      </c>
      <c r="H293" t="str" cm="1">
        <f t="array" ref="H293">_xlfn.IFS(B293="","",(SUMIFS(SF_Output!$F$1:$F$400,SF_Output!$AC$1:$AC$400,_xlfn.TEXTJOIN(",",TRUE,B293:E293))+SUMIFS(SF_Output!$G$1:$G$400,SF_Output!$AC$1:$AC$400,_xlfn.TEXTJOIN(",",TRUE,B293:E293)))&lt;&gt;0,SF_Output!$Y$2,INDEX(SF_Output!$F$1:$F$400,MATCH(_xlfn.TEXTJOIN(",",TRUE,B293:E293),SF_Output!$AC$1:$AC$400,0))=0,INDEX(SF_Output!$R$1:$R$400,MATCH(_xlfn.TEXTJOIN(",",TRUE,B293:E293),SF_Output!$AC$1:$AC$400,0)))</f>
        <v/>
      </c>
      <c r="I293" s="125" t="str">
        <f>IFERROR(IF(AND(H293&gt;1,H293&lt;&gt;""),ROUND(SUMIFS(SF_Output!$S$1:$S$400,SF_Output!$AC$1:$AC$400,_xlfn.TEXTJOIN(",",TRUE,B293:E293),SF_Output!$Q$1:$Q$400,"monthly")*(1-W293)/H293,4),""),"")</f>
        <v/>
      </c>
      <c r="J293" s="6" t="str">
        <f>IF(B293="","",SUMIFS(SF_Output!$S$1:$S$400,SF_Output!$AC$1:$AC$400,_xlfn.TEXTJOIN(",",TRUE,B293:E293),SF_Output!$Q$1:$Q$400,"One Time",SF_Output!$L$1:$L$400,"license fee")+SUMIFS(SF_Output!$S$1:$S$400,SF_Output!$AC$1:$AC$400,_xlfn.TEXTJOIN(",",TRUE,B293:E293),SF_Output!$Q$1:$Q$400,"One Time",SF_Output!$L$1:$L$400,"software license")+SUMIFS(SF_Output!$S$1:$S$400,SF_Output!$AC$1:$AC$400,_xlfn.TEXTJOIN(",",TRUE,B293:E293),SF_Output!$Q$1:$Q$400,"One Time",SF_Output!$L$1:$L$400,"hardware"))</f>
        <v/>
      </c>
      <c r="K293" s="112" t="str">
        <f>IF(OR(B293=0,B293="",G293="hardware",J293=0),"",IF(AF293&lt;&gt;"exclusion",MAX(K$9,-((SUMIFS(SF_Output!$T$1:$T$400,SF_Output!$AC$1:$AC$400,_xlfn.TEXTJOIN(",",TRUE,$B293:$E293),SF_Output!$Q$1:$Q$400,"One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license"))/J293)))</f>
        <v/>
      </c>
      <c r="L293" s="6" t="str">
        <f t="shared" si="69"/>
        <v/>
      </c>
      <c r="N293" s="6" t="str">
        <f>IF(B293="","",SUMIFS(SF_Output!$S$1:$S$400,SF_Output!$AC$1:$AC$400,_xlfn.TEXTJOIN(",",TRUE,B293:E293),SF_Output!$Q$1:$Q$400,"One Time",SF_Output!$L$1:$L$400,"professional service"))</f>
        <v/>
      </c>
      <c r="O293" s="112" t="str">
        <f>IF(OR(B293=0,B293="",N293=0),"",IF(AF293&lt;&gt;"exclusion",MAX(O$9,-(SUMIFS(SF_Output!$T$1:$T$400,SF_Output!$AC$1:$AC$400,_xlfn.TEXTJOIN(",",TRUE,$B293:$E293),SF_Output!$Q$1:$Q$400,"One Time",SF_Output!$L$1:$L$400,"professional service"))/N293),-((SUMIFS(SF_Output!$T$1:$T$400,SF_Output!$AC$1:$AC$400,_xlfn.TEXTJOIN(",",TRUE,$B293:$E293),SF_Output!$Q$1:$Q$400,"One Time",SF_Output!$L$1:$L$400,"professional service")/N293))))</f>
        <v/>
      </c>
      <c r="P293" s="6" t="str">
        <f t="shared" si="70"/>
        <v/>
      </c>
      <c r="R293" s="6" t="str">
        <f>IF(B293="","",SUMIFS(SF_Output!$S$1:$S$400,SF_Output!$AC$1:$AC$400,_xlfn.TEXTJOIN(",",TRUE,B293:E293),SF_Output!$Q$1:$Q$400,"yearly")+SUMIFS(SF_Output!$S$1:$S$400,SF_Output!$AC$1:$AC$400,_xlfn.TEXTJOIN(",",TRUE,B293:E293),SF_Output!$Q$1:$Q$400,"quarterly")*4)</f>
        <v/>
      </c>
      <c r="S293" s="112" t="str">
        <f>IF(OR(B293=0,B293="",G293="hardware",R293=0),"",IF(AF293&lt;&gt;"exclusion",MAX(S$9,-(SUMIFS(SF_Output!$T$1:$T$400,SF_Output!$AC$1:$AC$400,_xlfn.TEXTJOIN(",",TRUE,$B293:$E293),SF_Output!$Q$1:$Q$400,"yearly"))/R293),-((SUMIFS(SF_Output!$T$1:$T$400,SF_Output!$AC$1:$AC$400,_xlfn.TEXTJOIN(",",TRUE,$B293:$E293),SF_Output!$Q$1:$Q$400,"yearly")/R293))))</f>
        <v/>
      </c>
      <c r="T293" s="6" t="str">
        <f t="shared" si="71"/>
        <v/>
      </c>
      <c r="V293" s="6" t="str" cm="1">
        <f t="array" ref="V293">_xlfn.IFS(B293="","",AND(B293&lt;&gt;"",H293=SF_Output!$Y$2,SUMIFS(SF_Output!$T$1:$T$400,SF_Output!$AC$1:$AC$400,_xlfn.TEXTJOIN(",",TRUE,B293:E293),SF_Output!$Q$1:$Q$400,"monthly")=0),(SUMIFS(SF_Output!$F$1:$F$400,SF_Output!$AC$1:$AC$400,_xlfn.TEXTJOIN(",",TRUE,B293:E293),SF_Output!$Q$1:$Q$400,"monthly")+SUMIFS(SF_Output!$G$1:$G$400,SF_Output!$AC$1:$AC$400,_xlfn.TEXTJOIN(",",TRUE,B293:E293),SF_Output!$Q$1:$Q$400,"monthly"))*H293,AND(B293&lt;&gt;"",H293=SF_Output!$Y$2,SUMIFS(SF_Output!$T$1:$T$400,SF_Output!$AC$1:$AC$400,_xlfn.TEXTJOIN(",",TRUE,B293:E293),SF_Output!$Q$1:$Q$400,"monthly")&lt;&gt;0),SUMIFS(SF_Output!$S$1:$S$400,SF_Output!$AC$1:$AC$400,_xlfn.TEXTJOIN(",",TRUE,B293:E293),SF_Output!$Q$1:$Q$400,"monthly"),AND(B293&lt;&gt;"",H293&lt;&gt;SF_Output!$Y$2),SUMIFS(SF_Output!$S$1:$S$400,SF_Output!$AC$1:$AC$400,_xlfn.TEXTJOIN(",",TRUE,B293:E293),SF_Output!$Q$1:$Q$400,"monthly"))</f>
        <v/>
      </c>
      <c r="W293" s="112" t="str" cm="1">
        <f t="array" ref="W293">_xlfn.IFS(OR(B293=0,B293="",V293=0),"",AF293&lt;&gt;"exclusion",MAX($W$9,$W$7,(-(SUMIFS(SF_Output!$T$1:$T$400,SF_Output!$AC$1:$AC$400,_xlfn.TEXTJOIN(",",TRUE,$B293:$E293),SF_Output!$Q$1:$Q$400,"monthly"))/V293)),AF293="exclusion",-(SUMIFS(SF_Output!$T$1:$T$400,SF_Output!$AC$1:$AC$400,_xlfn.TEXTJOIN(",",TRUE,$B293:$E293),SF_Output!$Q$1:$Q$400,"monthly"))/V293)</f>
        <v/>
      </c>
      <c r="X293" s="6" t="str" cm="1">
        <f t="array" ref="X293">IFERROR(_xlfn.IFS(V293=0,0,V293="","",W293=0,V293,OR(V293&lt;&gt;0,V293&lt;&gt;""),H293*I293),V293*(1-W293))</f>
        <v/>
      </c>
      <c r="Z293" s="6" t="str">
        <f>IFERROR(IF(B293="","",SUMIFS(Billing_Fallout!H:H,Billing_Fallout!N:N,B293)),0)</f>
        <v/>
      </c>
      <c r="AA293" s="6" t="str">
        <f t="shared" si="72"/>
        <v/>
      </c>
      <c r="AB293" s="6" t="str">
        <f>IFERROR(IF(B293="","",SUMIFS(Billing_Fallout!J:J,Billing_Fallout!N:N,B293)),0)</f>
        <v/>
      </c>
      <c r="AD293" s="6" t="str">
        <f t="shared" si="73"/>
        <v/>
      </c>
      <c r="AF293" t="str">
        <f>IFERROR(INDEX(H_Tables!$B$1:$B$1500,MATCH(INDEX(SF_Output!$J$1:$J$400,MATCH(B293,SF_Output!$M$1:$M$400,0)),H_Tables!$A$1:$A$1500,0)),"")</f>
        <v/>
      </c>
      <c r="AI293" s="119" t="str">
        <f t="shared" si="74"/>
        <v/>
      </c>
      <c r="AJ293" s="121">
        <f>IFERROR(INDEX(SF_Output!AD:AD,MATCH(_xlfn.TEXTJOIN(",",TRUE,B293:E293),SF_Output!AC44:AC443,0)),0.05)</f>
        <v>198</v>
      </c>
      <c r="AK293" t="str">
        <f>IF(SUMIFS(SF_Output!$F$1:$F$400,SF_Output!$AC$1:$AC$400,_xlfn.TEXTJOIN(",",TRUE,B293:E293))+SUMIFS(SF_Output!$G$1:$G$400,SF_Output!$AC$1:$AC$400,_xlfn.TEXTJOIN(",",TRUE,B293:E293))=0,"","PAP")</f>
        <v/>
      </c>
      <c r="AQ293" s="35"/>
      <c r="AR293" s="35" t="str" cm="1">
        <f t="array" ref="AR293">IFERROR(_xlfn.IFS(AND(E293*1=1,F293="Included"),"Change to Included",AND(E293*1=0,F293="Optional"),"Change to Optional",OR(B293="",F293="replaced"),""),"")</f>
        <v/>
      </c>
      <c r="AS293" s="35" t="str">
        <f t="shared" si="75"/>
        <v/>
      </c>
      <c r="AT293" s="35" t="str">
        <f t="shared" si="76"/>
        <v/>
      </c>
      <c r="AU293" s="35" t="str">
        <f t="shared" si="77"/>
        <v/>
      </c>
      <c r="AV293" s="35" t="str">
        <f t="shared" si="78"/>
        <v/>
      </c>
      <c r="AW293" s="35" t="str">
        <f t="shared" si="79"/>
        <v/>
      </c>
      <c r="AX293" s="35" t="str">
        <f t="shared" si="80"/>
        <v/>
      </c>
      <c r="AY293" s="35" t="str">
        <f t="shared" si="81"/>
        <v/>
      </c>
      <c r="AZ293" s="35" t="str">
        <f t="shared" si="82"/>
        <v/>
      </c>
      <c r="BA293" s="35" t="str">
        <f t="shared" si="83"/>
        <v/>
      </c>
      <c r="BB293" s="35" t="str">
        <f t="shared" si="84"/>
        <v/>
      </c>
      <c r="BC293" s="35"/>
      <c r="BE293" s="35" t="e">
        <f>INDEX(SF_Output!$AA$2:$AA$400,MATCH($B293,SF_Output!$M$2:$M$400,0))</f>
        <v>#N/A</v>
      </c>
      <c r="BF293" s="35" t="e">
        <f>INDEX(SF_Output!$AB$2:$AB$400,MATCH($B293,SF_Output!$M$2:$M$400,0))</f>
        <v>#N/A</v>
      </c>
    </row>
    <row r="294" spans="6:58" x14ac:dyDescent="0.25">
      <c r="F294" s="116" t="str">
        <f t="shared" si="68"/>
        <v/>
      </c>
      <c r="G294" t="str">
        <f>IF(B294="","",INDEX(SF_Output!$K$1:$K$400,MATCH(B294,SF_Output!$M$1:$M$400,0)))</f>
        <v/>
      </c>
      <c r="H294" t="str" cm="1">
        <f t="array" ref="H294">_xlfn.IFS(B294="","",(SUMIFS(SF_Output!$F$1:$F$400,SF_Output!$AC$1:$AC$400,_xlfn.TEXTJOIN(",",TRUE,B294:E294))+SUMIFS(SF_Output!$G$1:$G$400,SF_Output!$AC$1:$AC$400,_xlfn.TEXTJOIN(",",TRUE,B294:E294)))&lt;&gt;0,SF_Output!$Y$2,INDEX(SF_Output!$F$1:$F$400,MATCH(_xlfn.TEXTJOIN(",",TRUE,B294:E294),SF_Output!$AC$1:$AC$400,0))=0,INDEX(SF_Output!$R$1:$R$400,MATCH(_xlfn.TEXTJOIN(",",TRUE,B294:E294),SF_Output!$AC$1:$AC$400,0)))</f>
        <v/>
      </c>
      <c r="I294" s="125" t="str">
        <f>IFERROR(IF(AND(H294&gt;1,H294&lt;&gt;""),ROUND(SUMIFS(SF_Output!$S$1:$S$400,SF_Output!$AC$1:$AC$400,_xlfn.TEXTJOIN(",",TRUE,B294:E294),SF_Output!$Q$1:$Q$400,"monthly")*(1-W294)/H294,4),""),"")</f>
        <v/>
      </c>
      <c r="J294" s="6" t="str">
        <f>IF(B294="","",SUMIFS(SF_Output!$S$1:$S$400,SF_Output!$AC$1:$AC$400,_xlfn.TEXTJOIN(",",TRUE,B294:E294),SF_Output!$Q$1:$Q$400,"One Time",SF_Output!$L$1:$L$400,"license fee")+SUMIFS(SF_Output!$S$1:$S$400,SF_Output!$AC$1:$AC$400,_xlfn.TEXTJOIN(",",TRUE,B294:E294),SF_Output!$Q$1:$Q$400,"One Time",SF_Output!$L$1:$L$400,"software license")+SUMIFS(SF_Output!$S$1:$S$400,SF_Output!$AC$1:$AC$400,_xlfn.TEXTJOIN(",",TRUE,B294:E294),SF_Output!$Q$1:$Q$400,"One Time",SF_Output!$L$1:$L$400,"hardware"))</f>
        <v/>
      </c>
      <c r="K294" s="112" t="str">
        <f>IF(OR(B294=0,B294="",G294="hardware",J294=0),"",IF(AF294&lt;&gt;"exclusion",MAX(K$9,-((SUMIFS(SF_Output!$T$1:$T$400,SF_Output!$AC$1:$AC$400,_xlfn.TEXTJOIN(",",TRUE,$B294:$E294),SF_Output!$Q$1:$Q$400,"One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license"))/J294)))</f>
        <v/>
      </c>
      <c r="L294" s="6" t="str">
        <f t="shared" si="69"/>
        <v/>
      </c>
      <c r="N294" s="6" t="str">
        <f>IF(B294="","",SUMIFS(SF_Output!$S$1:$S$400,SF_Output!$AC$1:$AC$400,_xlfn.TEXTJOIN(",",TRUE,B294:E294),SF_Output!$Q$1:$Q$400,"One Time",SF_Output!$L$1:$L$400,"professional service"))</f>
        <v/>
      </c>
      <c r="O294" s="112" t="str">
        <f>IF(OR(B294=0,B294="",N294=0),"",IF(AF294&lt;&gt;"exclusion",MAX(O$9,-(SUMIFS(SF_Output!$T$1:$T$400,SF_Output!$AC$1:$AC$400,_xlfn.TEXTJOIN(",",TRUE,$B294:$E294),SF_Output!$Q$1:$Q$400,"One Time",SF_Output!$L$1:$L$400,"professional service"))/N294),-((SUMIFS(SF_Output!$T$1:$T$400,SF_Output!$AC$1:$AC$400,_xlfn.TEXTJOIN(",",TRUE,$B294:$E294),SF_Output!$Q$1:$Q$400,"One Time",SF_Output!$L$1:$L$400,"professional service")/N294))))</f>
        <v/>
      </c>
      <c r="P294" s="6" t="str">
        <f t="shared" si="70"/>
        <v/>
      </c>
      <c r="R294" s="6" t="str">
        <f>IF(B294="","",SUMIFS(SF_Output!$S$1:$S$400,SF_Output!$AC$1:$AC$400,_xlfn.TEXTJOIN(",",TRUE,B294:E294),SF_Output!$Q$1:$Q$400,"yearly")+SUMIFS(SF_Output!$S$1:$S$400,SF_Output!$AC$1:$AC$400,_xlfn.TEXTJOIN(",",TRUE,B294:E294),SF_Output!$Q$1:$Q$400,"quarterly")*4)</f>
        <v/>
      </c>
      <c r="S294" s="112" t="str">
        <f>IF(OR(B294=0,B294="",G294="hardware",R294=0),"",IF(AF294&lt;&gt;"exclusion",MAX(S$9,-(SUMIFS(SF_Output!$T$1:$T$400,SF_Output!$AC$1:$AC$400,_xlfn.TEXTJOIN(",",TRUE,$B294:$E294),SF_Output!$Q$1:$Q$400,"yearly"))/R294),-((SUMIFS(SF_Output!$T$1:$T$400,SF_Output!$AC$1:$AC$400,_xlfn.TEXTJOIN(",",TRUE,$B294:$E294),SF_Output!$Q$1:$Q$400,"yearly")/R294))))</f>
        <v/>
      </c>
      <c r="T294" s="6" t="str">
        <f t="shared" si="71"/>
        <v/>
      </c>
      <c r="V294" s="6" t="str" cm="1">
        <f t="array" ref="V294">_xlfn.IFS(B294="","",AND(B294&lt;&gt;"",H294=SF_Output!$Y$2,SUMIFS(SF_Output!$T$1:$T$400,SF_Output!$AC$1:$AC$400,_xlfn.TEXTJOIN(",",TRUE,B294:E294),SF_Output!$Q$1:$Q$400,"monthly")=0),(SUMIFS(SF_Output!$F$1:$F$400,SF_Output!$AC$1:$AC$400,_xlfn.TEXTJOIN(",",TRUE,B294:E294),SF_Output!$Q$1:$Q$400,"monthly")+SUMIFS(SF_Output!$G$1:$G$400,SF_Output!$AC$1:$AC$400,_xlfn.TEXTJOIN(",",TRUE,B294:E294),SF_Output!$Q$1:$Q$400,"monthly"))*H294,AND(B294&lt;&gt;"",H294=SF_Output!$Y$2,SUMIFS(SF_Output!$T$1:$T$400,SF_Output!$AC$1:$AC$400,_xlfn.TEXTJOIN(",",TRUE,B294:E294),SF_Output!$Q$1:$Q$400,"monthly")&lt;&gt;0),SUMIFS(SF_Output!$S$1:$S$400,SF_Output!$AC$1:$AC$400,_xlfn.TEXTJOIN(",",TRUE,B294:E294),SF_Output!$Q$1:$Q$400,"monthly"),AND(B294&lt;&gt;"",H294&lt;&gt;SF_Output!$Y$2),SUMIFS(SF_Output!$S$1:$S$400,SF_Output!$AC$1:$AC$400,_xlfn.TEXTJOIN(",",TRUE,B294:E294),SF_Output!$Q$1:$Q$400,"monthly"))</f>
        <v/>
      </c>
      <c r="W294" s="112" t="str" cm="1">
        <f t="array" ref="W294">_xlfn.IFS(OR(B294=0,B294="",V294=0),"",AF294&lt;&gt;"exclusion",MAX($W$9,$W$7,(-(SUMIFS(SF_Output!$T$1:$T$400,SF_Output!$AC$1:$AC$400,_xlfn.TEXTJOIN(",",TRUE,$B294:$E294),SF_Output!$Q$1:$Q$400,"monthly"))/V294)),AF294="exclusion",-(SUMIFS(SF_Output!$T$1:$T$400,SF_Output!$AC$1:$AC$400,_xlfn.TEXTJOIN(",",TRUE,$B294:$E294),SF_Output!$Q$1:$Q$400,"monthly"))/V294)</f>
        <v/>
      </c>
      <c r="X294" s="6" t="str" cm="1">
        <f t="array" ref="X294">IFERROR(_xlfn.IFS(V294=0,0,V294="","",W294=0,V294,OR(V294&lt;&gt;0,V294&lt;&gt;""),H294*I294),V294*(1-W294))</f>
        <v/>
      </c>
      <c r="Z294" s="6" t="str">
        <f>IFERROR(IF(B294="","",SUMIFS(Billing_Fallout!H:H,Billing_Fallout!N:N,B294)),0)</f>
        <v/>
      </c>
      <c r="AA294" s="6" t="str">
        <f t="shared" si="72"/>
        <v/>
      </c>
      <c r="AB294" s="6" t="str">
        <f>IFERROR(IF(B294="","",SUMIFS(Billing_Fallout!J:J,Billing_Fallout!N:N,B294)),0)</f>
        <v/>
      </c>
      <c r="AD294" s="6" t="str">
        <f t="shared" si="73"/>
        <v/>
      </c>
      <c r="AF294" t="str">
        <f>IFERROR(INDEX(H_Tables!$B$1:$B$1500,MATCH(INDEX(SF_Output!$J$1:$J$400,MATCH(B294,SF_Output!$M$1:$M$400,0)),H_Tables!$A$1:$A$1500,0)),"")</f>
        <v/>
      </c>
      <c r="AI294" s="119" t="str">
        <f t="shared" si="74"/>
        <v/>
      </c>
      <c r="AJ294" s="121">
        <f>IFERROR(INDEX(SF_Output!AD:AD,MATCH(_xlfn.TEXTJOIN(",",TRUE,B294:E294),SF_Output!AC45:AC444,0)),0.05)</f>
        <v>197</v>
      </c>
      <c r="AK294" t="str">
        <f>IF(SUMIFS(SF_Output!$F$1:$F$400,SF_Output!$AC$1:$AC$400,_xlfn.TEXTJOIN(",",TRUE,B294:E294))+SUMIFS(SF_Output!$G$1:$G$400,SF_Output!$AC$1:$AC$400,_xlfn.TEXTJOIN(",",TRUE,B294:E294))=0,"","PAP")</f>
        <v/>
      </c>
      <c r="AQ294" s="35"/>
      <c r="AR294" s="35" t="str" cm="1">
        <f t="array" ref="AR294">IFERROR(_xlfn.IFS(AND(E294*1=1,F294="Included"),"Change to Included",AND(E294*1=0,F294="Optional"),"Change to Optional",OR(B294="",F294="replaced"),""),"")</f>
        <v/>
      </c>
      <c r="AS294" s="35" t="str">
        <f t="shared" si="75"/>
        <v/>
      </c>
      <c r="AT294" s="35" t="str">
        <f t="shared" si="76"/>
        <v/>
      </c>
      <c r="AU294" s="35" t="str">
        <f t="shared" si="77"/>
        <v/>
      </c>
      <c r="AV294" s="35" t="str">
        <f t="shared" si="78"/>
        <v/>
      </c>
      <c r="AW294" s="35" t="str">
        <f t="shared" si="79"/>
        <v/>
      </c>
      <c r="AX294" s="35" t="str">
        <f t="shared" si="80"/>
        <v/>
      </c>
      <c r="AY294" s="35" t="str">
        <f t="shared" si="81"/>
        <v/>
      </c>
      <c r="AZ294" s="35" t="str">
        <f t="shared" si="82"/>
        <v/>
      </c>
      <c r="BA294" s="35" t="str">
        <f t="shared" si="83"/>
        <v/>
      </c>
      <c r="BB294" s="35" t="str">
        <f t="shared" si="84"/>
        <v/>
      </c>
      <c r="BC294" s="35"/>
      <c r="BE294" s="35" t="e">
        <f>INDEX(SF_Output!$AA$2:$AA$400,MATCH($B294,SF_Output!$M$2:$M$400,0))</f>
        <v>#N/A</v>
      </c>
      <c r="BF294" s="35" t="e">
        <f>INDEX(SF_Output!$AB$2:$AB$400,MATCH($B294,SF_Output!$M$2:$M$400,0))</f>
        <v>#N/A</v>
      </c>
    </row>
    <row r="295" spans="6:58" x14ac:dyDescent="0.25">
      <c r="F295" s="116" t="str">
        <f t="shared" si="68"/>
        <v/>
      </c>
      <c r="G295" t="str">
        <f>IF(B295="","",INDEX(SF_Output!$K$1:$K$400,MATCH(B295,SF_Output!$M$1:$M$400,0)))</f>
        <v/>
      </c>
      <c r="H295" t="str" cm="1">
        <f t="array" ref="H295">_xlfn.IFS(B295="","",(SUMIFS(SF_Output!$F$1:$F$400,SF_Output!$AC$1:$AC$400,_xlfn.TEXTJOIN(",",TRUE,B295:E295))+SUMIFS(SF_Output!$G$1:$G$400,SF_Output!$AC$1:$AC$400,_xlfn.TEXTJOIN(",",TRUE,B295:E295)))&lt;&gt;0,SF_Output!$Y$2,INDEX(SF_Output!$F$1:$F$400,MATCH(_xlfn.TEXTJOIN(",",TRUE,B295:E295),SF_Output!$AC$1:$AC$400,0))=0,INDEX(SF_Output!$R$1:$R$400,MATCH(_xlfn.TEXTJOIN(",",TRUE,B295:E295),SF_Output!$AC$1:$AC$400,0)))</f>
        <v/>
      </c>
      <c r="I295" s="125" t="str">
        <f>IFERROR(IF(AND(H295&gt;1,H295&lt;&gt;""),ROUND(SUMIFS(SF_Output!$S$1:$S$400,SF_Output!$AC$1:$AC$400,_xlfn.TEXTJOIN(",",TRUE,B295:E295),SF_Output!$Q$1:$Q$400,"monthly")*(1-W295)/H295,4),""),"")</f>
        <v/>
      </c>
      <c r="J295" s="6" t="str">
        <f>IF(B295="","",SUMIFS(SF_Output!$S$1:$S$400,SF_Output!$AC$1:$AC$400,_xlfn.TEXTJOIN(",",TRUE,B295:E295),SF_Output!$Q$1:$Q$400,"One Time",SF_Output!$L$1:$L$400,"license fee")+SUMIFS(SF_Output!$S$1:$S$400,SF_Output!$AC$1:$AC$400,_xlfn.TEXTJOIN(",",TRUE,B295:E295),SF_Output!$Q$1:$Q$400,"One Time",SF_Output!$L$1:$L$400,"software license")+SUMIFS(SF_Output!$S$1:$S$400,SF_Output!$AC$1:$AC$400,_xlfn.TEXTJOIN(",",TRUE,B295:E295),SF_Output!$Q$1:$Q$400,"One Time",SF_Output!$L$1:$L$400,"hardware"))</f>
        <v/>
      </c>
      <c r="K295" s="112" t="str">
        <f>IF(OR(B295=0,B295="",G295="hardware",J295=0),"",IF(AF295&lt;&gt;"exclusion",MAX(K$9,-((SUMIFS(SF_Output!$T$1:$T$400,SF_Output!$AC$1:$AC$400,_xlfn.TEXTJOIN(",",TRUE,$B295:$E295),SF_Output!$Q$1:$Q$400,"One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license"))/J295)))</f>
        <v/>
      </c>
      <c r="L295" s="6" t="str">
        <f t="shared" si="69"/>
        <v/>
      </c>
      <c r="N295" s="6" t="str">
        <f>IF(B295="","",SUMIFS(SF_Output!$S$1:$S$400,SF_Output!$AC$1:$AC$400,_xlfn.TEXTJOIN(",",TRUE,B295:E295),SF_Output!$Q$1:$Q$400,"One Time",SF_Output!$L$1:$L$400,"professional service"))</f>
        <v/>
      </c>
      <c r="O295" s="112" t="str">
        <f>IF(OR(B295=0,B295="",N295=0),"",IF(AF295&lt;&gt;"exclusion",MAX(O$9,-(SUMIFS(SF_Output!$T$1:$T$400,SF_Output!$AC$1:$AC$400,_xlfn.TEXTJOIN(",",TRUE,$B295:$E295),SF_Output!$Q$1:$Q$400,"One Time",SF_Output!$L$1:$L$400,"professional service"))/N295),-((SUMIFS(SF_Output!$T$1:$T$400,SF_Output!$AC$1:$AC$400,_xlfn.TEXTJOIN(",",TRUE,$B295:$E295),SF_Output!$Q$1:$Q$400,"One Time",SF_Output!$L$1:$L$400,"professional service")/N295))))</f>
        <v/>
      </c>
      <c r="P295" s="6" t="str">
        <f t="shared" si="70"/>
        <v/>
      </c>
      <c r="R295" s="6" t="str">
        <f>IF(B295="","",SUMIFS(SF_Output!$S$1:$S$400,SF_Output!$AC$1:$AC$400,_xlfn.TEXTJOIN(",",TRUE,B295:E295),SF_Output!$Q$1:$Q$400,"yearly")+SUMIFS(SF_Output!$S$1:$S$400,SF_Output!$AC$1:$AC$400,_xlfn.TEXTJOIN(",",TRUE,B295:E295),SF_Output!$Q$1:$Q$400,"quarterly")*4)</f>
        <v/>
      </c>
      <c r="S295" s="112" t="str">
        <f>IF(OR(B295=0,B295="",G295="hardware",R295=0),"",IF(AF295&lt;&gt;"exclusion",MAX(S$9,-(SUMIFS(SF_Output!$T$1:$T$400,SF_Output!$AC$1:$AC$400,_xlfn.TEXTJOIN(",",TRUE,$B295:$E295),SF_Output!$Q$1:$Q$400,"yearly"))/R295),-((SUMIFS(SF_Output!$T$1:$T$400,SF_Output!$AC$1:$AC$400,_xlfn.TEXTJOIN(",",TRUE,$B295:$E295),SF_Output!$Q$1:$Q$400,"yearly")/R295))))</f>
        <v/>
      </c>
      <c r="T295" s="6" t="str">
        <f t="shared" si="71"/>
        <v/>
      </c>
      <c r="V295" s="6" t="str" cm="1">
        <f t="array" ref="V295">_xlfn.IFS(B295="","",AND(B295&lt;&gt;"",H295=SF_Output!$Y$2,SUMIFS(SF_Output!$T$1:$T$400,SF_Output!$AC$1:$AC$400,_xlfn.TEXTJOIN(",",TRUE,B295:E295),SF_Output!$Q$1:$Q$400,"monthly")=0),(SUMIFS(SF_Output!$F$1:$F$400,SF_Output!$AC$1:$AC$400,_xlfn.TEXTJOIN(",",TRUE,B295:E295),SF_Output!$Q$1:$Q$400,"monthly")+SUMIFS(SF_Output!$G$1:$G$400,SF_Output!$AC$1:$AC$400,_xlfn.TEXTJOIN(",",TRUE,B295:E295),SF_Output!$Q$1:$Q$400,"monthly"))*H295,AND(B295&lt;&gt;"",H295=SF_Output!$Y$2,SUMIFS(SF_Output!$T$1:$T$400,SF_Output!$AC$1:$AC$400,_xlfn.TEXTJOIN(",",TRUE,B295:E295),SF_Output!$Q$1:$Q$400,"monthly")&lt;&gt;0),SUMIFS(SF_Output!$S$1:$S$400,SF_Output!$AC$1:$AC$400,_xlfn.TEXTJOIN(",",TRUE,B295:E295),SF_Output!$Q$1:$Q$400,"monthly"),AND(B295&lt;&gt;"",H295&lt;&gt;SF_Output!$Y$2),SUMIFS(SF_Output!$S$1:$S$400,SF_Output!$AC$1:$AC$400,_xlfn.TEXTJOIN(",",TRUE,B295:E295),SF_Output!$Q$1:$Q$400,"monthly"))</f>
        <v/>
      </c>
      <c r="W295" s="112" t="str" cm="1">
        <f t="array" ref="W295">_xlfn.IFS(OR(B295=0,B295="",V295=0),"",AF295&lt;&gt;"exclusion",MAX($W$9,$W$7,(-(SUMIFS(SF_Output!$T$1:$T$400,SF_Output!$AC$1:$AC$400,_xlfn.TEXTJOIN(",",TRUE,$B295:$E295),SF_Output!$Q$1:$Q$400,"monthly"))/V295)),AF295="exclusion",-(SUMIFS(SF_Output!$T$1:$T$400,SF_Output!$AC$1:$AC$400,_xlfn.TEXTJOIN(",",TRUE,$B295:$E295),SF_Output!$Q$1:$Q$400,"monthly"))/V295)</f>
        <v/>
      </c>
      <c r="X295" s="6" t="str" cm="1">
        <f t="array" ref="X295">IFERROR(_xlfn.IFS(V295=0,0,V295="","",W295=0,V295,OR(V295&lt;&gt;0,V295&lt;&gt;""),H295*I295),V295*(1-W295))</f>
        <v/>
      </c>
      <c r="Z295" s="6" t="str">
        <f>IFERROR(IF(B295="","",SUMIFS(Billing_Fallout!H:H,Billing_Fallout!N:N,B295)),0)</f>
        <v/>
      </c>
      <c r="AA295" s="6" t="str">
        <f t="shared" si="72"/>
        <v/>
      </c>
      <c r="AB295" s="6" t="str">
        <f>IFERROR(IF(B295="","",SUMIFS(Billing_Fallout!J:J,Billing_Fallout!N:N,B295)),0)</f>
        <v/>
      </c>
      <c r="AD295" s="6" t="str">
        <f t="shared" si="73"/>
        <v/>
      </c>
      <c r="AF295" t="str">
        <f>IFERROR(INDEX(H_Tables!$B$1:$B$1500,MATCH(INDEX(SF_Output!$J$1:$J$400,MATCH(B295,SF_Output!$M$1:$M$400,0)),H_Tables!$A$1:$A$1500,0)),"")</f>
        <v/>
      </c>
      <c r="AI295" s="119" t="str">
        <f t="shared" si="74"/>
        <v/>
      </c>
      <c r="AJ295" s="121">
        <f>IFERROR(INDEX(SF_Output!AD:AD,MATCH(_xlfn.TEXTJOIN(",",TRUE,B295:E295),SF_Output!AC46:AC445,0)),0.05)</f>
        <v>196</v>
      </c>
      <c r="AK295" t="str">
        <f>IF(SUMIFS(SF_Output!$F$1:$F$400,SF_Output!$AC$1:$AC$400,_xlfn.TEXTJOIN(",",TRUE,B295:E295))+SUMIFS(SF_Output!$G$1:$G$400,SF_Output!$AC$1:$AC$400,_xlfn.TEXTJOIN(",",TRUE,B295:E295))=0,"","PAP")</f>
        <v/>
      </c>
      <c r="AQ295" s="35"/>
      <c r="AR295" s="35" t="str" cm="1">
        <f t="array" ref="AR295">IFERROR(_xlfn.IFS(AND(E295*1=1,F295="Included"),"Change to Included",AND(E295*1=0,F295="Optional"),"Change to Optional",OR(B295="",F295="replaced"),""),"")</f>
        <v/>
      </c>
      <c r="AS295" s="35" t="str">
        <f t="shared" si="75"/>
        <v/>
      </c>
      <c r="AT295" s="35" t="str">
        <f t="shared" si="76"/>
        <v/>
      </c>
      <c r="AU295" s="35" t="str">
        <f t="shared" si="77"/>
        <v/>
      </c>
      <c r="AV295" s="35" t="str">
        <f t="shared" si="78"/>
        <v/>
      </c>
      <c r="AW295" s="35" t="str">
        <f t="shared" si="79"/>
        <v/>
      </c>
      <c r="AX295" s="35" t="str">
        <f t="shared" si="80"/>
        <v/>
      </c>
      <c r="AY295" s="35" t="str">
        <f t="shared" si="81"/>
        <v/>
      </c>
      <c r="AZ295" s="35" t="str">
        <f t="shared" si="82"/>
        <v/>
      </c>
      <c r="BA295" s="35" t="str">
        <f t="shared" si="83"/>
        <v/>
      </c>
      <c r="BB295" s="35" t="str">
        <f t="shared" si="84"/>
        <v/>
      </c>
      <c r="BC295" s="35"/>
      <c r="BE295" s="35" t="e">
        <f>INDEX(SF_Output!$AA$2:$AA$400,MATCH($B295,SF_Output!$M$2:$M$400,0))</f>
        <v>#N/A</v>
      </c>
      <c r="BF295" s="35" t="e">
        <f>INDEX(SF_Output!$AB$2:$AB$400,MATCH($B295,SF_Output!$M$2:$M$400,0))</f>
        <v>#N/A</v>
      </c>
    </row>
    <row r="296" spans="6:58" x14ac:dyDescent="0.25">
      <c r="F296" s="116" t="str">
        <f t="shared" si="68"/>
        <v/>
      </c>
      <c r="G296" t="str">
        <f>IF(B296="","",INDEX(SF_Output!$K$1:$K$400,MATCH(B296,SF_Output!$M$1:$M$400,0)))</f>
        <v/>
      </c>
      <c r="H296" t="str" cm="1">
        <f t="array" ref="H296">_xlfn.IFS(B296="","",(SUMIFS(SF_Output!$F$1:$F$400,SF_Output!$AC$1:$AC$400,_xlfn.TEXTJOIN(",",TRUE,B296:E296))+SUMIFS(SF_Output!$G$1:$G$400,SF_Output!$AC$1:$AC$400,_xlfn.TEXTJOIN(",",TRUE,B296:E296)))&lt;&gt;0,SF_Output!$Y$2,INDEX(SF_Output!$F$1:$F$400,MATCH(_xlfn.TEXTJOIN(",",TRUE,B296:E296),SF_Output!$AC$1:$AC$400,0))=0,INDEX(SF_Output!$R$1:$R$400,MATCH(_xlfn.TEXTJOIN(",",TRUE,B296:E296),SF_Output!$AC$1:$AC$400,0)))</f>
        <v/>
      </c>
      <c r="I296" s="125" t="str">
        <f>IFERROR(IF(AND(H296&gt;1,H296&lt;&gt;""),ROUND(SUMIFS(SF_Output!$S$1:$S$400,SF_Output!$AC$1:$AC$400,_xlfn.TEXTJOIN(",",TRUE,B296:E296),SF_Output!$Q$1:$Q$400,"monthly")*(1-W296)/H296,4),""),"")</f>
        <v/>
      </c>
      <c r="J296" s="6" t="str">
        <f>IF(B296="","",SUMIFS(SF_Output!$S$1:$S$400,SF_Output!$AC$1:$AC$400,_xlfn.TEXTJOIN(",",TRUE,B296:E296),SF_Output!$Q$1:$Q$400,"One Time",SF_Output!$L$1:$L$400,"license fee")+SUMIFS(SF_Output!$S$1:$S$400,SF_Output!$AC$1:$AC$400,_xlfn.TEXTJOIN(",",TRUE,B296:E296),SF_Output!$Q$1:$Q$400,"One Time",SF_Output!$L$1:$L$400,"software license")+SUMIFS(SF_Output!$S$1:$S$400,SF_Output!$AC$1:$AC$400,_xlfn.TEXTJOIN(",",TRUE,B296:E296),SF_Output!$Q$1:$Q$400,"One Time",SF_Output!$L$1:$L$400,"hardware"))</f>
        <v/>
      </c>
      <c r="K296" s="112" t="str">
        <f>IF(OR(B296=0,B296="",G296="hardware",J296=0),"",IF(AF296&lt;&gt;"exclusion",MAX(K$9,-((SUMIFS(SF_Output!$T$1:$T$400,SF_Output!$AC$1:$AC$400,_xlfn.TEXTJOIN(",",TRUE,$B296:$E296),SF_Output!$Q$1:$Q$400,"One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license"))/J296)))</f>
        <v/>
      </c>
      <c r="L296" s="6" t="str">
        <f t="shared" si="69"/>
        <v/>
      </c>
      <c r="N296" s="6" t="str">
        <f>IF(B296="","",SUMIFS(SF_Output!$S$1:$S$400,SF_Output!$AC$1:$AC$400,_xlfn.TEXTJOIN(",",TRUE,B296:E296),SF_Output!$Q$1:$Q$400,"One Time",SF_Output!$L$1:$L$400,"professional service"))</f>
        <v/>
      </c>
      <c r="O296" s="112" t="str">
        <f>IF(OR(B296=0,B296="",N296=0),"",IF(AF296&lt;&gt;"exclusion",MAX(O$9,-(SUMIFS(SF_Output!$T$1:$T$400,SF_Output!$AC$1:$AC$400,_xlfn.TEXTJOIN(",",TRUE,$B296:$E296),SF_Output!$Q$1:$Q$400,"One Time",SF_Output!$L$1:$L$400,"professional service"))/N296),-((SUMIFS(SF_Output!$T$1:$T$400,SF_Output!$AC$1:$AC$400,_xlfn.TEXTJOIN(",",TRUE,$B296:$E296),SF_Output!$Q$1:$Q$400,"One Time",SF_Output!$L$1:$L$400,"professional service")/N296))))</f>
        <v/>
      </c>
      <c r="P296" s="6" t="str">
        <f t="shared" si="70"/>
        <v/>
      </c>
      <c r="R296" s="6" t="str">
        <f>IF(B296="","",SUMIFS(SF_Output!$S$1:$S$400,SF_Output!$AC$1:$AC$400,_xlfn.TEXTJOIN(",",TRUE,B296:E296),SF_Output!$Q$1:$Q$400,"yearly")+SUMIFS(SF_Output!$S$1:$S$400,SF_Output!$AC$1:$AC$400,_xlfn.TEXTJOIN(",",TRUE,B296:E296),SF_Output!$Q$1:$Q$400,"quarterly")*4)</f>
        <v/>
      </c>
      <c r="S296" s="112" t="str">
        <f>IF(OR(B296=0,B296="",G296="hardware",R296=0),"",IF(AF296&lt;&gt;"exclusion",MAX(S$9,-(SUMIFS(SF_Output!$T$1:$T$400,SF_Output!$AC$1:$AC$400,_xlfn.TEXTJOIN(",",TRUE,$B296:$E296),SF_Output!$Q$1:$Q$400,"yearly"))/R296),-((SUMIFS(SF_Output!$T$1:$T$400,SF_Output!$AC$1:$AC$400,_xlfn.TEXTJOIN(",",TRUE,$B296:$E296),SF_Output!$Q$1:$Q$400,"yearly")/R296))))</f>
        <v/>
      </c>
      <c r="T296" s="6" t="str">
        <f t="shared" si="71"/>
        <v/>
      </c>
      <c r="V296" s="6" t="str" cm="1">
        <f t="array" ref="V296">_xlfn.IFS(B296="","",AND(B296&lt;&gt;"",H296=SF_Output!$Y$2,SUMIFS(SF_Output!$T$1:$T$400,SF_Output!$AC$1:$AC$400,_xlfn.TEXTJOIN(",",TRUE,B296:E296),SF_Output!$Q$1:$Q$400,"monthly")=0),(SUMIFS(SF_Output!$F$1:$F$400,SF_Output!$AC$1:$AC$400,_xlfn.TEXTJOIN(",",TRUE,B296:E296),SF_Output!$Q$1:$Q$400,"monthly")+SUMIFS(SF_Output!$G$1:$G$400,SF_Output!$AC$1:$AC$400,_xlfn.TEXTJOIN(",",TRUE,B296:E296),SF_Output!$Q$1:$Q$400,"monthly"))*H296,AND(B296&lt;&gt;"",H296=SF_Output!$Y$2,SUMIFS(SF_Output!$T$1:$T$400,SF_Output!$AC$1:$AC$400,_xlfn.TEXTJOIN(",",TRUE,B296:E296),SF_Output!$Q$1:$Q$400,"monthly")&lt;&gt;0),SUMIFS(SF_Output!$S$1:$S$400,SF_Output!$AC$1:$AC$400,_xlfn.TEXTJOIN(",",TRUE,B296:E296),SF_Output!$Q$1:$Q$400,"monthly"),AND(B296&lt;&gt;"",H296&lt;&gt;SF_Output!$Y$2),SUMIFS(SF_Output!$S$1:$S$400,SF_Output!$AC$1:$AC$400,_xlfn.TEXTJOIN(",",TRUE,B296:E296),SF_Output!$Q$1:$Q$400,"monthly"))</f>
        <v/>
      </c>
      <c r="W296" s="112" t="str" cm="1">
        <f t="array" ref="W296">_xlfn.IFS(OR(B296=0,B296="",V296=0),"",AF296&lt;&gt;"exclusion",MAX($W$9,$W$7,(-(SUMIFS(SF_Output!$T$1:$T$400,SF_Output!$AC$1:$AC$400,_xlfn.TEXTJOIN(",",TRUE,$B296:$E296),SF_Output!$Q$1:$Q$400,"monthly"))/V296)),AF296="exclusion",-(SUMIFS(SF_Output!$T$1:$T$400,SF_Output!$AC$1:$AC$400,_xlfn.TEXTJOIN(",",TRUE,$B296:$E296),SF_Output!$Q$1:$Q$400,"monthly"))/V296)</f>
        <v/>
      </c>
      <c r="X296" s="6" t="str" cm="1">
        <f t="array" ref="X296">IFERROR(_xlfn.IFS(V296=0,0,V296="","",W296=0,V296,OR(V296&lt;&gt;0,V296&lt;&gt;""),H296*I296),V296*(1-W296))</f>
        <v/>
      </c>
      <c r="Z296" s="6" t="str">
        <f>IFERROR(IF(B296="","",SUMIFS(Billing_Fallout!H:H,Billing_Fallout!N:N,B296)),0)</f>
        <v/>
      </c>
      <c r="AA296" s="6" t="str">
        <f t="shared" si="72"/>
        <v/>
      </c>
      <c r="AB296" s="6" t="str">
        <f>IFERROR(IF(B296="","",SUMIFS(Billing_Fallout!J:J,Billing_Fallout!N:N,B296)),0)</f>
        <v/>
      </c>
      <c r="AD296" s="6" t="str">
        <f t="shared" si="73"/>
        <v/>
      </c>
      <c r="AF296" t="str">
        <f>IFERROR(INDEX(H_Tables!$B$1:$B$1500,MATCH(INDEX(SF_Output!$J$1:$J$400,MATCH(B296,SF_Output!$M$1:$M$400,0)),H_Tables!$A$1:$A$1500,0)),"")</f>
        <v/>
      </c>
      <c r="AI296" s="119" t="str">
        <f t="shared" si="74"/>
        <v/>
      </c>
      <c r="AJ296" s="121">
        <f>IFERROR(INDEX(SF_Output!AD:AD,MATCH(_xlfn.TEXTJOIN(",",TRUE,B296:E296),SF_Output!AC47:AC446,0)),0.05)</f>
        <v>195</v>
      </c>
      <c r="AK296" t="str">
        <f>IF(SUMIFS(SF_Output!$F$1:$F$400,SF_Output!$AC$1:$AC$400,_xlfn.TEXTJOIN(",",TRUE,B296:E296))+SUMIFS(SF_Output!$G$1:$G$400,SF_Output!$AC$1:$AC$400,_xlfn.TEXTJOIN(",",TRUE,B296:E296))=0,"","PAP")</f>
        <v/>
      </c>
      <c r="AQ296" s="35"/>
      <c r="AR296" s="35" t="str" cm="1">
        <f t="array" ref="AR296">IFERROR(_xlfn.IFS(AND(E296*1=1,F296="Included"),"Change to Included",AND(E296*1=0,F296="Optional"),"Change to Optional",OR(B296="",F296="replaced"),""),"")</f>
        <v/>
      </c>
      <c r="AS296" s="35" t="str">
        <f t="shared" si="75"/>
        <v/>
      </c>
      <c r="AT296" s="35" t="str">
        <f t="shared" si="76"/>
        <v/>
      </c>
      <c r="AU296" s="35" t="str">
        <f t="shared" si="77"/>
        <v/>
      </c>
      <c r="AV296" s="35" t="str">
        <f t="shared" si="78"/>
        <v/>
      </c>
      <c r="AW296" s="35" t="str">
        <f t="shared" si="79"/>
        <v/>
      </c>
      <c r="AX296" s="35" t="str">
        <f t="shared" si="80"/>
        <v/>
      </c>
      <c r="AY296" s="35" t="str">
        <f t="shared" si="81"/>
        <v/>
      </c>
      <c r="AZ296" s="35" t="str">
        <f t="shared" si="82"/>
        <v/>
      </c>
      <c r="BA296" s="35" t="str">
        <f t="shared" si="83"/>
        <v/>
      </c>
      <c r="BB296" s="35" t="str">
        <f t="shared" si="84"/>
        <v/>
      </c>
      <c r="BC296" s="35"/>
      <c r="BE296" s="35" t="e">
        <f>INDEX(SF_Output!$AA$2:$AA$400,MATCH($B296,SF_Output!$M$2:$M$400,0))</f>
        <v>#N/A</v>
      </c>
      <c r="BF296" s="35" t="e">
        <f>INDEX(SF_Output!$AB$2:$AB$400,MATCH($B296,SF_Output!$M$2:$M$400,0))</f>
        <v>#N/A</v>
      </c>
    </row>
    <row r="297" spans="6:58" x14ac:dyDescent="0.25">
      <c r="F297" s="116" t="str">
        <f t="shared" si="68"/>
        <v/>
      </c>
      <c r="G297" t="str">
        <f>IF(B297="","",INDEX(SF_Output!$K$1:$K$400,MATCH(B297,SF_Output!$M$1:$M$400,0)))</f>
        <v/>
      </c>
      <c r="H297" t="str" cm="1">
        <f t="array" ref="H297">_xlfn.IFS(B297="","",(SUMIFS(SF_Output!$F$1:$F$400,SF_Output!$AC$1:$AC$400,_xlfn.TEXTJOIN(",",TRUE,B297:E297))+SUMIFS(SF_Output!$G$1:$G$400,SF_Output!$AC$1:$AC$400,_xlfn.TEXTJOIN(",",TRUE,B297:E297)))&lt;&gt;0,SF_Output!$Y$2,INDEX(SF_Output!$F$1:$F$400,MATCH(_xlfn.TEXTJOIN(",",TRUE,B297:E297),SF_Output!$AC$1:$AC$400,0))=0,INDEX(SF_Output!$R$1:$R$400,MATCH(_xlfn.TEXTJOIN(",",TRUE,B297:E297),SF_Output!$AC$1:$AC$400,0)))</f>
        <v/>
      </c>
      <c r="I297" s="125" t="str">
        <f>IFERROR(IF(AND(H297&gt;1,H297&lt;&gt;""),ROUND(SUMIFS(SF_Output!$S$1:$S$400,SF_Output!$AC$1:$AC$400,_xlfn.TEXTJOIN(",",TRUE,B297:E297),SF_Output!$Q$1:$Q$400,"monthly")*(1-W297)/H297,4),""),"")</f>
        <v/>
      </c>
      <c r="J297" s="6" t="str">
        <f>IF(B297="","",SUMIFS(SF_Output!$S$1:$S$400,SF_Output!$AC$1:$AC$400,_xlfn.TEXTJOIN(",",TRUE,B297:E297),SF_Output!$Q$1:$Q$400,"One Time",SF_Output!$L$1:$L$400,"license fee")+SUMIFS(SF_Output!$S$1:$S$400,SF_Output!$AC$1:$AC$400,_xlfn.TEXTJOIN(",",TRUE,B297:E297),SF_Output!$Q$1:$Q$400,"One Time",SF_Output!$L$1:$L$400,"software license")+SUMIFS(SF_Output!$S$1:$S$400,SF_Output!$AC$1:$AC$400,_xlfn.TEXTJOIN(",",TRUE,B297:E297),SF_Output!$Q$1:$Q$400,"One Time",SF_Output!$L$1:$L$400,"hardware"))</f>
        <v/>
      </c>
      <c r="K297" s="112" t="str">
        <f>IF(OR(B297=0,B297="",G297="hardware",J297=0),"",IF(AF297&lt;&gt;"exclusion",MAX(K$9,-((SUMIFS(SF_Output!$T$1:$T$400,SF_Output!$AC$1:$AC$400,_xlfn.TEXTJOIN(",",TRUE,$B297:$E297),SF_Output!$Q$1:$Q$400,"One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license"))/J297)))</f>
        <v/>
      </c>
      <c r="L297" s="6" t="str">
        <f t="shared" si="69"/>
        <v/>
      </c>
      <c r="N297" s="6" t="str">
        <f>IF(B297="","",SUMIFS(SF_Output!$S$1:$S$400,SF_Output!$AC$1:$AC$400,_xlfn.TEXTJOIN(",",TRUE,B297:E297),SF_Output!$Q$1:$Q$400,"One Time",SF_Output!$L$1:$L$400,"professional service"))</f>
        <v/>
      </c>
      <c r="O297" s="112" t="str">
        <f>IF(OR(B297=0,B297="",N297=0),"",IF(AF297&lt;&gt;"exclusion",MAX(O$9,-(SUMIFS(SF_Output!$T$1:$T$400,SF_Output!$AC$1:$AC$400,_xlfn.TEXTJOIN(",",TRUE,$B297:$E297),SF_Output!$Q$1:$Q$400,"One Time",SF_Output!$L$1:$L$400,"professional service"))/N297),-((SUMIFS(SF_Output!$T$1:$T$400,SF_Output!$AC$1:$AC$400,_xlfn.TEXTJOIN(",",TRUE,$B297:$E297),SF_Output!$Q$1:$Q$400,"One Time",SF_Output!$L$1:$L$400,"professional service")/N297))))</f>
        <v/>
      </c>
      <c r="P297" s="6" t="str">
        <f t="shared" si="70"/>
        <v/>
      </c>
      <c r="R297" s="6" t="str">
        <f>IF(B297="","",SUMIFS(SF_Output!$S$1:$S$400,SF_Output!$AC$1:$AC$400,_xlfn.TEXTJOIN(",",TRUE,B297:E297),SF_Output!$Q$1:$Q$400,"yearly")+SUMIFS(SF_Output!$S$1:$S$400,SF_Output!$AC$1:$AC$400,_xlfn.TEXTJOIN(",",TRUE,B297:E297),SF_Output!$Q$1:$Q$400,"quarterly")*4)</f>
        <v/>
      </c>
      <c r="S297" s="112" t="str">
        <f>IF(OR(B297=0,B297="",G297="hardware",R297=0),"",IF(AF297&lt;&gt;"exclusion",MAX(S$9,-(SUMIFS(SF_Output!$T$1:$T$400,SF_Output!$AC$1:$AC$400,_xlfn.TEXTJOIN(",",TRUE,$B297:$E297),SF_Output!$Q$1:$Q$400,"yearly"))/R297),-((SUMIFS(SF_Output!$T$1:$T$400,SF_Output!$AC$1:$AC$400,_xlfn.TEXTJOIN(",",TRUE,$B297:$E297),SF_Output!$Q$1:$Q$400,"yearly")/R297))))</f>
        <v/>
      </c>
      <c r="T297" s="6" t="str">
        <f t="shared" si="71"/>
        <v/>
      </c>
      <c r="V297" s="6" t="str" cm="1">
        <f t="array" ref="V297">_xlfn.IFS(B297="","",AND(B297&lt;&gt;"",H297=SF_Output!$Y$2,SUMIFS(SF_Output!$T$1:$T$400,SF_Output!$AC$1:$AC$400,_xlfn.TEXTJOIN(",",TRUE,B297:E297),SF_Output!$Q$1:$Q$400,"monthly")=0),(SUMIFS(SF_Output!$F$1:$F$400,SF_Output!$AC$1:$AC$400,_xlfn.TEXTJOIN(",",TRUE,B297:E297),SF_Output!$Q$1:$Q$400,"monthly")+SUMIFS(SF_Output!$G$1:$G$400,SF_Output!$AC$1:$AC$400,_xlfn.TEXTJOIN(",",TRUE,B297:E297),SF_Output!$Q$1:$Q$400,"monthly"))*H297,AND(B297&lt;&gt;"",H297=SF_Output!$Y$2,SUMIFS(SF_Output!$T$1:$T$400,SF_Output!$AC$1:$AC$400,_xlfn.TEXTJOIN(",",TRUE,B297:E297),SF_Output!$Q$1:$Q$400,"monthly")&lt;&gt;0),SUMIFS(SF_Output!$S$1:$S$400,SF_Output!$AC$1:$AC$400,_xlfn.TEXTJOIN(",",TRUE,B297:E297),SF_Output!$Q$1:$Q$400,"monthly"),AND(B297&lt;&gt;"",H297&lt;&gt;SF_Output!$Y$2),SUMIFS(SF_Output!$S$1:$S$400,SF_Output!$AC$1:$AC$400,_xlfn.TEXTJOIN(",",TRUE,B297:E297),SF_Output!$Q$1:$Q$400,"monthly"))</f>
        <v/>
      </c>
      <c r="W297" s="112" t="str" cm="1">
        <f t="array" ref="W297">_xlfn.IFS(OR(B297=0,B297="",V297=0),"",AF297&lt;&gt;"exclusion",MAX($W$9,$W$7,(-(SUMIFS(SF_Output!$T$1:$T$400,SF_Output!$AC$1:$AC$400,_xlfn.TEXTJOIN(",",TRUE,$B297:$E297),SF_Output!$Q$1:$Q$400,"monthly"))/V297)),AF297="exclusion",-(SUMIFS(SF_Output!$T$1:$T$400,SF_Output!$AC$1:$AC$400,_xlfn.TEXTJOIN(",",TRUE,$B297:$E297),SF_Output!$Q$1:$Q$400,"monthly"))/V297)</f>
        <v/>
      </c>
      <c r="X297" s="6" t="str" cm="1">
        <f t="array" ref="X297">IFERROR(_xlfn.IFS(V297=0,0,V297="","",W297=0,V297,OR(V297&lt;&gt;0,V297&lt;&gt;""),H297*I297),V297*(1-W297))</f>
        <v/>
      </c>
      <c r="Z297" s="6" t="str">
        <f>IFERROR(IF(B297="","",SUMIFS(Billing_Fallout!H:H,Billing_Fallout!N:N,B297)),0)</f>
        <v/>
      </c>
      <c r="AA297" s="6" t="str">
        <f t="shared" si="72"/>
        <v/>
      </c>
      <c r="AB297" s="6" t="str">
        <f>IFERROR(IF(B297="","",SUMIFS(Billing_Fallout!J:J,Billing_Fallout!N:N,B297)),0)</f>
        <v/>
      </c>
      <c r="AD297" s="6" t="str">
        <f t="shared" si="73"/>
        <v/>
      </c>
      <c r="AF297" t="str">
        <f>IFERROR(INDEX(H_Tables!$B$1:$B$1500,MATCH(INDEX(SF_Output!$J$1:$J$400,MATCH(B297,SF_Output!$M$1:$M$400,0)),H_Tables!$A$1:$A$1500,0)),"")</f>
        <v/>
      </c>
      <c r="AI297" s="119" t="str">
        <f t="shared" si="74"/>
        <v/>
      </c>
      <c r="AJ297" s="121">
        <f>IFERROR(INDEX(SF_Output!AD:AD,MATCH(_xlfn.TEXTJOIN(",",TRUE,B297:E297),SF_Output!AC48:AC447,0)),0.05)</f>
        <v>194</v>
      </c>
      <c r="AK297" t="str">
        <f>IF(SUMIFS(SF_Output!$F$1:$F$400,SF_Output!$AC$1:$AC$400,_xlfn.TEXTJOIN(",",TRUE,B297:E297))+SUMIFS(SF_Output!$G$1:$G$400,SF_Output!$AC$1:$AC$400,_xlfn.TEXTJOIN(",",TRUE,B297:E297))=0,"","PAP")</f>
        <v/>
      </c>
      <c r="AQ297" s="35"/>
      <c r="AR297" s="35" t="str" cm="1">
        <f t="array" ref="AR297">IFERROR(_xlfn.IFS(AND(E297*1=1,F297="Included"),"Change to Included",AND(E297*1=0,F297="Optional"),"Change to Optional",OR(B297="",F297="replaced"),""),"")</f>
        <v/>
      </c>
      <c r="AS297" s="35" t="str">
        <f t="shared" si="75"/>
        <v/>
      </c>
      <c r="AT297" s="35" t="str">
        <f t="shared" si="76"/>
        <v/>
      </c>
      <c r="AU297" s="35" t="str">
        <f t="shared" si="77"/>
        <v/>
      </c>
      <c r="AV297" s="35" t="str">
        <f t="shared" si="78"/>
        <v/>
      </c>
      <c r="AW297" s="35" t="str">
        <f t="shared" si="79"/>
        <v/>
      </c>
      <c r="AX297" s="35" t="str">
        <f t="shared" si="80"/>
        <v/>
      </c>
      <c r="AY297" s="35" t="str">
        <f t="shared" si="81"/>
        <v/>
      </c>
      <c r="AZ297" s="35" t="str">
        <f t="shared" si="82"/>
        <v/>
      </c>
      <c r="BA297" s="35" t="str">
        <f t="shared" si="83"/>
        <v/>
      </c>
      <c r="BB297" s="35" t="str">
        <f t="shared" si="84"/>
        <v/>
      </c>
      <c r="BC297" s="35"/>
      <c r="BE297" s="35" t="e">
        <f>INDEX(SF_Output!$AA$2:$AA$400,MATCH($B297,SF_Output!$M$2:$M$400,0))</f>
        <v>#N/A</v>
      </c>
      <c r="BF297" s="35" t="e">
        <f>INDEX(SF_Output!$AB$2:$AB$400,MATCH($B297,SF_Output!$M$2:$M$400,0))</f>
        <v>#N/A</v>
      </c>
    </row>
    <row r="298" spans="6:58" x14ac:dyDescent="0.25">
      <c r="F298" s="116" t="str">
        <f t="shared" si="68"/>
        <v/>
      </c>
      <c r="G298" t="str">
        <f>IF(B298="","",INDEX(SF_Output!$K$1:$K$400,MATCH(B298,SF_Output!$M$1:$M$400,0)))</f>
        <v/>
      </c>
      <c r="H298" t="str" cm="1">
        <f t="array" ref="H298">_xlfn.IFS(B298="","",(SUMIFS(SF_Output!$F$1:$F$400,SF_Output!$AC$1:$AC$400,_xlfn.TEXTJOIN(",",TRUE,B298:E298))+SUMIFS(SF_Output!$G$1:$G$400,SF_Output!$AC$1:$AC$400,_xlfn.TEXTJOIN(",",TRUE,B298:E298)))&lt;&gt;0,SF_Output!$Y$2,INDEX(SF_Output!$F$1:$F$400,MATCH(_xlfn.TEXTJOIN(",",TRUE,B298:E298),SF_Output!$AC$1:$AC$400,0))=0,INDEX(SF_Output!$R$1:$R$400,MATCH(_xlfn.TEXTJOIN(",",TRUE,B298:E298),SF_Output!$AC$1:$AC$400,0)))</f>
        <v/>
      </c>
      <c r="I298" s="125" t="str">
        <f>IFERROR(IF(AND(H298&gt;1,H298&lt;&gt;""),ROUND(SUMIFS(SF_Output!$S$1:$S$400,SF_Output!$AC$1:$AC$400,_xlfn.TEXTJOIN(",",TRUE,B298:E298),SF_Output!$Q$1:$Q$400,"monthly")*(1-W298)/H298,4),""),"")</f>
        <v/>
      </c>
      <c r="J298" s="6" t="str">
        <f>IF(B298="","",SUMIFS(SF_Output!$S$1:$S$400,SF_Output!$AC$1:$AC$400,_xlfn.TEXTJOIN(",",TRUE,B298:E298),SF_Output!$Q$1:$Q$400,"One Time",SF_Output!$L$1:$L$400,"license fee")+SUMIFS(SF_Output!$S$1:$S$400,SF_Output!$AC$1:$AC$400,_xlfn.TEXTJOIN(",",TRUE,B298:E298),SF_Output!$Q$1:$Q$400,"One Time",SF_Output!$L$1:$L$400,"software license")+SUMIFS(SF_Output!$S$1:$S$400,SF_Output!$AC$1:$AC$400,_xlfn.TEXTJOIN(",",TRUE,B298:E298),SF_Output!$Q$1:$Q$400,"One Time",SF_Output!$L$1:$L$400,"hardware"))</f>
        <v/>
      </c>
      <c r="K298" s="112" t="str">
        <f>IF(OR(B298=0,B298="",G298="hardware",J298=0),"",IF(AF298&lt;&gt;"exclusion",MAX(K$9,-((SUMIFS(SF_Output!$T$1:$T$400,SF_Output!$AC$1:$AC$400,_xlfn.TEXTJOIN(",",TRUE,$B298:$E298),SF_Output!$Q$1:$Q$400,"One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license"))/J298)))</f>
        <v/>
      </c>
      <c r="L298" s="6" t="str">
        <f t="shared" si="69"/>
        <v/>
      </c>
      <c r="N298" s="6" t="str">
        <f>IF(B298="","",SUMIFS(SF_Output!$S$1:$S$400,SF_Output!$AC$1:$AC$400,_xlfn.TEXTJOIN(",",TRUE,B298:E298),SF_Output!$Q$1:$Q$400,"One Time",SF_Output!$L$1:$L$400,"professional service"))</f>
        <v/>
      </c>
      <c r="O298" s="112" t="str">
        <f>IF(OR(B298=0,B298="",N298=0),"",IF(AF298&lt;&gt;"exclusion",MAX(O$9,-(SUMIFS(SF_Output!$T$1:$T$400,SF_Output!$AC$1:$AC$400,_xlfn.TEXTJOIN(",",TRUE,$B298:$E298),SF_Output!$Q$1:$Q$400,"One Time",SF_Output!$L$1:$L$400,"professional service"))/N298),-((SUMIFS(SF_Output!$T$1:$T$400,SF_Output!$AC$1:$AC$400,_xlfn.TEXTJOIN(",",TRUE,$B298:$E298),SF_Output!$Q$1:$Q$400,"One Time",SF_Output!$L$1:$L$400,"professional service")/N298))))</f>
        <v/>
      </c>
      <c r="P298" s="6" t="str">
        <f t="shared" si="70"/>
        <v/>
      </c>
      <c r="R298" s="6" t="str">
        <f>IF(B298="","",SUMIFS(SF_Output!$S$1:$S$400,SF_Output!$AC$1:$AC$400,_xlfn.TEXTJOIN(",",TRUE,B298:E298),SF_Output!$Q$1:$Q$400,"yearly")+SUMIFS(SF_Output!$S$1:$S$400,SF_Output!$AC$1:$AC$400,_xlfn.TEXTJOIN(",",TRUE,B298:E298),SF_Output!$Q$1:$Q$400,"quarterly")*4)</f>
        <v/>
      </c>
      <c r="S298" s="112" t="str">
        <f>IF(OR(B298=0,B298="",G298="hardware",R298=0),"",IF(AF298&lt;&gt;"exclusion",MAX(S$9,-(SUMIFS(SF_Output!$T$1:$T$400,SF_Output!$AC$1:$AC$400,_xlfn.TEXTJOIN(",",TRUE,$B298:$E298),SF_Output!$Q$1:$Q$400,"yearly"))/R298),-((SUMIFS(SF_Output!$T$1:$T$400,SF_Output!$AC$1:$AC$400,_xlfn.TEXTJOIN(",",TRUE,$B298:$E298),SF_Output!$Q$1:$Q$400,"yearly")/R298))))</f>
        <v/>
      </c>
      <c r="T298" s="6" t="str">
        <f t="shared" si="71"/>
        <v/>
      </c>
      <c r="V298" s="6" t="str" cm="1">
        <f t="array" ref="V298">_xlfn.IFS(B298="","",AND(B298&lt;&gt;"",H298=SF_Output!$Y$2,SUMIFS(SF_Output!$T$1:$T$400,SF_Output!$AC$1:$AC$400,_xlfn.TEXTJOIN(",",TRUE,B298:E298),SF_Output!$Q$1:$Q$400,"monthly")=0),(SUMIFS(SF_Output!$F$1:$F$400,SF_Output!$AC$1:$AC$400,_xlfn.TEXTJOIN(",",TRUE,B298:E298),SF_Output!$Q$1:$Q$400,"monthly")+SUMIFS(SF_Output!$G$1:$G$400,SF_Output!$AC$1:$AC$400,_xlfn.TEXTJOIN(",",TRUE,B298:E298),SF_Output!$Q$1:$Q$400,"monthly"))*H298,AND(B298&lt;&gt;"",H298=SF_Output!$Y$2,SUMIFS(SF_Output!$T$1:$T$400,SF_Output!$AC$1:$AC$400,_xlfn.TEXTJOIN(",",TRUE,B298:E298),SF_Output!$Q$1:$Q$400,"monthly")&lt;&gt;0),SUMIFS(SF_Output!$S$1:$S$400,SF_Output!$AC$1:$AC$400,_xlfn.TEXTJOIN(",",TRUE,B298:E298),SF_Output!$Q$1:$Q$400,"monthly"),AND(B298&lt;&gt;"",H298&lt;&gt;SF_Output!$Y$2),SUMIFS(SF_Output!$S$1:$S$400,SF_Output!$AC$1:$AC$400,_xlfn.TEXTJOIN(",",TRUE,B298:E298),SF_Output!$Q$1:$Q$400,"monthly"))</f>
        <v/>
      </c>
      <c r="W298" s="112" t="str" cm="1">
        <f t="array" ref="W298">_xlfn.IFS(OR(B298=0,B298="",V298=0),"",AF298&lt;&gt;"exclusion",MAX($W$9,$W$7,(-(SUMIFS(SF_Output!$T$1:$T$400,SF_Output!$AC$1:$AC$400,_xlfn.TEXTJOIN(",",TRUE,$B298:$E298),SF_Output!$Q$1:$Q$400,"monthly"))/V298)),AF298="exclusion",-(SUMIFS(SF_Output!$T$1:$T$400,SF_Output!$AC$1:$AC$400,_xlfn.TEXTJOIN(",",TRUE,$B298:$E298),SF_Output!$Q$1:$Q$400,"monthly"))/V298)</f>
        <v/>
      </c>
      <c r="X298" s="6" t="str" cm="1">
        <f t="array" ref="X298">IFERROR(_xlfn.IFS(V298=0,0,V298="","",W298=0,V298,OR(V298&lt;&gt;0,V298&lt;&gt;""),H298*I298),V298*(1-W298))</f>
        <v/>
      </c>
      <c r="Z298" s="6" t="str">
        <f>IFERROR(IF(B298="","",SUMIFS(Billing_Fallout!H:H,Billing_Fallout!N:N,B298)),0)</f>
        <v/>
      </c>
      <c r="AA298" s="6" t="str">
        <f t="shared" si="72"/>
        <v/>
      </c>
      <c r="AB298" s="6" t="str">
        <f>IFERROR(IF(B298="","",SUMIFS(Billing_Fallout!J:J,Billing_Fallout!N:N,B298)),0)</f>
        <v/>
      </c>
      <c r="AD298" s="6" t="str">
        <f t="shared" si="73"/>
        <v/>
      </c>
      <c r="AF298" t="str">
        <f>IFERROR(INDEX(H_Tables!$B$1:$B$1500,MATCH(INDEX(SF_Output!$J$1:$J$400,MATCH(B298,SF_Output!$M$1:$M$400,0)),H_Tables!$A$1:$A$1500,0)),"")</f>
        <v/>
      </c>
      <c r="AI298" s="119" t="str">
        <f t="shared" si="74"/>
        <v/>
      </c>
      <c r="AJ298" s="121">
        <f>IFERROR(INDEX(SF_Output!AD:AD,MATCH(_xlfn.TEXTJOIN(",",TRUE,B298:E298),SF_Output!AC49:AC448,0)),0.05)</f>
        <v>193</v>
      </c>
      <c r="AK298" t="str">
        <f>IF(SUMIFS(SF_Output!$F$1:$F$400,SF_Output!$AC$1:$AC$400,_xlfn.TEXTJOIN(",",TRUE,B298:E298))+SUMIFS(SF_Output!$G$1:$G$400,SF_Output!$AC$1:$AC$400,_xlfn.TEXTJOIN(",",TRUE,B298:E298))=0,"","PAP")</f>
        <v/>
      </c>
      <c r="AQ298" s="35"/>
      <c r="AR298" s="35" t="str" cm="1">
        <f t="array" ref="AR298">IFERROR(_xlfn.IFS(AND(E298*1=1,F298="Included"),"Change to Included",AND(E298*1=0,F298="Optional"),"Change to Optional",OR(B298="",F298="replaced"),""),"")</f>
        <v/>
      </c>
      <c r="AS298" s="35" t="str">
        <f t="shared" si="75"/>
        <v/>
      </c>
      <c r="AT298" s="35" t="str">
        <f t="shared" si="76"/>
        <v/>
      </c>
      <c r="AU298" s="35" t="str">
        <f t="shared" si="77"/>
        <v/>
      </c>
      <c r="AV298" s="35" t="str">
        <f t="shared" si="78"/>
        <v/>
      </c>
      <c r="AW298" s="35" t="str">
        <f t="shared" si="79"/>
        <v/>
      </c>
      <c r="AX298" s="35" t="str">
        <f t="shared" si="80"/>
        <v/>
      </c>
      <c r="AY298" s="35" t="str">
        <f t="shared" si="81"/>
        <v/>
      </c>
      <c r="AZ298" s="35" t="str">
        <f t="shared" si="82"/>
        <v/>
      </c>
      <c r="BA298" s="35" t="str">
        <f t="shared" si="83"/>
        <v/>
      </c>
      <c r="BB298" s="35" t="str">
        <f t="shared" si="84"/>
        <v/>
      </c>
      <c r="BC298" s="35"/>
      <c r="BE298" s="35" t="e">
        <f>INDEX(SF_Output!$AA$2:$AA$400,MATCH($B298,SF_Output!$M$2:$M$400,0))</f>
        <v>#N/A</v>
      </c>
      <c r="BF298" s="35" t="e">
        <f>INDEX(SF_Output!$AB$2:$AB$400,MATCH($B298,SF_Output!$M$2:$M$400,0))</f>
        <v>#N/A</v>
      </c>
    </row>
    <row r="299" spans="6:58" x14ac:dyDescent="0.25">
      <c r="F299" s="116" t="str">
        <f t="shared" si="68"/>
        <v/>
      </c>
      <c r="G299" t="str">
        <f>IF(B299="","",INDEX(SF_Output!$K$1:$K$400,MATCH(B299,SF_Output!$M$1:$M$400,0)))</f>
        <v/>
      </c>
      <c r="H299" t="str" cm="1">
        <f t="array" ref="H299">_xlfn.IFS(B299="","",(SUMIFS(SF_Output!$F$1:$F$400,SF_Output!$AC$1:$AC$400,_xlfn.TEXTJOIN(",",TRUE,B299:E299))+SUMIFS(SF_Output!$G$1:$G$400,SF_Output!$AC$1:$AC$400,_xlfn.TEXTJOIN(",",TRUE,B299:E299)))&lt;&gt;0,SF_Output!$Y$2,INDEX(SF_Output!$F$1:$F$400,MATCH(_xlfn.TEXTJOIN(",",TRUE,B299:E299),SF_Output!$AC$1:$AC$400,0))=0,INDEX(SF_Output!$R$1:$R$400,MATCH(_xlfn.TEXTJOIN(",",TRUE,B299:E299),SF_Output!$AC$1:$AC$400,0)))</f>
        <v/>
      </c>
      <c r="I299" s="125" t="str">
        <f>IFERROR(IF(AND(H299&gt;1,H299&lt;&gt;""),ROUND(SUMIFS(SF_Output!$S$1:$S$400,SF_Output!$AC$1:$AC$400,_xlfn.TEXTJOIN(",",TRUE,B299:E299),SF_Output!$Q$1:$Q$400,"monthly")*(1-W299)/H299,4),""),"")</f>
        <v/>
      </c>
      <c r="J299" s="6" t="str">
        <f>IF(B299="","",SUMIFS(SF_Output!$S$1:$S$400,SF_Output!$AC$1:$AC$400,_xlfn.TEXTJOIN(",",TRUE,B299:E299),SF_Output!$Q$1:$Q$400,"One Time",SF_Output!$L$1:$L$400,"license fee")+SUMIFS(SF_Output!$S$1:$S$400,SF_Output!$AC$1:$AC$400,_xlfn.TEXTJOIN(",",TRUE,B299:E299),SF_Output!$Q$1:$Q$400,"One Time",SF_Output!$L$1:$L$400,"software license")+SUMIFS(SF_Output!$S$1:$S$400,SF_Output!$AC$1:$AC$400,_xlfn.TEXTJOIN(",",TRUE,B299:E299),SF_Output!$Q$1:$Q$400,"One Time",SF_Output!$L$1:$L$400,"hardware"))</f>
        <v/>
      </c>
      <c r="K299" s="112" t="str">
        <f>IF(OR(B299=0,B299="",G299="hardware",J299=0),"",IF(AF299&lt;&gt;"exclusion",MAX(K$9,-((SUMIFS(SF_Output!$T$1:$T$400,SF_Output!$AC$1:$AC$400,_xlfn.TEXTJOIN(",",TRUE,$B299:$E299),SF_Output!$Q$1:$Q$400,"One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license"))/J299)))</f>
        <v/>
      </c>
      <c r="L299" s="6" t="str">
        <f t="shared" si="69"/>
        <v/>
      </c>
      <c r="N299" s="6" t="str">
        <f>IF(B299="","",SUMIFS(SF_Output!$S$1:$S$400,SF_Output!$AC$1:$AC$400,_xlfn.TEXTJOIN(",",TRUE,B299:E299),SF_Output!$Q$1:$Q$400,"One Time",SF_Output!$L$1:$L$400,"professional service"))</f>
        <v/>
      </c>
      <c r="O299" s="112" t="str">
        <f>IF(OR(B299=0,B299="",N299=0),"",IF(AF299&lt;&gt;"exclusion",MAX(O$9,-(SUMIFS(SF_Output!$T$1:$T$400,SF_Output!$AC$1:$AC$400,_xlfn.TEXTJOIN(",",TRUE,$B299:$E299),SF_Output!$Q$1:$Q$400,"One Time",SF_Output!$L$1:$L$400,"professional service"))/N299),-((SUMIFS(SF_Output!$T$1:$T$400,SF_Output!$AC$1:$AC$400,_xlfn.TEXTJOIN(",",TRUE,$B299:$E299),SF_Output!$Q$1:$Q$400,"One Time",SF_Output!$L$1:$L$400,"professional service")/N299))))</f>
        <v/>
      </c>
      <c r="P299" s="6" t="str">
        <f t="shared" si="70"/>
        <v/>
      </c>
      <c r="R299" s="6" t="str">
        <f>IF(B299="","",SUMIFS(SF_Output!$S$1:$S$400,SF_Output!$AC$1:$AC$400,_xlfn.TEXTJOIN(",",TRUE,B299:E299),SF_Output!$Q$1:$Q$400,"yearly")+SUMIFS(SF_Output!$S$1:$S$400,SF_Output!$AC$1:$AC$400,_xlfn.TEXTJOIN(",",TRUE,B299:E299),SF_Output!$Q$1:$Q$400,"quarterly")*4)</f>
        <v/>
      </c>
      <c r="S299" s="112" t="str">
        <f>IF(OR(B299=0,B299="",G299="hardware",R299=0),"",IF(AF299&lt;&gt;"exclusion",MAX(S$9,-(SUMIFS(SF_Output!$T$1:$T$400,SF_Output!$AC$1:$AC$400,_xlfn.TEXTJOIN(",",TRUE,$B299:$E299),SF_Output!$Q$1:$Q$400,"yearly"))/R299),-((SUMIFS(SF_Output!$T$1:$T$400,SF_Output!$AC$1:$AC$400,_xlfn.TEXTJOIN(",",TRUE,$B299:$E299),SF_Output!$Q$1:$Q$400,"yearly")/R299))))</f>
        <v/>
      </c>
      <c r="T299" s="6" t="str">
        <f t="shared" si="71"/>
        <v/>
      </c>
      <c r="V299" s="6" t="str" cm="1">
        <f t="array" ref="V299">_xlfn.IFS(B299="","",AND(B299&lt;&gt;"",H299=SF_Output!$Y$2,SUMIFS(SF_Output!$T$1:$T$400,SF_Output!$AC$1:$AC$400,_xlfn.TEXTJOIN(",",TRUE,B299:E299),SF_Output!$Q$1:$Q$400,"monthly")=0),(SUMIFS(SF_Output!$F$1:$F$400,SF_Output!$AC$1:$AC$400,_xlfn.TEXTJOIN(",",TRUE,B299:E299),SF_Output!$Q$1:$Q$400,"monthly")+SUMIFS(SF_Output!$G$1:$G$400,SF_Output!$AC$1:$AC$400,_xlfn.TEXTJOIN(",",TRUE,B299:E299),SF_Output!$Q$1:$Q$400,"monthly"))*H299,AND(B299&lt;&gt;"",H299=SF_Output!$Y$2,SUMIFS(SF_Output!$T$1:$T$400,SF_Output!$AC$1:$AC$400,_xlfn.TEXTJOIN(",",TRUE,B299:E299),SF_Output!$Q$1:$Q$400,"monthly")&lt;&gt;0),SUMIFS(SF_Output!$S$1:$S$400,SF_Output!$AC$1:$AC$400,_xlfn.TEXTJOIN(",",TRUE,B299:E299),SF_Output!$Q$1:$Q$400,"monthly"),AND(B299&lt;&gt;"",H299&lt;&gt;SF_Output!$Y$2),SUMIFS(SF_Output!$S$1:$S$400,SF_Output!$AC$1:$AC$400,_xlfn.TEXTJOIN(",",TRUE,B299:E299),SF_Output!$Q$1:$Q$400,"monthly"))</f>
        <v/>
      </c>
      <c r="W299" s="112" t="str" cm="1">
        <f t="array" ref="W299">_xlfn.IFS(OR(B299=0,B299="",V299=0),"",AF299&lt;&gt;"exclusion",MAX($W$9,$W$7,(-(SUMIFS(SF_Output!$T$1:$T$400,SF_Output!$AC$1:$AC$400,_xlfn.TEXTJOIN(",",TRUE,$B299:$E299),SF_Output!$Q$1:$Q$400,"monthly"))/V299)),AF299="exclusion",-(SUMIFS(SF_Output!$T$1:$T$400,SF_Output!$AC$1:$AC$400,_xlfn.TEXTJOIN(",",TRUE,$B299:$E299),SF_Output!$Q$1:$Q$400,"monthly"))/V299)</f>
        <v/>
      </c>
      <c r="X299" s="6" t="str" cm="1">
        <f t="array" ref="X299">IFERROR(_xlfn.IFS(V299=0,0,V299="","",W299=0,V299,OR(V299&lt;&gt;0,V299&lt;&gt;""),H299*I299),V299*(1-W299))</f>
        <v/>
      </c>
      <c r="Z299" s="6" t="str">
        <f>IFERROR(IF(B299="","",SUMIFS(Billing_Fallout!H:H,Billing_Fallout!N:N,B299)),0)</f>
        <v/>
      </c>
      <c r="AA299" s="6" t="str">
        <f t="shared" si="72"/>
        <v/>
      </c>
      <c r="AB299" s="6" t="str">
        <f>IFERROR(IF(B299="","",SUMIFS(Billing_Fallout!J:J,Billing_Fallout!N:N,B299)),0)</f>
        <v/>
      </c>
      <c r="AD299" s="6" t="str">
        <f t="shared" si="73"/>
        <v/>
      </c>
      <c r="AF299" t="str">
        <f>IFERROR(INDEX(H_Tables!$B$1:$B$1500,MATCH(INDEX(SF_Output!$J$1:$J$400,MATCH(B299,SF_Output!$M$1:$M$400,0)),H_Tables!$A$1:$A$1500,0)),"")</f>
        <v/>
      </c>
      <c r="AI299" s="119" t="str">
        <f t="shared" si="74"/>
        <v/>
      </c>
      <c r="AJ299" s="121">
        <f>IFERROR(INDEX(SF_Output!AD:AD,MATCH(_xlfn.TEXTJOIN(",",TRUE,B299:E299),SF_Output!AC50:AC449,0)),0.05)</f>
        <v>192</v>
      </c>
      <c r="AK299" t="str">
        <f>IF(SUMIFS(SF_Output!$F$1:$F$400,SF_Output!$AC$1:$AC$400,_xlfn.TEXTJOIN(",",TRUE,B299:E299))+SUMIFS(SF_Output!$G$1:$G$400,SF_Output!$AC$1:$AC$400,_xlfn.TEXTJOIN(",",TRUE,B299:E299))=0,"","PAP")</f>
        <v/>
      </c>
      <c r="AQ299" s="35"/>
      <c r="AR299" s="35" t="str" cm="1">
        <f t="array" ref="AR299">IFERROR(_xlfn.IFS(AND(E299*1=1,F299="Included"),"Change to Included",AND(E299*1=0,F299="Optional"),"Change to Optional",OR(B299="",F299="replaced"),""),"")</f>
        <v/>
      </c>
      <c r="AS299" s="35" t="str">
        <f t="shared" si="75"/>
        <v/>
      </c>
      <c r="AT299" s="35" t="str">
        <f t="shared" si="76"/>
        <v/>
      </c>
      <c r="AU299" s="35" t="str">
        <f t="shared" si="77"/>
        <v/>
      </c>
      <c r="AV299" s="35" t="str">
        <f t="shared" si="78"/>
        <v/>
      </c>
      <c r="AW299" s="35" t="str">
        <f t="shared" si="79"/>
        <v/>
      </c>
      <c r="AX299" s="35" t="str">
        <f t="shared" si="80"/>
        <v/>
      </c>
      <c r="AY299" s="35" t="str">
        <f t="shared" si="81"/>
        <v/>
      </c>
      <c r="AZ299" s="35" t="str">
        <f t="shared" si="82"/>
        <v/>
      </c>
      <c r="BA299" s="35" t="str">
        <f t="shared" si="83"/>
        <v/>
      </c>
      <c r="BB299" s="35" t="str">
        <f t="shared" si="84"/>
        <v/>
      </c>
      <c r="BC299" s="35"/>
      <c r="BE299" s="35" t="e">
        <f>INDEX(SF_Output!$AA$2:$AA$400,MATCH($B299,SF_Output!$M$2:$M$400,0))</f>
        <v>#N/A</v>
      </c>
      <c r="BF299" s="35" t="e">
        <f>INDEX(SF_Output!$AB$2:$AB$400,MATCH($B299,SF_Output!$M$2:$M$400,0))</f>
        <v>#N/A</v>
      </c>
    </row>
    <row r="300" spans="6:58" x14ac:dyDescent="0.25">
      <c r="F300" s="116" t="str">
        <f t="shared" si="68"/>
        <v/>
      </c>
      <c r="G300" t="str">
        <f>IF(B300="","",INDEX(SF_Output!$K$1:$K$400,MATCH(B300,SF_Output!$M$1:$M$400,0)))</f>
        <v/>
      </c>
      <c r="H300" t="str" cm="1">
        <f t="array" ref="H300">_xlfn.IFS(B300="","",(SUMIFS(SF_Output!$F$1:$F$400,SF_Output!$AC$1:$AC$400,_xlfn.TEXTJOIN(",",TRUE,B300:E300))+SUMIFS(SF_Output!$G$1:$G$400,SF_Output!$AC$1:$AC$400,_xlfn.TEXTJOIN(",",TRUE,B300:E300)))&lt;&gt;0,SF_Output!$Y$2,INDEX(SF_Output!$F$1:$F$400,MATCH(_xlfn.TEXTJOIN(",",TRUE,B300:E300),SF_Output!$AC$1:$AC$400,0))=0,INDEX(SF_Output!$R$1:$R$400,MATCH(_xlfn.TEXTJOIN(",",TRUE,B300:E300),SF_Output!$AC$1:$AC$400,0)))</f>
        <v/>
      </c>
      <c r="I300" s="125" t="str">
        <f>IFERROR(IF(AND(H300&gt;1,H300&lt;&gt;""),ROUND(SUMIFS(SF_Output!$S$1:$S$400,SF_Output!$AC$1:$AC$400,_xlfn.TEXTJOIN(",",TRUE,B300:E300),SF_Output!$Q$1:$Q$400,"monthly")*(1-W300)/H300,4),""),"")</f>
        <v/>
      </c>
      <c r="J300" s="6" t="str">
        <f>IF(B300="","",SUMIFS(SF_Output!$S$1:$S$400,SF_Output!$AC$1:$AC$400,_xlfn.TEXTJOIN(",",TRUE,B300:E300),SF_Output!$Q$1:$Q$400,"One Time",SF_Output!$L$1:$L$400,"license fee")+SUMIFS(SF_Output!$S$1:$S$400,SF_Output!$AC$1:$AC$400,_xlfn.TEXTJOIN(",",TRUE,B300:E300),SF_Output!$Q$1:$Q$400,"One Time",SF_Output!$L$1:$L$400,"software license")+SUMIFS(SF_Output!$S$1:$S$400,SF_Output!$AC$1:$AC$400,_xlfn.TEXTJOIN(",",TRUE,B300:E300),SF_Output!$Q$1:$Q$400,"One Time",SF_Output!$L$1:$L$400,"hardware"))</f>
        <v/>
      </c>
      <c r="K300" s="112" t="str">
        <f>IF(OR(B300=0,B300="",G300="hardware",J300=0),"",IF(AF300&lt;&gt;"exclusion",MAX(K$9,-((SUMIFS(SF_Output!$T$1:$T$400,SF_Output!$AC$1:$AC$400,_xlfn.TEXTJOIN(",",TRUE,$B300:$E300),SF_Output!$Q$1:$Q$400,"One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license"))/J300)))</f>
        <v/>
      </c>
      <c r="L300" s="6" t="str">
        <f t="shared" si="69"/>
        <v/>
      </c>
      <c r="N300" s="6" t="str">
        <f>IF(B300="","",SUMIFS(SF_Output!$S$1:$S$400,SF_Output!$AC$1:$AC$400,_xlfn.TEXTJOIN(",",TRUE,B300:E300),SF_Output!$Q$1:$Q$400,"One Time",SF_Output!$L$1:$L$400,"professional service"))</f>
        <v/>
      </c>
      <c r="O300" s="112" t="str">
        <f>IF(OR(B300=0,B300="",N300=0),"",IF(AF300&lt;&gt;"exclusion",MAX(O$9,-(SUMIFS(SF_Output!$T$1:$T$400,SF_Output!$AC$1:$AC$400,_xlfn.TEXTJOIN(",",TRUE,$B300:$E300),SF_Output!$Q$1:$Q$400,"One Time",SF_Output!$L$1:$L$400,"professional service"))/N300),-((SUMIFS(SF_Output!$T$1:$T$400,SF_Output!$AC$1:$AC$400,_xlfn.TEXTJOIN(",",TRUE,$B300:$E300),SF_Output!$Q$1:$Q$400,"One Time",SF_Output!$L$1:$L$400,"professional service")/N300))))</f>
        <v/>
      </c>
      <c r="P300" s="6" t="str">
        <f t="shared" si="70"/>
        <v/>
      </c>
      <c r="R300" s="6" t="str">
        <f>IF(B300="","",SUMIFS(SF_Output!$S$1:$S$400,SF_Output!$AC$1:$AC$400,_xlfn.TEXTJOIN(",",TRUE,B300:E300),SF_Output!$Q$1:$Q$400,"yearly")+SUMIFS(SF_Output!$S$1:$S$400,SF_Output!$AC$1:$AC$400,_xlfn.TEXTJOIN(",",TRUE,B300:E300),SF_Output!$Q$1:$Q$400,"quarterly")*4)</f>
        <v/>
      </c>
      <c r="S300" s="112" t="str">
        <f>IF(OR(B300=0,B300="",G300="hardware",R300=0),"",IF(AF300&lt;&gt;"exclusion",MAX(S$9,-(SUMIFS(SF_Output!$T$1:$T$400,SF_Output!$AC$1:$AC$400,_xlfn.TEXTJOIN(",",TRUE,$B300:$E300),SF_Output!$Q$1:$Q$400,"yearly"))/R300),-((SUMIFS(SF_Output!$T$1:$T$400,SF_Output!$AC$1:$AC$400,_xlfn.TEXTJOIN(",",TRUE,$B300:$E300),SF_Output!$Q$1:$Q$400,"yearly")/R300))))</f>
        <v/>
      </c>
      <c r="T300" s="6" t="str">
        <f t="shared" si="71"/>
        <v/>
      </c>
      <c r="V300" s="6" t="str" cm="1">
        <f t="array" ref="V300">_xlfn.IFS(B300="","",AND(B300&lt;&gt;"",H300=SF_Output!$Y$2,SUMIFS(SF_Output!$T$1:$T$400,SF_Output!$AC$1:$AC$400,_xlfn.TEXTJOIN(",",TRUE,B300:E300),SF_Output!$Q$1:$Q$400,"monthly")=0),(SUMIFS(SF_Output!$F$1:$F$400,SF_Output!$AC$1:$AC$400,_xlfn.TEXTJOIN(",",TRUE,B300:E300),SF_Output!$Q$1:$Q$400,"monthly")+SUMIFS(SF_Output!$G$1:$G$400,SF_Output!$AC$1:$AC$400,_xlfn.TEXTJOIN(",",TRUE,B300:E300),SF_Output!$Q$1:$Q$400,"monthly"))*H300,AND(B300&lt;&gt;"",H300=SF_Output!$Y$2,SUMIFS(SF_Output!$T$1:$T$400,SF_Output!$AC$1:$AC$400,_xlfn.TEXTJOIN(",",TRUE,B300:E300),SF_Output!$Q$1:$Q$400,"monthly")&lt;&gt;0),SUMIFS(SF_Output!$S$1:$S$400,SF_Output!$AC$1:$AC$400,_xlfn.TEXTJOIN(",",TRUE,B300:E300),SF_Output!$Q$1:$Q$400,"monthly"),AND(B300&lt;&gt;"",H300&lt;&gt;SF_Output!$Y$2),SUMIFS(SF_Output!$S$1:$S$400,SF_Output!$AC$1:$AC$400,_xlfn.TEXTJOIN(",",TRUE,B300:E300),SF_Output!$Q$1:$Q$400,"monthly"))</f>
        <v/>
      </c>
      <c r="W300" s="112" t="str" cm="1">
        <f t="array" ref="W300">_xlfn.IFS(OR(B300=0,B300="",V300=0),"",AF300&lt;&gt;"exclusion",MAX($W$9,$W$7,(-(SUMIFS(SF_Output!$T$1:$T$400,SF_Output!$AC$1:$AC$400,_xlfn.TEXTJOIN(",",TRUE,$B300:$E300),SF_Output!$Q$1:$Q$400,"monthly"))/V300)),AF300="exclusion",-(SUMIFS(SF_Output!$T$1:$T$400,SF_Output!$AC$1:$AC$400,_xlfn.TEXTJOIN(",",TRUE,$B300:$E300),SF_Output!$Q$1:$Q$400,"monthly"))/V300)</f>
        <v/>
      </c>
      <c r="X300" s="6" t="str" cm="1">
        <f t="array" ref="X300">IFERROR(_xlfn.IFS(V300=0,0,V300="","",W300=0,V300,OR(V300&lt;&gt;0,V300&lt;&gt;""),H300*I300),V300*(1-W300))</f>
        <v/>
      </c>
      <c r="Z300" s="6" t="str">
        <f>IFERROR(IF(B300="","",SUMIFS(Billing_Fallout!H:H,Billing_Fallout!N:N,B300)),0)</f>
        <v/>
      </c>
      <c r="AA300" s="6" t="str">
        <f t="shared" si="72"/>
        <v/>
      </c>
      <c r="AB300" s="6" t="str">
        <f>IFERROR(IF(B300="","",SUMIFS(Billing_Fallout!J:J,Billing_Fallout!N:N,B300)),0)</f>
        <v/>
      </c>
      <c r="AD300" s="6" t="str">
        <f t="shared" si="73"/>
        <v/>
      </c>
      <c r="AF300" t="str">
        <f>IFERROR(INDEX(H_Tables!$B$1:$B$1500,MATCH(INDEX(SF_Output!$J$1:$J$400,MATCH(B300,SF_Output!$M$1:$M$400,0)),H_Tables!$A$1:$A$1500,0)),"")</f>
        <v/>
      </c>
      <c r="AI300" s="119" t="str">
        <f t="shared" si="74"/>
        <v/>
      </c>
      <c r="AJ300" s="121">
        <f>IFERROR(INDEX(SF_Output!AD:AD,MATCH(_xlfn.TEXTJOIN(",",TRUE,B300:E300),SF_Output!AC51:AC450,0)),0.05)</f>
        <v>191</v>
      </c>
      <c r="AK300" t="str">
        <f>IF(SUMIFS(SF_Output!$F$1:$F$400,SF_Output!$AC$1:$AC$400,_xlfn.TEXTJOIN(",",TRUE,B300:E300))+SUMIFS(SF_Output!$G$1:$G$400,SF_Output!$AC$1:$AC$400,_xlfn.TEXTJOIN(",",TRUE,B300:E300))=0,"","PAP")</f>
        <v/>
      </c>
      <c r="AQ300" s="35"/>
      <c r="AR300" s="35" t="str" cm="1">
        <f t="array" ref="AR300">IFERROR(_xlfn.IFS(AND(E300*1=1,F300="Included"),"Change to Included",AND(E300*1=0,F300="Optional"),"Change to Optional",OR(B300="",F300="replaced"),""),"")</f>
        <v/>
      </c>
      <c r="AS300" s="35" t="str">
        <f t="shared" si="75"/>
        <v/>
      </c>
      <c r="AT300" s="35" t="str">
        <f t="shared" si="76"/>
        <v/>
      </c>
      <c r="AU300" s="35" t="str">
        <f t="shared" si="77"/>
        <v/>
      </c>
      <c r="AV300" s="35" t="str">
        <f t="shared" si="78"/>
        <v/>
      </c>
      <c r="AW300" s="35" t="str">
        <f t="shared" si="79"/>
        <v/>
      </c>
      <c r="AX300" s="35" t="str">
        <f t="shared" si="80"/>
        <v/>
      </c>
      <c r="AY300" s="35" t="str">
        <f t="shared" si="81"/>
        <v/>
      </c>
      <c r="AZ300" s="35" t="str">
        <f t="shared" si="82"/>
        <v/>
      </c>
      <c r="BA300" s="35" t="str">
        <f t="shared" si="83"/>
        <v/>
      </c>
      <c r="BB300" s="35" t="str">
        <f t="shared" si="84"/>
        <v/>
      </c>
      <c r="BC300" s="35"/>
      <c r="BE300" s="35" t="e">
        <f>INDEX(SF_Output!$AA$2:$AA$400,MATCH($B300,SF_Output!$M$2:$M$400,0))</f>
        <v>#N/A</v>
      </c>
      <c r="BF300" s="35" t="e">
        <f>INDEX(SF_Output!$AB$2:$AB$400,MATCH($B300,SF_Output!$M$2:$M$400,0))</f>
        <v>#N/A</v>
      </c>
    </row>
  </sheetData>
  <autoFilter ref="B13:BF250" xr:uid="{4A03E35A-2400-47DE-9074-D62D3288DDD4}">
    <sortState xmlns:xlrd2="http://schemas.microsoft.com/office/spreadsheetml/2017/richdata2" ref="B14:BF250">
      <sortCondition ref="BD14:BD250"/>
    </sortState>
  </autoFilter>
  <conditionalFormatting sqref="F14:F300">
    <cfRule type="expression" dxfId="46" priority="55">
      <formula>NOT(_xlfn.ISFORMULA(F14:F250))</formula>
    </cfRule>
  </conditionalFormatting>
  <conditionalFormatting sqref="J14:L300 N14:P300 R14:T300">
    <cfRule type="expression" dxfId="45" priority="5">
      <formula>NOT(_xlfn.ISFORMULA(J14:L250))</formula>
    </cfRule>
  </conditionalFormatting>
  <conditionalFormatting sqref="K14:K300">
    <cfRule type="expression" dxfId="44" priority="8">
      <formula>AND($K$9&lt;&gt;0,K14=$K$9)</formula>
    </cfRule>
  </conditionalFormatting>
  <conditionalFormatting sqref="O14:O300">
    <cfRule type="expression" dxfId="43" priority="9">
      <formula>AND($O$9&lt;&gt;0,O14=$O$9)</formula>
    </cfRule>
  </conditionalFormatting>
  <conditionalFormatting sqref="S14:S300">
    <cfRule type="expression" dxfId="42" priority="10">
      <formula>AND($S$9&lt;&gt;0,S14=$S$9)</formula>
    </cfRule>
  </conditionalFormatting>
  <conditionalFormatting sqref="V14:X300">
    <cfRule type="expression" dxfId="41" priority="6">
      <formula>NOT(_xlfn.ISFORMULA(V14:X250))</formula>
    </cfRule>
  </conditionalFormatting>
  <conditionalFormatting sqref="W7">
    <cfRule type="expression" dxfId="40" priority="1">
      <formula>$V$7=""</formula>
    </cfRule>
    <cfRule type="expression" dxfId="39" priority="4">
      <formula>V7&lt;&gt;""</formula>
    </cfRule>
  </conditionalFormatting>
  <conditionalFormatting sqref="W9">
    <cfRule type="expression" dxfId="38" priority="2">
      <formula>$V$9=""</formula>
    </cfRule>
    <cfRule type="expression" dxfId="37" priority="3">
      <formula>$V$9&lt;&gt;""</formula>
    </cfRule>
  </conditionalFormatting>
  <conditionalFormatting sqref="W14:W300">
    <cfRule type="expression" dxfId="36" priority="12">
      <formula>OR(AND($W$7&lt;&gt;0,W14&lt;&gt;0,W14-0.2=$W$7),AND($W$7=W14,W14&lt;&gt;0),AND($W$9&lt;&gt;0,W14&lt;&gt;0,W14=$W$9))</formula>
    </cfRule>
  </conditionalFormatting>
  <conditionalFormatting sqref="AH14:AI300">
    <cfRule type="expression" dxfId="35" priority="7">
      <formula>"ah14&lt;&gt;"""""</formula>
    </cfRule>
  </conditionalFormatting>
  <conditionalFormatting sqref="AM13">
    <cfRule type="expression" dxfId="34" priority="49">
      <formula>IF($AM$2="pap",TRUE())</formula>
    </cfRule>
  </conditionalFormatting>
  <dataValidations count="1">
    <dataValidation type="list" allowBlank="1" showInputMessage="1" showErrorMessage="1" sqref="F14:F300" xr:uid="{DE5164AA-7103-4C5B-87CE-E776F22545B7}">
      <formula1>"Optional,Included,Remove,Replaced,Add"</formula1>
    </dataValidation>
  </dataValidation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2E89-2B7F-4A44-98D6-B201FA9BA53C}">
  <sheetPr codeName="Sheet6"/>
  <dimension ref="A1:Z183"/>
  <sheetViews>
    <sheetView workbookViewId="0">
      <selection activeCell="A16" sqref="A16"/>
    </sheetView>
  </sheetViews>
  <sheetFormatPr defaultRowHeight="15" x14ac:dyDescent="0.25"/>
  <cols>
    <col min="1" max="1" width="35.42578125" style="14" customWidth="1"/>
    <col min="2" max="2" width="17.42578125" style="14" customWidth="1"/>
    <col min="3" max="3" width="17.7109375" style="14" customWidth="1"/>
    <col min="4" max="4" width="15.7109375" style="14" customWidth="1"/>
    <col min="5" max="11" width="14.5703125" style="14" customWidth="1"/>
  </cols>
  <sheetData>
    <row r="1" spans="1:26" ht="26.25" x14ac:dyDescent="0.25">
      <c r="A1" s="159" t="s">
        <v>63</v>
      </c>
      <c r="B1" s="159"/>
      <c r="C1" s="159"/>
      <c r="D1" s="159"/>
      <c r="I1" s="15"/>
    </row>
    <row r="2" spans="1:26" ht="26.25" x14ac:dyDescent="0.25">
      <c r="A2" s="16"/>
      <c r="B2" s="16"/>
      <c r="C2" s="16"/>
      <c r="D2" s="17" t="s">
        <v>64</v>
      </c>
    </row>
    <row r="4" spans="1:26" x14ac:dyDescent="0.25">
      <c r="A4" s="18">
        <f ca="1">TODAY()</f>
        <v>45981</v>
      </c>
      <c r="B4" s="19" t="s">
        <v>65</v>
      </c>
      <c r="C4" s="20"/>
      <c r="D4" s="21" t="s">
        <v>66</v>
      </c>
      <c r="F4" s="158" t="s">
        <v>67</v>
      </c>
      <c r="G4" s="160"/>
      <c r="H4" s="160"/>
      <c r="I4" s="160"/>
    </row>
    <row r="5" spans="1:26" x14ac:dyDescent="0.25">
      <c r="A5" s="22"/>
      <c r="B5"/>
      <c r="C5" s="23"/>
      <c r="D5" s="21">
        <f>(SUMIFS(Proposal_1!V14:V249,Proposal_1!AK14:AK249,"PAP",Proposal_1!F14:F249,"Included")-SUMIFS(Proposal_1!X14:X249,Proposal_1!AK14:AK249,"PAP",Proposal_1!F14:F249,"Included"))/SUMIFS(Proposal_1!V14:V249,Proposal_1!AK14:AK249,"PAP",Proposal_1!F14:F249,"Included")</f>
        <v>0.17765463168090243</v>
      </c>
      <c r="Z5">
        <v>10.2021</v>
      </c>
    </row>
    <row r="6" spans="1:26" x14ac:dyDescent="0.25">
      <c r="A6" s="25" t="str">
        <f>Proposal_1!C5</f>
        <v>Clearwater, FL - Echelon Bank (InOrg) - New Core SilverLake OL PAP</v>
      </c>
      <c r="B6" s="19" t="s">
        <v>68</v>
      </c>
      <c r="C6"/>
      <c r="D6" s="21" t="s">
        <v>69</v>
      </c>
      <c r="F6" s="161"/>
      <c r="G6" s="162"/>
      <c r="H6" s="162"/>
      <c r="I6" s="163"/>
      <c r="Z6" s="121" t="s">
        <v>70</v>
      </c>
    </row>
    <row r="7" spans="1:26" x14ac:dyDescent="0.25">
      <c r="A7" s="24"/>
      <c r="B7" s="19" t="s">
        <v>71</v>
      </c>
      <c r="C7"/>
      <c r="D7" s="21">
        <f>(SUMIFS(Proposal_2!V14:V249,Proposal_2!AK14:AK249,"PAP",Proposal_2!F14:F249,"Included")-SUMIFS(Proposal_2!X14:X249,Proposal_2!AK14:AK249,"PAP",Proposal_2!F14:F249,"Included"))/SUMIFS(Proposal_2!V14:V249,Proposal_2!AK14:AK249,"PAP",Proposal_2!F14:F249,"Included")</f>
        <v>0.17765463168090243</v>
      </c>
      <c r="F7" s="164"/>
      <c r="G7" s="165"/>
      <c r="H7" s="165"/>
      <c r="I7" s="166"/>
      <c r="Z7" t="str">
        <f>Z6&amp;"\["&amp;Z5&amp;"].xlsx"</f>
        <v>'Z:\sales\Document Catalog\Apttus Sheets\[10.2021].xlsx</v>
      </c>
    </row>
    <row r="8" spans="1:26" x14ac:dyDescent="0.25">
      <c r="A8" s="25">
        <f>Proposal_1!C8</f>
        <v>0</v>
      </c>
      <c r="B8" s="19" t="s">
        <v>72</v>
      </c>
      <c r="C8"/>
      <c r="D8" s="21" t="s">
        <v>73</v>
      </c>
      <c r="F8" s="164"/>
      <c r="G8" s="165"/>
      <c r="H8" s="165"/>
      <c r="I8" s="166"/>
    </row>
    <row r="9" spans="1:26" x14ac:dyDescent="0.25">
      <c r="A9" s="24"/>
      <c r="B9" s="19" t="s">
        <v>74</v>
      </c>
      <c r="C9"/>
      <c r="D9" s="21">
        <f>(SUMIFS(Proposal_3!V14:V249,Proposal_3!AK14:AK249,"PAP",Proposal_3!F14:F249,"Included")-SUMIFS(Proposal_3!X14:X249,Proposal_3!AK14:AK249,"PAP",Proposal_3!F14:F249,"Included"))/SUMIFS(Proposal_3!V14:V249,Proposal_3!AK14:AK249,"PAP",Proposal_3!F14:F249,"Included")</f>
        <v>0.17765463168090243</v>
      </c>
      <c r="F9" s="164"/>
      <c r="G9" s="165"/>
      <c r="H9" s="165"/>
      <c r="I9" s="166"/>
    </row>
    <row r="10" spans="1:26" x14ac:dyDescent="0.25">
      <c r="A10" s="24" t="s">
        <v>75</v>
      </c>
      <c r="B10" s="19" t="s">
        <v>76</v>
      </c>
      <c r="C10"/>
      <c r="D10" s="21"/>
      <c r="F10" s="164"/>
      <c r="G10" s="165"/>
      <c r="H10" s="165"/>
      <c r="I10" s="166"/>
    </row>
    <row r="11" spans="1:26" x14ac:dyDescent="0.25">
      <c r="A11" s="24"/>
      <c r="B11" s="19" t="s">
        <v>77</v>
      </c>
      <c r="C11"/>
      <c r="D11" s="21"/>
      <c r="F11" s="164"/>
      <c r="G11" s="165"/>
      <c r="H11" s="165"/>
      <c r="I11" s="166"/>
    </row>
    <row r="12" spans="1:26" x14ac:dyDescent="0.25">
      <c r="A12" s="25" t="str">
        <f>Proposal_1!C9</f>
        <v>Christopher Darty</v>
      </c>
      <c r="B12" s="19" t="s">
        <v>78</v>
      </c>
      <c r="C12"/>
      <c r="D12" s="21"/>
      <c r="F12" s="164"/>
      <c r="G12" s="165"/>
      <c r="H12" s="165"/>
      <c r="I12" s="166"/>
    </row>
    <row r="13" spans="1:26" x14ac:dyDescent="0.25">
      <c r="A13" s="26"/>
      <c r="B13" s="19" t="s">
        <v>79</v>
      </c>
      <c r="F13" s="164"/>
      <c r="G13" s="165"/>
      <c r="H13" s="165"/>
      <c r="I13" s="166"/>
    </row>
    <row r="14" spans="1:26" x14ac:dyDescent="0.25">
      <c r="A14" s="26" t="str">
        <f>INDEX(SF_Output!K:K,MATCH("core",SF_Output!I:I,0))</f>
        <v>SilverLake</v>
      </c>
      <c r="B14" s="19" t="s">
        <v>80</v>
      </c>
      <c r="F14" s="164"/>
      <c r="G14" s="165"/>
      <c r="H14" s="165"/>
      <c r="I14" s="166"/>
    </row>
    <row r="15" spans="1:26" x14ac:dyDescent="0.25">
      <c r="A15" s="26" t="s">
        <v>75</v>
      </c>
      <c r="B15" s="27" t="s">
        <v>81</v>
      </c>
      <c r="F15" s="167"/>
      <c r="G15" s="168"/>
      <c r="H15" s="168"/>
      <c r="I15" s="169"/>
    </row>
    <row r="16" spans="1:26" ht="15.75" thickBot="1" x14ac:dyDescent="0.3">
      <c r="A16" s="128" t="e">
        <v>#N/A</v>
      </c>
      <c r="B16" s="27" t="s">
        <v>82</v>
      </c>
      <c r="F16" s="28"/>
      <c r="G16" s="28"/>
      <c r="H16" s="28"/>
      <c r="I16" s="28"/>
    </row>
    <row r="17" spans="1:11" ht="15.75" thickBot="1" x14ac:dyDescent="0.3">
      <c r="A17" s="29" t="s">
        <v>83</v>
      </c>
      <c r="F17" s="158" t="s">
        <v>84</v>
      </c>
      <c r="G17" s="158"/>
      <c r="H17" s="158"/>
      <c r="I17" s="158"/>
    </row>
    <row r="18" spans="1:11" x14ac:dyDescent="0.25">
      <c r="A18" s="30"/>
      <c r="B18" s="19" t="s">
        <v>85</v>
      </c>
      <c r="F18" s="170"/>
      <c r="G18" s="171"/>
      <c r="H18" s="171"/>
      <c r="I18" s="172"/>
    </row>
    <row r="19" spans="1:11" x14ac:dyDescent="0.25">
      <c r="A19" s="30"/>
      <c r="B19" s="19" t="s">
        <v>86</v>
      </c>
      <c r="F19" s="173"/>
      <c r="G19" s="174"/>
      <c r="H19" s="174"/>
      <c r="I19" s="175"/>
    </row>
    <row r="20" spans="1:11" x14ac:dyDescent="0.25">
      <c r="A20" s="31">
        <f>IF(A19&gt;0,(A18-A19)/30.4,0)</f>
        <v>0</v>
      </c>
      <c r="B20" s="19" t="s">
        <v>87</v>
      </c>
      <c r="F20" s="173"/>
      <c r="G20" s="174"/>
      <c r="H20" s="174"/>
      <c r="I20" s="175"/>
    </row>
    <row r="21" spans="1:11" x14ac:dyDescent="0.25">
      <c r="A21" s="32">
        <f>Proposal_1!AB3*12</f>
        <v>0</v>
      </c>
      <c r="B21" s="19" t="s">
        <v>88</v>
      </c>
      <c r="F21" s="173"/>
      <c r="G21" s="174"/>
      <c r="H21" s="174"/>
      <c r="I21" s="175"/>
    </row>
    <row r="22" spans="1:11" x14ac:dyDescent="0.25">
      <c r="A22" s="32">
        <f>SUMIFS(Proposal_1!AB14:AB250,Proposal_1!H14:H250,"&gt;1")*12</f>
        <v>0</v>
      </c>
      <c r="B22" s="19" t="s">
        <v>89</v>
      </c>
      <c r="F22" s="176"/>
      <c r="G22" s="177"/>
      <c r="H22" s="177"/>
      <c r="I22" s="178"/>
    </row>
    <row r="23" spans="1:11" ht="15.75" thickBot="1" x14ac:dyDescent="0.3">
      <c r="A23" s="33"/>
      <c r="B23" s="34"/>
    </row>
    <row r="24" spans="1:11" ht="15.75" thickBot="1" x14ac:dyDescent="0.3">
      <c r="A24" s="29" t="s">
        <v>90</v>
      </c>
      <c r="B24" s="34"/>
      <c r="F24" s="158" t="s">
        <v>91</v>
      </c>
      <c r="G24" s="158"/>
      <c r="H24" s="158"/>
      <c r="I24" s="158"/>
      <c r="J24" s="35" t="s">
        <v>92</v>
      </c>
    </row>
    <row r="25" spans="1:11" x14ac:dyDescent="0.25">
      <c r="A25" s="32">
        <v>0</v>
      </c>
      <c r="B25" s="19" t="s">
        <v>93</v>
      </c>
      <c r="F25" s="147" t="s">
        <v>94</v>
      </c>
      <c r="G25" s="148"/>
      <c r="H25" s="148"/>
      <c r="I25" s="149"/>
      <c r="J25" s="35" t="s">
        <v>94</v>
      </c>
    </row>
    <row r="26" spans="1:11" ht="15.75" thickBot="1" x14ac:dyDescent="0.3">
      <c r="A26" s="32">
        <v>0</v>
      </c>
      <c r="B26" s="19" t="s">
        <v>89</v>
      </c>
      <c r="F26" s="36"/>
      <c r="G26" s="36"/>
      <c r="H26" s="36"/>
      <c r="I26" s="36"/>
      <c r="J26" s="35"/>
    </row>
    <row r="27" spans="1:11" ht="15.75" thickBot="1" x14ac:dyDescent="0.3">
      <c r="A27" s="37"/>
      <c r="B27" s="38" t="s">
        <v>95</v>
      </c>
      <c r="C27" s="38" t="s">
        <v>96</v>
      </c>
      <c r="D27" s="38" t="s">
        <v>97</v>
      </c>
      <c r="E27" s="38" t="s">
        <v>98</v>
      </c>
      <c r="F27" s="38" t="s">
        <v>99</v>
      </c>
      <c r="G27" s="38" t="s">
        <v>100</v>
      </c>
      <c r="H27" s="38" t="s">
        <v>101</v>
      </c>
      <c r="I27" s="38" t="s">
        <v>102</v>
      </c>
      <c r="J27" s="38" t="s">
        <v>103</v>
      </c>
      <c r="K27" s="38" t="s">
        <v>104</v>
      </c>
    </row>
    <row r="28" spans="1:11" ht="15.75" thickBot="1" x14ac:dyDescent="0.3">
      <c r="A28" s="29" t="s">
        <v>105</v>
      </c>
      <c r="B28" s="39">
        <v>43477</v>
      </c>
      <c r="C28" s="39" t="s">
        <v>106</v>
      </c>
      <c r="D28" s="39" t="s">
        <v>107</v>
      </c>
      <c r="E28" s="39" t="s">
        <v>108</v>
      </c>
      <c r="F28" s="39" t="s">
        <v>109</v>
      </c>
      <c r="G28" s="39" t="s">
        <v>110</v>
      </c>
      <c r="H28" s="39" t="s">
        <v>111</v>
      </c>
      <c r="I28" s="39">
        <v>0</v>
      </c>
      <c r="J28" s="39">
        <v>0</v>
      </c>
      <c r="K28" s="39">
        <v>0</v>
      </c>
    </row>
    <row r="29" spans="1:11" ht="15.75" thickBot="1" x14ac:dyDescent="0.3">
      <c r="A29" s="40" t="s">
        <v>112</v>
      </c>
      <c r="B29" s="41">
        <v>0</v>
      </c>
      <c r="C29" s="41">
        <v>0</v>
      </c>
      <c r="D29" s="41">
        <v>0</v>
      </c>
      <c r="E29" s="41">
        <v>0</v>
      </c>
      <c r="F29" s="41">
        <v>0</v>
      </c>
      <c r="G29" s="41">
        <v>0</v>
      </c>
      <c r="H29" s="41">
        <v>0</v>
      </c>
      <c r="I29" s="41">
        <v>0</v>
      </c>
      <c r="J29" s="41">
        <v>0</v>
      </c>
      <c r="K29" s="41">
        <v>0</v>
      </c>
    </row>
    <row r="30" spans="1:11" ht="15.75" thickBot="1" x14ac:dyDescent="0.3">
      <c r="A30" s="40" t="s">
        <v>113</v>
      </c>
      <c r="B30" s="42">
        <f>+B45</f>
        <v>44605.4</v>
      </c>
      <c r="C30" s="42"/>
      <c r="D30" s="42"/>
      <c r="E30" s="42"/>
      <c r="F30" s="42"/>
      <c r="G30" s="42"/>
      <c r="H30" s="42"/>
      <c r="I30" s="42"/>
      <c r="J30" s="42"/>
      <c r="K30" s="42"/>
    </row>
    <row r="31" spans="1:11" ht="15.75" thickBot="1" x14ac:dyDescent="0.3">
      <c r="A31" s="40" t="s">
        <v>114</v>
      </c>
      <c r="B31" s="43">
        <f>Proposal_1!W3</f>
        <v>-5529.9000000000015</v>
      </c>
      <c r="C31" s="44"/>
      <c r="D31" s="44"/>
      <c r="E31" s="44"/>
      <c r="F31" s="44"/>
      <c r="G31" s="44"/>
      <c r="H31" s="44"/>
      <c r="I31" s="44"/>
      <c r="J31" s="44"/>
      <c r="K31" s="44"/>
    </row>
    <row r="32" spans="1:11" x14ac:dyDescent="0.25">
      <c r="A32" s="40" t="s">
        <v>115</v>
      </c>
      <c r="B32" s="45">
        <f>+B30+B31</f>
        <v>39075.5</v>
      </c>
      <c r="C32" s="45">
        <f t="shared" ref="C32:K32" si="0">+C30+C31</f>
        <v>0</v>
      </c>
      <c r="D32" s="45">
        <f t="shared" si="0"/>
        <v>0</v>
      </c>
      <c r="E32" s="45">
        <f t="shared" si="0"/>
        <v>0</v>
      </c>
      <c r="F32" s="45">
        <f t="shared" si="0"/>
        <v>0</v>
      </c>
      <c r="G32" s="45">
        <f t="shared" si="0"/>
        <v>0</v>
      </c>
      <c r="H32" s="45">
        <f t="shared" si="0"/>
        <v>0</v>
      </c>
      <c r="I32" s="45">
        <f t="shared" si="0"/>
        <v>0</v>
      </c>
      <c r="J32" s="45">
        <f t="shared" si="0"/>
        <v>0</v>
      </c>
      <c r="K32" s="45">
        <f t="shared" si="0"/>
        <v>0</v>
      </c>
    </row>
    <row r="33" spans="1:11" x14ac:dyDescent="0.25">
      <c r="A33" s="46" t="s">
        <v>116</v>
      </c>
      <c r="B33" s="47">
        <f>+B30*12</f>
        <v>535264.80000000005</v>
      </c>
      <c r="C33" s="47">
        <f t="shared" ref="C33:K33" si="1">+C30*12</f>
        <v>0</v>
      </c>
      <c r="D33" s="47">
        <f t="shared" si="1"/>
        <v>0</v>
      </c>
      <c r="E33" s="47">
        <f t="shared" si="1"/>
        <v>0</v>
      </c>
      <c r="F33" s="47">
        <f t="shared" si="1"/>
        <v>0</v>
      </c>
      <c r="G33" s="47">
        <f t="shared" si="1"/>
        <v>0</v>
      </c>
      <c r="H33" s="47">
        <f t="shared" si="1"/>
        <v>0</v>
      </c>
      <c r="I33" s="47">
        <f t="shared" si="1"/>
        <v>0</v>
      </c>
      <c r="J33" s="47">
        <f t="shared" si="1"/>
        <v>0</v>
      </c>
      <c r="K33" s="47">
        <f t="shared" si="1"/>
        <v>0</v>
      </c>
    </row>
    <row r="34" spans="1:11" x14ac:dyDescent="0.25">
      <c r="A34" s="48" t="s">
        <v>117</v>
      </c>
      <c r="B34" s="49">
        <f>+B32*12</f>
        <v>468906</v>
      </c>
      <c r="C34" s="49">
        <f t="shared" ref="C34:K34" si="2">+C32*12</f>
        <v>0</v>
      </c>
      <c r="D34" s="49">
        <f t="shared" si="2"/>
        <v>0</v>
      </c>
      <c r="E34" s="49">
        <f t="shared" si="2"/>
        <v>0</v>
      </c>
      <c r="F34" s="49">
        <f t="shared" si="2"/>
        <v>0</v>
      </c>
      <c r="G34" s="49">
        <f t="shared" si="2"/>
        <v>0</v>
      </c>
      <c r="H34" s="49">
        <f t="shared" si="2"/>
        <v>0</v>
      </c>
      <c r="I34" s="49">
        <f t="shared" si="2"/>
        <v>0</v>
      </c>
      <c r="J34" s="49">
        <f t="shared" si="2"/>
        <v>0</v>
      </c>
      <c r="K34" s="49">
        <f t="shared" si="2"/>
        <v>0</v>
      </c>
    </row>
    <row r="35" spans="1:11" x14ac:dyDescent="0.25">
      <c r="A35" s="48" t="s">
        <v>118</v>
      </c>
      <c r="B35" s="49">
        <v>0</v>
      </c>
      <c r="C35" s="49">
        <v>0</v>
      </c>
      <c r="D35" s="49">
        <v>0</v>
      </c>
      <c r="E35" s="49">
        <v>0</v>
      </c>
      <c r="F35" s="49">
        <v>0</v>
      </c>
      <c r="G35" s="49">
        <v>0</v>
      </c>
      <c r="H35" s="49">
        <v>0</v>
      </c>
      <c r="I35" s="49">
        <v>0</v>
      </c>
      <c r="J35" s="49">
        <v>0</v>
      </c>
      <c r="K35" s="49">
        <v>0</v>
      </c>
    </row>
    <row r="36" spans="1:11" x14ac:dyDescent="0.25">
      <c r="A36" s="48" t="s">
        <v>119</v>
      </c>
      <c r="B36" s="49">
        <v>0</v>
      </c>
      <c r="C36" s="49">
        <v>0</v>
      </c>
      <c r="D36" s="49">
        <v>0</v>
      </c>
      <c r="E36" s="49">
        <v>0</v>
      </c>
      <c r="F36" s="49">
        <v>0</v>
      </c>
      <c r="G36" s="49">
        <v>0</v>
      </c>
      <c r="H36" s="49">
        <v>0</v>
      </c>
      <c r="I36" s="49">
        <v>0</v>
      </c>
      <c r="J36" s="49">
        <v>0</v>
      </c>
      <c r="K36" s="49">
        <v>0</v>
      </c>
    </row>
    <row r="37" spans="1:11" x14ac:dyDescent="0.25">
      <c r="A37" s="50"/>
      <c r="B37" s="51"/>
      <c r="C37" s="51"/>
      <c r="D37" s="51"/>
      <c r="E37" s="51"/>
      <c r="F37" s="51"/>
      <c r="G37" s="51"/>
      <c r="H37" s="51"/>
      <c r="I37" s="51"/>
      <c r="J37" s="51"/>
      <c r="K37" s="51"/>
    </row>
    <row r="38" spans="1:11" ht="15.75" thickBot="1" x14ac:dyDescent="0.3">
      <c r="A38" s="50"/>
      <c r="B38" s="51"/>
      <c r="C38" s="51"/>
      <c r="D38" s="51"/>
      <c r="E38" s="51"/>
      <c r="F38" s="51"/>
      <c r="G38" s="51"/>
      <c r="H38" s="51"/>
      <c r="I38" s="51"/>
      <c r="J38" s="51"/>
      <c r="K38" s="51"/>
    </row>
    <row r="39" spans="1:11" ht="15.75" thickBot="1" x14ac:dyDescent="0.3">
      <c r="A39" s="29" t="s">
        <v>120</v>
      </c>
      <c r="B39" s="150"/>
      <c r="C39" s="151"/>
      <c r="D39" s="152"/>
      <c r="E39" s="35" t="s">
        <v>121</v>
      </c>
      <c r="F39" s="153" t="s">
        <v>122</v>
      </c>
      <c r="G39" s="153"/>
      <c r="H39" s="153"/>
      <c r="I39" s="153"/>
    </row>
    <row r="40" spans="1:11" ht="15.75" thickBot="1" x14ac:dyDescent="0.3">
      <c r="E40" s="35" t="s">
        <v>123</v>
      </c>
      <c r="F40" s="153"/>
      <c r="G40" s="153"/>
      <c r="H40" s="153"/>
      <c r="I40" s="153"/>
    </row>
    <row r="41" spans="1:11" ht="15.75" thickBot="1" x14ac:dyDescent="0.3">
      <c r="A41" s="29" t="s">
        <v>124</v>
      </c>
      <c r="B41" s="150"/>
      <c r="C41" s="151"/>
      <c r="D41" s="152"/>
      <c r="E41" s="35" t="s">
        <v>125</v>
      </c>
      <c r="F41" s="153"/>
      <c r="G41" s="153"/>
      <c r="H41" s="153"/>
      <c r="I41" s="153"/>
    </row>
    <row r="42" spans="1:11" ht="15.75" thickBot="1" x14ac:dyDescent="0.3">
      <c r="A42" s="34"/>
      <c r="B42" s="52"/>
      <c r="C42" s="52"/>
      <c r="D42" s="52"/>
      <c r="J42" s="53"/>
      <c r="K42" s="53"/>
    </row>
    <row r="43" spans="1:11" ht="15.75" thickBot="1" x14ac:dyDescent="0.3">
      <c r="A43" s="29" t="s">
        <v>126</v>
      </c>
      <c r="B43" s="54" t="str">
        <f>Proposal_1!$C$11</f>
        <v>TBD</v>
      </c>
      <c r="C43" s="54" t="str">
        <f>Proposal_2!$C$11</f>
        <v>TBD</v>
      </c>
      <c r="D43" s="54" t="str">
        <f>Proposal_3!$C$11</f>
        <v>TBD</v>
      </c>
      <c r="F43" s="154" t="s">
        <v>127</v>
      </c>
      <c r="G43" s="155"/>
      <c r="H43" s="55" t="s">
        <v>128</v>
      </c>
      <c r="I43" s="55" t="s">
        <v>129</v>
      </c>
      <c r="J43" s="53"/>
      <c r="K43" s="53"/>
    </row>
    <row r="44" spans="1:11" ht="15.75" thickBot="1" x14ac:dyDescent="0.3">
      <c r="B44" s="56"/>
      <c r="C44" s="56"/>
      <c r="D44" s="56"/>
      <c r="J44" s="53"/>
      <c r="K44" s="53"/>
    </row>
    <row r="45" spans="1:11" ht="15.75" thickBot="1" x14ac:dyDescent="0.3">
      <c r="A45" s="19" t="s">
        <v>130</v>
      </c>
      <c r="B45" s="57">
        <f>Proposal_1!$V$3</f>
        <v>44605.4</v>
      </c>
      <c r="C45" s="57">
        <f>Proposal_2!$V$3</f>
        <v>41756.400000000001</v>
      </c>
      <c r="D45" s="57">
        <f>Proposal_3!$V$3</f>
        <v>41756.400000000001</v>
      </c>
      <c r="F45" s="156"/>
      <c r="G45" s="157"/>
      <c r="H45" s="58"/>
      <c r="I45" s="58"/>
      <c r="J45" s="53"/>
      <c r="K45" s="53"/>
    </row>
    <row r="46" spans="1:11" ht="15.75" thickBot="1" x14ac:dyDescent="0.3">
      <c r="A46" s="19"/>
      <c r="B46" s="52"/>
      <c r="C46" s="52"/>
      <c r="D46" s="52"/>
      <c r="J46" s="53"/>
      <c r="K46" s="53"/>
    </row>
    <row r="47" spans="1:11" ht="15.75" thickBot="1" x14ac:dyDescent="0.3">
      <c r="A47" s="19" t="s">
        <v>131</v>
      </c>
      <c r="B47" s="57">
        <f>Proposal_1!$X$3</f>
        <v>39075.5</v>
      </c>
      <c r="C47" s="57">
        <f>Proposal_2!$X$3</f>
        <v>36360.25</v>
      </c>
      <c r="D47" s="57">
        <f>Proposal_3!$X$3</f>
        <v>36360.25</v>
      </c>
      <c r="F47" s="143"/>
      <c r="G47" s="143"/>
      <c r="H47" s="58"/>
      <c r="I47" s="58"/>
      <c r="J47" s="53"/>
      <c r="K47" s="53"/>
    </row>
    <row r="48" spans="1:11" ht="15.75" thickBot="1" x14ac:dyDescent="0.3">
      <c r="A48" s="19"/>
      <c r="B48" s="52"/>
      <c r="C48" s="52"/>
      <c r="D48" s="52"/>
      <c r="K48" s="59"/>
    </row>
    <row r="49" spans="1:11" ht="15.75" thickBot="1" x14ac:dyDescent="0.3">
      <c r="A49" s="19" t="s">
        <v>132</v>
      </c>
      <c r="B49" s="60">
        <f>B45*12+Proposal_1!$R$3</f>
        <v>570163.80000000005</v>
      </c>
      <c r="C49" s="60">
        <f>C45*12+Proposal_2!$R$3</f>
        <v>518835.80000000005</v>
      </c>
      <c r="D49" s="60">
        <f>D45*12+Proposal_3!$R$3</f>
        <v>518835.80000000005</v>
      </c>
      <c r="F49" s="143"/>
      <c r="G49" s="143"/>
      <c r="H49" s="58"/>
      <c r="I49" s="58"/>
    </row>
    <row r="50" spans="1:11" ht="15.75" thickBot="1" x14ac:dyDescent="0.3">
      <c r="A50" s="19"/>
      <c r="B50" s="61"/>
      <c r="C50" s="61"/>
      <c r="D50" s="61"/>
    </row>
    <row r="51" spans="1:11" ht="15.75" thickBot="1" x14ac:dyDescent="0.3">
      <c r="A51" s="19" t="s">
        <v>133</v>
      </c>
      <c r="B51" s="60">
        <f>B47*12+Proposal_1!$T$3</f>
        <v>503805</v>
      </c>
      <c r="C51" s="60">
        <f>C47*12+Proposal_2!$T$3</f>
        <v>454082</v>
      </c>
      <c r="D51" s="60">
        <f>D47*12+Proposal_3!$T$3</f>
        <v>454082</v>
      </c>
      <c r="F51" s="143"/>
      <c r="G51" s="143"/>
      <c r="H51" s="58"/>
      <c r="I51" s="58"/>
    </row>
    <row r="52" spans="1:11" ht="15.75" thickBot="1" x14ac:dyDescent="0.3">
      <c r="A52" s="19"/>
      <c r="B52" s="52"/>
      <c r="C52" s="52"/>
      <c r="D52" s="52"/>
    </row>
    <row r="53" spans="1:11" ht="15.75" thickBot="1" x14ac:dyDescent="0.3">
      <c r="A53" s="19" t="s">
        <v>134</v>
      </c>
      <c r="B53" s="57">
        <f>Proposal_1!$N$3</f>
        <v>840215</v>
      </c>
      <c r="C53" s="57">
        <f>Proposal_2!$N$3</f>
        <v>733815</v>
      </c>
      <c r="D53" s="57">
        <f>Proposal_3!$N$3</f>
        <v>733815</v>
      </c>
      <c r="F53" s="143"/>
      <c r="G53" s="143"/>
      <c r="H53" s="58"/>
      <c r="I53" s="58"/>
    </row>
    <row r="54" spans="1:11" ht="15.75" thickBot="1" x14ac:dyDescent="0.3">
      <c r="A54" s="19"/>
      <c r="B54" s="52"/>
      <c r="C54" s="52"/>
      <c r="D54" s="52"/>
    </row>
    <row r="55" spans="1:11" ht="15.75" thickBot="1" x14ac:dyDescent="0.3">
      <c r="A55" s="19" t="s">
        <v>135</v>
      </c>
      <c r="B55" s="57">
        <f>Proposal_1!$P$3-Proposal_1!$N$3</f>
        <v>-589322.5</v>
      </c>
      <c r="C55" s="57">
        <f>Proposal_2!$P$3-Proposal_2!$N$3</f>
        <v>-585072.5</v>
      </c>
      <c r="D55" s="57">
        <f>Proposal_3!$P$3-Proposal_3!$N$3</f>
        <v>-585072.5</v>
      </c>
      <c r="F55" s="143"/>
      <c r="G55" s="143"/>
      <c r="H55" s="58"/>
      <c r="I55" s="58"/>
    </row>
    <row r="56" spans="1:11" ht="15.75" thickBot="1" x14ac:dyDescent="0.3">
      <c r="A56" s="19"/>
      <c r="B56" s="52"/>
      <c r="C56" s="52"/>
      <c r="D56" s="52"/>
    </row>
    <row r="57" spans="1:11" ht="15.75" thickBot="1" x14ac:dyDescent="0.3">
      <c r="A57" s="19" t="s">
        <v>136</v>
      </c>
      <c r="B57" s="60">
        <f>+B53+B55</f>
        <v>250892.5</v>
      </c>
      <c r="C57" s="60">
        <f>+C53+C55</f>
        <v>148742.5</v>
      </c>
      <c r="D57" s="60">
        <f>+D53+D55</f>
        <v>148742.5</v>
      </c>
      <c r="F57" s="143"/>
      <c r="G57" s="143"/>
      <c r="H57" s="58"/>
      <c r="I57" s="58"/>
    </row>
    <row r="58" spans="1:11" ht="15.75" thickBot="1" x14ac:dyDescent="0.3">
      <c r="A58" s="19"/>
      <c r="B58" s="61"/>
      <c r="C58" s="61"/>
      <c r="D58" s="61"/>
    </row>
    <row r="59" spans="1:11" ht="15.75" thickBot="1" x14ac:dyDescent="0.3">
      <c r="A59" s="19" t="s">
        <v>137</v>
      </c>
      <c r="B59" s="42">
        <f>Proposal_1!$J$3</f>
        <v>16545</v>
      </c>
      <c r="C59" s="42">
        <f>Proposal_2!$J$3</f>
        <v>16545</v>
      </c>
      <c r="D59" s="42">
        <f>Proposal_3!$J$3</f>
        <v>16545</v>
      </c>
      <c r="F59" s="143"/>
      <c r="G59" s="143"/>
      <c r="H59" s="58"/>
      <c r="I59" s="58"/>
      <c r="J59" s="53"/>
      <c r="K59" s="53"/>
    </row>
    <row r="60" spans="1:11" ht="15.75" thickBot="1" x14ac:dyDescent="0.3">
      <c r="A60" s="19"/>
      <c r="B60" s="52"/>
      <c r="C60" s="52"/>
      <c r="D60" s="52"/>
      <c r="K60" s="59"/>
    </row>
    <row r="61" spans="1:11" ht="15.75" thickBot="1" x14ac:dyDescent="0.3">
      <c r="A61" s="19" t="s">
        <v>138</v>
      </c>
      <c r="B61" s="42">
        <f>Proposal_1!$L$3-Proposal_1!$J$3</f>
        <v>0</v>
      </c>
      <c r="C61" s="42">
        <f>Proposal_2!$L$3-Proposal_2!$J$3</f>
        <v>0</v>
      </c>
      <c r="D61" s="42">
        <f>Proposal_3!$L$3-Proposal_3!$J$3</f>
        <v>0</v>
      </c>
      <c r="F61" s="143"/>
      <c r="G61" s="143"/>
      <c r="H61" s="58"/>
      <c r="I61" s="58"/>
      <c r="J61" s="53"/>
      <c r="K61" s="53"/>
    </row>
    <row r="62" spans="1:11" ht="15.75" thickBot="1" x14ac:dyDescent="0.3">
      <c r="A62" s="19"/>
      <c r="B62" s="52"/>
      <c r="C62" s="52"/>
      <c r="D62" s="52"/>
      <c r="K62" s="59"/>
    </row>
    <row r="63" spans="1:11" ht="15.75" thickBot="1" x14ac:dyDescent="0.3">
      <c r="A63" s="19" t="s">
        <v>139</v>
      </c>
      <c r="B63" s="60">
        <f>+B59+B61</f>
        <v>16545</v>
      </c>
      <c r="C63" s="60">
        <f>+C59+C61</f>
        <v>16545</v>
      </c>
      <c r="D63" s="60">
        <f>+D59+D61</f>
        <v>16545</v>
      </c>
      <c r="F63" s="143"/>
      <c r="G63" s="143"/>
      <c r="H63" s="58"/>
      <c r="I63" s="58"/>
    </row>
    <row r="64" spans="1:11" ht="15.75" thickBot="1" x14ac:dyDescent="0.3">
      <c r="A64" s="19"/>
      <c r="B64" s="52"/>
      <c r="C64" s="52"/>
      <c r="D64" s="52"/>
    </row>
    <row r="65" spans="1:9" ht="15.75" thickBot="1" x14ac:dyDescent="0.3">
      <c r="A65" s="19" t="s">
        <v>140</v>
      </c>
      <c r="B65" s="62">
        <f>+B86</f>
        <v>0</v>
      </c>
      <c r="C65" s="62">
        <f>+C86</f>
        <v>0</v>
      </c>
      <c r="D65" s="62">
        <f>+D86</f>
        <v>0</v>
      </c>
      <c r="F65" s="143"/>
      <c r="G65" s="143"/>
      <c r="H65" s="58"/>
      <c r="I65" s="58"/>
    </row>
    <row r="66" spans="1:9" ht="15.75" thickBot="1" x14ac:dyDescent="0.3">
      <c r="A66" s="19"/>
      <c r="B66" s="61"/>
      <c r="C66" s="61"/>
      <c r="D66" s="61"/>
    </row>
    <row r="67" spans="1:9" ht="15.75" thickBot="1" x14ac:dyDescent="0.3">
      <c r="A67" s="19" t="s">
        <v>141</v>
      </c>
      <c r="B67" s="63">
        <f>+B101</f>
        <v>0</v>
      </c>
      <c r="C67" s="63">
        <f>+C101</f>
        <v>0</v>
      </c>
      <c r="D67" s="63">
        <f>+D101</f>
        <v>0</v>
      </c>
      <c r="F67" s="143"/>
      <c r="G67" s="143"/>
      <c r="H67" s="58"/>
      <c r="I67" s="58"/>
    </row>
    <row r="68" spans="1:9" ht="15.75" thickBot="1" x14ac:dyDescent="0.3">
      <c r="A68" s="19"/>
      <c r="B68" s="61"/>
      <c r="C68" s="61"/>
      <c r="D68" s="61"/>
    </row>
    <row r="69" spans="1:9" ht="15.75" thickBot="1" x14ac:dyDescent="0.3">
      <c r="A69" s="19" t="s">
        <v>142</v>
      </c>
      <c r="B69" s="64">
        <f>+B108</f>
        <v>0</v>
      </c>
      <c r="C69" s="64">
        <f>+C108</f>
        <v>0</v>
      </c>
      <c r="D69" s="64">
        <f>+D108</f>
        <v>0</v>
      </c>
      <c r="F69" s="143"/>
      <c r="G69" s="143"/>
      <c r="H69" s="58"/>
      <c r="I69" s="58"/>
    </row>
    <row r="70" spans="1:9" ht="15.75" thickBot="1" x14ac:dyDescent="0.3"/>
    <row r="71" spans="1:9" ht="15.75" thickBot="1" x14ac:dyDescent="0.3">
      <c r="A71" s="19" t="s">
        <v>143</v>
      </c>
      <c r="B71" s="65" t="str">
        <f>IF(AND(A21&gt;0,B47&gt;0),((A21/12)-(B47))*ROUND(A20,0),"N/A")</f>
        <v>N/A</v>
      </c>
      <c r="C71" s="65" t="str">
        <f>IF(AND(A21&gt;0,C47&gt;0),((A21/12)-(C47))*ROUND(A20,0),"N/A")</f>
        <v>N/A</v>
      </c>
      <c r="D71" s="65" t="str">
        <f>IF(AND(A21&gt;0,D47&gt;0),((A21/12)-(D47))*ROUND(A20,0),"N/A")</f>
        <v>N/A</v>
      </c>
      <c r="F71" s="144" t="s">
        <v>144</v>
      </c>
      <c r="G71" s="145"/>
      <c r="H71" s="66">
        <f>SUM(H69,H67,H65,H63,H61,H59,H57,H55,H53,H51,H49,H47,H45)*12</f>
        <v>0</v>
      </c>
      <c r="I71" s="66">
        <f>SUM(I69,I67,I65,I63,I61,I59,I57,I55,I53,I51,I49,I47,I45)*12</f>
        <v>0</v>
      </c>
    </row>
    <row r="72" spans="1:9" ht="15.75" thickBot="1" x14ac:dyDescent="0.3"/>
    <row r="73" spans="1:9" ht="15.75" thickBot="1" x14ac:dyDescent="0.3">
      <c r="A73" s="67" t="s">
        <v>145</v>
      </c>
      <c r="B73" s="68" t="s">
        <v>146</v>
      </c>
      <c r="C73" s="68" t="s">
        <v>146</v>
      </c>
      <c r="D73" s="68" t="s">
        <v>146</v>
      </c>
    </row>
    <row r="74" spans="1:9" ht="15.75" thickBot="1" x14ac:dyDescent="0.3">
      <c r="A74" s="14" t="s">
        <v>75</v>
      </c>
      <c r="B74" s="42">
        <v>0</v>
      </c>
      <c r="C74" s="42">
        <v>0</v>
      </c>
      <c r="D74" s="42">
        <v>0</v>
      </c>
    </row>
    <row r="75" spans="1:9" ht="15.75" thickBot="1" x14ac:dyDescent="0.3">
      <c r="A75" s="14" t="s">
        <v>75</v>
      </c>
      <c r="B75" s="42">
        <v>0</v>
      </c>
      <c r="C75" s="42">
        <v>0</v>
      </c>
      <c r="D75" s="42">
        <v>0</v>
      </c>
    </row>
    <row r="76" spans="1:9" ht="15.75" thickBot="1" x14ac:dyDescent="0.3">
      <c r="A76" s="14" t="s">
        <v>75</v>
      </c>
      <c r="B76" s="42">
        <v>0</v>
      </c>
      <c r="C76" s="42">
        <v>0</v>
      </c>
      <c r="D76" s="42">
        <v>0</v>
      </c>
    </row>
    <row r="77" spans="1:9" ht="15.75" thickBot="1" x14ac:dyDescent="0.3">
      <c r="A77" s="14" t="s">
        <v>75</v>
      </c>
      <c r="B77" s="42">
        <v>0</v>
      </c>
      <c r="C77" s="42">
        <v>0</v>
      </c>
      <c r="D77" s="42">
        <v>0</v>
      </c>
    </row>
    <row r="78" spans="1:9" ht="15.75" thickBot="1" x14ac:dyDescent="0.3">
      <c r="A78" s="14" t="s">
        <v>75</v>
      </c>
      <c r="B78" s="42">
        <v>0</v>
      </c>
      <c r="C78" s="42">
        <v>0</v>
      </c>
      <c r="D78" s="42">
        <v>0</v>
      </c>
    </row>
    <row r="79" spans="1:9" ht="15.75" thickBot="1" x14ac:dyDescent="0.3">
      <c r="A79" s="14" t="s">
        <v>75</v>
      </c>
      <c r="B79" s="42">
        <v>0</v>
      </c>
      <c r="C79" s="42">
        <v>0</v>
      </c>
      <c r="D79" s="42">
        <v>0</v>
      </c>
    </row>
    <row r="80" spans="1:9" ht="15.75" thickBot="1" x14ac:dyDescent="0.3">
      <c r="A80" s="14" t="s">
        <v>75</v>
      </c>
      <c r="B80" s="42">
        <v>0</v>
      </c>
      <c r="C80" s="42">
        <v>0</v>
      </c>
      <c r="D80" s="42">
        <v>0</v>
      </c>
    </row>
    <row r="81" spans="1:4" ht="15.75" thickBot="1" x14ac:dyDescent="0.3">
      <c r="A81" s="14" t="s">
        <v>75</v>
      </c>
      <c r="B81" s="42">
        <v>0</v>
      </c>
      <c r="C81" s="42">
        <v>0</v>
      </c>
      <c r="D81" s="42">
        <v>0</v>
      </c>
    </row>
    <row r="82" spans="1:4" ht="15.75" thickBot="1" x14ac:dyDescent="0.3">
      <c r="A82" s="14" t="s">
        <v>75</v>
      </c>
      <c r="B82" s="42">
        <v>0</v>
      </c>
      <c r="C82" s="42">
        <v>0</v>
      </c>
      <c r="D82" s="42">
        <v>0</v>
      </c>
    </row>
    <row r="83" spans="1:4" ht="15.75" thickBot="1" x14ac:dyDescent="0.3">
      <c r="A83" s="14" t="s">
        <v>75</v>
      </c>
      <c r="B83" s="42">
        <v>0</v>
      </c>
      <c r="C83" s="42">
        <v>0</v>
      </c>
      <c r="D83" s="42">
        <v>0</v>
      </c>
    </row>
    <row r="84" spans="1:4" ht="15.75" thickBot="1" x14ac:dyDescent="0.3">
      <c r="A84" s="14" t="s">
        <v>75</v>
      </c>
      <c r="B84" s="42">
        <v>0</v>
      </c>
      <c r="C84" s="42">
        <v>0</v>
      </c>
      <c r="D84" s="42">
        <v>0</v>
      </c>
    </row>
    <row r="85" spans="1:4" ht="15.75" thickBot="1" x14ac:dyDescent="0.3">
      <c r="A85" s="14" t="s">
        <v>75</v>
      </c>
      <c r="B85" s="42">
        <f>C85/2</f>
        <v>0</v>
      </c>
      <c r="C85" s="42">
        <v>0</v>
      </c>
      <c r="D85" s="42">
        <v>0</v>
      </c>
    </row>
    <row r="86" spans="1:4" ht="15.75" thickBot="1" x14ac:dyDescent="0.3">
      <c r="A86" s="13" t="s">
        <v>147</v>
      </c>
      <c r="B86" s="69">
        <f>SUM(B74:B85)</f>
        <v>0</v>
      </c>
      <c r="C86" s="69">
        <f>SUM(C74:C85)</f>
        <v>0</v>
      </c>
      <c r="D86" s="69">
        <f>SUM(D74:D85)</f>
        <v>0</v>
      </c>
    </row>
    <row r="87" spans="1:4" ht="15.75" thickBot="1" x14ac:dyDescent="0.3">
      <c r="A87" s="27"/>
      <c r="B87" s="70"/>
      <c r="C87" s="70"/>
      <c r="D87" s="70"/>
    </row>
    <row r="88" spans="1:4" ht="15.75" thickBot="1" x14ac:dyDescent="0.3">
      <c r="A88" s="71" t="s">
        <v>148</v>
      </c>
      <c r="B88" s="72" t="s">
        <v>146</v>
      </c>
      <c r="C88" s="72" t="s">
        <v>146</v>
      </c>
      <c r="D88" s="72" t="s">
        <v>146</v>
      </c>
    </row>
    <row r="89" spans="1:4" ht="15.75" thickBot="1" x14ac:dyDescent="0.3">
      <c r="A89" s="14" t="s">
        <v>75</v>
      </c>
      <c r="B89" s="42">
        <v>0</v>
      </c>
      <c r="C89" s="42">
        <v>0</v>
      </c>
      <c r="D89" s="42">
        <v>0</v>
      </c>
    </row>
    <row r="90" spans="1:4" ht="15.75" thickBot="1" x14ac:dyDescent="0.3">
      <c r="A90" s="14" t="s">
        <v>75</v>
      </c>
      <c r="B90" s="42">
        <v>0</v>
      </c>
      <c r="C90" s="42">
        <v>0</v>
      </c>
      <c r="D90" s="42">
        <v>0</v>
      </c>
    </row>
    <row r="91" spans="1:4" ht="15.75" thickBot="1" x14ac:dyDescent="0.3">
      <c r="A91" s="14" t="s">
        <v>75</v>
      </c>
      <c r="B91" s="42">
        <v>0</v>
      </c>
      <c r="C91" s="42">
        <v>0</v>
      </c>
      <c r="D91" s="42">
        <v>0</v>
      </c>
    </row>
    <row r="92" spans="1:4" ht="15.75" thickBot="1" x14ac:dyDescent="0.3">
      <c r="A92" s="14" t="s">
        <v>75</v>
      </c>
      <c r="B92" s="42">
        <v>0</v>
      </c>
      <c r="C92" s="42">
        <v>0</v>
      </c>
      <c r="D92" s="42">
        <v>0</v>
      </c>
    </row>
    <row r="93" spans="1:4" ht="15.75" thickBot="1" x14ac:dyDescent="0.3">
      <c r="A93" s="14" t="s">
        <v>75</v>
      </c>
      <c r="B93" s="42">
        <v>0</v>
      </c>
      <c r="C93" s="42">
        <v>0</v>
      </c>
      <c r="D93" s="42">
        <v>0</v>
      </c>
    </row>
    <row r="94" spans="1:4" ht="15.75" thickBot="1" x14ac:dyDescent="0.3">
      <c r="A94" s="14" t="s">
        <v>75</v>
      </c>
      <c r="B94" s="42">
        <v>0</v>
      </c>
      <c r="C94" s="42">
        <v>0</v>
      </c>
      <c r="D94" s="42">
        <v>0</v>
      </c>
    </row>
    <row r="95" spans="1:4" ht="15.75" thickBot="1" x14ac:dyDescent="0.3">
      <c r="A95" s="14" t="s">
        <v>75</v>
      </c>
      <c r="B95" s="42">
        <v>0</v>
      </c>
      <c r="C95" s="42">
        <v>0</v>
      </c>
      <c r="D95" s="42">
        <v>0</v>
      </c>
    </row>
    <row r="96" spans="1:4" ht="15.75" thickBot="1" x14ac:dyDescent="0.3">
      <c r="A96" s="14" t="s">
        <v>75</v>
      </c>
      <c r="B96" s="42">
        <v>0</v>
      </c>
      <c r="C96" s="42">
        <v>0</v>
      </c>
      <c r="D96" s="42">
        <v>0</v>
      </c>
    </row>
    <row r="97" spans="1:9" ht="15.75" thickBot="1" x14ac:dyDescent="0.3">
      <c r="A97" s="14" t="s">
        <v>75</v>
      </c>
      <c r="B97" s="42">
        <v>0</v>
      </c>
      <c r="C97" s="42">
        <v>0</v>
      </c>
      <c r="D97" s="42">
        <v>0</v>
      </c>
    </row>
    <row r="98" spans="1:9" ht="15.75" thickBot="1" x14ac:dyDescent="0.3">
      <c r="A98" s="14" t="s">
        <v>75</v>
      </c>
      <c r="B98" s="42">
        <v>0</v>
      </c>
      <c r="C98" s="42">
        <v>0</v>
      </c>
      <c r="D98" s="42">
        <v>0</v>
      </c>
    </row>
    <row r="99" spans="1:9" ht="15.75" thickBot="1" x14ac:dyDescent="0.3">
      <c r="A99" s="14" t="s">
        <v>75</v>
      </c>
      <c r="B99" s="42">
        <v>0</v>
      </c>
      <c r="C99" s="42">
        <v>0</v>
      </c>
      <c r="D99" s="42">
        <v>0</v>
      </c>
    </row>
    <row r="100" spans="1:9" ht="15.75" thickBot="1" x14ac:dyDescent="0.3">
      <c r="A100" s="14" t="s">
        <v>75</v>
      </c>
      <c r="B100" s="42">
        <f>C100/2</f>
        <v>0</v>
      </c>
      <c r="C100" s="42">
        <v>0</v>
      </c>
      <c r="D100" s="42">
        <v>0</v>
      </c>
    </row>
    <row r="101" spans="1:9" ht="15.75" thickBot="1" x14ac:dyDescent="0.3">
      <c r="A101" s="13" t="s">
        <v>147</v>
      </c>
      <c r="B101" s="73">
        <f>SUM(B89:B100)</f>
        <v>0</v>
      </c>
      <c r="C101" s="73">
        <f>SUM(C89:C100)</f>
        <v>0</v>
      </c>
      <c r="D101" s="73">
        <f>SUM(D89:D100)</f>
        <v>0</v>
      </c>
    </row>
    <row r="102" spans="1:9" ht="15.75" thickBot="1" x14ac:dyDescent="0.3">
      <c r="A102" s="27"/>
      <c r="B102" s="70"/>
      <c r="C102" s="70"/>
      <c r="D102" s="70"/>
    </row>
    <row r="103" spans="1:9" ht="15.75" thickBot="1" x14ac:dyDescent="0.3">
      <c r="A103" s="74" t="s">
        <v>149</v>
      </c>
      <c r="B103" s="75" t="s">
        <v>146</v>
      </c>
      <c r="C103" s="75" t="s">
        <v>146</v>
      </c>
      <c r="D103" s="75" t="s">
        <v>146</v>
      </c>
    </row>
    <row r="104" spans="1:9" ht="15.75" thickBot="1" x14ac:dyDescent="0.3">
      <c r="B104" s="42">
        <v>0</v>
      </c>
      <c r="C104" s="42">
        <v>0</v>
      </c>
      <c r="D104" s="42">
        <v>0</v>
      </c>
    </row>
    <row r="105" spans="1:9" ht="15.75" thickBot="1" x14ac:dyDescent="0.3">
      <c r="B105" s="42">
        <v>0</v>
      </c>
      <c r="C105" s="42">
        <v>0</v>
      </c>
      <c r="D105" s="42">
        <v>0</v>
      </c>
    </row>
    <row r="106" spans="1:9" ht="15.75" thickBot="1" x14ac:dyDescent="0.3">
      <c r="B106" s="42">
        <v>0</v>
      </c>
      <c r="C106" s="42">
        <v>0</v>
      </c>
      <c r="D106" s="42">
        <v>0</v>
      </c>
    </row>
    <row r="107" spans="1:9" ht="15.75" thickBot="1" x14ac:dyDescent="0.3">
      <c r="B107" s="42">
        <v>0</v>
      </c>
      <c r="C107" s="42">
        <v>0</v>
      </c>
      <c r="D107" s="42">
        <v>0</v>
      </c>
    </row>
    <row r="108" spans="1:9" ht="15.75" thickBot="1" x14ac:dyDescent="0.3">
      <c r="A108" s="13" t="s">
        <v>147</v>
      </c>
      <c r="B108" s="76">
        <f>SUM(B104:B107)</f>
        <v>0</v>
      </c>
      <c r="C108" s="76">
        <f>SUM(C104:C107)</f>
        <v>0</v>
      </c>
      <c r="D108" s="76">
        <f>SUM(D104:D107)</f>
        <v>0</v>
      </c>
    </row>
    <row r="110" spans="1:9" x14ac:dyDescent="0.25">
      <c r="A110" s="146" t="s">
        <v>150</v>
      </c>
      <c r="B110" s="146"/>
      <c r="C110" s="146"/>
      <c r="D110" s="146"/>
      <c r="E110" s="146"/>
    </row>
    <row r="111" spans="1:9" ht="15.75" thickBot="1" x14ac:dyDescent="0.3"/>
    <row r="112" spans="1:9" x14ac:dyDescent="0.25">
      <c r="A112" s="77"/>
      <c r="B112" s="78"/>
      <c r="C112" s="142" t="s">
        <v>151</v>
      </c>
      <c r="D112" s="142"/>
      <c r="E112" s="79"/>
      <c r="F112" s="80"/>
      <c r="G112" s="142" t="s">
        <v>152</v>
      </c>
      <c r="H112" s="142"/>
      <c r="I112" s="81"/>
    </row>
    <row r="113" spans="1:9" ht="25.5" thickBot="1" x14ac:dyDescent="0.3">
      <c r="A113" s="82" t="s">
        <v>50</v>
      </c>
      <c r="B113" s="83" t="s">
        <v>153</v>
      </c>
      <c r="C113" s="84" t="s">
        <v>21</v>
      </c>
      <c r="D113" s="84" t="s">
        <v>154</v>
      </c>
      <c r="E113" s="85" t="s">
        <v>155</v>
      </c>
      <c r="F113" s="84" t="s">
        <v>152</v>
      </c>
      <c r="G113" s="84" t="s">
        <v>156</v>
      </c>
      <c r="H113" s="84" t="s">
        <v>157</v>
      </c>
      <c r="I113" s="86" t="s">
        <v>155</v>
      </c>
    </row>
    <row r="114" spans="1:9" x14ac:dyDescent="0.25">
      <c r="A114" s="87"/>
      <c r="B114" s="88">
        <v>0</v>
      </c>
      <c r="C114" s="88">
        <v>0</v>
      </c>
      <c r="D114" s="89">
        <f t="shared" ref="D114:D120" si="3">+B114-C114</f>
        <v>0</v>
      </c>
      <c r="E114" s="90" t="e">
        <f>+C114/B114</f>
        <v>#DIV/0!</v>
      </c>
      <c r="F114" s="88">
        <v>0</v>
      </c>
      <c r="G114" s="88">
        <v>0</v>
      </c>
      <c r="H114" s="88">
        <f>+F114-G114</f>
        <v>0</v>
      </c>
      <c r="I114" s="90" t="e">
        <f>+G114/F114</f>
        <v>#DIV/0!</v>
      </c>
    </row>
    <row r="115" spans="1:9" x14ac:dyDescent="0.25">
      <c r="A115" s="87"/>
      <c r="B115" s="91">
        <v>0</v>
      </c>
      <c r="C115" s="91">
        <v>0</v>
      </c>
      <c r="D115" s="92">
        <f t="shared" si="3"/>
        <v>0</v>
      </c>
      <c r="E115" s="90" t="e">
        <f t="shared" ref="E115:E148" si="4">+C115/B115</f>
        <v>#DIV/0!</v>
      </c>
      <c r="F115" s="91">
        <v>0</v>
      </c>
      <c r="G115" s="91">
        <v>0</v>
      </c>
      <c r="H115" s="91">
        <f t="shared" ref="H115:H148" si="5">+F115-G115</f>
        <v>0</v>
      </c>
      <c r="I115" s="90" t="e">
        <f t="shared" ref="I115:I148" si="6">+G115/F115</f>
        <v>#DIV/0!</v>
      </c>
    </row>
    <row r="116" spans="1:9" x14ac:dyDescent="0.25">
      <c r="A116" s="87"/>
      <c r="B116" s="91">
        <v>0</v>
      </c>
      <c r="C116" s="91">
        <v>0</v>
      </c>
      <c r="D116" s="92">
        <f t="shared" si="3"/>
        <v>0</v>
      </c>
      <c r="E116" s="90" t="e">
        <f t="shared" si="4"/>
        <v>#DIV/0!</v>
      </c>
      <c r="F116" s="91">
        <v>0</v>
      </c>
      <c r="G116" s="91">
        <v>0</v>
      </c>
      <c r="H116" s="91">
        <f t="shared" si="5"/>
        <v>0</v>
      </c>
      <c r="I116" s="90" t="e">
        <f t="shared" si="6"/>
        <v>#DIV/0!</v>
      </c>
    </row>
    <row r="117" spans="1:9" x14ac:dyDescent="0.25">
      <c r="A117" s="87"/>
      <c r="B117" s="91">
        <v>0</v>
      </c>
      <c r="C117" s="91">
        <v>0</v>
      </c>
      <c r="D117" s="92">
        <f t="shared" si="3"/>
        <v>0</v>
      </c>
      <c r="E117" s="90" t="e">
        <f>+C117/B117</f>
        <v>#DIV/0!</v>
      </c>
      <c r="F117" s="91">
        <v>0</v>
      </c>
      <c r="G117" s="91">
        <v>0</v>
      </c>
      <c r="H117" s="91">
        <f t="shared" si="5"/>
        <v>0</v>
      </c>
      <c r="I117" s="90" t="e">
        <f t="shared" si="6"/>
        <v>#DIV/0!</v>
      </c>
    </row>
    <row r="118" spans="1:9" x14ac:dyDescent="0.25">
      <c r="A118" s="87"/>
      <c r="B118" s="91">
        <v>0</v>
      </c>
      <c r="C118" s="91">
        <v>0</v>
      </c>
      <c r="D118" s="92">
        <f t="shared" si="3"/>
        <v>0</v>
      </c>
      <c r="E118" s="90" t="e">
        <f t="shared" si="4"/>
        <v>#DIV/0!</v>
      </c>
      <c r="F118" s="91">
        <v>0</v>
      </c>
      <c r="G118" s="91">
        <v>0</v>
      </c>
      <c r="H118" s="91">
        <f t="shared" si="5"/>
        <v>0</v>
      </c>
      <c r="I118" s="90" t="e">
        <f t="shared" si="6"/>
        <v>#DIV/0!</v>
      </c>
    </row>
    <row r="119" spans="1:9" x14ac:dyDescent="0.25">
      <c r="A119" s="87"/>
      <c r="B119" s="91">
        <v>0</v>
      </c>
      <c r="C119" s="91">
        <v>0</v>
      </c>
      <c r="D119" s="92">
        <f t="shared" si="3"/>
        <v>0</v>
      </c>
      <c r="E119" s="90" t="e">
        <f t="shared" si="4"/>
        <v>#DIV/0!</v>
      </c>
      <c r="F119" s="91">
        <v>0</v>
      </c>
      <c r="G119" s="91">
        <v>0</v>
      </c>
      <c r="H119" s="91">
        <f t="shared" si="5"/>
        <v>0</v>
      </c>
      <c r="I119" s="90" t="e">
        <f t="shared" si="6"/>
        <v>#DIV/0!</v>
      </c>
    </row>
    <row r="120" spans="1:9" x14ac:dyDescent="0.25">
      <c r="A120" s="87"/>
      <c r="B120" s="91">
        <v>0</v>
      </c>
      <c r="C120" s="91">
        <v>0</v>
      </c>
      <c r="D120" s="92">
        <f t="shared" si="3"/>
        <v>0</v>
      </c>
      <c r="E120" s="90" t="e">
        <f t="shared" si="4"/>
        <v>#DIV/0!</v>
      </c>
      <c r="F120" s="91">
        <v>0</v>
      </c>
      <c r="G120" s="91">
        <v>0</v>
      </c>
      <c r="H120" s="91">
        <f t="shared" si="5"/>
        <v>0</v>
      </c>
      <c r="I120" s="90" t="e">
        <f t="shared" si="6"/>
        <v>#DIV/0!</v>
      </c>
    </row>
    <row r="121" spans="1:9" x14ac:dyDescent="0.25">
      <c r="A121" s="87"/>
      <c r="B121" s="91">
        <v>0</v>
      </c>
      <c r="C121" s="91">
        <v>0</v>
      </c>
      <c r="D121" s="92">
        <v>0</v>
      </c>
      <c r="E121" s="90" t="e">
        <f t="shared" si="4"/>
        <v>#DIV/0!</v>
      </c>
      <c r="F121" s="91">
        <v>0</v>
      </c>
      <c r="G121" s="91">
        <v>0</v>
      </c>
      <c r="H121" s="91">
        <v>0</v>
      </c>
      <c r="I121" s="90" t="e">
        <f t="shared" si="6"/>
        <v>#DIV/0!</v>
      </c>
    </row>
    <row r="122" spans="1:9" x14ac:dyDescent="0.25">
      <c r="A122" s="87"/>
      <c r="B122" s="91">
        <v>0</v>
      </c>
      <c r="C122" s="91">
        <v>0</v>
      </c>
      <c r="D122" s="92">
        <f t="shared" ref="D122:D148" si="7">+B122-C122</f>
        <v>0</v>
      </c>
      <c r="E122" s="90" t="e">
        <f t="shared" si="4"/>
        <v>#DIV/0!</v>
      </c>
      <c r="F122" s="91">
        <v>0</v>
      </c>
      <c r="G122" s="91">
        <v>0</v>
      </c>
      <c r="H122" s="91">
        <f t="shared" si="5"/>
        <v>0</v>
      </c>
      <c r="I122" s="90" t="e">
        <f t="shared" si="6"/>
        <v>#DIV/0!</v>
      </c>
    </row>
    <row r="123" spans="1:9" x14ac:dyDescent="0.25">
      <c r="A123" s="87"/>
      <c r="B123" s="91">
        <v>0</v>
      </c>
      <c r="C123" s="91">
        <v>0</v>
      </c>
      <c r="D123" s="92">
        <f t="shared" si="7"/>
        <v>0</v>
      </c>
      <c r="E123" s="90" t="e">
        <f t="shared" si="4"/>
        <v>#DIV/0!</v>
      </c>
      <c r="F123" s="91">
        <v>0</v>
      </c>
      <c r="G123" s="91">
        <v>0</v>
      </c>
      <c r="H123" s="91">
        <f t="shared" si="5"/>
        <v>0</v>
      </c>
      <c r="I123" s="90" t="e">
        <f t="shared" si="6"/>
        <v>#DIV/0!</v>
      </c>
    </row>
    <row r="124" spans="1:9" x14ac:dyDescent="0.25">
      <c r="A124" s="87"/>
      <c r="B124" s="91">
        <v>0</v>
      </c>
      <c r="C124" s="91">
        <v>0</v>
      </c>
      <c r="D124" s="92">
        <f t="shared" si="7"/>
        <v>0</v>
      </c>
      <c r="E124" s="90" t="e">
        <f t="shared" si="4"/>
        <v>#DIV/0!</v>
      </c>
      <c r="F124" s="91">
        <v>0</v>
      </c>
      <c r="G124" s="91">
        <v>0</v>
      </c>
      <c r="H124" s="91">
        <f t="shared" si="5"/>
        <v>0</v>
      </c>
      <c r="I124" s="90" t="e">
        <f t="shared" si="6"/>
        <v>#DIV/0!</v>
      </c>
    </row>
    <row r="125" spans="1:9" x14ac:dyDescent="0.25">
      <c r="A125" s="87"/>
      <c r="B125" s="91">
        <v>0</v>
      </c>
      <c r="C125" s="91">
        <v>0</v>
      </c>
      <c r="D125" s="92">
        <f t="shared" si="7"/>
        <v>0</v>
      </c>
      <c r="E125" s="90" t="e">
        <f t="shared" si="4"/>
        <v>#DIV/0!</v>
      </c>
      <c r="F125" s="91">
        <v>0</v>
      </c>
      <c r="G125" s="91">
        <v>0</v>
      </c>
      <c r="H125" s="91">
        <f t="shared" si="5"/>
        <v>0</v>
      </c>
      <c r="I125" s="90" t="e">
        <f t="shared" si="6"/>
        <v>#DIV/0!</v>
      </c>
    </row>
    <row r="126" spans="1:9" x14ac:dyDescent="0.25">
      <c r="A126" s="87"/>
      <c r="B126" s="91">
        <v>0</v>
      </c>
      <c r="C126" s="91">
        <v>0</v>
      </c>
      <c r="D126" s="92">
        <f t="shared" si="7"/>
        <v>0</v>
      </c>
      <c r="E126" s="90" t="e">
        <f t="shared" si="4"/>
        <v>#DIV/0!</v>
      </c>
      <c r="F126" s="91">
        <v>0</v>
      </c>
      <c r="G126" s="91">
        <v>0</v>
      </c>
      <c r="H126" s="91">
        <f t="shared" si="5"/>
        <v>0</v>
      </c>
      <c r="I126" s="90" t="e">
        <f t="shared" si="6"/>
        <v>#DIV/0!</v>
      </c>
    </row>
    <row r="127" spans="1:9" x14ac:dyDescent="0.25">
      <c r="A127" s="87"/>
      <c r="B127" s="91">
        <v>0</v>
      </c>
      <c r="C127" s="91">
        <v>0</v>
      </c>
      <c r="D127" s="92">
        <f t="shared" si="7"/>
        <v>0</v>
      </c>
      <c r="E127" s="90" t="e">
        <f t="shared" si="4"/>
        <v>#DIV/0!</v>
      </c>
      <c r="F127" s="91">
        <v>0</v>
      </c>
      <c r="G127" s="91">
        <v>0</v>
      </c>
      <c r="H127" s="91">
        <f t="shared" si="5"/>
        <v>0</v>
      </c>
      <c r="I127" s="90" t="e">
        <f t="shared" si="6"/>
        <v>#DIV/0!</v>
      </c>
    </row>
    <row r="128" spans="1:9" x14ac:dyDescent="0.25">
      <c r="A128" s="87"/>
      <c r="B128" s="91">
        <v>0</v>
      </c>
      <c r="C128" s="91">
        <v>0</v>
      </c>
      <c r="D128" s="92">
        <f t="shared" si="7"/>
        <v>0</v>
      </c>
      <c r="E128" s="90" t="e">
        <f t="shared" si="4"/>
        <v>#DIV/0!</v>
      </c>
      <c r="F128" s="91">
        <v>0</v>
      </c>
      <c r="G128" s="91">
        <v>0</v>
      </c>
      <c r="H128" s="91">
        <f t="shared" si="5"/>
        <v>0</v>
      </c>
      <c r="I128" s="90" t="e">
        <f t="shared" si="6"/>
        <v>#DIV/0!</v>
      </c>
    </row>
    <row r="129" spans="1:9" x14ac:dyDescent="0.25">
      <c r="A129" s="87"/>
      <c r="B129" s="91">
        <v>0</v>
      </c>
      <c r="C129" s="91">
        <v>0</v>
      </c>
      <c r="D129" s="92">
        <f t="shared" si="7"/>
        <v>0</v>
      </c>
      <c r="E129" s="90" t="e">
        <f t="shared" si="4"/>
        <v>#DIV/0!</v>
      </c>
      <c r="F129" s="91">
        <v>0</v>
      </c>
      <c r="G129" s="91">
        <v>0</v>
      </c>
      <c r="H129" s="91">
        <f t="shared" si="5"/>
        <v>0</v>
      </c>
      <c r="I129" s="90" t="e">
        <f t="shared" si="6"/>
        <v>#DIV/0!</v>
      </c>
    </row>
    <row r="130" spans="1:9" x14ac:dyDescent="0.25">
      <c r="A130" s="87"/>
      <c r="B130" s="91">
        <v>0</v>
      </c>
      <c r="C130" s="91">
        <v>0</v>
      </c>
      <c r="D130" s="92">
        <f t="shared" si="7"/>
        <v>0</v>
      </c>
      <c r="E130" s="90" t="e">
        <f t="shared" si="4"/>
        <v>#DIV/0!</v>
      </c>
      <c r="F130" s="91">
        <v>0</v>
      </c>
      <c r="G130" s="91">
        <v>0</v>
      </c>
      <c r="H130" s="91">
        <f t="shared" si="5"/>
        <v>0</v>
      </c>
      <c r="I130" s="90" t="e">
        <f t="shared" si="6"/>
        <v>#DIV/0!</v>
      </c>
    </row>
    <row r="131" spans="1:9" x14ac:dyDescent="0.25">
      <c r="A131" s="87"/>
      <c r="B131" s="91">
        <v>0</v>
      </c>
      <c r="C131" s="91">
        <v>0</v>
      </c>
      <c r="D131" s="92">
        <f t="shared" si="7"/>
        <v>0</v>
      </c>
      <c r="E131" s="90" t="e">
        <f t="shared" si="4"/>
        <v>#DIV/0!</v>
      </c>
      <c r="F131" s="91">
        <v>0</v>
      </c>
      <c r="G131" s="91">
        <v>0</v>
      </c>
      <c r="H131" s="91">
        <f t="shared" si="5"/>
        <v>0</v>
      </c>
      <c r="I131" s="90" t="e">
        <f t="shared" si="6"/>
        <v>#DIV/0!</v>
      </c>
    </row>
    <row r="132" spans="1:9" x14ac:dyDescent="0.25">
      <c r="A132" s="87"/>
      <c r="B132" s="91">
        <v>0</v>
      </c>
      <c r="C132" s="91">
        <v>0</v>
      </c>
      <c r="D132" s="92">
        <f t="shared" si="7"/>
        <v>0</v>
      </c>
      <c r="E132" s="90" t="e">
        <f t="shared" si="4"/>
        <v>#DIV/0!</v>
      </c>
      <c r="F132" s="91">
        <v>0</v>
      </c>
      <c r="G132" s="91">
        <v>0</v>
      </c>
      <c r="H132" s="91">
        <f t="shared" si="5"/>
        <v>0</v>
      </c>
      <c r="I132" s="90" t="e">
        <f t="shared" si="6"/>
        <v>#DIV/0!</v>
      </c>
    </row>
    <row r="133" spans="1:9" x14ac:dyDescent="0.25">
      <c r="A133" s="87"/>
      <c r="B133" s="91">
        <v>0</v>
      </c>
      <c r="C133" s="91">
        <v>0</v>
      </c>
      <c r="D133" s="92">
        <f t="shared" si="7"/>
        <v>0</v>
      </c>
      <c r="E133" s="90" t="e">
        <f t="shared" si="4"/>
        <v>#DIV/0!</v>
      </c>
      <c r="F133" s="91">
        <v>0</v>
      </c>
      <c r="G133" s="91">
        <v>0</v>
      </c>
      <c r="H133" s="91">
        <f t="shared" si="5"/>
        <v>0</v>
      </c>
      <c r="I133" s="90" t="e">
        <f t="shared" si="6"/>
        <v>#DIV/0!</v>
      </c>
    </row>
    <row r="134" spans="1:9" x14ac:dyDescent="0.25">
      <c r="A134" s="87"/>
      <c r="B134" s="91">
        <v>0</v>
      </c>
      <c r="C134" s="91">
        <v>0</v>
      </c>
      <c r="D134" s="92">
        <f t="shared" si="7"/>
        <v>0</v>
      </c>
      <c r="E134" s="90" t="e">
        <f t="shared" si="4"/>
        <v>#DIV/0!</v>
      </c>
      <c r="F134" s="91">
        <v>0</v>
      </c>
      <c r="G134" s="91">
        <v>0</v>
      </c>
      <c r="H134" s="91">
        <f t="shared" si="5"/>
        <v>0</v>
      </c>
      <c r="I134" s="90" t="e">
        <f t="shared" si="6"/>
        <v>#DIV/0!</v>
      </c>
    </row>
    <row r="135" spans="1:9" x14ac:dyDescent="0.25">
      <c r="A135" s="87"/>
      <c r="B135" s="91">
        <v>0</v>
      </c>
      <c r="C135" s="91">
        <v>0</v>
      </c>
      <c r="D135" s="92">
        <f t="shared" si="7"/>
        <v>0</v>
      </c>
      <c r="E135" s="90" t="e">
        <f t="shared" si="4"/>
        <v>#DIV/0!</v>
      </c>
      <c r="F135" s="91">
        <v>0</v>
      </c>
      <c r="G135" s="91">
        <v>0</v>
      </c>
      <c r="H135" s="91">
        <f t="shared" si="5"/>
        <v>0</v>
      </c>
      <c r="I135" s="90" t="e">
        <f t="shared" si="6"/>
        <v>#DIV/0!</v>
      </c>
    </row>
    <row r="136" spans="1:9" x14ac:dyDescent="0.25">
      <c r="A136" s="87"/>
      <c r="B136" s="91">
        <v>0</v>
      </c>
      <c r="C136" s="91">
        <v>0</v>
      </c>
      <c r="D136" s="92">
        <f t="shared" si="7"/>
        <v>0</v>
      </c>
      <c r="E136" s="90" t="e">
        <f t="shared" si="4"/>
        <v>#DIV/0!</v>
      </c>
      <c r="F136" s="91">
        <v>0</v>
      </c>
      <c r="G136" s="91">
        <v>0</v>
      </c>
      <c r="H136" s="91">
        <f t="shared" si="5"/>
        <v>0</v>
      </c>
      <c r="I136" s="90" t="e">
        <f t="shared" si="6"/>
        <v>#DIV/0!</v>
      </c>
    </row>
    <row r="137" spans="1:9" x14ac:dyDescent="0.25">
      <c r="A137" s="87"/>
      <c r="B137" s="91">
        <v>0</v>
      </c>
      <c r="C137" s="91">
        <v>0</v>
      </c>
      <c r="D137" s="92">
        <f t="shared" si="7"/>
        <v>0</v>
      </c>
      <c r="E137" s="90" t="e">
        <f t="shared" si="4"/>
        <v>#DIV/0!</v>
      </c>
      <c r="F137" s="91">
        <v>0</v>
      </c>
      <c r="G137" s="91">
        <v>0</v>
      </c>
      <c r="H137" s="91">
        <f t="shared" si="5"/>
        <v>0</v>
      </c>
      <c r="I137" s="90" t="e">
        <f t="shared" si="6"/>
        <v>#DIV/0!</v>
      </c>
    </row>
    <row r="138" spans="1:9" x14ac:dyDescent="0.25">
      <c r="A138" s="87"/>
      <c r="B138" s="91">
        <v>0</v>
      </c>
      <c r="C138" s="91">
        <v>0</v>
      </c>
      <c r="D138" s="92">
        <f t="shared" si="7"/>
        <v>0</v>
      </c>
      <c r="E138" s="90" t="e">
        <f t="shared" si="4"/>
        <v>#DIV/0!</v>
      </c>
      <c r="F138" s="91">
        <v>0</v>
      </c>
      <c r="G138" s="91">
        <v>0</v>
      </c>
      <c r="H138" s="91">
        <f t="shared" si="5"/>
        <v>0</v>
      </c>
      <c r="I138" s="90" t="e">
        <f t="shared" si="6"/>
        <v>#DIV/0!</v>
      </c>
    </row>
    <row r="139" spans="1:9" x14ac:dyDescent="0.25">
      <c r="A139" s="87"/>
      <c r="B139" s="91">
        <v>0</v>
      </c>
      <c r="C139" s="91">
        <v>0</v>
      </c>
      <c r="D139" s="92">
        <f t="shared" si="7"/>
        <v>0</v>
      </c>
      <c r="E139" s="90" t="e">
        <f t="shared" si="4"/>
        <v>#DIV/0!</v>
      </c>
      <c r="F139" s="91">
        <v>0</v>
      </c>
      <c r="G139" s="91">
        <v>0</v>
      </c>
      <c r="H139" s="91">
        <f t="shared" si="5"/>
        <v>0</v>
      </c>
      <c r="I139" s="90" t="e">
        <f t="shared" si="6"/>
        <v>#DIV/0!</v>
      </c>
    </row>
    <row r="140" spans="1:9" x14ac:dyDescent="0.25">
      <c r="A140" s="87"/>
      <c r="B140" s="91">
        <v>0</v>
      </c>
      <c r="C140" s="91">
        <v>0</v>
      </c>
      <c r="D140" s="92">
        <f t="shared" si="7"/>
        <v>0</v>
      </c>
      <c r="E140" s="90" t="e">
        <f t="shared" si="4"/>
        <v>#DIV/0!</v>
      </c>
      <c r="F140" s="91">
        <v>0</v>
      </c>
      <c r="G140" s="91">
        <v>0</v>
      </c>
      <c r="H140" s="91">
        <f t="shared" si="5"/>
        <v>0</v>
      </c>
      <c r="I140" s="90" t="e">
        <f t="shared" si="6"/>
        <v>#DIV/0!</v>
      </c>
    </row>
    <row r="141" spans="1:9" x14ac:dyDescent="0.25">
      <c r="A141" s="87"/>
      <c r="B141" s="91">
        <v>0</v>
      </c>
      <c r="C141" s="91">
        <v>0</v>
      </c>
      <c r="D141" s="92">
        <f t="shared" si="7"/>
        <v>0</v>
      </c>
      <c r="E141" s="90" t="e">
        <f t="shared" si="4"/>
        <v>#DIV/0!</v>
      </c>
      <c r="F141" s="91">
        <v>0</v>
      </c>
      <c r="G141" s="91">
        <v>0</v>
      </c>
      <c r="H141" s="91">
        <f t="shared" si="5"/>
        <v>0</v>
      </c>
      <c r="I141" s="90" t="e">
        <f t="shared" si="6"/>
        <v>#DIV/0!</v>
      </c>
    </row>
    <row r="142" spans="1:9" x14ac:dyDescent="0.25">
      <c r="A142" s="87"/>
      <c r="B142" s="91">
        <v>0</v>
      </c>
      <c r="C142" s="91">
        <v>0</v>
      </c>
      <c r="D142" s="92">
        <f t="shared" si="7"/>
        <v>0</v>
      </c>
      <c r="E142" s="90" t="e">
        <f t="shared" si="4"/>
        <v>#DIV/0!</v>
      </c>
      <c r="F142" s="91">
        <v>0</v>
      </c>
      <c r="G142" s="91">
        <v>0</v>
      </c>
      <c r="H142" s="91">
        <f t="shared" si="5"/>
        <v>0</v>
      </c>
      <c r="I142" s="90" t="e">
        <f t="shared" si="6"/>
        <v>#DIV/0!</v>
      </c>
    </row>
    <row r="143" spans="1:9" x14ac:dyDescent="0.25">
      <c r="A143" s="87"/>
      <c r="B143" s="91">
        <v>0</v>
      </c>
      <c r="C143" s="91">
        <v>0</v>
      </c>
      <c r="D143" s="92">
        <f t="shared" si="7"/>
        <v>0</v>
      </c>
      <c r="E143" s="90" t="e">
        <f t="shared" si="4"/>
        <v>#DIV/0!</v>
      </c>
      <c r="F143" s="91">
        <v>0</v>
      </c>
      <c r="G143" s="91">
        <v>0</v>
      </c>
      <c r="H143" s="91">
        <f t="shared" si="5"/>
        <v>0</v>
      </c>
      <c r="I143" s="90" t="e">
        <f t="shared" si="6"/>
        <v>#DIV/0!</v>
      </c>
    </row>
    <row r="144" spans="1:9" x14ac:dyDescent="0.25">
      <c r="A144" s="87"/>
      <c r="B144" s="91">
        <v>0</v>
      </c>
      <c r="C144" s="91">
        <v>0</v>
      </c>
      <c r="D144" s="92">
        <f t="shared" si="7"/>
        <v>0</v>
      </c>
      <c r="E144" s="90" t="e">
        <f t="shared" si="4"/>
        <v>#DIV/0!</v>
      </c>
      <c r="F144" s="91">
        <v>0</v>
      </c>
      <c r="G144" s="91">
        <v>0</v>
      </c>
      <c r="H144" s="91">
        <f t="shared" si="5"/>
        <v>0</v>
      </c>
      <c r="I144" s="90" t="e">
        <f t="shared" si="6"/>
        <v>#DIV/0!</v>
      </c>
    </row>
    <row r="145" spans="1:11" x14ac:dyDescent="0.25">
      <c r="A145" s="87"/>
      <c r="B145" s="91">
        <v>0</v>
      </c>
      <c r="C145" s="91">
        <v>0</v>
      </c>
      <c r="D145" s="92">
        <f t="shared" si="7"/>
        <v>0</v>
      </c>
      <c r="E145" s="90" t="e">
        <f t="shared" si="4"/>
        <v>#DIV/0!</v>
      </c>
      <c r="F145" s="91">
        <v>0</v>
      </c>
      <c r="G145" s="91">
        <v>0</v>
      </c>
      <c r="H145" s="91">
        <f t="shared" si="5"/>
        <v>0</v>
      </c>
      <c r="I145" s="90" t="e">
        <f t="shared" si="6"/>
        <v>#DIV/0!</v>
      </c>
    </row>
    <row r="146" spans="1:11" x14ac:dyDescent="0.25">
      <c r="A146" s="87"/>
      <c r="B146" s="91">
        <v>0</v>
      </c>
      <c r="C146" s="91">
        <v>0</v>
      </c>
      <c r="D146" s="92">
        <f t="shared" si="7"/>
        <v>0</v>
      </c>
      <c r="E146" s="90" t="e">
        <f t="shared" si="4"/>
        <v>#DIV/0!</v>
      </c>
      <c r="F146" s="91">
        <v>0</v>
      </c>
      <c r="G146" s="91">
        <v>0</v>
      </c>
      <c r="H146" s="91">
        <f t="shared" si="5"/>
        <v>0</v>
      </c>
      <c r="I146" s="90" t="e">
        <f t="shared" si="6"/>
        <v>#DIV/0!</v>
      </c>
    </row>
    <row r="147" spans="1:11" x14ac:dyDescent="0.25">
      <c r="A147" s="87"/>
      <c r="B147" s="91">
        <v>0</v>
      </c>
      <c r="C147" s="91">
        <v>0</v>
      </c>
      <c r="D147" s="92">
        <f t="shared" si="7"/>
        <v>0</v>
      </c>
      <c r="E147" s="90" t="e">
        <f t="shared" si="4"/>
        <v>#DIV/0!</v>
      </c>
      <c r="F147" s="91">
        <v>0</v>
      </c>
      <c r="G147" s="91">
        <v>0</v>
      </c>
      <c r="H147" s="91">
        <f t="shared" si="5"/>
        <v>0</v>
      </c>
      <c r="I147" s="90" t="e">
        <f t="shared" si="6"/>
        <v>#DIV/0!</v>
      </c>
    </row>
    <row r="148" spans="1:11" x14ac:dyDescent="0.25">
      <c r="A148" s="87"/>
      <c r="B148" s="91">
        <v>0</v>
      </c>
      <c r="C148" s="91">
        <v>0</v>
      </c>
      <c r="D148" s="92">
        <f t="shared" si="7"/>
        <v>0</v>
      </c>
      <c r="E148" s="90" t="e">
        <f t="shared" si="4"/>
        <v>#DIV/0!</v>
      </c>
      <c r="F148" s="91">
        <v>0</v>
      </c>
      <c r="G148" s="91">
        <v>0</v>
      </c>
      <c r="H148" s="91">
        <f t="shared" si="5"/>
        <v>0</v>
      </c>
      <c r="I148" s="90" t="e">
        <f t="shared" si="6"/>
        <v>#DIV/0!</v>
      </c>
    </row>
    <row r="149" spans="1:11" x14ac:dyDescent="0.25">
      <c r="A149" s="87"/>
      <c r="B149" s="91"/>
      <c r="C149" s="91"/>
      <c r="D149" s="91"/>
      <c r="E149" s="93"/>
      <c r="F149" s="91"/>
      <c r="G149" s="91"/>
      <c r="H149" s="91"/>
      <c r="I149" s="93"/>
      <c r="J149" s="88"/>
      <c r="K149" s="94"/>
    </row>
    <row r="150" spans="1:11" x14ac:dyDescent="0.25">
      <c r="A150" s="87"/>
      <c r="B150" s="91"/>
      <c r="C150" s="91"/>
      <c r="D150" s="91"/>
      <c r="E150" s="93"/>
      <c r="F150" s="91"/>
      <c r="G150" s="91"/>
      <c r="H150" s="91"/>
      <c r="I150" s="93"/>
      <c r="J150" s="88"/>
      <c r="K150" s="94"/>
    </row>
    <row r="151" spans="1:11" x14ac:dyDescent="0.25">
      <c r="A151" s="87"/>
      <c r="B151" s="95"/>
      <c r="C151" s="95"/>
      <c r="D151" s="95"/>
      <c r="H151" s="93"/>
    </row>
    <row r="152" spans="1:11" x14ac:dyDescent="0.25">
      <c r="A152" s="146" t="s">
        <v>158</v>
      </c>
      <c r="B152" s="146"/>
      <c r="C152" s="146"/>
      <c r="D152" s="146"/>
      <c r="E152" s="146"/>
      <c r="F152"/>
      <c r="G152"/>
      <c r="H152" s="90"/>
      <c r="I152"/>
    </row>
    <row r="153" spans="1:11" ht="15.75" thickBot="1" x14ac:dyDescent="0.3">
      <c r="A153" s="96"/>
      <c r="B153" s="97"/>
      <c r="C153" s="97"/>
      <c r="D153" s="97"/>
      <c r="E153"/>
      <c r="F153"/>
      <c r="G153"/>
      <c r="H153" s="90"/>
      <c r="I153"/>
    </row>
    <row r="154" spans="1:11" x14ac:dyDescent="0.25">
      <c r="A154" s="77"/>
      <c r="B154" s="78"/>
      <c r="C154" s="142" t="s">
        <v>151</v>
      </c>
      <c r="D154" s="142"/>
      <c r="E154" s="79"/>
      <c r="F154" s="80"/>
      <c r="G154" s="142" t="s">
        <v>159</v>
      </c>
      <c r="H154" s="142"/>
      <c r="I154" s="81"/>
    </row>
    <row r="155" spans="1:11" ht="25.5" thickBot="1" x14ac:dyDescent="0.3">
      <c r="A155" s="82" t="s">
        <v>50</v>
      </c>
      <c r="B155" s="83" t="s">
        <v>153</v>
      </c>
      <c r="C155" s="84" t="s">
        <v>21</v>
      </c>
      <c r="D155" s="84" t="s">
        <v>154</v>
      </c>
      <c r="E155" s="85" t="s">
        <v>155</v>
      </c>
      <c r="F155" s="84" t="s">
        <v>160</v>
      </c>
      <c r="G155" s="84" t="s">
        <v>161</v>
      </c>
      <c r="H155" s="84" t="s">
        <v>162</v>
      </c>
      <c r="I155" s="86" t="s">
        <v>155</v>
      </c>
    </row>
    <row r="156" spans="1:11" x14ac:dyDescent="0.25">
      <c r="A156" s="87"/>
      <c r="B156" s="88">
        <v>0</v>
      </c>
      <c r="C156" s="88">
        <v>0</v>
      </c>
      <c r="D156" s="89">
        <f t="shared" ref="D156:D162" si="8">+B156-C156</f>
        <v>0</v>
      </c>
      <c r="E156" s="90" t="e">
        <f>+C156/B156</f>
        <v>#DIV/0!</v>
      </c>
      <c r="F156" s="88">
        <v>0</v>
      </c>
      <c r="G156" s="98">
        <v>0</v>
      </c>
      <c r="H156" s="88">
        <v>0</v>
      </c>
      <c r="I156" s="99" t="e">
        <f>+(F156-H156)/F156</f>
        <v>#DIV/0!</v>
      </c>
    </row>
    <row r="157" spans="1:11" x14ac:dyDescent="0.25">
      <c r="A157" s="87"/>
      <c r="B157" s="91">
        <v>0</v>
      </c>
      <c r="C157" s="91">
        <v>0</v>
      </c>
      <c r="D157" s="92">
        <f t="shared" si="8"/>
        <v>0</v>
      </c>
      <c r="E157" s="90" t="e">
        <f>+C157/B157</f>
        <v>#DIV/0!</v>
      </c>
      <c r="F157" s="88">
        <v>0</v>
      </c>
      <c r="G157" s="98">
        <v>0</v>
      </c>
      <c r="H157" s="88">
        <v>0</v>
      </c>
      <c r="I157" s="96" t="e">
        <f t="shared" ref="I157:I171" si="9">+(F157-H157)/F157</f>
        <v>#DIV/0!</v>
      </c>
    </row>
    <row r="158" spans="1:11" x14ac:dyDescent="0.25">
      <c r="A158" s="87"/>
      <c r="B158" s="91">
        <v>0</v>
      </c>
      <c r="C158" s="91">
        <v>0</v>
      </c>
      <c r="D158" s="92">
        <f t="shared" si="8"/>
        <v>0</v>
      </c>
      <c r="E158" s="90" t="e">
        <f>+C158/B158</f>
        <v>#DIV/0!</v>
      </c>
      <c r="F158" s="88">
        <v>0</v>
      </c>
      <c r="G158" s="98">
        <v>0</v>
      </c>
      <c r="H158" s="88">
        <v>0</v>
      </c>
      <c r="I158" s="99" t="e">
        <f>+(F158-H158)/F158</f>
        <v>#DIV/0!</v>
      </c>
    </row>
    <row r="159" spans="1:11" x14ac:dyDescent="0.25">
      <c r="A159" s="87"/>
      <c r="B159" s="91">
        <v>0</v>
      </c>
      <c r="C159" s="91">
        <v>0</v>
      </c>
      <c r="D159" s="92">
        <f t="shared" si="8"/>
        <v>0</v>
      </c>
      <c r="E159" s="90" t="e">
        <f>+C159/B159</f>
        <v>#DIV/0!</v>
      </c>
      <c r="F159" s="88">
        <v>0</v>
      </c>
      <c r="G159" s="98">
        <v>0</v>
      </c>
      <c r="H159" s="88">
        <v>0</v>
      </c>
      <c r="I159" s="96" t="e">
        <f t="shared" si="9"/>
        <v>#DIV/0!</v>
      </c>
    </row>
    <row r="160" spans="1:11" x14ac:dyDescent="0.25">
      <c r="A160" s="87"/>
      <c r="B160" s="91">
        <v>0</v>
      </c>
      <c r="C160" s="91">
        <v>0</v>
      </c>
      <c r="D160" s="92">
        <f t="shared" si="8"/>
        <v>0</v>
      </c>
      <c r="E160" s="90" t="e">
        <f t="shared" ref="E160:E171" si="10">+C160/B160</f>
        <v>#DIV/0!</v>
      </c>
      <c r="F160" s="88">
        <v>0</v>
      </c>
      <c r="G160" s="98">
        <v>0</v>
      </c>
      <c r="H160" s="88">
        <v>0</v>
      </c>
      <c r="I160" s="99" t="e">
        <f>+(F160-H160)/F160</f>
        <v>#DIV/0!</v>
      </c>
    </row>
    <row r="161" spans="1:9" x14ac:dyDescent="0.25">
      <c r="A161" s="87"/>
      <c r="B161" s="91">
        <v>0</v>
      </c>
      <c r="C161" s="91">
        <v>0</v>
      </c>
      <c r="D161" s="92">
        <f t="shared" si="8"/>
        <v>0</v>
      </c>
      <c r="E161" s="90" t="e">
        <f t="shared" si="10"/>
        <v>#DIV/0!</v>
      </c>
      <c r="F161" s="88">
        <v>0</v>
      </c>
      <c r="G161" s="98">
        <v>0</v>
      </c>
      <c r="H161" s="88">
        <v>0</v>
      </c>
      <c r="I161" s="96" t="e">
        <f t="shared" si="9"/>
        <v>#DIV/0!</v>
      </c>
    </row>
    <row r="162" spans="1:9" x14ac:dyDescent="0.25">
      <c r="A162" s="87"/>
      <c r="B162" s="91">
        <v>0</v>
      </c>
      <c r="C162" s="91">
        <v>0</v>
      </c>
      <c r="D162" s="92">
        <f t="shared" si="8"/>
        <v>0</v>
      </c>
      <c r="E162" s="90" t="e">
        <f t="shared" si="10"/>
        <v>#DIV/0!</v>
      </c>
      <c r="F162" s="88">
        <v>0</v>
      </c>
      <c r="G162" s="98">
        <v>0</v>
      </c>
      <c r="H162" s="88">
        <v>0</v>
      </c>
      <c r="I162" s="96" t="e">
        <f t="shared" si="9"/>
        <v>#DIV/0!</v>
      </c>
    </row>
    <row r="163" spans="1:9" x14ac:dyDescent="0.25">
      <c r="A163" s="87"/>
      <c r="B163" s="91">
        <v>0</v>
      </c>
      <c r="C163" s="91">
        <v>0</v>
      </c>
      <c r="D163" s="92">
        <v>0</v>
      </c>
      <c r="E163" s="90" t="e">
        <f t="shared" si="10"/>
        <v>#DIV/0!</v>
      </c>
      <c r="F163" s="88">
        <v>0</v>
      </c>
      <c r="G163" s="98">
        <v>0</v>
      </c>
      <c r="H163" s="88">
        <v>0</v>
      </c>
      <c r="I163" s="96" t="e">
        <f t="shared" si="9"/>
        <v>#DIV/0!</v>
      </c>
    </row>
    <row r="164" spans="1:9" x14ac:dyDescent="0.25">
      <c r="A164" s="87"/>
      <c r="B164" s="91">
        <v>0</v>
      </c>
      <c r="C164" s="91">
        <v>0</v>
      </c>
      <c r="D164" s="92">
        <f t="shared" ref="D164:D171" si="11">+B164-C164</f>
        <v>0</v>
      </c>
      <c r="E164" s="90" t="e">
        <f t="shared" si="10"/>
        <v>#DIV/0!</v>
      </c>
      <c r="F164" s="88">
        <v>0</v>
      </c>
      <c r="G164" s="98">
        <v>0</v>
      </c>
      <c r="H164" s="88">
        <v>0</v>
      </c>
      <c r="I164" s="96" t="e">
        <f t="shared" si="9"/>
        <v>#DIV/0!</v>
      </c>
    </row>
    <row r="165" spans="1:9" x14ac:dyDescent="0.25">
      <c r="A165" s="87"/>
      <c r="B165" s="91">
        <v>0</v>
      </c>
      <c r="C165" s="91">
        <v>0</v>
      </c>
      <c r="D165" s="92">
        <f t="shared" si="11"/>
        <v>0</v>
      </c>
      <c r="E165" s="90" t="e">
        <f t="shared" si="10"/>
        <v>#DIV/0!</v>
      </c>
      <c r="F165" s="88">
        <v>0</v>
      </c>
      <c r="G165" s="98">
        <v>0</v>
      </c>
      <c r="H165" s="88">
        <v>0</v>
      </c>
      <c r="I165" s="96" t="e">
        <f t="shared" si="9"/>
        <v>#DIV/0!</v>
      </c>
    </row>
    <row r="166" spans="1:9" x14ac:dyDescent="0.25">
      <c r="A166" s="87"/>
      <c r="B166" s="91">
        <v>0</v>
      </c>
      <c r="C166" s="91">
        <v>0</v>
      </c>
      <c r="D166" s="92">
        <f t="shared" si="11"/>
        <v>0</v>
      </c>
      <c r="E166" s="90" t="e">
        <f t="shared" si="10"/>
        <v>#DIV/0!</v>
      </c>
      <c r="F166" s="88">
        <v>0</v>
      </c>
      <c r="G166" s="98">
        <v>0</v>
      </c>
      <c r="H166" s="88">
        <v>0</v>
      </c>
      <c r="I166" s="96" t="e">
        <f t="shared" si="9"/>
        <v>#DIV/0!</v>
      </c>
    </row>
    <row r="167" spans="1:9" x14ac:dyDescent="0.25">
      <c r="A167" s="87"/>
      <c r="B167" s="91">
        <v>0</v>
      </c>
      <c r="C167" s="91">
        <v>0</v>
      </c>
      <c r="D167" s="92">
        <f t="shared" si="11"/>
        <v>0</v>
      </c>
      <c r="E167" s="90" t="e">
        <f t="shared" si="10"/>
        <v>#DIV/0!</v>
      </c>
      <c r="F167" s="88">
        <v>0</v>
      </c>
      <c r="G167" s="98">
        <v>0</v>
      </c>
      <c r="H167" s="88">
        <v>0</v>
      </c>
      <c r="I167" s="96" t="e">
        <f t="shared" si="9"/>
        <v>#DIV/0!</v>
      </c>
    </row>
    <row r="168" spans="1:9" x14ac:dyDescent="0.25">
      <c r="A168" s="87"/>
      <c r="B168" s="91">
        <v>0</v>
      </c>
      <c r="C168" s="91">
        <v>0</v>
      </c>
      <c r="D168" s="92">
        <f t="shared" si="11"/>
        <v>0</v>
      </c>
      <c r="E168" s="90" t="e">
        <f t="shared" si="10"/>
        <v>#DIV/0!</v>
      </c>
      <c r="F168" s="88">
        <v>0</v>
      </c>
      <c r="G168" s="98">
        <v>0</v>
      </c>
      <c r="H168" s="88">
        <v>0</v>
      </c>
      <c r="I168" s="96" t="e">
        <f t="shared" si="9"/>
        <v>#DIV/0!</v>
      </c>
    </row>
    <row r="169" spans="1:9" x14ac:dyDescent="0.25">
      <c r="A169" s="87"/>
      <c r="B169" s="91">
        <v>0</v>
      </c>
      <c r="C169" s="91">
        <v>0</v>
      </c>
      <c r="D169" s="92">
        <f t="shared" si="11"/>
        <v>0</v>
      </c>
      <c r="E169" s="90" t="e">
        <f t="shared" si="10"/>
        <v>#DIV/0!</v>
      </c>
      <c r="F169" s="88">
        <v>0</v>
      </c>
      <c r="G169" s="98">
        <v>0</v>
      </c>
      <c r="H169" s="88">
        <v>0</v>
      </c>
      <c r="I169" s="96" t="e">
        <f t="shared" si="9"/>
        <v>#DIV/0!</v>
      </c>
    </row>
    <row r="170" spans="1:9" x14ac:dyDescent="0.25">
      <c r="A170" s="87"/>
      <c r="B170" s="91">
        <v>0</v>
      </c>
      <c r="C170" s="91">
        <v>0</v>
      </c>
      <c r="D170" s="92">
        <f t="shared" si="11"/>
        <v>0</v>
      </c>
      <c r="E170" s="90" t="e">
        <f t="shared" si="10"/>
        <v>#DIV/0!</v>
      </c>
      <c r="F170" s="88">
        <v>0</v>
      </c>
      <c r="G170" s="98">
        <v>0</v>
      </c>
      <c r="H170" s="88">
        <v>0</v>
      </c>
      <c r="I170" s="96" t="e">
        <f t="shared" si="9"/>
        <v>#DIV/0!</v>
      </c>
    </row>
    <row r="171" spans="1:9" x14ac:dyDescent="0.25">
      <c r="A171" s="87"/>
      <c r="B171" s="91">
        <v>0</v>
      </c>
      <c r="C171" s="91">
        <v>0</v>
      </c>
      <c r="D171" s="92">
        <f t="shared" si="11"/>
        <v>0</v>
      </c>
      <c r="E171" s="90" t="e">
        <f t="shared" si="10"/>
        <v>#DIV/0!</v>
      </c>
      <c r="F171" s="88">
        <v>0</v>
      </c>
      <c r="G171" s="98">
        <v>0</v>
      </c>
      <c r="H171" s="88">
        <v>0</v>
      </c>
      <c r="I171" s="96" t="e">
        <f t="shared" si="9"/>
        <v>#DIV/0!</v>
      </c>
    </row>
    <row r="173" spans="1:9" x14ac:dyDescent="0.25">
      <c r="A173" s="14" t="s">
        <v>163</v>
      </c>
      <c r="B173" s="14" t="s">
        <v>164</v>
      </c>
      <c r="C173" s="14" t="s">
        <v>165</v>
      </c>
      <c r="D173" s="14" t="s">
        <v>47</v>
      </c>
      <c r="E173" s="14" t="s">
        <v>152</v>
      </c>
    </row>
    <row r="174" spans="1:9" x14ac:dyDescent="0.25">
      <c r="A174" s="14" t="s">
        <v>166</v>
      </c>
      <c r="B174" s="130">
        <f>SUMIFS(Proposal_1!$L$14:$L$250,Proposal_1!$AF$14:$AF$250,"")-SUMIFS(Proposal_1!$J$14:$J$250,Proposal_1!$AF$14:$AF$250,"")</f>
        <v>0</v>
      </c>
      <c r="C174" s="130">
        <f>SUMIFS(Proposal_1!$P$14:$P$250,Proposal_1!$AF$14:$AF$250,"")-SUMIFS(Proposal_1!$N$14:$N$250,Proposal_1!$AF$14:$AF$250,"")</f>
        <v>-389975</v>
      </c>
      <c r="D174" s="130">
        <f>SUMIFS(Proposal_1!$T$14:$T$250,Proposal_1!$AF$14:$AF$250,"")-SUMIFS(Proposal_1!$R$14:$R$250,Proposal_1!$AF$14:$AF$250,"")</f>
        <v>0</v>
      </c>
      <c r="E174" s="130">
        <f>SUMIFS(Proposal_1!$X$14:$X$250,Proposal_1!$AF$14:$AF$250,"")-SUMIFS(Proposal_1!$V$14:$V$250,Proposal_1!$AF$14:$AF$250,"")</f>
        <v>-3330.25</v>
      </c>
    </row>
    <row r="175" spans="1:9" x14ac:dyDescent="0.25">
      <c r="A175" s="14" t="s">
        <v>58</v>
      </c>
      <c r="B175" s="130">
        <f>SUMIFS(Proposal_1!$L$14:$L$250,Proposal_1!$AF$14:$AF$250,"exclusion")-SUMIFS(Proposal_1!$J$14:$J$250,Proposal_1!$AF$14:$AF$250,"exclusion")</f>
        <v>0</v>
      </c>
      <c r="C175" s="130">
        <f>SUMIFS(Proposal_1!$P$14:$P$250,Proposal_1!$AF$14:$AF$250,"exclusion")-SUMIFS(Proposal_1!$N$14:$N$250,Proposal_1!$AF$14:$AF$250,"exclusion")</f>
        <v>-390092.5</v>
      </c>
      <c r="D175" s="130">
        <f>SUMIFS(Proposal_1!$T$14:$T$250,Proposal_1!$AF$14:$AF$250,"exclusion")-SUMIFS(Proposal_1!$R$14:$R$250,Proposal_1!$AF$14:$AF$250,"exclusion")</f>
        <v>0</v>
      </c>
      <c r="E175" s="130">
        <f>SUMIFS(Proposal_1!$X$14:$X$250,Proposal_1!$AF$14:$AF$250,"exclusion")-SUMIFS(Proposal_1!$V$14:$V$250,Proposal_1!$AF$14:$AF$250,"exclusion")</f>
        <v>-3355.1500000000015</v>
      </c>
    </row>
    <row r="177" spans="1:5" x14ac:dyDescent="0.25">
      <c r="A177" s="14" t="s">
        <v>167</v>
      </c>
      <c r="B177" s="14" t="s">
        <v>164</v>
      </c>
      <c r="C177" s="14" t="s">
        <v>165</v>
      </c>
      <c r="D177" s="14" t="s">
        <v>47</v>
      </c>
      <c r="E177" s="14" t="s">
        <v>152</v>
      </c>
    </row>
    <row r="178" spans="1:5" x14ac:dyDescent="0.25">
      <c r="A178" s="14" t="s">
        <v>166</v>
      </c>
      <c r="B178" s="130" t="e">
        <f>SUMIFS(#REF!,#REF!,"")-SUMIFS(#REF!,#REF!,"")</f>
        <v>#REF!</v>
      </c>
      <c r="C178" s="130" t="e">
        <f>SUMIFS(#REF!,#REF!,"")-SUMIFS(#REF!,#REF!,"")</f>
        <v>#REF!</v>
      </c>
      <c r="D178" s="130" t="e">
        <f>SUMIFS(#REF!,#REF!,"")-SUMIFS(#REF!,#REF!,"")</f>
        <v>#REF!</v>
      </c>
      <c r="E178" s="130" t="e">
        <f>SUMIFS(#REF!,#REF!,"")-SUMIFS(#REF!,#REF!,"")</f>
        <v>#REF!</v>
      </c>
    </row>
    <row r="179" spans="1:5" x14ac:dyDescent="0.25">
      <c r="A179" s="14" t="s">
        <v>58</v>
      </c>
      <c r="B179" s="130" t="e">
        <f>SUMIFS(#REF!,#REF!,"exclusion")-SUMIFS(#REF!,#REF!,"exclusion")</f>
        <v>#REF!</v>
      </c>
      <c r="C179" s="130" t="e">
        <f>SUMIFS(#REF!,#REF!,"exclusion")-SUMIFS(#REF!,#REF!,"exclusion")</f>
        <v>#REF!</v>
      </c>
      <c r="D179" s="130" t="e">
        <f>SUMIFS(#REF!,#REF!,"exclusion")-SUMIFS(#REF!,#REF!,"exclusion")</f>
        <v>#REF!</v>
      </c>
      <c r="E179" s="130" t="e">
        <f>SUMIFS(#REF!,#REF!,"exclusion")-SUMIFS(#REF!,#REF!,"exclusion")</f>
        <v>#REF!</v>
      </c>
    </row>
    <row r="181" spans="1:5" x14ac:dyDescent="0.25">
      <c r="A181" s="14" t="s">
        <v>168</v>
      </c>
      <c r="B181" s="14" t="s">
        <v>164</v>
      </c>
      <c r="C181" s="14" t="s">
        <v>165</v>
      </c>
      <c r="D181" s="14" t="s">
        <v>47</v>
      </c>
      <c r="E181" s="14" t="s">
        <v>152</v>
      </c>
    </row>
    <row r="182" spans="1:5" x14ac:dyDescent="0.25">
      <c r="A182" s="14" t="s">
        <v>166</v>
      </c>
      <c r="B182" s="130" t="e">
        <f>SUMIFS(#REF!,#REF!,"")-SUMIFS(#REF!,#REF!,"")</f>
        <v>#REF!</v>
      </c>
      <c r="C182" s="130" t="e">
        <f>SUMIFS(#REF!,#REF!,"")-SUMIFS(#REF!,#REF!,"")</f>
        <v>#REF!</v>
      </c>
      <c r="D182" s="130" t="e">
        <f>SUMIFS(#REF!,#REF!,"")-SUMIFS(#REF!,#REF!,"")</f>
        <v>#REF!</v>
      </c>
      <c r="E182" s="130" t="e">
        <f>SUMIFS(#REF!,#REF!,"")-SUMIFS(#REF!,#REF!,"")</f>
        <v>#REF!</v>
      </c>
    </row>
    <row r="183" spans="1:5" x14ac:dyDescent="0.25">
      <c r="A183" s="14" t="s">
        <v>58</v>
      </c>
      <c r="B183" s="130" t="e">
        <f>SUMIFS(#REF!,#REF!,"exclusion")-SUMIFS(#REF!,#REF!,"exclusion")</f>
        <v>#REF!</v>
      </c>
      <c r="C183" s="130" t="e">
        <f>SUMIFS(#REF!,#REF!,"exclusion")-SUMIFS(#REF!,#REF!,"exclusion")</f>
        <v>#REF!</v>
      </c>
      <c r="D183" s="130" t="e">
        <f>SUMIFS(#REF!,#REF!,"exclusion")-SUMIFS(#REF!,#REF!,"exclusion")</f>
        <v>#REF!</v>
      </c>
      <c r="E183" s="130" t="e">
        <f>SUMIFS(#REF!,#REF!,"exclusion")-SUMIFS(#REF!,#REF!,"exclusion")</f>
        <v>#REF!</v>
      </c>
    </row>
  </sheetData>
  <mergeCells count="31">
    <mergeCell ref="F24:I24"/>
    <mergeCell ref="A1:D1"/>
    <mergeCell ref="F4:I4"/>
    <mergeCell ref="F6:I15"/>
    <mergeCell ref="F17:I17"/>
    <mergeCell ref="F18:I22"/>
    <mergeCell ref="F57:G57"/>
    <mergeCell ref="F25:I25"/>
    <mergeCell ref="B39:D39"/>
    <mergeCell ref="F39:I41"/>
    <mergeCell ref="B41:D41"/>
    <mergeCell ref="F43:G43"/>
    <mergeCell ref="F45:G45"/>
    <mergeCell ref="F47:G47"/>
    <mergeCell ref="F49:G49"/>
    <mergeCell ref="F51:G51"/>
    <mergeCell ref="F53:G53"/>
    <mergeCell ref="F55:G55"/>
    <mergeCell ref="C154:D154"/>
    <mergeCell ref="G154:H154"/>
    <mergeCell ref="F59:G59"/>
    <mergeCell ref="F61:G61"/>
    <mergeCell ref="F63:G63"/>
    <mergeCell ref="F65:G65"/>
    <mergeCell ref="F67:G67"/>
    <mergeCell ref="F69:G69"/>
    <mergeCell ref="F71:G71"/>
    <mergeCell ref="A110:E110"/>
    <mergeCell ref="C112:D112"/>
    <mergeCell ref="G112:H112"/>
    <mergeCell ref="A152:E152"/>
  </mergeCells>
  <dataValidations disablePrompts="1" count="3">
    <dataValidation type="list" allowBlank="1" showInputMessage="1" showErrorMessage="1" sqref="F25:F26" xr:uid="{41A9A750-29D4-43FC-8708-69B5A74F73ED}">
      <formula1>$J$24:$J$25</formula1>
    </dataValidation>
    <dataValidation type="list" allowBlank="1" showInputMessage="1" showErrorMessage="1" sqref="B41:D41 B852009:D852009 B917545:D917545 B786473:D786473 B655401:D655401 B720937:D720937 B589865:D589865 B458793:D458793 B524329:D524329 B393257:D393257 B262185:D262185 B327721:D327721 B131113:D131113 B196649:D196649 B65577:D65577 B983081:D983081" xr:uid="{CBDAD3D8-2130-40FD-98D1-D290EC74A875}">
      <formula1>$E$39:$E$41</formula1>
    </dataValidation>
    <dataValidation type="list" allowBlank="1" showInputMessage="1" showErrorMessage="1" sqref="F196636:F196637 F65564:F65565 F983068:F983069 F851996:F851997 F917532:F917533 F720924:F720925 F786460:F786461 F655388:F655389 F524316:F524317 F589852:F589853 F458780:F458781 F327708:F327709 F393244:F393245 F262172:F262173 F131100:F131101" xr:uid="{3323AD6A-A57C-4FF3-AF6A-E098B66C6089}">
      <formula1>#REF!</formula1>
    </dataValidation>
  </dataValidations>
  <pageMargins left="0.7" right="0.7" top="0.75" bottom="0.75" header="0.3" footer="0.3"/>
  <pageSetup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78AA8-A759-4CDC-A207-F40C0B3A9B53}">
  <sheetPr codeName="Sheet2"/>
  <dimension ref="B2:AB261"/>
  <sheetViews>
    <sheetView topLeftCell="H1" zoomScale="85" zoomScaleNormal="85" workbookViewId="0">
      <pane ySplit="24" topLeftCell="A25" activePane="bottomLeft" state="frozen"/>
      <selection pane="bottomLeft" activeCell="V19" sqref="V19"/>
    </sheetView>
  </sheetViews>
  <sheetFormatPr defaultRowHeight="15" x14ac:dyDescent="0.25"/>
  <cols>
    <col min="1" max="2" width="3.42578125" customWidth="1"/>
    <col min="3" max="3" width="50.5703125" customWidth="1"/>
    <col min="4" max="4" width="16.42578125" customWidth="1"/>
    <col min="5" max="5" width="17.140625" customWidth="1"/>
    <col min="6" max="6" width="6.7109375" customWidth="1"/>
    <col min="7" max="7" width="10.42578125" customWidth="1"/>
    <col min="8" max="8" width="18.140625" customWidth="1"/>
    <col min="9" max="9" width="21.140625" customWidth="1"/>
    <col min="10" max="10" width="17" customWidth="1"/>
    <col min="11" max="11" width="21.140625" customWidth="1"/>
    <col min="12" max="12" width="3.42578125" customWidth="1"/>
    <col min="13" max="13" width="21.140625" customWidth="1"/>
    <col min="14" max="14" width="17" customWidth="1"/>
    <col min="15" max="15" width="21.140625" customWidth="1"/>
    <col min="16" max="16" width="3.42578125" customWidth="1"/>
    <col min="17" max="17" width="21.140625" customWidth="1"/>
    <col min="18" max="18" width="17" customWidth="1"/>
    <col min="19" max="19" width="21.140625" customWidth="1"/>
    <col min="20" max="20" width="3.42578125" customWidth="1"/>
    <col min="21" max="21" width="21.140625" customWidth="1"/>
    <col min="22" max="22" width="17" customWidth="1"/>
    <col min="23" max="23" width="21.140625" customWidth="1"/>
    <col min="24" max="24" width="3.42578125" customWidth="1"/>
    <col min="25" max="25" width="21.140625" customWidth="1"/>
    <col min="26" max="26" width="9.140625" style="35"/>
  </cols>
  <sheetData>
    <row r="2" spans="2:25" x14ac:dyDescent="0.25">
      <c r="C2" t="s">
        <v>169</v>
      </c>
      <c r="D2" s="105" t="s">
        <v>170</v>
      </c>
      <c r="F2" t="s">
        <v>171</v>
      </c>
      <c r="I2" s="133" t="s">
        <v>94</v>
      </c>
    </row>
    <row r="4" spans="2:25" x14ac:dyDescent="0.25">
      <c r="B4" s="100" t="str" cm="1">
        <f t="array" aca="1" ref="B4" ca="1">IFERROR(CONCATENATE("Pricing Proposal Summary for Prepared for ",INDIRECT($D$2&amp;"!c4")," - ",INDIRECT(D2&amp;"!c11")," Months"),CONCATENATE("Pricing Proposal Summary for Prepared for ",INDIRECT("'"&amp;$D$2&amp;"'!c4")," - ",INDIRECT("'"&amp;D2&amp;"'!c11")," Months"))</f>
        <v>Pricing Proposal Summary for Prepared for Echelon Bank (InOrg) - TBD Months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26" t="s">
        <v>172</v>
      </c>
    </row>
    <row r="6" spans="2:25" x14ac:dyDescent="0.25">
      <c r="B6" s="104" t="s">
        <v>173</v>
      </c>
      <c r="C6" s="102"/>
      <c r="D6" s="102"/>
      <c r="E6" s="102"/>
      <c r="F6" s="102"/>
      <c r="G6" s="102"/>
      <c r="H6" s="102"/>
      <c r="I6" s="108" t="s">
        <v>174</v>
      </c>
      <c r="J6" s="108" t="s">
        <v>21</v>
      </c>
      <c r="K6" s="108" t="s">
        <v>175</v>
      </c>
      <c r="L6" s="108"/>
      <c r="M6" s="108" t="s">
        <v>176</v>
      </c>
      <c r="N6" s="108" t="s">
        <v>21</v>
      </c>
      <c r="O6" s="108" t="s">
        <v>177</v>
      </c>
      <c r="P6" s="108"/>
      <c r="Q6" s="108" t="s">
        <v>178</v>
      </c>
      <c r="R6" s="108" t="s">
        <v>21</v>
      </c>
      <c r="S6" s="108" t="s">
        <v>179</v>
      </c>
      <c r="T6" s="108"/>
      <c r="U6" s="108" t="s">
        <v>180</v>
      </c>
      <c r="V6" s="108" t="s">
        <v>21</v>
      </c>
      <c r="W6" s="108" t="s">
        <v>181</v>
      </c>
      <c r="X6" s="108"/>
      <c r="Y6" s="108" t="s">
        <v>31</v>
      </c>
    </row>
    <row r="7" spans="2:25" x14ac:dyDescent="0.25">
      <c r="H7" t="s">
        <v>182</v>
      </c>
      <c r="I7" s="106">
        <f t="shared" ref="I7:K16" ca="1" si="0">SUMIFS(I$25:I$261,$D$25:$D$261,$H7,$E$25:$E$261,"Included")</f>
        <v>215605</v>
      </c>
      <c r="J7" s="106">
        <f t="shared" ca="1" si="0"/>
        <v>-206605</v>
      </c>
      <c r="K7" s="106">
        <f t="shared" ca="1" si="0"/>
        <v>9000</v>
      </c>
      <c r="L7" s="106"/>
      <c r="M7" s="106">
        <f t="shared" ref="M7:O16" ca="1" si="1">SUMIFS(M$25:M$261,$D$25:$D$261,$H7,$E$25:$E$261,"Included")</f>
        <v>0</v>
      </c>
      <c r="N7" s="106">
        <f t="shared" ca="1" si="1"/>
        <v>0</v>
      </c>
      <c r="O7" s="106">
        <f t="shared" ca="1" si="1"/>
        <v>0</v>
      </c>
      <c r="P7" s="106"/>
      <c r="Q7" s="106">
        <f t="shared" ref="Q7:S16" ca="1" si="2">SUMIFS(Q$25:Q$261,$D$25:$D$261,$H7,$E$25:$E$261,"Included")</f>
        <v>7371.4</v>
      </c>
      <c r="R7" s="106">
        <f t="shared" ca="1" si="2"/>
        <v>-943.14999999999964</v>
      </c>
      <c r="S7" s="106">
        <f t="shared" ca="1" si="2"/>
        <v>6428.25</v>
      </c>
      <c r="T7" s="106"/>
      <c r="U7" s="106">
        <f t="shared" ref="U7:W16" ca="1" si="3">SUMIFS(U$25:U$261,$D$25:$D$261,$H7,$E$25:$E$261,"Included")</f>
        <v>0</v>
      </c>
      <c r="V7" s="106">
        <f t="shared" ca="1" si="3"/>
        <v>0</v>
      </c>
      <c r="W7" s="106">
        <f t="shared" ca="1" si="3"/>
        <v>0</v>
      </c>
      <c r="X7" s="106"/>
      <c r="Y7" s="106">
        <f t="shared" ref="Y7:Y16" ca="1" si="4">SUMIFS(Y$25:Y$261,$D$25:$D$261,$H7,$E$25:$E$261,"Included")</f>
        <v>6428.25</v>
      </c>
    </row>
    <row r="8" spans="2:25" x14ac:dyDescent="0.25">
      <c r="H8" t="s">
        <v>183</v>
      </c>
      <c r="I8" s="106">
        <f t="shared" ca="1" si="0"/>
        <v>43220</v>
      </c>
      <c r="J8" s="106">
        <f t="shared" ca="1" si="0"/>
        <v>-36675</v>
      </c>
      <c r="K8" s="106">
        <f t="shared" ca="1" si="0"/>
        <v>6545</v>
      </c>
      <c r="L8" s="106"/>
      <c r="M8" s="106">
        <f t="shared" ca="1" si="1"/>
        <v>6309</v>
      </c>
      <c r="N8" s="106">
        <f t="shared" ca="1" si="1"/>
        <v>0</v>
      </c>
      <c r="O8" s="106">
        <f t="shared" ca="1" si="1"/>
        <v>6309</v>
      </c>
      <c r="P8" s="106"/>
      <c r="Q8" s="106">
        <f t="shared" ca="1" si="2"/>
        <v>2520</v>
      </c>
      <c r="R8" s="106">
        <f t="shared" ca="1" si="2"/>
        <v>-629.5</v>
      </c>
      <c r="S8" s="106">
        <f t="shared" ca="1" si="2"/>
        <v>1890.5</v>
      </c>
      <c r="T8" s="106"/>
      <c r="U8" s="106">
        <f t="shared" ca="1" si="3"/>
        <v>0</v>
      </c>
      <c r="V8" s="106">
        <f t="shared" ca="1" si="3"/>
        <v>0</v>
      </c>
      <c r="W8" s="106">
        <f t="shared" ca="1" si="3"/>
        <v>0</v>
      </c>
      <c r="X8" s="106"/>
      <c r="Y8" s="106">
        <f t="shared" ca="1" si="4"/>
        <v>1890.5</v>
      </c>
    </row>
    <row r="9" spans="2:25" x14ac:dyDescent="0.25">
      <c r="H9" t="s">
        <v>184</v>
      </c>
      <c r="I9" s="106">
        <f t="shared" ca="1" si="0"/>
        <v>112050</v>
      </c>
      <c r="J9" s="106">
        <f t="shared" ca="1" si="0"/>
        <v>-112050</v>
      </c>
      <c r="K9" s="106">
        <f t="shared" ca="1" si="0"/>
        <v>0</v>
      </c>
      <c r="L9" s="106"/>
      <c r="M9" s="106">
        <f t="shared" ca="1" si="1"/>
        <v>500</v>
      </c>
      <c r="N9" s="106">
        <f t="shared" ca="1" si="1"/>
        <v>0</v>
      </c>
      <c r="O9" s="106">
        <f t="shared" ca="1" si="1"/>
        <v>500</v>
      </c>
      <c r="P9" s="106"/>
      <c r="Q9" s="106">
        <f t="shared" ca="1" si="2"/>
        <v>3505</v>
      </c>
      <c r="R9" s="106">
        <f t="shared" ca="1" si="2"/>
        <v>-588.5</v>
      </c>
      <c r="S9" s="106">
        <f t="shared" ca="1" si="2"/>
        <v>2916.5</v>
      </c>
      <c r="T9" s="106"/>
      <c r="U9" s="106">
        <f t="shared" ca="1" si="3"/>
        <v>0</v>
      </c>
      <c r="V9" s="106">
        <f t="shared" ca="1" si="3"/>
        <v>0</v>
      </c>
      <c r="W9" s="106">
        <f t="shared" ca="1" si="3"/>
        <v>0</v>
      </c>
      <c r="X9" s="106"/>
      <c r="Y9" s="106">
        <f t="shared" ca="1" si="4"/>
        <v>2916.5</v>
      </c>
    </row>
    <row r="10" spans="2:25" x14ac:dyDescent="0.25">
      <c r="H10" t="s">
        <v>185</v>
      </c>
      <c r="I10" s="106">
        <f t="shared" ca="1" si="0"/>
        <v>90325</v>
      </c>
      <c r="J10" s="106">
        <f t="shared" ca="1" si="0"/>
        <v>-58350</v>
      </c>
      <c r="K10" s="106">
        <f t="shared" ca="1" si="0"/>
        <v>31975</v>
      </c>
      <c r="L10" s="106"/>
      <c r="M10" s="106">
        <f t="shared" ca="1" si="1"/>
        <v>0</v>
      </c>
      <c r="N10" s="106">
        <f t="shared" ca="1" si="1"/>
        <v>0</v>
      </c>
      <c r="O10" s="106">
        <f t="shared" ca="1" si="1"/>
        <v>0</v>
      </c>
      <c r="P10" s="106"/>
      <c r="Q10" s="106">
        <f t="shared" ca="1" si="2"/>
        <v>5925</v>
      </c>
      <c r="R10" s="106">
        <f t="shared" ca="1" si="2"/>
        <v>-1026</v>
      </c>
      <c r="S10" s="106">
        <f t="shared" ca="1" si="2"/>
        <v>4899</v>
      </c>
      <c r="T10" s="106"/>
      <c r="U10" s="106">
        <f t="shared" ca="1" si="3"/>
        <v>0</v>
      </c>
      <c r="V10" s="106">
        <f t="shared" ca="1" si="3"/>
        <v>0</v>
      </c>
      <c r="W10" s="106">
        <f t="shared" ca="1" si="3"/>
        <v>0</v>
      </c>
      <c r="X10" s="106"/>
      <c r="Y10" s="106">
        <f t="shared" ca="1" si="4"/>
        <v>4899</v>
      </c>
    </row>
    <row r="11" spans="2:25" x14ac:dyDescent="0.25">
      <c r="H11" t="s">
        <v>186</v>
      </c>
      <c r="I11" s="106">
        <f t="shared" ca="1" si="0"/>
        <v>0</v>
      </c>
      <c r="J11" s="106">
        <f t="shared" ca="1" si="0"/>
        <v>0</v>
      </c>
      <c r="K11" s="106">
        <f t="shared" ca="1" si="0"/>
        <v>0</v>
      </c>
      <c r="L11" s="106"/>
      <c r="M11" s="106">
        <f t="shared" ca="1" si="1"/>
        <v>0</v>
      </c>
      <c r="N11" s="106">
        <f t="shared" ca="1" si="1"/>
        <v>0</v>
      </c>
      <c r="O11" s="106">
        <f t="shared" ca="1" si="1"/>
        <v>0</v>
      </c>
      <c r="P11" s="106"/>
      <c r="Q11" s="106">
        <f t="shared" ca="1" si="2"/>
        <v>0</v>
      </c>
      <c r="R11" s="106">
        <f t="shared" ca="1" si="2"/>
        <v>0</v>
      </c>
      <c r="S11" s="106">
        <f t="shared" ca="1" si="2"/>
        <v>0</v>
      </c>
      <c r="T11" s="106"/>
      <c r="U11" s="106">
        <f t="shared" ca="1" si="3"/>
        <v>0</v>
      </c>
      <c r="V11" s="106">
        <f t="shared" ca="1" si="3"/>
        <v>0</v>
      </c>
      <c r="W11" s="106">
        <f t="shared" ca="1" si="3"/>
        <v>0</v>
      </c>
      <c r="X11" s="106"/>
      <c r="Y11" s="106">
        <f t="shared" ca="1" si="4"/>
        <v>0</v>
      </c>
    </row>
    <row r="12" spans="2:25" x14ac:dyDescent="0.25">
      <c r="H12" t="s">
        <v>187</v>
      </c>
      <c r="I12" s="106">
        <f t="shared" ca="1" si="0"/>
        <v>89490</v>
      </c>
      <c r="J12" s="106">
        <f t="shared" ca="1" si="0"/>
        <v>-24722.5</v>
      </c>
      <c r="K12" s="106">
        <f t="shared" ca="1" si="0"/>
        <v>64767.5</v>
      </c>
      <c r="L12" s="106"/>
      <c r="M12" s="106">
        <f t="shared" ca="1" si="1"/>
        <v>1880</v>
      </c>
      <c r="N12" s="106">
        <f t="shared" ca="1" si="1"/>
        <v>0</v>
      </c>
      <c r="O12" s="106">
        <f t="shared" ca="1" si="1"/>
        <v>1880</v>
      </c>
      <c r="P12" s="106"/>
      <c r="Q12" s="106">
        <f t="shared" ca="1" si="2"/>
        <v>9320</v>
      </c>
      <c r="R12" s="106">
        <f t="shared" ca="1" si="2"/>
        <v>-933</v>
      </c>
      <c r="S12" s="106">
        <f t="shared" ca="1" si="2"/>
        <v>8387</v>
      </c>
      <c r="T12" s="106"/>
      <c r="U12" s="106">
        <f t="shared" ca="1" si="3"/>
        <v>0</v>
      </c>
      <c r="V12" s="106">
        <f t="shared" ca="1" si="3"/>
        <v>0</v>
      </c>
      <c r="W12" s="106">
        <f t="shared" ca="1" si="3"/>
        <v>0</v>
      </c>
      <c r="X12" s="106"/>
      <c r="Y12" s="106">
        <f t="shared" ca="1" si="4"/>
        <v>8387</v>
      </c>
    </row>
    <row r="13" spans="2:25" x14ac:dyDescent="0.25">
      <c r="H13" t="s">
        <v>188</v>
      </c>
      <c r="I13" s="106">
        <f t="shared" ca="1" si="0"/>
        <v>123095</v>
      </c>
      <c r="J13" s="106">
        <f t="shared" ca="1" si="0"/>
        <v>-120595</v>
      </c>
      <c r="K13" s="106">
        <f t="shared" ca="1" si="0"/>
        <v>2500</v>
      </c>
      <c r="L13" s="106"/>
      <c r="M13" s="106">
        <f t="shared" ca="1" si="1"/>
        <v>630</v>
      </c>
      <c r="N13" s="106">
        <f t="shared" ca="1" si="1"/>
        <v>0</v>
      </c>
      <c r="O13" s="106">
        <f t="shared" ca="1" si="1"/>
        <v>630</v>
      </c>
      <c r="P13" s="106"/>
      <c r="Q13" s="106">
        <f t="shared" ca="1" si="2"/>
        <v>10140</v>
      </c>
      <c r="R13" s="106">
        <f t="shared" ca="1" si="2"/>
        <v>-1075</v>
      </c>
      <c r="S13" s="106">
        <f t="shared" ca="1" si="2"/>
        <v>9065</v>
      </c>
      <c r="T13" s="106"/>
      <c r="U13" s="106">
        <f t="shared" ca="1" si="3"/>
        <v>0</v>
      </c>
      <c r="V13" s="106">
        <f t="shared" ca="1" si="3"/>
        <v>0</v>
      </c>
      <c r="W13" s="106">
        <f t="shared" ca="1" si="3"/>
        <v>0</v>
      </c>
      <c r="X13" s="106"/>
      <c r="Y13" s="106">
        <f t="shared" ca="1" si="4"/>
        <v>9065</v>
      </c>
    </row>
    <row r="14" spans="2:25" x14ac:dyDescent="0.25">
      <c r="H14" t="s">
        <v>189</v>
      </c>
      <c r="I14" s="106">
        <f t="shared" ca="1" si="0"/>
        <v>31575</v>
      </c>
      <c r="J14" s="106">
        <f t="shared" ca="1" si="0"/>
        <v>-26075</v>
      </c>
      <c r="K14" s="106">
        <f t="shared" ca="1" si="0"/>
        <v>5500</v>
      </c>
      <c r="L14" s="106"/>
      <c r="M14" s="106">
        <f t="shared" ca="1" si="1"/>
        <v>4940</v>
      </c>
      <c r="N14" s="106">
        <f t="shared" ca="1" si="1"/>
        <v>0</v>
      </c>
      <c r="O14" s="106">
        <f t="shared" ca="1" si="1"/>
        <v>4940</v>
      </c>
      <c r="P14" s="106"/>
      <c r="Q14" s="106">
        <f t="shared" ca="1" si="2"/>
        <v>2975</v>
      </c>
      <c r="R14" s="106">
        <f t="shared" ca="1" si="2"/>
        <v>-200.99999999999994</v>
      </c>
      <c r="S14" s="106">
        <f t="shared" ca="1" si="2"/>
        <v>2774</v>
      </c>
      <c r="T14" s="106"/>
      <c r="U14" s="106">
        <f t="shared" ca="1" si="3"/>
        <v>0</v>
      </c>
      <c r="V14" s="106">
        <f t="shared" ca="1" si="3"/>
        <v>0</v>
      </c>
      <c r="W14" s="106">
        <f t="shared" ca="1" si="3"/>
        <v>0</v>
      </c>
      <c r="X14" s="106"/>
      <c r="Y14" s="106">
        <f t="shared" ca="1" si="4"/>
        <v>2774</v>
      </c>
    </row>
    <row r="15" spans="2:25" x14ac:dyDescent="0.25">
      <c r="H15" t="s">
        <v>190</v>
      </c>
      <c r="I15" s="106">
        <f t="shared" ca="1" si="0"/>
        <v>45000</v>
      </c>
      <c r="J15" s="106">
        <f t="shared" ca="1" si="0"/>
        <v>0</v>
      </c>
      <c r="K15" s="106">
        <f t="shared" ca="1" si="0"/>
        <v>45000</v>
      </c>
      <c r="L15" s="106"/>
      <c r="M15" s="106">
        <f t="shared" ca="1" si="1"/>
        <v>3500</v>
      </c>
      <c r="N15" s="106">
        <f t="shared" ca="1" si="1"/>
        <v>0</v>
      </c>
      <c r="O15" s="106">
        <f t="shared" ca="1" si="1"/>
        <v>3500</v>
      </c>
      <c r="P15" s="106"/>
      <c r="Q15" s="106">
        <f t="shared" ca="1" si="2"/>
        <v>0</v>
      </c>
      <c r="R15" s="106">
        <f t="shared" ca="1" si="2"/>
        <v>0</v>
      </c>
      <c r="S15" s="106">
        <f t="shared" ca="1" si="2"/>
        <v>0</v>
      </c>
      <c r="T15" s="106"/>
      <c r="U15" s="106">
        <f t="shared" ca="1" si="3"/>
        <v>0</v>
      </c>
      <c r="V15" s="106">
        <f t="shared" ca="1" si="3"/>
        <v>0</v>
      </c>
      <c r="W15" s="106">
        <f t="shared" ca="1" si="3"/>
        <v>0</v>
      </c>
      <c r="X15" s="106"/>
      <c r="Y15" s="106">
        <f t="shared" ca="1" si="4"/>
        <v>0</v>
      </c>
    </row>
    <row r="16" spans="2:25" x14ac:dyDescent="0.25">
      <c r="H16" t="s">
        <v>191</v>
      </c>
      <c r="I16" s="106">
        <f t="shared" ca="1" si="0"/>
        <v>0</v>
      </c>
      <c r="J16" s="106">
        <f t="shared" ca="1" si="0"/>
        <v>0</v>
      </c>
      <c r="K16" s="106">
        <f t="shared" ca="1" si="0"/>
        <v>0</v>
      </c>
      <c r="L16" s="106"/>
      <c r="M16" s="106">
        <f t="shared" ca="1" si="1"/>
        <v>0</v>
      </c>
      <c r="N16" s="106">
        <f t="shared" ca="1" si="1"/>
        <v>0</v>
      </c>
      <c r="O16" s="106">
        <f t="shared" ca="1" si="1"/>
        <v>0</v>
      </c>
      <c r="P16" s="106"/>
      <c r="Q16" s="106">
        <f t="shared" ca="1" si="2"/>
        <v>0</v>
      </c>
      <c r="R16" s="106">
        <f t="shared" ca="1" si="2"/>
        <v>0</v>
      </c>
      <c r="S16" s="106">
        <f t="shared" ca="1" si="2"/>
        <v>0</v>
      </c>
      <c r="T16" s="106"/>
      <c r="U16" s="106">
        <f t="shared" ca="1" si="3"/>
        <v>0</v>
      </c>
      <c r="V16" s="106">
        <f t="shared" ca="1" si="3"/>
        <v>0</v>
      </c>
      <c r="W16" s="106">
        <f t="shared" ca="1" si="3"/>
        <v>0</v>
      </c>
      <c r="X16" s="106"/>
      <c r="Y16" s="106">
        <f t="shared" ca="1" si="4"/>
        <v>0</v>
      </c>
    </row>
    <row r="17" spans="2:28" x14ac:dyDescent="0.25">
      <c r="R17" s="106"/>
      <c r="S17" s="106"/>
      <c r="Y17" s="106"/>
    </row>
    <row r="18" spans="2:28" x14ac:dyDescent="0.25">
      <c r="H18" t="str">
        <f>IF(I2="yes","Other/Passthrough","")</f>
        <v/>
      </c>
      <c r="Q18" s="106" t="str">
        <f>IF(H18="","",SUMIFS(Billing_Fallout!H:H,Billing_Fallout!N:N,H18))</f>
        <v/>
      </c>
      <c r="R18" s="106" t="str">
        <f>IF(H18="","",SUMIFS(Billing_Fallout!I:I,Billing_Fallout!N:N,H18))</f>
        <v/>
      </c>
      <c r="S18" s="106" t="str">
        <f>IF(H18="","",SUMIFS(Billing_Fallout!J:J,Billing_Fallout!N:N,H18))</f>
        <v/>
      </c>
      <c r="U18" s="106" t="str">
        <f>IF(H18="","",SUMIFS(Billing_Fallout!H:H,Billing_Fallout!N:N,H18))</f>
        <v/>
      </c>
      <c r="V18" s="106" t="str">
        <f>IF(H18="","",SUMIFS(Billing_Fallout!I:I,Billing_Fallout!N:N,H18))</f>
        <v/>
      </c>
      <c r="W18" s="106" t="str">
        <f>IF(H18="","",SUMIFS(Billing_Fallout!J:J,Billing_Fallout!N:N,H18))</f>
        <v/>
      </c>
      <c r="Y18" s="106" t="str">
        <f>IF(H18="","",W18-S18)</f>
        <v/>
      </c>
    </row>
    <row r="19" spans="2:28" x14ac:dyDescent="0.25">
      <c r="C19" s="103" t="s">
        <v>147</v>
      </c>
      <c r="D19" s="103"/>
      <c r="E19" s="103"/>
      <c r="F19" s="103"/>
      <c r="G19" s="103"/>
      <c r="H19" s="103"/>
      <c r="I19" s="107">
        <f ca="1">SUM(I7:I18)</f>
        <v>750360</v>
      </c>
      <c r="J19" s="107">
        <f t="shared" ref="J19:W19" ca="1" si="5">SUM(J7:J18)</f>
        <v>-585072.5</v>
      </c>
      <c r="K19" s="107">
        <f t="shared" ca="1" si="5"/>
        <v>165287.5</v>
      </c>
      <c r="L19" s="107"/>
      <c r="M19" s="107">
        <f t="shared" ca="1" si="5"/>
        <v>17759</v>
      </c>
      <c r="N19" s="107">
        <f t="shared" ca="1" si="5"/>
        <v>0</v>
      </c>
      <c r="O19" s="107">
        <f t="shared" ca="1" si="5"/>
        <v>17759</v>
      </c>
      <c r="P19" s="107"/>
      <c r="Q19" s="107">
        <f t="shared" ca="1" si="5"/>
        <v>41756.400000000001</v>
      </c>
      <c r="R19" s="107">
        <f t="shared" ca="1" si="5"/>
        <v>-5396.15</v>
      </c>
      <c r="S19" s="107">
        <f ca="1">Q19+R19</f>
        <v>36360.25</v>
      </c>
      <c r="T19" s="107"/>
      <c r="U19" s="107">
        <f t="shared" ca="1" si="5"/>
        <v>0</v>
      </c>
      <c r="V19" s="107">
        <f t="shared" ca="1" si="5"/>
        <v>0</v>
      </c>
      <c r="W19" s="107">
        <f t="shared" ca="1" si="5"/>
        <v>0</v>
      </c>
      <c r="X19" s="107"/>
      <c r="Y19" s="107">
        <f ca="1">S19-W19</f>
        <v>36360.25</v>
      </c>
    </row>
    <row r="21" spans="2:28" x14ac:dyDescent="0.25">
      <c r="C21" t="s">
        <v>192</v>
      </c>
      <c r="I21" s="106">
        <f ca="1">SUMIF($E$25:$E$261,"Replaced",I25:I261)</f>
        <v>0</v>
      </c>
      <c r="J21" s="106">
        <f ca="1">SUMIF($E$25:$E$261,"Replaced",J25:J261)</f>
        <v>0</v>
      </c>
      <c r="K21" s="106">
        <f ca="1">SUMIF($E$25:$E$261,"Replaced",K25:K261)</f>
        <v>0</v>
      </c>
      <c r="L21" s="106"/>
      <c r="M21" s="106">
        <f ca="1">SUMIF($E$25:$E$261,"Replaced",M25:M261)</f>
        <v>0</v>
      </c>
      <c r="N21" s="106">
        <f ca="1">SUMIF($E$25:$E$261,"Replaced",N25:N261)</f>
        <v>0</v>
      </c>
      <c r="O21" s="106">
        <f ca="1">SUMIF($E$25:$E$261,"Replaced",O25:O261)</f>
        <v>0</v>
      </c>
      <c r="P21" s="106"/>
      <c r="Q21" s="106">
        <f ca="1">SUMIF($E$25:$E$261,"Replaced",Q25:Q261)</f>
        <v>0</v>
      </c>
      <c r="R21" s="106">
        <f ca="1">SUMIF($E$25:$E$261,"Replaced",R25:R261)</f>
        <v>0</v>
      </c>
      <c r="S21" s="106">
        <f ca="1">SUMIF($E$25:$E$261,"Replaced",S25:S261)</f>
        <v>0</v>
      </c>
      <c r="T21" s="106"/>
      <c r="U21" s="106">
        <f ca="1">SUMIF($E$25:$E$261,"Replaced",U25:U261)</f>
        <v>0</v>
      </c>
      <c r="V21" s="106">
        <f ca="1">SUMIF($E$25:$E$261,"Replaced",V25:V261)</f>
        <v>0</v>
      </c>
      <c r="W21" s="106">
        <f ca="1">SUMIF($E$25:$E$261,"Replaced",W25:W261)</f>
        <v>0</v>
      </c>
      <c r="X21" s="106"/>
      <c r="Y21" s="106">
        <f ca="1">SUMIF($E$25:$E$261,"Replaced",Y25:Y261)</f>
        <v>0</v>
      </c>
    </row>
    <row r="22" spans="2:28" x14ac:dyDescent="0.25">
      <c r="C22" t="s">
        <v>193</v>
      </c>
      <c r="I22" s="106">
        <f ca="1">SUMIF($E$25:$E$261,"optional",I25:I261)</f>
        <v>279595</v>
      </c>
      <c r="J22" s="106">
        <f ca="1">SUMIF($E$25:$E$261,"optional",J25:J261)</f>
        <v>-190745</v>
      </c>
      <c r="K22" s="106">
        <f ca="1">SUMIF($E$25:$E$261,"optional",K25:K261)</f>
        <v>88850</v>
      </c>
      <c r="L22" s="106"/>
      <c r="M22" s="106">
        <f ca="1">SUMIF($E$25:$E$261,"optional",M25:M261)</f>
        <v>14095.7</v>
      </c>
      <c r="N22" s="106">
        <f ca="1">SUMIF($E$25:$E$261,"optional",N25:N261)</f>
        <v>0</v>
      </c>
      <c r="O22" s="106">
        <f ca="1">SUMIF($E$25:$E$261,"optional",O25:O261)</f>
        <v>14095.7</v>
      </c>
      <c r="P22" s="106"/>
      <c r="Q22" s="106">
        <f ca="1">SUMIF($E$25:$E$261,"optional",Q25:Q261)</f>
        <v>11380</v>
      </c>
      <c r="R22" s="106">
        <f ca="1">SUMIF($E$25:$E$261,"optional",R25:R261)</f>
        <v>-1155.5</v>
      </c>
      <c r="S22" s="106">
        <f ca="1">SUMIF($E$25:$E$261,"optional",S25:S261)</f>
        <v>10224.5</v>
      </c>
      <c r="T22" s="106"/>
      <c r="U22" s="106">
        <f ca="1">SUMIF($E$25:$E$261,"optional",U25:U261)</f>
        <v>0</v>
      </c>
      <c r="V22" s="106">
        <f ca="1">SUMIF($E$25:$E$261,"optional",V25:V261)</f>
        <v>0</v>
      </c>
      <c r="W22" s="106">
        <f ca="1">SUMIF($E$25:$E$261,"optional",W25:W261)</f>
        <v>0</v>
      </c>
      <c r="X22" s="106"/>
      <c r="Y22" s="106">
        <f ca="1">SUMIF($E$25:$E$261,"optional",Y25:Y261)</f>
        <v>10224.5</v>
      </c>
    </row>
    <row r="24" spans="2:28" x14ac:dyDescent="0.25">
      <c r="B24" s="104"/>
      <c r="C24" s="102" t="s">
        <v>194</v>
      </c>
      <c r="D24" s="102" t="s">
        <v>195</v>
      </c>
      <c r="E24" s="102" t="s">
        <v>54</v>
      </c>
      <c r="F24" s="102"/>
      <c r="G24" s="102" t="s">
        <v>56</v>
      </c>
      <c r="H24" s="102" t="s">
        <v>196</v>
      </c>
      <c r="I24" s="108" t="str">
        <f>I6</f>
        <v>One Times - List</v>
      </c>
      <c r="J24" s="108" t="str">
        <f>J6</f>
        <v>Discount</v>
      </c>
      <c r="K24" s="108" t="str">
        <f>K6</f>
        <v>One Times - Net</v>
      </c>
      <c r="L24" s="108"/>
      <c r="M24" s="108" t="str">
        <f>M6</f>
        <v>Maintenance - List</v>
      </c>
      <c r="N24" s="108" t="str">
        <f>N6</f>
        <v>Discount</v>
      </c>
      <c r="O24" s="108" t="str">
        <f>O6</f>
        <v>Maintenance - Net</v>
      </c>
      <c r="P24" s="108"/>
      <c r="Q24" s="108" t="str">
        <f>Q6</f>
        <v>New Monthly - List</v>
      </c>
      <c r="R24" s="108" t="str">
        <f>R6</f>
        <v>Discount</v>
      </c>
      <c r="S24" s="108" t="str">
        <f>S6</f>
        <v>New Monthly - Net</v>
      </c>
      <c r="T24" s="108"/>
      <c r="U24" s="108" t="s">
        <v>180</v>
      </c>
      <c r="V24" s="108" t="s">
        <v>21</v>
      </c>
      <c r="W24" s="108" t="s">
        <v>181</v>
      </c>
      <c r="X24" s="108"/>
      <c r="Y24" s="108" t="s">
        <v>31</v>
      </c>
    </row>
    <row r="25" spans="2:28" x14ac:dyDescent="0.25">
      <c r="C25" t="str" cm="1">
        <f t="array" aca="1" ref="C25" ca="1">IFERROR(IF(INDIRECT($D$2&amp;"!B"&amp;Z25)="","",INDIRECT("'"&amp;$D$2&amp;"'"&amp;"!B"&amp;Z25)),IF(INDIRECT("'"&amp;$D$2&amp;"'"&amp;"!B"&amp;Z25)="","",INDIRECT("'"&amp;$D$2&amp;"'"&amp;"!B"&amp;Z25)))</f>
        <v>SilverLake System Bundle</v>
      </c>
      <c r="D25" t="str" cm="1">
        <f t="array" aca="1" ref="D25" ca="1">IFERROR(_xlfn.IFS(C25="","",C25&lt;&gt;"",INDEX(SF_Output!I:I,MATCH(C25,SF_Output!M:M,0))),IFERROR(INDEX(INDIRECT($D$2&amp;"!G:G"),MATCH(C25,INDIRECT($D$2&amp;"!B:B"),0)),INDEX(INDIRECT("'"&amp;$D$2&amp;"'!G:G"),MATCH(C25,INDIRECT("'"&amp;$D$2&amp;"'!B:B"),0))))</f>
        <v>Core</v>
      </c>
      <c r="E25" t="str" cm="1">
        <f t="array" aca="1" ref="E25" ca="1">IFERROR(IF(C25="","",INDIRECT($D$2&amp;"!F"&amp;Z25)),IF(C25="","",INDIRECT("'"&amp;$D$2&amp;"'"&amp;"!F"&amp;Z25)))</f>
        <v>Included</v>
      </c>
      <c r="F25" t="str" cm="1">
        <f t="array" aca="1" ref="F25" ca="1">IFERROR(IF(C25="","",INDIRECT($D$2&amp;"!ak"&amp;Z25)),IF(C25="","",INDIRECT("'"&amp;$D$2&amp;"'"&amp;"!ak"&amp;Z25)))</f>
        <v>PAP</v>
      </c>
      <c r="G25" cm="1">
        <f t="array" aca="1" ref="G25" ca="1">IFERROR(INDIRECT($D$2&amp;"!h"&amp;Z25),INDIRECT("'"&amp;$D$2&amp;"'"&amp;"!h"&amp;Z25))</f>
        <v>5000</v>
      </c>
      <c r="H25" s="125" cm="1">
        <f t="array" aca="1" ref="H25" ca="1">IFERROR(INDIRECT($D$2&amp;"!i"&amp;Z25),INDIRECT("'"&amp;$D$2&amp;"'"&amp;"!i"&amp;Z25))</f>
        <v>1.2181</v>
      </c>
      <c r="I25" s="113" cm="1">
        <f t="array" aca="1" ref="I25" ca="1">IFERROR(IF($C25="","",INDIRECT($D$2&amp;"!j"&amp;$Z25)+INDIRECT($D$2&amp;"!n"&amp;$Z25)),IF($C25="","",INDIRECT("'"&amp;$D$2&amp;"'"&amp;"!j"&amp;$Z25)+INDIRECT("'"&amp;$D$2&amp;"'"&amp;"!n"&amp;$Z25)))</f>
        <v>78700</v>
      </c>
      <c r="J25" s="113">
        <f ca="1">IF(I25="","",K25-I25)</f>
        <v>-78700</v>
      </c>
      <c r="K25" s="113" cm="1">
        <f t="array" aca="1" ref="K25" ca="1">IFERROR(IF($C25="","",INDIRECT($D$2&amp;"!l"&amp;$Z25)+INDIRECT($D$2&amp;"!p"&amp;$Z25)),IF($C25="","",INDIRECT("'"&amp;$D$2&amp;"'"&amp;"!l"&amp;$Z25)+INDIRECT("'"&amp;$D$2&amp;"'"&amp;"!p"&amp;$Z25)))</f>
        <v>0</v>
      </c>
      <c r="M25" s="113" cm="1">
        <f t="array" aca="1" ref="M25" ca="1">IFERROR(IF($C25="","",INDIRECT($D$2&amp;"!r"&amp;Z25)),IF($C25="","",INDIRECT("'"&amp;$D$2&amp;"'"&amp;"!r"&amp;Z25)))</f>
        <v>0</v>
      </c>
      <c r="N25" s="113">
        <f ca="1">IF(M25="","",O25-M25)</f>
        <v>0</v>
      </c>
      <c r="O25" s="113" cm="1">
        <f t="array" aca="1" ref="O25" ca="1">IFERROR(IF($C25="","",INDIRECT($D$2&amp;"!t"&amp;Z25)),IF($C25="","",INDIRECT("'"&amp;$D$2&amp;"'"&amp;"!t"&amp;Z25)))</f>
        <v>0</v>
      </c>
      <c r="Q25" s="113" cm="1">
        <f t="array" aca="1" ref="Q25" ca="1">IFERROR(IF($C25="","",INDIRECT($D$2&amp;"!v"&amp;Z25)),IF($C25="","",INDIRECT("'"&amp;$D$2&amp;"'"&amp;"!v"&amp;Z25)))</f>
        <v>6921.15</v>
      </c>
      <c r="R25" s="113">
        <f ca="1">IF(Q25="","",S25-Q25)</f>
        <v>-830.64999999999964</v>
      </c>
      <c r="S25" s="113" cm="1">
        <f t="array" aca="1" ref="S25" ca="1">IFERROR(IF($C25="","",INDIRECT($D$2&amp;"!x"&amp;Z25)),IF($C25="","",INDIRECT("'"&amp;$D$2&amp;"'"&amp;"!x"&amp;Z25)))</f>
        <v>6090.5</v>
      </c>
      <c r="U25" s="113" cm="1">
        <f t="array" aca="1" ref="U25" ca="1">IFERROR(IF($C25="","",INDIRECT($D$2&amp;"!z"&amp;Z25)),IF($C25="","",INDIRECT("'"&amp;$D$2&amp;"'"&amp;"!z"&amp;Z25)))</f>
        <v>0</v>
      </c>
      <c r="V25" s="113">
        <f t="shared" ref="V25" ca="1" si="6">IF(U25="","",W25-U25)</f>
        <v>0</v>
      </c>
      <c r="W25" s="113" cm="1">
        <f t="array" aca="1" ref="W25" ca="1">IFERROR(IF($C25="","",INDIRECT($D$2&amp;"!ab"&amp;Z25)),IF($C25="","",INDIRECT("'"&amp;$D$2&amp;"'"&amp;"!ab"&amp;Z25)))</f>
        <v>0</v>
      </c>
      <c r="X25" s="113"/>
      <c r="Y25" s="113">
        <f ca="1">IF(W25="","",S25-W25)</f>
        <v>6090.5</v>
      </c>
      <c r="Z25" s="35">
        <v>14</v>
      </c>
      <c r="AA25" s="113"/>
      <c r="AB25" s="35">
        <v>14</v>
      </c>
    </row>
    <row r="26" spans="2:28" x14ac:dyDescent="0.25">
      <c r="C26" t="str" cm="1">
        <f t="array" aca="1" ref="C26" ca="1">IFERROR(IF(INDIRECT($D$2&amp;"!B"&amp;Z26)="","",INDIRECT("'"&amp;$D$2&amp;"'"&amp;"!B"&amp;Z26)),IF(INDIRECT("'"&amp;$D$2&amp;"'"&amp;"!B"&amp;Z26)="","",INDIRECT("'"&amp;$D$2&amp;"'"&amp;"!B"&amp;Z26)))</f>
        <v>SilverLake Technical Conversion/Installation</v>
      </c>
      <c r="D26" t="str" cm="1">
        <f t="array" aca="1" ref="D26" ca="1">IFERROR(_xlfn.IFS(C26="","",C26&lt;&gt;"",INDEX(SF_Output!I:I,MATCH(C26,SF_Output!M:M,0))),IFERROR(INDEX(INDIRECT($D$2&amp;"!G:G"),MATCH(C26,INDIRECT($D$2&amp;"!B:B"),0)),INDEX(INDIRECT("'"&amp;$D$2&amp;"'!G:G"),MATCH(C26,INDIRECT("'"&amp;$D$2&amp;"'!B:B"),0))))</f>
        <v>Core</v>
      </c>
      <c r="E26" t="str" cm="1">
        <f t="array" aca="1" ref="E26" ca="1">IFERROR(IF(C26="","",INDIRECT($D$2&amp;"!F"&amp;Z26)),IF(C26="","",INDIRECT("'"&amp;$D$2&amp;"'"&amp;"!F"&amp;Z26)))</f>
        <v>Included</v>
      </c>
      <c r="F26" t="str" cm="1">
        <f t="array" aca="1" ref="F26" ca="1">IFERROR(IF(C26="","",INDIRECT($D$2&amp;"!ak"&amp;Z26)),IF(C26="","",INDIRECT("'"&amp;$D$2&amp;"'"&amp;"!ak"&amp;Z26)))</f>
        <v/>
      </c>
      <c r="G26" cm="1">
        <f t="array" aca="1" ref="G26" ca="1">IFERROR(INDIRECT($D$2&amp;"!h"&amp;Z26),INDIRECT("'"&amp;$D$2&amp;"'"&amp;"!h"&amp;Z26))</f>
        <v>1</v>
      </c>
      <c r="H26" s="125" t="str" cm="1">
        <f t="array" aca="1" ref="H26" ca="1">IFERROR(INDIRECT($D$2&amp;"!i"&amp;Z26),INDIRECT("'"&amp;$D$2&amp;"'"&amp;"!i"&amp;Z26))</f>
        <v/>
      </c>
      <c r="I26" s="113" cm="1">
        <f t="array" aca="1" ref="I26" ca="1">IFERROR(IF($C26="","",INDIRECT($D$2&amp;"!j"&amp;$Z26)+INDIRECT($D$2&amp;"!n"&amp;$Z26)),IF($C26="","",INDIRECT("'"&amp;$D$2&amp;"'"&amp;"!j"&amp;$Z26)+INDIRECT("'"&amp;$D$2&amp;"'"&amp;"!n"&amp;$Z26)))</f>
        <v>125405</v>
      </c>
      <c r="J26" s="113">
        <f t="shared" ref="J26:J89" ca="1" si="7">IF(I26="","",K26-I26)</f>
        <v>-125405</v>
      </c>
      <c r="K26" s="113" cm="1">
        <f t="array" aca="1" ref="K26" ca="1">IFERROR(IF($C26="","",INDIRECT($D$2&amp;"!l"&amp;$Z26)+INDIRECT($D$2&amp;"!p"&amp;$Z26)),IF($C26="","",INDIRECT("'"&amp;$D$2&amp;"'"&amp;"!l"&amp;$Z26)+INDIRECT("'"&amp;$D$2&amp;"'"&amp;"!p"&amp;$Z26)))</f>
        <v>0</v>
      </c>
      <c r="M26" s="113" cm="1">
        <f t="array" aca="1" ref="M26" ca="1">IFERROR(IF($C26="","",INDIRECT($D$2&amp;"!r"&amp;Z26)),IF($C26="","",INDIRECT("'"&amp;$D$2&amp;"'"&amp;"!r"&amp;Z26)))</f>
        <v>0</v>
      </c>
      <c r="N26" s="113">
        <f t="shared" ref="N26:N89" ca="1" si="8">IF(M26="","",O26-M26)</f>
        <v>0</v>
      </c>
      <c r="O26" s="113" cm="1">
        <f t="array" aca="1" ref="O26" ca="1">IFERROR(IF($C26="","",INDIRECT($D$2&amp;"!t"&amp;Z26)),IF($C26="","",INDIRECT("'"&amp;$D$2&amp;"'"&amp;"!t"&amp;Z26)))</f>
        <v>0</v>
      </c>
      <c r="Q26" s="113" cm="1">
        <f t="array" aca="1" ref="Q26" ca="1">IFERROR(IF($C26="","",INDIRECT($D$2&amp;"!v"&amp;Z26)),IF($C26="","",INDIRECT("'"&amp;$D$2&amp;"'"&amp;"!v"&amp;Z26)))</f>
        <v>0</v>
      </c>
      <c r="R26" s="113">
        <f t="shared" ref="R26:R89" ca="1" si="9">IF(Q26="","",S26-Q26)</f>
        <v>0</v>
      </c>
      <c r="S26" s="113" cm="1">
        <f t="array" aca="1" ref="S26" ca="1">IFERROR(IF($C26="","",INDIRECT($D$2&amp;"!x"&amp;Z26)),IF($C26="","",INDIRECT("'"&amp;$D$2&amp;"'"&amp;"!x"&amp;Z26)))</f>
        <v>0</v>
      </c>
      <c r="U26" s="113" cm="1">
        <f t="array" aca="1" ref="U26" ca="1">IFERROR(IF($C26="","",INDIRECT($D$2&amp;"!z"&amp;Z26)),IF($C26="","",INDIRECT("'"&amp;$D$2&amp;"'"&amp;"!z"&amp;Z26)))</f>
        <v>0</v>
      </c>
      <c r="V26" s="113">
        <f t="shared" ref="V26:V89" ca="1" si="10">IF(U26="","",W26-U26)</f>
        <v>0</v>
      </c>
      <c r="W26" s="113" cm="1">
        <f t="array" aca="1" ref="W26" ca="1">IFERROR(IF($C26="","",INDIRECT($D$2&amp;"!ab"&amp;Z26)),IF($C26="","",INDIRECT("'"&amp;$D$2&amp;"'"&amp;"!ab"&amp;Z26)))</f>
        <v>0</v>
      </c>
      <c r="X26" s="113"/>
      <c r="Y26" s="113">
        <f t="shared" ref="Y26:Y89" ca="1" si="11">IF(W26="","",S26-W26)</f>
        <v>0</v>
      </c>
      <c r="Z26" s="35">
        <v>15</v>
      </c>
      <c r="AA26" s="113"/>
      <c r="AB26" s="35">
        <v>15</v>
      </c>
    </row>
    <row r="27" spans="2:28" x14ac:dyDescent="0.25">
      <c r="C27" t="str" cm="1">
        <f t="array" aca="1" ref="C27" ca="1">IFERROR(IF(INDIRECT($D$2&amp;"!B"&amp;Z27)="","",INDIRECT("'"&amp;$D$2&amp;"'"&amp;"!B"&amp;Z27)),IF(INDIRECT("'"&amp;$D$2&amp;"'"&amp;"!B"&amp;Z27)="","",INDIRECT("'"&amp;$D$2&amp;"'"&amp;"!B"&amp;Z27)))</f>
        <v>Closed Accounts (PAP)</v>
      </c>
      <c r="D27" t="str" cm="1">
        <f t="array" aca="1" ref="D27" ca="1">IFERROR(_xlfn.IFS(C27="","",C27&lt;&gt;"",INDEX(SF_Output!I:I,MATCH(C27,SF_Output!M:M,0))),IFERROR(INDEX(INDIRECT($D$2&amp;"!G:G"),MATCH(C27,INDIRECT($D$2&amp;"!B:B"),0)),INDEX(INDIRECT("'"&amp;$D$2&amp;"'!G:G"),MATCH(C27,INDIRECT("'"&amp;$D$2&amp;"'!B:B"),0))))</f>
        <v>Core</v>
      </c>
      <c r="E27" t="str" cm="1">
        <f t="array" aca="1" ref="E27" ca="1">IFERROR(IF(C27="","",INDIRECT($D$2&amp;"!F"&amp;Z27)),IF(C27="","",INDIRECT("'"&amp;$D$2&amp;"'"&amp;"!F"&amp;Z27)))</f>
        <v>Included</v>
      </c>
      <c r="F27" t="str" cm="1">
        <f t="array" aca="1" ref="F27" ca="1">IFERROR(IF(C27="","",INDIRECT($D$2&amp;"!ak"&amp;Z27)),IF(C27="","",INDIRECT("'"&amp;$D$2&amp;"'"&amp;"!ak"&amp;Z27)))</f>
        <v/>
      </c>
      <c r="G27" cm="1">
        <f t="array" aca="1" ref="G27" ca="1">IFERROR(INDIRECT($D$2&amp;"!h"&amp;Z27),INDIRECT("'"&amp;$D$2&amp;"'"&amp;"!h"&amp;Z27))</f>
        <v>1</v>
      </c>
      <c r="H27" s="125" t="str" cm="1">
        <f t="array" aca="1" ref="H27" ca="1">IFERROR(INDIRECT($D$2&amp;"!i"&amp;Z27),INDIRECT("'"&amp;$D$2&amp;"'"&amp;"!i"&amp;Z27))</f>
        <v/>
      </c>
      <c r="I27" s="113" cm="1">
        <f t="array" aca="1" ref="I27" ca="1">IFERROR(IF($C27="","",INDIRECT($D$2&amp;"!j"&amp;$Z27)+INDIRECT($D$2&amp;"!n"&amp;$Z27)),IF($C27="","",INDIRECT("'"&amp;$D$2&amp;"'"&amp;"!j"&amp;$Z27)+INDIRECT("'"&amp;$D$2&amp;"'"&amp;"!n"&amp;$Z27)))</f>
        <v>0</v>
      </c>
      <c r="J27" s="113">
        <f t="shared" ca="1" si="7"/>
        <v>0</v>
      </c>
      <c r="K27" s="113" cm="1">
        <f t="array" aca="1" ref="K27" ca="1">IFERROR(IF($C27="","",INDIRECT($D$2&amp;"!l"&amp;$Z27)+INDIRECT($D$2&amp;"!p"&amp;$Z27)),IF($C27="","",INDIRECT("'"&amp;$D$2&amp;"'"&amp;"!l"&amp;$Z27)+INDIRECT("'"&amp;$D$2&amp;"'"&amp;"!p"&amp;$Z27)))</f>
        <v>0</v>
      </c>
      <c r="M27" s="113" cm="1">
        <f t="array" aca="1" ref="M27" ca="1">IFERROR(IF($C27="","",INDIRECT($D$2&amp;"!r"&amp;Z27)),IF($C27="","",INDIRECT("'"&amp;$D$2&amp;"'"&amp;"!r"&amp;Z27)))</f>
        <v>0</v>
      </c>
      <c r="N27" s="113">
        <f t="shared" ca="1" si="8"/>
        <v>0</v>
      </c>
      <c r="O27" s="113" cm="1">
        <f t="array" aca="1" ref="O27" ca="1">IFERROR(IF($C27="","",INDIRECT($D$2&amp;"!t"&amp;Z27)),IF($C27="","",INDIRECT("'"&amp;$D$2&amp;"'"&amp;"!t"&amp;Z27)))</f>
        <v>0</v>
      </c>
      <c r="Q27" s="113" cm="1">
        <f t="array" aca="1" ref="Q27" ca="1">IFERROR(IF($C27="","",INDIRECT($D$2&amp;"!v"&amp;Z27)),IF($C27="","",INDIRECT("'"&amp;$D$2&amp;"'"&amp;"!v"&amp;Z27)))</f>
        <v>0.25</v>
      </c>
      <c r="R27" s="113">
        <f t="shared" ca="1" si="9"/>
        <v>0</v>
      </c>
      <c r="S27" s="113" cm="1">
        <f t="array" aca="1" ref="S27" ca="1">IFERROR(IF($C27="","",INDIRECT($D$2&amp;"!x"&amp;Z27)),IF($C27="","",INDIRECT("'"&amp;$D$2&amp;"'"&amp;"!x"&amp;Z27)))</f>
        <v>0.25</v>
      </c>
      <c r="U27" s="113" cm="1">
        <f t="array" aca="1" ref="U27" ca="1">IFERROR(IF($C27="","",INDIRECT($D$2&amp;"!z"&amp;Z27)),IF($C27="","",INDIRECT("'"&amp;$D$2&amp;"'"&amp;"!z"&amp;Z27)))</f>
        <v>0</v>
      </c>
      <c r="V27" s="113">
        <f t="shared" ca="1" si="10"/>
        <v>0</v>
      </c>
      <c r="W27" s="113" cm="1">
        <f t="array" aca="1" ref="W27" ca="1">IFERROR(IF($C27="","",INDIRECT($D$2&amp;"!ab"&amp;Z27)),IF($C27="","",INDIRECT("'"&amp;$D$2&amp;"'"&amp;"!ab"&amp;Z27)))</f>
        <v>0</v>
      </c>
      <c r="X27" s="113"/>
      <c r="Y27" s="113">
        <f t="shared" ca="1" si="11"/>
        <v>0.25</v>
      </c>
      <c r="Z27" s="35">
        <v>16</v>
      </c>
      <c r="AA27" s="113"/>
      <c r="AB27" s="35">
        <v>16</v>
      </c>
    </row>
    <row r="28" spans="2:28" x14ac:dyDescent="0.25">
      <c r="C28" t="str" cm="1">
        <f t="array" aca="1" ref="C28" ca="1">IFERROR(IF(INDIRECT($D$2&amp;"!B"&amp;Z28)="","",INDIRECT("'"&amp;$D$2&amp;"'"&amp;"!B"&amp;Z28)),IF(INDIRECT("'"&amp;$D$2&amp;"'"&amp;"!B"&amp;Z28)="","",INDIRECT("'"&amp;$D$2&amp;"'"&amp;"!B"&amp;Z28)))</f>
        <v>SilverLake Static Training Bank</v>
      </c>
      <c r="D28" t="str" cm="1">
        <f t="array" aca="1" ref="D28" ca="1">IFERROR(_xlfn.IFS(C28="","",C28&lt;&gt;"",INDEX(SF_Output!I:I,MATCH(C28,SF_Output!M:M,0))),IFERROR(INDEX(INDIRECT($D$2&amp;"!G:G"),MATCH(C28,INDIRECT($D$2&amp;"!B:B"),0)),INDEX(INDIRECT("'"&amp;$D$2&amp;"'!G:G"),MATCH(C28,INDIRECT("'"&amp;$D$2&amp;"'!B:B"),0))))</f>
        <v>Core</v>
      </c>
      <c r="E28" t="str" cm="1">
        <f t="array" aca="1" ref="E28" ca="1">IFERROR(IF(C28="","",INDIRECT($D$2&amp;"!F"&amp;Z28)),IF(C28="","",INDIRECT("'"&amp;$D$2&amp;"'"&amp;"!F"&amp;Z28)))</f>
        <v>Optional</v>
      </c>
      <c r="F28" t="str" cm="1">
        <f t="array" aca="1" ref="F28" ca="1">IFERROR(IF(C28="","",INDIRECT($D$2&amp;"!ak"&amp;Z28)),IF(C28="","",INDIRECT("'"&amp;$D$2&amp;"'"&amp;"!ak"&amp;Z28)))</f>
        <v/>
      </c>
      <c r="G28" cm="1">
        <f t="array" aca="1" ref="G28" ca="1">IFERROR(INDIRECT($D$2&amp;"!h"&amp;Z28),INDIRECT("'"&amp;$D$2&amp;"'"&amp;"!h"&amp;Z28))</f>
        <v>1</v>
      </c>
      <c r="H28" s="125" t="str" cm="1">
        <f t="array" aca="1" ref="H28" ca="1">IFERROR(INDIRECT($D$2&amp;"!i"&amp;Z28),INDIRECT("'"&amp;$D$2&amp;"'"&amp;"!i"&amp;Z28))</f>
        <v/>
      </c>
      <c r="I28" s="113" cm="1">
        <f t="array" aca="1" ref="I28" ca="1">IFERROR(IF($C28="","",INDIRECT($D$2&amp;"!j"&amp;$Z28)+INDIRECT($D$2&amp;"!n"&amp;$Z28)),IF($C28="","",INDIRECT("'"&amp;$D$2&amp;"'"&amp;"!j"&amp;$Z28)+INDIRECT("'"&amp;$D$2&amp;"'"&amp;"!n"&amp;$Z28)))</f>
        <v>6000</v>
      </c>
      <c r="J28" s="113">
        <f t="shared" ca="1" si="7"/>
        <v>-6000</v>
      </c>
      <c r="K28" s="113" cm="1">
        <f t="array" aca="1" ref="K28" ca="1">IFERROR(IF($C28="","",INDIRECT($D$2&amp;"!l"&amp;$Z28)+INDIRECT($D$2&amp;"!p"&amp;$Z28)),IF($C28="","",INDIRECT("'"&amp;$D$2&amp;"'"&amp;"!l"&amp;$Z28)+INDIRECT("'"&amp;$D$2&amp;"'"&amp;"!p"&amp;$Z28)))</f>
        <v>0</v>
      </c>
      <c r="M28" s="113" cm="1">
        <f t="array" aca="1" ref="M28" ca="1">IFERROR(IF($C28="","",INDIRECT($D$2&amp;"!r"&amp;Z28)),IF($C28="","",INDIRECT("'"&amp;$D$2&amp;"'"&amp;"!r"&amp;Z28)))</f>
        <v>0</v>
      </c>
      <c r="N28" s="113">
        <f t="shared" ca="1" si="8"/>
        <v>0</v>
      </c>
      <c r="O28" s="113" cm="1">
        <f t="array" aca="1" ref="O28" ca="1">IFERROR(IF($C28="","",INDIRECT($D$2&amp;"!t"&amp;Z28)),IF($C28="","",INDIRECT("'"&amp;$D$2&amp;"'"&amp;"!t"&amp;Z28)))</f>
        <v>0</v>
      </c>
      <c r="Q28" s="113" cm="1">
        <f t="array" aca="1" ref="Q28" ca="1">IFERROR(IF($C28="","",INDIRECT($D$2&amp;"!v"&amp;Z28)),IF($C28="","",INDIRECT("'"&amp;$D$2&amp;"'"&amp;"!v"&amp;Z28)))</f>
        <v>530</v>
      </c>
      <c r="R28" s="113">
        <f t="shared" ca="1" si="9"/>
        <v>-132.5</v>
      </c>
      <c r="S28" s="113" cm="1">
        <f t="array" aca="1" ref="S28" ca="1">IFERROR(IF($C28="","",INDIRECT($D$2&amp;"!x"&amp;Z28)),IF($C28="","",INDIRECT("'"&amp;$D$2&amp;"'"&amp;"!x"&amp;Z28)))</f>
        <v>397.5</v>
      </c>
      <c r="U28" s="113" cm="1">
        <f t="array" aca="1" ref="U28" ca="1">IFERROR(IF($C28="","",INDIRECT($D$2&amp;"!z"&amp;Z28)),IF($C28="","",INDIRECT("'"&amp;$D$2&amp;"'"&amp;"!z"&amp;Z28)))</f>
        <v>0</v>
      </c>
      <c r="V28" s="113">
        <f t="shared" ca="1" si="10"/>
        <v>0</v>
      </c>
      <c r="W28" s="113" cm="1">
        <f t="array" aca="1" ref="W28" ca="1">IFERROR(IF($C28="","",INDIRECT($D$2&amp;"!ab"&amp;Z28)),IF($C28="","",INDIRECT("'"&amp;$D$2&amp;"'"&amp;"!ab"&amp;Z28)))</f>
        <v>0</v>
      </c>
      <c r="X28" s="113"/>
      <c r="Y28" s="113">
        <f t="shared" ca="1" si="11"/>
        <v>397.5</v>
      </c>
      <c r="Z28" s="35">
        <v>17</v>
      </c>
      <c r="AA28" s="113"/>
      <c r="AB28" s="35">
        <v>17</v>
      </c>
    </row>
    <row r="29" spans="2:28" x14ac:dyDescent="0.25">
      <c r="C29" t="str" cm="1">
        <f t="array" aca="1" ref="C29" ca="1">IFERROR(IF(INDIRECT($D$2&amp;"!B"&amp;Z29)="","",INDIRECT("'"&amp;$D$2&amp;"'"&amp;"!B"&amp;Z29)),IF(INDIRECT("'"&amp;$D$2&amp;"'"&amp;"!B"&amp;Z29)="","",INDIRECT("'"&amp;$D$2&amp;"'"&amp;"!B"&amp;Z29)))</f>
        <v>SilverLake Teller Static Training Bank</v>
      </c>
      <c r="D29" t="str" cm="1">
        <f t="array" aca="1" ref="D29" ca="1">IFERROR(_xlfn.IFS(C29="","",C29&lt;&gt;"",INDEX(SF_Output!I:I,MATCH(C29,SF_Output!M:M,0))),IFERROR(INDEX(INDIRECT($D$2&amp;"!G:G"),MATCH(C29,INDIRECT($D$2&amp;"!B:B"),0)),INDEX(INDIRECT("'"&amp;$D$2&amp;"'!G:G"),MATCH(C29,INDIRECT("'"&amp;$D$2&amp;"'!B:B"),0))))</f>
        <v>Core</v>
      </c>
      <c r="E29" t="str" cm="1">
        <f t="array" aca="1" ref="E29" ca="1">IFERROR(IF(C29="","",INDIRECT($D$2&amp;"!F"&amp;Z29)),IF(C29="","",INDIRECT("'"&amp;$D$2&amp;"'"&amp;"!F"&amp;Z29)))</f>
        <v>Optional</v>
      </c>
      <c r="F29" t="str" cm="1">
        <f t="array" aca="1" ref="F29" ca="1">IFERROR(IF(C29="","",INDIRECT($D$2&amp;"!ak"&amp;Z29)),IF(C29="","",INDIRECT("'"&amp;$D$2&amp;"'"&amp;"!ak"&amp;Z29)))</f>
        <v/>
      </c>
      <c r="G29" cm="1">
        <f t="array" aca="1" ref="G29" ca="1">IFERROR(INDIRECT($D$2&amp;"!h"&amp;Z29),INDIRECT("'"&amp;$D$2&amp;"'"&amp;"!h"&amp;Z29))</f>
        <v>1</v>
      </c>
      <c r="H29" s="125" t="str" cm="1">
        <f t="array" aca="1" ref="H29" ca="1">IFERROR(INDIRECT($D$2&amp;"!i"&amp;Z29),INDIRECT("'"&amp;$D$2&amp;"'"&amp;"!i"&amp;Z29))</f>
        <v/>
      </c>
      <c r="I29" s="113" cm="1">
        <f t="array" aca="1" ref="I29" ca="1">IFERROR(IF($C29="","",INDIRECT($D$2&amp;"!j"&amp;$Z29)+INDIRECT($D$2&amp;"!n"&amp;$Z29)),IF($C29="","",INDIRECT("'"&amp;$D$2&amp;"'"&amp;"!j"&amp;$Z29)+INDIRECT("'"&amp;$D$2&amp;"'"&amp;"!n"&amp;$Z29)))</f>
        <v>2340</v>
      </c>
      <c r="J29" s="113">
        <f t="shared" ca="1" si="7"/>
        <v>-2340</v>
      </c>
      <c r="K29" s="113" cm="1">
        <f t="array" aca="1" ref="K29" ca="1">IFERROR(IF($C29="","",INDIRECT($D$2&amp;"!l"&amp;$Z29)+INDIRECT($D$2&amp;"!p"&amp;$Z29)),IF($C29="","",INDIRECT("'"&amp;$D$2&amp;"'"&amp;"!l"&amp;$Z29)+INDIRECT("'"&amp;$D$2&amp;"'"&amp;"!p"&amp;$Z29)))</f>
        <v>0</v>
      </c>
      <c r="M29" s="113" cm="1">
        <f t="array" aca="1" ref="M29" ca="1">IFERROR(IF($C29="","",INDIRECT($D$2&amp;"!r"&amp;Z29)),IF($C29="","",INDIRECT("'"&amp;$D$2&amp;"'"&amp;"!r"&amp;Z29)))</f>
        <v>0</v>
      </c>
      <c r="N29" s="113">
        <f t="shared" ca="1" si="8"/>
        <v>0</v>
      </c>
      <c r="O29" s="113" cm="1">
        <f t="array" aca="1" ref="O29" ca="1">IFERROR(IF($C29="","",INDIRECT($D$2&amp;"!t"&amp;Z29)),IF($C29="","",INDIRECT("'"&amp;$D$2&amp;"'"&amp;"!t"&amp;Z29)))</f>
        <v>0</v>
      </c>
      <c r="Q29" s="113" cm="1">
        <f t="array" aca="1" ref="Q29" ca="1">IFERROR(IF($C29="","",INDIRECT($D$2&amp;"!v"&amp;Z29)),IF($C29="","",INDIRECT("'"&amp;$D$2&amp;"'"&amp;"!v"&amp;Z29)))</f>
        <v>220</v>
      </c>
      <c r="R29" s="113">
        <f t="shared" ca="1" si="9"/>
        <v>-55</v>
      </c>
      <c r="S29" s="113" cm="1">
        <f t="array" aca="1" ref="S29" ca="1">IFERROR(IF($C29="","",INDIRECT($D$2&amp;"!x"&amp;Z29)),IF($C29="","",INDIRECT("'"&amp;$D$2&amp;"'"&amp;"!x"&amp;Z29)))</f>
        <v>165</v>
      </c>
      <c r="U29" s="113" cm="1">
        <f t="array" aca="1" ref="U29" ca="1">IFERROR(IF($C29="","",INDIRECT($D$2&amp;"!z"&amp;Z29)),IF($C29="","",INDIRECT("'"&amp;$D$2&amp;"'"&amp;"!z"&amp;Z29)))</f>
        <v>0</v>
      </c>
      <c r="V29" s="113">
        <f t="shared" ca="1" si="10"/>
        <v>0</v>
      </c>
      <c r="W29" s="113" cm="1">
        <f t="array" aca="1" ref="W29" ca="1">IFERROR(IF($C29="","",INDIRECT($D$2&amp;"!ab"&amp;Z29)),IF($C29="","",INDIRECT("'"&amp;$D$2&amp;"'"&amp;"!ab"&amp;Z29)))</f>
        <v>0</v>
      </c>
      <c r="X29" s="113"/>
      <c r="Y29" s="113">
        <f t="shared" ca="1" si="11"/>
        <v>165</v>
      </c>
      <c r="Z29" s="35">
        <v>18</v>
      </c>
      <c r="AA29" s="113"/>
      <c r="AB29" s="35">
        <v>18</v>
      </c>
    </row>
    <row r="30" spans="2:28" x14ac:dyDescent="0.25">
      <c r="C30" t="str" cm="1">
        <f t="array" aca="1" ref="C30" ca="1">IFERROR(IF(INDIRECT($D$2&amp;"!B"&amp;Z30)="","",INDIRECT("'"&amp;$D$2&amp;"'"&amp;"!B"&amp;Z30)),IF(INDIRECT("'"&amp;$D$2&amp;"'"&amp;"!B"&amp;Z30)="","",INDIRECT("'"&amp;$D$2&amp;"'"&amp;"!B"&amp;Z30)))</f>
        <v>JH Technology Architecture Services</v>
      </c>
      <c r="D30" t="str" cm="1">
        <f t="array" aca="1" ref="D30" ca="1">IFERROR(_xlfn.IFS(C30="","",C30&lt;&gt;"",INDEX(SF_Output!I:I,MATCH(C30,SF_Output!M:M,0))),IFERROR(INDEX(INDIRECT($D$2&amp;"!G:G"),MATCH(C30,INDIRECT($D$2&amp;"!B:B"),0)),INDEX(INDIRECT("'"&amp;$D$2&amp;"'!G:G"),MATCH(C30,INDIRECT("'"&amp;$D$2&amp;"'!B:B"),0))))</f>
        <v>Core</v>
      </c>
      <c r="E30" t="str" cm="1">
        <f t="array" aca="1" ref="E30" ca="1">IFERROR(IF(C30="","",INDIRECT($D$2&amp;"!F"&amp;Z30)),IF(C30="","",INDIRECT("'"&amp;$D$2&amp;"'"&amp;"!F"&amp;Z30)))</f>
        <v>Included</v>
      </c>
      <c r="F30" t="str" cm="1">
        <f t="array" aca="1" ref="F30" ca="1">IFERROR(IF(C30="","",INDIRECT($D$2&amp;"!ak"&amp;Z30)),IF(C30="","",INDIRECT("'"&amp;$D$2&amp;"'"&amp;"!ak"&amp;Z30)))</f>
        <v/>
      </c>
      <c r="G30" cm="1">
        <f t="array" aca="1" ref="G30" ca="1">IFERROR(INDIRECT($D$2&amp;"!h"&amp;Z30),INDIRECT("'"&amp;$D$2&amp;"'"&amp;"!h"&amp;Z30))</f>
        <v>1</v>
      </c>
      <c r="H30" s="125" t="str" cm="1">
        <f t="array" aca="1" ref="H30" ca="1">IFERROR(INDIRECT($D$2&amp;"!i"&amp;Z30),INDIRECT("'"&amp;$D$2&amp;"'"&amp;"!i"&amp;Z30))</f>
        <v/>
      </c>
      <c r="I30" s="113" cm="1">
        <f t="array" aca="1" ref="I30" ca="1">IFERROR(IF($C30="","",INDIRECT($D$2&amp;"!j"&amp;$Z30)+INDIRECT($D$2&amp;"!n"&amp;$Z30)),IF($C30="","",INDIRECT("'"&amp;$D$2&amp;"'"&amp;"!j"&amp;$Z30)+INDIRECT("'"&amp;$D$2&amp;"'"&amp;"!n"&amp;$Z30)))</f>
        <v>0</v>
      </c>
      <c r="J30" s="113">
        <f t="shared" ca="1" si="7"/>
        <v>0</v>
      </c>
      <c r="K30" s="113" cm="1">
        <f t="array" aca="1" ref="K30" ca="1">IFERROR(IF($C30="","",INDIRECT($D$2&amp;"!l"&amp;$Z30)+INDIRECT($D$2&amp;"!p"&amp;$Z30)),IF($C30="","",INDIRECT("'"&amp;$D$2&amp;"'"&amp;"!l"&amp;$Z30)+INDIRECT("'"&amp;$D$2&amp;"'"&amp;"!p"&amp;$Z30)))</f>
        <v>0</v>
      </c>
      <c r="M30" s="113" cm="1">
        <f t="array" aca="1" ref="M30" ca="1">IFERROR(IF($C30="","",INDIRECT($D$2&amp;"!r"&amp;Z30)),IF($C30="","",INDIRECT("'"&amp;$D$2&amp;"'"&amp;"!r"&amp;Z30)))</f>
        <v>0</v>
      </c>
      <c r="N30" s="113">
        <f t="shared" ca="1" si="8"/>
        <v>0</v>
      </c>
      <c r="O30" s="113" cm="1">
        <f t="array" aca="1" ref="O30" ca="1">IFERROR(IF($C30="","",INDIRECT($D$2&amp;"!t"&amp;Z30)),IF($C30="","",INDIRECT("'"&amp;$D$2&amp;"'"&amp;"!t"&amp;Z30)))</f>
        <v>0</v>
      </c>
      <c r="Q30" s="113" cm="1">
        <f t="array" aca="1" ref="Q30" ca="1">IFERROR(IF($C30="","",INDIRECT($D$2&amp;"!v"&amp;Z30)),IF($C30="","",INDIRECT("'"&amp;$D$2&amp;"'"&amp;"!v"&amp;Z30)))</f>
        <v>0</v>
      </c>
      <c r="R30" s="113">
        <f t="shared" ca="1" si="9"/>
        <v>0</v>
      </c>
      <c r="S30" s="113" cm="1">
        <f t="array" aca="1" ref="S30" ca="1">IFERROR(IF($C30="","",INDIRECT($D$2&amp;"!x"&amp;Z30)),IF($C30="","",INDIRECT("'"&amp;$D$2&amp;"'"&amp;"!x"&amp;Z30)))</f>
        <v>0</v>
      </c>
      <c r="U30" s="113" cm="1">
        <f t="array" aca="1" ref="U30" ca="1">IFERROR(IF($C30="","",INDIRECT($D$2&amp;"!z"&amp;Z30)),IF($C30="","",INDIRECT("'"&amp;$D$2&amp;"'"&amp;"!z"&amp;Z30)))</f>
        <v>0</v>
      </c>
      <c r="V30" s="113">
        <f t="shared" ca="1" si="10"/>
        <v>0</v>
      </c>
      <c r="W30" s="113" cm="1">
        <f t="array" aca="1" ref="W30" ca="1">IFERROR(IF($C30="","",INDIRECT($D$2&amp;"!ab"&amp;Z30)),IF($C30="","",INDIRECT("'"&amp;$D$2&amp;"'"&amp;"!ab"&amp;Z30)))</f>
        <v>0</v>
      </c>
      <c r="X30" s="113"/>
      <c r="Y30" s="113">
        <f t="shared" ca="1" si="11"/>
        <v>0</v>
      </c>
      <c r="Z30" s="35">
        <v>19</v>
      </c>
      <c r="AA30" s="113"/>
      <c r="AB30" s="35">
        <v>19</v>
      </c>
    </row>
    <row r="31" spans="2:28" x14ac:dyDescent="0.25">
      <c r="C31" t="str" cm="1">
        <f t="array" aca="1" ref="C31" ca="1">IFERROR(IF(INDIRECT($D$2&amp;"!B"&amp;Z31)="","",INDIRECT("'"&amp;$D$2&amp;"'"&amp;"!B"&amp;Z31)),IF(INDIRECT("'"&amp;$D$2&amp;"'"&amp;"!B"&amp;Z31)="","",INDIRECT("'"&amp;$D$2&amp;"'"&amp;"!B"&amp;Z31)))</f>
        <v>JHMenu Express</v>
      </c>
      <c r="D31" t="str" cm="1">
        <f t="array" aca="1" ref="D31" ca="1">IFERROR(_xlfn.IFS(C31="","",C31&lt;&gt;"",INDEX(SF_Output!I:I,MATCH(C31,SF_Output!M:M,0))),IFERROR(INDEX(INDIRECT($D$2&amp;"!G:G"),MATCH(C31,INDIRECT($D$2&amp;"!B:B"),0)),INDEX(INDIRECT("'"&amp;$D$2&amp;"'!G:G"),MATCH(C31,INDIRECT("'"&amp;$D$2&amp;"'!B:B"),0))))</f>
        <v>Core</v>
      </c>
      <c r="E31" t="str" cm="1">
        <f t="array" aca="1" ref="E31" ca="1">IFERROR(IF(C31="","",INDIRECT($D$2&amp;"!F"&amp;Z31)),IF(C31="","",INDIRECT("'"&amp;$D$2&amp;"'"&amp;"!F"&amp;Z31)))</f>
        <v>Included</v>
      </c>
      <c r="F31" t="str" cm="1">
        <f t="array" aca="1" ref="F31" ca="1">IFERROR(IF(C31="","",INDIRECT($D$2&amp;"!ak"&amp;Z31)),IF(C31="","",INDIRECT("'"&amp;$D$2&amp;"'"&amp;"!ak"&amp;Z31)))</f>
        <v/>
      </c>
      <c r="G31" cm="1">
        <f t="array" aca="1" ref="G31" ca="1">IFERROR(INDIRECT($D$2&amp;"!h"&amp;Z31),INDIRECT("'"&amp;$D$2&amp;"'"&amp;"!h"&amp;Z31))</f>
        <v>1</v>
      </c>
      <c r="H31" s="125" t="str" cm="1">
        <f t="array" aca="1" ref="H31" ca="1">IFERROR(INDIRECT($D$2&amp;"!i"&amp;Z31),INDIRECT("'"&amp;$D$2&amp;"'"&amp;"!i"&amp;Z31))</f>
        <v/>
      </c>
      <c r="I31" s="113" cm="1">
        <f t="array" aca="1" ref="I31" ca="1">IFERROR(IF($C31="","",INDIRECT($D$2&amp;"!j"&amp;$Z31)+INDIRECT($D$2&amp;"!n"&amp;$Z31)),IF($C31="","",INDIRECT("'"&amp;$D$2&amp;"'"&amp;"!j"&amp;$Z31)+INDIRECT("'"&amp;$D$2&amp;"'"&amp;"!n"&amp;$Z31)))</f>
        <v>9000</v>
      </c>
      <c r="J31" s="113">
        <f t="shared" ca="1" si="7"/>
        <v>0</v>
      </c>
      <c r="K31" s="113" cm="1">
        <f t="array" aca="1" ref="K31" ca="1">IFERROR(IF($C31="","",INDIRECT($D$2&amp;"!l"&amp;$Z31)+INDIRECT($D$2&amp;"!p"&amp;$Z31)),IF($C31="","",INDIRECT("'"&amp;$D$2&amp;"'"&amp;"!l"&amp;$Z31)+INDIRECT("'"&amp;$D$2&amp;"'"&amp;"!p"&amp;$Z31)))</f>
        <v>9000</v>
      </c>
      <c r="M31" s="113" cm="1">
        <f t="array" aca="1" ref="M31" ca="1">IFERROR(IF($C31="","",INDIRECT($D$2&amp;"!r"&amp;Z31)),IF($C31="","",INDIRECT("'"&amp;$D$2&amp;"'"&amp;"!r"&amp;Z31)))</f>
        <v>0</v>
      </c>
      <c r="N31" s="113">
        <f t="shared" ca="1" si="8"/>
        <v>0</v>
      </c>
      <c r="O31" s="113" cm="1">
        <f t="array" aca="1" ref="O31" ca="1">IFERROR(IF($C31="","",INDIRECT($D$2&amp;"!t"&amp;Z31)),IF($C31="","",INDIRECT("'"&amp;$D$2&amp;"'"&amp;"!t"&amp;Z31)))</f>
        <v>0</v>
      </c>
      <c r="Q31" s="113" cm="1">
        <f t="array" aca="1" ref="Q31" ca="1">IFERROR(IF($C31="","",INDIRECT($D$2&amp;"!v"&amp;Z31)),IF($C31="","",INDIRECT("'"&amp;$D$2&amp;"'"&amp;"!v"&amp;Z31)))</f>
        <v>0</v>
      </c>
      <c r="R31" s="113">
        <f t="shared" ca="1" si="9"/>
        <v>0</v>
      </c>
      <c r="S31" s="113" cm="1">
        <f t="array" aca="1" ref="S31" ca="1">IFERROR(IF($C31="","",INDIRECT($D$2&amp;"!x"&amp;Z31)),IF($C31="","",INDIRECT("'"&amp;$D$2&amp;"'"&amp;"!x"&amp;Z31)))</f>
        <v>0</v>
      </c>
      <c r="U31" s="113" cm="1">
        <f t="array" aca="1" ref="U31" ca="1">IFERROR(IF($C31="","",INDIRECT($D$2&amp;"!z"&amp;Z31)),IF($C31="","",INDIRECT("'"&amp;$D$2&amp;"'"&amp;"!z"&amp;Z31)))</f>
        <v>0</v>
      </c>
      <c r="V31" s="113">
        <f t="shared" ca="1" si="10"/>
        <v>0</v>
      </c>
      <c r="W31" s="113" cm="1">
        <f t="array" aca="1" ref="W31" ca="1">IFERROR(IF($C31="","",INDIRECT($D$2&amp;"!ab"&amp;Z31)),IF($C31="","",INDIRECT("'"&amp;$D$2&amp;"'"&amp;"!ab"&amp;Z31)))</f>
        <v>0</v>
      </c>
      <c r="X31" s="113"/>
      <c r="Y31" s="113">
        <f t="shared" ca="1" si="11"/>
        <v>0</v>
      </c>
      <c r="Z31" s="35">
        <v>20</v>
      </c>
      <c r="AA31" s="113"/>
      <c r="AB31" s="35">
        <v>20</v>
      </c>
    </row>
    <row r="32" spans="2:28" x14ac:dyDescent="0.25">
      <c r="C32" t="str" cm="1">
        <f t="array" aca="1" ref="C32" ca="1">IFERROR(IF(INDIRECT($D$2&amp;"!B"&amp;Z32)="","",INDIRECT("'"&amp;$D$2&amp;"'"&amp;"!B"&amp;Z32)),IF(INDIRECT("'"&amp;$D$2&amp;"'"&amp;"!B"&amp;Z32)="","",INDIRECT("'"&amp;$D$2&amp;"'"&amp;"!B"&amp;Z32)))</f>
        <v>Daily File Transfer Integration IntraFi</v>
      </c>
      <c r="D32" t="str" cm="1">
        <f t="array" aca="1" ref="D32" ca="1">IFERROR(_xlfn.IFS(C32="","",C32&lt;&gt;"",INDEX(SF_Output!I:I,MATCH(C32,SF_Output!M:M,0))),IFERROR(INDEX(INDIRECT($D$2&amp;"!G:G"),MATCH(C32,INDIRECT($D$2&amp;"!B:B"),0)),INDEX(INDIRECT("'"&amp;$D$2&amp;"'!G:G"),MATCH(C32,INDIRECT("'"&amp;$D$2&amp;"'!B:B"),0))))</f>
        <v>Core</v>
      </c>
      <c r="E32" t="str" cm="1">
        <f t="array" aca="1" ref="E32" ca="1">IFERROR(IF(C32="","",INDIRECT($D$2&amp;"!F"&amp;Z32)),IF(C32="","",INDIRECT("'"&amp;$D$2&amp;"'"&amp;"!F"&amp;Z32)))</f>
        <v>Included</v>
      </c>
      <c r="F32" t="str" cm="1">
        <f t="array" aca="1" ref="F32" ca="1">IFERROR(IF(C32="","",INDIRECT($D$2&amp;"!ak"&amp;Z32)),IF(C32="","",INDIRECT("'"&amp;$D$2&amp;"'"&amp;"!ak"&amp;Z32)))</f>
        <v/>
      </c>
      <c r="G32" cm="1">
        <f t="array" aca="1" ref="G32" ca="1">IFERROR(INDIRECT($D$2&amp;"!h"&amp;Z32),INDIRECT("'"&amp;$D$2&amp;"'"&amp;"!h"&amp;Z32))</f>
        <v>1</v>
      </c>
      <c r="H32" s="125" t="str" cm="1">
        <f t="array" aca="1" ref="H32" ca="1">IFERROR(INDIRECT($D$2&amp;"!i"&amp;Z32),INDIRECT("'"&amp;$D$2&amp;"'"&amp;"!i"&amp;Z32))</f>
        <v/>
      </c>
      <c r="I32" s="113" cm="1">
        <f t="array" aca="1" ref="I32" ca="1">IFERROR(IF($C32="","",INDIRECT($D$2&amp;"!j"&amp;$Z32)+INDIRECT($D$2&amp;"!n"&amp;$Z32)),IF($C32="","",INDIRECT("'"&amp;$D$2&amp;"'"&amp;"!j"&amp;$Z32)+INDIRECT("'"&amp;$D$2&amp;"'"&amp;"!n"&amp;$Z32)))</f>
        <v>2500</v>
      </c>
      <c r="J32" s="113">
        <f t="shared" ca="1" si="7"/>
        <v>-2500</v>
      </c>
      <c r="K32" s="113" cm="1">
        <f t="array" aca="1" ref="K32" ca="1">IFERROR(IF($C32="","",INDIRECT($D$2&amp;"!l"&amp;$Z32)+INDIRECT($D$2&amp;"!p"&amp;$Z32)),IF($C32="","",INDIRECT("'"&amp;$D$2&amp;"'"&amp;"!l"&amp;$Z32)+INDIRECT("'"&amp;$D$2&amp;"'"&amp;"!p"&amp;$Z32)))</f>
        <v>0</v>
      </c>
      <c r="M32" s="113" cm="1">
        <f t="array" aca="1" ref="M32" ca="1">IFERROR(IF($C32="","",INDIRECT($D$2&amp;"!r"&amp;Z32)),IF($C32="","",INDIRECT("'"&amp;$D$2&amp;"'"&amp;"!r"&amp;Z32)))</f>
        <v>0</v>
      </c>
      <c r="N32" s="113">
        <f t="shared" ca="1" si="8"/>
        <v>0</v>
      </c>
      <c r="O32" s="113" cm="1">
        <f t="array" aca="1" ref="O32" ca="1">IFERROR(IF($C32="","",INDIRECT($D$2&amp;"!t"&amp;Z32)),IF($C32="","",INDIRECT("'"&amp;$D$2&amp;"'"&amp;"!t"&amp;Z32)))</f>
        <v>0</v>
      </c>
      <c r="Q32" s="113" cm="1">
        <f t="array" aca="1" ref="Q32" ca="1">IFERROR(IF($C32="","",INDIRECT($D$2&amp;"!v"&amp;Z32)),IF($C32="","",INDIRECT("'"&amp;$D$2&amp;"'"&amp;"!v"&amp;Z32)))</f>
        <v>300</v>
      </c>
      <c r="R32" s="113">
        <f t="shared" ca="1" si="9"/>
        <v>-75</v>
      </c>
      <c r="S32" s="113" cm="1">
        <f t="array" aca="1" ref="S32" ca="1">IFERROR(IF($C32="","",INDIRECT($D$2&amp;"!x"&amp;Z32)),IF($C32="","",INDIRECT("'"&amp;$D$2&amp;"'"&amp;"!x"&amp;Z32)))</f>
        <v>225</v>
      </c>
      <c r="U32" s="113" cm="1">
        <f t="array" aca="1" ref="U32" ca="1">IFERROR(IF($C32="","",INDIRECT($D$2&amp;"!z"&amp;Z32)),IF($C32="","",INDIRECT("'"&amp;$D$2&amp;"'"&amp;"!z"&amp;Z32)))</f>
        <v>0</v>
      </c>
      <c r="V32" s="113">
        <f t="shared" ca="1" si="10"/>
        <v>0</v>
      </c>
      <c r="W32" s="113" cm="1">
        <f t="array" aca="1" ref="W32" ca="1">IFERROR(IF($C32="","",INDIRECT($D$2&amp;"!ab"&amp;Z32)),IF($C32="","",INDIRECT("'"&amp;$D$2&amp;"'"&amp;"!ab"&amp;Z32)))</f>
        <v>0</v>
      </c>
      <c r="X32" s="113"/>
      <c r="Y32" s="113">
        <f t="shared" ca="1" si="11"/>
        <v>225</v>
      </c>
      <c r="Z32" s="35">
        <v>21</v>
      </c>
      <c r="AA32" s="113"/>
      <c r="AB32" s="35">
        <v>21</v>
      </c>
    </row>
    <row r="33" spans="3:28" x14ac:dyDescent="0.25">
      <c r="C33" t="str" cm="1">
        <f t="array" aca="1" ref="C33" ca="1">IFERROR(IF(INDIRECT($D$2&amp;"!B"&amp;Z33)="","",INDIRECT("'"&amp;$D$2&amp;"'"&amp;"!B"&amp;Z33)),IF(INDIRECT("'"&amp;$D$2&amp;"'"&amp;"!B"&amp;Z33)="","",INDIRECT("'"&amp;$D$2&amp;"'"&amp;"!B"&amp;Z33)))</f>
        <v>Hosted Xperience</v>
      </c>
      <c r="D33" t="str" cm="1">
        <f t="array" aca="1" ref="D33" ca="1">IFERROR(_xlfn.IFS(C33="","",C33&lt;&gt;"",INDEX(SF_Output!I:I,MATCH(C33,SF_Output!M:M,0))),IFERROR(INDEX(INDIRECT($D$2&amp;"!G:G"),MATCH(C33,INDIRECT($D$2&amp;"!B:B"),0)),INDEX(INDIRECT("'"&amp;$D$2&amp;"'!G:G"),MATCH(C33,INDIRECT("'"&amp;$D$2&amp;"'!B:B"),0))))</f>
        <v>Core</v>
      </c>
      <c r="E33" t="str" cm="1">
        <f t="array" aca="1" ref="E33" ca="1">IFERROR(IF(C33="","",INDIRECT($D$2&amp;"!F"&amp;Z33)),IF(C33="","",INDIRECT("'"&amp;$D$2&amp;"'"&amp;"!F"&amp;Z33)))</f>
        <v>Included</v>
      </c>
      <c r="F33" t="str" cm="1">
        <f t="array" aca="1" ref="F33" ca="1">IFERROR(IF(C33="","",INDIRECT($D$2&amp;"!ak"&amp;Z33)),IF(C33="","",INDIRECT("'"&amp;$D$2&amp;"'"&amp;"!ak"&amp;Z33)))</f>
        <v>PAP</v>
      </c>
      <c r="G33" cm="1">
        <f t="array" aca="1" ref="G33" ca="1">IFERROR(INDIRECT($D$2&amp;"!h"&amp;Z33),INDIRECT("'"&amp;$D$2&amp;"'"&amp;"!h"&amp;Z33))</f>
        <v>5000</v>
      </c>
      <c r="H33" s="125" cm="1">
        <f t="array" aca="1" ref="H33" ca="1">IFERROR(INDIRECT($D$2&amp;"!i"&amp;Z33),INDIRECT("'"&amp;$D$2&amp;"'"&amp;"!i"&amp;Z33))</f>
        <v>2.2499999999999999E-2</v>
      </c>
      <c r="I33" s="113" cm="1">
        <f t="array" aca="1" ref="I33" ca="1">IFERROR(IF($C33="","",INDIRECT($D$2&amp;"!j"&amp;$Z33)+INDIRECT($D$2&amp;"!n"&amp;$Z33)),IF($C33="","",INDIRECT("'"&amp;$D$2&amp;"'"&amp;"!j"&amp;$Z33)+INDIRECT("'"&amp;$D$2&amp;"'"&amp;"!n"&amp;$Z33)))</f>
        <v>0</v>
      </c>
      <c r="J33" s="113">
        <f t="shared" ca="1" si="7"/>
        <v>0</v>
      </c>
      <c r="K33" s="113" cm="1">
        <f t="array" aca="1" ref="K33" ca="1">IFERROR(IF($C33="","",INDIRECT($D$2&amp;"!l"&amp;$Z33)+INDIRECT($D$2&amp;"!p"&amp;$Z33)),IF($C33="","",INDIRECT("'"&amp;$D$2&amp;"'"&amp;"!l"&amp;$Z33)+INDIRECT("'"&amp;$D$2&amp;"'"&amp;"!p"&amp;$Z33)))</f>
        <v>0</v>
      </c>
      <c r="M33" s="113" cm="1">
        <f t="array" aca="1" ref="M33" ca="1">IFERROR(IF($C33="","",INDIRECT($D$2&amp;"!r"&amp;Z33)),IF($C33="","",INDIRECT("'"&amp;$D$2&amp;"'"&amp;"!r"&amp;Z33)))</f>
        <v>0</v>
      </c>
      <c r="N33" s="113">
        <f t="shared" ca="1" si="8"/>
        <v>0</v>
      </c>
      <c r="O33" s="113" cm="1">
        <f t="array" aca="1" ref="O33" ca="1">IFERROR(IF($C33="","",INDIRECT($D$2&amp;"!t"&amp;Z33)),IF($C33="","",INDIRECT("'"&amp;$D$2&amp;"'"&amp;"!t"&amp;Z33)))</f>
        <v>0</v>
      </c>
      <c r="Q33" s="113" cm="1">
        <f t="array" aca="1" ref="Q33" ca="1">IFERROR(IF($C33="","",INDIRECT($D$2&amp;"!v"&amp;Z33)),IF($C33="","",INDIRECT("'"&amp;$D$2&amp;"'"&amp;"!v"&amp;Z33)))</f>
        <v>150</v>
      </c>
      <c r="R33" s="113">
        <f t="shared" ca="1" si="9"/>
        <v>-37.5</v>
      </c>
      <c r="S33" s="113" cm="1">
        <f t="array" aca="1" ref="S33" ca="1">IFERROR(IF($C33="","",INDIRECT($D$2&amp;"!x"&amp;Z33)),IF($C33="","",INDIRECT("'"&amp;$D$2&amp;"'"&amp;"!x"&amp;Z33)))</f>
        <v>112.5</v>
      </c>
      <c r="U33" s="113" cm="1">
        <f t="array" aca="1" ref="U33" ca="1">IFERROR(IF($C33="","",INDIRECT($D$2&amp;"!z"&amp;Z33)),IF($C33="","",INDIRECT("'"&amp;$D$2&amp;"'"&amp;"!z"&amp;Z33)))</f>
        <v>0</v>
      </c>
      <c r="V33" s="113">
        <f t="shared" ca="1" si="10"/>
        <v>0</v>
      </c>
      <c r="W33" s="113" cm="1">
        <f t="array" aca="1" ref="W33" ca="1">IFERROR(IF($C33="","",INDIRECT($D$2&amp;"!ab"&amp;Z33)),IF($C33="","",INDIRECT("'"&amp;$D$2&amp;"'"&amp;"!ab"&amp;Z33)))</f>
        <v>0</v>
      </c>
      <c r="X33" s="113"/>
      <c r="Y33" s="113">
        <f t="shared" ca="1" si="11"/>
        <v>112.5</v>
      </c>
      <c r="Z33" s="35">
        <v>22</v>
      </c>
      <c r="AA33" s="113"/>
      <c r="AB33" s="35">
        <v>22</v>
      </c>
    </row>
    <row r="34" spans="3:28" x14ac:dyDescent="0.25">
      <c r="C34" t="str" cm="1">
        <f t="array" aca="1" ref="C34" ca="1">IFERROR(IF(INDIRECT($D$2&amp;"!B"&amp;Z34)="","",INDIRECT("'"&amp;$D$2&amp;"'"&amp;"!B"&amp;Z34)),IF(INDIRECT("'"&amp;$D$2&amp;"'"&amp;"!B"&amp;Z34)="","",INDIRECT("'"&amp;$D$2&amp;"'"&amp;"!B"&amp;Z34)))</f>
        <v>Platform Static Training Bank</v>
      </c>
      <c r="D34" t="str" cm="1">
        <f t="array" aca="1" ref="D34" ca="1">IFERROR(_xlfn.IFS(C34="","",C34&lt;&gt;"",INDEX(SF_Output!I:I,MATCH(C34,SF_Output!M:M,0))),IFERROR(INDEX(INDIRECT($D$2&amp;"!G:G"),MATCH(C34,INDIRECT($D$2&amp;"!B:B"),0)),INDEX(INDIRECT("'"&amp;$D$2&amp;"'!G:G"),MATCH(C34,INDIRECT("'"&amp;$D$2&amp;"'!B:B"),0))))</f>
        <v>Retail</v>
      </c>
      <c r="E34" t="str" cm="1">
        <f t="array" aca="1" ref="E34" ca="1">IFERROR(IF(C34="","",INDIRECT($D$2&amp;"!F"&amp;Z34)),IF(C34="","",INDIRECT("'"&amp;$D$2&amp;"'"&amp;"!F"&amp;Z34)))</f>
        <v>Optional</v>
      </c>
      <c r="F34" t="str" cm="1">
        <f t="array" aca="1" ref="F34" ca="1">IFERROR(IF(C34="","",INDIRECT($D$2&amp;"!ak"&amp;Z34)),IF(C34="","",INDIRECT("'"&amp;$D$2&amp;"'"&amp;"!ak"&amp;Z34)))</f>
        <v/>
      </c>
      <c r="G34" cm="1">
        <f t="array" aca="1" ref="G34" ca="1">IFERROR(INDIRECT($D$2&amp;"!h"&amp;Z34),INDIRECT("'"&amp;$D$2&amp;"'"&amp;"!h"&amp;Z34))</f>
        <v>1</v>
      </c>
      <c r="H34" s="125" t="str" cm="1">
        <f t="array" aca="1" ref="H34" ca="1">IFERROR(INDIRECT($D$2&amp;"!i"&amp;Z34),INDIRECT("'"&amp;$D$2&amp;"'"&amp;"!i"&amp;Z34))</f>
        <v/>
      </c>
      <c r="I34" s="113" cm="1">
        <f t="array" aca="1" ref="I34" ca="1">IFERROR(IF($C34="","",INDIRECT($D$2&amp;"!j"&amp;$Z34)+INDIRECT($D$2&amp;"!n"&amp;$Z34)),IF($C34="","",INDIRECT("'"&amp;$D$2&amp;"'"&amp;"!j"&amp;$Z34)+INDIRECT("'"&amp;$D$2&amp;"'"&amp;"!n"&amp;$Z34)))</f>
        <v>5000</v>
      </c>
      <c r="J34" s="113">
        <f t="shared" ca="1" si="7"/>
        <v>-5000</v>
      </c>
      <c r="K34" s="113" cm="1">
        <f t="array" aca="1" ref="K34" ca="1">IFERROR(IF($C34="","",INDIRECT($D$2&amp;"!l"&amp;$Z34)+INDIRECT($D$2&amp;"!p"&amp;$Z34)),IF($C34="","",INDIRECT("'"&amp;$D$2&amp;"'"&amp;"!l"&amp;$Z34)+INDIRECT("'"&amp;$D$2&amp;"'"&amp;"!p"&amp;$Z34)))</f>
        <v>0</v>
      </c>
      <c r="M34" s="113" cm="1">
        <f t="array" aca="1" ref="M34" ca="1">IFERROR(IF($C34="","",INDIRECT($D$2&amp;"!r"&amp;Z34)),IF($C34="","",INDIRECT("'"&amp;$D$2&amp;"'"&amp;"!r"&amp;Z34)))</f>
        <v>0</v>
      </c>
      <c r="N34" s="113">
        <f t="shared" ca="1" si="8"/>
        <v>0</v>
      </c>
      <c r="O34" s="113" cm="1">
        <f t="array" aca="1" ref="O34" ca="1">IFERROR(IF($C34="","",INDIRECT($D$2&amp;"!t"&amp;Z34)),IF($C34="","",INDIRECT("'"&amp;$D$2&amp;"'"&amp;"!t"&amp;Z34)))</f>
        <v>0</v>
      </c>
      <c r="Q34" s="113" cm="1">
        <f t="array" aca="1" ref="Q34" ca="1">IFERROR(IF($C34="","",INDIRECT($D$2&amp;"!v"&amp;Z34)),IF($C34="","",INDIRECT("'"&amp;$D$2&amp;"'"&amp;"!v"&amp;Z34)))</f>
        <v>220</v>
      </c>
      <c r="R34" s="113">
        <f t="shared" ca="1" si="9"/>
        <v>-55</v>
      </c>
      <c r="S34" s="113" cm="1">
        <f t="array" aca="1" ref="S34" ca="1">IFERROR(IF($C34="","",INDIRECT($D$2&amp;"!x"&amp;Z34)),IF($C34="","",INDIRECT("'"&amp;$D$2&amp;"'"&amp;"!x"&amp;Z34)))</f>
        <v>165</v>
      </c>
      <c r="U34" s="113" cm="1">
        <f t="array" aca="1" ref="U34" ca="1">IFERROR(IF($C34="","",INDIRECT($D$2&amp;"!z"&amp;Z34)),IF($C34="","",INDIRECT("'"&amp;$D$2&amp;"'"&amp;"!z"&amp;Z34)))</f>
        <v>0</v>
      </c>
      <c r="V34" s="113">
        <f t="shared" ca="1" si="10"/>
        <v>0</v>
      </c>
      <c r="W34" s="113" cm="1">
        <f t="array" aca="1" ref="W34" ca="1">IFERROR(IF($C34="","",INDIRECT($D$2&amp;"!ab"&amp;Z34)),IF($C34="","",INDIRECT("'"&amp;$D$2&amp;"'"&amp;"!ab"&amp;Z34)))</f>
        <v>0</v>
      </c>
      <c r="X34" s="113"/>
      <c r="Y34" s="113">
        <f t="shared" ca="1" si="11"/>
        <v>165</v>
      </c>
      <c r="Z34" s="35">
        <v>23</v>
      </c>
      <c r="AA34" s="113"/>
      <c r="AB34" s="35">
        <v>23</v>
      </c>
    </row>
    <row r="35" spans="3:28" x14ac:dyDescent="0.25">
      <c r="C35" t="str" cm="1">
        <f t="array" aca="1" ref="C35" ca="1">IFERROR(IF(INDIRECT($D$2&amp;"!B"&amp;Z35)="","",INDIRECT("'"&amp;$D$2&amp;"'"&amp;"!B"&amp;Z35)),IF(INDIRECT("'"&amp;$D$2&amp;"'"&amp;"!B"&amp;Z35)="","",INDIRECT("'"&amp;$D$2&amp;"'"&amp;"!B"&amp;Z35)))</f>
        <v>OnBoard Deposits</v>
      </c>
      <c r="D35" t="str" cm="1">
        <f t="array" aca="1" ref="D35" ca="1">IFERROR(_xlfn.IFS(C35="","",C35&lt;&gt;"",INDEX(SF_Output!I:I,MATCH(C35,SF_Output!M:M,0))),IFERROR(INDEX(INDIRECT($D$2&amp;"!G:G"),MATCH(C35,INDIRECT($D$2&amp;"!B:B"),0)),INDEX(INDIRECT("'"&amp;$D$2&amp;"'!G:G"),MATCH(C35,INDIRECT("'"&amp;$D$2&amp;"'!B:B"),0))))</f>
        <v>Retail</v>
      </c>
      <c r="E35" t="str" cm="1">
        <f t="array" aca="1" ref="E35" ca="1">IFERROR(IF(C35="","",INDIRECT($D$2&amp;"!F"&amp;Z35)),IF(C35="","",INDIRECT("'"&amp;$D$2&amp;"'"&amp;"!F"&amp;Z35)))</f>
        <v>Included</v>
      </c>
      <c r="F35" t="str" cm="1">
        <f t="array" aca="1" ref="F35" ca="1">IFERROR(IF(C35="","",INDIRECT($D$2&amp;"!ak"&amp;Z35)),IF(C35="","",INDIRECT("'"&amp;$D$2&amp;"'"&amp;"!ak"&amp;Z35)))</f>
        <v>PAP</v>
      </c>
      <c r="G35" cm="1">
        <f t="array" aca="1" ref="G35" ca="1">IFERROR(INDIRECT($D$2&amp;"!h"&amp;Z35),INDIRECT("'"&amp;$D$2&amp;"'"&amp;"!h"&amp;Z35))</f>
        <v>5000</v>
      </c>
      <c r="H35" s="125" cm="1">
        <f t="array" aca="1" ref="H35" ca="1">IFERROR(INDIRECT($D$2&amp;"!i"&amp;Z35),INDIRECT("'"&amp;$D$2&amp;"'"&amp;"!i"&amp;Z35))</f>
        <v>0.17030000000000001</v>
      </c>
      <c r="I35" s="113" cm="1">
        <f t="array" aca="1" ref="I35" ca="1">IFERROR(IF($C35="","",INDIRECT($D$2&amp;"!j"&amp;$Z35)+INDIRECT($D$2&amp;"!n"&amp;$Z35)),IF($C35="","",INDIRECT("'"&amp;$D$2&amp;"'"&amp;"!j"&amp;$Z35)+INDIRECT("'"&amp;$D$2&amp;"'"&amp;"!n"&amp;$Z35)))</f>
        <v>23180</v>
      </c>
      <c r="J35" s="113">
        <f t="shared" ca="1" si="7"/>
        <v>-23180</v>
      </c>
      <c r="K35" s="113" cm="1">
        <f t="array" aca="1" ref="K35" ca="1">IFERROR(IF($C35="","",INDIRECT($D$2&amp;"!l"&amp;$Z35)+INDIRECT($D$2&amp;"!p"&amp;$Z35)),IF($C35="","",INDIRECT("'"&amp;$D$2&amp;"'"&amp;"!l"&amp;$Z35)+INDIRECT("'"&amp;$D$2&amp;"'"&amp;"!p"&amp;$Z35)))</f>
        <v>0</v>
      </c>
      <c r="M35" s="113" cm="1">
        <f t="array" aca="1" ref="M35" ca="1">IFERROR(IF($C35="","",INDIRECT($D$2&amp;"!r"&amp;Z35)),IF($C35="","",INDIRECT("'"&amp;$D$2&amp;"'"&amp;"!r"&amp;Z35)))</f>
        <v>0</v>
      </c>
      <c r="N35" s="113">
        <f t="shared" ca="1" si="8"/>
        <v>0</v>
      </c>
      <c r="O35" s="113" cm="1">
        <f t="array" aca="1" ref="O35" ca="1">IFERROR(IF($C35="","",INDIRECT($D$2&amp;"!t"&amp;Z35)),IF($C35="","",INDIRECT("'"&amp;$D$2&amp;"'"&amp;"!t"&amp;Z35)))</f>
        <v>0</v>
      </c>
      <c r="Q35" s="113" cm="1">
        <f t="array" aca="1" ref="Q35" ca="1">IFERROR(IF($C35="","",INDIRECT($D$2&amp;"!v"&amp;Z35)),IF($C35="","",INDIRECT("'"&amp;$D$2&amp;"'"&amp;"!v"&amp;Z35)))</f>
        <v>1135</v>
      </c>
      <c r="R35" s="113">
        <f t="shared" ca="1" si="9"/>
        <v>-283.5</v>
      </c>
      <c r="S35" s="113" cm="1">
        <f t="array" aca="1" ref="S35" ca="1">IFERROR(IF($C35="","",INDIRECT($D$2&amp;"!x"&amp;Z35)),IF($C35="","",INDIRECT("'"&amp;$D$2&amp;"'"&amp;"!x"&amp;Z35)))</f>
        <v>851.5</v>
      </c>
      <c r="U35" s="113" cm="1">
        <f t="array" aca="1" ref="U35" ca="1">IFERROR(IF($C35="","",INDIRECT($D$2&amp;"!z"&amp;Z35)),IF($C35="","",INDIRECT("'"&amp;$D$2&amp;"'"&amp;"!z"&amp;Z35)))</f>
        <v>0</v>
      </c>
      <c r="V35" s="113">
        <f t="shared" ca="1" si="10"/>
        <v>0</v>
      </c>
      <c r="W35" s="113" cm="1">
        <f t="array" aca="1" ref="W35" ca="1">IFERROR(IF($C35="","",INDIRECT($D$2&amp;"!ab"&amp;Z35)),IF($C35="","",INDIRECT("'"&amp;$D$2&amp;"'"&amp;"!ab"&amp;Z35)))</f>
        <v>0</v>
      </c>
      <c r="X35" s="113"/>
      <c r="Y35" s="113">
        <f t="shared" ca="1" si="11"/>
        <v>851.5</v>
      </c>
      <c r="Z35" s="35">
        <v>24</v>
      </c>
      <c r="AA35" s="113"/>
      <c r="AB35" s="35">
        <v>24</v>
      </c>
    </row>
    <row r="36" spans="3:28" x14ac:dyDescent="0.25">
      <c r="C36" t="str" cm="1">
        <f t="array" aca="1" ref="C36" ca="1">IFERROR(IF(INDIRECT($D$2&amp;"!B"&amp;Z36)="","",INDIRECT("'"&amp;$D$2&amp;"'"&amp;"!B"&amp;Z36)),IF(INDIRECT("'"&amp;$D$2&amp;"'"&amp;"!B"&amp;Z36)="","",INDIRECT("'"&amp;$D$2&amp;"'"&amp;"!B"&amp;Z36)))</f>
        <v>OnBoard Lending</v>
      </c>
      <c r="D36" t="str" cm="1">
        <f t="array" aca="1" ref="D36" ca="1">IFERROR(_xlfn.IFS(C36="","",C36&lt;&gt;"",INDEX(SF_Output!I:I,MATCH(C36,SF_Output!M:M,0))),IFERROR(INDEX(INDIRECT($D$2&amp;"!G:G"),MATCH(C36,INDIRECT($D$2&amp;"!B:B"),0)),INDEX(INDIRECT("'"&amp;$D$2&amp;"'!G:G"),MATCH(C36,INDIRECT("'"&amp;$D$2&amp;"'!B:B"),0))))</f>
        <v>Retail</v>
      </c>
      <c r="E36" t="str" cm="1">
        <f t="array" aca="1" ref="E36" ca="1">IFERROR(IF(C36="","",INDIRECT($D$2&amp;"!F"&amp;Z36)),IF(C36="","",INDIRECT("'"&amp;$D$2&amp;"'"&amp;"!F"&amp;Z36)))</f>
        <v>Optional</v>
      </c>
      <c r="F36" t="str" cm="1">
        <f t="array" aca="1" ref="F36" ca="1">IFERROR(IF(C36="","",INDIRECT($D$2&amp;"!ak"&amp;Z36)),IF(C36="","",INDIRECT("'"&amp;$D$2&amp;"'"&amp;"!ak"&amp;Z36)))</f>
        <v>PAP</v>
      </c>
      <c r="G36" cm="1">
        <f t="array" aca="1" ref="G36" ca="1">IFERROR(INDIRECT($D$2&amp;"!h"&amp;Z36),INDIRECT("'"&amp;$D$2&amp;"'"&amp;"!h"&amp;Z36))</f>
        <v>5000</v>
      </c>
      <c r="H36" s="125" cm="1">
        <f t="array" aca="1" ref="H36" ca="1">IFERROR(INDIRECT($D$2&amp;"!i"&amp;Z36),INDIRECT("'"&amp;$D$2&amp;"'"&amp;"!i"&amp;Z36))</f>
        <v>0.2273</v>
      </c>
      <c r="I36" s="113" cm="1">
        <f t="array" aca="1" ref="I36" ca="1">IFERROR(IF($C36="","",INDIRECT($D$2&amp;"!j"&amp;$Z36)+INDIRECT($D$2&amp;"!n"&amp;$Z36)),IF($C36="","",INDIRECT("'"&amp;$D$2&amp;"'"&amp;"!j"&amp;$Z36)+INDIRECT("'"&amp;$D$2&amp;"'"&amp;"!n"&amp;$Z36)))</f>
        <v>42480</v>
      </c>
      <c r="J36" s="113">
        <f t="shared" ca="1" si="7"/>
        <v>-42480</v>
      </c>
      <c r="K36" s="113" cm="1">
        <f t="array" aca="1" ref="K36" ca="1">IFERROR(IF($C36="","",INDIRECT($D$2&amp;"!l"&amp;$Z36)+INDIRECT($D$2&amp;"!p"&amp;$Z36)),IF($C36="","",INDIRECT("'"&amp;$D$2&amp;"'"&amp;"!l"&amp;$Z36)+INDIRECT("'"&amp;$D$2&amp;"'"&amp;"!p"&amp;$Z36)))</f>
        <v>0</v>
      </c>
      <c r="M36" s="113" cm="1">
        <f t="array" aca="1" ref="M36" ca="1">IFERROR(IF($C36="","",INDIRECT($D$2&amp;"!r"&amp;Z36)),IF($C36="","",INDIRECT("'"&amp;$D$2&amp;"'"&amp;"!r"&amp;Z36)))</f>
        <v>0</v>
      </c>
      <c r="N36" s="113">
        <f t="shared" ca="1" si="8"/>
        <v>0</v>
      </c>
      <c r="O36" s="113" cm="1">
        <f t="array" aca="1" ref="O36" ca="1">IFERROR(IF($C36="","",INDIRECT($D$2&amp;"!t"&amp;Z36)),IF($C36="","",INDIRECT("'"&amp;$D$2&amp;"'"&amp;"!t"&amp;Z36)))</f>
        <v>0</v>
      </c>
      <c r="Q36" s="113" cm="1">
        <f t="array" aca="1" ref="Q36" ca="1">IFERROR(IF($C36="","",INDIRECT($D$2&amp;"!v"&amp;Z36)),IF($C36="","",INDIRECT("'"&amp;$D$2&amp;"'"&amp;"!v"&amp;Z36)))</f>
        <v>1515</v>
      </c>
      <c r="R36" s="113">
        <f t="shared" ca="1" si="9"/>
        <v>-378.5</v>
      </c>
      <c r="S36" s="113" cm="1">
        <f t="array" aca="1" ref="S36" ca="1">IFERROR(IF($C36="","",INDIRECT($D$2&amp;"!x"&amp;Z36)),IF($C36="","",INDIRECT("'"&amp;$D$2&amp;"'"&amp;"!x"&amp;Z36)))</f>
        <v>1136.5</v>
      </c>
      <c r="U36" s="113" cm="1">
        <f t="array" aca="1" ref="U36" ca="1">IFERROR(IF($C36="","",INDIRECT($D$2&amp;"!z"&amp;Z36)),IF($C36="","",INDIRECT("'"&amp;$D$2&amp;"'"&amp;"!z"&amp;Z36)))</f>
        <v>0</v>
      </c>
      <c r="V36" s="113">
        <f t="shared" ca="1" si="10"/>
        <v>0</v>
      </c>
      <c r="W36" s="113" cm="1">
        <f t="array" aca="1" ref="W36" ca="1">IFERROR(IF($C36="","",INDIRECT($D$2&amp;"!ab"&amp;Z36)),IF($C36="","",INDIRECT("'"&amp;$D$2&amp;"'"&amp;"!ab"&amp;Z36)))</f>
        <v>0</v>
      </c>
      <c r="X36" s="113"/>
      <c r="Y36" s="113">
        <f t="shared" ca="1" si="11"/>
        <v>1136.5</v>
      </c>
      <c r="Z36" s="35">
        <v>25</v>
      </c>
      <c r="AA36" s="113"/>
      <c r="AB36" s="35">
        <v>25</v>
      </c>
    </row>
    <row r="37" spans="3:28" x14ac:dyDescent="0.25">
      <c r="C37" t="str" cm="1">
        <f t="array" aca="1" ref="C37" ca="1">IFERROR(IF(INDIRECT($D$2&amp;"!B"&amp;Z37)="","",INDIRECT("'"&amp;$D$2&amp;"'"&amp;"!B"&amp;Z37)),IF(INDIRECT("'"&amp;$D$2&amp;"'"&amp;"!B"&amp;Z37)="","",INDIRECT("'"&amp;$D$2&amp;"'"&amp;"!B"&amp;Z37)))</f>
        <v>Carleton SmartCalcs Lending</v>
      </c>
      <c r="D37" t="str" cm="1">
        <f t="array" aca="1" ref="D37" ca="1">IFERROR(_xlfn.IFS(C37="","",C37&lt;&gt;"",INDEX(SF_Output!I:I,MATCH(C37,SF_Output!M:M,0))),IFERROR(INDEX(INDIRECT($D$2&amp;"!G:G"),MATCH(C37,INDIRECT($D$2&amp;"!B:B"),0)),INDEX(INDIRECT("'"&amp;$D$2&amp;"'!G:G"),MATCH(C37,INDIRECT("'"&amp;$D$2&amp;"'!B:B"),0))))</f>
        <v>Retail</v>
      </c>
      <c r="E37" t="str" cm="1">
        <f t="array" aca="1" ref="E37" ca="1">IFERROR(IF(C37="","",INDIRECT($D$2&amp;"!F"&amp;Z37)),IF(C37="","",INDIRECT("'"&amp;$D$2&amp;"'"&amp;"!F"&amp;Z37)))</f>
        <v>Optional</v>
      </c>
      <c r="F37" t="str" cm="1">
        <f t="array" aca="1" ref="F37" ca="1">IFERROR(IF(C37="","",INDIRECT($D$2&amp;"!ak"&amp;Z37)),IF(C37="","",INDIRECT("'"&amp;$D$2&amp;"'"&amp;"!ak"&amp;Z37)))</f>
        <v/>
      </c>
      <c r="G37" cm="1">
        <f t="array" aca="1" ref="G37" ca="1">IFERROR(INDIRECT($D$2&amp;"!h"&amp;Z37),INDIRECT("'"&amp;$D$2&amp;"'"&amp;"!h"&amp;Z37))</f>
        <v>1</v>
      </c>
      <c r="H37" s="125" t="str" cm="1">
        <f t="array" aca="1" ref="H37" ca="1">IFERROR(INDIRECT($D$2&amp;"!i"&amp;Z37),INDIRECT("'"&amp;$D$2&amp;"'"&amp;"!i"&amp;Z37))</f>
        <v/>
      </c>
      <c r="I37" s="113" cm="1">
        <f t="array" aca="1" ref="I37" ca="1">IFERROR(IF($C37="","",INDIRECT($D$2&amp;"!j"&amp;$Z37)+INDIRECT($D$2&amp;"!n"&amp;$Z37)),IF($C37="","",INDIRECT("'"&amp;$D$2&amp;"'"&amp;"!j"&amp;$Z37)+INDIRECT("'"&amp;$D$2&amp;"'"&amp;"!n"&amp;$Z37)))</f>
        <v>1500</v>
      </c>
      <c r="J37" s="113">
        <f t="shared" ca="1" si="7"/>
        <v>0</v>
      </c>
      <c r="K37" s="113" cm="1">
        <f t="array" aca="1" ref="K37" ca="1">IFERROR(IF($C37="","",INDIRECT($D$2&amp;"!l"&amp;$Z37)+INDIRECT($D$2&amp;"!p"&amp;$Z37)),IF($C37="","",INDIRECT("'"&amp;$D$2&amp;"'"&amp;"!l"&amp;$Z37)+INDIRECT("'"&amp;$D$2&amp;"'"&amp;"!p"&amp;$Z37)))</f>
        <v>1500</v>
      </c>
      <c r="M37" s="113" cm="1">
        <f t="array" aca="1" ref="M37" ca="1">IFERROR(IF($C37="","",INDIRECT($D$2&amp;"!r"&amp;Z37)),IF($C37="","",INDIRECT("'"&amp;$D$2&amp;"'"&amp;"!r"&amp;Z37)))</f>
        <v>0</v>
      </c>
      <c r="N37" s="113">
        <f t="shared" ca="1" si="8"/>
        <v>0</v>
      </c>
      <c r="O37" s="113" cm="1">
        <f t="array" aca="1" ref="O37" ca="1">IFERROR(IF($C37="","",INDIRECT($D$2&amp;"!t"&amp;Z37)),IF($C37="","",INDIRECT("'"&amp;$D$2&amp;"'"&amp;"!t"&amp;Z37)))</f>
        <v>0</v>
      </c>
      <c r="Q37" s="113" cm="1">
        <f t="array" aca="1" ref="Q37" ca="1">IFERROR(IF($C37="","",INDIRECT($D$2&amp;"!v"&amp;Z37)),IF($C37="","",INDIRECT("'"&amp;$D$2&amp;"'"&amp;"!v"&amp;Z37)))</f>
        <v>0</v>
      </c>
      <c r="R37" s="113">
        <f t="shared" ca="1" si="9"/>
        <v>0</v>
      </c>
      <c r="S37" s="113" cm="1">
        <f t="array" aca="1" ref="S37" ca="1">IFERROR(IF($C37="","",INDIRECT($D$2&amp;"!x"&amp;Z37)),IF($C37="","",INDIRECT("'"&amp;$D$2&amp;"'"&amp;"!x"&amp;Z37)))</f>
        <v>0</v>
      </c>
      <c r="U37" s="113" cm="1">
        <f t="array" aca="1" ref="U37" ca="1">IFERROR(IF($C37="","",INDIRECT($D$2&amp;"!z"&amp;Z37)),IF($C37="","",INDIRECT("'"&amp;$D$2&amp;"'"&amp;"!z"&amp;Z37)))</f>
        <v>0</v>
      </c>
      <c r="V37" s="113">
        <f t="shared" ca="1" si="10"/>
        <v>0</v>
      </c>
      <c r="W37" s="113" cm="1">
        <f t="array" aca="1" ref="W37" ca="1">IFERROR(IF($C37="","",INDIRECT($D$2&amp;"!ab"&amp;Z37)),IF($C37="","",INDIRECT("'"&amp;$D$2&amp;"'"&amp;"!ab"&amp;Z37)))</f>
        <v>0</v>
      </c>
      <c r="X37" s="113"/>
      <c r="Y37" s="113">
        <f t="shared" ca="1" si="11"/>
        <v>0</v>
      </c>
      <c r="Z37" s="35">
        <v>26</v>
      </c>
      <c r="AA37" s="113"/>
      <c r="AB37" s="35">
        <v>26</v>
      </c>
    </row>
    <row r="38" spans="3:28" x14ac:dyDescent="0.25">
      <c r="C38" t="str" cm="1">
        <f t="array" aca="1" ref="C38" ca="1">IFERROR(IF(INDIRECT($D$2&amp;"!B"&amp;Z38)="","",INDIRECT("'"&amp;$D$2&amp;"'"&amp;"!B"&amp;Z38)),IF(INDIRECT("'"&amp;$D$2&amp;"'"&amp;"!B"&amp;Z38)="","",INDIRECT("'"&amp;$D$2&amp;"'"&amp;"!B"&amp;Z38)))</f>
        <v>Teller Cash Recycler</v>
      </c>
      <c r="D38" t="str" cm="1">
        <f t="array" aca="1" ref="D38" ca="1">IFERROR(_xlfn.IFS(C38="","",C38&lt;&gt;"",INDEX(SF_Output!I:I,MATCH(C38,SF_Output!M:M,0))),IFERROR(INDEX(INDIRECT($D$2&amp;"!G:G"),MATCH(C38,INDIRECT($D$2&amp;"!B:B"),0)),INDEX(INDIRECT("'"&amp;$D$2&amp;"'!G:G"),MATCH(C38,INDIRECT("'"&amp;$D$2&amp;"'!B:B"),0))))</f>
        <v>Retail</v>
      </c>
      <c r="E38" t="str" cm="1">
        <f t="array" aca="1" ref="E38" ca="1">IFERROR(IF(C38="","",INDIRECT($D$2&amp;"!F"&amp;Z38)),IF(C38="","",INDIRECT("'"&amp;$D$2&amp;"'"&amp;"!F"&amp;Z38)))</f>
        <v>Included</v>
      </c>
      <c r="F38" t="str" cm="1">
        <f t="array" aca="1" ref="F38" ca="1">IFERROR(IF(C38="","",INDIRECT($D$2&amp;"!ak"&amp;Z38)),IF(C38="","",INDIRECT("'"&amp;$D$2&amp;"'"&amp;"!ak"&amp;Z38)))</f>
        <v>PAP</v>
      </c>
      <c r="G38" cm="1">
        <f t="array" aca="1" ref="G38" ca="1">IFERROR(INDIRECT($D$2&amp;"!h"&amp;Z38),INDIRECT("'"&amp;$D$2&amp;"'"&amp;"!h"&amp;Z38))</f>
        <v>5000</v>
      </c>
      <c r="H38" s="125" cm="1">
        <f t="array" aca="1" ref="H38" ca="1">IFERROR(INDIRECT($D$2&amp;"!i"&amp;Z38),INDIRECT("'"&amp;$D$2&amp;"'"&amp;"!i"&amp;Z38))</f>
        <v>0.03</v>
      </c>
      <c r="I38" s="113" cm="1">
        <f t="array" aca="1" ref="I38" ca="1">IFERROR(IF($C38="","",INDIRECT($D$2&amp;"!j"&amp;$Z38)+INDIRECT($D$2&amp;"!n"&amp;$Z38)),IF($C38="","",INDIRECT("'"&amp;$D$2&amp;"'"&amp;"!j"&amp;$Z38)+INDIRECT("'"&amp;$D$2&amp;"'"&amp;"!n"&amp;$Z38)))</f>
        <v>855</v>
      </c>
      <c r="J38" s="113">
        <f t="shared" ca="1" si="7"/>
        <v>-855</v>
      </c>
      <c r="K38" s="113" cm="1">
        <f t="array" aca="1" ref="K38" ca="1">IFERROR(IF($C38="","",INDIRECT($D$2&amp;"!l"&amp;$Z38)+INDIRECT($D$2&amp;"!p"&amp;$Z38)),IF($C38="","",INDIRECT("'"&amp;$D$2&amp;"'"&amp;"!l"&amp;$Z38)+INDIRECT("'"&amp;$D$2&amp;"'"&amp;"!p"&amp;$Z38)))</f>
        <v>0</v>
      </c>
      <c r="M38" s="113" cm="1">
        <f t="array" aca="1" ref="M38" ca="1">IFERROR(IF($C38="","",INDIRECT($D$2&amp;"!r"&amp;Z38)),IF($C38="","",INDIRECT("'"&amp;$D$2&amp;"'"&amp;"!r"&amp;Z38)))</f>
        <v>0</v>
      </c>
      <c r="N38" s="113">
        <f t="shared" ca="1" si="8"/>
        <v>0</v>
      </c>
      <c r="O38" s="113" cm="1">
        <f t="array" aca="1" ref="O38" ca="1">IFERROR(IF($C38="","",INDIRECT($D$2&amp;"!t"&amp;Z38)),IF($C38="","",INDIRECT("'"&amp;$D$2&amp;"'"&amp;"!t"&amp;Z38)))</f>
        <v>0</v>
      </c>
      <c r="Q38" s="113" cm="1">
        <f t="array" aca="1" ref="Q38" ca="1">IFERROR(IF($C38="","",INDIRECT($D$2&amp;"!v"&amp;Z38)),IF($C38="","",INDIRECT("'"&amp;$D$2&amp;"'"&amp;"!v"&amp;Z38)))</f>
        <v>200</v>
      </c>
      <c r="R38" s="113">
        <f t="shared" ca="1" si="9"/>
        <v>-50</v>
      </c>
      <c r="S38" s="113" cm="1">
        <f t="array" aca="1" ref="S38" ca="1">IFERROR(IF($C38="","",INDIRECT($D$2&amp;"!x"&amp;Z38)),IF($C38="","",INDIRECT("'"&amp;$D$2&amp;"'"&amp;"!x"&amp;Z38)))</f>
        <v>150</v>
      </c>
      <c r="U38" s="113" cm="1">
        <f t="array" aca="1" ref="U38" ca="1">IFERROR(IF($C38="","",INDIRECT($D$2&amp;"!z"&amp;Z38)),IF($C38="","",INDIRECT("'"&amp;$D$2&amp;"'"&amp;"!z"&amp;Z38)))</f>
        <v>0</v>
      </c>
      <c r="V38" s="113">
        <f t="shared" ca="1" si="10"/>
        <v>0</v>
      </c>
      <c r="W38" s="113" cm="1">
        <f t="array" aca="1" ref="W38" ca="1">IFERROR(IF($C38="","",INDIRECT($D$2&amp;"!ab"&amp;Z38)),IF($C38="","",INDIRECT("'"&amp;$D$2&amp;"'"&amp;"!ab"&amp;Z38)))</f>
        <v>0</v>
      </c>
      <c r="X38" s="113"/>
      <c r="Y38" s="113">
        <f t="shared" ca="1" si="11"/>
        <v>150</v>
      </c>
      <c r="Z38" s="35">
        <v>27</v>
      </c>
      <c r="AA38" s="113"/>
      <c r="AB38" s="35">
        <v>27</v>
      </c>
    </row>
    <row r="39" spans="3:28" x14ac:dyDescent="0.25">
      <c r="C39" t="str" cm="1">
        <f t="array" aca="1" ref="C39" ca="1">IFERROR(IF(INDIRECT($D$2&amp;"!B"&amp;Z39)="","",INDIRECT("'"&amp;$D$2&amp;"'"&amp;"!B"&amp;Z39)),IF(INDIRECT("'"&amp;$D$2&amp;"'"&amp;"!B"&amp;Z39)="","",INDIRECT("'"&amp;$D$2&amp;"'"&amp;"!B"&amp;Z39)))</f>
        <v>Teller CheckMaster Plus</v>
      </c>
      <c r="D39" t="str" cm="1">
        <f t="array" aca="1" ref="D39" ca="1">IFERROR(_xlfn.IFS(C39="","",C39&lt;&gt;"",INDEX(SF_Output!I:I,MATCH(C39,SF_Output!M:M,0))),IFERROR(INDEX(INDIRECT($D$2&amp;"!G:G"),MATCH(C39,INDIRECT($D$2&amp;"!B:B"),0)),INDEX(INDIRECT("'"&amp;$D$2&amp;"'!G:G"),MATCH(C39,INDIRECT("'"&amp;$D$2&amp;"'!B:B"),0))))</f>
        <v>Retail</v>
      </c>
      <c r="E39" t="str" cm="1">
        <f t="array" aca="1" ref="E39" ca="1">IFERROR(IF(C39="","",INDIRECT($D$2&amp;"!F"&amp;Z39)),IF(C39="","",INDIRECT("'"&amp;$D$2&amp;"'"&amp;"!F"&amp;Z39)))</f>
        <v>Included</v>
      </c>
      <c r="F39" t="str" cm="1">
        <f t="array" aca="1" ref="F39" ca="1">IFERROR(IF(C39="","",INDIRECT($D$2&amp;"!ak"&amp;Z39)),IF(C39="","",INDIRECT("'"&amp;$D$2&amp;"'"&amp;"!ak"&amp;Z39)))</f>
        <v>PAP</v>
      </c>
      <c r="G39" cm="1">
        <f t="array" aca="1" ref="G39" ca="1">IFERROR(INDIRECT($D$2&amp;"!h"&amp;Z39),INDIRECT("'"&amp;$D$2&amp;"'"&amp;"!h"&amp;Z39))</f>
        <v>5000</v>
      </c>
      <c r="H39" s="125" cm="1">
        <f t="array" aca="1" ref="H39" ca="1">IFERROR(INDIRECT($D$2&amp;"!i"&amp;Z39),INDIRECT("'"&amp;$D$2&amp;"'"&amp;"!i"&amp;Z39))</f>
        <v>1.35E-2</v>
      </c>
      <c r="I39" s="113" cm="1">
        <f t="array" aca="1" ref="I39" ca="1">IFERROR(IF($C39="","",INDIRECT($D$2&amp;"!j"&amp;$Z39)+INDIRECT($D$2&amp;"!n"&amp;$Z39)),IF($C39="","",INDIRECT("'"&amp;$D$2&amp;"'"&amp;"!j"&amp;$Z39)+INDIRECT("'"&amp;$D$2&amp;"'"&amp;"!n"&amp;$Z39)))</f>
        <v>390</v>
      </c>
      <c r="J39" s="113">
        <f t="shared" ca="1" si="7"/>
        <v>-390</v>
      </c>
      <c r="K39" s="113" cm="1">
        <f t="array" aca="1" ref="K39" ca="1">IFERROR(IF($C39="","",INDIRECT($D$2&amp;"!l"&amp;$Z39)+INDIRECT($D$2&amp;"!p"&amp;$Z39)),IF($C39="","",INDIRECT("'"&amp;$D$2&amp;"'"&amp;"!l"&amp;$Z39)+INDIRECT("'"&amp;$D$2&amp;"'"&amp;"!p"&amp;$Z39)))</f>
        <v>0</v>
      </c>
      <c r="M39" s="113" cm="1">
        <f t="array" aca="1" ref="M39" ca="1">IFERROR(IF($C39="","",INDIRECT($D$2&amp;"!r"&amp;Z39)),IF($C39="","",INDIRECT("'"&amp;$D$2&amp;"'"&amp;"!r"&amp;Z39)))</f>
        <v>0</v>
      </c>
      <c r="N39" s="113">
        <f t="shared" ca="1" si="8"/>
        <v>0</v>
      </c>
      <c r="O39" s="113" cm="1">
        <f t="array" aca="1" ref="O39" ca="1">IFERROR(IF($C39="","",INDIRECT($D$2&amp;"!t"&amp;Z39)),IF($C39="","",INDIRECT("'"&amp;$D$2&amp;"'"&amp;"!t"&amp;Z39)))</f>
        <v>0</v>
      </c>
      <c r="Q39" s="113" cm="1">
        <f t="array" aca="1" ref="Q39" ca="1">IFERROR(IF($C39="","",INDIRECT($D$2&amp;"!v"&amp;Z39)),IF($C39="","",INDIRECT("'"&amp;$D$2&amp;"'"&amp;"!v"&amp;Z39)))</f>
        <v>90</v>
      </c>
      <c r="R39" s="113">
        <f t="shared" ca="1" si="9"/>
        <v>-22.5</v>
      </c>
      <c r="S39" s="113" cm="1">
        <f t="array" aca="1" ref="S39" ca="1">IFERROR(IF($C39="","",INDIRECT($D$2&amp;"!x"&amp;Z39)),IF($C39="","",INDIRECT("'"&amp;$D$2&amp;"'"&amp;"!x"&amp;Z39)))</f>
        <v>67.5</v>
      </c>
      <c r="U39" s="113" cm="1">
        <f t="array" aca="1" ref="U39" ca="1">IFERROR(IF($C39="","",INDIRECT($D$2&amp;"!z"&amp;Z39)),IF($C39="","",INDIRECT("'"&amp;$D$2&amp;"'"&amp;"!z"&amp;Z39)))</f>
        <v>0</v>
      </c>
      <c r="V39" s="113">
        <f t="shared" ca="1" si="10"/>
        <v>0</v>
      </c>
      <c r="W39" s="113" cm="1">
        <f t="array" aca="1" ref="W39" ca="1">IFERROR(IF($C39="","",INDIRECT($D$2&amp;"!ab"&amp;Z39)),IF($C39="","",INDIRECT("'"&amp;$D$2&amp;"'"&amp;"!ab"&amp;Z39)))</f>
        <v>0</v>
      </c>
      <c r="X39" s="113"/>
      <c r="Y39" s="113">
        <f t="shared" ca="1" si="11"/>
        <v>67.5</v>
      </c>
      <c r="Z39" s="35">
        <v>28</v>
      </c>
      <c r="AA39" s="113"/>
      <c r="AB39" s="35">
        <v>28</v>
      </c>
    </row>
    <row r="40" spans="3:28" x14ac:dyDescent="0.25">
      <c r="C40" t="str" cm="1">
        <f t="array" aca="1" ref="C40" ca="1">IFERROR(IF(INDIRECT($D$2&amp;"!B"&amp;Z40)="","",INDIRECT("'"&amp;$D$2&amp;"'"&amp;"!B"&amp;Z40)),IF(INDIRECT("'"&amp;$D$2&amp;"'"&amp;"!B"&amp;Z40)="","",INDIRECT("'"&amp;$D$2&amp;"'"&amp;"!B"&amp;Z40)))</f>
        <v>Teller Email Receipts</v>
      </c>
      <c r="D40" t="str" cm="1">
        <f t="array" aca="1" ref="D40" ca="1">IFERROR(_xlfn.IFS(C40="","",C40&lt;&gt;"",INDEX(SF_Output!I:I,MATCH(C40,SF_Output!M:M,0))),IFERROR(INDEX(INDIRECT($D$2&amp;"!G:G"),MATCH(C40,INDIRECT($D$2&amp;"!B:B"),0)),INDEX(INDIRECT("'"&amp;$D$2&amp;"'!G:G"),MATCH(C40,INDIRECT("'"&amp;$D$2&amp;"'!B:B"),0))))</f>
        <v>Retail</v>
      </c>
      <c r="E40" t="str" cm="1">
        <f t="array" aca="1" ref="E40" ca="1">IFERROR(IF(C40="","",INDIRECT($D$2&amp;"!F"&amp;Z40)),IF(C40="","",INDIRECT("'"&amp;$D$2&amp;"'"&amp;"!F"&amp;Z40)))</f>
        <v>Included</v>
      </c>
      <c r="F40" t="str" cm="1">
        <f t="array" aca="1" ref="F40" ca="1">IFERROR(IF(C40="","",INDIRECT($D$2&amp;"!ak"&amp;Z40)),IF(C40="","",INDIRECT("'"&amp;$D$2&amp;"'"&amp;"!ak"&amp;Z40)))</f>
        <v/>
      </c>
      <c r="G40" cm="1">
        <f t="array" aca="1" ref="G40" ca="1">IFERROR(INDIRECT($D$2&amp;"!h"&amp;Z40),INDIRECT("'"&amp;$D$2&amp;"'"&amp;"!h"&amp;Z40))</f>
        <v>1</v>
      </c>
      <c r="H40" s="125" t="str" cm="1">
        <f t="array" aca="1" ref="H40" ca="1">IFERROR(INDIRECT($D$2&amp;"!i"&amp;Z40),INDIRECT("'"&amp;$D$2&amp;"'"&amp;"!i"&amp;Z40))</f>
        <v/>
      </c>
      <c r="I40" s="113" cm="1">
        <f t="array" aca="1" ref="I40" ca="1">IFERROR(IF($C40="","",INDIRECT($D$2&amp;"!j"&amp;$Z40)+INDIRECT($D$2&amp;"!n"&amp;$Z40)),IF($C40="","",INDIRECT("'"&amp;$D$2&amp;"'"&amp;"!j"&amp;$Z40)+INDIRECT("'"&amp;$D$2&amp;"'"&amp;"!n"&amp;$Z40)))</f>
        <v>3750</v>
      </c>
      <c r="J40" s="113">
        <f t="shared" ca="1" si="7"/>
        <v>-3750</v>
      </c>
      <c r="K40" s="113" cm="1">
        <f t="array" aca="1" ref="K40" ca="1">IFERROR(IF($C40="","",INDIRECT($D$2&amp;"!l"&amp;$Z40)+INDIRECT($D$2&amp;"!p"&amp;$Z40)),IF($C40="","",INDIRECT("'"&amp;$D$2&amp;"'"&amp;"!l"&amp;$Z40)+INDIRECT("'"&amp;$D$2&amp;"'"&amp;"!p"&amp;$Z40)))</f>
        <v>0</v>
      </c>
      <c r="M40" s="113" cm="1">
        <f t="array" aca="1" ref="M40" ca="1">IFERROR(IF($C40="","",INDIRECT($D$2&amp;"!r"&amp;Z40)),IF($C40="","",INDIRECT("'"&amp;$D$2&amp;"'"&amp;"!r"&amp;Z40)))</f>
        <v>0</v>
      </c>
      <c r="N40" s="113">
        <f t="shared" ca="1" si="8"/>
        <v>0</v>
      </c>
      <c r="O40" s="113" cm="1">
        <f t="array" aca="1" ref="O40" ca="1">IFERROR(IF($C40="","",INDIRECT($D$2&amp;"!t"&amp;Z40)),IF($C40="","",INDIRECT("'"&amp;$D$2&amp;"'"&amp;"!t"&amp;Z40)))</f>
        <v>0</v>
      </c>
      <c r="Q40" s="113" cm="1">
        <f t="array" aca="1" ref="Q40" ca="1">IFERROR(IF($C40="","",INDIRECT($D$2&amp;"!v"&amp;Z40)),IF($C40="","",INDIRECT("'"&amp;$D$2&amp;"'"&amp;"!v"&amp;Z40)))</f>
        <v>0</v>
      </c>
      <c r="R40" s="113">
        <f t="shared" ca="1" si="9"/>
        <v>0</v>
      </c>
      <c r="S40" s="113" cm="1">
        <f t="array" aca="1" ref="S40" ca="1">IFERROR(IF($C40="","",INDIRECT($D$2&amp;"!x"&amp;Z40)),IF($C40="","",INDIRECT("'"&amp;$D$2&amp;"'"&amp;"!x"&amp;Z40)))</f>
        <v>0</v>
      </c>
      <c r="U40" s="113" cm="1">
        <f t="array" aca="1" ref="U40" ca="1">IFERROR(IF($C40="","",INDIRECT($D$2&amp;"!z"&amp;Z40)),IF($C40="","",INDIRECT("'"&amp;$D$2&amp;"'"&amp;"!z"&amp;Z40)))</f>
        <v>0</v>
      </c>
      <c r="V40" s="113">
        <f t="shared" ca="1" si="10"/>
        <v>0</v>
      </c>
      <c r="W40" s="113" cm="1">
        <f t="array" aca="1" ref="W40" ca="1">IFERROR(IF($C40="","",INDIRECT($D$2&amp;"!ab"&amp;Z40)),IF($C40="","",INDIRECT("'"&amp;$D$2&amp;"'"&amp;"!ab"&amp;Z40)))</f>
        <v>0</v>
      </c>
      <c r="X40" s="113"/>
      <c r="Y40" s="113">
        <f t="shared" ca="1" si="11"/>
        <v>0</v>
      </c>
      <c r="Z40" s="35">
        <v>29</v>
      </c>
      <c r="AA40" s="113"/>
      <c r="AB40" s="35">
        <v>29</v>
      </c>
    </row>
    <row r="41" spans="3:28" x14ac:dyDescent="0.25">
      <c r="C41" t="str" cm="1">
        <f t="array" aca="1" ref="C41" ca="1">IFERROR(IF(INDIRECT($D$2&amp;"!B"&amp;Z41)="","",INDIRECT("'"&amp;$D$2&amp;"'"&amp;"!B"&amp;Z41)),IF(INDIRECT("'"&amp;$D$2&amp;"'"&amp;"!B"&amp;Z41)="","",INDIRECT("'"&amp;$D$2&amp;"'"&amp;"!B"&amp;Z41)))</f>
        <v>Teller OrboAnywhere AI Recognition</v>
      </c>
      <c r="D41" t="str" cm="1">
        <f t="array" aca="1" ref="D41" ca="1">IFERROR(_xlfn.IFS(C41="","",C41&lt;&gt;"",INDEX(SF_Output!I:I,MATCH(C41,SF_Output!M:M,0))),IFERROR(INDEX(INDIRECT($D$2&amp;"!G:G"),MATCH(C41,INDIRECT($D$2&amp;"!B:B"),0)),INDEX(INDIRECT("'"&amp;$D$2&amp;"'!G:G"),MATCH(C41,INDIRECT("'"&amp;$D$2&amp;"'!B:B"),0))))</f>
        <v>Retail</v>
      </c>
      <c r="E41" t="str" cm="1">
        <f t="array" aca="1" ref="E41" ca="1">IFERROR(IF(C41="","",INDIRECT($D$2&amp;"!F"&amp;Z41)),IF(C41="","",INDIRECT("'"&amp;$D$2&amp;"'"&amp;"!F"&amp;Z41)))</f>
        <v>Included</v>
      </c>
      <c r="F41" t="str" cm="1">
        <f t="array" aca="1" ref="F41" ca="1">IFERROR(IF(C41="","",INDIRECT($D$2&amp;"!ak"&amp;Z41)),IF(C41="","",INDIRECT("'"&amp;$D$2&amp;"'"&amp;"!ak"&amp;Z41)))</f>
        <v/>
      </c>
      <c r="G41" cm="1">
        <f t="array" aca="1" ref="G41" ca="1">IFERROR(INDIRECT($D$2&amp;"!h"&amp;Z41),INDIRECT("'"&amp;$D$2&amp;"'"&amp;"!h"&amp;Z41))</f>
        <v>1</v>
      </c>
      <c r="H41" s="125" t="str" cm="1">
        <f t="array" aca="1" ref="H41" ca="1">IFERROR(INDIRECT($D$2&amp;"!i"&amp;Z41),INDIRECT("'"&amp;$D$2&amp;"'"&amp;"!i"&amp;Z41))</f>
        <v/>
      </c>
      <c r="I41" s="113" cm="1">
        <f t="array" aca="1" ref="I41" ca="1">IFERROR(IF($C41="","",INDIRECT($D$2&amp;"!j"&amp;$Z41)+INDIRECT($D$2&amp;"!n"&amp;$Z41)),IF($C41="","",INDIRECT("'"&amp;$D$2&amp;"'"&amp;"!j"&amp;$Z41)+INDIRECT("'"&amp;$D$2&amp;"'"&amp;"!n"&amp;$Z41)))</f>
        <v>4909</v>
      </c>
      <c r="J41" s="113">
        <f t="shared" ca="1" si="7"/>
        <v>0</v>
      </c>
      <c r="K41" s="113" cm="1">
        <f t="array" aca="1" ref="K41" ca="1">IFERROR(IF($C41="","",INDIRECT($D$2&amp;"!l"&amp;$Z41)+INDIRECT($D$2&amp;"!p"&amp;$Z41)),IF($C41="","",INDIRECT("'"&amp;$D$2&amp;"'"&amp;"!l"&amp;$Z41)+INDIRECT("'"&amp;$D$2&amp;"'"&amp;"!p"&amp;$Z41)))</f>
        <v>4909</v>
      </c>
      <c r="M41" s="113" cm="1">
        <f t="array" aca="1" ref="M41" ca="1">IFERROR(IF($C41="","",INDIRECT($D$2&amp;"!r"&amp;Z41)),IF($C41="","",INDIRECT("'"&amp;$D$2&amp;"'"&amp;"!r"&amp;Z41)))</f>
        <v>982</v>
      </c>
      <c r="N41" s="113">
        <f t="shared" ca="1" si="8"/>
        <v>0</v>
      </c>
      <c r="O41" s="113" cm="1">
        <f t="array" aca="1" ref="O41" ca="1">IFERROR(IF($C41="","",INDIRECT($D$2&amp;"!t"&amp;Z41)),IF($C41="","",INDIRECT("'"&amp;$D$2&amp;"'"&amp;"!t"&amp;Z41)))</f>
        <v>982</v>
      </c>
      <c r="Q41" s="113" cm="1">
        <f t="array" aca="1" ref="Q41" ca="1">IFERROR(IF($C41="","",INDIRECT($D$2&amp;"!v"&amp;Z41)),IF($C41="","",INDIRECT("'"&amp;$D$2&amp;"'"&amp;"!v"&amp;Z41)))</f>
        <v>0</v>
      </c>
      <c r="R41" s="113">
        <f t="shared" ca="1" si="9"/>
        <v>0</v>
      </c>
      <c r="S41" s="113" cm="1">
        <f t="array" aca="1" ref="S41" ca="1">IFERROR(IF($C41="","",INDIRECT($D$2&amp;"!x"&amp;Z41)),IF($C41="","",INDIRECT("'"&amp;$D$2&amp;"'"&amp;"!x"&amp;Z41)))</f>
        <v>0</v>
      </c>
      <c r="U41" s="113" cm="1">
        <f t="array" aca="1" ref="U41" ca="1">IFERROR(IF($C41="","",INDIRECT($D$2&amp;"!z"&amp;Z41)),IF($C41="","",INDIRECT("'"&amp;$D$2&amp;"'"&amp;"!z"&amp;Z41)))</f>
        <v>0</v>
      </c>
      <c r="V41" s="113">
        <f t="shared" ca="1" si="10"/>
        <v>0</v>
      </c>
      <c r="W41" s="113" cm="1">
        <f t="array" aca="1" ref="W41" ca="1">IFERROR(IF($C41="","",INDIRECT($D$2&amp;"!ab"&amp;Z41)),IF($C41="","",INDIRECT("'"&amp;$D$2&amp;"'"&amp;"!ab"&amp;Z41)))</f>
        <v>0</v>
      </c>
      <c r="X41" s="113"/>
      <c r="Y41" s="113">
        <f t="shared" ca="1" si="11"/>
        <v>0</v>
      </c>
      <c r="Z41" s="35">
        <v>30</v>
      </c>
      <c r="AA41" s="113"/>
      <c r="AB41" s="35">
        <v>30</v>
      </c>
    </row>
    <row r="42" spans="3:28" x14ac:dyDescent="0.25">
      <c r="C42" t="str" cm="1">
        <f t="array" aca="1" ref="C42" ca="1">IFERROR(IF(INDIRECT($D$2&amp;"!B"&amp;Z42)="","",INDIRECT("'"&amp;$D$2&amp;"'"&amp;"!B"&amp;Z42)),IF(INDIRECT("'"&amp;$D$2&amp;"'"&amp;"!B"&amp;Z42)="","",INDIRECT("'"&amp;$D$2&amp;"'"&amp;"!B"&amp;Z42)))</f>
        <v>Teller OrboAnywhere AI Validate</v>
      </c>
      <c r="D42" t="str" cm="1">
        <f t="array" aca="1" ref="D42" ca="1">IFERROR(_xlfn.IFS(C42="","",C42&lt;&gt;"",INDEX(SF_Output!I:I,MATCH(C42,SF_Output!M:M,0))),IFERROR(INDEX(INDIRECT($D$2&amp;"!G:G"),MATCH(C42,INDIRECT($D$2&amp;"!B:B"),0)),INDEX(INDIRECT("'"&amp;$D$2&amp;"'!G:G"),MATCH(C42,INDIRECT("'"&amp;$D$2&amp;"'!B:B"),0))))</f>
        <v>Retail</v>
      </c>
      <c r="E42" t="str" cm="1">
        <f t="array" aca="1" ref="E42" ca="1">IFERROR(IF(C42="","",INDIRECT($D$2&amp;"!F"&amp;Z42)),IF(C42="","",INDIRECT("'"&amp;$D$2&amp;"'"&amp;"!F"&amp;Z42)))</f>
        <v>Included</v>
      </c>
      <c r="F42" t="str" cm="1">
        <f t="array" aca="1" ref="F42" ca="1">IFERROR(IF(C42="","",INDIRECT($D$2&amp;"!ak"&amp;Z42)),IF(C42="","",INDIRECT("'"&amp;$D$2&amp;"'"&amp;"!ak"&amp;Z42)))</f>
        <v/>
      </c>
      <c r="G42" cm="1">
        <f t="array" aca="1" ref="G42" ca="1">IFERROR(INDIRECT($D$2&amp;"!h"&amp;Z42),INDIRECT("'"&amp;$D$2&amp;"'"&amp;"!h"&amp;Z42))</f>
        <v>1</v>
      </c>
      <c r="H42" s="125" t="str" cm="1">
        <f t="array" aca="1" ref="H42" ca="1">IFERROR(INDIRECT($D$2&amp;"!i"&amp;Z42),INDIRECT("'"&amp;$D$2&amp;"'"&amp;"!i"&amp;Z42))</f>
        <v/>
      </c>
      <c r="I42" s="113" cm="1">
        <f t="array" aca="1" ref="I42" ca="1">IFERROR(IF($C42="","",INDIRECT($D$2&amp;"!j"&amp;$Z42)+INDIRECT($D$2&amp;"!n"&amp;$Z42)),IF($C42="","",INDIRECT("'"&amp;$D$2&amp;"'"&amp;"!j"&amp;$Z42)+INDIRECT("'"&amp;$D$2&amp;"'"&amp;"!n"&amp;$Z42)))</f>
        <v>1636</v>
      </c>
      <c r="J42" s="113">
        <f t="shared" ca="1" si="7"/>
        <v>0</v>
      </c>
      <c r="K42" s="113" cm="1">
        <f t="array" aca="1" ref="K42" ca="1">IFERROR(IF($C42="","",INDIRECT($D$2&amp;"!l"&amp;$Z42)+INDIRECT($D$2&amp;"!p"&amp;$Z42)),IF($C42="","",INDIRECT("'"&amp;$D$2&amp;"'"&amp;"!l"&amp;$Z42)+INDIRECT("'"&amp;$D$2&amp;"'"&amp;"!p"&amp;$Z42)))</f>
        <v>1636</v>
      </c>
      <c r="M42" s="113" cm="1">
        <f t="array" aca="1" ref="M42" ca="1">IFERROR(IF($C42="","",INDIRECT($D$2&amp;"!r"&amp;Z42)),IF($C42="","",INDIRECT("'"&amp;$D$2&amp;"'"&amp;"!r"&amp;Z42)))</f>
        <v>327</v>
      </c>
      <c r="N42" s="113">
        <f t="shared" ca="1" si="8"/>
        <v>0</v>
      </c>
      <c r="O42" s="113" cm="1">
        <f t="array" aca="1" ref="O42" ca="1">IFERROR(IF($C42="","",INDIRECT($D$2&amp;"!t"&amp;Z42)),IF($C42="","",INDIRECT("'"&amp;$D$2&amp;"'"&amp;"!t"&amp;Z42)))</f>
        <v>327</v>
      </c>
      <c r="Q42" s="113" cm="1">
        <f t="array" aca="1" ref="Q42" ca="1">IFERROR(IF($C42="","",INDIRECT($D$2&amp;"!v"&amp;Z42)),IF($C42="","",INDIRECT("'"&amp;$D$2&amp;"'"&amp;"!v"&amp;Z42)))</f>
        <v>0</v>
      </c>
      <c r="R42" s="113">
        <f t="shared" ca="1" si="9"/>
        <v>0</v>
      </c>
      <c r="S42" s="113" cm="1">
        <f t="array" aca="1" ref="S42" ca="1">IFERROR(IF($C42="","",INDIRECT($D$2&amp;"!x"&amp;Z42)),IF($C42="","",INDIRECT("'"&amp;$D$2&amp;"'"&amp;"!x"&amp;Z42)))</f>
        <v>0</v>
      </c>
      <c r="U42" s="113" cm="1">
        <f t="array" aca="1" ref="U42" ca="1">IFERROR(IF($C42="","",INDIRECT($D$2&amp;"!z"&amp;Z42)),IF($C42="","",INDIRECT("'"&amp;$D$2&amp;"'"&amp;"!z"&amp;Z42)))</f>
        <v>0</v>
      </c>
      <c r="V42" s="113">
        <f t="shared" ca="1" si="10"/>
        <v>0</v>
      </c>
      <c r="W42" s="113" cm="1">
        <f t="array" aca="1" ref="W42" ca="1">IFERROR(IF($C42="","",INDIRECT($D$2&amp;"!ab"&amp;Z42)),IF($C42="","",INDIRECT("'"&amp;$D$2&amp;"'"&amp;"!ab"&amp;Z42)))</f>
        <v>0</v>
      </c>
      <c r="X42" s="113"/>
      <c r="Y42" s="113">
        <f t="shared" ca="1" si="11"/>
        <v>0</v>
      </c>
      <c r="Z42" s="35">
        <v>31</v>
      </c>
      <c r="AA42" s="113"/>
      <c r="AB42" s="35">
        <v>31</v>
      </c>
    </row>
    <row r="43" spans="3:28" x14ac:dyDescent="0.25">
      <c r="C43" t="str" cm="1">
        <f t="array" aca="1" ref="C43" ca="1">IFERROR(IF(INDIRECT($D$2&amp;"!B"&amp;Z43)="","",INDIRECT("'"&amp;$D$2&amp;"'"&amp;"!B"&amp;Z43)),IF(INDIRECT("'"&amp;$D$2&amp;"'"&amp;"!B"&amp;Z43)="","",INDIRECT("'"&amp;$D$2&amp;"'"&amp;"!B"&amp;Z43)))</f>
        <v>Teller Integration to AlertCenter</v>
      </c>
      <c r="D43" t="str" cm="1">
        <f t="array" aca="1" ref="D43" ca="1">IFERROR(_xlfn.IFS(C43="","",C43&lt;&gt;"",INDEX(SF_Output!I:I,MATCH(C43,SF_Output!M:M,0))),IFERROR(INDEX(INDIRECT($D$2&amp;"!G:G"),MATCH(C43,INDIRECT($D$2&amp;"!B:B"),0)),INDEX(INDIRECT("'"&amp;$D$2&amp;"'!G:G"),MATCH(C43,INDIRECT("'"&amp;$D$2&amp;"'!B:B"),0))))</f>
        <v>Retail</v>
      </c>
      <c r="E43" t="str" cm="1">
        <f t="array" aca="1" ref="E43" ca="1">IFERROR(IF(C43="","",INDIRECT($D$2&amp;"!F"&amp;Z43)),IF(C43="","",INDIRECT("'"&amp;$D$2&amp;"'"&amp;"!F"&amp;Z43)))</f>
        <v>Optional</v>
      </c>
      <c r="F43" t="str" cm="1">
        <f t="array" aca="1" ref="F43" ca="1">IFERROR(IF(C43="","",INDIRECT($D$2&amp;"!ak"&amp;Z43)),IF(C43="","",INDIRECT("'"&amp;$D$2&amp;"'"&amp;"!ak"&amp;Z43)))</f>
        <v/>
      </c>
      <c r="G43" cm="1">
        <f t="array" aca="1" ref="G43" ca="1">IFERROR(INDIRECT($D$2&amp;"!h"&amp;Z43),INDIRECT("'"&amp;$D$2&amp;"'"&amp;"!h"&amp;Z43))</f>
        <v>1</v>
      </c>
      <c r="H43" s="125" t="str" cm="1">
        <f t="array" aca="1" ref="H43" ca="1">IFERROR(INDIRECT($D$2&amp;"!i"&amp;Z43),INDIRECT("'"&amp;$D$2&amp;"'"&amp;"!i"&amp;Z43))</f>
        <v/>
      </c>
      <c r="I43" s="113" cm="1">
        <f t="array" aca="1" ref="I43" ca="1">IFERROR(IF($C43="","",INDIRECT($D$2&amp;"!j"&amp;$Z43)+INDIRECT($D$2&amp;"!n"&amp;$Z43)),IF($C43="","",INDIRECT("'"&amp;$D$2&amp;"'"&amp;"!j"&amp;$Z43)+INDIRECT("'"&amp;$D$2&amp;"'"&amp;"!n"&amp;$Z43)))</f>
        <v>3750</v>
      </c>
      <c r="J43" s="113">
        <f t="shared" ca="1" si="7"/>
        <v>-3750</v>
      </c>
      <c r="K43" s="113" cm="1">
        <f t="array" aca="1" ref="K43" ca="1">IFERROR(IF($C43="","",INDIRECT($D$2&amp;"!l"&amp;$Z43)+INDIRECT($D$2&amp;"!p"&amp;$Z43)),IF($C43="","",INDIRECT("'"&amp;$D$2&amp;"'"&amp;"!l"&amp;$Z43)+INDIRECT("'"&amp;$D$2&amp;"'"&amp;"!p"&amp;$Z43)))</f>
        <v>0</v>
      </c>
      <c r="M43" s="113" cm="1">
        <f t="array" aca="1" ref="M43" ca="1">IFERROR(IF($C43="","",INDIRECT($D$2&amp;"!r"&amp;Z43)),IF($C43="","",INDIRECT("'"&amp;$D$2&amp;"'"&amp;"!r"&amp;Z43)))</f>
        <v>0</v>
      </c>
      <c r="N43" s="113">
        <f t="shared" ca="1" si="8"/>
        <v>0</v>
      </c>
      <c r="O43" s="113" cm="1">
        <f t="array" aca="1" ref="O43" ca="1">IFERROR(IF($C43="","",INDIRECT($D$2&amp;"!t"&amp;Z43)),IF($C43="","",INDIRECT("'"&amp;$D$2&amp;"'"&amp;"!t"&amp;Z43)))</f>
        <v>0</v>
      </c>
      <c r="Q43" s="113" cm="1">
        <f t="array" aca="1" ref="Q43" ca="1">IFERROR(IF($C43="","",INDIRECT($D$2&amp;"!v"&amp;Z43)),IF($C43="","",INDIRECT("'"&amp;$D$2&amp;"'"&amp;"!v"&amp;Z43)))</f>
        <v>0</v>
      </c>
      <c r="R43" s="113">
        <f t="shared" ca="1" si="9"/>
        <v>0</v>
      </c>
      <c r="S43" s="113" cm="1">
        <f t="array" aca="1" ref="S43" ca="1">IFERROR(IF($C43="","",INDIRECT($D$2&amp;"!x"&amp;Z43)),IF($C43="","",INDIRECT("'"&amp;$D$2&amp;"'"&amp;"!x"&amp;Z43)))</f>
        <v>0</v>
      </c>
      <c r="U43" s="113" cm="1">
        <f t="array" aca="1" ref="U43" ca="1">IFERROR(IF($C43="","",INDIRECT($D$2&amp;"!z"&amp;Z43)),IF($C43="","",INDIRECT("'"&amp;$D$2&amp;"'"&amp;"!z"&amp;Z43)))</f>
        <v>0</v>
      </c>
      <c r="V43" s="113">
        <f t="shared" ca="1" si="10"/>
        <v>0</v>
      </c>
      <c r="W43" s="113" cm="1">
        <f t="array" aca="1" ref="W43" ca="1">IFERROR(IF($C43="","",INDIRECT($D$2&amp;"!ab"&amp;Z43)),IF($C43="","",INDIRECT("'"&amp;$D$2&amp;"'"&amp;"!ab"&amp;Z43)))</f>
        <v>0</v>
      </c>
      <c r="X43" s="113"/>
      <c r="Y43" s="113">
        <f t="shared" ca="1" si="11"/>
        <v>0</v>
      </c>
      <c r="Z43" s="35">
        <v>32</v>
      </c>
      <c r="AA43" s="113"/>
      <c r="AB43" s="35">
        <v>32</v>
      </c>
    </row>
    <row r="44" spans="3:28" x14ac:dyDescent="0.25">
      <c r="C44" t="str" cm="1">
        <f t="array" aca="1" ref="C44" ca="1">IFERROR(IF(INDIRECT($D$2&amp;"!B"&amp;Z44)="","",INDIRECT("'"&amp;$D$2&amp;"'"&amp;"!B"&amp;Z44)),IF(INDIRECT("'"&amp;$D$2&amp;"'"&amp;"!B"&amp;Z44)="","",INDIRECT("'"&amp;$D$2&amp;"'"&amp;"!B"&amp;Z44)))</f>
        <v>Synapsys CRM</v>
      </c>
      <c r="D44" t="str" cm="1">
        <f t="array" aca="1" ref="D44" ca="1">IFERROR(_xlfn.IFS(C44="","",C44&lt;&gt;"",INDEX(SF_Output!I:I,MATCH(C44,SF_Output!M:M,0))),IFERROR(INDEX(INDIRECT($D$2&amp;"!G:G"),MATCH(C44,INDIRECT($D$2&amp;"!B:B"),0)),INDEX(INDIRECT("'"&amp;$D$2&amp;"'!G:G"),MATCH(C44,INDIRECT("'"&amp;$D$2&amp;"'!B:B"),0))))</f>
        <v>Retail</v>
      </c>
      <c r="E44" t="str" cm="1">
        <f t="array" aca="1" ref="E44" ca="1">IFERROR(IF(C44="","",INDIRECT($D$2&amp;"!F"&amp;Z44)),IF(C44="","",INDIRECT("'"&amp;$D$2&amp;"'"&amp;"!F"&amp;Z44)))</f>
        <v>Included</v>
      </c>
      <c r="F44" t="str" cm="1">
        <f t="array" aca="1" ref="F44" ca="1">IFERROR(IF(C44="","",INDIRECT($D$2&amp;"!ak"&amp;Z44)),IF(C44="","",INDIRECT("'"&amp;$D$2&amp;"'"&amp;"!ak"&amp;Z44)))</f>
        <v>PAP</v>
      </c>
      <c r="G44" cm="1">
        <f t="array" aca="1" ref="G44" ca="1">IFERROR(INDIRECT($D$2&amp;"!h"&amp;Z44),INDIRECT("'"&amp;$D$2&amp;"'"&amp;"!h"&amp;Z44))</f>
        <v>5000</v>
      </c>
      <c r="H44" s="125" cm="1">
        <f t="array" aca="1" ref="H44" ca="1">IFERROR(INDIRECT($D$2&amp;"!i"&amp;Z44),INDIRECT("'"&amp;$D$2&amp;"'"&amp;"!i"&amp;Z44))</f>
        <v>0.1643</v>
      </c>
      <c r="I44" s="113" cm="1">
        <f t="array" aca="1" ref="I44" ca="1">IFERROR(IF($C44="","",INDIRECT($D$2&amp;"!j"&amp;$Z44)+INDIRECT($D$2&amp;"!n"&amp;$Z44)),IF($C44="","",INDIRECT("'"&amp;$D$2&amp;"'"&amp;"!j"&amp;$Z44)+INDIRECT("'"&amp;$D$2&amp;"'"&amp;"!n"&amp;$Z44)))</f>
        <v>8500</v>
      </c>
      <c r="J44" s="113">
        <f t="shared" ca="1" si="7"/>
        <v>-8500</v>
      </c>
      <c r="K44" s="113" cm="1">
        <f t="array" aca="1" ref="K44" ca="1">IFERROR(IF($C44="","",INDIRECT($D$2&amp;"!l"&amp;$Z44)+INDIRECT($D$2&amp;"!p"&amp;$Z44)),IF($C44="","",INDIRECT("'"&amp;$D$2&amp;"'"&amp;"!l"&amp;$Z44)+INDIRECT("'"&amp;$D$2&amp;"'"&amp;"!p"&amp;$Z44)))</f>
        <v>0</v>
      </c>
      <c r="M44" s="113" cm="1">
        <f t="array" aca="1" ref="M44" ca="1">IFERROR(IF($C44="","",INDIRECT($D$2&amp;"!r"&amp;Z44)),IF($C44="","",INDIRECT("'"&amp;$D$2&amp;"'"&amp;"!r"&amp;Z44)))</f>
        <v>0</v>
      </c>
      <c r="N44" s="113">
        <f t="shared" ca="1" si="8"/>
        <v>0</v>
      </c>
      <c r="O44" s="113" cm="1">
        <f t="array" aca="1" ref="O44" ca="1">IFERROR(IF($C44="","",INDIRECT($D$2&amp;"!t"&amp;Z44)),IF($C44="","",INDIRECT("'"&amp;$D$2&amp;"'"&amp;"!t"&amp;Z44)))</f>
        <v>0</v>
      </c>
      <c r="Q44" s="113" cm="1">
        <f t="array" aca="1" ref="Q44" ca="1">IFERROR(IF($C44="","",INDIRECT($D$2&amp;"!v"&amp;Z44)),IF($C44="","",INDIRECT("'"&amp;$D$2&amp;"'"&amp;"!v"&amp;Z44)))</f>
        <v>1095</v>
      </c>
      <c r="R44" s="113">
        <f t="shared" ca="1" si="9"/>
        <v>-273.5</v>
      </c>
      <c r="S44" s="113" cm="1">
        <f t="array" aca="1" ref="S44" ca="1">IFERROR(IF($C44="","",INDIRECT($D$2&amp;"!x"&amp;Z44)),IF($C44="","",INDIRECT("'"&amp;$D$2&amp;"'"&amp;"!x"&amp;Z44)))</f>
        <v>821.5</v>
      </c>
      <c r="U44" s="113" cm="1">
        <f t="array" aca="1" ref="U44" ca="1">IFERROR(IF($C44="","",INDIRECT($D$2&amp;"!z"&amp;Z44)),IF($C44="","",INDIRECT("'"&amp;$D$2&amp;"'"&amp;"!z"&amp;Z44)))</f>
        <v>0</v>
      </c>
      <c r="V44" s="113">
        <f t="shared" ca="1" si="10"/>
        <v>0</v>
      </c>
      <c r="W44" s="113" cm="1">
        <f t="array" aca="1" ref="W44" ca="1">IFERROR(IF($C44="","",INDIRECT($D$2&amp;"!ab"&amp;Z44)),IF($C44="","",INDIRECT("'"&amp;$D$2&amp;"'"&amp;"!ab"&amp;Z44)))</f>
        <v>0</v>
      </c>
      <c r="X44" s="113"/>
      <c r="Y44" s="113">
        <f t="shared" ca="1" si="11"/>
        <v>821.5</v>
      </c>
      <c r="Z44" s="35">
        <v>33</v>
      </c>
      <c r="AA44" s="113"/>
      <c r="AB44" s="35">
        <v>33</v>
      </c>
    </row>
    <row r="45" spans="3:28" x14ac:dyDescent="0.25">
      <c r="C45" t="str" cm="1">
        <f t="array" aca="1" ref="C45" ca="1">IFERROR(IF(INDIRECT($D$2&amp;"!B"&amp;Z45)="","",INDIRECT("'"&amp;$D$2&amp;"'"&amp;"!B"&amp;Z45)),IF(INDIRECT("'"&amp;$D$2&amp;"'"&amp;"!B"&amp;Z45)="","",INDIRECT("'"&amp;$D$2&amp;"'"&amp;"!B"&amp;Z45)))</f>
        <v>Synapsys CRM Annual Training/Consulting Maintenance (For OutLink/Hosted customers only)</v>
      </c>
      <c r="D45" t="str" cm="1">
        <f t="array" aca="1" ref="D45" ca="1">IFERROR(_xlfn.IFS(C45="","",C45&lt;&gt;"",INDEX(SF_Output!I:I,MATCH(C45,SF_Output!M:M,0))),IFERROR(INDEX(INDIRECT($D$2&amp;"!G:G"),MATCH(C45,INDIRECT($D$2&amp;"!B:B"),0)),INDEX(INDIRECT("'"&amp;$D$2&amp;"'!G:G"),MATCH(C45,INDIRECT("'"&amp;$D$2&amp;"'!B:B"),0))))</f>
        <v>Retail</v>
      </c>
      <c r="E45" t="str" cm="1">
        <f t="array" aca="1" ref="E45" ca="1">IFERROR(IF(C45="","",INDIRECT($D$2&amp;"!F"&amp;Z45)),IF(C45="","",INDIRECT("'"&amp;$D$2&amp;"'"&amp;"!F"&amp;Z45)))</f>
        <v>Included</v>
      </c>
      <c r="F45" t="str" cm="1">
        <f t="array" aca="1" ref="F45" ca="1">IFERROR(IF(C45="","",INDIRECT($D$2&amp;"!ak"&amp;Z45)),IF(C45="","",INDIRECT("'"&amp;$D$2&amp;"'"&amp;"!ak"&amp;Z45)))</f>
        <v/>
      </c>
      <c r="G45" cm="1">
        <f t="array" aca="1" ref="G45" ca="1">IFERROR(INDIRECT($D$2&amp;"!h"&amp;Z45),INDIRECT("'"&amp;$D$2&amp;"'"&amp;"!h"&amp;Z45))</f>
        <v>1</v>
      </c>
      <c r="H45" s="125" t="str" cm="1">
        <f t="array" aca="1" ref="H45" ca="1">IFERROR(INDIRECT($D$2&amp;"!i"&amp;Z45),INDIRECT("'"&amp;$D$2&amp;"'"&amp;"!i"&amp;Z45))</f>
        <v/>
      </c>
      <c r="I45" s="113" cm="1">
        <f t="array" aca="1" ref="I45" ca="1">IFERROR(IF($C45="","",INDIRECT($D$2&amp;"!j"&amp;$Z45)+INDIRECT($D$2&amp;"!n"&amp;$Z45)),IF($C45="","",INDIRECT("'"&amp;$D$2&amp;"'"&amp;"!j"&amp;$Z45)+INDIRECT("'"&amp;$D$2&amp;"'"&amp;"!n"&amp;$Z45)))</f>
        <v>0</v>
      </c>
      <c r="J45" s="113">
        <f t="shared" ca="1" si="7"/>
        <v>0</v>
      </c>
      <c r="K45" s="113" cm="1">
        <f t="array" aca="1" ref="K45" ca="1">IFERROR(IF($C45="","",INDIRECT($D$2&amp;"!l"&amp;$Z45)+INDIRECT($D$2&amp;"!p"&amp;$Z45)),IF($C45="","",INDIRECT("'"&amp;$D$2&amp;"'"&amp;"!l"&amp;$Z45)+INDIRECT("'"&amp;$D$2&amp;"'"&amp;"!p"&amp;$Z45)))</f>
        <v>0</v>
      </c>
      <c r="M45" s="113" cm="1">
        <f t="array" aca="1" ref="M45" ca="1">IFERROR(IF($C45="","",INDIRECT($D$2&amp;"!r"&amp;Z45)),IF($C45="","",INDIRECT("'"&amp;$D$2&amp;"'"&amp;"!r"&amp;Z45)))</f>
        <v>5000</v>
      </c>
      <c r="N45" s="113">
        <f t="shared" ca="1" si="8"/>
        <v>0</v>
      </c>
      <c r="O45" s="113" cm="1">
        <f t="array" aca="1" ref="O45" ca="1">IFERROR(IF($C45="","",INDIRECT($D$2&amp;"!t"&amp;Z45)),IF($C45="","",INDIRECT("'"&amp;$D$2&amp;"'"&amp;"!t"&amp;Z45)))</f>
        <v>5000</v>
      </c>
      <c r="Q45" s="113" cm="1">
        <f t="array" aca="1" ref="Q45" ca="1">IFERROR(IF($C45="","",INDIRECT($D$2&amp;"!v"&amp;Z45)),IF($C45="","",INDIRECT("'"&amp;$D$2&amp;"'"&amp;"!v"&amp;Z45)))</f>
        <v>0</v>
      </c>
      <c r="R45" s="113">
        <f t="shared" ca="1" si="9"/>
        <v>0</v>
      </c>
      <c r="S45" s="113" cm="1">
        <f t="array" aca="1" ref="S45" ca="1">IFERROR(IF($C45="","",INDIRECT($D$2&amp;"!x"&amp;Z45)),IF($C45="","",INDIRECT("'"&amp;$D$2&amp;"'"&amp;"!x"&amp;Z45)))</f>
        <v>0</v>
      </c>
      <c r="U45" s="113" cm="1">
        <f t="array" aca="1" ref="U45" ca="1">IFERROR(IF($C45="","",INDIRECT($D$2&amp;"!z"&amp;Z45)),IF($C45="","",INDIRECT("'"&amp;$D$2&amp;"'"&amp;"!z"&amp;Z45)))</f>
        <v>0</v>
      </c>
      <c r="V45" s="113">
        <f t="shared" ca="1" si="10"/>
        <v>0</v>
      </c>
      <c r="W45" s="113" cm="1">
        <f t="array" aca="1" ref="W45" ca="1">IFERROR(IF($C45="","",INDIRECT($D$2&amp;"!ab"&amp;Z45)),IF($C45="","",INDIRECT("'"&amp;$D$2&amp;"'"&amp;"!ab"&amp;Z45)))</f>
        <v>0</v>
      </c>
      <c r="X45" s="113"/>
      <c r="Y45" s="113">
        <f t="shared" ca="1" si="11"/>
        <v>0</v>
      </c>
      <c r="Z45" s="35">
        <v>34</v>
      </c>
      <c r="AA45" s="113"/>
      <c r="AB45" s="35">
        <v>34</v>
      </c>
    </row>
    <row r="46" spans="3:28" x14ac:dyDescent="0.25">
      <c r="C46" t="str" cm="1">
        <f t="array" aca="1" ref="C46" ca="1">IFERROR(IF(INDIRECT($D$2&amp;"!B"&amp;Z46)="","",INDIRECT("'"&amp;$D$2&amp;"'"&amp;"!B"&amp;Z46)),IF(INDIRECT("'"&amp;$D$2&amp;"'"&amp;"!B"&amp;Z46)="","",INDIRECT("'"&amp;$D$2&amp;"'"&amp;"!B"&amp;Z46)))</f>
        <v>JHA OpenAnywhere</v>
      </c>
      <c r="D46" t="str" cm="1">
        <f t="array" aca="1" ref="D46" ca="1">IFERROR(_xlfn.IFS(C46="","",C46&lt;&gt;"",INDEX(SF_Output!I:I,MATCH(C46,SF_Output!M:M,0))),IFERROR(INDEX(INDIRECT($D$2&amp;"!G:G"),MATCH(C46,INDIRECT($D$2&amp;"!B:B"),0)),INDEX(INDIRECT("'"&amp;$D$2&amp;"'!G:G"),MATCH(C46,INDIRECT("'"&amp;$D$2&amp;"'!B:B"),0))))</f>
        <v>Digital</v>
      </c>
      <c r="E46" t="str" cm="1">
        <f t="array" aca="1" ref="E46" ca="1">IFERROR(IF(C46="","",INDIRECT($D$2&amp;"!F"&amp;Z46)),IF(C46="","",INDIRECT("'"&amp;$D$2&amp;"'"&amp;"!F"&amp;Z46)))</f>
        <v>Included</v>
      </c>
      <c r="F46" t="str" cm="1">
        <f t="array" aca="1" ref="F46" ca="1">IFERROR(IF(C46="","",INDIRECT($D$2&amp;"!ak"&amp;Z46)),IF(C46="","",INDIRECT("'"&amp;$D$2&amp;"'"&amp;"!ak"&amp;Z46)))</f>
        <v>PAP</v>
      </c>
      <c r="G46" cm="1">
        <f t="array" aca="1" ref="G46" ca="1">IFERROR(INDIRECT($D$2&amp;"!h"&amp;Z46),INDIRECT("'"&amp;$D$2&amp;"'"&amp;"!h"&amp;Z46))</f>
        <v>5000</v>
      </c>
      <c r="H46" s="125" cm="1">
        <f t="array" aca="1" ref="H46" ca="1">IFERROR(INDIRECT($D$2&amp;"!i"&amp;Z46),INDIRECT("'"&amp;$D$2&amp;"'"&amp;"!i"&amp;Z46))</f>
        <v>0.33229999999999998</v>
      </c>
      <c r="I46" s="113" cm="1">
        <f t="array" aca="1" ref="I46" ca="1">IFERROR(IF($C46="","",INDIRECT($D$2&amp;"!j"&amp;$Z46)+INDIRECT($D$2&amp;"!n"&amp;$Z46)),IF($C46="","",INDIRECT("'"&amp;$D$2&amp;"'"&amp;"!j"&amp;$Z46)+INDIRECT("'"&amp;$D$2&amp;"'"&amp;"!n"&amp;$Z46)))</f>
        <v>20800</v>
      </c>
      <c r="J46" s="113">
        <f t="shared" ca="1" si="7"/>
        <v>-20800</v>
      </c>
      <c r="K46" s="113" cm="1">
        <f t="array" aca="1" ref="K46" ca="1">IFERROR(IF($C46="","",INDIRECT($D$2&amp;"!l"&amp;$Z46)+INDIRECT($D$2&amp;"!p"&amp;$Z46)),IF($C46="","",INDIRECT("'"&amp;$D$2&amp;"'"&amp;"!l"&amp;$Z46)+INDIRECT("'"&amp;$D$2&amp;"'"&amp;"!p"&amp;$Z46)))</f>
        <v>0</v>
      </c>
      <c r="M46" s="113" cm="1">
        <f t="array" aca="1" ref="M46" ca="1">IFERROR(IF($C46="","",INDIRECT($D$2&amp;"!r"&amp;Z46)),IF($C46="","",INDIRECT("'"&amp;$D$2&amp;"'"&amp;"!r"&amp;Z46)))</f>
        <v>0</v>
      </c>
      <c r="N46" s="113">
        <f t="shared" ca="1" si="8"/>
        <v>0</v>
      </c>
      <c r="O46" s="113" cm="1">
        <f t="array" aca="1" ref="O46" ca="1">IFERROR(IF($C46="","",INDIRECT($D$2&amp;"!t"&amp;Z46)),IF($C46="","",INDIRECT("'"&amp;$D$2&amp;"'"&amp;"!t"&amp;Z46)))</f>
        <v>0</v>
      </c>
      <c r="Q46" s="113" cm="1">
        <f t="array" aca="1" ref="Q46" ca="1">IFERROR(IF($C46="","",INDIRECT($D$2&amp;"!v"&amp;Z46)),IF($C46="","",INDIRECT("'"&amp;$D$2&amp;"'"&amp;"!v"&amp;Z46)))</f>
        <v>2215</v>
      </c>
      <c r="R46" s="113">
        <f t="shared" ca="1" si="9"/>
        <v>-553.5</v>
      </c>
      <c r="S46" s="113" cm="1">
        <f t="array" aca="1" ref="S46" ca="1">IFERROR(IF($C46="","",INDIRECT($D$2&amp;"!x"&amp;Z46)),IF($C46="","",INDIRECT("'"&amp;$D$2&amp;"'"&amp;"!x"&amp;Z46)))</f>
        <v>1661.5</v>
      </c>
      <c r="U46" s="113" cm="1">
        <f t="array" aca="1" ref="U46" ca="1">IFERROR(IF($C46="","",INDIRECT($D$2&amp;"!z"&amp;Z46)),IF($C46="","",INDIRECT("'"&amp;$D$2&amp;"'"&amp;"!z"&amp;Z46)))</f>
        <v>0</v>
      </c>
      <c r="V46" s="113">
        <f t="shared" ca="1" si="10"/>
        <v>0</v>
      </c>
      <c r="W46" s="113" cm="1">
        <f t="array" aca="1" ref="W46" ca="1">IFERROR(IF($C46="","",INDIRECT($D$2&amp;"!ab"&amp;Z46)),IF($C46="","",INDIRECT("'"&amp;$D$2&amp;"'"&amp;"!ab"&amp;Z46)))</f>
        <v>0</v>
      </c>
      <c r="X46" s="113"/>
      <c r="Y46" s="113">
        <f t="shared" ca="1" si="11"/>
        <v>1661.5</v>
      </c>
      <c r="Z46" s="35">
        <v>35</v>
      </c>
      <c r="AA46" s="113"/>
      <c r="AB46" s="35">
        <v>35</v>
      </c>
    </row>
    <row r="47" spans="3:28" x14ac:dyDescent="0.25">
      <c r="C47" t="str" cm="1">
        <f t="array" aca="1" ref="C47" ca="1">IFERROR(IF(INDIRECT($D$2&amp;"!B"&amp;Z47)="","",INDIRECT("'"&amp;$D$2&amp;"'"&amp;"!B"&amp;Z47)),IF(INDIRECT("'"&amp;$D$2&amp;"'"&amp;"!B"&amp;Z47)="","",INDIRECT("'"&amp;$D$2&amp;"'"&amp;"!B"&amp;Z47)))</f>
        <v>JHA OpenAnywhere Project Management</v>
      </c>
      <c r="D47" t="str" cm="1">
        <f t="array" aca="1" ref="D47" ca="1">IFERROR(_xlfn.IFS(C47="","",C47&lt;&gt;"",INDEX(SF_Output!I:I,MATCH(C47,SF_Output!M:M,0))),IFERROR(INDEX(INDIRECT($D$2&amp;"!G:G"),MATCH(C47,INDIRECT($D$2&amp;"!B:B"),0)),INDEX(INDIRECT("'"&amp;$D$2&amp;"'!G:G"),MATCH(C47,INDIRECT("'"&amp;$D$2&amp;"'!B:B"),0))))</f>
        <v>Digital</v>
      </c>
      <c r="E47" t="str" cm="1">
        <f t="array" aca="1" ref="E47" ca="1">IFERROR(IF(C47="","",INDIRECT($D$2&amp;"!F"&amp;Z47)),IF(C47="","",INDIRECT("'"&amp;$D$2&amp;"'"&amp;"!F"&amp;Z47)))</f>
        <v>Included</v>
      </c>
      <c r="F47" t="str" cm="1">
        <f t="array" aca="1" ref="F47" ca="1">IFERROR(IF(C47="","",INDIRECT($D$2&amp;"!ak"&amp;Z47)),IF(C47="","",INDIRECT("'"&amp;$D$2&amp;"'"&amp;"!ak"&amp;Z47)))</f>
        <v/>
      </c>
      <c r="G47" cm="1">
        <f t="array" aca="1" ref="G47" ca="1">IFERROR(INDIRECT($D$2&amp;"!h"&amp;Z47),INDIRECT("'"&amp;$D$2&amp;"'"&amp;"!h"&amp;Z47))</f>
        <v>1</v>
      </c>
      <c r="H47" s="125" t="str" cm="1">
        <f t="array" aca="1" ref="H47" ca="1">IFERROR(INDIRECT($D$2&amp;"!i"&amp;Z47),INDIRECT("'"&amp;$D$2&amp;"'"&amp;"!i"&amp;Z47))</f>
        <v/>
      </c>
      <c r="I47" s="113" cm="1">
        <f t="array" aca="1" ref="I47" ca="1">IFERROR(IF($C47="","",INDIRECT($D$2&amp;"!j"&amp;$Z47)+INDIRECT($D$2&amp;"!n"&amp;$Z47)),IF($C47="","",INDIRECT("'"&amp;$D$2&amp;"'"&amp;"!j"&amp;$Z47)+INDIRECT("'"&amp;$D$2&amp;"'"&amp;"!n"&amp;$Z47)))</f>
        <v>2500</v>
      </c>
      <c r="J47" s="113">
        <f t="shared" ca="1" si="7"/>
        <v>-2500</v>
      </c>
      <c r="K47" s="113" cm="1">
        <f t="array" aca="1" ref="K47" ca="1">IFERROR(IF($C47="","",INDIRECT($D$2&amp;"!l"&amp;$Z47)+INDIRECT($D$2&amp;"!p"&amp;$Z47)),IF($C47="","",INDIRECT("'"&amp;$D$2&amp;"'"&amp;"!l"&amp;$Z47)+INDIRECT("'"&amp;$D$2&amp;"'"&amp;"!p"&amp;$Z47)))</f>
        <v>0</v>
      </c>
      <c r="M47" s="113" cm="1">
        <f t="array" aca="1" ref="M47" ca="1">IFERROR(IF($C47="","",INDIRECT($D$2&amp;"!r"&amp;Z47)),IF($C47="","",INDIRECT("'"&amp;$D$2&amp;"'"&amp;"!r"&amp;Z47)))</f>
        <v>0</v>
      </c>
      <c r="N47" s="113">
        <f t="shared" ca="1" si="8"/>
        <v>0</v>
      </c>
      <c r="O47" s="113" cm="1">
        <f t="array" aca="1" ref="O47" ca="1">IFERROR(IF($C47="","",INDIRECT($D$2&amp;"!t"&amp;Z47)),IF($C47="","",INDIRECT("'"&amp;$D$2&amp;"'"&amp;"!t"&amp;Z47)))</f>
        <v>0</v>
      </c>
      <c r="Q47" s="113" cm="1">
        <f t="array" aca="1" ref="Q47" ca="1">IFERROR(IF($C47="","",INDIRECT($D$2&amp;"!v"&amp;Z47)),IF($C47="","",INDIRECT("'"&amp;$D$2&amp;"'"&amp;"!v"&amp;Z47)))</f>
        <v>0</v>
      </c>
      <c r="R47" s="113">
        <f t="shared" ca="1" si="9"/>
        <v>0</v>
      </c>
      <c r="S47" s="113" cm="1">
        <f t="array" aca="1" ref="S47" ca="1">IFERROR(IF($C47="","",INDIRECT($D$2&amp;"!x"&amp;Z47)),IF($C47="","",INDIRECT("'"&amp;$D$2&amp;"'"&amp;"!x"&amp;Z47)))</f>
        <v>0</v>
      </c>
      <c r="U47" s="113" cm="1">
        <f t="array" aca="1" ref="U47" ca="1">IFERROR(IF($C47="","",INDIRECT($D$2&amp;"!z"&amp;Z47)),IF($C47="","",INDIRECT("'"&amp;$D$2&amp;"'"&amp;"!z"&amp;Z47)))</f>
        <v>0</v>
      </c>
      <c r="V47" s="113">
        <f t="shared" ca="1" si="10"/>
        <v>0</v>
      </c>
      <c r="W47" s="113" cm="1">
        <f t="array" aca="1" ref="W47" ca="1">IFERROR(IF($C47="","",INDIRECT($D$2&amp;"!ab"&amp;Z47)),IF($C47="","",INDIRECT("'"&amp;$D$2&amp;"'"&amp;"!ab"&amp;Z47)))</f>
        <v>0</v>
      </c>
      <c r="X47" s="113"/>
      <c r="Y47" s="113">
        <f t="shared" ca="1" si="11"/>
        <v>0</v>
      </c>
      <c r="Z47" s="35">
        <v>36</v>
      </c>
      <c r="AA47" s="113"/>
      <c r="AB47" s="35">
        <v>36</v>
      </c>
    </row>
    <row r="48" spans="3:28" x14ac:dyDescent="0.25">
      <c r="C48" t="str" cm="1">
        <f t="array" aca="1" ref="C48" ca="1">IFERROR(IF(INDIRECT($D$2&amp;"!B"&amp;Z48)="","",INDIRECT("'"&amp;$D$2&amp;"'"&amp;"!B"&amp;Z48)),IF(INDIRECT("'"&amp;$D$2&amp;"'"&amp;"!B"&amp;Z48)="","",INDIRECT("'"&amp;$D$2&amp;"'"&amp;"!B"&amp;Z48)))</f>
        <v>Plaid</v>
      </c>
      <c r="D48" t="str" cm="1">
        <f t="array" aca="1" ref="D48" ca="1">IFERROR(_xlfn.IFS(C48="","",C48&lt;&gt;"",INDEX(SF_Output!I:I,MATCH(C48,SF_Output!M:M,0))),IFERROR(INDEX(INDIRECT($D$2&amp;"!G:G"),MATCH(C48,INDIRECT($D$2&amp;"!B:B"),0)),INDEX(INDIRECT("'"&amp;$D$2&amp;"'!G:G"),MATCH(C48,INDIRECT("'"&amp;$D$2&amp;"'!B:B"),0))))</f>
        <v>Digital</v>
      </c>
      <c r="E48" t="str" cm="1">
        <f t="array" aca="1" ref="E48" ca="1">IFERROR(IF(C48="","",INDIRECT($D$2&amp;"!F"&amp;Z48)),IF(C48="","",INDIRECT("'"&amp;$D$2&amp;"'"&amp;"!F"&amp;Z48)))</f>
        <v>Optional</v>
      </c>
      <c r="F48" t="str" cm="1">
        <f t="array" aca="1" ref="F48" ca="1">IFERROR(IF(C48="","",INDIRECT($D$2&amp;"!ak"&amp;Z48)),IF(C48="","",INDIRECT("'"&amp;$D$2&amp;"'"&amp;"!ak"&amp;Z48)))</f>
        <v/>
      </c>
      <c r="G48" cm="1">
        <f t="array" aca="1" ref="G48" ca="1">IFERROR(INDIRECT($D$2&amp;"!h"&amp;Z48),INDIRECT("'"&amp;$D$2&amp;"'"&amp;"!h"&amp;Z48))</f>
        <v>1</v>
      </c>
      <c r="H48" s="125" t="str" cm="1">
        <f t="array" aca="1" ref="H48" ca="1">IFERROR(INDIRECT($D$2&amp;"!i"&amp;Z48),INDIRECT("'"&amp;$D$2&amp;"'"&amp;"!i"&amp;Z48))</f>
        <v/>
      </c>
      <c r="I48" s="113" cm="1">
        <f t="array" aca="1" ref="I48" ca="1">IFERROR(IF($C48="","",INDIRECT($D$2&amp;"!j"&amp;$Z48)+INDIRECT($D$2&amp;"!n"&amp;$Z48)),IF($C48="","",INDIRECT("'"&amp;$D$2&amp;"'"&amp;"!j"&amp;$Z48)+INDIRECT("'"&amp;$D$2&amp;"'"&amp;"!n"&amp;$Z48)))</f>
        <v>0</v>
      </c>
      <c r="J48" s="113">
        <f t="shared" ca="1" si="7"/>
        <v>0</v>
      </c>
      <c r="K48" s="113" cm="1">
        <f t="array" aca="1" ref="K48" ca="1">IFERROR(IF($C48="","",INDIRECT($D$2&amp;"!l"&amp;$Z48)+INDIRECT($D$2&amp;"!p"&amp;$Z48)),IF($C48="","",INDIRECT("'"&amp;$D$2&amp;"'"&amp;"!l"&amp;$Z48)+INDIRECT("'"&amp;$D$2&amp;"'"&amp;"!p"&amp;$Z48)))</f>
        <v>0</v>
      </c>
      <c r="M48" s="113" cm="1">
        <f t="array" aca="1" ref="M48" ca="1">IFERROR(IF($C48="","",INDIRECT($D$2&amp;"!r"&amp;Z48)),IF($C48="","",INDIRECT("'"&amp;$D$2&amp;"'"&amp;"!r"&amp;Z48)))</f>
        <v>0</v>
      </c>
      <c r="N48" s="113">
        <f t="shared" ca="1" si="8"/>
        <v>0</v>
      </c>
      <c r="O48" s="113" cm="1">
        <f t="array" aca="1" ref="O48" ca="1">IFERROR(IF($C48="","",INDIRECT($D$2&amp;"!t"&amp;Z48)),IF($C48="","",INDIRECT("'"&amp;$D$2&amp;"'"&amp;"!t"&amp;Z48)))</f>
        <v>0</v>
      </c>
      <c r="Q48" s="113" cm="1">
        <f t="array" aca="1" ref="Q48" ca="1">IFERROR(IF($C48="","",INDIRECT($D$2&amp;"!v"&amp;Z48)),IF($C48="","",INDIRECT("'"&amp;$D$2&amp;"'"&amp;"!v"&amp;Z48)))</f>
        <v>375</v>
      </c>
      <c r="R48" s="113">
        <f t="shared" ca="1" si="9"/>
        <v>0</v>
      </c>
      <c r="S48" s="113" cm="1">
        <f t="array" aca="1" ref="S48" ca="1">IFERROR(IF($C48="","",INDIRECT($D$2&amp;"!x"&amp;Z48)),IF($C48="","",INDIRECT("'"&amp;$D$2&amp;"'"&amp;"!x"&amp;Z48)))</f>
        <v>375</v>
      </c>
      <c r="U48" s="113" cm="1">
        <f t="array" aca="1" ref="U48" ca="1">IFERROR(IF($C48="","",INDIRECT($D$2&amp;"!z"&amp;Z48)),IF($C48="","",INDIRECT("'"&amp;$D$2&amp;"'"&amp;"!z"&amp;Z48)))</f>
        <v>0</v>
      </c>
      <c r="V48" s="113">
        <f t="shared" ca="1" si="10"/>
        <v>0</v>
      </c>
      <c r="W48" s="113" cm="1">
        <f t="array" aca="1" ref="W48" ca="1">IFERROR(IF($C48="","",INDIRECT($D$2&amp;"!ab"&amp;Z48)),IF($C48="","",INDIRECT("'"&amp;$D$2&amp;"'"&amp;"!ab"&amp;Z48)))</f>
        <v>0</v>
      </c>
      <c r="X48" s="113"/>
      <c r="Y48" s="113">
        <f t="shared" ca="1" si="11"/>
        <v>375</v>
      </c>
      <c r="Z48" s="35">
        <v>37</v>
      </c>
      <c r="AA48" s="113"/>
      <c r="AB48" s="35">
        <v>37</v>
      </c>
    </row>
    <row r="49" spans="3:28" x14ac:dyDescent="0.25">
      <c r="C49" t="str" cm="1">
        <f t="array" aca="1" ref="C49" ca="1">IFERROR(IF(INDIRECT($D$2&amp;"!B"&amp;Z49)="","",INDIRECT("'"&amp;$D$2&amp;"'"&amp;"!B"&amp;Z49)),IF(INDIRECT("'"&amp;$D$2&amp;"'"&amp;"!B"&amp;Z49)="","",INDIRECT("'"&amp;$D$2&amp;"'"&amp;"!B"&amp;Z49)))</f>
        <v>IDScan.net OCR</v>
      </c>
      <c r="D49" t="str" cm="1">
        <f t="array" aca="1" ref="D49" ca="1">IFERROR(_xlfn.IFS(C49="","",C49&lt;&gt;"",INDEX(SF_Output!I:I,MATCH(C49,SF_Output!M:M,0))),IFERROR(INDEX(INDIRECT($D$2&amp;"!G:G"),MATCH(C49,INDIRECT($D$2&amp;"!B:B"),0)),INDEX(INDIRECT("'"&amp;$D$2&amp;"'!G:G"),MATCH(C49,INDIRECT("'"&amp;$D$2&amp;"'!B:B"),0))))</f>
        <v>Digital</v>
      </c>
      <c r="E49" t="str" cm="1">
        <f t="array" aca="1" ref="E49" ca="1">IFERROR(IF(C49="","",INDIRECT($D$2&amp;"!F"&amp;Z49)),IF(C49="","",INDIRECT("'"&amp;$D$2&amp;"'"&amp;"!F"&amp;Z49)))</f>
        <v>Included</v>
      </c>
      <c r="F49" t="str" cm="1">
        <f t="array" aca="1" ref="F49" ca="1">IFERROR(IF(C49="","",INDIRECT($D$2&amp;"!ak"&amp;Z49)),IF(C49="","",INDIRECT("'"&amp;$D$2&amp;"'"&amp;"!ak"&amp;Z49)))</f>
        <v/>
      </c>
      <c r="G49" cm="1">
        <f t="array" aca="1" ref="G49" ca="1">IFERROR(INDIRECT($D$2&amp;"!h"&amp;Z49),INDIRECT("'"&amp;$D$2&amp;"'"&amp;"!h"&amp;Z49))</f>
        <v>1</v>
      </c>
      <c r="H49" s="125" t="str" cm="1">
        <f t="array" aca="1" ref="H49" ca="1">IFERROR(INDIRECT($D$2&amp;"!i"&amp;Z49),INDIRECT("'"&amp;$D$2&amp;"'"&amp;"!i"&amp;Z49))</f>
        <v/>
      </c>
      <c r="I49" s="113" cm="1">
        <f t="array" aca="1" ref="I49" ca="1">IFERROR(IF($C49="","",INDIRECT($D$2&amp;"!j"&amp;$Z49)+INDIRECT($D$2&amp;"!n"&amp;$Z49)),IF($C49="","",INDIRECT("'"&amp;$D$2&amp;"'"&amp;"!j"&amp;$Z49)+INDIRECT("'"&amp;$D$2&amp;"'"&amp;"!n"&amp;$Z49)))</f>
        <v>0</v>
      </c>
      <c r="J49" s="113">
        <f t="shared" ca="1" si="7"/>
        <v>0</v>
      </c>
      <c r="K49" s="113" cm="1">
        <f t="array" aca="1" ref="K49" ca="1">IFERROR(IF($C49="","",INDIRECT($D$2&amp;"!l"&amp;$Z49)+INDIRECT($D$2&amp;"!p"&amp;$Z49)),IF($C49="","",INDIRECT("'"&amp;$D$2&amp;"'"&amp;"!l"&amp;$Z49)+INDIRECT("'"&amp;$D$2&amp;"'"&amp;"!p"&amp;$Z49)))</f>
        <v>0</v>
      </c>
      <c r="M49" s="113" cm="1">
        <f t="array" aca="1" ref="M49" ca="1">IFERROR(IF($C49="","",INDIRECT($D$2&amp;"!r"&amp;Z49)),IF($C49="","",INDIRECT("'"&amp;$D$2&amp;"'"&amp;"!r"&amp;Z49)))</f>
        <v>0</v>
      </c>
      <c r="N49" s="113">
        <f t="shared" ca="1" si="8"/>
        <v>0</v>
      </c>
      <c r="O49" s="113" cm="1">
        <f t="array" aca="1" ref="O49" ca="1">IFERROR(IF($C49="","",INDIRECT($D$2&amp;"!t"&amp;Z49)),IF($C49="","",INDIRECT("'"&amp;$D$2&amp;"'"&amp;"!t"&amp;Z49)))</f>
        <v>0</v>
      </c>
      <c r="Q49" s="113" cm="1">
        <f t="array" aca="1" ref="Q49" ca="1">IFERROR(IF($C49="","",INDIRECT($D$2&amp;"!v"&amp;Z49)),IF($C49="","",INDIRECT("'"&amp;$D$2&amp;"'"&amp;"!v"&amp;Z49)))</f>
        <v>400</v>
      </c>
      <c r="R49" s="113">
        <f t="shared" ca="1" si="9"/>
        <v>0</v>
      </c>
      <c r="S49" s="113" cm="1">
        <f t="array" aca="1" ref="S49" ca="1">IFERROR(IF($C49="","",INDIRECT($D$2&amp;"!x"&amp;Z49)),IF($C49="","",INDIRECT("'"&amp;$D$2&amp;"'"&amp;"!x"&amp;Z49)))</f>
        <v>400</v>
      </c>
      <c r="U49" s="113" cm="1">
        <f t="array" aca="1" ref="U49" ca="1">IFERROR(IF($C49="","",INDIRECT($D$2&amp;"!z"&amp;Z49)),IF($C49="","",INDIRECT("'"&amp;$D$2&amp;"'"&amp;"!z"&amp;Z49)))</f>
        <v>0</v>
      </c>
      <c r="V49" s="113">
        <f t="shared" ca="1" si="10"/>
        <v>0</v>
      </c>
      <c r="W49" s="113" cm="1">
        <f t="array" aca="1" ref="W49" ca="1">IFERROR(IF($C49="","",INDIRECT($D$2&amp;"!ab"&amp;Z49)),IF($C49="","",INDIRECT("'"&amp;$D$2&amp;"'"&amp;"!ab"&amp;Z49)))</f>
        <v>0</v>
      </c>
      <c r="X49" s="113"/>
      <c r="Y49" s="113">
        <f t="shared" ca="1" si="11"/>
        <v>400</v>
      </c>
      <c r="Z49" s="35">
        <v>38</v>
      </c>
      <c r="AA49" s="113"/>
      <c r="AB49" s="35">
        <v>38</v>
      </c>
    </row>
    <row r="50" spans="3:28" x14ac:dyDescent="0.25">
      <c r="C50" t="str" cm="1">
        <f t="array" aca="1" ref="C50" ca="1">IFERROR(IF(INDIRECT($D$2&amp;"!B"&amp;Z50)="","",INDIRECT("'"&amp;$D$2&amp;"'"&amp;"!B"&amp;Z50)),IF(INDIRECT("'"&amp;$D$2&amp;"'"&amp;"!B"&amp;Z50)="","",INDIRECT("'"&amp;$D$2&amp;"'"&amp;"!B"&amp;Z50)))</f>
        <v>Alloy</v>
      </c>
      <c r="D50" t="str" cm="1">
        <f t="array" aca="1" ref="D50" ca="1">IFERROR(_xlfn.IFS(C50="","",C50&lt;&gt;"",INDEX(SF_Output!I:I,MATCH(C50,SF_Output!M:M,0))),IFERROR(INDEX(INDIRECT($D$2&amp;"!G:G"),MATCH(C50,INDIRECT($D$2&amp;"!B:B"),0)),INDEX(INDIRECT("'"&amp;$D$2&amp;"'!G:G"),MATCH(C50,INDIRECT("'"&amp;$D$2&amp;"'!B:B"),0))))</f>
        <v>Digital</v>
      </c>
      <c r="E50" t="str" cm="1">
        <f t="array" aca="1" ref="E50" ca="1">IFERROR(IF(C50="","",INDIRECT($D$2&amp;"!F"&amp;Z50)),IF(C50="","",INDIRECT("'"&amp;$D$2&amp;"'"&amp;"!F"&amp;Z50)))</f>
        <v>Optional</v>
      </c>
      <c r="F50" t="str" cm="1">
        <f t="array" aca="1" ref="F50" ca="1">IFERROR(IF(C50="","",INDIRECT($D$2&amp;"!ak"&amp;Z50)),IF(C50="","",INDIRECT("'"&amp;$D$2&amp;"'"&amp;"!ak"&amp;Z50)))</f>
        <v/>
      </c>
      <c r="G50" cm="1">
        <f t="array" aca="1" ref="G50" ca="1">IFERROR(INDIRECT($D$2&amp;"!h"&amp;Z50),INDIRECT("'"&amp;$D$2&amp;"'"&amp;"!h"&amp;Z50))</f>
        <v>1</v>
      </c>
      <c r="H50" s="125" t="str" cm="1">
        <f t="array" aca="1" ref="H50" ca="1">IFERROR(INDIRECT($D$2&amp;"!i"&amp;Z50),INDIRECT("'"&amp;$D$2&amp;"'"&amp;"!i"&amp;Z50))</f>
        <v/>
      </c>
      <c r="I50" s="113" cm="1">
        <f t="array" aca="1" ref="I50" ca="1">IFERROR(IF($C50="","",INDIRECT($D$2&amp;"!j"&amp;$Z50)+INDIRECT($D$2&amp;"!n"&amp;$Z50)),IF($C50="","",INDIRECT("'"&amp;$D$2&amp;"'"&amp;"!j"&amp;$Z50)+INDIRECT("'"&amp;$D$2&amp;"'"&amp;"!n"&amp;$Z50)))</f>
        <v>3500</v>
      </c>
      <c r="J50" s="113">
        <f t="shared" ca="1" si="7"/>
        <v>0</v>
      </c>
      <c r="K50" s="113" cm="1">
        <f t="array" aca="1" ref="K50" ca="1">IFERROR(IF($C50="","",INDIRECT($D$2&amp;"!l"&amp;$Z50)+INDIRECT($D$2&amp;"!p"&amp;$Z50)),IF($C50="","",INDIRECT("'"&amp;$D$2&amp;"'"&amp;"!l"&amp;$Z50)+INDIRECT("'"&amp;$D$2&amp;"'"&amp;"!p"&amp;$Z50)))</f>
        <v>3500</v>
      </c>
      <c r="M50" s="113" cm="1">
        <f t="array" aca="1" ref="M50" ca="1">IFERROR(IF($C50="","",INDIRECT($D$2&amp;"!r"&amp;Z50)),IF($C50="","",INDIRECT("'"&amp;$D$2&amp;"'"&amp;"!r"&amp;Z50)))</f>
        <v>0</v>
      </c>
      <c r="N50" s="113">
        <f t="shared" ca="1" si="8"/>
        <v>0</v>
      </c>
      <c r="O50" s="113" cm="1">
        <f t="array" aca="1" ref="O50" ca="1">IFERROR(IF($C50="","",INDIRECT($D$2&amp;"!t"&amp;Z50)),IF($C50="","",INDIRECT("'"&amp;$D$2&amp;"'"&amp;"!t"&amp;Z50)))</f>
        <v>0</v>
      </c>
      <c r="Q50" s="113" cm="1">
        <f t="array" aca="1" ref="Q50" ca="1">IFERROR(IF($C50="","",INDIRECT($D$2&amp;"!v"&amp;Z50)),IF($C50="","",INDIRECT("'"&amp;$D$2&amp;"'"&amp;"!v"&amp;Z50)))</f>
        <v>2000</v>
      </c>
      <c r="R50" s="113">
        <f t="shared" ca="1" si="9"/>
        <v>0</v>
      </c>
      <c r="S50" s="113" cm="1">
        <f t="array" aca="1" ref="S50" ca="1">IFERROR(IF($C50="","",INDIRECT($D$2&amp;"!x"&amp;Z50)),IF($C50="","",INDIRECT("'"&amp;$D$2&amp;"'"&amp;"!x"&amp;Z50)))</f>
        <v>2000</v>
      </c>
      <c r="U50" s="113" cm="1">
        <f t="array" aca="1" ref="U50" ca="1">IFERROR(IF($C50="","",INDIRECT($D$2&amp;"!z"&amp;Z50)),IF($C50="","",INDIRECT("'"&amp;$D$2&amp;"'"&amp;"!z"&amp;Z50)))</f>
        <v>0</v>
      </c>
      <c r="V50" s="113">
        <f t="shared" ca="1" si="10"/>
        <v>0</v>
      </c>
      <c r="W50" s="113" cm="1">
        <f t="array" aca="1" ref="W50" ca="1">IFERROR(IF($C50="","",INDIRECT($D$2&amp;"!ab"&amp;Z50)),IF($C50="","",INDIRECT("'"&amp;$D$2&amp;"'"&amp;"!ab"&amp;Z50)))</f>
        <v>0</v>
      </c>
      <c r="X50" s="113"/>
      <c r="Y50" s="113">
        <f t="shared" ca="1" si="11"/>
        <v>2000</v>
      </c>
      <c r="Z50" s="35">
        <v>39</v>
      </c>
      <c r="AA50" s="113"/>
      <c r="AB50" s="35">
        <v>39</v>
      </c>
    </row>
    <row r="51" spans="3:28" x14ac:dyDescent="0.25">
      <c r="C51" t="str" cm="1">
        <f t="array" aca="1" ref="C51" ca="1">IFERROR(IF(INDIRECT($D$2&amp;"!B"&amp;Z51)="","",INDIRECT("'"&amp;$D$2&amp;"'"&amp;"!B"&amp;Z51)),IF(INDIRECT("'"&amp;$D$2&amp;"'"&amp;"!B"&amp;Z51)="","",INDIRECT("'"&amp;$D$2&amp;"'"&amp;"!B"&amp;Z51)))</f>
        <v>JHA OpenAnywhere Finicity</v>
      </c>
      <c r="D51" t="str" cm="1">
        <f t="array" aca="1" ref="D51" ca="1">IFERROR(_xlfn.IFS(C51="","",C51&lt;&gt;"",INDEX(SF_Output!I:I,MATCH(C51,SF_Output!M:M,0))),IFERROR(INDEX(INDIRECT($D$2&amp;"!G:G"),MATCH(C51,INDIRECT($D$2&amp;"!B:B"),0)),INDEX(INDIRECT("'"&amp;$D$2&amp;"'!G:G"),MATCH(C51,INDIRECT("'"&amp;$D$2&amp;"'!B:B"),0))))</f>
        <v>Digital</v>
      </c>
      <c r="E51" t="str" cm="1">
        <f t="array" aca="1" ref="E51" ca="1">IFERROR(IF(C51="","",INDIRECT($D$2&amp;"!F"&amp;Z51)),IF(C51="","",INDIRECT("'"&amp;$D$2&amp;"'"&amp;"!F"&amp;Z51)))</f>
        <v>Included</v>
      </c>
      <c r="F51" t="str" cm="1">
        <f t="array" aca="1" ref="F51" ca="1">IFERROR(IF(C51="","",INDIRECT($D$2&amp;"!ak"&amp;Z51)),IF(C51="","",INDIRECT("'"&amp;$D$2&amp;"'"&amp;"!ak"&amp;Z51)))</f>
        <v/>
      </c>
      <c r="G51" cm="1">
        <f t="array" aca="1" ref="G51" ca="1">IFERROR(INDIRECT($D$2&amp;"!h"&amp;Z51),INDIRECT("'"&amp;$D$2&amp;"'"&amp;"!h"&amp;Z51))</f>
        <v>1</v>
      </c>
      <c r="H51" s="125" t="str" cm="1">
        <f t="array" aca="1" ref="H51" ca="1">IFERROR(INDIRECT($D$2&amp;"!i"&amp;Z51),INDIRECT("'"&amp;$D$2&amp;"'"&amp;"!i"&amp;Z51))</f>
        <v/>
      </c>
      <c r="I51" s="113" cm="1">
        <f t="array" aca="1" ref="I51" ca="1">IFERROR(IF($C51="","",INDIRECT($D$2&amp;"!j"&amp;$Z51)+INDIRECT($D$2&amp;"!n"&amp;$Z51)),IF($C51="","",INDIRECT("'"&amp;$D$2&amp;"'"&amp;"!j"&amp;$Z51)+INDIRECT("'"&amp;$D$2&amp;"'"&amp;"!n"&amp;$Z51)))</f>
        <v>0</v>
      </c>
      <c r="J51" s="113">
        <f t="shared" ca="1" si="7"/>
        <v>0</v>
      </c>
      <c r="K51" s="113" cm="1">
        <f t="array" aca="1" ref="K51" ca="1">IFERROR(IF($C51="","",INDIRECT($D$2&amp;"!l"&amp;$Z51)+INDIRECT($D$2&amp;"!p"&amp;$Z51)),IF($C51="","",INDIRECT("'"&amp;$D$2&amp;"'"&amp;"!l"&amp;$Z51)+INDIRECT("'"&amp;$D$2&amp;"'"&amp;"!p"&amp;$Z51)))</f>
        <v>0</v>
      </c>
      <c r="M51" s="113" cm="1">
        <f t="array" aca="1" ref="M51" ca="1">IFERROR(IF($C51="","",INDIRECT($D$2&amp;"!r"&amp;Z51)),IF($C51="","",INDIRECT("'"&amp;$D$2&amp;"'"&amp;"!r"&amp;Z51)))</f>
        <v>0</v>
      </c>
      <c r="N51" s="113">
        <f t="shared" ca="1" si="8"/>
        <v>0</v>
      </c>
      <c r="O51" s="113" cm="1">
        <f t="array" aca="1" ref="O51" ca="1">IFERROR(IF($C51="","",INDIRECT($D$2&amp;"!t"&amp;Z51)),IF($C51="","",INDIRECT("'"&amp;$D$2&amp;"'"&amp;"!t"&amp;Z51)))</f>
        <v>0</v>
      </c>
      <c r="Q51" s="113" cm="1">
        <f t="array" aca="1" ref="Q51" ca="1">IFERROR(IF($C51="","",INDIRECT($D$2&amp;"!v"&amp;Z51)),IF($C51="","",INDIRECT("'"&amp;$D$2&amp;"'"&amp;"!v"&amp;Z51)))</f>
        <v>200</v>
      </c>
      <c r="R51" s="113">
        <f t="shared" ca="1" si="9"/>
        <v>0</v>
      </c>
      <c r="S51" s="113" cm="1">
        <f t="array" aca="1" ref="S51" ca="1">IFERROR(IF($C51="","",INDIRECT($D$2&amp;"!x"&amp;Z51)),IF($C51="","",INDIRECT("'"&amp;$D$2&amp;"'"&amp;"!x"&amp;Z51)))</f>
        <v>200</v>
      </c>
      <c r="U51" s="113" cm="1">
        <f t="array" aca="1" ref="U51" ca="1">IFERROR(IF($C51="","",INDIRECT($D$2&amp;"!z"&amp;Z51)),IF($C51="","",INDIRECT("'"&amp;$D$2&amp;"'"&amp;"!z"&amp;Z51)))</f>
        <v>0</v>
      </c>
      <c r="V51" s="113">
        <f t="shared" ca="1" si="10"/>
        <v>0</v>
      </c>
      <c r="W51" s="113" cm="1">
        <f t="array" aca="1" ref="W51" ca="1">IFERROR(IF($C51="","",INDIRECT($D$2&amp;"!ab"&amp;Z51)),IF($C51="","",INDIRECT("'"&amp;$D$2&amp;"'"&amp;"!ab"&amp;Z51)))</f>
        <v>0</v>
      </c>
      <c r="X51" s="113"/>
      <c r="Y51" s="113">
        <f t="shared" ca="1" si="11"/>
        <v>200</v>
      </c>
      <c r="Z51" s="35">
        <v>40</v>
      </c>
      <c r="AA51" s="113"/>
      <c r="AB51" s="35">
        <v>40</v>
      </c>
    </row>
    <row r="52" spans="3:28" x14ac:dyDescent="0.25">
      <c r="C52" t="str" cm="1">
        <f t="array" aca="1" ref="C52" ca="1">IFERROR(IF(INDIRECT($D$2&amp;"!B"&amp;Z52)="","",INDIRECT("'"&amp;$D$2&amp;"'"&amp;"!B"&amp;Z52)),IF(INDIRECT("'"&amp;$D$2&amp;"'"&amp;"!B"&amp;Z52)="","",INDIRECT("'"&amp;$D$2&amp;"'"&amp;"!B"&amp;Z52)))</f>
        <v>Banno</v>
      </c>
      <c r="D52" t="str" cm="1">
        <f t="array" aca="1" ref="D52" ca="1">IFERROR(_xlfn.IFS(C52="","",C52&lt;&gt;"",INDEX(SF_Output!I:I,MATCH(C52,SF_Output!M:M,0))),IFERROR(INDEX(INDIRECT($D$2&amp;"!G:G"),MATCH(C52,INDIRECT($D$2&amp;"!B:B"),0)),INDEX(INDIRECT("'"&amp;$D$2&amp;"'!G:G"),MATCH(C52,INDIRECT("'"&amp;$D$2&amp;"'!B:B"),0))))</f>
        <v>Digital</v>
      </c>
      <c r="E52" t="str" cm="1">
        <f t="array" aca="1" ref="E52" ca="1">IFERROR(IF(C52="","",INDIRECT($D$2&amp;"!F"&amp;Z52)),IF(C52="","",INDIRECT("'"&amp;$D$2&amp;"'"&amp;"!F"&amp;Z52)))</f>
        <v>Included</v>
      </c>
      <c r="F52" t="str" cm="1">
        <f t="array" aca="1" ref="F52" ca="1">IFERROR(IF(C52="","",INDIRECT($D$2&amp;"!ak"&amp;Z52)),IF(C52="","",INDIRECT("'"&amp;$D$2&amp;"'"&amp;"!ak"&amp;Z52)))</f>
        <v/>
      </c>
      <c r="G52" cm="1">
        <f t="array" aca="1" ref="G52" ca="1">IFERROR(INDIRECT($D$2&amp;"!h"&amp;Z52),INDIRECT("'"&amp;$D$2&amp;"'"&amp;"!h"&amp;Z52))</f>
        <v>1</v>
      </c>
      <c r="H52" s="125" t="str" cm="1">
        <f t="array" aca="1" ref="H52" ca="1">IFERROR(INDIRECT($D$2&amp;"!i"&amp;Z52),INDIRECT("'"&amp;$D$2&amp;"'"&amp;"!i"&amp;Z52))</f>
        <v/>
      </c>
      <c r="I52" s="113" cm="1">
        <f t="array" aca="1" ref="I52" ca="1">IFERROR(IF($C52="","",INDIRECT($D$2&amp;"!j"&amp;$Z52)+INDIRECT($D$2&amp;"!n"&amp;$Z52)),IF($C52="","",INDIRECT("'"&amp;$D$2&amp;"'"&amp;"!j"&amp;$Z52)+INDIRECT("'"&amp;$D$2&amp;"'"&amp;"!n"&amp;$Z52)))</f>
        <v>65000</v>
      </c>
      <c r="J52" s="113">
        <f t="shared" ca="1" si="7"/>
        <v>-65000</v>
      </c>
      <c r="K52" s="113" cm="1">
        <f t="array" aca="1" ref="K52" ca="1">IFERROR(IF($C52="","",INDIRECT($D$2&amp;"!l"&amp;$Z52)+INDIRECT($D$2&amp;"!p"&amp;$Z52)),IF($C52="","",INDIRECT("'"&amp;$D$2&amp;"'"&amp;"!l"&amp;$Z52)+INDIRECT("'"&amp;$D$2&amp;"'"&amp;"!p"&amp;$Z52)))</f>
        <v>0</v>
      </c>
      <c r="M52" s="113" cm="1">
        <f t="array" aca="1" ref="M52" ca="1">IFERROR(IF($C52="","",INDIRECT($D$2&amp;"!r"&amp;Z52)),IF($C52="","",INDIRECT("'"&amp;$D$2&amp;"'"&amp;"!r"&amp;Z52)))</f>
        <v>0</v>
      </c>
      <c r="N52" s="113">
        <f t="shared" ca="1" si="8"/>
        <v>0</v>
      </c>
      <c r="O52" s="113" cm="1">
        <f t="array" aca="1" ref="O52" ca="1">IFERROR(IF($C52="","",INDIRECT($D$2&amp;"!t"&amp;Z52)),IF($C52="","",INDIRECT("'"&amp;$D$2&amp;"'"&amp;"!t"&amp;Z52)))</f>
        <v>0</v>
      </c>
      <c r="Q52" s="113" cm="1">
        <f t="array" aca="1" ref="Q52" ca="1">IFERROR(IF($C52="","",INDIRECT($D$2&amp;"!v"&amp;Z52)),IF($C52="","",INDIRECT("'"&amp;$D$2&amp;"'"&amp;"!v"&amp;Z52)))</f>
        <v>500</v>
      </c>
      <c r="R52" s="113">
        <f t="shared" ca="1" si="9"/>
        <v>0</v>
      </c>
      <c r="S52" s="113" cm="1">
        <f t="array" aca="1" ref="S52" ca="1">IFERROR(IF($C52="","",INDIRECT($D$2&amp;"!x"&amp;Z52)),IF($C52="","",INDIRECT("'"&amp;$D$2&amp;"'"&amp;"!x"&amp;Z52)))</f>
        <v>500</v>
      </c>
      <c r="U52" s="113" cm="1">
        <f t="array" aca="1" ref="U52" ca="1">IFERROR(IF($C52="","",INDIRECT($D$2&amp;"!z"&amp;Z52)),IF($C52="","",INDIRECT("'"&amp;$D$2&amp;"'"&amp;"!z"&amp;Z52)))</f>
        <v>0</v>
      </c>
      <c r="V52" s="113">
        <f t="shared" ca="1" si="10"/>
        <v>0</v>
      </c>
      <c r="W52" s="113" cm="1">
        <f t="array" aca="1" ref="W52" ca="1">IFERROR(IF($C52="","",INDIRECT($D$2&amp;"!ab"&amp;Z52)),IF($C52="","",INDIRECT("'"&amp;$D$2&amp;"'"&amp;"!ab"&amp;Z52)))</f>
        <v>0</v>
      </c>
      <c r="X52" s="113"/>
      <c r="Y52" s="113">
        <f t="shared" ca="1" si="11"/>
        <v>500</v>
      </c>
      <c r="Z52" s="35">
        <v>41</v>
      </c>
      <c r="AA52" s="113"/>
      <c r="AB52" s="35">
        <v>41</v>
      </c>
    </row>
    <row r="53" spans="3:28" x14ac:dyDescent="0.25">
      <c r="C53" t="str" cm="1">
        <f t="array" aca="1" ref="C53" ca="1">IFERROR(IF(INDIRECT($D$2&amp;"!B"&amp;Z53)="","",INDIRECT("'"&amp;$D$2&amp;"'"&amp;"!B"&amp;Z53)),IF(INDIRECT("'"&amp;$D$2&amp;"'"&amp;"!B"&amp;Z53)="","",INDIRECT("'"&amp;$D$2&amp;"'"&amp;"!B"&amp;Z53)))</f>
        <v>Banno Business</v>
      </c>
      <c r="D53" t="str" cm="1">
        <f t="array" aca="1" ref="D53" ca="1">IFERROR(_xlfn.IFS(C53="","",C53&lt;&gt;"",INDEX(SF_Output!I:I,MATCH(C53,SF_Output!M:M,0))),IFERROR(INDEX(INDIRECT($D$2&amp;"!G:G"),MATCH(C53,INDIRECT($D$2&amp;"!B:B"),0)),INDEX(INDIRECT("'"&amp;$D$2&amp;"'!G:G"),MATCH(C53,INDIRECT("'"&amp;$D$2&amp;"'!B:B"),0))))</f>
        <v>Digital</v>
      </c>
      <c r="E53" t="str" cm="1">
        <f t="array" aca="1" ref="E53" ca="1">IFERROR(IF(C53="","",INDIRECT($D$2&amp;"!F"&amp;Z53)),IF(C53="","",INDIRECT("'"&amp;$D$2&amp;"'"&amp;"!F"&amp;Z53)))</f>
        <v>Included</v>
      </c>
      <c r="F53" t="str" cm="1">
        <f t="array" aca="1" ref="F53" ca="1">IFERROR(IF(C53="","",INDIRECT($D$2&amp;"!ak"&amp;Z53)),IF(C53="","",INDIRECT("'"&amp;$D$2&amp;"'"&amp;"!ak"&amp;Z53)))</f>
        <v/>
      </c>
      <c r="G53" cm="1">
        <f t="array" aca="1" ref="G53" ca="1">IFERROR(INDIRECT($D$2&amp;"!h"&amp;Z53),INDIRECT("'"&amp;$D$2&amp;"'"&amp;"!h"&amp;Z53))</f>
        <v>1</v>
      </c>
      <c r="H53" s="125" t="str" cm="1">
        <f t="array" aca="1" ref="H53" ca="1">IFERROR(INDIRECT($D$2&amp;"!i"&amp;Z53),INDIRECT("'"&amp;$D$2&amp;"'"&amp;"!i"&amp;Z53))</f>
        <v/>
      </c>
      <c r="I53" s="113" cm="1">
        <f t="array" aca="1" ref="I53" ca="1">IFERROR(IF($C53="","",INDIRECT($D$2&amp;"!j"&amp;$Z53)+INDIRECT($D$2&amp;"!n"&amp;$Z53)),IF($C53="","",INDIRECT("'"&amp;$D$2&amp;"'"&amp;"!j"&amp;$Z53)+INDIRECT("'"&amp;$D$2&amp;"'"&amp;"!n"&amp;$Z53)))</f>
        <v>20000</v>
      </c>
      <c r="J53" s="113">
        <f t="shared" ca="1" si="7"/>
        <v>-20000</v>
      </c>
      <c r="K53" s="113" cm="1">
        <f t="array" aca="1" ref="K53" ca="1">IFERROR(IF($C53="","",INDIRECT($D$2&amp;"!l"&amp;$Z53)+INDIRECT($D$2&amp;"!p"&amp;$Z53)),IF($C53="","",INDIRECT("'"&amp;$D$2&amp;"'"&amp;"!l"&amp;$Z53)+INDIRECT("'"&amp;$D$2&amp;"'"&amp;"!p"&amp;$Z53)))</f>
        <v>0</v>
      </c>
      <c r="M53" s="113" cm="1">
        <f t="array" aca="1" ref="M53" ca="1">IFERROR(IF($C53="","",INDIRECT($D$2&amp;"!r"&amp;Z53)),IF($C53="","",INDIRECT("'"&amp;$D$2&amp;"'"&amp;"!r"&amp;Z53)))</f>
        <v>0</v>
      </c>
      <c r="N53" s="113">
        <f t="shared" ca="1" si="8"/>
        <v>0</v>
      </c>
      <c r="O53" s="113" cm="1">
        <f t="array" aca="1" ref="O53" ca="1">IFERROR(IF($C53="","",INDIRECT($D$2&amp;"!t"&amp;Z53)),IF($C53="","",INDIRECT("'"&amp;$D$2&amp;"'"&amp;"!t"&amp;Z53)))</f>
        <v>0</v>
      </c>
      <c r="Q53" s="113" cm="1">
        <f t="array" aca="1" ref="Q53" ca="1">IFERROR(IF($C53="","",INDIRECT($D$2&amp;"!v"&amp;Z53)),IF($C53="","",INDIRECT("'"&amp;$D$2&amp;"'"&amp;"!v"&amp;Z53)))</f>
        <v>0</v>
      </c>
      <c r="R53" s="113">
        <f t="shared" ca="1" si="9"/>
        <v>0</v>
      </c>
      <c r="S53" s="113" cm="1">
        <f t="array" aca="1" ref="S53" ca="1">IFERROR(IF($C53="","",INDIRECT($D$2&amp;"!x"&amp;Z53)),IF($C53="","",INDIRECT("'"&amp;$D$2&amp;"'"&amp;"!x"&amp;Z53)))</f>
        <v>0</v>
      </c>
      <c r="U53" s="113" cm="1">
        <f t="array" aca="1" ref="U53" ca="1">IFERROR(IF($C53="","",INDIRECT($D$2&amp;"!z"&amp;Z53)),IF($C53="","",INDIRECT("'"&amp;$D$2&amp;"'"&amp;"!z"&amp;Z53)))</f>
        <v>0</v>
      </c>
      <c r="V53" s="113">
        <f t="shared" ca="1" si="10"/>
        <v>0</v>
      </c>
      <c r="W53" s="113" cm="1">
        <f t="array" aca="1" ref="W53" ca="1">IFERROR(IF($C53="","",INDIRECT($D$2&amp;"!ab"&amp;Z53)),IF($C53="","",INDIRECT("'"&amp;$D$2&amp;"'"&amp;"!ab"&amp;Z53)))</f>
        <v>0</v>
      </c>
      <c r="X53" s="113"/>
      <c r="Y53" s="113">
        <f t="shared" ca="1" si="11"/>
        <v>0</v>
      </c>
      <c r="Z53" s="35">
        <v>42</v>
      </c>
      <c r="AA53" s="113"/>
      <c r="AB53" s="35">
        <v>42</v>
      </c>
    </row>
    <row r="54" spans="3:28" x14ac:dyDescent="0.25">
      <c r="C54" t="str" cm="1">
        <f t="array" aca="1" ref="C54" ca="1">IFERROR(IF(INDIRECT($D$2&amp;"!B"&amp;Z54)="","",INDIRECT("'"&amp;$D$2&amp;"'"&amp;"!B"&amp;Z54)),IF(INDIRECT("'"&amp;$D$2&amp;"'"&amp;"!B"&amp;Z54)="","",INDIRECT("'"&amp;$D$2&amp;"'"&amp;"!B"&amp;Z54)))</f>
        <v>Digital Video Chat and Screen Sharing</v>
      </c>
      <c r="D54" t="str" cm="1">
        <f t="array" aca="1" ref="D54" ca="1">IFERROR(_xlfn.IFS(C54="","",C54&lt;&gt;"",INDEX(SF_Output!I:I,MATCH(C54,SF_Output!M:M,0))),IFERROR(INDEX(INDIRECT($D$2&amp;"!G:G"),MATCH(C54,INDIRECT($D$2&amp;"!B:B"),0)),INDEX(INDIRECT("'"&amp;$D$2&amp;"'!G:G"),MATCH(C54,INDIRECT("'"&amp;$D$2&amp;"'!B:B"),0))))</f>
        <v>Digital</v>
      </c>
      <c r="E54" t="str" cm="1">
        <f t="array" aca="1" ref="E54" ca="1">IFERROR(IF(C54="","",INDIRECT($D$2&amp;"!F"&amp;Z54)),IF(C54="","",INDIRECT("'"&amp;$D$2&amp;"'"&amp;"!F"&amp;Z54)))</f>
        <v>Optional</v>
      </c>
      <c r="F54" t="str" cm="1">
        <f t="array" aca="1" ref="F54" ca="1">IFERROR(IF(C54="","",INDIRECT($D$2&amp;"!ak"&amp;Z54)),IF(C54="","",INDIRECT("'"&amp;$D$2&amp;"'"&amp;"!ak"&amp;Z54)))</f>
        <v/>
      </c>
      <c r="G54" cm="1">
        <f t="array" aca="1" ref="G54" ca="1">IFERROR(INDIRECT($D$2&amp;"!h"&amp;Z54),INDIRECT("'"&amp;$D$2&amp;"'"&amp;"!h"&amp;Z54))</f>
        <v>1</v>
      </c>
      <c r="H54" s="125" t="str" cm="1">
        <f t="array" aca="1" ref="H54" ca="1">IFERROR(INDIRECT($D$2&amp;"!i"&amp;Z54),INDIRECT("'"&amp;$D$2&amp;"'"&amp;"!i"&amp;Z54))</f>
        <v/>
      </c>
      <c r="I54" s="113" cm="1">
        <f t="array" aca="1" ref="I54" ca="1">IFERROR(IF($C54="","",INDIRECT($D$2&amp;"!j"&amp;$Z54)+INDIRECT($D$2&amp;"!n"&amp;$Z54)),IF($C54="","",INDIRECT("'"&amp;$D$2&amp;"'"&amp;"!j"&amp;$Z54)+INDIRECT("'"&amp;$D$2&amp;"'"&amp;"!n"&amp;$Z54)))</f>
        <v>5000</v>
      </c>
      <c r="J54" s="113">
        <f t="shared" ca="1" si="7"/>
        <v>-5000</v>
      </c>
      <c r="K54" s="113" cm="1">
        <f t="array" aca="1" ref="K54" ca="1">IFERROR(IF($C54="","",INDIRECT($D$2&amp;"!l"&amp;$Z54)+INDIRECT($D$2&amp;"!p"&amp;$Z54)),IF($C54="","",INDIRECT("'"&amp;$D$2&amp;"'"&amp;"!l"&amp;$Z54)+INDIRECT("'"&amp;$D$2&amp;"'"&amp;"!p"&amp;$Z54)))</f>
        <v>0</v>
      </c>
      <c r="M54" s="113" cm="1">
        <f t="array" aca="1" ref="M54" ca="1">IFERROR(IF($C54="","",INDIRECT($D$2&amp;"!r"&amp;Z54)),IF($C54="","",INDIRECT("'"&amp;$D$2&amp;"'"&amp;"!r"&amp;Z54)))</f>
        <v>0</v>
      </c>
      <c r="N54" s="113">
        <f t="shared" ca="1" si="8"/>
        <v>0</v>
      </c>
      <c r="O54" s="113" cm="1">
        <f t="array" aca="1" ref="O54" ca="1">IFERROR(IF($C54="","",INDIRECT($D$2&amp;"!t"&amp;Z54)),IF($C54="","",INDIRECT("'"&amp;$D$2&amp;"'"&amp;"!t"&amp;Z54)))</f>
        <v>0</v>
      </c>
      <c r="Q54" s="113" cm="1">
        <f t="array" aca="1" ref="Q54" ca="1">IFERROR(IF($C54="","",INDIRECT($D$2&amp;"!v"&amp;Z54)),IF($C54="","",INDIRECT("'"&amp;$D$2&amp;"'"&amp;"!v"&amp;Z54)))</f>
        <v>0</v>
      </c>
      <c r="R54" s="113">
        <f t="shared" ca="1" si="9"/>
        <v>0</v>
      </c>
      <c r="S54" s="113" cm="1">
        <f t="array" aca="1" ref="S54" ca="1">IFERROR(IF($C54="","",INDIRECT($D$2&amp;"!x"&amp;Z54)),IF($C54="","",INDIRECT("'"&amp;$D$2&amp;"'"&amp;"!x"&amp;Z54)))</f>
        <v>0</v>
      </c>
      <c r="U54" s="113" cm="1">
        <f t="array" aca="1" ref="U54" ca="1">IFERROR(IF($C54="","",INDIRECT($D$2&amp;"!z"&amp;Z54)),IF($C54="","",INDIRECT("'"&amp;$D$2&amp;"'"&amp;"!z"&amp;Z54)))</f>
        <v>0</v>
      </c>
      <c r="V54" s="113">
        <f t="shared" ca="1" si="10"/>
        <v>0</v>
      </c>
      <c r="W54" s="113" cm="1">
        <f t="array" aca="1" ref="W54" ca="1">IFERROR(IF($C54="","",INDIRECT($D$2&amp;"!ab"&amp;Z54)),IF($C54="","",INDIRECT("'"&amp;$D$2&amp;"'"&amp;"!ab"&amp;Z54)))</f>
        <v>0</v>
      </c>
      <c r="X54" s="113"/>
      <c r="Y54" s="113">
        <f t="shared" ca="1" si="11"/>
        <v>0</v>
      </c>
      <c r="Z54" s="35">
        <v>43</v>
      </c>
      <c r="AA54" s="113"/>
      <c r="AB54" s="35">
        <v>43</v>
      </c>
    </row>
    <row r="55" spans="3:28" x14ac:dyDescent="0.25">
      <c r="C55" t="str" cm="1">
        <f t="array" aca="1" ref="C55" ca="1">IFERROR(IF(INDIRECT($D$2&amp;"!B"&amp;Z55)="","",INDIRECT("'"&amp;$D$2&amp;"'"&amp;"!B"&amp;Z55)),IF(INDIRECT("'"&amp;$D$2&amp;"'"&amp;"!B"&amp;Z55)="","",INDIRECT("'"&amp;$D$2&amp;"'"&amp;"!B"&amp;Z55)))</f>
        <v>JH Online Financial Management with Account Aggregation</v>
      </c>
      <c r="D55" t="str" cm="1">
        <f t="array" aca="1" ref="D55" ca="1">IFERROR(_xlfn.IFS(C55="","",C55&lt;&gt;"",INDEX(SF_Output!I:I,MATCH(C55,SF_Output!M:M,0))),IFERROR(INDEX(INDIRECT($D$2&amp;"!G:G"),MATCH(C55,INDIRECT($D$2&amp;"!B:B"),0)),INDEX(INDIRECT("'"&amp;$D$2&amp;"'!G:G"),MATCH(C55,INDIRECT("'"&amp;$D$2&amp;"'!B:B"),0))))</f>
        <v>Digital</v>
      </c>
      <c r="E55" t="str" cm="1">
        <f t="array" aca="1" ref="E55" ca="1">IFERROR(IF(C55="","",INDIRECT($D$2&amp;"!F"&amp;Z55)),IF(C55="","",INDIRECT("'"&amp;$D$2&amp;"'"&amp;"!F"&amp;Z55)))</f>
        <v>Optional</v>
      </c>
      <c r="F55" t="str" cm="1">
        <f t="array" aca="1" ref="F55" ca="1">IFERROR(IF(C55="","",INDIRECT($D$2&amp;"!ak"&amp;Z55)),IF(C55="","",INDIRECT("'"&amp;$D$2&amp;"'"&amp;"!ak"&amp;Z55)))</f>
        <v/>
      </c>
      <c r="G55" cm="1">
        <f t="array" aca="1" ref="G55" ca="1">IFERROR(INDIRECT($D$2&amp;"!h"&amp;Z55),INDIRECT("'"&amp;$D$2&amp;"'"&amp;"!h"&amp;Z55))</f>
        <v>1</v>
      </c>
      <c r="H55" s="125" t="str" cm="1">
        <f t="array" aca="1" ref="H55" ca="1">IFERROR(INDIRECT($D$2&amp;"!i"&amp;Z55),INDIRECT("'"&amp;$D$2&amp;"'"&amp;"!i"&amp;Z55))</f>
        <v/>
      </c>
      <c r="I55" s="113" cm="1">
        <f t="array" aca="1" ref="I55" ca="1">IFERROR(IF($C55="","",INDIRECT($D$2&amp;"!j"&amp;$Z55)+INDIRECT($D$2&amp;"!n"&amp;$Z55)),IF($C55="","",INDIRECT("'"&amp;$D$2&amp;"'"&amp;"!j"&amp;$Z55)+INDIRECT("'"&amp;$D$2&amp;"'"&amp;"!n"&amp;$Z55)))</f>
        <v>10000</v>
      </c>
      <c r="J55" s="113">
        <f t="shared" ca="1" si="7"/>
        <v>-10000</v>
      </c>
      <c r="K55" s="113" cm="1">
        <f t="array" aca="1" ref="K55" ca="1">IFERROR(IF($C55="","",INDIRECT($D$2&amp;"!l"&amp;$Z55)+INDIRECT($D$2&amp;"!p"&amp;$Z55)),IF($C55="","",INDIRECT("'"&amp;$D$2&amp;"'"&amp;"!l"&amp;$Z55)+INDIRECT("'"&amp;$D$2&amp;"'"&amp;"!p"&amp;$Z55)))</f>
        <v>0</v>
      </c>
      <c r="M55" s="113" cm="1">
        <f t="array" aca="1" ref="M55" ca="1">IFERROR(IF($C55="","",INDIRECT($D$2&amp;"!r"&amp;Z55)),IF($C55="","",INDIRECT("'"&amp;$D$2&amp;"'"&amp;"!r"&amp;Z55)))</f>
        <v>0</v>
      </c>
      <c r="N55" s="113">
        <f t="shared" ca="1" si="8"/>
        <v>0</v>
      </c>
      <c r="O55" s="113" cm="1">
        <f t="array" aca="1" ref="O55" ca="1">IFERROR(IF($C55="","",INDIRECT($D$2&amp;"!t"&amp;Z55)),IF($C55="","",INDIRECT("'"&amp;$D$2&amp;"'"&amp;"!t"&amp;Z55)))</f>
        <v>0</v>
      </c>
      <c r="Q55" s="113" cm="1">
        <f t="array" aca="1" ref="Q55" ca="1">IFERROR(IF($C55="","",INDIRECT($D$2&amp;"!v"&amp;Z55)),IF($C55="","",INDIRECT("'"&amp;$D$2&amp;"'"&amp;"!v"&amp;Z55)))</f>
        <v>500</v>
      </c>
      <c r="R55" s="113">
        <f t="shared" ca="1" si="9"/>
        <v>0</v>
      </c>
      <c r="S55" s="113" cm="1">
        <f t="array" aca="1" ref="S55" ca="1">IFERROR(IF($C55="","",INDIRECT($D$2&amp;"!x"&amp;Z55)),IF($C55="","",INDIRECT("'"&amp;$D$2&amp;"'"&amp;"!x"&amp;Z55)))</f>
        <v>500</v>
      </c>
      <c r="U55" s="113" cm="1">
        <f t="array" aca="1" ref="U55" ca="1">IFERROR(IF($C55="","",INDIRECT($D$2&amp;"!z"&amp;Z55)),IF($C55="","",INDIRECT("'"&amp;$D$2&amp;"'"&amp;"!z"&amp;Z55)))</f>
        <v>0</v>
      </c>
      <c r="V55" s="113">
        <f t="shared" ca="1" si="10"/>
        <v>0</v>
      </c>
      <c r="W55" s="113" cm="1">
        <f t="array" aca="1" ref="W55" ca="1">IFERROR(IF($C55="","",INDIRECT($D$2&amp;"!ab"&amp;Z55)),IF($C55="","",INDIRECT("'"&amp;$D$2&amp;"'"&amp;"!ab"&amp;Z55)))</f>
        <v>0</v>
      </c>
      <c r="X55" s="113"/>
      <c r="Y55" s="113">
        <f t="shared" ca="1" si="11"/>
        <v>500</v>
      </c>
      <c r="Z55" s="35">
        <v>44</v>
      </c>
      <c r="AA55" s="113"/>
      <c r="AB55" s="35">
        <v>44</v>
      </c>
    </row>
    <row r="56" spans="3:28" x14ac:dyDescent="0.25">
      <c r="C56" t="str" cm="1">
        <f t="array" aca="1" ref="C56" ca="1">IFERROR(IF(INDIRECT($D$2&amp;"!B"&amp;Z56)="","",INDIRECT("'"&amp;$D$2&amp;"'"&amp;"!B"&amp;Z56)),IF(INDIRECT("'"&amp;$D$2&amp;"'"&amp;"!B"&amp;Z56)="","",INDIRECT("'"&amp;$D$2&amp;"'"&amp;"!B"&amp;Z56)))</f>
        <v>Jack Henry Digital Card Issuance and Provisioning - Mastercard</v>
      </c>
      <c r="D56" t="str" cm="1">
        <f t="array" aca="1" ref="D56" ca="1">IFERROR(_xlfn.IFS(C56="","",C56&lt;&gt;"",INDEX(SF_Output!I:I,MATCH(C56,SF_Output!M:M,0))),IFERROR(INDEX(INDIRECT($D$2&amp;"!G:G"),MATCH(C56,INDIRECT($D$2&amp;"!B:B"),0)),INDEX(INDIRECT("'"&amp;$D$2&amp;"'!G:G"),MATCH(C56,INDIRECT("'"&amp;$D$2&amp;"'!B:B"),0))))</f>
        <v>Digital</v>
      </c>
      <c r="E56" t="str" cm="1">
        <f t="array" aca="1" ref="E56" ca="1">IFERROR(IF(C56="","",INDIRECT($D$2&amp;"!F"&amp;Z56)),IF(C56="","",INDIRECT("'"&amp;$D$2&amp;"'"&amp;"!F"&amp;Z56)))</f>
        <v>Included</v>
      </c>
      <c r="F56" t="str" cm="1">
        <f t="array" aca="1" ref="F56" ca="1">IFERROR(IF(C56="","",INDIRECT($D$2&amp;"!ak"&amp;Z56)),IF(C56="","",INDIRECT("'"&amp;$D$2&amp;"'"&amp;"!ak"&amp;Z56)))</f>
        <v/>
      </c>
      <c r="G56" cm="1">
        <f t="array" aca="1" ref="G56" ca="1">IFERROR(INDIRECT($D$2&amp;"!h"&amp;Z56),INDIRECT("'"&amp;$D$2&amp;"'"&amp;"!h"&amp;Z56))</f>
        <v>1</v>
      </c>
      <c r="H56" s="125" t="str" cm="1">
        <f t="array" aca="1" ref="H56" ca="1">IFERROR(INDIRECT($D$2&amp;"!i"&amp;Z56),INDIRECT("'"&amp;$D$2&amp;"'"&amp;"!i"&amp;Z56))</f>
        <v/>
      </c>
      <c r="I56" s="113" cm="1">
        <f t="array" aca="1" ref="I56" ca="1">IFERROR(IF($C56="","",INDIRECT($D$2&amp;"!j"&amp;$Z56)+INDIRECT($D$2&amp;"!n"&amp;$Z56)),IF($C56="","",INDIRECT("'"&amp;$D$2&amp;"'"&amp;"!j"&amp;$Z56)+INDIRECT("'"&amp;$D$2&amp;"'"&amp;"!n"&amp;$Z56)))</f>
        <v>2000</v>
      </c>
      <c r="J56" s="113">
        <f t="shared" ca="1" si="7"/>
        <v>-2000</v>
      </c>
      <c r="K56" s="113" cm="1">
        <f t="array" aca="1" ref="K56" ca="1">IFERROR(IF($C56="","",INDIRECT($D$2&amp;"!l"&amp;$Z56)+INDIRECT($D$2&amp;"!p"&amp;$Z56)),IF($C56="","",INDIRECT("'"&amp;$D$2&amp;"'"&amp;"!l"&amp;$Z56)+INDIRECT("'"&amp;$D$2&amp;"'"&amp;"!p"&amp;$Z56)))</f>
        <v>0</v>
      </c>
      <c r="M56" s="113" cm="1">
        <f t="array" aca="1" ref="M56" ca="1">IFERROR(IF($C56="","",INDIRECT($D$2&amp;"!r"&amp;Z56)),IF($C56="","",INDIRECT("'"&amp;$D$2&amp;"'"&amp;"!r"&amp;Z56)))</f>
        <v>0</v>
      </c>
      <c r="N56" s="113">
        <f t="shared" ca="1" si="8"/>
        <v>0</v>
      </c>
      <c r="O56" s="113" cm="1">
        <f t="array" aca="1" ref="O56" ca="1">IFERROR(IF($C56="","",INDIRECT($D$2&amp;"!t"&amp;Z56)),IF($C56="","",INDIRECT("'"&amp;$D$2&amp;"'"&amp;"!t"&amp;Z56)))</f>
        <v>0</v>
      </c>
      <c r="Q56" s="113" cm="1">
        <f t="array" aca="1" ref="Q56" ca="1">IFERROR(IF($C56="","",INDIRECT($D$2&amp;"!v"&amp;Z56)),IF($C56="","",INDIRECT("'"&amp;$D$2&amp;"'"&amp;"!v"&amp;Z56)))</f>
        <v>50</v>
      </c>
      <c r="R56" s="113">
        <f t="shared" ca="1" si="9"/>
        <v>0</v>
      </c>
      <c r="S56" s="113" cm="1">
        <f t="array" aca="1" ref="S56" ca="1">IFERROR(IF($C56="","",INDIRECT($D$2&amp;"!x"&amp;Z56)),IF($C56="","",INDIRECT("'"&amp;$D$2&amp;"'"&amp;"!x"&amp;Z56)))</f>
        <v>50</v>
      </c>
      <c r="U56" s="113" cm="1">
        <f t="array" aca="1" ref="U56" ca="1">IFERROR(IF($C56="","",INDIRECT($D$2&amp;"!z"&amp;Z56)),IF($C56="","",INDIRECT("'"&amp;$D$2&amp;"'"&amp;"!z"&amp;Z56)))</f>
        <v>0</v>
      </c>
      <c r="V56" s="113">
        <f t="shared" ca="1" si="10"/>
        <v>0</v>
      </c>
      <c r="W56" s="113" cm="1">
        <f t="array" aca="1" ref="W56" ca="1">IFERROR(IF($C56="","",INDIRECT($D$2&amp;"!ab"&amp;Z56)),IF($C56="","",INDIRECT("'"&amp;$D$2&amp;"'"&amp;"!ab"&amp;Z56)))</f>
        <v>0</v>
      </c>
      <c r="X56" s="113"/>
      <c r="Y56" s="113">
        <f t="shared" ca="1" si="11"/>
        <v>50</v>
      </c>
      <c r="Z56" s="35">
        <v>45</v>
      </c>
      <c r="AA56" s="113"/>
      <c r="AB56" s="35">
        <v>45</v>
      </c>
    </row>
    <row r="57" spans="3:28" x14ac:dyDescent="0.25">
      <c r="C57" t="str" cm="1">
        <f t="array" aca="1" ref="C57" ca="1">IFERROR(IF(INDIRECT($D$2&amp;"!B"&amp;Z57)="","",INDIRECT("'"&amp;$D$2&amp;"'"&amp;"!B"&amp;Z57)),IF(INDIRECT("'"&amp;$D$2&amp;"'"&amp;"!B"&amp;Z57)="","",INDIRECT("'"&amp;$D$2&amp;"'"&amp;"!B"&amp;Z57)))</f>
        <v>Banno Marketing</v>
      </c>
      <c r="D57" t="str" cm="1">
        <f t="array" aca="1" ref="D57" ca="1">IFERROR(_xlfn.IFS(C57="","",C57&lt;&gt;"",INDEX(SF_Output!I:I,MATCH(C57,SF_Output!M:M,0))),IFERROR(INDEX(INDIRECT($D$2&amp;"!G:G"),MATCH(C57,INDIRECT($D$2&amp;"!B:B"),0)),INDEX(INDIRECT("'"&amp;$D$2&amp;"'!G:G"),MATCH(C57,INDIRECT("'"&amp;$D$2&amp;"'!B:B"),0))))</f>
        <v>Digital</v>
      </c>
      <c r="E57" t="str" cm="1">
        <f t="array" aca="1" ref="E57" ca="1">IFERROR(IF(C57="","",INDIRECT($D$2&amp;"!F"&amp;Z57)),IF(C57="","",INDIRECT("'"&amp;$D$2&amp;"'"&amp;"!F"&amp;Z57)))</f>
        <v>Optional</v>
      </c>
      <c r="F57" t="str" cm="1">
        <f t="array" aca="1" ref="F57" ca="1">IFERROR(IF(C57="","",INDIRECT($D$2&amp;"!ak"&amp;Z57)),IF(C57="","",INDIRECT("'"&amp;$D$2&amp;"'"&amp;"!ak"&amp;Z57)))</f>
        <v/>
      </c>
      <c r="G57" cm="1">
        <f t="array" aca="1" ref="G57" ca="1">IFERROR(INDIRECT($D$2&amp;"!h"&amp;Z57),INDIRECT("'"&amp;$D$2&amp;"'"&amp;"!h"&amp;Z57))</f>
        <v>1</v>
      </c>
      <c r="H57" s="125" t="str" cm="1">
        <f t="array" aca="1" ref="H57" ca="1">IFERROR(INDIRECT($D$2&amp;"!i"&amp;Z57),INDIRECT("'"&amp;$D$2&amp;"'"&amp;"!i"&amp;Z57))</f>
        <v/>
      </c>
      <c r="I57" s="113" cm="1">
        <f t="array" aca="1" ref="I57" ca="1">IFERROR(IF($C57="","",INDIRECT($D$2&amp;"!j"&amp;$Z57)+INDIRECT($D$2&amp;"!n"&amp;$Z57)),IF($C57="","",INDIRECT("'"&amp;$D$2&amp;"'"&amp;"!j"&amp;$Z57)+INDIRECT("'"&amp;$D$2&amp;"'"&amp;"!n"&amp;$Z57)))</f>
        <v>5000</v>
      </c>
      <c r="J57" s="113">
        <f t="shared" ca="1" si="7"/>
        <v>-5000</v>
      </c>
      <c r="K57" s="113" cm="1">
        <f t="array" aca="1" ref="K57" ca="1">IFERROR(IF($C57="","",INDIRECT($D$2&amp;"!l"&amp;$Z57)+INDIRECT($D$2&amp;"!p"&amp;$Z57)),IF($C57="","",INDIRECT("'"&amp;$D$2&amp;"'"&amp;"!l"&amp;$Z57)+INDIRECT("'"&amp;$D$2&amp;"'"&amp;"!p"&amp;$Z57)))</f>
        <v>0</v>
      </c>
      <c r="M57" s="113" cm="1">
        <f t="array" aca="1" ref="M57" ca="1">IFERROR(IF($C57="","",INDIRECT($D$2&amp;"!r"&amp;Z57)),IF($C57="","",INDIRECT("'"&amp;$D$2&amp;"'"&amp;"!r"&amp;Z57)))</f>
        <v>0</v>
      </c>
      <c r="N57" s="113">
        <f t="shared" ca="1" si="8"/>
        <v>0</v>
      </c>
      <c r="O57" s="113" cm="1">
        <f t="array" aca="1" ref="O57" ca="1">IFERROR(IF($C57="","",INDIRECT($D$2&amp;"!t"&amp;Z57)),IF($C57="","",INDIRECT("'"&amp;$D$2&amp;"'"&amp;"!t"&amp;Z57)))</f>
        <v>0</v>
      </c>
      <c r="Q57" s="113" cm="1">
        <f t="array" aca="1" ref="Q57" ca="1">IFERROR(IF($C57="","",INDIRECT($D$2&amp;"!v"&amp;Z57)),IF($C57="","",INDIRECT("'"&amp;$D$2&amp;"'"&amp;"!v"&amp;Z57)))</f>
        <v>0</v>
      </c>
      <c r="R57" s="113">
        <f t="shared" ca="1" si="9"/>
        <v>0</v>
      </c>
      <c r="S57" s="113" cm="1">
        <f t="array" aca="1" ref="S57" ca="1">IFERROR(IF($C57="","",INDIRECT($D$2&amp;"!x"&amp;Z57)),IF($C57="","",INDIRECT("'"&amp;$D$2&amp;"'"&amp;"!x"&amp;Z57)))</f>
        <v>0</v>
      </c>
      <c r="U57" s="113" cm="1">
        <f t="array" aca="1" ref="U57" ca="1">IFERROR(IF($C57="","",INDIRECT($D$2&amp;"!z"&amp;Z57)),IF($C57="","",INDIRECT("'"&amp;$D$2&amp;"'"&amp;"!z"&amp;Z57)))</f>
        <v>0</v>
      </c>
      <c r="V57" s="113">
        <f t="shared" ca="1" si="10"/>
        <v>0</v>
      </c>
      <c r="W57" s="113" cm="1">
        <f t="array" aca="1" ref="W57" ca="1">IFERROR(IF($C57="","",INDIRECT($D$2&amp;"!ab"&amp;Z57)),IF($C57="","",INDIRECT("'"&amp;$D$2&amp;"'"&amp;"!ab"&amp;Z57)))</f>
        <v>0</v>
      </c>
      <c r="X57" s="113"/>
      <c r="Y57" s="113">
        <f t="shared" ca="1" si="11"/>
        <v>0</v>
      </c>
      <c r="Z57" s="35">
        <v>46</v>
      </c>
      <c r="AA57" s="113"/>
      <c r="AB57" s="35">
        <v>46</v>
      </c>
    </row>
    <row r="58" spans="3:28" x14ac:dyDescent="0.25">
      <c r="C58" t="str" cm="1">
        <f t="array" aca="1" ref="C58" ca="1">IFERROR(IF(INDIRECT($D$2&amp;"!B"&amp;Z58)="","",INDIRECT("'"&amp;$D$2&amp;"'"&amp;"!B"&amp;Z58)),IF(INDIRECT("'"&amp;$D$2&amp;"'"&amp;"!B"&amp;Z58)="","",INDIRECT("'"&amp;$D$2&amp;"'"&amp;"!B"&amp;Z58)))</f>
        <v>Electronic Statement Interactive (ESI)</v>
      </c>
      <c r="D58" t="str" cm="1">
        <f t="array" aca="1" ref="D58" ca="1">IFERROR(_xlfn.IFS(C58="","",C58&lt;&gt;"",INDEX(SF_Output!I:I,MATCH(C58,SF_Output!M:M,0))),IFERROR(INDEX(INDIRECT($D$2&amp;"!G:G"),MATCH(C58,INDIRECT($D$2&amp;"!B:B"),0)),INDEX(INDIRECT("'"&amp;$D$2&amp;"'!G:G"),MATCH(C58,INDIRECT("'"&amp;$D$2&amp;"'!B:B"),0))))</f>
        <v>Digital</v>
      </c>
      <c r="E58" t="str" cm="1">
        <f t="array" aca="1" ref="E58" ca="1">IFERROR(IF(C58="","",INDIRECT($D$2&amp;"!F"&amp;Z58)),IF(C58="","",INDIRECT("'"&amp;$D$2&amp;"'"&amp;"!F"&amp;Z58)))</f>
        <v>Included</v>
      </c>
      <c r="F58" t="str" cm="1">
        <f t="array" aca="1" ref="F58" ca="1">IFERROR(IF(C58="","",INDIRECT($D$2&amp;"!ak"&amp;Z58)),IF(C58="","",INDIRECT("'"&amp;$D$2&amp;"'"&amp;"!ak"&amp;Z58)))</f>
        <v>PAP</v>
      </c>
      <c r="G58" cm="1">
        <f t="array" aca="1" ref="G58" ca="1">IFERROR(INDIRECT($D$2&amp;"!h"&amp;Z58),INDIRECT("'"&amp;$D$2&amp;"'"&amp;"!h"&amp;Z58))</f>
        <v>5000</v>
      </c>
      <c r="H58" s="125" cm="1">
        <f t="array" aca="1" ref="H58" ca="1">IFERROR(INDIRECT($D$2&amp;"!i"&amp;Z58),INDIRECT("'"&amp;$D$2&amp;"'"&amp;"!i"&amp;Z58))</f>
        <v>2.1000000000000001E-2</v>
      </c>
      <c r="I58" s="113" cm="1">
        <f t="array" aca="1" ref="I58" ca="1">IFERROR(IF($C58="","",INDIRECT($D$2&amp;"!j"&amp;$Z58)+INDIRECT($D$2&amp;"!n"&amp;$Z58)),IF($C58="","",INDIRECT("'"&amp;$D$2&amp;"'"&amp;"!j"&amp;$Z58)+INDIRECT("'"&amp;$D$2&amp;"'"&amp;"!n"&amp;$Z58)))</f>
        <v>1750</v>
      </c>
      <c r="J58" s="113">
        <f t="shared" ca="1" si="7"/>
        <v>-1750</v>
      </c>
      <c r="K58" s="113" cm="1">
        <f t="array" aca="1" ref="K58" ca="1">IFERROR(IF($C58="","",INDIRECT($D$2&amp;"!l"&amp;$Z58)+INDIRECT($D$2&amp;"!p"&amp;$Z58)),IF($C58="","",INDIRECT("'"&amp;$D$2&amp;"'"&amp;"!l"&amp;$Z58)+INDIRECT("'"&amp;$D$2&amp;"'"&amp;"!p"&amp;$Z58)))</f>
        <v>0</v>
      </c>
      <c r="M58" s="113" cm="1">
        <f t="array" aca="1" ref="M58" ca="1">IFERROR(IF($C58="","",INDIRECT($D$2&amp;"!r"&amp;Z58)),IF($C58="","",INDIRECT("'"&amp;$D$2&amp;"'"&amp;"!r"&amp;Z58)))</f>
        <v>0</v>
      </c>
      <c r="N58" s="113">
        <f t="shared" ca="1" si="8"/>
        <v>0</v>
      </c>
      <c r="O58" s="113" cm="1">
        <f t="array" aca="1" ref="O58" ca="1">IFERROR(IF($C58="","",INDIRECT($D$2&amp;"!t"&amp;Z58)),IF($C58="","",INDIRECT("'"&amp;$D$2&amp;"'"&amp;"!t"&amp;Z58)))</f>
        <v>0</v>
      </c>
      <c r="Q58" s="113" cm="1">
        <f t="array" aca="1" ref="Q58" ca="1">IFERROR(IF($C58="","",INDIRECT($D$2&amp;"!v"&amp;Z58)),IF($C58="","",INDIRECT("'"&amp;$D$2&amp;"'"&amp;"!v"&amp;Z58)))</f>
        <v>140</v>
      </c>
      <c r="R58" s="113">
        <f t="shared" ca="1" si="9"/>
        <v>-35</v>
      </c>
      <c r="S58" s="113" cm="1">
        <f t="array" aca="1" ref="S58" ca="1">IFERROR(IF($C58="","",INDIRECT($D$2&amp;"!x"&amp;Z58)),IF($C58="","",INDIRECT("'"&amp;$D$2&amp;"'"&amp;"!x"&amp;Z58)))</f>
        <v>105</v>
      </c>
      <c r="U58" s="113" cm="1">
        <f t="array" aca="1" ref="U58" ca="1">IFERROR(IF($C58="","",INDIRECT($D$2&amp;"!z"&amp;Z58)),IF($C58="","",INDIRECT("'"&amp;$D$2&amp;"'"&amp;"!z"&amp;Z58)))</f>
        <v>0</v>
      </c>
      <c r="V58" s="113">
        <f t="shared" ca="1" si="10"/>
        <v>0</v>
      </c>
      <c r="W58" s="113" cm="1">
        <f t="array" aca="1" ref="W58" ca="1">IFERROR(IF($C58="","",INDIRECT($D$2&amp;"!ab"&amp;Z58)),IF($C58="","",INDIRECT("'"&amp;$D$2&amp;"'"&amp;"!ab"&amp;Z58)))</f>
        <v>0</v>
      </c>
      <c r="X58" s="113"/>
      <c r="Y58" s="113">
        <f t="shared" ca="1" si="11"/>
        <v>105</v>
      </c>
      <c r="Z58" s="35">
        <v>47</v>
      </c>
      <c r="AA58" s="113"/>
      <c r="AB58" s="35">
        <v>47</v>
      </c>
    </row>
    <row r="59" spans="3:28" x14ac:dyDescent="0.25">
      <c r="C59" t="str" cm="1">
        <f t="array" aca="1" ref="C59" ca="1">IFERROR(IF(INDIRECT($D$2&amp;"!B"&amp;Z59)="","",INDIRECT("'"&amp;$D$2&amp;"'"&amp;"!B"&amp;Z59)),IF(INDIRECT("'"&amp;$D$2&amp;"'"&amp;"!B"&amp;Z59)="","",INDIRECT("'"&amp;$D$2&amp;"'"&amp;"!B"&amp;Z59)))</f>
        <v>Intuit Connectivity for QuickBooks Current Release</v>
      </c>
      <c r="D59" t="str" cm="1">
        <f t="array" aca="1" ref="D59" ca="1">IFERROR(_xlfn.IFS(C59="","",C59&lt;&gt;"",INDEX(SF_Output!I:I,MATCH(C59,SF_Output!M:M,0))),IFERROR(INDEX(INDIRECT($D$2&amp;"!G:G"),MATCH(C59,INDIRECT($D$2&amp;"!B:B"),0)),INDEX(INDIRECT("'"&amp;$D$2&amp;"'!G:G"),MATCH(C59,INDIRECT("'"&amp;$D$2&amp;"'!B:B"),0))))</f>
        <v>Digital</v>
      </c>
      <c r="E59" t="str" cm="1">
        <f t="array" aca="1" ref="E59" ca="1">IFERROR(IF(C59="","",INDIRECT($D$2&amp;"!F"&amp;Z59)),IF(C59="","",INDIRECT("'"&amp;$D$2&amp;"'"&amp;"!F"&amp;Z59)))</f>
        <v>Included</v>
      </c>
      <c r="F59" t="str" cm="1">
        <f t="array" aca="1" ref="F59" ca="1">IFERROR(IF(C59="","",INDIRECT($D$2&amp;"!ak"&amp;Z59)),IF(C59="","",INDIRECT("'"&amp;$D$2&amp;"'"&amp;"!ak"&amp;Z59)))</f>
        <v/>
      </c>
      <c r="G59" cm="1">
        <f t="array" aca="1" ref="G59" ca="1">IFERROR(INDIRECT($D$2&amp;"!h"&amp;Z59),INDIRECT("'"&amp;$D$2&amp;"'"&amp;"!h"&amp;Z59))</f>
        <v>1</v>
      </c>
      <c r="H59" s="125" t="str" cm="1">
        <f t="array" aca="1" ref="H59" ca="1">IFERROR(INDIRECT($D$2&amp;"!i"&amp;Z59),INDIRECT("'"&amp;$D$2&amp;"'"&amp;"!i"&amp;Z59))</f>
        <v/>
      </c>
      <c r="I59" s="113" cm="1">
        <f t="array" aca="1" ref="I59" ca="1">IFERROR(IF($C59="","",INDIRECT($D$2&amp;"!j"&amp;$Z59)+INDIRECT($D$2&amp;"!n"&amp;$Z59)),IF($C59="","",INDIRECT("'"&amp;$D$2&amp;"'"&amp;"!j"&amp;$Z59)+INDIRECT("'"&amp;$D$2&amp;"'"&amp;"!n"&amp;$Z59)))</f>
        <v>0</v>
      </c>
      <c r="J59" s="113">
        <f t="shared" ca="1" si="7"/>
        <v>0</v>
      </c>
      <c r="K59" s="113" cm="1">
        <f t="array" aca="1" ref="K59" ca="1">IFERROR(IF($C59="","",INDIRECT($D$2&amp;"!l"&amp;$Z59)+INDIRECT($D$2&amp;"!p"&amp;$Z59)),IF($C59="","",INDIRECT("'"&amp;$D$2&amp;"'"&amp;"!l"&amp;$Z59)+INDIRECT("'"&amp;$D$2&amp;"'"&amp;"!p"&amp;$Z59)))</f>
        <v>0</v>
      </c>
      <c r="M59" s="113" cm="1">
        <f t="array" aca="1" ref="M59" ca="1">IFERROR(IF($C59="","",INDIRECT($D$2&amp;"!r"&amp;Z59)),IF($C59="","",INDIRECT("'"&amp;$D$2&amp;"'"&amp;"!r"&amp;Z59)))</f>
        <v>0</v>
      </c>
      <c r="N59" s="113">
        <f t="shared" ca="1" si="8"/>
        <v>0</v>
      </c>
      <c r="O59" s="113" cm="1">
        <f t="array" aca="1" ref="O59" ca="1">IFERROR(IF($C59="","",INDIRECT($D$2&amp;"!t"&amp;Z59)),IF($C59="","",INDIRECT("'"&amp;$D$2&amp;"'"&amp;"!t"&amp;Z59)))</f>
        <v>0</v>
      </c>
      <c r="Q59" s="113" cm="1">
        <f t="array" aca="1" ref="Q59" ca="1">IFERROR(IF($C59="","",INDIRECT($D$2&amp;"!v"&amp;Z59)),IF($C59="","",INDIRECT("'"&amp;$D$2&amp;"'"&amp;"!v"&amp;Z59)))</f>
        <v>0</v>
      </c>
      <c r="R59" s="113">
        <f t="shared" ca="1" si="9"/>
        <v>0</v>
      </c>
      <c r="S59" s="113" cm="1">
        <f t="array" aca="1" ref="S59" ca="1">IFERROR(IF($C59="","",INDIRECT($D$2&amp;"!x"&amp;Z59)),IF($C59="","",INDIRECT("'"&amp;$D$2&amp;"'"&amp;"!x"&amp;Z59)))</f>
        <v>0</v>
      </c>
      <c r="U59" s="113" cm="1">
        <f t="array" aca="1" ref="U59" ca="1">IFERROR(IF($C59="","",INDIRECT($D$2&amp;"!z"&amp;Z59)),IF($C59="","",INDIRECT("'"&amp;$D$2&amp;"'"&amp;"!z"&amp;Z59)))</f>
        <v>0</v>
      </c>
      <c r="V59" s="113">
        <f t="shared" ca="1" si="10"/>
        <v>0</v>
      </c>
      <c r="W59" s="113" cm="1">
        <f t="array" aca="1" ref="W59" ca="1">IFERROR(IF($C59="","",INDIRECT($D$2&amp;"!ab"&amp;Z59)),IF($C59="","",INDIRECT("'"&amp;$D$2&amp;"'"&amp;"!ab"&amp;Z59)))</f>
        <v>0</v>
      </c>
      <c r="X59" s="113"/>
      <c r="Y59" s="113">
        <f t="shared" ca="1" si="11"/>
        <v>0</v>
      </c>
      <c r="Z59" s="35">
        <v>48</v>
      </c>
      <c r="AA59" s="113"/>
      <c r="AB59" s="35">
        <v>48</v>
      </c>
    </row>
    <row r="60" spans="3:28" x14ac:dyDescent="0.25">
      <c r="C60" t="str" cm="1">
        <f t="array" aca="1" ref="C60" ca="1">IFERROR(IF(INDIRECT($D$2&amp;"!B"&amp;Z60)="","",INDIRECT("'"&amp;$D$2&amp;"'"&amp;"!B"&amp;Z60)),IF(INDIRECT("'"&amp;$D$2&amp;"'"&amp;"!B"&amp;Z60)="","",INDIRECT("'"&amp;$D$2&amp;"'"&amp;"!B"&amp;Z60)))</f>
        <v>Intuit Connectivity for Quicken Current Release</v>
      </c>
      <c r="D60" t="str" cm="1">
        <f t="array" aca="1" ref="D60" ca="1">IFERROR(_xlfn.IFS(C60="","",C60&lt;&gt;"",INDEX(SF_Output!I:I,MATCH(C60,SF_Output!M:M,0))),IFERROR(INDEX(INDIRECT($D$2&amp;"!G:G"),MATCH(C60,INDIRECT($D$2&amp;"!B:B"),0)),INDEX(INDIRECT("'"&amp;$D$2&amp;"'!G:G"),MATCH(C60,INDIRECT("'"&amp;$D$2&amp;"'!B:B"),0))))</f>
        <v>Digital</v>
      </c>
      <c r="E60" t="str" cm="1">
        <f t="array" aca="1" ref="E60" ca="1">IFERROR(IF(C60="","",INDIRECT($D$2&amp;"!F"&amp;Z60)),IF(C60="","",INDIRECT("'"&amp;$D$2&amp;"'"&amp;"!F"&amp;Z60)))</f>
        <v>Included</v>
      </c>
      <c r="F60" t="str" cm="1">
        <f t="array" aca="1" ref="F60" ca="1">IFERROR(IF(C60="","",INDIRECT($D$2&amp;"!ak"&amp;Z60)),IF(C60="","",INDIRECT("'"&amp;$D$2&amp;"'"&amp;"!ak"&amp;Z60)))</f>
        <v/>
      </c>
      <c r="G60" cm="1">
        <f t="array" aca="1" ref="G60" ca="1">IFERROR(INDIRECT($D$2&amp;"!h"&amp;Z60),INDIRECT("'"&amp;$D$2&amp;"'"&amp;"!h"&amp;Z60))</f>
        <v>1</v>
      </c>
      <c r="H60" s="125" t="str" cm="1">
        <f t="array" aca="1" ref="H60" ca="1">IFERROR(INDIRECT($D$2&amp;"!i"&amp;Z60),INDIRECT("'"&amp;$D$2&amp;"'"&amp;"!i"&amp;Z60))</f>
        <v/>
      </c>
      <c r="I60" s="113" cm="1">
        <f t="array" aca="1" ref="I60" ca="1">IFERROR(IF($C60="","",INDIRECT($D$2&amp;"!j"&amp;$Z60)+INDIRECT($D$2&amp;"!n"&amp;$Z60)),IF($C60="","",INDIRECT("'"&amp;$D$2&amp;"'"&amp;"!j"&amp;$Z60)+INDIRECT("'"&amp;$D$2&amp;"'"&amp;"!n"&amp;$Z60)))</f>
        <v>0</v>
      </c>
      <c r="J60" s="113">
        <f t="shared" ca="1" si="7"/>
        <v>0</v>
      </c>
      <c r="K60" s="113" cm="1">
        <f t="array" aca="1" ref="K60" ca="1">IFERROR(IF($C60="","",INDIRECT($D$2&amp;"!l"&amp;$Z60)+INDIRECT($D$2&amp;"!p"&amp;$Z60)),IF($C60="","",INDIRECT("'"&amp;$D$2&amp;"'"&amp;"!l"&amp;$Z60)+INDIRECT("'"&amp;$D$2&amp;"'"&amp;"!p"&amp;$Z60)))</f>
        <v>0</v>
      </c>
      <c r="M60" s="113" cm="1">
        <f t="array" aca="1" ref="M60" ca="1">IFERROR(IF($C60="","",INDIRECT($D$2&amp;"!r"&amp;Z60)),IF($C60="","",INDIRECT("'"&amp;$D$2&amp;"'"&amp;"!r"&amp;Z60)))</f>
        <v>500</v>
      </c>
      <c r="N60" s="113">
        <f t="shared" ca="1" si="8"/>
        <v>0</v>
      </c>
      <c r="O60" s="113" cm="1">
        <f t="array" aca="1" ref="O60" ca="1">IFERROR(IF($C60="","",INDIRECT($D$2&amp;"!t"&amp;Z60)),IF($C60="","",INDIRECT("'"&amp;$D$2&amp;"'"&amp;"!t"&amp;Z60)))</f>
        <v>500</v>
      </c>
      <c r="Q60" s="113" cm="1">
        <f t="array" aca="1" ref="Q60" ca="1">IFERROR(IF($C60="","",INDIRECT($D$2&amp;"!v"&amp;Z60)),IF($C60="","",INDIRECT("'"&amp;$D$2&amp;"'"&amp;"!v"&amp;Z60)))</f>
        <v>0</v>
      </c>
      <c r="R60" s="113">
        <f t="shared" ca="1" si="9"/>
        <v>0</v>
      </c>
      <c r="S60" s="113" cm="1">
        <f t="array" aca="1" ref="S60" ca="1">IFERROR(IF($C60="","",INDIRECT($D$2&amp;"!x"&amp;Z60)),IF($C60="","",INDIRECT("'"&amp;$D$2&amp;"'"&amp;"!x"&amp;Z60)))</f>
        <v>0</v>
      </c>
      <c r="U60" s="113" cm="1">
        <f t="array" aca="1" ref="U60" ca="1">IFERROR(IF($C60="","",INDIRECT($D$2&amp;"!z"&amp;Z60)),IF($C60="","",INDIRECT("'"&amp;$D$2&amp;"'"&amp;"!z"&amp;Z60)))</f>
        <v>0</v>
      </c>
      <c r="V60" s="113">
        <f t="shared" ca="1" si="10"/>
        <v>0</v>
      </c>
      <c r="W60" s="113" cm="1">
        <f t="array" aca="1" ref="W60" ca="1">IFERROR(IF($C60="","",INDIRECT($D$2&amp;"!ab"&amp;Z60)),IF($C60="","",INDIRECT("'"&amp;$D$2&amp;"'"&amp;"!ab"&amp;Z60)))</f>
        <v>0</v>
      </c>
      <c r="X60" s="113"/>
      <c r="Y60" s="113">
        <f t="shared" ca="1" si="11"/>
        <v>0</v>
      </c>
      <c r="Z60" s="35">
        <v>49</v>
      </c>
      <c r="AA60" s="113"/>
      <c r="AB60" s="35">
        <v>49</v>
      </c>
    </row>
    <row r="61" spans="3:28" x14ac:dyDescent="0.25">
      <c r="C61" t="str" cm="1">
        <f t="array" aca="1" ref="C61" ca="1">IFERROR(IF(INDIRECT($D$2&amp;"!B"&amp;Z61)="","",INDIRECT("'"&amp;$D$2&amp;"'"&amp;"!B"&amp;Z61)),IF(INDIRECT("'"&amp;$D$2&amp;"'"&amp;"!B"&amp;Z61)="","",INDIRECT("'"&amp;$D$2&amp;"'"&amp;"!B"&amp;Z61)))</f>
        <v>Intuit Connectivity for QuickBooks Previous two versions support</v>
      </c>
      <c r="D61" t="str" cm="1">
        <f t="array" aca="1" ref="D61" ca="1">IFERROR(_xlfn.IFS(C61="","",C61&lt;&gt;"",INDEX(SF_Output!I:I,MATCH(C61,SF_Output!M:M,0))),IFERROR(INDEX(INDIRECT($D$2&amp;"!G:G"),MATCH(C61,INDIRECT($D$2&amp;"!B:B"),0)),INDEX(INDIRECT("'"&amp;$D$2&amp;"'!G:G"),MATCH(C61,INDIRECT("'"&amp;$D$2&amp;"'!B:B"),0))))</f>
        <v>Digital</v>
      </c>
      <c r="E61" t="str" cm="1">
        <f t="array" aca="1" ref="E61" ca="1">IFERROR(IF(C61="","",INDIRECT($D$2&amp;"!F"&amp;Z61)),IF(C61="","",INDIRECT("'"&amp;$D$2&amp;"'"&amp;"!F"&amp;Z61)))</f>
        <v>Included</v>
      </c>
      <c r="F61" t="str" cm="1">
        <f t="array" aca="1" ref="F61" ca="1">IFERROR(IF(C61="","",INDIRECT($D$2&amp;"!ak"&amp;Z61)),IF(C61="","",INDIRECT("'"&amp;$D$2&amp;"'"&amp;"!ak"&amp;Z61)))</f>
        <v/>
      </c>
      <c r="G61" cm="1">
        <f t="array" aca="1" ref="G61" ca="1">IFERROR(INDIRECT($D$2&amp;"!h"&amp;Z61),INDIRECT("'"&amp;$D$2&amp;"'"&amp;"!h"&amp;Z61))</f>
        <v>1</v>
      </c>
      <c r="H61" s="125" t="str" cm="1">
        <f t="array" aca="1" ref="H61" ca="1">IFERROR(INDIRECT($D$2&amp;"!i"&amp;Z61),INDIRECT("'"&amp;$D$2&amp;"'"&amp;"!i"&amp;Z61))</f>
        <v/>
      </c>
      <c r="I61" s="113" cm="1">
        <f t="array" aca="1" ref="I61" ca="1">IFERROR(IF($C61="","",INDIRECT($D$2&amp;"!j"&amp;$Z61)+INDIRECT($D$2&amp;"!n"&amp;$Z61)),IF($C61="","",INDIRECT("'"&amp;$D$2&amp;"'"&amp;"!j"&amp;$Z61)+INDIRECT("'"&amp;$D$2&amp;"'"&amp;"!n"&amp;$Z61)))</f>
        <v>0</v>
      </c>
      <c r="J61" s="113">
        <f t="shared" ca="1" si="7"/>
        <v>0</v>
      </c>
      <c r="K61" s="113" cm="1">
        <f t="array" aca="1" ref="K61" ca="1">IFERROR(IF($C61="","",INDIRECT($D$2&amp;"!l"&amp;$Z61)+INDIRECT($D$2&amp;"!p"&amp;$Z61)),IF($C61="","",INDIRECT("'"&amp;$D$2&amp;"'"&amp;"!l"&amp;$Z61)+INDIRECT("'"&amp;$D$2&amp;"'"&amp;"!p"&amp;$Z61)))</f>
        <v>0</v>
      </c>
      <c r="M61" s="113" cm="1">
        <f t="array" aca="1" ref="M61" ca="1">IFERROR(IF($C61="","",INDIRECT($D$2&amp;"!r"&amp;Z61)),IF($C61="","",INDIRECT("'"&amp;$D$2&amp;"'"&amp;"!r"&amp;Z61)))</f>
        <v>0</v>
      </c>
      <c r="N61" s="113">
        <f t="shared" ca="1" si="8"/>
        <v>0</v>
      </c>
      <c r="O61" s="113" cm="1">
        <f t="array" aca="1" ref="O61" ca="1">IFERROR(IF($C61="","",INDIRECT($D$2&amp;"!t"&amp;Z61)),IF($C61="","",INDIRECT("'"&amp;$D$2&amp;"'"&amp;"!t"&amp;Z61)))</f>
        <v>0</v>
      </c>
      <c r="Q61" s="113" cm="1">
        <f t="array" aca="1" ref="Q61" ca="1">IFERROR(IF($C61="","",INDIRECT($D$2&amp;"!v"&amp;Z61)),IF($C61="","",INDIRECT("'"&amp;$D$2&amp;"'"&amp;"!v"&amp;Z61)))</f>
        <v>0</v>
      </c>
      <c r="R61" s="113">
        <f t="shared" ca="1" si="9"/>
        <v>0</v>
      </c>
      <c r="S61" s="113" cm="1">
        <f t="array" aca="1" ref="S61" ca="1">IFERROR(IF($C61="","",INDIRECT($D$2&amp;"!x"&amp;Z61)),IF($C61="","",INDIRECT("'"&amp;$D$2&amp;"'"&amp;"!x"&amp;Z61)))</f>
        <v>0</v>
      </c>
      <c r="U61" s="113" cm="1">
        <f t="array" aca="1" ref="U61" ca="1">IFERROR(IF($C61="","",INDIRECT($D$2&amp;"!z"&amp;Z61)),IF($C61="","",INDIRECT("'"&amp;$D$2&amp;"'"&amp;"!z"&amp;Z61)))</f>
        <v>0</v>
      </c>
      <c r="V61" s="113">
        <f t="shared" ca="1" si="10"/>
        <v>0</v>
      </c>
      <c r="W61" s="113" cm="1">
        <f t="array" aca="1" ref="W61" ca="1">IFERROR(IF($C61="","",INDIRECT($D$2&amp;"!ab"&amp;Z61)),IF($C61="","",INDIRECT("'"&amp;$D$2&amp;"'"&amp;"!ab"&amp;Z61)))</f>
        <v>0</v>
      </c>
      <c r="X61" s="113"/>
      <c r="Y61" s="113">
        <f t="shared" ca="1" si="11"/>
        <v>0</v>
      </c>
      <c r="Z61" s="35">
        <v>50</v>
      </c>
      <c r="AA61" s="113"/>
      <c r="AB61" s="35">
        <v>50</v>
      </c>
    </row>
    <row r="62" spans="3:28" x14ac:dyDescent="0.25">
      <c r="C62" t="str" cm="1">
        <f t="array" aca="1" ref="C62" ca="1">IFERROR(IF(INDIRECT($D$2&amp;"!B"&amp;Z62)="","",INDIRECT("'"&amp;$D$2&amp;"'"&amp;"!B"&amp;Z62)),IF(INDIRECT("'"&amp;$D$2&amp;"'"&amp;"!B"&amp;Z62)="","",INDIRECT("'"&amp;$D$2&amp;"'"&amp;"!B"&amp;Z62)))</f>
        <v>OFX Gateway CFM</v>
      </c>
      <c r="D62" t="str" cm="1">
        <f t="array" aca="1" ref="D62" ca="1">IFERROR(_xlfn.IFS(C62="","",C62&lt;&gt;"",INDEX(SF_Output!I:I,MATCH(C62,SF_Output!M:M,0))),IFERROR(INDEX(INDIRECT($D$2&amp;"!G:G"),MATCH(C62,INDIRECT($D$2&amp;"!B:B"),0)),INDEX(INDIRECT("'"&amp;$D$2&amp;"'!G:G"),MATCH(C62,INDIRECT("'"&amp;$D$2&amp;"'!B:B"),0))))</f>
        <v>Digital</v>
      </c>
      <c r="E62" t="str" cm="1">
        <f t="array" aca="1" ref="E62" ca="1">IFERROR(IF(C62="","",INDIRECT($D$2&amp;"!F"&amp;Z62)),IF(C62="","",INDIRECT("'"&amp;$D$2&amp;"'"&amp;"!F"&amp;Z62)))</f>
        <v>Optional</v>
      </c>
      <c r="F62" t="str" cm="1">
        <f t="array" aca="1" ref="F62" ca="1">IFERROR(IF(C62="","",INDIRECT($D$2&amp;"!ak"&amp;Z62)),IF(C62="","",INDIRECT("'"&amp;$D$2&amp;"'"&amp;"!ak"&amp;Z62)))</f>
        <v>PAP</v>
      </c>
      <c r="G62" cm="1">
        <f t="array" aca="1" ref="G62" ca="1">IFERROR(INDIRECT($D$2&amp;"!h"&amp;Z62),INDIRECT("'"&amp;$D$2&amp;"'"&amp;"!h"&amp;Z62))</f>
        <v>5000</v>
      </c>
      <c r="H62" s="125" cm="1">
        <f t="array" aca="1" ref="H62" ca="1">IFERROR(INDIRECT($D$2&amp;"!i"&amp;Z62),INDIRECT("'"&amp;$D$2&amp;"'"&amp;"!i"&amp;Z62))</f>
        <v>4.0500000000000001E-2</v>
      </c>
      <c r="I62" s="113" cm="1">
        <f t="array" aca="1" ref="I62" ca="1">IFERROR(IF($C62="","",INDIRECT($D$2&amp;"!j"&amp;$Z62)+INDIRECT($D$2&amp;"!n"&amp;$Z62)),IF($C62="","",INDIRECT("'"&amp;$D$2&amp;"'"&amp;"!j"&amp;$Z62)+INDIRECT("'"&amp;$D$2&amp;"'"&amp;"!n"&amp;$Z62)))</f>
        <v>2500</v>
      </c>
      <c r="J62" s="113">
        <f t="shared" ca="1" si="7"/>
        <v>-2500</v>
      </c>
      <c r="K62" s="113" cm="1">
        <f t="array" aca="1" ref="K62" ca="1">IFERROR(IF($C62="","",INDIRECT($D$2&amp;"!l"&amp;$Z62)+INDIRECT($D$2&amp;"!p"&amp;$Z62)),IF($C62="","",INDIRECT("'"&amp;$D$2&amp;"'"&amp;"!l"&amp;$Z62)+INDIRECT("'"&amp;$D$2&amp;"'"&amp;"!p"&amp;$Z62)))</f>
        <v>0</v>
      </c>
      <c r="M62" s="113" cm="1">
        <f t="array" aca="1" ref="M62" ca="1">IFERROR(IF($C62="","",INDIRECT($D$2&amp;"!r"&amp;Z62)),IF($C62="","",INDIRECT("'"&amp;$D$2&amp;"'"&amp;"!r"&amp;Z62)))</f>
        <v>0</v>
      </c>
      <c r="N62" s="113">
        <f t="shared" ca="1" si="8"/>
        <v>0</v>
      </c>
      <c r="O62" s="113" cm="1">
        <f t="array" aca="1" ref="O62" ca="1">IFERROR(IF($C62="","",INDIRECT($D$2&amp;"!t"&amp;Z62)),IF($C62="","",INDIRECT("'"&amp;$D$2&amp;"'"&amp;"!t"&amp;Z62)))</f>
        <v>0</v>
      </c>
      <c r="Q62" s="113" cm="1">
        <f t="array" aca="1" ref="Q62" ca="1">IFERROR(IF($C62="","",INDIRECT($D$2&amp;"!v"&amp;Z62)),IF($C62="","",INDIRECT("'"&amp;$D$2&amp;"'"&amp;"!v"&amp;Z62)))</f>
        <v>270</v>
      </c>
      <c r="R62" s="113">
        <f t="shared" ca="1" si="9"/>
        <v>-67.5</v>
      </c>
      <c r="S62" s="113" cm="1">
        <f t="array" aca="1" ref="S62" ca="1">IFERROR(IF($C62="","",INDIRECT($D$2&amp;"!x"&amp;Z62)),IF($C62="","",INDIRECT("'"&amp;$D$2&amp;"'"&amp;"!x"&amp;Z62)))</f>
        <v>202.5</v>
      </c>
      <c r="U62" s="113" cm="1">
        <f t="array" aca="1" ref="U62" ca="1">IFERROR(IF($C62="","",INDIRECT($D$2&amp;"!z"&amp;Z62)),IF($C62="","",INDIRECT("'"&amp;$D$2&amp;"'"&amp;"!z"&amp;Z62)))</f>
        <v>0</v>
      </c>
      <c r="V62" s="113">
        <f t="shared" ca="1" si="10"/>
        <v>0</v>
      </c>
      <c r="W62" s="113" cm="1">
        <f t="array" aca="1" ref="W62" ca="1">IFERROR(IF($C62="","",INDIRECT($D$2&amp;"!ab"&amp;Z62)),IF($C62="","",INDIRECT("'"&amp;$D$2&amp;"'"&amp;"!ab"&amp;Z62)))</f>
        <v>0</v>
      </c>
      <c r="X62" s="113"/>
      <c r="Y62" s="113">
        <f t="shared" ca="1" si="11"/>
        <v>202.5</v>
      </c>
      <c r="Z62" s="35">
        <v>51</v>
      </c>
      <c r="AA62" s="113"/>
      <c r="AB62" s="35">
        <v>51</v>
      </c>
    </row>
    <row r="63" spans="3:28" x14ac:dyDescent="0.25">
      <c r="C63" t="str" cm="1">
        <f t="array" aca="1" ref="C63" ca="1">IFERROR(IF(INDIRECT($D$2&amp;"!B"&amp;Z63)="","",INDIRECT("'"&amp;$D$2&amp;"'"&amp;"!B"&amp;Z63)),IF(INDIRECT("'"&amp;$D$2&amp;"'"&amp;"!B"&amp;Z63)="","",INDIRECT("'"&amp;$D$2&amp;"'"&amp;"!B"&amp;Z63)))</f>
        <v>OFX Gateway PFM</v>
      </c>
      <c r="D63" t="str" cm="1">
        <f t="array" aca="1" ref="D63" ca="1">IFERROR(_xlfn.IFS(C63="","",C63&lt;&gt;"",INDEX(SF_Output!I:I,MATCH(C63,SF_Output!M:M,0))),IFERROR(INDEX(INDIRECT($D$2&amp;"!G:G"),MATCH(C63,INDIRECT($D$2&amp;"!B:B"),0)),INDEX(INDIRECT("'"&amp;$D$2&amp;"'!G:G"),MATCH(C63,INDIRECT("'"&amp;$D$2&amp;"'!B:B"),0))))</f>
        <v>Digital</v>
      </c>
      <c r="E63" t="str" cm="1">
        <f t="array" aca="1" ref="E63" ca="1">IFERROR(IF(C63="","",INDIRECT($D$2&amp;"!F"&amp;Z63)),IF(C63="","",INDIRECT("'"&amp;$D$2&amp;"'"&amp;"!F"&amp;Z63)))</f>
        <v>Optional</v>
      </c>
      <c r="F63" t="str" cm="1">
        <f t="array" aca="1" ref="F63" ca="1">IFERROR(IF(C63="","",INDIRECT($D$2&amp;"!ak"&amp;Z63)),IF(C63="","",INDIRECT("'"&amp;$D$2&amp;"'"&amp;"!ak"&amp;Z63)))</f>
        <v>PAP</v>
      </c>
      <c r="G63" cm="1">
        <f t="array" aca="1" ref="G63" ca="1">IFERROR(INDIRECT($D$2&amp;"!h"&amp;Z63),INDIRECT("'"&amp;$D$2&amp;"'"&amp;"!h"&amp;Z63))</f>
        <v>5000</v>
      </c>
      <c r="H63" s="125" cm="1">
        <f t="array" aca="1" ref="H63" ca="1">IFERROR(INDIRECT($D$2&amp;"!i"&amp;Z63),INDIRECT("'"&amp;$D$2&amp;"'"&amp;"!i"&amp;Z63))</f>
        <v>3.0800000000000001E-2</v>
      </c>
      <c r="I63" s="113" cm="1">
        <f t="array" aca="1" ref="I63" ca="1">IFERROR(IF($C63="","",INDIRECT($D$2&amp;"!j"&amp;$Z63)+INDIRECT($D$2&amp;"!n"&amp;$Z63)),IF($C63="","",INDIRECT("'"&amp;$D$2&amp;"'"&amp;"!j"&amp;$Z63)+INDIRECT("'"&amp;$D$2&amp;"'"&amp;"!n"&amp;$Z63)))</f>
        <v>2500</v>
      </c>
      <c r="J63" s="113">
        <f t="shared" ca="1" si="7"/>
        <v>-2500</v>
      </c>
      <c r="K63" s="113" cm="1">
        <f t="array" aca="1" ref="K63" ca="1">IFERROR(IF($C63="","",INDIRECT($D$2&amp;"!l"&amp;$Z63)+INDIRECT($D$2&amp;"!p"&amp;$Z63)),IF($C63="","",INDIRECT("'"&amp;$D$2&amp;"'"&amp;"!l"&amp;$Z63)+INDIRECT("'"&amp;$D$2&amp;"'"&amp;"!p"&amp;$Z63)))</f>
        <v>0</v>
      </c>
      <c r="M63" s="113" cm="1">
        <f t="array" aca="1" ref="M63" ca="1">IFERROR(IF($C63="","",INDIRECT($D$2&amp;"!r"&amp;Z63)),IF($C63="","",INDIRECT("'"&amp;$D$2&amp;"'"&amp;"!r"&amp;Z63)))</f>
        <v>0</v>
      </c>
      <c r="N63" s="113">
        <f t="shared" ca="1" si="8"/>
        <v>0</v>
      </c>
      <c r="O63" s="113" cm="1">
        <f t="array" aca="1" ref="O63" ca="1">IFERROR(IF($C63="","",INDIRECT($D$2&amp;"!t"&amp;Z63)),IF($C63="","",INDIRECT("'"&amp;$D$2&amp;"'"&amp;"!t"&amp;Z63)))</f>
        <v>0</v>
      </c>
      <c r="Q63" s="113" cm="1">
        <f t="array" aca="1" ref="Q63" ca="1">IFERROR(IF($C63="","",INDIRECT($D$2&amp;"!v"&amp;Z63)),IF($C63="","",INDIRECT("'"&amp;$D$2&amp;"'"&amp;"!v"&amp;Z63)))</f>
        <v>205</v>
      </c>
      <c r="R63" s="113">
        <f t="shared" ca="1" si="9"/>
        <v>-51</v>
      </c>
      <c r="S63" s="113" cm="1">
        <f t="array" aca="1" ref="S63" ca="1">IFERROR(IF($C63="","",INDIRECT($D$2&amp;"!x"&amp;Z63)),IF($C63="","",INDIRECT("'"&amp;$D$2&amp;"'"&amp;"!x"&amp;Z63)))</f>
        <v>154</v>
      </c>
      <c r="U63" s="113" cm="1">
        <f t="array" aca="1" ref="U63" ca="1">IFERROR(IF($C63="","",INDIRECT($D$2&amp;"!z"&amp;Z63)),IF($C63="","",INDIRECT("'"&amp;$D$2&amp;"'"&amp;"!z"&amp;Z63)))</f>
        <v>0</v>
      </c>
      <c r="V63" s="113">
        <f t="shared" ca="1" si="10"/>
        <v>0</v>
      </c>
      <c r="W63" s="113" cm="1">
        <f t="array" aca="1" ref="W63" ca="1">IFERROR(IF($C63="","",INDIRECT($D$2&amp;"!ab"&amp;Z63)),IF($C63="","",INDIRECT("'"&amp;$D$2&amp;"'"&amp;"!ab"&amp;Z63)))</f>
        <v>0</v>
      </c>
      <c r="X63" s="113"/>
      <c r="Y63" s="113">
        <f t="shared" ca="1" si="11"/>
        <v>154</v>
      </c>
      <c r="Z63" s="35">
        <v>52</v>
      </c>
      <c r="AA63" s="113"/>
      <c r="AB63" s="35">
        <v>52</v>
      </c>
    </row>
    <row r="64" spans="3:28" x14ac:dyDescent="0.25">
      <c r="C64" t="str" cm="1">
        <f t="array" aca="1" ref="C64" ca="1">IFERROR(IF(INDIRECT($D$2&amp;"!B"&amp;Z64)="","",INDIRECT("'"&amp;$D$2&amp;"'"&amp;"!B"&amp;Z64)),IF(INDIRECT("'"&amp;$D$2&amp;"'"&amp;"!B"&amp;Z64)="","",INDIRECT("'"&amp;$D$2&amp;"'"&amp;"!B"&amp;Z64)))</f>
        <v>4|sight OrboAnywhere Fraud</v>
      </c>
      <c r="D64" t="str" cm="1">
        <f t="array" aca="1" ref="D64" ca="1">IFERROR(_xlfn.IFS(C64="","",C64&lt;&gt;"",INDEX(SF_Output!I:I,MATCH(C64,SF_Output!M:M,0))),IFERROR(INDEX(INDIRECT($D$2&amp;"!G:G"),MATCH(C64,INDIRECT($D$2&amp;"!B:B"),0)),INDEX(INDIRECT("'"&amp;$D$2&amp;"'!G:G"),MATCH(C64,INDIRECT("'"&amp;$D$2&amp;"'!B:B"),0))))</f>
        <v>Imaging</v>
      </c>
      <c r="E64" t="str" cm="1">
        <f t="array" aca="1" ref="E64" ca="1">IFERROR(IF(C64="","",INDIRECT($D$2&amp;"!F"&amp;Z64)),IF(C64="","",INDIRECT("'"&amp;$D$2&amp;"'"&amp;"!F"&amp;Z64)))</f>
        <v>Optional</v>
      </c>
      <c r="F64" t="str" cm="1">
        <f t="array" aca="1" ref="F64" ca="1">IFERROR(IF(C64="","",INDIRECT($D$2&amp;"!ak"&amp;Z64)),IF(C64="","",INDIRECT("'"&amp;$D$2&amp;"'"&amp;"!ak"&amp;Z64)))</f>
        <v/>
      </c>
      <c r="G64" cm="1">
        <f t="array" aca="1" ref="G64" ca="1">IFERROR(INDIRECT($D$2&amp;"!h"&amp;Z64),INDIRECT("'"&amp;$D$2&amp;"'"&amp;"!h"&amp;Z64))</f>
        <v>1</v>
      </c>
      <c r="H64" s="125" t="str" cm="1">
        <f t="array" aca="1" ref="H64" ca="1">IFERROR(INDIRECT($D$2&amp;"!i"&amp;Z64),INDIRECT("'"&amp;$D$2&amp;"'"&amp;"!i"&amp;Z64))</f>
        <v/>
      </c>
      <c r="I64" s="113" cm="1">
        <f t="array" aca="1" ref="I64" ca="1">IFERROR(IF($C64="","",INDIRECT($D$2&amp;"!j"&amp;$Z64)+INDIRECT($D$2&amp;"!n"&amp;$Z64)),IF($C64="","",INDIRECT("'"&amp;$D$2&amp;"'"&amp;"!j"&amp;$Z64)+INDIRECT("'"&amp;$D$2&amp;"'"&amp;"!n"&amp;$Z64)))</f>
        <v>7425</v>
      </c>
      <c r="J64" s="113">
        <f t="shared" ca="1" si="7"/>
        <v>0</v>
      </c>
      <c r="K64" s="113" cm="1">
        <f t="array" aca="1" ref="K64" ca="1">IFERROR(IF($C64="","",INDIRECT($D$2&amp;"!l"&amp;$Z64)+INDIRECT($D$2&amp;"!p"&amp;$Z64)),IF($C64="","",INDIRECT("'"&amp;$D$2&amp;"'"&amp;"!l"&amp;$Z64)+INDIRECT("'"&amp;$D$2&amp;"'"&amp;"!p"&amp;$Z64)))</f>
        <v>7425</v>
      </c>
      <c r="M64" s="113" cm="1">
        <f t="array" aca="1" ref="M64" ca="1">IFERROR(IF($C64="","",INDIRECT($D$2&amp;"!r"&amp;Z64)),IF($C64="","",INDIRECT("'"&amp;$D$2&amp;"'"&amp;"!r"&amp;Z64)))</f>
        <v>0</v>
      </c>
      <c r="N64" s="113">
        <f t="shared" ca="1" si="8"/>
        <v>0</v>
      </c>
      <c r="O64" s="113" cm="1">
        <f t="array" aca="1" ref="O64" ca="1">IFERROR(IF($C64="","",INDIRECT($D$2&amp;"!t"&amp;Z64)),IF($C64="","",INDIRECT("'"&amp;$D$2&amp;"'"&amp;"!t"&amp;Z64)))</f>
        <v>0</v>
      </c>
      <c r="Q64" s="113" cm="1">
        <f t="array" aca="1" ref="Q64" ca="1">IFERROR(IF($C64="","",INDIRECT($D$2&amp;"!v"&amp;Z64)),IF($C64="","",INDIRECT("'"&amp;$D$2&amp;"'"&amp;"!v"&amp;Z64)))</f>
        <v>760</v>
      </c>
      <c r="R64" s="113">
        <f t="shared" ca="1" si="9"/>
        <v>0</v>
      </c>
      <c r="S64" s="113" cm="1">
        <f t="array" aca="1" ref="S64" ca="1">IFERROR(IF($C64="","",INDIRECT($D$2&amp;"!x"&amp;Z64)),IF($C64="","",INDIRECT("'"&amp;$D$2&amp;"'"&amp;"!x"&amp;Z64)))</f>
        <v>760</v>
      </c>
      <c r="U64" s="113" cm="1">
        <f t="array" aca="1" ref="U64" ca="1">IFERROR(IF($C64="","",INDIRECT($D$2&amp;"!z"&amp;Z64)),IF($C64="","",INDIRECT("'"&amp;$D$2&amp;"'"&amp;"!z"&amp;Z64)))</f>
        <v>0</v>
      </c>
      <c r="V64" s="113">
        <f t="shared" ca="1" si="10"/>
        <v>0</v>
      </c>
      <c r="W64" s="113" cm="1">
        <f t="array" aca="1" ref="W64" ca="1">IFERROR(IF($C64="","",INDIRECT($D$2&amp;"!ab"&amp;Z64)),IF($C64="","",INDIRECT("'"&amp;$D$2&amp;"'"&amp;"!ab"&amp;Z64)))</f>
        <v>0</v>
      </c>
      <c r="X64" s="113"/>
      <c r="Y64" s="113">
        <f t="shared" ca="1" si="11"/>
        <v>760</v>
      </c>
      <c r="Z64" s="35">
        <v>53</v>
      </c>
      <c r="AA64" s="113"/>
      <c r="AB64" s="35">
        <v>53</v>
      </c>
    </row>
    <row r="65" spans="3:28" x14ac:dyDescent="0.25">
      <c r="C65" t="str" cm="1">
        <f t="array" aca="1" ref="C65" ca="1">IFERROR(IF(INDIRECT($D$2&amp;"!B"&amp;Z65)="","",INDIRECT("'"&amp;$D$2&amp;"'"&amp;"!B"&amp;Z65)),IF(INDIRECT("'"&amp;$D$2&amp;"'"&amp;"!B"&amp;Z65)="","",INDIRECT("'"&amp;$D$2&amp;"'"&amp;"!B"&amp;Z65)))</f>
        <v>OutLink Item Imaging</v>
      </c>
      <c r="D65" t="str" cm="1">
        <f t="array" aca="1" ref="D65" ca="1">IFERROR(_xlfn.IFS(C65="","",C65&lt;&gt;"",INDEX(SF_Output!I:I,MATCH(C65,SF_Output!M:M,0))),IFERROR(INDEX(INDIRECT($D$2&amp;"!G:G"),MATCH(C65,INDIRECT($D$2&amp;"!B:B"),0)),INDEX(INDIRECT("'"&amp;$D$2&amp;"'!G:G"),MATCH(C65,INDIRECT("'"&amp;$D$2&amp;"'!B:B"),0))))</f>
        <v>Imaging</v>
      </c>
      <c r="E65" t="str" cm="1">
        <f t="array" aca="1" ref="E65" ca="1">IFERROR(IF(C65="","",INDIRECT($D$2&amp;"!F"&amp;Z65)),IF(C65="","",INDIRECT("'"&amp;$D$2&amp;"'"&amp;"!F"&amp;Z65)))</f>
        <v>Included</v>
      </c>
      <c r="F65" t="str" cm="1">
        <f t="array" aca="1" ref="F65" ca="1">IFERROR(IF(C65="","",INDIRECT($D$2&amp;"!ak"&amp;Z65)),IF(C65="","",INDIRECT("'"&amp;$D$2&amp;"'"&amp;"!ak"&amp;Z65)))</f>
        <v>PAP</v>
      </c>
      <c r="G65" cm="1">
        <f t="array" aca="1" ref="G65" ca="1">IFERROR(INDIRECT($D$2&amp;"!h"&amp;Z65),INDIRECT("'"&amp;$D$2&amp;"'"&amp;"!h"&amp;Z65))</f>
        <v>5000</v>
      </c>
      <c r="H65" s="125" cm="1">
        <f t="array" aca="1" ref="H65" ca="1">IFERROR(INDIRECT($D$2&amp;"!i"&amp;Z65),INDIRECT("'"&amp;$D$2&amp;"'"&amp;"!i"&amp;Z65))</f>
        <v>0.33379999999999999</v>
      </c>
      <c r="I65" s="113" cm="1">
        <f t="array" aca="1" ref="I65" ca="1">IFERROR(IF($C65="","",INDIRECT($D$2&amp;"!j"&amp;$Z65)+INDIRECT($D$2&amp;"!n"&amp;$Z65)),IF($C65="","",INDIRECT("'"&amp;$D$2&amp;"'"&amp;"!j"&amp;$Z65)+INDIRECT("'"&amp;$D$2&amp;"'"&amp;"!n"&amp;$Z65)))</f>
        <v>33900</v>
      </c>
      <c r="J65" s="113">
        <f t="shared" ca="1" si="7"/>
        <v>-33900</v>
      </c>
      <c r="K65" s="113" cm="1">
        <f t="array" aca="1" ref="K65" ca="1">IFERROR(IF($C65="","",INDIRECT($D$2&amp;"!l"&amp;$Z65)+INDIRECT($D$2&amp;"!p"&amp;$Z65)),IF($C65="","",INDIRECT("'"&amp;$D$2&amp;"'"&amp;"!l"&amp;$Z65)+INDIRECT("'"&amp;$D$2&amp;"'"&amp;"!p"&amp;$Z65)))</f>
        <v>0</v>
      </c>
      <c r="M65" s="113" cm="1">
        <f t="array" aca="1" ref="M65" ca="1">IFERROR(IF($C65="","",INDIRECT($D$2&amp;"!r"&amp;Z65)),IF($C65="","",INDIRECT("'"&amp;$D$2&amp;"'"&amp;"!r"&amp;Z65)))</f>
        <v>0</v>
      </c>
      <c r="N65" s="113">
        <f t="shared" ca="1" si="8"/>
        <v>0</v>
      </c>
      <c r="O65" s="113" cm="1">
        <f t="array" aca="1" ref="O65" ca="1">IFERROR(IF($C65="","",INDIRECT($D$2&amp;"!t"&amp;Z65)),IF($C65="","",INDIRECT("'"&amp;$D$2&amp;"'"&amp;"!t"&amp;Z65)))</f>
        <v>0</v>
      </c>
      <c r="Q65" s="113" cm="1">
        <f t="array" aca="1" ref="Q65" ca="1">IFERROR(IF($C65="","",INDIRECT($D$2&amp;"!v"&amp;Z65)),IF($C65="","",INDIRECT("'"&amp;$D$2&amp;"'"&amp;"!v"&amp;Z65)))</f>
        <v>2225</v>
      </c>
      <c r="R65" s="113">
        <f t="shared" ca="1" si="9"/>
        <v>-556</v>
      </c>
      <c r="S65" s="113" cm="1">
        <f t="array" aca="1" ref="S65" ca="1">IFERROR(IF($C65="","",INDIRECT($D$2&amp;"!x"&amp;Z65)),IF($C65="","",INDIRECT("'"&amp;$D$2&amp;"'"&amp;"!x"&amp;Z65)))</f>
        <v>1669</v>
      </c>
      <c r="U65" s="113" cm="1">
        <f t="array" aca="1" ref="U65" ca="1">IFERROR(IF($C65="","",INDIRECT($D$2&amp;"!z"&amp;Z65)),IF($C65="","",INDIRECT("'"&amp;$D$2&amp;"'"&amp;"!z"&amp;Z65)))</f>
        <v>0</v>
      </c>
      <c r="V65" s="113">
        <f t="shared" ca="1" si="10"/>
        <v>0</v>
      </c>
      <c r="W65" s="113" cm="1">
        <f t="array" aca="1" ref="W65" ca="1">IFERROR(IF($C65="","",INDIRECT($D$2&amp;"!ab"&amp;Z65)),IF($C65="","",INDIRECT("'"&amp;$D$2&amp;"'"&amp;"!ab"&amp;Z65)))</f>
        <v>0</v>
      </c>
      <c r="X65" s="113"/>
      <c r="Y65" s="113">
        <f t="shared" ca="1" si="11"/>
        <v>1669</v>
      </c>
      <c r="Z65" s="35">
        <v>54</v>
      </c>
      <c r="AA65" s="113"/>
      <c r="AB65" s="35">
        <v>54</v>
      </c>
    </row>
    <row r="66" spans="3:28" x14ac:dyDescent="0.25">
      <c r="C66" t="str" cm="1">
        <f t="array" aca="1" ref="C66" ca="1">IFERROR(IF(INDIRECT($D$2&amp;"!B"&amp;Z66)="","",INDIRECT("'"&amp;$D$2&amp;"'"&amp;"!B"&amp;Z66)),IF(INDIRECT("'"&amp;$D$2&amp;"'"&amp;"!B"&amp;Z66)="","",INDIRECT("'"&amp;$D$2&amp;"'"&amp;"!B"&amp;Z66)))</f>
        <v>OutLink Item Processing Customer Training</v>
      </c>
      <c r="D66" t="str" cm="1">
        <f t="array" aca="1" ref="D66" ca="1">IFERROR(_xlfn.IFS(C66="","",C66&lt;&gt;"",INDEX(SF_Output!I:I,MATCH(C66,SF_Output!M:M,0))),IFERROR(INDEX(INDIRECT($D$2&amp;"!G:G"),MATCH(C66,INDIRECT($D$2&amp;"!B:B"),0)),INDEX(INDIRECT("'"&amp;$D$2&amp;"'!G:G"),MATCH(C66,INDIRECT("'"&amp;$D$2&amp;"'!B:B"),0))))</f>
        <v>Imaging</v>
      </c>
      <c r="E66" t="str" cm="1">
        <f t="array" aca="1" ref="E66" ca="1">IFERROR(IF(C66="","",INDIRECT($D$2&amp;"!F"&amp;Z66)),IF(C66="","",INDIRECT("'"&amp;$D$2&amp;"'"&amp;"!F"&amp;Z66)))</f>
        <v>Included</v>
      </c>
      <c r="F66" t="str" cm="1">
        <f t="array" aca="1" ref="F66" ca="1">IFERROR(IF(C66="","",INDIRECT($D$2&amp;"!ak"&amp;Z66)),IF(C66="","",INDIRECT("'"&amp;$D$2&amp;"'"&amp;"!ak"&amp;Z66)))</f>
        <v/>
      </c>
      <c r="G66" cm="1">
        <f t="array" aca="1" ref="G66" ca="1">IFERROR(INDIRECT($D$2&amp;"!h"&amp;Z66),INDIRECT("'"&amp;$D$2&amp;"'"&amp;"!h"&amp;Z66))</f>
        <v>1</v>
      </c>
      <c r="H66" s="125" t="str" cm="1">
        <f t="array" aca="1" ref="H66" ca="1">IFERROR(INDIRECT($D$2&amp;"!i"&amp;Z66),INDIRECT("'"&amp;$D$2&amp;"'"&amp;"!i"&amp;Z66))</f>
        <v/>
      </c>
      <c r="I66" s="113" cm="1">
        <f t="array" aca="1" ref="I66" ca="1">IFERROR(IF($C66="","",INDIRECT($D$2&amp;"!j"&amp;$Z66)+INDIRECT($D$2&amp;"!n"&amp;$Z66)),IF($C66="","",INDIRECT("'"&amp;$D$2&amp;"'"&amp;"!j"&amp;$Z66)+INDIRECT("'"&amp;$D$2&amp;"'"&amp;"!n"&amp;$Z66)))</f>
        <v>1125</v>
      </c>
      <c r="J66" s="113">
        <f t="shared" ca="1" si="7"/>
        <v>0</v>
      </c>
      <c r="K66" s="113" cm="1">
        <f t="array" aca="1" ref="K66" ca="1">IFERROR(IF($C66="","",INDIRECT($D$2&amp;"!l"&amp;$Z66)+INDIRECT($D$2&amp;"!p"&amp;$Z66)),IF($C66="","",INDIRECT("'"&amp;$D$2&amp;"'"&amp;"!l"&amp;$Z66)+INDIRECT("'"&amp;$D$2&amp;"'"&amp;"!p"&amp;$Z66)))</f>
        <v>1125</v>
      </c>
      <c r="M66" s="113" cm="1">
        <f t="array" aca="1" ref="M66" ca="1">IFERROR(IF($C66="","",INDIRECT($D$2&amp;"!r"&amp;Z66)),IF($C66="","",INDIRECT("'"&amp;$D$2&amp;"'"&amp;"!r"&amp;Z66)))</f>
        <v>0</v>
      </c>
      <c r="N66" s="113">
        <f t="shared" ca="1" si="8"/>
        <v>0</v>
      </c>
      <c r="O66" s="113" cm="1">
        <f t="array" aca="1" ref="O66" ca="1">IFERROR(IF($C66="","",INDIRECT($D$2&amp;"!t"&amp;Z66)),IF($C66="","",INDIRECT("'"&amp;$D$2&amp;"'"&amp;"!t"&amp;Z66)))</f>
        <v>0</v>
      </c>
      <c r="Q66" s="113" cm="1">
        <f t="array" aca="1" ref="Q66" ca="1">IFERROR(IF($C66="","",INDIRECT($D$2&amp;"!v"&amp;Z66)),IF($C66="","",INDIRECT("'"&amp;$D$2&amp;"'"&amp;"!v"&amp;Z66)))</f>
        <v>0</v>
      </c>
      <c r="R66" s="113">
        <f t="shared" ca="1" si="9"/>
        <v>0</v>
      </c>
      <c r="S66" s="113" cm="1">
        <f t="array" aca="1" ref="S66" ca="1">IFERROR(IF($C66="","",INDIRECT($D$2&amp;"!x"&amp;Z66)),IF($C66="","",INDIRECT("'"&amp;$D$2&amp;"'"&amp;"!x"&amp;Z66)))</f>
        <v>0</v>
      </c>
      <c r="U66" s="113" cm="1">
        <f t="array" aca="1" ref="U66" ca="1">IFERROR(IF($C66="","",INDIRECT($D$2&amp;"!z"&amp;Z66)),IF($C66="","",INDIRECT("'"&amp;$D$2&amp;"'"&amp;"!z"&amp;Z66)))</f>
        <v>0</v>
      </c>
      <c r="V66" s="113">
        <f t="shared" ca="1" si="10"/>
        <v>0</v>
      </c>
      <c r="W66" s="113" cm="1">
        <f t="array" aca="1" ref="W66" ca="1">IFERROR(IF($C66="","",INDIRECT($D$2&amp;"!ab"&amp;Z66)),IF($C66="","",INDIRECT("'"&amp;$D$2&amp;"'"&amp;"!ab"&amp;Z66)))</f>
        <v>0</v>
      </c>
      <c r="X66" s="113"/>
      <c r="Y66" s="113">
        <f t="shared" ca="1" si="11"/>
        <v>0</v>
      </c>
      <c r="Z66" s="35">
        <v>55</v>
      </c>
      <c r="AA66" s="113"/>
      <c r="AB66" s="35">
        <v>55</v>
      </c>
    </row>
    <row r="67" spans="3:28" x14ac:dyDescent="0.25">
      <c r="C67" t="str" cm="1">
        <f t="array" aca="1" ref="C67" ca="1">IFERROR(IF(INDIRECT($D$2&amp;"!B"&amp;Z67)="","",INDIRECT("'"&amp;$D$2&amp;"'"&amp;"!B"&amp;Z67)),IF(INDIRECT("'"&amp;$D$2&amp;"'"&amp;"!B"&amp;Z67)="","",INDIRECT("'"&amp;$D$2&amp;"'"&amp;"!B"&amp;Z67)))</f>
        <v>Outlink Statement Printing</v>
      </c>
      <c r="D67" t="str" cm="1">
        <f t="array" aca="1" ref="D67" ca="1">IFERROR(_xlfn.IFS(C67="","",C67&lt;&gt;"",INDEX(SF_Output!I:I,MATCH(C67,SF_Output!M:M,0))),IFERROR(INDEX(INDIRECT($D$2&amp;"!G:G"),MATCH(C67,INDIRECT($D$2&amp;"!B:B"),0)),INDEX(INDIRECT("'"&amp;$D$2&amp;"'!G:G"),MATCH(C67,INDIRECT("'"&amp;$D$2&amp;"'!B:B"),0))))</f>
        <v>Imaging</v>
      </c>
      <c r="E67" t="str" cm="1">
        <f t="array" aca="1" ref="E67" ca="1">IFERROR(IF(C67="","",INDIRECT($D$2&amp;"!F"&amp;Z67)),IF(C67="","",INDIRECT("'"&amp;$D$2&amp;"'"&amp;"!F"&amp;Z67)))</f>
        <v>Included</v>
      </c>
      <c r="F67" t="str" cm="1">
        <f t="array" aca="1" ref="F67" ca="1">IFERROR(IF(C67="","",INDIRECT($D$2&amp;"!ak"&amp;Z67)),IF(C67="","",INDIRECT("'"&amp;$D$2&amp;"'"&amp;"!ak"&amp;Z67)))</f>
        <v/>
      </c>
      <c r="G67" cm="1">
        <f t="array" aca="1" ref="G67" ca="1">IFERROR(INDIRECT($D$2&amp;"!h"&amp;Z67),INDIRECT("'"&amp;$D$2&amp;"'"&amp;"!h"&amp;Z67))</f>
        <v>1</v>
      </c>
      <c r="H67" s="125" t="str" cm="1">
        <f t="array" aca="1" ref="H67" ca="1">IFERROR(INDIRECT($D$2&amp;"!i"&amp;Z67),INDIRECT("'"&amp;$D$2&amp;"'"&amp;"!i"&amp;Z67))</f>
        <v/>
      </c>
      <c r="I67" s="113" cm="1">
        <f t="array" aca="1" ref="I67" ca="1">IFERROR(IF($C67="","",INDIRECT($D$2&amp;"!j"&amp;$Z67)+INDIRECT($D$2&amp;"!n"&amp;$Z67)),IF($C67="","",INDIRECT("'"&amp;$D$2&amp;"'"&amp;"!j"&amp;$Z67)+INDIRECT("'"&amp;$D$2&amp;"'"&amp;"!n"&amp;$Z67)))</f>
        <v>0</v>
      </c>
      <c r="J67" s="113">
        <f t="shared" ca="1" si="7"/>
        <v>0</v>
      </c>
      <c r="K67" s="113" cm="1">
        <f t="array" aca="1" ref="K67" ca="1">IFERROR(IF($C67="","",INDIRECT($D$2&amp;"!l"&amp;$Z67)+INDIRECT($D$2&amp;"!p"&amp;$Z67)),IF($C67="","",INDIRECT("'"&amp;$D$2&amp;"'"&amp;"!l"&amp;$Z67)+INDIRECT("'"&amp;$D$2&amp;"'"&amp;"!p"&amp;$Z67)))</f>
        <v>0</v>
      </c>
      <c r="M67" s="113" cm="1">
        <f t="array" aca="1" ref="M67" ca="1">IFERROR(IF($C67="","",INDIRECT($D$2&amp;"!r"&amp;Z67)),IF($C67="","",INDIRECT("'"&amp;$D$2&amp;"'"&amp;"!r"&amp;Z67)))</f>
        <v>0</v>
      </c>
      <c r="N67" s="113">
        <f t="shared" ca="1" si="8"/>
        <v>0</v>
      </c>
      <c r="O67" s="113" cm="1">
        <f t="array" aca="1" ref="O67" ca="1">IFERROR(IF($C67="","",INDIRECT($D$2&amp;"!t"&amp;Z67)),IF($C67="","",INDIRECT("'"&amp;$D$2&amp;"'"&amp;"!t"&amp;Z67)))</f>
        <v>0</v>
      </c>
      <c r="Q67" s="113" cm="1">
        <f t="array" aca="1" ref="Q67" ca="1">IFERROR(IF($C67="","",INDIRECT($D$2&amp;"!v"&amp;Z67)),IF($C67="","",INDIRECT("'"&amp;$D$2&amp;"'"&amp;"!v"&amp;Z67)))</f>
        <v>900</v>
      </c>
      <c r="R67" s="113">
        <f t="shared" ca="1" si="9"/>
        <v>0</v>
      </c>
      <c r="S67" s="113" cm="1">
        <f t="array" aca="1" ref="S67" ca="1">IFERROR(IF($C67="","",INDIRECT($D$2&amp;"!x"&amp;Z67)),IF($C67="","",INDIRECT("'"&amp;$D$2&amp;"'"&amp;"!x"&amp;Z67)))</f>
        <v>900</v>
      </c>
      <c r="U67" s="113" cm="1">
        <f t="array" aca="1" ref="U67" ca="1">IFERROR(IF($C67="","",INDIRECT($D$2&amp;"!z"&amp;Z67)),IF($C67="","",INDIRECT("'"&amp;$D$2&amp;"'"&amp;"!z"&amp;Z67)))</f>
        <v>0</v>
      </c>
      <c r="V67" s="113">
        <f t="shared" ca="1" si="10"/>
        <v>0</v>
      </c>
      <c r="W67" s="113" cm="1">
        <f t="array" aca="1" ref="W67" ca="1">IFERROR(IF($C67="","",INDIRECT($D$2&amp;"!ab"&amp;Z67)),IF($C67="","",INDIRECT("'"&amp;$D$2&amp;"'"&amp;"!ab"&amp;Z67)))</f>
        <v>0</v>
      </c>
      <c r="X67" s="113"/>
      <c r="Y67" s="113">
        <f t="shared" ca="1" si="11"/>
        <v>900</v>
      </c>
      <c r="Z67" s="35">
        <v>56</v>
      </c>
      <c r="AA67" s="113"/>
      <c r="AB67" s="35">
        <v>56</v>
      </c>
    </row>
    <row r="68" spans="3:28" x14ac:dyDescent="0.25">
      <c r="C68" t="str" cm="1">
        <f t="array" aca="1" ref="C68" ca="1">IFERROR(IF(INDIRECT($D$2&amp;"!B"&amp;Z68)="","",INDIRECT("'"&amp;$D$2&amp;"'"&amp;"!B"&amp;Z68)),IF(INDIRECT("'"&amp;$D$2&amp;"'"&amp;"!B"&amp;Z68)="","",INDIRECT("'"&amp;$D$2&amp;"'"&amp;"!B"&amp;Z68)))</f>
        <v>Premium Notice Printing</v>
      </c>
      <c r="D68" t="str" cm="1">
        <f t="array" aca="1" ref="D68" ca="1">IFERROR(_xlfn.IFS(C68="","",C68&lt;&gt;"",INDEX(SF_Output!I:I,MATCH(C68,SF_Output!M:M,0))),IFERROR(INDEX(INDIRECT($D$2&amp;"!G:G"),MATCH(C68,INDIRECT($D$2&amp;"!B:B"),0)),INDEX(INDIRECT("'"&amp;$D$2&amp;"'!G:G"),MATCH(C68,INDIRECT("'"&amp;$D$2&amp;"'!B:B"),0))))</f>
        <v>Imaging</v>
      </c>
      <c r="E68" t="str" cm="1">
        <f t="array" aca="1" ref="E68" ca="1">IFERROR(IF(C68="","",INDIRECT($D$2&amp;"!F"&amp;Z68)),IF(C68="","",INDIRECT("'"&amp;$D$2&amp;"'"&amp;"!F"&amp;Z68)))</f>
        <v>Included</v>
      </c>
      <c r="F68" t="str" cm="1">
        <f t="array" aca="1" ref="F68" ca="1">IFERROR(IF(C68="","",INDIRECT($D$2&amp;"!ak"&amp;Z68)),IF(C68="","",INDIRECT("'"&amp;$D$2&amp;"'"&amp;"!ak"&amp;Z68)))</f>
        <v/>
      </c>
      <c r="G68" cm="1">
        <f t="array" aca="1" ref="G68" ca="1">IFERROR(INDIRECT($D$2&amp;"!h"&amp;Z68),INDIRECT("'"&amp;$D$2&amp;"'"&amp;"!h"&amp;Z68))</f>
        <v>1</v>
      </c>
      <c r="H68" s="125" t="str" cm="1">
        <f t="array" aca="1" ref="H68" ca="1">IFERROR(INDIRECT($D$2&amp;"!i"&amp;Z68),INDIRECT("'"&amp;$D$2&amp;"'"&amp;"!i"&amp;Z68))</f>
        <v/>
      </c>
      <c r="I68" s="113" cm="1">
        <f t="array" aca="1" ref="I68" ca="1">IFERROR(IF($C68="","",INDIRECT($D$2&amp;"!j"&amp;$Z68)+INDIRECT($D$2&amp;"!n"&amp;$Z68)),IF($C68="","",INDIRECT("'"&amp;$D$2&amp;"'"&amp;"!j"&amp;$Z68)+INDIRECT("'"&amp;$D$2&amp;"'"&amp;"!n"&amp;$Z68)))</f>
        <v>500</v>
      </c>
      <c r="J68" s="113">
        <f t="shared" ca="1" si="7"/>
        <v>-500</v>
      </c>
      <c r="K68" s="113" cm="1">
        <f t="array" aca="1" ref="K68" ca="1">IFERROR(IF($C68="","",INDIRECT($D$2&amp;"!l"&amp;$Z68)+INDIRECT($D$2&amp;"!p"&amp;$Z68)),IF($C68="","",INDIRECT("'"&amp;$D$2&amp;"'"&amp;"!l"&amp;$Z68)+INDIRECT("'"&amp;$D$2&amp;"'"&amp;"!p"&amp;$Z68)))</f>
        <v>0</v>
      </c>
      <c r="M68" s="113" cm="1">
        <f t="array" aca="1" ref="M68" ca="1">IFERROR(IF($C68="","",INDIRECT($D$2&amp;"!r"&amp;Z68)),IF($C68="","",INDIRECT("'"&amp;$D$2&amp;"'"&amp;"!r"&amp;Z68)))</f>
        <v>0</v>
      </c>
      <c r="N68" s="113">
        <f t="shared" ca="1" si="8"/>
        <v>0</v>
      </c>
      <c r="O68" s="113" cm="1">
        <f t="array" aca="1" ref="O68" ca="1">IFERROR(IF($C68="","",INDIRECT($D$2&amp;"!t"&amp;Z68)),IF($C68="","",INDIRECT("'"&amp;$D$2&amp;"'"&amp;"!t"&amp;Z68)))</f>
        <v>0</v>
      </c>
      <c r="Q68" s="113" cm="1">
        <f t="array" aca="1" ref="Q68" ca="1">IFERROR(IF($C68="","",INDIRECT($D$2&amp;"!v"&amp;Z68)),IF($C68="","",INDIRECT("'"&amp;$D$2&amp;"'"&amp;"!v"&amp;Z68)))</f>
        <v>0</v>
      </c>
      <c r="R68" s="113">
        <f t="shared" ca="1" si="9"/>
        <v>0</v>
      </c>
      <c r="S68" s="113" cm="1">
        <f t="array" aca="1" ref="S68" ca="1">IFERROR(IF($C68="","",INDIRECT($D$2&amp;"!x"&amp;Z68)),IF($C68="","",INDIRECT("'"&amp;$D$2&amp;"'"&amp;"!x"&amp;Z68)))</f>
        <v>0</v>
      </c>
      <c r="U68" s="113" cm="1">
        <f t="array" aca="1" ref="U68" ca="1">IFERROR(IF($C68="","",INDIRECT($D$2&amp;"!z"&amp;Z68)),IF($C68="","",INDIRECT("'"&amp;$D$2&amp;"'"&amp;"!z"&amp;Z68)))</f>
        <v>0</v>
      </c>
      <c r="V68" s="113">
        <f t="shared" ca="1" si="10"/>
        <v>0</v>
      </c>
      <c r="W68" s="113" cm="1">
        <f t="array" aca="1" ref="W68" ca="1">IFERROR(IF($C68="","",INDIRECT($D$2&amp;"!ab"&amp;Z68)),IF($C68="","",INDIRECT("'"&amp;$D$2&amp;"'"&amp;"!ab"&amp;Z68)))</f>
        <v>0</v>
      </c>
      <c r="X68" s="113"/>
      <c r="Y68" s="113">
        <f t="shared" ca="1" si="11"/>
        <v>0</v>
      </c>
      <c r="Z68" s="35">
        <v>57</v>
      </c>
      <c r="AA68" s="113"/>
      <c r="AB68" s="35">
        <v>57</v>
      </c>
    </row>
    <row r="69" spans="3:28" x14ac:dyDescent="0.25">
      <c r="C69" t="str" cm="1">
        <f t="array" aca="1" ref="C69" ca="1">IFERROR(IF(INDIRECT($D$2&amp;"!B"&amp;Z69)="","",INDIRECT("'"&amp;$D$2&amp;"'"&amp;"!B"&amp;Z69)),IF(INDIRECT("'"&amp;$D$2&amp;"'"&amp;"!B"&amp;Z69)="","",INDIRECT("'"&amp;$D$2&amp;"'"&amp;"!B"&amp;Z69)))</f>
        <v>AlertCenter with: Advanced Fraud Solutions ("AFS")</v>
      </c>
      <c r="D69" t="str" cm="1">
        <f t="array" aca="1" ref="D69" ca="1">IFERROR(_xlfn.IFS(C69="","",C69&lt;&gt;"",INDEX(SF_Output!I:I,MATCH(C69,SF_Output!M:M,0))),IFERROR(INDEX(INDIRECT($D$2&amp;"!G:G"),MATCH(C69,INDIRECT($D$2&amp;"!B:B"),0)),INDEX(INDIRECT("'"&amp;$D$2&amp;"'!G:G"),MATCH(C69,INDIRECT("'"&amp;$D$2&amp;"'!B:B"),0))))</f>
        <v>Imaging</v>
      </c>
      <c r="E69" t="str" cm="1">
        <f t="array" aca="1" ref="E69" ca="1">IFERROR(IF(C69="","",INDIRECT($D$2&amp;"!F"&amp;Z69)),IF(C69="","",INDIRECT("'"&amp;$D$2&amp;"'"&amp;"!F"&amp;Z69)))</f>
        <v>Optional</v>
      </c>
      <c r="F69" t="str" cm="1">
        <f t="array" aca="1" ref="F69" ca="1">IFERROR(IF(C69="","",INDIRECT($D$2&amp;"!ak"&amp;Z69)),IF(C69="","",INDIRECT("'"&amp;$D$2&amp;"'"&amp;"!ak"&amp;Z69)))</f>
        <v/>
      </c>
      <c r="G69" cm="1">
        <f t="array" aca="1" ref="G69" ca="1">IFERROR(INDIRECT($D$2&amp;"!h"&amp;Z69),INDIRECT("'"&amp;$D$2&amp;"'"&amp;"!h"&amp;Z69))</f>
        <v>1</v>
      </c>
      <c r="H69" s="125" t="str" cm="1">
        <f t="array" aca="1" ref="H69" ca="1">IFERROR(INDIRECT($D$2&amp;"!i"&amp;Z69),INDIRECT("'"&amp;$D$2&amp;"'"&amp;"!i"&amp;Z69))</f>
        <v/>
      </c>
      <c r="I69" s="113" cm="1">
        <f t="array" aca="1" ref="I69" ca="1">IFERROR(IF($C69="","",INDIRECT($D$2&amp;"!j"&amp;$Z69)+INDIRECT($D$2&amp;"!n"&amp;$Z69)),IF($C69="","",INDIRECT("'"&amp;$D$2&amp;"'"&amp;"!j"&amp;$Z69)+INDIRECT("'"&amp;$D$2&amp;"'"&amp;"!n"&amp;$Z69)))</f>
        <v>0</v>
      </c>
      <c r="J69" s="113">
        <f t="shared" ca="1" si="7"/>
        <v>0</v>
      </c>
      <c r="K69" s="113" cm="1">
        <f t="array" aca="1" ref="K69" ca="1">IFERROR(IF($C69="","",INDIRECT($D$2&amp;"!l"&amp;$Z69)+INDIRECT($D$2&amp;"!p"&amp;$Z69)),IF($C69="","",INDIRECT("'"&amp;$D$2&amp;"'"&amp;"!l"&amp;$Z69)+INDIRECT("'"&amp;$D$2&amp;"'"&amp;"!p"&amp;$Z69)))</f>
        <v>0</v>
      </c>
      <c r="M69" s="113" cm="1">
        <f t="array" aca="1" ref="M69" ca="1">IFERROR(IF($C69="","",INDIRECT($D$2&amp;"!r"&amp;Z69)),IF($C69="","",INDIRECT("'"&amp;$D$2&amp;"'"&amp;"!r"&amp;Z69)))</f>
        <v>0</v>
      </c>
      <c r="N69" s="113">
        <f t="shared" ca="1" si="8"/>
        <v>0</v>
      </c>
      <c r="O69" s="113" cm="1">
        <f t="array" aca="1" ref="O69" ca="1">IFERROR(IF($C69="","",INDIRECT($D$2&amp;"!t"&amp;Z69)),IF($C69="","",INDIRECT("'"&amp;$D$2&amp;"'"&amp;"!t"&amp;Z69)))</f>
        <v>0</v>
      </c>
      <c r="Q69" s="113" cm="1">
        <f t="array" aca="1" ref="Q69" ca="1">IFERROR(IF($C69="","",INDIRECT($D$2&amp;"!v"&amp;Z69)),IF($C69="","",INDIRECT("'"&amp;$D$2&amp;"'"&amp;"!v"&amp;Z69)))</f>
        <v>420</v>
      </c>
      <c r="R69" s="113">
        <f t="shared" ca="1" si="9"/>
        <v>0</v>
      </c>
      <c r="S69" s="113" cm="1">
        <f t="array" aca="1" ref="S69" ca="1">IFERROR(IF($C69="","",INDIRECT($D$2&amp;"!x"&amp;Z69)),IF($C69="","",INDIRECT("'"&amp;$D$2&amp;"'"&amp;"!x"&amp;Z69)))</f>
        <v>420</v>
      </c>
      <c r="U69" s="113" cm="1">
        <f t="array" aca="1" ref="U69" ca="1">IFERROR(IF($C69="","",INDIRECT($D$2&amp;"!z"&amp;Z69)),IF($C69="","",INDIRECT("'"&amp;$D$2&amp;"'"&amp;"!z"&amp;Z69)))</f>
        <v>0</v>
      </c>
      <c r="V69" s="113">
        <f t="shared" ca="1" si="10"/>
        <v>0</v>
      </c>
      <c r="W69" s="113" cm="1">
        <f t="array" aca="1" ref="W69" ca="1">IFERROR(IF($C69="","",INDIRECT($D$2&amp;"!ab"&amp;Z69)),IF($C69="","",INDIRECT("'"&amp;$D$2&amp;"'"&amp;"!ab"&amp;Z69)))</f>
        <v>0</v>
      </c>
      <c r="X69" s="113"/>
      <c r="Y69" s="113">
        <f t="shared" ca="1" si="11"/>
        <v>420</v>
      </c>
      <c r="Z69" s="35">
        <v>58</v>
      </c>
      <c r="AA69" s="113"/>
      <c r="AB69" s="35">
        <v>58</v>
      </c>
    </row>
    <row r="70" spans="3:28" x14ac:dyDescent="0.25">
      <c r="C70" t="str" cm="1">
        <f t="array" aca="1" ref="C70" ca="1">IFERROR(IF(INDIRECT($D$2&amp;"!B"&amp;Z70)="","",INDIRECT("'"&amp;$D$2&amp;"'"&amp;"!B"&amp;Z70)),IF(INDIRECT("'"&amp;$D$2&amp;"'"&amp;"!B"&amp;Z70)="","",INDIRECT("'"&amp;$D$2&amp;"'"&amp;"!B"&amp;Z70)))</f>
        <v>AFS Deposit Chek Onboarding</v>
      </c>
      <c r="D70" t="str" cm="1">
        <f t="array" aca="1" ref="D70" ca="1">IFERROR(_xlfn.IFS(C70="","",C70&lt;&gt;"",INDEX(SF_Output!I:I,MATCH(C70,SF_Output!M:M,0))),IFERROR(INDEX(INDIRECT($D$2&amp;"!G:G"),MATCH(C70,INDIRECT($D$2&amp;"!B:B"),0)),INDEX(INDIRECT("'"&amp;$D$2&amp;"'!G:G"),MATCH(C70,INDIRECT("'"&amp;$D$2&amp;"'!B:B"),0))))</f>
        <v>Imaging</v>
      </c>
      <c r="E70" t="str" cm="1">
        <f t="array" aca="1" ref="E70" ca="1">IFERROR(IF(C70="","",INDIRECT($D$2&amp;"!F"&amp;Z70)),IF(C70="","",INDIRECT("'"&amp;$D$2&amp;"'"&amp;"!F"&amp;Z70)))</f>
        <v>Optional</v>
      </c>
      <c r="F70" t="str" cm="1">
        <f t="array" aca="1" ref="F70" ca="1">IFERROR(IF(C70="","",INDIRECT($D$2&amp;"!ak"&amp;Z70)),IF(C70="","",INDIRECT("'"&amp;$D$2&amp;"'"&amp;"!ak"&amp;Z70)))</f>
        <v/>
      </c>
      <c r="G70" cm="1">
        <f t="array" aca="1" ref="G70" ca="1">IFERROR(INDIRECT($D$2&amp;"!h"&amp;Z70),INDIRECT("'"&amp;$D$2&amp;"'"&amp;"!h"&amp;Z70))</f>
        <v>1</v>
      </c>
      <c r="H70" s="125" t="str" cm="1">
        <f t="array" aca="1" ref="H70" ca="1">IFERROR(INDIRECT($D$2&amp;"!i"&amp;Z70),INDIRECT("'"&amp;$D$2&amp;"'"&amp;"!i"&amp;Z70))</f>
        <v/>
      </c>
      <c r="I70" s="113" cm="1">
        <f t="array" aca="1" ref="I70" ca="1">IFERROR(IF($C70="","",INDIRECT($D$2&amp;"!j"&amp;$Z70)+INDIRECT($D$2&amp;"!n"&amp;$Z70)),IF($C70="","",INDIRECT("'"&amp;$D$2&amp;"'"&amp;"!j"&amp;$Z70)+INDIRECT("'"&amp;$D$2&amp;"'"&amp;"!n"&amp;$Z70)))</f>
        <v>825</v>
      </c>
      <c r="J70" s="113">
        <f t="shared" ca="1" si="7"/>
        <v>0</v>
      </c>
      <c r="K70" s="113" cm="1">
        <f t="array" aca="1" ref="K70" ca="1">IFERROR(IF($C70="","",INDIRECT($D$2&amp;"!l"&amp;$Z70)+INDIRECT($D$2&amp;"!p"&amp;$Z70)),IF($C70="","",INDIRECT("'"&amp;$D$2&amp;"'"&amp;"!l"&amp;$Z70)+INDIRECT("'"&amp;$D$2&amp;"'"&amp;"!p"&amp;$Z70)))</f>
        <v>825</v>
      </c>
      <c r="M70" s="113" cm="1">
        <f t="array" aca="1" ref="M70" ca="1">IFERROR(IF($C70="","",INDIRECT($D$2&amp;"!r"&amp;Z70)),IF($C70="","",INDIRECT("'"&amp;$D$2&amp;"'"&amp;"!r"&amp;Z70)))</f>
        <v>0</v>
      </c>
      <c r="N70" s="113">
        <f t="shared" ca="1" si="8"/>
        <v>0</v>
      </c>
      <c r="O70" s="113" cm="1">
        <f t="array" aca="1" ref="O70" ca="1">IFERROR(IF($C70="","",INDIRECT($D$2&amp;"!t"&amp;Z70)),IF($C70="","",INDIRECT("'"&amp;$D$2&amp;"'"&amp;"!t"&amp;Z70)))</f>
        <v>0</v>
      </c>
      <c r="Q70" s="113" cm="1">
        <f t="array" aca="1" ref="Q70" ca="1">IFERROR(IF($C70="","",INDIRECT($D$2&amp;"!v"&amp;Z70)),IF($C70="","",INDIRECT("'"&amp;$D$2&amp;"'"&amp;"!v"&amp;Z70)))</f>
        <v>0</v>
      </c>
      <c r="R70" s="113">
        <f t="shared" ca="1" si="9"/>
        <v>0</v>
      </c>
      <c r="S70" s="113" cm="1">
        <f t="array" aca="1" ref="S70" ca="1">IFERROR(IF($C70="","",INDIRECT($D$2&amp;"!x"&amp;Z70)),IF($C70="","",INDIRECT("'"&amp;$D$2&amp;"'"&amp;"!x"&amp;Z70)))</f>
        <v>0</v>
      </c>
      <c r="U70" s="113" cm="1">
        <f t="array" aca="1" ref="U70" ca="1">IFERROR(IF($C70="","",INDIRECT($D$2&amp;"!z"&amp;Z70)),IF($C70="","",INDIRECT("'"&amp;$D$2&amp;"'"&amp;"!z"&amp;Z70)))</f>
        <v>0</v>
      </c>
      <c r="V70" s="113">
        <f t="shared" ca="1" si="10"/>
        <v>0</v>
      </c>
      <c r="W70" s="113" cm="1">
        <f t="array" aca="1" ref="W70" ca="1">IFERROR(IF($C70="","",INDIRECT($D$2&amp;"!ab"&amp;Z70)),IF($C70="","",INDIRECT("'"&amp;$D$2&amp;"'"&amp;"!ab"&amp;Z70)))</f>
        <v>0</v>
      </c>
      <c r="X70" s="113"/>
      <c r="Y70" s="113">
        <f t="shared" ca="1" si="11"/>
        <v>0</v>
      </c>
      <c r="Z70" s="35">
        <v>59</v>
      </c>
      <c r="AA70" s="113"/>
      <c r="AB70" s="35">
        <v>59</v>
      </c>
    </row>
    <row r="71" spans="3:28" x14ac:dyDescent="0.25">
      <c r="C71" t="str" cm="1">
        <f t="array" aca="1" ref="C71" ca="1">IFERROR(IF(INDIRECT($D$2&amp;"!B"&amp;Z71)="","",INDIRECT("'"&amp;$D$2&amp;"'"&amp;"!B"&amp;Z71)),IF(INDIRECT("'"&amp;$D$2&amp;"'"&amp;"!B"&amp;Z71)="","",INDIRECT("'"&amp;$D$2&amp;"'"&amp;"!B"&amp;Z71)))</f>
        <v>AlertCenter AFS TrueChecks Frontline</v>
      </c>
      <c r="D71" t="str" cm="1">
        <f t="array" aca="1" ref="D71" ca="1">IFERROR(_xlfn.IFS(C71="","",C71&lt;&gt;"",INDEX(SF_Output!I:I,MATCH(C71,SF_Output!M:M,0))),IFERROR(INDEX(INDIRECT($D$2&amp;"!G:G"),MATCH(C71,INDIRECT($D$2&amp;"!B:B"),0)),INDEX(INDIRECT("'"&amp;$D$2&amp;"'!G:G"),MATCH(C71,INDIRECT("'"&amp;$D$2&amp;"'!B:B"),0))))</f>
        <v>Imaging</v>
      </c>
      <c r="E71" t="str" cm="1">
        <f t="array" aca="1" ref="E71" ca="1">IFERROR(IF(C71="","",INDIRECT($D$2&amp;"!F"&amp;Z71)),IF(C71="","",INDIRECT("'"&amp;$D$2&amp;"'"&amp;"!F"&amp;Z71)))</f>
        <v>Optional</v>
      </c>
      <c r="F71" t="str" cm="1">
        <f t="array" aca="1" ref="F71" ca="1">IFERROR(IF(C71="","",INDIRECT($D$2&amp;"!ak"&amp;Z71)),IF(C71="","",INDIRECT("'"&amp;$D$2&amp;"'"&amp;"!ak"&amp;Z71)))</f>
        <v/>
      </c>
      <c r="G71" cm="1">
        <f t="array" aca="1" ref="G71" ca="1">IFERROR(INDIRECT($D$2&amp;"!h"&amp;Z71),INDIRECT("'"&amp;$D$2&amp;"'"&amp;"!h"&amp;Z71))</f>
        <v>1</v>
      </c>
      <c r="H71" s="125" t="str" cm="1">
        <f t="array" aca="1" ref="H71" ca="1">IFERROR(INDIRECT($D$2&amp;"!i"&amp;Z71),INDIRECT("'"&amp;$D$2&amp;"'"&amp;"!i"&amp;Z71))</f>
        <v/>
      </c>
      <c r="I71" s="113" cm="1">
        <f t="array" aca="1" ref="I71" ca="1">IFERROR(IF($C71="","",INDIRECT($D$2&amp;"!j"&amp;$Z71)+INDIRECT($D$2&amp;"!n"&amp;$Z71)),IF($C71="","",INDIRECT("'"&amp;$D$2&amp;"'"&amp;"!j"&amp;$Z71)+INDIRECT("'"&amp;$D$2&amp;"'"&amp;"!n"&amp;$Z71)))</f>
        <v>0</v>
      </c>
      <c r="J71" s="113">
        <f t="shared" ca="1" si="7"/>
        <v>0</v>
      </c>
      <c r="K71" s="113" cm="1">
        <f t="array" aca="1" ref="K71" ca="1">IFERROR(IF($C71="","",INDIRECT($D$2&amp;"!l"&amp;$Z71)+INDIRECT($D$2&amp;"!p"&amp;$Z71)),IF($C71="","",INDIRECT("'"&amp;$D$2&amp;"'"&amp;"!l"&amp;$Z71)+INDIRECT("'"&amp;$D$2&amp;"'"&amp;"!p"&amp;$Z71)))</f>
        <v>0</v>
      </c>
      <c r="M71" s="113" cm="1">
        <f t="array" aca="1" ref="M71" ca="1">IFERROR(IF($C71="","",INDIRECT($D$2&amp;"!r"&amp;Z71)),IF($C71="","",INDIRECT("'"&amp;$D$2&amp;"'"&amp;"!r"&amp;Z71)))</f>
        <v>0</v>
      </c>
      <c r="N71" s="113">
        <f t="shared" ca="1" si="8"/>
        <v>0</v>
      </c>
      <c r="O71" s="113" cm="1">
        <f t="array" aca="1" ref="O71" ca="1">IFERROR(IF($C71="","",INDIRECT($D$2&amp;"!t"&amp;Z71)),IF($C71="","",INDIRECT("'"&amp;$D$2&amp;"'"&amp;"!t"&amp;Z71)))</f>
        <v>0</v>
      </c>
      <c r="Q71" s="113" cm="1">
        <f t="array" aca="1" ref="Q71" ca="1">IFERROR(IF($C71="","",INDIRECT($D$2&amp;"!v"&amp;Z71)),IF($C71="","",INDIRECT("'"&amp;$D$2&amp;"'"&amp;"!v"&amp;Z71)))</f>
        <v>75</v>
      </c>
      <c r="R71" s="113">
        <f t="shared" ca="1" si="9"/>
        <v>0</v>
      </c>
      <c r="S71" s="113" cm="1">
        <f t="array" aca="1" ref="S71" ca="1">IFERROR(IF($C71="","",INDIRECT($D$2&amp;"!x"&amp;Z71)),IF($C71="","",INDIRECT("'"&amp;$D$2&amp;"'"&amp;"!x"&amp;Z71)))</f>
        <v>75</v>
      </c>
      <c r="U71" s="113" cm="1">
        <f t="array" aca="1" ref="U71" ca="1">IFERROR(IF($C71="","",INDIRECT($D$2&amp;"!z"&amp;Z71)),IF($C71="","",INDIRECT("'"&amp;$D$2&amp;"'"&amp;"!z"&amp;Z71)))</f>
        <v>0</v>
      </c>
      <c r="V71" s="113">
        <f t="shared" ca="1" si="10"/>
        <v>0</v>
      </c>
      <c r="W71" s="113" cm="1">
        <f t="array" aca="1" ref="W71" ca="1">IFERROR(IF($C71="","",INDIRECT($D$2&amp;"!ab"&amp;Z71)),IF($C71="","",INDIRECT("'"&amp;$D$2&amp;"'"&amp;"!ab"&amp;Z71)))</f>
        <v>0</v>
      </c>
      <c r="X71" s="113"/>
      <c r="Y71" s="113">
        <f t="shared" ca="1" si="11"/>
        <v>75</v>
      </c>
      <c r="Z71" s="35">
        <v>60</v>
      </c>
      <c r="AA71" s="113"/>
      <c r="AB71" s="35">
        <v>60</v>
      </c>
    </row>
    <row r="72" spans="3:28" x14ac:dyDescent="0.25">
      <c r="C72" t="str" cm="1">
        <f t="array" aca="1" ref="C72" ca="1">IFERROR(IF(INDIRECT($D$2&amp;"!B"&amp;Z72)="","",INDIRECT("'"&amp;$D$2&amp;"'"&amp;"!B"&amp;Z72)),IF(INDIRECT("'"&amp;$D$2&amp;"'"&amp;"!B"&amp;Z72)="","",INDIRECT("'"&amp;$D$2&amp;"'"&amp;"!B"&amp;Z72)))</f>
        <v>AlertCenter Integration to 4|Sight</v>
      </c>
      <c r="D72" t="str" cm="1">
        <f t="array" aca="1" ref="D72" ca="1">IFERROR(_xlfn.IFS(C72="","",C72&lt;&gt;"",INDEX(SF_Output!I:I,MATCH(C72,SF_Output!M:M,0))),IFERROR(INDEX(INDIRECT($D$2&amp;"!G:G"),MATCH(C72,INDIRECT($D$2&amp;"!B:B"),0)),INDEX(INDIRECT("'"&amp;$D$2&amp;"'!G:G"),MATCH(C72,INDIRECT("'"&amp;$D$2&amp;"'!B:B"),0))))</f>
        <v>Imaging</v>
      </c>
      <c r="E72" t="str" cm="1">
        <f t="array" aca="1" ref="E72" ca="1">IFERROR(IF(C72="","",INDIRECT($D$2&amp;"!F"&amp;Z72)),IF(C72="","",INDIRECT("'"&amp;$D$2&amp;"'"&amp;"!F"&amp;Z72)))</f>
        <v>Optional</v>
      </c>
      <c r="F72" t="str" cm="1">
        <f t="array" aca="1" ref="F72" ca="1">IFERROR(IF(C72="","",INDIRECT($D$2&amp;"!ak"&amp;Z72)),IF(C72="","",INDIRECT("'"&amp;$D$2&amp;"'"&amp;"!ak"&amp;Z72)))</f>
        <v/>
      </c>
      <c r="G72" cm="1">
        <f t="array" aca="1" ref="G72" ca="1">IFERROR(INDIRECT($D$2&amp;"!h"&amp;Z72),INDIRECT("'"&amp;$D$2&amp;"'"&amp;"!h"&amp;Z72))</f>
        <v>1</v>
      </c>
      <c r="H72" s="125" t="str" cm="1">
        <f t="array" aca="1" ref="H72" ca="1">IFERROR(INDIRECT($D$2&amp;"!i"&amp;Z72),INDIRECT("'"&amp;$D$2&amp;"'"&amp;"!i"&amp;Z72))</f>
        <v/>
      </c>
      <c r="I72" s="113" cm="1">
        <f t="array" aca="1" ref="I72" ca="1">IFERROR(IF($C72="","",INDIRECT($D$2&amp;"!j"&amp;$Z72)+INDIRECT($D$2&amp;"!n"&amp;$Z72)),IF($C72="","",INDIRECT("'"&amp;$D$2&amp;"'"&amp;"!j"&amp;$Z72)+INDIRECT("'"&amp;$D$2&amp;"'"&amp;"!n"&amp;$Z72)))</f>
        <v>3750</v>
      </c>
      <c r="J72" s="113">
        <f t="shared" ca="1" si="7"/>
        <v>-3750</v>
      </c>
      <c r="K72" s="113" cm="1">
        <f t="array" aca="1" ref="K72" ca="1">IFERROR(IF($C72="","",INDIRECT($D$2&amp;"!l"&amp;$Z72)+INDIRECT($D$2&amp;"!p"&amp;$Z72)),IF($C72="","",INDIRECT("'"&amp;$D$2&amp;"'"&amp;"!l"&amp;$Z72)+INDIRECT("'"&amp;$D$2&amp;"'"&amp;"!p"&amp;$Z72)))</f>
        <v>0</v>
      </c>
      <c r="M72" s="113" cm="1">
        <f t="array" aca="1" ref="M72" ca="1">IFERROR(IF($C72="","",INDIRECT($D$2&amp;"!r"&amp;Z72)),IF($C72="","",INDIRECT("'"&amp;$D$2&amp;"'"&amp;"!r"&amp;Z72)))</f>
        <v>0</v>
      </c>
      <c r="N72" s="113">
        <f t="shared" ca="1" si="8"/>
        <v>0</v>
      </c>
      <c r="O72" s="113" cm="1">
        <f t="array" aca="1" ref="O72" ca="1">IFERROR(IF($C72="","",INDIRECT($D$2&amp;"!t"&amp;Z72)),IF($C72="","",INDIRECT("'"&amp;$D$2&amp;"'"&amp;"!t"&amp;Z72)))</f>
        <v>0</v>
      </c>
      <c r="Q72" s="113" cm="1">
        <f t="array" aca="1" ref="Q72" ca="1">IFERROR(IF($C72="","",INDIRECT($D$2&amp;"!v"&amp;Z72)),IF($C72="","",INDIRECT("'"&amp;$D$2&amp;"'"&amp;"!v"&amp;Z72)))</f>
        <v>0</v>
      </c>
      <c r="R72" s="113">
        <f t="shared" ca="1" si="9"/>
        <v>0</v>
      </c>
      <c r="S72" s="113" cm="1">
        <f t="array" aca="1" ref="S72" ca="1">IFERROR(IF($C72="","",INDIRECT($D$2&amp;"!x"&amp;Z72)),IF($C72="","",INDIRECT("'"&amp;$D$2&amp;"'"&amp;"!x"&amp;Z72)))</f>
        <v>0</v>
      </c>
      <c r="U72" s="113" cm="1">
        <f t="array" aca="1" ref="U72" ca="1">IFERROR(IF($C72="","",INDIRECT($D$2&amp;"!z"&amp;Z72)),IF($C72="","",INDIRECT("'"&amp;$D$2&amp;"'"&amp;"!z"&amp;Z72)))</f>
        <v>0</v>
      </c>
      <c r="V72" s="113">
        <f t="shared" ca="1" si="10"/>
        <v>0</v>
      </c>
      <c r="W72" s="113" cm="1">
        <f t="array" aca="1" ref="W72" ca="1">IFERROR(IF($C72="","",INDIRECT($D$2&amp;"!ab"&amp;Z72)),IF($C72="","",INDIRECT("'"&amp;$D$2&amp;"'"&amp;"!ab"&amp;Z72)))</f>
        <v>0</v>
      </c>
      <c r="X72" s="113"/>
      <c r="Y72" s="113">
        <f t="shared" ca="1" si="11"/>
        <v>0</v>
      </c>
      <c r="Z72" s="35">
        <v>61</v>
      </c>
      <c r="AA72" s="113"/>
      <c r="AB72" s="35">
        <v>61</v>
      </c>
    </row>
    <row r="73" spans="3:28" x14ac:dyDescent="0.25">
      <c r="C73" t="str" cm="1">
        <f t="array" aca="1" ref="C73" ca="1">IFERROR(IF(INDIRECT($D$2&amp;"!B"&amp;Z73)="","",INDIRECT("'"&amp;$D$2&amp;"'"&amp;"!B"&amp;Z73)),IF(INDIRECT("'"&amp;$D$2&amp;"'"&amp;"!B"&amp;Z73)="","",INDIRECT("'"&amp;$D$2&amp;"'"&amp;"!B"&amp;Z73)))</f>
        <v>Synergy ECM</v>
      </c>
      <c r="D73" t="str" cm="1">
        <f t="array" aca="1" ref="D73" ca="1">IFERROR(_xlfn.IFS(C73="","",C73&lt;&gt;"",INDEX(SF_Output!I:I,MATCH(C73,SF_Output!M:M,0))),IFERROR(INDEX(INDIRECT($D$2&amp;"!G:G"),MATCH(C73,INDIRECT($D$2&amp;"!B:B"),0)),INDEX(INDIRECT("'"&amp;$D$2&amp;"'!G:G"),MATCH(C73,INDIRECT("'"&amp;$D$2&amp;"'!B:B"),0))))</f>
        <v>Imaging</v>
      </c>
      <c r="E73" t="str" cm="1">
        <f t="array" aca="1" ref="E73" ca="1">IFERROR(IF(C73="","",INDIRECT($D$2&amp;"!F"&amp;Z73)),IF(C73="","",INDIRECT("'"&amp;$D$2&amp;"'"&amp;"!F"&amp;Z73)))</f>
        <v>Included</v>
      </c>
      <c r="F73" t="str" cm="1">
        <f t="array" aca="1" ref="F73" ca="1">IFERROR(IF(C73="","",INDIRECT($D$2&amp;"!ak"&amp;Z73)),IF(C73="","",INDIRECT("'"&amp;$D$2&amp;"'"&amp;"!ak"&amp;Z73)))</f>
        <v>PAP</v>
      </c>
      <c r="G73" cm="1">
        <f t="array" aca="1" ref="G73" ca="1">IFERROR(INDIRECT($D$2&amp;"!h"&amp;Z73),INDIRECT("'"&amp;$D$2&amp;"'"&amp;"!h"&amp;Z73))</f>
        <v>5000</v>
      </c>
      <c r="H73" s="125" cm="1">
        <f t="array" aca="1" ref="H73" ca="1">IFERROR(INDIRECT($D$2&amp;"!i"&amp;Z73),INDIRECT("'"&amp;$D$2&amp;"'"&amp;"!i"&amp;Z73))</f>
        <v>0.20549999999999999</v>
      </c>
      <c r="I73" s="113" cm="1">
        <f t="array" aca="1" ref="I73" ca="1">IFERROR(IF($C73="","",INDIRECT($D$2&amp;"!j"&amp;$Z73)+INDIRECT($D$2&amp;"!n"&amp;$Z73)),IF($C73="","",INDIRECT("'"&amp;$D$2&amp;"'"&amp;"!j"&amp;$Z73)+INDIRECT("'"&amp;$D$2&amp;"'"&amp;"!n"&amp;$Z73)))</f>
        <v>19150</v>
      </c>
      <c r="J73" s="113">
        <f t="shared" ca="1" si="7"/>
        <v>-19150</v>
      </c>
      <c r="K73" s="113" cm="1">
        <f t="array" aca="1" ref="K73" ca="1">IFERROR(IF($C73="","",INDIRECT($D$2&amp;"!l"&amp;$Z73)+INDIRECT($D$2&amp;"!p"&amp;$Z73)),IF($C73="","",INDIRECT("'"&amp;$D$2&amp;"'"&amp;"!l"&amp;$Z73)+INDIRECT("'"&amp;$D$2&amp;"'"&amp;"!p"&amp;$Z73)))</f>
        <v>0</v>
      </c>
      <c r="M73" s="113" cm="1">
        <f t="array" aca="1" ref="M73" ca="1">IFERROR(IF($C73="","",INDIRECT($D$2&amp;"!r"&amp;Z73)),IF($C73="","",INDIRECT("'"&amp;$D$2&amp;"'"&amp;"!r"&amp;Z73)))</f>
        <v>0</v>
      </c>
      <c r="N73" s="113">
        <f t="shared" ca="1" si="8"/>
        <v>0</v>
      </c>
      <c r="O73" s="113" cm="1">
        <f t="array" aca="1" ref="O73" ca="1">IFERROR(IF($C73="","",INDIRECT($D$2&amp;"!t"&amp;Z73)),IF($C73="","",INDIRECT("'"&amp;$D$2&amp;"'"&amp;"!t"&amp;Z73)))</f>
        <v>0</v>
      </c>
      <c r="Q73" s="113" cm="1">
        <f t="array" aca="1" ref="Q73" ca="1">IFERROR(IF($C73="","",INDIRECT($D$2&amp;"!v"&amp;Z73)),IF($C73="","",INDIRECT("'"&amp;$D$2&amp;"'"&amp;"!v"&amp;Z73)))</f>
        <v>1370</v>
      </c>
      <c r="R73" s="113">
        <f t="shared" ca="1" si="9"/>
        <v>-342.5</v>
      </c>
      <c r="S73" s="113" cm="1">
        <f t="array" aca="1" ref="S73" ca="1">IFERROR(IF($C73="","",INDIRECT($D$2&amp;"!x"&amp;Z73)),IF($C73="","",INDIRECT("'"&amp;$D$2&amp;"'"&amp;"!x"&amp;Z73)))</f>
        <v>1027.5</v>
      </c>
      <c r="U73" s="113" cm="1">
        <f t="array" aca="1" ref="U73" ca="1">IFERROR(IF($C73="","",INDIRECT($D$2&amp;"!z"&amp;Z73)),IF($C73="","",INDIRECT("'"&amp;$D$2&amp;"'"&amp;"!z"&amp;Z73)))</f>
        <v>0</v>
      </c>
      <c r="V73" s="113">
        <f t="shared" ca="1" si="10"/>
        <v>0</v>
      </c>
      <c r="W73" s="113" cm="1">
        <f t="array" aca="1" ref="W73" ca="1">IFERROR(IF($C73="","",INDIRECT($D$2&amp;"!ab"&amp;Z73)),IF($C73="","",INDIRECT("'"&amp;$D$2&amp;"'"&amp;"!ab"&amp;Z73)))</f>
        <v>0</v>
      </c>
      <c r="X73" s="113"/>
      <c r="Y73" s="113">
        <f t="shared" ca="1" si="11"/>
        <v>1027.5</v>
      </c>
      <c r="Z73" s="35">
        <v>62</v>
      </c>
      <c r="AA73" s="113"/>
      <c r="AB73" s="35">
        <v>62</v>
      </c>
    </row>
    <row r="74" spans="3:28" x14ac:dyDescent="0.25">
      <c r="C74" t="str" cm="1">
        <f t="array" aca="1" ref="C74" ca="1">IFERROR(IF(INDIRECT($D$2&amp;"!B"&amp;Z74)="","",INDIRECT("'"&amp;$D$2&amp;"'"&amp;"!B"&amp;Z74)),IF(INDIRECT("'"&amp;$D$2&amp;"'"&amp;"!B"&amp;Z74)="","",INDIRECT("'"&amp;$D$2&amp;"'"&amp;"!B"&amp;Z74)))</f>
        <v>Synergy Productivity</v>
      </c>
      <c r="D74" t="str" cm="1">
        <f t="array" aca="1" ref="D74" ca="1">IFERROR(_xlfn.IFS(C74="","",C74&lt;&gt;"",INDEX(SF_Output!I:I,MATCH(C74,SF_Output!M:M,0))),IFERROR(INDEX(INDIRECT($D$2&amp;"!G:G"),MATCH(C74,INDIRECT($D$2&amp;"!B:B"),0)),INDEX(INDIRECT("'"&amp;$D$2&amp;"'!G:G"),MATCH(C74,INDIRECT("'"&amp;$D$2&amp;"'!B:B"),0))))</f>
        <v>Imaging</v>
      </c>
      <c r="E74" t="str" cm="1">
        <f t="array" aca="1" ref="E74" ca="1">IFERROR(IF(C74="","",INDIRECT($D$2&amp;"!F"&amp;Z74)),IF(C74="","",INDIRECT("'"&amp;$D$2&amp;"'"&amp;"!F"&amp;Z74)))</f>
        <v>Included</v>
      </c>
      <c r="F74" t="str" cm="1">
        <f t="array" aca="1" ref="F74" ca="1">IFERROR(IF(C74="","",INDIRECT($D$2&amp;"!ak"&amp;Z74)),IF(C74="","",INDIRECT("'"&amp;$D$2&amp;"'"&amp;"!ak"&amp;Z74)))</f>
        <v>PAP</v>
      </c>
      <c r="G74" cm="1">
        <f t="array" aca="1" ref="G74" ca="1">IFERROR(INDIRECT($D$2&amp;"!h"&amp;Z74),INDIRECT("'"&amp;$D$2&amp;"'"&amp;"!h"&amp;Z74))</f>
        <v>5000</v>
      </c>
      <c r="H74" s="125" cm="1">
        <f t="array" aca="1" ref="H74" ca="1">IFERROR(INDIRECT($D$2&amp;"!i"&amp;Z74),INDIRECT("'"&amp;$D$2&amp;"'"&amp;"!i"&amp;Z74))</f>
        <v>7.6499999999999999E-2</v>
      </c>
      <c r="I74" s="113" cm="1">
        <f t="array" aca="1" ref="I74" ca="1">IFERROR(IF($C74="","",INDIRECT($D$2&amp;"!j"&amp;$Z74)+INDIRECT($D$2&amp;"!n"&amp;$Z74)),IF($C74="","",INDIRECT("'"&amp;$D$2&amp;"'"&amp;"!j"&amp;$Z74)+INDIRECT("'"&amp;$D$2&amp;"'"&amp;"!n"&amp;$Z74)))</f>
        <v>4800</v>
      </c>
      <c r="J74" s="113">
        <f t="shared" ca="1" si="7"/>
        <v>-4800</v>
      </c>
      <c r="K74" s="113" cm="1">
        <f t="array" aca="1" ref="K74" ca="1">IFERROR(IF($C74="","",INDIRECT($D$2&amp;"!l"&amp;$Z74)+INDIRECT($D$2&amp;"!p"&amp;$Z74)),IF($C74="","",INDIRECT("'"&amp;$D$2&amp;"'"&amp;"!l"&amp;$Z74)+INDIRECT("'"&amp;$D$2&amp;"'"&amp;"!p"&amp;$Z74)))</f>
        <v>0</v>
      </c>
      <c r="M74" s="113" cm="1">
        <f t="array" aca="1" ref="M74" ca="1">IFERROR(IF($C74="","",INDIRECT($D$2&amp;"!r"&amp;Z74)),IF($C74="","",INDIRECT("'"&amp;$D$2&amp;"'"&amp;"!r"&amp;Z74)))</f>
        <v>0</v>
      </c>
      <c r="N74" s="113">
        <f t="shared" ca="1" si="8"/>
        <v>0</v>
      </c>
      <c r="O74" s="113" cm="1">
        <f t="array" aca="1" ref="O74" ca="1">IFERROR(IF($C74="","",INDIRECT($D$2&amp;"!t"&amp;Z74)),IF($C74="","",INDIRECT("'"&amp;$D$2&amp;"'"&amp;"!t"&amp;Z74)))</f>
        <v>0</v>
      </c>
      <c r="Q74" s="113" cm="1">
        <f t="array" aca="1" ref="Q74" ca="1">IFERROR(IF($C74="","",INDIRECT($D$2&amp;"!v"&amp;Z74)),IF($C74="","",INDIRECT("'"&amp;$D$2&amp;"'"&amp;"!v"&amp;Z74)))</f>
        <v>510</v>
      </c>
      <c r="R74" s="113">
        <f t="shared" ca="1" si="9"/>
        <v>-127.5</v>
      </c>
      <c r="S74" s="113" cm="1">
        <f t="array" aca="1" ref="S74" ca="1">IFERROR(IF($C74="","",INDIRECT($D$2&amp;"!x"&amp;Z74)),IF($C74="","",INDIRECT("'"&amp;$D$2&amp;"'"&amp;"!x"&amp;Z74)))</f>
        <v>382.5</v>
      </c>
      <c r="U74" s="113" cm="1">
        <f t="array" aca="1" ref="U74" ca="1">IFERROR(IF($C74="","",INDIRECT($D$2&amp;"!z"&amp;Z74)),IF($C74="","",INDIRECT("'"&amp;$D$2&amp;"'"&amp;"!z"&amp;Z74)))</f>
        <v>0</v>
      </c>
      <c r="V74" s="113">
        <f t="shared" ca="1" si="10"/>
        <v>0</v>
      </c>
      <c r="W74" s="113" cm="1">
        <f t="array" aca="1" ref="W74" ca="1">IFERROR(IF($C74="","",INDIRECT($D$2&amp;"!ab"&amp;Z74)),IF($C74="","",INDIRECT("'"&amp;$D$2&amp;"'"&amp;"!ab"&amp;Z74)))</f>
        <v>0</v>
      </c>
      <c r="X74" s="113"/>
      <c r="Y74" s="113">
        <f t="shared" ca="1" si="11"/>
        <v>382.5</v>
      </c>
      <c r="Z74" s="35">
        <v>63</v>
      </c>
      <c r="AA74" s="113"/>
      <c r="AB74" s="35">
        <v>63</v>
      </c>
    </row>
    <row r="75" spans="3:28" x14ac:dyDescent="0.25">
      <c r="C75" t="str" cm="1">
        <f t="array" aca="1" ref="C75" ca="1">IFERROR(IF(INDIRECT($D$2&amp;"!B"&amp;Z75)="","",INDIRECT("'"&amp;$D$2&amp;"'"&amp;"!B"&amp;Z75)),IF(INDIRECT("'"&amp;$D$2&amp;"'"&amp;"!B"&amp;Z75)="","",INDIRECT("'"&amp;$D$2&amp;"'"&amp;"!B"&amp;Z75)))</f>
        <v>DSIS Scanner Interface</v>
      </c>
      <c r="D75" t="str" cm="1">
        <f t="array" aca="1" ref="D75" ca="1">IFERROR(_xlfn.IFS(C75="","",C75&lt;&gt;"",INDEX(SF_Output!I:I,MATCH(C75,SF_Output!M:M,0))),IFERROR(INDEX(INDIRECT($D$2&amp;"!G:G"),MATCH(C75,INDIRECT($D$2&amp;"!B:B"),0)),INDEX(INDIRECT("'"&amp;$D$2&amp;"'!G:G"),MATCH(C75,INDIRECT("'"&amp;$D$2&amp;"'!B:B"),0))))</f>
        <v>Imaging</v>
      </c>
      <c r="E75" t="str" cm="1">
        <f t="array" aca="1" ref="E75" ca="1">IFERROR(IF(C75="","",INDIRECT($D$2&amp;"!F"&amp;Z75)),IF(C75="","",INDIRECT("'"&amp;$D$2&amp;"'"&amp;"!F"&amp;Z75)))</f>
        <v>Included</v>
      </c>
      <c r="F75" t="str" cm="1">
        <f t="array" aca="1" ref="F75" ca="1">IFERROR(IF(C75="","",INDIRECT($D$2&amp;"!ak"&amp;Z75)),IF(C75="","",INDIRECT("'"&amp;$D$2&amp;"'"&amp;"!ak"&amp;Z75)))</f>
        <v/>
      </c>
      <c r="G75" cm="1">
        <f t="array" aca="1" ref="G75" ca="1">IFERROR(INDIRECT($D$2&amp;"!h"&amp;Z75),INDIRECT("'"&amp;$D$2&amp;"'"&amp;"!h"&amp;Z75))</f>
        <v>2</v>
      </c>
      <c r="H75" s="125" t="str" cm="1">
        <f t="array" aca="1" ref="H75" ca="1">IFERROR(INDIRECT($D$2&amp;"!i"&amp;Z75),INDIRECT("'"&amp;$D$2&amp;"'"&amp;"!i"&amp;Z75))</f>
        <v/>
      </c>
      <c r="I75" s="113" cm="1">
        <f t="array" aca="1" ref="I75" ca="1">IFERROR(IF($C75="","",INDIRECT($D$2&amp;"!j"&amp;$Z75)+INDIRECT($D$2&amp;"!n"&amp;$Z75)),IF($C75="","",INDIRECT("'"&amp;$D$2&amp;"'"&amp;"!j"&amp;$Z75)+INDIRECT("'"&amp;$D$2&amp;"'"&amp;"!n"&amp;$Z75)))</f>
        <v>1000</v>
      </c>
      <c r="J75" s="113">
        <f t="shared" ca="1" si="7"/>
        <v>0</v>
      </c>
      <c r="K75" s="113" cm="1">
        <f t="array" aca="1" ref="K75" ca="1">IFERROR(IF($C75="","",INDIRECT($D$2&amp;"!l"&amp;$Z75)+INDIRECT($D$2&amp;"!p"&amp;$Z75)),IF($C75="","",INDIRECT("'"&amp;$D$2&amp;"'"&amp;"!l"&amp;$Z75)+INDIRECT("'"&amp;$D$2&amp;"'"&amp;"!p"&amp;$Z75)))</f>
        <v>1000</v>
      </c>
      <c r="M75" s="113" cm="1">
        <f t="array" aca="1" ref="M75" ca="1">IFERROR(IF($C75="","",INDIRECT($D$2&amp;"!r"&amp;Z75)),IF($C75="","",INDIRECT("'"&amp;$D$2&amp;"'"&amp;"!r"&amp;Z75)))</f>
        <v>0</v>
      </c>
      <c r="N75" s="113">
        <f t="shared" ca="1" si="8"/>
        <v>0</v>
      </c>
      <c r="O75" s="113" cm="1">
        <f t="array" aca="1" ref="O75" ca="1">IFERROR(IF($C75="","",INDIRECT($D$2&amp;"!t"&amp;Z75)),IF($C75="","",INDIRECT("'"&amp;$D$2&amp;"'"&amp;"!t"&amp;Z75)))</f>
        <v>0</v>
      </c>
      <c r="Q75" s="113" cm="1">
        <f t="array" aca="1" ref="Q75" ca="1">IFERROR(IF($C75="","",INDIRECT($D$2&amp;"!v"&amp;Z75)),IF($C75="","",INDIRECT("'"&amp;$D$2&amp;"'"&amp;"!v"&amp;Z75)))</f>
        <v>0</v>
      </c>
      <c r="R75" s="113">
        <f t="shared" ca="1" si="9"/>
        <v>0</v>
      </c>
      <c r="S75" s="113" cm="1">
        <f t="array" aca="1" ref="S75" ca="1">IFERROR(IF($C75="","",INDIRECT($D$2&amp;"!x"&amp;Z75)),IF($C75="","",INDIRECT("'"&amp;$D$2&amp;"'"&amp;"!x"&amp;Z75)))</f>
        <v>0</v>
      </c>
      <c r="U75" s="113" cm="1">
        <f t="array" aca="1" ref="U75" ca="1">IFERROR(IF($C75="","",INDIRECT($D$2&amp;"!z"&amp;Z75)),IF($C75="","",INDIRECT("'"&amp;$D$2&amp;"'"&amp;"!z"&amp;Z75)))</f>
        <v>0</v>
      </c>
      <c r="V75" s="113">
        <f t="shared" ca="1" si="10"/>
        <v>0</v>
      </c>
      <c r="W75" s="113" cm="1">
        <f t="array" aca="1" ref="W75" ca="1">IFERROR(IF($C75="","",INDIRECT($D$2&amp;"!ab"&amp;Z75)),IF($C75="","",INDIRECT("'"&amp;$D$2&amp;"'"&amp;"!ab"&amp;Z75)))</f>
        <v>0</v>
      </c>
      <c r="X75" s="113"/>
      <c r="Y75" s="113">
        <f t="shared" ca="1" si="11"/>
        <v>0</v>
      </c>
      <c r="Z75" s="35">
        <v>64</v>
      </c>
      <c r="AA75" s="113"/>
      <c r="AB75" s="35">
        <v>64</v>
      </c>
    </row>
    <row r="76" spans="3:28" x14ac:dyDescent="0.25">
      <c r="C76" t="str" cm="1">
        <f t="array" aca="1" ref="C76" ca="1">IFERROR(IF(INDIRECT($D$2&amp;"!B"&amp;Z76)="","",INDIRECT("'"&amp;$D$2&amp;"'"&amp;"!B"&amp;Z76)),IF(INDIRECT("'"&amp;$D$2&amp;"'"&amp;"!B"&amp;Z76)="","",INDIRECT("'"&amp;$D$2&amp;"'"&amp;"!B"&amp;Z76)))</f>
        <v>Synergy Automated Document Recognition</v>
      </c>
      <c r="D76" t="str" cm="1">
        <f t="array" aca="1" ref="D76" ca="1">IFERROR(_xlfn.IFS(C76="","",C76&lt;&gt;"",INDEX(SF_Output!I:I,MATCH(C76,SF_Output!M:M,0))),IFERROR(INDEX(INDIRECT($D$2&amp;"!G:G"),MATCH(C76,INDIRECT($D$2&amp;"!B:B"),0)),INDEX(INDIRECT("'"&amp;$D$2&amp;"'!G:G"),MATCH(C76,INDIRECT("'"&amp;$D$2&amp;"'!B:B"),0))))</f>
        <v>Imaging</v>
      </c>
      <c r="E76" t="str" cm="1">
        <f t="array" aca="1" ref="E76" ca="1">IFERROR(IF(C76="","",INDIRECT($D$2&amp;"!F"&amp;Z76)),IF(C76="","",INDIRECT("'"&amp;$D$2&amp;"'"&amp;"!F"&amp;Z76)))</f>
        <v>Optional</v>
      </c>
      <c r="F76" t="str" cm="1">
        <f t="array" aca="1" ref="F76" ca="1">IFERROR(IF(C76="","",INDIRECT($D$2&amp;"!ak"&amp;Z76)),IF(C76="","",INDIRECT("'"&amp;$D$2&amp;"'"&amp;"!ak"&amp;Z76)))</f>
        <v>PAP</v>
      </c>
      <c r="G76" cm="1">
        <f t="array" aca="1" ref="G76" ca="1">IFERROR(INDIRECT($D$2&amp;"!h"&amp;Z76),INDIRECT("'"&amp;$D$2&amp;"'"&amp;"!h"&amp;Z76))</f>
        <v>5000</v>
      </c>
      <c r="H76" s="125" cm="1">
        <f t="array" aca="1" ref="H76" ca="1">IFERROR(INDIRECT($D$2&amp;"!i"&amp;Z76),INDIRECT("'"&amp;$D$2&amp;"'"&amp;"!i"&amp;Z76))</f>
        <v>0.08</v>
      </c>
      <c r="I76" s="113" cm="1">
        <f t="array" aca="1" ref="I76" ca="1">IFERROR(IF($C76="","",INDIRECT($D$2&amp;"!j"&amp;$Z76)+INDIRECT($D$2&amp;"!n"&amp;$Z76)),IF($C76="","",INDIRECT("'"&amp;$D$2&amp;"'"&amp;"!j"&amp;$Z76)+INDIRECT("'"&amp;$D$2&amp;"'"&amp;"!n"&amp;$Z76)))</f>
        <v>2800</v>
      </c>
      <c r="J76" s="113">
        <f t="shared" ca="1" si="7"/>
        <v>-2800</v>
      </c>
      <c r="K76" s="113" cm="1">
        <f t="array" aca="1" ref="K76" ca="1">IFERROR(IF($C76="","",INDIRECT($D$2&amp;"!l"&amp;$Z76)+INDIRECT($D$2&amp;"!p"&amp;$Z76)),IF($C76="","",INDIRECT("'"&amp;$D$2&amp;"'"&amp;"!l"&amp;$Z76)+INDIRECT("'"&amp;$D$2&amp;"'"&amp;"!p"&amp;$Z76)))</f>
        <v>0</v>
      </c>
      <c r="M76" s="113" cm="1">
        <f t="array" aca="1" ref="M76" ca="1">IFERROR(IF($C76="","",INDIRECT($D$2&amp;"!r"&amp;Z76)),IF($C76="","",INDIRECT("'"&amp;$D$2&amp;"'"&amp;"!r"&amp;Z76)))</f>
        <v>0</v>
      </c>
      <c r="N76" s="113">
        <f t="shared" ca="1" si="8"/>
        <v>0</v>
      </c>
      <c r="O76" s="113" cm="1">
        <f t="array" aca="1" ref="O76" ca="1">IFERROR(IF($C76="","",INDIRECT($D$2&amp;"!t"&amp;Z76)),IF($C76="","",INDIRECT("'"&amp;$D$2&amp;"'"&amp;"!t"&amp;Z76)))</f>
        <v>0</v>
      </c>
      <c r="Q76" s="113" cm="1">
        <f t="array" aca="1" ref="Q76" ca="1">IFERROR(IF($C76="","",INDIRECT($D$2&amp;"!v"&amp;Z76)),IF($C76="","",INDIRECT("'"&amp;$D$2&amp;"'"&amp;"!v"&amp;Z76)))</f>
        <v>400</v>
      </c>
      <c r="R76" s="113">
        <f t="shared" ca="1" si="9"/>
        <v>0</v>
      </c>
      <c r="S76" s="113" cm="1">
        <f t="array" aca="1" ref="S76" ca="1">IFERROR(IF($C76="","",INDIRECT($D$2&amp;"!x"&amp;Z76)),IF($C76="","",INDIRECT("'"&amp;$D$2&amp;"'"&amp;"!x"&amp;Z76)))</f>
        <v>400</v>
      </c>
      <c r="U76" s="113" cm="1">
        <f t="array" aca="1" ref="U76" ca="1">IFERROR(IF($C76="","",INDIRECT($D$2&amp;"!z"&amp;Z76)),IF($C76="","",INDIRECT("'"&amp;$D$2&amp;"'"&amp;"!z"&amp;Z76)))</f>
        <v>0</v>
      </c>
      <c r="V76" s="113">
        <f t="shared" ca="1" si="10"/>
        <v>0</v>
      </c>
      <c r="W76" s="113" cm="1">
        <f t="array" aca="1" ref="W76" ca="1">IFERROR(IF($C76="","",INDIRECT($D$2&amp;"!ab"&amp;Z76)),IF($C76="","",INDIRECT("'"&amp;$D$2&amp;"'"&amp;"!ab"&amp;Z76)))</f>
        <v>0</v>
      </c>
      <c r="X76" s="113"/>
      <c r="Y76" s="113">
        <f t="shared" ca="1" si="11"/>
        <v>400</v>
      </c>
      <c r="Z76" s="35">
        <v>65</v>
      </c>
      <c r="AA76" s="113"/>
      <c r="AB76" s="35">
        <v>65</v>
      </c>
    </row>
    <row r="77" spans="3:28" x14ac:dyDescent="0.25">
      <c r="C77" t="str" cm="1">
        <f t="array" aca="1" ref="C77" ca="1">IFERROR(IF(INDIRECT($D$2&amp;"!B"&amp;Z77)="","",INDIRECT("'"&amp;$D$2&amp;"'"&amp;"!B"&amp;Z77)),IF(INDIRECT("'"&amp;$D$2&amp;"'"&amp;"!B"&amp;Z77)="","",INDIRECT("'"&amp;$D$2&amp;"'"&amp;"!B"&amp;Z77)))</f>
        <v>Synergy eSign and eSignWeb Bundle</v>
      </c>
      <c r="D77" t="str" cm="1">
        <f t="array" aca="1" ref="D77" ca="1">IFERROR(_xlfn.IFS(C77="","",C77&lt;&gt;"",INDEX(SF_Output!I:I,MATCH(C77,SF_Output!M:M,0))),IFERROR(INDEX(INDIRECT($D$2&amp;"!G:G"),MATCH(C77,INDIRECT($D$2&amp;"!B:B"),0)),INDEX(INDIRECT("'"&amp;$D$2&amp;"'!G:G"),MATCH(C77,INDIRECT("'"&amp;$D$2&amp;"'!B:B"),0))))</f>
        <v>Imaging</v>
      </c>
      <c r="E77" t="str" cm="1">
        <f t="array" aca="1" ref="E77" ca="1">IFERROR(IF(C77="","",INDIRECT($D$2&amp;"!F"&amp;Z77)),IF(C77="","",INDIRECT("'"&amp;$D$2&amp;"'"&amp;"!F"&amp;Z77)))</f>
        <v>Included</v>
      </c>
      <c r="F77" t="str" cm="1">
        <f t="array" aca="1" ref="F77" ca="1">IFERROR(IF(C77="","",INDIRECT($D$2&amp;"!ak"&amp;Z77)),IF(C77="","",INDIRECT("'"&amp;$D$2&amp;"'"&amp;"!ak"&amp;Z77)))</f>
        <v>PAP</v>
      </c>
      <c r="G77" cm="1">
        <f t="array" aca="1" ref="G77" ca="1">IFERROR(INDIRECT($D$2&amp;"!h"&amp;Z77),INDIRECT("'"&amp;$D$2&amp;"'"&amp;"!h"&amp;Z77))</f>
        <v>5000</v>
      </c>
      <c r="H77" s="125" cm="1">
        <f t="array" aca="1" ref="H77" ca="1">IFERROR(INDIRECT($D$2&amp;"!i"&amp;Z77),INDIRECT("'"&amp;$D$2&amp;"'"&amp;"!i"&amp;Z77))</f>
        <v>0.184</v>
      </c>
      <c r="I77" s="113" cm="1">
        <f t="array" aca="1" ref="I77" ca="1">IFERROR(IF($C77="","",INDIRECT($D$2&amp;"!j"&amp;$Z77)+INDIRECT($D$2&amp;"!n"&amp;$Z77)),IF($C77="","",INDIRECT("'"&amp;$D$2&amp;"'"&amp;"!j"&amp;$Z77)+INDIRECT("'"&amp;$D$2&amp;"'"&amp;"!n"&amp;$Z77)))</f>
        <v>15750</v>
      </c>
      <c r="J77" s="113">
        <f t="shared" ca="1" si="7"/>
        <v>0</v>
      </c>
      <c r="K77" s="113" cm="1">
        <f t="array" aca="1" ref="K77" ca="1">IFERROR(IF($C77="","",INDIRECT($D$2&amp;"!l"&amp;$Z77)+INDIRECT($D$2&amp;"!p"&amp;$Z77)),IF($C77="","",INDIRECT("'"&amp;$D$2&amp;"'"&amp;"!l"&amp;$Z77)+INDIRECT("'"&amp;$D$2&amp;"'"&amp;"!p"&amp;$Z77)))</f>
        <v>15750</v>
      </c>
      <c r="M77" s="113" cm="1">
        <f t="array" aca="1" ref="M77" ca="1">IFERROR(IF($C77="","",INDIRECT($D$2&amp;"!r"&amp;Z77)),IF($C77="","",INDIRECT("'"&amp;$D$2&amp;"'"&amp;"!r"&amp;Z77)))</f>
        <v>0</v>
      </c>
      <c r="N77" s="113">
        <f t="shared" ca="1" si="8"/>
        <v>0</v>
      </c>
      <c r="O77" s="113" cm="1">
        <f t="array" aca="1" ref="O77" ca="1">IFERROR(IF($C77="","",INDIRECT($D$2&amp;"!t"&amp;Z77)),IF($C77="","",INDIRECT("'"&amp;$D$2&amp;"'"&amp;"!t"&amp;Z77)))</f>
        <v>0</v>
      </c>
      <c r="Q77" s="113" cm="1">
        <f t="array" aca="1" ref="Q77" ca="1">IFERROR(IF($C77="","",INDIRECT($D$2&amp;"!v"&amp;Z77)),IF($C77="","",INDIRECT("'"&amp;$D$2&amp;"'"&amp;"!v"&amp;Z77)))</f>
        <v>920</v>
      </c>
      <c r="R77" s="113">
        <f t="shared" ca="1" si="9"/>
        <v>0</v>
      </c>
      <c r="S77" s="113" cm="1">
        <f t="array" aca="1" ref="S77" ca="1">IFERROR(IF($C77="","",INDIRECT($D$2&amp;"!x"&amp;Z77)),IF($C77="","",INDIRECT("'"&amp;$D$2&amp;"'"&amp;"!x"&amp;Z77)))</f>
        <v>920</v>
      </c>
      <c r="U77" s="113" cm="1">
        <f t="array" aca="1" ref="U77" ca="1">IFERROR(IF($C77="","",INDIRECT($D$2&amp;"!z"&amp;Z77)),IF($C77="","",INDIRECT("'"&amp;$D$2&amp;"'"&amp;"!z"&amp;Z77)))</f>
        <v>0</v>
      </c>
      <c r="V77" s="113">
        <f t="shared" ca="1" si="10"/>
        <v>0</v>
      </c>
      <c r="W77" s="113" cm="1">
        <f t="array" aca="1" ref="W77" ca="1">IFERROR(IF($C77="","",INDIRECT($D$2&amp;"!ab"&amp;Z77)),IF($C77="","",INDIRECT("'"&amp;$D$2&amp;"'"&amp;"!ab"&amp;Z77)))</f>
        <v>0</v>
      </c>
      <c r="X77" s="113"/>
      <c r="Y77" s="113">
        <f t="shared" ca="1" si="11"/>
        <v>920</v>
      </c>
      <c r="Z77" s="35">
        <v>66</v>
      </c>
      <c r="AA77" s="113"/>
      <c r="AB77" s="35">
        <v>66</v>
      </c>
    </row>
    <row r="78" spans="3:28" x14ac:dyDescent="0.25">
      <c r="C78" t="str" cm="1">
        <f t="array" aca="1" ref="C78" ca="1">IFERROR(IF(INDIRECT($D$2&amp;"!B"&amp;Z78)="","",INDIRECT("'"&amp;$D$2&amp;"'"&amp;"!B"&amp;Z78)),IF(INDIRECT("'"&amp;$D$2&amp;"'"&amp;"!B"&amp;Z78)="","",INDIRECT("'"&amp;$D$2&amp;"'"&amp;"!B"&amp;Z78)))</f>
        <v>Synergy ECM Administrator Education Pack (Virtual, instructor-led training and eLearning)</v>
      </c>
      <c r="D78" t="str" cm="1">
        <f t="array" aca="1" ref="D78" ca="1">IFERROR(_xlfn.IFS(C78="","",C78&lt;&gt;"",INDEX(SF_Output!I:I,MATCH(C78,SF_Output!M:M,0))),IFERROR(INDEX(INDIRECT($D$2&amp;"!G:G"),MATCH(C78,INDIRECT($D$2&amp;"!B:B"),0)),INDEX(INDIRECT("'"&amp;$D$2&amp;"'!G:G"),MATCH(C78,INDIRECT("'"&amp;$D$2&amp;"'!B:B"),0))))</f>
        <v>Imaging</v>
      </c>
      <c r="E78" t="str" cm="1">
        <f t="array" aca="1" ref="E78" ca="1">IFERROR(IF(C78="","",INDIRECT($D$2&amp;"!F"&amp;Z78)),IF(C78="","",INDIRECT("'"&amp;$D$2&amp;"'"&amp;"!F"&amp;Z78)))</f>
        <v>Included</v>
      </c>
      <c r="F78" t="str" cm="1">
        <f t="array" aca="1" ref="F78" ca="1">IFERROR(IF(C78="","",INDIRECT($D$2&amp;"!ak"&amp;Z78)),IF(C78="","",INDIRECT("'"&amp;$D$2&amp;"'"&amp;"!ak"&amp;Z78)))</f>
        <v/>
      </c>
      <c r="G78" cm="1">
        <f t="array" aca="1" ref="G78" ca="1">IFERROR(INDIRECT($D$2&amp;"!h"&amp;Z78),INDIRECT("'"&amp;$D$2&amp;"'"&amp;"!h"&amp;Z78))</f>
        <v>1</v>
      </c>
      <c r="H78" s="125" t="str" cm="1">
        <f t="array" aca="1" ref="H78" ca="1">IFERROR(INDIRECT($D$2&amp;"!i"&amp;Z78),INDIRECT("'"&amp;$D$2&amp;"'"&amp;"!i"&amp;Z78))</f>
        <v/>
      </c>
      <c r="I78" s="113" cm="1">
        <f t="array" aca="1" ref="I78" ca="1">IFERROR(IF($C78="","",INDIRECT($D$2&amp;"!j"&amp;$Z78)+INDIRECT($D$2&amp;"!n"&amp;$Z78)),IF($C78="","",INDIRECT("'"&amp;$D$2&amp;"'"&amp;"!j"&amp;$Z78)+INDIRECT("'"&amp;$D$2&amp;"'"&amp;"!n"&amp;$Z78)))</f>
        <v>2600</v>
      </c>
      <c r="J78" s="113">
        <f t="shared" ca="1" si="7"/>
        <v>0</v>
      </c>
      <c r="K78" s="113" cm="1">
        <f t="array" aca="1" ref="K78" ca="1">IFERROR(IF($C78="","",INDIRECT($D$2&amp;"!l"&amp;$Z78)+INDIRECT($D$2&amp;"!p"&amp;$Z78)),IF($C78="","",INDIRECT("'"&amp;$D$2&amp;"'"&amp;"!l"&amp;$Z78)+INDIRECT("'"&amp;$D$2&amp;"'"&amp;"!p"&amp;$Z78)))</f>
        <v>2600</v>
      </c>
      <c r="M78" s="113" cm="1">
        <f t="array" aca="1" ref="M78" ca="1">IFERROR(IF($C78="","",INDIRECT($D$2&amp;"!r"&amp;Z78)),IF($C78="","",INDIRECT("'"&amp;$D$2&amp;"'"&amp;"!r"&amp;Z78)))</f>
        <v>0</v>
      </c>
      <c r="N78" s="113">
        <f t="shared" ca="1" si="8"/>
        <v>0</v>
      </c>
      <c r="O78" s="113" cm="1">
        <f t="array" aca="1" ref="O78" ca="1">IFERROR(IF($C78="","",INDIRECT($D$2&amp;"!t"&amp;Z78)),IF($C78="","",INDIRECT("'"&amp;$D$2&amp;"'"&amp;"!t"&amp;Z78)))</f>
        <v>0</v>
      </c>
      <c r="Q78" s="113" cm="1">
        <f t="array" aca="1" ref="Q78" ca="1">IFERROR(IF($C78="","",INDIRECT($D$2&amp;"!v"&amp;Z78)),IF($C78="","",INDIRECT("'"&amp;$D$2&amp;"'"&amp;"!v"&amp;Z78)))</f>
        <v>0</v>
      </c>
      <c r="R78" s="113">
        <f t="shared" ca="1" si="9"/>
        <v>0</v>
      </c>
      <c r="S78" s="113" cm="1">
        <f t="array" aca="1" ref="S78" ca="1">IFERROR(IF($C78="","",INDIRECT($D$2&amp;"!x"&amp;Z78)),IF($C78="","",INDIRECT("'"&amp;$D$2&amp;"'"&amp;"!x"&amp;Z78)))</f>
        <v>0</v>
      </c>
      <c r="U78" s="113" cm="1">
        <f t="array" aca="1" ref="U78" ca="1">IFERROR(IF($C78="","",INDIRECT($D$2&amp;"!z"&amp;Z78)),IF($C78="","",INDIRECT("'"&amp;$D$2&amp;"'"&amp;"!z"&amp;Z78)))</f>
        <v>0</v>
      </c>
      <c r="V78" s="113">
        <f t="shared" ca="1" si="10"/>
        <v>0</v>
      </c>
      <c r="W78" s="113" cm="1">
        <f t="array" aca="1" ref="W78" ca="1">IFERROR(IF($C78="","",INDIRECT($D$2&amp;"!ab"&amp;Z78)),IF($C78="","",INDIRECT("'"&amp;$D$2&amp;"'"&amp;"!ab"&amp;Z78)))</f>
        <v>0</v>
      </c>
      <c r="X78" s="113"/>
      <c r="Y78" s="113">
        <f t="shared" ca="1" si="11"/>
        <v>0</v>
      </c>
      <c r="Z78" s="35">
        <v>67</v>
      </c>
      <c r="AA78" s="113"/>
      <c r="AB78" s="35">
        <v>67</v>
      </c>
    </row>
    <row r="79" spans="3:28" x14ac:dyDescent="0.25">
      <c r="C79" t="str" cm="1">
        <f t="array" aca="1" ref="C79" ca="1">IFERROR(IF(INDIRECT($D$2&amp;"!B"&amp;Z79)="","",INDIRECT("'"&amp;$D$2&amp;"'"&amp;"!B"&amp;Z79)),IF(INDIRECT("'"&amp;$D$2&amp;"'"&amp;"!B"&amp;Z79)="","",INDIRECT("'"&amp;$D$2&amp;"'"&amp;"!B"&amp;Z79)))</f>
        <v>Synergy ECM User/Operator Education Pack (eLearning)</v>
      </c>
      <c r="D79" t="str" cm="1">
        <f t="array" aca="1" ref="D79" ca="1">IFERROR(_xlfn.IFS(C79="","",C79&lt;&gt;"",INDEX(SF_Output!I:I,MATCH(C79,SF_Output!M:M,0))),IFERROR(INDEX(INDIRECT($D$2&amp;"!G:G"),MATCH(C79,INDIRECT($D$2&amp;"!B:B"),0)),INDEX(INDIRECT("'"&amp;$D$2&amp;"'!G:G"),MATCH(C79,INDIRECT("'"&amp;$D$2&amp;"'!B:B"),0))))</f>
        <v>Imaging</v>
      </c>
      <c r="E79" t="str" cm="1">
        <f t="array" aca="1" ref="E79" ca="1">IFERROR(IF(C79="","",INDIRECT($D$2&amp;"!F"&amp;Z79)),IF(C79="","",INDIRECT("'"&amp;$D$2&amp;"'"&amp;"!F"&amp;Z79)))</f>
        <v>Included</v>
      </c>
      <c r="F79" t="str" cm="1">
        <f t="array" aca="1" ref="F79" ca="1">IFERROR(IF(C79="","",INDIRECT($D$2&amp;"!ak"&amp;Z79)),IF(C79="","",INDIRECT("'"&amp;$D$2&amp;"'"&amp;"!ak"&amp;Z79)))</f>
        <v/>
      </c>
      <c r="G79" cm="1">
        <f t="array" aca="1" ref="G79" ca="1">IFERROR(INDIRECT($D$2&amp;"!h"&amp;Z79),INDIRECT("'"&amp;$D$2&amp;"'"&amp;"!h"&amp;Z79))</f>
        <v>1</v>
      </c>
      <c r="H79" s="125" t="str" cm="1">
        <f t="array" aca="1" ref="H79" ca="1">IFERROR(INDIRECT($D$2&amp;"!i"&amp;Z79),INDIRECT("'"&amp;$D$2&amp;"'"&amp;"!i"&amp;Z79))</f>
        <v/>
      </c>
      <c r="I79" s="113" cm="1">
        <f t="array" aca="1" ref="I79" ca="1">IFERROR(IF($C79="","",INDIRECT($D$2&amp;"!j"&amp;$Z79)+INDIRECT($D$2&amp;"!n"&amp;$Z79)),IF($C79="","",INDIRECT("'"&amp;$D$2&amp;"'"&amp;"!j"&amp;$Z79)+INDIRECT("'"&amp;$D$2&amp;"'"&amp;"!n"&amp;$Z79)))</f>
        <v>3250</v>
      </c>
      <c r="J79" s="113">
        <f t="shared" ca="1" si="7"/>
        <v>0</v>
      </c>
      <c r="K79" s="113" cm="1">
        <f t="array" aca="1" ref="K79" ca="1">IFERROR(IF($C79="","",INDIRECT($D$2&amp;"!l"&amp;$Z79)+INDIRECT($D$2&amp;"!p"&amp;$Z79)),IF($C79="","",INDIRECT("'"&amp;$D$2&amp;"'"&amp;"!l"&amp;$Z79)+INDIRECT("'"&amp;$D$2&amp;"'"&amp;"!p"&amp;$Z79)))</f>
        <v>3250</v>
      </c>
      <c r="M79" s="113" cm="1">
        <f t="array" aca="1" ref="M79" ca="1">IFERROR(IF($C79="","",INDIRECT($D$2&amp;"!r"&amp;Z79)),IF($C79="","",INDIRECT("'"&amp;$D$2&amp;"'"&amp;"!r"&amp;Z79)))</f>
        <v>0</v>
      </c>
      <c r="N79" s="113">
        <f t="shared" ca="1" si="8"/>
        <v>0</v>
      </c>
      <c r="O79" s="113" cm="1">
        <f t="array" aca="1" ref="O79" ca="1">IFERROR(IF($C79="","",INDIRECT($D$2&amp;"!t"&amp;Z79)),IF($C79="","",INDIRECT("'"&amp;$D$2&amp;"'"&amp;"!t"&amp;Z79)))</f>
        <v>0</v>
      </c>
      <c r="Q79" s="113" cm="1">
        <f t="array" aca="1" ref="Q79" ca="1">IFERROR(IF($C79="","",INDIRECT($D$2&amp;"!v"&amp;Z79)),IF($C79="","",INDIRECT("'"&amp;$D$2&amp;"'"&amp;"!v"&amp;Z79)))</f>
        <v>0</v>
      </c>
      <c r="R79" s="113">
        <f t="shared" ca="1" si="9"/>
        <v>0</v>
      </c>
      <c r="S79" s="113" cm="1">
        <f t="array" aca="1" ref="S79" ca="1">IFERROR(IF($C79="","",INDIRECT($D$2&amp;"!x"&amp;Z79)),IF($C79="","",INDIRECT("'"&amp;$D$2&amp;"'"&amp;"!x"&amp;Z79)))</f>
        <v>0</v>
      </c>
      <c r="U79" s="113" cm="1">
        <f t="array" aca="1" ref="U79" ca="1">IFERROR(IF($C79="","",INDIRECT($D$2&amp;"!z"&amp;Z79)),IF($C79="","",INDIRECT("'"&amp;$D$2&amp;"'"&amp;"!z"&amp;Z79)))</f>
        <v>0</v>
      </c>
      <c r="V79" s="113">
        <f t="shared" ca="1" si="10"/>
        <v>0</v>
      </c>
      <c r="W79" s="113" cm="1">
        <f t="array" aca="1" ref="W79" ca="1">IFERROR(IF($C79="","",INDIRECT($D$2&amp;"!ab"&amp;Z79)),IF($C79="","",INDIRECT("'"&amp;$D$2&amp;"'"&amp;"!ab"&amp;Z79)))</f>
        <v>0</v>
      </c>
      <c r="X79" s="113"/>
      <c r="Y79" s="113">
        <f t="shared" ca="1" si="11"/>
        <v>0</v>
      </c>
      <c r="Z79" s="35">
        <v>68</v>
      </c>
      <c r="AA79" s="113"/>
      <c r="AB79" s="35">
        <v>68</v>
      </c>
    </row>
    <row r="80" spans="3:28" x14ac:dyDescent="0.25">
      <c r="C80" t="str" cm="1">
        <f t="array" aca="1" ref="C80" ca="1">IFERROR(IF(INDIRECT($D$2&amp;"!B"&amp;Z80)="","",INDIRECT("'"&amp;$D$2&amp;"'"&amp;"!B"&amp;Z80)),IF(INDIRECT("'"&amp;$D$2&amp;"'"&amp;"!B"&amp;Z80)="","",INDIRECT("'"&amp;$D$2&amp;"'"&amp;"!B"&amp;Z80)))</f>
        <v>Synergy Productivity Education Pack (Virtual, instructor-led training and eLearning)</v>
      </c>
      <c r="D80" t="str" cm="1">
        <f t="array" aca="1" ref="D80" ca="1">IFERROR(_xlfn.IFS(C80="","",C80&lt;&gt;"",INDEX(SF_Output!I:I,MATCH(C80,SF_Output!M:M,0))),IFERROR(INDEX(INDIRECT($D$2&amp;"!G:G"),MATCH(C80,INDIRECT($D$2&amp;"!B:B"),0)),INDEX(INDIRECT("'"&amp;$D$2&amp;"'!G:G"),MATCH(C80,INDIRECT("'"&amp;$D$2&amp;"'!B:B"),0))))</f>
        <v>Imaging</v>
      </c>
      <c r="E80" t="str" cm="1">
        <f t="array" aca="1" ref="E80" ca="1">IFERROR(IF(C80="","",INDIRECT($D$2&amp;"!F"&amp;Z80)),IF(C80="","",INDIRECT("'"&amp;$D$2&amp;"'"&amp;"!F"&amp;Z80)))</f>
        <v>Included</v>
      </c>
      <c r="F80" t="str" cm="1">
        <f t="array" aca="1" ref="F80" ca="1">IFERROR(IF(C80="","",INDIRECT($D$2&amp;"!ak"&amp;Z80)),IF(C80="","",INDIRECT("'"&amp;$D$2&amp;"'"&amp;"!ak"&amp;Z80)))</f>
        <v/>
      </c>
      <c r="G80" cm="1">
        <f t="array" aca="1" ref="G80" ca="1">IFERROR(INDIRECT($D$2&amp;"!h"&amp;Z80),INDIRECT("'"&amp;$D$2&amp;"'"&amp;"!h"&amp;Z80))</f>
        <v>1</v>
      </c>
      <c r="H80" s="125" t="str" cm="1">
        <f t="array" aca="1" ref="H80" ca="1">IFERROR(INDIRECT($D$2&amp;"!i"&amp;Z80),INDIRECT("'"&amp;$D$2&amp;"'"&amp;"!i"&amp;Z80))</f>
        <v/>
      </c>
      <c r="I80" s="113" cm="1">
        <f t="array" aca="1" ref="I80" ca="1">IFERROR(IF($C80="","",INDIRECT($D$2&amp;"!j"&amp;$Z80)+INDIRECT($D$2&amp;"!n"&amp;$Z80)),IF($C80="","",INDIRECT("'"&amp;$D$2&amp;"'"&amp;"!j"&amp;$Z80)+INDIRECT("'"&amp;$D$2&amp;"'"&amp;"!n"&amp;$Z80)))</f>
        <v>1150</v>
      </c>
      <c r="J80" s="113">
        <f t="shared" ca="1" si="7"/>
        <v>0</v>
      </c>
      <c r="K80" s="113" cm="1">
        <f t="array" aca="1" ref="K80" ca="1">IFERROR(IF($C80="","",INDIRECT($D$2&amp;"!l"&amp;$Z80)+INDIRECT($D$2&amp;"!p"&amp;$Z80)),IF($C80="","",INDIRECT("'"&amp;$D$2&amp;"'"&amp;"!l"&amp;$Z80)+INDIRECT("'"&amp;$D$2&amp;"'"&amp;"!p"&amp;$Z80)))</f>
        <v>1150</v>
      </c>
      <c r="M80" s="113" cm="1">
        <f t="array" aca="1" ref="M80" ca="1">IFERROR(IF($C80="","",INDIRECT($D$2&amp;"!r"&amp;Z80)),IF($C80="","",INDIRECT("'"&amp;$D$2&amp;"'"&amp;"!r"&amp;Z80)))</f>
        <v>0</v>
      </c>
      <c r="N80" s="113">
        <f t="shared" ca="1" si="8"/>
        <v>0</v>
      </c>
      <c r="O80" s="113" cm="1">
        <f t="array" aca="1" ref="O80" ca="1">IFERROR(IF($C80="","",INDIRECT($D$2&amp;"!t"&amp;Z80)),IF($C80="","",INDIRECT("'"&amp;$D$2&amp;"'"&amp;"!t"&amp;Z80)))</f>
        <v>0</v>
      </c>
      <c r="Q80" s="113" cm="1">
        <f t="array" aca="1" ref="Q80" ca="1">IFERROR(IF($C80="","",INDIRECT($D$2&amp;"!v"&amp;Z80)),IF($C80="","",INDIRECT("'"&amp;$D$2&amp;"'"&amp;"!v"&amp;Z80)))</f>
        <v>0</v>
      </c>
      <c r="R80" s="113">
        <f t="shared" ca="1" si="9"/>
        <v>0</v>
      </c>
      <c r="S80" s="113" cm="1">
        <f t="array" aca="1" ref="S80" ca="1">IFERROR(IF($C80="","",INDIRECT($D$2&amp;"!x"&amp;Z80)),IF($C80="","",INDIRECT("'"&amp;$D$2&amp;"'"&amp;"!x"&amp;Z80)))</f>
        <v>0</v>
      </c>
      <c r="U80" s="113" cm="1">
        <f t="array" aca="1" ref="U80" ca="1">IFERROR(IF($C80="","",INDIRECT($D$2&amp;"!z"&amp;Z80)),IF($C80="","",INDIRECT("'"&amp;$D$2&amp;"'"&amp;"!z"&amp;Z80)))</f>
        <v>0</v>
      </c>
      <c r="V80" s="113">
        <f t="shared" ca="1" si="10"/>
        <v>0</v>
      </c>
      <c r="W80" s="113" cm="1">
        <f t="array" aca="1" ref="W80" ca="1">IFERROR(IF($C80="","",INDIRECT($D$2&amp;"!ab"&amp;Z80)),IF($C80="","",INDIRECT("'"&amp;$D$2&amp;"'"&amp;"!ab"&amp;Z80)))</f>
        <v>0</v>
      </c>
      <c r="X80" s="113"/>
      <c r="Y80" s="113">
        <f t="shared" ca="1" si="11"/>
        <v>0</v>
      </c>
      <c r="Z80" s="35">
        <v>69</v>
      </c>
      <c r="AA80" s="113"/>
      <c r="AB80" s="35">
        <v>69</v>
      </c>
    </row>
    <row r="81" spans="3:28" x14ac:dyDescent="0.25">
      <c r="C81" t="str" cm="1">
        <f t="array" aca="1" ref="C81" ca="1">IFERROR(IF(INDIRECT($D$2&amp;"!B"&amp;Z81)="","",INDIRECT("'"&amp;$D$2&amp;"'"&amp;"!B"&amp;Z81)),IF(INDIRECT("'"&amp;$D$2&amp;"'"&amp;"!B"&amp;Z81)="","",INDIRECT("'"&amp;$D$2&amp;"'"&amp;"!B"&amp;Z81)))</f>
        <v>Synergy Document Recognition Education (eLearning)</v>
      </c>
      <c r="D81" t="str" cm="1">
        <f t="array" aca="1" ref="D81" ca="1">IFERROR(_xlfn.IFS(C81="","",C81&lt;&gt;"",INDEX(SF_Output!I:I,MATCH(C81,SF_Output!M:M,0))),IFERROR(INDEX(INDIRECT($D$2&amp;"!G:G"),MATCH(C81,INDIRECT($D$2&amp;"!B:B"),0)),INDEX(INDIRECT("'"&amp;$D$2&amp;"'!G:G"),MATCH(C81,INDIRECT("'"&amp;$D$2&amp;"'!B:B"),0))))</f>
        <v>Imaging</v>
      </c>
      <c r="E81" t="str" cm="1">
        <f t="array" aca="1" ref="E81" ca="1">IFERROR(IF(C81="","",INDIRECT($D$2&amp;"!F"&amp;Z81)),IF(C81="","",INDIRECT("'"&amp;$D$2&amp;"'"&amp;"!F"&amp;Z81)))</f>
        <v>Optional</v>
      </c>
      <c r="F81" t="str" cm="1">
        <f t="array" aca="1" ref="F81" ca="1">IFERROR(IF(C81="","",INDIRECT($D$2&amp;"!ak"&amp;Z81)),IF(C81="","",INDIRECT("'"&amp;$D$2&amp;"'"&amp;"!ak"&amp;Z81)))</f>
        <v/>
      </c>
      <c r="G81" cm="1">
        <f t="array" aca="1" ref="G81" ca="1">IFERROR(INDIRECT($D$2&amp;"!h"&amp;Z81),INDIRECT("'"&amp;$D$2&amp;"'"&amp;"!h"&amp;Z81))</f>
        <v>1</v>
      </c>
      <c r="H81" s="125" t="str" cm="1">
        <f t="array" aca="1" ref="H81" ca="1">IFERROR(INDIRECT($D$2&amp;"!i"&amp;Z81),INDIRECT("'"&amp;$D$2&amp;"'"&amp;"!i"&amp;Z81))</f>
        <v/>
      </c>
      <c r="I81" s="113" cm="1">
        <f t="array" aca="1" ref="I81" ca="1">IFERROR(IF($C81="","",INDIRECT($D$2&amp;"!j"&amp;$Z81)+INDIRECT($D$2&amp;"!n"&amp;$Z81)),IF($C81="","",INDIRECT("'"&amp;$D$2&amp;"'"&amp;"!j"&amp;$Z81)+INDIRECT("'"&amp;$D$2&amp;"'"&amp;"!n"&amp;$Z81)))</f>
        <v>450</v>
      </c>
      <c r="J81" s="113">
        <f t="shared" ca="1" si="7"/>
        <v>0</v>
      </c>
      <c r="K81" s="113" cm="1">
        <f t="array" aca="1" ref="K81" ca="1">IFERROR(IF($C81="","",INDIRECT($D$2&amp;"!l"&amp;$Z81)+INDIRECT($D$2&amp;"!p"&amp;$Z81)),IF($C81="","",INDIRECT("'"&amp;$D$2&amp;"'"&amp;"!l"&amp;$Z81)+INDIRECT("'"&amp;$D$2&amp;"'"&amp;"!p"&amp;$Z81)))</f>
        <v>450</v>
      </c>
      <c r="M81" s="113" cm="1">
        <f t="array" aca="1" ref="M81" ca="1">IFERROR(IF($C81="","",INDIRECT($D$2&amp;"!r"&amp;Z81)),IF($C81="","",INDIRECT("'"&amp;$D$2&amp;"'"&amp;"!r"&amp;Z81)))</f>
        <v>0</v>
      </c>
      <c r="N81" s="113">
        <f t="shared" ca="1" si="8"/>
        <v>0</v>
      </c>
      <c r="O81" s="113" cm="1">
        <f t="array" aca="1" ref="O81" ca="1">IFERROR(IF($C81="","",INDIRECT($D$2&amp;"!t"&amp;Z81)),IF($C81="","",INDIRECT("'"&amp;$D$2&amp;"'"&amp;"!t"&amp;Z81)))</f>
        <v>0</v>
      </c>
      <c r="Q81" s="113" cm="1">
        <f t="array" aca="1" ref="Q81" ca="1">IFERROR(IF($C81="","",INDIRECT($D$2&amp;"!v"&amp;Z81)),IF($C81="","",INDIRECT("'"&amp;$D$2&amp;"'"&amp;"!v"&amp;Z81)))</f>
        <v>0</v>
      </c>
      <c r="R81" s="113">
        <f t="shared" ca="1" si="9"/>
        <v>0</v>
      </c>
      <c r="S81" s="113" cm="1">
        <f t="array" aca="1" ref="S81" ca="1">IFERROR(IF($C81="","",INDIRECT($D$2&amp;"!x"&amp;Z81)),IF($C81="","",INDIRECT("'"&amp;$D$2&amp;"'"&amp;"!x"&amp;Z81)))</f>
        <v>0</v>
      </c>
      <c r="U81" s="113" cm="1">
        <f t="array" aca="1" ref="U81" ca="1">IFERROR(IF($C81="","",INDIRECT($D$2&amp;"!z"&amp;Z81)),IF($C81="","",INDIRECT("'"&amp;$D$2&amp;"'"&amp;"!z"&amp;Z81)))</f>
        <v>0</v>
      </c>
      <c r="V81" s="113">
        <f t="shared" ca="1" si="10"/>
        <v>0</v>
      </c>
      <c r="W81" s="113" cm="1">
        <f t="array" aca="1" ref="W81" ca="1">IFERROR(IF($C81="","",INDIRECT($D$2&amp;"!ab"&amp;Z81)),IF($C81="","",INDIRECT("'"&amp;$D$2&amp;"'"&amp;"!ab"&amp;Z81)))</f>
        <v>0</v>
      </c>
      <c r="X81" s="113"/>
      <c r="Y81" s="113">
        <f t="shared" ca="1" si="11"/>
        <v>0</v>
      </c>
      <c r="Z81" s="35">
        <v>70</v>
      </c>
      <c r="AA81" s="113"/>
      <c r="AB81" s="35">
        <v>70</v>
      </c>
    </row>
    <row r="82" spans="3:28" x14ac:dyDescent="0.25">
      <c r="C82" t="str" cm="1">
        <f t="array" aca="1" ref="C82" ca="1">IFERROR(IF(INDIRECT($D$2&amp;"!B"&amp;Z82)="","",INDIRECT("'"&amp;$D$2&amp;"'"&amp;"!B"&amp;Z82)),IF(INDIRECT("'"&amp;$D$2&amp;"'"&amp;"!B"&amp;Z82)="","",INDIRECT("'"&amp;$D$2&amp;"'"&amp;"!B"&amp;Z82)))</f>
        <v>Synergy eSign &amp; eSignWeb Education Pack (Virtual, instructor-led training and eLearning)</v>
      </c>
      <c r="D82" t="str" cm="1">
        <f t="array" aca="1" ref="D82" ca="1">IFERROR(_xlfn.IFS(C82="","",C82&lt;&gt;"",INDEX(SF_Output!I:I,MATCH(C82,SF_Output!M:M,0))),IFERROR(INDEX(INDIRECT($D$2&amp;"!G:G"),MATCH(C82,INDIRECT($D$2&amp;"!B:B"),0)),INDEX(INDIRECT("'"&amp;$D$2&amp;"'!G:G"),MATCH(C82,INDIRECT("'"&amp;$D$2&amp;"'!B:B"),0))))</f>
        <v>Imaging</v>
      </c>
      <c r="E82" t="str" cm="1">
        <f t="array" aca="1" ref="E82" ca="1">IFERROR(IF(C82="","",INDIRECT($D$2&amp;"!F"&amp;Z82)),IF(C82="","",INDIRECT("'"&amp;$D$2&amp;"'"&amp;"!F"&amp;Z82)))</f>
        <v>Included</v>
      </c>
      <c r="F82" t="str" cm="1">
        <f t="array" aca="1" ref="F82" ca="1">IFERROR(IF(C82="","",INDIRECT($D$2&amp;"!ak"&amp;Z82)),IF(C82="","",INDIRECT("'"&amp;$D$2&amp;"'"&amp;"!ak"&amp;Z82)))</f>
        <v/>
      </c>
      <c r="G82" cm="1">
        <f t="array" aca="1" ref="G82" ca="1">IFERROR(INDIRECT($D$2&amp;"!h"&amp;Z82),INDIRECT("'"&amp;$D$2&amp;"'"&amp;"!h"&amp;Z82))</f>
        <v>1</v>
      </c>
      <c r="H82" s="125" t="str" cm="1">
        <f t="array" aca="1" ref="H82" ca="1">IFERROR(INDIRECT($D$2&amp;"!i"&amp;Z82),INDIRECT("'"&amp;$D$2&amp;"'"&amp;"!i"&amp;Z82))</f>
        <v/>
      </c>
      <c r="I82" s="113" cm="1">
        <f t="array" aca="1" ref="I82" ca="1">IFERROR(IF($C82="","",INDIRECT($D$2&amp;"!j"&amp;$Z82)+INDIRECT($D$2&amp;"!n"&amp;$Z82)),IF($C82="","",INDIRECT("'"&amp;$D$2&amp;"'"&amp;"!j"&amp;$Z82)+INDIRECT("'"&amp;$D$2&amp;"'"&amp;"!n"&amp;$Z82)))</f>
        <v>1900</v>
      </c>
      <c r="J82" s="113">
        <f t="shared" ca="1" si="7"/>
        <v>0</v>
      </c>
      <c r="K82" s="113" cm="1">
        <f t="array" aca="1" ref="K82" ca="1">IFERROR(IF($C82="","",INDIRECT($D$2&amp;"!l"&amp;$Z82)+INDIRECT($D$2&amp;"!p"&amp;$Z82)),IF($C82="","",INDIRECT("'"&amp;$D$2&amp;"'"&amp;"!l"&amp;$Z82)+INDIRECT("'"&amp;$D$2&amp;"'"&amp;"!p"&amp;$Z82)))</f>
        <v>1900</v>
      </c>
      <c r="M82" s="113" cm="1">
        <f t="array" aca="1" ref="M82" ca="1">IFERROR(IF($C82="","",INDIRECT($D$2&amp;"!r"&amp;Z82)),IF($C82="","",INDIRECT("'"&amp;$D$2&amp;"'"&amp;"!r"&amp;Z82)))</f>
        <v>0</v>
      </c>
      <c r="N82" s="113">
        <f t="shared" ca="1" si="8"/>
        <v>0</v>
      </c>
      <c r="O82" s="113" cm="1">
        <f t="array" aca="1" ref="O82" ca="1">IFERROR(IF($C82="","",INDIRECT($D$2&amp;"!t"&amp;Z82)),IF($C82="","",INDIRECT("'"&amp;$D$2&amp;"'"&amp;"!t"&amp;Z82)))</f>
        <v>0</v>
      </c>
      <c r="Q82" s="113" cm="1">
        <f t="array" aca="1" ref="Q82" ca="1">IFERROR(IF($C82="","",INDIRECT($D$2&amp;"!v"&amp;Z82)),IF($C82="","",INDIRECT("'"&amp;$D$2&amp;"'"&amp;"!v"&amp;Z82)))</f>
        <v>0</v>
      </c>
      <c r="R82" s="113">
        <f t="shared" ca="1" si="9"/>
        <v>0</v>
      </c>
      <c r="S82" s="113" cm="1">
        <f t="array" aca="1" ref="S82" ca="1">IFERROR(IF($C82="","",INDIRECT($D$2&amp;"!x"&amp;Z82)),IF($C82="","",INDIRECT("'"&amp;$D$2&amp;"'"&amp;"!x"&amp;Z82)))</f>
        <v>0</v>
      </c>
      <c r="U82" s="113" cm="1">
        <f t="array" aca="1" ref="U82" ca="1">IFERROR(IF($C82="","",INDIRECT($D$2&amp;"!z"&amp;Z82)),IF($C82="","",INDIRECT("'"&amp;$D$2&amp;"'"&amp;"!z"&amp;Z82)))</f>
        <v>0</v>
      </c>
      <c r="V82" s="113">
        <f t="shared" ca="1" si="10"/>
        <v>0</v>
      </c>
      <c r="W82" s="113" cm="1">
        <f t="array" aca="1" ref="W82" ca="1">IFERROR(IF($C82="","",INDIRECT($D$2&amp;"!ab"&amp;Z82)),IF($C82="","",INDIRECT("'"&amp;$D$2&amp;"'"&amp;"!ab"&amp;Z82)))</f>
        <v>0</v>
      </c>
      <c r="X82" s="113"/>
      <c r="Y82" s="113">
        <f t="shared" ca="1" si="11"/>
        <v>0</v>
      </c>
      <c r="Z82" s="35">
        <v>71</v>
      </c>
      <c r="AA82" s="113"/>
      <c r="AB82" s="35">
        <v>71</v>
      </c>
    </row>
    <row r="83" spans="3:28" x14ac:dyDescent="0.25">
      <c r="C83" t="str" cm="1">
        <f t="array" aca="1" ref="C83" ca="1">IFERROR(IF(INDIRECT($D$2&amp;"!B"&amp;Z83)="","",INDIRECT("'"&amp;$D$2&amp;"'"&amp;"!B"&amp;Z83)),IF(INDIRECT("'"&amp;$D$2&amp;"'"&amp;"!B"&amp;Z83)="","",INDIRECT("'"&amp;$D$2&amp;"'"&amp;"!B"&amp;Z83)))</f>
        <v>Synergy Implementation Consulting</v>
      </c>
      <c r="D83" t="str" cm="1">
        <f t="array" aca="1" ref="D83" ca="1">IFERROR(_xlfn.IFS(C83="","",C83&lt;&gt;"",INDEX(SF_Output!I:I,MATCH(C83,SF_Output!M:M,0))),IFERROR(INDEX(INDIRECT($D$2&amp;"!G:G"),MATCH(C83,INDIRECT($D$2&amp;"!B:B"),0)),INDEX(INDIRECT("'"&amp;$D$2&amp;"'!G:G"),MATCH(C83,INDIRECT("'"&amp;$D$2&amp;"'!B:B"),0))))</f>
        <v>Imaging</v>
      </c>
      <c r="E83" t="str" cm="1">
        <f t="array" aca="1" ref="E83" ca="1">IFERROR(IF(C83="","",INDIRECT($D$2&amp;"!F"&amp;Z83)),IF(C83="","",INDIRECT("'"&amp;$D$2&amp;"'"&amp;"!F"&amp;Z83)))</f>
        <v>Included</v>
      </c>
      <c r="F83" t="str" cm="1">
        <f t="array" aca="1" ref="F83" ca="1">IFERROR(IF(C83="","",INDIRECT($D$2&amp;"!ak"&amp;Z83)),IF(C83="","",INDIRECT("'"&amp;$D$2&amp;"'"&amp;"!ak"&amp;Z83)))</f>
        <v/>
      </c>
      <c r="G83" cm="1">
        <f t="array" aca="1" ref="G83" ca="1">IFERROR(INDIRECT($D$2&amp;"!h"&amp;Z83),INDIRECT("'"&amp;$D$2&amp;"'"&amp;"!h"&amp;Z83))</f>
        <v>1</v>
      </c>
      <c r="H83" s="125" t="str" cm="1">
        <f t="array" aca="1" ref="H83" ca="1">IFERROR(INDIRECT($D$2&amp;"!i"&amp;Z83),INDIRECT("'"&amp;$D$2&amp;"'"&amp;"!i"&amp;Z83))</f>
        <v/>
      </c>
      <c r="I83" s="113" cm="1">
        <f t="array" aca="1" ref="I83" ca="1">IFERROR(IF($C83="","",INDIRECT($D$2&amp;"!j"&amp;$Z83)+INDIRECT($D$2&amp;"!n"&amp;$Z83)),IF($C83="","",INDIRECT("'"&amp;$D$2&amp;"'"&amp;"!j"&amp;$Z83)+INDIRECT("'"&amp;$D$2&amp;"'"&amp;"!n"&amp;$Z83)))</f>
        <v>5200</v>
      </c>
      <c r="J83" s="113">
        <f t="shared" ca="1" si="7"/>
        <v>0</v>
      </c>
      <c r="K83" s="113" cm="1">
        <f t="array" aca="1" ref="K83" ca="1">IFERROR(IF($C83="","",INDIRECT($D$2&amp;"!l"&amp;$Z83)+INDIRECT($D$2&amp;"!p"&amp;$Z83)),IF($C83="","",INDIRECT("'"&amp;$D$2&amp;"'"&amp;"!l"&amp;$Z83)+INDIRECT("'"&amp;$D$2&amp;"'"&amp;"!p"&amp;$Z83)))</f>
        <v>5200</v>
      </c>
      <c r="M83" s="113" cm="1">
        <f t="array" aca="1" ref="M83" ca="1">IFERROR(IF($C83="","",INDIRECT($D$2&amp;"!r"&amp;Z83)),IF($C83="","",INDIRECT("'"&amp;$D$2&amp;"'"&amp;"!r"&amp;Z83)))</f>
        <v>0</v>
      </c>
      <c r="N83" s="113">
        <f t="shared" ca="1" si="8"/>
        <v>0</v>
      </c>
      <c r="O83" s="113" cm="1">
        <f t="array" aca="1" ref="O83" ca="1">IFERROR(IF($C83="","",INDIRECT($D$2&amp;"!t"&amp;Z83)),IF($C83="","",INDIRECT("'"&amp;$D$2&amp;"'"&amp;"!t"&amp;Z83)))</f>
        <v>0</v>
      </c>
      <c r="Q83" s="113" cm="1">
        <f t="array" aca="1" ref="Q83" ca="1">IFERROR(IF($C83="","",INDIRECT($D$2&amp;"!v"&amp;Z83)),IF($C83="","",INDIRECT("'"&amp;$D$2&amp;"'"&amp;"!v"&amp;Z83)))</f>
        <v>0</v>
      </c>
      <c r="R83" s="113">
        <f t="shared" ca="1" si="9"/>
        <v>0</v>
      </c>
      <c r="S83" s="113" cm="1">
        <f t="array" aca="1" ref="S83" ca="1">IFERROR(IF($C83="","",INDIRECT($D$2&amp;"!x"&amp;Z83)),IF($C83="","",INDIRECT("'"&amp;$D$2&amp;"'"&amp;"!x"&amp;Z83)))</f>
        <v>0</v>
      </c>
      <c r="U83" s="113" cm="1">
        <f t="array" aca="1" ref="U83" ca="1">IFERROR(IF($C83="","",INDIRECT($D$2&amp;"!z"&amp;Z83)),IF($C83="","",INDIRECT("'"&amp;$D$2&amp;"'"&amp;"!z"&amp;Z83)))</f>
        <v>0</v>
      </c>
      <c r="V83" s="113">
        <f t="shared" ca="1" si="10"/>
        <v>0</v>
      </c>
      <c r="W83" s="113" cm="1">
        <f t="array" aca="1" ref="W83" ca="1">IFERROR(IF($C83="","",INDIRECT($D$2&amp;"!ab"&amp;Z83)),IF($C83="","",INDIRECT("'"&amp;$D$2&amp;"'"&amp;"!ab"&amp;Z83)))</f>
        <v>0</v>
      </c>
      <c r="X83" s="113"/>
      <c r="Y83" s="113">
        <f t="shared" ca="1" si="11"/>
        <v>0</v>
      </c>
      <c r="Z83" s="35">
        <v>72</v>
      </c>
      <c r="AA83" s="113"/>
      <c r="AB83" s="35">
        <v>72</v>
      </c>
    </row>
    <row r="84" spans="3:28" x14ac:dyDescent="0.25">
      <c r="C84" t="str" cm="1">
        <f t="array" aca="1" ref="C84" ca="1">IFERROR(IF(INDIRECT($D$2&amp;"!B"&amp;Z84)="","",INDIRECT("'"&amp;$D$2&amp;"'"&amp;"!B"&amp;Z84)),IF(INDIRECT("'"&amp;$D$2&amp;"'"&amp;"!B"&amp;Z84)="","",INDIRECT("'"&amp;$D$2&amp;"'"&amp;"!B"&amp;Z84)))</f>
        <v>iPay Business BillPay Banno</v>
      </c>
      <c r="D84" t="str" cm="1">
        <f t="array" aca="1" ref="D84" ca="1">IFERROR(_xlfn.IFS(C84="","",C84&lt;&gt;"",INDEX(SF_Output!I:I,MATCH(C84,SF_Output!M:M,0))),IFERROR(INDEX(INDIRECT($D$2&amp;"!G:G"),MATCH(C84,INDIRECT($D$2&amp;"!B:B"),0)),INDEX(INDIRECT("'"&amp;$D$2&amp;"'!G:G"),MATCH(C84,INDIRECT("'"&amp;$D$2&amp;"'!B:B"),0))))</f>
        <v>Payments</v>
      </c>
      <c r="E84" t="str" cm="1">
        <f t="array" aca="1" ref="E84" ca="1">IFERROR(IF(C84="","",INDIRECT($D$2&amp;"!F"&amp;Z84)),IF(C84="","",INDIRECT("'"&amp;$D$2&amp;"'"&amp;"!F"&amp;Z84)))</f>
        <v>Included</v>
      </c>
      <c r="F84" t="str" cm="1">
        <f t="array" aca="1" ref="F84" ca="1">IFERROR(IF(C84="","",INDIRECT($D$2&amp;"!ak"&amp;Z84)),IF(C84="","",INDIRECT("'"&amp;$D$2&amp;"'"&amp;"!ak"&amp;Z84)))</f>
        <v/>
      </c>
      <c r="G84" cm="1">
        <f t="array" aca="1" ref="G84" ca="1">IFERROR(INDIRECT($D$2&amp;"!h"&amp;Z84),INDIRECT("'"&amp;$D$2&amp;"'"&amp;"!h"&amp;Z84))</f>
        <v>1</v>
      </c>
      <c r="H84" s="125" t="str" cm="1">
        <f t="array" aca="1" ref="H84" ca="1">IFERROR(INDIRECT($D$2&amp;"!i"&amp;Z84),INDIRECT("'"&amp;$D$2&amp;"'"&amp;"!i"&amp;Z84))</f>
        <v/>
      </c>
      <c r="I84" s="113" cm="1">
        <f t="array" aca="1" ref="I84" ca="1">IFERROR(IF($C84="","",INDIRECT($D$2&amp;"!j"&amp;$Z84)+INDIRECT($D$2&amp;"!n"&amp;$Z84)),IF($C84="","",INDIRECT("'"&amp;$D$2&amp;"'"&amp;"!j"&amp;$Z84)+INDIRECT("'"&amp;$D$2&amp;"'"&amp;"!n"&amp;$Z84)))</f>
        <v>2500</v>
      </c>
      <c r="J84" s="113">
        <f t="shared" ca="1" si="7"/>
        <v>-2500</v>
      </c>
      <c r="K84" s="113" cm="1">
        <f t="array" aca="1" ref="K84" ca="1">IFERROR(IF($C84="","",INDIRECT($D$2&amp;"!l"&amp;$Z84)+INDIRECT($D$2&amp;"!p"&amp;$Z84)),IF($C84="","",INDIRECT("'"&amp;$D$2&amp;"'"&amp;"!l"&amp;$Z84)+INDIRECT("'"&amp;$D$2&amp;"'"&amp;"!p"&amp;$Z84)))</f>
        <v>0</v>
      </c>
      <c r="M84" s="113" cm="1">
        <f t="array" aca="1" ref="M84" ca="1">IFERROR(IF($C84="","",INDIRECT($D$2&amp;"!r"&amp;Z84)),IF($C84="","",INDIRECT("'"&amp;$D$2&amp;"'"&amp;"!r"&amp;Z84)))</f>
        <v>0</v>
      </c>
      <c r="N84" s="113">
        <f t="shared" ca="1" si="8"/>
        <v>0</v>
      </c>
      <c r="O84" s="113" cm="1">
        <f t="array" aca="1" ref="O84" ca="1">IFERROR(IF($C84="","",INDIRECT($D$2&amp;"!t"&amp;Z84)),IF($C84="","",INDIRECT("'"&amp;$D$2&amp;"'"&amp;"!t"&amp;Z84)))</f>
        <v>0</v>
      </c>
      <c r="Q84" s="113" cm="1">
        <f t="array" aca="1" ref="Q84" ca="1">IFERROR(IF($C84="","",INDIRECT($D$2&amp;"!v"&amp;Z84)),IF($C84="","",INDIRECT("'"&amp;$D$2&amp;"'"&amp;"!v"&amp;Z84)))</f>
        <v>400</v>
      </c>
      <c r="R84" s="113">
        <f t="shared" ca="1" si="9"/>
        <v>0</v>
      </c>
      <c r="S84" s="113" cm="1">
        <f t="array" aca="1" ref="S84" ca="1">IFERROR(IF($C84="","",INDIRECT($D$2&amp;"!x"&amp;Z84)),IF($C84="","",INDIRECT("'"&amp;$D$2&amp;"'"&amp;"!x"&amp;Z84)))</f>
        <v>400</v>
      </c>
      <c r="U84" s="113" cm="1">
        <f t="array" aca="1" ref="U84" ca="1">IFERROR(IF($C84="","",INDIRECT($D$2&amp;"!z"&amp;Z84)),IF($C84="","",INDIRECT("'"&amp;$D$2&amp;"'"&amp;"!z"&amp;Z84)))</f>
        <v>0</v>
      </c>
      <c r="V84" s="113">
        <f t="shared" ca="1" si="10"/>
        <v>0</v>
      </c>
      <c r="W84" s="113" cm="1">
        <f t="array" aca="1" ref="W84" ca="1">IFERROR(IF($C84="","",INDIRECT($D$2&amp;"!ab"&amp;Z84)),IF($C84="","",INDIRECT("'"&amp;$D$2&amp;"'"&amp;"!ab"&amp;Z84)))</f>
        <v>0</v>
      </c>
      <c r="X84" s="113"/>
      <c r="Y84" s="113">
        <f t="shared" ca="1" si="11"/>
        <v>400</v>
      </c>
      <c r="Z84" s="35">
        <v>73</v>
      </c>
      <c r="AA84" s="113"/>
      <c r="AB84" s="35">
        <v>73</v>
      </c>
    </row>
    <row r="85" spans="3:28" x14ac:dyDescent="0.25">
      <c r="C85" t="str" cm="1">
        <f t="array" aca="1" ref="C85" ca="1">IFERROR(IF(INDIRECT($D$2&amp;"!B"&amp;Z85)="","",INDIRECT("'"&amp;$D$2&amp;"'"&amp;"!B"&amp;Z85)),IF(INDIRECT("'"&amp;$D$2&amp;"'"&amp;"!B"&amp;Z85)="","",INDIRECT("'"&amp;$D$2&amp;"'"&amp;"!B"&amp;Z85)))</f>
        <v>iPay Electronic Bill Payment Annual Compliance Package Banno</v>
      </c>
      <c r="D85" t="str" cm="1">
        <f t="array" aca="1" ref="D85" ca="1">IFERROR(_xlfn.IFS(C85="","",C85&lt;&gt;"",INDEX(SF_Output!I:I,MATCH(C85,SF_Output!M:M,0))),IFERROR(INDEX(INDIRECT($D$2&amp;"!G:G"),MATCH(C85,INDIRECT($D$2&amp;"!B:B"),0)),INDEX(INDIRECT("'"&amp;$D$2&amp;"'!G:G"),MATCH(C85,INDIRECT("'"&amp;$D$2&amp;"'!B:B"),0))))</f>
        <v>Payments</v>
      </c>
      <c r="E85" t="str" cm="1">
        <f t="array" aca="1" ref="E85" ca="1">IFERROR(IF(C85="","",INDIRECT($D$2&amp;"!F"&amp;Z85)),IF(C85="","",INDIRECT("'"&amp;$D$2&amp;"'"&amp;"!F"&amp;Z85)))</f>
        <v>Included</v>
      </c>
      <c r="F85" t="str" cm="1">
        <f t="array" aca="1" ref="F85" ca="1">IFERROR(IF(C85="","",INDIRECT($D$2&amp;"!ak"&amp;Z85)),IF(C85="","",INDIRECT("'"&amp;$D$2&amp;"'"&amp;"!ak"&amp;Z85)))</f>
        <v/>
      </c>
      <c r="G85" cm="1">
        <f t="array" aca="1" ref="G85" ca="1">IFERROR(INDIRECT($D$2&amp;"!h"&amp;Z85),INDIRECT("'"&amp;$D$2&amp;"'"&amp;"!h"&amp;Z85))</f>
        <v>1</v>
      </c>
      <c r="H85" s="125" t="str" cm="1">
        <f t="array" aca="1" ref="H85" ca="1">IFERROR(INDIRECT($D$2&amp;"!i"&amp;Z85),INDIRECT("'"&amp;$D$2&amp;"'"&amp;"!i"&amp;Z85))</f>
        <v/>
      </c>
      <c r="I85" s="113" cm="1">
        <f t="array" aca="1" ref="I85" ca="1">IFERROR(IF($C85="","",INDIRECT($D$2&amp;"!j"&amp;$Z85)+INDIRECT($D$2&amp;"!n"&amp;$Z85)),IF($C85="","",INDIRECT("'"&amp;$D$2&amp;"'"&amp;"!j"&amp;$Z85)+INDIRECT("'"&amp;$D$2&amp;"'"&amp;"!n"&amp;$Z85)))</f>
        <v>0</v>
      </c>
      <c r="J85" s="113">
        <f t="shared" ca="1" si="7"/>
        <v>0</v>
      </c>
      <c r="K85" s="113" cm="1">
        <f t="array" aca="1" ref="K85" ca="1">IFERROR(IF($C85="","",INDIRECT($D$2&amp;"!l"&amp;$Z85)+INDIRECT($D$2&amp;"!p"&amp;$Z85)),IF($C85="","",INDIRECT("'"&amp;$D$2&amp;"'"&amp;"!l"&amp;$Z85)+INDIRECT("'"&amp;$D$2&amp;"'"&amp;"!p"&amp;$Z85)))</f>
        <v>0</v>
      </c>
      <c r="M85" s="113" cm="1">
        <f t="array" aca="1" ref="M85" ca="1">IFERROR(IF($C85="","",INDIRECT($D$2&amp;"!r"&amp;Z85)),IF($C85="","",INDIRECT("'"&amp;$D$2&amp;"'"&amp;"!r"&amp;Z85)))</f>
        <v>630</v>
      </c>
      <c r="N85" s="113">
        <f t="shared" ca="1" si="8"/>
        <v>0</v>
      </c>
      <c r="O85" s="113" cm="1">
        <f t="array" aca="1" ref="O85" ca="1">IFERROR(IF($C85="","",INDIRECT($D$2&amp;"!t"&amp;Z85)),IF($C85="","",INDIRECT("'"&amp;$D$2&amp;"'"&amp;"!t"&amp;Z85)))</f>
        <v>630</v>
      </c>
      <c r="Q85" s="113" cm="1">
        <f t="array" aca="1" ref="Q85" ca="1">IFERROR(IF($C85="","",INDIRECT($D$2&amp;"!v"&amp;Z85)),IF($C85="","",INDIRECT("'"&amp;$D$2&amp;"'"&amp;"!v"&amp;Z85)))</f>
        <v>0</v>
      </c>
      <c r="R85" s="113">
        <f t="shared" ca="1" si="9"/>
        <v>0</v>
      </c>
      <c r="S85" s="113" cm="1">
        <f t="array" aca="1" ref="S85" ca="1">IFERROR(IF($C85="","",INDIRECT($D$2&amp;"!x"&amp;Z85)),IF($C85="","",INDIRECT("'"&amp;$D$2&amp;"'"&amp;"!x"&amp;Z85)))</f>
        <v>0</v>
      </c>
      <c r="U85" s="113" cm="1">
        <f t="array" aca="1" ref="U85" ca="1">IFERROR(IF($C85="","",INDIRECT($D$2&amp;"!z"&amp;Z85)),IF($C85="","",INDIRECT("'"&amp;$D$2&amp;"'"&amp;"!z"&amp;Z85)))</f>
        <v>0</v>
      </c>
      <c r="V85" s="113">
        <f t="shared" ca="1" si="10"/>
        <v>0</v>
      </c>
      <c r="W85" s="113" cm="1">
        <f t="array" aca="1" ref="W85" ca="1">IFERROR(IF($C85="","",INDIRECT($D$2&amp;"!ab"&amp;Z85)),IF($C85="","",INDIRECT("'"&amp;$D$2&amp;"'"&amp;"!ab"&amp;Z85)))</f>
        <v>0</v>
      </c>
      <c r="X85" s="113"/>
      <c r="Y85" s="113">
        <f t="shared" ca="1" si="11"/>
        <v>0</v>
      </c>
      <c r="Z85" s="35">
        <v>74</v>
      </c>
      <c r="AA85" s="113"/>
      <c r="AB85" s="35">
        <v>74</v>
      </c>
    </row>
    <row r="86" spans="3:28" x14ac:dyDescent="0.25">
      <c r="C86" t="str" cm="1">
        <f t="array" aca="1" ref="C86" ca="1">IFERROR(IF(INDIRECT($D$2&amp;"!B"&amp;Z86)="","",INDIRECT("'"&amp;$D$2&amp;"'"&amp;"!B"&amp;Z86)),IF(INDIRECT("'"&amp;$D$2&amp;"'"&amp;"!B"&amp;Z86)="","",INDIRECT("'"&amp;$D$2&amp;"'"&amp;"!B"&amp;Z86)))</f>
        <v>iPay eBill Detail</v>
      </c>
      <c r="D86" t="str" cm="1">
        <f t="array" aca="1" ref="D86" ca="1">IFERROR(_xlfn.IFS(C86="","",C86&lt;&gt;"",INDEX(SF_Output!I:I,MATCH(C86,SF_Output!M:M,0))),IFERROR(INDEX(INDIRECT($D$2&amp;"!G:G"),MATCH(C86,INDIRECT($D$2&amp;"!B:B"),0)),INDEX(INDIRECT("'"&amp;$D$2&amp;"'!G:G"),MATCH(C86,INDIRECT("'"&amp;$D$2&amp;"'!B:B"),0))))</f>
        <v>Payments</v>
      </c>
      <c r="E86" t="str" cm="1">
        <f t="array" aca="1" ref="E86" ca="1">IFERROR(IF(C86="","",INDIRECT($D$2&amp;"!F"&amp;Z86)),IF(C86="","",INDIRECT("'"&amp;$D$2&amp;"'"&amp;"!F"&amp;Z86)))</f>
        <v>Included</v>
      </c>
      <c r="F86" t="str" cm="1">
        <f t="array" aca="1" ref="F86" ca="1">IFERROR(IF(C86="","",INDIRECT($D$2&amp;"!ak"&amp;Z86)),IF(C86="","",INDIRECT("'"&amp;$D$2&amp;"'"&amp;"!ak"&amp;Z86)))</f>
        <v/>
      </c>
      <c r="G86" cm="1">
        <f t="array" aca="1" ref="G86" ca="1">IFERROR(INDIRECT($D$2&amp;"!h"&amp;Z86),INDIRECT("'"&amp;$D$2&amp;"'"&amp;"!h"&amp;Z86))</f>
        <v>1</v>
      </c>
      <c r="H86" s="125" t="str" cm="1">
        <f t="array" aca="1" ref="H86" ca="1">IFERROR(INDIRECT($D$2&amp;"!i"&amp;Z86),INDIRECT("'"&amp;$D$2&amp;"'"&amp;"!i"&amp;Z86))</f>
        <v/>
      </c>
      <c r="I86" s="113" cm="1">
        <f t="array" aca="1" ref="I86" ca="1">IFERROR(IF($C86="","",INDIRECT($D$2&amp;"!j"&amp;$Z86)+INDIRECT($D$2&amp;"!n"&amp;$Z86)),IF($C86="","",INDIRECT("'"&amp;$D$2&amp;"'"&amp;"!j"&amp;$Z86)+INDIRECT("'"&amp;$D$2&amp;"'"&amp;"!n"&amp;$Z86)))</f>
        <v>0</v>
      </c>
      <c r="J86" s="113">
        <f t="shared" ca="1" si="7"/>
        <v>0</v>
      </c>
      <c r="K86" s="113" cm="1">
        <f t="array" aca="1" ref="K86" ca="1">IFERROR(IF($C86="","",INDIRECT($D$2&amp;"!l"&amp;$Z86)+INDIRECT($D$2&amp;"!p"&amp;$Z86)),IF($C86="","",INDIRECT("'"&amp;$D$2&amp;"'"&amp;"!l"&amp;$Z86)+INDIRECT("'"&amp;$D$2&amp;"'"&amp;"!p"&amp;$Z86)))</f>
        <v>0</v>
      </c>
      <c r="M86" s="113" cm="1">
        <f t="array" aca="1" ref="M86" ca="1">IFERROR(IF($C86="","",INDIRECT($D$2&amp;"!r"&amp;Z86)),IF($C86="","",INDIRECT("'"&amp;$D$2&amp;"'"&amp;"!r"&amp;Z86)))</f>
        <v>0</v>
      </c>
      <c r="N86" s="113">
        <f t="shared" ca="1" si="8"/>
        <v>0</v>
      </c>
      <c r="O86" s="113" cm="1">
        <f t="array" aca="1" ref="O86" ca="1">IFERROR(IF($C86="","",INDIRECT($D$2&amp;"!t"&amp;Z86)),IF($C86="","",INDIRECT("'"&amp;$D$2&amp;"'"&amp;"!t"&amp;Z86)))</f>
        <v>0</v>
      </c>
      <c r="Q86" s="113" cm="1">
        <f t="array" aca="1" ref="Q86" ca="1">IFERROR(IF($C86="","",INDIRECT($D$2&amp;"!v"&amp;Z86)),IF($C86="","",INDIRECT("'"&amp;$D$2&amp;"'"&amp;"!v"&amp;Z86)))</f>
        <v>0</v>
      </c>
      <c r="R86" s="113">
        <f t="shared" ca="1" si="9"/>
        <v>0</v>
      </c>
      <c r="S86" s="113" cm="1">
        <f t="array" aca="1" ref="S86" ca="1">IFERROR(IF($C86="","",INDIRECT($D$2&amp;"!x"&amp;Z86)),IF($C86="","",INDIRECT("'"&amp;$D$2&amp;"'"&amp;"!x"&amp;Z86)))</f>
        <v>0</v>
      </c>
      <c r="U86" s="113" cm="1">
        <f t="array" aca="1" ref="U86" ca="1">IFERROR(IF($C86="","",INDIRECT($D$2&amp;"!z"&amp;Z86)),IF($C86="","",INDIRECT("'"&amp;$D$2&amp;"'"&amp;"!z"&amp;Z86)))</f>
        <v>0</v>
      </c>
      <c r="V86" s="113">
        <f t="shared" ca="1" si="10"/>
        <v>0</v>
      </c>
      <c r="W86" s="113" cm="1">
        <f t="array" aca="1" ref="W86" ca="1">IFERROR(IF($C86="","",INDIRECT($D$2&amp;"!ab"&amp;Z86)),IF($C86="","",INDIRECT("'"&amp;$D$2&amp;"'"&amp;"!ab"&amp;Z86)))</f>
        <v>0</v>
      </c>
      <c r="X86" s="113"/>
      <c r="Y86" s="113">
        <f t="shared" ca="1" si="11"/>
        <v>0</v>
      </c>
      <c r="Z86" s="35">
        <v>75</v>
      </c>
      <c r="AA86" s="113"/>
      <c r="AB86" s="35">
        <v>75</v>
      </c>
    </row>
    <row r="87" spans="3:28" x14ac:dyDescent="0.25">
      <c r="C87" t="str" cm="1">
        <f t="array" aca="1" ref="C87" ca="1">IFERROR(IF(INDIRECT($D$2&amp;"!B"&amp;Z87)="","",INDIRECT("'"&amp;$D$2&amp;"'"&amp;"!B"&amp;Z87)),IF(INDIRECT("'"&amp;$D$2&amp;"'"&amp;"!B"&amp;Z87)="","",INDIRECT("'"&amp;$D$2&amp;"'"&amp;"!B"&amp;Z87)))</f>
        <v>Payrailz/iPay Integration</v>
      </c>
      <c r="D87" t="str" cm="1">
        <f t="array" aca="1" ref="D87" ca="1">IFERROR(_xlfn.IFS(C87="","",C87&lt;&gt;"",INDEX(SF_Output!I:I,MATCH(C87,SF_Output!M:M,0))),IFERROR(INDEX(INDIRECT($D$2&amp;"!G:G"),MATCH(C87,INDIRECT($D$2&amp;"!B:B"),0)),INDEX(INDIRECT("'"&amp;$D$2&amp;"'!G:G"),MATCH(C87,INDIRECT("'"&amp;$D$2&amp;"'!B:B"),0))))</f>
        <v>Payments</v>
      </c>
      <c r="E87" t="str" cm="1">
        <f t="array" aca="1" ref="E87" ca="1">IFERROR(IF(C87="","",INDIRECT($D$2&amp;"!F"&amp;Z87)),IF(C87="","",INDIRECT("'"&amp;$D$2&amp;"'"&amp;"!F"&amp;Z87)))</f>
        <v>Included</v>
      </c>
      <c r="F87" t="str" cm="1">
        <f t="array" aca="1" ref="F87" ca="1">IFERROR(IF(C87="","",INDIRECT($D$2&amp;"!ak"&amp;Z87)),IF(C87="","",INDIRECT("'"&amp;$D$2&amp;"'"&amp;"!ak"&amp;Z87)))</f>
        <v/>
      </c>
      <c r="G87" cm="1">
        <f t="array" aca="1" ref="G87" ca="1">IFERROR(INDIRECT($D$2&amp;"!h"&amp;Z87),INDIRECT("'"&amp;$D$2&amp;"'"&amp;"!h"&amp;Z87))</f>
        <v>1</v>
      </c>
      <c r="H87" s="125" t="str" cm="1">
        <f t="array" aca="1" ref="H87" ca="1">IFERROR(INDIRECT($D$2&amp;"!i"&amp;Z87),INDIRECT("'"&amp;$D$2&amp;"'"&amp;"!i"&amp;Z87))</f>
        <v/>
      </c>
      <c r="I87" s="113" cm="1">
        <f t="array" aca="1" ref="I87" ca="1">IFERROR(IF($C87="","",INDIRECT($D$2&amp;"!j"&amp;$Z87)+INDIRECT($D$2&amp;"!n"&amp;$Z87)),IF($C87="","",INDIRECT("'"&amp;$D$2&amp;"'"&amp;"!j"&amp;$Z87)+INDIRECT("'"&amp;$D$2&amp;"'"&amp;"!n"&amp;$Z87)))</f>
        <v>10000</v>
      </c>
      <c r="J87" s="113">
        <f t="shared" ca="1" si="7"/>
        <v>-10000</v>
      </c>
      <c r="K87" s="113" cm="1">
        <f t="array" aca="1" ref="K87" ca="1">IFERROR(IF($C87="","",INDIRECT($D$2&amp;"!l"&amp;$Z87)+INDIRECT($D$2&amp;"!p"&amp;$Z87)),IF($C87="","",INDIRECT("'"&amp;$D$2&amp;"'"&amp;"!l"&amp;$Z87)+INDIRECT("'"&amp;$D$2&amp;"'"&amp;"!p"&amp;$Z87)))</f>
        <v>0</v>
      </c>
      <c r="M87" s="113" cm="1">
        <f t="array" aca="1" ref="M87" ca="1">IFERROR(IF($C87="","",INDIRECT($D$2&amp;"!r"&amp;Z87)),IF($C87="","",INDIRECT("'"&amp;$D$2&amp;"'"&amp;"!r"&amp;Z87)))</f>
        <v>0</v>
      </c>
      <c r="N87" s="113">
        <f t="shared" ca="1" si="8"/>
        <v>0</v>
      </c>
      <c r="O87" s="113" cm="1">
        <f t="array" aca="1" ref="O87" ca="1">IFERROR(IF($C87="","",INDIRECT($D$2&amp;"!t"&amp;Z87)),IF($C87="","",INDIRECT("'"&amp;$D$2&amp;"'"&amp;"!t"&amp;Z87)))</f>
        <v>0</v>
      </c>
      <c r="Q87" s="113" cm="1">
        <f t="array" aca="1" ref="Q87" ca="1">IFERROR(IF($C87="","",INDIRECT($D$2&amp;"!v"&amp;Z87)),IF($C87="","",INDIRECT("'"&amp;$D$2&amp;"'"&amp;"!v"&amp;Z87)))</f>
        <v>0</v>
      </c>
      <c r="R87" s="113">
        <f t="shared" ca="1" si="9"/>
        <v>0</v>
      </c>
      <c r="S87" s="113" cm="1">
        <f t="array" aca="1" ref="S87" ca="1">IFERROR(IF($C87="","",INDIRECT($D$2&amp;"!x"&amp;Z87)),IF($C87="","",INDIRECT("'"&amp;$D$2&amp;"'"&amp;"!x"&amp;Z87)))</f>
        <v>0</v>
      </c>
      <c r="U87" s="113" cm="1">
        <f t="array" aca="1" ref="U87" ca="1">IFERROR(IF($C87="","",INDIRECT($D$2&amp;"!z"&amp;Z87)),IF($C87="","",INDIRECT("'"&amp;$D$2&amp;"'"&amp;"!z"&amp;Z87)))</f>
        <v>0</v>
      </c>
      <c r="V87" s="113">
        <f t="shared" ca="1" si="10"/>
        <v>0</v>
      </c>
      <c r="W87" s="113" cm="1">
        <f t="array" aca="1" ref="W87" ca="1">IFERROR(IF($C87="","",INDIRECT($D$2&amp;"!ab"&amp;Z87)),IF($C87="","",INDIRECT("'"&amp;$D$2&amp;"'"&amp;"!ab"&amp;Z87)))</f>
        <v>0</v>
      </c>
      <c r="X87" s="113"/>
      <c r="Y87" s="113">
        <f t="shared" ca="1" si="11"/>
        <v>0</v>
      </c>
      <c r="Z87" s="35">
        <v>76</v>
      </c>
      <c r="AA87" s="113"/>
      <c r="AB87" s="35">
        <v>76</v>
      </c>
    </row>
    <row r="88" spans="3:28" x14ac:dyDescent="0.25">
      <c r="C88" t="str" cm="1">
        <f t="array" aca="1" ref="C88" ca="1">IFERROR(IF(INDIRECT($D$2&amp;"!B"&amp;Z88)="","",INDIRECT("'"&amp;$D$2&amp;"'"&amp;"!B"&amp;Z88)),IF(INDIRECT("'"&amp;$D$2&amp;"'"&amp;"!B"&amp;Z88)="","",INDIRECT("'"&amp;$D$2&amp;"'"&amp;"!B"&amp;Z88)))</f>
        <v>DirectLine Wires</v>
      </c>
      <c r="D88" t="str" cm="1">
        <f t="array" aca="1" ref="D88" ca="1">IFERROR(_xlfn.IFS(C88="","",C88&lt;&gt;"",INDEX(SF_Output!I:I,MATCH(C88,SF_Output!M:M,0))),IFERROR(INDEX(INDIRECT($D$2&amp;"!G:G"),MATCH(C88,INDIRECT($D$2&amp;"!B:B"),0)),INDEX(INDIRECT("'"&amp;$D$2&amp;"'!G:G"),MATCH(C88,INDIRECT("'"&amp;$D$2&amp;"'!B:B"),0))))</f>
        <v>Payments</v>
      </c>
      <c r="E88" t="str" cm="1">
        <f t="array" aca="1" ref="E88" ca="1">IFERROR(IF(C88="","",INDIRECT($D$2&amp;"!F"&amp;Z88)),IF(C88="","",INDIRECT("'"&amp;$D$2&amp;"'"&amp;"!F"&amp;Z88)))</f>
        <v>Included</v>
      </c>
      <c r="F88" t="str" cm="1">
        <f t="array" aca="1" ref="F88" ca="1">IFERROR(IF(C88="","",INDIRECT($D$2&amp;"!ak"&amp;Z88)),IF(C88="","",INDIRECT("'"&amp;$D$2&amp;"'"&amp;"!ak"&amp;Z88)))</f>
        <v/>
      </c>
      <c r="G88" cm="1">
        <f t="array" aca="1" ref="G88" ca="1">IFERROR(INDIRECT($D$2&amp;"!h"&amp;Z88),INDIRECT("'"&amp;$D$2&amp;"'"&amp;"!h"&amp;Z88))</f>
        <v>1</v>
      </c>
      <c r="H88" s="125" t="str" cm="1">
        <f t="array" aca="1" ref="H88" ca="1">IFERROR(INDIRECT($D$2&amp;"!i"&amp;Z88),INDIRECT("'"&amp;$D$2&amp;"'"&amp;"!i"&amp;Z88))</f>
        <v/>
      </c>
      <c r="I88" s="113" cm="1">
        <f t="array" aca="1" ref="I88" ca="1">IFERROR(IF($C88="","",INDIRECT($D$2&amp;"!j"&amp;$Z88)+INDIRECT($D$2&amp;"!n"&amp;$Z88)),IF($C88="","",INDIRECT("'"&amp;$D$2&amp;"'"&amp;"!j"&amp;$Z88)+INDIRECT("'"&amp;$D$2&amp;"'"&amp;"!n"&amp;$Z88)))</f>
        <v>7500</v>
      </c>
      <c r="J88" s="113">
        <f t="shared" ca="1" si="7"/>
        <v>-7500</v>
      </c>
      <c r="K88" s="113" cm="1">
        <f t="array" aca="1" ref="K88" ca="1">IFERROR(IF($C88="","",INDIRECT($D$2&amp;"!l"&amp;$Z88)+INDIRECT($D$2&amp;"!p"&amp;$Z88)),IF($C88="","",INDIRECT("'"&amp;$D$2&amp;"'"&amp;"!l"&amp;$Z88)+INDIRECT("'"&amp;$D$2&amp;"'"&amp;"!p"&amp;$Z88)))</f>
        <v>0</v>
      </c>
      <c r="M88" s="113" cm="1">
        <f t="array" aca="1" ref="M88" ca="1">IFERROR(IF($C88="","",INDIRECT($D$2&amp;"!r"&amp;Z88)),IF($C88="","",INDIRECT("'"&amp;$D$2&amp;"'"&amp;"!r"&amp;Z88)))</f>
        <v>0</v>
      </c>
      <c r="N88" s="113">
        <f t="shared" ca="1" si="8"/>
        <v>0</v>
      </c>
      <c r="O88" s="113" cm="1">
        <f t="array" aca="1" ref="O88" ca="1">IFERROR(IF($C88="","",INDIRECT($D$2&amp;"!t"&amp;Z88)),IF($C88="","",INDIRECT("'"&amp;$D$2&amp;"'"&amp;"!t"&amp;Z88)))</f>
        <v>0</v>
      </c>
      <c r="Q88" s="113" cm="1">
        <f t="array" aca="1" ref="Q88" ca="1">IFERROR(IF($C88="","",INDIRECT($D$2&amp;"!v"&amp;Z88)),IF($C88="","",INDIRECT("'"&amp;$D$2&amp;"'"&amp;"!v"&amp;Z88)))</f>
        <v>450</v>
      </c>
      <c r="R88" s="113">
        <f t="shared" ca="1" si="9"/>
        <v>0</v>
      </c>
      <c r="S88" s="113" cm="1">
        <f t="array" aca="1" ref="S88" ca="1">IFERROR(IF($C88="","",INDIRECT($D$2&amp;"!x"&amp;Z88)),IF($C88="","",INDIRECT("'"&amp;$D$2&amp;"'"&amp;"!x"&amp;Z88)))</f>
        <v>450</v>
      </c>
      <c r="U88" s="113" cm="1">
        <f t="array" aca="1" ref="U88" ca="1">IFERROR(IF($C88="","",INDIRECT($D$2&amp;"!z"&amp;Z88)),IF($C88="","",INDIRECT("'"&amp;$D$2&amp;"'"&amp;"!z"&amp;Z88)))</f>
        <v>0</v>
      </c>
      <c r="V88" s="113">
        <f t="shared" ca="1" si="10"/>
        <v>0</v>
      </c>
      <c r="W88" s="113" cm="1">
        <f t="array" aca="1" ref="W88" ca="1">IFERROR(IF($C88="","",INDIRECT($D$2&amp;"!ab"&amp;Z88)),IF($C88="","",INDIRECT("'"&amp;$D$2&amp;"'"&amp;"!ab"&amp;Z88)))</f>
        <v>0</v>
      </c>
      <c r="X88" s="113"/>
      <c r="Y88" s="113">
        <f t="shared" ca="1" si="11"/>
        <v>450</v>
      </c>
      <c r="Z88" s="35">
        <v>77</v>
      </c>
      <c r="AA88" s="113"/>
      <c r="AB88" s="35">
        <v>77</v>
      </c>
    </row>
    <row r="89" spans="3:28" x14ac:dyDescent="0.25">
      <c r="C89" t="str" cm="1">
        <f t="array" aca="1" ref="C89" ca="1">IFERROR(IF(INDIRECT($D$2&amp;"!B"&amp;Z89)="","",INDIRECT("'"&amp;$D$2&amp;"'"&amp;"!B"&amp;Z89)),IF(INDIRECT("'"&amp;$D$2&amp;"'"&amp;"!B"&amp;Z89)="","",INDIRECT("'"&amp;$D$2&amp;"'"&amp;"!B"&amp;Z89)))</f>
        <v>CorPay Integration</v>
      </c>
      <c r="D89" t="str" cm="1">
        <f t="array" aca="1" ref="D89" ca="1">IFERROR(_xlfn.IFS(C89="","",C89&lt;&gt;"",INDEX(SF_Output!I:I,MATCH(C89,SF_Output!M:M,0))),IFERROR(INDEX(INDIRECT($D$2&amp;"!G:G"),MATCH(C89,INDIRECT($D$2&amp;"!B:B"),0)),INDEX(INDIRECT("'"&amp;$D$2&amp;"'!G:G"),MATCH(C89,INDIRECT("'"&amp;$D$2&amp;"'!B:B"),0))))</f>
        <v>Payments</v>
      </c>
      <c r="E89" t="str" cm="1">
        <f t="array" aca="1" ref="E89" ca="1">IFERROR(IF(C89="","",INDIRECT($D$2&amp;"!F"&amp;Z89)),IF(C89="","",INDIRECT("'"&amp;$D$2&amp;"'"&amp;"!F"&amp;Z89)))</f>
        <v>Included</v>
      </c>
      <c r="F89" t="str" cm="1">
        <f t="array" aca="1" ref="F89" ca="1">IFERROR(IF(C89="","",INDIRECT($D$2&amp;"!ak"&amp;Z89)),IF(C89="","",INDIRECT("'"&amp;$D$2&amp;"'"&amp;"!ak"&amp;Z89)))</f>
        <v/>
      </c>
      <c r="G89" cm="1">
        <f t="array" aca="1" ref="G89" ca="1">IFERROR(INDIRECT($D$2&amp;"!h"&amp;Z89),INDIRECT("'"&amp;$D$2&amp;"'"&amp;"!h"&amp;Z89))</f>
        <v>1</v>
      </c>
      <c r="H89" s="125" t="str" cm="1">
        <f t="array" aca="1" ref="H89" ca="1">IFERROR(INDIRECT($D$2&amp;"!i"&amp;Z89),INDIRECT("'"&amp;$D$2&amp;"'"&amp;"!i"&amp;Z89))</f>
        <v/>
      </c>
      <c r="I89" s="113" cm="1">
        <f t="array" aca="1" ref="I89" ca="1">IFERROR(IF($C89="","",INDIRECT($D$2&amp;"!j"&amp;$Z89)+INDIRECT($D$2&amp;"!n"&amp;$Z89)),IF($C89="","",INDIRECT("'"&amp;$D$2&amp;"'"&amp;"!j"&amp;$Z89)+INDIRECT("'"&amp;$D$2&amp;"'"&amp;"!n"&amp;$Z89)))</f>
        <v>2500</v>
      </c>
      <c r="J89" s="113">
        <f t="shared" ca="1" si="7"/>
        <v>0</v>
      </c>
      <c r="K89" s="113" cm="1">
        <f t="array" aca="1" ref="K89" ca="1">IFERROR(IF($C89="","",INDIRECT($D$2&amp;"!l"&amp;$Z89)+INDIRECT($D$2&amp;"!p"&amp;$Z89)),IF($C89="","",INDIRECT("'"&amp;$D$2&amp;"'"&amp;"!l"&amp;$Z89)+INDIRECT("'"&amp;$D$2&amp;"'"&amp;"!p"&amp;$Z89)))</f>
        <v>2500</v>
      </c>
      <c r="M89" s="113" cm="1">
        <f t="array" aca="1" ref="M89" ca="1">IFERROR(IF($C89="","",INDIRECT($D$2&amp;"!r"&amp;Z89)),IF($C89="","",INDIRECT("'"&amp;$D$2&amp;"'"&amp;"!r"&amp;Z89)))</f>
        <v>0</v>
      </c>
      <c r="N89" s="113">
        <f t="shared" ca="1" si="8"/>
        <v>0</v>
      </c>
      <c r="O89" s="113" cm="1">
        <f t="array" aca="1" ref="O89" ca="1">IFERROR(IF($C89="","",INDIRECT($D$2&amp;"!t"&amp;Z89)),IF($C89="","",INDIRECT("'"&amp;$D$2&amp;"'"&amp;"!t"&amp;Z89)))</f>
        <v>0</v>
      </c>
      <c r="Q89" s="113" cm="1">
        <f t="array" aca="1" ref="Q89" ca="1">IFERROR(IF($C89="","",INDIRECT($D$2&amp;"!v"&amp;Z89)),IF($C89="","",INDIRECT("'"&amp;$D$2&amp;"'"&amp;"!v"&amp;Z89)))</f>
        <v>300</v>
      </c>
      <c r="R89" s="113">
        <f t="shared" ca="1" si="9"/>
        <v>0</v>
      </c>
      <c r="S89" s="113" cm="1">
        <f t="array" aca="1" ref="S89" ca="1">IFERROR(IF($C89="","",INDIRECT($D$2&amp;"!x"&amp;Z89)),IF($C89="","",INDIRECT("'"&amp;$D$2&amp;"'"&amp;"!x"&amp;Z89)))</f>
        <v>300</v>
      </c>
      <c r="U89" s="113" cm="1">
        <f t="array" aca="1" ref="U89" ca="1">IFERROR(IF($C89="","",INDIRECT($D$2&amp;"!z"&amp;Z89)),IF($C89="","",INDIRECT("'"&amp;$D$2&amp;"'"&amp;"!z"&amp;Z89)))</f>
        <v>0</v>
      </c>
      <c r="V89" s="113">
        <f t="shared" ca="1" si="10"/>
        <v>0</v>
      </c>
      <c r="W89" s="113" cm="1">
        <f t="array" aca="1" ref="W89" ca="1">IFERROR(IF($C89="","",INDIRECT($D$2&amp;"!ab"&amp;Z89)),IF($C89="","",INDIRECT("'"&amp;$D$2&amp;"'"&amp;"!ab"&amp;Z89)))</f>
        <v>0</v>
      </c>
      <c r="X89" s="113"/>
      <c r="Y89" s="113">
        <f t="shared" ca="1" si="11"/>
        <v>300</v>
      </c>
      <c r="Z89" s="35">
        <v>78</v>
      </c>
      <c r="AA89" s="113"/>
      <c r="AB89" s="35">
        <v>78</v>
      </c>
    </row>
    <row r="90" spans="3:28" x14ac:dyDescent="0.25">
      <c r="C90" t="str" cm="1">
        <f t="array" aca="1" ref="C90" ca="1">IFERROR(IF(INDIRECT($D$2&amp;"!B"&amp;Z90)="","",INDIRECT("'"&amp;$D$2&amp;"'"&amp;"!B"&amp;Z90)),IF(INDIRECT("'"&amp;$D$2&amp;"'"&amp;"!B"&amp;Z90)="","",INDIRECT("'"&amp;$D$2&amp;"'"&amp;"!B"&amp;Z90)))</f>
        <v>JHA PayCenter</v>
      </c>
      <c r="D90" t="str" cm="1">
        <f t="array" aca="1" ref="D90" ca="1">IFERROR(_xlfn.IFS(C90="","",C90&lt;&gt;"",INDEX(SF_Output!I:I,MATCH(C90,SF_Output!M:M,0))),IFERROR(INDEX(INDIRECT($D$2&amp;"!G:G"),MATCH(C90,INDIRECT($D$2&amp;"!B:B"),0)),INDEX(INDIRECT("'"&amp;$D$2&amp;"'!G:G"),MATCH(C90,INDIRECT("'"&amp;$D$2&amp;"'!B:B"),0))))</f>
        <v>Payments</v>
      </c>
      <c r="E90" t="str" cm="1">
        <f t="array" aca="1" ref="E90" ca="1">IFERROR(IF(C90="","",INDIRECT($D$2&amp;"!F"&amp;Z90)),IF(C90="","",INDIRECT("'"&amp;$D$2&amp;"'"&amp;"!F"&amp;Z90)))</f>
        <v>Included</v>
      </c>
      <c r="F90" t="str" cm="1">
        <f t="array" aca="1" ref="F90" ca="1">IFERROR(IF(C90="","",INDIRECT($D$2&amp;"!ak"&amp;Z90)),IF(C90="","",INDIRECT("'"&amp;$D$2&amp;"'"&amp;"!ak"&amp;Z90)))</f>
        <v/>
      </c>
      <c r="G90" cm="1">
        <f t="array" aca="1" ref="G90" ca="1">IFERROR(INDIRECT($D$2&amp;"!h"&amp;Z90),INDIRECT("'"&amp;$D$2&amp;"'"&amp;"!h"&amp;Z90))</f>
        <v>1</v>
      </c>
      <c r="H90" s="125" t="str" cm="1">
        <f t="array" aca="1" ref="H90" ca="1">IFERROR(INDIRECT($D$2&amp;"!i"&amp;Z90),INDIRECT("'"&amp;$D$2&amp;"'"&amp;"!i"&amp;Z90))</f>
        <v/>
      </c>
      <c r="I90" s="113" cm="1">
        <f t="array" aca="1" ref="I90" ca="1">IFERROR(IF($C90="","",INDIRECT($D$2&amp;"!j"&amp;$Z90)+INDIRECT($D$2&amp;"!n"&amp;$Z90)),IF($C90="","",INDIRECT("'"&amp;$D$2&amp;"'"&amp;"!j"&amp;$Z90)+INDIRECT("'"&amp;$D$2&amp;"'"&amp;"!n"&amp;$Z90)))</f>
        <v>5000</v>
      </c>
      <c r="J90" s="113">
        <f t="shared" ref="J90:J153" ca="1" si="12">IF(I90="","",K90-I90)</f>
        <v>-5000</v>
      </c>
      <c r="K90" s="113" cm="1">
        <f t="array" aca="1" ref="K90" ca="1">IFERROR(IF($C90="","",INDIRECT($D$2&amp;"!l"&amp;$Z90)+INDIRECT($D$2&amp;"!p"&amp;$Z90)),IF($C90="","",INDIRECT("'"&amp;$D$2&amp;"'"&amp;"!l"&amp;$Z90)+INDIRECT("'"&amp;$D$2&amp;"'"&amp;"!p"&amp;$Z90)))</f>
        <v>0</v>
      </c>
      <c r="M90" s="113" cm="1">
        <f t="array" aca="1" ref="M90" ca="1">IFERROR(IF($C90="","",INDIRECT($D$2&amp;"!r"&amp;Z90)),IF($C90="","",INDIRECT("'"&amp;$D$2&amp;"'"&amp;"!r"&amp;Z90)))</f>
        <v>0</v>
      </c>
      <c r="N90" s="113">
        <f t="shared" ref="N90:N153" ca="1" si="13">IF(M90="","",O90-M90)</f>
        <v>0</v>
      </c>
      <c r="O90" s="113" cm="1">
        <f t="array" aca="1" ref="O90" ca="1">IFERROR(IF($C90="","",INDIRECT($D$2&amp;"!t"&amp;Z90)),IF($C90="","",INDIRECT("'"&amp;$D$2&amp;"'"&amp;"!t"&amp;Z90)))</f>
        <v>0</v>
      </c>
      <c r="Q90" s="113" cm="1">
        <f t="array" aca="1" ref="Q90" ca="1">IFERROR(IF($C90="","",INDIRECT($D$2&amp;"!v"&amp;Z90)),IF($C90="","",INDIRECT("'"&amp;$D$2&amp;"'"&amp;"!v"&amp;Z90)))</f>
        <v>0</v>
      </c>
      <c r="R90" s="113">
        <f t="shared" ref="R90:R153" ca="1" si="14">IF(Q90="","",S90-Q90)</f>
        <v>0</v>
      </c>
      <c r="S90" s="113" cm="1">
        <f t="array" aca="1" ref="S90" ca="1">IFERROR(IF($C90="","",INDIRECT($D$2&amp;"!x"&amp;Z90)),IF($C90="","",INDIRECT("'"&amp;$D$2&amp;"'"&amp;"!x"&amp;Z90)))</f>
        <v>0</v>
      </c>
      <c r="U90" s="113" cm="1">
        <f t="array" aca="1" ref="U90" ca="1">IFERROR(IF($C90="","",INDIRECT($D$2&amp;"!z"&amp;Z90)),IF($C90="","",INDIRECT("'"&amp;$D$2&amp;"'"&amp;"!z"&amp;Z90)))</f>
        <v>0</v>
      </c>
      <c r="V90" s="113">
        <f t="shared" ref="V90:V153" ca="1" si="15">IF(U90="","",W90-U90)</f>
        <v>0</v>
      </c>
      <c r="W90" s="113" cm="1">
        <f t="array" aca="1" ref="W90" ca="1">IFERROR(IF($C90="","",INDIRECT($D$2&amp;"!ab"&amp;Z90)),IF($C90="","",INDIRECT("'"&amp;$D$2&amp;"'"&amp;"!ab"&amp;Z90)))</f>
        <v>0</v>
      </c>
      <c r="X90" s="113"/>
      <c r="Y90" s="113">
        <f t="shared" ref="Y90:Y153" ca="1" si="16">IF(W90="","",S90-W90)</f>
        <v>0</v>
      </c>
      <c r="Z90" s="35">
        <v>79</v>
      </c>
      <c r="AA90" s="113"/>
      <c r="AB90" s="35">
        <v>79</v>
      </c>
    </row>
    <row r="91" spans="3:28" x14ac:dyDescent="0.25">
      <c r="C91" t="str" cm="1">
        <f t="array" aca="1" ref="C91" ca="1">IFERROR(IF(INDIRECT($D$2&amp;"!B"&amp;Z91)="","",INDIRECT("'"&amp;$D$2&amp;"'"&amp;"!B"&amp;Z91)),IF(INDIRECT("'"&amp;$D$2&amp;"'"&amp;"!B"&amp;Z91)="","",INDIRECT("'"&amp;$D$2&amp;"'"&amp;"!B"&amp;Z91)))</f>
        <v>Zelle Implementation and Monthly Network</v>
      </c>
      <c r="D91" t="str" cm="1">
        <f t="array" aca="1" ref="D91" ca="1">IFERROR(_xlfn.IFS(C91="","",C91&lt;&gt;"",INDEX(SF_Output!I:I,MATCH(C91,SF_Output!M:M,0))),IFERROR(INDEX(INDIRECT($D$2&amp;"!G:G"),MATCH(C91,INDIRECT($D$2&amp;"!B:B"),0)),INDEX(INDIRECT("'"&amp;$D$2&amp;"'!G:G"),MATCH(C91,INDIRECT("'"&amp;$D$2&amp;"'!B:B"),0))))</f>
        <v>Payments</v>
      </c>
      <c r="E91" t="str" cm="1">
        <f t="array" aca="1" ref="E91" ca="1">IFERROR(IF(C91="","",INDIRECT($D$2&amp;"!F"&amp;Z91)),IF(C91="","",INDIRECT("'"&amp;$D$2&amp;"'"&amp;"!F"&amp;Z91)))</f>
        <v>Included</v>
      </c>
      <c r="F91" t="str" cm="1">
        <f t="array" aca="1" ref="F91" ca="1">IFERROR(IF(C91="","",INDIRECT($D$2&amp;"!ak"&amp;Z91)),IF(C91="","",INDIRECT("'"&amp;$D$2&amp;"'"&amp;"!ak"&amp;Z91)))</f>
        <v/>
      </c>
      <c r="G91" cm="1">
        <f t="array" aca="1" ref="G91" ca="1">IFERROR(INDIRECT($D$2&amp;"!h"&amp;Z91),INDIRECT("'"&amp;$D$2&amp;"'"&amp;"!h"&amp;Z91))</f>
        <v>1</v>
      </c>
      <c r="H91" s="125" t="str" cm="1">
        <f t="array" aca="1" ref="H91" ca="1">IFERROR(INDIRECT($D$2&amp;"!i"&amp;Z91),INDIRECT("'"&amp;$D$2&amp;"'"&amp;"!i"&amp;Z91))</f>
        <v/>
      </c>
      <c r="I91" s="113" cm="1">
        <f t="array" aca="1" ref="I91" ca="1">IFERROR(IF($C91="","",INDIRECT($D$2&amp;"!j"&amp;$Z91)+INDIRECT($D$2&amp;"!n"&amp;$Z91)),IF($C91="","",INDIRECT("'"&amp;$D$2&amp;"'"&amp;"!j"&amp;$Z91)+INDIRECT("'"&amp;$D$2&amp;"'"&amp;"!n"&amp;$Z91)))</f>
        <v>3000</v>
      </c>
      <c r="J91" s="113">
        <f t="shared" ca="1" si="12"/>
        <v>-3000</v>
      </c>
      <c r="K91" s="113" cm="1">
        <f t="array" aca="1" ref="K91" ca="1">IFERROR(IF($C91="","",INDIRECT($D$2&amp;"!l"&amp;$Z91)+INDIRECT($D$2&amp;"!p"&amp;$Z91)),IF($C91="","",INDIRECT("'"&amp;$D$2&amp;"'"&amp;"!l"&amp;$Z91)+INDIRECT("'"&amp;$D$2&amp;"'"&amp;"!p"&amp;$Z91)))</f>
        <v>0</v>
      </c>
      <c r="M91" s="113" cm="1">
        <f t="array" aca="1" ref="M91" ca="1">IFERROR(IF($C91="","",INDIRECT($D$2&amp;"!r"&amp;Z91)),IF($C91="","",INDIRECT("'"&amp;$D$2&amp;"'"&amp;"!r"&amp;Z91)))</f>
        <v>0</v>
      </c>
      <c r="N91" s="113">
        <f t="shared" ca="1" si="13"/>
        <v>0</v>
      </c>
      <c r="O91" s="113" cm="1">
        <f t="array" aca="1" ref="O91" ca="1">IFERROR(IF($C91="","",INDIRECT($D$2&amp;"!t"&amp;Z91)),IF($C91="","",INDIRECT("'"&amp;$D$2&amp;"'"&amp;"!t"&amp;Z91)))</f>
        <v>0</v>
      </c>
      <c r="Q91" s="113" cm="1">
        <f t="array" aca="1" ref="Q91" ca="1">IFERROR(IF($C91="","",INDIRECT($D$2&amp;"!v"&amp;Z91)),IF($C91="","",INDIRECT("'"&amp;$D$2&amp;"'"&amp;"!v"&amp;Z91)))</f>
        <v>600</v>
      </c>
      <c r="R91" s="113">
        <f t="shared" ca="1" si="14"/>
        <v>0</v>
      </c>
      <c r="S91" s="113" cm="1">
        <f t="array" aca="1" ref="S91" ca="1">IFERROR(IF($C91="","",INDIRECT($D$2&amp;"!x"&amp;Z91)),IF($C91="","",INDIRECT("'"&amp;$D$2&amp;"'"&amp;"!x"&amp;Z91)))</f>
        <v>600</v>
      </c>
      <c r="U91" s="113" cm="1">
        <f t="array" aca="1" ref="U91" ca="1">IFERROR(IF($C91="","",INDIRECT($D$2&amp;"!z"&amp;Z91)),IF($C91="","",INDIRECT("'"&amp;$D$2&amp;"'"&amp;"!z"&amp;Z91)))</f>
        <v>0</v>
      </c>
      <c r="V91" s="113">
        <f t="shared" ca="1" si="15"/>
        <v>0</v>
      </c>
      <c r="W91" s="113" cm="1">
        <f t="array" aca="1" ref="W91" ca="1">IFERROR(IF($C91="","",INDIRECT($D$2&amp;"!ab"&amp;Z91)),IF($C91="","",INDIRECT("'"&amp;$D$2&amp;"'"&amp;"!ab"&amp;Z91)))</f>
        <v>0</v>
      </c>
      <c r="X91" s="113"/>
      <c r="Y91" s="113">
        <f t="shared" ca="1" si="16"/>
        <v>600</v>
      </c>
      <c r="Z91" s="35">
        <v>80</v>
      </c>
      <c r="AA91" s="113"/>
      <c r="AB91" s="35">
        <v>80</v>
      </c>
    </row>
    <row r="92" spans="3:28" x14ac:dyDescent="0.25">
      <c r="C92" t="str" cm="1">
        <f t="array" aca="1" ref="C92" ca="1">IFERROR(IF(INDIRECT($D$2&amp;"!B"&amp;Z92)="","",INDIRECT("'"&amp;$D$2&amp;"'"&amp;"!B"&amp;Z92)),IF(INDIRECT("'"&amp;$D$2&amp;"'"&amp;"!B"&amp;Z92)="","",INDIRECT("'"&amp;$D$2&amp;"'"&amp;"!B"&amp;Z92)))</f>
        <v>RTP Implementation and Monthly Network Receive Only</v>
      </c>
      <c r="D92" t="str" cm="1">
        <f t="array" aca="1" ref="D92" ca="1">IFERROR(_xlfn.IFS(C92="","",C92&lt;&gt;"",INDEX(SF_Output!I:I,MATCH(C92,SF_Output!M:M,0))),IFERROR(INDEX(INDIRECT($D$2&amp;"!G:G"),MATCH(C92,INDIRECT($D$2&amp;"!B:B"),0)),INDEX(INDIRECT("'"&amp;$D$2&amp;"'!G:G"),MATCH(C92,INDIRECT("'"&amp;$D$2&amp;"'!B:B"),0))))</f>
        <v>Payments</v>
      </c>
      <c r="E92" t="str" cm="1">
        <f t="array" aca="1" ref="E92" ca="1">IFERROR(IF(C92="","",INDIRECT($D$2&amp;"!F"&amp;Z92)),IF(C92="","",INDIRECT("'"&amp;$D$2&amp;"'"&amp;"!F"&amp;Z92)))</f>
        <v>Included</v>
      </c>
      <c r="F92" t="str" cm="1">
        <f t="array" aca="1" ref="F92" ca="1">IFERROR(IF(C92="","",INDIRECT($D$2&amp;"!ak"&amp;Z92)),IF(C92="","",INDIRECT("'"&amp;$D$2&amp;"'"&amp;"!ak"&amp;Z92)))</f>
        <v/>
      </c>
      <c r="G92" cm="1">
        <f t="array" aca="1" ref="G92" ca="1">IFERROR(INDIRECT($D$2&amp;"!h"&amp;Z92),INDIRECT("'"&amp;$D$2&amp;"'"&amp;"!h"&amp;Z92))</f>
        <v>1</v>
      </c>
      <c r="H92" s="125" t="str" cm="1">
        <f t="array" aca="1" ref="H92" ca="1">IFERROR(INDIRECT($D$2&amp;"!i"&amp;Z92),INDIRECT("'"&amp;$D$2&amp;"'"&amp;"!i"&amp;Z92))</f>
        <v/>
      </c>
      <c r="I92" s="113" cm="1">
        <f t="array" aca="1" ref="I92" ca="1">IFERROR(IF($C92="","",INDIRECT($D$2&amp;"!j"&amp;$Z92)+INDIRECT($D$2&amp;"!n"&amp;$Z92)),IF($C92="","",INDIRECT("'"&amp;$D$2&amp;"'"&amp;"!j"&amp;$Z92)+INDIRECT("'"&amp;$D$2&amp;"'"&amp;"!n"&amp;$Z92)))</f>
        <v>1000</v>
      </c>
      <c r="J92" s="113">
        <f t="shared" ca="1" si="12"/>
        <v>-1000</v>
      </c>
      <c r="K92" s="113" cm="1">
        <f t="array" aca="1" ref="K92" ca="1">IFERROR(IF($C92="","",INDIRECT($D$2&amp;"!l"&amp;$Z92)+INDIRECT($D$2&amp;"!p"&amp;$Z92)),IF($C92="","",INDIRECT("'"&amp;$D$2&amp;"'"&amp;"!l"&amp;$Z92)+INDIRECT("'"&amp;$D$2&amp;"'"&amp;"!p"&amp;$Z92)))</f>
        <v>0</v>
      </c>
      <c r="M92" s="113" cm="1">
        <f t="array" aca="1" ref="M92" ca="1">IFERROR(IF($C92="","",INDIRECT($D$2&amp;"!r"&amp;Z92)),IF($C92="","",INDIRECT("'"&amp;$D$2&amp;"'"&amp;"!r"&amp;Z92)))</f>
        <v>0</v>
      </c>
      <c r="N92" s="113">
        <f t="shared" ca="1" si="13"/>
        <v>0</v>
      </c>
      <c r="O92" s="113" cm="1">
        <f t="array" aca="1" ref="O92" ca="1">IFERROR(IF($C92="","",INDIRECT($D$2&amp;"!t"&amp;Z92)),IF($C92="","",INDIRECT("'"&amp;$D$2&amp;"'"&amp;"!t"&amp;Z92)))</f>
        <v>0</v>
      </c>
      <c r="Q92" s="113" cm="1">
        <f t="array" aca="1" ref="Q92" ca="1">IFERROR(IF($C92="","",INDIRECT($D$2&amp;"!v"&amp;Z92)),IF($C92="","",INDIRECT("'"&amp;$D$2&amp;"'"&amp;"!v"&amp;Z92)))</f>
        <v>400</v>
      </c>
      <c r="R92" s="113">
        <f t="shared" ca="1" si="14"/>
        <v>0</v>
      </c>
      <c r="S92" s="113" cm="1">
        <f t="array" aca="1" ref="S92" ca="1">IFERROR(IF($C92="","",INDIRECT($D$2&amp;"!x"&amp;Z92)),IF($C92="","",INDIRECT("'"&amp;$D$2&amp;"'"&amp;"!x"&amp;Z92)))</f>
        <v>400</v>
      </c>
      <c r="U92" s="113" cm="1">
        <f t="array" aca="1" ref="U92" ca="1">IFERROR(IF($C92="","",INDIRECT($D$2&amp;"!z"&amp;Z92)),IF($C92="","",INDIRECT("'"&amp;$D$2&amp;"'"&amp;"!z"&amp;Z92)))</f>
        <v>0</v>
      </c>
      <c r="V92" s="113">
        <f t="shared" ca="1" si="15"/>
        <v>0</v>
      </c>
      <c r="W92" s="113" cm="1">
        <f t="array" aca="1" ref="W92" ca="1">IFERROR(IF($C92="","",INDIRECT($D$2&amp;"!ab"&amp;Z92)),IF($C92="","",INDIRECT("'"&amp;$D$2&amp;"'"&amp;"!ab"&amp;Z92)))</f>
        <v>0</v>
      </c>
      <c r="X92" s="113"/>
      <c r="Y92" s="113">
        <f t="shared" ca="1" si="16"/>
        <v>400</v>
      </c>
      <c r="Z92" s="35">
        <v>81</v>
      </c>
      <c r="AA92" s="113"/>
      <c r="AB92" s="35">
        <v>81</v>
      </c>
    </row>
    <row r="93" spans="3:28" x14ac:dyDescent="0.25">
      <c r="C93" t="str" cm="1">
        <f t="array" aca="1" ref="C93" ca="1">IFERROR(IF(INDIRECT($D$2&amp;"!B"&amp;Z93)="","",INDIRECT("'"&amp;$D$2&amp;"'"&amp;"!B"&amp;Z93)),IF(INDIRECT("'"&amp;$D$2&amp;"'"&amp;"!B"&amp;Z93)="","",INDIRECT("'"&amp;$D$2&amp;"'"&amp;"!B"&amp;Z93)))</f>
        <v>FedNow Implementation and Monthly Network Receive Only</v>
      </c>
      <c r="D93" t="str" cm="1">
        <f t="array" aca="1" ref="D93" ca="1">IFERROR(_xlfn.IFS(C93="","",C93&lt;&gt;"",INDEX(SF_Output!I:I,MATCH(C93,SF_Output!M:M,0))),IFERROR(INDEX(INDIRECT($D$2&amp;"!G:G"),MATCH(C93,INDIRECT($D$2&amp;"!B:B"),0)),INDEX(INDIRECT("'"&amp;$D$2&amp;"'!G:G"),MATCH(C93,INDIRECT("'"&amp;$D$2&amp;"'!B:B"),0))))</f>
        <v>Payments</v>
      </c>
      <c r="E93" t="str" cm="1">
        <f t="array" aca="1" ref="E93" ca="1">IFERROR(IF(C93="","",INDIRECT($D$2&amp;"!F"&amp;Z93)),IF(C93="","",INDIRECT("'"&amp;$D$2&amp;"'"&amp;"!F"&amp;Z93)))</f>
        <v>Included</v>
      </c>
      <c r="F93" t="str" cm="1">
        <f t="array" aca="1" ref="F93" ca="1">IFERROR(IF(C93="","",INDIRECT($D$2&amp;"!ak"&amp;Z93)),IF(C93="","",INDIRECT("'"&amp;$D$2&amp;"'"&amp;"!ak"&amp;Z93)))</f>
        <v/>
      </c>
      <c r="G93" cm="1">
        <f t="array" aca="1" ref="G93" ca="1">IFERROR(INDIRECT($D$2&amp;"!h"&amp;Z93),INDIRECT("'"&amp;$D$2&amp;"'"&amp;"!h"&amp;Z93))</f>
        <v>1</v>
      </c>
      <c r="H93" s="125" t="str" cm="1">
        <f t="array" aca="1" ref="H93" ca="1">IFERROR(INDIRECT($D$2&amp;"!i"&amp;Z93),INDIRECT("'"&amp;$D$2&amp;"'"&amp;"!i"&amp;Z93))</f>
        <v/>
      </c>
      <c r="I93" s="113" cm="1">
        <f t="array" aca="1" ref="I93" ca="1">IFERROR(IF($C93="","",INDIRECT($D$2&amp;"!j"&amp;$Z93)+INDIRECT($D$2&amp;"!n"&amp;$Z93)),IF($C93="","",INDIRECT("'"&amp;$D$2&amp;"'"&amp;"!j"&amp;$Z93)+INDIRECT("'"&amp;$D$2&amp;"'"&amp;"!n"&amp;$Z93)))</f>
        <v>1000</v>
      </c>
      <c r="J93" s="113">
        <f t="shared" ca="1" si="12"/>
        <v>-1000</v>
      </c>
      <c r="K93" s="113" cm="1">
        <f t="array" aca="1" ref="K93" ca="1">IFERROR(IF($C93="","",INDIRECT($D$2&amp;"!l"&amp;$Z93)+INDIRECT($D$2&amp;"!p"&amp;$Z93)),IF($C93="","",INDIRECT("'"&amp;$D$2&amp;"'"&amp;"!l"&amp;$Z93)+INDIRECT("'"&amp;$D$2&amp;"'"&amp;"!p"&amp;$Z93)))</f>
        <v>0</v>
      </c>
      <c r="M93" s="113" cm="1">
        <f t="array" aca="1" ref="M93" ca="1">IFERROR(IF($C93="","",INDIRECT($D$2&amp;"!r"&amp;Z93)),IF($C93="","",INDIRECT("'"&amp;$D$2&amp;"'"&amp;"!r"&amp;Z93)))</f>
        <v>0</v>
      </c>
      <c r="N93" s="113">
        <f t="shared" ca="1" si="13"/>
        <v>0</v>
      </c>
      <c r="O93" s="113" cm="1">
        <f t="array" aca="1" ref="O93" ca="1">IFERROR(IF($C93="","",INDIRECT($D$2&amp;"!t"&amp;Z93)),IF($C93="","",INDIRECT("'"&amp;$D$2&amp;"'"&amp;"!t"&amp;Z93)))</f>
        <v>0</v>
      </c>
      <c r="Q93" s="113" cm="1">
        <f t="array" aca="1" ref="Q93" ca="1">IFERROR(IF($C93="","",INDIRECT($D$2&amp;"!v"&amp;Z93)),IF($C93="","",INDIRECT("'"&amp;$D$2&amp;"'"&amp;"!v"&amp;Z93)))</f>
        <v>400</v>
      </c>
      <c r="R93" s="113">
        <f t="shared" ca="1" si="14"/>
        <v>0</v>
      </c>
      <c r="S93" s="113" cm="1">
        <f t="array" aca="1" ref="S93" ca="1">IFERROR(IF($C93="","",INDIRECT($D$2&amp;"!x"&amp;Z93)),IF($C93="","",INDIRECT("'"&amp;$D$2&amp;"'"&amp;"!x"&amp;Z93)))</f>
        <v>400</v>
      </c>
      <c r="U93" s="113" cm="1">
        <f t="array" aca="1" ref="U93" ca="1">IFERROR(IF($C93="","",INDIRECT($D$2&amp;"!z"&amp;Z93)),IF($C93="","",INDIRECT("'"&amp;$D$2&amp;"'"&amp;"!z"&amp;Z93)))</f>
        <v>0</v>
      </c>
      <c r="V93" s="113">
        <f t="shared" ca="1" si="15"/>
        <v>0</v>
      </c>
      <c r="W93" s="113" cm="1">
        <f t="array" aca="1" ref="W93" ca="1">IFERROR(IF($C93="","",INDIRECT($D$2&amp;"!ab"&amp;Z93)),IF($C93="","",INDIRECT("'"&amp;$D$2&amp;"'"&amp;"!ab"&amp;Z93)))</f>
        <v>0</v>
      </c>
      <c r="X93" s="113"/>
      <c r="Y93" s="113">
        <f t="shared" ca="1" si="16"/>
        <v>400</v>
      </c>
      <c r="Z93" s="35">
        <v>82</v>
      </c>
      <c r="AA93" s="113"/>
      <c r="AB93" s="35">
        <v>82</v>
      </c>
    </row>
    <row r="94" spans="3:28" x14ac:dyDescent="0.25">
      <c r="C94" t="str" cm="1">
        <f t="array" aca="1" ref="C94" ca="1">IFERROR(IF(INDIRECT($D$2&amp;"!B"&amp;Z94)="","",INDIRECT("'"&amp;$D$2&amp;"'"&amp;"!B"&amp;Z94)),IF(INDIRECT("'"&amp;$D$2&amp;"'"&amp;"!B"&amp;Z94)="","",INDIRECT("'"&amp;$D$2&amp;"'"&amp;"!B"&amp;Z94)))</f>
        <v>EPS Platform Set Up Fee</v>
      </c>
      <c r="D94" t="str" cm="1">
        <f t="array" aca="1" ref="D94" ca="1">IFERROR(_xlfn.IFS(C94="","",C94&lt;&gt;"",INDEX(SF_Output!I:I,MATCH(C94,SF_Output!M:M,0))),IFERROR(INDEX(INDIRECT($D$2&amp;"!G:G"),MATCH(C94,INDIRECT($D$2&amp;"!B:B"),0)),INDEX(INDIRECT("'"&amp;$D$2&amp;"'!G:G"),MATCH(C94,INDIRECT("'"&amp;$D$2&amp;"'!B:B"),0))))</f>
        <v>Payments</v>
      </c>
      <c r="E94" t="str" cm="1">
        <f t="array" aca="1" ref="E94" ca="1">IFERROR(IF(C94="","",INDIRECT($D$2&amp;"!F"&amp;Z94)),IF(C94="","",INDIRECT("'"&amp;$D$2&amp;"'"&amp;"!F"&amp;Z94)))</f>
        <v>Included</v>
      </c>
      <c r="F94" t="str" cm="1">
        <f t="array" aca="1" ref="F94" ca="1">IFERROR(IF(C94="","",INDIRECT($D$2&amp;"!ak"&amp;Z94)),IF(C94="","",INDIRECT("'"&amp;$D$2&amp;"'"&amp;"!ak"&amp;Z94)))</f>
        <v/>
      </c>
      <c r="G94" cm="1">
        <f t="array" aca="1" ref="G94" ca="1">IFERROR(INDIRECT($D$2&amp;"!h"&amp;Z94),INDIRECT("'"&amp;$D$2&amp;"'"&amp;"!h"&amp;Z94))</f>
        <v>1</v>
      </c>
      <c r="H94" s="125" t="str" cm="1">
        <f t="array" aca="1" ref="H94" ca="1">IFERROR(INDIRECT($D$2&amp;"!i"&amp;Z94),INDIRECT("'"&amp;$D$2&amp;"'"&amp;"!i"&amp;Z94))</f>
        <v/>
      </c>
      <c r="I94" s="113" cm="1">
        <f t="array" aca="1" ref="I94" ca="1">IFERROR(IF($C94="","",INDIRECT($D$2&amp;"!j"&amp;$Z94)+INDIRECT($D$2&amp;"!n"&amp;$Z94)),IF($C94="","",INDIRECT("'"&amp;$D$2&amp;"'"&amp;"!j"&amp;$Z94)+INDIRECT("'"&amp;$D$2&amp;"'"&amp;"!n"&amp;$Z94)))</f>
        <v>2500</v>
      </c>
      <c r="J94" s="113">
        <f t="shared" ca="1" si="12"/>
        <v>-2500</v>
      </c>
      <c r="K94" s="113" cm="1">
        <f t="array" aca="1" ref="K94" ca="1">IFERROR(IF($C94="","",INDIRECT($D$2&amp;"!l"&amp;$Z94)+INDIRECT($D$2&amp;"!p"&amp;$Z94)),IF($C94="","",INDIRECT("'"&amp;$D$2&amp;"'"&amp;"!l"&amp;$Z94)+INDIRECT("'"&amp;$D$2&amp;"'"&amp;"!p"&amp;$Z94)))</f>
        <v>0</v>
      </c>
      <c r="M94" s="113" cm="1">
        <f t="array" aca="1" ref="M94" ca="1">IFERROR(IF($C94="","",INDIRECT($D$2&amp;"!r"&amp;Z94)),IF($C94="","",INDIRECT("'"&amp;$D$2&amp;"'"&amp;"!r"&amp;Z94)))</f>
        <v>0</v>
      </c>
      <c r="N94" s="113">
        <f t="shared" ca="1" si="13"/>
        <v>0</v>
      </c>
      <c r="O94" s="113" cm="1">
        <f t="array" aca="1" ref="O94" ca="1">IFERROR(IF($C94="","",INDIRECT($D$2&amp;"!t"&amp;Z94)),IF($C94="","",INDIRECT("'"&amp;$D$2&amp;"'"&amp;"!t"&amp;Z94)))</f>
        <v>0</v>
      </c>
      <c r="Q94" s="113" cm="1">
        <f t="array" aca="1" ref="Q94" ca="1">IFERROR(IF($C94="","",INDIRECT($D$2&amp;"!v"&amp;Z94)),IF($C94="","",INDIRECT("'"&amp;$D$2&amp;"'"&amp;"!v"&amp;Z94)))</f>
        <v>0</v>
      </c>
      <c r="R94" s="113">
        <f t="shared" ca="1" si="14"/>
        <v>0</v>
      </c>
      <c r="S94" s="113" cm="1">
        <f t="array" aca="1" ref="S94" ca="1">IFERROR(IF($C94="","",INDIRECT($D$2&amp;"!x"&amp;Z94)),IF($C94="","",INDIRECT("'"&amp;$D$2&amp;"'"&amp;"!x"&amp;Z94)))</f>
        <v>0</v>
      </c>
      <c r="U94" s="113" cm="1">
        <f t="array" aca="1" ref="U94" ca="1">IFERROR(IF($C94="","",INDIRECT($D$2&amp;"!z"&amp;Z94)),IF($C94="","",INDIRECT("'"&amp;$D$2&amp;"'"&amp;"!z"&amp;Z94)))</f>
        <v>0</v>
      </c>
      <c r="V94" s="113">
        <f t="shared" ca="1" si="15"/>
        <v>0</v>
      </c>
      <c r="W94" s="113" cm="1">
        <f t="array" aca="1" ref="W94" ca="1">IFERROR(IF($C94="","",INDIRECT($D$2&amp;"!ab"&amp;Z94)),IF($C94="","",INDIRECT("'"&amp;$D$2&amp;"'"&amp;"!ab"&amp;Z94)))</f>
        <v>0</v>
      </c>
      <c r="X94" s="113"/>
      <c r="Y94" s="113">
        <f t="shared" ca="1" si="16"/>
        <v>0</v>
      </c>
      <c r="Z94" s="35">
        <v>83</v>
      </c>
      <c r="AA94" s="113"/>
      <c r="AB94" s="35">
        <v>83</v>
      </c>
    </row>
    <row r="95" spans="3:28" x14ac:dyDescent="0.25">
      <c r="C95" t="str" cm="1">
        <f t="array" aca="1" ref="C95" ca="1">IFERROR(IF(INDIRECT($D$2&amp;"!B"&amp;Z95)="","",INDIRECT("'"&amp;$D$2&amp;"'"&amp;"!B"&amp;Z95)),IF(INDIRECT("'"&amp;$D$2&amp;"'"&amp;"!B"&amp;Z95)="","",INDIRECT("'"&amp;$D$2&amp;"'"&amp;"!B"&amp;Z95)))</f>
        <v>JHA SmartPay Remote Deposit Now (RDN)</v>
      </c>
      <c r="D95" t="str" cm="1">
        <f t="array" aca="1" ref="D95" ca="1">IFERROR(_xlfn.IFS(C95="","",C95&lt;&gt;"",INDEX(SF_Output!I:I,MATCH(C95,SF_Output!M:M,0))),IFERROR(INDEX(INDIRECT($D$2&amp;"!G:G"),MATCH(C95,INDIRECT($D$2&amp;"!B:B"),0)),INDEX(INDIRECT("'"&amp;$D$2&amp;"'!G:G"),MATCH(C95,INDIRECT("'"&amp;$D$2&amp;"'!B:B"),0))))</f>
        <v>Payments</v>
      </c>
      <c r="E95" t="str" cm="1">
        <f t="array" aca="1" ref="E95" ca="1">IFERROR(IF(C95="","",INDIRECT($D$2&amp;"!F"&amp;Z95)),IF(C95="","",INDIRECT("'"&amp;$D$2&amp;"'"&amp;"!F"&amp;Z95)))</f>
        <v>Included</v>
      </c>
      <c r="F95" t="str" cm="1">
        <f t="array" aca="1" ref="F95" ca="1">IFERROR(IF(C95="","",INDIRECT($D$2&amp;"!ak"&amp;Z95)),IF(C95="","",INDIRECT("'"&amp;$D$2&amp;"'"&amp;"!ak"&amp;Z95)))</f>
        <v/>
      </c>
      <c r="G95" cm="1">
        <f t="array" aca="1" ref="G95" ca="1">IFERROR(INDIRECT($D$2&amp;"!h"&amp;Z95),INDIRECT("'"&amp;$D$2&amp;"'"&amp;"!h"&amp;Z95))</f>
        <v>1</v>
      </c>
      <c r="H95" s="125" t="str" cm="1">
        <f t="array" aca="1" ref="H95" ca="1">IFERROR(INDIRECT($D$2&amp;"!i"&amp;Z95),INDIRECT("'"&amp;$D$2&amp;"'"&amp;"!i"&amp;Z95))</f>
        <v/>
      </c>
      <c r="I95" s="113" cm="1">
        <f t="array" aca="1" ref="I95" ca="1">IFERROR(IF($C95="","",INDIRECT($D$2&amp;"!j"&amp;$Z95)+INDIRECT($D$2&amp;"!n"&amp;$Z95)),IF($C95="","",INDIRECT("'"&amp;$D$2&amp;"'"&amp;"!j"&amp;$Z95)+INDIRECT("'"&amp;$D$2&amp;"'"&amp;"!n"&amp;$Z95)))</f>
        <v>1000</v>
      </c>
      <c r="J95" s="113">
        <f t="shared" ca="1" si="12"/>
        <v>-1000</v>
      </c>
      <c r="K95" s="113" cm="1">
        <f t="array" aca="1" ref="K95" ca="1">IFERROR(IF($C95="","",INDIRECT($D$2&amp;"!l"&amp;$Z95)+INDIRECT($D$2&amp;"!p"&amp;$Z95)),IF($C95="","",INDIRECT("'"&amp;$D$2&amp;"'"&amp;"!l"&amp;$Z95)+INDIRECT("'"&amp;$D$2&amp;"'"&amp;"!p"&amp;$Z95)))</f>
        <v>0</v>
      </c>
      <c r="M95" s="113" cm="1">
        <f t="array" aca="1" ref="M95" ca="1">IFERROR(IF($C95="","",INDIRECT($D$2&amp;"!r"&amp;Z95)),IF($C95="","",INDIRECT("'"&amp;$D$2&amp;"'"&amp;"!r"&amp;Z95)))</f>
        <v>0</v>
      </c>
      <c r="N95" s="113">
        <f t="shared" ca="1" si="13"/>
        <v>0</v>
      </c>
      <c r="O95" s="113" cm="1">
        <f t="array" aca="1" ref="O95" ca="1">IFERROR(IF($C95="","",INDIRECT($D$2&amp;"!t"&amp;Z95)),IF($C95="","",INDIRECT("'"&amp;$D$2&amp;"'"&amp;"!t"&amp;Z95)))</f>
        <v>0</v>
      </c>
      <c r="Q95" s="113" cm="1">
        <f t="array" aca="1" ref="Q95" ca="1">IFERROR(IF($C95="","",INDIRECT($D$2&amp;"!v"&amp;Z95)),IF($C95="","",INDIRECT("'"&amp;$D$2&amp;"'"&amp;"!v"&amp;Z95)))</f>
        <v>350</v>
      </c>
      <c r="R95" s="113">
        <f t="shared" ca="1" si="14"/>
        <v>0</v>
      </c>
      <c r="S95" s="113" cm="1">
        <f t="array" aca="1" ref="S95" ca="1">IFERROR(IF($C95="","",INDIRECT($D$2&amp;"!x"&amp;Z95)),IF($C95="","",INDIRECT("'"&amp;$D$2&amp;"'"&amp;"!x"&amp;Z95)))</f>
        <v>350</v>
      </c>
      <c r="U95" s="113" cm="1">
        <f t="array" aca="1" ref="U95" ca="1">IFERROR(IF($C95="","",INDIRECT($D$2&amp;"!z"&amp;Z95)),IF($C95="","",INDIRECT("'"&amp;$D$2&amp;"'"&amp;"!z"&amp;Z95)))</f>
        <v>0</v>
      </c>
      <c r="V95" s="113">
        <f t="shared" ca="1" si="15"/>
        <v>0</v>
      </c>
      <c r="W95" s="113" cm="1">
        <f t="array" aca="1" ref="W95" ca="1">IFERROR(IF($C95="","",INDIRECT($D$2&amp;"!ab"&amp;Z95)),IF($C95="","",INDIRECT("'"&amp;$D$2&amp;"'"&amp;"!ab"&amp;Z95)))</f>
        <v>0</v>
      </c>
      <c r="X95" s="113"/>
      <c r="Y95" s="113">
        <f t="shared" ca="1" si="16"/>
        <v>350</v>
      </c>
      <c r="Z95" s="35">
        <v>84</v>
      </c>
      <c r="AA95" s="113"/>
      <c r="AB95" s="35">
        <v>84</v>
      </c>
    </row>
    <row r="96" spans="3:28" x14ac:dyDescent="0.25">
      <c r="C96" t="str" cm="1">
        <f t="array" aca="1" ref="C96" ca="1">IFERROR(IF(INDIRECT($D$2&amp;"!B"&amp;Z96)="","",INDIRECT("'"&amp;$D$2&amp;"'"&amp;"!B"&amp;Z96)),IF(INDIRECT("'"&amp;$D$2&amp;"'"&amp;"!B"&amp;Z96)="","",INDIRECT("'"&amp;$D$2&amp;"'"&amp;"!B"&amp;Z96)))</f>
        <v>JHA SmartPay Remote Deposit Anywhere (RDA)</v>
      </c>
      <c r="D96" t="str" cm="1">
        <f t="array" aca="1" ref="D96" ca="1">IFERROR(_xlfn.IFS(C96="","",C96&lt;&gt;"",INDEX(SF_Output!I:I,MATCH(C96,SF_Output!M:M,0))),IFERROR(INDEX(INDIRECT($D$2&amp;"!G:G"),MATCH(C96,INDIRECT($D$2&amp;"!B:B"),0)),INDEX(INDIRECT("'"&amp;$D$2&amp;"'!G:G"),MATCH(C96,INDIRECT("'"&amp;$D$2&amp;"'!B:B"),0))))</f>
        <v>Payments</v>
      </c>
      <c r="E96" t="str" cm="1">
        <f t="array" aca="1" ref="E96" ca="1">IFERROR(IF(C96="","",INDIRECT($D$2&amp;"!F"&amp;Z96)),IF(C96="","",INDIRECT("'"&amp;$D$2&amp;"'"&amp;"!F"&amp;Z96)))</f>
        <v>Included</v>
      </c>
      <c r="F96" t="str" cm="1">
        <f t="array" aca="1" ref="F96" ca="1">IFERROR(IF(C96="","",INDIRECT($D$2&amp;"!ak"&amp;Z96)),IF(C96="","",INDIRECT("'"&amp;$D$2&amp;"'"&amp;"!ak"&amp;Z96)))</f>
        <v/>
      </c>
      <c r="G96" cm="1">
        <f t="array" aca="1" ref="G96" ca="1">IFERROR(INDIRECT($D$2&amp;"!h"&amp;Z96),INDIRECT("'"&amp;$D$2&amp;"'"&amp;"!h"&amp;Z96))</f>
        <v>1</v>
      </c>
      <c r="H96" s="125" t="str" cm="1">
        <f t="array" aca="1" ref="H96" ca="1">IFERROR(INDIRECT($D$2&amp;"!i"&amp;Z96),INDIRECT("'"&amp;$D$2&amp;"'"&amp;"!i"&amp;Z96))</f>
        <v/>
      </c>
      <c r="I96" s="113" cm="1">
        <f t="array" aca="1" ref="I96" ca="1">IFERROR(IF($C96="","",INDIRECT($D$2&amp;"!j"&amp;$Z96)+INDIRECT($D$2&amp;"!n"&amp;$Z96)),IF($C96="","",INDIRECT("'"&amp;$D$2&amp;"'"&amp;"!j"&amp;$Z96)+INDIRECT("'"&amp;$D$2&amp;"'"&amp;"!n"&amp;$Z96)))</f>
        <v>2500</v>
      </c>
      <c r="J96" s="113">
        <f t="shared" ca="1" si="12"/>
        <v>-2500</v>
      </c>
      <c r="K96" s="113" cm="1">
        <f t="array" aca="1" ref="K96" ca="1">IFERROR(IF($C96="","",INDIRECT($D$2&amp;"!l"&amp;$Z96)+INDIRECT($D$2&amp;"!p"&amp;$Z96)),IF($C96="","",INDIRECT("'"&amp;$D$2&amp;"'"&amp;"!l"&amp;$Z96)+INDIRECT("'"&amp;$D$2&amp;"'"&amp;"!p"&amp;$Z96)))</f>
        <v>0</v>
      </c>
      <c r="M96" s="113" cm="1">
        <f t="array" aca="1" ref="M96" ca="1">IFERROR(IF($C96="","",INDIRECT($D$2&amp;"!r"&amp;Z96)),IF($C96="","",INDIRECT("'"&amp;$D$2&amp;"'"&amp;"!r"&amp;Z96)))</f>
        <v>0</v>
      </c>
      <c r="N96" s="113">
        <f t="shared" ca="1" si="13"/>
        <v>0</v>
      </c>
      <c r="O96" s="113" cm="1">
        <f t="array" aca="1" ref="O96" ca="1">IFERROR(IF($C96="","",INDIRECT($D$2&amp;"!t"&amp;Z96)),IF($C96="","",INDIRECT("'"&amp;$D$2&amp;"'"&amp;"!t"&amp;Z96)))</f>
        <v>0</v>
      </c>
      <c r="Q96" s="113" cm="1">
        <f t="array" aca="1" ref="Q96" ca="1">IFERROR(IF($C96="","",INDIRECT($D$2&amp;"!v"&amp;Z96)),IF($C96="","",INDIRECT("'"&amp;$D$2&amp;"'"&amp;"!v"&amp;Z96)))</f>
        <v>500</v>
      </c>
      <c r="R96" s="113">
        <f t="shared" ca="1" si="14"/>
        <v>0</v>
      </c>
      <c r="S96" s="113" cm="1">
        <f t="array" aca="1" ref="S96" ca="1">IFERROR(IF($C96="","",INDIRECT($D$2&amp;"!x"&amp;Z96)),IF($C96="","",INDIRECT("'"&amp;$D$2&amp;"'"&amp;"!x"&amp;Z96)))</f>
        <v>500</v>
      </c>
      <c r="U96" s="113" cm="1">
        <f t="array" aca="1" ref="U96" ca="1">IFERROR(IF($C96="","",INDIRECT($D$2&amp;"!z"&amp;Z96)),IF($C96="","",INDIRECT("'"&amp;$D$2&amp;"'"&amp;"!z"&amp;Z96)))</f>
        <v>0</v>
      </c>
      <c r="V96" s="113">
        <f t="shared" ca="1" si="15"/>
        <v>0</v>
      </c>
      <c r="W96" s="113" cm="1">
        <f t="array" aca="1" ref="W96" ca="1">IFERROR(IF($C96="","",INDIRECT($D$2&amp;"!ab"&amp;Z96)),IF($C96="","",INDIRECT("'"&amp;$D$2&amp;"'"&amp;"!ab"&amp;Z96)))</f>
        <v>0</v>
      </c>
      <c r="X96" s="113"/>
      <c r="Y96" s="113">
        <f t="shared" ca="1" si="16"/>
        <v>500</v>
      </c>
      <c r="Z96" s="35">
        <v>85</v>
      </c>
      <c r="AA96" s="113"/>
      <c r="AB96" s="35">
        <v>85</v>
      </c>
    </row>
    <row r="97" spans="3:28" x14ac:dyDescent="0.25">
      <c r="C97" t="str" cm="1">
        <f t="array" aca="1" ref="C97" ca="1">IFERROR(IF(INDIRECT($D$2&amp;"!B"&amp;Z97)="","",INDIRECT("'"&amp;$D$2&amp;"'"&amp;"!B"&amp;Z97)),IF(INDIRECT("'"&amp;$D$2&amp;"'"&amp;"!B"&amp;Z97)="","",INDIRECT("'"&amp;$D$2&amp;"'"&amp;"!B"&amp;Z97)))</f>
        <v>JHA SmartPay mRDC</v>
      </c>
      <c r="D97" t="str" cm="1">
        <f t="array" aca="1" ref="D97" ca="1">IFERROR(_xlfn.IFS(C97="","",C97&lt;&gt;"",INDEX(SF_Output!I:I,MATCH(C97,SF_Output!M:M,0))),IFERROR(INDEX(INDIRECT($D$2&amp;"!G:G"),MATCH(C97,INDIRECT($D$2&amp;"!B:B"),0)),INDEX(INDIRECT("'"&amp;$D$2&amp;"'!G:G"),MATCH(C97,INDIRECT("'"&amp;$D$2&amp;"'!B:B"),0))))</f>
        <v>Payments</v>
      </c>
      <c r="E97" t="str" cm="1">
        <f t="array" aca="1" ref="E97" ca="1">IFERROR(IF(C97="","",INDIRECT($D$2&amp;"!F"&amp;Z97)),IF(C97="","",INDIRECT("'"&amp;$D$2&amp;"'"&amp;"!F"&amp;Z97)))</f>
        <v>Included</v>
      </c>
      <c r="F97" t="str" cm="1">
        <f t="array" aca="1" ref="F97" ca="1">IFERROR(IF(C97="","",INDIRECT($D$2&amp;"!ak"&amp;Z97)),IF(C97="","",INDIRECT("'"&amp;$D$2&amp;"'"&amp;"!ak"&amp;Z97)))</f>
        <v/>
      </c>
      <c r="G97" cm="1">
        <f t="array" aca="1" ref="G97" ca="1">IFERROR(INDIRECT($D$2&amp;"!h"&amp;Z97),INDIRECT("'"&amp;$D$2&amp;"'"&amp;"!h"&amp;Z97))</f>
        <v>1</v>
      </c>
      <c r="H97" s="125" t="str" cm="1">
        <f t="array" aca="1" ref="H97" ca="1">IFERROR(INDIRECT($D$2&amp;"!i"&amp;Z97),INDIRECT("'"&amp;$D$2&amp;"'"&amp;"!i"&amp;Z97))</f>
        <v/>
      </c>
      <c r="I97" s="113" cm="1">
        <f t="array" aca="1" ref="I97" ca="1">IFERROR(IF($C97="","",INDIRECT($D$2&amp;"!j"&amp;$Z97)+INDIRECT($D$2&amp;"!n"&amp;$Z97)),IF($C97="","",INDIRECT("'"&amp;$D$2&amp;"'"&amp;"!j"&amp;$Z97)+INDIRECT("'"&amp;$D$2&amp;"'"&amp;"!n"&amp;$Z97)))</f>
        <v>1000</v>
      </c>
      <c r="J97" s="113">
        <f t="shared" ca="1" si="12"/>
        <v>-1000</v>
      </c>
      <c r="K97" s="113" cm="1">
        <f t="array" aca="1" ref="K97" ca="1">IFERROR(IF($C97="","",INDIRECT($D$2&amp;"!l"&amp;$Z97)+INDIRECT($D$2&amp;"!p"&amp;$Z97)),IF($C97="","",INDIRECT("'"&amp;$D$2&amp;"'"&amp;"!l"&amp;$Z97)+INDIRECT("'"&amp;$D$2&amp;"'"&amp;"!p"&amp;$Z97)))</f>
        <v>0</v>
      </c>
      <c r="M97" s="113" cm="1">
        <f t="array" aca="1" ref="M97" ca="1">IFERROR(IF($C97="","",INDIRECT($D$2&amp;"!r"&amp;Z97)),IF($C97="","",INDIRECT("'"&amp;$D$2&amp;"'"&amp;"!r"&amp;Z97)))</f>
        <v>0</v>
      </c>
      <c r="N97" s="113">
        <f t="shared" ca="1" si="13"/>
        <v>0</v>
      </c>
      <c r="O97" s="113" cm="1">
        <f t="array" aca="1" ref="O97" ca="1">IFERROR(IF($C97="","",INDIRECT($D$2&amp;"!t"&amp;Z97)),IF($C97="","",INDIRECT("'"&amp;$D$2&amp;"'"&amp;"!t"&amp;Z97)))</f>
        <v>0</v>
      </c>
      <c r="Q97" s="113" cm="1">
        <f t="array" aca="1" ref="Q97" ca="1">IFERROR(IF($C97="","",INDIRECT($D$2&amp;"!v"&amp;Z97)),IF($C97="","",INDIRECT("'"&amp;$D$2&amp;"'"&amp;"!v"&amp;Z97)))</f>
        <v>350</v>
      </c>
      <c r="R97" s="113">
        <f t="shared" ca="1" si="14"/>
        <v>-175</v>
      </c>
      <c r="S97" s="113" cm="1">
        <f t="array" aca="1" ref="S97" ca="1">IFERROR(IF($C97="","",INDIRECT($D$2&amp;"!x"&amp;Z97)),IF($C97="","",INDIRECT("'"&amp;$D$2&amp;"'"&amp;"!x"&amp;Z97)))</f>
        <v>175</v>
      </c>
      <c r="U97" s="113" cm="1">
        <f t="array" aca="1" ref="U97" ca="1">IFERROR(IF($C97="","",INDIRECT($D$2&amp;"!z"&amp;Z97)),IF($C97="","",INDIRECT("'"&amp;$D$2&amp;"'"&amp;"!z"&amp;Z97)))</f>
        <v>0</v>
      </c>
      <c r="V97" s="113">
        <f t="shared" ca="1" si="15"/>
        <v>0</v>
      </c>
      <c r="W97" s="113" cm="1">
        <f t="array" aca="1" ref="W97" ca="1">IFERROR(IF($C97="","",INDIRECT($D$2&amp;"!ab"&amp;Z97)),IF($C97="","",INDIRECT("'"&amp;$D$2&amp;"'"&amp;"!ab"&amp;Z97)))</f>
        <v>0</v>
      </c>
      <c r="X97" s="113"/>
      <c r="Y97" s="113">
        <f t="shared" ca="1" si="16"/>
        <v>175</v>
      </c>
      <c r="Z97" s="35">
        <v>86</v>
      </c>
      <c r="AA97" s="113"/>
      <c r="AB97" s="35">
        <v>86</v>
      </c>
    </row>
    <row r="98" spans="3:28" x14ac:dyDescent="0.25">
      <c r="C98" t="str" cm="1">
        <f t="array" aca="1" ref="C98" ca="1">IFERROR(IF(INDIRECT($D$2&amp;"!B"&amp;Z98)="","",INDIRECT("'"&amp;$D$2&amp;"'"&amp;"!B"&amp;Z98)),IF(INDIRECT("'"&amp;$D$2&amp;"'"&amp;"!B"&amp;Z98)="","",INDIRECT("'"&amp;$D$2&amp;"'"&amp;"!B"&amp;Z98)))</f>
        <v>EPS SmartSight Setup Fee and Monthly Subscription Fee</v>
      </c>
      <c r="D98" t="str" cm="1">
        <f t="array" aca="1" ref="D98" ca="1">IFERROR(_xlfn.IFS(C98="","",C98&lt;&gt;"",INDEX(SF_Output!I:I,MATCH(C98,SF_Output!M:M,0))),IFERROR(INDEX(INDIRECT($D$2&amp;"!G:G"),MATCH(C98,INDIRECT($D$2&amp;"!B:B"),0)),INDEX(INDIRECT("'"&amp;$D$2&amp;"'!G:G"),MATCH(C98,INDIRECT("'"&amp;$D$2&amp;"'!B:B"),0))))</f>
        <v>Payments</v>
      </c>
      <c r="E98" t="str" cm="1">
        <f t="array" aca="1" ref="E98" ca="1">IFERROR(IF(C98="","",INDIRECT($D$2&amp;"!F"&amp;Z98)),IF(C98="","",INDIRECT("'"&amp;$D$2&amp;"'"&amp;"!F"&amp;Z98)))</f>
        <v>Included</v>
      </c>
      <c r="F98" t="str" cm="1">
        <f t="array" aca="1" ref="F98" ca="1">IFERROR(IF(C98="","",INDIRECT($D$2&amp;"!ak"&amp;Z98)),IF(C98="","",INDIRECT("'"&amp;$D$2&amp;"'"&amp;"!ak"&amp;Z98)))</f>
        <v/>
      </c>
      <c r="G98" cm="1">
        <f t="array" aca="1" ref="G98" ca="1">IFERROR(INDIRECT($D$2&amp;"!h"&amp;Z98),INDIRECT("'"&amp;$D$2&amp;"'"&amp;"!h"&amp;Z98))</f>
        <v>1</v>
      </c>
      <c r="H98" s="125" t="str" cm="1">
        <f t="array" aca="1" ref="H98" ca="1">IFERROR(INDIRECT($D$2&amp;"!i"&amp;Z98),INDIRECT("'"&amp;$D$2&amp;"'"&amp;"!i"&amp;Z98))</f>
        <v/>
      </c>
      <c r="I98" s="113" cm="1">
        <f t="array" aca="1" ref="I98" ca="1">IFERROR(IF($C98="","",INDIRECT($D$2&amp;"!j"&amp;$Z98)+INDIRECT($D$2&amp;"!n"&amp;$Z98)),IF($C98="","",INDIRECT("'"&amp;$D$2&amp;"'"&amp;"!j"&amp;$Z98)+INDIRECT("'"&amp;$D$2&amp;"'"&amp;"!n"&amp;$Z98)))</f>
        <v>1500</v>
      </c>
      <c r="J98" s="113">
        <f t="shared" ca="1" si="12"/>
        <v>-1500</v>
      </c>
      <c r="K98" s="113" cm="1">
        <f t="array" aca="1" ref="K98" ca="1">IFERROR(IF($C98="","",INDIRECT($D$2&amp;"!l"&amp;$Z98)+INDIRECT($D$2&amp;"!p"&amp;$Z98)),IF($C98="","",INDIRECT("'"&amp;$D$2&amp;"'"&amp;"!l"&amp;$Z98)+INDIRECT("'"&amp;$D$2&amp;"'"&amp;"!p"&amp;$Z98)))</f>
        <v>0</v>
      </c>
      <c r="M98" s="113" cm="1">
        <f t="array" aca="1" ref="M98" ca="1">IFERROR(IF($C98="","",INDIRECT($D$2&amp;"!r"&amp;Z98)),IF($C98="","",INDIRECT("'"&amp;$D$2&amp;"'"&amp;"!r"&amp;Z98)))</f>
        <v>0</v>
      </c>
      <c r="N98" s="113">
        <f t="shared" ca="1" si="13"/>
        <v>0</v>
      </c>
      <c r="O98" s="113" cm="1">
        <f t="array" aca="1" ref="O98" ca="1">IFERROR(IF($C98="","",INDIRECT($D$2&amp;"!t"&amp;Z98)),IF($C98="","",INDIRECT("'"&amp;$D$2&amp;"'"&amp;"!t"&amp;Z98)))</f>
        <v>0</v>
      </c>
      <c r="Q98" s="113" cm="1">
        <f t="array" aca="1" ref="Q98" ca="1">IFERROR(IF($C98="","",INDIRECT($D$2&amp;"!v"&amp;Z98)),IF($C98="","",INDIRECT("'"&amp;$D$2&amp;"'"&amp;"!v"&amp;Z98)))</f>
        <v>300</v>
      </c>
      <c r="R98" s="113">
        <f t="shared" ca="1" si="14"/>
        <v>0</v>
      </c>
      <c r="S98" s="113" cm="1">
        <f t="array" aca="1" ref="S98" ca="1">IFERROR(IF($C98="","",INDIRECT($D$2&amp;"!x"&amp;Z98)),IF($C98="","",INDIRECT("'"&amp;$D$2&amp;"'"&amp;"!x"&amp;Z98)))</f>
        <v>300</v>
      </c>
      <c r="U98" s="113" cm="1">
        <f t="array" aca="1" ref="U98" ca="1">IFERROR(IF($C98="","",INDIRECT($D$2&amp;"!z"&amp;Z98)),IF($C98="","",INDIRECT("'"&amp;$D$2&amp;"'"&amp;"!z"&amp;Z98)))</f>
        <v>0</v>
      </c>
      <c r="V98" s="113">
        <f t="shared" ca="1" si="15"/>
        <v>0</v>
      </c>
      <c r="W98" s="113" cm="1">
        <f t="array" aca="1" ref="W98" ca="1">IFERROR(IF($C98="","",INDIRECT($D$2&amp;"!ab"&amp;Z98)),IF($C98="","",INDIRECT("'"&amp;$D$2&amp;"'"&amp;"!ab"&amp;Z98)))</f>
        <v>0</v>
      </c>
      <c r="X98" s="113"/>
      <c r="Y98" s="113">
        <f t="shared" ca="1" si="16"/>
        <v>300</v>
      </c>
      <c r="Z98" s="35">
        <v>87</v>
      </c>
      <c r="AA98" s="113"/>
      <c r="AB98" s="35">
        <v>87</v>
      </c>
    </row>
    <row r="99" spans="3:28" x14ac:dyDescent="0.25">
      <c r="C99" t="str" cm="1">
        <f t="array" aca="1" ref="C99" ca="1">IFERROR(IF(INDIRECT($D$2&amp;"!B"&amp;Z99)="","",INDIRECT("'"&amp;$D$2&amp;"'"&amp;"!B"&amp;Z99)),IF(INDIRECT("'"&amp;$D$2&amp;"'"&amp;"!B"&amp;Z99)="","",INDIRECT("'"&amp;$D$2&amp;"'"&amp;"!B"&amp;Z99)))</f>
        <v>Parascript CAR/LAR</v>
      </c>
      <c r="D99" t="str" cm="1">
        <f t="array" aca="1" ref="D99" ca="1">IFERROR(_xlfn.IFS(C99="","",C99&lt;&gt;"",INDEX(SF_Output!I:I,MATCH(C99,SF_Output!M:M,0))),IFERROR(INDEX(INDIRECT($D$2&amp;"!G:G"),MATCH(C99,INDIRECT($D$2&amp;"!B:B"),0)),INDEX(INDIRECT("'"&amp;$D$2&amp;"'!G:G"),MATCH(C99,INDIRECT("'"&amp;$D$2&amp;"'!B:B"),0))))</f>
        <v>Payments</v>
      </c>
      <c r="E99" t="str" cm="1">
        <f t="array" aca="1" ref="E99" ca="1">IFERROR(IF(C99="","",INDIRECT($D$2&amp;"!F"&amp;Z99)),IF(C99="","",INDIRECT("'"&amp;$D$2&amp;"'"&amp;"!F"&amp;Z99)))</f>
        <v>Included</v>
      </c>
      <c r="F99" t="str" cm="1">
        <f t="array" aca="1" ref="F99" ca="1">IFERROR(IF(C99="","",INDIRECT($D$2&amp;"!ak"&amp;Z99)),IF(C99="","",INDIRECT("'"&amp;$D$2&amp;"'"&amp;"!ak"&amp;Z99)))</f>
        <v/>
      </c>
      <c r="G99" cm="1">
        <f t="array" aca="1" ref="G99" ca="1">IFERROR(INDIRECT($D$2&amp;"!h"&amp;Z99),INDIRECT("'"&amp;$D$2&amp;"'"&amp;"!h"&amp;Z99))</f>
        <v>1</v>
      </c>
      <c r="H99" s="125" t="str" cm="1">
        <f t="array" aca="1" ref="H99" ca="1">IFERROR(INDIRECT($D$2&amp;"!i"&amp;Z99),INDIRECT("'"&amp;$D$2&amp;"'"&amp;"!i"&amp;Z99))</f>
        <v/>
      </c>
      <c r="I99" s="113" cm="1">
        <f t="array" aca="1" ref="I99" ca="1">IFERROR(IF($C99="","",INDIRECT($D$2&amp;"!j"&amp;$Z99)+INDIRECT($D$2&amp;"!n"&amp;$Z99)),IF($C99="","",INDIRECT("'"&amp;$D$2&amp;"'"&amp;"!j"&amp;$Z99)+INDIRECT("'"&amp;$D$2&amp;"'"&amp;"!n"&amp;$Z99)))</f>
        <v>0</v>
      </c>
      <c r="J99" s="113">
        <f t="shared" ca="1" si="12"/>
        <v>0</v>
      </c>
      <c r="K99" s="113" cm="1">
        <f t="array" aca="1" ref="K99" ca="1">IFERROR(IF($C99="","",INDIRECT($D$2&amp;"!l"&amp;$Z99)+INDIRECT($D$2&amp;"!p"&amp;$Z99)),IF($C99="","",INDIRECT("'"&amp;$D$2&amp;"'"&amp;"!l"&amp;$Z99)+INDIRECT("'"&amp;$D$2&amp;"'"&amp;"!p"&amp;$Z99)))</f>
        <v>0</v>
      </c>
      <c r="M99" s="113" cm="1">
        <f t="array" aca="1" ref="M99" ca="1">IFERROR(IF($C99="","",INDIRECT($D$2&amp;"!r"&amp;Z99)),IF($C99="","",INDIRECT("'"&amp;$D$2&amp;"'"&amp;"!r"&amp;Z99)))</f>
        <v>0</v>
      </c>
      <c r="N99" s="113">
        <f t="shared" ca="1" si="13"/>
        <v>0</v>
      </c>
      <c r="O99" s="113" cm="1">
        <f t="array" aca="1" ref="O99" ca="1">IFERROR(IF($C99="","",INDIRECT($D$2&amp;"!t"&amp;Z99)),IF($C99="","",INDIRECT("'"&amp;$D$2&amp;"'"&amp;"!t"&amp;Z99)))</f>
        <v>0</v>
      </c>
      <c r="Q99" s="113" cm="1">
        <f t="array" aca="1" ref="Q99" ca="1">IFERROR(IF($C99="","",INDIRECT($D$2&amp;"!v"&amp;Z99)),IF($C99="","",INDIRECT("'"&amp;$D$2&amp;"'"&amp;"!v"&amp;Z99)))</f>
        <v>100</v>
      </c>
      <c r="R99" s="113">
        <f t="shared" ca="1" si="14"/>
        <v>0</v>
      </c>
      <c r="S99" s="113" cm="1">
        <f t="array" aca="1" ref="S99" ca="1">IFERROR(IF($C99="","",INDIRECT($D$2&amp;"!x"&amp;Z99)),IF($C99="","",INDIRECT("'"&amp;$D$2&amp;"'"&amp;"!x"&amp;Z99)))</f>
        <v>100</v>
      </c>
      <c r="U99" s="113" cm="1">
        <f t="array" aca="1" ref="U99" ca="1">IFERROR(IF($C99="","",INDIRECT($D$2&amp;"!z"&amp;Z99)),IF($C99="","",INDIRECT("'"&amp;$D$2&amp;"'"&amp;"!z"&amp;Z99)))</f>
        <v>0</v>
      </c>
      <c r="V99" s="113">
        <f t="shared" ca="1" si="15"/>
        <v>0</v>
      </c>
      <c r="W99" s="113" cm="1">
        <f t="array" aca="1" ref="W99" ca="1">IFERROR(IF($C99="","",INDIRECT($D$2&amp;"!ab"&amp;Z99)),IF($C99="","",INDIRECT("'"&amp;$D$2&amp;"'"&amp;"!ab"&amp;Z99)))</f>
        <v>0</v>
      </c>
      <c r="X99" s="113"/>
      <c r="Y99" s="113">
        <f t="shared" ca="1" si="16"/>
        <v>100</v>
      </c>
      <c r="Z99" s="35">
        <v>88</v>
      </c>
      <c r="AA99" s="113"/>
      <c r="AB99" s="35">
        <v>88</v>
      </c>
    </row>
    <row r="100" spans="3:28" x14ac:dyDescent="0.25">
      <c r="C100" t="str" cm="1">
        <f t="array" aca="1" ref="C100" ca="1">IFERROR(IF(INDIRECT($D$2&amp;"!B"&amp;Z100)="","",INDIRECT("'"&amp;$D$2&amp;"'"&amp;"!B"&amp;Z100)),IF(INDIRECT("'"&amp;$D$2&amp;"'"&amp;"!B"&amp;Z100)="","",INDIRECT("'"&amp;$D$2&amp;"'"&amp;"!B"&amp;Z100)))</f>
        <v>JHA Debit Processing</v>
      </c>
      <c r="D100" t="str" cm="1">
        <f t="array" aca="1" ref="D100" ca="1">IFERROR(_xlfn.IFS(C100="","",C100&lt;&gt;"",INDEX(SF_Output!I:I,MATCH(C100,SF_Output!M:M,0))),IFERROR(INDEX(INDIRECT($D$2&amp;"!G:G"),MATCH(C100,INDIRECT($D$2&amp;"!B:B"),0)),INDEX(INDIRECT("'"&amp;$D$2&amp;"'!G:G"),MATCH(C100,INDIRECT("'"&amp;$D$2&amp;"'!B:B"),0))))</f>
        <v>Payments</v>
      </c>
      <c r="E100" t="str" cm="1">
        <f t="array" aca="1" ref="E100" ca="1">IFERROR(IF(C100="","",INDIRECT($D$2&amp;"!F"&amp;Z100)),IF(C100="","",INDIRECT("'"&amp;$D$2&amp;"'"&amp;"!F"&amp;Z100)))</f>
        <v>Included</v>
      </c>
      <c r="F100" t="str" cm="1">
        <f t="array" aca="1" ref="F100" ca="1">IFERROR(IF(C100="","",INDIRECT($D$2&amp;"!ak"&amp;Z100)),IF(C100="","",INDIRECT("'"&amp;$D$2&amp;"'"&amp;"!ak"&amp;Z100)))</f>
        <v/>
      </c>
      <c r="G100" cm="1">
        <f t="array" aca="1" ref="G100" ca="1">IFERROR(INDIRECT($D$2&amp;"!h"&amp;Z100),INDIRECT("'"&amp;$D$2&amp;"'"&amp;"!h"&amp;Z100))</f>
        <v>1</v>
      </c>
      <c r="H100" s="125" t="str" cm="1">
        <f t="array" aca="1" ref="H100" ca="1">IFERROR(INDIRECT($D$2&amp;"!i"&amp;Z100),INDIRECT("'"&amp;$D$2&amp;"'"&amp;"!i"&amp;Z100))</f>
        <v/>
      </c>
      <c r="I100" s="113" cm="1">
        <f t="array" aca="1" ref="I100" ca="1">IFERROR(IF($C100="","",INDIRECT($D$2&amp;"!j"&amp;$Z100)+INDIRECT($D$2&amp;"!n"&amp;$Z100)),IF($C100="","",INDIRECT("'"&amp;$D$2&amp;"'"&amp;"!j"&amp;$Z100)+INDIRECT("'"&amp;$D$2&amp;"'"&amp;"!n"&amp;$Z100)))</f>
        <v>12500</v>
      </c>
      <c r="J100" s="113">
        <f t="shared" ca="1" si="12"/>
        <v>-12500</v>
      </c>
      <c r="K100" s="113" cm="1">
        <f t="array" aca="1" ref="K100" ca="1">IFERROR(IF($C100="","",INDIRECT($D$2&amp;"!l"&amp;$Z100)+INDIRECT($D$2&amp;"!p"&amp;$Z100)),IF($C100="","",INDIRECT("'"&amp;$D$2&amp;"'"&amp;"!l"&amp;$Z100)+INDIRECT("'"&amp;$D$2&amp;"'"&amp;"!p"&amp;$Z100)))</f>
        <v>0</v>
      </c>
      <c r="M100" s="113" cm="1">
        <f t="array" aca="1" ref="M100" ca="1">IFERROR(IF($C100="","",INDIRECT($D$2&amp;"!r"&amp;Z100)),IF($C100="","",INDIRECT("'"&amp;$D$2&amp;"'"&amp;"!r"&amp;Z100)))</f>
        <v>0</v>
      </c>
      <c r="N100" s="113">
        <f t="shared" ca="1" si="13"/>
        <v>0</v>
      </c>
      <c r="O100" s="113" cm="1">
        <f t="array" aca="1" ref="O100" ca="1">IFERROR(IF($C100="","",INDIRECT($D$2&amp;"!t"&amp;Z100)),IF($C100="","",INDIRECT("'"&amp;$D$2&amp;"'"&amp;"!t"&amp;Z100)))</f>
        <v>0</v>
      </c>
      <c r="Q100" s="113" cm="1">
        <f t="array" aca="1" ref="Q100" ca="1">IFERROR(IF($C100="","",INDIRECT($D$2&amp;"!v"&amp;Z100)),IF($C100="","",INDIRECT("'"&amp;$D$2&amp;"'"&amp;"!v"&amp;Z100)))</f>
        <v>650</v>
      </c>
      <c r="R100" s="113">
        <f t="shared" ca="1" si="14"/>
        <v>0</v>
      </c>
      <c r="S100" s="113" cm="1">
        <f t="array" aca="1" ref="S100" ca="1">IFERROR(IF($C100="","",INDIRECT($D$2&amp;"!x"&amp;Z100)),IF($C100="","",INDIRECT("'"&amp;$D$2&amp;"'"&amp;"!x"&amp;Z100)))</f>
        <v>650</v>
      </c>
      <c r="U100" s="113" cm="1">
        <f t="array" aca="1" ref="U100" ca="1">IFERROR(IF($C100="","",INDIRECT($D$2&amp;"!z"&amp;Z100)),IF($C100="","",INDIRECT("'"&amp;$D$2&amp;"'"&amp;"!z"&amp;Z100)))</f>
        <v>0</v>
      </c>
      <c r="V100" s="113">
        <f t="shared" ca="1" si="15"/>
        <v>0</v>
      </c>
      <c r="W100" s="113" cm="1">
        <f t="array" aca="1" ref="W100" ca="1">IFERROR(IF($C100="","",INDIRECT($D$2&amp;"!ab"&amp;Z100)),IF($C100="","",INDIRECT("'"&amp;$D$2&amp;"'"&amp;"!ab"&amp;Z100)))</f>
        <v>0</v>
      </c>
      <c r="X100" s="113"/>
      <c r="Y100" s="113">
        <f t="shared" ca="1" si="16"/>
        <v>650</v>
      </c>
      <c r="Z100" s="35">
        <v>89</v>
      </c>
      <c r="AA100" s="113"/>
      <c r="AB100" s="35">
        <v>89</v>
      </c>
    </row>
    <row r="101" spans="3:28" x14ac:dyDescent="0.25">
      <c r="C101" t="str" cm="1">
        <f t="array" aca="1" ref="C101" ca="1">IFERROR(IF(INDIRECT($D$2&amp;"!B"&amp;Z101)="","",INDIRECT("'"&amp;$D$2&amp;"'"&amp;"!B"&amp;Z101)),IF(INDIRECT("'"&amp;$D$2&amp;"'"&amp;"!B"&amp;Z101)="","",INDIRECT("'"&amp;$D$2&amp;"'"&amp;"!B"&amp;Z101)))</f>
        <v>Debit Card Authorization subject to {$}250 minimum monthly</v>
      </c>
      <c r="D101" t="str" cm="1">
        <f t="array" aca="1" ref="D101" ca="1">IFERROR(_xlfn.IFS(C101="","",C101&lt;&gt;"",INDEX(SF_Output!I:I,MATCH(C101,SF_Output!M:M,0))),IFERROR(INDEX(INDIRECT($D$2&amp;"!G:G"),MATCH(C101,INDIRECT($D$2&amp;"!B:B"),0)),INDEX(INDIRECT("'"&amp;$D$2&amp;"'!G:G"),MATCH(C101,INDIRECT("'"&amp;$D$2&amp;"'!B:B"),0))))</f>
        <v>Payments</v>
      </c>
      <c r="E101" t="str" cm="1">
        <f t="array" aca="1" ref="E101" ca="1">IFERROR(IF(C101="","",INDIRECT($D$2&amp;"!F"&amp;Z101)),IF(C101="","",INDIRECT("'"&amp;$D$2&amp;"'"&amp;"!F"&amp;Z101)))</f>
        <v>Included</v>
      </c>
      <c r="F101" t="str" cm="1">
        <f t="array" aca="1" ref="F101" ca="1">IFERROR(IF(C101="","",INDIRECT($D$2&amp;"!ak"&amp;Z101)),IF(C101="","",INDIRECT("'"&amp;$D$2&amp;"'"&amp;"!ak"&amp;Z101)))</f>
        <v/>
      </c>
      <c r="G101" cm="1">
        <f t="array" aca="1" ref="G101" ca="1">IFERROR(INDIRECT($D$2&amp;"!h"&amp;Z101),INDIRECT("'"&amp;$D$2&amp;"'"&amp;"!h"&amp;Z101))</f>
        <v>1</v>
      </c>
      <c r="H101" s="125" t="str" cm="1">
        <f t="array" aca="1" ref="H101" ca="1">IFERROR(INDIRECT($D$2&amp;"!i"&amp;Z101),INDIRECT("'"&amp;$D$2&amp;"'"&amp;"!i"&amp;Z101))</f>
        <v/>
      </c>
      <c r="I101" s="113" cm="1">
        <f t="array" aca="1" ref="I101" ca="1">IFERROR(IF($C101="","",INDIRECT($D$2&amp;"!j"&amp;$Z101)+INDIRECT($D$2&amp;"!n"&amp;$Z101)),IF($C101="","",INDIRECT("'"&amp;$D$2&amp;"'"&amp;"!j"&amp;$Z101)+INDIRECT("'"&amp;$D$2&amp;"'"&amp;"!n"&amp;$Z101)))</f>
        <v>0</v>
      </c>
      <c r="J101" s="113">
        <f t="shared" ca="1" si="12"/>
        <v>0</v>
      </c>
      <c r="K101" s="113" cm="1">
        <f t="array" aca="1" ref="K101" ca="1">IFERROR(IF($C101="","",INDIRECT($D$2&amp;"!l"&amp;$Z101)+INDIRECT($D$2&amp;"!p"&amp;$Z101)),IF($C101="","",INDIRECT("'"&amp;$D$2&amp;"'"&amp;"!l"&amp;$Z101)+INDIRECT("'"&amp;$D$2&amp;"'"&amp;"!p"&amp;$Z101)))</f>
        <v>0</v>
      </c>
      <c r="M101" s="113" cm="1">
        <f t="array" aca="1" ref="M101" ca="1">IFERROR(IF($C101="","",INDIRECT($D$2&amp;"!r"&amp;Z101)),IF($C101="","",INDIRECT("'"&amp;$D$2&amp;"'"&amp;"!r"&amp;Z101)))</f>
        <v>0</v>
      </c>
      <c r="N101" s="113">
        <f t="shared" ca="1" si="13"/>
        <v>0</v>
      </c>
      <c r="O101" s="113" cm="1">
        <f t="array" aca="1" ref="O101" ca="1">IFERROR(IF($C101="","",INDIRECT($D$2&amp;"!t"&amp;Z101)),IF($C101="","",INDIRECT("'"&amp;$D$2&amp;"'"&amp;"!t"&amp;Z101)))</f>
        <v>0</v>
      </c>
      <c r="Q101" s="113" cm="1">
        <f t="array" aca="1" ref="Q101" ca="1">IFERROR(IF($C101="","",INDIRECT($D$2&amp;"!v"&amp;Z101)),IF($C101="","",INDIRECT("'"&amp;$D$2&amp;"'"&amp;"!v"&amp;Z101)))</f>
        <v>250</v>
      </c>
      <c r="R101" s="113">
        <f t="shared" ca="1" si="14"/>
        <v>0</v>
      </c>
      <c r="S101" s="113" cm="1">
        <f t="array" aca="1" ref="S101" ca="1">IFERROR(IF($C101="","",INDIRECT($D$2&amp;"!x"&amp;Z101)),IF($C101="","",INDIRECT("'"&amp;$D$2&amp;"'"&amp;"!x"&amp;Z101)))</f>
        <v>250</v>
      </c>
      <c r="U101" s="113" cm="1">
        <f t="array" aca="1" ref="U101" ca="1">IFERROR(IF($C101="","",INDIRECT($D$2&amp;"!z"&amp;Z101)),IF($C101="","",INDIRECT("'"&amp;$D$2&amp;"'"&amp;"!z"&amp;Z101)))</f>
        <v>0</v>
      </c>
      <c r="V101" s="113">
        <f t="shared" ca="1" si="15"/>
        <v>0</v>
      </c>
      <c r="W101" s="113" cm="1">
        <f t="array" aca="1" ref="W101" ca="1">IFERROR(IF($C101="","",INDIRECT($D$2&amp;"!ab"&amp;Z101)),IF($C101="","",INDIRECT("'"&amp;$D$2&amp;"'"&amp;"!ab"&amp;Z101)))</f>
        <v>0</v>
      </c>
      <c r="X101" s="113"/>
      <c r="Y101" s="113">
        <f t="shared" ca="1" si="16"/>
        <v>250</v>
      </c>
      <c r="Z101" s="35">
        <v>90</v>
      </c>
      <c r="AA101" s="113"/>
      <c r="AB101" s="35">
        <v>90</v>
      </c>
    </row>
    <row r="102" spans="3:28" x14ac:dyDescent="0.25">
      <c r="C102" t="str" cm="1">
        <f t="array" aca="1" ref="C102" ca="1">IFERROR(IF(INDIRECT($D$2&amp;"!B"&amp;Z102)="","",INDIRECT("'"&amp;$D$2&amp;"'"&amp;"!B"&amp;Z102)),IF(INDIRECT("'"&amp;$D$2&amp;"'"&amp;"!B"&amp;Z102)="","",INDIRECT("'"&amp;$D$2&amp;"'"&amp;"!B"&amp;Z102)))</f>
        <v>Debit Card Settlement</v>
      </c>
      <c r="D102" t="str" cm="1">
        <f t="array" aca="1" ref="D102" ca="1">IFERROR(_xlfn.IFS(C102="","",C102&lt;&gt;"",INDEX(SF_Output!I:I,MATCH(C102,SF_Output!M:M,0))),IFERROR(INDEX(INDIRECT($D$2&amp;"!G:G"),MATCH(C102,INDIRECT($D$2&amp;"!B:B"),0)),INDEX(INDIRECT("'"&amp;$D$2&amp;"'!G:G"),MATCH(C102,INDIRECT("'"&amp;$D$2&amp;"'!B:B"),0))))</f>
        <v>Payments</v>
      </c>
      <c r="E102" t="str" cm="1">
        <f t="array" aca="1" ref="E102" ca="1">IFERROR(IF(C102="","",INDIRECT($D$2&amp;"!F"&amp;Z102)),IF(C102="","",INDIRECT("'"&amp;$D$2&amp;"'"&amp;"!F"&amp;Z102)))</f>
        <v>Included</v>
      </c>
      <c r="F102" t="str" cm="1">
        <f t="array" aca="1" ref="F102" ca="1">IFERROR(IF(C102="","",INDIRECT($D$2&amp;"!ak"&amp;Z102)),IF(C102="","",INDIRECT("'"&amp;$D$2&amp;"'"&amp;"!ak"&amp;Z102)))</f>
        <v/>
      </c>
      <c r="G102" cm="1">
        <f t="array" aca="1" ref="G102" ca="1">IFERROR(INDIRECT($D$2&amp;"!h"&amp;Z102),INDIRECT("'"&amp;$D$2&amp;"'"&amp;"!h"&amp;Z102))</f>
        <v>0</v>
      </c>
      <c r="H102" s="125" t="str" cm="1">
        <f t="array" aca="1" ref="H102" ca="1">IFERROR(INDIRECT($D$2&amp;"!i"&amp;Z102),INDIRECT("'"&amp;$D$2&amp;"'"&amp;"!i"&amp;Z102))</f>
        <v/>
      </c>
      <c r="I102" s="113" cm="1">
        <f t="array" aca="1" ref="I102" ca="1">IFERROR(IF($C102="","",INDIRECT($D$2&amp;"!j"&amp;$Z102)+INDIRECT($D$2&amp;"!n"&amp;$Z102)),IF($C102="","",INDIRECT("'"&amp;$D$2&amp;"'"&amp;"!j"&amp;$Z102)+INDIRECT("'"&amp;$D$2&amp;"'"&amp;"!n"&amp;$Z102)))</f>
        <v>0</v>
      </c>
      <c r="J102" s="113">
        <f t="shared" ca="1" si="12"/>
        <v>0</v>
      </c>
      <c r="K102" s="113" cm="1">
        <f t="array" aca="1" ref="K102" ca="1">IFERROR(IF($C102="","",INDIRECT($D$2&amp;"!l"&amp;$Z102)+INDIRECT($D$2&amp;"!p"&amp;$Z102)),IF($C102="","",INDIRECT("'"&amp;$D$2&amp;"'"&amp;"!l"&amp;$Z102)+INDIRECT("'"&amp;$D$2&amp;"'"&amp;"!p"&amp;$Z102)))</f>
        <v>0</v>
      </c>
      <c r="M102" s="113" cm="1">
        <f t="array" aca="1" ref="M102" ca="1">IFERROR(IF($C102="","",INDIRECT($D$2&amp;"!r"&amp;Z102)),IF($C102="","",INDIRECT("'"&amp;$D$2&amp;"'"&amp;"!r"&amp;Z102)))</f>
        <v>0</v>
      </c>
      <c r="N102" s="113">
        <f t="shared" ca="1" si="13"/>
        <v>0</v>
      </c>
      <c r="O102" s="113" cm="1">
        <f t="array" aca="1" ref="O102" ca="1">IFERROR(IF($C102="","",INDIRECT($D$2&amp;"!t"&amp;Z102)),IF($C102="","",INDIRECT("'"&amp;$D$2&amp;"'"&amp;"!t"&amp;Z102)))</f>
        <v>0</v>
      </c>
      <c r="Q102" s="113" cm="1">
        <f t="array" aca="1" ref="Q102" ca="1">IFERROR(IF($C102="","",INDIRECT($D$2&amp;"!v"&amp;Z102)),IF($C102="","",INDIRECT("'"&amp;$D$2&amp;"'"&amp;"!v"&amp;Z102)))</f>
        <v>0</v>
      </c>
      <c r="R102" s="113">
        <f t="shared" ca="1" si="14"/>
        <v>0</v>
      </c>
      <c r="S102" s="113" cm="1">
        <f t="array" aca="1" ref="S102" ca="1">IFERROR(IF($C102="","",INDIRECT($D$2&amp;"!x"&amp;Z102)),IF($C102="","",INDIRECT("'"&amp;$D$2&amp;"'"&amp;"!x"&amp;Z102)))</f>
        <v>0</v>
      </c>
      <c r="U102" s="113" cm="1">
        <f t="array" aca="1" ref="U102" ca="1">IFERROR(IF($C102="","",INDIRECT($D$2&amp;"!z"&amp;Z102)),IF($C102="","",INDIRECT("'"&amp;$D$2&amp;"'"&amp;"!z"&amp;Z102)))</f>
        <v>0</v>
      </c>
      <c r="V102" s="113">
        <f t="shared" ca="1" si="15"/>
        <v>0</v>
      </c>
      <c r="W102" s="113" cm="1">
        <f t="array" aca="1" ref="W102" ca="1">IFERROR(IF($C102="","",INDIRECT($D$2&amp;"!ab"&amp;Z102)),IF($C102="","",INDIRECT("'"&amp;$D$2&amp;"'"&amp;"!ab"&amp;Z102)))</f>
        <v>0</v>
      </c>
      <c r="X102" s="113"/>
      <c r="Y102" s="113">
        <f t="shared" ca="1" si="16"/>
        <v>0</v>
      </c>
      <c r="Z102" s="35">
        <v>91</v>
      </c>
      <c r="AA102" s="113"/>
      <c r="AB102" s="35">
        <v>91</v>
      </c>
    </row>
    <row r="103" spans="3:28" x14ac:dyDescent="0.25">
      <c r="C103" t="str" cm="1">
        <f t="array" aca="1" ref="C103" ca="1">IFERROR(IF(INDIRECT($D$2&amp;"!B"&amp;Z103)="","",INDIRECT("'"&amp;$D$2&amp;"'"&amp;"!B"&amp;Z103)),IF(INDIRECT("'"&amp;$D$2&amp;"'"&amp;"!B"&amp;Z103)="","",INDIRECT("'"&amp;$D$2&amp;"'"&amp;"!B"&amp;Z103)))</f>
        <v>ATM/Debit Cards</v>
      </c>
      <c r="D103" t="str" cm="1">
        <f t="array" aca="1" ref="D103" ca="1">IFERROR(_xlfn.IFS(C103="","",C103&lt;&gt;"",INDEX(SF_Output!I:I,MATCH(C103,SF_Output!M:M,0))),IFERROR(INDEX(INDIRECT($D$2&amp;"!G:G"),MATCH(C103,INDIRECT($D$2&amp;"!B:B"),0)),INDEX(INDIRECT("'"&amp;$D$2&amp;"'!G:G"),MATCH(C103,INDIRECT("'"&amp;$D$2&amp;"'!B:B"),0))))</f>
        <v>Payments</v>
      </c>
      <c r="E103" t="str" cm="1">
        <f t="array" aca="1" ref="E103" ca="1">IFERROR(IF(C103="","",INDIRECT($D$2&amp;"!F"&amp;Z103)),IF(C103="","",INDIRECT("'"&amp;$D$2&amp;"'"&amp;"!F"&amp;Z103)))</f>
        <v>Included</v>
      </c>
      <c r="F103" t="str" cm="1">
        <f t="array" aca="1" ref="F103" ca="1">IFERROR(IF(C103="","",INDIRECT($D$2&amp;"!ak"&amp;Z103)),IF(C103="","",INDIRECT("'"&amp;$D$2&amp;"'"&amp;"!ak"&amp;Z103)))</f>
        <v/>
      </c>
      <c r="G103" cm="1">
        <f t="array" aca="1" ref="G103" ca="1">IFERROR(INDIRECT($D$2&amp;"!h"&amp;Z103),INDIRECT("'"&amp;$D$2&amp;"'"&amp;"!h"&amp;Z103))</f>
        <v>0</v>
      </c>
      <c r="H103" s="125" t="str" cm="1">
        <f t="array" aca="1" ref="H103" ca="1">IFERROR(INDIRECT($D$2&amp;"!i"&amp;Z103),INDIRECT("'"&amp;$D$2&amp;"'"&amp;"!i"&amp;Z103))</f>
        <v/>
      </c>
      <c r="I103" s="113" cm="1">
        <f t="array" aca="1" ref="I103" ca="1">IFERROR(IF($C103="","",INDIRECT($D$2&amp;"!j"&amp;$Z103)+INDIRECT($D$2&amp;"!n"&amp;$Z103)),IF($C103="","",INDIRECT("'"&amp;$D$2&amp;"'"&amp;"!j"&amp;$Z103)+INDIRECT("'"&amp;$D$2&amp;"'"&amp;"!n"&amp;$Z103)))</f>
        <v>0</v>
      </c>
      <c r="J103" s="113">
        <f t="shared" ca="1" si="12"/>
        <v>0</v>
      </c>
      <c r="K103" s="113" cm="1">
        <f t="array" aca="1" ref="K103" ca="1">IFERROR(IF($C103="","",INDIRECT($D$2&amp;"!l"&amp;$Z103)+INDIRECT($D$2&amp;"!p"&amp;$Z103)),IF($C103="","",INDIRECT("'"&amp;$D$2&amp;"'"&amp;"!l"&amp;$Z103)+INDIRECT("'"&amp;$D$2&amp;"'"&amp;"!p"&amp;$Z103)))</f>
        <v>0</v>
      </c>
      <c r="M103" s="113" cm="1">
        <f t="array" aca="1" ref="M103" ca="1">IFERROR(IF($C103="","",INDIRECT($D$2&amp;"!r"&amp;Z103)),IF($C103="","",INDIRECT("'"&amp;$D$2&amp;"'"&amp;"!r"&amp;Z103)))</f>
        <v>0</v>
      </c>
      <c r="N103" s="113">
        <f t="shared" ca="1" si="13"/>
        <v>0</v>
      </c>
      <c r="O103" s="113" cm="1">
        <f t="array" aca="1" ref="O103" ca="1">IFERROR(IF($C103="","",INDIRECT($D$2&amp;"!t"&amp;Z103)),IF($C103="","",INDIRECT("'"&amp;$D$2&amp;"'"&amp;"!t"&amp;Z103)))</f>
        <v>0</v>
      </c>
      <c r="Q103" s="113" cm="1">
        <f t="array" aca="1" ref="Q103" ca="1">IFERROR(IF($C103="","",INDIRECT($D$2&amp;"!v"&amp;Z103)),IF($C103="","",INDIRECT("'"&amp;$D$2&amp;"'"&amp;"!v"&amp;Z103)))</f>
        <v>0</v>
      </c>
      <c r="R103" s="113">
        <f t="shared" ca="1" si="14"/>
        <v>0</v>
      </c>
      <c r="S103" s="113" cm="1">
        <f t="array" aca="1" ref="S103" ca="1">IFERROR(IF($C103="","",INDIRECT($D$2&amp;"!x"&amp;Z103)),IF($C103="","",INDIRECT("'"&amp;$D$2&amp;"'"&amp;"!x"&amp;Z103)))</f>
        <v>0</v>
      </c>
      <c r="U103" s="113" cm="1">
        <f t="array" aca="1" ref="U103" ca="1">IFERROR(IF($C103="","",INDIRECT($D$2&amp;"!z"&amp;Z103)),IF($C103="","",INDIRECT("'"&amp;$D$2&amp;"'"&amp;"!z"&amp;Z103)))</f>
        <v>0</v>
      </c>
      <c r="V103" s="113">
        <f t="shared" ca="1" si="15"/>
        <v>0</v>
      </c>
      <c r="W103" s="113" cm="1">
        <f t="array" aca="1" ref="W103" ca="1">IFERROR(IF($C103="","",INDIRECT($D$2&amp;"!ab"&amp;Z103)),IF($C103="","",INDIRECT("'"&amp;$D$2&amp;"'"&amp;"!ab"&amp;Z103)))</f>
        <v>0</v>
      </c>
      <c r="X103" s="113"/>
      <c r="Y103" s="113">
        <f t="shared" ca="1" si="16"/>
        <v>0</v>
      </c>
      <c r="Z103" s="35">
        <v>92</v>
      </c>
      <c r="AA103" s="113"/>
      <c r="AB103" s="35">
        <v>92</v>
      </c>
    </row>
    <row r="104" spans="3:28" x14ac:dyDescent="0.25">
      <c r="C104" t="str" cm="1">
        <f t="array" aca="1" ref="C104" ca="1">IFERROR(IF(INDIRECT($D$2&amp;"!B"&amp;Z104)="","",INDIRECT("'"&amp;$D$2&amp;"'"&amp;"!B"&amp;Z104)),IF(INDIRECT("'"&amp;$D$2&amp;"'"&amp;"!B"&amp;Z104)="","",INDIRECT("'"&amp;$D$2&amp;"'"&amp;"!B"&amp;Z104)))</f>
        <v>Administrative Fee</v>
      </c>
      <c r="D104" t="str" cm="1">
        <f t="array" aca="1" ref="D104" ca="1">IFERROR(_xlfn.IFS(C104="","",C104&lt;&gt;"",INDEX(SF_Output!I:I,MATCH(C104,SF_Output!M:M,0))),IFERROR(INDEX(INDIRECT($D$2&amp;"!G:G"),MATCH(C104,INDIRECT($D$2&amp;"!B:B"),0)),INDEX(INDIRECT("'"&amp;$D$2&amp;"'!G:G"),MATCH(C104,INDIRECT("'"&amp;$D$2&amp;"'!B:B"),0))))</f>
        <v>Payments</v>
      </c>
      <c r="E104" t="str" cm="1">
        <f t="array" aca="1" ref="E104" ca="1">IFERROR(IF(C104="","",INDIRECT($D$2&amp;"!F"&amp;Z104)),IF(C104="","",INDIRECT("'"&amp;$D$2&amp;"'"&amp;"!F"&amp;Z104)))</f>
        <v>Included</v>
      </c>
      <c r="F104" t="str" cm="1">
        <f t="array" aca="1" ref="F104" ca="1">IFERROR(IF(C104="","",INDIRECT($D$2&amp;"!ak"&amp;Z104)),IF(C104="","",INDIRECT("'"&amp;$D$2&amp;"'"&amp;"!ak"&amp;Z104)))</f>
        <v/>
      </c>
      <c r="G104" cm="1">
        <f t="array" aca="1" ref="G104" ca="1">IFERROR(INDIRECT($D$2&amp;"!h"&amp;Z104),INDIRECT("'"&amp;$D$2&amp;"'"&amp;"!h"&amp;Z104))</f>
        <v>0</v>
      </c>
      <c r="H104" s="125" t="str" cm="1">
        <f t="array" aca="1" ref="H104" ca="1">IFERROR(INDIRECT($D$2&amp;"!i"&amp;Z104),INDIRECT("'"&amp;$D$2&amp;"'"&amp;"!i"&amp;Z104))</f>
        <v/>
      </c>
      <c r="I104" s="113" cm="1">
        <f t="array" aca="1" ref="I104" ca="1">IFERROR(IF($C104="","",INDIRECT($D$2&amp;"!j"&amp;$Z104)+INDIRECT($D$2&amp;"!n"&amp;$Z104)),IF($C104="","",INDIRECT("'"&amp;$D$2&amp;"'"&amp;"!j"&amp;$Z104)+INDIRECT("'"&amp;$D$2&amp;"'"&amp;"!n"&amp;$Z104)))</f>
        <v>0</v>
      </c>
      <c r="J104" s="113">
        <f t="shared" ca="1" si="12"/>
        <v>0</v>
      </c>
      <c r="K104" s="113" cm="1">
        <f t="array" aca="1" ref="K104" ca="1">IFERROR(IF($C104="","",INDIRECT($D$2&amp;"!l"&amp;$Z104)+INDIRECT($D$2&amp;"!p"&amp;$Z104)),IF($C104="","",INDIRECT("'"&amp;$D$2&amp;"'"&amp;"!l"&amp;$Z104)+INDIRECT("'"&amp;$D$2&amp;"'"&amp;"!p"&amp;$Z104)))</f>
        <v>0</v>
      </c>
      <c r="M104" s="113" cm="1">
        <f t="array" aca="1" ref="M104" ca="1">IFERROR(IF($C104="","",INDIRECT($D$2&amp;"!r"&amp;Z104)),IF($C104="","",INDIRECT("'"&amp;$D$2&amp;"'"&amp;"!r"&amp;Z104)))</f>
        <v>0</v>
      </c>
      <c r="N104" s="113">
        <f t="shared" ca="1" si="13"/>
        <v>0</v>
      </c>
      <c r="O104" s="113" cm="1">
        <f t="array" aca="1" ref="O104" ca="1">IFERROR(IF($C104="","",INDIRECT($D$2&amp;"!t"&amp;Z104)),IF($C104="","",INDIRECT("'"&amp;$D$2&amp;"'"&amp;"!t"&amp;Z104)))</f>
        <v>0</v>
      </c>
      <c r="Q104" s="113" cm="1">
        <f t="array" aca="1" ref="Q104" ca="1">IFERROR(IF($C104="","",INDIRECT($D$2&amp;"!v"&amp;Z104)),IF($C104="","",INDIRECT("'"&amp;$D$2&amp;"'"&amp;"!v"&amp;Z104)))</f>
        <v>0</v>
      </c>
      <c r="R104" s="113">
        <f t="shared" ca="1" si="14"/>
        <v>0</v>
      </c>
      <c r="S104" s="113" cm="1">
        <f t="array" aca="1" ref="S104" ca="1">IFERROR(IF($C104="","",INDIRECT($D$2&amp;"!x"&amp;Z104)),IF($C104="","",INDIRECT("'"&amp;$D$2&amp;"'"&amp;"!x"&amp;Z104)))</f>
        <v>0</v>
      </c>
      <c r="U104" s="113" cm="1">
        <f t="array" aca="1" ref="U104" ca="1">IFERROR(IF($C104="","",INDIRECT($D$2&amp;"!z"&amp;Z104)),IF($C104="","",INDIRECT("'"&amp;$D$2&amp;"'"&amp;"!z"&amp;Z104)))</f>
        <v>0</v>
      </c>
      <c r="V104" s="113">
        <f t="shared" ca="1" si="15"/>
        <v>0</v>
      </c>
      <c r="W104" s="113" cm="1">
        <f t="array" aca="1" ref="W104" ca="1">IFERROR(IF($C104="","",INDIRECT($D$2&amp;"!ab"&amp;Z104)),IF($C104="","",INDIRECT("'"&amp;$D$2&amp;"'"&amp;"!ab"&amp;Z104)))</f>
        <v>0</v>
      </c>
      <c r="X104" s="113"/>
      <c r="Y104" s="113">
        <f t="shared" ca="1" si="16"/>
        <v>0</v>
      </c>
      <c r="Z104" s="35">
        <v>93</v>
      </c>
      <c r="AA104" s="113"/>
      <c r="AB104" s="35">
        <v>93</v>
      </c>
    </row>
    <row r="105" spans="3:28" x14ac:dyDescent="0.25">
      <c r="C105" t="str" cm="1">
        <f t="array" aca="1" ref="C105" ca="1">IFERROR(IF(INDIRECT($D$2&amp;"!B"&amp;Z105)="","",INDIRECT("'"&amp;$D$2&amp;"'"&amp;"!B"&amp;Z105)),IF(INDIRECT("'"&amp;$D$2&amp;"'"&amp;"!B"&amp;Z105)="","",INDIRECT("'"&amp;$D$2&amp;"'"&amp;"!B"&amp;Z105)))</f>
        <v>EMV Chip Card Authorization</v>
      </c>
      <c r="D105" t="str" cm="1">
        <f t="array" aca="1" ref="D105" ca="1">IFERROR(_xlfn.IFS(C105="","",C105&lt;&gt;"",INDEX(SF_Output!I:I,MATCH(C105,SF_Output!M:M,0))),IFERROR(INDEX(INDIRECT($D$2&amp;"!G:G"),MATCH(C105,INDIRECT($D$2&amp;"!B:B"),0)),INDEX(INDIRECT("'"&amp;$D$2&amp;"'!G:G"),MATCH(C105,INDIRECT("'"&amp;$D$2&amp;"'!B:B"),0))))</f>
        <v>Payments</v>
      </c>
      <c r="E105" t="str" cm="1">
        <f t="array" aca="1" ref="E105" ca="1">IFERROR(IF(C105="","",INDIRECT($D$2&amp;"!F"&amp;Z105)),IF(C105="","",INDIRECT("'"&amp;$D$2&amp;"'"&amp;"!F"&amp;Z105)))</f>
        <v>Included</v>
      </c>
      <c r="F105" t="str" cm="1">
        <f t="array" aca="1" ref="F105" ca="1">IFERROR(IF(C105="","",INDIRECT($D$2&amp;"!ak"&amp;Z105)),IF(C105="","",INDIRECT("'"&amp;$D$2&amp;"'"&amp;"!ak"&amp;Z105)))</f>
        <v/>
      </c>
      <c r="G105" cm="1">
        <f t="array" aca="1" ref="G105" ca="1">IFERROR(INDIRECT($D$2&amp;"!h"&amp;Z105),INDIRECT("'"&amp;$D$2&amp;"'"&amp;"!h"&amp;Z105))</f>
        <v>0</v>
      </c>
      <c r="H105" s="125" t="str" cm="1">
        <f t="array" aca="1" ref="H105" ca="1">IFERROR(INDIRECT($D$2&amp;"!i"&amp;Z105),INDIRECT("'"&amp;$D$2&amp;"'"&amp;"!i"&amp;Z105))</f>
        <v/>
      </c>
      <c r="I105" s="113" cm="1">
        <f t="array" aca="1" ref="I105" ca="1">IFERROR(IF($C105="","",INDIRECT($D$2&amp;"!j"&amp;$Z105)+INDIRECT($D$2&amp;"!n"&amp;$Z105)),IF($C105="","",INDIRECT("'"&amp;$D$2&amp;"'"&amp;"!j"&amp;$Z105)+INDIRECT("'"&amp;$D$2&amp;"'"&amp;"!n"&amp;$Z105)))</f>
        <v>0</v>
      </c>
      <c r="J105" s="113">
        <f t="shared" ca="1" si="12"/>
        <v>0</v>
      </c>
      <c r="K105" s="113" cm="1">
        <f t="array" aca="1" ref="K105" ca="1">IFERROR(IF($C105="","",INDIRECT($D$2&amp;"!l"&amp;$Z105)+INDIRECT($D$2&amp;"!p"&amp;$Z105)),IF($C105="","",INDIRECT("'"&amp;$D$2&amp;"'"&amp;"!l"&amp;$Z105)+INDIRECT("'"&amp;$D$2&amp;"'"&amp;"!p"&amp;$Z105)))</f>
        <v>0</v>
      </c>
      <c r="M105" s="113" cm="1">
        <f t="array" aca="1" ref="M105" ca="1">IFERROR(IF($C105="","",INDIRECT($D$2&amp;"!r"&amp;Z105)),IF($C105="","",INDIRECT("'"&amp;$D$2&amp;"'"&amp;"!r"&amp;Z105)))</f>
        <v>0</v>
      </c>
      <c r="N105" s="113">
        <f t="shared" ca="1" si="13"/>
        <v>0</v>
      </c>
      <c r="O105" s="113" cm="1">
        <f t="array" aca="1" ref="O105" ca="1">IFERROR(IF($C105="","",INDIRECT($D$2&amp;"!t"&amp;Z105)),IF($C105="","",INDIRECT("'"&amp;$D$2&amp;"'"&amp;"!t"&amp;Z105)))</f>
        <v>0</v>
      </c>
      <c r="Q105" s="113" cm="1">
        <f t="array" aca="1" ref="Q105" ca="1">IFERROR(IF($C105="","",INDIRECT($D$2&amp;"!v"&amp;Z105)),IF($C105="","",INDIRECT("'"&amp;$D$2&amp;"'"&amp;"!v"&amp;Z105)))</f>
        <v>0</v>
      </c>
      <c r="R105" s="113">
        <f t="shared" ca="1" si="14"/>
        <v>0</v>
      </c>
      <c r="S105" s="113" cm="1">
        <f t="array" aca="1" ref="S105" ca="1">IFERROR(IF($C105="","",INDIRECT($D$2&amp;"!x"&amp;Z105)),IF($C105="","",INDIRECT("'"&amp;$D$2&amp;"'"&amp;"!x"&amp;Z105)))</f>
        <v>0</v>
      </c>
      <c r="U105" s="113" cm="1">
        <f t="array" aca="1" ref="U105" ca="1">IFERROR(IF($C105="","",INDIRECT($D$2&amp;"!z"&amp;Z105)),IF($C105="","",INDIRECT("'"&amp;$D$2&amp;"'"&amp;"!z"&amp;Z105)))</f>
        <v>0</v>
      </c>
      <c r="V105" s="113">
        <f t="shared" ca="1" si="15"/>
        <v>0</v>
      </c>
      <c r="W105" s="113" cm="1">
        <f t="array" aca="1" ref="W105" ca="1">IFERROR(IF($C105="","",INDIRECT($D$2&amp;"!ab"&amp;Z105)),IF($C105="","",INDIRECT("'"&amp;$D$2&amp;"'"&amp;"!ab"&amp;Z105)))</f>
        <v>0</v>
      </c>
      <c r="X105" s="113"/>
      <c r="Y105" s="113">
        <f t="shared" ca="1" si="16"/>
        <v>0</v>
      </c>
      <c r="Z105" s="35">
        <v>94</v>
      </c>
      <c r="AA105" s="113"/>
      <c r="AB105" s="35">
        <v>94</v>
      </c>
    </row>
    <row r="106" spans="3:28" x14ac:dyDescent="0.25">
      <c r="C106" t="str" cm="1">
        <f t="array" aca="1" ref="C106" ca="1">IFERROR(IF(INDIRECT($D$2&amp;"!B"&amp;Z106)="","",INDIRECT("'"&amp;$D$2&amp;"'"&amp;"!B"&amp;Z106)),IF(INDIRECT("'"&amp;$D$2&amp;"'"&amp;"!B"&amp;Z106)="","",INDIRECT("'"&amp;$D$2&amp;"'"&amp;"!B"&amp;Z106)))</f>
        <v>Authorization Track One Name Edit</v>
      </c>
      <c r="D106" t="str" cm="1">
        <f t="array" aca="1" ref="D106" ca="1">IFERROR(_xlfn.IFS(C106="","",C106&lt;&gt;"",INDEX(SF_Output!I:I,MATCH(C106,SF_Output!M:M,0))),IFERROR(INDEX(INDIRECT($D$2&amp;"!G:G"),MATCH(C106,INDIRECT($D$2&amp;"!B:B"),0)),INDEX(INDIRECT("'"&amp;$D$2&amp;"'!G:G"),MATCH(C106,INDIRECT("'"&amp;$D$2&amp;"'!B:B"),0))))</f>
        <v>Payments</v>
      </c>
      <c r="E106" t="str" cm="1">
        <f t="array" aca="1" ref="E106" ca="1">IFERROR(IF(C106="","",INDIRECT($D$2&amp;"!F"&amp;Z106)),IF(C106="","",INDIRECT("'"&amp;$D$2&amp;"'"&amp;"!F"&amp;Z106)))</f>
        <v>Included</v>
      </c>
      <c r="F106" t="str" cm="1">
        <f t="array" aca="1" ref="F106" ca="1">IFERROR(IF(C106="","",INDIRECT($D$2&amp;"!ak"&amp;Z106)),IF(C106="","",INDIRECT("'"&amp;$D$2&amp;"'"&amp;"!ak"&amp;Z106)))</f>
        <v/>
      </c>
      <c r="G106" cm="1">
        <f t="array" aca="1" ref="G106" ca="1">IFERROR(INDIRECT($D$2&amp;"!h"&amp;Z106),INDIRECT("'"&amp;$D$2&amp;"'"&amp;"!h"&amp;Z106))</f>
        <v>0</v>
      </c>
      <c r="H106" s="125" t="str" cm="1">
        <f t="array" aca="1" ref="H106" ca="1">IFERROR(INDIRECT($D$2&amp;"!i"&amp;Z106),INDIRECT("'"&amp;$D$2&amp;"'"&amp;"!i"&amp;Z106))</f>
        <v/>
      </c>
      <c r="I106" s="113" cm="1">
        <f t="array" aca="1" ref="I106" ca="1">IFERROR(IF($C106="","",INDIRECT($D$2&amp;"!j"&amp;$Z106)+INDIRECT($D$2&amp;"!n"&amp;$Z106)),IF($C106="","",INDIRECT("'"&amp;$D$2&amp;"'"&amp;"!j"&amp;$Z106)+INDIRECT("'"&amp;$D$2&amp;"'"&amp;"!n"&amp;$Z106)))</f>
        <v>0</v>
      </c>
      <c r="J106" s="113">
        <f t="shared" ca="1" si="12"/>
        <v>0</v>
      </c>
      <c r="K106" s="113" cm="1">
        <f t="array" aca="1" ref="K106" ca="1">IFERROR(IF($C106="","",INDIRECT($D$2&amp;"!l"&amp;$Z106)+INDIRECT($D$2&amp;"!p"&amp;$Z106)),IF($C106="","",INDIRECT("'"&amp;$D$2&amp;"'"&amp;"!l"&amp;$Z106)+INDIRECT("'"&amp;$D$2&amp;"'"&amp;"!p"&amp;$Z106)))</f>
        <v>0</v>
      </c>
      <c r="M106" s="113" cm="1">
        <f t="array" aca="1" ref="M106" ca="1">IFERROR(IF($C106="","",INDIRECT($D$2&amp;"!r"&amp;Z106)),IF($C106="","",INDIRECT("'"&amp;$D$2&amp;"'"&amp;"!r"&amp;Z106)))</f>
        <v>0</v>
      </c>
      <c r="N106" s="113">
        <f t="shared" ca="1" si="13"/>
        <v>0</v>
      </c>
      <c r="O106" s="113" cm="1">
        <f t="array" aca="1" ref="O106" ca="1">IFERROR(IF($C106="","",INDIRECT($D$2&amp;"!t"&amp;Z106)),IF($C106="","",INDIRECT("'"&amp;$D$2&amp;"'"&amp;"!t"&amp;Z106)))</f>
        <v>0</v>
      </c>
      <c r="Q106" s="113" cm="1">
        <f t="array" aca="1" ref="Q106" ca="1">IFERROR(IF($C106="","",INDIRECT($D$2&amp;"!v"&amp;Z106)),IF($C106="","",INDIRECT("'"&amp;$D$2&amp;"'"&amp;"!v"&amp;Z106)))</f>
        <v>0</v>
      </c>
      <c r="R106" s="113">
        <f t="shared" ca="1" si="14"/>
        <v>0</v>
      </c>
      <c r="S106" s="113" cm="1">
        <f t="array" aca="1" ref="S106" ca="1">IFERROR(IF($C106="","",INDIRECT($D$2&amp;"!x"&amp;Z106)),IF($C106="","",INDIRECT("'"&amp;$D$2&amp;"'"&amp;"!x"&amp;Z106)))</f>
        <v>0</v>
      </c>
      <c r="U106" s="113" cm="1">
        <f t="array" aca="1" ref="U106" ca="1">IFERROR(IF($C106="","",INDIRECT($D$2&amp;"!z"&amp;Z106)),IF($C106="","",INDIRECT("'"&amp;$D$2&amp;"'"&amp;"!z"&amp;Z106)))</f>
        <v>0</v>
      </c>
      <c r="V106" s="113">
        <f t="shared" ca="1" si="15"/>
        <v>0</v>
      </c>
      <c r="W106" s="113" cm="1">
        <f t="array" aca="1" ref="W106" ca="1">IFERROR(IF($C106="","",INDIRECT($D$2&amp;"!ab"&amp;Z106)),IF($C106="","",INDIRECT("'"&amp;$D$2&amp;"'"&amp;"!ab"&amp;Z106)))</f>
        <v>0</v>
      </c>
      <c r="X106" s="113"/>
      <c r="Y106" s="113">
        <f t="shared" ca="1" si="16"/>
        <v>0</v>
      </c>
      <c r="Z106" s="35">
        <v>95</v>
      </c>
      <c r="AA106" s="113"/>
      <c r="AB106" s="35">
        <v>95</v>
      </c>
    </row>
    <row r="107" spans="3:28" x14ac:dyDescent="0.25">
      <c r="C107" t="str" cm="1">
        <f t="array" aca="1" ref="C107" ca="1">IFERROR(IF(INDIRECT($D$2&amp;"!B"&amp;Z107)="","",INDIRECT("'"&amp;$D$2&amp;"'"&amp;"!B"&amp;Z107)),IF(INDIRECT("'"&amp;$D$2&amp;"'"&amp;"!B"&amp;Z107)="","",INDIRECT("'"&amp;$D$2&amp;"'"&amp;"!B"&amp;Z107)))</f>
        <v>JHA ATM/POS Processing</v>
      </c>
      <c r="D107" t="str" cm="1">
        <f t="array" aca="1" ref="D107" ca="1">IFERROR(_xlfn.IFS(C107="","",C107&lt;&gt;"",INDEX(SF_Output!I:I,MATCH(C107,SF_Output!M:M,0))),IFERROR(INDEX(INDIRECT($D$2&amp;"!G:G"),MATCH(C107,INDIRECT($D$2&amp;"!B:B"),0)),INDEX(INDIRECT("'"&amp;$D$2&amp;"'!G:G"),MATCH(C107,INDIRECT("'"&amp;$D$2&amp;"'!B:B"),0))))</f>
        <v>Payments</v>
      </c>
      <c r="E107" t="str" cm="1">
        <f t="array" aca="1" ref="E107" ca="1">IFERROR(IF(C107="","",INDIRECT($D$2&amp;"!F"&amp;Z107)),IF(C107="","",INDIRECT("'"&amp;$D$2&amp;"'"&amp;"!F"&amp;Z107)))</f>
        <v>Included</v>
      </c>
      <c r="F107" t="str" cm="1">
        <f t="array" aca="1" ref="F107" ca="1">IFERROR(IF(C107="","",INDIRECT($D$2&amp;"!ak"&amp;Z107)),IF(C107="","",INDIRECT("'"&amp;$D$2&amp;"'"&amp;"!ak"&amp;Z107)))</f>
        <v/>
      </c>
      <c r="G107" cm="1">
        <f t="array" aca="1" ref="G107" ca="1">IFERROR(INDIRECT($D$2&amp;"!h"&amp;Z107),INDIRECT("'"&amp;$D$2&amp;"'"&amp;"!h"&amp;Z107))</f>
        <v>1</v>
      </c>
      <c r="H107" s="125" t="str" cm="1">
        <f t="array" aca="1" ref="H107" ca="1">IFERROR(INDIRECT($D$2&amp;"!i"&amp;Z107),INDIRECT("'"&amp;$D$2&amp;"'"&amp;"!i"&amp;Z107))</f>
        <v/>
      </c>
      <c r="I107" s="113" cm="1">
        <f t="array" aca="1" ref="I107" ca="1">IFERROR(IF($C107="","",INDIRECT($D$2&amp;"!j"&amp;$Z107)+INDIRECT($D$2&amp;"!n"&amp;$Z107)),IF($C107="","",INDIRECT("'"&amp;$D$2&amp;"'"&amp;"!j"&amp;$Z107)+INDIRECT("'"&amp;$D$2&amp;"'"&amp;"!n"&amp;$Z107)))</f>
        <v>3000</v>
      </c>
      <c r="J107" s="113">
        <f t="shared" ca="1" si="12"/>
        <v>-3000</v>
      </c>
      <c r="K107" s="113" cm="1">
        <f t="array" aca="1" ref="K107" ca="1">IFERROR(IF($C107="","",INDIRECT($D$2&amp;"!l"&amp;$Z107)+INDIRECT($D$2&amp;"!p"&amp;$Z107)),IF($C107="","",INDIRECT("'"&amp;$D$2&amp;"'"&amp;"!l"&amp;$Z107)+INDIRECT("'"&amp;$D$2&amp;"'"&amp;"!p"&amp;$Z107)))</f>
        <v>0</v>
      </c>
      <c r="M107" s="113" cm="1">
        <f t="array" aca="1" ref="M107" ca="1">IFERROR(IF($C107="","",INDIRECT($D$2&amp;"!r"&amp;Z107)),IF($C107="","",INDIRECT("'"&amp;$D$2&amp;"'"&amp;"!r"&amp;Z107)))</f>
        <v>0</v>
      </c>
      <c r="N107" s="113">
        <f t="shared" ca="1" si="13"/>
        <v>0</v>
      </c>
      <c r="O107" s="113" cm="1">
        <f t="array" aca="1" ref="O107" ca="1">IFERROR(IF($C107="","",INDIRECT($D$2&amp;"!t"&amp;Z107)),IF($C107="","",INDIRECT("'"&amp;$D$2&amp;"'"&amp;"!t"&amp;Z107)))</f>
        <v>0</v>
      </c>
      <c r="Q107" s="113" cm="1">
        <f t="array" aca="1" ref="Q107" ca="1">IFERROR(IF($C107="","",INDIRECT($D$2&amp;"!v"&amp;Z107)),IF($C107="","",INDIRECT("'"&amp;$D$2&amp;"'"&amp;"!v"&amp;Z107)))</f>
        <v>500</v>
      </c>
      <c r="R107" s="113">
        <f t="shared" ca="1" si="14"/>
        <v>0</v>
      </c>
      <c r="S107" s="113" cm="1">
        <f t="array" aca="1" ref="S107" ca="1">IFERROR(IF($C107="","",INDIRECT($D$2&amp;"!x"&amp;Z107)),IF($C107="","",INDIRECT("'"&amp;$D$2&amp;"'"&amp;"!x"&amp;Z107)))</f>
        <v>500</v>
      </c>
      <c r="U107" s="113" cm="1">
        <f t="array" aca="1" ref="U107" ca="1">IFERROR(IF($C107="","",INDIRECT($D$2&amp;"!z"&amp;Z107)),IF($C107="","",INDIRECT("'"&amp;$D$2&amp;"'"&amp;"!z"&amp;Z107)))</f>
        <v>0</v>
      </c>
      <c r="V107" s="113">
        <f t="shared" ca="1" si="15"/>
        <v>0</v>
      </c>
      <c r="W107" s="113" cm="1">
        <f t="array" aca="1" ref="W107" ca="1">IFERROR(IF($C107="","",INDIRECT($D$2&amp;"!ab"&amp;Z107)),IF($C107="","",INDIRECT("'"&amp;$D$2&amp;"'"&amp;"!ab"&amp;Z107)))</f>
        <v>0</v>
      </c>
      <c r="X107" s="113"/>
      <c r="Y107" s="113">
        <f t="shared" ca="1" si="16"/>
        <v>500</v>
      </c>
      <c r="Z107" s="35">
        <v>96</v>
      </c>
      <c r="AA107" s="113"/>
      <c r="AB107" s="35">
        <v>96</v>
      </c>
    </row>
    <row r="108" spans="3:28" x14ac:dyDescent="0.25">
      <c r="C108" t="str" cm="1">
        <f t="array" aca="1" ref="C108" ca="1">IFERROR(IF(INDIRECT($D$2&amp;"!B"&amp;Z108)="","",INDIRECT("'"&amp;$D$2&amp;"'"&amp;"!B"&amp;Z108)),IF(INDIRECT("'"&amp;$D$2&amp;"'"&amp;"!B"&amp;Z108)="","",INDIRECT("'"&amp;$D$2&amp;"'"&amp;"!B"&amp;Z108)))</f>
        <v>ATM/POS Transactions subject to {$}250 minimum monthly</v>
      </c>
      <c r="D108" t="str" cm="1">
        <f t="array" aca="1" ref="D108" ca="1">IFERROR(_xlfn.IFS(C108="","",C108&lt;&gt;"",INDEX(SF_Output!I:I,MATCH(C108,SF_Output!M:M,0))),IFERROR(INDEX(INDIRECT($D$2&amp;"!G:G"),MATCH(C108,INDIRECT($D$2&amp;"!B:B"),0)),INDEX(INDIRECT("'"&amp;$D$2&amp;"'!G:G"),MATCH(C108,INDIRECT("'"&amp;$D$2&amp;"'!B:B"),0))))</f>
        <v>Payments</v>
      </c>
      <c r="E108" t="str" cm="1">
        <f t="array" aca="1" ref="E108" ca="1">IFERROR(IF(C108="","",INDIRECT($D$2&amp;"!F"&amp;Z108)),IF(C108="","",INDIRECT("'"&amp;$D$2&amp;"'"&amp;"!F"&amp;Z108)))</f>
        <v>Included</v>
      </c>
      <c r="F108" t="str" cm="1">
        <f t="array" aca="1" ref="F108" ca="1">IFERROR(IF(C108="","",INDIRECT($D$2&amp;"!ak"&amp;Z108)),IF(C108="","",INDIRECT("'"&amp;$D$2&amp;"'"&amp;"!ak"&amp;Z108)))</f>
        <v/>
      </c>
      <c r="G108" cm="1">
        <f t="array" aca="1" ref="G108" ca="1">IFERROR(INDIRECT($D$2&amp;"!h"&amp;Z108),INDIRECT("'"&amp;$D$2&amp;"'"&amp;"!h"&amp;Z108))</f>
        <v>1</v>
      </c>
      <c r="H108" s="125" t="str" cm="1">
        <f t="array" aca="1" ref="H108" ca="1">IFERROR(INDIRECT($D$2&amp;"!i"&amp;Z108),INDIRECT("'"&amp;$D$2&amp;"'"&amp;"!i"&amp;Z108))</f>
        <v/>
      </c>
      <c r="I108" s="113" cm="1">
        <f t="array" aca="1" ref="I108" ca="1">IFERROR(IF($C108="","",INDIRECT($D$2&amp;"!j"&amp;$Z108)+INDIRECT($D$2&amp;"!n"&amp;$Z108)),IF($C108="","",INDIRECT("'"&amp;$D$2&amp;"'"&amp;"!j"&amp;$Z108)+INDIRECT("'"&amp;$D$2&amp;"'"&amp;"!n"&amp;$Z108)))</f>
        <v>0</v>
      </c>
      <c r="J108" s="113">
        <f t="shared" ca="1" si="12"/>
        <v>0</v>
      </c>
      <c r="K108" s="113" cm="1">
        <f t="array" aca="1" ref="K108" ca="1">IFERROR(IF($C108="","",INDIRECT($D$2&amp;"!l"&amp;$Z108)+INDIRECT($D$2&amp;"!p"&amp;$Z108)),IF($C108="","",INDIRECT("'"&amp;$D$2&amp;"'"&amp;"!l"&amp;$Z108)+INDIRECT("'"&amp;$D$2&amp;"'"&amp;"!p"&amp;$Z108)))</f>
        <v>0</v>
      </c>
      <c r="M108" s="113" cm="1">
        <f t="array" aca="1" ref="M108" ca="1">IFERROR(IF($C108="","",INDIRECT($D$2&amp;"!r"&amp;Z108)),IF($C108="","",INDIRECT("'"&amp;$D$2&amp;"'"&amp;"!r"&amp;Z108)))</f>
        <v>0</v>
      </c>
      <c r="N108" s="113">
        <f t="shared" ca="1" si="13"/>
        <v>0</v>
      </c>
      <c r="O108" s="113" cm="1">
        <f t="array" aca="1" ref="O108" ca="1">IFERROR(IF($C108="","",INDIRECT($D$2&amp;"!t"&amp;Z108)),IF($C108="","",INDIRECT("'"&amp;$D$2&amp;"'"&amp;"!t"&amp;Z108)))</f>
        <v>0</v>
      </c>
      <c r="Q108" s="113" cm="1">
        <f t="array" aca="1" ref="Q108" ca="1">IFERROR(IF($C108="","",INDIRECT($D$2&amp;"!v"&amp;Z108)),IF($C108="","",INDIRECT("'"&amp;$D$2&amp;"'"&amp;"!v"&amp;Z108)))</f>
        <v>250</v>
      </c>
      <c r="R108" s="113">
        <f t="shared" ca="1" si="14"/>
        <v>0</v>
      </c>
      <c r="S108" s="113" cm="1">
        <f t="array" aca="1" ref="S108" ca="1">IFERROR(IF($C108="","",INDIRECT($D$2&amp;"!x"&amp;Z108)),IF($C108="","",INDIRECT("'"&amp;$D$2&amp;"'"&amp;"!x"&amp;Z108)))</f>
        <v>250</v>
      </c>
      <c r="U108" s="113" cm="1">
        <f t="array" aca="1" ref="U108" ca="1">IFERROR(IF($C108="","",INDIRECT($D$2&amp;"!z"&amp;Z108)),IF($C108="","",INDIRECT("'"&amp;$D$2&amp;"'"&amp;"!z"&amp;Z108)))</f>
        <v>0</v>
      </c>
      <c r="V108" s="113">
        <f t="shared" ca="1" si="15"/>
        <v>0</v>
      </c>
      <c r="W108" s="113" cm="1">
        <f t="array" aca="1" ref="W108" ca="1">IFERROR(IF($C108="","",INDIRECT($D$2&amp;"!ab"&amp;Z108)),IF($C108="","",INDIRECT("'"&amp;$D$2&amp;"'"&amp;"!ab"&amp;Z108)))</f>
        <v>0</v>
      </c>
      <c r="X108" s="113"/>
      <c r="Y108" s="113">
        <f t="shared" ca="1" si="16"/>
        <v>250</v>
      </c>
      <c r="Z108" s="35">
        <v>97</v>
      </c>
      <c r="AA108" s="113"/>
      <c r="AB108" s="35">
        <v>97</v>
      </c>
    </row>
    <row r="109" spans="3:28" x14ac:dyDescent="0.25">
      <c r="C109" t="str" cm="1">
        <f t="array" aca="1" ref="C109" ca="1">IFERROR(IF(INDIRECT($D$2&amp;"!B"&amp;Z109)="","",INDIRECT("'"&amp;$D$2&amp;"'"&amp;"!B"&amp;Z109)),IF(INDIRECT("'"&amp;$D$2&amp;"'"&amp;"!B"&amp;Z109)="","",INDIRECT("'"&amp;$D$2&amp;"'"&amp;"!B"&amp;Z109)))</f>
        <v>ATM Transactions (on-us at-us)</v>
      </c>
      <c r="D109" t="str" cm="1">
        <f t="array" aca="1" ref="D109" ca="1">IFERROR(_xlfn.IFS(C109="","",C109&lt;&gt;"",INDEX(SF_Output!I:I,MATCH(C109,SF_Output!M:M,0))),IFERROR(INDEX(INDIRECT($D$2&amp;"!G:G"),MATCH(C109,INDIRECT($D$2&amp;"!B:B"),0)),INDEX(INDIRECT("'"&amp;$D$2&amp;"'!G:G"),MATCH(C109,INDIRECT("'"&amp;$D$2&amp;"'!B:B"),0))))</f>
        <v>Payments</v>
      </c>
      <c r="E109" t="str" cm="1">
        <f t="array" aca="1" ref="E109" ca="1">IFERROR(IF(C109="","",INDIRECT($D$2&amp;"!F"&amp;Z109)),IF(C109="","",INDIRECT("'"&amp;$D$2&amp;"'"&amp;"!F"&amp;Z109)))</f>
        <v>Included</v>
      </c>
      <c r="F109" t="str" cm="1">
        <f t="array" aca="1" ref="F109" ca="1">IFERROR(IF(C109="","",INDIRECT($D$2&amp;"!ak"&amp;Z109)),IF(C109="","",INDIRECT("'"&amp;$D$2&amp;"'"&amp;"!ak"&amp;Z109)))</f>
        <v/>
      </c>
      <c r="G109" cm="1">
        <f t="array" aca="1" ref="G109" ca="1">IFERROR(INDIRECT($D$2&amp;"!h"&amp;Z109),INDIRECT("'"&amp;$D$2&amp;"'"&amp;"!h"&amp;Z109))</f>
        <v>0</v>
      </c>
      <c r="H109" s="125" t="str" cm="1">
        <f t="array" aca="1" ref="H109" ca="1">IFERROR(INDIRECT($D$2&amp;"!i"&amp;Z109),INDIRECT("'"&amp;$D$2&amp;"'"&amp;"!i"&amp;Z109))</f>
        <v/>
      </c>
      <c r="I109" s="113" cm="1">
        <f t="array" aca="1" ref="I109" ca="1">IFERROR(IF($C109="","",INDIRECT($D$2&amp;"!j"&amp;$Z109)+INDIRECT($D$2&amp;"!n"&amp;$Z109)),IF($C109="","",INDIRECT("'"&amp;$D$2&amp;"'"&amp;"!j"&amp;$Z109)+INDIRECT("'"&amp;$D$2&amp;"'"&amp;"!n"&amp;$Z109)))</f>
        <v>0</v>
      </c>
      <c r="J109" s="113">
        <f t="shared" ca="1" si="12"/>
        <v>0</v>
      </c>
      <c r="K109" s="113" cm="1">
        <f t="array" aca="1" ref="K109" ca="1">IFERROR(IF($C109="","",INDIRECT($D$2&amp;"!l"&amp;$Z109)+INDIRECT($D$2&amp;"!p"&amp;$Z109)),IF($C109="","",INDIRECT("'"&amp;$D$2&amp;"'"&amp;"!l"&amp;$Z109)+INDIRECT("'"&amp;$D$2&amp;"'"&amp;"!p"&amp;$Z109)))</f>
        <v>0</v>
      </c>
      <c r="M109" s="113" cm="1">
        <f t="array" aca="1" ref="M109" ca="1">IFERROR(IF($C109="","",INDIRECT($D$2&amp;"!r"&amp;Z109)),IF($C109="","",INDIRECT("'"&amp;$D$2&amp;"'"&amp;"!r"&amp;Z109)))</f>
        <v>0</v>
      </c>
      <c r="N109" s="113">
        <f t="shared" ca="1" si="13"/>
        <v>0</v>
      </c>
      <c r="O109" s="113" cm="1">
        <f t="array" aca="1" ref="O109" ca="1">IFERROR(IF($C109="","",INDIRECT($D$2&amp;"!t"&amp;Z109)),IF($C109="","",INDIRECT("'"&amp;$D$2&amp;"'"&amp;"!t"&amp;Z109)))</f>
        <v>0</v>
      </c>
      <c r="Q109" s="113" cm="1">
        <f t="array" aca="1" ref="Q109" ca="1">IFERROR(IF($C109="","",INDIRECT($D$2&amp;"!v"&amp;Z109)),IF($C109="","",INDIRECT("'"&amp;$D$2&amp;"'"&amp;"!v"&amp;Z109)))</f>
        <v>0</v>
      </c>
      <c r="R109" s="113">
        <f t="shared" ca="1" si="14"/>
        <v>0</v>
      </c>
      <c r="S109" s="113" cm="1">
        <f t="array" aca="1" ref="S109" ca="1">IFERROR(IF($C109="","",INDIRECT($D$2&amp;"!x"&amp;Z109)),IF($C109="","",INDIRECT("'"&amp;$D$2&amp;"'"&amp;"!x"&amp;Z109)))</f>
        <v>0</v>
      </c>
      <c r="U109" s="113" cm="1">
        <f t="array" aca="1" ref="U109" ca="1">IFERROR(IF($C109="","",INDIRECT($D$2&amp;"!z"&amp;Z109)),IF($C109="","",INDIRECT("'"&amp;$D$2&amp;"'"&amp;"!z"&amp;Z109)))</f>
        <v>0</v>
      </c>
      <c r="V109" s="113">
        <f t="shared" ca="1" si="15"/>
        <v>0</v>
      </c>
      <c r="W109" s="113" cm="1">
        <f t="array" aca="1" ref="W109" ca="1">IFERROR(IF($C109="","",INDIRECT($D$2&amp;"!ab"&amp;Z109)),IF($C109="","",INDIRECT("'"&amp;$D$2&amp;"'"&amp;"!ab"&amp;Z109)))</f>
        <v>0</v>
      </c>
      <c r="X109" s="113"/>
      <c r="Y109" s="113">
        <f t="shared" ca="1" si="16"/>
        <v>0</v>
      </c>
      <c r="Z109" s="35">
        <v>98</v>
      </c>
      <c r="AA109" s="113"/>
      <c r="AB109" s="35">
        <v>98</v>
      </c>
    </row>
    <row r="110" spans="3:28" x14ac:dyDescent="0.25">
      <c r="C110" t="str" cm="1">
        <f t="array" aca="1" ref="C110" ca="1">IFERROR(IF(INDIRECT($D$2&amp;"!B"&amp;Z110)="","",INDIRECT("'"&amp;$D$2&amp;"'"&amp;"!B"&amp;Z110)),IF(INDIRECT("'"&amp;$D$2&amp;"'"&amp;"!B"&amp;Z110)="","",INDIRECT("'"&amp;$D$2&amp;"'"&amp;"!B"&amp;Z110)))</f>
        <v>ATM Setup</v>
      </c>
      <c r="D110" t="str" cm="1">
        <f t="array" aca="1" ref="D110" ca="1">IFERROR(_xlfn.IFS(C110="","",C110&lt;&gt;"",INDEX(SF_Output!I:I,MATCH(C110,SF_Output!M:M,0))),IFERROR(INDEX(INDIRECT($D$2&amp;"!G:G"),MATCH(C110,INDIRECT($D$2&amp;"!B:B"),0)),INDEX(INDIRECT("'"&amp;$D$2&amp;"'!G:G"),MATCH(C110,INDIRECT("'"&amp;$D$2&amp;"'!B:B"),0))))</f>
        <v>Payments</v>
      </c>
      <c r="E110" t="str" cm="1">
        <f t="array" aca="1" ref="E110" ca="1">IFERROR(IF(C110="","",INDIRECT($D$2&amp;"!F"&amp;Z110)),IF(C110="","",INDIRECT("'"&amp;$D$2&amp;"'"&amp;"!F"&amp;Z110)))</f>
        <v>Included</v>
      </c>
      <c r="F110" t="str" cm="1">
        <f t="array" aca="1" ref="F110" ca="1">IFERROR(IF(C110="","",INDIRECT($D$2&amp;"!ak"&amp;Z110)),IF(C110="","",INDIRECT("'"&amp;$D$2&amp;"'"&amp;"!ak"&amp;Z110)))</f>
        <v/>
      </c>
      <c r="G110" cm="1">
        <f t="array" aca="1" ref="G110" ca="1">IFERROR(INDIRECT($D$2&amp;"!h"&amp;Z110),INDIRECT("'"&amp;$D$2&amp;"'"&amp;"!h"&amp;Z110))</f>
        <v>1</v>
      </c>
      <c r="H110" s="125" t="str" cm="1">
        <f t="array" aca="1" ref="H110" ca="1">IFERROR(INDIRECT($D$2&amp;"!i"&amp;Z110),INDIRECT("'"&amp;$D$2&amp;"'"&amp;"!i"&amp;Z110))</f>
        <v/>
      </c>
      <c r="I110" s="113" cm="1">
        <f t="array" aca="1" ref="I110" ca="1">IFERROR(IF($C110="","",INDIRECT($D$2&amp;"!j"&amp;$Z110)+INDIRECT($D$2&amp;"!n"&amp;$Z110)),IF($C110="","",INDIRECT("'"&amp;$D$2&amp;"'"&amp;"!j"&amp;$Z110)+INDIRECT("'"&amp;$D$2&amp;"'"&amp;"!n"&amp;$Z110)))</f>
        <v>145</v>
      </c>
      <c r="J110" s="113">
        <f t="shared" ca="1" si="12"/>
        <v>-145</v>
      </c>
      <c r="K110" s="113" cm="1">
        <f t="array" aca="1" ref="K110" ca="1">IFERROR(IF($C110="","",INDIRECT($D$2&amp;"!l"&amp;$Z110)+INDIRECT($D$2&amp;"!p"&amp;$Z110)),IF($C110="","",INDIRECT("'"&amp;$D$2&amp;"'"&amp;"!l"&amp;$Z110)+INDIRECT("'"&amp;$D$2&amp;"'"&amp;"!p"&amp;$Z110)))</f>
        <v>0</v>
      </c>
      <c r="M110" s="113" cm="1">
        <f t="array" aca="1" ref="M110" ca="1">IFERROR(IF($C110="","",INDIRECT($D$2&amp;"!r"&amp;Z110)),IF($C110="","",INDIRECT("'"&amp;$D$2&amp;"'"&amp;"!r"&amp;Z110)))</f>
        <v>0</v>
      </c>
      <c r="N110" s="113">
        <f t="shared" ca="1" si="13"/>
        <v>0</v>
      </c>
      <c r="O110" s="113" cm="1">
        <f t="array" aca="1" ref="O110" ca="1">IFERROR(IF($C110="","",INDIRECT($D$2&amp;"!t"&amp;Z110)),IF($C110="","",INDIRECT("'"&amp;$D$2&amp;"'"&amp;"!t"&amp;Z110)))</f>
        <v>0</v>
      </c>
      <c r="Q110" s="113" cm="1">
        <f t="array" aca="1" ref="Q110" ca="1">IFERROR(IF($C110="","",INDIRECT($D$2&amp;"!v"&amp;Z110)),IF($C110="","",INDIRECT("'"&amp;$D$2&amp;"'"&amp;"!v"&amp;Z110)))</f>
        <v>0</v>
      </c>
      <c r="R110" s="113">
        <f t="shared" ca="1" si="14"/>
        <v>0</v>
      </c>
      <c r="S110" s="113" cm="1">
        <f t="array" aca="1" ref="S110" ca="1">IFERROR(IF($C110="","",INDIRECT($D$2&amp;"!x"&amp;Z110)),IF($C110="","",INDIRECT("'"&amp;$D$2&amp;"'"&amp;"!x"&amp;Z110)))</f>
        <v>0</v>
      </c>
      <c r="U110" s="113" cm="1">
        <f t="array" aca="1" ref="U110" ca="1">IFERROR(IF($C110="","",INDIRECT($D$2&amp;"!z"&amp;Z110)),IF($C110="","",INDIRECT("'"&amp;$D$2&amp;"'"&amp;"!z"&amp;Z110)))</f>
        <v>0</v>
      </c>
      <c r="V110" s="113">
        <f t="shared" ca="1" si="15"/>
        <v>0</v>
      </c>
      <c r="W110" s="113" cm="1">
        <f t="array" aca="1" ref="W110" ca="1">IFERROR(IF($C110="","",INDIRECT($D$2&amp;"!ab"&amp;Z110)),IF($C110="","",INDIRECT("'"&amp;$D$2&amp;"'"&amp;"!ab"&amp;Z110)))</f>
        <v>0</v>
      </c>
      <c r="X110" s="113"/>
      <c r="Y110" s="113">
        <f t="shared" ca="1" si="16"/>
        <v>0</v>
      </c>
      <c r="Z110" s="35">
        <v>99</v>
      </c>
      <c r="AA110" s="113"/>
      <c r="AB110" s="35">
        <v>99</v>
      </c>
    </row>
    <row r="111" spans="3:28" x14ac:dyDescent="0.25">
      <c r="C111" t="str" cm="1">
        <f t="array" aca="1" ref="C111" ca="1">IFERROR(IF(INDIRECT($D$2&amp;"!B"&amp;Z111)="","",INDIRECT("'"&amp;$D$2&amp;"'"&amp;"!B"&amp;Z111)),IF(INDIRECT("'"&amp;$D$2&amp;"'"&amp;"!B"&amp;Z111)="","",INDIRECT("'"&amp;$D$2&amp;"'"&amp;"!B"&amp;Z111)))</f>
        <v>ATM Driving VPN</v>
      </c>
      <c r="D111" t="str" cm="1">
        <f t="array" aca="1" ref="D111" ca="1">IFERROR(_xlfn.IFS(C111="","",C111&lt;&gt;"",INDEX(SF_Output!I:I,MATCH(C111,SF_Output!M:M,0))),IFERROR(INDEX(INDIRECT($D$2&amp;"!G:G"),MATCH(C111,INDIRECT($D$2&amp;"!B:B"),0)),INDEX(INDIRECT("'"&amp;$D$2&amp;"'!G:G"),MATCH(C111,INDIRECT("'"&amp;$D$2&amp;"'!B:B"),0))))</f>
        <v>Payments</v>
      </c>
      <c r="E111" t="str" cm="1">
        <f t="array" aca="1" ref="E111" ca="1">IFERROR(IF(C111="","",INDIRECT($D$2&amp;"!F"&amp;Z111)),IF(C111="","",INDIRECT("'"&amp;$D$2&amp;"'"&amp;"!F"&amp;Z111)))</f>
        <v>Included</v>
      </c>
      <c r="F111" t="str" cm="1">
        <f t="array" aca="1" ref="F111" ca="1">IFERROR(IF(C111="","",INDIRECT($D$2&amp;"!ak"&amp;Z111)),IF(C111="","",INDIRECT("'"&amp;$D$2&amp;"'"&amp;"!ak"&amp;Z111)))</f>
        <v/>
      </c>
      <c r="G111" cm="1">
        <f t="array" aca="1" ref="G111" ca="1">IFERROR(INDIRECT($D$2&amp;"!h"&amp;Z111),INDIRECT("'"&amp;$D$2&amp;"'"&amp;"!h"&amp;Z111))</f>
        <v>1</v>
      </c>
      <c r="H111" s="125" t="str" cm="1">
        <f t="array" aca="1" ref="H111" ca="1">IFERROR(INDIRECT($D$2&amp;"!i"&amp;Z111),INDIRECT("'"&amp;$D$2&amp;"'"&amp;"!i"&amp;Z111))</f>
        <v/>
      </c>
      <c r="I111" s="113" cm="1">
        <f t="array" aca="1" ref="I111" ca="1">IFERROR(IF($C111="","",INDIRECT($D$2&amp;"!j"&amp;$Z111)+INDIRECT($D$2&amp;"!n"&amp;$Z111)),IF($C111="","",INDIRECT("'"&amp;$D$2&amp;"'"&amp;"!j"&amp;$Z111)+INDIRECT("'"&amp;$D$2&amp;"'"&amp;"!n"&amp;$Z111)))</f>
        <v>0</v>
      </c>
      <c r="J111" s="113">
        <f t="shared" ca="1" si="12"/>
        <v>0</v>
      </c>
      <c r="K111" s="113" cm="1">
        <f t="array" aca="1" ref="K111" ca="1">IFERROR(IF($C111="","",INDIRECT($D$2&amp;"!l"&amp;$Z111)+INDIRECT($D$2&amp;"!p"&amp;$Z111)),IF($C111="","",INDIRECT("'"&amp;$D$2&amp;"'"&amp;"!l"&amp;$Z111)+INDIRECT("'"&amp;$D$2&amp;"'"&amp;"!p"&amp;$Z111)))</f>
        <v>0</v>
      </c>
      <c r="M111" s="113" cm="1">
        <f t="array" aca="1" ref="M111" ca="1">IFERROR(IF($C111="","",INDIRECT($D$2&amp;"!r"&amp;Z111)),IF($C111="","",INDIRECT("'"&amp;$D$2&amp;"'"&amp;"!r"&amp;Z111)))</f>
        <v>0</v>
      </c>
      <c r="N111" s="113">
        <f t="shared" ca="1" si="13"/>
        <v>0</v>
      </c>
      <c r="O111" s="113" cm="1">
        <f t="array" aca="1" ref="O111" ca="1">IFERROR(IF($C111="","",INDIRECT($D$2&amp;"!t"&amp;Z111)),IF($C111="","",INDIRECT("'"&amp;$D$2&amp;"'"&amp;"!t"&amp;Z111)))</f>
        <v>0</v>
      </c>
      <c r="Q111" s="113" cm="1">
        <f t="array" aca="1" ref="Q111" ca="1">IFERROR(IF($C111="","",INDIRECT($D$2&amp;"!v"&amp;Z111)),IF($C111="","",INDIRECT("'"&amp;$D$2&amp;"'"&amp;"!v"&amp;Z111)))</f>
        <v>100</v>
      </c>
      <c r="R111" s="113">
        <f t="shared" ca="1" si="14"/>
        <v>0</v>
      </c>
      <c r="S111" s="113" cm="1">
        <f t="array" aca="1" ref="S111" ca="1">IFERROR(IF($C111="","",INDIRECT($D$2&amp;"!x"&amp;Z111)),IF($C111="","",INDIRECT("'"&amp;$D$2&amp;"'"&amp;"!x"&amp;Z111)))</f>
        <v>100</v>
      </c>
      <c r="U111" s="113" cm="1">
        <f t="array" aca="1" ref="U111" ca="1">IFERROR(IF($C111="","",INDIRECT($D$2&amp;"!z"&amp;Z111)),IF($C111="","",INDIRECT("'"&amp;$D$2&amp;"'"&amp;"!z"&amp;Z111)))</f>
        <v>0</v>
      </c>
      <c r="V111" s="113">
        <f t="shared" ca="1" si="15"/>
        <v>0</v>
      </c>
      <c r="W111" s="113" cm="1">
        <f t="array" aca="1" ref="W111" ca="1">IFERROR(IF($C111="","",INDIRECT($D$2&amp;"!ab"&amp;Z111)),IF($C111="","",INDIRECT("'"&amp;$D$2&amp;"'"&amp;"!ab"&amp;Z111)))</f>
        <v>0</v>
      </c>
      <c r="X111" s="113"/>
      <c r="Y111" s="113">
        <f t="shared" ca="1" si="16"/>
        <v>100</v>
      </c>
      <c r="Z111" s="35">
        <v>100</v>
      </c>
      <c r="AA111" s="113"/>
      <c r="AB111" s="35">
        <v>100</v>
      </c>
    </row>
    <row r="112" spans="3:28" x14ac:dyDescent="0.25">
      <c r="C112" t="str" cm="1">
        <f t="array" aca="1" ref="C112" ca="1">IFERROR(IF(INDIRECT($D$2&amp;"!B"&amp;Z112)="","",INDIRECT("'"&amp;$D$2&amp;"'"&amp;"!B"&amp;Z112)),IF(INDIRECT("'"&amp;$D$2&amp;"'"&amp;"!B"&amp;Z112)="","",INDIRECT("'"&amp;$D$2&amp;"'"&amp;"!B"&amp;Z112)))</f>
        <v>Regional ATM/Debit Network</v>
      </c>
      <c r="D112" t="str" cm="1">
        <f t="array" aca="1" ref="D112" ca="1">IFERROR(_xlfn.IFS(C112="","",C112&lt;&gt;"",INDEX(SF_Output!I:I,MATCH(C112,SF_Output!M:M,0))),IFERROR(INDEX(INDIRECT($D$2&amp;"!G:G"),MATCH(C112,INDIRECT($D$2&amp;"!B:B"),0)),INDEX(INDIRECT("'"&amp;$D$2&amp;"'!G:G"),MATCH(C112,INDIRECT("'"&amp;$D$2&amp;"'!B:B"),0))))</f>
        <v>Payments</v>
      </c>
      <c r="E112" t="str" cm="1">
        <f t="array" aca="1" ref="E112" ca="1">IFERROR(IF(C112="","",INDIRECT($D$2&amp;"!F"&amp;Z112)),IF(C112="","",INDIRECT("'"&amp;$D$2&amp;"'"&amp;"!F"&amp;Z112)))</f>
        <v>Included</v>
      </c>
      <c r="F112" t="str" cm="1">
        <f t="array" aca="1" ref="F112" ca="1">IFERROR(IF(C112="","",INDIRECT($D$2&amp;"!ak"&amp;Z112)),IF(C112="","",INDIRECT("'"&amp;$D$2&amp;"'"&amp;"!ak"&amp;Z112)))</f>
        <v/>
      </c>
      <c r="G112" cm="1">
        <f t="array" aca="1" ref="G112" ca="1">IFERROR(INDIRECT($D$2&amp;"!h"&amp;Z112),INDIRECT("'"&amp;$D$2&amp;"'"&amp;"!h"&amp;Z112))</f>
        <v>1</v>
      </c>
      <c r="H112" s="125" t="str" cm="1">
        <f t="array" aca="1" ref="H112" ca="1">IFERROR(INDIRECT($D$2&amp;"!i"&amp;Z112),INDIRECT("'"&amp;$D$2&amp;"'"&amp;"!i"&amp;Z112))</f>
        <v/>
      </c>
      <c r="I112" s="113" cm="1">
        <f t="array" aca="1" ref="I112" ca="1">IFERROR(IF($C112="","",INDIRECT($D$2&amp;"!j"&amp;$Z112)+INDIRECT($D$2&amp;"!n"&amp;$Z112)),IF($C112="","",INDIRECT("'"&amp;$D$2&amp;"'"&amp;"!j"&amp;$Z112)+INDIRECT("'"&amp;$D$2&amp;"'"&amp;"!n"&amp;$Z112)))</f>
        <v>500</v>
      </c>
      <c r="J112" s="113">
        <f t="shared" ca="1" si="12"/>
        <v>-500</v>
      </c>
      <c r="K112" s="113" cm="1">
        <f t="array" aca="1" ref="K112" ca="1">IFERROR(IF($C112="","",INDIRECT($D$2&amp;"!l"&amp;$Z112)+INDIRECT($D$2&amp;"!p"&amp;$Z112)),IF($C112="","",INDIRECT("'"&amp;$D$2&amp;"'"&amp;"!l"&amp;$Z112)+INDIRECT("'"&amp;$D$2&amp;"'"&amp;"!p"&amp;$Z112)))</f>
        <v>0</v>
      </c>
      <c r="M112" s="113" cm="1">
        <f t="array" aca="1" ref="M112" ca="1">IFERROR(IF($C112="","",INDIRECT($D$2&amp;"!r"&amp;Z112)),IF($C112="","",INDIRECT("'"&amp;$D$2&amp;"'"&amp;"!r"&amp;Z112)))</f>
        <v>0</v>
      </c>
      <c r="N112" s="113">
        <f t="shared" ca="1" si="13"/>
        <v>0</v>
      </c>
      <c r="O112" s="113" cm="1">
        <f t="array" aca="1" ref="O112" ca="1">IFERROR(IF($C112="","",INDIRECT($D$2&amp;"!t"&amp;Z112)),IF($C112="","",INDIRECT("'"&amp;$D$2&amp;"'"&amp;"!t"&amp;Z112)))</f>
        <v>0</v>
      </c>
      <c r="Q112" s="113" cm="1">
        <f t="array" aca="1" ref="Q112" ca="1">IFERROR(IF($C112="","",INDIRECT($D$2&amp;"!v"&amp;Z112)),IF($C112="","",INDIRECT("'"&amp;$D$2&amp;"'"&amp;"!v"&amp;Z112)))</f>
        <v>75</v>
      </c>
      <c r="R112" s="113">
        <f t="shared" ca="1" si="14"/>
        <v>0</v>
      </c>
      <c r="S112" s="113" cm="1">
        <f t="array" aca="1" ref="S112" ca="1">IFERROR(IF($C112="","",INDIRECT($D$2&amp;"!x"&amp;Z112)),IF($C112="","",INDIRECT("'"&amp;$D$2&amp;"'"&amp;"!x"&amp;Z112)))</f>
        <v>75</v>
      </c>
      <c r="U112" s="113" cm="1">
        <f t="array" aca="1" ref="U112" ca="1">IFERROR(IF($C112="","",INDIRECT($D$2&amp;"!z"&amp;Z112)),IF($C112="","",INDIRECT("'"&amp;$D$2&amp;"'"&amp;"!z"&amp;Z112)))</f>
        <v>0</v>
      </c>
      <c r="V112" s="113">
        <f t="shared" ca="1" si="15"/>
        <v>0</v>
      </c>
      <c r="W112" s="113" cm="1">
        <f t="array" aca="1" ref="W112" ca="1">IFERROR(IF($C112="","",INDIRECT($D$2&amp;"!ab"&amp;Z112)),IF($C112="","",INDIRECT("'"&amp;$D$2&amp;"'"&amp;"!ab"&amp;Z112)))</f>
        <v>0</v>
      </c>
      <c r="X112" s="113"/>
      <c r="Y112" s="113">
        <f t="shared" ca="1" si="16"/>
        <v>75</v>
      </c>
      <c r="Z112" s="35">
        <v>101</v>
      </c>
      <c r="AA112" s="113"/>
      <c r="AB112" s="35">
        <v>101</v>
      </c>
    </row>
    <row r="113" spans="3:28" x14ac:dyDescent="0.25">
      <c r="C113" t="str" cm="1">
        <f t="array" aca="1" ref="C113" ca="1">IFERROR(IF(INDIRECT($D$2&amp;"!B"&amp;Z113)="","",INDIRECT("'"&amp;$D$2&amp;"'"&amp;"!B"&amp;Z113)),IF(INDIRECT("'"&amp;$D$2&amp;"'"&amp;"!B"&amp;Z113)="","",INDIRECT("'"&amp;$D$2&amp;"'"&amp;"!B"&amp;Z113)))</f>
        <v>National ATM/Debit Network</v>
      </c>
      <c r="D113" t="str" cm="1">
        <f t="array" aca="1" ref="D113" ca="1">IFERROR(_xlfn.IFS(C113="","",C113&lt;&gt;"",INDEX(SF_Output!I:I,MATCH(C113,SF_Output!M:M,0))),IFERROR(INDEX(INDIRECT($D$2&amp;"!G:G"),MATCH(C113,INDIRECT($D$2&amp;"!B:B"),0)),INDEX(INDIRECT("'"&amp;$D$2&amp;"'!G:G"),MATCH(C113,INDIRECT("'"&amp;$D$2&amp;"'!B:B"),0))))</f>
        <v>Payments</v>
      </c>
      <c r="E113" t="str" cm="1">
        <f t="array" aca="1" ref="E113" ca="1">IFERROR(IF(C113="","",INDIRECT($D$2&amp;"!F"&amp;Z113)),IF(C113="","",INDIRECT("'"&amp;$D$2&amp;"'"&amp;"!F"&amp;Z113)))</f>
        <v>Included</v>
      </c>
      <c r="F113" t="str" cm="1">
        <f t="array" aca="1" ref="F113" ca="1">IFERROR(IF(C113="","",INDIRECT($D$2&amp;"!ak"&amp;Z113)),IF(C113="","",INDIRECT("'"&amp;$D$2&amp;"'"&amp;"!ak"&amp;Z113)))</f>
        <v/>
      </c>
      <c r="G113" cm="1">
        <f t="array" aca="1" ref="G113" ca="1">IFERROR(INDIRECT($D$2&amp;"!h"&amp;Z113),INDIRECT("'"&amp;$D$2&amp;"'"&amp;"!h"&amp;Z113))</f>
        <v>3</v>
      </c>
      <c r="H113" s="125" cm="1">
        <f t="array" aca="1" ref="H113" ca="1">IFERROR(INDIRECT($D$2&amp;"!i"&amp;Z113),INDIRECT("'"&amp;$D$2&amp;"'"&amp;"!i"&amp;Z113))</f>
        <v>75</v>
      </c>
      <c r="I113" s="113" cm="1">
        <f t="array" aca="1" ref="I113" ca="1">IFERROR(IF($C113="","",INDIRECT($D$2&amp;"!j"&amp;$Z113)+INDIRECT($D$2&amp;"!n"&amp;$Z113)),IF($C113="","",INDIRECT("'"&amp;$D$2&amp;"'"&amp;"!j"&amp;$Z113)+INDIRECT("'"&amp;$D$2&amp;"'"&amp;"!n"&amp;$Z113)))</f>
        <v>1500</v>
      </c>
      <c r="J113" s="113">
        <f t="shared" ca="1" si="12"/>
        <v>-1500</v>
      </c>
      <c r="K113" s="113" cm="1">
        <f t="array" aca="1" ref="K113" ca="1">IFERROR(IF($C113="","",INDIRECT($D$2&amp;"!l"&amp;$Z113)+INDIRECT($D$2&amp;"!p"&amp;$Z113)),IF($C113="","",INDIRECT("'"&amp;$D$2&amp;"'"&amp;"!l"&amp;$Z113)+INDIRECT("'"&amp;$D$2&amp;"'"&amp;"!p"&amp;$Z113)))</f>
        <v>0</v>
      </c>
      <c r="M113" s="113" cm="1">
        <f t="array" aca="1" ref="M113" ca="1">IFERROR(IF($C113="","",INDIRECT($D$2&amp;"!r"&amp;Z113)),IF($C113="","",INDIRECT("'"&amp;$D$2&amp;"'"&amp;"!r"&amp;Z113)))</f>
        <v>0</v>
      </c>
      <c r="N113" s="113">
        <f t="shared" ca="1" si="13"/>
        <v>0</v>
      </c>
      <c r="O113" s="113" cm="1">
        <f t="array" aca="1" ref="O113" ca="1">IFERROR(IF($C113="","",INDIRECT($D$2&amp;"!t"&amp;Z113)),IF($C113="","",INDIRECT("'"&amp;$D$2&amp;"'"&amp;"!t"&amp;Z113)))</f>
        <v>0</v>
      </c>
      <c r="Q113" s="113" cm="1">
        <f t="array" aca="1" ref="Q113" ca="1">IFERROR(IF($C113="","",INDIRECT($D$2&amp;"!v"&amp;Z113)),IF($C113="","",INDIRECT("'"&amp;$D$2&amp;"'"&amp;"!v"&amp;Z113)))</f>
        <v>225</v>
      </c>
      <c r="R113" s="113">
        <f t="shared" ca="1" si="14"/>
        <v>0</v>
      </c>
      <c r="S113" s="113" cm="1">
        <f t="array" aca="1" ref="S113" ca="1">IFERROR(IF($C113="","",INDIRECT($D$2&amp;"!x"&amp;Z113)),IF($C113="","",INDIRECT("'"&amp;$D$2&amp;"'"&amp;"!x"&amp;Z113)))</f>
        <v>225</v>
      </c>
      <c r="U113" s="113" cm="1">
        <f t="array" aca="1" ref="U113" ca="1">IFERROR(IF($C113="","",INDIRECT($D$2&amp;"!z"&amp;Z113)),IF($C113="","",INDIRECT("'"&amp;$D$2&amp;"'"&amp;"!z"&amp;Z113)))</f>
        <v>0</v>
      </c>
      <c r="V113" s="113">
        <f t="shared" ca="1" si="15"/>
        <v>0</v>
      </c>
      <c r="W113" s="113" cm="1">
        <f t="array" aca="1" ref="W113" ca="1">IFERROR(IF($C113="","",INDIRECT($D$2&amp;"!ab"&amp;Z113)),IF($C113="","",INDIRECT("'"&amp;$D$2&amp;"'"&amp;"!ab"&amp;Z113)))</f>
        <v>0</v>
      </c>
      <c r="X113" s="113"/>
      <c r="Y113" s="113">
        <f t="shared" ca="1" si="16"/>
        <v>225</v>
      </c>
      <c r="Z113" s="35">
        <v>102</v>
      </c>
      <c r="AA113" s="113"/>
      <c r="AB113" s="35">
        <v>102</v>
      </c>
    </row>
    <row r="114" spans="3:28" x14ac:dyDescent="0.25">
      <c r="C114" t="str" cm="1">
        <f t="array" aca="1" ref="C114" ca="1">IFERROR(IF(INDIRECT($D$2&amp;"!B"&amp;Z114)="","",INDIRECT("'"&amp;$D$2&amp;"'"&amp;"!B"&amp;Z114)),IF(INDIRECT("'"&amp;$D$2&amp;"'"&amp;"!B"&amp;Z114)="","",INDIRECT("'"&amp;$D$2&amp;"'"&amp;"!B"&amp;Z114)))</f>
        <v>VISA/MasterCard Account Update (Items Needing Review)</v>
      </c>
      <c r="D114" t="str" cm="1">
        <f t="array" aca="1" ref="D114" ca="1">IFERROR(_xlfn.IFS(C114="","",C114&lt;&gt;"",INDEX(SF_Output!I:I,MATCH(C114,SF_Output!M:M,0))),IFERROR(INDEX(INDIRECT($D$2&amp;"!G:G"),MATCH(C114,INDIRECT($D$2&amp;"!B:B"),0)),INDEX(INDIRECT("'"&amp;$D$2&amp;"'!G:G"),MATCH(C114,INDIRECT("'"&amp;$D$2&amp;"'!B:B"),0))))</f>
        <v>Payments</v>
      </c>
      <c r="E114" t="str" cm="1">
        <f t="array" aca="1" ref="E114" ca="1">IFERROR(IF(C114="","",INDIRECT($D$2&amp;"!F"&amp;Z114)),IF(C114="","",INDIRECT("'"&amp;$D$2&amp;"'"&amp;"!F"&amp;Z114)))</f>
        <v>Included</v>
      </c>
      <c r="F114" t="str" cm="1">
        <f t="array" aca="1" ref="F114" ca="1">IFERROR(IF(C114="","",INDIRECT($D$2&amp;"!ak"&amp;Z114)),IF(C114="","",INDIRECT("'"&amp;$D$2&amp;"'"&amp;"!ak"&amp;Z114)))</f>
        <v/>
      </c>
      <c r="G114" cm="1">
        <f t="array" aca="1" ref="G114" ca="1">IFERROR(INDIRECT($D$2&amp;"!h"&amp;Z114),INDIRECT("'"&amp;$D$2&amp;"'"&amp;"!h"&amp;Z114))</f>
        <v>0</v>
      </c>
      <c r="H114" s="125" t="str" cm="1">
        <f t="array" aca="1" ref="H114" ca="1">IFERROR(INDIRECT($D$2&amp;"!i"&amp;Z114),INDIRECT("'"&amp;$D$2&amp;"'"&amp;"!i"&amp;Z114))</f>
        <v/>
      </c>
      <c r="I114" s="113" cm="1">
        <f t="array" aca="1" ref="I114" ca="1">IFERROR(IF($C114="","",INDIRECT($D$2&amp;"!j"&amp;$Z114)+INDIRECT($D$2&amp;"!n"&amp;$Z114)),IF($C114="","",INDIRECT("'"&amp;$D$2&amp;"'"&amp;"!j"&amp;$Z114)+INDIRECT("'"&amp;$D$2&amp;"'"&amp;"!n"&amp;$Z114)))</f>
        <v>200</v>
      </c>
      <c r="J114" s="113">
        <f t="shared" ca="1" si="12"/>
        <v>-200</v>
      </c>
      <c r="K114" s="113" cm="1">
        <f t="array" aca="1" ref="K114" ca="1">IFERROR(IF($C114="","",INDIRECT($D$2&amp;"!l"&amp;$Z114)+INDIRECT($D$2&amp;"!p"&amp;$Z114)),IF($C114="","",INDIRECT("'"&amp;$D$2&amp;"'"&amp;"!l"&amp;$Z114)+INDIRECT("'"&amp;$D$2&amp;"'"&amp;"!p"&amp;$Z114)))</f>
        <v>0</v>
      </c>
      <c r="M114" s="113" cm="1">
        <f t="array" aca="1" ref="M114" ca="1">IFERROR(IF($C114="","",INDIRECT($D$2&amp;"!r"&amp;Z114)),IF($C114="","",INDIRECT("'"&amp;$D$2&amp;"'"&amp;"!r"&amp;Z114)))</f>
        <v>0</v>
      </c>
      <c r="N114" s="113">
        <f t="shared" ca="1" si="13"/>
        <v>0</v>
      </c>
      <c r="O114" s="113" cm="1">
        <f t="array" aca="1" ref="O114" ca="1">IFERROR(IF($C114="","",INDIRECT($D$2&amp;"!t"&amp;Z114)),IF($C114="","",INDIRECT("'"&amp;$D$2&amp;"'"&amp;"!t"&amp;Z114)))</f>
        <v>0</v>
      </c>
      <c r="Q114" s="113" cm="1">
        <f t="array" aca="1" ref="Q114" ca="1">IFERROR(IF($C114="","",INDIRECT($D$2&amp;"!v"&amp;Z114)),IF($C114="","",INDIRECT("'"&amp;$D$2&amp;"'"&amp;"!v"&amp;Z114)))</f>
        <v>0</v>
      </c>
      <c r="R114" s="113">
        <f t="shared" ca="1" si="14"/>
        <v>0</v>
      </c>
      <c r="S114" s="113" cm="1">
        <f t="array" aca="1" ref="S114" ca="1">IFERROR(IF($C114="","",INDIRECT($D$2&amp;"!x"&amp;Z114)),IF($C114="","",INDIRECT("'"&amp;$D$2&amp;"'"&amp;"!x"&amp;Z114)))</f>
        <v>0</v>
      </c>
      <c r="U114" s="113" cm="1">
        <f t="array" aca="1" ref="U114" ca="1">IFERROR(IF($C114="","",INDIRECT($D$2&amp;"!z"&amp;Z114)),IF($C114="","",INDIRECT("'"&amp;$D$2&amp;"'"&amp;"!z"&amp;Z114)))</f>
        <v>0</v>
      </c>
      <c r="V114" s="113">
        <f t="shared" ca="1" si="15"/>
        <v>0</v>
      </c>
      <c r="W114" s="113" cm="1">
        <f t="array" aca="1" ref="W114" ca="1">IFERROR(IF($C114="","",INDIRECT($D$2&amp;"!ab"&amp;Z114)),IF($C114="","",INDIRECT("'"&amp;$D$2&amp;"'"&amp;"!ab"&amp;Z114)))</f>
        <v>0</v>
      </c>
      <c r="X114" s="113"/>
      <c r="Y114" s="113">
        <f t="shared" ca="1" si="16"/>
        <v>0</v>
      </c>
      <c r="Z114" s="35">
        <v>103</v>
      </c>
      <c r="AA114" s="113"/>
      <c r="AB114" s="35">
        <v>103</v>
      </c>
    </row>
    <row r="115" spans="3:28" x14ac:dyDescent="0.25">
      <c r="C115" t="str" cm="1">
        <f t="array" aca="1" ref="C115" ca="1">IFERROR(IF(INDIRECT($D$2&amp;"!B"&amp;Z115)="","",INDIRECT("'"&amp;$D$2&amp;"'"&amp;"!B"&amp;Z115)),IF(INDIRECT("'"&amp;$D$2&amp;"'"&amp;"!B"&amp;Z115)="","",INDIRECT("'"&amp;$D$2&amp;"'"&amp;"!B"&amp;Z115)))</f>
        <v>VISA/MasterCard Add/Change/Delete</v>
      </c>
      <c r="D115" t="str" cm="1">
        <f t="array" aca="1" ref="D115" ca="1">IFERROR(_xlfn.IFS(C115="","",C115&lt;&gt;"",INDEX(SF_Output!I:I,MATCH(C115,SF_Output!M:M,0))),IFERROR(INDEX(INDIRECT($D$2&amp;"!G:G"),MATCH(C115,INDIRECT($D$2&amp;"!B:B"),0)),INDEX(INDIRECT("'"&amp;$D$2&amp;"'!G:G"),MATCH(C115,INDIRECT("'"&amp;$D$2&amp;"'!B:B"),0))))</f>
        <v>Payments</v>
      </c>
      <c r="E115" t="str" cm="1">
        <f t="array" aca="1" ref="E115" ca="1">IFERROR(IF(C115="","",INDIRECT($D$2&amp;"!F"&amp;Z115)),IF(C115="","",INDIRECT("'"&amp;$D$2&amp;"'"&amp;"!F"&amp;Z115)))</f>
        <v>Included</v>
      </c>
      <c r="F115" t="str" cm="1">
        <f t="array" aca="1" ref="F115" ca="1">IFERROR(IF(C115="","",INDIRECT($D$2&amp;"!ak"&amp;Z115)),IF(C115="","",INDIRECT("'"&amp;$D$2&amp;"'"&amp;"!ak"&amp;Z115)))</f>
        <v/>
      </c>
      <c r="G115" cm="1">
        <f t="array" aca="1" ref="G115" ca="1">IFERROR(INDIRECT($D$2&amp;"!h"&amp;Z115),INDIRECT("'"&amp;$D$2&amp;"'"&amp;"!h"&amp;Z115))</f>
        <v>0</v>
      </c>
      <c r="H115" s="125" t="str" cm="1">
        <f t="array" aca="1" ref="H115" ca="1">IFERROR(INDIRECT($D$2&amp;"!i"&amp;Z115),INDIRECT("'"&amp;$D$2&amp;"'"&amp;"!i"&amp;Z115))</f>
        <v/>
      </c>
      <c r="I115" s="113" cm="1">
        <f t="array" aca="1" ref="I115" ca="1">IFERROR(IF($C115="","",INDIRECT($D$2&amp;"!j"&amp;$Z115)+INDIRECT($D$2&amp;"!n"&amp;$Z115)),IF($C115="","",INDIRECT("'"&amp;$D$2&amp;"'"&amp;"!j"&amp;$Z115)+INDIRECT("'"&amp;$D$2&amp;"'"&amp;"!n"&amp;$Z115)))</f>
        <v>0</v>
      </c>
      <c r="J115" s="113">
        <f t="shared" ca="1" si="12"/>
        <v>0</v>
      </c>
      <c r="K115" s="113" cm="1">
        <f t="array" aca="1" ref="K115" ca="1">IFERROR(IF($C115="","",INDIRECT($D$2&amp;"!l"&amp;$Z115)+INDIRECT($D$2&amp;"!p"&amp;$Z115)),IF($C115="","",INDIRECT("'"&amp;$D$2&amp;"'"&amp;"!l"&amp;$Z115)+INDIRECT("'"&amp;$D$2&amp;"'"&amp;"!p"&amp;$Z115)))</f>
        <v>0</v>
      </c>
      <c r="M115" s="113" cm="1">
        <f t="array" aca="1" ref="M115" ca="1">IFERROR(IF($C115="","",INDIRECT($D$2&amp;"!r"&amp;Z115)),IF($C115="","",INDIRECT("'"&amp;$D$2&amp;"'"&amp;"!r"&amp;Z115)))</f>
        <v>0</v>
      </c>
      <c r="N115" s="113">
        <f t="shared" ca="1" si="13"/>
        <v>0</v>
      </c>
      <c r="O115" s="113" cm="1">
        <f t="array" aca="1" ref="O115" ca="1">IFERROR(IF($C115="","",INDIRECT($D$2&amp;"!t"&amp;Z115)),IF($C115="","",INDIRECT("'"&amp;$D$2&amp;"'"&amp;"!t"&amp;Z115)))</f>
        <v>0</v>
      </c>
      <c r="Q115" s="113" cm="1">
        <f t="array" aca="1" ref="Q115" ca="1">IFERROR(IF($C115="","",INDIRECT($D$2&amp;"!v"&amp;Z115)),IF($C115="","",INDIRECT("'"&amp;$D$2&amp;"'"&amp;"!v"&amp;Z115)))</f>
        <v>0</v>
      </c>
      <c r="R115" s="113">
        <f t="shared" ca="1" si="14"/>
        <v>0</v>
      </c>
      <c r="S115" s="113" cm="1">
        <f t="array" aca="1" ref="S115" ca="1">IFERROR(IF($C115="","",INDIRECT($D$2&amp;"!x"&amp;Z115)),IF($C115="","",INDIRECT("'"&amp;$D$2&amp;"'"&amp;"!x"&amp;Z115)))</f>
        <v>0</v>
      </c>
      <c r="U115" s="113" cm="1">
        <f t="array" aca="1" ref="U115" ca="1">IFERROR(IF($C115="","",INDIRECT($D$2&amp;"!z"&amp;Z115)),IF($C115="","",INDIRECT("'"&amp;$D$2&amp;"'"&amp;"!z"&amp;Z115)))</f>
        <v>0</v>
      </c>
      <c r="V115" s="113">
        <f t="shared" ca="1" si="15"/>
        <v>0</v>
      </c>
      <c r="W115" s="113" cm="1">
        <f t="array" aca="1" ref="W115" ca="1">IFERROR(IF($C115="","",INDIRECT($D$2&amp;"!ab"&amp;Z115)),IF($C115="","",INDIRECT("'"&amp;$D$2&amp;"'"&amp;"!ab"&amp;Z115)))</f>
        <v>0</v>
      </c>
      <c r="X115" s="113"/>
      <c r="Y115" s="113">
        <f t="shared" ca="1" si="16"/>
        <v>0</v>
      </c>
      <c r="Z115" s="35">
        <v>104</v>
      </c>
      <c r="AA115" s="113"/>
      <c r="AB115" s="35">
        <v>104</v>
      </c>
    </row>
    <row r="116" spans="3:28" x14ac:dyDescent="0.25">
      <c r="C116" t="str" cm="1">
        <f t="array" aca="1" ref="C116" ca="1">IFERROR(IF(INDIRECT($D$2&amp;"!B"&amp;Z116)="","",INDIRECT("'"&amp;$D$2&amp;"'"&amp;"!B"&amp;Z116)),IF(INDIRECT("'"&amp;$D$2&amp;"'"&amp;"!B"&amp;Z116)="","",INDIRECT("'"&amp;$D$2&amp;"'"&amp;"!B"&amp;Z116)))</f>
        <v>JHA Tokenization (Digital Wallet) JHA Debit Processing</v>
      </c>
      <c r="D116" t="str" cm="1">
        <f t="array" aca="1" ref="D116" ca="1">IFERROR(_xlfn.IFS(C116="","",C116&lt;&gt;"",INDEX(SF_Output!I:I,MATCH(C116,SF_Output!M:M,0))),IFERROR(INDEX(INDIRECT($D$2&amp;"!G:G"),MATCH(C116,INDIRECT($D$2&amp;"!B:B"),0)),INDEX(INDIRECT("'"&amp;$D$2&amp;"'!G:G"),MATCH(C116,INDIRECT("'"&amp;$D$2&amp;"'!B:B"),0))))</f>
        <v>Payments</v>
      </c>
      <c r="E116" t="str" cm="1">
        <f t="array" aca="1" ref="E116" ca="1">IFERROR(IF(C116="","",INDIRECT($D$2&amp;"!F"&amp;Z116)),IF(C116="","",INDIRECT("'"&amp;$D$2&amp;"'"&amp;"!F"&amp;Z116)))</f>
        <v>Included</v>
      </c>
      <c r="F116" t="str" cm="1">
        <f t="array" aca="1" ref="F116" ca="1">IFERROR(IF(C116="","",INDIRECT($D$2&amp;"!ak"&amp;Z116)),IF(C116="","",INDIRECT("'"&amp;$D$2&amp;"'"&amp;"!ak"&amp;Z116)))</f>
        <v/>
      </c>
      <c r="G116" cm="1">
        <f t="array" aca="1" ref="G116" ca="1">IFERROR(INDIRECT($D$2&amp;"!h"&amp;Z116),INDIRECT("'"&amp;$D$2&amp;"'"&amp;"!h"&amp;Z116))</f>
        <v>1</v>
      </c>
      <c r="H116" s="125" t="str" cm="1">
        <f t="array" aca="1" ref="H116" ca="1">IFERROR(INDIRECT($D$2&amp;"!i"&amp;Z116),INDIRECT("'"&amp;$D$2&amp;"'"&amp;"!i"&amp;Z116))</f>
        <v/>
      </c>
      <c r="I116" s="113" cm="1">
        <f t="array" aca="1" ref="I116" ca="1">IFERROR(IF($C116="","",INDIRECT($D$2&amp;"!j"&amp;$Z116)+INDIRECT($D$2&amp;"!n"&amp;$Z116)),IF($C116="","",INDIRECT("'"&amp;$D$2&amp;"'"&amp;"!j"&amp;$Z116)+INDIRECT("'"&amp;$D$2&amp;"'"&amp;"!n"&amp;$Z116)))</f>
        <v>4000</v>
      </c>
      <c r="J116" s="113">
        <f t="shared" ca="1" si="12"/>
        <v>-4000</v>
      </c>
      <c r="K116" s="113" cm="1">
        <f t="array" aca="1" ref="K116" ca="1">IFERROR(IF($C116="","",INDIRECT($D$2&amp;"!l"&amp;$Z116)+INDIRECT($D$2&amp;"!p"&amp;$Z116)),IF($C116="","",INDIRECT("'"&amp;$D$2&amp;"'"&amp;"!l"&amp;$Z116)+INDIRECT("'"&amp;$D$2&amp;"'"&amp;"!p"&amp;$Z116)))</f>
        <v>0</v>
      </c>
      <c r="M116" s="113" cm="1">
        <f t="array" aca="1" ref="M116" ca="1">IFERROR(IF($C116="","",INDIRECT($D$2&amp;"!r"&amp;Z116)),IF($C116="","",INDIRECT("'"&amp;$D$2&amp;"'"&amp;"!r"&amp;Z116)))</f>
        <v>0</v>
      </c>
      <c r="N116" s="113">
        <f t="shared" ca="1" si="13"/>
        <v>0</v>
      </c>
      <c r="O116" s="113" cm="1">
        <f t="array" aca="1" ref="O116" ca="1">IFERROR(IF($C116="","",INDIRECT($D$2&amp;"!t"&amp;Z116)),IF($C116="","",INDIRECT("'"&amp;$D$2&amp;"'"&amp;"!t"&amp;Z116)))</f>
        <v>0</v>
      </c>
      <c r="Q116" s="113" cm="1">
        <f t="array" aca="1" ref="Q116" ca="1">IFERROR(IF($C116="","",INDIRECT($D$2&amp;"!v"&amp;Z116)),IF($C116="","",INDIRECT("'"&amp;$D$2&amp;"'"&amp;"!v"&amp;Z116)))</f>
        <v>0</v>
      </c>
      <c r="R116" s="113">
        <f t="shared" ca="1" si="14"/>
        <v>0</v>
      </c>
      <c r="S116" s="113" cm="1">
        <f t="array" aca="1" ref="S116" ca="1">IFERROR(IF($C116="","",INDIRECT($D$2&amp;"!x"&amp;Z116)),IF($C116="","",INDIRECT("'"&amp;$D$2&amp;"'"&amp;"!x"&amp;Z116)))</f>
        <v>0</v>
      </c>
      <c r="U116" s="113" cm="1">
        <f t="array" aca="1" ref="U116" ca="1">IFERROR(IF($C116="","",INDIRECT($D$2&amp;"!z"&amp;Z116)),IF($C116="","",INDIRECT("'"&amp;$D$2&amp;"'"&amp;"!z"&amp;Z116)))</f>
        <v>0</v>
      </c>
      <c r="V116" s="113">
        <f t="shared" ca="1" si="15"/>
        <v>0</v>
      </c>
      <c r="W116" s="113" cm="1">
        <f t="array" aca="1" ref="W116" ca="1">IFERROR(IF($C116="","",INDIRECT($D$2&amp;"!ab"&amp;Z116)),IF($C116="","",INDIRECT("'"&amp;$D$2&amp;"'"&amp;"!ab"&amp;Z116)))</f>
        <v>0</v>
      </c>
      <c r="X116" s="113"/>
      <c r="Y116" s="113">
        <f t="shared" ca="1" si="16"/>
        <v>0</v>
      </c>
      <c r="Z116" s="35">
        <v>105</v>
      </c>
      <c r="AA116" s="113"/>
      <c r="AB116" s="35">
        <v>105</v>
      </c>
    </row>
    <row r="117" spans="3:28" x14ac:dyDescent="0.25">
      <c r="C117" t="str" cm="1">
        <f t="array" aca="1" ref="C117" ca="1">IFERROR(IF(INDIRECT($D$2&amp;"!B"&amp;Z117)="","",INDIRECT("'"&amp;$D$2&amp;"'"&amp;"!B"&amp;Z117)),IF(INDIRECT("'"&amp;$D$2&amp;"'"&amp;"!B"&amp;Z117)="","",INDIRECT("'"&amp;$D$2&amp;"'"&amp;"!B"&amp;Z117)))</f>
        <v>JHA Tokenization (Digital Wallet) Additional Instance JHA Debit Processing</v>
      </c>
      <c r="D117" t="str" cm="1">
        <f t="array" aca="1" ref="D117" ca="1">IFERROR(_xlfn.IFS(C117="","",C117&lt;&gt;"",INDEX(SF_Output!I:I,MATCH(C117,SF_Output!M:M,0))),IFERROR(INDEX(INDIRECT($D$2&amp;"!G:G"),MATCH(C117,INDIRECT($D$2&amp;"!B:B"),0)),INDEX(INDIRECT("'"&amp;$D$2&amp;"'!G:G"),MATCH(C117,INDIRECT("'"&amp;$D$2&amp;"'!B:B"),0))))</f>
        <v>Payments</v>
      </c>
      <c r="E117" t="str" cm="1">
        <f t="array" aca="1" ref="E117" ca="1">IFERROR(IF(C117="","",INDIRECT($D$2&amp;"!F"&amp;Z117)),IF(C117="","",INDIRECT("'"&amp;$D$2&amp;"'"&amp;"!F"&amp;Z117)))</f>
        <v>Included</v>
      </c>
      <c r="F117" t="str" cm="1">
        <f t="array" aca="1" ref="F117" ca="1">IFERROR(IF(C117="","",INDIRECT($D$2&amp;"!ak"&amp;Z117)),IF(C117="","",INDIRECT("'"&amp;$D$2&amp;"'"&amp;"!ak"&amp;Z117)))</f>
        <v/>
      </c>
      <c r="G117" cm="1">
        <f t="array" aca="1" ref="G117" ca="1">IFERROR(INDIRECT($D$2&amp;"!h"&amp;Z117),INDIRECT("'"&amp;$D$2&amp;"'"&amp;"!h"&amp;Z117))</f>
        <v>1</v>
      </c>
      <c r="H117" s="125" t="str" cm="1">
        <f t="array" aca="1" ref="H117" ca="1">IFERROR(INDIRECT($D$2&amp;"!i"&amp;Z117),INDIRECT("'"&amp;$D$2&amp;"'"&amp;"!i"&amp;Z117))</f>
        <v/>
      </c>
      <c r="I117" s="113" cm="1">
        <f t="array" aca="1" ref="I117" ca="1">IFERROR(IF($C117="","",INDIRECT($D$2&amp;"!j"&amp;$Z117)+INDIRECT($D$2&amp;"!n"&amp;$Z117)),IF($C117="","",INDIRECT("'"&amp;$D$2&amp;"'"&amp;"!j"&amp;$Z117)+INDIRECT("'"&amp;$D$2&amp;"'"&amp;"!n"&amp;$Z117)))</f>
        <v>2000</v>
      </c>
      <c r="J117" s="113">
        <f t="shared" ca="1" si="12"/>
        <v>-2000</v>
      </c>
      <c r="K117" s="113" cm="1">
        <f t="array" aca="1" ref="K117" ca="1">IFERROR(IF($C117="","",INDIRECT($D$2&amp;"!l"&amp;$Z117)+INDIRECT($D$2&amp;"!p"&amp;$Z117)),IF($C117="","",INDIRECT("'"&amp;$D$2&amp;"'"&amp;"!l"&amp;$Z117)+INDIRECT("'"&amp;$D$2&amp;"'"&amp;"!p"&amp;$Z117)))</f>
        <v>0</v>
      </c>
      <c r="M117" s="113" cm="1">
        <f t="array" aca="1" ref="M117" ca="1">IFERROR(IF($C117="","",INDIRECT($D$2&amp;"!r"&amp;Z117)),IF($C117="","",INDIRECT("'"&amp;$D$2&amp;"'"&amp;"!r"&amp;Z117)))</f>
        <v>0</v>
      </c>
      <c r="N117" s="113">
        <f t="shared" ca="1" si="13"/>
        <v>0</v>
      </c>
      <c r="O117" s="113" cm="1">
        <f t="array" aca="1" ref="O117" ca="1">IFERROR(IF($C117="","",INDIRECT($D$2&amp;"!t"&amp;Z117)),IF($C117="","",INDIRECT("'"&amp;$D$2&amp;"'"&amp;"!t"&amp;Z117)))</f>
        <v>0</v>
      </c>
      <c r="Q117" s="113" cm="1">
        <f t="array" aca="1" ref="Q117" ca="1">IFERROR(IF($C117="","",INDIRECT($D$2&amp;"!v"&amp;Z117)),IF($C117="","",INDIRECT("'"&amp;$D$2&amp;"'"&amp;"!v"&amp;Z117)))</f>
        <v>0</v>
      </c>
      <c r="R117" s="113">
        <f t="shared" ca="1" si="14"/>
        <v>0</v>
      </c>
      <c r="S117" s="113" cm="1">
        <f t="array" aca="1" ref="S117" ca="1">IFERROR(IF($C117="","",INDIRECT($D$2&amp;"!x"&amp;Z117)),IF($C117="","",INDIRECT("'"&amp;$D$2&amp;"'"&amp;"!x"&amp;Z117)))</f>
        <v>0</v>
      </c>
      <c r="U117" s="113" cm="1">
        <f t="array" aca="1" ref="U117" ca="1">IFERROR(IF($C117="","",INDIRECT($D$2&amp;"!z"&amp;Z117)),IF($C117="","",INDIRECT("'"&amp;$D$2&amp;"'"&amp;"!z"&amp;Z117)))</f>
        <v>0</v>
      </c>
      <c r="V117" s="113">
        <f t="shared" ca="1" si="15"/>
        <v>0</v>
      </c>
      <c r="W117" s="113" cm="1">
        <f t="array" aca="1" ref="W117" ca="1">IFERROR(IF($C117="","",INDIRECT($D$2&amp;"!ab"&amp;Z117)),IF($C117="","",INDIRECT("'"&amp;$D$2&amp;"'"&amp;"!ab"&amp;Z117)))</f>
        <v>0</v>
      </c>
      <c r="X117" s="113"/>
      <c r="Y117" s="113">
        <f t="shared" ca="1" si="16"/>
        <v>0</v>
      </c>
      <c r="Z117" s="35">
        <v>106</v>
      </c>
      <c r="AA117" s="113"/>
      <c r="AB117" s="35">
        <v>106</v>
      </c>
    </row>
    <row r="118" spans="3:28" x14ac:dyDescent="0.25">
      <c r="C118" t="str" cm="1">
        <f t="array" aca="1" ref="C118" ca="1">IFERROR(IF(INDIRECT($D$2&amp;"!B"&amp;Z118)="","",INDIRECT("'"&amp;$D$2&amp;"'"&amp;"!B"&amp;Z118)),IF(INDIRECT("'"&amp;$D$2&amp;"'"&amp;"!B"&amp;Z118)="","",INDIRECT("'"&amp;$D$2&amp;"'"&amp;"!B"&amp;Z118)))</f>
        <v>JHA Tokenization (Digital Wallet) Automated Provisioning Notifications Enrollment Fee JHA Debit</v>
      </c>
      <c r="D118" t="str" cm="1">
        <f t="array" aca="1" ref="D118" ca="1">IFERROR(_xlfn.IFS(C118="","",C118&lt;&gt;"",INDEX(SF_Output!I:I,MATCH(C118,SF_Output!M:M,0))),IFERROR(INDEX(INDIRECT($D$2&amp;"!G:G"),MATCH(C118,INDIRECT($D$2&amp;"!B:B"),0)),INDEX(INDIRECT("'"&amp;$D$2&amp;"'!G:G"),MATCH(C118,INDIRECT("'"&amp;$D$2&amp;"'!B:B"),0))))</f>
        <v>Payments</v>
      </c>
      <c r="E118" t="str" cm="1">
        <f t="array" aca="1" ref="E118" ca="1">IFERROR(IF(C118="","",INDIRECT($D$2&amp;"!F"&amp;Z118)),IF(C118="","",INDIRECT("'"&amp;$D$2&amp;"'"&amp;"!F"&amp;Z118)))</f>
        <v>Included</v>
      </c>
      <c r="F118" t="str" cm="1">
        <f t="array" aca="1" ref="F118" ca="1">IFERROR(IF(C118="","",INDIRECT($D$2&amp;"!ak"&amp;Z118)),IF(C118="","",INDIRECT("'"&amp;$D$2&amp;"'"&amp;"!ak"&amp;Z118)))</f>
        <v/>
      </c>
      <c r="G118" cm="1">
        <f t="array" aca="1" ref="G118" ca="1">IFERROR(INDIRECT($D$2&amp;"!h"&amp;Z118),INDIRECT("'"&amp;$D$2&amp;"'"&amp;"!h"&amp;Z118))</f>
        <v>1</v>
      </c>
      <c r="H118" s="125" t="str" cm="1">
        <f t="array" aca="1" ref="H118" ca="1">IFERROR(INDIRECT($D$2&amp;"!i"&amp;Z118),INDIRECT("'"&amp;$D$2&amp;"'"&amp;"!i"&amp;Z118))</f>
        <v/>
      </c>
      <c r="I118" s="113" cm="1">
        <f t="array" aca="1" ref="I118" ca="1">IFERROR(IF($C118="","",INDIRECT($D$2&amp;"!j"&amp;$Z118)+INDIRECT($D$2&amp;"!n"&amp;$Z118)),IF($C118="","",INDIRECT("'"&amp;$D$2&amp;"'"&amp;"!j"&amp;$Z118)+INDIRECT("'"&amp;$D$2&amp;"'"&amp;"!n"&amp;$Z118)))</f>
        <v>250</v>
      </c>
      <c r="J118" s="113">
        <f t="shared" ca="1" si="12"/>
        <v>-250</v>
      </c>
      <c r="K118" s="113" cm="1">
        <f t="array" aca="1" ref="K118" ca="1">IFERROR(IF($C118="","",INDIRECT($D$2&amp;"!l"&amp;$Z118)+INDIRECT($D$2&amp;"!p"&amp;$Z118)),IF($C118="","",INDIRECT("'"&amp;$D$2&amp;"'"&amp;"!l"&amp;$Z118)+INDIRECT("'"&amp;$D$2&amp;"'"&amp;"!p"&amp;$Z118)))</f>
        <v>0</v>
      </c>
      <c r="M118" s="113" cm="1">
        <f t="array" aca="1" ref="M118" ca="1">IFERROR(IF($C118="","",INDIRECT($D$2&amp;"!r"&amp;Z118)),IF($C118="","",INDIRECT("'"&amp;$D$2&amp;"'"&amp;"!r"&amp;Z118)))</f>
        <v>0</v>
      </c>
      <c r="N118" s="113">
        <f t="shared" ca="1" si="13"/>
        <v>0</v>
      </c>
      <c r="O118" s="113" cm="1">
        <f t="array" aca="1" ref="O118" ca="1">IFERROR(IF($C118="","",INDIRECT($D$2&amp;"!t"&amp;Z118)),IF($C118="","",INDIRECT("'"&amp;$D$2&amp;"'"&amp;"!t"&amp;Z118)))</f>
        <v>0</v>
      </c>
      <c r="Q118" s="113" cm="1">
        <f t="array" aca="1" ref="Q118" ca="1">IFERROR(IF($C118="","",INDIRECT($D$2&amp;"!v"&amp;Z118)),IF($C118="","",INDIRECT("'"&amp;$D$2&amp;"'"&amp;"!v"&amp;Z118)))</f>
        <v>0</v>
      </c>
      <c r="R118" s="113">
        <f t="shared" ca="1" si="14"/>
        <v>0</v>
      </c>
      <c r="S118" s="113" cm="1">
        <f t="array" aca="1" ref="S118" ca="1">IFERROR(IF($C118="","",INDIRECT($D$2&amp;"!x"&amp;Z118)),IF($C118="","",INDIRECT("'"&amp;$D$2&amp;"'"&amp;"!x"&amp;Z118)))</f>
        <v>0</v>
      </c>
      <c r="U118" s="113" cm="1">
        <f t="array" aca="1" ref="U118" ca="1">IFERROR(IF($C118="","",INDIRECT($D$2&amp;"!z"&amp;Z118)),IF($C118="","",INDIRECT("'"&amp;$D$2&amp;"'"&amp;"!z"&amp;Z118)))</f>
        <v>0</v>
      </c>
      <c r="V118" s="113">
        <f t="shared" ca="1" si="15"/>
        <v>0</v>
      </c>
      <c r="W118" s="113" cm="1">
        <f t="array" aca="1" ref="W118" ca="1">IFERROR(IF($C118="","",INDIRECT($D$2&amp;"!ab"&amp;Z118)),IF($C118="","",INDIRECT("'"&amp;$D$2&amp;"'"&amp;"!ab"&amp;Z118)))</f>
        <v>0</v>
      </c>
      <c r="X118" s="113"/>
      <c r="Y118" s="113">
        <f t="shared" ca="1" si="16"/>
        <v>0</v>
      </c>
      <c r="Z118" s="35">
        <v>107</v>
      </c>
      <c r="AA118" s="113"/>
      <c r="AB118" s="35">
        <v>107</v>
      </c>
    </row>
    <row r="119" spans="3:28" x14ac:dyDescent="0.25">
      <c r="C119" t="str" cm="1">
        <f t="array" aca="1" ref="C119" ca="1">IFERROR(IF(INDIRECT($D$2&amp;"!B"&amp;Z119)="","",INDIRECT("'"&amp;$D$2&amp;"'"&amp;"!B"&amp;Z119)),IF(INDIRECT("'"&amp;$D$2&amp;"'"&amp;"!B"&amp;Z119)="","",INDIRECT("'"&amp;$D$2&amp;"'"&amp;"!B"&amp;Z119)))</f>
        <v>JHA Tokenization (Digital Wallet) Automated Provisioning Notifications JHA Debit Processing</v>
      </c>
      <c r="D119" t="str" cm="1">
        <f t="array" aca="1" ref="D119" ca="1">IFERROR(_xlfn.IFS(C119="","",C119&lt;&gt;"",INDEX(SF_Output!I:I,MATCH(C119,SF_Output!M:M,0))),IFERROR(INDEX(INDIRECT($D$2&amp;"!G:G"),MATCH(C119,INDIRECT($D$2&amp;"!B:B"),0)),INDEX(INDIRECT("'"&amp;$D$2&amp;"'!G:G"),MATCH(C119,INDIRECT("'"&amp;$D$2&amp;"'!B:B"),0))))</f>
        <v>Payments</v>
      </c>
      <c r="E119" t="str" cm="1">
        <f t="array" aca="1" ref="E119" ca="1">IFERROR(IF(C119="","",INDIRECT($D$2&amp;"!F"&amp;Z119)),IF(C119="","",INDIRECT("'"&amp;$D$2&amp;"'"&amp;"!F"&amp;Z119)))</f>
        <v>Included</v>
      </c>
      <c r="F119" t="str" cm="1">
        <f t="array" aca="1" ref="F119" ca="1">IFERROR(IF(C119="","",INDIRECT($D$2&amp;"!ak"&amp;Z119)),IF(C119="","",INDIRECT("'"&amp;$D$2&amp;"'"&amp;"!ak"&amp;Z119)))</f>
        <v/>
      </c>
      <c r="G119" cm="1">
        <f t="array" aca="1" ref="G119" ca="1">IFERROR(INDIRECT($D$2&amp;"!h"&amp;Z119),INDIRECT("'"&amp;$D$2&amp;"'"&amp;"!h"&amp;Z119))</f>
        <v>0</v>
      </c>
      <c r="H119" s="125" t="str" cm="1">
        <f t="array" aca="1" ref="H119" ca="1">IFERROR(INDIRECT($D$2&amp;"!i"&amp;Z119),INDIRECT("'"&amp;$D$2&amp;"'"&amp;"!i"&amp;Z119))</f>
        <v/>
      </c>
      <c r="I119" s="113" cm="1">
        <f t="array" aca="1" ref="I119" ca="1">IFERROR(IF($C119="","",INDIRECT($D$2&amp;"!j"&amp;$Z119)+INDIRECT($D$2&amp;"!n"&amp;$Z119)),IF($C119="","",INDIRECT("'"&amp;$D$2&amp;"'"&amp;"!j"&amp;$Z119)+INDIRECT("'"&amp;$D$2&amp;"'"&amp;"!n"&amp;$Z119)))</f>
        <v>0</v>
      </c>
      <c r="J119" s="113">
        <f t="shared" ca="1" si="12"/>
        <v>0</v>
      </c>
      <c r="K119" s="113" cm="1">
        <f t="array" aca="1" ref="K119" ca="1">IFERROR(IF($C119="","",INDIRECT($D$2&amp;"!l"&amp;$Z119)+INDIRECT($D$2&amp;"!p"&amp;$Z119)),IF($C119="","",INDIRECT("'"&amp;$D$2&amp;"'"&amp;"!l"&amp;$Z119)+INDIRECT("'"&amp;$D$2&amp;"'"&amp;"!p"&amp;$Z119)))</f>
        <v>0</v>
      </c>
      <c r="M119" s="113" cm="1">
        <f t="array" aca="1" ref="M119" ca="1">IFERROR(IF($C119="","",INDIRECT($D$2&amp;"!r"&amp;Z119)),IF($C119="","",INDIRECT("'"&amp;$D$2&amp;"'"&amp;"!r"&amp;Z119)))</f>
        <v>0</v>
      </c>
      <c r="N119" s="113">
        <f t="shared" ca="1" si="13"/>
        <v>0</v>
      </c>
      <c r="O119" s="113" cm="1">
        <f t="array" aca="1" ref="O119" ca="1">IFERROR(IF($C119="","",INDIRECT($D$2&amp;"!t"&amp;Z119)),IF($C119="","",INDIRECT("'"&amp;$D$2&amp;"'"&amp;"!t"&amp;Z119)))</f>
        <v>0</v>
      </c>
      <c r="Q119" s="113" cm="1">
        <f t="array" aca="1" ref="Q119" ca="1">IFERROR(IF($C119="","",INDIRECT($D$2&amp;"!v"&amp;Z119)),IF($C119="","",INDIRECT("'"&amp;$D$2&amp;"'"&amp;"!v"&amp;Z119)))</f>
        <v>0</v>
      </c>
      <c r="R119" s="113">
        <f t="shared" ca="1" si="14"/>
        <v>0</v>
      </c>
      <c r="S119" s="113" cm="1">
        <f t="array" aca="1" ref="S119" ca="1">IFERROR(IF($C119="","",INDIRECT($D$2&amp;"!x"&amp;Z119)),IF($C119="","",INDIRECT("'"&amp;$D$2&amp;"'"&amp;"!x"&amp;Z119)))</f>
        <v>0</v>
      </c>
      <c r="U119" s="113" cm="1">
        <f t="array" aca="1" ref="U119" ca="1">IFERROR(IF($C119="","",INDIRECT($D$2&amp;"!z"&amp;Z119)),IF($C119="","",INDIRECT("'"&amp;$D$2&amp;"'"&amp;"!z"&amp;Z119)))</f>
        <v>0</v>
      </c>
      <c r="V119" s="113">
        <f t="shared" ca="1" si="15"/>
        <v>0</v>
      </c>
      <c r="W119" s="113" cm="1">
        <f t="array" aca="1" ref="W119" ca="1">IFERROR(IF($C119="","",INDIRECT($D$2&amp;"!ab"&amp;Z119)),IF($C119="","",INDIRECT("'"&amp;$D$2&amp;"'"&amp;"!ab"&amp;Z119)))</f>
        <v>0</v>
      </c>
      <c r="X119" s="113"/>
      <c r="Y119" s="113">
        <f t="shared" ca="1" si="16"/>
        <v>0</v>
      </c>
      <c r="Z119" s="35">
        <v>108</v>
      </c>
      <c r="AA119" s="113"/>
      <c r="AB119" s="35">
        <v>108</v>
      </c>
    </row>
    <row r="120" spans="3:28" x14ac:dyDescent="0.25">
      <c r="C120" t="str" cm="1">
        <f t="array" aca="1" ref="C120" ca="1">IFERROR(IF(INDIRECT($D$2&amp;"!B"&amp;Z120)="","",INDIRECT("'"&amp;$D$2&amp;"'"&amp;"!B"&amp;Z120)),IF(INDIRECT("'"&amp;$D$2&amp;"'"&amp;"!B"&amp;Z120)="","",INDIRECT("'"&amp;$D$2&amp;"'"&amp;"!B"&amp;Z120)))</f>
        <v>JHA Tokenization (Digital Wallet) Transactions JHA Debit Processing</v>
      </c>
      <c r="D120" t="str" cm="1">
        <f t="array" aca="1" ref="D120" ca="1">IFERROR(_xlfn.IFS(C120="","",C120&lt;&gt;"",INDEX(SF_Output!I:I,MATCH(C120,SF_Output!M:M,0))),IFERROR(INDEX(INDIRECT($D$2&amp;"!G:G"),MATCH(C120,INDIRECT($D$2&amp;"!B:B"),0)),INDEX(INDIRECT("'"&amp;$D$2&amp;"'!G:G"),MATCH(C120,INDIRECT("'"&amp;$D$2&amp;"'!B:B"),0))))</f>
        <v>Payments</v>
      </c>
      <c r="E120" t="str" cm="1">
        <f t="array" aca="1" ref="E120" ca="1">IFERROR(IF(C120="","",INDIRECT($D$2&amp;"!F"&amp;Z120)),IF(C120="","",INDIRECT("'"&amp;$D$2&amp;"'"&amp;"!F"&amp;Z120)))</f>
        <v>Included</v>
      </c>
      <c r="F120" t="str" cm="1">
        <f t="array" aca="1" ref="F120" ca="1">IFERROR(IF(C120="","",INDIRECT($D$2&amp;"!ak"&amp;Z120)),IF(C120="","",INDIRECT("'"&amp;$D$2&amp;"'"&amp;"!ak"&amp;Z120)))</f>
        <v/>
      </c>
      <c r="G120" cm="1">
        <f t="array" aca="1" ref="G120" ca="1">IFERROR(INDIRECT($D$2&amp;"!h"&amp;Z120),INDIRECT("'"&amp;$D$2&amp;"'"&amp;"!h"&amp;Z120))</f>
        <v>0</v>
      </c>
      <c r="H120" s="125" t="str" cm="1">
        <f t="array" aca="1" ref="H120" ca="1">IFERROR(INDIRECT($D$2&amp;"!i"&amp;Z120),INDIRECT("'"&amp;$D$2&amp;"'"&amp;"!i"&amp;Z120))</f>
        <v/>
      </c>
      <c r="I120" s="113" cm="1">
        <f t="array" aca="1" ref="I120" ca="1">IFERROR(IF($C120="","",INDIRECT($D$2&amp;"!j"&amp;$Z120)+INDIRECT($D$2&amp;"!n"&amp;$Z120)),IF($C120="","",INDIRECT("'"&amp;$D$2&amp;"'"&amp;"!j"&amp;$Z120)+INDIRECT("'"&amp;$D$2&amp;"'"&amp;"!n"&amp;$Z120)))</f>
        <v>0</v>
      </c>
      <c r="J120" s="113">
        <f t="shared" ca="1" si="12"/>
        <v>0</v>
      </c>
      <c r="K120" s="113" cm="1">
        <f t="array" aca="1" ref="K120" ca="1">IFERROR(IF($C120="","",INDIRECT($D$2&amp;"!l"&amp;$Z120)+INDIRECT($D$2&amp;"!p"&amp;$Z120)),IF($C120="","",INDIRECT("'"&amp;$D$2&amp;"'"&amp;"!l"&amp;$Z120)+INDIRECT("'"&amp;$D$2&amp;"'"&amp;"!p"&amp;$Z120)))</f>
        <v>0</v>
      </c>
      <c r="M120" s="113" cm="1">
        <f t="array" aca="1" ref="M120" ca="1">IFERROR(IF($C120="","",INDIRECT($D$2&amp;"!r"&amp;Z120)),IF($C120="","",INDIRECT("'"&amp;$D$2&amp;"'"&amp;"!r"&amp;Z120)))</f>
        <v>0</v>
      </c>
      <c r="N120" s="113">
        <f t="shared" ca="1" si="13"/>
        <v>0</v>
      </c>
      <c r="O120" s="113" cm="1">
        <f t="array" aca="1" ref="O120" ca="1">IFERROR(IF($C120="","",INDIRECT($D$2&amp;"!t"&amp;Z120)),IF($C120="","",INDIRECT("'"&amp;$D$2&amp;"'"&amp;"!t"&amp;Z120)))</f>
        <v>0</v>
      </c>
      <c r="Q120" s="113" cm="1">
        <f t="array" aca="1" ref="Q120" ca="1">IFERROR(IF($C120="","",INDIRECT($D$2&amp;"!v"&amp;Z120)),IF($C120="","",INDIRECT("'"&amp;$D$2&amp;"'"&amp;"!v"&amp;Z120)))</f>
        <v>0</v>
      </c>
      <c r="R120" s="113">
        <f t="shared" ca="1" si="14"/>
        <v>0</v>
      </c>
      <c r="S120" s="113" cm="1">
        <f t="array" aca="1" ref="S120" ca="1">IFERROR(IF($C120="","",INDIRECT($D$2&amp;"!x"&amp;Z120)),IF($C120="","",INDIRECT("'"&amp;$D$2&amp;"'"&amp;"!x"&amp;Z120)))</f>
        <v>0</v>
      </c>
      <c r="U120" s="113" cm="1">
        <f t="array" aca="1" ref="U120" ca="1">IFERROR(IF($C120="","",INDIRECT($D$2&amp;"!z"&amp;Z120)),IF($C120="","",INDIRECT("'"&amp;$D$2&amp;"'"&amp;"!z"&amp;Z120)))</f>
        <v>0</v>
      </c>
      <c r="V120" s="113">
        <f t="shared" ca="1" si="15"/>
        <v>0</v>
      </c>
      <c r="W120" s="113" cm="1">
        <f t="array" aca="1" ref="W120" ca="1">IFERROR(IF($C120="","",INDIRECT($D$2&amp;"!ab"&amp;Z120)),IF($C120="","",INDIRECT("'"&amp;$D$2&amp;"'"&amp;"!ab"&amp;Z120)))</f>
        <v>0</v>
      </c>
      <c r="X120" s="113"/>
      <c r="Y120" s="113">
        <f t="shared" ca="1" si="16"/>
        <v>0</v>
      </c>
      <c r="Z120" s="35">
        <v>109</v>
      </c>
      <c r="AA120" s="113"/>
      <c r="AB120" s="35">
        <v>109</v>
      </c>
    </row>
    <row r="121" spans="3:28" x14ac:dyDescent="0.25">
      <c r="C121" t="str" cm="1">
        <f t="array" aca="1" ref="C121" ca="1">IFERROR(IF(INDIRECT($D$2&amp;"!B"&amp;Z121)="","",INDIRECT("'"&amp;$D$2&amp;"'"&amp;"!B"&amp;Z121)),IF(INDIRECT("'"&amp;$D$2&amp;"'"&amp;"!B"&amp;Z121)="","",INDIRECT("'"&amp;$D$2&amp;"'"&amp;"!B"&amp;Z121)))</f>
        <v>Jack Henry Digital Provisioning Enablement (JHA Tokenization Required) JHA Debit Processing</v>
      </c>
      <c r="D121" t="str" cm="1">
        <f t="array" aca="1" ref="D121" ca="1">IFERROR(_xlfn.IFS(C121="","",C121&lt;&gt;"",INDEX(SF_Output!I:I,MATCH(C121,SF_Output!M:M,0))),IFERROR(INDEX(INDIRECT($D$2&amp;"!G:G"),MATCH(C121,INDIRECT($D$2&amp;"!B:B"),0)),INDEX(INDIRECT("'"&amp;$D$2&amp;"'!G:G"),MATCH(C121,INDIRECT("'"&amp;$D$2&amp;"'!B:B"),0))))</f>
        <v>Payments</v>
      </c>
      <c r="E121" t="str" cm="1">
        <f t="array" aca="1" ref="E121" ca="1">IFERROR(IF(C121="","",INDIRECT($D$2&amp;"!F"&amp;Z121)),IF(C121="","",INDIRECT("'"&amp;$D$2&amp;"'"&amp;"!F"&amp;Z121)))</f>
        <v>Included</v>
      </c>
      <c r="F121" t="str" cm="1">
        <f t="array" aca="1" ref="F121" ca="1">IFERROR(IF(C121="","",INDIRECT($D$2&amp;"!ak"&amp;Z121)),IF(C121="","",INDIRECT("'"&amp;$D$2&amp;"'"&amp;"!ak"&amp;Z121)))</f>
        <v/>
      </c>
      <c r="G121" cm="1">
        <f t="array" aca="1" ref="G121" ca="1">IFERROR(INDIRECT($D$2&amp;"!h"&amp;Z121),INDIRECT("'"&amp;$D$2&amp;"'"&amp;"!h"&amp;Z121))</f>
        <v>1</v>
      </c>
      <c r="H121" s="125" t="str" cm="1">
        <f t="array" aca="1" ref="H121" ca="1">IFERROR(INDIRECT($D$2&amp;"!i"&amp;Z121),INDIRECT("'"&amp;$D$2&amp;"'"&amp;"!i"&amp;Z121))</f>
        <v/>
      </c>
      <c r="I121" s="113" cm="1">
        <f t="array" aca="1" ref="I121" ca="1">IFERROR(IF($C121="","",INDIRECT($D$2&amp;"!j"&amp;$Z121)+INDIRECT($D$2&amp;"!n"&amp;$Z121)),IF($C121="","",INDIRECT("'"&amp;$D$2&amp;"'"&amp;"!j"&amp;$Z121)+INDIRECT("'"&amp;$D$2&amp;"'"&amp;"!n"&amp;$Z121)))</f>
        <v>1900</v>
      </c>
      <c r="J121" s="113">
        <f t="shared" ca="1" si="12"/>
        <v>-1900</v>
      </c>
      <c r="K121" s="113" cm="1">
        <f t="array" aca="1" ref="K121" ca="1">IFERROR(IF($C121="","",INDIRECT($D$2&amp;"!l"&amp;$Z121)+INDIRECT($D$2&amp;"!p"&amp;$Z121)),IF($C121="","",INDIRECT("'"&amp;$D$2&amp;"'"&amp;"!l"&amp;$Z121)+INDIRECT("'"&amp;$D$2&amp;"'"&amp;"!p"&amp;$Z121)))</f>
        <v>0</v>
      </c>
      <c r="M121" s="113" cm="1">
        <f t="array" aca="1" ref="M121" ca="1">IFERROR(IF($C121="","",INDIRECT($D$2&amp;"!r"&amp;Z121)),IF($C121="","",INDIRECT("'"&amp;$D$2&amp;"'"&amp;"!r"&amp;Z121)))</f>
        <v>0</v>
      </c>
      <c r="N121" s="113">
        <f t="shared" ca="1" si="13"/>
        <v>0</v>
      </c>
      <c r="O121" s="113" cm="1">
        <f t="array" aca="1" ref="O121" ca="1">IFERROR(IF($C121="","",INDIRECT($D$2&amp;"!t"&amp;Z121)),IF($C121="","",INDIRECT("'"&amp;$D$2&amp;"'"&amp;"!t"&amp;Z121)))</f>
        <v>0</v>
      </c>
      <c r="Q121" s="113" cm="1">
        <f t="array" aca="1" ref="Q121" ca="1">IFERROR(IF($C121="","",INDIRECT($D$2&amp;"!v"&amp;Z121)),IF($C121="","",INDIRECT("'"&amp;$D$2&amp;"'"&amp;"!v"&amp;Z121)))</f>
        <v>0</v>
      </c>
      <c r="R121" s="113">
        <f t="shared" ca="1" si="14"/>
        <v>0</v>
      </c>
      <c r="S121" s="113" cm="1">
        <f t="array" aca="1" ref="S121" ca="1">IFERROR(IF($C121="","",INDIRECT($D$2&amp;"!x"&amp;Z121)),IF($C121="","",INDIRECT("'"&amp;$D$2&amp;"'"&amp;"!x"&amp;Z121)))</f>
        <v>0</v>
      </c>
      <c r="U121" s="113" cm="1">
        <f t="array" aca="1" ref="U121" ca="1">IFERROR(IF($C121="","",INDIRECT($D$2&amp;"!z"&amp;Z121)),IF($C121="","",INDIRECT("'"&amp;$D$2&amp;"'"&amp;"!z"&amp;Z121)))</f>
        <v>0</v>
      </c>
      <c r="V121" s="113">
        <f t="shared" ca="1" si="15"/>
        <v>0</v>
      </c>
      <c r="W121" s="113" cm="1">
        <f t="array" aca="1" ref="W121" ca="1">IFERROR(IF($C121="","",INDIRECT($D$2&amp;"!ab"&amp;Z121)),IF($C121="","",INDIRECT("'"&amp;$D$2&amp;"'"&amp;"!ab"&amp;Z121)))</f>
        <v>0</v>
      </c>
      <c r="X121" s="113"/>
      <c r="Y121" s="113">
        <f t="shared" ca="1" si="16"/>
        <v>0</v>
      </c>
      <c r="Z121" s="35">
        <v>110</v>
      </c>
      <c r="AA121" s="113"/>
      <c r="AB121" s="35">
        <v>110</v>
      </c>
    </row>
    <row r="122" spans="3:28" x14ac:dyDescent="0.25">
      <c r="C122" t="str" cm="1">
        <f t="array" aca="1" ref="C122" ca="1">IFERROR(IF(INDIRECT($D$2&amp;"!B"&amp;Z122)="","",INDIRECT("'"&amp;$D$2&amp;"'"&amp;"!B"&amp;Z122)),IF(INDIRECT("'"&amp;$D$2&amp;"'"&amp;"!B"&amp;Z122)="","",INDIRECT("'"&amp;$D$2&amp;"'"&amp;"!B"&amp;Z122)))</f>
        <v>JHA Card Analytics JHA Debit Processing</v>
      </c>
      <c r="D122" t="str" cm="1">
        <f t="array" aca="1" ref="D122" ca="1">IFERROR(_xlfn.IFS(C122="","",C122&lt;&gt;"",INDEX(SF_Output!I:I,MATCH(C122,SF_Output!M:M,0))),IFERROR(INDEX(INDIRECT($D$2&amp;"!G:G"),MATCH(C122,INDIRECT($D$2&amp;"!B:B"),0)),INDEX(INDIRECT("'"&amp;$D$2&amp;"'!G:G"),MATCH(C122,INDIRECT("'"&amp;$D$2&amp;"'!B:B"),0))))</f>
        <v>Payments</v>
      </c>
      <c r="E122" t="str" cm="1">
        <f t="array" aca="1" ref="E122" ca="1">IFERROR(IF(C122="","",INDIRECT($D$2&amp;"!F"&amp;Z122)),IF(C122="","",INDIRECT("'"&amp;$D$2&amp;"'"&amp;"!F"&amp;Z122)))</f>
        <v>Included</v>
      </c>
      <c r="F122" t="str" cm="1">
        <f t="array" aca="1" ref="F122" ca="1">IFERROR(IF(C122="","",INDIRECT($D$2&amp;"!ak"&amp;Z122)),IF(C122="","",INDIRECT("'"&amp;$D$2&amp;"'"&amp;"!ak"&amp;Z122)))</f>
        <v/>
      </c>
      <c r="G122" cm="1">
        <f t="array" aca="1" ref="G122" ca="1">IFERROR(INDIRECT($D$2&amp;"!h"&amp;Z122),INDIRECT("'"&amp;$D$2&amp;"'"&amp;"!h"&amp;Z122))</f>
        <v>1</v>
      </c>
      <c r="H122" s="125" t="str" cm="1">
        <f t="array" aca="1" ref="H122" ca="1">IFERROR(INDIRECT($D$2&amp;"!i"&amp;Z122),INDIRECT("'"&amp;$D$2&amp;"'"&amp;"!i"&amp;Z122))</f>
        <v/>
      </c>
      <c r="I122" s="113" cm="1">
        <f t="array" aca="1" ref="I122" ca="1">IFERROR(IF($C122="","",INDIRECT($D$2&amp;"!j"&amp;$Z122)+INDIRECT($D$2&amp;"!n"&amp;$Z122)),IF($C122="","",INDIRECT("'"&amp;$D$2&amp;"'"&amp;"!j"&amp;$Z122)+INDIRECT("'"&amp;$D$2&amp;"'"&amp;"!n"&amp;$Z122)))</f>
        <v>0</v>
      </c>
      <c r="J122" s="113">
        <f t="shared" ca="1" si="12"/>
        <v>0</v>
      </c>
      <c r="K122" s="113" cm="1">
        <f t="array" aca="1" ref="K122" ca="1">IFERROR(IF($C122="","",INDIRECT($D$2&amp;"!l"&amp;$Z122)+INDIRECT($D$2&amp;"!p"&amp;$Z122)),IF($C122="","",INDIRECT("'"&amp;$D$2&amp;"'"&amp;"!l"&amp;$Z122)+INDIRECT("'"&amp;$D$2&amp;"'"&amp;"!p"&amp;$Z122)))</f>
        <v>0</v>
      </c>
      <c r="M122" s="113" cm="1">
        <f t="array" aca="1" ref="M122" ca="1">IFERROR(IF($C122="","",INDIRECT($D$2&amp;"!r"&amp;Z122)),IF($C122="","",INDIRECT("'"&amp;$D$2&amp;"'"&amp;"!r"&amp;Z122)))</f>
        <v>0</v>
      </c>
      <c r="N122" s="113">
        <f t="shared" ca="1" si="13"/>
        <v>0</v>
      </c>
      <c r="O122" s="113" cm="1">
        <f t="array" aca="1" ref="O122" ca="1">IFERROR(IF($C122="","",INDIRECT($D$2&amp;"!t"&amp;Z122)),IF($C122="","",INDIRECT("'"&amp;$D$2&amp;"'"&amp;"!t"&amp;Z122)))</f>
        <v>0</v>
      </c>
      <c r="Q122" s="113" cm="1">
        <f t="array" aca="1" ref="Q122" ca="1">IFERROR(IF($C122="","",INDIRECT($D$2&amp;"!v"&amp;Z122)),IF($C122="","",INDIRECT("'"&amp;$D$2&amp;"'"&amp;"!v"&amp;Z122)))</f>
        <v>350</v>
      </c>
      <c r="R122" s="113">
        <f t="shared" ca="1" si="14"/>
        <v>0</v>
      </c>
      <c r="S122" s="113" cm="1">
        <f t="array" aca="1" ref="S122" ca="1">IFERROR(IF($C122="","",INDIRECT($D$2&amp;"!x"&amp;Z122)),IF($C122="","",INDIRECT("'"&amp;$D$2&amp;"'"&amp;"!x"&amp;Z122)))</f>
        <v>350</v>
      </c>
      <c r="U122" s="113" cm="1">
        <f t="array" aca="1" ref="U122" ca="1">IFERROR(IF($C122="","",INDIRECT($D$2&amp;"!z"&amp;Z122)),IF($C122="","",INDIRECT("'"&amp;$D$2&amp;"'"&amp;"!z"&amp;Z122)))</f>
        <v>0</v>
      </c>
      <c r="V122" s="113">
        <f t="shared" ca="1" si="15"/>
        <v>0</v>
      </c>
      <c r="W122" s="113" cm="1">
        <f t="array" aca="1" ref="W122" ca="1">IFERROR(IF($C122="","",INDIRECT($D$2&amp;"!ab"&amp;Z122)),IF($C122="","",INDIRECT("'"&amp;$D$2&amp;"'"&amp;"!ab"&amp;Z122)))</f>
        <v>0</v>
      </c>
      <c r="X122" s="113"/>
      <c r="Y122" s="113">
        <f t="shared" ca="1" si="16"/>
        <v>350</v>
      </c>
      <c r="Z122" s="35">
        <v>111</v>
      </c>
      <c r="AA122" s="113"/>
      <c r="AB122" s="35">
        <v>111</v>
      </c>
    </row>
    <row r="123" spans="3:28" x14ac:dyDescent="0.25">
      <c r="C123" t="str" cm="1">
        <f t="array" aca="1" ref="C123" ca="1">IFERROR(IF(INDIRECT($D$2&amp;"!B"&amp;Z123)="","",INDIRECT("'"&amp;$D$2&amp;"'"&amp;"!B"&amp;Z123)),IF(INDIRECT("'"&amp;$D$2&amp;"'"&amp;"!B"&amp;Z123)="","",INDIRECT("'"&amp;$D$2&amp;"'"&amp;"!B"&amp;Z123)))</f>
        <v>JHA Card Connect JHA Debit Processing</v>
      </c>
      <c r="D123" t="str" cm="1">
        <f t="array" aca="1" ref="D123" ca="1">IFERROR(_xlfn.IFS(C123="","",C123&lt;&gt;"",INDEX(SF_Output!I:I,MATCH(C123,SF_Output!M:M,0))),IFERROR(INDEX(INDIRECT($D$2&amp;"!G:G"),MATCH(C123,INDIRECT($D$2&amp;"!B:B"),0)),INDEX(INDIRECT("'"&amp;$D$2&amp;"'!G:G"),MATCH(C123,INDIRECT("'"&amp;$D$2&amp;"'!B:B"),0))))</f>
        <v>Payments</v>
      </c>
      <c r="E123" t="str" cm="1">
        <f t="array" aca="1" ref="E123" ca="1">IFERROR(IF(C123="","",INDIRECT($D$2&amp;"!F"&amp;Z123)),IF(C123="","",INDIRECT("'"&amp;$D$2&amp;"'"&amp;"!F"&amp;Z123)))</f>
        <v>Included</v>
      </c>
      <c r="F123" t="str" cm="1">
        <f t="array" aca="1" ref="F123" ca="1">IFERROR(IF(C123="","",INDIRECT($D$2&amp;"!ak"&amp;Z123)),IF(C123="","",INDIRECT("'"&amp;$D$2&amp;"'"&amp;"!ak"&amp;Z123)))</f>
        <v/>
      </c>
      <c r="G123" cm="1">
        <f t="array" aca="1" ref="G123" ca="1">IFERROR(INDIRECT($D$2&amp;"!h"&amp;Z123),INDIRECT("'"&amp;$D$2&amp;"'"&amp;"!h"&amp;Z123))</f>
        <v>1</v>
      </c>
      <c r="H123" s="125" t="str" cm="1">
        <f t="array" aca="1" ref="H123" ca="1">IFERROR(INDIRECT($D$2&amp;"!i"&amp;Z123),INDIRECT("'"&amp;$D$2&amp;"'"&amp;"!i"&amp;Z123))</f>
        <v/>
      </c>
      <c r="I123" s="113" cm="1">
        <f t="array" aca="1" ref="I123" ca="1">IFERROR(IF($C123="","",INDIRECT($D$2&amp;"!j"&amp;$Z123)+INDIRECT($D$2&amp;"!n"&amp;$Z123)),IF($C123="","",INDIRECT("'"&amp;$D$2&amp;"'"&amp;"!j"&amp;$Z123)+INDIRECT("'"&amp;$D$2&amp;"'"&amp;"!n"&amp;$Z123)))</f>
        <v>1500</v>
      </c>
      <c r="J123" s="113">
        <f t="shared" ca="1" si="12"/>
        <v>-1500</v>
      </c>
      <c r="K123" s="113" cm="1">
        <f t="array" aca="1" ref="K123" ca="1">IFERROR(IF($C123="","",INDIRECT($D$2&amp;"!l"&amp;$Z123)+INDIRECT($D$2&amp;"!p"&amp;$Z123)),IF($C123="","",INDIRECT("'"&amp;$D$2&amp;"'"&amp;"!l"&amp;$Z123)+INDIRECT("'"&amp;$D$2&amp;"'"&amp;"!p"&amp;$Z123)))</f>
        <v>0</v>
      </c>
      <c r="M123" s="113" cm="1">
        <f t="array" aca="1" ref="M123" ca="1">IFERROR(IF($C123="","",INDIRECT($D$2&amp;"!r"&amp;Z123)),IF($C123="","",INDIRECT("'"&amp;$D$2&amp;"'"&amp;"!r"&amp;Z123)))</f>
        <v>0</v>
      </c>
      <c r="N123" s="113">
        <f t="shared" ca="1" si="13"/>
        <v>0</v>
      </c>
      <c r="O123" s="113" cm="1">
        <f t="array" aca="1" ref="O123" ca="1">IFERROR(IF($C123="","",INDIRECT($D$2&amp;"!t"&amp;Z123)),IF($C123="","",INDIRECT("'"&amp;$D$2&amp;"'"&amp;"!t"&amp;Z123)))</f>
        <v>0</v>
      </c>
      <c r="Q123" s="113" cm="1">
        <f t="array" aca="1" ref="Q123" ca="1">IFERROR(IF($C123="","",INDIRECT($D$2&amp;"!v"&amp;Z123)),IF($C123="","",INDIRECT("'"&amp;$D$2&amp;"'"&amp;"!v"&amp;Z123)))</f>
        <v>350</v>
      </c>
      <c r="R123" s="113">
        <f t="shared" ca="1" si="14"/>
        <v>0</v>
      </c>
      <c r="S123" s="113" cm="1">
        <f t="array" aca="1" ref="S123" ca="1">IFERROR(IF($C123="","",INDIRECT($D$2&amp;"!x"&amp;Z123)),IF($C123="","",INDIRECT("'"&amp;$D$2&amp;"'"&amp;"!x"&amp;Z123)))</f>
        <v>350</v>
      </c>
      <c r="U123" s="113" cm="1">
        <f t="array" aca="1" ref="U123" ca="1">IFERROR(IF($C123="","",INDIRECT($D$2&amp;"!z"&amp;Z123)),IF($C123="","",INDIRECT("'"&amp;$D$2&amp;"'"&amp;"!z"&amp;Z123)))</f>
        <v>0</v>
      </c>
      <c r="V123" s="113">
        <f t="shared" ca="1" si="15"/>
        <v>0</v>
      </c>
      <c r="W123" s="113" cm="1">
        <f t="array" aca="1" ref="W123" ca="1">IFERROR(IF($C123="","",INDIRECT($D$2&amp;"!ab"&amp;Z123)),IF($C123="","",INDIRECT("'"&amp;$D$2&amp;"'"&amp;"!ab"&amp;Z123)))</f>
        <v>0</v>
      </c>
      <c r="X123" s="113"/>
      <c r="Y123" s="113">
        <f t="shared" ca="1" si="16"/>
        <v>350</v>
      </c>
      <c r="Z123" s="35">
        <v>112</v>
      </c>
      <c r="AA123" s="113"/>
      <c r="AB123" s="35">
        <v>112</v>
      </c>
    </row>
    <row r="124" spans="3:28" x14ac:dyDescent="0.25">
      <c r="C124" t="str" cm="1">
        <f t="array" aca="1" ref="C124" ca="1">IFERROR(IF(INDIRECT($D$2&amp;"!B"&amp;Z124)="","",INDIRECT("'"&amp;$D$2&amp;"'"&amp;"!B"&amp;Z124)),IF(INDIRECT("'"&amp;$D$2&amp;"'"&amp;"!B"&amp;Z124)="","",INDIRECT("'"&amp;$D$2&amp;"'"&amp;"!B"&amp;Z124)))</f>
        <v>Footprints Data Storage JHA Debit Processing</v>
      </c>
      <c r="D124" t="str" cm="1">
        <f t="array" aca="1" ref="D124" ca="1">IFERROR(_xlfn.IFS(C124="","",C124&lt;&gt;"",INDEX(SF_Output!I:I,MATCH(C124,SF_Output!M:M,0))),IFERROR(INDEX(INDIRECT($D$2&amp;"!G:G"),MATCH(C124,INDIRECT($D$2&amp;"!B:B"),0)),INDEX(INDIRECT("'"&amp;$D$2&amp;"'!G:G"),MATCH(C124,INDIRECT("'"&amp;$D$2&amp;"'!B:B"),0))))</f>
        <v>Payments</v>
      </c>
      <c r="E124" t="str" cm="1">
        <f t="array" aca="1" ref="E124" ca="1">IFERROR(IF(C124="","",INDIRECT($D$2&amp;"!F"&amp;Z124)),IF(C124="","",INDIRECT("'"&amp;$D$2&amp;"'"&amp;"!F"&amp;Z124)))</f>
        <v>Included</v>
      </c>
      <c r="F124" t="str" cm="1">
        <f t="array" aca="1" ref="F124" ca="1">IFERROR(IF(C124="","",INDIRECT($D$2&amp;"!ak"&amp;Z124)),IF(C124="","",INDIRECT("'"&amp;$D$2&amp;"'"&amp;"!ak"&amp;Z124)))</f>
        <v/>
      </c>
      <c r="G124" cm="1">
        <f t="array" aca="1" ref="G124" ca="1">IFERROR(INDIRECT($D$2&amp;"!h"&amp;Z124),INDIRECT("'"&amp;$D$2&amp;"'"&amp;"!h"&amp;Z124))</f>
        <v>1</v>
      </c>
      <c r="H124" s="125" t="str" cm="1">
        <f t="array" aca="1" ref="H124" ca="1">IFERROR(INDIRECT($D$2&amp;"!i"&amp;Z124),INDIRECT("'"&amp;$D$2&amp;"'"&amp;"!i"&amp;Z124))</f>
        <v/>
      </c>
      <c r="I124" s="113" cm="1">
        <f t="array" aca="1" ref="I124" ca="1">IFERROR(IF($C124="","",INDIRECT($D$2&amp;"!j"&amp;$Z124)+INDIRECT($D$2&amp;"!n"&amp;$Z124)),IF($C124="","",INDIRECT("'"&amp;$D$2&amp;"'"&amp;"!j"&amp;$Z124)+INDIRECT("'"&amp;$D$2&amp;"'"&amp;"!n"&amp;$Z124)))</f>
        <v>0</v>
      </c>
      <c r="J124" s="113">
        <f t="shared" ca="1" si="12"/>
        <v>0</v>
      </c>
      <c r="K124" s="113" cm="1">
        <f t="array" aca="1" ref="K124" ca="1">IFERROR(IF($C124="","",INDIRECT($D$2&amp;"!l"&amp;$Z124)+INDIRECT($D$2&amp;"!p"&amp;$Z124)),IF($C124="","",INDIRECT("'"&amp;$D$2&amp;"'"&amp;"!l"&amp;$Z124)+INDIRECT("'"&amp;$D$2&amp;"'"&amp;"!p"&amp;$Z124)))</f>
        <v>0</v>
      </c>
      <c r="M124" s="113" cm="1">
        <f t="array" aca="1" ref="M124" ca="1">IFERROR(IF($C124="","",INDIRECT($D$2&amp;"!r"&amp;Z124)),IF($C124="","",INDIRECT("'"&amp;$D$2&amp;"'"&amp;"!r"&amp;Z124)))</f>
        <v>0</v>
      </c>
      <c r="N124" s="113">
        <f t="shared" ca="1" si="13"/>
        <v>0</v>
      </c>
      <c r="O124" s="113" cm="1">
        <f t="array" aca="1" ref="O124" ca="1">IFERROR(IF($C124="","",INDIRECT($D$2&amp;"!t"&amp;Z124)),IF($C124="","",INDIRECT("'"&amp;$D$2&amp;"'"&amp;"!t"&amp;Z124)))</f>
        <v>0</v>
      </c>
      <c r="Q124" s="113" cm="1">
        <f t="array" aca="1" ref="Q124" ca="1">IFERROR(IF($C124="","",INDIRECT($D$2&amp;"!v"&amp;Z124)),IF($C124="","",INDIRECT("'"&amp;$D$2&amp;"'"&amp;"!v"&amp;Z124)))</f>
        <v>150</v>
      </c>
      <c r="R124" s="113">
        <f t="shared" ca="1" si="14"/>
        <v>0</v>
      </c>
      <c r="S124" s="113" cm="1">
        <f t="array" aca="1" ref="S124" ca="1">IFERROR(IF($C124="","",INDIRECT($D$2&amp;"!x"&amp;Z124)),IF($C124="","",INDIRECT("'"&amp;$D$2&amp;"'"&amp;"!x"&amp;Z124)))</f>
        <v>150</v>
      </c>
      <c r="U124" s="113" cm="1">
        <f t="array" aca="1" ref="U124" ca="1">IFERROR(IF($C124="","",INDIRECT($D$2&amp;"!z"&amp;Z124)),IF($C124="","",INDIRECT("'"&amp;$D$2&amp;"'"&amp;"!z"&amp;Z124)))</f>
        <v>0</v>
      </c>
      <c r="V124" s="113">
        <f t="shared" ca="1" si="15"/>
        <v>0</v>
      </c>
      <c r="W124" s="113" cm="1">
        <f t="array" aca="1" ref="W124" ca="1">IFERROR(IF($C124="","",INDIRECT($D$2&amp;"!ab"&amp;Z124)),IF($C124="","",INDIRECT("'"&amp;$D$2&amp;"'"&amp;"!ab"&amp;Z124)))</f>
        <v>0</v>
      </c>
      <c r="X124" s="113"/>
      <c r="Y124" s="113">
        <f t="shared" ca="1" si="16"/>
        <v>150</v>
      </c>
      <c r="Z124" s="35">
        <v>113</v>
      </c>
      <c r="AA124" s="113"/>
      <c r="AB124" s="35">
        <v>113</v>
      </c>
    </row>
    <row r="125" spans="3:28" x14ac:dyDescent="0.25">
      <c r="C125" t="str" cm="1">
        <f t="array" aca="1" ref="C125" ca="1">IFERROR(IF(INDIRECT($D$2&amp;"!B"&amp;Z125)="","",INDIRECT("'"&amp;$D$2&amp;"'"&amp;"!B"&amp;Z125)),IF(INDIRECT("'"&amp;$D$2&amp;"'"&amp;"!B"&amp;Z125)="","",INDIRECT("'"&amp;$D$2&amp;"'"&amp;"!B"&amp;Z125)))</f>
        <v>Remote Entered Non-Monetary Transactions JHA Debit Processing</v>
      </c>
      <c r="D125" t="str" cm="1">
        <f t="array" aca="1" ref="D125" ca="1">IFERROR(_xlfn.IFS(C125="","",C125&lt;&gt;"",INDEX(SF_Output!I:I,MATCH(C125,SF_Output!M:M,0))),IFERROR(INDEX(INDIRECT($D$2&amp;"!G:G"),MATCH(C125,INDIRECT($D$2&amp;"!B:B"),0)),INDEX(INDIRECT("'"&amp;$D$2&amp;"'!G:G"),MATCH(C125,INDIRECT("'"&amp;$D$2&amp;"'!B:B"),0))))</f>
        <v>Payments</v>
      </c>
      <c r="E125" t="str" cm="1">
        <f t="array" aca="1" ref="E125" ca="1">IFERROR(IF(C125="","",INDIRECT($D$2&amp;"!F"&amp;Z125)),IF(C125="","",INDIRECT("'"&amp;$D$2&amp;"'"&amp;"!F"&amp;Z125)))</f>
        <v>Included</v>
      </c>
      <c r="F125" t="str" cm="1">
        <f t="array" aca="1" ref="F125" ca="1">IFERROR(IF(C125="","",INDIRECT($D$2&amp;"!ak"&amp;Z125)),IF(C125="","",INDIRECT("'"&amp;$D$2&amp;"'"&amp;"!ak"&amp;Z125)))</f>
        <v/>
      </c>
      <c r="G125" cm="1">
        <f t="array" aca="1" ref="G125" ca="1">IFERROR(INDIRECT($D$2&amp;"!h"&amp;Z125),INDIRECT("'"&amp;$D$2&amp;"'"&amp;"!h"&amp;Z125))</f>
        <v>0</v>
      </c>
      <c r="H125" s="125" t="str" cm="1">
        <f t="array" aca="1" ref="H125" ca="1">IFERROR(INDIRECT($D$2&amp;"!i"&amp;Z125),INDIRECT("'"&amp;$D$2&amp;"'"&amp;"!i"&amp;Z125))</f>
        <v/>
      </c>
      <c r="I125" s="113" cm="1">
        <f t="array" aca="1" ref="I125" ca="1">IFERROR(IF($C125="","",INDIRECT($D$2&amp;"!j"&amp;$Z125)+INDIRECT($D$2&amp;"!n"&amp;$Z125)),IF($C125="","",INDIRECT("'"&amp;$D$2&amp;"'"&amp;"!j"&amp;$Z125)+INDIRECT("'"&amp;$D$2&amp;"'"&amp;"!n"&amp;$Z125)))</f>
        <v>0</v>
      </c>
      <c r="J125" s="113">
        <f t="shared" ca="1" si="12"/>
        <v>0</v>
      </c>
      <c r="K125" s="113" cm="1">
        <f t="array" aca="1" ref="K125" ca="1">IFERROR(IF($C125="","",INDIRECT($D$2&amp;"!l"&amp;$Z125)+INDIRECT($D$2&amp;"!p"&amp;$Z125)),IF($C125="","",INDIRECT("'"&amp;$D$2&amp;"'"&amp;"!l"&amp;$Z125)+INDIRECT("'"&amp;$D$2&amp;"'"&amp;"!p"&amp;$Z125)))</f>
        <v>0</v>
      </c>
      <c r="M125" s="113" cm="1">
        <f t="array" aca="1" ref="M125" ca="1">IFERROR(IF($C125="","",INDIRECT($D$2&amp;"!r"&amp;Z125)),IF($C125="","",INDIRECT("'"&amp;$D$2&amp;"'"&amp;"!r"&amp;Z125)))</f>
        <v>0</v>
      </c>
      <c r="N125" s="113">
        <f t="shared" ca="1" si="13"/>
        <v>0</v>
      </c>
      <c r="O125" s="113" cm="1">
        <f t="array" aca="1" ref="O125" ca="1">IFERROR(IF($C125="","",INDIRECT($D$2&amp;"!t"&amp;Z125)),IF($C125="","",INDIRECT("'"&amp;$D$2&amp;"'"&amp;"!t"&amp;Z125)))</f>
        <v>0</v>
      </c>
      <c r="Q125" s="113" cm="1">
        <f t="array" aca="1" ref="Q125" ca="1">IFERROR(IF($C125="","",INDIRECT($D$2&amp;"!v"&amp;Z125)),IF($C125="","",INDIRECT("'"&amp;$D$2&amp;"'"&amp;"!v"&amp;Z125)))</f>
        <v>0</v>
      </c>
      <c r="R125" s="113">
        <f t="shared" ca="1" si="14"/>
        <v>0</v>
      </c>
      <c r="S125" s="113" cm="1">
        <f t="array" aca="1" ref="S125" ca="1">IFERROR(IF($C125="","",INDIRECT($D$2&amp;"!x"&amp;Z125)),IF($C125="","",INDIRECT("'"&amp;$D$2&amp;"'"&amp;"!x"&amp;Z125)))</f>
        <v>0</v>
      </c>
      <c r="U125" s="113" cm="1">
        <f t="array" aca="1" ref="U125" ca="1">IFERROR(IF($C125="","",INDIRECT($D$2&amp;"!z"&amp;Z125)),IF($C125="","",INDIRECT("'"&amp;$D$2&amp;"'"&amp;"!z"&amp;Z125)))</f>
        <v>0</v>
      </c>
      <c r="V125" s="113">
        <f t="shared" ca="1" si="15"/>
        <v>0</v>
      </c>
      <c r="W125" s="113" cm="1">
        <f t="array" aca="1" ref="W125" ca="1">IFERROR(IF($C125="","",INDIRECT($D$2&amp;"!ab"&amp;Z125)),IF($C125="","",INDIRECT("'"&amp;$D$2&amp;"'"&amp;"!ab"&amp;Z125)))</f>
        <v>0</v>
      </c>
      <c r="X125" s="113"/>
      <c r="Y125" s="113">
        <f t="shared" ca="1" si="16"/>
        <v>0</v>
      </c>
      <c r="Z125" s="35">
        <v>114</v>
      </c>
      <c r="AA125" s="113"/>
      <c r="AB125" s="35">
        <v>114</v>
      </c>
    </row>
    <row r="126" spans="3:28" x14ac:dyDescent="0.25">
      <c r="C126" t="str" cm="1">
        <f t="array" aca="1" ref="C126" ca="1">IFERROR(IF(INDIRECT($D$2&amp;"!B"&amp;Z126)="","",INDIRECT("'"&amp;$D$2&amp;"'"&amp;"!B"&amp;Z126)),IF(INDIRECT("'"&amp;$D$2&amp;"'"&amp;"!B"&amp;Z126)="","",INDIRECT("'"&amp;$D$2&amp;"'"&amp;"!B"&amp;Z126)))</f>
        <v>Host Based PIN Authorization JHA Debit Processing</v>
      </c>
      <c r="D126" t="str" cm="1">
        <f t="array" aca="1" ref="D126" ca="1">IFERROR(_xlfn.IFS(C126="","",C126&lt;&gt;"",INDEX(SF_Output!I:I,MATCH(C126,SF_Output!M:M,0))),IFERROR(INDEX(INDIRECT($D$2&amp;"!G:G"),MATCH(C126,INDIRECT($D$2&amp;"!B:B"),0)),INDEX(INDIRECT("'"&amp;$D$2&amp;"'!G:G"),MATCH(C126,INDIRECT("'"&amp;$D$2&amp;"'!B:B"),0))))</f>
        <v>Payments</v>
      </c>
      <c r="E126" t="str" cm="1">
        <f t="array" aca="1" ref="E126" ca="1">IFERROR(IF(C126="","",INDIRECT($D$2&amp;"!F"&amp;Z126)),IF(C126="","",INDIRECT("'"&amp;$D$2&amp;"'"&amp;"!F"&amp;Z126)))</f>
        <v>Included</v>
      </c>
      <c r="F126" t="str" cm="1">
        <f t="array" aca="1" ref="F126" ca="1">IFERROR(IF(C126="","",INDIRECT($D$2&amp;"!ak"&amp;Z126)),IF(C126="","",INDIRECT("'"&amp;$D$2&amp;"'"&amp;"!ak"&amp;Z126)))</f>
        <v/>
      </c>
      <c r="G126" cm="1">
        <f t="array" aca="1" ref="G126" ca="1">IFERROR(INDIRECT($D$2&amp;"!h"&amp;Z126),INDIRECT("'"&amp;$D$2&amp;"'"&amp;"!h"&amp;Z126))</f>
        <v>1</v>
      </c>
      <c r="H126" s="125" t="str" cm="1">
        <f t="array" aca="1" ref="H126" ca="1">IFERROR(INDIRECT($D$2&amp;"!i"&amp;Z126),INDIRECT("'"&amp;$D$2&amp;"'"&amp;"!i"&amp;Z126))</f>
        <v/>
      </c>
      <c r="I126" s="113" cm="1">
        <f t="array" aca="1" ref="I126" ca="1">IFERROR(IF($C126="","",INDIRECT($D$2&amp;"!j"&amp;$Z126)+INDIRECT($D$2&amp;"!n"&amp;$Z126)),IF($C126="","",INDIRECT("'"&amp;$D$2&amp;"'"&amp;"!j"&amp;$Z126)+INDIRECT("'"&amp;$D$2&amp;"'"&amp;"!n"&amp;$Z126)))</f>
        <v>3000</v>
      </c>
      <c r="J126" s="113">
        <f t="shared" ca="1" si="12"/>
        <v>-3000</v>
      </c>
      <c r="K126" s="113" cm="1">
        <f t="array" aca="1" ref="K126" ca="1">IFERROR(IF($C126="","",INDIRECT($D$2&amp;"!l"&amp;$Z126)+INDIRECT($D$2&amp;"!p"&amp;$Z126)),IF($C126="","",INDIRECT("'"&amp;$D$2&amp;"'"&amp;"!l"&amp;$Z126)+INDIRECT("'"&amp;$D$2&amp;"'"&amp;"!p"&amp;$Z126)))</f>
        <v>0</v>
      </c>
      <c r="M126" s="113" cm="1">
        <f t="array" aca="1" ref="M126" ca="1">IFERROR(IF($C126="","",INDIRECT($D$2&amp;"!r"&amp;Z126)),IF($C126="","",INDIRECT("'"&amp;$D$2&amp;"'"&amp;"!r"&amp;Z126)))</f>
        <v>0</v>
      </c>
      <c r="N126" s="113">
        <f t="shared" ca="1" si="13"/>
        <v>0</v>
      </c>
      <c r="O126" s="113" cm="1">
        <f t="array" aca="1" ref="O126" ca="1">IFERROR(IF($C126="","",INDIRECT($D$2&amp;"!t"&amp;Z126)),IF($C126="","",INDIRECT("'"&amp;$D$2&amp;"'"&amp;"!t"&amp;Z126)))</f>
        <v>0</v>
      </c>
      <c r="Q126" s="113" cm="1">
        <f t="array" aca="1" ref="Q126" ca="1">IFERROR(IF($C126="","",INDIRECT($D$2&amp;"!v"&amp;Z126)),IF($C126="","",INDIRECT("'"&amp;$D$2&amp;"'"&amp;"!v"&amp;Z126)))</f>
        <v>250</v>
      </c>
      <c r="R126" s="113">
        <f t="shared" ca="1" si="14"/>
        <v>0</v>
      </c>
      <c r="S126" s="113" cm="1">
        <f t="array" aca="1" ref="S126" ca="1">IFERROR(IF($C126="","",INDIRECT($D$2&amp;"!x"&amp;Z126)),IF($C126="","",INDIRECT("'"&amp;$D$2&amp;"'"&amp;"!x"&amp;Z126)))</f>
        <v>250</v>
      </c>
      <c r="U126" s="113" cm="1">
        <f t="array" aca="1" ref="U126" ca="1">IFERROR(IF($C126="","",INDIRECT($D$2&amp;"!z"&amp;Z126)),IF($C126="","",INDIRECT("'"&amp;$D$2&amp;"'"&amp;"!z"&amp;Z126)))</f>
        <v>0</v>
      </c>
      <c r="V126" s="113">
        <f t="shared" ca="1" si="15"/>
        <v>0</v>
      </c>
      <c r="W126" s="113" cm="1">
        <f t="array" aca="1" ref="W126" ca="1">IFERROR(IF($C126="","",INDIRECT($D$2&amp;"!ab"&amp;Z126)),IF($C126="","",INDIRECT("'"&amp;$D$2&amp;"'"&amp;"!ab"&amp;Z126)))</f>
        <v>0</v>
      </c>
      <c r="X126" s="113"/>
      <c r="Y126" s="113">
        <f t="shared" ca="1" si="16"/>
        <v>250</v>
      </c>
      <c r="Z126" s="35">
        <v>115</v>
      </c>
      <c r="AA126" s="113"/>
      <c r="AB126" s="35">
        <v>115</v>
      </c>
    </row>
    <row r="127" spans="3:28" x14ac:dyDescent="0.25">
      <c r="C127" t="str" cm="1">
        <f t="array" aca="1" ref="C127" ca="1">IFERROR(IF(INDIRECT($D$2&amp;"!B"&amp;Z127)="","",INDIRECT("'"&amp;$D$2&amp;"'"&amp;"!B"&amp;Z127)),IF(INDIRECT("'"&amp;$D$2&amp;"'"&amp;"!B"&amp;Z127)="","",INDIRECT("'"&amp;$D$2&amp;"'"&amp;"!B"&amp;Z127)))</f>
        <v>Tape Entered Non-Monetary Transactions JHA Debit Processing</v>
      </c>
      <c r="D127" t="str" cm="1">
        <f t="array" aca="1" ref="D127" ca="1">IFERROR(_xlfn.IFS(C127="","",C127&lt;&gt;"",INDEX(SF_Output!I:I,MATCH(C127,SF_Output!M:M,0))),IFERROR(INDEX(INDIRECT($D$2&amp;"!G:G"),MATCH(C127,INDIRECT($D$2&amp;"!B:B"),0)),INDEX(INDIRECT("'"&amp;$D$2&amp;"'!G:G"),MATCH(C127,INDIRECT("'"&amp;$D$2&amp;"'!B:B"),0))))</f>
        <v>Payments</v>
      </c>
      <c r="E127" t="str" cm="1">
        <f t="array" aca="1" ref="E127" ca="1">IFERROR(IF(C127="","",INDIRECT($D$2&amp;"!F"&amp;Z127)),IF(C127="","",INDIRECT("'"&amp;$D$2&amp;"'"&amp;"!F"&amp;Z127)))</f>
        <v>Included</v>
      </c>
      <c r="F127" t="str" cm="1">
        <f t="array" aca="1" ref="F127" ca="1">IFERROR(IF(C127="","",INDIRECT($D$2&amp;"!ak"&amp;Z127)),IF(C127="","",INDIRECT("'"&amp;$D$2&amp;"'"&amp;"!ak"&amp;Z127)))</f>
        <v/>
      </c>
      <c r="G127" cm="1">
        <f t="array" aca="1" ref="G127" ca="1">IFERROR(INDIRECT($D$2&amp;"!h"&amp;Z127),INDIRECT("'"&amp;$D$2&amp;"'"&amp;"!h"&amp;Z127))</f>
        <v>0</v>
      </c>
      <c r="H127" s="125" t="str" cm="1">
        <f t="array" aca="1" ref="H127" ca="1">IFERROR(INDIRECT($D$2&amp;"!i"&amp;Z127),INDIRECT("'"&amp;$D$2&amp;"'"&amp;"!i"&amp;Z127))</f>
        <v/>
      </c>
      <c r="I127" s="113" cm="1">
        <f t="array" aca="1" ref="I127" ca="1">IFERROR(IF($C127="","",INDIRECT($D$2&amp;"!j"&amp;$Z127)+INDIRECT($D$2&amp;"!n"&amp;$Z127)),IF($C127="","",INDIRECT("'"&amp;$D$2&amp;"'"&amp;"!j"&amp;$Z127)+INDIRECT("'"&amp;$D$2&amp;"'"&amp;"!n"&amp;$Z127)))</f>
        <v>0</v>
      </c>
      <c r="J127" s="113">
        <f t="shared" ca="1" si="12"/>
        <v>0</v>
      </c>
      <c r="K127" s="113" cm="1">
        <f t="array" aca="1" ref="K127" ca="1">IFERROR(IF($C127="","",INDIRECT($D$2&amp;"!l"&amp;$Z127)+INDIRECT($D$2&amp;"!p"&amp;$Z127)),IF($C127="","",INDIRECT("'"&amp;$D$2&amp;"'"&amp;"!l"&amp;$Z127)+INDIRECT("'"&amp;$D$2&amp;"'"&amp;"!p"&amp;$Z127)))</f>
        <v>0</v>
      </c>
      <c r="M127" s="113" cm="1">
        <f t="array" aca="1" ref="M127" ca="1">IFERROR(IF($C127="","",INDIRECT($D$2&amp;"!r"&amp;Z127)),IF($C127="","",INDIRECT("'"&amp;$D$2&amp;"'"&amp;"!r"&amp;Z127)))</f>
        <v>0</v>
      </c>
      <c r="N127" s="113">
        <f t="shared" ca="1" si="13"/>
        <v>0</v>
      </c>
      <c r="O127" s="113" cm="1">
        <f t="array" aca="1" ref="O127" ca="1">IFERROR(IF($C127="","",INDIRECT($D$2&amp;"!t"&amp;Z127)),IF($C127="","",INDIRECT("'"&amp;$D$2&amp;"'"&amp;"!t"&amp;Z127)))</f>
        <v>0</v>
      </c>
      <c r="Q127" s="113" cm="1">
        <f t="array" aca="1" ref="Q127" ca="1">IFERROR(IF($C127="","",INDIRECT($D$2&amp;"!v"&amp;Z127)),IF($C127="","",INDIRECT("'"&amp;$D$2&amp;"'"&amp;"!v"&amp;Z127)))</f>
        <v>0</v>
      </c>
      <c r="R127" s="113">
        <f t="shared" ca="1" si="14"/>
        <v>0</v>
      </c>
      <c r="S127" s="113" cm="1">
        <f t="array" aca="1" ref="S127" ca="1">IFERROR(IF($C127="","",INDIRECT($D$2&amp;"!x"&amp;Z127)),IF($C127="","",INDIRECT("'"&amp;$D$2&amp;"'"&amp;"!x"&amp;Z127)))</f>
        <v>0</v>
      </c>
      <c r="U127" s="113" cm="1">
        <f t="array" aca="1" ref="U127" ca="1">IFERROR(IF($C127="","",INDIRECT($D$2&amp;"!z"&amp;Z127)),IF($C127="","",INDIRECT("'"&amp;$D$2&amp;"'"&amp;"!z"&amp;Z127)))</f>
        <v>0</v>
      </c>
      <c r="V127" s="113">
        <f t="shared" ca="1" si="15"/>
        <v>0</v>
      </c>
      <c r="W127" s="113" cm="1">
        <f t="array" aca="1" ref="W127" ca="1">IFERROR(IF($C127="","",INDIRECT($D$2&amp;"!ab"&amp;Z127)),IF($C127="","",INDIRECT("'"&amp;$D$2&amp;"'"&amp;"!ab"&amp;Z127)))</f>
        <v>0</v>
      </c>
      <c r="X127" s="113"/>
      <c r="Y127" s="113">
        <f t="shared" ca="1" si="16"/>
        <v>0</v>
      </c>
      <c r="Z127" s="35">
        <v>116</v>
      </c>
      <c r="AA127" s="113"/>
      <c r="AB127" s="35">
        <v>116</v>
      </c>
    </row>
    <row r="128" spans="3:28" x14ac:dyDescent="0.25">
      <c r="C128" t="str" cm="1">
        <f t="array" aca="1" ref="C128" ca="1">IFERROR(IF(INDIRECT($D$2&amp;"!B"&amp;Z128)="","",INDIRECT("'"&amp;$D$2&amp;"'"&amp;"!B"&amp;Z128)),IF(INDIRECT("'"&amp;$D$2&amp;"'"&amp;"!B"&amp;Z128)="","",INDIRECT("'"&amp;$D$2&amp;"'"&amp;"!B"&amp;Z128)))</f>
        <v>Instant Issue JHA Debit Processing</v>
      </c>
      <c r="D128" t="str" cm="1">
        <f t="array" aca="1" ref="D128" ca="1">IFERROR(_xlfn.IFS(C128="","",C128&lt;&gt;"",INDEX(SF_Output!I:I,MATCH(C128,SF_Output!M:M,0))),IFERROR(INDEX(INDIRECT($D$2&amp;"!G:G"),MATCH(C128,INDIRECT($D$2&amp;"!B:B"),0)),INDEX(INDIRECT("'"&amp;$D$2&amp;"'!G:G"),MATCH(C128,INDIRECT("'"&amp;$D$2&amp;"'!B:B"),0))))</f>
        <v>Payments</v>
      </c>
      <c r="E128" t="str" cm="1">
        <f t="array" aca="1" ref="E128" ca="1">IFERROR(IF(C128="","",INDIRECT($D$2&amp;"!F"&amp;Z128)),IF(C128="","",INDIRECT("'"&amp;$D$2&amp;"'"&amp;"!F"&amp;Z128)))</f>
        <v>Included</v>
      </c>
      <c r="F128" t="str" cm="1">
        <f t="array" aca="1" ref="F128" ca="1">IFERROR(IF(C128="","",INDIRECT($D$2&amp;"!ak"&amp;Z128)),IF(C128="","",INDIRECT("'"&amp;$D$2&amp;"'"&amp;"!ak"&amp;Z128)))</f>
        <v/>
      </c>
      <c r="G128" cm="1">
        <f t="array" aca="1" ref="G128" ca="1">IFERROR(INDIRECT($D$2&amp;"!h"&amp;Z128),INDIRECT("'"&amp;$D$2&amp;"'"&amp;"!h"&amp;Z128))</f>
        <v>1</v>
      </c>
      <c r="H128" s="125" t="str" cm="1">
        <f t="array" aca="1" ref="H128" ca="1">IFERROR(INDIRECT($D$2&amp;"!i"&amp;Z128),INDIRECT("'"&amp;$D$2&amp;"'"&amp;"!i"&amp;Z128))</f>
        <v/>
      </c>
      <c r="I128" s="113" cm="1">
        <f t="array" aca="1" ref="I128" ca="1">IFERROR(IF($C128="","",INDIRECT($D$2&amp;"!j"&amp;$Z128)+INDIRECT($D$2&amp;"!n"&amp;$Z128)),IF($C128="","",INDIRECT("'"&amp;$D$2&amp;"'"&amp;"!j"&amp;$Z128)+INDIRECT("'"&amp;$D$2&amp;"'"&amp;"!n"&amp;$Z128)))</f>
        <v>4500</v>
      </c>
      <c r="J128" s="113">
        <f t="shared" ca="1" si="12"/>
        <v>-4500</v>
      </c>
      <c r="K128" s="113" cm="1">
        <f t="array" aca="1" ref="K128" ca="1">IFERROR(IF($C128="","",INDIRECT($D$2&amp;"!l"&amp;$Z128)+INDIRECT($D$2&amp;"!p"&amp;$Z128)),IF($C128="","",INDIRECT("'"&amp;$D$2&amp;"'"&amp;"!l"&amp;$Z128)+INDIRECT("'"&amp;$D$2&amp;"'"&amp;"!p"&amp;$Z128)))</f>
        <v>0</v>
      </c>
      <c r="M128" s="113" cm="1">
        <f t="array" aca="1" ref="M128" ca="1">IFERROR(IF($C128="","",INDIRECT($D$2&amp;"!r"&amp;Z128)),IF($C128="","",INDIRECT("'"&amp;$D$2&amp;"'"&amp;"!r"&amp;Z128)))</f>
        <v>0</v>
      </c>
      <c r="N128" s="113">
        <f t="shared" ca="1" si="13"/>
        <v>0</v>
      </c>
      <c r="O128" s="113" cm="1">
        <f t="array" aca="1" ref="O128" ca="1">IFERROR(IF($C128="","",INDIRECT($D$2&amp;"!t"&amp;Z128)),IF($C128="","",INDIRECT("'"&amp;$D$2&amp;"'"&amp;"!t"&amp;Z128)))</f>
        <v>0</v>
      </c>
      <c r="Q128" s="113" cm="1">
        <f t="array" aca="1" ref="Q128" ca="1">IFERROR(IF($C128="","",INDIRECT($D$2&amp;"!v"&amp;Z128)),IF($C128="","",INDIRECT("'"&amp;$D$2&amp;"'"&amp;"!v"&amp;Z128)))</f>
        <v>75</v>
      </c>
      <c r="R128" s="113">
        <f t="shared" ca="1" si="14"/>
        <v>0</v>
      </c>
      <c r="S128" s="113" cm="1">
        <f t="array" aca="1" ref="S128" ca="1">IFERROR(IF($C128="","",INDIRECT($D$2&amp;"!x"&amp;Z128)),IF($C128="","",INDIRECT("'"&amp;$D$2&amp;"'"&amp;"!x"&amp;Z128)))</f>
        <v>75</v>
      </c>
      <c r="U128" s="113" cm="1">
        <f t="array" aca="1" ref="U128" ca="1">IFERROR(IF($C128="","",INDIRECT($D$2&amp;"!z"&amp;Z128)),IF($C128="","",INDIRECT("'"&amp;$D$2&amp;"'"&amp;"!z"&amp;Z128)))</f>
        <v>0</v>
      </c>
      <c r="V128" s="113">
        <f t="shared" ca="1" si="15"/>
        <v>0</v>
      </c>
      <c r="W128" s="113" cm="1">
        <f t="array" aca="1" ref="W128" ca="1">IFERROR(IF($C128="","",INDIRECT($D$2&amp;"!ab"&amp;Z128)),IF($C128="","",INDIRECT("'"&amp;$D$2&amp;"'"&amp;"!ab"&amp;Z128)))</f>
        <v>0</v>
      </c>
      <c r="X128" s="113"/>
      <c r="Y128" s="113">
        <f t="shared" ca="1" si="16"/>
        <v>75</v>
      </c>
      <c r="Z128" s="35">
        <v>117</v>
      </c>
      <c r="AA128" s="113"/>
      <c r="AB128" s="35">
        <v>117</v>
      </c>
    </row>
    <row r="129" spans="3:28" x14ac:dyDescent="0.25">
      <c r="C129" t="str" cm="1">
        <f t="array" aca="1" ref="C129" ca="1">IFERROR(IF(INDIRECT($D$2&amp;"!B"&amp;Z129)="","",INDIRECT("'"&amp;$D$2&amp;"'"&amp;"!B"&amp;Z129)),IF(INDIRECT("'"&amp;$D$2&amp;"'"&amp;"!B"&amp;Z129)="","",INDIRECT("'"&amp;$D$2&amp;"'"&amp;"!B"&amp;Z129)))</f>
        <v>CPU Transmissions, per file JHA Debit Processing</v>
      </c>
      <c r="D129" t="str" cm="1">
        <f t="array" aca="1" ref="D129" ca="1">IFERROR(_xlfn.IFS(C129="","",C129&lt;&gt;"",INDEX(SF_Output!I:I,MATCH(C129,SF_Output!M:M,0))),IFERROR(INDEX(INDIRECT($D$2&amp;"!G:G"),MATCH(C129,INDIRECT($D$2&amp;"!B:B"),0)),INDEX(INDIRECT("'"&amp;$D$2&amp;"'!G:G"),MATCH(C129,INDIRECT("'"&amp;$D$2&amp;"'!B:B"),0))))</f>
        <v>Payments</v>
      </c>
      <c r="E129" t="str" cm="1">
        <f t="array" aca="1" ref="E129" ca="1">IFERROR(IF(C129="","",INDIRECT($D$2&amp;"!F"&amp;Z129)),IF(C129="","",INDIRECT("'"&amp;$D$2&amp;"'"&amp;"!F"&amp;Z129)))</f>
        <v>Included</v>
      </c>
      <c r="F129" t="str" cm="1">
        <f t="array" aca="1" ref="F129" ca="1">IFERROR(IF(C129="","",INDIRECT($D$2&amp;"!ak"&amp;Z129)),IF(C129="","",INDIRECT("'"&amp;$D$2&amp;"'"&amp;"!ak"&amp;Z129)))</f>
        <v/>
      </c>
      <c r="G129" cm="1">
        <f t="array" aca="1" ref="G129" ca="1">IFERROR(INDIRECT($D$2&amp;"!h"&amp;Z129),INDIRECT("'"&amp;$D$2&amp;"'"&amp;"!h"&amp;Z129))</f>
        <v>0</v>
      </c>
      <c r="H129" s="125" t="str" cm="1">
        <f t="array" aca="1" ref="H129" ca="1">IFERROR(INDIRECT($D$2&amp;"!i"&amp;Z129),INDIRECT("'"&amp;$D$2&amp;"'"&amp;"!i"&amp;Z129))</f>
        <v/>
      </c>
      <c r="I129" s="113" cm="1">
        <f t="array" aca="1" ref="I129" ca="1">IFERROR(IF($C129="","",INDIRECT($D$2&amp;"!j"&amp;$Z129)+INDIRECT($D$2&amp;"!n"&amp;$Z129)),IF($C129="","",INDIRECT("'"&amp;$D$2&amp;"'"&amp;"!j"&amp;$Z129)+INDIRECT("'"&amp;$D$2&amp;"'"&amp;"!n"&amp;$Z129)))</f>
        <v>0</v>
      </c>
      <c r="J129" s="113">
        <f t="shared" ca="1" si="12"/>
        <v>0</v>
      </c>
      <c r="K129" s="113" cm="1">
        <f t="array" aca="1" ref="K129" ca="1">IFERROR(IF($C129="","",INDIRECT($D$2&amp;"!l"&amp;$Z129)+INDIRECT($D$2&amp;"!p"&amp;$Z129)),IF($C129="","",INDIRECT("'"&amp;$D$2&amp;"'"&amp;"!l"&amp;$Z129)+INDIRECT("'"&amp;$D$2&amp;"'"&amp;"!p"&amp;$Z129)))</f>
        <v>0</v>
      </c>
      <c r="M129" s="113" cm="1">
        <f t="array" aca="1" ref="M129" ca="1">IFERROR(IF($C129="","",INDIRECT($D$2&amp;"!r"&amp;Z129)),IF($C129="","",INDIRECT("'"&amp;$D$2&amp;"'"&amp;"!r"&amp;Z129)))</f>
        <v>0</v>
      </c>
      <c r="N129" s="113">
        <f t="shared" ca="1" si="13"/>
        <v>0</v>
      </c>
      <c r="O129" s="113" cm="1">
        <f t="array" aca="1" ref="O129" ca="1">IFERROR(IF($C129="","",INDIRECT($D$2&amp;"!t"&amp;Z129)),IF($C129="","",INDIRECT("'"&amp;$D$2&amp;"'"&amp;"!t"&amp;Z129)))</f>
        <v>0</v>
      </c>
      <c r="Q129" s="113" cm="1">
        <f t="array" aca="1" ref="Q129" ca="1">IFERROR(IF($C129="","",INDIRECT($D$2&amp;"!v"&amp;Z129)),IF($C129="","",INDIRECT("'"&amp;$D$2&amp;"'"&amp;"!v"&amp;Z129)))</f>
        <v>0</v>
      </c>
      <c r="R129" s="113">
        <f t="shared" ca="1" si="14"/>
        <v>0</v>
      </c>
      <c r="S129" s="113" cm="1">
        <f t="array" aca="1" ref="S129" ca="1">IFERROR(IF($C129="","",INDIRECT($D$2&amp;"!x"&amp;Z129)),IF($C129="","",INDIRECT("'"&amp;$D$2&amp;"'"&amp;"!x"&amp;Z129)))</f>
        <v>0</v>
      </c>
      <c r="U129" s="113" cm="1">
        <f t="array" aca="1" ref="U129" ca="1">IFERROR(IF($C129="","",INDIRECT($D$2&amp;"!z"&amp;Z129)),IF($C129="","",INDIRECT("'"&amp;$D$2&amp;"'"&amp;"!z"&amp;Z129)))</f>
        <v>0</v>
      </c>
      <c r="V129" s="113">
        <f t="shared" ca="1" si="15"/>
        <v>0</v>
      </c>
      <c r="W129" s="113" cm="1">
        <f t="array" aca="1" ref="W129" ca="1">IFERROR(IF($C129="","",INDIRECT($D$2&amp;"!ab"&amp;Z129)),IF($C129="","",INDIRECT("'"&amp;$D$2&amp;"'"&amp;"!ab"&amp;Z129)))</f>
        <v>0</v>
      </c>
      <c r="X129" s="113"/>
      <c r="Y129" s="113">
        <f t="shared" ca="1" si="16"/>
        <v>0</v>
      </c>
      <c r="Z129" s="35">
        <v>118</v>
      </c>
      <c r="AA129" s="113"/>
      <c r="AB129" s="35">
        <v>118</v>
      </c>
    </row>
    <row r="130" spans="3:28" x14ac:dyDescent="0.25">
      <c r="C130" t="str" cm="1">
        <f t="array" aca="1" ref="C130" ca="1">IFERROR(IF(INDIRECT($D$2&amp;"!B"&amp;Z130)="","",INDIRECT("'"&amp;$D$2&amp;"'"&amp;"!B"&amp;Z130)),IF(INDIRECT("'"&amp;$D$2&amp;"'"&amp;"!B"&amp;Z130)="","",INDIRECT("'"&amp;$D$2&amp;"'"&amp;"!B"&amp;Z130)))</f>
        <v>Report Archival Pages JHA Debit Processing</v>
      </c>
      <c r="D130" t="str" cm="1">
        <f t="array" aca="1" ref="D130" ca="1">IFERROR(_xlfn.IFS(C130="","",C130&lt;&gt;"",INDEX(SF_Output!I:I,MATCH(C130,SF_Output!M:M,0))),IFERROR(INDEX(INDIRECT($D$2&amp;"!G:G"),MATCH(C130,INDIRECT($D$2&amp;"!B:B"),0)),INDEX(INDIRECT("'"&amp;$D$2&amp;"'!G:G"),MATCH(C130,INDIRECT("'"&amp;$D$2&amp;"'!B:B"),0))))</f>
        <v>Payments</v>
      </c>
      <c r="E130" t="str" cm="1">
        <f t="array" aca="1" ref="E130" ca="1">IFERROR(IF(C130="","",INDIRECT($D$2&amp;"!F"&amp;Z130)),IF(C130="","",INDIRECT("'"&amp;$D$2&amp;"'"&amp;"!F"&amp;Z130)))</f>
        <v>Included</v>
      </c>
      <c r="F130" t="str" cm="1">
        <f t="array" aca="1" ref="F130" ca="1">IFERROR(IF(C130="","",INDIRECT($D$2&amp;"!ak"&amp;Z130)),IF(C130="","",INDIRECT("'"&amp;$D$2&amp;"'"&amp;"!ak"&amp;Z130)))</f>
        <v/>
      </c>
      <c r="G130" cm="1">
        <f t="array" aca="1" ref="G130" ca="1">IFERROR(INDIRECT($D$2&amp;"!h"&amp;Z130),INDIRECT("'"&amp;$D$2&amp;"'"&amp;"!h"&amp;Z130))</f>
        <v>0</v>
      </c>
      <c r="H130" s="125" t="str" cm="1">
        <f t="array" aca="1" ref="H130" ca="1">IFERROR(INDIRECT($D$2&amp;"!i"&amp;Z130),INDIRECT("'"&amp;$D$2&amp;"'"&amp;"!i"&amp;Z130))</f>
        <v/>
      </c>
      <c r="I130" s="113" cm="1">
        <f t="array" aca="1" ref="I130" ca="1">IFERROR(IF($C130="","",INDIRECT($D$2&amp;"!j"&amp;$Z130)+INDIRECT($D$2&amp;"!n"&amp;$Z130)),IF($C130="","",INDIRECT("'"&amp;$D$2&amp;"'"&amp;"!j"&amp;$Z130)+INDIRECT("'"&amp;$D$2&amp;"'"&amp;"!n"&amp;$Z130)))</f>
        <v>0</v>
      </c>
      <c r="J130" s="113">
        <f t="shared" ca="1" si="12"/>
        <v>0</v>
      </c>
      <c r="K130" s="113" cm="1">
        <f t="array" aca="1" ref="K130" ca="1">IFERROR(IF($C130="","",INDIRECT($D$2&amp;"!l"&amp;$Z130)+INDIRECT($D$2&amp;"!p"&amp;$Z130)),IF($C130="","",INDIRECT("'"&amp;$D$2&amp;"'"&amp;"!l"&amp;$Z130)+INDIRECT("'"&amp;$D$2&amp;"'"&amp;"!p"&amp;$Z130)))</f>
        <v>0</v>
      </c>
      <c r="M130" s="113" cm="1">
        <f t="array" aca="1" ref="M130" ca="1">IFERROR(IF($C130="","",INDIRECT($D$2&amp;"!r"&amp;Z130)),IF($C130="","",INDIRECT("'"&amp;$D$2&amp;"'"&amp;"!r"&amp;Z130)))</f>
        <v>0</v>
      </c>
      <c r="N130" s="113">
        <f t="shared" ca="1" si="13"/>
        <v>0</v>
      </c>
      <c r="O130" s="113" cm="1">
        <f t="array" aca="1" ref="O130" ca="1">IFERROR(IF($C130="","",INDIRECT($D$2&amp;"!t"&amp;Z130)),IF($C130="","",INDIRECT("'"&amp;$D$2&amp;"'"&amp;"!t"&amp;Z130)))</f>
        <v>0</v>
      </c>
      <c r="Q130" s="113" cm="1">
        <f t="array" aca="1" ref="Q130" ca="1">IFERROR(IF($C130="","",INDIRECT($D$2&amp;"!v"&amp;Z130)),IF($C130="","",INDIRECT("'"&amp;$D$2&amp;"'"&amp;"!v"&amp;Z130)))</f>
        <v>0</v>
      </c>
      <c r="R130" s="113">
        <f t="shared" ca="1" si="14"/>
        <v>0</v>
      </c>
      <c r="S130" s="113" cm="1">
        <f t="array" aca="1" ref="S130" ca="1">IFERROR(IF($C130="","",INDIRECT($D$2&amp;"!x"&amp;Z130)),IF($C130="","",INDIRECT("'"&amp;$D$2&amp;"'"&amp;"!x"&amp;Z130)))</f>
        <v>0</v>
      </c>
      <c r="U130" s="113" cm="1">
        <f t="array" aca="1" ref="U130" ca="1">IFERROR(IF($C130="","",INDIRECT($D$2&amp;"!z"&amp;Z130)),IF($C130="","",INDIRECT("'"&amp;$D$2&amp;"'"&amp;"!z"&amp;Z130)))</f>
        <v>0</v>
      </c>
      <c r="V130" s="113">
        <f t="shared" ca="1" si="15"/>
        <v>0</v>
      </c>
      <c r="W130" s="113" cm="1">
        <f t="array" aca="1" ref="W130" ca="1">IFERROR(IF($C130="","",INDIRECT($D$2&amp;"!ab"&amp;Z130)),IF($C130="","",INDIRECT("'"&amp;$D$2&amp;"'"&amp;"!ab"&amp;Z130)))</f>
        <v>0</v>
      </c>
      <c r="X130" s="113"/>
      <c r="Y130" s="113">
        <f t="shared" ca="1" si="16"/>
        <v>0</v>
      </c>
      <c r="Z130" s="35">
        <v>119</v>
      </c>
      <c r="AA130" s="113"/>
      <c r="AB130" s="35">
        <v>119</v>
      </c>
    </row>
    <row r="131" spans="3:28" x14ac:dyDescent="0.25">
      <c r="C131" t="str" cm="1">
        <f t="array" aca="1" ref="C131" ca="1">IFERROR(IF(INDIRECT($D$2&amp;"!B"&amp;Z131)="","",INDIRECT("'"&amp;$D$2&amp;"'"&amp;"!B"&amp;Z131)),IF(INDIRECT("'"&amp;$D$2&amp;"'"&amp;"!B"&amp;Z131)="","",INDIRECT("'"&amp;$D$2&amp;"'"&amp;"!B"&amp;Z131)))</f>
        <v>Non-Standard Job Request, per job JHA Debit Processing</v>
      </c>
      <c r="D131" t="str" cm="1">
        <f t="array" aca="1" ref="D131" ca="1">IFERROR(_xlfn.IFS(C131="","",C131&lt;&gt;"",INDEX(SF_Output!I:I,MATCH(C131,SF_Output!M:M,0))),IFERROR(INDEX(INDIRECT($D$2&amp;"!G:G"),MATCH(C131,INDIRECT($D$2&amp;"!B:B"),0)),INDEX(INDIRECT("'"&amp;$D$2&amp;"'!G:G"),MATCH(C131,INDIRECT("'"&amp;$D$2&amp;"'!B:B"),0))))</f>
        <v>Payments</v>
      </c>
      <c r="E131" t="str" cm="1">
        <f t="array" aca="1" ref="E131" ca="1">IFERROR(IF(C131="","",INDIRECT($D$2&amp;"!F"&amp;Z131)),IF(C131="","",INDIRECT("'"&amp;$D$2&amp;"'"&amp;"!F"&amp;Z131)))</f>
        <v>Included</v>
      </c>
      <c r="F131" t="str" cm="1">
        <f t="array" aca="1" ref="F131" ca="1">IFERROR(IF(C131="","",INDIRECT($D$2&amp;"!ak"&amp;Z131)),IF(C131="","",INDIRECT("'"&amp;$D$2&amp;"'"&amp;"!ak"&amp;Z131)))</f>
        <v/>
      </c>
      <c r="G131" cm="1">
        <f t="array" aca="1" ref="G131" ca="1">IFERROR(INDIRECT($D$2&amp;"!h"&amp;Z131),INDIRECT("'"&amp;$D$2&amp;"'"&amp;"!h"&amp;Z131))</f>
        <v>0</v>
      </c>
      <c r="H131" s="125" t="str" cm="1">
        <f t="array" aca="1" ref="H131" ca="1">IFERROR(INDIRECT($D$2&amp;"!i"&amp;Z131),INDIRECT("'"&amp;$D$2&amp;"'"&amp;"!i"&amp;Z131))</f>
        <v/>
      </c>
      <c r="I131" s="113" cm="1">
        <f t="array" aca="1" ref="I131" ca="1">IFERROR(IF($C131="","",INDIRECT($D$2&amp;"!j"&amp;$Z131)+INDIRECT($D$2&amp;"!n"&amp;$Z131)),IF($C131="","",INDIRECT("'"&amp;$D$2&amp;"'"&amp;"!j"&amp;$Z131)+INDIRECT("'"&amp;$D$2&amp;"'"&amp;"!n"&amp;$Z131)))</f>
        <v>0</v>
      </c>
      <c r="J131" s="113">
        <f t="shared" ca="1" si="12"/>
        <v>0</v>
      </c>
      <c r="K131" s="113" cm="1">
        <f t="array" aca="1" ref="K131" ca="1">IFERROR(IF($C131="","",INDIRECT($D$2&amp;"!l"&amp;$Z131)+INDIRECT($D$2&amp;"!p"&amp;$Z131)),IF($C131="","",INDIRECT("'"&amp;$D$2&amp;"'"&amp;"!l"&amp;$Z131)+INDIRECT("'"&amp;$D$2&amp;"'"&amp;"!p"&amp;$Z131)))</f>
        <v>0</v>
      </c>
      <c r="M131" s="113" cm="1">
        <f t="array" aca="1" ref="M131" ca="1">IFERROR(IF($C131="","",INDIRECT($D$2&amp;"!r"&amp;Z131)),IF($C131="","",INDIRECT("'"&amp;$D$2&amp;"'"&amp;"!r"&amp;Z131)))</f>
        <v>0</v>
      </c>
      <c r="N131" s="113">
        <f t="shared" ca="1" si="13"/>
        <v>0</v>
      </c>
      <c r="O131" s="113" cm="1">
        <f t="array" aca="1" ref="O131" ca="1">IFERROR(IF($C131="","",INDIRECT($D$2&amp;"!t"&amp;Z131)),IF($C131="","",INDIRECT("'"&amp;$D$2&amp;"'"&amp;"!t"&amp;Z131)))</f>
        <v>0</v>
      </c>
      <c r="Q131" s="113" cm="1">
        <f t="array" aca="1" ref="Q131" ca="1">IFERROR(IF($C131="","",INDIRECT($D$2&amp;"!v"&amp;Z131)),IF($C131="","",INDIRECT("'"&amp;$D$2&amp;"'"&amp;"!v"&amp;Z131)))</f>
        <v>0</v>
      </c>
      <c r="R131" s="113">
        <f t="shared" ca="1" si="14"/>
        <v>0</v>
      </c>
      <c r="S131" s="113" cm="1">
        <f t="array" aca="1" ref="S131" ca="1">IFERROR(IF($C131="","",INDIRECT($D$2&amp;"!x"&amp;Z131)),IF($C131="","",INDIRECT("'"&amp;$D$2&amp;"'"&amp;"!x"&amp;Z131)))</f>
        <v>0</v>
      </c>
      <c r="U131" s="113" cm="1">
        <f t="array" aca="1" ref="U131" ca="1">IFERROR(IF($C131="","",INDIRECT($D$2&amp;"!z"&amp;Z131)),IF($C131="","",INDIRECT("'"&amp;$D$2&amp;"'"&amp;"!z"&amp;Z131)))</f>
        <v>0</v>
      </c>
      <c r="V131" s="113">
        <f t="shared" ca="1" si="15"/>
        <v>0</v>
      </c>
      <c r="W131" s="113" cm="1">
        <f t="array" aca="1" ref="W131" ca="1">IFERROR(IF($C131="","",INDIRECT($D$2&amp;"!ab"&amp;Z131)),IF($C131="","",INDIRECT("'"&amp;$D$2&amp;"'"&amp;"!ab"&amp;Z131)))</f>
        <v>0</v>
      </c>
      <c r="X131" s="113"/>
      <c r="Y131" s="113">
        <f t="shared" ca="1" si="16"/>
        <v>0</v>
      </c>
      <c r="Z131" s="35">
        <v>120</v>
      </c>
      <c r="AA131" s="113"/>
      <c r="AB131" s="35">
        <v>120</v>
      </c>
    </row>
    <row r="132" spans="3:28" x14ac:dyDescent="0.25">
      <c r="C132" t="str" cm="1">
        <f t="array" aca="1" ref="C132" ca="1">IFERROR(IF(INDIRECT($D$2&amp;"!B"&amp;Z132)="","",INDIRECT("'"&amp;$D$2&amp;"'"&amp;"!B"&amp;Z132)),IF(INDIRECT("'"&amp;$D$2&amp;"'"&amp;"!B"&amp;Z132)="","",INDIRECT("'"&amp;$D$2&amp;"'"&amp;"!B"&amp;Z132)))</f>
        <v>CPS Dual Interface Cards Fee Schedule JHA Debit Processing</v>
      </c>
      <c r="D132" t="str" cm="1">
        <f t="array" aca="1" ref="D132" ca="1">IFERROR(_xlfn.IFS(C132="","",C132&lt;&gt;"",INDEX(SF_Output!I:I,MATCH(C132,SF_Output!M:M,0))),IFERROR(INDEX(INDIRECT($D$2&amp;"!G:G"),MATCH(C132,INDIRECT($D$2&amp;"!B:B"),0)),INDEX(INDIRECT("'"&amp;$D$2&amp;"'!G:G"),MATCH(C132,INDIRECT("'"&amp;$D$2&amp;"'!B:B"),0))))</f>
        <v>Payments</v>
      </c>
      <c r="E132" t="str" cm="1">
        <f t="array" aca="1" ref="E132" ca="1">IFERROR(IF(C132="","",INDIRECT($D$2&amp;"!F"&amp;Z132)),IF(C132="","",INDIRECT("'"&amp;$D$2&amp;"'"&amp;"!F"&amp;Z132)))</f>
        <v>Included</v>
      </c>
      <c r="F132" t="str" cm="1">
        <f t="array" aca="1" ref="F132" ca="1">IFERROR(IF(C132="","",INDIRECT($D$2&amp;"!ak"&amp;Z132)),IF(C132="","",INDIRECT("'"&amp;$D$2&amp;"'"&amp;"!ak"&amp;Z132)))</f>
        <v/>
      </c>
      <c r="G132" cm="1">
        <f t="array" aca="1" ref="G132" ca="1">IFERROR(INDIRECT($D$2&amp;"!h"&amp;Z132),INDIRECT("'"&amp;$D$2&amp;"'"&amp;"!h"&amp;Z132))</f>
        <v>1</v>
      </c>
      <c r="H132" s="125" t="str" cm="1">
        <f t="array" aca="1" ref="H132" ca="1">IFERROR(INDIRECT($D$2&amp;"!i"&amp;Z132),INDIRECT("'"&amp;$D$2&amp;"'"&amp;"!i"&amp;Z132))</f>
        <v/>
      </c>
      <c r="I132" s="113" cm="1">
        <f t="array" aca="1" ref="I132" ca="1">IFERROR(IF($C132="","",INDIRECT($D$2&amp;"!j"&amp;$Z132)+INDIRECT($D$2&amp;"!n"&amp;$Z132)),IF($C132="","",INDIRECT("'"&amp;$D$2&amp;"'"&amp;"!j"&amp;$Z132)+INDIRECT("'"&amp;$D$2&amp;"'"&amp;"!n"&amp;$Z132)))</f>
        <v>16000</v>
      </c>
      <c r="J132" s="113">
        <f t="shared" ca="1" si="12"/>
        <v>-16000</v>
      </c>
      <c r="K132" s="113" cm="1">
        <f t="array" aca="1" ref="K132" ca="1">IFERROR(IF($C132="","",INDIRECT($D$2&amp;"!l"&amp;$Z132)+INDIRECT($D$2&amp;"!p"&amp;$Z132)),IF($C132="","",INDIRECT("'"&amp;$D$2&amp;"'"&amp;"!l"&amp;$Z132)+INDIRECT("'"&amp;$D$2&amp;"'"&amp;"!p"&amp;$Z132)))</f>
        <v>0</v>
      </c>
      <c r="M132" s="113" cm="1">
        <f t="array" aca="1" ref="M132" ca="1">IFERROR(IF($C132="","",INDIRECT($D$2&amp;"!r"&amp;Z132)),IF($C132="","",INDIRECT("'"&amp;$D$2&amp;"'"&amp;"!r"&amp;Z132)))</f>
        <v>0</v>
      </c>
      <c r="N132" s="113">
        <f t="shared" ca="1" si="13"/>
        <v>0</v>
      </c>
      <c r="O132" s="113" cm="1">
        <f t="array" aca="1" ref="O132" ca="1">IFERROR(IF($C132="","",INDIRECT($D$2&amp;"!t"&amp;Z132)),IF($C132="","",INDIRECT("'"&amp;$D$2&amp;"'"&amp;"!t"&amp;Z132)))</f>
        <v>0</v>
      </c>
      <c r="Q132" s="113" cm="1">
        <f t="array" aca="1" ref="Q132" ca="1">IFERROR(IF($C132="","",INDIRECT($D$2&amp;"!v"&amp;Z132)),IF($C132="","",INDIRECT("'"&amp;$D$2&amp;"'"&amp;"!v"&amp;Z132)))</f>
        <v>0</v>
      </c>
      <c r="R132" s="113">
        <f t="shared" ca="1" si="14"/>
        <v>0</v>
      </c>
      <c r="S132" s="113" cm="1">
        <f t="array" aca="1" ref="S132" ca="1">IFERROR(IF($C132="","",INDIRECT($D$2&amp;"!x"&amp;Z132)),IF($C132="","",INDIRECT("'"&amp;$D$2&amp;"'"&amp;"!x"&amp;Z132)))</f>
        <v>0</v>
      </c>
      <c r="U132" s="113" cm="1">
        <f t="array" aca="1" ref="U132" ca="1">IFERROR(IF($C132="","",INDIRECT($D$2&amp;"!z"&amp;Z132)),IF($C132="","",INDIRECT("'"&amp;$D$2&amp;"'"&amp;"!z"&amp;Z132)))</f>
        <v>0</v>
      </c>
      <c r="V132" s="113">
        <f t="shared" ca="1" si="15"/>
        <v>0</v>
      </c>
      <c r="W132" s="113" cm="1">
        <f t="array" aca="1" ref="W132" ca="1">IFERROR(IF($C132="","",INDIRECT($D$2&amp;"!ab"&amp;Z132)),IF($C132="","",INDIRECT("'"&amp;$D$2&amp;"'"&amp;"!ab"&amp;Z132)))</f>
        <v>0</v>
      </c>
      <c r="X132" s="113"/>
      <c r="Y132" s="113">
        <f t="shared" ca="1" si="16"/>
        <v>0</v>
      </c>
      <c r="Z132" s="35">
        <v>121</v>
      </c>
      <c r="AA132" s="113"/>
      <c r="AB132" s="35">
        <v>121</v>
      </c>
    </row>
    <row r="133" spans="3:28" x14ac:dyDescent="0.25">
      <c r="C133" t="str" cm="1">
        <f t="array" aca="1" ref="C133" ca="1">IFERROR(IF(INDIRECT($D$2&amp;"!B"&amp;Z133)="","",INDIRECT("'"&amp;$D$2&amp;"'"&amp;"!B"&amp;Z133)),IF(INDIRECT("'"&amp;$D$2&amp;"'"&amp;"!B"&amp;Z133)="","",INDIRECT("'"&amp;$D$2&amp;"'"&amp;"!B"&amp;Z133)))</f>
        <v>CPS Dual Interface Cards Additional Personalization Vendor BIN(s) JHA Debit Processing</v>
      </c>
      <c r="D133" t="str" cm="1">
        <f t="array" aca="1" ref="D133" ca="1">IFERROR(_xlfn.IFS(C133="","",C133&lt;&gt;"",INDEX(SF_Output!I:I,MATCH(C133,SF_Output!M:M,0))),IFERROR(INDEX(INDIRECT($D$2&amp;"!G:G"),MATCH(C133,INDIRECT($D$2&amp;"!B:B"),0)),INDEX(INDIRECT("'"&amp;$D$2&amp;"'!G:G"),MATCH(C133,INDIRECT("'"&amp;$D$2&amp;"'!B:B"),0))))</f>
        <v>Payments</v>
      </c>
      <c r="E133" t="str" cm="1">
        <f t="array" aca="1" ref="E133" ca="1">IFERROR(IF(C133="","",INDIRECT($D$2&amp;"!F"&amp;Z133)),IF(C133="","",INDIRECT("'"&amp;$D$2&amp;"'"&amp;"!F"&amp;Z133)))</f>
        <v>Included</v>
      </c>
      <c r="F133" t="str" cm="1">
        <f t="array" aca="1" ref="F133" ca="1">IFERROR(IF(C133="","",INDIRECT($D$2&amp;"!ak"&amp;Z133)),IF(C133="","",INDIRECT("'"&amp;$D$2&amp;"'"&amp;"!ak"&amp;Z133)))</f>
        <v/>
      </c>
      <c r="G133" cm="1">
        <f t="array" aca="1" ref="G133" ca="1">IFERROR(INDIRECT($D$2&amp;"!h"&amp;Z133),INDIRECT("'"&amp;$D$2&amp;"'"&amp;"!h"&amp;Z133))</f>
        <v>2</v>
      </c>
      <c r="H133" s="125" t="str" cm="1">
        <f t="array" aca="1" ref="H133" ca="1">IFERROR(INDIRECT($D$2&amp;"!i"&amp;Z133),INDIRECT("'"&amp;$D$2&amp;"'"&amp;"!i"&amp;Z133))</f>
        <v/>
      </c>
      <c r="I133" s="113" cm="1">
        <f t="array" aca="1" ref="I133" ca="1">IFERROR(IF($C133="","",INDIRECT($D$2&amp;"!j"&amp;$Z133)+INDIRECT($D$2&amp;"!n"&amp;$Z133)),IF($C133="","",INDIRECT("'"&amp;$D$2&amp;"'"&amp;"!j"&amp;$Z133)+INDIRECT("'"&amp;$D$2&amp;"'"&amp;"!n"&amp;$Z133)))</f>
        <v>3000</v>
      </c>
      <c r="J133" s="113">
        <f t="shared" ca="1" si="12"/>
        <v>-3000</v>
      </c>
      <c r="K133" s="113" cm="1">
        <f t="array" aca="1" ref="K133" ca="1">IFERROR(IF($C133="","",INDIRECT($D$2&amp;"!l"&amp;$Z133)+INDIRECT($D$2&amp;"!p"&amp;$Z133)),IF($C133="","",INDIRECT("'"&amp;$D$2&amp;"'"&amp;"!l"&amp;$Z133)+INDIRECT("'"&amp;$D$2&amp;"'"&amp;"!p"&amp;$Z133)))</f>
        <v>0</v>
      </c>
      <c r="M133" s="113" cm="1">
        <f t="array" aca="1" ref="M133" ca="1">IFERROR(IF($C133="","",INDIRECT($D$2&amp;"!r"&amp;Z133)),IF($C133="","",INDIRECT("'"&amp;$D$2&amp;"'"&amp;"!r"&amp;Z133)))</f>
        <v>0</v>
      </c>
      <c r="N133" s="113">
        <f t="shared" ca="1" si="13"/>
        <v>0</v>
      </c>
      <c r="O133" s="113" cm="1">
        <f t="array" aca="1" ref="O133" ca="1">IFERROR(IF($C133="","",INDIRECT($D$2&amp;"!t"&amp;Z133)),IF($C133="","",INDIRECT("'"&amp;$D$2&amp;"'"&amp;"!t"&amp;Z133)))</f>
        <v>0</v>
      </c>
      <c r="Q133" s="113" cm="1">
        <f t="array" aca="1" ref="Q133" ca="1">IFERROR(IF($C133="","",INDIRECT($D$2&amp;"!v"&amp;Z133)),IF($C133="","",INDIRECT("'"&amp;$D$2&amp;"'"&amp;"!v"&amp;Z133)))</f>
        <v>0</v>
      </c>
      <c r="R133" s="113">
        <f t="shared" ca="1" si="14"/>
        <v>0</v>
      </c>
      <c r="S133" s="113" cm="1">
        <f t="array" aca="1" ref="S133" ca="1">IFERROR(IF($C133="","",INDIRECT($D$2&amp;"!x"&amp;Z133)),IF($C133="","",INDIRECT("'"&amp;$D$2&amp;"'"&amp;"!x"&amp;Z133)))</f>
        <v>0</v>
      </c>
      <c r="U133" s="113" cm="1">
        <f t="array" aca="1" ref="U133" ca="1">IFERROR(IF($C133="","",INDIRECT($D$2&amp;"!z"&amp;Z133)),IF($C133="","",INDIRECT("'"&amp;$D$2&amp;"'"&amp;"!z"&amp;Z133)))</f>
        <v>0</v>
      </c>
      <c r="V133" s="113">
        <f t="shared" ca="1" si="15"/>
        <v>0</v>
      </c>
      <c r="W133" s="113" cm="1">
        <f t="array" aca="1" ref="W133" ca="1">IFERROR(IF($C133="","",INDIRECT($D$2&amp;"!ab"&amp;Z133)),IF($C133="","",INDIRECT("'"&amp;$D$2&amp;"'"&amp;"!ab"&amp;Z133)))</f>
        <v>0</v>
      </c>
      <c r="X133" s="113"/>
      <c r="Y133" s="113">
        <f t="shared" ca="1" si="16"/>
        <v>0</v>
      </c>
      <c r="Z133" s="35">
        <v>122</v>
      </c>
      <c r="AA133" s="113"/>
      <c r="AB133" s="35">
        <v>122</v>
      </c>
    </row>
    <row r="134" spans="3:28" x14ac:dyDescent="0.25">
      <c r="C134" t="str" cm="1">
        <f t="array" aca="1" ref="C134" ca="1">IFERROR(IF(INDIRECT($D$2&amp;"!B"&amp;Z134)="","",INDIRECT("'"&amp;$D$2&amp;"'"&amp;"!B"&amp;Z134)),IF(INDIRECT("'"&amp;$D$2&amp;"'"&amp;"!B"&amp;Z134)="","",INDIRECT("'"&amp;$D$2&amp;"'"&amp;"!B"&amp;Z134)))</f>
        <v>Online ATM &amp; Debit Authorization to CPS Switch Includes 7,000 ATM Transactions per month &amp; 2,50</v>
      </c>
      <c r="D134" t="str" cm="1">
        <f t="array" aca="1" ref="D134" ca="1">IFERROR(_xlfn.IFS(C134="","",C134&lt;&gt;"",INDEX(SF_Output!I:I,MATCH(C134,SF_Output!M:M,0))),IFERROR(INDEX(INDIRECT($D$2&amp;"!G:G"),MATCH(C134,INDIRECT($D$2&amp;"!B:B"),0)),INDEX(INDIRECT("'"&amp;$D$2&amp;"'!G:G"),MATCH(C134,INDIRECT("'"&amp;$D$2&amp;"'!B:B"),0))))</f>
        <v>Payments</v>
      </c>
      <c r="E134" t="str" cm="1">
        <f t="array" aca="1" ref="E134" ca="1">IFERROR(IF(C134="","",INDIRECT($D$2&amp;"!F"&amp;Z134)),IF(C134="","",INDIRECT("'"&amp;$D$2&amp;"'"&amp;"!F"&amp;Z134)))</f>
        <v>Included</v>
      </c>
      <c r="F134" t="str" cm="1">
        <f t="array" aca="1" ref="F134" ca="1">IFERROR(IF(C134="","",INDIRECT($D$2&amp;"!ak"&amp;Z134)),IF(C134="","",INDIRECT("'"&amp;$D$2&amp;"'"&amp;"!ak"&amp;Z134)))</f>
        <v/>
      </c>
      <c r="G134" cm="1">
        <f t="array" aca="1" ref="G134" ca="1">IFERROR(INDIRECT($D$2&amp;"!h"&amp;Z134),INDIRECT("'"&amp;$D$2&amp;"'"&amp;"!h"&amp;Z134))</f>
        <v>1</v>
      </c>
      <c r="H134" s="125" t="str" cm="1">
        <f t="array" aca="1" ref="H134" ca="1">IFERROR(INDIRECT($D$2&amp;"!i"&amp;Z134),INDIRECT("'"&amp;$D$2&amp;"'"&amp;"!i"&amp;Z134))</f>
        <v/>
      </c>
      <c r="I134" s="113" cm="1">
        <f t="array" aca="1" ref="I134" ca="1">IFERROR(IF($C134="","",INDIRECT($D$2&amp;"!j"&amp;$Z134)+INDIRECT($D$2&amp;"!n"&amp;$Z134)),IF($C134="","",INDIRECT("'"&amp;$D$2&amp;"'"&amp;"!j"&amp;$Z134)+INDIRECT("'"&amp;$D$2&amp;"'"&amp;"!n"&amp;$Z134)))</f>
        <v>5500</v>
      </c>
      <c r="J134" s="113">
        <f t="shared" ca="1" si="12"/>
        <v>-5500</v>
      </c>
      <c r="K134" s="113" cm="1">
        <f t="array" aca="1" ref="K134" ca="1">IFERROR(IF($C134="","",INDIRECT($D$2&amp;"!l"&amp;$Z134)+INDIRECT($D$2&amp;"!p"&amp;$Z134)),IF($C134="","",INDIRECT("'"&amp;$D$2&amp;"'"&amp;"!l"&amp;$Z134)+INDIRECT("'"&amp;$D$2&amp;"'"&amp;"!p"&amp;$Z134)))</f>
        <v>0</v>
      </c>
      <c r="M134" s="113" cm="1">
        <f t="array" aca="1" ref="M134" ca="1">IFERROR(IF($C134="","",INDIRECT($D$2&amp;"!r"&amp;Z134)),IF($C134="","",INDIRECT("'"&amp;$D$2&amp;"'"&amp;"!r"&amp;Z134)))</f>
        <v>0</v>
      </c>
      <c r="N134" s="113">
        <f t="shared" ca="1" si="13"/>
        <v>0</v>
      </c>
      <c r="O134" s="113" cm="1">
        <f t="array" aca="1" ref="O134" ca="1">IFERROR(IF($C134="","",INDIRECT($D$2&amp;"!t"&amp;Z134)),IF($C134="","",INDIRECT("'"&amp;$D$2&amp;"'"&amp;"!t"&amp;Z134)))</f>
        <v>0</v>
      </c>
      <c r="Q134" s="113" cm="1">
        <f t="array" aca="1" ref="Q134" ca="1">IFERROR(IF($C134="","",INDIRECT($D$2&amp;"!v"&amp;Z134)),IF($C134="","",INDIRECT("'"&amp;$D$2&amp;"'"&amp;"!v"&amp;Z134)))</f>
        <v>405</v>
      </c>
      <c r="R134" s="113">
        <f t="shared" ca="1" si="14"/>
        <v>0</v>
      </c>
      <c r="S134" s="113" cm="1">
        <f t="array" aca="1" ref="S134" ca="1">IFERROR(IF($C134="","",INDIRECT($D$2&amp;"!x"&amp;Z134)),IF($C134="","",INDIRECT("'"&amp;$D$2&amp;"'"&amp;"!x"&amp;Z134)))</f>
        <v>405</v>
      </c>
      <c r="U134" s="113" cm="1">
        <f t="array" aca="1" ref="U134" ca="1">IFERROR(IF($C134="","",INDIRECT($D$2&amp;"!z"&amp;Z134)),IF($C134="","",INDIRECT("'"&amp;$D$2&amp;"'"&amp;"!z"&amp;Z134)))</f>
        <v>0</v>
      </c>
      <c r="V134" s="113">
        <f t="shared" ca="1" si="15"/>
        <v>0</v>
      </c>
      <c r="W134" s="113" cm="1">
        <f t="array" aca="1" ref="W134" ca="1">IFERROR(IF($C134="","",INDIRECT($D$2&amp;"!ab"&amp;Z134)),IF($C134="","",INDIRECT("'"&amp;$D$2&amp;"'"&amp;"!ab"&amp;Z134)))</f>
        <v>0</v>
      </c>
      <c r="X134" s="113"/>
      <c r="Y134" s="113">
        <f t="shared" ca="1" si="16"/>
        <v>405</v>
      </c>
      <c r="Z134" s="35">
        <v>123</v>
      </c>
      <c r="AA134" s="113"/>
      <c r="AB134" s="35">
        <v>123</v>
      </c>
    </row>
    <row r="135" spans="3:28" x14ac:dyDescent="0.25">
      <c r="C135" t="str" cm="1">
        <f t="array" aca="1" ref="C135" ca="1">IFERROR(IF(INDIRECT($D$2&amp;"!B"&amp;Z135)="","",INDIRECT("'"&amp;$D$2&amp;"'"&amp;"!B"&amp;Z135)),IF(INDIRECT("'"&amp;$D$2&amp;"'"&amp;"!B"&amp;Z135)="","",INDIRECT("'"&amp;$D$2&amp;"'"&amp;"!B"&amp;Z135)))</f>
        <v>Online ATM Authorizations (to CPS) JHA Debit Processing</v>
      </c>
      <c r="D135" t="str" cm="1">
        <f t="array" aca="1" ref="D135" ca="1">IFERROR(_xlfn.IFS(C135="","",C135&lt;&gt;"",INDEX(SF_Output!I:I,MATCH(C135,SF_Output!M:M,0))),IFERROR(INDEX(INDIRECT($D$2&amp;"!G:G"),MATCH(C135,INDIRECT($D$2&amp;"!B:B"),0)),INDEX(INDIRECT("'"&amp;$D$2&amp;"'!G:G"),MATCH(C135,INDIRECT("'"&amp;$D$2&amp;"'!B:B"),0))))</f>
        <v>Payments</v>
      </c>
      <c r="E135" t="str" cm="1">
        <f t="array" aca="1" ref="E135" ca="1">IFERROR(IF(C135="","",INDIRECT($D$2&amp;"!F"&amp;Z135)),IF(C135="","",INDIRECT("'"&amp;$D$2&amp;"'"&amp;"!F"&amp;Z135)))</f>
        <v>Included</v>
      </c>
      <c r="F135" t="str" cm="1">
        <f t="array" aca="1" ref="F135" ca="1">IFERROR(IF(C135="","",INDIRECT($D$2&amp;"!ak"&amp;Z135)),IF(C135="","",INDIRECT("'"&amp;$D$2&amp;"'"&amp;"!ak"&amp;Z135)))</f>
        <v/>
      </c>
      <c r="G135" cm="1">
        <f t="array" aca="1" ref="G135" ca="1">IFERROR(INDIRECT($D$2&amp;"!h"&amp;Z135),INDIRECT("'"&amp;$D$2&amp;"'"&amp;"!h"&amp;Z135))</f>
        <v>0</v>
      </c>
      <c r="H135" s="125" t="str" cm="1">
        <f t="array" aca="1" ref="H135" ca="1">IFERROR(INDIRECT($D$2&amp;"!i"&amp;Z135),INDIRECT("'"&amp;$D$2&amp;"'"&amp;"!i"&amp;Z135))</f>
        <v/>
      </c>
      <c r="I135" s="113" cm="1">
        <f t="array" aca="1" ref="I135" ca="1">IFERROR(IF($C135="","",INDIRECT($D$2&amp;"!j"&amp;$Z135)+INDIRECT($D$2&amp;"!n"&amp;$Z135)),IF($C135="","",INDIRECT("'"&amp;$D$2&amp;"'"&amp;"!j"&amp;$Z135)+INDIRECT("'"&amp;$D$2&amp;"'"&amp;"!n"&amp;$Z135)))</f>
        <v>0</v>
      </c>
      <c r="J135" s="113">
        <f t="shared" ca="1" si="12"/>
        <v>0</v>
      </c>
      <c r="K135" s="113" cm="1">
        <f t="array" aca="1" ref="K135" ca="1">IFERROR(IF($C135="","",INDIRECT($D$2&amp;"!l"&amp;$Z135)+INDIRECT($D$2&amp;"!p"&amp;$Z135)),IF($C135="","",INDIRECT("'"&amp;$D$2&amp;"'"&amp;"!l"&amp;$Z135)+INDIRECT("'"&amp;$D$2&amp;"'"&amp;"!p"&amp;$Z135)))</f>
        <v>0</v>
      </c>
      <c r="M135" s="113" cm="1">
        <f t="array" aca="1" ref="M135" ca="1">IFERROR(IF($C135="","",INDIRECT($D$2&amp;"!r"&amp;Z135)),IF($C135="","",INDIRECT("'"&amp;$D$2&amp;"'"&amp;"!r"&amp;Z135)))</f>
        <v>0</v>
      </c>
      <c r="N135" s="113">
        <f t="shared" ca="1" si="13"/>
        <v>0</v>
      </c>
      <c r="O135" s="113" cm="1">
        <f t="array" aca="1" ref="O135" ca="1">IFERROR(IF($C135="","",INDIRECT($D$2&amp;"!t"&amp;Z135)),IF($C135="","",INDIRECT("'"&amp;$D$2&amp;"'"&amp;"!t"&amp;Z135)))</f>
        <v>0</v>
      </c>
      <c r="Q135" s="113" cm="1">
        <f t="array" aca="1" ref="Q135" ca="1">IFERROR(IF($C135="","",INDIRECT($D$2&amp;"!v"&amp;Z135)),IF($C135="","",INDIRECT("'"&amp;$D$2&amp;"'"&amp;"!v"&amp;Z135)))</f>
        <v>0</v>
      </c>
      <c r="R135" s="113">
        <f t="shared" ca="1" si="14"/>
        <v>0</v>
      </c>
      <c r="S135" s="113" cm="1">
        <f t="array" aca="1" ref="S135" ca="1">IFERROR(IF($C135="","",INDIRECT($D$2&amp;"!x"&amp;Z135)),IF($C135="","",INDIRECT("'"&amp;$D$2&amp;"'"&amp;"!x"&amp;Z135)))</f>
        <v>0</v>
      </c>
      <c r="U135" s="113" cm="1">
        <f t="array" aca="1" ref="U135" ca="1">IFERROR(IF($C135="","",INDIRECT($D$2&amp;"!z"&amp;Z135)),IF($C135="","",INDIRECT("'"&amp;$D$2&amp;"'"&amp;"!z"&amp;Z135)))</f>
        <v>0</v>
      </c>
      <c r="V135" s="113">
        <f t="shared" ca="1" si="15"/>
        <v>0</v>
      </c>
      <c r="W135" s="113" cm="1">
        <f t="array" aca="1" ref="W135" ca="1">IFERROR(IF($C135="","",INDIRECT($D$2&amp;"!ab"&amp;Z135)),IF($C135="","",INDIRECT("'"&amp;$D$2&amp;"'"&amp;"!ab"&amp;Z135)))</f>
        <v>0</v>
      </c>
      <c r="X135" s="113"/>
      <c r="Y135" s="113">
        <f t="shared" ca="1" si="16"/>
        <v>0</v>
      </c>
      <c r="Z135" s="35">
        <v>124</v>
      </c>
      <c r="AA135" s="113"/>
      <c r="AB135" s="35">
        <v>124</v>
      </c>
    </row>
    <row r="136" spans="3:28" x14ac:dyDescent="0.25">
      <c r="C136" t="str" cm="1">
        <f t="array" aca="1" ref="C136" ca="1">IFERROR(IF(INDIRECT($D$2&amp;"!B"&amp;Z136)="","",INDIRECT("'"&amp;$D$2&amp;"'"&amp;"!B"&amp;Z136)),IF(INDIRECT("'"&amp;$D$2&amp;"'"&amp;"!B"&amp;Z136)="","",INDIRECT("'"&amp;$D$2&amp;"'"&amp;"!B"&amp;Z136)))</f>
        <v>Online Debit Authorizations (to CPS) JHA Debit Processing</v>
      </c>
      <c r="D136" t="str" cm="1">
        <f t="array" aca="1" ref="D136" ca="1">IFERROR(_xlfn.IFS(C136="","",C136&lt;&gt;"",INDEX(SF_Output!I:I,MATCH(C136,SF_Output!M:M,0))),IFERROR(INDEX(INDIRECT($D$2&amp;"!G:G"),MATCH(C136,INDIRECT($D$2&amp;"!B:B"),0)),INDEX(INDIRECT("'"&amp;$D$2&amp;"'!G:G"),MATCH(C136,INDIRECT("'"&amp;$D$2&amp;"'!B:B"),0))))</f>
        <v>Payments</v>
      </c>
      <c r="E136" t="str" cm="1">
        <f t="array" aca="1" ref="E136" ca="1">IFERROR(IF(C136="","",INDIRECT($D$2&amp;"!F"&amp;Z136)),IF(C136="","",INDIRECT("'"&amp;$D$2&amp;"'"&amp;"!F"&amp;Z136)))</f>
        <v>Included</v>
      </c>
      <c r="F136" t="str" cm="1">
        <f t="array" aca="1" ref="F136" ca="1">IFERROR(IF(C136="","",INDIRECT($D$2&amp;"!ak"&amp;Z136)),IF(C136="","",INDIRECT("'"&amp;$D$2&amp;"'"&amp;"!ak"&amp;Z136)))</f>
        <v/>
      </c>
      <c r="G136" cm="1">
        <f t="array" aca="1" ref="G136" ca="1">IFERROR(INDIRECT($D$2&amp;"!h"&amp;Z136),INDIRECT("'"&amp;$D$2&amp;"'"&amp;"!h"&amp;Z136))</f>
        <v>0</v>
      </c>
      <c r="H136" s="125" t="str" cm="1">
        <f t="array" aca="1" ref="H136" ca="1">IFERROR(INDIRECT($D$2&amp;"!i"&amp;Z136),INDIRECT("'"&amp;$D$2&amp;"'"&amp;"!i"&amp;Z136))</f>
        <v/>
      </c>
      <c r="I136" s="113" cm="1">
        <f t="array" aca="1" ref="I136" ca="1">IFERROR(IF($C136="","",INDIRECT($D$2&amp;"!j"&amp;$Z136)+INDIRECT($D$2&amp;"!n"&amp;$Z136)),IF($C136="","",INDIRECT("'"&amp;$D$2&amp;"'"&amp;"!j"&amp;$Z136)+INDIRECT("'"&amp;$D$2&amp;"'"&amp;"!n"&amp;$Z136)))</f>
        <v>0</v>
      </c>
      <c r="J136" s="113">
        <f t="shared" ca="1" si="12"/>
        <v>0</v>
      </c>
      <c r="K136" s="113" cm="1">
        <f t="array" aca="1" ref="K136" ca="1">IFERROR(IF($C136="","",INDIRECT($D$2&amp;"!l"&amp;$Z136)+INDIRECT($D$2&amp;"!p"&amp;$Z136)),IF($C136="","",INDIRECT("'"&amp;$D$2&amp;"'"&amp;"!l"&amp;$Z136)+INDIRECT("'"&amp;$D$2&amp;"'"&amp;"!p"&amp;$Z136)))</f>
        <v>0</v>
      </c>
      <c r="M136" s="113" cm="1">
        <f t="array" aca="1" ref="M136" ca="1">IFERROR(IF($C136="","",INDIRECT($D$2&amp;"!r"&amp;Z136)),IF($C136="","",INDIRECT("'"&amp;$D$2&amp;"'"&amp;"!r"&amp;Z136)))</f>
        <v>0</v>
      </c>
      <c r="N136" s="113">
        <f t="shared" ca="1" si="13"/>
        <v>0</v>
      </c>
      <c r="O136" s="113" cm="1">
        <f t="array" aca="1" ref="O136" ca="1">IFERROR(IF($C136="","",INDIRECT($D$2&amp;"!t"&amp;Z136)),IF($C136="","",INDIRECT("'"&amp;$D$2&amp;"'"&amp;"!t"&amp;Z136)))</f>
        <v>0</v>
      </c>
      <c r="Q136" s="113" cm="1">
        <f t="array" aca="1" ref="Q136" ca="1">IFERROR(IF($C136="","",INDIRECT($D$2&amp;"!v"&amp;Z136)),IF($C136="","",INDIRECT("'"&amp;$D$2&amp;"'"&amp;"!v"&amp;Z136)))</f>
        <v>0</v>
      </c>
      <c r="R136" s="113">
        <f t="shared" ca="1" si="14"/>
        <v>0</v>
      </c>
      <c r="S136" s="113" cm="1">
        <f t="array" aca="1" ref="S136" ca="1">IFERROR(IF($C136="","",INDIRECT($D$2&amp;"!x"&amp;Z136)),IF($C136="","",INDIRECT("'"&amp;$D$2&amp;"'"&amp;"!x"&amp;Z136)))</f>
        <v>0</v>
      </c>
      <c r="U136" s="113" cm="1">
        <f t="array" aca="1" ref="U136" ca="1">IFERROR(IF($C136="","",INDIRECT($D$2&amp;"!z"&amp;Z136)),IF($C136="","",INDIRECT("'"&amp;$D$2&amp;"'"&amp;"!z"&amp;Z136)))</f>
        <v>0</v>
      </c>
      <c r="V136" s="113">
        <f t="shared" ca="1" si="15"/>
        <v>0</v>
      </c>
      <c r="W136" s="113" cm="1">
        <f t="array" aca="1" ref="W136" ca="1">IFERROR(IF($C136="","",INDIRECT($D$2&amp;"!ab"&amp;Z136)),IF($C136="","",INDIRECT("'"&amp;$D$2&amp;"'"&amp;"!ab"&amp;Z136)))</f>
        <v>0</v>
      </c>
      <c r="X136" s="113"/>
      <c r="Y136" s="113">
        <f t="shared" ca="1" si="16"/>
        <v>0</v>
      </c>
      <c r="Z136" s="35">
        <v>125</v>
      </c>
      <c r="AA136" s="113"/>
      <c r="AB136" s="35">
        <v>125</v>
      </c>
    </row>
    <row r="137" spans="3:28" x14ac:dyDescent="0.25">
      <c r="C137" t="str" cm="1">
        <f t="array" aca="1" ref="C137" ca="1">IFERROR(IF(INDIRECT($D$2&amp;"!B"&amp;Z137)="","",INDIRECT("'"&amp;$D$2&amp;"'"&amp;"!B"&amp;Z137)),IF(INDIRECT("'"&amp;$D$2&amp;"'"&amp;"!B"&amp;Z137)="","",INDIRECT("'"&amp;$D$2&amp;"'"&amp;"!B"&amp;Z137)))</f>
        <v>JHA Card Activation JHA Debit Processing</v>
      </c>
      <c r="D137" t="str" cm="1">
        <f t="array" aca="1" ref="D137" ca="1">IFERROR(_xlfn.IFS(C137="","",C137&lt;&gt;"",INDEX(SF_Output!I:I,MATCH(C137,SF_Output!M:M,0))),IFERROR(INDEX(INDIRECT($D$2&amp;"!G:G"),MATCH(C137,INDIRECT($D$2&amp;"!B:B"),0)),INDEX(INDIRECT("'"&amp;$D$2&amp;"'!G:G"),MATCH(C137,INDIRECT("'"&amp;$D$2&amp;"'!B:B"),0))))</f>
        <v>Payments</v>
      </c>
      <c r="E137" t="str" cm="1">
        <f t="array" aca="1" ref="E137" ca="1">IFERROR(IF(C137="","",INDIRECT($D$2&amp;"!F"&amp;Z137)),IF(C137="","",INDIRECT("'"&amp;$D$2&amp;"'"&amp;"!F"&amp;Z137)))</f>
        <v>Included</v>
      </c>
      <c r="F137" t="str" cm="1">
        <f t="array" aca="1" ref="F137" ca="1">IFERROR(IF(C137="","",INDIRECT($D$2&amp;"!ak"&amp;Z137)),IF(C137="","",INDIRECT("'"&amp;$D$2&amp;"'"&amp;"!ak"&amp;Z137)))</f>
        <v/>
      </c>
      <c r="G137" cm="1">
        <f t="array" aca="1" ref="G137" ca="1">IFERROR(INDIRECT($D$2&amp;"!h"&amp;Z137),INDIRECT("'"&amp;$D$2&amp;"'"&amp;"!h"&amp;Z137))</f>
        <v>1</v>
      </c>
      <c r="H137" s="125" t="str" cm="1">
        <f t="array" aca="1" ref="H137" ca="1">IFERROR(INDIRECT($D$2&amp;"!i"&amp;Z137),INDIRECT("'"&amp;$D$2&amp;"'"&amp;"!i"&amp;Z137))</f>
        <v/>
      </c>
      <c r="I137" s="113" cm="1">
        <f t="array" aca="1" ref="I137" ca="1">IFERROR(IF($C137="","",INDIRECT($D$2&amp;"!j"&amp;$Z137)+INDIRECT($D$2&amp;"!n"&amp;$Z137)),IF($C137="","",INDIRECT("'"&amp;$D$2&amp;"'"&amp;"!j"&amp;$Z137)+INDIRECT("'"&amp;$D$2&amp;"'"&amp;"!n"&amp;$Z137)))</f>
        <v>1500</v>
      </c>
      <c r="J137" s="113">
        <f t="shared" ca="1" si="12"/>
        <v>-1500</v>
      </c>
      <c r="K137" s="113" cm="1">
        <f t="array" aca="1" ref="K137" ca="1">IFERROR(IF($C137="","",INDIRECT($D$2&amp;"!l"&amp;$Z137)+INDIRECT($D$2&amp;"!p"&amp;$Z137)),IF($C137="","",INDIRECT("'"&amp;$D$2&amp;"'"&amp;"!l"&amp;$Z137)+INDIRECT("'"&amp;$D$2&amp;"'"&amp;"!p"&amp;$Z137)))</f>
        <v>0</v>
      </c>
      <c r="M137" s="113" cm="1">
        <f t="array" aca="1" ref="M137" ca="1">IFERROR(IF($C137="","",INDIRECT($D$2&amp;"!r"&amp;Z137)),IF($C137="","",INDIRECT("'"&amp;$D$2&amp;"'"&amp;"!r"&amp;Z137)))</f>
        <v>0</v>
      </c>
      <c r="N137" s="113">
        <f t="shared" ca="1" si="13"/>
        <v>0</v>
      </c>
      <c r="O137" s="113" cm="1">
        <f t="array" aca="1" ref="O137" ca="1">IFERROR(IF($C137="","",INDIRECT($D$2&amp;"!t"&amp;Z137)),IF($C137="","",INDIRECT("'"&amp;$D$2&amp;"'"&amp;"!t"&amp;Z137)))</f>
        <v>0</v>
      </c>
      <c r="Q137" s="113" cm="1">
        <f t="array" aca="1" ref="Q137" ca="1">IFERROR(IF($C137="","",INDIRECT($D$2&amp;"!v"&amp;Z137)),IF($C137="","",INDIRECT("'"&amp;$D$2&amp;"'"&amp;"!v"&amp;Z137)))</f>
        <v>150</v>
      </c>
      <c r="R137" s="113">
        <f t="shared" ca="1" si="14"/>
        <v>-150</v>
      </c>
      <c r="S137" s="113" cm="1">
        <f t="array" aca="1" ref="S137" ca="1">IFERROR(IF($C137="","",INDIRECT($D$2&amp;"!x"&amp;Z137)),IF($C137="","",INDIRECT("'"&amp;$D$2&amp;"'"&amp;"!x"&amp;Z137)))</f>
        <v>0</v>
      </c>
      <c r="U137" s="113" cm="1">
        <f t="array" aca="1" ref="U137" ca="1">IFERROR(IF($C137="","",INDIRECT($D$2&amp;"!z"&amp;Z137)),IF($C137="","",INDIRECT("'"&amp;$D$2&amp;"'"&amp;"!z"&amp;Z137)))</f>
        <v>0</v>
      </c>
      <c r="V137" s="113">
        <f t="shared" ca="1" si="15"/>
        <v>0</v>
      </c>
      <c r="W137" s="113" cm="1">
        <f t="array" aca="1" ref="W137" ca="1">IFERROR(IF($C137="","",INDIRECT($D$2&amp;"!ab"&amp;Z137)),IF($C137="","",INDIRECT("'"&amp;$D$2&amp;"'"&amp;"!ab"&amp;Z137)))</f>
        <v>0</v>
      </c>
      <c r="X137" s="113"/>
      <c r="Y137" s="113">
        <f t="shared" ca="1" si="16"/>
        <v>0</v>
      </c>
      <c r="Z137" s="35">
        <v>126</v>
      </c>
      <c r="AA137" s="113"/>
      <c r="AB137" s="35">
        <v>126</v>
      </c>
    </row>
    <row r="138" spans="3:28" x14ac:dyDescent="0.25">
      <c r="C138" t="str" cm="1">
        <f t="array" aca="1" ref="C138" ca="1">IFERROR(IF(INDIRECT($D$2&amp;"!B"&amp;Z138)="","",INDIRECT("'"&amp;$D$2&amp;"'"&amp;"!B"&amp;Z138)),IF(INDIRECT("'"&amp;$D$2&amp;"'"&amp;"!B"&amp;Z138)="","",INDIRECT("'"&amp;$D$2&amp;"'"&amp;"!B"&amp;Z138)))</f>
        <v>Card Activations JHA Debit Processing</v>
      </c>
      <c r="D138" t="str" cm="1">
        <f t="array" aca="1" ref="D138" ca="1">IFERROR(_xlfn.IFS(C138="","",C138&lt;&gt;"",INDEX(SF_Output!I:I,MATCH(C138,SF_Output!M:M,0))),IFERROR(INDEX(INDIRECT($D$2&amp;"!G:G"),MATCH(C138,INDIRECT($D$2&amp;"!B:B"),0)),INDEX(INDIRECT("'"&amp;$D$2&amp;"'!G:G"),MATCH(C138,INDIRECT("'"&amp;$D$2&amp;"'!B:B"),0))))</f>
        <v>Payments</v>
      </c>
      <c r="E138" t="str" cm="1">
        <f t="array" aca="1" ref="E138" ca="1">IFERROR(IF(C138="","",INDIRECT($D$2&amp;"!F"&amp;Z138)),IF(C138="","",INDIRECT("'"&amp;$D$2&amp;"'"&amp;"!F"&amp;Z138)))</f>
        <v>Included</v>
      </c>
      <c r="F138" t="str" cm="1">
        <f t="array" aca="1" ref="F138" ca="1">IFERROR(IF(C138="","",INDIRECT($D$2&amp;"!ak"&amp;Z138)),IF(C138="","",INDIRECT("'"&amp;$D$2&amp;"'"&amp;"!ak"&amp;Z138)))</f>
        <v/>
      </c>
      <c r="G138" cm="1">
        <f t="array" aca="1" ref="G138" ca="1">IFERROR(INDIRECT($D$2&amp;"!h"&amp;Z138),INDIRECT("'"&amp;$D$2&amp;"'"&amp;"!h"&amp;Z138))</f>
        <v>0</v>
      </c>
      <c r="H138" s="125" t="str" cm="1">
        <f t="array" aca="1" ref="H138" ca="1">IFERROR(INDIRECT($D$2&amp;"!i"&amp;Z138),INDIRECT("'"&amp;$D$2&amp;"'"&amp;"!i"&amp;Z138))</f>
        <v/>
      </c>
      <c r="I138" s="113" cm="1">
        <f t="array" aca="1" ref="I138" ca="1">IFERROR(IF($C138="","",INDIRECT($D$2&amp;"!j"&amp;$Z138)+INDIRECT($D$2&amp;"!n"&amp;$Z138)),IF($C138="","",INDIRECT("'"&amp;$D$2&amp;"'"&amp;"!j"&amp;$Z138)+INDIRECT("'"&amp;$D$2&amp;"'"&amp;"!n"&amp;$Z138)))</f>
        <v>0</v>
      </c>
      <c r="J138" s="113">
        <f t="shared" ca="1" si="12"/>
        <v>0</v>
      </c>
      <c r="K138" s="113" cm="1">
        <f t="array" aca="1" ref="K138" ca="1">IFERROR(IF($C138="","",INDIRECT($D$2&amp;"!l"&amp;$Z138)+INDIRECT($D$2&amp;"!p"&amp;$Z138)),IF($C138="","",INDIRECT("'"&amp;$D$2&amp;"'"&amp;"!l"&amp;$Z138)+INDIRECT("'"&amp;$D$2&amp;"'"&amp;"!p"&amp;$Z138)))</f>
        <v>0</v>
      </c>
      <c r="M138" s="113" cm="1">
        <f t="array" aca="1" ref="M138" ca="1">IFERROR(IF($C138="","",INDIRECT($D$2&amp;"!r"&amp;Z138)),IF($C138="","",INDIRECT("'"&amp;$D$2&amp;"'"&amp;"!r"&amp;Z138)))</f>
        <v>0</v>
      </c>
      <c r="N138" s="113">
        <f t="shared" ca="1" si="13"/>
        <v>0</v>
      </c>
      <c r="O138" s="113" cm="1">
        <f t="array" aca="1" ref="O138" ca="1">IFERROR(IF($C138="","",INDIRECT($D$2&amp;"!t"&amp;Z138)),IF($C138="","",INDIRECT("'"&amp;$D$2&amp;"'"&amp;"!t"&amp;Z138)))</f>
        <v>0</v>
      </c>
      <c r="Q138" s="113" cm="1">
        <f t="array" aca="1" ref="Q138" ca="1">IFERROR(IF($C138="","",INDIRECT($D$2&amp;"!v"&amp;Z138)),IF($C138="","",INDIRECT("'"&amp;$D$2&amp;"'"&amp;"!v"&amp;Z138)))</f>
        <v>0</v>
      </c>
      <c r="R138" s="113">
        <f t="shared" ca="1" si="14"/>
        <v>0</v>
      </c>
      <c r="S138" s="113" cm="1">
        <f t="array" aca="1" ref="S138" ca="1">IFERROR(IF($C138="","",INDIRECT($D$2&amp;"!x"&amp;Z138)),IF($C138="","",INDIRECT("'"&amp;$D$2&amp;"'"&amp;"!x"&amp;Z138)))</f>
        <v>0</v>
      </c>
      <c r="U138" s="113" cm="1">
        <f t="array" aca="1" ref="U138" ca="1">IFERROR(IF($C138="","",INDIRECT($D$2&amp;"!z"&amp;Z138)),IF($C138="","",INDIRECT("'"&amp;$D$2&amp;"'"&amp;"!z"&amp;Z138)))</f>
        <v>0</v>
      </c>
      <c r="V138" s="113">
        <f t="shared" ca="1" si="15"/>
        <v>0</v>
      </c>
      <c r="W138" s="113" cm="1">
        <f t="array" aca="1" ref="W138" ca="1">IFERROR(IF($C138="","",INDIRECT($D$2&amp;"!ab"&amp;Z138)),IF($C138="","",INDIRECT("'"&amp;$D$2&amp;"'"&amp;"!ab"&amp;Z138)))</f>
        <v>0</v>
      </c>
      <c r="X138" s="113"/>
      <c r="Y138" s="113">
        <f t="shared" ca="1" si="16"/>
        <v>0</v>
      </c>
      <c r="Z138" s="35">
        <v>127</v>
      </c>
      <c r="AA138" s="113"/>
      <c r="AB138" s="35">
        <v>127</v>
      </c>
    </row>
    <row r="139" spans="3:28" x14ac:dyDescent="0.25">
      <c r="C139" t="str" cm="1">
        <f t="array" aca="1" ref="C139" ca="1">IFERROR(IF(INDIRECT($D$2&amp;"!B"&amp;Z139)="","",INDIRECT("'"&amp;$D$2&amp;"'"&amp;"!B"&amp;Z139)),IF(INDIRECT("'"&amp;$D$2&amp;"'"&amp;"!B"&amp;Z139)="","",INDIRECT("'"&amp;$D$2&amp;"'"&amp;"!B"&amp;Z139)))</f>
        <v>JHA PIN Management JHA Debit Processing</v>
      </c>
      <c r="D139" t="str" cm="1">
        <f t="array" aca="1" ref="D139" ca="1">IFERROR(_xlfn.IFS(C139="","",C139&lt;&gt;"",INDEX(SF_Output!I:I,MATCH(C139,SF_Output!M:M,0))),IFERROR(INDEX(INDIRECT($D$2&amp;"!G:G"),MATCH(C139,INDIRECT($D$2&amp;"!B:B"),0)),INDEX(INDIRECT("'"&amp;$D$2&amp;"'!G:G"),MATCH(C139,INDIRECT("'"&amp;$D$2&amp;"'!B:B"),0))))</f>
        <v>Payments</v>
      </c>
      <c r="E139" t="str" cm="1">
        <f t="array" aca="1" ref="E139" ca="1">IFERROR(IF(C139="","",INDIRECT($D$2&amp;"!F"&amp;Z139)),IF(C139="","",INDIRECT("'"&amp;$D$2&amp;"'"&amp;"!F"&amp;Z139)))</f>
        <v>Included</v>
      </c>
      <c r="F139" t="str" cm="1">
        <f t="array" aca="1" ref="F139" ca="1">IFERROR(IF(C139="","",INDIRECT($D$2&amp;"!ak"&amp;Z139)),IF(C139="","",INDIRECT("'"&amp;$D$2&amp;"'"&amp;"!ak"&amp;Z139)))</f>
        <v/>
      </c>
      <c r="G139" cm="1">
        <f t="array" aca="1" ref="G139" ca="1">IFERROR(INDIRECT($D$2&amp;"!h"&amp;Z139),INDIRECT("'"&amp;$D$2&amp;"'"&amp;"!h"&amp;Z139))</f>
        <v>1</v>
      </c>
      <c r="H139" s="125" t="str" cm="1">
        <f t="array" aca="1" ref="H139" ca="1">IFERROR(INDIRECT($D$2&amp;"!i"&amp;Z139),INDIRECT("'"&amp;$D$2&amp;"'"&amp;"!i"&amp;Z139))</f>
        <v/>
      </c>
      <c r="I139" s="113" cm="1">
        <f t="array" aca="1" ref="I139" ca="1">IFERROR(IF($C139="","",INDIRECT($D$2&amp;"!j"&amp;$Z139)+INDIRECT($D$2&amp;"!n"&amp;$Z139)),IF($C139="","",INDIRECT("'"&amp;$D$2&amp;"'"&amp;"!j"&amp;$Z139)+INDIRECT("'"&amp;$D$2&amp;"'"&amp;"!n"&amp;$Z139)))</f>
        <v>1500</v>
      </c>
      <c r="J139" s="113">
        <f t="shared" ca="1" si="12"/>
        <v>-1500</v>
      </c>
      <c r="K139" s="113" cm="1">
        <f t="array" aca="1" ref="K139" ca="1">IFERROR(IF($C139="","",INDIRECT($D$2&amp;"!l"&amp;$Z139)+INDIRECT($D$2&amp;"!p"&amp;$Z139)),IF($C139="","",INDIRECT("'"&amp;$D$2&amp;"'"&amp;"!l"&amp;$Z139)+INDIRECT("'"&amp;$D$2&amp;"'"&amp;"!p"&amp;$Z139)))</f>
        <v>0</v>
      </c>
      <c r="M139" s="113" cm="1">
        <f t="array" aca="1" ref="M139" ca="1">IFERROR(IF($C139="","",INDIRECT($D$2&amp;"!r"&amp;Z139)),IF($C139="","",INDIRECT("'"&amp;$D$2&amp;"'"&amp;"!r"&amp;Z139)))</f>
        <v>0</v>
      </c>
      <c r="N139" s="113">
        <f t="shared" ca="1" si="13"/>
        <v>0</v>
      </c>
      <c r="O139" s="113" cm="1">
        <f t="array" aca="1" ref="O139" ca="1">IFERROR(IF($C139="","",INDIRECT($D$2&amp;"!t"&amp;Z139)),IF($C139="","",INDIRECT("'"&amp;$D$2&amp;"'"&amp;"!t"&amp;Z139)))</f>
        <v>0</v>
      </c>
      <c r="Q139" s="113" cm="1">
        <f t="array" aca="1" ref="Q139" ca="1">IFERROR(IF($C139="","",INDIRECT($D$2&amp;"!v"&amp;Z139)),IF($C139="","",INDIRECT("'"&amp;$D$2&amp;"'"&amp;"!v"&amp;Z139)))</f>
        <v>150</v>
      </c>
      <c r="R139" s="113">
        <f t="shared" ca="1" si="14"/>
        <v>0</v>
      </c>
      <c r="S139" s="113" cm="1">
        <f t="array" aca="1" ref="S139" ca="1">IFERROR(IF($C139="","",INDIRECT($D$2&amp;"!x"&amp;Z139)),IF($C139="","",INDIRECT("'"&amp;$D$2&amp;"'"&amp;"!x"&amp;Z139)))</f>
        <v>150</v>
      </c>
      <c r="U139" s="113" cm="1">
        <f t="array" aca="1" ref="U139" ca="1">IFERROR(IF($C139="","",INDIRECT($D$2&amp;"!z"&amp;Z139)),IF($C139="","",INDIRECT("'"&amp;$D$2&amp;"'"&amp;"!z"&amp;Z139)))</f>
        <v>0</v>
      </c>
      <c r="V139" s="113">
        <f t="shared" ca="1" si="15"/>
        <v>0</v>
      </c>
      <c r="W139" s="113" cm="1">
        <f t="array" aca="1" ref="W139" ca="1">IFERROR(IF($C139="","",INDIRECT($D$2&amp;"!ab"&amp;Z139)),IF($C139="","",INDIRECT("'"&amp;$D$2&amp;"'"&amp;"!ab"&amp;Z139)))</f>
        <v>0</v>
      </c>
      <c r="X139" s="113"/>
      <c r="Y139" s="113">
        <f t="shared" ca="1" si="16"/>
        <v>150</v>
      </c>
      <c r="Z139" s="35">
        <v>128</v>
      </c>
      <c r="AA139" s="113"/>
      <c r="AB139" s="35">
        <v>128</v>
      </c>
    </row>
    <row r="140" spans="3:28" x14ac:dyDescent="0.25">
      <c r="C140" t="str" cm="1">
        <f t="array" aca="1" ref="C140" ca="1">IFERROR(IF(INDIRECT($D$2&amp;"!B"&amp;Z140)="","",INDIRECT("'"&amp;$D$2&amp;"'"&amp;"!B"&amp;Z140)),IF(INDIRECT("'"&amp;$D$2&amp;"'"&amp;"!B"&amp;Z140)="","",INDIRECT("'"&amp;$D$2&amp;"'"&amp;"!B"&amp;Z140)))</f>
        <v>PIN Sets or PIN Changes JHA Debit Processing</v>
      </c>
      <c r="D140" t="str" cm="1">
        <f t="array" aca="1" ref="D140" ca="1">IFERROR(_xlfn.IFS(C140="","",C140&lt;&gt;"",INDEX(SF_Output!I:I,MATCH(C140,SF_Output!M:M,0))),IFERROR(INDEX(INDIRECT($D$2&amp;"!G:G"),MATCH(C140,INDIRECT($D$2&amp;"!B:B"),0)),INDEX(INDIRECT("'"&amp;$D$2&amp;"'!G:G"),MATCH(C140,INDIRECT("'"&amp;$D$2&amp;"'!B:B"),0))))</f>
        <v>Payments</v>
      </c>
      <c r="E140" t="str" cm="1">
        <f t="array" aca="1" ref="E140" ca="1">IFERROR(IF(C140="","",INDIRECT($D$2&amp;"!F"&amp;Z140)),IF(C140="","",INDIRECT("'"&amp;$D$2&amp;"'"&amp;"!F"&amp;Z140)))</f>
        <v>Included</v>
      </c>
      <c r="F140" t="str" cm="1">
        <f t="array" aca="1" ref="F140" ca="1">IFERROR(IF(C140="","",INDIRECT($D$2&amp;"!ak"&amp;Z140)),IF(C140="","",INDIRECT("'"&amp;$D$2&amp;"'"&amp;"!ak"&amp;Z140)))</f>
        <v/>
      </c>
      <c r="G140" cm="1">
        <f t="array" aca="1" ref="G140" ca="1">IFERROR(INDIRECT($D$2&amp;"!h"&amp;Z140),INDIRECT("'"&amp;$D$2&amp;"'"&amp;"!h"&amp;Z140))</f>
        <v>0</v>
      </c>
      <c r="H140" s="125" t="str" cm="1">
        <f t="array" aca="1" ref="H140" ca="1">IFERROR(INDIRECT($D$2&amp;"!i"&amp;Z140),INDIRECT("'"&amp;$D$2&amp;"'"&amp;"!i"&amp;Z140))</f>
        <v/>
      </c>
      <c r="I140" s="113" cm="1">
        <f t="array" aca="1" ref="I140" ca="1">IFERROR(IF($C140="","",INDIRECT($D$2&amp;"!j"&amp;$Z140)+INDIRECT($D$2&amp;"!n"&amp;$Z140)),IF($C140="","",INDIRECT("'"&amp;$D$2&amp;"'"&amp;"!j"&amp;$Z140)+INDIRECT("'"&amp;$D$2&amp;"'"&amp;"!n"&amp;$Z140)))</f>
        <v>0</v>
      </c>
      <c r="J140" s="113">
        <f t="shared" ca="1" si="12"/>
        <v>0</v>
      </c>
      <c r="K140" s="113" cm="1">
        <f t="array" aca="1" ref="K140" ca="1">IFERROR(IF($C140="","",INDIRECT($D$2&amp;"!l"&amp;$Z140)+INDIRECT($D$2&amp;"!p"&amp;$Z140)),IF($C140="","",INDIRECT("'"&amp;$D$2&amp;"'"&amp;"!l"&amp;$Z140)+INDIRECT("'"&amp;$D$2&amp;"'"&amp;"!p"&amp;$Z140)))</f>
        <v>0</v>
      </c>
      <c r="M140" s="113" cm="1">
        <f t="array" aca="1" ref="M140" ca="1">IFERROR(IF($C140="","",INDIRECT($D$2&amp;"!r"&amp;Z140)),IF($C140="","",INDIRECT("'"&amp;$D$2&amp;"'"&amp;"!r"&amp;Z140)))</f>
        <v>0</v>
      </c>
      <c r="N140" s="113">
        <f t="shared" ca="1" si="13"/>
        <v>0</v>
      </c>
      <c r="O140" s="113" cm="1">
        <f t="array" aca="1" ref="O140" ca="1">IFERROR(IF($C140="","",INDIRECT($D$2&amp;"!t"&amp;Z140)),IF($C140="","",INDIRECT("'"&amp;$D$2&amp;"'"&amp;"!t"&amp;Z140)))</f>
        <v>0</v>
      </c>
      <c r="Q140" s="113" cm="1">
        <f t="array" aca="1" ref="Q140" ca="1">IFERROR(IF($C140="","",INDIRECT($D$2&amp;"!v"&amp;Z140)),IF($C140="","",INDIRECT("'"&amp;$D$2&amp;"'"&amp;"!v"&amp;Z140)))</f>
        <v>0</v>
      </c>
      <c r="R140" s="113">
        <f t="shared" ca="1" si="14"/>
        <v>0</v>
      </c>
      <c r="S140" s="113" cm="1">
        <f t="array" aca="1" ref="S140" ca="1">IFERROR(IF($C140="","",INDIRECT($D$2&amp;"!x"&amp;Z140)),IF($C140="","",INDIRECT("'"&amp;$D$2&amp;"'"&amp;"!x"&amp;Z140)))</f>
        <v>0</v>
      </c>
      <c r="U140" s="113" cm="1">
        <f t="array" aca="1" ref="U140" ca="1">IFERROR(IF($C140="","",INDIRECT($D$2&amp;"!z"&amp;Z140)),IF($C140="","",INDIRECT("'"&amp;$D$2&amp;"'"&amp;"!z"&amp;Z140)))</f>
        <v>0</v>
      </c>
      <c r="V140" s="113">
        <f t="shared" ca="1" si="15"/>
        <v>0</v>
      </c>
      <c r="W140" s="113" cm="1">
        <f t="array" aca="1" ref="W140" ca="1">IFERROR(IF($C140="","",INDIRECT($D$2&amp;"!ab"&amp;Z140)),IF($C140="","",INDIRECT("'"&amp;$D$2&amp;"'"&amp;"!ab"&amp;Z140)))</f>
        <v>0</v>
      </c>
      <c r="X140" s="113"/>
      <c r="Y140" s="113">
        <f t="shared" ca="1" si="16"/>
        <v>0</v>
      </c>
      <c r="Z140" s="35">
        <v>129</v>
      </c>
      <c r="AA140" s="113"/>
      <c r="AB140" s="35">
        <v>129</v>
      </c>
    </row>
    <row r="141" spans="3:28" x14ac:dyDescent="0.25">
      <c r="C141" t="str" cm="1">
        <f t="array" aca="1" ref="C141" ca="1">IFERROR(IF(INDIRECT($D$2&amp;"!B"&amp;Z141)="","",INDIRECT("'"&amp;$D$2&amp;"'"&amp;"!B"&amp;Z141)),IF(INDIRECT("'"&amp;$D$2&amp;"'"&amp;"!B"&amp;Z141)="","",INDIRECT("'"&amp;$D$2&amp;"'"&amp;"!B"&amp;Z141)))</f>
        <v>JHA Card Fraud Center (scored transactions) JHA Debit Processing</v>
      </c>
      <c r="D141" t="str" cm="1">
        <f t="array" aca="1" ref="D141" ca="1">IFERROR(_xlfn.IFS(C141="","",C141&lt;&gt;"",INDEX(SF_Output!I:I,MATCH(C141,SF_Output!M:M,0))),IFERROR(INDEX(INDIRECT($D$2&amp;"!G:G"),MATCH(C141,INDIRECT($D$2&amp;"!B:B"),0)),INDEX(INDIRECT("'"&amp;$D$2&amp;"'!G:G"),MATCH(C141,INDIRECT("'"&amp;$D$2&amp;"'!B:B"),0))))</f>
        <v>Payments</v>
      </c>
      <c r="E141" t="str" cm="1">
        <f t="array" aca="1" ref="E141" ca="1">IFERROR(IF(C141="","",INDIRECT($D$2&amp;"!F"&amp;Z141)),IF(C141="","",INDIRECT("'"&amp;$D$2&amp;"'"&amp;"!F"&amp;Z141)))</f>
        <v>Included</v>
      </c>
      <c r="F141" t="str" cm="1">
        <f t="array" aca="1" ref="F141" ca="1">IFERROR(IF(C141="","",INDIRECT($D$2&amp;"!ak"&amp;Z141)),IF(C141="","",INDIRECT("'"&amp;$D$2&amp;"'"&amp;"!ak"&amp;Z141)))</f>
        <v/>
      </c>
      <c r="G141" cm="1">
        <f t="array" aca="1" ref="G141" ca="1">IFERROR(INDIRECT($D$2&amp;"!h"&amp;Z141),INDIRECT("'"&amp;$D$2&amp;"'"&amp;"!h"&amp;Z141))</f>
        <v>0</v>
      </c>
      <c r="H141" s="125" t="str" cm="1">
        <f t="array" aca="1" ref="H141" ca="1">IFERROR(INDIRECT($D$2&amp;"!i"&amp;Z141),INDIRECT("'"&amp;$D$2&amp;"'"&amp;"!i"&amp;Z141))</f>
        <v/>
      </c>
      <c r="I141" s="113" cm="1">
        <f t="array" aca="1" ref="I141" ca="1">IFERROR(IF($C141="","",INDIRECT($D$2&amp;"!j"&amp;$Z141)+INDIRECT($D$2&amp;"!n"&amp;$Z141)),IF($C141="","",INDIRECT("'"&amp;$D$2&amp;"'"&amp;"!j"&amp;$Z141)+INDIRECT("'"&amp;$D$2&amp;"'"&amp;"!n"&amp;$Z141)))</f>
        <v>1000</v>
      </c>
      <c r="J141" s="113">
        <f t="shared" ca="1" si="12"/>
        <v>-1000</v>
      </c>
      <c r="K141" s="113" cm="1">
        <f t="array" aca="1" ref="K141" ca="1">IFERROR(IF($C141="","",INDIRECT($D$2&amp;"!l"&amp;$Z141)+INDIRECT($D$2&amp;"!p"&amp;$Z141)),IF($C141="","",INDIRECT("'"&amp;$D$2&amp;"'"&amp;"!l"&amp;$Z141)+INDIRECT("'"&amp;$D$2&amp;"'"&amp;"!p"&amp;$Z141)))</f>
        <v>0</v>
      </c>
      <c r="M141" s="113" cm="1">
        <f t="array" aca="1" ref="M141" ca="1">IFERROR(IF($C141="","",INDIRECT($D$2&amp;"!r"&amp;Z141)),IF($C141="","",INDIRECT("'"&amp;$D$2&amp;"'"&amp;"!r"&amp;Z141)))</f>
        <v>0</v>
      </c>
      <c r="N141" s="113">
        <f t="shared" ca="1" si="13"/>
        <v>0</v>
      </c>
      <c r="O141" s="113" cm="1">
        <f t="array" aca="1" ref="O141" ca="1">IFERROR(IF($C141="","",INDIRECT($D$2&amp;"!t"&amp;Z141)),IF($C141="","",INDIRECT("'"&amp;$D$2&amp;"'"&amp;"!t"&amp;Z141)))</f>
        <v>0</v>
      </c>
      <c r="Q141" s="113" cm="1">
        <f t="array" aca="1" ref="Q141" ca="1">IFERROR(IF($C141="","",INDIRECT($D$2&amp;"!v"&amp;Z141)),IF($C141="","",INDIRECT("'"&amp;$D$2&amp;"'"&amp;"!v"&amp;Z141)))</f>
        <v>0</v>
      </c>
      <c r="R141" s="113">
        <f t="shared" ca="1" si="14"/>
        <v>0</v>
      </c>
      <c r="S141" s="113" cm="1">
        <f t="array" aca="1" ref="S141" ca="1">IFERROR(IF($C141="","",INDIRECT($D$2&amp;"!x"&amp;Z141)),IF($C141="","",INDIRECT("'"&amp;$D$2&amp;"'"&amp;"!x"&amp;Z141)))</f>
        <v>0</v>
      </c>
      <c r="U141" s="113" cm="1">
        <f t="array" aca="1" ref="U141" ca="1">IFERROR(IF($C141="","",INDIRECT($D$2&amp;"!z"&amp;Z141)),IF($C141="","",INDIRECT("'"&amp;$D$2&amp;"'"&amp;"!z"&amp;Z141)))</f>
        <v>0</v>
      </c>
      <c r="V141" s="113">
        <f t="shared" ca="1" si="15"/>
        <v>0</v>
      </c>
      <c r="W141" s="113" cm="1">
        <f t="array" aca="1" ref="W141" ca="1">IFERROR(IF($C141="","",INDIRECT($D$2&amp;"!ab"&amp;Z141)),IF($C141="","",INDIRECT("'"&amp;$D$2&amp;"'"&amp;"!ab"&amp;Z141)))</f>
        <v>0</v>
      </c>
      <c r="X141" s="113"/>
      <c r="Y141" s="113">
        <f t="shared" ca="1" si="16"/>
        <v>0</v>
      </c>
      <c r="Z141" s="35">
        <v>130</v>
      </c>
      <c r="AA141" s="113"/>
      <c r="AB141" s="35">
        <v>130</v>
      </c>
    </row>
    <row r="142" spans="3:28" x14ac:dyDescent="0.25">
      <c r="C142" t="str" cm="1">
        <f t="array" aca="1" ref="C142" ca="1">IFERROR(IF(INDIRECT($D$2&amp;"!B"&amp;Z142)="","",INDIRECT("'"&amp;$D$2&amp;"'"&amp;"!B"&amp;Z142)),IF(INDIRECT("'"&amp;$D$2&amp;"'"&amp;"!B"&amp;Z142)="","",INDIRECT("'"&amp;$D$2&amp;"'"&amp;"!B"&amp;Z142)))</f>
        <v>Fraud Cardholder Record Storage JHA Debit Processing</v>
      </c>
      <c r="D142" t="str" cm="1">
        <f t="array" aca="1" ref="D142" ca="1">IFERROR(_xlfn.IFS(C142="","",C142&lt;&gt;"",INDEX(SF_Output!I:I,MATCH(C142,SF_Output!M:M,0))),IFERROR(INDEX(INDIRECT($D$2&amp;"!G:G"),MATCH(C142,INDIRECT($D$2&amp;"!B:B"),0)),INDEX(INDIRECT("'"&amp;$D$2&amp;"'!G:G"),MATCH(C142,INDIRECT("'"&amp;$D$2&amp;"'!B:B"),0))))</f>
        <v>Payments</v>
      </c>
      <c r="E142" t="str" cm="1">
        <f t="array" aca="1" ref="E142" ca="1">IFERROR(IF(C142="","",INDIRECT($D$2&amp;"!F"&amp;Z142)),IF(C142="","",INDIRECT("'"&amp;$D$2&amp;"'"&amp;"!F"&amp;Z142)))</f>
        <v>Included</v>
      </c>
      <c r="F142" t="str" cm="1">
        <f t="array" aca="1" ref="F142" ca="1">IFERROR(IF(C142="","",INDIRECT($D$2&amp;"!ak"&amp;Z142)),IF(C142="","",INDIRECT("'"&amp;$D$2&amp;"'"&amp;"!ak"&amp;Z142)))</f>
        <v/>
      </c>
      <c r="G142" cm="1">
        <f t="array" aca="1" ref="G142" ca="1">IFERROR(INDIRECT($D$2&amp;"!h"&amp;Z142),INDIRECT("'"&amp;$D$2&amp;"'"&amp;"!h"&amp;Z142))</f>
        <v>0</v>
      </c>
      <c r="H142" s="125" t="str" cm="1">
        <f t="array" aca="1" ref="H142" ca="1">IFERROR(INDIRECT($D$2&amp;"!i"&amp;Z142),INDIRECT("'"&amp;$D$2&amp;"'"&amp;"!i"&amp;Z142))</f>
        <v/>
      </c>
      <c r="I142" s="113" cm="1">
        <f t="array" aca="1" ref="I142" ca="1">IFERROR(IF($C142="","",INDIRECT($D$2&amp;"!j"&amp;$Z142)+INDIRECT($D$2&amp;"!n"&amp;$Z142)),IF($C142="","",INDIRECT("'"&amp;$D$2&amp;"'"&amp;"!j"&amp;$Z142)+INDIRECT("'"&amp;$D$2&amp;"'"&amp;"!n"&amp;$Z142)))</f>
        <v>0</v>
      </c>
      <c r="J142" s="113">
        <f t="shared" ca="1" si="12"/>
        <v>0</v>
      </c>
      <c r="K142" s="113" cm="1">
        <f t="array" aca="1" ref="K142" ca="1">IFERROR(IF($C142="","",INDIRECT($D$2&amp;"!l"&amp;$Z142)+INDIRECT($D$2&amp;"!p"&amp;$Z142)),IF($C142="","",INDIRECT("'"&amp;$D$2&amp;"'"&amp;"!l"&amp;$Z142)+INDIRECT("'"&amp;$D$2&amp;"'"&amp;"!p"&amp;$Z142)))</f>
        <v>0</v>
      </c>
      <c r="M142" s="113" cm="1">
        <f t="array" aca="1" ref="M142" ca="1">IFERROR(IF($C142="","",INDIRECT($D$2&amp;"!r"&amp;Z142)),IF($C142="","",INDIRECT("'"&amp;$D$2&amp;"'"&amp;"!r"&amp;Z142)))</f>
        <v>0</v>
      </c>
      <c r="N142" s="113">
        <f t="shared" ca="1" si="13"/>
        <v>0</v>
      </c>
      <c r="O142" s="113" cm="1">
        <f t="array" aca="1" ref="O142" ca="1">IFERROR(IF($C142="","",INDIRECT($D$2&amp;"!t"&amp;Z142)),IF($C142="","",INDIRECT("'"&amp;$D$2&amp;"'"&amp;"!t"&amp;Z142)))</f>
        <v>0</v>
      </c>
      <c r="Q142" s="113" cm="1">
        <f t="array" aca="1" ref="Q142" ca="1">IFERROR(IF($C142="","",INDIRECT($D$2&amp;"!v"&amp;Z142)),IF($C142="","",INDIRECT("'"&amp;$D$2&amp;"'"&amp;"!v"&amp;Z142)))</f>
        <v>0</v>
      </c>
      <c r="R142" s="113">
        <f t="shared" ca="1" si="14"/>
        <v>0</v>
      </c>
      <c r="S142" s="113" cm="1">
        <f t="array" aca="1" ref="S142" ca="1">IFERROR(IF($C142="","",INDIRECT($D$2&amp;"!x"&amp;Z142)),IF($C142="","",INDIRECT("'"&amp;$D$2&amp;"'"&amp;"!x"&amp;Z142)))</f>
        <v>0</v>
      </c>
      <c r="U142" s="113" cm="1">
        <f t="array" aca="1" ref="U142" ca="1">IFERROR(IF($C142="","",INDIRECT($D$2&amp;"!z"&amp;Z142)),IF($C142="","",INDIRECT("'"&amp;$D$2&amp;"'"&amp;"!z"&amp;Z142)))</f>
        <v>0</v>
      </c>
      <c r="V142" s="113">
        <f t="shared" ca="1" si="15"/>
        <v>0</v>
      </c>
      <c r="W142" s="113" cm="1">
        <f t="array" aca="1" ref="W142" ca="1">IFERROR(IF($C142="","",INDIRECT($D$2&amp;"!ab"&amp;Z142)),IF($C142="","",INDIRECT("'"&amp;$D$2&amp;"'"&amp;"!ab"&amp;Z142)))</f>
        <v>0</v>
      </c>
      <c r="X142" s="113"/>
      <c r="Y142" s="113">
        <f t="shared" ca="1" si="16"/>
        <v>0</v>
      </c>
      <c r="Z142" s="35">
        <v>131</v>
      </c>
      <c r="AA142" s="113"/>
      <c r="AB142" s="35">
        <v>131</v>
      </c>
    </row>
    <row r="143" spans="3:28" x14ac:dyDescent="0.25">
      <c r="C143" t="str" cm="1">
        <f t="array" aca="1" ref="C143" ca="1">IFERROR(IF(INDIRECT($D$2&amp;"!B"&amp;Z143)="","",INDIRECT("'"&amp;$D$2&amp;"'"&amp;"!B"&amp;Z143)),IF(INDIRECT("'"&amp;$D$2&amp;"'"&amp;"!B"&amp;Z143)="","",INDIRECT("'"&amp;$D$2&amp;"'"&amp;"!B"&amp;Z143)))</f>
        <v>Fraud Alert Case Management JHA Debit Processing</v>
      </c>
      <c r="D143" t="str" cm="1">
        <f t="array" aca="1" ref="D143" ca="1">IFERROR(_xlfn.IFS(C143="","",C143&lt;&gt;"",INDEX(SF_Output!I:I,MATCH(C143,SF_Output!M:M,0))),IFERROR(INDEX(INDIRECT($D$2&amp;"!G:G"),MATCH(C143,INDIRECT($D$2&amp;"!B:B"),0)),INDEX(INDIRECT("'"&amp;$D$2&amp;"'!G:G"),MATCH(C143,INDIRECT("'"&amp;$D$2&amp;"'!B:B"),0))))</f>
        <v>Payments</v>
      </c>
      <c r="E143" t="str" cm="1">
        <f t="array" aca="1" ref="E143" ca="1">IFERROR(IF(C143="","",INDIRECT($D$2&amp;"!F"&amp;Z143)),IF(C143="","",INDIRECT("'"&amp;$D$2&amp;"'"&amp;"!F"&amp;Z143)))</f>
        <v>Included</v>
      </c>
      <c r="F143" t="str" cm="1">
        <f t="array" aca="1" ref="F143" ca="1">IFERROR(IF(C143="","",INDIRECT($D$2&amp;"!ak"&amp;Z143)),IF(C143="","",INDIRECT("'"&amp;$D$2&amp;"'"&amp;"!ak"&amp;Z143)))</f>
        <v/>
      </c>
      <c r="G143" cm="1">
        <f t="array" aca="1" ref="G143" ca="1">IFERROR(INDIRECT($D$2&amp;"!h"&amp;Z143),INDIRECT("'"&amp;$D$2&amp;"'"&amp;"!h"&amp;Z143))</f>
        <v>0</v>
      </c>
      <c r="H143" s="125" t="str" cm="1">
        <f t="array" aca="1" ref="H143" ca="1">IFERROR(INDIRECT($D$2&amp;"!i"&amp;Z143),INDIRECT("'"&amp;$D$2&amp;"'"&amp;"!i"&amp;Z143))</f>
        <v/>
      </c>
      <c r="I143" s="113" cm="1">
        <f t="array" aca="1" ref="I143" ca="1">IFERROR(IF($C143="","",INDIRECT($D$2&amp;"!j"&amp;$Z143)+INDIRECT($D$2&amp;"!n"&amp;$Z143)),IF($C143="","",INDIRECT("'"&amp;$D$2&amp;"'"&amp;"!j"&amp;$Z143)+INDIRECT("'"&amp;$D$2&amp;"'"&amp;"!n"&amp;$Z143)))</f>
        <v>0</v>
      </c>
      <c r="J143" s="113">
        <f t="shared" ca="1" si="12"/>
        <v>0</v>
      </c>
      <c r="K143" s="113" cm="1">
        <f t="array" aca="1" ref="K143" ca="1">IFERROR(IF($C143="","",INDIRECT($D$2&amp;"!l"&amp;$Z143)+INDIRECT($D$2&amp;"!p"&amp;$Z143)),IF($C143="","",INDIRECT("'"&amp;$D$2&amp;"'"&amp;"!l"&amp;$Z143)+INDIRECT("'"&amp;$D$2&amp;"'"&amp;"!p"&amp;$Z143)))</f>
        <v>0</v>
      </c>
      <c r="M143" s="113" cm="1">
        <f t="array" aca="1" ref="M143" ca="1">IFERROR(IF($C143="","",INDIRECT($D$2&amp;"!r"&amp;Z143)),IF($C143="","",INDIRECT("'"&amp;$D$2&amp;"'"&amp;"!r"&amp;Z143)))</f>
        <v>0</v>
      </c>
      <c r="N143" s="113">
        <f t="shared" ca="1" si="13"/>
        <v>0</v>
      </c>
      <c r="O143" s="113" cm="1">
        <f t="array" aca="1" ref="O143" ca="1">IFERROR(IF($C143="","",INDIRECT($D$2&amp;"!t"&amp;Z143)),IF($C143="","",INDIRECT("'"&amp;$D$2&amp;"'"&amp;"!t"&amp;Z143)))</f>
        <v>0</v>
      </c>
      <c r="Q143" s="113" cm="1">
        <f t="array" aca="1" ref="Q143" ca="1">IFERROR(IF($C143="","",INDIRECT($D$2&amp;"!v"&amp;Z143)),IF($C143="","",INDIRECT("'"&amp;$D$2&amp;"'"&amp;"!v"&amp;Z143)))</f>
        <v>0</v>
      </c>
      <c r="R143" s="113">
        <f t="shared" ca="1" si="14"/>
        <v>0</v>
      </c>
      <c r="S143" s="113" cm="1">
        <f t="array" aca="1" ref="S143" ca="1">IFERROR(IF($C143="","",INDIRECT($D$2&amp;"!x"&amp;Z143)),IF($C143="","",INDIRECT("'"&amp;$D$2&amp;"'"&amp;"!x"&amp;Z143)))</f>
        <v>0</v>
      </c>
      <c r="U143" s="113" cm="1">
        <f t="array" aca="1" ref="U143" ca="1">IFERROR(IF($C143="","",INDIRECT($D$2&amp;"!z"&amp;Z143)),IF($C143="","",INDIRECT("'"&amp;$D$2&amp;"'"&amp;"!z"&amp;Z143)))</f>
        <v>0</v>
      </c>
      <c r="V143" s="113">
        <f t="shared" ca="1" si="15"/>
        <v>0</v>
      </c>
      <c r="W143" s="113" cm="1">
        <f t="array" aca="1" ref="W143" ca="1">IFERROR(IF($C143="","",INDIRECT($D$2&amp;"!ab"&amp;Z143)),IF($C143="","",INDIRECT("'"&amp;$D$2&amp;"'"&amp;"!ab"&amp;Z143)))</f>
        <v>0</v>
      </c>
      <c r="X143" s="113"/>
      <c r="Y143" s="113">
        <f t="shared" ca="1" si="16"/>
        <v>0</v>
      </c>
      <c r="Z143" s="35">
        <v>132</v>
      </c>
      <c r="AA143" s="113"/>
      <c r="AB143" s="35">
        <v>132</v>
      </c>
    </row>
    <row r="144" spans="3:28" x14ac:dyDescent="0.25">
      <c r="C144" t="str" cm="1">
        <f t="array" aca="1" ref="C144" ca="1">IFERROR(IF(INDIRECT($D$2&amp;"!B"&amp;Z144)="","",INDIRECT("'"&amp;$D$2&amp;"'"&amp;"!B"&amp;Z144)),IF(INDIRECT("'"&amp;$D$2&amp;"'"&amp;"!B"&amp;Z144)="","",INDIRECT("'"&amp;$D$2&amp;"'"&amp;"!B"&amp;Z144)))</f>
        <v>Two-Way Connect Cardholder Alerts JHA Debit Processing</v>
      </c>
      <c r="D144" t="str" cm="1">
        <f t="array" aca="1" ref="D144" ca="1">IFERROR(_xlfn.IFS(C144="","",C144&lt;&gt;"",INDEX(SF_Output!I:I,MATCH(C144,SF_Output!M:M,0))),IFERROR(INDEX(INDIRECT($D$2&amp;"!G:G"),MATCH(C144,INDIRECT($D$2&amp;"!B:B"),0)),INDEX(INDIRECT("'"&amp;$D$2&amp;"'!G:G"),MATCH(C144,INDIRECT("'"&amp;$D$2&amp;"'!B:B"),0))))</f>
        <v>Payments</v>
      </c>
      <c r="E144" t="str" cm="1">
        <f t="array" aca="1" ref="E144" ca="1">IFERROR(IF(C144="","",INDIRECT($D$2&amp;"!F"&amp;Z144)),IF(C144="","",INDIRECT("'"&amp;$D$2&amp;"'"&amp;"!F"&amp;Z144)))</f>
        <v>Included</v>
      </c>
      <c r="F144" t="str" cm="1">
        <f t="array" aca="1" ref="F144" ca="1">IFERROR(IF(C144="","",INDIRECT($D$2&amp;"!ak"&amp;Z144)),IF(C144="","",INDIRECT("'"&amp;$D$2&amp;"'"&amp;"!ak"&amp;Z144)))</f>
        <v/>
      </c>
      <c r="G144" cm="1">
        <f t="array" aca="1" ref="G144" ca="1">IFERROR(INDIRECT($D$2&amp;"!h"&amp;Z144),INDIRECT("'"&amp;$D$2&amp;"'"&amp;"!h"&amp;Z144))</f>
        <v>1</v>
      </c>
      <c r="H144" s="125" t="str" cm="1">
        <f t="array" aca="1" ref="H144" ca="1">IFERROR(INDIRECT($D$2&amp;"!i"&amp;Z144),INDIRECT("'"&amp;$D$2&amp;"'"&amp;"!i"&amp;Z144))</f>
        <v/>
      </c>
      <c r="I144" s="113" cm="1">
        <f t="array" aca="1" ref="I144" ca="1">IFERROR(IF($C144="","",INDIRECT($D$2&amp;"!j"&amp;$Z144)+INDIRECT($D$2&amp;"!n"&amp;$Z144)),IF($C144="","",INDIRECT("'"&amp;$D$2&amp;"'"&amp;"!j"&amp;$Z144)+INDIRECT("'"&amp;$D$2&amp;"'"&amp;"!n"&amp;$Z144)))</f>
        <v>600</v>
      </c>
      <c r="J144" s="113">
        <f t="shared" ca="1" si="12"/>
        <v>-600</v>
      </c>
      <c r="K144" s="113" cm="1">
        <f t="array" aca="1" ref="K144" ca="1">IFERROR(IF($C144="","",INDIRECT($D$2&amp;"!l"&amp;$Z144)+INDIRECT($D$2&amp;"!p"&amp;$Z144)),IF($C144="","",INDIRECT("'"&amp;$D$2&amp;"'"&amp;"!l"&amp;$Z144)+INDIRECT("'"&amp;$D$2&amp;"'"&amp;"!p"&amp;$Z144)))</f>
        <v>0</v>
      </c>
      <c r="M144" s="113" cm="1">
        <f t="array" aca="1" ref="M144" ca="1">IFERROR(IF($C144="","",INDIRECT($D$2&amp;"!r"&amp;Z144)),IF($C144="","",INDIRECT("'"&amp;$D$2&amp;"'"&amp;"!r"&amp;Z144)))</f>
        <v>0</v>
      </c>
      <c r="N144" s="113">
        <f t="shared" ca="1" si="13"/>
        <v>0</v>
      </c>
      <c r="O144" s="113" cm="1">
        <f t="array" aca="1" ref="O144" ca="1">IFERROR(IF($C144="","",INDIRECT($D$2&amp;"!t"&amp;Z144)),IF($C144="","",INDIRECT("'"&amp;$D$2&amp;"'"&amp;"!t"&amp;Z144)))</f>
        <v>0</v>
      </c>
      <c r="Q144" s="113" cm="1">
        <f t="array" aca="1" ref="Q144" ca="1">IFERROR(IF($C144="","",INDIRECT($D$2&amp;"!v"&amp;Z144)),IF($C144="","",INDIRECT("'"&amp;$D$2&amp;"'"&amp;"!v"&amp;Z144)))</f>
        <v>50</v>
      </c>
      <c r="R144" s="113">
        <f t="shared" ca="1" si="14"/>
        <v>0</v>
      </c>
      <c r="S144" s="113" cm="1">
        <f t="array" aca="1" ref="S144" ca="1">IFERROR(IF($C144="","",INDIRECT($D$2&amp;"!x"&amp;Z144)),IF($C144="","",INDIRECT("'"&amp;$D$2&amp;"'"&amp;"!x"&amp;Z144)))</f>
        <v>50</v>
      </c>
      <c r="U144" s="113" cm="1">
        <f t="array" aca="1" ref="U144" ca="1">IFERROR(IF($C144="","",INDIRECT($D$2&amp;"!z"&amp;Z144)),IF($C144="","",INDIRECT("'"&amp;$D$2&amp;"'"&amp;"!z"&amp;Z144)))</f>
        <v>0</v>
      </c>
      <c r="V144" s="113">
        <f t="shared" ca="1" si="15"/>
        <v>0</v>
      </c>
      <c r="W144" s="113" cm="1">
        <f t="array" aca="1" ref="W144" ca="1">IFERROR(IF($C144="","",INDIRECT($D$2&amp;"!ab"&amp;Z144)),IF($C144="","",INDIRECT("'"&amp;$D$2&amp;"'"&amp;"!ab"&amp;Z144)))</f>
        <v>0</v>
      </c>
      <c r="X144" s="113"/>
      <c r="Y144" s="113">
        <f t="shared" ca="1" si="16"/>
        <v>50</v>
      </c>
      <c r="Z144" s="35">
        <v>133</v>
      </c>
      <c r="AA144" s="113"/>
      <c r="AB144" s="35">
        <v>133</v>
      </c>
    </row>
    <row r="145" spans="3:28" x14ac:dyDescent="0.25">
      <c r="C145" t="str" cm="1">
        <f t="array" aca="1" ref="C145" ca="1">IFERROR(IF(INDIRECT($D$2&amp;"!B"&amp;Z145)="","",INDIRECT("'"&amp;$D$2&amp;"'"&amp;"!B"&amp;Z145)),IF(INDIRECT("'"&amp;$D$2&amp;"'"&amp;"!B"&amp;Z145)="","",INDIRECT("'"&amp;$D$2&amp;"'"&amp;"!B"&amp;Z145)))</f>
        <v>Full-Service Chargeback Dispute Processing JHA Debit Processing</v>
      </c>
      <c r="D145" t="str" cm="1">
        <f t="array" aca="1" ref="D145" ca="1">IFERROR(_xlfn.IFS(C145="","",C145&lt;&gt;"",INDEX(SF_Output!I:I,MATCH(C145,SF_Output!M:M,0))),IFERROR(INDEX(INDIRECT($D$2&amp;"!G:G"),MATCH(C145,INDIRECT($D$2&amp;"!B:B"),0)),INDEX(INDIRECT("'"&amp;$D$2&amp;"'!G:G"),MATCH(C145,INDIRECT("'"&amp;$D$2&amp;"'!B:B"),0))))</f>
        <v>Payments</v>
      </c>
      <c r="E145" t="str" cm="1">
        <f t="array" aca="1" ref="E145" ca="1">IFERROR(IF(C145="","",INDIRECT($D$2&amp;"!F"&amp;Z145)),IF(C145="","",INDIRECT("'"&amp;$D$2&amp;"'"&amp;"!F"&amp;Z145)))</f>
        <v>Included</v>
      </c>
      <c r="F145" t="str" cm="1">
        <f t="array" aca="1" ref="F145" ca="1">IFERROR(IF(C145="","",INDIRECT($D$2&amp;"!ak"&amp;Z145)),IF(C145="","",INDIRECT("'"&amp;$D$2&amp;"'"&amp;"!ak"&amp;Z145)))</f>
        <v/>
      </c>
      <c r="G145" cm="1">
        <f t="array" aca="1" ref="G145" ca="1">IFERROR(INDIRECT($D$2&amp;"!h"&amp;Z145),INDIRECT("'"&amp;$D$2&amp;"'"&amp;"!h"&amp;Z145))</f>
        <v>1</v>
      </c>
      <c r="H145" s="125" t="str" cm="1">
        <f t="array" aca="1" ref="H145" ca="1">IFERROR(INDIRECT($D$2&amp;"!i"&amp;Z145),INDIRECT("'"&amp;$D$2&amp;"'"&amp;"!i"&amp;Z145))</f>
        <v/>
      </c>
      <c r="I145" s="113" cm="1">
        <f t="array" aca="1" ref="I145" ca="1">IFERROR(IF($C145="","",INDIRECT($D$2&amp;"!j"&amp;$Z145)+INDIRECT($D$2&amp;"!n"&amp;$Z145)),IF($C145="","",INDIRECT("'"&amp;$D$2&amp;"'"&amp;"!j"&amp;$Z145)+INDIRECT("'"&amp;$D$2&amp;"'"&amp;"!n"&amp;$Z145)))</f>
        <v>1500</v>
      </c>
      <c r="J145" s="113">
        <f t="shared" ca="1" si="12"/>
        <v>-1500</v>
      </c>
      <c r="K145" s="113" cm="1">
        <f t="array" aca="1" ref="K145" ca="1">IFERROR(IF($C145="","",INDIRECT($D$2&amp;"!l"&amp;$Z145)+INDIRECT($D$2&amp;"!p"&amp;$Z145)),IF($C145="","",INDIRECT("'"&amp;$D$2&amp;"'"&amp;"!l"&amp;$Z145)+INDIRECT("'"&amp;$D$2&amp;"'"&amp;"!p"&amp;$Z145)))</f>
        <v>0</v>
      </c>
      <c r="M145" s="113" cm="1">
        <f t="array" aca="1" ref="M145" ca="1">IFERROR(IF($C145="","",INDIRECT($D$2&amp;"!r"&amp;Z145)),IF($C145="","",INDIRECT("'"&amp;$D$2&amp;"'"&amp;"!r"&amp;Z145)))</f>
        <v>0</v>
      </c>
      <c r="N145" s="113">
        <f t="shared" ca="1" si="13"/>
        <v>0</v>
      </c>
      <c r="O145" s="113" cm="1">
        <f t="array" aca="1" ref="O145" ca="1">IFERROR(IF($C145="","",INDIRECT($D$2&amp;"!t"&amp;Z145)),IF($C145="","",INDIRECT("'"&amp;$D$2&amp;"'"&amp;"!t"&amp;Z145)))</f>
        <v>0</v>
      </c>
      <c r="Q145" s="113" cm="1">
        <f t="array" aca="1" ref="Q145" ca="1">IFERROR(IF($C145="","",INDIRECT($D$2&amp;"!v"&amp;Z145)),IF($C145="","",INDIRECT("'"&amp;$D$2&amp;"'"&amp;"!v"&amp;Z145)))</f>
        <v>150</v>
      </c>
      <c r="R145" s="113">
        <f t="shared" ca="1" si="14"/>
        <v>0</v>
      </c>
      <c r="S145" s="113" cm="1">
        <f t="array" aca="1" ref="S145" ca="1">IFERROR(IF($C145="","",INDIRECT($D$2&amp;"!x"&amp;Z145)),IF($C145="","",INDIRECT("'"&amp;$D$2&amp;"'"&amp;"!x"&amp;Z145)))</f>
        <v>150</v>
      </c>
      <c r="U145" s="113" cm="1">
        <f t="array" aca="1" ref="U145" ca="1">IFERROR(IF($C145="","",INDIRECT($D$2&amp;"!z"&amp;Z145)),IF($C145="","",INDIRECT("'"&amp;$D$2&amp;"'"&amp;"!z"&amp;Z145)))</f>
        <v>0</v>
      </c>
      <c r="V145" s="113">
        <f t="shared" ca="1" si="15"/>
        <v>0</v>
      </c>
      <c r="W145" s="113" cm="1">
        <f t="array" aca="1" ref="W145" ca="1">IFERROR(IF($C145="","",INDIRECT($D$2&amp;"!ab"&amp;Z145)),IF($C145="","",INDIRECT("'"&amp;$D$2&amp;"'"&amp;"!ab"&amp;Z145)))</f>
        <v>0</v>
      </c>
      <c r="X145" s="113"/>
      <c r="Y145" s="113">
        <f t="shared" ca="1" si="16"/>
        <v>150</v>
      </c>
      <c r="Z145" s="35">
        <v>134</v>
      </c>
      <c r="AA145" s="113"/>
      <c r="AB145" s="35">
        <v>134</v>
      </c>
    </row>
    <row r="146" spans="3:28" x14ac:dyDescent="0.25">
      <c r="C146" t="str" cm="1">
        <f t="array" aca="1" ref="C146" ca="1">IFERROR(IF(INDIRECT($D$2&amp;"!B"&amp;Z146)="","",INDIRECT("'"&amp;$D$2&amp;"'"&amp;"!B"&amp;Z146)),IF(INDIRECT("'"&amp;$D$2&amp;"'"&amp;"!B"&amp;Z146)="","",INDIRECT("'"&amp;$D$2&amp;"'"&amp;"!B"&amp;Z146)))</f>
        <v>Chargeback Dispute Processing Cases Jack Henry intake JHA Debit Processing</v>
      </c>
      <c r="D146" t="str" cm="1">
        <f t="array" aca="1" ref="D146" ca="1">IFERROR(_xlfn.IFS(C146="","",C146&lt;&gt;"",INDEX(SF_Output!I:I,MATCH(C146,SF_Output!M:M,0))),IFERROR(INDEX(INDIRECT($D$2&amp;"!G:G"),MATCH(C146,INDIRECT($D$2&amp;"!B:B"),0)),INDEX(INDIRECT("'"&amp;$D$2&amp;"'!G:G"),MATCH(C146,INDIRECT("'"&amp;$D$2&amp;"'!B:B"),0))))</f>
        <v>Payments</v>
      </c>
      <c r="E146" t="str" cm="1">
        <f t="array" aca="1" ref="E146" ca="1">IFERROR(IF(C146="","",INDIRECT($D$2&amp;"!F"&amp;Z146)),IF(C146="","",INDIRECT("'"&amp;$D$2&amp;"'"&amp;"!F"&amp;Z146)))</f>
        <v>Included</v>
      </c>
      <c r="F146" t="str" cm="1">
        <f t="array" aca="1" ref="F146" ca="1">IFERROR(IF(C146="","",INDIRECT($D$2&amp;"!ak"&amp;Z146)),IF(C146="","",INDIRECT("'"&amp;$D$2&amp;"'"&amp;"!ak"&amp;Z146)))</f>
        <v/>
      </c>
      <c r="G146" cm="1">
        <f t="array" aca="1" ref="G146" ca="1">IFERROR(INDIRECT($D$2&amp;"!h"&amp;Z146),INDIRECT("'"&amp;$D$2&amp;"'"&amp;"!h"&amp;Z146))</f>
        <v>0</v>
      </c>
      <c r="H146" s="125" t="str" cm="1">
        <f t="array" aca="1" ref="H146" ca="1">IFERROR(INDIRECT($D$2&amp;"!i"&amp;Z146),INDIRECT("'"&amp;$D$2&amp;"'"&amp;"!i"&amp;Z146))</f>
        <v/>
      </c>
      <c r="I146" s="113" cm="1">
        <f t="array" aca="1" ref="I146" ca="1">IFERROR(IF($C146="","",INDIRECT($D$2&amp;"!j"&amp;$Z146)+INDIRECT($D$2&amp;"!n"&amp;$Z146)),IF($C146="","",INDIRECT("'"&amp;$D$2&amp;"'"&amp;"!j"&amp;$Z146)+INDIRECT("'"&amp;$D$2&amp;"'"&amp;"!n"&amp;$Z146)))</f>
        <v>0</v>
      </c>
      <c r="J146" s="113">
        <f t="shared" ca="1" si="12"/>
        <v>0</v>
      </c>
      <c r="K146" s="113" cm="1">
        <f t="array" aca="1" ref="K146" ca="1">IFERROR(IF($C146="","",INDIRECT($D$2&amp;"!l"&amp;$Z146)+INDIRECT($D$2&amp;"!p"&amp;$Z146)),IF($C146="","",INDIRECT("'"&amp;$D$2&amp;"'"&amp;"!l"&amp;$Z146)+INDIRECT("'"&amp;$D$2&amp;"'"&amp;"!p"&amp;$Z146)))</f>
        <v>0</v>
      </c>
      <c r="M146" s="113" cm="1">
        <f t="array" aca="1" ref="M146" ca="1">IFERROR(IF($C146="","",INDIRECT($D$2&amp;"!r"&amp;Z146)),IF($C146="","",INDIRECT("'"&amp;$D$2&amp;"'"&amp;"!r"&amp;Z146)))</f>
        <v>0</v>
      </c>
      <c r="N146" s="113">
        <f t="shared" ca="1" si="13"/>
        <v>0</v>
      </c>
      <c r="O146" s="113" cm="1">
        <f t="array" aca="1" ref="O146" ca="1">IFERROR(IF($C146="","",INDIRECT($D$2&amp;"!t"&amp;Z146)),IF($C146="","",INDIRECT("'"&amp;$D$2&amp;"'"&amp;"!t"&amp;Z146)))</f>
        <v>0</v>
      </c>
      <c r="Q146" s="113" cm="1">
        <f t="array" aca="1" ref="Q146" ca="1">IFERROR(IF($C146="","",INDIRECT($D$2&amp;"!v"&amp;Z146)),IF($C146="","",INDIRECT("'"&amp;$D$2&amp;"'"&amp;"!v"&amp;Z146)))</f>
        <v>0</v>
      </c>
      <c r="R146" s="113">
        <f t="shared" ca="1" si="14"/>
        <v>0</v>
      </c>
      <c r="S146" s="113" cm="1">
        <f t="array" aca="1" ref="S146" ca="1">IFERROR(IF($C146="","",INDIRECT($D$2&amp;"!x"&amp;Z146)),IF($C146="","",INDIRECT("'"&amp;$D$2&amp;"'"&amp;"!x"&amp;Z146)))</f>
        <v>0</v>
      </c>
      <c r="U146" s="113" cm="1">
        <f t="array" aca="1" ref="U146" ca="1">IFERROR(IF($C146="","",INDIRECT($D$2&amp;"!z"&amp;Z146)),IF($C146="","",INDIRECT("'"&amp;$D$2&amp;"'"&amp;"!z"&amp;Z146)))</f>
        <v>0</v>
      </c>
      <c r="V146" s="113">
        <f t="shared" ca="1" si="15"/>
        <v>0</v>
      </c>
      <c r="W146" s="113" cm="1">
        <f t="array" aca="1" ref="W146" ca="1">IFERROR(IF($C146="","",INDIRECT($D$2&amp;"!ab"&amp;Z146)),IF($C146="","",INDIRECT("'"&amp;$D$2&amp;"'"&amp;"!ab"&amp;Z146)))</f>
        <v>0</v>
      </c>
      <c r="X146" s="113"/>
      <c r="Y146" s="113">
        <f t="shared" ca="1" si="16"/>
        <v>0</v>
      </c>
      <c r="Z146" s="35">
        <v>135</v>
      </c>
      <c r="AA146" s="113"/>
      <c r="AB146" s="35">
        <v>135</v>
      </c>
    </row>
    <row r="147" spans="3:28" x14ac:dyDescent="0.25">
      <c r="C147" t="str" cm="1">
        <f t="array" aca="1" ref="C147" ca="1">IFERROR(IF(INDIRECT($D$2&amp;"!B"&amp;Z147)="","",INDIRECT("'"&amp;$D$2&amp;"'"&amp;"!B"&amp;Z147)),IF(INDIRECT("'"&amp;$D$2&amp;"'"&amp;"!B"&amp;Z147)="","",INDIRECT("'"&amp;$D$2&amp;"'"&amp;"!B"&amp;Z147)))</f>
        <v>Low-Dollar Write-off, per case JHA Debit Processing</v>
      </c>
      <c r="D147" t="str" cm="1">
        <f t="array" aca="1" ref="D147" ca="1">IFERROR(_xlfn.IFS(C147="","",C147&lt;&gt;"",INDEX(SF_Output!I:I,MATCH(C147,SF_Output!M:M,0))),IFERROR(INDEX(INDIRECT($D$2&amp;"!G:G"),MATCH(C147,INDIRECT($D$2&amp;"!B:B"),0)),INDEX(INDIRECT("'"&amp;$D$2&amp;"'!G:G"),MATCH(C147,INDIRECT("'"&amp;$D$2&amp;"'!B:B"),0))))</f>
        <v>Payments</v>
      </c>
      <c r="E147" t="str" cm="1">
        <f t="array" aca="1" ref="E147" ca="1">IFERROR(IF(C147="","",INDIRECT($D$2&amp;"!F"&amp;Z147)),IF(C147="","",INDIRECT("'"&amp;$D$2&amp;"'"&amp;"!F"&amp;Z147)))</f>
        <v>Included</v>
      </c>
      <c r="F147" t="str" cm="1">
        <f t="array" aca="1" ref="F147" ca="1">IFERROR(IF(C147="","",INDIRECT($D$2&amp;"!ak"&amp;Z147)),IF(C147="","",INDIRECT("'"&amp;$D$2&amp;"'"&amp;"!ak"&amp;Z147)))</f>
        <v/>
      </c>
      <c r="G147" cm="1">
        <f t="array" aca="1" ref="G147" ca="1">IFERROR(INDIRECT($D$2&amp;"!h"&amp;Z147),INDIRECT("'"&amp;$D$2&amp;"'"&amp;"!h"&amp;Z147))</f>
        <v>0</v>
      </c>
      <c r="H147" s="125" t="str" cm="1">
        <f t="array" aca="1" ref="H147" ca="1">IFERROR(INDIRECT($D$2&amp;"!i"&amp;Z147),INDIRECT("'"&amp;$D$2&amp;"'"&amp;"!i"&amp;Z147))</f>
        <v/>
      </c>
      <c r="I147" s="113" cm="1">
        <f t="array" aca="1" ref="I147" ca="1">IFERROR(IF($C147="","",INDIRECT($D$2&amp;"!j"&amp;$Z147)+INDIRECT($D$2&amp;"!n"&amp;$Z147)),IF($C147="","",INDIRECT("'"&amp;$D$2&amp;"'"&amp;"!j"&amp;$Z147)+INDIRECT("'"&amp;$D$2&amp;"'"&amp;"!n"&amp;$Z147)))</f>
        <v>0</v>
      </c>
      <c r="J147" s="113">
        <f t="shared" ca="1" si="12"/>
        <v>0</v>
      </c>
      <c r="K147" s="113" cm="1">
        <f t="array" aca="1" ref="K147" ca="1">IFERROR(IF($C147="","",INDIRECT($D$2&amp;"!l"&amp;$Z147)+INDIRECT($D$2&amp;"!p"&amp;$Z147)),IF($C147="","",INDIRECT("'"&amp;$D$2&amp;"'"&amp;"!l"&amp;$Z147)+INDIRECT("'"&amp;$D$2&amp;"'"&amp;"!p"&amp;$Z147)))</f>
        <v>0</v>
      </c>
      <c r="M147" s="113" cm="1">
        <f t="array" aca="1" ref="M147" ca="1">IFERROR(IF($C147="","",INDIRECT($D$2&amp;"!r"&amp;Z147)),IF($C147="","",INDIRECT("'"&amp;$D$2&amp;"'"&amp;"!r"&amp;Z147)))</f>
        <v>0</v>
      </c>
      <c r="N147" s="113">
        <f t="shared" ca="1" si="13"/>
        <v>0</v>
      </c>
      <c r="O147" s="113" cm="1">
        <f t="array" aca="1" ref="O147" ca="1">IFERROR(IF($C147="","",INDIRECT($D$2&amp;"!t"&amp;Z147)),IF($C147="","",INDIRECT("'"&amp;$D$2&amp;"'"&amp;"!t"&amp;Z147)))</f>
        <v>0</v>
      </c>
      <c r="Q147" s="113" cm="1">
        <f t="array" aca="1" ref="Q147" ca="1">IFERROR(IF($C147="","",INDIRECT($D$2&amp;"!v"&amp;Z147)),IF($C147="","",INDIRECT("'"&amp;$D$2&amp;"'"&amp;"!v"&amp;Z147)))</f>
        <v>0</v>
      </c>
      <c r="R147" s="113">
        <f t="shared" ca="1" si="14"/>
        <v>0</v>
      </c>
      <c r="S147" s="113" cm="1">
        <f t="array" aca="1" ref="S147" ca="1">IFERROR(IF($C147="","",INDIRECT($D$2&amp;"!x"&amp;Z147)),IF($C147="","",INDIRECT("'"&amp;$D$2&amp;"'"&amp;"!x"&amp;Z147)))</f>
        <v>0</v>
      </c>
      <c r="U147" s="113" cm="1">
        <f t="array" aca="1" ref="U147" ca="1">IFERROR(IF($C147="","",INDIRECT($D$2&amp;"!z"&amp;Z147)),IF($C147="","",INDIRECT("'"&amp;$D$2&amp;"'"&amp;"!z"&amp;Z147)))</f>
        <v>0</v>
      </c>
      <c r="V147" s="113">
        <f t="shared" ca="1" si="15"/>
        <v>0</v>
      </c>
      <c r="W147" s="113" cm="1">
        <f t="array" aca="1" ref="W147" ca="1">IFERROR(IF($C147="","",INDIRECT($D$2&amp;"!ab"&amp;Z147)),IF($C147="","",INDIRECT("'"&amp;$D$2&amp;"'"&amp;"!ab"&amp;Z147)))</f>
        <v>0</v>
      </c>
      <c r="X147" s="113"/>
      <c r="Y147" s="113">
        <f t="shared" ca="1" si="16"/>
        <v>0</v>
      </c>
      <c r="Z147" s="35">
        <v>136</v>
      </c>
      <c r="AA147" s="113"/>
      <c r="AB147" s="35">
        <v>136</v>
      </c>
    </row>
    <row r="148" spans="3:28" x14ac:dyDescent="0.25">
      <c r="C148" t="str" cm="1">
        <f t="array" aca="1" ref="C148" ca="1">IFERROR(IF(INDIRECT($D$2&amp;"!B"&amp;Z148)="","",INDIRECT("'"&amp;$D$2&amp;"'"&amp;"!B"&amp;Z148)),IF(INDIRECT("'"&amp;$D$2&amp;"'"&amp;"!B"&amp;Z148)="","",INDIRECT("'"&amp;$D$2&amp;"'"&amp;"!B"&amp;Z148)))</f>
        <v>Full Service Disputes Letters JHA Debit Processing</v>
      </c>
      <c r="D148" t="str" cm="1">
        <f t="array" aca="1" ref="D148" ca="1">IFERROR(_xlfn.IFS(C148="","",C148&lt;&gt;"",INDEX(SF_Output!I:I,MATCH(C148,SF_Output!M:M,0))),IFERROR(INDEX(INDIRECT($D$2&amp;"!G:G"),MATCH(C148,INDIRECT($D$2&amp;"!B:B"),0)),INDEX(INDIRECT("'"&amp;$D$2&amp;"'!G:G"),MATCH(C148,INDIRECT("'"&amp;$D$2&amp;"'!B:B"),0))))</f>
        <v>Payments</v>
      </c>
      <c r="E148" t="str" cm="1">
        <f t="array" aca="1" ref="E148" ca="1">IFERROR(IF(C148="","",INDIRECT($D$2&amp;"!F"&amp;Z148)),IF(C148="","",INDIRECT("'"&amp;$D$2&amp;"'"&amp;"!F"&amp;Z148)))</f>
        <v>Included</v>
      </c>
      <c r="F148" t="str" cm="1">
        <f t="array" aca="1" ref="F148" ca="1">IFERROR(IF(C148="","",INDIRECT($D$2&amp;"!ak"&amp;Z148)),IF(C148="","",INDIRECT("'"&amp;$D$2&amp;"'"&amp;"!ak"&amp;Z148)))</f>
        <v/>
      </c>
      <c r="G148" cm="1">
        <f t="array" aca="1" ref="G148" ca="1">IFERROR(INDIRECT($D$2&amp;"!h"&amp;Z148),INDIRECT("'"&amp;$D$2&amp;"'"&amp;"!h"&amp;Z148))</f>
        <v>0</v>
      </c>
      <c r="H148" s="125" t="str" cm="1">
        <f t="array" aca="1" ref="H148" ca="1">IFERROR(INDIRECT($D$2&amp;"!i"&amp;Z148),INDIRECT("'"&amp;$D$2&amp;"'"&amp;"!i"&amp;Z148))</f>
        <v/>
      </c>
      <c r="I148" s="113" cm="1">
        <f t="array" aca="1" ref="I148" ca="1">IFERROR(IF($C148="","",INDIRECT($D$2&amp;"!j"&amp;$Z148)+INDIRECT($D$2&amp;"!n"&amp;$Z148)),IF($C148="","",INDIRECT("'"&amp;$D$2&amp;"'"&amp;"!j"&amp;$Z148)+INDIRECT("'"&amp;$D$2&amp;"'"&amp;"!n"&amp;$Z148)))</f>
        <v>0</v>
      </c>
      <c r="J148" s="113">
        <f t="shared" ca="1" si="12"/>
        <v>0</v>
      </c>
      <c r="K148" s="113" cm="1">
        <f t="array" aca="1" ref="K148" ca="1">IFERROR(IF($C148="","",INDIRECT($D$2&amp;"!l"&amp;$Z148)+INDIRECT($D$2&amp;"!p"&amp;$Z148)),IF($C148="","",INDIRECT("'"&amp;$D$2&amp;"'"&amp;"!l"&amp;$Z148)+INDIRECT("'"&amp;$D$2&amp;"'"&amp;"!p"&amp;$Z148)))</f>
        <v>0</v>
      </c>
      <c r="M148" s="113" cm="1">
        <f t="array" aca="1" ref="M148" ca="1">IFERROR(IF($C148="","",INDIRECT($D$2&amp;"!r"&amp;Z148)),IF($C148="","",INDIRECT("'"&amp;$D$2&amp;"'"&amp;"!r"&amp;Z148)))</f>
        <v>0</v>
      </c>
      <c r="N148" s="113">
        <f t="shared" ca="1" si="13"/>
        <v>0</v>
      </c>
      <c r="O148" s="113" cm="1">
        <f t="array" aca="1" ref="O148" ca="1">IFERROR(IF($C148="","",INDIRECT($D$2&amp;"!t"&amp;Z148)),IF($C148="","",INDIRECT("'"&amp;$D$2&amp;"'"&amp;"!t"&amp;Z148)))</f>
        <v>0</v>
      </c>
      <c r="Q148" s="113" cm="1">
        <f t="array" aca="1" ref="Q148" ca="1">IFERROR(IF($C148="","",INDIRECT($D$2&amp;"!v"&amp;Z148)),IF($C148="","",INDIRECT("'"&amp;$D$2&amp;"'"&amp;"!v"&amp;Z148)))</f>
        <v>0</v>
      </c>
      <c r="R148" s="113">
        <f t="shared" ca="1" si="14"/>
        <v>0</v>
      </c>
      <c r="S148" s="113" cm="1">
        <f t="array" aca="1" ref="S148" ca="1">IFERROR(IF($C148="","",INDIRECT($D$2&amp;"!x"&amp;Z148)),IF($C148="","",INDIRECT("'"&amp;$D$2&amp;"'"&amp;"!x"&amp;Z148)))</f>
        <v>0</v>
      </c>
      <c r="U148" s="113" cm="1">
        <f t="array" aca="1" ref="U148" ca="1">IFERROR(IF($C148="","",INDIRECT($D$2&amp;"!z"&amp;Z148)),IF($C148="","",INDIRECT("'"&amp;$D$2&amp;"'"&amp;"!z"&amp;Z148)))</f>
        <v>0</v>
      </c>
      <c r="V148" s="113">
        <f t="shared" ca="1" si="15"/>
        <v>0</v>
      </c>
      <c r="W148" s="113" cm="1">
        <f t="array" aca="1" ref="W148" ca="1">IFERROR(IF($C148="","",INDIRECT($D$2&amp;"!ab"&amp;Z148)),IF($C148="","",INDIRECT("'"&amp;$D$2&amp;"'"&amp;"!ab"&amp;Z148)))</f>
        <v>0</v>
      </c>
      <c r="X148" s="113"/>
      <c r="Y148" s="113">
        <f t="shared" ca="1" si="16"/>
        <v>0</v>
      </c>
      <c r="Z148" s="35">
        <v>137</v>
      </c>
      <c r="AA148" s="113"/>
      <c r="AB148" s="35">
        <v>137</v>
      </c>
    </row>
    <row r="149" spans="3:28" x14ac:dyDescent="0.25">
      <c r="C149" t="str" cm="1">
        <f t="array" aca="1" ref="C149" ca="1">IFERROR(IF(INDIRECT($D$2&amp;"!B"&amp;Z149)="","",INDIRECT("'"&amp;$D$2&amp;"'"&amp;"!B"&amp;Z149)),IF(INDIRECT("'"&amp;$D$2&amp;"'"&amp;"!B"&amp;Z149)="","",INDIRECT("'"&amp;$D$2&amp;"'"&amp;"!B"&amp;Z149)))</f>
        <v>Full-Service Disputes Digital SSO Support JHA Debit Processing</v>
      </c>
      <c r="D149" t="str" cm="1">
        <f t="array" aca="1" ref="D149" ca="1">IFERROR(_xlfn.IFS(C149="","",C149&lt;&gt;"",INDEX(SF_Output!I:I,MATCH(C149,SF_Output!M:M,0))),IFERROR(INDEX(INDIRECT($D$2&amp;"!G:G"),MATCH(C149,INDIRECT($D$2&amp;"!B:B"),0)),INDEX(INDIRECT("'"&amp;$D$2&amp;"'!G:G"),MATCH(C149,INDIRECT("'"&amp;$D$2&amp;"'!B:B"),0))))</f>
        <v>Payments</v>
      </c>
      <c r="E149" t="str" cm="1">
        <f t="array" aca="1" ref="E149" ca="1">IFERROR(IF(C149="","",INDIRECT($D$2&amp;"!F"&amp;Z149)),IF(C149="","",INDIRECT("'"&amp;$D$2&amp;"'"&amp;"!F"&amp;Z149)))</f>
        <v>Included</v>
      </c>
      <c r="F149" t="str" cm="1">
        <f t="array" aca="1" ref="F149" ca="1">IFERROR(IF(C149="","",INDIRECT($D$2&amp;"!ak"&amp;Z149)),IF(C149="","",INDIRECT("'"&amp;$D$2&amp;"'"&amp;"!ak"&amp;Z149)))</f>
        <v/>
      </c>
      <c r="G149" cm="1">
        <f t="array" aca="1" ref="G149" ca="1">IFERROR(INDIRECT($D$2&amp;"!h"&amp;Z149),INDIRECT("'"&amp;$D$2&amp;"'"&amp;"!h"&amp;Z149))</f>
        <v>0</v>
      </c>
      <c r="H149" s="125" t="str" cm="1">
        <f t="array" aca="1" ref="H149" ca="1">IFERROR(INDIRECT($D$2&amp;"!i"&amp;Z149),INDIRECT("'"&amp;$D$2&amp;"'"&amp;"!i"&amp;Z149))</f>
        <v/>
      </c>
      <c r="I149" s="113" cm="1">
        <f t="array" aca="1" ref="I149" ca="1">IFERROR(IF($C149="","",INDIRECT($D$2&amp;"!j"&amp;$Z149)+INDIRECT($D$2&amp;"!n"&amp;$Z149)),IF($C149="","",INDIRECT("'"&amp;$D$2&amp;"'"&amp;"!j"&amp;$Z149)+INDIRECT("'"&amp;$D$2&amp;"'"&amp;"!n"&amp;$Z149)))</f>
        <v>2500</v>
      </c>
      <c r="J149" s="113">
        <f t="shared" ca="1" si="12"/>
        <v>-2500</v>
      </c>
      <c r="K149" s="113" cm="1">
        <f t="array" aca="1" ref="K149" ca="1">IFERROR(IF($C149="","",INDIRECT($D$2&amp;"!l"&amp;$Z149)+INDIRECT($D$2&amp;"!p"&amp;$Z149)),IF($C149="","",INDIRECT("'"&amp;$D$2&amp;"'"&amp;"!l"&amp;$Z149)+INDIRECT("'"&amp;$D$2&amp;"'"&amp;"!p"&amp;$Z149)))</f>
        <v>0</v>
      </c>
      <c r="M149" s="113" cm="1">
        <f t="array" aca="1" ref="M149" ca="1">IFERROR(IF($C149="","",INDIRECT($D$2&amp;"!r"&amp;Z149)),IF($C149="","",INDIRECT("'"&amp;$D$2&amp;"'"&amp;"!r"&amp;Z149)))</f>
        <v>0</v>
      </c>
      <c r="N149" s="113">
        <f t="shared" ca="1" si="13"/>
        <v>0</v>
      </c>
      <c r="O149" s="113" cm="1">
        <f t="array" aca="1" ref="O149" ca="1">IFERROR(IF($C149="","",INDIRECT($D$2&amp;"!t"&amp;Z149)),IF($C149="","",INDIRECT("'"&amp;$D$2&amp;"'"&amp;"!t"&amp;Z149)))</f>
        <v>0</v>
      </c>
      <c r="Q149" s="113" cm="1">
        <f t="array" aca="1" ref="Q149" ca="1">IFERROR(IF($C149="","",INDIRECT($D$2&amp;"!v"&amp;Z149)),IF($C149="","",INDIRECT("'"&amp;$D$2&amp;"'"&amp;"!v"&amp;Z149)))</f>
        <v>100</v>
      </c>
      <c r="R149" s="113">
        <f t="shared" ca="1" si="14"/>
        <v>0</v>
      </c>
      <c r="S149" s="113" cm="1">
        <f t="array" aca="1" ref="S149" ca="1">IFERROR(IF($C149="","",INDIRECT($D$2&amp;"!x"&amp;Z149)),IF($C149="","",INDIRECT("'"&amp;$D$2&amp;"'"&amp;"!x"&amp;Z149)))</f>
        <v>100</v>
      </c>
      <c r="U149" s="113" cm="1">
        <f t="array" aca="1" ref="U149" ca="1">IFERROR(IF($C149="","",INDIRECT($D$2&amp;"!z"&amp;Z149)),IF($C149="","",INDIRECT("'"&amp;$D$2&amp;"'"&amp;"!z"&amp;Z149)))</f>
        <v>0</v>
      </c>
      <c r="V149" s="113">
        <f t="shared" ca="1" si="15"/>
        <v>0</v>
      </c>
      <c r="W149" s="113" cm="1">
        <f t="array" aca="1" ref="W149" ca="1">IFERROR(IF($C149="","",INDIRECT($D$2&amp;"!ab"&amp;Z149)),IF($C149="","",INDIRECT("'"&amp;$D$2&amp;"'"&amp;"!ab"&amp;Z149)))</f>
        <v>0</v>
      </c>
      <c r="X149" s="113"/>
      <c r="Y149" s="113">
        <f t="shared" ca="1" si="16"/>
        <v>100</v>
      </c>
      <c r="Z149" s="35">
        <v>138</v>
      </c>
      <c r="AA149" s="113"/>
      <c r="AB149" s="35">
        <v>138</v>
      </c>
    </row>
    <row r="150" spans="3:28" x14ac:dyDescent="0.25">
      <c r="C150" t="str" cm="1">
        <f t="array" aca="1" ref="C150" ca="1">IFERROR(IF(INDIRECT($D$2&amp;"!B"&amp;Z150)="","",INDIRECT("'"&amp;$D$2&amp;"'"&amp;"!B"&amp;Z150)),IF(INDIRECT("'"&amp;$D$2&amp;"'"&amp;"!B"&amp;Z150)="","",INDIRECT("'"&amp;$D$2&amp;"'"&amp;"!B"&amp;Z150)))</f>
        <v>JHA Hot Card Center JHA Debit Processing</v>
      </c>
      <c r="D150" t="str" cm="1">
        <f t="array" aca="1" ref="D150" ca="1">IFERROR(_xlfn.IFS(C150="","",C150&lt;&gt;"",INDEX(SF_Output!I:I,MATCH(C150,SF_Output!M:M,0))),IFERROR(INDEX(INDIRECT($D$2&amp;"!G:G"),MATCH(C150,INDIRECT($D$2&amp;"!B:B"),0)),INDEX(INDIRECT("'"&amp;$D$2&amp;"'!G:G"),MATCH(C150,INDIRECT("'"&amp;$D$2&amp;"'!B:B"),0))))</f>
        <v>Payments</v>
      </c>
      <c r="E150" t="str" cm="1">
        <f t="array" aca="1" ref="E150" ca="1">IFERROR(IF(C150="","",INDIRECT($D$2&amp;"!F"&amp;Z150)),IF(C150="","",INDIRECT("'"&amp;$D$2&amp;"'"&amp;"!F"&amp;Z150)))</f>
        <v>Included</v>
      </c>
      <c r="F150" t="str" cm="1">
        <f t="array" aca="1" ref="F150" ca="1">IFERROR(IF(C150="","",INDIRECT($D$2&amp;"!ak"&amp;Z150)),IF(C150="","",INDIRECT("'"&amp;$D$2&amp;"'"&amp;"!ak"&amp;Z150)))</f>
        <v/>
      </c>
      <c r="G150" cm="1">
        <f t="array" aca="1" ref="G150" ca="1">IFERROR(INDIRECT($D$2&amp;"!h"&amp;Z150),INDIRECT("'"&amp;$D$2&amp;"'"&amp;"!h"&amp;Z150))</f>
        <v>1</v>
      </c>
      <c r="H150" s="125" t="str" cm="1">
        <f t="array" aca="1" ref="H150" ca="1">IFERROR(INDIRECT($D$2&amp;"!i"&amp;Z150),INDIRECT("'"&amp;$D$2&amp;"'"&amp;"!i"&amp;Z150))</f>
        <v/>
      </c>
      <c r="I150" s="113" cm="1">
        <f t="array" aca="1" ref="I150" ca="1">IFERROR(IF($C150="","",INDIRECT($D$2&amp;"!j"&amp;$Z150)+INDIRECT($D$2&amp;"!n"&amp;$Z150)),IF($C150="","",INDIRECT("'"&amp;$D$2&amp;"'"&amp;"!j"&amp;$Z150)+INDIRECT("'"&amp;$D$2&amp;"'"&amp;"!n"&amp;$Z150)))</f>
        <v>500</v>
      </c>
      <c r="J150" s="113">
        <f t="shared" ca="1" si="12"/>
        <v>-500</v>
      </c>
      <c r="K150" s="113" cm="1">
        <f t="array" aca="1" ref="K150" ca="1">IFERROR(IF($C150="","",INDIRECT($D$2&amp;"!l"&amp;$Z150)+INDIRECT($D$2&amp;"!p"&amp;$Z150)),IF($C150="","",INDIRECT("'"&amp;$D$2&amp;"'"&amp;"!l"&amp;$Z150)+INDIRECT("'"&amp;$D$2&amp;"'"&amp;"!p"&amp;$Z150)))</f>
        <v>0</v>
      </c>
      <c r="M150" s="113" cm="1">
        <f t="array" aca="1" ref="M150" ca="1">IFERROR(IF($C150="","",INDIRECT($D$2&amp;"!r"&amp;Z150)),IF($C150="","",INDIRECT("'"&amp;$D$2&amp;"'"&amp;"!r"&amp;Z150)))</f>
        <v>0</v>
      </c>
      <c r="N150" s="113">
        <f t="shared" ca="1" si="13"/>
        <v>0</v>
      </c>
      <c r="O150" s="113" cm="1">
        <f t="array" aca="1" ref="O150" ca="1">IFERROR(IF($C150="","",INDIRECT($D$2&amp;"!t"&amp;Z150)),IF($C150="","",INDIRECT("'"&amp;$D$2&amp;"'"&amp;"!t"&amp;Z150)))</f>
        <v>0</v>
      </c>
      <c r="Q150" s="113" cm="1">
        <f t="array" aca="1" ref="Q150" ca="1">IFERROR(IF($C150="","",INDIRECT($D$2&amp;"!v"&amp;Z150)),IF($C150="","",INDIRECT("'"&amp;$D$2&amp;"'"&amp;"!v"&amp;Z150)))</f>
        <v>100</v>
      </c>
      <c r="R150" s="113">
        <f t="shared" ca="1" si="14"/>
        <v>0</v>
      </c>
      <c r="S150" s="113" cm="1">
        <f t="array" aca="1" ref="S150" ca="1">IFERROR(IF($C150="","",INDIRECT($D$2&amp;"!x"&amp;Z150)),IF($C150="","",INDIRECT("'"&amp;$D$2&amp;"'"&amp;"!x"&amp;Z150)))</f>
        <v>100</v>
      </c>
      <c r="U150" s="113" cm="1">
        <f t="array" aca="1" ref="U150" ca="1">IFERROR(IF($C150="","",INDIRECT($D$2&amp;"!z"&amp;Z150)),IF($C150="","",INDIRECT("'"&amp;$D$2&amp;"'"&amp;"!z"&amp;Z150)))</f>
        <v>0</v>
      </c>
      <c r="V150" s="113">
        <f t="shared" ca="1" si="15"/>
        <v>0</v>
      </c>
      <c r="W150" s="113" cm="1">
        <f t="array" aca="1" ref="W150" ca="1">IFERROR(IF($C150="","",INDIRECT($D$2&amp;"!ab"&amp;Z150)),IF($C150="","",INDIRECT("'"&amp;$D$2&amp;"'"&amp;"!ab"&amp;Z150)))</f>
        <v>0</v>
      </c>
      <c r="X150" s="113"/>
      <c r="Y150" s="113">
        <f t="shared" ca="1" si="16"/>
        <v>100</v>
      </c>
      <c r="Z150" s="35">
        <v>139</v>
      </c>
      <c r="AA150" s="113"/>
      <c r="AB150" s="35">
        <v>139</v>
      </c>
    </row>
    <row r="151" spans="3:28" x14ac:dyDescent="0.25">
      <c r="C151" t="str" cm="1">
        <f t="array" aca="1" ref="C151" ca="1">IFERROR(IF(INDIRECT($D$2&amp;"!B"&amp;Z151)="","",INDIRECT("'"&amp;$D$2&amp;"'"&amp;"!B"&amp;Z151)),IF(INDIRECT("'"&amp;$D$2&amp;"'"&amp;"!B"&amp;Z151)="","",INDIRECT("'"&amp;$D$2&amp;"'"&amp;"!B"&amp;Z151)))</f>
        <v>JHA Hot Card Center Calls JHA Debit Processing</v>
      </c>
      <c r="D151" t="str" cm="1">
        <f t="array" aca="1" ref="D151" ca="1">IFERROR(_xlfn.IFS(C151="","",C151&lt;&gt;"",INDEX(SF_Output!I:I,MATCH(C151,SF_Output!M:M,0))),IFERROR(INDEX(INDIRECT($D$2&amp;"!G:G"),MATCH(C151,INDIRECT($D$2&amp;"!B:B"),0)),INDEX(INDIRECT("'"&amp;$D$2&amp;"'!G:G"),MATCH(C151,INDIRECT("'"&amp;$D$2&amp;"'!B:B"),0))))</f>
        <v>Payments</v>
      </c>
      <c r="E151" t="str" cm="1">
        <f t="array" aca="1" ref="E151" ca="1">IFERROR(IF(C151="","",INDIRECT($D$2&amp;"!F"&amp;Z151)),IF(C151="","",INDIRECT("'"&amp;$D$2&amp;"'"&amp;"!F"&amp;Z151)))</f>
        <v>Included</v>
      </c>
      <c r="F151" t="str" cm="1">
        <f t="array" aca="1" ref="F151" ca="1">IFERROR(IF(C151="","",INDIRECT($D$2&amp;"!ak"&amp;Z151)),IF(C151="","",INDIRECT("'"&amp;$D$2&amp;"'"&amp;"!ak"&amp;Z151)))</f>
        <v/>
      </c>
      <c r="G151" cm="1">
        <f t="array" aca="1" ref="G151" ca="1">IFERROR(INDIRECT($D$2&amp;"!h"&amp;Z151),INDIRECT("'"&amp;$D$2&amp;"'"&amp;"!h"&amp;Z151))</f>
        <v>0</v>
      </c>
      <c r="H151" s="125" t="str" cm="1">
        <f t="array" aca="1" ref="H151" ca="1">IFERROR(INDIRECT($D$2&amp;"!i"&amp;Z151),INDIRECT("'"&amp;$D$2&amp;"'"&amp;"!i"&amp;Z151))</f>
        <v/>
      </c>
      <c r="I151" s="113" cm="1">
        <f t="array" aca="1" ref="I151" ca="1">IFERROR(IF($C151="","",INDIRECT($D$2&amp;"!j"&amp;$Z151)+INDIRECT($D$2&amp;"!n"&amp;$Z151)),IF($C151="","",INDIRECT("'"&amp;$D$2&amp;"'"&amp;"!j"&amp;$Z151)+INDIRECT("'"&amp;$D$2&amp;"'"&amp;"!n"&amp;$Z151)))</f>
        <v>0</v>
      </c>
      <c r="J151" s="113">
        <f t="shared" ca="1" si="12"/>
        <v>0</v>
      </c>
      <c r="K151" s="113" cm="1">
        <f t="array" aca="1" ref="K151" ca="1">IFERROR(IF($C151="","",INDIRECT($D$2&amp;"!l"&amp;$Z151)+INDIRECT($D$2&amp;"!p"&amp;$Z151)),IF($C151="","",INDIRECT("'"&amp;$D$2&amp;"'"&amp;"!l"&amp;$Z151)+INDIRECT("'"&amp;$D$2&amp;"'"&amp;"!p"&amp;$Z151)))</f>
        <v>0</v>
      </c>
      <c r="M151" s="113" cm="1">
        <f t="array" aca="1" ref="M151" ca="1">IFERROR(IF($C151="","",INDIRECT($D$2&amp;"!r"&amp;Z151)),IF($C151="","",INDIRECT("'"&amp;$D$2&amp;"'"&amp;"!r"&amp;Z151)))</f>
        <v>0</v>
      </c>
      <c r="N151" s="113">
        <f t="shared" ca="1" si="13"/>
        <v>0</v>
      </c>
      <c r="O151" s="113" cm="1">
        <f t="array" aca="1" ref="O151" ca="1">IFERROR(IF($C151="","",INDIRECT($D$2&amp;"!t"&amp;Z151)),IF($C151="","",INDIRECT("'"&amp;$D$2&amp;"'"&amp;"!t"&amp;Z151)))</f>
        <v>0</v>
      </c>
      <c r="Q151" s="113" cm="1">
        <f t="array" aca="1" ref="Q151" ca="1">IFERROR(IF($C151="","",INDIRECT($D$2&amp;"!v"&amp;Z151)),IF($C151="","",INDIRECT("'"&amp;$D$2&amp;"'"&amp;"!v"&amp;Z151)))</f>
        <v>0</v>
      </c>
      <c r="R151" s="113">
        <f t="shared" ca="1" si="14"/>
        <v>0</v>
      </c>
      <c r="S151" s="113" cm="1">
        <f t="array" aca="1" ref="S151" ca="1">IFERROR(IF($C151="","",INDIRECT($D$2&amp;"!x"&amp;Z151)),IF($C151="","",INDIRECT("'"&amp;$D$2&amp;"'"&amp;"!x"&amp;Z151)))</f>
        <v>0</v>
      </c>
      <c r="U151" s="113" cm="1">
        <f t="array" aca="1" ref="U151" ca="1">IFERROR(IF($C151="","",INDIRECT($D$2&amp;"!z"&amp;Z151)),IF($C151="","",INDIRECT("'"&amp;$D$2&amp;"'"&amp;"!z"&amp;Z151)))</f>
        <v>0</v>
      </c>
      <c r="V151" s="113">
        <f t="shared" ca="1" si="15"/>
        <v>0</v>
      </c>
      <c r="W151" s="113" cm="1">
        <f t="array" aca="1" ref="W151" ca="1">IFERROR(IF($C151="","",INDIRECT($D$2&amp;"!ab"&amp;Z151)),IF($C151="","",INDIRECT("'"&amp;$D$2&amp;"'"&amp;"!ab"&amp;Z151)))</f>
        <v>0</v>
      </c>
      <c r="X151" s="113"/>
      <c r="Y151" s="113">
        <f t="shared" ca="1" si="16"/>
        <v>0</v>
      </c>
      <c r="Z151" s="35">
        <v>140</v>
      </c>
      <c r="AA151" s="113"/>
      <c r="AB151" s="35">
        <v>140</v>
      </c>
    </row>
    <row r="152" spans="3:28" x14ac:dyDescent="0.25">
      <c r="C152" t="str" cm="1">
        <f t="array" aca="1" ref="C152" ca="1">IFERROR(IF(INDIRECT($D$2&amp;"!B"&amp;Z152)="","",INDIRECT("'"&amp;$D$2&amp;"'"&amp;"!B"&amp;Z152)),IF(INDIRECT("'"&amp;$D$2&amp;"'"&amp;"!B"&amp;Z152)="","",INDIRECT("'"&amp;$D$2&amp;"'"&amp;"!B"&amp;Z152)))</f>
        <v>Ethoca (based on dollars recovered) JHA Debit Processing</v>
      </c>
      <c r="D152" t="str" cm="1">
        <f t="array" aca="1" ref="D152" ca="1">IFERROR(_xlfn.IFS(C152="","",C152&lt;&gt;"",INDEX(SF_Output!I:I,MATCH(C152,SF_Output!M:M,0))),IFERROR(INDEX(INDIRECT($D$2&amp;"!G:G"),MATCH(C152,INDIRECT($D$2&amp;"!B:B"),0)),INDEX(INDIRECT("'"&amp;$D$2&amp;"'!G:G"),MATCH(C152,INDIRECT("'"&amp;$D$2&amp;"'!B:B"),0))))</f>
        <v>Payments</v>
      </c>
      <c r="E152" t="str" cm="1">
        <f t="array" aca="1" ref="E152" ca="1">IFERROR(IF(C152="","",INDIRECT($D$2&amp;"!F"&amp;Z152)),IF(C152="","",INDIRECT("'"&amp;$D$2&amp;"'"&amp;"!F"&amp;Z152)))</f>
        <v>Included</v>
      </c>
      <c r="F152" t="str" cm="1">
        <f t="array" aca="1" ref="F152" ca="1">IFERROR(IF(C152="","",INDIRECT($D$2&amp;"!ak"&amp;Z152)),IF(C152="","",INDIRECT("'"&amp;$D$2&amp;"'"&amp;"!ak"&amp;Z152)))</f>
        <v/>
      </c>
      <c r="G152" cm="1">
        <f t="array" aca="1" ref="G152" ca="1">IFERROR(INDIRECT($D$2&amp;"!h"&amp;Z152),INDIRECT("'"&amp;$D$2&amp;"'"&amp;"!h"&amp;Z152))</f>
        <v>0</v>
      </c>
      <c r="H152" s="125" t="str" cm="1">
        <f t="array" aca="1" ref="H152" ca="1">IFERROR(INDIRECT($D$2&amp;"!i"&amp;Z152),INDIRECT("'"&amp;$D$2&amp;"'"&amp;"!i"&amp;Z152))</f>
        <v/>
      </c>
      <c r="I152" s="113" cm="1">
        <f t="array" aca="1" ref="I152" ca="1">IFERROR(IF($C152="","",INDIRECT($D$2&amp;"!j"&amp;$Z152)+INDIRECT($D$2&amp;"!n"&amp;$Z152)),IF($C152="","",INDIRECT("'"&amp;$D$2&amp;"'"&amp;"!j"&amp;$Z152)+INDIRECT("'"&amp;$D$2&amp;"'"&amp;"!n"&amp;$Z152)))</f>
        <v>4000</v>
      </c>
      <c r="J152" s="113">
        <f t="shared" ca="1" si="12"/>
        <v>-4000</v>
      </c>
      <c r="K152" s="113" cm="1">
        <f t="array" aca="1" ref="K152" ca="1">IFERROR(IF($C152="","",INDIRECT($D$2&amp;"!l"&amp;$Z152)+INDIRECT($D$2&amp;"!p"&amp;$Z152)),IF($C152="","",INDIRECT("'"&amp;$D$2&amp;"'"&amp;"!l"&amp;$Z152)+INDIRECT("'"&amp;$D$2&amp;"'"&amp;"!p"&amp;$Z152)))</f>
        <v>0</v>
      </c>
      <c r="M152" s="113" cm="1">
        <f t="array" aca="1" ref="M152" ca="1">IFERROR(IF($C152="","",INDIRECT($D$2&amp;"!r"&amp;Z152)),IF($C152="","",INDIRECT("'"&amp;$D$2&amp;"'"&amp;"!r"&amp;Z152)))</f>
        <v>0</v>
      </c>
      <c r="N152" s="113">
        <f t="shared" ca="1" si="13"/>
        <v>0</v>
      </c>
      <c r="O152" s="113" cm="1">
        <f t="array" aca="1" ref="O152" ca="1">IFERROR(IF($C152="","",INDIRECT($D$2&amp;"!t"&amp;Z152)),IF($C152="","",INDIRECT("'"&amp;$D$2&amp;"'"&amp;"!t"&amp;Z152)))</f>
        <v>0</v>
      </c>
      <c r="Q152" s="113" cm="1">
        <f t="array" aca="1" ref="Q152" ca="1">IFERROR(IF($C152="","",INDIRECT($D$2&amp;"!v"&amp;Z152)),IF($C152="","",INDIRECT("'"&amp;$D$2&amp;"'"&amp;"!v"&amp;Z152)))</f>
        <v>0</v>
      </c>
      <c r="R152" s="113">
        <f t="shared" ca="1" si="14"/>
        <v>0</v>
      </c>
      <c r="S152" s="113" cm="1">
        <f t="array" aca="1" ref="S152" ca="1">IFERROR(IF($C152="","",INDIRECT($D$2&amp;"!x"&amp;Z152)),IF($C152="","",INDIRECT("'"&amp;$D$2&amp;"'"&amp;"!x"&amp;Z152)))</f>
        <v>0</v>
      </c>
      <c r="U152" s="113" cm="1">
        <f t="array" aca="1" ref="U152" ca="1">IFERROR(IF($C152="","",INDIRECT($D$2&amp;"!z"&amp;Z152)),IF($C152="","",INDIRECT("'"&amp;$D$2&amp;"'"&amp;"!z"&amp;Z152)))</f>
        <v>0</v>
      </c>
      <c r="V152" s="113">
        <f t="shared" ca="1" si="15"/>
        <v>0</v>
      </c>
      <c r="W152" s="113" cm="1">
        <f t="array" aca="1" ref="W152" ca="1">IFERROR(IF($C152="","",INDIRECT($D$2&amp;"!ab"&amp;Z152)),IF($C152="","",INDIRECT("'"&amp;$D$2&amp;"'"&amp;"!ab"&amp;Z152)))</f>
        <v>0</v>
      </c>
      <c r="X152" s="113"/>
      <c r="Y152" s="113">
        <f t="shared" ca="1" si="16"/>
        <v>0</v>
      </c>
      <c r="Z152" s="35">
        <v>141</v>
      </c>
      <c r="AA152" s="113"/>
      <c r="AB152" s="35">
        <v>141</v>
      </c>
    </row>
    <row r="153" spans="3:28" x14ac:dyDescent="0.25">
      <c r="C153" t="str" cm="1">
        <f t="array" aca="1" ref="C153" ca="1">IFERROR(IF(INDIRECT($D$2&amp;"!B"&amp;Z153)="","",INDIRECT("'"&amp;$D$2&amp;"'"&amp;"!B"&amp;Z153)),IF(INDIRECT("'"&amp;$D$2&amp;"'"&amp;"!B"&amp;Z153)="","",INDIRECT("'"&amp;$D$2&amp;"'"&amp;"!B"&amp;Z153)))</f>
        <v>Debit Adjustment Dispute JHA Debit Processing</v>
      </c>
      <c r="D153" t="str" cm="1">
        <f t="array" aca="1" ref="D153" ca="1">IFERROR(_xlfn.IFS(C153="","",C153&lt;&gt;"",INDEX(SF_Output!I:I,MATCH(C153,SF_Output!M:M,0))),IFERROR(INDEX(INDIRECT($D$2&amp;"!G:G"),MATCH(C153,INDIRECT($D$2&amp;"!B:B"),0)),INDEX(INDIRECT("'"&amp;$D$2&amp;"'!G:G"),MATCH(C153,INDIRECT("'"&amp;$D$2&amp;"'!B:B"),0))))</f>
        <v>Payments</v>
      </c>
      <c r="E153" t="str" cm="1">
        <f t="array" aca="1" ref="E153" ca="1">IFERROR(IF(C153="","",INDIRECT($D$2&amp;"!F"&amp;Z153)),IF(C153="","",INDIRECT("'"&amp;$D$2&amp;"'"&amp;"!F"&amp;Z153)))</f>
        <v>Included</v>
      </c>
      <c r="F153" t="str" cm="1">
        <f t="array" aca="1" ref="F153" ca="1">IFERROR(IF(C153="","",INDIRECT($D$2&amp;"!ak"&amp;Z153)),IF(C153="","",INDIRECT("'"&amp;$D$2&amp;"'"&amp;"!ak"&amp;Z153)))</f>
        <v/>
      </c>
      <c r="G153" cm="1">
        <f t="array" aca="1" ref="G153" ca="1">IFERROR(INDIRECT($D$2&amp;"!h"&amp;Z153),INDIRECT("'"&amp;$D$2&amp;"'"&amp;"!h"&amp;Z153))</f>
        <v>0</v>
      </c>
      <c r="H153" s="125" t="str" cm="1">
        <f t="array" aca="1" ref="H153" ca="1">IFERROR(INDIRECT($D$2&amp;"!i"&amp;Z153),INDIRECT("'"&amp;$D$2&amp;"'"&amp;"!i"&amp;Z153))</f>
        <v/>
      </c>
      <c r="I153" s="113" cm="1">
        <f t="array" aca="1" ref="I153" ca="1">IFERROR(IF($C153="","",INDIRECT($D$2&amp;"!j"&amp;$Z153)+INDIRECT($D$2&amp;"!n"&amp;$Z153)),IF($C153="","",INDIRECT("'"&amp;$D$2&amp;"'"&amp;"!j"&amp;$Z153)+INDIRECT("'"&amp;$D$2&amp;"'"&amp;"!n"&amp;$Z153)))</f>
        <v>0</v>
      </c>
      <c r="J153" s="113">
        <f t="shared" ca="1" si="12"/>
        <v>0</v>
      </c>
      <c r="K153" s="113" cm="1">
        <f t="array" aca="1" ref="K153" ca="1">IFERROR(IF($C153="","",INDIRECT($D$2&amp;"!l"&amp;$Z153)+INDIRECT($D$2&amp;"!p"&amp;$Z153)),IF($C153="","",INDIRECT("'"&amp;$D$2&amp;"'"&amp;"!l"&amp;$Z153)+INDIRECT("'"&amp;$D$2&amp;"'"&amp;"!p"&amp;$Z153)))</f>
        <v>0</v>
      </c>
      <c r="M153" s="113" cm="1">
        <f t="array" aca="1" ref="M153" ca="1">IFERROR(IF($C153="","",INDIRECT($D$2&amp;"!r"&amp;Z153)),IF($C153="","",INDIRECT("'"&amp;$D$2&amp;"'"&amp;"!r"&amp;Z153)))</f>
        <v>0</v>
      </c>
      <c r="N153" s="113">
        <f t="shared" ca="1" si="13"/>
        <v>0</v>
      </c>
      <c r="O153" s="113" cm="1">
        <f t="array" aca="1" ref="O153" ca="1">IFERROR(IF($C153="","",INDIRECT($D$2&amp;"!t"&amp;Z153)),IF($C153="","",INDIRECT("'"&amp;$D$2&amp;"'"&amp;"!t"&amp;Z153)))</f>
        <v>0</v>
      </c>
      <c r="Q153" s="113" cm="1">
        <f t="array" aca="1" ref="Q153" ca="1">IFERROR(IF($C153="","",INDIRECT($D$2&amp;"!v"&amp;Z153)),IF($C153="","",INDIRECT("'"&amp;$D$2&amp;"'"&amp;"!v"&amp;Z153)))</f>
        <v>0</v>
      </c>
      <c r="R153" s="113">
        <f t="shared" ca="1" si="14"/>
        <v>0</v>
      </c>
      <c r="S153" s="113" cm="1">
        <f t="array" aca="1" ref="S153" ca="1">IFERROR(IF($C153="","",INDIRECT($D$2&amp;"!x"&amp;Z153)),IF($C153="","",INDIRECT("'"&amp;$D$2&amp;"'"&amp;"!x"&amp;Z153)))</f>
        <v>0</v>
      </c>
      <c r="U153" s="113" cm="1">
        <f t="array" aca="1" ref="U153" ca="1">IFERROR(IF($C153="","",INDIRECT($D$2&amp;"!z"&amp;Z153)),IF($C153="","",INDIRECT("'"&amp;$D$2&amp;"'"&amp;"!z"&amp;Z153)))</f>
        <v>0</v>
      </c>
      <c r="V153" s="113">
        <f t="shared" ca="1" si="15"/>
        <v>0</v>
      </c>
      <c r="W153" s="113" cm="1">
        <f t="array" aca="1" ref="W153" ca="1">IFERROR(IF($C153="","",INDIRECT($D$2&amp;"!ab"&amp;Z153)),IF($C153="","",INDIRECT("'"&amp;$D$2&amp;"'"&amp;"!ab"&amp;Z153)))</f>
        <v>0</v>
      </c>
      <c r="X153" s="113"/>
      <c r="Y153" s="113">
        <f t="shared" ca="1" si="16"/>
        <v>0</v>
      </c>
      <c r="Z153" s="35">
        <v>142</v>
      </c>
      <c r="AA153" s="113"/>
      <c r="AB153" s="35">
        <v>142</v>
      </c>
    </row>
    <row r="154" spans="3:28" x14ac:dyDescent="0.25">
      <c r="C154" t="str" cm="1">
        <f t="array" aca="1" ref="C154" ca="1">IFERROR(IF(INDIRECT($D$2&amp;"!B"&amp;Z154)="","",INDIRECT("'"&amp;$D$2&amp;"'"&amp;"!B"&amp;Z154)),IF(INDIRECT("'"&amp;$D$2&amp;"'"&amp;"!B"&amp;Z154)="","",INDIRECT("'"&amp;$D$2&amp;"'"&amp;"!B"&amp;Z154)))</f>
        <v>Network Fraud Reporting JHA Debit Processing</v>
      </c>
      <c r="D154" t="str" cm="1">
        <f t="array" aca="1" ref="D154" ca="1">IFERROR(_xlfn.IFS(C154="","",C154&lt;&gt;"",INDEX(SF_Output!I:I,MATCH(C154,SF_Output!M:M,0))),IFERROR(INDEX(INDIRECT($D$2&amp;"!G:G"),MATCH(C154,INDIRECT($D$2&amp;"!B:B"),0)),INDEX(INDIRECT("'"&amp;$D$2&amp;"'!G:G"),MATCH(C154,INDIRECT("'"&amp;$D$2&amp;"'!B:B"),0))))</f>
        <v>Payments</v>
      </c>
      <c r="E154" t="str" cm="1">
        <f t="array" aca="1" ref="E154" ca="1">IFERROR(IF(C154="","",INDIRECT($D$2&amp;"!F"&amp;Z154)),IF(C154="","",INDIRECT("'"&amp;$D$2&amp;"'"&amp;"!F"&amp;Z154)))</f>
        <v>Included</v>
      </c>
      <c r="F154" t="str" cm="1">
        <f t="array" aca="1" ref="F154" ca="1">IFERROR(IF(C154="","",INDIRECT($D$2&amp;"!ak"&amp;Z154)),IF(C154="","",INDIRECT("'"&amp;$D$2&amp;"'"&amp;"!ak"&amp;Z154)))</f>
        <v/>
      </c>
      <c r="G154" cm="1">
        <f t="array" aca="1" ref="G154" ca="1">IFERROR(INDIRECT($D$2&amp;"!h"&amp;Z154),INDIRECT("'"&amp;$D$2&amp;"'"&amp;"!h"&amp;Z154))</f>
        <v>0</v>
      </c>
      <c r="H154" s="125" t="str" cm="1">
        <f t="array" aca="1" ref="H154" ca="1">IFERROR(INDIRECT($D$2&amp;"!i"&amp;Z154),INDIRECT("'"&amp;$D$2&amp;"'"&amp;"!i"&amp;Z154))</f>
        <v/>
      </c>
      <c r="I154" s="113" cm="1">
        <f t="array" aca="1" ref="I154" ca="1">IFERROR(IF($C154="","",INDIRECT($D$2&amp;"!j"&amp;$Z154)+INDIRECT($D$2&amp;"!n"&amp;$Z154)),IF($C154="","",INDIRECT("'"&amp;$D$2&amp;"'"&amp;"!j"&amp;$Z154)+INDIRECT("'"&amp;$D$2&amp;"'"&amp;"!n"&amp;$Z154)))</f>
        <v>0</v>
      </c>
      <c r="J154" s="113">
        <f t="shared" ref="J154:J217" ca="1" si="17">IF(I154="","",K154-I154)</f>
        <v>0</v>
      </c>
      <c r="K154" s="113" cm="1">
        <f t="array" aca="1" ref="K154" ca="1">IFERROR(IF($C154="","",INDIRECT($D$2&amp;"!l"&amp;$Z154)+INDIRECT($D$2&amp;"!p"&amp;$Z154)),IF($C154="","",INDIRECT("'"&amp;$D$2&amp;"'"&amp;"!l"&amp;$Z154)+INDIRECT("'"&amp;$D$2&amp;"'"&amp;"!p"&amp;$Z154)))</f>
        <v>0</v>
      </c>
      <c r="M154" s="113" cm="1">
        <f t="array" aca="1" ref="M154" ca="1">IFERROR(IF($C154="","",INDIRECT($D$2&amp;"!r"&amp;Z154)),IF($C154="","",INDIRECT("'"&amp;$D$2&amp;"'"&amp;"!r"&amp;Z154)))</f>
        <v>0</v>
      </c>
      <c r="N154" s="113">
        <f t="shared" ref="N154:N217" ca="1" si="18">IF(M154="","",O154-M154)</f>
        <v>0</v>
      </c>
      <c r="O154" s="113" cm="1">
        <f t="array" aca="1" ref="O154" ca="1">IFERROR(IF($C154="","",INDIRECT($D$2&amp;"!t"&amp;Z154)),IF($C154="","",INDIRECT("'"&amp;$D$2&amp;"'"&amp;"!t"&amp;Z154)))</f>
        <v>0</v>
      </c>
      <c r="Q154" s="113" cm="1">
        <f t="array" aca="1" ref="Q154" ca="1">IFERROR(IF($C154="","",INDIRECT($D$2&amp;"!v"&amp;Z154)),IF($C154="","",INDIRECT("'"&amp;$D$2&amp;"'"&amp;"!v"&amp;Z154)))</f>
        <v>0</v>
      </c>
      <c r="R154" s="113">
        <f t="shared" ref="R154:R217" ca="1" si="19">IF(Q154="","",S154-Q154)</f>
        <v>0</v>
      </c>
      <c r="S154" s="113" cm="1">
        <f t="array" aca="1" ref="S154" ca="1">IFERROR(IF($C154="","",INDIRECT($D$2&amp;"!x"&amp;Z154)),IF($C154="","",INDIRECT("'"&amp;$D$2&amp;"'"&amp;"!x"&amp;Z154)))</f>
        <v>0</v>
      </c>
      <c r="U154" s="113" cm="1">
        <f t="array" aca="1" ref="U154" ca="1">IFERROR(IF($C154="","",INDIRECT($D$2&amp;"!z"&amp;Z154)),IF($C154="","",INDIRECT("'"&amp;$D$2&amp;"'"&amp;"!z"&amp;Z154)))</f>
        <v>0</v>
      </c>
      <c r="V154" s="113">
        <f t="shared" ref="V154:V217" ca="1" si="20">IF(U154="","",W154-U154)</f>
        <v>0</v>
      </c>
      <c r="W154" s="113" cm="1">
        <f t="array" aca="1" ref="W154" ca="1">IFERROR(IF($C154="","",INDIRECT($D$2&amp;"!ab"&amp;Z154)),IF($C154="","",INDIRECT("'"&amp;$D$2&amp;"'"&amp;"!ab"&amp;Z154)))</f>
        <v>0</v>
      </c>
      <c r="X154" s="113"/>
      <c r="Y154" s="113">
        <f t="shared" ref="Y154:Y217" ca="1" si="21">IF(W154="","",S154-W154)</f>
        <v>0</v>
      </c>
      <c r="Z154" s="35">
        <v>143</v>
      </c>
      <c r="AA154" s="113"/>
      <c r="AB154" s="35">
        <v>143</v>
      </c>
    </row>
    <row r="155" spans="3:28" x14ac:dyDescent="0.25">
      <c r="C155" t="str" cm="1">
        <f t="array" aca="1" ref="C155" ca="1">IFERROR(IF(INDIRECT($D$2&amp;"!B"&amp;Z155)="","",INDIRECT("'"&amp;$D$2&amp;"'"&amp;"!B"&amp;Z155)),IF(INDIRECT("'"&amp;$D$2&amp;"'"&amp;"!B"&amp;Z155)="","",INDIRECT("'"&amp;$D$2&amp;"'"&amp;"!B"&amp;Z155)))</f>
        <v>MyCardRules JHA Debit Processing</v>
      </c>
      <c r="D155" t="str" cm="1">
        <f t="array" aca="1" ref="D155" ca="1">IFERROR(_xlfn.IFS(C155="","",C155&lt;&gt;"",INDEX(SF_Output!I:I,MATCH(C155,SF_Output!M:M,0))),IFERROR(INDEX(INDIRECT($D$2&amp;"!G:G"),MATCH(C155,INDIRECT($D$2&amp;"!B:B"),0)),INDEX(INDIRECT("'"&amp;$D$2&amp;"'!G:G"),MATCH(C155,INDIRECT("'"&amp;$D$2&amp;"'!B:B"),0))))</f>
        <v>Payments</v>
      </c>
      <c r="E155" t="str" cm="1">
        <f t="array" aca="1" ref="E155" ca="1">IFERROR(IF(C155="","",INDIRECT($D$2&amp;"!F"&amp;Z155)),IF(C155="","",INDIRECT("'"&amp;$D$2&amp;"'"&amp;"!F"&amp;Z155)))</f>
        <v>Included</v>
      </c>
      <c r="F155" t="str" cm="1">
        <f t="array" aca="1" ref="F155" ca="1">IFERROR(IF(C155="","",INDIRECT($D$2&amp;"!ak"&amp;Z155)),IF(C155="","",INDIRECT("'"&amp;$D$2&amp;"'"&amp;"!ak"&amp;Z155)))</f>
        <v/>
      </c>
      <c r="G155" cm="1">
        <f t="array" aca="1" ref="G155" ca="1">IFERROR(INDIRECT($D$2&amp;"!h"&amp;Z155),INDIRECT("'"&amp;$D$2&amp;"'"&amp;"!h"&amp;Z155))</f>
        <v>0</v>
      </c>
      <c r="H155" s="125" t="str" cm="1">
        <f t="array" aca="1" ref="H155" ca="1">IFERROR(INDIRECT($D$2&amp;"!i"&amp;Z155),INDIRECT("'"&amp;$D$2&amp;"'"&amp;"!i"&amp;Z155))</f>
        <v/>
      </c>
      <c r="I155" s="113" cm="1">
        <f t="array" aca="1" ref="I155" ca="1">IFERROR(IF($C155="","",INDIRECT($D$2&amp;"!j"&amp;$Z155)+INDIRECT($D$2&amp;"!n"&amp;$Z155)),IF($C155="","",INDIRECT("'"&amp;$D$2&amp;"'"&amp;"!j"&amp;$Z155)+INDIRECT("'"&amp;$D$2&amp;"'"&amp;"!n"&amp;$Z155)))</f>
        <v>1500</v>
      </c>
      <c r="J155" s="113">
        <f t="shared" ca="1" si="17"/>
        <v>-1500</v>
      </c>
      <c r="K155" s="113" cm="1">
        <f t="array" aca="1" ref="K155" ca="1">IFERROR(IF($C155="","",INDIRECT($D$2&amp;"!l"&amp;$Z155)+INDIRECT($D$2&amp;"!p"&amp;$Z155)),IF($C155="","",INDIRECT("'"&amp;$D$2&amp;"'"&amp;"!l"&amp;$Z155)+INDIRECT("'"&amp;$D$2&amp;"'"&amp;"!p"&amp;$Z155)))</f>
        <v>0</v>
      </c>
      <c r="M155" s="113" cm="1">
        <f t="array" aca="1" ref="M155" ca="1">IFERROR(IF($C155="","",INDIRECT($D$2&amp;"!r"&amp;Z155)),IF($C155="","",INDIRECT("'"&amp;$D$2&amp;"'"&amp;"!r"&amp;Z155)))</f>
        <v>0</v>
      </c>
      <c r="N155" s="113">
        <f t="shared" ca="1" si="18"/>
        <v>0</v>
      </c>
      <c r="O155" s="113" cm="1">
        <f t="array" aca="1" ref="O155" ca="1">IFERROR(IF($C155="","",INDIRECT($D$2&amp;"!t"&amp;Z155)),IF($C155="","",INDIRECT("'"&amp;$D$2&amp;"'"&amp;"!t"&amp;Z155)))</f>
        <v>0</v>
      </c>
      <c r="Q155" s="113" cm="1">
        <f t="array" aca="1" ref="Q155" ca="1">IFERROR(IF($C155="","",INDIRECT($D$2&amp;"!v"&amp;Z155)),IF($C155="","",INDIRECT("'"&amp;$D$2&amp;"'"&amp;"!v"&amp;Z155)))</f>
        <v>250</v>
      </c>
      <c r="R155" s="113">
        <f t="shared" ca="1" si="19"/>
        <v>0</v>
      </c>
      <c r="S155" s="113" cm="1">
        <f t="array" aca="1" ref="S155" ca="1">IFERROR(IF($C155="","",INDIRECT($D$2&amp;"!x"&amp;Z155)),IF($C155="","",INDIRECT("'"&amp;$D$2&amp;"'"&amp;"!x"&amp;Z155)))</f>
        <v>250</v>
      </c>
      <c r="U155" s="113" cm="1">
        <f t="array" aca="1" ref="U155" ca="1">IFERROR(IF($C155="","",INDIRECT($D$2&amp;"!z"&amp;Z155)),IF($C155="","",INDIRECT("'"&amp;$D$2&amp;"'"&amp;"!z"&amp;Z155)))</f>
        <v>0</v>
      </c>
      <c r="V155" s="113">
        <f t="shared" ca="1" si="20"/>
        <v>0</v>
      </c>
      <c r="W155" s="113" cm="1">
        <f t="array" aca="1" ref="W155" ca="1">IFERROR(IF($C155="","",INDIRECT($D$2&amp;"!ab"&amp;Z155)),IF($C155="","",INDIRECT("'"&amp;$D$2&amp;"'"&amp;"!ab"&amp;Z155)))</f>
        <v>0</v>
      </c>
      <c r="X155" s="113"/>
      <c r="Y155" s="113">
        <f t="shared" ca="1" si="21"/>
        <v>250</v>
      </c>
      <c r="Z155" s="35">
        <v>144</v>
      </c>
      <c r="AA155" s="113"/>
      <c r="AB155" s="35">
        <v>144</v>
      </c>
    </row>
    <row r="156" spans="3:28" x14ac:dyDescent="0.25">
      <c r="C156" t="str" cm="1">
        <f t="array" aca="1" ref="C156" ca="1">IFERROR(IF(INDIRECT($D$2&amp;"!B"&amp;Z156)="","",INDIRECT("'"&amp;$D$2&amp;"'"&amp;"!B"&amp;Z156)),IF(INDIRECT("'"&amp;$D$2&amp;"'"&amp;"!B"&amp;Z156)="","",INDIRECT("'"&amp;$D$2&amp;"'"&amp;"!B"&amp;Z156)))</f>
        <v>Payrailz Bundle</v>
      </c>
      <c r="D156" t="str" cm="1">
        <f t="array" aca="1" ref="D156" ca="1">IFERROR(_xlfn.IFS(C156="","",C156&lt;&gt;"",INDEX(SF_Output!I:I,MATCH(C156,SF_Output!M:M,0))),IFERROR(INDEX(INDIRECT($D$2&amp;"!G:G"),MATCH(C156,INDIRECT($D$2&amp;"!B:B"),0)),INDEX(INDIRECT("'"&amp;$D$2&amp;"'!G:G"),MATCH(C156,INDIRECT("'"&amp;$D$2&amp;"'!B:B"),0))))</f>
        <v>Payments</v>
      </c>
      <c r="E156" t="str" cm="1">
        <f t="array" aca="1" ref="E156" ca="1">IFERROR(IF(C156="","",INDIRECT($D$2&amp;"!F"&amp;Z156)),IF(C156="","",INDIRECT("'"&amp;$D$2&amp;"'"&amp;"!F"&amp;Z156)))</f>
        <v>Included</v>
      </c>
      <c r="F156" t="str" cm="1">
        <f t="array" aca="1" ref="F156" ca="1">IFERROR(IF(C156="","",INDIRECT($D$2&amp;"!ak"&amp;Z156)),IF(C156="","",INDIRECT("'"&amp;$D$2&amp;"'"&amp;"!ak"&amp;Z156)))</f>
        <v/>
      </c>
      <c r="G156" cm="1">
        <f t="array" aca="1" ref="G156" ca="1">IFERROR(INDIRECT($D$2&amp;"!h"&amp;Z156),INDIRECT("'"&amp;$D$2&amp;"'"&amp;"!h"&amp;Z156))</f>
        <v>1</v>
      </c>
      <c r="H156" s="125" t="str" cm="1">
        <f t="array" aca="1" ref="H156" ca="1">IFERROR(INDIRECT($D$2&amp;"!i"&amp;Z156),INDIRECT("'"&amp;$D$2&amp;"'"&amp;"!i"&amp;Z156))</f>
        <v/>
      </c>
      <c r="I156" s="113" cm="1">
        <f t="array" aca="1" ref="I156" ca="1">IFERROR(IF($C156="","",INDIRECT($D$2&amp;"!j"&amp;$Z156)+INDIRECT($D$2&amp;"!n"&amp;$Z156)),IF($C156="","",INDIRECT("'"&amp;$D$2&amp;"'"&amp;"!j"&amp;$Z156)+INDIRECT("'"&amp;$D$2&amp;"'"&amp;"!n"&amp;$Z156)))</f>
        <v>5000</v>
      </c>
      <c r="J156" s="113">
        <f t="shared" ca="1" si="17"/>
        <v>-5000</v>
      </c>
      <c r="K156" s="113" cm="1">
        <f t="array" aca="1" ref="K156" ca="1">IFERROR(IF($C156="","",INDIRECT($D$2&amp;"!l"&amp;$Z156)+INDIRECT($D$2&amp;"!p"&amp;$Z156)),IF($C156="","",INDIRECT("'"&amp;$D$2&amp;"'"&amp;"!l"&amp;$Z156)+INDIRECT("'"&amp;$D$2&amp;"'"&amp;"!p"&amp;$Z156)))</f>
        <v>0</v>
      </c>
      <c r="M156" s="113" cm="1">
        <f t="array" aca="1" ref="M156" ca="1">IFERROR(IF($C156="","",INDIRECT($D$2&amp;"!r"&amp;Z156)),IF($C156="","",INDIRECT("'"&amp;$D$2&amp;"'"&amp;"!r"&amp;Z156)))</f>
        <v>0</v>
      </c>
      <c r="N156" s="113">
        <f t="shared" ca="1" si="18"/>
        <v>0</v>
      </c>
      <c r="O156" s="113" cm="1">
        <f t="array" aca="1" ref="O156" ca="1">IFERROR(IF($C156="","",INDIRECT($D$2&amp;"!t"&amp;Z156)),IF($C156="","",INDIRECT("'"&amp;$D$2&amp;"'"&amp;"!t"&amp;Z156)))</f>
        <v>0</v>
      </c>
      <c r="Q156" s="113" cm="1">
        <f t="array" aca="1" ref="Q156" ca="1">IFERROR(IF($C156="","",INDIRECT($D$2&amp;"!v"&amp;Z156)),IF($C156="","",INDIRECT("'"&amp;$D$2&amp;"'"&amp;"!v"&amp;Z156)))</f>
        <v>350</v>
      </c>
      <c r="R156" s="113">
        <f t="shared" ca="1" si="19"/>
        <v>0</v>
      </c>
      <c r="S156" s="113" cm="1">
        <f t="array" aca="1" ref="S156" ca="1">IFERROR(IF($C156="","",INDIRECT($D$2&amp;"!x"&amp;Z156)),IF($C156="","",INDIRECT("'"&amp;$D$2&amp;"'"&amp;"!x"&amp;Z156)))</f>
        <v>350</v>
      </c>
      <c r="U156" s="113" cm="1">
        <f t="array" aca="1" ref="U156" ca="1">IFERROR(IF($C156="","",INDIRECT($D$2&amp;"!z"&amp;Z156)),IF($C156="","",INDIRECT("'"&amp;$D$2&amp;"'"&amp;"!z"&amp;Z156)))</f>
        <v>0</v>
      </c>
      <c r="V156" s="113">
        <f t="shared" ca="1" si="20"/>
        <v>0</v>
      </c>
      <c r="W156" s="113" cm="1">
        <f t="array" aca="1" ref="W156" ca="1">IFERROR(IF($C156="","",INDIRECT($D$2&amp;"!ab"&amp;Z156)),IF($C156="","",INDIRECT("'"&amp;$D$2&amp;"'"&amp;"!ab"&amp;Z156)))</f>
        <v>0</v>
      </c>
      <c r="X156" s="113"/>
      <c r="Y156" s="113">
        <f t="shared" ca="1" si="21"/>
        <v>350</v>
      </c>
      <c r="Z156" s="35">
        <v>145</v>
      </c>
      <c r="AA156" s="113"/>
      <c r="AB156" s="35">
        <v>145</v>
      </c>
    </row>
    <row r="157" spans="3:28" x14ac:dyDescent="0.25">
      <c r="C157" t="str" cm="1">
        <f t="array" aca="1" ref="C157" ca="1">IFERROR(IF(INDIRECT($D$2&amp;"!B"&amp;Z157)="","",INDIRECT("'"&amp;$D$2&amp;"'"&amp;"!B"&amp;Z157)),IF(INDIRECT("'"&amp;$D$2&amp;"'"&amp;"!B"&amp;Z157)="","",INDIRECT("'"&amp;$D$2&amp;"'"&amp;"!B"&amp;Z157)))</f>
        <v>Payrailz Bundle Transactions</v>
      </c>
      <c r="D157" t="str" cm="1">
        <f t="array" aca="1" ref="D157" ca="1">IFERROR(_xlfn.IFS(C157="","",C157&lt;&gt;"",INDEX(SF_Output!I:I,MATCH(C157,SF_Output!M:M,0))),IFERROR(INDEX(INDIRECT($D$2&amp;"!G:G"),MATCH(C157,INDIRECT($D$2&amp;"!B:B"),0)),INDEX(INDIRECT("'"&amp;$D$2&amp;"'!G:G"),MATCH(C157,INDIRECT("'"&amp;$D$2&amp;"'!B:B"),0))))</f>
        <v>Payments</v>
      </c>
      <c r="E157" t="str" cm="1">
        <f t="array" aca="1" ref="E157" ca="1">IFERROR(IF(C157="","",INDIRECT($D$2&amp;"!F"&amp;Z157)),IF(C157="","",INDIRECT("'"&amp;$D$2&amp;"'"&amp;"!F"&amp;Z157)))</f>
        <v>Included</v>
      </c>
      <c r="F157" t="str" cm="1">
        <f t="array" aca="1" ref="F157" ca="1">IFERROR(IF(C157="","",INDIRECT($D$2&amp;"!ak"&amp;Z157)),IF(C157="","",INDIRECT("'"&amp;$D$2&amp;"'"&amp;"!ak"&amp;Z157)))</f>
        <v/>
      </c>
      <c r="G157" cm="1">
        <f t="array" aca="1" ref="G157" ca="1">IFERROR(INDIRECT($D$2&amp;"!h"&amp;Z157),INDIRECT("'"&amp;$D$2&amp;"'"&amp;"!h"&amp;Z157))</f>
        <v>500</v>
      </c>
      <c r="H157" s="125" cm="1">
        <f t="array" aca="1" ref="H157" ca="1">IFERROR(INDIRECT($D$2&amp;"!i"&amp;Z157),INDIRECT("'"&amp;$D$2&amp;"'"&amp;"!i"&amp;Z157))</f>
        <v>0.62</v>
      </c>
      <c r="I157" s="113" cm="1">
        <f t="array" aca="1" ref="I157" ca="1">IFERROR(IF($C157="","",INDIRECT($D$2&amp;"!j"&amp;$Z157)+INDIRECT($D$2&amp;"!n"&amp;$Z157)),IF($C157="","",INDIRECT("'"&amp;$D$2&amp;"'"&amp;"!j"&amp;$Z157)+INDIRECT("'"&amp;$D$2&amp;"'"&amp;"!n"&amp;$Z157)))</f>
        <v>0</v>
      </c>
      <c r="J157" s="113">
        <f t="shared" ca="1" si="17"/>
        <v>0</v>
      </c>
      <c r="K157" s="113" cm="1">
        <f t="array" aca="1" ref="K157" ca="1">IFERROR(IF($C157="","",INDIRECT($D$2&amp;"!l"&amp;$Z157)+INDIRECT($D$2&amp;"!p"&amp;$Z157)),IF($C157="","",INDIRECT("'"&amp;$D$2&amp;"'"&amp;"!l"&amp;$Z157)+INDIRECT("'"&amp;$D$2&amp;"'"&amp;"!p"&amp;$Z157)))</f>
        <v>0</v>
      </c>
      <c r="M157" s="113" cm="1">
        <f t="array" aca="1" ref="M157" ca="1">IFERROR(IF($C157="","",INDIRECT($D$2&amp;"!r"&amp;Z157)),IF($C157="","",INDIRECT("'"&amp;$D$2&amp;"'"&amp;"!r"&amp;Z157)))</f>
        <v>0</v>
      </c>
      <c r="N157" s="113">
        <f t="shared" ca="1" si="18"/>
        <v>0</v>
      </c>
      <c r="O157" s="113" cm="1">
        <f t="array" aca="1" ref="O157" ca="1">IFERROR(IF($C157="","",INDIRECT($D$2&amp;"!t"&amp;Z157)),IF($C157="","",INDIRECT("'"&amp;$D$2&amp;"'"&amp;"!t"&amp;Z157)))</f>
        <v>0</v>
      </c>
      <c r="Q157" s="113" cm="1">
        <f t="array" aca="1" ref="Q157" ca="1">IFERROR(IF($C157="","",INDIRECT($D$2&amp;"!v"&amp;Z157)),IF($C157="","",INDIRECT("'"&amp;$D$2&amp;"'"&amp;"!v"&amp;Z157)))</f>
        <v>310</v>
      </c>
      <c r="R157" s="113">
        <f t="shared" ca="1" si="19"/>
        <v>0</v>
      </c>
      <c r="S157" s="113" cm="1">
        <f t="array" aca="1" ref="S157" ca="1">IFERROR(IF($C157="","",INDIRECT($D$2&amp;"!x"&amp;Z157)),IF($C157="","",INDIRECT("'"&amp;$D$2&amp;"'"&amp;"!x"&amp;Z157)))</f>
        <v>310</v>
      </c>
      <c r="U157" s="113" cm="1">
        <f t="array" aca="1" ref="U157" ca="1">IFERROR(IF($C157="","",INDIRECT($D$2&amp;"!z"&amp;Z157)),IF($C157="","",INDIRECT("'"&amp;$D$2&amp;"'"&amp;"!z"&amp;Z157)))</f>
        <v>0</v>
      </c>
      <c r="V157" s="113">
        <f t="shared" ca="1" si="20"/>
        <v>0</v>
      </c>
      <c r="W157" s="113" cm="1">
        <f t="array" aca="1" ref="W157" ca="1">IFERROR(IF($C157="","",INDIRECT($D$2&amp;"!ab"&amp;Z157)),IF($C157="","",INDIRECT("'"&amp;$D$2&amp;"'"&amp;"!ab"&amp;Z157)))</f>
        <v>0</v>
      </c>
      <c r="X157" s="113"/>
      <c r="Y157" s="113">
        <f t="shared" ca="1" si="21"/>
        <v>310</v>
      </c>
      <c r="Z157" s="35">
        <v>146</v>
      </c>
      <c r="AA157" s="113"/>
      <c r="AB157" s="35">
        <v>146</v>
      </c>
    </row>
    <row r="158" spans="3:28" x14ac:dyDescent="0.25">
      <c r="C158" t="str" cm="1">
        <f t="array" aca="1" ref="C158" ca="1">IFERROR(IF(INDIRECT($D$2&amp;"!B"&amp;Z158)="","",INDIRECT("'"&amp;$D$2&amp;"'"&amp;"!B"&amp;Z158)),IF(INDIRECT("'"&amp;$D$2&amp;"'"&amp;"!B"&amp;Z158)="","",INDIRECT("'"&amp;$D$2&amp;"'"&amp;"!B"&amp;Z158)))</f>
        <v>Payrailz Fraud Monitor</v>
      </c>
      <c r="D158" t="str" cm="1">
        <f t="array" aca="1" ref="D158" ca="1">IFERROR(_xlfn.IFS(C158="","",C158&lt;&gt;"",INDEX(SF_Output!I:I,MATCH(C158,SF_Output!M:M,0))),IFERROR(INDEX(INDIRECT($D$2&amp;"!G:G"),MATCH(C158,INDIRECT($D$2&amp;"!B:B"),0)),INDEX(INDIRECT("'"&amp;$D$2&amp;"'!G:G"),MATCH(C158,INDIRECT("'"&amp;$D$2&amp;"'!B:B"),0))))</f>
        <v>Payments</v>
      </c>
      <c r="E158" t="str" cm="1">
        <f t="array" aca="1" ref="E158" ca="1">IFERROR(IF(C158="","",INDIRECT($D$2&amp;"!F"&amp;Z158)),IF(C158="","",INDIRECT("'"&amp;$D$2&amp;"'"&amp;"!F"&amp;Z158)))</f>
        <v>Included</v>
      </c>
      <c r="F158" t="str" cm="1">
        <f t="array" aca="1" ref="F158" ca="1">IFERROR(IF(C158="","",INDIRECT($D$2&amp;"!ak"&amp;Z158)),IF(C158="","",INDIRECT("'"&amp;$D$2&amp;"'"&amp;"!ak"&amp;Z158)))</f>
        <v/>
      </c>
      <c r="G158" cm="1">
        <f t="array" aca="1" ref="G158" ca="1">IFERROR(INDIRECT($D$2&amp;"!h"&amp;Z158),INDIRECT("'"&amp;$D$2&amp;"'"&amp;"!h"&amp;Z158))</f>
        <v>1</v>
      </c>
      <c r="H158" s="125" t="str" cm="1">
        <f t="array" aca="1" ref="H158" ca="1">IFERROR(INDIRECT($D$2&amp;"!i"&amp;Z158),INDIRECT("'"&amp;$D$2&amp;"'"&amp;"!i"&amp;Z158))</f>
        <v/>
      </c>
      <c r="I158" s="113" cm="1">
        <f t="array" aca="1" ref="I158" ca="1">IFERROR(IF($C158="","",INDIRECT($D$2&amp;"!j"&amp;$Z158)+INDIRECT($D$2&amp;"!n"&amp;$Z158)),IF($C158="","",INDIRECT("'"&amp;$D$2&amp;"'"&amp;"!j"&amp;$Z158)+INDIRECT("'"&amp;$D$2&amp;"'"&amp;"!n"&amp;$Z158)))</f>
        <v>3000</v>
      </c>
      <c r="J158" s="113">
        <f t="shared" ca="1" si="17"/>
        <v>-3000</v>
      </c>
      <c r="K158" s="113" cm="1">
        <f t="array" aca="1" ref="K158" ca="1">IFERROR(IF($C158="","",INDIRECT($D$2&amp;"!l"&amp;$Z158)+INDIRECT($D$2&amp;"!p"&amp;$Z158)),IF($C158="","",INDIRECT("'"&amp;$D$2&amp;"'"&amp;"!l"&amp;$Z158)+INDIRECT("'"&amp;$D$2&amp;"'"&amp;"!p"&amp;$Z158)))</f>
        <v>0</v>
      </c>
      <c r="M158" s="113" cm="1">
        <f t="array" aca="1" ref="M158" ca="1">IFERROR(IF($C158="","",INDIRECT($D$2&amp;"!r"&amp;Z158)),IF($C158="","",INDIRECT("'"&amp;$D$2&amp;"'"&amp;"!r"&amp;Z158)))</f>
        <v>0</v>
      </c>
      <c r="N158" s="113">
        <f t="shared" ca="1" si="18"/>
        <v>0</v>
      </c>
      <c r="O158" s="113" cm="1">
        <f t="array" aca="1" ref="O158" ca="1">IFERROR(IF($C158="","",INDIRECT($D$2&amp;"!t"&amp;Z158)),IF($C158="","",INDIRECT("'"&amp;$D$2&amp;"'"&amp;"!t"&amp;Z158)))</f>
        <v>0</v>
      </c>
      <c r="Q158" s="113" cm="1">
        <f t="array" aca="1" ref="Q158" ca="1">IFERROR(IF($C158="","",INDIRECT($D$2&amp;"!v"&amp;Z158)),IF($C158="","",INDIRECT("'"&amp;$D$2&amp;"'"&amp;"!v"&amp;Z158)))</f>
        <v>750</v>
      </c>
      <c r="R158" s="113">
        <f t="shared" ca="1" si="19"/>
        <v>-750</v>
      </c>
      <c r="S158" s="113" cm="1">
        <f t="array" aca="1" ref="S158" ca="1">IFERROR(IF($C158="","",INDIRECT($D$2&amp;"!x"&amp;Z158)),IF($C158="","",INDIRECT("'"&amp;$D$2&amp;"'"&amp;"!x"&amp;Z158)))</f>
        <v>0</v>
      </c>
      <c r="U158" s="113" cm="1">
        <f t="array" aca="1" ref="U158" ca="1">IFERROR(IF($C158="","",INDIRECT($D$2&amp;"!z"&amp;Z158)),IF($C158="","",INDIRECT("'"&amp;$D$2&amp;"'"&amp;"!z"&amp;Z158)))</f>
        <v>0</v>
      </c>
      <c r="V158" s="113">
        <f t="shared" ca="1" si="20"/>
        <v>0</v>
      </c>
      <c r="W158" s="113" cm="1">
        <f t="array" aca="1" ref="W158" ca="1">IFERROR(IF($C158="","",INDIRECT($D$2&amp;"!ab"&amp;Z158)),IF($C158="","",INDIRECT("'"&amp;$D$2&amp;"'"&amp;"!ab"&amp;Z158)))</f>
        <v>0</v>
      </c>
      <c r="X158" s="113"/>
      <c r="Y158" s="113">
        <f t="shared" ca="1" si="21"/>
        <v>0</v>
      </c>
      <c r="Z158" s="35">
        <v>147</v>
      </c>
      <c r="AA158" s="113"/>
      <c r="AB158" s="35">
        <v>147</v>
      </c>
    </row>
    <row r="159" spans="3:28" x14ac:dyDescent="0.25">
      <c r="C159" t="str" cm="1">
        <f t="array" aca="1" ref="C159" ca="1">IFERROR(IF(INDIRECT($D$2&amp;"!B"&amp;Z159)="","",INDIRECT("'"&amp;$D$2&amp;"'"&amp;"!B"&amp;Z159)),IF(INDIRECT("'"&amp;$D$2&amp;"'"&amp;"!B"&amp;Z159)="","",INDIRECT("'"&amp;$D$2&amp;"'"&amp;"!B"&amp;Z159)))</f>
        <v>RemitPlus Express - Financial Institution</v>
      </c>
      <c r="D159" t="str" cm="1">
        <f t="array" aca="1" ref="D159" ca="1">IFERROR(_xlfn.IFS(C159="","",C159&lt;&gt;"",INDEX(SF_Output!I:I,MATCH(C159,SF_Output!M:M,0))),IFERROR(INDEX(INDIRECT($D$2&amp;"!G:G"),MATCH(C159,INDIRECT($D$2&amp;"!B:B"),0)),INDEX(INDIRECT("'"&amp;$D$2&amp;"'!G:G"),MATCH(C159,INDIRECT("'"&amp;$D$2&amp;"'!B:B"),0))))</f>
        <v>Payments</v>
      </c>
      <c r="E159" t="str" cm="1">
        <f t="array" aca="1" ref="E159" ca="1">IFERROR(IF(C159="","",INDIRECT($D$2&amp;"!F"&amp;Z159)),IF(C159="","",INDIRECT("'"&amp;$D$2&amp;"'"&amp;"!F"&amp;Z159)))</f>
        <v>Optional</v>
      </c>
      <c r="F159" t="str" cm="1">
        <f t="array" aca="1" ref="F159" ca="1">IFERROR(IF(C159="","",INDIRECT($D$2&amp;"!ak"&amp;Z159)),IF(C159="","",INDIRECT("'"&amp;$D$2&amp;"'"&amp;"!ak"&amp;Z159)))</f>
        <v/>
      </c>
      <c r="G159" cm="1">
        <f t="array" aca="1" ref="G159" ca="1">IFERROR(INDIRECT($D$2&amp;"!h"&amp;Z159),INDIRECT("'"&amp;$D$2&amp;"'"&amp;"!h"&amp;Z159))</f>
        <v>1</v>
      </c>
      <c r="H159" s="125" t="str" cm="1">
        <f t="array" aca="1" ref="H159" ca="1">IFERROR(INDIRECT($D$2&amp;"!i"&amp;Z159),INDIRECT("'"&amp;$D$2&amp;"'"&amp;"!i"&amp;Z159))</f>
        <v/>
      </c>
      <c r="I159" s="113" cm="1">
        <f t="array" aca="1" ref="I159" ca="1">IFERROR(IF($C159="","",INDIRECT($D$2&amp;"!j"&amp;$Z159)+INDIRECT($D$2&amp;"!n"&amp;$Z159)),IF($C159="","",INDIRECT("'"&amp;$D$2&amp;"'"&amp;"!j"&amp;$Z159)+INDIRECT("'"&amp;$D$2&amp;"'"&amp;"!n"&amp;$Z159)))</f>
        <v>3000</v>
      </c>
      <c r="J159" s="113">
        <f t="shared" ca="1" si="17"/>
        <v>0</v>
      </c>
      <c r="K159" s="113" cm="1">
        <f t="array" aca="1" ref="K159" ca="1">IFERROR(IF($C159="","",INDIRECT($D$2&amp;"!l"&amp;$Z159)+INDIRECT($D$2&amp;"!p"&amp;$Z159)),IF($C159="","",INDIRECT("'"&amp;$D$2&amp;"'"&amp;"!l"&amp;$Z159)+INDIRECT("'"&amp;$D$2&amp;"'"&amp;"!p"&amp;$Z159)))</f>
        <v>3000</v>
      </c>
      <c r="M159" s="113" cm="1">
        <f t="array" aca="1" ref="M159" ca="1">IFERROR(IF($C159="","",INDIRECT($D$2&amp;"!r"&amp;Z159)),IF($C159="","",INDIRECT("'"&amp;$D$2&amp;"'"&amp;"!r"&amp;Z159)))</f>
        <v>0</v>
      </c>
      <c r="N159" s="113">
        <f t="shared" ca="1" si="18"/>
        <v>0</v>
      </c>
      <c r="O159" s="113" cm="1">
        <f t="array" aca="1" ref="O159" ca="1">IFERROR(IF($C159="","",INDIRECT($D$2&amp;"!t"&amp;Z159)),IF($C159="","",INDIRECT("'"&amp;$D$2&amp;"'"&amp;"!t"&amp;Z159)))</f>
        <v>0</v>
      </c>
      <c r="Q159" s="113" cm="1">
        <f t="array" aca="1" ref="Q159" ca="1">IFERROR(IF($C159="","",INDIRECT($D$2&amp;"!v"&amp;Z159)),IF($C159="","",INDIRECT("'"&amp;$D$2&amp;"'"&amp;"!v"&amp;Z159)))</f>
        <v>100</v>
      </c>
      <c r="R159" s="113">
        <f t="shared" ca="1" si="19"/>
        <v>0</v>
      </c>
      <c r="S159" s="113" cm="1">
        <f t="array" aca="1" ref="S159" ca="1">IFERROR(IF($C159="","",INDIRECT($D$2&amp;"!x"&amp;Z159)),IF($C159="","",INDIRECT("'"&amp;$D$2&amp;"'"&amp;"!x"&amp;Z159)))</f>
        <v>100</v>
      </c>
      <c r="U159" s="113" cm="1">
        <f t="array" aca="1" ref="U159" ca="1">IFERROR(IF($C159="","",INDIRECT($D$2&amp;"!z"&amp;Z159)),IF($C159="","",INDIRECT("'"&amp;$D$2&amp;"'"&amp;"!z"&amp;Z159)))</f>
        <v>0</v>
      </c>
      <c r="V159" s="113">
        <f t="shared" ca="1" si="20"/>
        <v>0</v>
      </c>
      <c r="W159" s="113" cm="1">
        <f t="array" aca="1" ref="W159" ca="1">IFERROR(IF($C159="","",INDIRECT($D$2&amp;"!ab"&amp;Z159)),IF($C159="","",INDIRECT("'"&amp;$D$2&amp;"'"&amp;"!ab"&amp;Z159)))</f>
        <v>0</v>
      </c>
      <c r="X159" s="113"/>
      <c r="Y159" s="113">
        <f t="shared" ca="1" si="21"/>
        <v>100</v>
      </c>
      <c r="Z159" s="35">
        <v>148</v>
      </c>
      <c r="AA159" s="113"/>
      <c r="AB159" s="35">
        <v>148</v>
      </c>
    </row>
    <row r="160" spans="3:28" x14ac:dyDescent="0.25">
      <c r="C160" t="str" cm="1">
        <f t="array" aca="1" ref="C160" ca="1">IFERROR(IF(INDIRECT($D$2&amp;"!B"&amp;Z160)="","",INDIRECT("'"&amp;$D$2&amp;"'"&amp;"!B"&amp;Z160)),IF(INDIRECT("'"&amp;$D$2&amp;"'"&amp;"!B"&amp;Z160)="","",INDIRECT("'"&amp;$D$2&amp;"'"&amp;"!B"&amp;Z160)))</f>
        <v>Centurion Remote Data Entry</v>
      </c>
      <c r="D160" t="str" cm="1">
        <f t="array" aca="1" ref="D160" ca="1">IFERROR(_xlfn.IFS(C160="","",C160&lt;&gt;"",INDEX(SF_Output!I:I,MATCH(C160,SF_Output!M:M,0))),IFERROR(INDEX(INDIRECT($D$2&amp;"!G:G"),MATCH(C160,INDIRECT($D$2&amp;"!B:B"),0)),INDEX(INDIRECT("'"&amp;$D$2&amp;"'!G:G"),MATCH(C160,INDIRECT("'"&amp;$D$2&amp;"'!B:B"),0))))</f>
        <v>IS and Risk</v>
      </c>
      <c r="E160" t="str" cm="1">
        <f t="array" aca="1" ref="E160" ca="1">IFERROR(IF(C160="","",INDIRECT($D$2&amp;"!F"&amp;Z160)),IF(C160="","",INDIRECT("'"&amp;$D$2&amp;"'"&amp;"!F"&amp;Z160)))</f>
        <v>Included</v>
      </c>
      <c r="F160" t="str" cm="1">
        <f t="array" aca="1" ref="F160" ca="1">IFERROR(IF(C160="","",INDIRECT($D$2&amp;"!ak"&amp;Z160)),IF(C160="","",INDIRECT("'"&amp;$D$2&amp;"'"&amp;"!ak"&amp;Z160)))</f>
        <v/>
      </c>
      <c r="G160" cm="1">
        <f t="array" aca="1" ref="G160" ca="1">IFERROR(INDIRECT($D$2&amp;"!h"&amp;Z160),INDIRECT("'"&amp;$D$2&amp;"'"&amp;"!h"&amp;Z160))</f>
        <v>1</v>
      </c>
      <c r="H160" s="125" t="str" cm="1">
        <f t="array" aca="1" ref="H160" ca="1">IFERROR(INDIRECT($D$2&amp;"!i"&amp;Z160),INDIRECT("'"&amp;$D$2&amp;"'"&amp;"!i"&amp;Z160))</f>
        <v/>
      </c>
      <c r="I160" s="113" cm="1">
        <f t="array" aca="1" ref="I160" ca="1">IFERROR(IF($C160="","",INDIRECT($D$2&amp;"!j"&amp;$Z160)+INDIRECT($D$2&amp;"!n"&amp;$Z160)),IF($C160="","",INDIRECT("'"&amp;$D$2&amp;"'"&amp;"!j"&amp;$Z160)+INDIRECT("'"&amp;$D$2&amp;"'"&amp;"!n"&amp;$Z160)))</f>
        <v>0</v>
      </c>
      <c r="J160" s="113">
        <f t="shared" ca="1" si="17"/>
        <v>0</v>
      </c>
      <c r="K160" s="113" cm="1">
        <f t="array" aca="1" ref="K160" ca="1">IFERROR(IF($C160="","",INDIRECT($D$2&amp;"!l"&amp;$Z160)+INDIRECT($D$2&amp;"!p"&amp;$Z160)),IF($C160="","",INDIRECT("'"&amp;$D$2&amp;"'"&amp;"!l"&amp;$Z160)+INDIRECT("'"&amp;$D$2&amp;"'"&amp;"!p"&amp;$Z160)))</f>
        <v>0</v>
      </c>
      <c r="M160" s="113" cm="1">
        <f t="array" aca="1" ref="M160" ca="1">IFERROR(IF($C160="","",INDIRECT($D$2&amp;"!r"&amp;Z160)),IF($C160="","",INDIRECT("'"&amp;$D$2&amp;"'"&amp;"!r"&amp;Z160)))</f>
        <v>1880</v>
      </c>
      <c r="N160" s="113">
        <f t="shared" ca="1" si="18"/>
        <v>0</v>
      </c>
      <c r="O160" s="113" cm="1">
        <f t="array" aca="1" ref="O160" ca="1">IFERROR(IF($C160="","",INDIRECT($D$2&amp;"!t"&amp;Z160)),IF($C160="","",INDIRECT("'"&amp;$D$2&amp;"'"&amp;"!t"&amp;Z160)))</f>
        <v>1880</v>
      </c>
      <c r="Q160" s="113" cm="1">
        <f t="array" aca="1" ref="Q160" ca="1">IFERROR(IF($C160="","",INDIRECT($D$2&amp;"!v"&amp;Z160)),IF($C160="","",INDIRECT("'"&amp;$D$2&amp;"'"&amp;"!v"&amp;Z160)))</f>
        <v>0</v>
      </c>
      <c r="R160" s="113">
        <f t="shared" ca="1" si="19"/>
        <v>0</v>
      </c>
      <c r="S160" s="113" cm="1">
        <f t="array" aca="1" ref="S160" ca="1">IFERROR(IF($C160="","",INDIRECT($D$2&amp;"!x"&amp;Z160)),IF($C160="","",INDIRECT("'"&amp;$D$2&amp;"'"&amp;"!x"&amp;Z160)))</f>
        <v>0</v>
      </c>
      <c r="U160" s="113" cm="1">
        <f t="array" aca="1" ref="U160" ca="1">IFERROR(IF($C160="","",INDIRECT($D$2&amp;"!z"&amp;Z160)),IF($C160="","",INDIRECT("'"&amp;$D$2&amp;"'"&amp;"!z"&amp;Z160)))</f>
        <v>0</v>
      </c>
      <c r="V160" s="113">
        <f t="shared" ca="1" si="20"/>
        <v>0</v>
      </c>
      <c r="W160" s="113" cm="1">
        <f t="array" aca="1" ref="W160" ca="1">IFERROR(IF($C160="","",INDIRECT($D$2&amp;"!ab"&amp;Z160)),IF($C160="","",INDIRECT("'"&amp;$D$2&amp;"'"&amp;"!ab"&amp;Z160)))</f>
        <v>0</v>
      </c>
      <c r="X160" s="113"/>
      <c r="Y160" s="113">
        <f t="shared" ca="1" si="21"/>
        <v>0</v>
      </c>
      <c r="Z160" s="35">
        <v>149</v>
      </c>
      <c r="AA160" s="113"/>
      <c r="AB160" s="35">
        <v>149</v>
      </c>
    </row>
    <row r="161" spans="3:28" x14ac:dyDescent="0.25">
      <c r="C161" t="str" cm="1">
        <f t="array" aca="1" ref="C161" ca="1">IFERROR(IF(INDIRECT($D$2&amp;"!B"&amp;Z161)="","",INDIRECT("'"&amp;$D$2&amp;"'"&amp;"!B"&amp;Z161)),IF(INDIRECT("'"&amp;$D$2&amp;"'"&amp;"!B"&amp;Z161)="","",INDIRECT("'"&amp;$D$2&amp;"'"&amp;"!B"&amp;Z161)))</f>
        <v>Centurion Connectivity for Jack Henry Hosted Services</v>
      </c>
      <c r="D161" t="str" cm="1">
        <f t="array" aca="1" ref="D161" ca="1">IFERROR(_xlfn.IFS(C161="","",C161&lt;&gt;"",INDEX(SF_Output!I:I,MATCH(C161,SF_Output!M:M,0))),IFERROR(INDEX(INDIRECT($D$2&amp;"!G:G"),MATCH(C161,INDIRECT($D$2&amp;"!B:B"),0)),INDEX(INDIRECT("'"&amp;$D$2&amp;"'!G:G"),MATCH(C161,INDIRECT("'"&amp;$D$2&amp;"'!B:B"),0))))</f>
        <v>IS and Risk</v>
      </c>
      <c r="E161" t="str" cm="1">
        <f t="array" aca="1" ref="E161" ca="1">IFERROR(IF(C161="","",INDIRECT($D$2&amp;"!F"&amp;Z161)),IF(C161="","",INDIRECT("'"&amp;$D$2&amp;"'"&amp;"!F"&amp;Z161)))</f>
        <v>Included</v>
      </c>
      <c r="F161" t="str" cm="1">
        <f t="array" aca="1" ref="F161" ca="1">IFERROR(IF(C161="","",INDIRECT($D$2&amp;"!ak"&amp;Z161)),IF(C161="","",INDIRECT("'"&amp;$D$2&amp;"'"&amp;"!ak"&amp;Z161)))</f>
        <v/>
      </c>
      <c r="G161" cm="1">
        <f t="array" aca="1" ref="G161" ca="1">IFERROR(INDIRECT($D$2&amp;"!h"&amp;Z161),INDIRECT("'"&amp;$D$2&amp;"'"&amp;"!h"&amp;Z161))</f>
        <v>1</v>
      </c>
      <c r="H161" s="125" t="str" cm="1">
        <f t="array" aca="1" ref="H161" ca="1">IFERROR(INDIRECT($D$2&amp;"!i"&amp;Z161),INDIRECT("'"&amp;$D$2&amp;"'"&amp;"!i"&amp;Z161))</f>
        <v/>
      </c>
      <c r="I161" s="113" cm="1">
        <f t="array" aca="1" ref="I161" ca="1">IFERROR(IF($C161="","",INDIRECT($D$2&amp;"!j"&amp;$Z161)+INDIRECT($D$2&amp;"!n"&amp;$Z161)),IF($C161="","",INDIRECT("'"&amp;$D$2&amp;"'"&amp;"!j"&amp;$Z161)+INDIRECT("'"&amp;$D$2&amp;"'"&amp;"!n"&amp;$Z161)))</f>
        <v>0</v>
      </c>
      <c r="J161" s="113">
        <f t="shared" ca="1" si="17"/>
        <v>0</v>
      </c>
      <c r="K161" s="113" cm="1">
        <f t="array" aca="1" ref="K161" ca="1">IFERROR(IF($C161="","",INDIRECT($D$2&amp;"!l"&amp;$Z161)+INDIRECT($D$2&amp;"!p"&amp;$Z161)),IF($C161="","",INDIRECT("'"&amp;$D$2&amp;"'"&amp;"!l"&amp;$Z161)+INDIRECT("'"&amp;$D$2&amp;"'"&amp;"!p"&amp;$Z161)))</f>
        <v>0</v>
      </c>
      <c r="M161" s="113" cm="1">
        <f t="array" aca="1" ref="M161" ca="1">IFERROR(IF($C161="","",INDIRECT($D$2&amp;"!r"&amp;Z161)),IF($C161="","",INDIRECT("'"&amp;$D$2&amp;"'"&amp;"!r"&amp;Z161)))</f>
        <v>0</v>
      </c>
      <c r="N161" s="113">
        <f t="shared" ca="1" si="18"/>
        <v>0</v>
      </c>
      <c r="O161" s="113" cm="1">
        <f t="array" aca="1" ref="O161" ca="1">IFERROR(IF($C161="","",INDIRECT($D$2&amp;"!t"&amp;Z161)),IF($C161="","",INDIRECT("'"&amp;$D$2&amp;"'"&amp;"!t"&amp;Z161)))</f>
        <v>0</v>
      </c>
      <c r="Q161" s="113" cm="1">
        <f t="array" aca="1" ref="Q161" ca="1">IFERROR(IF($C161="","",INDIRECT($D$2&amp;"!v"&amp;Z161)),IF($C161="","",INDIRECT("'"&amp;$D$2&amp;"'"&amp;"!v"&amp;Z161)))</f>
        <v>200</v>
      </c>
      <c r="R161" s="113">
        <f t="shared" ca="1" si="19"/>
        <v>0</v>
      </c>
      <c r="S161" s="113" cm="1">
        <f t="array" aca="1" ref="S161" ca="1">IFERROR(IF($C161="","",INDIRECT($D$2&amp;"!x"&amp;Z161)),IF($C161="","",INDIRECT("'"&amp;$D$2&amp;"'"&amp;"!x"&amp;Z161)))</f>
        <v>200</v>
      </c>
      <c r="U161" s="113" cm="1">
        <f t="array" aca="1" ref="U161" ca="1">IFERROR(IF($C161="","",INDIRECT($D$2&amp;"!z"&amp;Z161)),IF($C161="","",INDIRECT("'"&amp;$D$2&amp;"'"&amp;"!z"&amp;Z161)))</f>
        <v>0</v>
      </c>
      <c r="V161" s="113">
        <f t="shared" ca="1" si="20"/>
        <v>0</v>
      </c>
      <c r="W161" s="113" cm="1">
        <f t="array" aca="1" ref="W161" ca="1">IFERROR(IF($C161="","",INDIRECT($D$2&amp;"!ab"&amp;Z161)),IF($C161="","",INDIRECT("'"&amp;$D$2&amp;"'"&amp;"!ab"&amp;Z161)))</f>
        <v>0</v>
      </c>
      <c r="X161" s="113"/>
      <c r="Y161" s="113">
        <f t="shared" ca="1" si="21"/>
        <v>200</v>
      </c>
      <c r="Z161" s="35">
        <v>150</v>
      </c>
      <c r="AA161" s="113"/>
      <c r="AB161" s="35">
        <v>150</v>
      </c>
    </row>
    <row r="162" spans="3:28" x14ac:dyDescent="0.25">
      <c r="C162" t="str" cm="1">
        <f t="array" aca="1" ref="C162" ca="1">IFERROR(IF(INDIRECT($D$2&amp;"!B"&amp;Z162)="","",INDIRECT("'"&amp;$D$2&amp;"'"&amp;"!B"&amp;Z162)),IF(INDIRECT("'"&amp;$D$2&amp;"'"&amp;"!B"&amp;Z162)="","",INDIRECT("'"&amp;$D$2&amp;"'"&amp;"!B"&amp;Z162)))</f>
        <v>Jack Henry Financial Crimes Defender Enterprise</v>
      </c>
      <c r="D162" t="str" cm="1">
        <f t="array" aca="1" ref="D162" ca="1">IFERROR(_xlfn.IFS(C162="","",C162&lt;&gt;"",INDEX(SF_Output!I:I,MATCH(C162,SF_Output!M:M,0))),IFERROR(INDEX(INDIRECT($D$2&amp;"!G:G"),MATCH(C162,INDIRECT($D$2&amp;"!B:B"),0)),INDEX(INDIRECT("'"&amp;$D$2&amp;"'!G:G"),MATCH(C162,INDIRECT("'"&amp;$D$2&amp;"'!B:B"),0))))</f>
        <v>IS and Risk</v>
      </c>
      <c r="E162" t="str" cm="1">
        <f t="array" aca="1" ref="E162" ca="1">IFERROR(IF(C162="","",INDIRECT($D$2&amp;"!F"&amp;Z162)),IF(C162="","",INDIRECT("'"&amp;$D$2&amp;"'"&amp;"!F"&amp;Z162)))</f>
        <v>Included</v>
      </c>
      <c r="F162" t="str" cm="1">
        <f t="array" aca="1" ref="F162" ca="1">IFERROR(IF(C162="","",INDIRECT($D$2&amp;"!ak"&amp;Z162)),IF(C162="","",INDIRECT("'"&amp;$D$2&amp;"'"&amp;"!ak"&amp;Z162)))</f>
        <v>PAP</v>
      </c>
      <c r="G162" cm="1">
        <f t="array" aca="1" ref="G162" ca="1">IFERROR(INDIRECT($D$2&amp;"!h"&amp;Z162),INDIRECT("'"&amp;$D$2&amp;"'"&amp;"!h"&amp;Z162))</f>
        <v>5000</v>
      </c>
      <c r="H162" s="125" cm="1">
        <f t="array" aca="1" ref="H162" ca="1">IFERROR(INDIRECT($D$2&amp;"!i"&amp;Z162),INDIRECT("'"&amp;$D$2&amp;"'"&amp;"!i"&amp;Z162))</f>
        <v>0.71640000000000004</v>
      </c>
      <c r="I162" s="113" cm="1">
        <f t="array" aca="1" ref="I162" ca="1">IFERROR(IF($C162="","",INDIRECT($D$2&amp;"!j"&amp;$Z162)+INDIRECT($D$2&amp;"!n"&amp;$Z162)),IF($C162="","",INDIRECT("'"&amp;$D$2&amp;"'"&amp;"!j"&amp;$Z162)+INDIRECT("'"&amp;$D$2&amp;"'"&amp;"!n"&amp;$Z162)))</f>
        <v>18890</v>
      </c>
      <c r="J162" s="113">
        <f t="shared" ca="1" si="17"/>
        <v>-4722.5</v>
      </c>
      <c r="K162" s="113" cm="1">
        <f t="array" aca="1" ref="K162" ca="1">IFERROR(IF($C162="","",INDIRECT($D$2&amp;"!l"&amp;$Z162)+INDIRECT($D$2&amp;"!p"&amp;$Z162)),IF($C162="","",INDIRECT("'"&amp;$D$2&amp;"'"&amp;"!l"&amp;$Z162)+INDIRECT("'"&amp;$D$2&amp;"'"&amp;"!p"&amp;$Z162)))</f>
        <v>14167.5</v>
      </c>
      <c r="M162" s="113" cm="1">
        <f t="array" aca="1" ref="M162" ca="1">IFERROR(IF($C162="","",INDIRECT($D$2&amp;"!r"&amp;Z162)),IF($C162="","",INDIRECT("'"&amp;$D$2&amp;"'"&amp;"!r"&amp;Z162)))</f>
        <v>0</v>
      </c>
      <c r="N162" s="113">
        <f t="shared" ca="1" si="18"/>
        <v>0</v>
      </c>
      <c r="O162" s="113" cm="1">
        <f t="array" aca="1" ref="O162" ca="1">IFERROR(IF($C162="","",INDIRECT($D$2&amp;"!t"&amp;Z162)),IF($C162="","",INDIRECT("'"&amp;$D$2&amp;"'"&amp;"!t"&amp;Z162)))</f>
        <v>0</v>
      </c>
      <c r="Q162" s="113" cm="1">
        <f t="array" aca="1" ref="Q162" ca="1">IFERROR(IF($C162="","",INDIRECT($D$2&amp;"!v"&amp;Z162)),IF($C162="","",INDIRECT("'"&amp;$D$2&amp;"'"&amp;"!v"&amp;Z162)))</f>
        <v>3980</v>
      </c>
      <c r="R162" s="113">
        <f t="shared" ca="1" si="19"/>
        <v>-398</v>
      </c>
      <c r="S162" s="113" cm="1">
        <f t="array" aca="1" ref="S162" ca="1">IFERROR(IF($C162="","",INDIRECT($D$2&amp;"!x"&amp;Z162)),IF($C162="","",INDIRECT("'"&amp;$D$2&amp;"'"&amp;"!x"&amp;Z162)))</f>
        <v>3582</v>
      </c>
      <c r="U162" s="113" cm="1">
        <f t="array" aca="1" ref="U162" ca="1">IFERROR(IF($C162="","",INDIRECT($D$2&amp;"!z"&amp;Z162)),IF($C162="","",INDIRECT("'"&amp;$D$2&amp;"'"&amp;"!z"&amp;Z162)))</f>
        <v>0</v>
      </c>
      <c r="V162" s="113">
        <f t="shared" ca="1" si="20"/>
        <v>0</v>
      </c>
      <c r="W162" s="113" cm="1">
        <f t="array" aca="1" ref="W162" ca="1">IFERROR(IF($C162="","",INDIRECT($D$2&amp;"!ab"&amp;Z162)),IF($C162="","",INDIRECT("'"&amp;$D$2&amp;"'"&amp;"!ab"&amp;Z162)))</f>
        <v>0</v>
      </c>
      <c r="X162" s="113"/>
      <c r="Y162" s="113">
        <f t="shared" ca="1" si="21"/>
        <v>3582</v>
      </c>
      <c r="Z162" s="35">
        <v>151</v>
      </c>
      <c r="AA162" s="113"/>
      <c r="AB162" s="35">
        <v>151</v>
      </c>
    </row>
    <row r="163" spans="3:28" x14ac:dyDescent="0.25">
      <c r="C163" t="str" cm="1">
        <f t="array" aca="1" ref="C163" ca="1">IFERROR(IF(INDIRECT($D$2&amp;"!B"&amp;Z163)="","",INDIRECT("'"&amp;$D$2&amp;"'"&amp;"!B"&amp;Z163)),IF(INDIRECT("'"&amp;$D$2&amp;"'"&amp;"!B"&amp;Z163)="","",INDIRECT("'"&amp;$D$2&amp;"'"&amp;"!B"&amp;Z163)))</f>
        <v>Jack Henry Financial Crimes Defender Real-time Payments Zelle Initial</v>
      </c>
      <c r="D163" t="str" cm="1">
        <f t="array" aca="1" ref="D163" ca="1">IFERROR(_xlfn.IFS(C163="","",C163&lt;&gt;"",INDEX(SF_Output!I:I,MATCH(C163,SF_Output!M:M,0))),IFERROR(INDEX(INDIRECT($D$2&amp;"!G:G"),MATCH(C163,INDIRECT($D$2&amp;"!B:B"),0)),INDEX(INDIRECT("'"&amp;$D$2&amp;"'!G:G"),MATCH(C163,INDIRECT("'"&amp;$D$2&amp;"'!B:B"),0))))</f>
        <v>IS and Risk</v>
      </c>
      <c r="E163" t="str" cm="1">
        <f t="array" aca="1" ref="E163" ca="1">IFERROR(IF(C163="","",INDIRECT($D$2&amp;"!F"&amp;Z163)),IF(C163="","",INDIRECT("'"&amp;$D$2&amp;"'"&amp;"!F"&amp;Z163)))</f>
        <v>Included</v>
      </c>
      <c r="F163" t="str" cm="1">
        <f t="array" aca="1" ref="F163" ca="1">IFERROR(IF(C163="","",INDIRECT($D$2&amp;"!ak"&amp;Z163)),IF(C163="","",INDIRECT("'"&amp;$D$2&amp;"'"&amp;"!ak"&amp;Z163)))</f>
        <v/>
      </c>
      <c r="G163" cm="1">
        <f t="array" aca="1" ref="G163" ca="1">IFERROR(INDIRECT($D$2&amp;"!h"&amp;Z163),INDIRECT("'"&amp;$D$2&amp;"'"&amp;"!h"&amp;Z163))</f>
        <v>1</v>
      </c>
      <c r="H163" s="125" t="str" cm="1">
        <f t="array" aca="1" ref="H163" ca="1">IFERROR(INDIRECT($D$2&amp;"!i"&amp;Z163),INDIRECT("'"&amp;$D$2&amp;"'"&amp;"!i"&amp;Z163))</f>
        <v/>
      </c>
      <c r="I163" s="113" cm="1">
        <f t="array" aca="1" ref="I163" ca="1">IFERROR(IF($C163="","",INDIRECT($D$2&amp;"!j"&amp;$Z163)+INDIRECT($D$2&amp;"!n"&amp;$Z163)),IF($C163="","",INDIRECT("'"&amp;$D$2&amp;"'"&amp;"!j"&amp;$Z163)+INDIRECT("'"&amp;$D$2&amp;"'"&amp;"!n"&amp;$Z163)))</f>
        <v>6000</v>
      </c>
      <c r="J163" s="113">
        <f t="shared" ca="1" si="17"/>
        <v>0</v>
      </c>
      <c r="K163" s="113" cm="1">
        <f t="array" aca="1" ref="K163" ca="1">IFERROR(IF($C163="","",INDIRECT($D$2&amp;"!l"&amp;$Z163)+INDIRECT($D$2&amp;"!p"&amp;$Z163)),IF($C163="","",INDIRECT("'"&amp;$D$2&amp;"'"&amp;"!l"&amp;$Z163)+INDIRECT("'"&amp;$D$2&amp;"'"&amp;"!p"&amp;$Z163)))</f>
        <v>6000</v>
      </c>
      <c r="M163" s="113" cm="1">
        <f t="array" aca="1" ref="M163" ca="1">IFERROR(IF($C163="","",INDIRECT($D$2&amp;"!r"&amp;Z163)),IF($C163="","",INDIRECT("'"&amp;$D$2&amp;"'"&amp;"!r"&amp;Z163)))</f>
        <v>0</v>
      </c>
      <c r="N163" s="113">
        <f t="shared" ca="1" si="18"/>
        <v>0</v>
      </c>
      <c r="O163" s="113" cm="1">
        <f t="array" aca="1" ref="O163" ca="1">IFERROR(IF($C163="","",INDIRECT($D$2&amp;"!t"&amp;Z163)),IF($C163="","",INDIRECT("'"&amp;$D$2&amp;"'"&amp;"!t"&amp;Z163)))</f>
        <v>0</v>
      </c>
      <c r="Q163" s="113" cm="1">
        <f t="array" aca="1" ref="Q163" ca="1">IFERROR(IF($C163="","",INDIRECT($D$2&amp;"!v"&amp;Z163)),IF($C163="","",INDIRECT("'"&amp;$D$2&amp;"'"&amp;"!v"&amp;Z163)))</f>
        <v>2000</v>
      </c>
      <c r="R163" s="113">
        <f t="shared" ca="1" si="19"/>
        <v>0</v>
      </c>
      <c r="S163" s="113" cm="1">
        <f t="array" aca="1" ref="S163" ca="1">IFERROR(IF($C163="","",INDIRECT($D$2&amp;"!x"&amp;Z163)),IF($C163="","",INDIRECT("'"&amp;$D$2&amp;"'"&amp;"!x"&amp;Z163)))</f>
        <v>2000</v>
      </c>
      <c r="U163" s="113" cm="1">
        <f t="array" aca="1" ref="U163" ca="1">IFERROR(IF($C163="","",INDIRECT($D$2&amp;"!z"&amp;Z163)),IF($C163="","",INDIRECT("'"&amp;$D$2&amp;"'"&amp;"!z"&amp;Z163)))</f>
        <v>0</v>
      </c>
      <c r="V163" s="113">
        <f t="shared" ca="1" si="20"/>
        <v>0</v>
      </c>
      <c r="W163" s="113" cm="1">
        <f t="array" aca="1" ref="W163" ca="1">IFERROR(IF($C163="","",INDIRECT($D$2&amp;"!ab"&amp;Z163)),IF($C163="","",INDIRECT("'"&amp;$D$2&amp;"'"&amp;"!ab"&amp;Z163)))</f>
        <v>0</v>
      </c>
      <c r="X163" s="113"/>
      <c r="Y163" s="113">
        <f t="shared" ca="1" si="21"/>
        <v>2000</v>
      </c>
      <c r="Z163" s="35">
        <v>152</v>
      </c>
      <c r="AA163" s="113"/>
      <c r="AB163" s="35">
        <v>152</v>
      </c>
    </row>
    <row r="164" spans="3:28" x14ac:dyDescent="0.25">
      <c r="C164" t="str" cm="1">
        <f t="array" aca="1" ref="C164" ca="1">IFERROR(IF(INDIRECT($D$2&amp;"!B"&amp;Z164)="","",INDIRECT("'"&amp;$D$2&amp;"'"&amp;"!B"&amp;Z164)),IF(INDIRECT("'"&amp;$D$2&amp;"'"&amp;"!B"&amp;Z164)="","",INDIRECT("'"&amp;$D$2&amp;"'"&amp;"!B"&amp;Z164)))</f>
        <v>Jack Henry Financial Crimes Defender Consulting</v>
      </c>
      <c r="D164" t="str" cm="1">
        <f t="array" aca="1" ref="D164" ca="1">IFERROR(_xlfn.IFS(C164="","",C164&lt;&gt;"",INDEX(SF_Output!I:I,MATCH(C164,SF_Output!M:M,0))),IFERROR(INDEX(INDIRECT($D$2&amp;"!G:G"),MATCH(C164,INDIRECT($D$2&amp;"!B:B"),0)),INDEX(INDIRECT("'"&amp;$D$2&amp;"'!G:G"),MATCH(C164,INDIRECT("'"&amp;$D$2&amp;"'!B:B"),0))))</f>
        <v>IS and Risk</v>
      </c>
      <c r="E164" t="str" cm="1">
        <f t="array" aca="1" ref="E164" ca="1">IFERROR(IF(C164="","",INDIRECT($D$2&amp;"!F"&amp;Z164)),IF(C164="","",INDIRECT("'"&amp;$D$2&amp;"'"&amp;"!F"&amp;Z164)))</f>
        <v>Included</v>
      </c>
      <c r="F164" t="str" cm="1">
        <f t="array" aca="1" ref="F164" ca="1">IFERROR(IF(C164="","",INDIRECT($D$2&amp;"!ak"&amp;Z164)),IF(C164="","",INDIRECT("'"&amp;$D$2&amp;"'"&amp;"!ak"&amp;Z164)))</f>
        <v/>
      </c>
      <c r="G164" cm="1">
        <f t="array" aca="1" ref="G164" ca="1">IFERROR(INDIRECT($D$2&amp;"!h"&amp;Z164),INDIRECT("'"&amp;$D$2&amp;"'"&amp;"!h"&amp;Z164))</f>
        <v>1</v>
      </c>
      <c r="H164" s="125" t="str" cm="1">
        <f t="array" aca="1" ref="H164" ca="1">IFERROR(INDIRECT($D$2&amp;"!i"&amp;Z164),INDIRECT("'"&amp;$D$2&amp;"'"&amp;"!i"&amp;Z164))</f>
        <v/>
      </c>
      <c r="I164" s="113" cm="1">
        <f t="array" aca="1" ref="I164" ca="1">IFERROR(IF($C164="","",INDIRECT($D$2&amp;"!j"&amp;$Z164)+INDIRECT($D$2&amp;"!n"&amp;$Z164)),IF($C164="","",INDIRECT("'"&amp;$D$2&amp;"'"&amp;"!j"&amp;$Z164)+INDIRECT("'"&amp;$D$2&amp;"'"&amp;"!n"&amp;$Z164)))</f>
        <v>28500</v>
      </c>
      <c r="J164" s="113">
        <f t="shared" ca="1" si="17"/>
        <v>0</v>
      </c>
      <c r="K164" s="113" cm="1">
        <f t="array" aca="1" ref="K164" ca="1">IFERROR(IF($C164="","",INDIRECT($D$2&amp;"!l"&amp;$Z164)+INDIRECT($D$2&amp;"!p"&amp;$Z164)),IF($C164="","",INDIRECT("'"&amp;$D$2&amp;"'"&amp;"!l"&amp;$Z164)+INDIRECT("'"&amp;$D$2&amp;"'"&amp;"!p"&amp;$Z164)))</f>
        <v>28500</v>
      </c>
      <c r="M164" s="113" cm="1">
        <f t="array" aca="1" ref="M164" ca="1">IFERROR(IF($C164="","",INDIRECT($D$2&amp;"!r"&amp;Z164)),IF($C164="","",INDIRECT("'"&amp;$D$2&amp;"'"&amp;"!r"&amp;Z164)))</f>
        <v>0</v>
      </c>
      <c r="N164" s="113">
        <f t="shared" ca="1" si="18"/>
        <v>0</v>
      </c>
      <c r="O164" s="113" cm="1">
        <f t="array" aca="1" ref="O164" ca="1">IFERROR(IF($C164="","",INDIRECT($D$2&amp;"!t"&amp;Z164)),IF($C164="","",INDIRECT("'"&amp;$D$2&amp;"'"&amp;"!t"&amp;Z164)))</f>
        <v>0</v>
      </c>
      <c r="Q164" s="113" cm="1">
        <f t="array" aca="1" ref="Q164" ca="1">IFERROR(IF($C164="","",INDIRECT($D$2&amp;"!v"&amp;Z164)),IF($C164="","",INDIRECT("'"&amp;$D$2&amp;"'"&amp;"!v"&amp;Z164)))</f>
        <v>0</v>
      </c>
      <c r="R164" s="113">
        <f t="shared" ca="1" si="19"/>
        <v>0</v>
      </c>
      <c r="S164" s="113" cm="1">
        <f t="array" aca="1" ref="S164" ca="1">IFERROR(IF($C164="","",INDIRECT($D$2&amp;"!x"&amp;Z164)),IF($C164="","",INDIRECT("'"&amp;$D$2&amp;"'"&amp;"!x"&amp;Z164)))</f>
        <v>0</v>
      </c>
      <c r="U164" s="113" cm="1">
        <f t="array" aca="1" ref="U164" ca="1">IFERROR(IF($C164="","",INDIRECT($D$2&amp;"!z"&amp;Z164)),IF($C164="","",INDIRECT("'"&amp;$D$2&amp;"'"&amp;"!z"&amp;Z164)))</f>
        <v>0</v>
      </c>
      <c r="V164" s="113">
        <f t="shared" ca="1" si="20"/>
        <v>0</v>
      </c>
      <c r="W164" s="113" cm="1">
        <f t="array" aca="1" ref="W164" ca="1">IFERROR(IF($C164="","",INDIRECT($D$2&amp;"!ab"&amp;Z164)),IF($C164="","",INDIRECT("'"&amp;$D$2&amp;"'"&amp;"!ab"&amp;Z164)))</f>
        <v>0</v>
      </c>
      <c r="X164" s="113"/>
      <c r="Y164" s="113">
        <f t="shared" ca="1" si="21"/>
        <v>0</v>
      </c>
      <c r="Z164" s="35">
        <v>153</v>
      </c>
      <c r="AA164" s="113"/>
      <c r="AB164" s="35">
        <v>153</v>
      </c>
    </row>
    <row r="165" spans="3:28" x14ac:dyDescent="0.25">
      <c r="C165" t="str" cm="1">
        <f t="array" aca="1" ref="C165" ca="1">IFERROR(IF(INDIRECT($D$2&amp;"!B"&amp;Z165)="","",INDIRECT("'"&amp;$D$2&amp;"'"&amp;"!B"&amp;Z165)),IF(INDIRECT("'"&amp;$D$2&amp;"'"&amp;"!B"&amp;Z165)="","",INDIRECT("'"&amp;$D$2&amp;"'"&amp;"!B"&amp;Z165)))</f>
        <v>jhaEnterprise Workflow</v>
      </c>
      <c r="D165" t="str" cm="1">
        <f t="array" aca="1" ref="D165" ca="1">IFERROR(_xlfn.IFS(C165="","",C165&lt;&gt;"",INDEX(SF_Output!I:I,MATCH(C165,SF_Output!M:M,0))),IFERROR(INDEX(INDIRECT($D$2&amp;"!G:G"),MATCH(C165,INDIRECT($D$2&amp;"!B:B"),0)),INDEX(INDIRECT("'"&amp;$D$2&amp;"'!G:G"),MATCH(C165,INDIRECT("'"&amp;$D$2&amp;"'!B:B"),0))))</f>
        <v>IS and Risk</v>
      </c>
      <c r="E165" t="str" cm="1">
        <f t="array" aca="1" ref="E165" ca="1">IFERROR(IF(C165="","",INDIRECT($D$2&amp;"!F"&amp;Z165)),IF(C165="","",INDIRECT("'"&amp;$D$2&amp;"'"&amp;"!F"&amp;Z165)))</f>
        <v>Included</v>
      </c>
      <c r="F165" t="str" cm="1">
        <f t="array" aca="1" ref="F165" ca="1">IFERROR(IF(C165="","",INDIRECT($D$2&amp;"!ak"&amp;Z165)),IF(C165="","",INDIRECT("'"&amp;$D$2&amp;"'"&amp;"!ak"&amp;Z165)))</f>
        <v>PAP</v>
      </c>
      <c r="G165" cm="1">
        <f t="array" aca="1" ref="G165" ca="1">IFERROR(INDIRECT($D$2&amp;"!h"&amp;Z165),INDIRECT("'"&amp;$D$2&amp;"'"&amp;"!h"&amp;Z165))</f>
        <v>5000</v>
      </c>
      <c r="H165" s="125" cm="1">
        <f t="array" aca="1" ref="H165" ca="1">IFERROR(INDIRECT($D$2&amp;"!i"&amp;Z165),INDIRECT("'"&amp;$D$2&amp;"'"&amp;"!i"&amp;Z165))</f>
        <v>0.1605</v>
      </c>
      <c r="I165" s="113" cm="1">
        <f t="array" aca="1" ref="I165" ca="1">IFERROR(IF($C165="","",INDIRECT($D$2&amp;"!j"&amp;$Z165)+INDIRECT($D$2&amp;"!n"&amp;$Z165)),IF($C165="","",INDIRECT("'"&amp;$D$2&amp;"'"&amp;"!j"&amp;$Z165)+INDIRECT("'"&amp;$D$2&amp;"'"&amp;"!n"&amp;$Z165)))</f>
        <v>10000</v>
      </c>
      <c r="J165" s="113">
        <f t="shared" ca="1" si="17"/>
        <v>-10000</v>
      </c>
      <c r="K165" s="113" cm="1">
        <f t="array" aca="1" ref="K165" ca="1">IFERROR(IF($C165="","",INDIRECT($D$2&amp;"!l"&amp;$Z165)+INDIRECT($D$2&amp;"!p"&amp;$Z165)),IF($C165="","",INDIRECT("'"&amp;$D$2&amp;"'"&amp;"!l"&amp;$Z165)+INDIRECT("'"&amp;$D$2&amp;"'"&amp;"!p"&amp;$Z165)))</f>
        <v>0</v>
      </c>
      <c r="M165" s="113" cm="1">
        <f t="array" aca="1" ref="M165" ca="1">IFERROR(IF($C165="","",INDIRECT($D$2&amp;"!r"&amp;Z165)),IF($C165="","",INDIRECT("'"&amp;$D$2&amp;"'"&amp;"!r"&amp;Z165)))</f>
        <v>0</v>
      </c>
      <c r="N165" s="113">
        <f t="shared" ca="1" si="18"/>
        <v>0</v>
      </c>
      <c r="O165" s="113" cm="1">
        <f t="array" aca="1" ref="O165" ca="1">IFERROR(IF($C165="","",INDIRECT($D$2&amp;"!t"&amp;Z165)),IF($C165="","",INDIRECT("'"&amp;$D$2&amp;"'"&amp;"!t"&amp;Z165)))</f>
        <v>0</v>
      </c>
      <c r="Q165" s="113" cm="1">
        <f t="array" aca="1" ref="Q165" ca="1">IFERROR(IF($C165="","",INDIRECT($D$2&amp;"!v"&amp;Z165)),IF($C165="","",INDIRECT("'"&amp;$D$2&amp;"'"&amp;"!v"&amp;Z165)))</f>
        <v>1070</v>
      </c>
      <c r="R165" s="113">
        <f t="shared" ca="1" si="19"/>
        <v>-267.5</v>
      </c>
      <c r="S165" s="113" cm="1">
        <f t="array" aca="1" ref="S165" ca="1">IFERROR(IF($C165="","",INDIRECT($D$2&amp;"!x"&amp;Z165)),IF($C165="","",INDIRECT("'"&amp;$D$2&amp;"'"&amp;"!x"&amp;Z165)))</f>
        <v>802.5</v>
      </c>
      <c r="U165" s="113" cm="1">
        <f t="array" aca="1" ref="U165" ca="1">IFERROR(IF($C165="","",INDIRECT($D$2&amp;"!z"&amp;Z165)),IF($C165="","",INDIRECT("'"&amp;$D$2&amp;"'"&amp;"!z"&amp;Z165)))</f>
        <v>0</v>
      </c>
      <c r="V165" s="113">
        <f t="shared" ca="1" si="20"/>
        <v>0</v>
      </c>
      <c r="W165" s="113" cm="1">
        <f t="array" aca="1" ref="W165" ca="1">IFERROR(IF($C165="","",INDIRECT($D$2&amp;"!ab"&amp;Z165)),IF($C165="","",INDIRECT("'"&amp;$D$2&amp;"'"&amp;"!ab"&amp;Z165)))</f>
        <v>0</v>
      </c>
      <c r="X165" s="113"/>
      <c r="Y165" s="113">
        <f t="shared" ca="1" si="21"/>
        <v>802.5</v>
      </c>
      <c r="Z165" s="35">
        <v>154</v>
      </c>
      <c r="AA165" s="113"/>
      <c r="AB165" s="35">
        <v>154</v>
      </c>
    </row>
    <row r="166" spans="3:28" x14ac:dyDescent="0.25">
      <c r="C166" t="str" cm="1">
        <f t="array" aca="1" ref="C166" ca="1">IFERROR(IF(INDIRECT($D$2&amp;"!B"&amp;Z166)="","",INDIRECT("'"&amp;$D$2&amp;"'"&amp;"!B"&amp;Z166)),IF(INDIRECT("'"&amp;$D$2&amp;"'"&amp;"!B"&amp;Z166)="","",INDIRECT("'"&amp;$D$2&amp;"'"&amp;"!B"&amp;Z166)))</f>
        <v>jhaEnterprise Workflow Synergy</v>
      </c>
      <c r="D166" t="str" cm="1">
        <f t="array" aca="1" ref="D166" ca="1">IFERROR(_xlfn.IFS(C166="","",C166&lt;&gt;"",INDEX(SF_Output!I:I,MATCH(C166,SF_Output!M:M,0))),IFERROR(INDEX(INDIRECT($D$2&amp;"!G:G"),MATCH(C166,INDIRECT($D$2&amp;"!B:B"),0)),INDEX(INDIRECT("'"&amp;$D$2&amp;"'!G:G"),MATCH(C166,INDIRECT("'"&amp;$D$2&amp;"'!B:B"),0))))</f>
        <v>IS and Risk</v>
      </c>
      <c r="E166" t="str" cm="1">
        <f t="array" aca="1" ref="E166" ca="1">IFERROR(IF(C166="","",INDIRECT($D$2&amp;"!F"&amp;Z166)),IF(C166="","",INDIRECT("'"&amp;$D$2&amp;"'"&amp;"!F"&amp;Z166)))</f>
        <v>Included</v>
      </c>
      <c r="F166" t="str" cm="1">
        <f t="array" aca="1" ref="F166" ca="1">IFERROR(IF(C166="","",INDIRECT($D$2&amp;"!ak"&amp;Z166)),IF(C166="","",INDIRECT("'"&amp;$D$2&amp;"'"&amp;"!ak"&amp;Z166)))</f>
        <v>PAP</v>
      </c>
      <c r="G166" cm="1">
        <f t="array" aca="1" ref="G166" ca="1">IFERROR(INDIRECT($D$2&amp;"!h"&amp;Z166),INDIRECT("'"&amp;$D$2&amp;"'"&amp;"!h"&amp;Z166))</f>
        <v>5000</v>
      </c>
      <c r="H166" s="125" cm="1">
        <f t="array" aca="1" ref="H166" ca="1">IFERROR(INDIRECT($D$2&amp;"!i"&amp;Z166),INDIRECT("'"&amp;$D$2&amp;"'"&amp;"!i"&amp;Z166))</f>
        <v>0.1605</v>
      </c>
      <c r="I166" s="113" cm="1">
        <f t="array" aca="1" ref="I166" ca="1">IFERROR(IF($C166="","",INDIRECT($D$2&amp;"!j"&amp;$Z166)+INDIRECT($D$2&amp;"!n"&amp;$Z166)),IF($C166="","",INDIRECT("'"&amp;$D$2&amp;"'"&amp;"!j"&amp;$Z166)+INDIRECT("'"&amp;$D$2&amp;"'"&amp;"!n"&amp;$Z166)))</f>
        <v>10000</v>
      </c>
      <c r="J166" s="113">
        <f t="shared" ca="1" si="17"/>
        <v>-10000</v>
      </c>
      <c r="K166" s="113" cm="1">
        <f t="array" aca="1" ref="K166" ca="1">IFERROR(IF($C166="","",INDIRECT($D$2&amp;"!l"&amp;$Z166)+INDIRECT($D$2&amp;"!p"&amp;$Z166)),IF($C166="","",INDIRECT("'"&amp;$D$2&amp;"'"&amp;"!l"&amp;$Z166)+INDIRECT("'"&amp;$D$2&amp;"'"&amp;"!p"&amp;$Z166)))</f>
        <v>0</v>
      </c>
      <c r="M166" s="113" cm="1">
        <f t="array" aca="1" ref="M166" ca="1">IFERROR(IF($C166="","",INDIRECT($D$2&amp;"!r"&amp;Z166)),IF($C166="","",INDIRECT("'"&amp;$D$2&amp;"'"&amp;"!r"&amp;Z166)))</f>
        <v>0</v>
      </c>
      <c r="N166" s="113">
        <f t="shared" ca="1" si="18"/>
        <v>0</v>
      </c>
      <c r="O166" s="113" cm="1">
        <f t="array" aca="1" ref="O166" ca="1">IFERROR(IF($C166="","",INDIRECT($D$2&amp;"!t"&amp;Z166)),IF($C166="","",INDIRECT("'"&amp;$D$2&amp;"'"&amp;"!t"&amp;Z166)))</f>
        <v>0</v>
      </c>
      <c r="Q166" s="113" cm="1">
        <f t="array" aca="1" ref="Q166" ca="1">IFERROR(IF($C166="","",INDIRECT($D$2&amp;"!v"&amp;Z166)),IF($C166="","",INDIRECT("'"&amp;$D$2&amp;"'"&amp;"!v"&amp;Z166)))</f>
        <v>1070</v>
      </c>
      <c r="R166" s="113">
        <f t="shared" ca="1" si="19"/>
        <v>-267.5</v>
      </c>
      <c r="S166" s="113" cm="1">
        <f t="array" aca="1" ref="S166" ca="1">IFERROR(IF($C166="","",INDIRECT($D$2&amp;"!x"&amp;Z166)),IF($C166="","",INDIRECT("'"&amp;$D$2&amp;"'"&amp;"!x"&amp;Z166)))</f>
        <v>802.5</v>
      </c>
      <c r="U166" s="113" cm="1">
        <f t="array" aca="1" ref="U166" ca="1">IFERROR(IF($C166="","",INDIRECT($D$2&amp;"!z"&amp;Z166)),IF($C166="","",INDIRECT("'"&amp;$D$2&amp;"'"&amp;"!z"&amp;Z166)))</f>
        <v>0</v>
      </c>
      <c r="V166" s="113">
        <f t="shared" ca="1" si="20"/>
        <v>0</v>
      </c>
      <c r="W166" s="113" cm="1">
        <f t="array" aca="1" ref="W166" ca="1">IFERROR(IF($C166="","",INDIRECT($D$2&amp;"!ab"&amp;Z166)),IF($C166="","",INDIRECT("'"&amp;$D$2&amp;"'"&amp;"!ab"&amp;Z166)))</f>
        <v>0</v>
      </c>
      <c r="X166" s="113"/>
      <c r="Y166" s="113">
        <f t="shared" ca="1" si="21"/>
        <v>802.5</v>
      </c>
      <c r="Z166" s="35">
        <v>155</v>
      </c>
      <c r="AA166" s="113"/>
      <c r="AB166" s="35">
        <v>155</v>
      </c>
    </row>
    <row r="167" spans="3:28" x14ac:dyDescent="0.25">
      <c r="C167" t="str" cm="1">
        <f t="array" aca="1" ref="C167" ca="1">IFERROR(IF(INDIRECT($D$2&amp;"!B"&amp;Z167)="","",INDIRECT("'"&amp;$D$2&amp;"'"&amp;"!B"&amp;Z167)),IF(INDIRECT("'"&amp;$D$2&amp;"'"&amp;"!B"&amp;Z167)="","",INDIRECT("'"&amp;$D$2&amp;"'"&amp;"!B"&amp;Z167)))</f>
        <v>jhaEnterprise Workflow Consulting</v>
      </c>
      <c r="D167" t="str" cm="1">
        <f t="array" aca="1" ref="D167" ca="1">IFERROR(_xlfn.IFS(C167="","",C167&lt;&gt;"",INDEX(SF_Output!I:I,MATCH(C167,SF_Output!M:M,0))),IFERROR(INDEX(INDIRECT($D$2&amp;"!G:G"),MATCH(C167,INDIRECT($D$2&amp;"!B:B"),0)),INDEX(INDIRECT("'"&amp;$D$2&amp;"'!G:G"),MATCH(C167,INDIRECT("'"&amp;$D$2&amp;"'!B:B"),0))))</f>
        <v>IS and Risk</v>
      </c>
      <c r="E167" t="str" cm="1">
        <f t="array" aca="1" ref="E167" ca="1">IFERROR(IF(C167="","",INDIRECT($D$2&amp;"!F"&amp;Z167)),IF(C167="","",INDIRECT("'"&amp;$D$2&amp;"'"&amp;"!F"&amp;Z167)))</f>
        <v>Included</v>
      </c>
      <c r="F167" t="str" cm="1">
        <f t="array" aca="1" ref="F167" ca="1">IFERROR(IF(C167="","",INDIRECT($D$2&amp;"!ak"&amp;Z167)),IF(C167="","",INDIRECT("'"&amp;$D$2&amp;"'"&amp;"!ak"&amp;Z167)))</f>
        <v/>
      </c>
      <c r="G167" cm="1">
        <f t="array" aca="1" ref="G167" ca="1">IFERROR(INDIRECT($D$2&amp;"!h"&amp;Z167),INDIRECT("'"&amp;$D$2&amp;"'"&amp;"!h"&amp;Z167))</f>
        <v>1</v>
      </c>
      <c r="H167" s="125" t="str" cm="1">
        <f t="array" aca="1" ref="H167" ca="1">IFERROR(INDIRECT($D$2&amp;"!i"&amp;Z167),INDIRECT("'"&amp;$D$2&amp;"'"&amp;"!i"&amp;Z167))</f>
        <v/>
      </c>
      <c r="I167" s="113" cm="1">
        <f t="array" aca="1" ref="I167" ca="1">IFERROR(IF($C167="","",INDIRECT($D$2&amp;"!j"&amp;$Z167)+INDIRECT($D$2&amp;"!n"&amp;$Z167)),IF($C167="","",INDIRECT("'"&amp;$D$2&amp;"'"&amp;"!j"&amp;$Z167)+INDIRECT("'"&amp;$D$2&amp;"'"&amp;"!n"&amp;$Z167)))</f>
        <v>12500</v>
      </c>
      <c r="J167" s="113">
        <f t="shared" ca="1" si="17"/>
        <v>0</v>
      </c>
      <c r="K167" s="113" cm="1">
        <f t="array" aca="1" ref="K167" ca="1">IFERROR(IF($C167="","",INDIRECT($D$2&amp;"!l"&amp;$Z167)+INDIRECT($D$2&amp;"!p"&amp;$Z167)),IF($C167="","",INDIRECT("'"&amp;$D$2&amp;"'"&amp;"!l"&amp;$Z167)+INDIRECT("'"&amp;$D$2&amp;"'"&amp;"!p"&amp;$Z167)))</f>
        <v>12500</v>
      </c>
      <c r="M167" s="113" cm="1">
        <f t="array" aca="1" ref="M167" ca="1">IFERROR(IF($C167="","",INDIRECT($D$2&amp;"!r"&amp;Z167)),IF($C167="","",INDIRECT("'"&amp;$D$2&amp;"'"&amp;"!r"&amp;Z167)))</f>
        <v>0</v>
      </c>
      <c r="N167" s="113">
        <f t="shared" ca="1" si="18"/>
        <v>0</v>
      </c>
      <c r="O167" s="113" cm="1">
        <f t="array" aca="1" ref="O167" ca="1">IFERROR(IF($C167="","",INDIRECT($D$2&amp;"!t"&amp;Z167)),IF($C167="","",INDIRECT("'"&amp;$D$2&amp;"'"&amp;"!t"&amp;Z167)))</f>
        <v>0</v>
      </c>
      <c r="Q167" s="113" cm="1">
        <f t="array" aca="1" ref="Q167" ca="1">IFERROR(IF($C167="","",INDIRECT($D$2&amp;"!v"&amp;Z167)),IF($C167="","",INDIRECT("'"&amp;$D$2&amp;"'"&amp;"!v"&amp;Z167)))</f>
        <v>0</v>
      </c>
      <c r="R167" s="113">
        <f t="shared" ca="1" si="19"/>
        <v>0</v>
      </c>
      <c r="S167" s="113" cm="1">
        <f t="array" aca="1" ref="S167" ca="1">IFERROR(IF($C167="","",INDIRECT($D$2&amp;"!x"&amp;Z167)),IF($C167="","",INDIRECT("'"&amp;$D$2&amp;"'"&amp;"!x"&amp;Z167)))</f>
        <v>0</v>
      </c>
      <c r="U167" s="113" cm="1">
        <f t="array" aca="1" ref="U167" ca="1">IFERROR(IF($C167="","",INDIRECT($D$2&amp;"!z"&amp;Z167)),IF($C167="","",INDIRECT("'"&amp;$D$2&amp;"'"&amp;"!z"&amp;Z167)))</f>
        <v>0</v>
      </c>
      <c r="V167" s="113">
        <f t="shared" ca="1" si="20"/>
        <v>0</v>
      </c>
      <c r="W167" s="113" cm="1">
        <f t="array" aca="1" ref="W167" ca="1">IFERROR(IF($C167="","",INDIRECT($D$2&amp;"!ab"&amp;Z167)),IF($C167="","",INDIRECT("'"&amp;$D$2&amp;"'"&amp;"!ab"&amp;Z167)))</f>
        <v>0</v>
      </c>
      <c r="X167" s="113"/>
      <c r="Y167" s="113">
        <f t="shared" ca="1" si="21"/>
        <v>0</v>
      </c>
      <c r="Z167" s="35">
        <v>156</v>
      </c>
      <c r="AA167" s="113"/>
      <c r="AB167" s="35">
        <v>156</v>
      </c>
    </row>
    <row r="168" spans="3:28" x14ac:dyDescent="0.25">
      <c r="C168" t="str" cm="1">
        <f t="array" aca="1" ref="C168" ca="1">IFERROR(IF(INDIRECT($D$2&amp;"!B"&amp;Z168)="","",INDIRECT("'"&amp;$D$2&amp;"'"&amp;"!B"&amp;Z168)),IF(INDIRECT("'"&amp;$D$2&amp;"'"&amp;"!B"&amp;Z168)="","",INDIRECT("'"&amp;$D$2&amp;"'"&amp;"!B"&amp;Z168)))</f>
        <v>jhaEnterprise Workflow Training Shared</v>
      </c>
      <c r="D168" t="str" cm="1">
        <f t="array" aca="1" ref="D168" ca="1">IFERROR(_xlfn.IFS(C168="","",C168&lt;&gt;"",INDEX(SF_Output!I:I,MATCH(C168,SF_Output!M:M,0))),IFERROR(INDEX(INDIRECT($D$2&amp;"!G:G"),MATCH(C168,INDIRECT($D$2&amp;"!B:B"),0)),INDEX(INDIRECT("'"&amp;$D$2&amp;"'!G:G"),MATCH(C168,INDIRECT("'"&amp;$D$2&amp;"'!B:B"),0))))</f>
        <v>IS and Risk</v>
      </c>
      <c r="E168" t="str" cm="1">
        <f t="array" aca="1" ref="E168" ca="1">IFERROR(IF(C168="","",INDIRECT($D$2&amp;"!F"&amp;Z168)),IF(C168="","",INDIRECT("'"&amp;$D$2&amp;"'"&amp;"!F"&amp;Z168)))</f>
        <v>Included</v>
      </c>
      <c r="F168" t="str" cm="1">
        <f t="array" aca="1" ref="F168" ca="1">IFERROR(IF(C168="","",INDIRECT($D$2&amp;"!ak"&amp;Z168)),IF(C168="","",INDIRECT("'"&amp;$D$2&amp;"'"&amp;"!ak"&amp;Z168)))</f>
        <v/>
      </c>
      <c r="G168" cm="1">
        <f t="array" aca="1" ref="G168" ca="1">IFERROR(INDIRECT($D$2&amp;"!h"&amp;Z168),INDIRECT("'"&amp;$D$2&amp;"'"&amp;"!h"&amp;Z168))</f>
        <v>2</v>
      </c>
      <c r="H168" s="125" t="str" cm="1">
        <f t="array" aca="1" ref="H168" ca="1">IFERROR(INDIRECT($D$2&amp;"!i"&amp;Z168),INDIRECT("'"&amp;$D$2&amp;"'"&amp;"!i"&amp;Z168))</f>
        <v/>
      </c>
      <c r="I168" s="113" cm="1">
        <f t="array" aca="1" ref="I168" ca="1">IFERROR(IF($C168="","",INDIRECT($D$2&amp;"!j"&amp;$Z168)+INDIRECT($D$2&amp;"!n"&amp;$Z168)),IF($C168="","",INDIRECT("'"&amp;$D$2&amp;"'"&amp;"!j"&amp;$Z168)+INDIRECT("'"&amp;$D$2&amp;"'"&amp;"!n"&amp;$Z168)))</f>
        <v>3600</v>
      </c>
      <c r="J168" s="113">
        <f t="shared" ca="1" si="17"/>
        <v>0</v>
      </c>
      <c r="K168" s="113" cm="1">
        <f t="array" aca="1" ref="K168" ca="1">IFERROR(IF($C168="","",INDIRECT($D$2&amp;"!l"&amp;$Z168)+INDIRECT($D$2&amp;"!p"&amp;$Z168)),IF($C168="","",INDIRECT("'"&amp;$D$2&amp;"'"&amp;"!l"&amp;$Z168)+INDIRECT("'"&amp;$D$2&amp;"'"&amp;"!p"&amp;$Z168)))</f>
        <v>3600</v>
      </c>
      <c r="M168" s="113" cm="1">
        <f t="array" aca="1" ref="M168" ca="1">IFERROR(IF($C168="","",INDIRECT($D$2&amp;"!r"&amp;Z168)),IF($C168="","",INDIRECT("'"&amp;$D$2&amp;"'"&amp;"!r"&amp;Z168)))</f>
        <v>0</v>
      </c>
      <c r="N168" s="113">
        <f t="shared" ca="1" si="18"/>
        <v>0</v>
      </c>
      <c r="O168" s="113" cm="1">
        <f t="array" aca="1" ref="O168" ca="1">IFERROR(IF($C168="","",INDIRECT($D$2&amp;"!t"&amp;Z168)),IF($C168="","",INDIRECT("'"&amp;$D$2&amp;"'"&amp;"!t"&amp;Z168)))</f>
        <v>0</v>
      </c>
      <c r="Q168" s="113" cm="1">
        <f t="array" aca="1" ref="Q168" ca="1">IFERROR(IF($C168="","",INDIRECT($D$2&amp;"!v"&amp;Z168)),IF($C168="","",INDIRECT("'"&amp;$D$2&amp;"'"&amp;"!v"&amp;Z168)))</f>
        <v>0</v>
      </c>
      <c r="R168" s="113">
        <f t="shared" ca="1" si="19"/>
        <v>0</v>
      </c>
      <c r="S168" s="113" cm="1">
        <f t="array" aca="1" ref="S168" ca="1">IFERROR(IF($C168="","",INDIRECT($D$2&amp;"!x"&amp;Z168)),IF($C168="","",INDIRECT("'"&amp;$D$2&amp;"'"&amp;"!x"&amp;Z168)))</f>
        <v>0</v>
      </c>
      <c r="U168" s="113" cm="1">
        <f t="array" aca="1" ref="U168" ca="1">IFERROR(IF($C168="","",INDIRECT($D$2&amp;"!z"&amp;Z168)),IF($C168="","",INDIRECT("'"&amp;$D$2&amp;"'"&amp;"!z"&amp;Z168)))</f>
        <v>0</v>
      </c>
      <c r="V168" s="113">
        <f t="shared" ca="1" si="20"/>
        <v>0</v>
      </c>
      <c r="W168" s="113" cm="1">
        <f t="array" aca="1" ref="W168" ca="1">IFERROR(IF($C168="","",INDIRECT($D$2&amp;"!ab"&amp;Z168)),IF($C168="","",INDIRECT("'"&amp;$D$2&amp;"'"&amp;"!ab"&amp;Z168)))</f>
        <v>0</v>
      </c>
      <c r="X168" s="113"/>
      <c r="Y168" s="113">
        <f t="shared" ca="1" si="21"/>
        <v>0</v>
      </c>
      <c r="Z168" s="35">
        <v>157</v>
      </c>
      <c r="AA168" s="113"/>
      <c r="AB168" s="35">
        <v>157</v>
      </c>
    </row>
    <row r="169" spans="3:28" x14ac:dyDescent="0.25">
      <c r="C169" t="str" cm="1">
        <f t="array" aca="1" ref="C169" ca="1">IFERROR(IF(INDIRECT($D$2&amp;"!B"&amp;Z169)="","",INDIRECT("'"&amp;$D$2&amp;"'"&amp;"!B"&amp;Z169)),IF(INDIRECT("'"&amp;$D$2&amp;"'"&amp;"!B"&amp;Z169)="","",INDIRECT("'"&amp;$D$2&amp;"'"&amp;"!B"&amp;Z169)))</f>
        <v>jConnect</v>
      </c>
      <c r="D169" t="str" cm="1">
        <f t="array" aca="1" ref="D169" ca="1">IFERROR(_xlfn.IFS(C169="","",C169&lt;&gt;"",INDEX(SF_Output!I:I,MATCH(C169,SF_Output!M:M,0))),IFERROR(INDEX(INDIRECT($D$2&amp;"!G:G"),MATCH(C169,INDIRECT($D$2&amp;"!B:B"),0)),INDEX(INDIRECT("'"&amp;$D$2&amp;"'!G:G"),MATCH(C169,INDIRECT("'"&amp;$D$2&amp;"'!B:B"),0))))</f>
        <v>IS and Risk</v>
      </c>
      <c r="E169" t="str" cm="1">
        <f t="array" aca="1" ref="E169" ca="1">IFERROR(IF(C169="","",INDIRECT($D$2&amp;"!F"&amp;Z169)),IF(C169="","",INDIRECT("'"&amp;$D$2&amp;"'"&amp;"!F"&amp;Z169)))</f>
        <v>Included</v>
      </c>
      <c r="F169" t="str" cm="1">
        <f t="array" aca="1" ref="F169" ca="1">IFERROR(IF(C169="","",INDIRECT($D$2&amp;"!ak"&amp;Z169)),IF(C169="","",INDIRECT("'"&amp;$D$2&amp;"'"&amp;"!ak"&amp;Z169)))</f>
        <v/>
      </c>
      <c r="G169" cm="1">
        <f t="array" aca="1" ref="G169" ca="1">IFERROR(INDIRECT($D$2&amp;"!h"&amp;Z169),INDIRECT("'"&amp;$D$2&amp;"'"&amp;"!h"&amp;Z169))</f>
        <v>1</v>
      </c>
      <c r="H169" s="125" t="str" cm="1">
        <f t="array" aca="1" ref="H169" ca="1">IFERROR(INDIRECT($D$2&amp;"!i"&amp;Z169),INDIRECT("'"&amp;$D$2&amp;"'"&amp;"!i"&amp;Z169))</f>
        <v/>
      </c>
      <c r="I169" s="113" cm="1">
        <f t="array" aca="1" ref="I169" ca="1">IFERROR(IF($C169="","",INDIRECT($D$2&amp;"!j"&amp;$Z169)+INDIRECT($D$2&amp;"!n"&amp;$Z169)),IF($C169="","",INDIRECT("'"&amp;$D$2&amp;"'"&amp;"!j"&amp;$Z169)+INDIRECT("'"&amp;$D$2&amp;"'"&amp;"!n"&amp;$Z169)))</f>
        <v>0</v>
      </c>
      <c r="J169" s="113">
        <f t="shared" ca="1" si="17"/>
        <v>0</v>
      </c>
      <c r="K169" s="113" cm="1">
        <f t="array" aca="1" ref="K169" ca="1">IFERROR(IF($C169="","",INDIRECT($D$2&amp;"!l"&amp;$Z169)+INDIRECT($D$2&amp;"!p"&amp;$Z169)),IF($C169="","",INDIRECT("'"&amp;$D$2&amp;"'"&amp;"!l"&amp;$Z169)+INDIRECT("'"&amp;$D$2&amp;"'"&amp;"!p"&amp;$Z169)))</f>
        <v>0</v>
      </c>
      <c r="M169" s="113" cm="1">
        <f t="array" aca="1" ref="M169" ca="1">IFERROR(IF($C169="","",INDIRECT($D$2&amp;"!r"&amp;Z169)),IF($C169="","",INDIRECT("'"&amp;$D$2&amp;"'"&amp;"!r"&amp;Z169)))</f>
        <v>0</v>
      </c>
      <c r="N169" s="113">
        <f t="shared" ca="1" si="18"/>
        <v>0</v>
      </c>
      <c r="O169" s="113" cm="1">
        <f t="array" aca="1" ref="O169" ca="1">IFERROR(IF($C169="","",INDIRECT($D$2&amp;"!t"&amp;Z169)),IF($C169="","",INDIRECT("'"&amp;$D$2&amp;"'"&amp;"!t"&amp;Z169)))</f>
        <v>0</v>
      </c>
      <c r="Q169" s="113" cm="1">
        <f t="array" aca="1" ref="Q169" ca="1">IFERROR(IF($C169="","",INDIRECT($D$2&amp;"!v"&amp;Z169)),IF($C169="","",INDIRECT("'"&amp;$D$2&amp;"'"&amp;"!v"&amp;Z169)))</f>
        <v>1000</v>
      </c>
      <c r="R169" s="113">
        <f t="shared" ca="1" si="19"/>
        <v>0</v>
      </c>
      <c r="S169" s="113" cm="1">
        <f t="array" aca="1" ref="S169" ca="1">IFERROR(IF($C169="","",INDIRECT($D$2&amp;"!x"&amp;Z169)),IF($C169="","",INDIRECT("'"&amp;$D$2&amp;"'"&amp;"!x"&amp;Z169)))</f>
        <v>1000</v>
      </c>
      <c r="U169" s="113" cm="1">
        <f t="array" aca="1" ref="U169" ca="1">IFERROR(IF($C169="","",INDIRECT($D$2&amp;"!z"&amp;Z169)),IF($C169="","",INDIRECT("'"&amp;$D$2&amp;"'"&amp;"!z"&amp;Z169)))</f>
        <v>0</v>
      </c>
      <c r="V169" s="113">
        <f t="shared" ca="1" si="20"/>
        <v>0</v>
      </c>
      <c r="W169" s="113" cm="1">
        <f t="array" aca="1" ref="W169" ca="1">IFERROR(IF($C169="","",INDIRECT($D$2&amp;"!ab"&amp;Z169)),IF($C169="","",INDIRECT("'"&amp;$D$2&amp;"'"&amp;"!ab"&amp;Z169)))</f>
        <v>0</v>
      </c>
      <c r="X169" s="113"/>
      <c r="Y169" s="113">
        <f t="shared" ca="1" si="21"/>
        <v>1000</v>
      </c>
      <c r="Z169" s="35">
        <v>158</v>
      </c>
      <c r="AA169" s="113"/>
      <c r="AB169" s="35">
        <v>158</v>
      </c>
    </row>
    <row r="170" spans="3:28" x14ac:dyDescent="0.25">
      <c r="C170" t="str" cm="1">
        <f t="array" aca="1" ref="C170" ca="1">IFERROR(IF(INDIRECT($D$2&amp;"!B"&amp;Z170)="","",INDIRECT("'"&amp;$D$2&amp;"'"&amp;"!B"&amp;Z170)),IF(INDIRECT("'"&amp;$D$2&amp;"'"&amp;"!B"&amp;Z170)="","",INDIRECT("'"&amp;$D$2&amp;"'"&amp;"!B"&amp;Z170)))</f>
        <v>Jack Henry Loyalty and Rewards Support - Enterprise</v>
      </c>
      <c r="D170" t="str" cm="1">
        <f t="array" aca="1" ref="D170" ca="1">IFERROR(_xlfn.IFS(C170="","",C170&lt;&gt;"",INDEX(SF_Output!I:I,MATCH(C170,SF_Output!M:M,0))),IFERROR(INDEX(INDIRECT($D$2&amp;"!G:G"),MATCH(C170,INDIRECT($D$2&amp;"!B:B"),0)),INDEX(INDIRECT("'"&amp;$D$2&amp;"'!G:G"),MATCH(C170,INDIRECT("'"&amp;$D$2&amp;"'!B:B"),0))))</f>
        <v>BI and Financial</v>
      </c>
      <c r="E170" t="str" cm="1">
        <f t="array" aca="1" ref="E170" ca="1">IFERROR(IF(C170="","",INDIRECT($D$2&amp;"!F"&amp;Z170)),IF(C170="","",INDIRECT("'"&amp;$D$2&amp;"'"&amp;"!F"&amp;Z170)))</f>
        <v>Included</v>
      </c>
      <c r="F170" t="str" cm="1">
        <f t="array" aca="1" ref="F170" ca="1">IFERROR(IF(C170="","",INDIRECT($D$2&amp;"!ak"&amp;Z170)),IF(C170="","",INDIRECT("'"&amp;$D$2&amp;"'"&amp;"!ak"&amp;Z170)))</f>
        <v/>
      </c>
      <c r="G170" cm="1">
        <f t="array" aca="1" ref="G170" ca="1">IFERROR(INDIRECT($D$2&amp;"!h"&amp;Z170),INDIRECT("'"&amp;$D$2&amp;"'"&amp;"!h"&amp;Z170))</f>
        <v>1</v>
      </c>
      <c r="H170" s="125" t="str" cm="1">
        <f t="array" aca="1" ref="H170" ca="1">IFERROR(INDIRECT($D$2&amp;"!i"&amp;Z170),INDIRECT("'"&amp;$D$2&amp;"'"&amp;"!i"&amp;Z170))</f>
        <v/>
      </c>
      <c r="I170" s="113" cm="1">
        <f t="array" aca="1" ref="I170" ca="1">IFERROR(IF($C170="","",INDIRECT($D$2&amp;"!j"&amp;$Z170)+INDIRECT($D$2&amp;"!n"&amp;$Z170)),IF($C170="","",INDIRECT("'"&amp;$D$2&amp;"'"&amp;"!j"&amp;$Z170)+INDIRECT("'"&amp;$D$2&amp;"'"&amp;"!n"&amp;$Z170)))</f>
        <v>16625</v>
      </c>
      <c r="J170" s="113">
        <f t="shared" ca="1" si="17"/>
        <v>-16625</v>
      </c>
      <c r="K170" s="113" cm="1">
        <f t="array" aca="1" ref="K170" ca="1">IFERROR(IF($C170="","",INDIRECT($D$2&amp;"!l"&amp;$Z170)+INDIRECT($D$2&amp;"!p"&amp;$Z170)),IF($C170="","",INDIRECT("'"&amp;$D$2&amp;"'"&amp;"!l"&amp;$Z170)+INDIRECT("'"&amp;$D$2&amp;"'"&amp;"!p"&amp;$Z170)))</f>
        <v>0</v>
      </c>
      <c r="M170" s="113" cm="1">
        <f t="array" aca="1" ref="M170" ca="1">IFERROR(IF($C170="","",INDIRECT($D$2&amp;"!r"&amp;Z170)),IF($C170="","",INDIRECT("'"&amp;$D$2&amp;"'"&amp;"!r"&amp;Z170)))</f>
        <v>0</v>
      </c>
      <c r="N170" s="113">
        <f t="shared" ca="1" si="18"/>
        <v>0</v>
      </c>
      <c r="O170" s="113" cm="1">
        <f t="array" aca="1" ref="O170" ca="1">IFERROR(IF($C170="","",INDIRECT($D$2&amp;"!t"&amp;Z170)),IF($C170="","",INDIRECT("'"&amp;$D$2&amp;"'"&amp;"!t"&amp;Z170)))</f>
        <v>0</v>
      </c>
      <c r="Q170" s="113" cm="1">
        <f t="array" aca="1" ref="Q170" ca="1">IFERROR(IF($C170="","",INDIRECT($D$2&amp;"!v"&amp;Z170)),IF($C170="","",INDIRECT("'"&amp;$D$2&amp;"'"&amp;"!v"&amp;Z170)))</f>
        <v>500</v>
      </c>
      <c r="R170" s="113">
        <f t="shared" ca="1" si="19"/>
        <v>0</v>
      </c>
      <c r="S170" s="113" cm="1">
        <f t="array" aca="1" ref="S170" ca="1">IFERROR(IF($C170="","",INDIRECT($D$2&amp;"!x"&amp;Z170)),IF($C170="","",INDIRECT("'"&amp;$D$2&amp;"'"&amp;"!x"&amp;Z170)))</f>
        <v>500</v>
      </c>
      <c r="U170" s="113" cm="1">
        <f t="array" aca="1" ref="U170" ca="1">IFERROR(IF($C170="","",INDIRECT($D$2&amp;"!z"&amp;Z170)),IF($C170="","",INDIRECT("'"&amp;$D$2&amp;"'"&amp;"!z"&amp;Z170)))</f>
        <v>0</v>
      </c>
      <c r="V170" s="113">
        <f t="shared" ca="1" si="20"/>
        <v>0</v>
      </c>
      <c r="W170" s="113" cm="1">
        <f t="array" aca="1" ref="W170" ca="1">IFERROR(IF($C170="","",INDIRECT($D$2&amp;"!ab"&amp;Z170)),IF($C170="","",INDIRECT("'"&amp;$D$2&amp;"'"&amp;"!ab"&amp;Z170)))</f>
        <v>0</v>
      </c>
      <c r="X170" s="113"/>
      <c r="Y170" s="113">
        <f t="shared" ca="1" si="21"/>
        <v>500</v>
      </c>
      <c r="Z170" s="35">
        <v>159</v>
      </c>
      <c r="AA170" s="113"/>
      <c r="AB170" s="35">
        <v>159</v>
      </c>
    </row>
    <row r="171" spans="3:28" x14ac:dyDescent="0.25">
      <c r="C171" t="str" cm="1">
        <f t="array" aca="1" ref="C171" ca="1">IFERROR(IF(INDIRECT($D$2&amp;"!B"&amp;Z171)="","",INDIRECT("'"&amp;$D$2&amp;"'"&amp;"!B"&amp;Z171)),IF(INDIRECT("'"&amp;$D$2&amp;"'"&amp;"!B"&amp;Z171)="","",INDIRECT("'"&amp;$D$2&amp;"'"&amp;"!B"&amp;Z171)))</f>
        <v>Jack Henry Loyalty and Rewards - Enterprise</v>
      </c>
      <c r="D171" t="str" cm="1">
        <f t="array" aca="1" ref="D171" ca="1">IFERROR(_xlfn.IFS(C171="","",C171&lt;&gt;"",INDEX(SF_Output!I:I,MATCH(C171,SF_Output!M:M,0))),IFERROR(INDEX(INDIRECT($D$2&amp;"!G:G"),MATCH(C171,INDIRECT($D$2&amp;"!B:B"),0)),INDEX(INDIRECT("'"&amp;$D$2&amp;"'!G:G"),MATCH(C171,INDIRECT("'"&amp;$D$2&amp;"'!B:B"),0))))</f>
        <v>BI and Financial</v>
      </c>
      <c r="E171" t="str" cm="1">
        <f t="array" aca="1" ref="E171" ca="1">IFERROR(IF(C171="","",INDIRECT($D$2&amp;"!F"&amp;Z171)),IF(C171="","",INDIRECT("'"&amp;$D$2&amp;"'"&amp;"!F"&amp;Z171)))</f>
        <v>Included</v>
      </c>
      <c r="F171" t="str" cm="1">
        <f t="array" aca="1" ref="F171" ca="1">IFERROR(IF(C171="","",INDIRECT($D$2&amp;"!ak"&amp;Z171)),IF(C171="","",INDIRECT("'"&amp;$D$2&amp;"'"&amp;"!ak"&amp;Z171)))</f>
        <v/>
      </c>
      <c r="G171" cm="1">
        <f t="array" aca="1" ref="G171" ca="1">IFERROR(INDIRECT($D$2&amp;"!h"&amp;Z171),INDIRECT("'"&amp;$D$2&amp;"'"&amp;"!h"&amp;Z171))</f>
        <v>1</v>
      </c>
      <c r="H171" s="125" t="str" cm="1">
        <f t="array" aca="1" ref="H171" ca="1">IFERROR(INDIRECT($D$2&amp;"!i"&amp;Z171),INDIRECT("'"&amp;$D$2&amp;"'"&amp;"!i"&amp;Z171))</f>
        <v/>
      </c>
      <c r="I171" s="113" cm="1">
        <f t="array" aca="1" ref="I171" ca="1">IFERROR(IF($C171="","",INDIRECT($D$2&amp;"!j"&amp;$Z171)+INDIRECT($D$2&amp;"!n"&amp;$Z171)),IF($C171="","",INDIRECT("'"&amp;$D$2&amp;"'"&amp;"!j"&amp;$Z171)+INDIRECT("'"&amp;$D$2&amp;"'"&amp;"!n"&amp;$Z171)))</f>
        <v>0</v>
      </c>
      <c r="J171" s="113">
        <f t="shared" ca="1" si="17"/>
        <v>0</v>
      </c>
      <c r="K171" s="113" cm="1">
        <f t="array" aca="1" ref="K171" ca="1">IFERROR(IF($C171="","",INDIRECT($D$2&amp;"!l"&amp;$Z171)+INDIRECT($D$2&amp;"!p"&amp;$Z171)),IF($C171="","",INDIRECT("'"&amp;$D$2&amp;"'"&amp;"!l"&amp;$Z171)+INDIRECT("'"&amp;$D$2&amp;"'"&amp;"!p"&amp;$Z171)))</f>
        <v>0</v>
      </c>
      <c r="M171" s="113" cm="1">
        <f t="array" aca="1" ref="M171" ca="1">IFERROR(IF($C171="","",INDIRECT($D$2&amp;"!r"&amp;Z171)),IF($C171="","",INDIRECT("'"&amp;$D$2&amp;"'"&amp;"!r"&amp;Z171)))</f>
        <v>0</v>
      </c>
      <c r="N171" s="113">
        <f t="shared" ca="1" si="18"/>
        <v>0</v>
      </c>
      <c r="O171" s="113" cm="1">
        <f t="array" aca="1" ref="O171" ca="1">IFERROR(IF($C171="","",INDIRECT($D$2&amp;"!t"&amp;Z171)),IF($C171="","",INDIRECT("'"&amp;$D$2&amp;"'"&amp;"!t"&amp;Z171)))</f>
        <v>0</v>
      </c>
      <c r="Q171" s="113" cm="1">
        <f t="array" aca="1" ref="Q171" ca="1">IFERROR(IF($C171="","",INDIRECT($D$2&amp;"!v"&amp;Z171)),IF($C171="","",INDIRECT("'"&amp;$D$2&amp;"'"&amp;"!v"&amp;Z171)))</f>
        <v>1000</v>
      </c>
      <c r="R171" s="113">
        <f t="shared" ca="1" si="19"/>
        <v>0</v>
      </c>
      <c r="S171" s="113" cm="1">
        <f t="array" aca="1" ref="S171" ca="1">IFERROR(IF($C171="","",INDIRECT($D$2&amp;"!x"&amp;Z171)),IF($C171="","",INDIRECT("'"&amp;$D$2&amp;"'"&amp;"!x"&amp;Z171)))</f>
        <v>1000</v>
      </c>
      <c r="U171" s="113" cm="1">
        <f t="array" aca="1" ref="U171" ca="1">IFERROR(IF($C171="","",INDIRECT($D$2&amp;"!z"&amp;Z171)),IF($C171="","",INDIRECT("'"&amp;$D$2&amp;"'"&amp;"!z"&amp;Z171)))</f>
        <v>0</v>
      </c>
      <c r="V171" s="113">
        <f t="shared" ca="1" si="20"/>
        <v>0</v>
      </c>
      <c r="W171" s="113" cm="1">
        <f t="array" aca="1" ref="W171" ca="1">IFERROR(IF($C171="","",INDIRECT($D$2&amp;"!ab"&amp;Z171)),IF($C171="","",INDIRECT("'"&amp;$D$2&amp;"'"&amp;"!ab"&amp;Z171)))</f>
        <v>0</v>
      </c>
      <c r="X171" s="113"/>
      <c r="Y171" s="113">
        <f t="shared" ca="1" si="21"/>
        <v>1000</v>
      </c>
      <c r="Z171" s="35">
        <v>160</v>
      </c>
      <c r="AA171" s="113"/>
      <c r="AB171" s="35">
        <v>160</v>
      </c>
    </row>
    <row r="172" spans="3:28" x14ac:dyDescent="0.25">
      <c r="C172" t="str" cm="1">
        <f t="array" aca="1" ref="C172" ca="1">IFERROR(IF(INDIRECT($D$2&amp;"!B"&amp;Z172)="","",INDIRECT("'"&amp;$D$2&amp;"'"&amp;"!B"&amp;Z172)),IF(INDIRECT("'"&amp;$D$2&amp;"'"&amp;"!B"&amp;Z172)="","",INDIRECT("'"&amp;$D$2&amp;"'"&amp;"!B"&amp;Z172)))</f>
        <v>jhaAnalytics</v>
      </c>
      <c r="D172" t="str" cm="1">
        <f t="array" aca="1" ref="D172" ca="1">IFERROR(_xlfn.IFS(C172="","",C172&lt;&gt;"",INDEX(SF_Output!I:I,MATCH(C172,SF_Output!M:M,0))),IFERROR(INDEX(INDIRECT($D$2&amp;"!G:G"),MATCH(C172,INDIRECT($D$2&amp;"!B:B"),0)),INDEX(INDIRECT("'"&amp;$D$2&amp;"'!G:G"),MATCH(C172,INDIRECT("'"&amp;$D$2&amp;"'!B:B"),0))))</f>
        <v>BI and Financial</v>
      </c>
      <c r="E172" t="str" cm="1">
        <f t="array" aca="1" ref="E172" ca="1">IFERROR(IF(C172="","",INDIRECT($D$2&amp;"!F"&amp;Z172)),IF(C172="","",INDIRECT("'"&amp;$D$2&amp;"'"&amp;"!F"&amp;Z172)))</f>
        <v>Optional</v>
      </c>
      <c r="F172" t="str" cm="1">
        <f t="array" aca="1" ref="F172" ca="1">IFERROR(IF(C172="","",INDIRECT($D$2&amp;"!ak"&amp;Z172)),IF(C172="","",INDIRECT("'"&amp;$D$2&amp;"'"&amp;"!ak"&amp;Z172)))</f>
        <v>PAP</v>
      </c>
      <c r="G172" cm="1">
        <f t="array" aca="1" ref="G172" ca="1">IFERROR(INDIRECT($D$2&amp;"!h"&amp;Z172),INDIRECT("'"&amp;$D$2&amp;"'"&amp;"!h"&amp;Z172))</f>
        <v>5000</v>
      </c>
      <c r="H172" s="125" cm="1">
        <f t="array" aca="1" ref="H172" ca="1">IFERROR(INDIRECT($D$2&amp;"!i"&amp;Z172),INDIRECT("'"&amp;$D$2&amp;"'"&amp;"!i"&amp;Z172))</f>
        <v>0.24979999999999999</v>
      </c>
      <c r="I172" s="113" cm="1">
        <f t="array" aca="1" ref="I172" ca="1">IFERROR(IF($C172="","",INDIRECT($D$2&amp;"!j"&amp;$Z172)+INDIRECT($D$2&amp;"!n"&amp;$Z172)),IF($C172="","",INDIRECT("'"&amp;$D$2&amp;"'"&amp;"!j"&amp;$Z172)+INDIRECT("'"&amp;$D$2&amp;"'"&amp;"!n"&amp;$Z172)))</f>
        <v>7500</v>
      </c>
      <c r="J172" s="113">
        <f t="shared" ca="1" si="17"/>
        <v>-7500</v>
      </c>
      <c r="K172" s="113" cm="1">
        <f t="array" aca="1" ref="K172" ca="1">IFERROR(IF($C172="","",INDIRECT($D$2&amp;"!l"&amp;$Z172)+INDIRECT($D$2&amp;"!p"&amp;$Z172)),IF($C172="","",INDIRECT("'"&amp;$D$2&amp;"'"&amp;"!l"&amp;$Z172)+INDIRECT("'"&amp;$D$2&amp;"'"&amp;"!p"&amp;$Z172)))</f>
        <v>0</v>
      </c>
      <c r="M172" s="113" cm="1">
        <f t="array" aca="1" ref="M172" ca="1">IFERROR(IF($C172="","",INDIRECT($D$2&amp;"!r"&amp;Z172)),IF($C172="","",INDIRECT("'"&amp;$D$2&amp;"'"&amp;"!r"&amp;Z172)))</f>
        <v>0</v>
      </c>
      <c r="N172" s="113">
        <f t="shared" ca="1" si="18"/>
        <v>0</v>
      </c>
      <c r="O172" s="113" cm="1">
        <f t="array" aca="1" ref="O172" ca="1">IFERROR(IF($C172="","",INDIRECT($D$2&amp;"!t"&amp;Z172)),IF($C172="","",INDIRECT("'"&amp;$D$2&amp;"'"&amp;"!t"&amp;Z172)))</f>
        <v>0</v>
      </c>
      <c r="Q172" s="113" cm="1">
        <f t="array" aca="1" ref="Q172" ca="1">IFERROR(IF($C172="","",INDIRECT($D$2&amp;"!v"&amp;Z172)),IF($C172="","",INDIRECT("'"&amp;$D$2&amp;"'"&amp;"!v"&amp;Z172)))</f>
        <v>1665</v>
      </c>
      <c r="R172" s="113">
        <f t="shared" ca="1" si="19"/>
        <v>-416</v>
      </c>
      <c r="S172" s="113" cm="1">
        <f t="array" aca="1" ref="S172" ca="1">IFERROR(IF($C172="","",INDIRECT($D$2&amp;"!x"&amp;Z172)),IF($C172="","",INDIRECT("'"&amp;$D$2&amp;"'"&amp;"!x"&amp;Z172)))</f>
        <v>1249</v>
      </c>
      <c r="U172" s="113" cm="1">
        <f t="array" aca="1" ref="U172" ca="1">IFERROR(IF($C172="","",INDIRECT($D$2&amp;"!z"&amp;Z172)),IF($C172="","",INDIRECT("'"&amp;$D$2&amp;"'"&amp;"!z"&amp;Z172)))</f>
        <v>0</v>
      </c>
      <c r="V172" s="113">
        <f t="shared" ca="1" si="20"/>
        <v>0</v>
      </c>
      <c r="W172" s="113" cm="1">
        <f t="array" aca="1" ref="W172" ca="1">IFERROR(IF($C172="","",INDIRECT($D$2&amp;"!ab"&amp;Z172)),IF($C172="","",INDIRECT("'"&amp;$D$2&amp;"'"&amp;"!ab"&amp;Z172)))</f>
        <v>0</v>
      </c>
      <c r="X172" s="113"/>
      <c r="Y172" s="113">
        <f t="shared" ca="1" si="21"/>
        <v>1249</v>
      </c>
      <c r="Z172" s="35">
        <v>161</v>
      </c>
      <c r="AA172" s="113"/>
      <c r="AB172" s="35">
        <v>161</v>
      </c>
    </row>
    <row r="173" spans="3:28" x14ac:dyDescent="0.25">
      <c r="C173" t="str" cm="1">
        <f t="array" aca="1" ref="C173" ca="1">IFERROR(IF(INDIRECT($D$2&amp;"!B"&amp;Z173)="","",INDIRECT("'"&amp;$D$2&amp;"'"&amp;"!B"&amp;Z173)),IF(INDIRECT("'"&amp;$D$2&amp;"'"&amp;"!B"&amp;Z173)="","",INDIRECT("'"&amp;$D$2&amp;"'"&amp;"!B"&amp;Z173)))</f>
        <v>Cognos BI Bundles</v>
      </c>
      <c r="D173" t="str" cm="1">
        <f t="array" aca="1" ref="D173" ca="1">IFERROR(_xlfn.IFS(C173="","",C173&lt;&gt;"",INDEX(SF_Output!I:I,MATCH(C173,SF_Output!M:M,0))),IFERROR(INDEX(INDIRECT($D$2&amp;"!G:G"),MATCH(C173,INDIRECT($D$2&amp;"!B:B"),0)),INDEX(INDIRECT("'"&amp;$D$2&amp;"'!G:G"),MATCH(C173,INDIRECT("'"&amp;$D$2&amp;"'!B:B"),0))))</f>
        <v>BI and Financial</v>
      </c>
      <c r="E173" t="str" cm="1">
        <f t="array" aca="1" ref="E173" ca="1">IFERROR(IF(C173="","",INDIRECT($D$2&amp;"!F"&amp;Z173)),IF(C173="","",INDIRECT("'"&amp;$D$2&amp;"'"&amp;"!F"&amp;Z173)))</f>
        <v>Included</v>
      </c>
      <c r="F173" t="str" cm="1">
        <f t="array" aca="1" ref="F173" ca="1">IFERROR(IF(C173="","",INDIRECT($D$2&amp;"!ak"&amp;Z173)),IF(C173="","",INDIRECT("'"&amp;$D$2&amp;"'"&amp;"!ak"&amp;Z173)))</f>
        <v/>
      </c>
      <c r="G173" cm="1">
        <f t="array" aca="1" ref="G173" ca="1">IFERROR(INDIRECT($D$2&amp;"!h"&amp;Z173),INDIRECT("'"&amp;$D$2&amp;"'"&amp;"!h"&amp;Z173))</f>
        <v>1</v>
      </c>
      <c r="H173" s="125" t="str" cm="1">
        <f t="array" aca="1" ref="H173" ca="1">IFERROR(INDIRECT($D$2&amp;"!i"&amp;Z173),INDIRECT("'"&amp;$D$2&amp;"'"&amp;"!i"&amp;Z173))</f>
        <v/>
      </c>
      <c r="I173" s="113" cm="1">
        <f t="array" aca="1" ref="I173" ca="1">IFERROR(IF($C173="","",INDIRECT($D$2&amp;"!j"&amp;$Z173)+INDIRECT($D$2&amp;"!n"&amp;$Z173)),IF($C173="","",INDIRECT("'"&amp;$D$2&amp;"'"&amp;"!j"&amp;$Z173)+INDIRECT("'"&amp;$D$2&amp;"'"&amp;"!n"&amp;$Z173)))</f>
        <v>5500</v>
      </c>
      <c r="J173" s="113">
        <f t="shared" ca="1" si="17"/>
        <v>0</v>
      </c>
      <c r="K173" s="113" cm="1">
        <f t="array" aca="1" ref="K173" ca="1">IFERROR(IF($C173="","",INDIRECT($D$2&amp;"!l"&amp;$Z173)+INDIRECT($D$2&amp;"!p"&amp;$Z173)),IF($C173="","",INDIRECT("'"&amp;$D$2&amp;"'"&amp;"!l"&amp;$Z173)+INDIRECT("'"&amp;$D$2&amp;"'"&amp;"!p"&amp;$Z173)))</f>
        <v>5500</v>
      </c>
      <c r="M173" s="113" cm="1">
        <f t="array" aca="1" ref="M173" ca="1">IFERROR(IF($C173="","",INDIRECT($D$2&amp;"!r"&amp;Z173)),IF($C173="","",INDIRECT("'"&amp;$D$2&amp;"'"&amp;"!r"&amp;Z173)))</f>
        <v>0</v>
      </c>
      <c r="N173" s="113">
        <f t="shared" ca="1" si="18"/>
        <v>0</v>
      </c>
      <c r="O173" s="113" cm="1">
        <f t="array" aca="1" ref="O173" ca="1">IFERROR(IF($C173="","",INDIRECT($D$2&amp;"!t"&amp;Z173)),IF($C173="","",INDIRECT("'"&amp;$D$2&amp;"'"&amp;"!t"&amp;Z173)))</f>
        <v>0</v>
      </c>
      <c r="Q173" s="113" cm="1">
        <f t="array" aca="1" ref="Q173" ca="1">IFERROR(IF($C173="","",INDIRECT($D$2&amp;"!v"&amp;Z173)),IF($C173="","",INDIRECT("'"&amp;$D$2&amp;"'"&amp;"!v"&amp;Z173)))</f>
        <v>665</v>
      </c>
      <c r="R173" s="113">
        <f t="shared" ca="1" si="19"/>
        <v>0</v>
      </c>
      <c r="S173" s="113" cm="1">
        <f t="array" aca="1" ref="S173" ca="1">IFERROR(IF($C173="","",INDIRECT($D$2&amp;"!x"&amp;Z173)),IF($C173="","",INDIRECT("'"&amp;$D$2&amp;"'"&amp;"!x"&amp;Z173)))</f>
        <v>665</v>
      </c>
      <c r="U173" s="113" cm="1">
        <f t="array" aca="1" ref="U173" ca="1">IFERROR(IF($C173="","",INDIRECT($D$2&amp;"!z"&amp;Z173)),IF($C173="","",INDIRECT("'"&amp;$D$2&amp;"'"&amp;"!z"&amp;Z173)))</f>
        <v>0</v>
      </c>
      <c r="V173" s="113">
        <f t="shared" ca="1" si="20"/>
        <v>0</v>
      </c>
      <c r="W173" s="113" cm="1">
        <f t="array" aca="1" ref="W173" ca="1">IFERROR(IF($C173="","",INDIRECT($D$2&amp;"!ab"&amp;Z173)),IF($C173="","",INDIRECT("'"&amp;$D$2&amp;"'"&amp;"!ab"&amp;Z173)))</f>
        <v>0</v>
      </c>
      <c r="X173" s="113"/>
      <c r="Y173" s="113">
        <f t="shared" ca="1" si="21"/>
        <v>665</v>
      </c>
      <c r="Z173" s="35">
        <v>162</v>
      </c>
      <c r="AA173" s="113"/>
      <c r="AB173" s="35">
        <v>162</v>
      </c>
    </row>
    <row r="174" spans="3:28" x14ac:dyDescent="0.25">
      <c r="C174" t="str" cm="1">
        <f t="array" aca="1" ref="C174" ca="1">IFERROR(IF(INDIRECT($D$2&amp;"!B"&amp;Z174)="","",INDIRECT("'"&amp;$D$2&amp;"'"&amp;"!B"&amp;Z174)),IF(INDIRECT("'"&amp;$D$2&amp;"'"&amp;"!B"&amp;Z174)="","",INDIRECT("'"&amp;$D$2&amp;"'"&amp;"!B"&amp;Z174)))</f>
        <v>Cognos BI Data Dictionary jhaEnterprise Workflow</v>
      </c>
      <c r="D174" t="str" cm="1">
        <f t="array" aca="1" ref="D174" ca="1">IFERROR(_xlfn.IFS(C174="","",C174&lt;&gt;"",INDEX(SF_Output!I:I,MATCH(C174,SF_Output!M:M,0))),IFERROR(INDEX(INDIRECT($D$2&amp;"!G:G"),MATCH(C174,INDIRECT($D$2&amp;"!B:B"),0)),INDEX(INDIRECT("'"&amp;$D$2&amp;"'!G:G"),MATCH(C174,INDIRECT("'"&amp;$D$2&amp;"'!B:B"),0))))</f>
        <v>BI and Financial</v>
      </c>
      <c r="E174" t="str" cm="1">
        <f t="array" aca="1" ref="E174" ca="1">IFERROR(IF(C174="","",INDIRECT($D$2&amp;"!F"&amp;Z174)),IF(C174="","",INDIRECT("'"&amp;$D$2&amp;"'"&amp;"!F"&amp;Z174)))</f>
        <v>Included</v>
      </c>
      <c r="F174" t="str" cm="1">
        <f t="array" aca="1" ref="F174" ca="1">IFERROR(IF(C174="","",INDIRECT($D$2&amp;"!ak"&amp;Z174)),IF(C174="","",INDIRECT("'"&amp;$D$2&amp;"'"&amp;"!ak"&amp;Z174)))</f>
        <v>PAP</v>
      </c>
      <c r="G174" cm="1">
        <f t="array" aca="1" ref="G174" ca="1">IFERROR(INDIRECT($D$2&amp;"!h"&amp;Z174),INDIRECT("'"&amp;$D$2&amp;"'"&amp;"!h"&amp;Z174))</f>
        <v>5000</v>
      </c>
      <c r="H174" s="125" cm="1">
        <f t="array" aca="1" ref="H174" ca="1">IFERROR(INDIRECT($D$2&amp;"!i"&amp;Z174),INDIRECT("'"&amp;$D$2&amp;"'"&amp;"!i"&amp;Z174))</f>
        <v>1.5800000000000002E-2</v>
      </c>
      <c r="I174" s="113" cm="1">
        <f t="array" aca="1" ref="I174" ca="1">IFERROR(IF($C174="","",INDIRECT($D$2&amp;"!j"&amp;$Z174)+INDIRECT($D$2&amp;"!n"&amp;$Z174)),IF($C174="","",INDIRECT("'"&amp;$D$2&amp;"'"&amp;"!j"&amp;$Z174)+INDIRECT("'"&amp;$D$2&amp;"'"&amp;"!n"&amp;$Z174)))</f>
        <v>750</v>
      </c>
      <c r="J174" s="113">
        <f t="shared" ca="1" si="17"/>
        <v>-750</v>
      </c>
      <c r="K174" s="113" cm="1">
        <f t="array" aca="1" ref="K174" ca="1">IFERROR(IF($C174="","",INDIRECT($D$2&amp;"!l"&amp;$Z174)+INDIRECT($D$2&amp;"!p"&amp;$Z174)),IF($C174="","",INDIRECT("'"&amp;$D$2&amp;"'"&amp;"!l"&amp;$Z174)+INDIRECT("'"&amp;$D$2&amp;"'"&amp;"!p"&amp;$Z174)))</f>
        <v>0</v>
      </c>
      <c r="M174" s="113" cm="1">
        <f t="array" aca="1" ref="M174" ca="1">IFERROR(IF($C174="","",INDIRECT($D$2&amp;"!r"&amp;Z174)),IF($C174="","",INDIRECT("'"&amp;$D$2&amp;"'"&amp;"!r"&amp;Z174)))</f>
        <v>0</v>
      </c>
      <c r="N174" s="113">
        <f t="shared" ca="1" si="18"/>
        <v>0</v>
      </c>
      <c r="O174" s="113" cm="1">
        <f t="array" aca="1" ref="O174" ca="1">IFERROR(IF($C174="","",INDIRECT($D$2&amp;"!t"&amp;Z174)),IF($C174="","",INDIRECT("'"&amp;$D$2&amp;"'"&amp;"!t"&amp;Z174)))</f>
        <v>0</v>
      </c>
      <c r="Q174" s="113" cm="1">
        <f t="array" aca="1" ref="Q174" ca="1">IFERROR(IF($C174="","",INDIRECT($D$2&amp;"!v"&amp;Z174)),IF($C174="","",INDIRECT("'"&amp;$D$2&amp;"'"&amp;"!v"&amp;Z174)))</f>
        <v>105</v>
      </c>
      <c r="R174" s="113">
        <f t="shared" ca="1" si="19"/>
        <v>-25.999999999999986</v>
      </c>
      <c r="S174" s="113" cm="1">
        <f t="array" aca="1" ref="S174" ca="1">IFERROR(IF($C174="","",INDIRECT($D$2&amp;"!x"&amp;Z174)),IF($C174="","",INDIRECT("'"&amp;$D$2&amp;"'"&amp;"!x"&amp;Z174)))</f>
        <v>79.000000000000014</v>
      </c>
      <c r="U174" s="113" cm="1">
        <f t="array" aca="1" ref="U174" ca="1">IFERROR(IF($C174="","",INDIRECT($D$2&amp;"!z"&amp;Z174)),IF($C174="","",INDIRECT("'"&amp;$D$2&amp;"'"&amp;"!z"&amp;Z174)))</f>
        <v>0</v>
      </c>
      <c r="V174" s="113">
        <f t="shared" ca="1" si="20"/>
        <v>0</v>
      </c>
      <c r="W174" s="113" cm="1">
        <f t="array" aca="1" ref="W174" ca="1">IFERROR(IF($C174="","",INDIRECT($D$2&amp;"!ab"&amp;Z174)),IF($C174="","",INDIRECT("'"&amp;$D$2&amp;"'"&amp;"!ab"&amp;Z174)))</f>
        <v>0</v>
      </c>
      <c r="X174" s="113"/>
      <c r="Y174" s="113">
        <f t="shared" ca="1" si="21"/>
        <v>79.000000000000014</v>
      </c>
      <c r="Z174" s="35">
        <v>163</v>
      </c>
      <c r="AA174" s="113"/>
      <c r="AB174" s="35">
        <v>163</v>
      </c>
    </row>
    <row r="175" spans="3:28" x14ac:dyDescent="0.25">
      <c r="C175" t="str" cm="1">
        <f t="array" aca="1" ref="C175" ca="1">IFERROR(IF(INDIRECT($D$2&amp;"!B"&amp;Z175)="","",INDIRECT("'"&amp;$D$2&amp;"'"&amp;"!B"&amp;Z175)),IF(INDIRECT("'"&amp;$D$2&amp;"'"&amp;"!B"&amp;Z175)="","",INDIRECT("'"&amp;$D$2&amp;"'"&amp;"!B"&amp;Z175)))</f>
        <v>Cognos BI Data Dictionary Synapsys</v>
      </c>
      <c r="D175" t="str" cm="1">
        <f t="array" aca="1" ref="D175" ca="1">IFERROR(_xlfn.IFS(C175="","",C175&lt;&gt;"",INDEX(SF_Output!I:I,MATCH(C175,SF_Output!M:M,0))),IFERROR(INDEX(INDIRECT($D$2&amp;"!G:G"),MATCH(C175,INDIRECT($D$2&amp;"!B:B"),0)),INDEX(INDIRECT("'"&amp;$D$2&amp;"'!G:G"),MATCH(C175,INDIRECT("'"&amp;$D$2&amp;"'!B:B"),0))))</f>
        <v>BI and Financial</v>
      </c>
      <c r="E175" t="str" cm="1">
        <f t="array" aca="1" ref="E175" ca="1">IFERROR(IF(C175="","",INDIRECT($D$2&amp;"!F"&amp;Z175)),IF(C175="","",INDIRECT("'"&amp;$D$2&amp;"'"&amp;"!F"&amp;Z175)))</f>
        <v>Included</v>
      </c>
      <c r="F175" t="str" cm="1">
        <f t="array" aca="1" ref="F175" ca="1">IFERROR(IF(C175="","",INDIRECT($D$2&amp;"!ak"&amp;Z175)),IF(C175="","",INDIRECT("'"&amp;$D$2&amp;"'"&amp;"!ak"&amp;Z175)))</f>
        <v>PAP</v>
      </c>
      <c r="G175" cm="1">
        <f t="array" aca="1" ref="G175" ca="1">IFERROR(INDIRECT($D$2&amp;"!h"&amp;Z175),INDIRECT("'"&amp;$D$2&amp;"'"&amp;"!h"&amp;Z175))</f>
        <v>5000</v>
      </c>
      <c r="H175" s="125" cm="1">
        <f t="array" aca="1" ref="H175" ca="1">IFERROR(INDIRECT($D$2&amp;"!i"&amp;Z175),INDIRECT("'"&amp;$D$2&amp;"'"&amp;"!i"&amp;Z175))</f>
        <v>1.5800000000000002E-2</v>
      </c>
      <c r="I175" s="113" cm="1">
        <f t="array" aca="1" ref="I175" ca="1">IFERROR(IF($C175="","",INDIRECT($D$2&amp;"!j"&amp;$Z175)+INDIRECT($D$2&amp;"!n"&amp;$Z175)),IF($C175="","",INDIRECT("'"&amp;$D$2&amp;"'"&amp;"!j"&amp;$Z175)+INDIRECT("'"&amp;$D$2&amp;"'"&amp;"!n"&amp;$Z175)))</f>
        <v>0</v>
      </c>
      <c r="J175" s="113">
        <f t="shared" ca="1" si="17"/>
        <v>0</v>
      </c>
      <c r="K175" s="113" cm="1">
        <f t="array" aca="1" ref="K175" ca="1">IFERROR(IF($C175="","",INDIRECT($D$2&amp;"!l"&amp;$Z175)+INDIRECT($D$2&amp;"!p"&amp;$Z175)),IF($C175="","",INDIRECT("'"&amp;$D$2&amp;"'"&amp;"!l"&amp;$Z175)+INDIRECT("'"&amp;$D$2&amp;"'"&amp;"!p"&amp;$Z175)))</f>
        <v>0</v>
      </c>
      <c r="M175" s="113" cm="1">
        <f t="array" aca="1" ref="M175" ca="1">IFERROR(IF($C175="","",INDIRECT($D$2&amp;"!r"&amp;Z175)),IF($C175="","",INDIRECT("'"&amp;$D$2&amp;"'"&amp;"!r"&amp;Z175)))</f>
        <v>0</v>
      </c>
      <c r="N175" s="113">
        <f t="shared" ca="1" si="18"/>
        <v>0</v>
      </c>
      <c r="O175" s="113" cm="1">
        <f t="array" aca="1" ref="O175" ca="1">IFERROR(IF($C175="","",INDIRECT($D$2&amp;"!t"&amp;Z175)),IF($C175="","",INDIRECT("'"&amp;$D$2&amp;"'"&amp;"!t"&amp;Z175)))</f>
        <v>0</v>
      </c>
      <c r="Q175" s="113" cm="1">
        <f t="array" aca="1" ref="Q175" ca="1">IFERROR(IF($C175="","",INDIRECT($D$2&amp;"!v"&amp;Z175)),IF($C175="","",INDIRECT("'"&amp;$D$2&amp;"'"&amp;"!v"&amp;Z175)))</f>
        <v>105</v>
      </c>
      <c r="R175" s="113">
        <f t="shared" ca="1" si="19"/>
        <v>-25.999999999999986</v>
      </c>
      <c r="S175" s="113" cm="1">
        <f t="array" aca="1" ref="S175" ca="1">IFERROR(IF($C175="","",INDIRECT($D$2&amp;"!x"&amp;Z175)),IF($C175="","",INDIRECT("'"&amp;$D$2&amp;"'"&amp;"!x"&amp;Z175)))</f>
        <v>79.000000000000014</v>
      </c>
      <c r="U175" s="113" cm="1">
        <f t="array" aca="1" ref="U175" ca="1">IFERROR(IF($C175="","",INDIRECT($D$2&amp;"!z"&amp;Z175)),IF($C175="","",INDIRECT("'"&amp;$D$2&amp;"'"&amp;"!z"&amp;Z175)))</f>
        <v>0</v>
      </c>
      <c r="V175" s="113">
        <f t="shared" ca="1" si="20"/>
        <v>0</v>
      </c>
      <c r="W175" s="113" cm="1">
        <f t="array" aca="1" ref="W175" ca="1">IFERROR(IF($C175="","",INDIRECT($D$2&amp;"!ab"&amp;Z175)),IF($C175="","",INDIRECT("'"&amp;$D$2&amp;"'"&amp;"!ab"&amp;Z175)))</f>
        <v>0</v>
      </c>
      <c r="X175" s="113"/>
      <c r="Y175" s="113">
        <f t="shared" ca="1" si="21"/>
        <v>79.000000000000014</v>
      </c>
      <c r="Z175" s="35">
        <v>164</v>
      </c>
      <c r="AA175" s="113"/>
      <c r="AB175" s="35">
        <v>164</v>
      </c>
    </row>
    <row r="176" spans="3:28" x14ac:dyDescent="0.25">
      <c r="C176" t="str" cm="1">
        <f t="array" aca="1" ref="C176" ca="1">IFERROR(IF(INDIRECT($D$2&amp;"!B"&amp;Z176)="","",INDIRECT("'"&amp;$D$2&amp;"'"&amp;"!B"&amp;Z176)),IF(INDIRECT("'"&amp;$D$2&amp;"'"&amp;"!B"&amp;Z176)="","",INDIRECT("'"&amp;$D$2&amp;"'"&amp;"!B"&amp;Z176)))</f>
        <v>Cognos BI Data Dictionary Synergy</v>
      </c>
      <c r="D176" t="str" cm="1">
        <f t="array" aca="1" ref="D176" ca="1">IFERROR(_xlfn.IFS(C176="","",C176&lt;&gt;"",INDEX(SF_Output!I:I,MATCH(C176,SF_Output!M:M,0))),IFERROR(INDEX(INDIRECT($D$2&amp;"!G:G"),MATCH(C176,INDIRECT($D$2&amp;"!B:B"),0)),INDEX(INDIRECT("'"&amp;$D$2&amp;"'!G:G"),MATCH(C176,INDIRECT("'"&amp;$D$2&amp;"'!B:B"),0))))</f>
        <v>BI and Financial</v>
      </c>
      <c r="E176" t="str" cm="1">
        <f t="array" aca="1" ref="E176" ca="1">IFERROR(IF(C176="","",INDIRECT($D$2&amp;"!F"&amp;Z176)),IF(C176="","",INDIRECT("'"&amp;$D$2&amp;"'"&amp;"!F"&amp;Z176)))</f>
        <v>Included</v>
      </c>
      <c r="F176" t="str" cm="1">
        <f t="array" aca="1" ref="F176" ca="1">IFERROR(IF(C176="","",INDIRECT($D$2&amp;"!ak"&amp;Z176)),IF(C176="","",INDIRECT("'"&amp;$D$2&amp;"'"&amp;"!ak"&amp;Z176)))</f>
        <v>PAP</v>
      </c>
      <c r="G176" cm="1">
        <f t="array" aca="1" ref="G176" ca="1">IFERROR(INDIRECT($D$2&amp;"!h"&amp;Z176),INDIRECT("'"&amp;$D$2&amp;"'"&amp;"!h"&amp;Z176))</f>
        <v>5000</v>
      </c>
      <c r="H176" s="125" cm="1">
        <f t="array" aca="1" ref="H176" ca="1">IFERROR(INDIRECT($D$2&amp;"!i"&amp;Z176),INDIRECT("'"&amp;$D$2&amp;"'"&amp;"!i"&amp;Z176))</f>
        <v>1.5800000000000002E-2</v>
      </c>
      <c r="I176" s="113" cm="1">
        <f t="array" aca="1" ref="I176" ca="1">IFERROR(IF($C176="","",INDIRECT($D$2&amp;"!j"&amp;$Z176)+INDIRECT($D$2&amp;"!n"&amp;$Z176)),IF($C176="","",INDIRECT("'"&amp;$D$2&amp;"'"&amp;"!j"&amp;$Z176)+INDIRECT("'"&amp;$D$2&amp;"'"&amp;"!n"&amp;$Z176)))</f>
        <v>1500</v>
      </c>
      <c r="J176" s="113">
        <f t="shared" ca="1" si="17"/>
        <v>-1500</v>
      </c>
      <c r="K176" s="113" cm="1">
        <f t="array" aca="1" ref="K176" ca="1">IFERROR(IF($C176="","",INDIRECT($D$2&amp;"!l"&amp;$Z176)+INDIRECT($D$2&amp;"!p"&amp;$Z176)),IF($C176="","",INDIRECT("'"&amp;$D$2&amp;"'"&amp;"!l"&amp;$Z176)+INDIRECT("'"&amp;$D$2&amp;"'"&amp;"!p"&amp;$Z176)))</f>
        <v>0</v>
      </c>
      <c r="M176" s="113" cm="1">
        <f t="array" aca="1" ref="M176" ca="1">IFERROR(IF($C176="","",INDIRECT($D$2&amp;"!r"&amp;Z176)),IF($C176="","",INDIRECT("'"&amp;$D$2&amp;"'"&amp;"!r"&amp;Z176)))</f>
        <v>0</v>
      </c>
      <c r="N176" s="113">
        <f t="shared" ca="1" si="18"/>
        <v>0</v>
      </c>
      <c r="O176" s="113" cm="1">
        <f t="array" aca="1" ref="O176" ca="1">IFERROR(IF($C176="","",INDIRECT($D$2&amp;"!t"&amp;Z176)),IF($C176="","",INDIRECT("'"&amp;$D$2&amp;"'"&amp;"!t"&amp;Z176)))</f>
        <v>0</v>
      </c>
      <c r="Q176" s="113" cm="1">
        <f t="array" aca="1" ref="Q176" ca="1">IFERROR(IF($C176="","",INDIRECT($D$2&amp;"!v"&amp;Z176)),IF($C176="","",INDIRECT("'"&amp;$D$2&amp;"'"&amp;"!v"&amp;Z176)))</f>
        <v>105</v>
      </c>
      <c r="R176" s="113">
        <f t="shared" ca="1" si="19"/>
        <v>-25.999999999999986</v>
      </c>
      <c r="S176" s="113" cm="1">
        <f t="array" aca="1" ref="S176" ca="1">IFERROR(IF($C176="","",INDIRECT($D$2&amp;"!x"&amp;Z176)),IF($C176="","",INDIRECT("'"&amp;$D$2&amp;"'"&amp;"!x"&amp;Z176)))</f>
        <v>79.000000000000014</v>
      </c>
      <c r="U176" s="113" cm="1">
        <f t="array" aca="1" ref="U176" ca="1">IFERROR(IF($C176="","",INDIRECT($D$2&amp;"!z"&amp;Z176)),IF($C176="","",INDIRECT("'"&amp;$D$2&amp;"'"&amp;"!z"&amp;Z176)))</f>
        <v>0</v>
      </c>
      <c r="V176" s="113">
        <f t="shared" ca="1" si="20"/>
        <v>0</v>
      </c>
      <c r="W176" s="113" cm="1">
        <f t="array" aca="1" ref="W176" ca="1">IFERROR(IF($C176="","",INDIRECT($D$2&amp;"!ab"&amp;Z176)),IF($C176="","",INDIRECT("'"&amp;$D$2&amp;"'"&amp;"!ab"&amp;Z176)))</f>
        <v>0</v>
      </c>
      <c r="X176" s="113"/>
      <c r="Y176" s="113">
        <f t="shared" ca="1" si="21"/>
        <v>79.000000000000014</v>
      </c>
      <c r="Z176" s="35">
        <v>165</v>
      </c>
      <c r="AA176" s="113"/>
      <c r="AB176" s="35">
        <v>165</v>
      </c>
    </row>
    <row r="177" spans="3:28" x14ac:dyDescent="0.25">
      <c r="C177" t="str" cm="1">
        <f t="array" aca="1" ref="C177" ca="1">IFERROR(IF(INDIRECT($D$2&amp;"!B"&amp;Z177)="","",INDIRECT("'"&amp;$D$2&amp;"'"&amp;"!B"&amp;Z177)),IF(INDIRECT("'"&amp;$D$2&amp;"'"&amp;"!B"&amp;Z177)="","",INDIRECT("'"&amp;$D$2&amp;"'"&amp;"!B"&amp;Z177)))</f>
        <v>Cognos BI Data Dictionary Month-End(Silverlake)</v>
      </c>
      <c r="D177" t="str" cm="1">
        <f t="array" aca="1" ref="D177" ca="1">IFERROR(_xlfn.IFS(C177="","",C177&lt;&gt;"",INDEX(SF_Output!I:I,MATCH(C177,SF_Output!M:M,0))),IFERROR(INDEX(INDIRECT($D$2&amp;"!G:G"),MATCH(C177,INDIRECT($D$2&amp;"!B:B"),0)),INDEX(INDIRECT("'"&amp;$D$2&amp;"'!G:G"),MATCH(C177,INDIRECT("'"&amp;$D$2&amp;"'!B:B"),0))))</f>
        <v>BI and Financial</v>
      </c>
      <c r="E177" t="str" cm="1">
        <f t="array" aca="1" ref="E177" ca="1">IFERROR(IF(C177="","",INDIRECT($D$2&amp;"!F"&amp;Z177)),IF(C177="","",INDIRECT("'"&amp;$D$2&amp;"'"&amp;"!F"&amp;Z177)))</f>
        <v>Included</v>
      </c>
      <c r="F177" t="str" cm="1">
        <f t="array" aca="1" ref="F177" ca="1">IFERROR(IF(C177="","",INDIRECT($D$2&amp;"!ak"&amp;Z177)),IF(C177="","",INDIRECT("'"&amp;$D$2&amp;"'"&amp;"!ak"&amp;Z177)))</f>
        <v>PAP</v>
      </c>
      <c r="G177" cm="1">
        <f t="array" aca="1" ref="G177" ca="1">IFERROR(INDIRECT($D$2&amp;"!h"&amp;Z177),INDIRECT("'"&amp;$D$2&amp;"'"&amp;"!h"&amp;Z177))</f>
        <v>5000</v>
      </c>
      <c r="H177" s="125" cm="1">
        <f t="array" aca="1" ref="H177" ca="1">IFERROR(INDIRECT($D$2&amp;"!i"&amp;Z177),INDIRECT("'"&amp;$D$2&amp;"'"&amp;"!i"&amp;Z177))</f>
        <v>1.5800000000000002E-2</v>
      </c>
      <c r="I177" s="113" cm="1">
        <f t="array" aca="1" ref="I177" ca="1">IFERROR(IF($C177="","",INDIRECT($D$2&amp;"!j"&amp;$Z177)+INDIRECT($D$2&amp;"!n"&amp;$Z177)),IF($C177="","",INDIRECT("'"&amp;$D$2&amp;"'"&amp;"!j"&amp;$Z177)+INDIRECT("'"&amp;$D$2&amp;"'"&amp;"!n"&amp;$Z177)))</f>
        <v>0</v>
      </c>
      <c r="J177" s="113">
        <f t="shared" ca="1" si="17"/>
        <v>0</v>
      </c>
      <c r="K177" s="113" cm="1">
        <f t="array" aca="1" ref="K177" ca="1">IFERROR(IF($C177="","",INDIRECT($D$2&amp;"!l"&amp;$Z177)+INDIRECT($D$2&amp;"!p"&amp;$Z177)),IF($C177="","",INDIRECT("'"&amp;$D$2&amp;"'"&amp;"!l"&amp;$Z177)+INDIRECT("'"&amp;$D$2&amp;"'"&amp;"!p"&amp;$Z177)))</f>
        <v>0</v>
      </c>
      <c r="M177" s="113" cm="1">
        <f t="array" aca="1" ref="M177" ca="1">IFERROR(IF($C177="","",INDIRECT($D$2&amp;"!r"&amp;Z177)),IF($C177="","",INDIRECT("'"&amp;$D$2&amp;"'"&amp;"!r"&amp;Z177)))</f>
        <v>0</v>
      </c>
      <c r="N177" s="113">
        <f t="shared" ca="1" si="18"/>
        <v>0</v>
      </c>
      <c r="O177" s="113" cm="1">
        <f t="array" aca="1" ref="O177" ca="1">IFERROR(IF($C177="","",INDIRECT($D$2&amp;"!t"&amp;Z177)),IF($C177="","",INDIRECT("'"&amp;$D$2&amp;"'"&amp;"!t"&amp;Z177)))</f>
        <v>0</v>
      </c>
      <c r="Q177" s="113" cm="1">
        <f t="array" aca="1" ref="Q177" ca="1">IFERROR(IF($C177="","",INDIRECT($D$2&amp;"!v"&amp;Z177)),IF($C177="","",INDIRECT("'"&amp;$D$2&amp;"'"&amp;"!v"&amp;Z177)))</f>
        <v>105</v>
      </c>
      <c r="R177" s="113">
        <f t="shared" ca="1" si="19"/>
        <v>-25.999999999999986</v>
      </c>
      <c r="S177" s="113" cm="1">
        <f t="array" aca="1" ref="S177" ca="1">IFERROR(IF($C177="","",INDIRECT($D$2&amp;"!x"&amp;Z177)),IF($C177="","",INDIRECT("'"&amp;$D$2&amp;"'"&amp;"!x"&amp;Z177)))</f>
        <v>79.000000000000014</v>
      </c>
      <c r="U177" s="113" cm="1">
        <f t="array" aca="1" ref="U177" ca="1">IFERROR(IF($C177="","",INDIRECT($D$2&amp;"!z"&amp;Z177)),IF($C177="","",INDIRECT("'"&amp;$D$2&amp;"'"&amp;"!z"&amp;Z177)))</f>
        <v>0</v>
      </c>
      <c r="V177" s="113">
        <f t="shared" ca="1" si="20"/>
        <v>0</v>
      </c>
      <c r="W177" s="113" cm="1">
        <f t="array" aca="1" ref="W177" ca="1">IFERROR(IF($C177="","",INDIRECT($D$2&amp;"!ab"&amp;Z177)),IF($C177="","",INDIRECT("'"&amp;$D$2&amp;"'"&amp;"!ab"&amp;Z177)))</f>
        <v>0</v>
      </c>
      <c r="X177" s="113"/>
      <c r="Y177" s="113">
        <f t="shared" ca="1" si="21"/>
        <v>79.000000000000014</v>
      </c>
      <c r="Z177" s="35">
        <v>166</v>
      </c>
      <c r="AA177" s="113"/>
      <c r="AB177" s="35">
        <v>166</v>
      </c>
    </row>
    <row r="178" spans="3:28" x14ac:dyDescent="0.25">
      <c r="C178" t="str" cm="1">
        <f t="array" aca="1" ref="C178" ca="1">IFERROR(IF(INDIRECT($D$2&amp;"!B"&amp;Z178)="","",INDIRECT("'"&amp;$D$2&amp;"'"&amp;"!B"&amp;Z178)),IF(INDIRECT("'"&amp;$D$2&amp;"'"&amp;"!B"&amp;Z178)="","",INDIRECT("'"&amp;$D$2&amp;"'"&amp;"!B"&amp;Z178)))</f>
        <v>FPS Enterprise</v>
      </c>
      <c r="D178" t="str" cm="1">
        <f t="array" aca="1" ref="D178" ca="1">IFERROR(_xlfn.IFS(C178="","",C178&lt;&gt;"",INDEX(SF_Output!I:I,MATCH(C178,SF_Output!M:M,0))),IFERROR(INDEX(INDIRECT($D$2&amp;"!G:G"),MATCH(C178,INDIRECT($D$2&amp;"!B:B"),0)),INDEX(INDIRECT("'"&amp;$D$2&amp;"'!G:G"),MATCH(C178,INDIRECT("'"&amp;$D$2&amp;"'!B:B"),0))))</f>
        <v>BI and Financial</v>
      </c>
      <c r="E178" t="str" cm="1">
        <f t="array" aca="1" ref="E178" ca="1">IFERROR(IF(C178="","",INDIRECT($D$2&amp;"!F"&amp;Z178)),IF(C178="","",INDIRECT("'"&amp;$D$2&amp;"'"&amp;"!F"&amp;Z178)))</f>
        <v>Included</v>
      </c>
      <c r="F178" t="str" cm="1">
        <f t="array" aca="1" ref="F178" ca="1">IFERROR(IF(C178="","",INDIRECT($D$2&amp;"!ak"&amp;Z178)),IF(C178="","",INDIRECT("'"&amp;$D$2&amp;"'"&amp;"!ak"&amp;Z178)))</f>
        <v>PAP</v>
      </c>
      <c r="G178" cm="1">
        <f t="array" aca="1" ref="G178" ca="1">IFERROR(INDIRECT($D$2&amp;"!h"&amp;Z178),INDIRECT("'"&amp;$D$2&amp;"'"&amp;"!h"&amp;Z178))</f>
        <v>5000</v>
      </c>
      <c r="H178" s="125" cm="1">
        <f t="array" aca="1" ref="H178" ca="1">IFERROR(INDIRECT($D$2&amp;"!i"&amp;Z178),INDIRECT("'"&amp;$D$2&amp;"'"&amp;"!i"&amp;Z178))</f>
        <v>2.7799999999999998E-2</v>
      </c>
      <c r="I178" s="113" cm="1">
        <f t="array" aca="1" ref="I178" ca="1">IFERROR(IF($C178="","",INDIRECT($D$2&amp;"!j"&amp;$Z178)+INDIRECT($D$2&amp;"!n"&amp;$Z178)),IF($C178="","",INDIRECT("'"&amp;$D$2&amp;"'"&amp;"!j"&amp;$Z178)+INDIRECT("'"&amp;$D$2&amp;"'"&amp;"!n"&amp;$Z178)))</f>
        <v>0</v>
      </c>
      <c r="J178" s="113">
        <f t="shared" ca="1" si="17"/>
        <v>0</v>
      </c>
      <c r="K178" s="113" cm="1">
        <f t="array" aca="1" ref="K178" ca="1">IFERROR(IF($C178="","",INDIRECT($D$2&amp;"!l"&amp;$Z178)+INDIRECT($D$2&amp;"!p"&amp;$Z178)),IF($C178="","",INDIRECT("'"&amp;$D$2&amp;"'"&amp;"!l"&amp;$Z178)+INDIRECT("'"&amp;$D$2&amp;"'"&amp;"!p"&amp;$Z178)))</f>
        <v>0</v>
      </c>
      <c r="M178" s="113" cm="1">
        <f t="array" aca="1" ref="M178" ca="1">IFERROR(IF($C178="","",INDIRECT($D$2&amp;"!r"&amp;Z178)),IF($C178="","",INDIRECT("'"&amp;$D$2&amp;"'"&amp;"!r"&amp;Z178)))</f>
        <v>0</v>
      </c>
      <c r="N178" s="113">
        <f t="shared" ca="1" si="18"/>
        <v>0</v>
      </c>
      <c r="O178" s="113" cm="1">
        <f t="array" aca="1" ref="O178" ca="1">IFERROR(IF($C178="","",INDIRECT($D$2&amp;"!t"&amp;Z178)),IF($C178="","",INDIRECT("'"&amp;$D$2&amp;"'"&amp;"!t"&amp;Z178)))</f>
        <v>0</v>
      </c>
      <c r="Q178" s="113" cm="1">
        <f t="array" aca="1" ref="Q178" ca="1">IFERROR(IF($C178="","",INDIRECT($D$2&amp;"!v"&amp;Z178)),IF($C178="","",INDIRECT("'"&amp;$D$2&amp;"'"&amp;"!v"&amp;Z178)))</f>
        <v>185</v>
      </c>
      <c r="R178" s="113">
        <f t="shared" ca="1" si="19"/>
        <v>-46</v>
      </c>
      <c r="S178" s="113" cm="1">
        <f t="array" aca="1" ref="S178" ca="1">IFERROR(IF($C178="","",INDIRECT($D$2&amp;"!x"&amp;Z178)),IF($C178="","",INDIRECT("'"&amp;$D$2&amp;"'"&amp;"!x"&amp;Z178)))</f>
        <v>139</v>
      </c>
      <c r="U178" s="113" cm="1">
        <f t="array" aca="1" ref="U178" ca="1">IFERROR(IF($C178="","",INDIRECT($D$2&amp;"!z"&amp;Z178)),IF($C178="","",INDIRECT("'"&amp;$D$2&amp;"'"&amp;"!z"&amp;Z178)))</f>
        <v>0</v>
      </c>
      <c r="V178" s="113">
        <f t="shared" ca="1" si="20"/>
        <v>0</v>
      </c>
      <c r="W178" s="113" cm="1">
        <f t="array" aca="1" ref="W178" ca="1">IFERROR(IF($C178="","",INDIRECT($D$2&amp;"!ab"&amp;Z178)),IF($C178="","",INDIRECT("'"&amp;$D$2&amp;"'"&amp;"!ab"&amp;Z178)))</f>
        <v>0</v>
      </c>
      <c r="X178" s="113"/>
      <c r="Y178" s="113">
        <f t="shared" ca="1" si="21"/>
        <v>139</v>
      </c>
      <c r="Z178" s="35">
        <v>167</v>
      </c>
      <c r="AA178" s="113"/>
      <c r="AB178" s="35">
        <v>167</v>
      </c>
    </row>
    <row r="179" spans="3:28" x14ac:dyDescent="0.25">
      <c r="C179" t="str" cm="1">
        <f t="array" aca="1" ref="C179" ca="1">IFERROR(IF(INDIRECT($D$2&amp;"!B"&amp;Z179)="","",INDIRECT("'"&amp;$D$2&amp;"'"&amp;"!B"&amp;Z179)),IF(INDIRECT("'"&amp;$D$2&amp;"'"&amp;"!B"&amp;Z179)="","",INDIRECT("'"&amp;$D$2&amp;"'"&amp;"!B"&amp;Z179)))</f>
        <v>FPS Forecasting and Financial Reporting</v>
      </c>
      <c r="D179" t="str" cm="1">
        <f t="array" aca="1" ref="D179" ca="1">IFERROR(_xlfn.IFS(C179="","",C179&lt;&gt;"",INDEX(SF_Output!I:I,MATCH(C179,SF_Output!M:M,0))),IFERROR(INDEX(INDIRECT($D$2&amp;"!G:G"),MATCH(C179,INDIRECT($D$2&amp;"!B:B"),0)),INDEX(INDIRECT("'"&amp;$D$2&amp;"'!G:G"),MATCH(C179,INDIRECT("'"&amp;$D$2&amp;"'!B:B"),0))))</f>
        <v>BI and Financial</v>
      </c>
      <c r="E179" t="str" cm="1">
        <f t="array" aca="1" ref="E179" ca="1">IFERROR(IF(C179="","",INDIRECT($D$2&amp;"!F"&amp;Z179)),IF(C179="","",INDIRECT("'"&amp;$D$2&amp;"'"&amp;"!F"&amp;Z179)))</f>
        <v>Included</v>
      </c>
      <c r="F179" t="str" cm="1">
        <f t="array" aca="1" ref="F179" ca="1">IFERROR(IF(C179="","",INDIRECT($D$2&amp;"!ak"&amp;Z179)),IF(C179="","",INDIRECT("'"&amp;$D$2&amp;"'"&amp;"!ak"&amp;Z179)))</f>
        <v>PAP</v>
      </c>
      <c r="G179" cm="1">
        <f t="array" aca="1" ref="G179" ca="1">IFERROR(INDIRECT($D$2&amp;"!h"&amp;Z179),INDIRECT("'"&amp;$D$2&amp;"'"&amp;"!h"&amp;Z179))</f>
        <v>5000</v>
      </c>
      <c r="H179" s="125" cm="1">
        <f t="array" aca="1" ref="H179" ca="1">IFERROR(INDIRECT($D$2&amp;"!i"&amp;Z179),INDIRECT("'"&amp;$D$2&amp;"'"&amp;"!i"&amp;Z179))</f>
        <v>3.0800000000000001E-2</v>
      </c>
      <c r="I179" s="113" cm="1">
        <f t="array" aca="1" ref="I179" ca="1">IFERROR(IF($C179="","",INDIRECT($D$2&amp;"!j"&amp;$Z179)+INDIRECT($D$2&amp;"!n"&amp;$Z179)),IF($C179="","",INDIRECT("'"&amp;$D$2&amp;"'"&amp;"!j"&amp;$Z179)+INDIRECT("'"&amp;$D$2&amp;"'"&amp;"!n"&amp;$Z179)))</f>
        <v>4000</v>
      </c>
      <c r="J179" s="113">
        <f t="shared" ca="1" si="17"/>
        <v>-4000</v>
      </c>
      <c r="K179" s="113" cm="1">
        <f t="array" aca="1" ref="K179" ca="1">IFERROR(IF($C179="","",INDIRECT($D$2&amp;"!l"&amp;$Z179)+INDIRECT($D$2&amp;"!p"&amp;$Z179)),IF($C179="","",INDIRECT("'"&amp;$D$2&amp;"'"&amp;"!l"&amp;$Z179)+INDIRECT("'"&amp;$D$2&amp;"'"&amp;"!p"&amp;$Z179)))</f>
        <v>0</v>
      </c>
      <c r="M179" s="113" cm="1">
        <f t="array" aca="1" ref="M179" ca="1">IFERROR(IF($C179="","",INDIRECT($D$2&amp;"!r"&amp;Z179)),IF($C179="","",INDIRECT("'"&amp;$D$2&amp;"'"&amp;"!r"&amp;Z179)))</f>
        <v>0</v>
      </c>
      <c r="N179" s="113">
        <f t="shared" ca="1" si="18"/>
        <v>0</v>
      </c>
      <c r="O179" s="113" cm="1">
        <f t="array" aca="1" ref="O179" ca="1">IFERROR(IF($C179="","",INDIRECT($D$2&amp;"!t"&amp;Z179)),IF($C179="","",INDIRECT("'"&amp;$D$2&amp;"'"&amp;"!t"&amp;Z179)))</f>
        <v>0</v>
      </c>
      <c r="Q179" s="113" cm="1">
        <f t="array" aca="1" ref="Q179" ca="1">IFERROR(IF($C179="","",INDIRECT($D$2&amp;"!v"&amp;Z179)),IF($C179="","",INDIRECT("'"&amp;$D$2&amp;"'"&amp;"!v"&amp;Z179)))</f>
        <v>205</v>
      </c>
      <c r="R179" s="113">
        <f t="shared" ca="1" si="19"/>
        <v>-51</v>
      </c>
      <c r="S179" s="113" cm="1">
        <f t="array" aca="1" ref="S179" ca="1">IFERROR(IF($C179="","",INDIRECT($D$2&amp;"!x"&amp;Z179)),IF($C179="","",INDIRECT("'"&amp;$D$2&amp;"'"&amp;"!x"&amp;Z179)))</f>
        <v>154</v>
      </c>
      <c r="U179" s="113" cm="1">
        <f t="array" aca="1" ref="U179" ca="1">IFERROR(IF($C179="","",INDIRECT($D$2&amp;"!z"&amp;Z179)),IF($C179="","",INDIRECT("'"&amp;$D$2&amp;"'"&amp;"!z"&amp;Z179)))</f>
        <v>0</v>
      </c>
      <c r="V179" s="113">
        <f t="shared" ca="1" si="20"/>
        <v>0</v>
      </c>
      <c r="W179" s="113" cm="1">
        <f t="array" aca="1" ref="W179" ca="1">IFERROR(IF($C179="","",INDIRECT($D$2&amp;"!ab"&amp;Z179)),IF($C179="","",INDIRECT("'"&amp;$D$2&amp;"'"&amp;"!ab"&amp;Z179)))</f>
        <v>0</v>
      </c>
      <c r="X179" s="113"/>
      <c r="Y179" s="113">
        <f t="shared" ca="1" si="21"/>
        <v>154</v>
      </c>
      <c r="Z179" s="35">
        <v>168</v>
      </c>
      <c r="AA179" s="113"/>
      <c r="AB179" s="35">
        <v>168</v>
      </c>
    </row>
    <row r="180" spans="3:28" x14ac:dyDescent="0.25">
      <c r="C180" t="str" cm="1">
        <f t="array" aca="1" ref="C180" ca="1">IFERROR(IF(INDIRECT($D$2&amp;"!B"&amp;Z180)="","",INDIRECT("'"&amp;$D$2&amp;"'"&amp;"!B"&amp;Z180)),IF(INDIRECT("'"&amp;$D$2&amp;"'"&amp;"!B"&amp;Z180)="","",INDIRECT("'"&amp;$D$2&amp;"'"&amp;"!B"&amp;Z180)))</f>
        <v>ProfitStars ALM Basic Reporting Service</v>
      </c>
      <c r="D180" t="str" cm="1">
        <f t="array" aca="1" ref="D180" ca="1">IFERROR(_xlfn.IFS(C180="","",C180&lt;&gt;"",INDEX(SF_Output!I:I,MATCH(C180,SF_Output!M:M,0))),IFERROR(INDEX(INDIRECT($D$2&amp;"!G:G"),MATCH(C180,INDIRECT($D$2&amp;"!B:B"),0)),INDEX(INDIRECT("'"&amp;$D$2&amp;"'!G:G"),MATCH(C180,INDIRECT("'"&amp;$D$2&amp;"'!B:B"),0))))</f>
        <v>BI and Financial</v>
      </c>
      <c r="E180" t="str" cm="1">
        <f t="array" aca="1" ref="E180" ca="1">IFERROR(IF(C180="","",INDIRECT($D$2&amp;"!F"&amp;Z180)),IF(C180="","",INDIRECT("'"&amp;$D$2&amp;"'"&amp;"!F"&amp;Z180)))</f>
        <v>Included</v>
      </c>
      <c r="F180" t="str" cm="1">
        <f t="array" aca="1" ref="F180" ca="1">IFERROR(IF(C180="","",INDIRECT($D$2&amp;"!ak"&amp;Z180)),IF(C180="","",INDIRECT("'"&amp;$D$2&amp;"'"&amp;"!ak"&amp;Z180)))</f>
        <v/>
      </c>
      <c r="G180" cm="1">
        <f t="array" aca="1" ref="G180" ca="1">IFERROR(INDIRECT($D$2&amp;"!h"&amp;Z180),INDIRECT("'"&amp;$D$2&amp;"'"&amp;"!h"&amp;Z180))</f>
        <v>1</v>
      </c>
      <c r="H180" s="125" t="str" cm="1">
        <f t="array" aca="1" ref="H180" ca="1">IFERROR(INDIRECT($D$2&amp;"!i"&amp;Z180),INDIRECT("'"&amp;$D$2&amp;"'"&amp;"!i"&amp;Z180))</f>
        <v/>
      </c>
      <c r="I180" s="113" cm="1">
        <f t="array" aca="1" ref="I180" ca="1">IFERROR(IF($C180="","",INDIRECT($D$2&amp;"!j"&amp;$Z180)+INDIRECT($D$2&amp;"!n"&amp;$Z180)),IF($C180="","",INDIRECT("'"&amp;$D$2&amp;"'"&amp;"!j"&amp;$Z180)+INDIRECT("'"&amp;$D$2&amp;"'"&amp;"!n"&amp;$Z180)))</f>
        <v>3200</v>
      </c>
      <c r="J180" s="113">
        <f t="shared" ca="1" si="17"/>
        <v>-3200</v>
      </c>
      <c r="K180" s="113" cm="1">
        <f t="array" aca="1" ref="K180" ca="1">IFERROR(IF($C180="","",INDIRECT($D$2&amp;"!l"&amp;$Z180)+INDIRECT($D$2&amp;"!p"&amp;$Z180)),IF($C180="","",INDIRECT("'"&amp;$D$2&amp;"'"&amp;"!l"&amp;$Z180)+INDIRECT("'"&amp;$D$2&amp;"'"&amp;"!p"&amp;$Z180)))</f>
        <v>0</v>
      </c>
      <c r="M180" s="113" cm="1">
        <f t="array" aca="1" ref="M180" ca="1">IFERROR(IF($C180="","",INDIRECT($D$2&amp;"!r"&amp;Z180)),IF($C180="","",INDIRECT("'"&amp;$D$2&amp;"'"&amp;"!r"&amp;Z180)))</f>
        <v>4940</v>
      </c>
      <c r="N180" s="113">
        <f t="shared" ca="1" si="18"/>
        <v>0</v>
      </c>
      <c r="O180" s="113" cm="1">
        <f t="array" aca="1" ref="O180" ca="1">IFERROR(IF($C180="","",INDIRECT($D$2&amp;"!t"&amp;Z180)),IF($C180="","",INDIRECT("'"&amp;$D$2&amp;"'"&amp;"!t"&amp;Z180)))</f>
        <v>4940</v>
      </c>
      <c r="Q180" s="113" cm="1">
        <f t="array" aca="1" ref="Q180" ca="1">IFERROR(IF($C180="","",INDIRECT($D$2&amp;"!v"&amp;Z180)),IF($C180="","",INDIRECT("'"&amp;$D$2&amp;"'"&amp;"!v"&amp;Z180)))</f>
        <v>0</v>
      </c>
      <c r="R180" s="113">
        <f t="shared" ca="1" si="19"/>
        <v>0</v>
      </c>
      <c r="S180" s="113" cm="1">
        <f t="array" aca="1" ref="S180" ca="1">IFERROR(IF($C180="","",INDIRECT($D$2&amp;"!x"&amp;Z180)),IF($C180="","",INDIRECT("'"&amp;$D$2&amp;"'"&amp;"!x"&amp;Z180)))</f>
        <v>0</v>
      </c>
      <c r="U180" s="113" cm="1">
        <f t="array" aca="1" ref="U180" ca="1">IFERROR(IF($C180="","",INDIRECT($D$2&amp;"!z"&amp;Z180)),IF($C180="","",INDIRECT("'"&amp;$D$2&amp;"'"&amp;"!z"&amp;Z180)))</f>
        <v>0</v>
      </c>
      <c r="V180" s="113">
        <f t="shared" ca="1" si="20"/>
        <v>0</v>
      </c>
      <c r="W180" s="113" cm="1">
        <f t="array" aca="1" ref="W180" ca="1">IFERROR(IF($C180="","",INDIRECT($D$2&amp;"!ab"&amp;Z180)),IF($C180="","",INDIRECT("'"&amp;$D$2&amp;"'"&amp;"!ab"&amp;Z180)))</f>
        <v>0</v>
      </c>
      <c r="X180" s="113"/>
      <c r="Y180" s="113">
        <f t="shared" ca="1" si="21"/>
        <v>0</v>
      </c>
      <c r="Z180" s="35">
        <v>169</v>
      </c>
      <c r="AA180" s="113"/>
      <c r="AB180" s="35">
        <v>169</v>
      </c>
    </row>
    <row r="181" spans="3:28" x14ac:dyDescent="0.25">
      <c r="C181" t="str" cm="1">
        <f t="array" aca="1" ref="C181" ca="1">IFERROR(IF(INDIRECT($D$2&amp;"!B"&amp;Z181)="","",INDIRECT("'"&amp;$D$2&amp;"'"&amp;"!B"&amp;Z181)),IF(INDIRECT("'"&amp;$D$2&amp;"'"&amp;"!B"&amp;Z181)="","",INDIRECT("'"&amp;$D$2&amp;"'"&amp;"!B"&amp;Z181)))</f>
        <v>Core Implementation Training</v>
      </c>
      <c r="D181" t="str" cm="1">
        <f t="array" aca="1" ref="D181" ca="1">IFERROR(_xlfn.IFS(C181="","",C181&lt;&gt;"",INDEX(SF_Output!I:I,MATCH(C181,SF_Output!M:M,0))),IFERROR(INDEX(INDIRECT($D$2&amp;"!G:G"),MATCH(C181,INDIRECT($D$2&amp;"!B:B"),0)),INDEX(INDIRECT("'"&amp;$D$2&amp;"'!G:G"),MATCH(C181,INDIRECT("'"&amp;$D$2&amp;"'!B:B"),0))))</f>
        <v>Training</v>
      </c>
      <c r="E181" t="str" cm="1">
        <f t="array" aca="1" ref="E181" ca="1">IFERROR(IF(C181="","",INDIRECT($D$2&amp;"!F"&amp;Z181)),IF(C181="","",INDIRECT("'"&amp;$D$2&amp;"'"&amp;"!F"&amp;Z181)))</f>
        <v>Included</v>
      </c>
      <c r="F181" t="str" cm="1">
        <f t="array" aca="1" ref="F181" ca="1">IFERROR(IF(C181="","",INDIRECT($D$2&amp;"!ak"&amp;Z181)),IF(C181="","",INDIRECT("'"&amp;$D$2&amp;"'"&amp;"!ak"&amp;Z181)))</f>
        <v/>
      </c>
      <c r="G181" cm="1">
        <f t="array" aca="1" ref="G181" ca="1">IFERROR(INDIRECT($D$2&amp;"!h"&amp;Z181),INDIRECT("'"&amp;$D$2&amp;"'"&amp;"!h"&amp;Z181))</f>
        <v>1</v>
      </c>
      <c r="H181" s="125" t="str" cm="1">
        <f t="array" aca="1" ref="H181" ca="1">IFERROR(INDIRECT($D$2&amp;"!i"&amp;Z181),INDIRECT("'"&amp;$D$2&amp;"'"&amp;"!i"&amp;Z181))</f>
        <v/>
      </c>
      <c r="I181" s="113" cm="1">
        <f t="array" aca="1" ref="I181" ca="1">IFERROR(IF($C181="","",INDIRECT($D$2&amp;"!j"&amp;$Z181)+INDIRECT($D$2&amp;"!n"&amp;$Z181)),IF($C181="","",INDIRECT("'"&amp;$D$2&amp;"'"&amp;"!j"&amp;$Z181)+INDIRECT("'"&amp;$D$2&amp;"'"&amp;"!n"&amp;$Z181)))</f>
        <v>30000</v>
      </c>
      <c r="J181" s="113">
        <f t="shared" ca="1" si="17"/>
        <v>0</v>
      </c>
      <c r="K181" s="113" cm="1">
        <f t="array" aca="1" ref="K181" ca="1">IFERROR(IF($C181="","",INDIRECT($D$2&amp;"!l"&amp;$Z181)+INDIRECT($D$2&amp;"!p"&amp;$Z181)),IF($C181="","",INDIRECT("'"&amp;$D$2&amp;"'"&amp;"!l"&amp;$Z181)+INDIRECT("'"&amp;$D$2&amp;"'"&amp;"!p"&amp;$Z181)))</f>
        <v>30000</v>
      </c>
      <c r="M181" s="113" cm="1">
        <f t="array" aca="1" ref="M181" ca="1">IFERROR(IF($C181="","",INDIRECT($D$2&amp;"!r"&amp;Z181)),IF($C181="","",INDIRECT("'"&amp;$D$2&amp;"'"&amp;"!r"&amp;Z181)))</f>
        <v>0</v>
      </c>
      <c r="N181" s="113">
        <f t="shared" ca="1" si="18"/>
        <v>0</v>
      </c>
      <c r="O181" s="113" cm="1">
        <f t="array" aca="1" ref="O181" ca="1">IFERROR(IF($C181="","",INDIRECT($D$2&amp;"!t"&amp;Z181)),IF($C181="","",INDIRECT("'"&amp;$D$2&amp;"'"&amp;"!t"&amp;Z181)))</f>
        <v>0</v>
      </c>
      <c r="Q181" s="113" cm="1">
        <f t="array" aca="1" ref="Q181" ca="1">IFERROR(IF($C181="","",INDIRECT($D$2&amp;"!v"&amp;Z181)),IF($C181="","",INDIRECT("'"&amp;$D$2&amp;"'"&amp;"!v"&amp;Z181)))</f>
        <v>0</v>
      </c>
      <c r="R181" s="113">
        <f t="shared" ca="1" si="19"/>
        <v>0</v>
      </c>
      <c r="S181" s="113" cm="1">
        <f t="array" aca="1" ref="S181" ca="1">IFERROR(IF($C181="","",INDIRECT($D$2&amp;"!x"&amp;Z181)),IF($C181="","",INDIRECT("'"&amp;$D$2&amp;"'"&amp;"!x"&amp;Z181)))</f>
        <v>0</v>
      </c>
      <c r="U181" s="113" cm="1">
        <f t="array" aca="1" ref="U181" ca="1">IFERROR(IF($C181="","",INDIRECT($D$2&amp;"!z"&amp;Z181)),IF($C181="","",INDIRECT("'"&amp;$D$2&amp;"'"&amp;"!z"&amp;Z181)))</f>
        <v>0</v>
      </c>
      <c r="V181" s="113">
        <f t="shared" ca="1" si="20"/>
        <v>0</v>
      </c>
      <c r="W181" s="113" cm="1">
        <f t="array" aca="1" ref="W181" ca="1">IFERROR(IF($C181="","",INDIRECT($D$2&amp;"!ab"&amp;Z181)),IF($C181="","",INDIRECT("'"&amp;$D$2&amp;"'"&amp;"!ab"&amp;Z181)))</f>
        <v>0</v>
      </c>
      <c r="X181" s="113"/>
      <c r="Y181" s="113">
        <f t="shared" ca="1" si="21"/>
        <v>0</v>
      </c>
      <c r="Z181" s="35">
        <v>170</v>
      </c>
      <c r="AA181" s="113"/>
      <c r="AB181" s="35">
        <v>170</v>
      </c>
    </row>
    <row r="182" spans="3:28" x14ac:dyDescent="0.25">
      <c r="C182" t="str" cm="1">
        <f t="array" aca="1" ref="C182" ca="1">IFERROR(IF(INDIRECT($D$2&amp;"!B"&amp;Z182)="","",INDIRECT("'"&amp;$D$2&amp;"'"&amp;"!B"&amp;Z182)),IF(INDIRECT("'"&amp;$D$2&amp;"'"&amp;"!B"&amp;Z182)="","",INDIRECT("'"&amp;$D$2&amp;"'"&amp;"!B"&amp;Z182)))</f>
        <v>User and Device Administration Training</v>
      </c>
      <c r="D182" t="str" cm="1">
        <f t="array" aca="1" ref="D182" ca="1">IFERROR(_xlfn.IFS(C182="","",C182&lt;&gt;"",INDEX(SF_Output!I:I,MATCH(C182,SF_Output!M:M,0))),IFERROR(INDEX(INDIRECT($D$2&amp;"!G:G"),MATCH(C182,INDIRECT($D$2&amp;"!B:B"),0)),INDEX(INDIRECT("'"&amp;$D$2&amp;"'!G:G"),MATCH(C182,INDIRECT("'"&amp;$D$2&amp;"'!B:B"),0))))</f>
        <v>Training</v>
      </c>
      <c r="E182" t="str" cm="1">
        <f t="array" aca="1" ref="E182" ca="1">IFERROR(IF(C182="","",INDIRECT($D$2&amp;"!F"&amp;Z182)),IF(C182="","",INDIRECT("'"&amp;$D$2&amp;"'"&amp;"!F"&amp;Z182)))</f>
        <v>Included</v>
      </c>
      <c r="F182" t="str" cm="1">
        <f t="array" aca="1" ref="F182" ca="1">IFERROR(IF(C182="","",INDIRECT($D$2&amp;"!ak"&amp;Z182)),IF(C182="","",INDIRECT("'"&amp;$D$2&amp;"'"&amp;"!ak"&amp;Z182)))</f>
        <v/>
      </c>
      <c r="G182" cm="1">
        <f t="array" aca="1" ref="G182" ca="1">IFERROR(INDIRECT($D$2&amp;"!h"&amp;Z182),INDIRECT("'"&amp;$D$2&amp;"'"&amp;"!h"&amp;Z182))</f>
        <v>1</v>
      </c>
      <c r="H182" s="125" t="str" cm="1">
        <f t="array" aca="1" ref="H182" ca="1">IFERROR(INDIRECT($D$2&amp;"!i"&amp;Z182),INDIRECT("'"&amp;$D$2&amp;"'"&amp;"!i"&amp;Z182))</f>
        <v/>
      </c>
      <c r="I182" s="113" cm="1">
        <f t="array" aca="1" ref="I182" ca="1">IFERROR(IF($C182="","",INDIRECT($D$2&amp;"!j"&amp;$Z182)+INDIRECT($D$2&amp;"!n"&amp;$Z182)),IF($C182="","",INDIRECT("'"&amp;$D$2&amp;"'"&amp;"!j"&amp;$Z182)+INDIRECT("'"&amp;$D$2&amp;"'"&amp;"!n"&amp;$Z182)))</f>
        <v>5000</v>
      </c>
      <c r="J182" s="113">
        <f t="shared" ca="1" si="17"/>
        <v>0</v>
      </c>
      <c r="K182" s="113" cm="1">
        <f t="array" aca="1" ref="K182" ca="1">IFERROR(IF($C182="","",INDIRECT($D$2&amp;"!l"&amp;$Z182)+INDIRECT($D$2&amp;"!p"&amp;$Z182)),IF($C182="","",INDIRECT("'"&amp;$D$2&amp;"'"&amp;"!l"&amp;$Z182)+INDIRECT("'"&amp;$D$2&amp;"'"&amp;"!p"&amp;$Z182)))</f>
        <v>5000</v>
      </c>
      <c r="M182" s="113" cm="1">
        <f t="array" aca="1" ref="M182" ca="1">IFERROR(IF($C182="","",INDIRECT($D$2&amp;"!r"&amp;Z182)),IF($C182="","",INDIRECT("'"&amp;$D$2&amp;"'"&amp;"!r"&amp;Z182)))</f>
        <v>0</v>
      </c>
      <c r="N182" s="113">
        <f t="shared" ca="1" si="18"/>
        <v>0</v>
      </c>
      <c r="O182" s="113" cm="1">
        <f t="array" aca="1" ref="O182" ca="1">IFERROR(IF($C182="","",INDIRECT($D$2&amp;"!t"&amp;Z182)),IF($C182="","",INDIRECT("'"&amp;$D$2&amp;"'"&amp;"!t"&amp;Z182)))</f>
        <v>0</v>
      </c>
      <c r="Q182" s="113" cm="1">
        <f t="array" aca="1" ref="Q182" ca="1">IFERROR(IF($C182="","",INDIRECT($D$2&amp;"!v"&amp;Z182)),IF($C182="","",INDIRECT("'"&amp;$D$2&amp;"'"&amp;"!v"&amp;Z182)))</f>
        <v>0</v>
      </c>
      <c r="R182" s="113">
        <f t="shared" ca="1" si="19"/>
        <v>0</v>
      </c>
      <c r="S182" s="113" cm="1">
        <f t="array" aca="1" ref="S182" ca="1">IFERROR(IF($C182="","",INDIRECT($D$2&amp;"!x"&amp;Z182)),IF($C182="","",INDIRECT("'"&amp;$D$2&amp;"'"&amp;"!x"&amp;Z182)))</f>
        <v>0</v>
      </c>
      <c r="U182" s="113" cm="1">
        <f t="array" aca="1" ref="U182" ca="1">IFERROR(IF($C182="","",INDIRECT($D$2&amp;"!z"&amp;Z182)),IF($C182="","",INDIRECT("'"&amp;$D$2&amp;"'"&amp;"!z"&amp;Z182)))</f>
        <v>0</v>
      </c>
      <c r="V182" s="113">
        <f t="shared" ca="1" si="20"/>
        <v>0</v>
      </c>
      <c r="W182" s="113" cm="1">
        <f t="array" aca="1" ref="W182" ca="1">IFERROR(IF($C182="","",INDIRECT($D$2&amp;"!ab"&amp;Z182)),IF($C182="","",INDIRECT("'"&amp;$D$2&amp;"'"&amp;"!ab"&amp;Z182)))</f>
        <v>0</v>
      </c>
      <c r="X182" s="113"/>
      <c r="Y182" s="113">
        <f t="shared" ca="1" si="21"/>
        <v>0</v>
      </c>
      <c r="Z182" s="35">
        <v>171</v>
      </c>
      <c r="AA182" s="113"/>
      <c r="AB182" s="35">
        <v>171</v>
      </c>
    </row>
    <row r="183" spans="3:28" x14ac:dyDescent="0.25">
      <c r="C183" t="str" cm="1">
        <f t="array" aca="1" ref="C183" ca="1">IFERROR(IF(INDIRECT($D$2&amp;"!B"&amp;Z183)="","",INDIRECT("'"&amp;$D$2&amp;"'"&amp;"!B"&amp;Z183)),IF(INDIRECT("'"&amp;$D$2&amp;"'"&amp;"!B"&amp;Z183)="","",INDIRECT("'"&amp;$D$2&amp;"'"&amp;"!B"&amp;Z183)))</f>
        <v>Day 2 Project Management - 45 Days engagement</v>
      </c>
      <c r="D183" t="str" cm="1">
        <f t="array" aca="1" ref="D183" ca="1">IFERROR(_xlfn.IFS(C183="","",C183&lt;&gt;"",INDEX(SF_Output!I:I,MATCH(C183,SF_Output!M:M,0))),IFERROR(INDEX(INDIRECT($D$2&amp;"!G:G"),MATCH(C183,INDIRECT($D$2&amp;"!B:B"),0)),INDEX(INDIRECT("'"&amp;$D$2&amp;"'!G:G"),MATCH(C183,INDIRECT("'"&amp;$D$2&amp;"'!B:B"),0))))</f>
        <v>Training</v>
      </c>
      <c r="E183" t="str" cm="1">
        <f t="array" aca="1" ref="E183" ca="1">IFERROR(IF(C183="","",INDIRECT($D$2&amp;"!F"&amp;Z183)),IF(C183="","",INDIRECT("'"&amp;$D$2&amp;"'"&amp;"!F"&amp;Z183)))</f>
        <v>Included</v>
      </c>
      <c r="F183" t="str" cm="1">
        <f t="array" aca="1" ref="F183" ca="1">IFERROR(IF(C183="","",INDIRECT($D$2&amp;"!ak"&amp;Z183)),IF(C183="","",INDIRECT("'"&amp;$D$2&amp;"'"&amp;"!ak"&amp;Z183)))</f>
        <v/>
      </c>
      <c r="G183" cm="1">
        <f t="array" aca="1" ref="G183" ca="1">IFERROR(INDIRECT($D$2&amp;"!h"&amp;Z183),INDIRECT("'"&amp;$D$2&amp;"'"&amp;"!h"&amp;Z183))</f>
        <v>1</v>
      </c>
      <c r="H183" s="125" t="str" cm="1">
        <f t="array" aca="1" ref="H183" ca="1">IFERROR(INDIRECT($D$2&amp;"!i"&amp;Z183),INDIRECT("'"&amp;$D$2&amp;"'"&amp;"!i"&amp;Z183))</f>
        <v/>
      </c>
      <c r="I183" s="113" cm="1">
        <f t="array" aca="1" ref="I183" ca="1">IFERROR(IF($C183="","",INDIRECT($D$2&amp;"!j"&amp;$Z183)+INDIRECT($D$2&amp;"!n"&amp;$Z183)),IF($C183="","",INDIRECT("'"&amp;$D$2&amp;"'"&amp;"!j"&amp;$Z183)+INDIRECT("'"&amp;$D$2&amp;"'"&amp;"!n"&amp;$Z183)))</f>
        <v>10000</v>
      </c>
      <c r="J183" s="113">
        <f t="shared" ca="1" si="17"/>
        <v>0</v>
      </c>
      <c r="K183" s="113" cm="1">
        <f t="array" aca="1" ref="K183" ca="1">IFERROR(IF($C183="","",INDIRECT($D$2&amp;"!l"&amp;$Z183)+INDIRECT($D$2&amp;"!p"&amp;$Z183)),IF($C183="","",INDIRECT("'"&amp;$D$2&amp;"'"&amp;"!l"&amp;$Z183)+INDIRECT("'"&amp;$D$2&amp;"'"&amp;"!p"&amp;$Z183)))</f>
        <v>10000</v>
      </c>
      <c r="M183" s="113" cm="1">
        <f t="array" aca="1" ref="M183" ca="1">IFERROR(IF($C183="","",INDIRECT($D$2&amp;"!r"&amp;Z183)),IF($C183="","",INDIRECT("'"&amp;$D$2&amp;"'"&amp;"!r"&amp;Z183)))</f>
        <v>0</v>
      </c>
      <c r="N183" s="113">
        <f t="shared" ca="1" si="18"/>
        <v>0</v>
      </c>
      <c r="O183" s="113" cm="1">
        <f t="array" aca="1" ref="O183" ca="1">IFERROR(IF($C183="","",INDIRECT($D$2&amp;"!t"&amp;Z183)),IF($C183="","",INDIRECT("'"&amp;$D$2&amp;"'"&amp;"!t"&amp;Z183)))</f>
        <v>0</v>
      </c>
      <c r="Q183" s="113" cm="1">
        <f t="array" aca="1" ref="Q183" ca="1">IFERROR(IF($C183="","",INDIRECT($D$2&amp;"!v"&amp;Z183)),IF($C183="","",INDIRECT("'"&amp;$D$2&amp;"'"&amp;"!v"&amp;Z183)))</f>
        <v>0</v>
      </c>
      <c r="R183" s="113">
        <f t="shared" ca="1" si="19"/>
        <v>0</v>
      </c>
      <c r="S183" s="113" cm="1">
        <f t="array" aca="1" ref="S183" ca="1">IFERROR(IF($C183="","",INDIRECT($D$2&amp;"!x"&amp;Z183)),IF($C183="","",INDIRECT("'"&amp;$D$2&amp;"'"&amp;"!x"&amp;Z183)))</f>
        <v>0</v>
      </c>
      <c r="U183" s="113" cm="1">
        <f t="array" aca="1" ref="U183" ca="1">IFERROR(IF($C183="","",INDIRECT($D$2&amp;"!z"&amp;Z183)),IF($C183="","",INDIRECT("'"&amp;$D$2&amp;"'"&amp;"!z"&amp;Z183)))</f>
        <v>0</v>
      </c>
      <c r="V183" s="113">
        <f t="shared" ca="1" si="20"/>
        <v>0</v>
      </c>
      <c r="W183" s="113" cm="1">
        <f t="array" aca="1" ref="W183" ca="1">IFERROR(IF($C183="","",INDIRECT($D$2&amp;"!ab"&amp;Z183)),IF($C183="","",INDIRECT("'"&amp;$D$2&amp;"'"&amp;"!ab"&amp;Z183)))</f>
        <v>0</v>
      </c>
      <c r="X183" s="113"/>
      <c r="Y183" s="113">
        <f t="shared" ca="1" si="21"/>
        <v>0</v>
      </c>
      <c r="Z183" s="35">
        <v>172</v>
      </c>
      <c r="AA183" s="113"/>
      <c r="AB183" s="35">
        <v>172</v>
      </c>
    </row>
    <row r="184" spans="3:28" x14ac:dyDescent="0.25">
      <c r="C184" t="str" cm="1">
        <f t="array" aca="1" ref="C184" ca="1">IFERROR(IF(INDIRECT($D$2&amp;"!B"&amp;Z184)="","",INDIRECT("'"&amp;$D$2&amp;"'"&amp;"!B"&amp;Z184)),IF(INDIRECT("'"&amp;$D$2&amp;"'"&amp;"!B"&amp;Z184)="","",INDIRECT("'"&amp;$D$2&amp;"'"&amp;"!B"&amp;Z184)))</f>
        <v>Jack Henry Loyalty and Rewards Strategy Engagement</v>
      </c>
      <c r="D184" t="str" cm="1">
        <f t="array" aca="1" ref="D184" ca="1">IFERROR(_xlfn.IFS(C184="","",C184&lt;&gt;"",INDEX(SF_Output!I:I,MATCH(C184,SF_Output!M:M,0))),IFERROR(INDEX(INDIRECT($D$2&amp;"!G:G"),MATCH(C184,INDIRECT($D$2&amp;"!B:B"),0)),INDEX(INDIRECT("'"&amp;$D$2&amp;"'!G:G"),MATCH(C184,INDIRECT("'"&amp;$D$2&amp;"'!B:B"),0))))</f>
        <v>Training</v>
      </c>
      <c r="E184" t="str" cm="1">
        <f t="array" aca="1" ref="E184" ca="1">IFERROR(IF(C184="","",INDIRECT($D$2&amp;"!F"&amp;Z184)),IF(C184="","",INDIRECT("'"&amp;$D$2&amp;"'"&amp;"!F"&amp;Z184)))</f>
        <v>Optional</v>
      </c>
      <c r="F184" t="str" cm="1">
        <f t="array" aca="1" ref="F184" ca="1">IFERROR(IF(C184="","",INDIRECT($D$2&amp;"!ak"&amp;Z184)),IF(C184="","",INDIRECT("'"&amp;$D$2&amp;"'"&amp;"!ak"&amp;Z184)))</f>
        <v/>
      </c>
      <c r="G184" cm="1">
        <f t="array" aca="1" ref="G184" ca="1">IFERROR(INDIRECT($D$2&amp;"!h"&amp;Z184),INDIRECT("'"&amp;$D$2&amp;"'"&amp;"!h"&amp;Z184))</f>
        <v>1</v>
      </c>
      <c r="H184" s="125" t="str" cm="1">
        <f t="array" aca="1" ref="H184" ca="1">IFERROR(INDIRECT($D$2&amp;"!i"&amp;Z184),INDIRECT("'"&amp;$D$2&amp;"'"&amp;"!i"&amp;Z184))</f>
        <v/>
      </c>
      <c r="I184" s="113" cm="1">
        <f t="array" aca="1" ref="I184" ca="1">IFERROR(IF($C184="","",INDIRECT($D$2&amp;"!j"&amp;$Z184)+INDIRECT($D$2&amp;"!n"&amp;$Z184)),IF($C184="","",INDIRECT("'"&amp;$D$2&amp;"'"&amp;"!j"&amp;$Z184)+INDIRECT("'"&amp;$D$2&amp;"'"&amp;"!n"&amp;$Z184)))</f>
        <v>18000</v>
      </c>
      <c r="J184" s="113">
        <f t="shared" ca="1" si="17"/>
        <v>0</v>
      </c>
      <c r="K184" s="113" cm="1">
        <f t="array" aca="1" ref="K184" ca="1">IFERROR(IF($C184="","",INDIRECT($D$2&amp;"!l"&amp;$Z184)+INDIRECT($D$2&amp;"!p"&amp;$Z184)),IF($C184="","",INDIRECT("'"&amp;$D$2&amp;"'"&amp;"!l"&amp;$Z184)+INDIRECT("'"&amp;$D$2&amp;"'"&amp;"!p"&amp;$Z184)))</f>
        <v>18000</v>
      </c>
      <c r="M184" s="113" cm="1">
        <f t="array" aca="1" ref="M184" ca="1">IFERROR(IF($C184="","",INDIRECT($D$2&amp;"!r"&amp;Z184)),IF($C184="","",INDIRECT("'"&amp;$D$2&amp;"'"&amp;"!r"&amp;Z184)))</f>
        <v>0</v>
      </c>
      <c r="N184" s="113">
        <f t="shared" ca="1" si="18"/>
        <v>0</v>
      </c>
      <c r="O184" s="113" cm="1">
        <f t="array" aca="1" ref="O184" ca="1">IFERROR(IF($C184="","",INDIRECT($D$2&amp;"!t"&amp;Z184)),IF($C184="","",INDIRECT("'"&amp;$D$2&amp;"'"&amp;"!t"&amp;Z184)))</f>
        <v>0</v>
      </c>
      <c r="Q184" s="113" cm="1">
        <f t="array" aca="1" ref="Q184" ca="1">IFERROR(IF($C184="","",INDIRECT($D$2&amp;"!v"&amp;Z184)),IF($C184="","",INDIRECT("'"&amp;$D$2&amp;"'"&amp;"!v"&amp;Z184)))</f>
        <v>0</v>
      </c>
      <c r="R184" s="113">
        <f t="shared" ca="1" si="19"/>
        <v>0</v>
      </c>
      <c r="S184" s="113" cm="1">
        <f t="array" aca="1" ref="S184" ca="1">IFERROR(IF($C184="","",INDIRECT($D$2&amp;"!x"&amp;Z184)),IF($C184="","",INDIRECT("'"&amp;$D$2&amp;"'"&amp;"!x"&amp;Z184)))</f>
        <v>0</v>
      </c>
      <c r="U184" s="113" cm="1">
        <f t="array" aca="1" ref="U184" ca="1">IFERROR(IF($C184="","",INDIRECT($D$2&amp;"!z"&amp;Z184)),IF($C184="","",INDIRECT("'"&amp;$D$2&amp;"'"&amp;"!z"&amp;Z184)))</f>
        <v>0</v>
      </c>
      <c r="V184" s="113">
        <f t="shared" ca="1" si="20"/>
        <v>0</v>
      </c>
      <c r="W184" s="113" cm="1">
        <f t="array" aca="1" ref="W184" ca="1">IFERROR(IF($C184="","",INDIRECT($D$2&amp;"!ab"&amp;Z184)),IF($C184="","",INDIRECT("'"&amp;$D$2&amp;"'"&amp;"!ab"&amp;Z184)))</f>
        <v>0</v>
      </c>
      <c r="X184" s="113"/>
      <c r="Y184" s="113">
        <f t="shared" ca="1" si="21"/>
        <v>0</v>
      </c>
      <c r="Z184" s="35">
        <v>173</v>
      </c>
      <c r="AA184" s="113"/>
      <c r="AB184" s="35">
        <v>173</v>
      </c>
    </row>
    <row r="185" spans="3:28" x14ac:dyDescent="0.25">
      <c r="C185" t="str" cm="1">
        <f t="array" aca="1" ref="C185" ca="1">IFERROR(IF(INDIRECT($D$2&amp;"!B"&amp;Z185)="","",INDIRECT("'"&amp;$D$2&amp;"'"&amp;"!B"&amp;Z185)),IF(INDIRECT("'"&amp;$D$2&amp;"'"&amp;"!B"&amp;Z185)="","",INDIRECT("'"&amp;$D$2&amp;"'"&amp;"!B"&amp;Z185)))</f>
        <v>Jack Henry Loyalty and Rewards Optimization Assistance</v>
      </c>
      <c r="D185" t="str" cm="1">
        <f t="array" aca="1" ref="D185" ca="1">IFERROR(_xlfn.IFS(C185="","",C185&lt;&gt;"",INDEX(SF_Output!I:I,MATCH(C185,SF_Output!M:M,0))),IFERROR(INDEX(INDIRECT($D$2&amp;"!G:G"),MATCH(C185,INDIRECT($D$2&amp;"!B:B"),0)),INDEX(INDIRECT("'"&amp;$D$2&amp;"'!G:G"),MATCH(C185,INDIRECT("'"&amp;$D$2&amp;"'!B:B"),0))))</f>
        <v>Training</v>
      </c>
      <c r="E185" t="str" cm="1">
        <f t="array" aca="1" ref="E185" ca="1">IFERROR(IF(C185="","",INDIRECT($D$2&amp;"!F"&amp;Z185)),IF(C185="","",INDIRECT("'"&amp;$D$2&amp;"'"&amp;"!F"&amp;Z185)))</f>
        <v>Optional</v>
      </c>
      <c r="F185" t="str" cm="1">
        <f t="array" aca="1" ref="F185" ca="1">IFERROR(IF(C185="","",INDIRECT($D$2&amp;"!ak"&amp;Z185)),IF(C185="","",INDIRECT("'"&amp;$D$2&amp;"'"&amp;"!ak"&amp;Z185)))</f>
        <v/>
      </c>
      <c r="G185" cm="1">
        <f t="array" aca="1" ref="G185" ca="1">IFERROR(INDIRECT($D$2&amp;"!h"&amp;Z185),INDIRECT("'"&amp;$D$2&amp;"'"&amp;"!h"&amp;Z185))</f>
        <v>1</v>
      </c>
      <c r="H185" s="125" t="str" cm="1">
        <f t="array" aca="1" ref="H185" ca="1">IFERROR(INDIRECT($D$2&amp;"!i"&amp;Z185),INDIRECT("'"&amp;$D$2&amp;"'"&amp;"!i"&amp;Z185))</f>
        <v/>
      </c>
      <c r="I185" s="113" cm="1">
        <f t="array" aca="1" ref="I185" ca="1">IFERROR(IF($C185="","",INDIRECT($D$2&amp;"!j"&amp;$Z185)+INDIRECT($D$2&amp;"!n"&amp;$Z185)),IF($C185="","",INDIRECT("'"&amp;$D$2&amp;"'"&amp;"!j"&amp;$Z185)+INDIRECT("'"&amp;$D$2&amp;"'"&amp;"!n"&amp;$Z185)))</f>
        <v>0</v>
      </c>
      <c r="J185" s="113">
        <f t="shared" ca="1" si="17"/>
        <v>0</v>
      </c>
      <c r="K185" s="113" cm="1">
        <f t="array" aca="1" ref="K185" ca="1">IFERROR(IF($C185="","",INDIRECT($D$2&amp;"!l"&amp;$Z185)+INDIRECT($D$2&amp;"!p"&amp;$Z185)),IF($C185="","",INDIRECT("'"&amp;$D$2&amp;"'"&amp;"!l"&amp;$Z185)+INDIRECT("'"&amp;$D$2&amp;"'"&amp;"!p"&amp;$Z185)))</f>
        <v>0</v>
      </c>
      <c r="M185" s="113" cm="1">
        <f t="array" aca="1" ref="M185" ca="1">IFERROR(IF($C185="","",INDIRECT($D$2&amp;"!r"&amp;Z185)),IF($C185="","",INDIRECT("'"&amp;$D$2&amp;"'"&amp;"!r"&amp;Z185)))</f>
        <v>3500</v>
      </c>
      <c r="N185" s="113">
        <f t="shared" ca="1" si="18"/>
        <v>0</v>
      </c>
      <c r="O185" s="113" cm="1">
        <f t="array" aca="1" ref="O185" ca="1">IFERROR(IF($C185="","",INDIRECT($D$2&amp;"!t"&amp;Z185)),IF($C185="","",INDIRECT("'"&amp;$D$2&amp;"'"&amp;"!t"&amp;Z185)))</f>
        <v>3500</v>
      </c>
      <c r="Q185" s="113" cm="1">
        <f t="array" aca="1" ref="Q185" ca="1">IFERROR(IF($C185="","",INDIRECT($D$2&amp;"!v"&amp;Z185)),IF($C185="","",INDIRECT("'"&amp;$D$2&amp;"'"&amp;"!v"&amp;Z185)))</f>
        <v>0</v>
      </c>
      <c r="R185" s="113">
        <f t="shared" ca="1" si="19"/>
        <v>0</v>
      </c>
      <c r="S185" s="113" cm="1">
        <f t="array" aca="1" ref="S185" ca="1">IFERROR(IF($C185="","",INDIRECT($D$2&amp;"!x"&amp;Z185)),IF($C185="","",INDIRECT("'"&amp;$D$2&amp;"'"&amp;"!x"&amp;Z185)))</f>
        <v>0</v>
      </c>
      <c r="U185" s="113" cm="1">
        <f t="array" aca="1" ref="U185" ca="1">IFERROR(IF($C185="","",INDIRECT($D$2&amp;"!z"&amp;Z185)),IF($C185="","",INDIRECT("'"&amp;$D$2&amp;"'"&amp;"!z"&amp;Z185)))</f>
        <v>0</v>
      </c>
      <c r="V185" s="113">
        <f t="shared" ca="1" si="20"/>
        <v>0</v>
      </c>
      <c r="W185" s="113" cm="1">
        <f t="array" aca="1" ref="W185" ca="1">IFERROR(IF($C185="","",INDIRECT($D$2&amp;"!ab"&amp;Z185)),IF($C185="","",INDIRECT("'"&amp;$D$2&amp;"'"&amp;"!ab"&amp;Z185)))</f>
        <v>0</v>
      </c>
      <c r="X185" s="113"/>
      <c r="Y185" s="113">
        <f t="shared" ca="1" si="21"/>
        <v>0</v>
      </c>
      <c r="Z185" s="35">
        <v>174</v>
      </c>
      <c r="AA185" s="113"/>
      <c r="AB185" s="35">
        <v>174</v>
      </c>
    </row>
    <row r="186" spans="3:28" x14ac:dyDescent="0.25">
      <c r="C186" t="str" cm="1">
        <f t="array" aca="1" ref="C186" ca="1">IFERROR(IF(INDIRECT($D$2&amp;"!B"&amp;Z186)="","",INDIRECT("'"&amp;$D$2&amp;"'"&amp;"!B"&amp;Z186)),IF(INDIRECT("'"&amp;$D$2&amp;"'"&amp;"!B"&amp;Z186)="","",INDIRECT("'"&amp;$D$2&amp;"'"&amp;"!B"&amp;Z186)))</f>
        <v>JHA Client Services Consulting Workflow Process Automation Strategy</v>
      </c>
      <c r="D186" t="str" cm="1">
        <f t="array" aca="1" ref="D186" ca="1">IFERROR(_xlfn.IFS(C186="","",C186&lt;&gt;"",INDEX(SF_Output!I:I,MATCH(C186,SF_Output!M:M,0))),IFERROR(INDEX(INDIRECT($D$2&amp;"!G:G"),MATCH(C186,INDIRECT($D$2&amp;"!B:B"),0)),INDEX(INDIRECT("'"&amp;$D$2&amp;"'!G:G"),MATCH(C186,INDIRECT("'"&amp;$D$2&amp;"'!B:B"),0))))</f>
        <v>Training</v>
      </c>
      <c r="E186" t="str" cm="1">
        <f t="array" aca="1" ref="E186" ca="1">IFERROR(IF(C186="","",INDIRECT($D$2&amp;"!F"&amp;Z186)),IF(C186="","",INDIRECT("'"&amp;$D$2&amp;"'"&amp;"!F"&amp;Z186)))</f>
        <v>Optional</v>
      </c>
      <c r="F186" t="str" cm="1">
        <f t="array" aca="1" ref="F186" ca="1">IFERROR(IF(C186="","",INDIRECT($D$2&amp;"!ak"&amp;Z186)),IF(C186="","",INDIRECT("'"&amp;$D$2&amp;"'"&amp;"!ak"&amp;Z186)))</f>
        <v/>
      </c>
      <c r="G186" cm="1">
        <f t="array" aca="1" ref="G186" ca="1">IFERROR(INDIRECT($D$2&amp;"!h"&amp;Z186),INDIRECT("'"&amp;$D$2&amp;"'"&amp;"!h"&amp;Z186))</f>
        <v>1</v>
      </c>
      <c r="H186" s="125" t="str" cm="1">
        <f t="array" aca="1" ref="H186" ca="1">IFERROR(INDIRECT($D$2&amp;"!i"&amp;Z186),INDIRECT("'"&amp;$D$2&amp;"'"&amp;"!i"&amp;Z186))</f>
        <v/>
      </c>
      <c r="I186" s="113" cm="1">
        <f t="array" aca="1" ref="I186" ca="1">IFERROR(IF($C186="","",INDIRECT($D$2&amp;"!j"&amp;$Z186)+INDIRECT($D$2&amp;"!n"&amp;$Z186)),IF($C186="","",INDIRECT("'"&amp;$D$2&amp;"'"&amp;"!j"&amp;$Z186)+INDIRECT("'"&amp;$D$2&amp;"'"&amp;"!n"&amp;$Z186)))</f>
        <v>15000</v>
      </c>
      <c r="J186" s="113">
        <f t="shared" ca="1" si="17"/>
        <v>0</v>
      </c>
      <c r="K186" s="113" cm="1">
        <f t="array" aca="1" ref="K186" ca="1">IFERROR(IF($C186="","",INDIRECT($D$2&amp;"!l"&amp;$Z186)+INDIRECT($D$2&amp;"!p"&amp;$Z186)),IF($C186="","",INDIRECT("'"&amp;$D$2&amp;"'"&amp;"!l"&amp;$Z186)+INDIRECT("'"&amp;$D$2&amp;"'"&amp;"!p"&amp;$Z186)))</f>
        <v>15000</v>
      </c>
      <c r="M186" s="113" cm="1">
        <f t="array" aca="1" ref="M186" ca="1">IFERROR(IF($C186="","",INDIRECT($D$2&amp;"!r"&amp;Z186)),IF($C186="","",INDIRECT("'"&amp;$D$2&amp;"'"&amp;"!r"&amp;Z186)))</f>
        <v>0</v>
      </c>
      <c r="N186" s="113">
        <f t="shared" ca="1" si="18"/>
        <v>0</v>
      </c>
      <c r="O186" s="113" cm="1">
        <f t="array" aca="1" ref="O186" ca="1">IFERROR(IF($C186="","",INDIRECT($D$2&amp;"!t"&amp;Z186)),IF($C186="","",INDIRECT("'"&amp;$D$2&amp;"'"&amp;"!t"&amp;Z186)))</f>
        <v>0</v>
      </c>
      <c r="Q186" s="113" cm="1">
        <f t="array" aca="1" ref="Q186" ca="1">IFERROR(IF($C186="","",INDIRECT($D$2&amp;"!v"&amp;Z186)),IF($C186="","",INDIRECT("'"&amp;$D$2&amp;"'"&amp;"!v"&amp;Z186)))</f>
        <v>0</v>
      </c>
      <c r="R186" s="113">
        <f t="shared" ca="1" si="19"/>
        <v>0</v>
      </c>
      <c r="S186" s="113" cm="1">
        <f t="array" aca="1" ref="S186" ca="1">IFERROR(IF($C186="","",INDIRECT($D$2&amp;"!x"&amp;Z186)),IF($C186="","",INDIRECT("'"&amp;$D$2&amp;"'"&amp;"!x"&amp;Z186)))</f>
        <v>0</v>
      </c>
      <c r="U186" s="113" cm="1">
        <f t="array" aca="1" ref="U186" ca="1">IFERROR(IF($C186="","",INDIRECT($D$2&amp;"!z"&amp;Z186)),IF($C186="","",INDIRECT("'"&amp;$D$2&amp;"'"&amp;"!z"&amp;Z186)))</f>
        <v>0</v>
      </c>
      <c r="V186" s="113">
        <f t="shared" ca="1" si="20"/>
        <v>0</v>
      </c>
      <c r="W186" s="113" cm="1">
        <f t="array" aca="1" ref="W186" ca="1">IFERROR(IF($C186="","",INDIRECT($D$2&amp;"!ab"&amp;Z186)),IF($C186="","",INDIRECT("'"&amp;$D$2&amp;"'"&amp;"!ab"&amp;Z186)))</f>
        <v>0</v>
      </c>
      <c r="X186" s="113"/>
      <c r="Y186" s="113">
        <f t="shared" ca="1" si="21"/>
        <v>0</v>
      </c>
      <c r="Z186" s="35">
        <v>175</v>
      </c>
      <c r="AA186" s="113"/>
      <c r="AB186" s="35">
        <v>175</v>
      </c>
    </row>
    <row r="187" spans="3:28" x14ac:dyDescent="0.25">
      <c r="C187" t="str" cm="1">
        <f t="array" aca="1" ref="C187" ca="1">IFERROR(IF(INDIRECT($D$2&amp;"!B"&amp;Z187)="","",INDIRECT("'"&amp;$D$2&amp;"'"&amp;"!B"&amp;Z187)),IF(INDIRECT("'"&amp;$D$2&amp;"'"&amp;"!B"&amp;Z187)="","",INDIRECT("'"&amp;$D$2&amp;"'"&amp;"!B"&amp;Z187)))</f>
        <v>JHA Client Services Consulting Workflow Process Automation Design</v>
      </c>
      <c r="D187" t="str" cm="1">
        <f t="array" aca="1" ref="D187" ca="1">IFERROR(_xlfn.IFS(C187="","",C187&lt;&gt;"",INDEX(SF_Output!I:I,MATCH(C187,SF_Output!M:M,0))),IFERROR(INDEX(INDIRECT($D$2&amp;"!G:G"),MATCH(C187,INDIRECT($D$2&amp;"!B:B"),0)),INDEX(INDIRECT("'"&amp;$D$2&amp;"'!G:G"),MATCH(C187,INDIRECT("'"&amp;$D$2&amp;"'!B:B"),0))))</f>
        <v>Training</v>
      </c>
      <c r="E187" t="str" cm="1">
        <f t="array" aca="1" ref="E187" ca="1">IFERROR(IF(C187="","",INDIRECT($D$2&amp;"!F"&amp;Z187)),IF(C187="","",INDIRECT("'"&amp;$D$2&amp;"'"&amp;"!F"&amp;Z187)))</f>
        <v>Optional</v>
      </c>
      <c r="F187" t="str" cm="1">
        <f t="array" aca="1" ref="F187" ca="1">IFERROR(IF(C187="","",INDIRECT($D$2&amp;"!ak"&amp;Z187)),IF(C187="","",INDIRECT("'"&amp;$D$2&amp;"'"&amp;"!ak"&amp;Z187)))</f>
        <v/>
      </c>
      <c r="G187" cm="1">
        <f t="array" aca="1" ref="G187" ca="1">IFERROR(INDIRECT($D$2&amp;"!h"&amp;Z187),INDIRECT("'"&amp;$D$2&amp;"'"&amp;"!h"&amp;Z187))</f>
        <v>1</v>
      </c>
      <c r="H187" s="125" t="str" cm="1">
        <f t="array" aca="1" ref="H187" ca="1">IFERROR(INDIRECT($D$2&amp;"!i"&amp;Z187),INDIRECT("'"&amp;$D$2&amp;"'"&amp;"!i"&amp;Z187))</f>
        <v/>
      </c>
      <c r="I187" s="113" cm="1">
        <f t="array" aca="1" ref="I187" ca="1">IFERROR(IF($C187="","",INDIRECT($D$2&amp;"!j"&amp;$Z187)+INDIRECT($D$2&amp;"!n"&amp;$Z187)),IF($C187="","",INDIRECT("'"&amp;$D$2&amp;"'"&amp;"!j"&amp;$Z187)+INDIRECT("'"&amp;$D$2&amp;"'"&amp;"!n"&amp;$Z187)))</f>
        <v>25000</v>
      </c>
      <c r="J187" s="113">
        <f t="shared" ca="1" si="17"/>
        <v>0</v>
      </c>
      <c r="K187" s="113" cm="1">
        <f t="array" aca="1" ref="K187" ca="1">IFERROR(IF($C187="","",INDIRECT($D$2&amp;"!l"&amp;$Z187)+INDIRECT($D$2&amp;"!p"&amp;$Z187)),IF($C187="","",INDIRECT("'"&amp;$D$2&amp;"'"&amp;"!l"&amp;$Z187)+INDIRECT("'"&amp;$D$2&amp;"'"&amp;"!p"&amp;$Z187)))</f>
        <v>25000</v>
      </c>
      <c r="M187" s="113" cm="1">
        <f t="array" aca="1" ref="M187" ca="1">IFERROR(IF($C187="","",INDIRECT($D$2&amp;"!r"&amp;Z187)),IF($C187="","",INDIRECT("'"&amp;$D$2&amp;"'"&amp;"!r"&amp;Z187)))</f>
        <v>0</v>
      </c>
      <c r="N187" s="113">
        <f t="shared" ca="1" si="18"/>
        <v>0</v>
      </c>
      <c r="O187" s="113" cm="1">
        <f t="array" aca="1" ref="O187" ca="1">IFERROR(IF($C187="","",INDIRECT($D$2&amp;"!t"&amp;Z187)),IF($C187="","",INDIRECT("'"&amp;$D$2&amp;"'"&amp;"!t"&amp;Z187)))</f>
        <v>0</v>
      </c>
      <c r="Q187" s="113" cm="1">
        <f t="array" aca="1" ref="Q187" ca="1">IFERROR(IF($C187="","",INDIRECT($D$2&amp;"!v"&amp;Z187)),IF($C187="","",INDIRECT("'"&amp;$D$2&amp;"'"&amp;"!v"&amp;Z187)))</f>
        <v>0</v>
      </c>
      <c r="R187" s="113">
        <f t="shared" ca="1" si="19"/>
        <v>0</v>
      </c>
      <c r="S187" s="113" cm="1">
        <f t="array" aca="1" ref="S187" ca="1">IFERROR(IF($C187="","",INDIRECT($D$2&amp;"!x"&amp;Z187)),IF($C187="","",INDIRECT("'"&amp;$D$2&amp;"'"&amp;"!x"&amp;Z187)))</f>
        <v>0</v>
      </c>
      <c r="U187" s="113" cm="1">
        <f t="array" aca="1" ref="U187" ca="1">IFERROR(IF($C187="","",INDIRECT($D$2&amp;"!z"&amp;Z187)),IF($C187="","",INDIRECT("'"&amp;$D$2&amp;"'"&amp;"!z"&amp;Z187)))</f>
        <v>0</v>
      </c>
      <c r="V187" s="113">
        <f t="shared" ca="1" si="20"/>
        <v>0</v>
      </c>
      <c r="W187" s="113" cm="1">
        <f t="array" aca="1" ref="W187" ca="1">IFERROR(IF($C187="","",INDIRECT($D$2&amp;"!ab"&amp;Z187)),IF($C187="","",INDIRECT("'"&amp;$D$2&amp;"'"&amp;"!ab"&amp;Z187)))</f>
        <v>0</v>
      </c>
      <c r="X187" s="113"/>
      <c r="Y187" s="113">
        <f t="shared" ca="1" si="21"/>
        <v>0</v>
      </c>
      <c r="Z187" s="35">
        <v>176</v>
      </c>
      <c r="AA187" s="113"/>
      <c r="AB187" s="35">
        <v>176</v>
      </c>
    </row>
    <row r="188" spans="3:28" x14ac:dyDescent="0.25">
      <c r="C188" t="str" cm="1">
        <f t="array" aca="1" ref="C188" ca="1">IFERROR(IF(INDIRECT($D$2&amp;"!B"&amp;Z188)="","",INDIRECT("'"&amp;$D$2&amp;"'"&amp;"!B"&amp;Z188)),IF(INDIRECT("'"&amp;$D$2&amp;"'"&amp;"!B"&amp;Z188)="","",INDIRECT("'"&amp;$D$2&amp;"'"&amp;"!B"&amp;Z188)))</f>
        <v>Know-It-All Now eLearning</v>
      </c>
      <c r="D188" t="str" cm="1">
        <f t="array" aca="1" ref="D188" ca="1">IFERROR(_xlfn.IFS(C188="","",C188&lt;&gt;"",INDEX(SF_Output!I:I,MATCH(C188,SF_Output!M:M,0))),IFERROR(INDEX(INDIRECT($D$2&amp;"!G:G"),MATCH(C188,INDIRECT($D$2&amp;"!B:B"),0)),INDEX(INDIRECT("'"&amp;$D$2&amp;"'!G:G"),MATCH(C188,INDIRECT("'"&amp;$D$2&amp;"'!B:B"),0))))</f>
        <v>Training</v>
      </c>
      <c r="E188" t="str" cm="1">
        <f t="array" aca="1" ref="E188" ca="1">IFERROR(IF(C188="","",INDIRECT($D$2&amp;"!F"&amp;Z188)),IF(C188="","",INDIRECT("'"&amp;$D$2&amp;"'"&amp;"!F"&amp;Z188)))</f>
        <v>Included</v>
      </c>
      <c r="F188" t="str" cm="1">
        <f t="array" aca="1" ref="F188" ca="1">IFERROR(IF(C188="","",INDIRECT($D$2&amp;"!ak"&amp;Z188)),IF(C188="","",INDIRECT("'"&amp;$D$2&amp;"'"&amp;"!ak"&amp;Z188)))</f>
        <v/>
      </c>
      <c r="G188" cm="1">
        <f t="array" aca="1" ref="G188" ca="1">IFERROR(INDIRECT($D$2&amp;"!h"&amp;Z188),INDIRECT("'"&amp;$D$2&amp;"'"&amp;"!h"&amp;Z188))</f>
        <v>1</v>
      </c>
      <c r="H188" s="125" t="str" cm="1">
        <f t="array" aca="1" ref="H188" ca="1">IFERROR(INDIRECT($D$2&amp;"!i"&amp;Z188),INDIRECT("'"&amp;$D$2&amp;"'"&amp;"!i"&amp;Z188))</f>
        <v/>
      </c>
      <c r="I188" s="113" cm="1">
        <f t="array" aca="1" ref="I188" ca="1">IFERROR(IF($C188="","",INDIRECT($D$2&amp;"!j"&amp;$Z188)+INDIRECT($D$2&amp;"!n"&amp;$Z188)),IF($C188="","",INDIRECT("'"&amp;$D$2&amp;"'"&amp;"!j"&amp;$Z188)+INDIRECT("'"&amp;$D$2&amp;"'"&amp;"!n"&amp;$Z188)))</f>
        <v>0</v>
      </c>
      <c r="J188" s="113">
        <f t="shared" ca="1" si="17"/>
        <v>0</v>
      </c>
      <c r="K188" s="113" cm="1">
        <f t="array" aca="1" ref="K188" ca="1">IFERROR(IF($C188="","",INDIRECT($D$2&amp;"!l"&amp;$Z188)+INDIRECT($D$2&amp;"!p"&amp;$Z188)),IF($C188="","",INDIRECT("'"&amp;$D$2&amp;"'"&amp;"!l"&amp;$Z188)+INDIRECT("'"&amp;$D$2&amp;"'"&amp;"!p"&amp;$Z188)))</f>
        <v>0</v>
      </c>
      <c r="M188" s="113" cm="1">
        <f t="array" aca="1" ref="M188" ca="1">IFERROR(IF($C188="","",INDIRECT($D$2&amp;"!r"&amp;Z188)),IF($C188="","",INDIRECT("'"&amp;$D$2&amp;"'"&amp;"!r"&amp;Z188)))</f>
        <v>3500</v>
      </c>
      <c r="N188" s="113">
        <f t="shared" ca="1" si="18"/>
        <v>0</v>
      </c>
      <c r="O188" s="113" cm="1">
        <f t="array" aca="1" ref="O188" ca="1">IFERROR(IF($C188="","",INDIRECT($D$2&amp;"!t"&amp;Z188)),IF($C188="","",INDIRECT("'"&amp;$D$2&amp;"'"&amp;"!t"&amp;Z188)))</f>
        <v>3500</v>
      </c>
      <c r="Q188" s="113" cm="1">
        <f t="array" aca="1" ref="Q188" ca="1">IFERROR(IF($C188="","",INDIRECT($D$2&amp;"!v"&amp;Z188)),IF($C188="","",INDIRECT("'"&amp;$D$2&amp;"'"&amp;"!v"&amp;Z188)))</f>
        <v>0</v>
      </c>
      <c r="R188" s="113">
        <f t="shared" ca="1" si="19"/>
        <v>0</v>
      </c>
      <c r="S188" s="113" cm="1">
        <f t="array" aca="1" ref="S188" ca="1">IFERROR(IF($C188="","",INDIRECT($D$2&amp;"!x"&amp;Z188)),IF($C188="","",INDIRECT("'"&amp;$D$2&amp;"'"&amp;"!x"&amp;Z188)))</f>
        <v>0</v>
      </c>
      <c r="U188" s="113" cm="1">
        <f t="array" aca="1" ref="U188" ca="1">IFERROR(IF($C188="","",INDIRECT($D$2&amp;"!z"&amp;Z188)),IF($C188="","",INDIRECT("'"&amp;$D$2&amp;"'"&amp;"!z"&amp;Z188)))</f>
        <v>0</v>
      </c>
      <c r="V188" s="113">
        <f t="shared" ca="1" si="20"/>
        <v>0</v>
      </c>
      <c r="W188" s="113" cm="1">
        <f t="array" aca="1" ref="W188" ca="1">IFERROR(IF($C188="","",INDIRECT($D$2&amp;"!ab"&amp;Z188)),IF($C188="","",INDIRECT("'"&amp;$D$2&amp;"'"&amp;"!ab"&amp;Z188)))</f>
        <v>0</v>
      </c>
      <c r="X188" s="113"/>
      <c r="Y188" s="113">
        <f t="shared" ca="1" si="21"/>
        <v>0</v>
      </c>
      <c r="Z188" s="35">
        <v>177</v>
      </c>
      <c r="AA188" s="113"/>
      <c r="AB188" s="35">
        <v>177</v>
      </c>
    </row>
    <row r="189" spans="3:28" x14ac:dyDescent="0.25">
      <c r="C189" t="str" cm="1">
        <f t="array" aca="1" ref="C189" ca="1">IFERROR(IF(INDIRECT($D$2&amp;"!B"&amp;Z189)="","",INDIRECT("'"&amp;$D$2&amp;"'"&amp;"!B"&amp;Z189)),IF(INDIRECT("'"&amp;$D$2&amp;"'"&amp;"!B"&amp;Z189)="","",INDIRECT("'"&amp;$D$2&amp;"'"&amp;"!B"&amp;Z189)))</f>
        <v/>
      </c>
      <c r="D189" t="str" cm="1">
        <f t="array" aca="1" ref="D189" ca="1">IFERROR(_xlfn.IFS(C189="","",C189&lt;&gt;"",INDEX(SF_Output!I:I,MATCH(C189,SF_Output!M:M,0))),IFERROR(INDEX(INDIRECT($D$2&amp;"!G:G"),MATCH(C189,INDIRECT($D$2&amp;"!B:B"),0)),INDEX(INDIRECT("'"&amp;$D$2&amp;"'!G:G"),MATCH(C189,INDIRECT("'"&amp;$D$2&amp;"'!B:B"),0))))</f>
        <v/>
      </c>
      <c r="E189" t="str" cm="1">
        <f t="array" aca="1" ref="E189" ca="1">IFERROR(IF(C189="","",INDIRECT($D$2&amp;"!F"&amp;Z189)),IF(C189="","",INDIRECT("'"&amp;$D$2&amp;"'"&amp;"!F"&amp;Z189)))</f>
        <v/>
      </c>
      <c r="F189" t="str" cm="1">
        <f t="array" aca="1" ref="F189" ca="1">IFERROR(IF(C189="","",INDIRECT($D$2&amp;"!ak"&amp;Z189)),IF(C189="","",INDIRECT("'"&amp;$D$2&amp;"'"&amp;"!ak"&amp;Z189)))</f>
        <v/>
      </c>
      <c r="G189" t="str" cm="1">
        <f t="array" aca="1" ref="G189" ca="1">IFERROR(INDIRECT($D$2&amp;"!h"&amp;Z189),INDIRECT("'"&amp;$D$2&amp;"'"&amp;"!h"&amp;Z189))</f>
        <v/>
      </c>
      <c r="H189" s="125" t="str" cm="1">
        <f t="array" aca="1" ref="H189" ca="1">IFERROR(INDIRECT($D$2&amp;"!i"&amp;Z189),INDIRECT("'"&amp;$D$2&amp;"'"&amp;"!i"&amp;Z189))</f>
        <v/>
      </c>
      <c r="I189" s="113" t="str" cm="1">
        <f t="array" aca="1" ref="I189" ca="1">IFERROR(IF($C189="","",INDIRECT($D$2&amp;"!j"&amp;$Z189)+INDIRECT($D$2&amp;"!n"&amp;$Z189)),IF($C189="","",INDIRECT("'"&amp;$D$2&amp;"'"&amp;"!j"&amp;$Z189)+INDIRECT("'"&amp;$D$2&amp;"'"&amp;"!n"&amp;$Z189)))</f>
        <v/>
      </c>
      <c r="J189" s="113" t="str">
        <f t="shared" ca="1" si="17"/>
        <v/>
      </c>
      <c r="K189" s="113" t="str" cm="1">
        <f t="array" aca="1" ref="K189" ca="1">IFERROR(IF($C189="","",INDIRECT($D$2&amp;"!l"&amp;$Z189)+INDIRECT($D$2&amp;"!p"&amp;$Z189)),IF($C189="","",INDIRECT("'"&amp;$D$2&amp;"'"&amp;"!l"&amp;$Z189)+INDIRECT("'"&amp;$D$2&amp;"'"&amp;"!p"&amp;$Z189)))</f>
        <v/>
      </c>
      <c r="M189" s="113" t="str" cm="1">
        <f t="array" aca="1" ref="M189" ca="1">IFERROR(IF($C189="","",INDIRECT($D$2&amp;"!r"&amp;Z189)),IF($C189="","",INDIRECT("'"&amp;$D$2&amp;"'"&amp;"!r"&amp;Z189)))</f>
        <v/>
      </c>
      <c r="N189" s="113" t="str">
        <f t="shared" ca="1" si="18"/>
        <v/>
      </c>
      <c r="O189" s="113" t="str" cm="1">
        <f t="array" aca="1" ref="O189" ca="1">IFERROR(IF($C189="","",INDIRECT($D$2&amp;"!t"&amp;Z189)),IF($C189="","",INDIRECT("'"&amp;$D$2&amp;"'"&amp;"!t"&amp;Z189)))</f>
        <v/>
      </c>
      <c r="Q189" s="113" t="str" cm="1">
        <f t="array" aca="1" ref="Q189" ca="1">IFERROR(IF($C189="","",INDIRECT($D$2&amp;"!v"&amp;Z189)),IF($C189="","",INDIRECT("'"&amp;$D$2&amp;"'"&amp;"!v"&amp;Z189)))</f>
        <v/>
      </c>
      <c r="R189" s="113" t="str">
        <f t="shared" ca="1" si="19"/>
        <v/>
      </c>
      <c r="S189" s="113" t="str" cm="1">
        <f t="array" aca="1" ref="S189" ca="1">IFERROR(IF($C189="","",INDIRECT($D$2&amp;"!x"&amp;Z189)),IF($C189="","",INDIRECT("'"&amp;$D$2&amp;"'"&amp;"!x"&amp;Z189)))</f>
        <v/>
      </c>
      <c r="U189" s="113" t="str" cm="1">
        <f t="array" aca="1" ref="U189" ca="1">IFERROR(IF($C189="","",INDIRECT($D$2&amp;"!z"&amp;Z189)),IF($C189="","",INDIRECT("'"&amp;$D$2&amp;"'"&amp;"!z"&amp;Z189)))</f>
        <v/>
      </c>
      <c r="V189" s="113" t="str">
        <f t="shared" ca="1" si="20"/>
        <v/>
      </c>
      <c r="W189" s="113" t="str" cm="1">
        <f t="array" aca="1" ref="W189" ca="1">IFERROR(IF($C189="","",INDIRECT($D$2&amp;"!ab"&amp;Z189)),IF($C189="","",INDIRECT("'"&amp;$D$2&amp;"'"&amp;"!ab"&amp;Z189)))</f>
        <v/>
      </c>
      <c r="X189" s="113"/>
      <c r="Y189" s="113" t="str">
        <f t="shared" ca="1" si="21"/>
        <v/>
      </c>
      <c r="Z189" s="35">
        <v>178</v>
      </c>
      <c r="AA189" s="113"/>
      <c r="AB189" s="35">
        <v>178</v>
      </c>
    </row>
    <row r="190" spans="3:28" x14ac:dyDescent="0.25">
      <c r="C190" t="str" cm="1">
        <f t="array" aca="1" ref="C190" ca="1">IFERROR(IF(INDIRECT($D$2&amp;"!B"&amp;Z190)="","",INDIRECT("'"&amp;$D$2&amp;"'"&amp;"!B"&amp;Z190)),IF(INDIRECT("'"&amp;$D$2&amp;"'"&amp;"!B"&amp;Z190)="","",INDIRECT("'"&amp;$D$2&amp;"'"&amp;"!B"&amp;Z190)))</f>
        <v>LoanVantage</v>
      </c>
      <c r="D190" t="str" cm="1">
        <f t="array" aca="1" ref="D190" ca="1">IFERROR(_xlfn.IFS(C190="","",C190&lt;&gt;"",INDEX(SF_Output!I:I,MATCH(C190,SF_Output!M:M,0))),IFERROR(INDEX(INDIRECT($D$2&amp;"!G:G"),MATCH(C190,INDIRECT($D$2&amp;"!B:B"),0)),INDEX(INDIRECT("'"&amp;$D$2&amp;"'!G:G"),MATCH(C190,INDIRECT("'"&amp;$D$2&amp;"'!B:B"),0))))</f>
        <v>Lending</v>
      </c>
      <c r="E190" t="str" cm="1">
        <f t="array" aca="1" ref="E190" ca="1">IFERROR(IF(C190="","",INDIRECT($D$2&amp;"!F"&amp;Z190)),IF(C190="","",INDIRECT("'"&amp;$D$2&amp;"'"&amp;"!F"&amp;Z190)))</f>
        <v>Optional</v>
      </c>
      <c r="F190" t="str" cm="1">
        <f t="array" aca="1" ref="F190" ca="1">IFERROR(IF(C190="","",INDIRECT($D$2&amp;"!ak"&amp;Z190)),IF(C190="","",INDIRECT("'"&amp;$D$2&amp;"'"&amp;"!ak"&amp;Z190)))</f>
        <v/>
      </c>
      <c r="G190" cm="1">
        <f t="array" aca="1" ref="G190" ca="1">IFERROR(INDIRECT($D$2&amp;"!h"&amp;Z190),INDIRECT("'"&amp;$D$2&amp;"'"&amp;"!h"&amp;Z190))</f>
        <v>1</v>
      </c>
      <c r="H190" s="125" t="str" cm="1">
        <f t="array" aca="1" ref="H190" ca="1">IFERROR(INDIRECT($D$2&amp;"!i"&amp;Z190),INDIRECT("'"&amp;$D$2&amp;"'"&amp;"!i"&amp;Z190))</f>
        <v/>
      </c>
      <c r="I190" s="113" cm="1">
        <f t="array" aca="1" ref="I190" ca="1">IFERROR(IF($C190="","",INDIRECT($D$2&amp;"!j"&amp;$Z190)+INDIRECT($D$2&amp;"!n"&amp;$Z190)),IF($C190="","",INDIRECT("'"&amp;$D$2&amp;"'"&amp;"!j"&amp;$Z190)+INDIRECT("'"&amp;$D$2&amp;"'"&amp;"!n"&amp;$Z190)))</f>
        <v>92125</v>
      </c>
      <c r="J190" s="113">
        <f t="shared" ca="1" si="17"/>
        <v>-92125</v>
      </c>
      <c r="K190" s="113" cm="1">
        <f t="array" aca="1" ref="K190" ca="1">IFERROR(IF($C190="","",INDIRECT($D$2&amp;"!l"&amp;$Z190)+INDIRECT($D$2&amp;"!p"&amp;$Z190)),IF($C190="","",INDIRECT("'"&amp;$D$2&amp;"'"&amp;"!l"&amp;$Z190)+INDIRECT("'"&amp;$D$2&amp;"'"&amp;"!p"&amp;$Z190)))</f>
        <v>0</v>
      </c>
      <c r="M190" s="113" cm="1">
        <f t="array" aca="1" ref="M190" ca="1">IFERROR(IF($C190="","",INDIRECT($D$2&amp;"!r"&amp;Z190)),IF($C190="","",INDIRECT("'"&amp;$D$2&amp;"'"&amp;"!r"&amp;Z190)))</f>
        <v>0</v>
      </c>
      <c r="N190" s="113">
        <f t="shared" ca="1" si="18"/>
        <v>0</v>
      </c>
      <c r="O190" s="113" cm="1">
        <f t="array" aca="1" ref="O190" ca="1">IFERROR(IF($C190="","",INDIRECT($D$2&amp;"!t"&amp;Z190)),IF($C190="","",INDIRECT("'"&amp;$D$2&amp;"'"&amp;"!t"&amp;Z190)))</f>
        <v>0</v>
      </c>
      <c r="Q190" s="113" cm="1">
        <f t="array" aca="1" ref="Q190" ca="1">IFERROR(IF($C190="","",INDIRECT($D$2&amp;"!v"&amp;Z190)),IF($C190="","",INDIRECT("'"&amp;$D$2&amp;"'"&amp;"!v"&amp;Z190)))</f>
        <v>1750</v>
      </c>
      <c r="R190" s="113">
        <f t="shared" ca="1" si="19"/>
        <v>0</v>
      </c>
      <c r="S190" s="113" cm="1">
        <f t="array" aca="1" ref="S190" ca="1">IFERROR(IF($C190="","",INDIRECT($D$2&amp;"!x"&amp;Z190)),IF($C190="","",INDIRECT("'"&amp;$D$2&amp;"'"&amp;"!x"&amp;Z190)))</f>
        <v>1750</v>
      </c>
      <c r="U190" s="113" cm="1">
        <f t="array" aca="1" ref="U190" ca="1">IFERROR(IF($C190="","",INDIRECT($D$2&amp;"!z"&amp;Z190)),IF($C190="","",INDIRECT("'"&amp;$D$2&amp;"'"&amp;"!z"&amp;Z190)))</f>
        <v>0</v>
      </c>
      <c r="V190" s="113">
        <f t="shared" ca="1" si="20"/>
        <v>0</v>
      </c>
      <c r="W190" s="113" cm="1">
        <f t="array" aca="1" ref="W190" ca="1">IFERROR(IF($C190="","",INDIRECT($D$2&amp;"!ab"&amp;Z190)),IF($C190="","",INDIRECT("'"&amp;$D$2&amp;"'"&amp;"!ab"&amp;Z190)))</f>
        <v>0</v>
      </c>
      <c r="X190" s="113"/>
      <c r="Y190" s="113">
        <f t="shared" ca="1" si="21"/>
        <v>1750</v>
      </c>
      <c r="Z190" s="35">
        <v>179</v>
      </c>
      <c r="AA190" s="113"/>
      <c r="AB190" s="35">
        <v>179</v>
      </c>
    </row>
    <row r="191" spans="3:28" x14ac:dyDescent="0.25">
      <c r="C191" t="str" cm="1">
        <f t="array" aca="1" ref="C191" ca="1">IFERROR(IF(INDIRECT($D$2&amp;"!B"&amp;Z191)="","",INDIRECT("'"&amp;$D$2&amp;"'"&amp;"!B"&amp;Z191)),IF(INDIRECT("'"&amp;$D$2&amp;"'"&amp;"!B"&amp;Z191)="","",INDIRECT("'"&amp;$D$2&amp;"'"&amp;"!B"&amp;Z191)))</f>
        <v>Web Hosting Showcase Plus</v>
      </c>
      <c r="D191" t="str" cm="1">
        <f t="array" aca="1" ref="D191" ca="1">IFERROR(_xlfn.IFS(C191="","",C191&lt;&gt;"",INDEX(SF_Output!I:I,MATCH(C191,SF_Output!M:M,0))),IFERROR(INDEX(INDIRECT($D$2&amp;"!G:G"),MATCH(C191,INDIRECT($D$2&amp;"!B:B"),0)),INDEX(INDIRECT("'"&amp;$D$2&amp;"'!G:G"),MATCH(C191,INDIRECT("'"&amp;$D$2&amp;"'!B:B"),0))))</f>
        <v>Web Hosting</v>
      </c>
      <c r="E191" t="str" cm="1">
        <f t="array" aca="1" ref="E191" ca="1">IFERROR(IF(C191="","",INDIRECT($D$2&amp;"!F"&amp;Z191)),IF(C191="","",INDIRECT("'"&amp;$D$2&amp;"'"&amp;"!F"&amp;Z191)))</f>
        <v>Included</v>
      </c>
      <c r="F191" t="str" cm="1">
        <f t="array" aca="1" ref="F191" ca="1">IFERROR(IF(C191="","",INDIRECT($D$2&amp;"!ak"&amp;Z191)),IF(C191="","",INDIRECT("'"&amp;$D$2&amp;"'"&amp;"!ak"&amp;Z191)))</f>
        <v/>
      </c>
      <c r="G191" cm="1">
        <f t="array" aca="1" ref="G191" ca="1">IFERROR(INDIRECT($D$2&amp;"!h"&amp;Z191),INDIRECT("'"&amp;$D$2&amp;"'"&amp;"!h"&amp;Z191))</f>
        <v>1</v>
      </c>
      <c r="H191" s="125" t="str" cm="1">
        <f t="array" aca="1" ref="H191" ca="1">IFERROR(INDIRECT($D$2&amp;"!i"&amp;Z191),INDIRECT("'"&amp;$D$2&amp;"'"&amp;"!i"&amp;Z191))</f>
        <v/>
      </c>
      <c r="I191" s="113" cm="1">
        <f t="array" aca="1" ref="I191" ca="1">IFERROR(IF($C191="","",INDIRECT($D$2&amp;"!j"&amp;$Z191)+INDIRECT($D$2&amp;"!n"&amp;$Z191)),IF($C191="","",INDIRECT("'"&amp;$D$2&amp;"'"&amp;"!j"&amp;$Z191)+INDIRECT("'"&amp;$D$2&amp;"'"&amp;"!n"&amp;$Z191)))</f>
        <v>54000</v>
      </c>
      <c r="J191" s="113">
        <f t="shared" ca="1" si="17"/>
        <v>0</v>
      </c>
      <c r="K191" s="113" cm="1">
        <f t="array" aca="1" ref="K191" ca="1">IFERROR(IF($C191="","",INDIRECT($D$2&amp;"!l"&amp;$Z191)+INDIRECT($D$2&amp;"!p"&amp;$Z191)),IF($C191="","",INDIRECT("'"&amp;$D$2&amp;"'"&amp;"!l"&amp;$Z191)+INDIRECT("'"&amp;$D$2&amp;"'"&amp;"!p"&amp;$Z191)))</f>
        <v>54000</v>
      </c>
      <c r="M191" s="113" cm="1">
        <f t="array" aca="1" ref="M191" ca="1">IFERROR(IF($C191="","",INDIRECT($D$2&amp;"!r"&amp;Z191)),IF($C191="","",INDIRECT("'"&amp;$D$2&amp;"'"&amp;"!r"&amp;Z191)))</f>
        <v>0</v>
      </c>
      <c r="N191" s="113">
        <f t="shared" ca="1" si="18"/>
        <v>0</v>
      </c>
      <c r="O191" s="113" cm="1">
        <f t="array" aca="1" ref="O191" ca="1">IFERROR(IF($C191="","",INDIRECT($D$2&amp;"!t"&amp;Z191)),IF($C191="","",INDIRECT("'"&amp;$D$2&amp;"'"&amp;"!t"&amp;Z191)))</f>
        <v>0</v>
      </c>
      <c r="Q191" s="113" cm="1">
        <f t="array" aca="1" ref="Q191" ca="1">IFERROR(IF($C191="","",INDIRECT($D$2&amp;"!v"&amp;Z191)),IF($C191="","",INDIRECT("'"&amp;$D$2&amp;"'"&amp;"!v"&amp;Z191)))</f>
        <v>2200</v>
      </c>
      <c r="R191" s="113">
        <f t="shared" ca="1" si="19"/>
        <v>0</v>
      </c>
      <c r="S191" s="113" cm="1">
        <f t="array" aca="1" ref="S191" ca="1">IFERROR(IF($C191="","",INDIRECT($D$2&amp;"!x"&amp;Z191)),IF($C191="","",INDIRECT("'"&amp;$D$2&amp;"'"&amp;"!x"&amp;Z191)))</f>
        <v>2200</v>
      </c>
      <c r="U191" s="113" cm="1">
        <f t="array" aca="1" ref="U191" ca="1">IFERROR(IF($C191="","",INDIRECT($D$2&amp;"!z"&amp;Z191)),IF($C191="","",INDIRECT("'"&amp;$D$2&amp;"'"&amp;"!z"&amp;Z191)))</f>
        <v>0</v>
      </c>
      <c r="V191" s="113">
        <f t="shared" ca="1" si="20"/>
        <v>0</v>
      </c>
      <c r="W191" s="113" cm="1">
        <f t="array" aca="1" ref="W191" ca="1">IFERROR(IF($C191="","",INDIRECT($D$2&amp;"!ab"&amp;Z191)),IF($C191="","",INDIRECT("'"&amp;$D$2&amp;"'"&amp;"!ab"&amp;Z191)))</f>
        <v>0</v>
      </c>
      <c r="X191" s="113"/>
      <c r="Y191" s="113">
        <f t="shared" ca="1" si="21"/>
        <v>2200</v>
      </c>
      <c r="Z191" s="35">
        <v>180</v>
      </c>
      <c r="AA191" s="113"/>
      <c r="AB191" s="35">
        <v>180</v>
      </c>
    </row>
    <row r="192" spans="3:28" x14ac:dyDescent="0.25">
      <c r="C192" t="str" cm="1">
        <f t="array" aca="1" ref="C192" ca="1">IFERROR(IF(INDIRECT($D$2&amp;"!B"&amp;Z192)="","",INDIRECT("'"&amp;$D$2&amp;"'"&amp;"!B"&amp;Z192)),IF(INDIRECT("'"&amp;$D$2&amp;"'"&amp;"!B"&amp;Z192)="","",INDIRECT("'"&amp;$D$2&amp;"'"&amp;"!B"&amp;Z192)))</f>
        <v>TruStage Forms-LoanVantage</v>
      </c>
      <c r="D192" t="str" cm="1">
        <f t="array" aca="1" ref="D192" ca="1">IFERROR(_xlfn.IFS(C192="","",C192&lt;&gt;"",INDEX(SF_Output!I:I,MATCH(C192,SF_Output!M:M,0))),IFERROR(INDEX(INDIRECT($D$2&amp;"!G:G"),MATCH(C192,INDIRECT($D$2&amp;"!B:B"),0)),INDEX(INDIRECT("'"&amp;$D$2&amp;"'!G:G"),MATCH(C192,INDIRECT("'"&amp;$D$2&amp;"'!B:B"),0))))</f>
        <v>Forms</v>
      </c>
      <c r="E192" t="str" cm="1">
        <f t="array" aca="1" ref="E192" ca="1">IFERROR(IF(C192="","",INDIRECT($D$2&amp;"!F"&amp;Z192)),IF(C192="","",INDIRECT("'"&amp;$D$2&amp;"'"&amp;"!F"&amp;Z192)))</f>
        <v>Optional</v>
      </c>
      <c r="F192" t="str" cm="1">
        <f t="array" aca="1" ref="F192" ca="1">IFERROR(IF(C192="","",INDIRECT($D$2&amp;"!ak"&amp;Z192)),IF(C192="","",INDIRECT("'"&amp;$D$2&amp;"'"&amp;"!ak"&amp;Z192)))</f>
        <v/>
      </c>
      <c r="G192" cm="1">
        <f t="array" aca="1" ref="G192" ca="1">IFERROR(INDIRECT($D$2&amp;"!h"&amp;Z192),INDIRECT("'"&amp;$D$2&amp;"'"&amp;"!h"&amp;Z192))</f>
        <v>1</v>
      </c>
      <c r="H192" s="125" t="str" cm="1">
        <f t="array" aca="1" ref="H192" ca="1">IFERROR(INDIRECT($D$2&amp;"!i"&amp;Z192),INDIRECT("'"&amp;$D$2&amp;"'"&amp;"!i"&amp;Z192))</f>
        <v/>
      </c>
      <c r="I192" s="113" cm="1">
        <f t="array" aca="1" ref="I192" ca="1">IFERROR(IF($C192="","",INDIRECT($D$2&amp;"!j"&amp;$Z192)+INDIRECT($D$2&amp;"!n"&amp;$Z192)),IF($C192="","",INDIRECT("'"&amp;$D$2&amp;"'"&amp;"!j"&amp;$Z192)+INDIRECT("'"&amp;$D$2&amp;"'"&amp;"!n"&amp;$Z192)))</f>
        <v>7650</v>
      </c>
      <c r="J192" s="113">
        <f t="shared" ca="1" si="17"/>
        <v>0</v>
      </c>
      <c r="K192" s="113" cm="1">
        <f t="array" aca="1" ref="K192" ca="1">IFERROR(IF($C192="","",INDIRECT($D$2&amp;"!l"&amp;$Z192)+INDIRECT($D$2&amp;"!p"&amp;$Z192)),IF($C192="","",INDIRECT("'"&amp;$D$2&amp;"'"&amp;"!l"&amp;$Z192)+INDIRECT("'"&amp;$D$2&amp;"'"&amp;"!p"&amp;$Z192)))</f>
        <v>7650</v>
      </c>
      <c r="M192" s="113" cm="1">
        <f t="array" aca="1" ref="M192" ca="1">IFERROR(IF($C192="","",INDIRECT($D$2&amp;"!r"&amp;Z192)),IF($C192="","",INDIRECT("'"&amp;$D$2&amp;"'"&amp;"!r"&amp;Z192)))</f>
        <v>10595.7</v>
      </c>
      <c r="N192" s="113">
        <f t="shared" ca="1" si="18"/>
        <v>0</v>
      </c>
      <c r="O192" s="113" cm="1">
        <f t="array" aca="1" ref="O192" ca="1">IFERROR(IF($C192="","",INDIRECT($D$2&amp;"!t"&amp;Z192)),IF($C192="","",INDIRECT("'"&amp;$D$2&amp;"'"&amp;"!t"&amp;Z192)))</f>
        <v>10595.7</v>
      </c>
      <c r="Q192" s="113" cm="1">
        <f t="array" aca="1" ref="Q192" ca="1">IFERROR(IF($C192="","",INDIRECT($D$2&amp;"!v"&amp;Z192)),IF($C192="","",INDIRECT("'"&amp;$D$2&amp;"'"&amp;"!v"&amp;Z192)))</f>
        <v>0</v>
      </c>
      <c r="R192" s="113">
        <f t="shared" ca="1" si="19"/>
        <v>0</v>
      </c>
      <c r="S192" s="113" cm="1">
        <f t="array" aca="1" ref="S192" ca="1">IFERROR(IF($C192="","",INDIRECT($D$2&amp;"!x"&amp;Z192)),IF($C192="","",INDIRECT("'"&amp;$D$2&amp;"'"&amp;"!x"&amp;Z192)))</f>
        <v>0</v>
      </c>
      <c r="U192" s="113" cm="1">
        <f t="array" aca="1" ref="U192" ca="1">IFERROR(IF($C192="","",INDIRECT($D$2&amp;"!z"&amp;Z192)),IF($C192="","",INDIRECT("'"&amp;$D$2&amp;"'"&amp;"!z"&amp;Z192)))</f>
        <v>0</v>
      </c>
      <c r="V192" s="113">
        <f t="shared" ca="1" si="20"/>
        <v>0</v>
      </c>
      <c r="W192" s="113" cm="1">
        <f t="array" aca="1" ref="W192" ca="1">IFERROR(IF($C192="","",INDIRECT($D$2&amp;"!ab"&amp;Z192)),IF($C192="","",INDIRECT("'"&amp;$D$2&amp;"'"&amp;"!ab"&amp;Z192)))</f>
        <v>0</v>
      </c>
      <c r="X192" s="113"/>
      <c r="Y192" s="113">
        <f t="shared" ca="1" si="21"/>
        <v>0</v>
      </c>
      <c r="Z192" s="35">
        <v>181</v>
      </c>
      <c r="AA192" s="113"/>
      <c r="AB192" s="35">
        <v>181</v>
      </c>
    </row>
    <row r="193" spans="3:28" x14ac:dyDescent="0.25">
      <c r="C193" t="str" cm="1">
        <f t="array" aca="1" ref="C193" ca="1">IFERROR(IF(INDIRECT($D$2&amp;"!B"&amp;Z193)="","",INDIRECT("'"&amp;$D$2&amp;"'"&amp;"!B"&amp;Z193)),IF(INDIRECT("'"&amp;$D$2&amp;"'"&amp;"!B"&amp;Z193)="","",INDIRECT("'"&amp;$D$2&amp;"'"&amp;"!B"&amp;Z193)))</f>
        <v>TruStage Forms-OnBoard Deposits-Includes Tax Favored Acct Svcs Bundle</v>
      </c>
      <c r="D193" t="str" cm="1">
        <f t="array" aca="1" ref="D193" ca="1">IFERROR(_xlfn.IFS(C193="","",C193&lt;&gt;"",INDEX(SF_Output!I:I,MATCH(C193,SF_Output!M:M,0))),IFERROR(INDEX(INDIRECT($D$2&amp;"!G:G"),MATCH(C193,INDIRECT($D$2&amp;"!B:B"),0)),INDEX(INDIRECT("'"&amp;$D$2&amp;"'!G:G"),MATCH(C193,INDIRECT("'"&amp;$D$2&amp;"'!B:B"),0))))</f>
        <v>Forms</v>
      </c>
      <c r="E193" t="str" cm="1">
        <f t="array" aca="1" ref="E193" ca="1">IFERROR(IF(C193="","",INDIRECT($D$2&amp;"!F"&amp;Z193)),IF(C193="","",INDIRECT("'"&amp;$D$2&amp;"'"&amp;"!F"&amp;Z193)))</f>
        <v>Included</v>
      </c>
      <c r="F193" t="str" cm="1">
        <f t="array" aca="1" ref="F193" ca="1">IFERROR(IF(C193="","",INDIRECT($D$2&amp;"!ak"&amp;Z193)),IF(C193="","",INDIRECT("'"&amp;$D$2&amp;"'"&amp;"!ak"&amp;Z193)))</f>
        <v/>
      </c>
      <c r="G193" cm="1">
        <f t="array" aca="1" ref="G193" ca="1">IFERROR(INDIRECT($D$2&amp;"!h"&amp;Z193),INDIRECT("'"&amp;$D$2&amp;"'"&amp;"!h"&amp;Z193))</f>
        <v>1</v>
      </c>
      <c r="H193" s="125" t="str" cm="1">
        <f t="array" aca="1" ref="H193" ca="1">IFERROR(INDIRECT($D$2&amp;"!i"&amp;Z193),INDIRECT("'"&amp;$D$2&amp;"'"&amp;"!i"&amp;Z193))</f>
        <v/>
      </c>
      <c r="I193" s="113" cm="1">
        <f t="array" aca="1" ref="I193" ca="1">IFERROR(IF($C193="","",INDIRECT($D$2&amp;"!j"&amp;$Z193)+INDIRECT($D$2&amp;"!n"&amp;$Z193)),IF($C193="","",INDIRECT("'"&amp;$D$2&amp;"'"&amp;"!j"&amp;$Z193)+INDIRECT("'"&amp;$D$2&amp;"'"&amp;"!n"&amp;$Z193)))</f>
        <v>7650</v>
      </c>
      <c r="J193" s="113">
        <f t="shared" ca="1" si="17"/>
        <v>0</v>
      </c>
      <c r="K193" s="113" cm="1">
        <f t="array" aca="1" ref="K193" ca="1">IFERROR(IF($C193="","",INDIRECT($D$2&amp;"!l"&amp;$Z193)+INDIRECT($D$2&amp;"!p"&amp;$Z193)),IF($C193="","",INDIRECT("'"&amp;$D$2&amp;"'"&amp;"!l"&amp;$Z193)+INDIRECT("'"&amp;$D$2&amp;"'"&amp;"!p"&amp;$Z193)))</f>
        <v>7650</v>
      </c>
      <c r="M193" s="113" cm="1">
        <f t="array" aca="1" ref="M193" ca="1">IFERROR(IF($C193="","",INDIRECT($D$2&amp;"!r"&amp;Z193)),IF($C193="","",INDIRECT("'"&amp;$D$2&amp;"'"&amp;"!r"&amp;Z193)))</f>
        <v>14590</v>
      </c>
      <c r="N193" s="113">
        <f t="shared" ca="1" si="18"/>
        <v>0</v>
      </c>
      <c r="O193" s="113" cm="1">
        <f t="array" aca="1" ref="O193" ca="1">IFERROR(IF($C193="","",INDIRECT($D$2&amp;"!t"&amp;Z193)),IF($C193="","",INDIRECT("'"&amp;$D$2&amp;"'"&amp;"!t"&amp;Z193)))</f>
        <v>14590</v>
      </c>
      <c r="Q193" s="113" cm="1">
        <f t="array" aca="1" ref="Q193" ca="1">IFERROR(IF($C193="","",INDIRECT($D$2&amp;"!v"&amp;Z193)),IF($C193="","",INDIRECT("'"&amp;$D$2&amp;"'"&amp;"!v"&amp;Z193)))</f>
        <v>0</v>
      </c>
      <c r="R193" s="113">
        <f t="shared" ca="1" si="19"/>
        <v>0</v>
      </c>
      <c r="S193" s="113" cm="1">
        <f t="array" aca="1" ref="S193" ca="1">IFERROR(IF($C193="","",INDIRECT($D$2&amp;"!x"&amp;Z193)),IF($C193="","",INDIRECT("'"&amp;$D$2&amp;"'"&amp;"!x"&amp;Z193)))</f>
        <v>0</v>
      </c>
      <c r="U193" s="113" cm="1">
        <f t="array" aca="1" ref="U193" ca="1">IFERROR(IF($C193="","",INDIRECT($D$2&amp;"!z"&amp;Z193)),IF($C193="","",INDIRECT("'"&amp;$D$2&amp;"'"&amp;"!z"&amp;Z193)))</f>
        <v>0</v>
      </c>
      <c r="V193" s="113">
        <f t="shared" ca="1" si="20"/>
        <v>0</v>
      </c>
      <c r="W193" s="113" cm="1">
        <f t="array" aca="1" ref="W193" ca="1">IFERROR(IF($C193="","",INDIRECT($D$2&amp;"!ab"&amp;Z193)),IF($C193="","",INDIRECT("'"&amp;$D$2&amp;"'"&amp;"!ab"&amp;Z193)))</f>
        <v>0</v>
      </c>
      <c r="X193" s="113"/>
      <c r="Y193" s="113">
        <f t="shared" ca="1" si="21"/>
        <v>0</v>
      </c>
      <c r="Z193" s="35">
        <v>182</v>
      </c>
      <c r="AA193" s="113"/>
      <c r="AB193" s="35">
        <v>182</v>
      </c>
    </row>
    <row r="194" spans="3:28" x14ac:dyDescent="0.25">
      <c r="C194" t="str" cm="1">
        <f t="array" aca="1" ref="C194" ca="1">IFERROR(IF(INDIRECT($D$2&amp;"!B"&amp;Z194)="","",INDIRECT("'"&amp;$D$2&amp;"'"&amp;"!B"&amp;Z194)),IF(INDIRECT("'"&amp;$D$2&amp;"'"&amp;"!B"&amp;Z194)="","",INDIRECT("'"&amp;$D$2&amp;"'"&amp;"!B"&amp;Z194)))</f>
        <v>TruStage Forms-OpenAnywhere</v>
      </c>
      <c r="D194" t="str" cm="1">
        <f t="array" aca="1" ref="D194" ca="1">IFERROR(_xlfn.IFS(C194="","",C194&lt;&gt;"",INDEX(SF_Output!I:I,MATCH(C194,SF_Output!M:M,0))),IFERROR(INDEX(INDIRECT($D$2&amp;"!G:G"),MATCH(C194,INDIRECT($D$2&amp;"!B:B"),0)),INDEX(INDIRECT("'"&amp;$D$2&amp;"'!G:G"),MATCH(C194,INDIRECT("'"&amp;$D$2&amp;"'!B:B"),0))))</f>
        <v>Forms</v>
      </c>
      <c r="E194" t="str" cm="1">
        <f t="array" aca="1" ref="E194" ca="1">IFERROR(IF(C194="","",INDIRECT($D$2&amp;"!F"&amp;Z194)),IF(C194="","",INDIRECT("'"&amp;$D$2&amp;"'"&amp;"!F"&amp;Z194)))</f>
        <v>Included</v>
      </c>
      <c r="F194" t="str" cm="1">
        <f t="array" aca="1" ref="F194" ca="1">IFERROR(IF(C194="","",INDIRECT($D$2&amp;"!ak"&amp;Z194)),IF(C194="","",INDIRECT("'"&amp;$D$2&amp;"'"&amp;"!ak"&amp;Z194)))</f>
        <v/>
      </c>
      <c r="G194" cm="1">
        <f t="array" aca="1" ref="G194" ca="1">IFERROR(INDIRECT($D$2&amp;"!h"&amp;Z194),INDIRECT("'"&amp;$D$2&amp;"'"&amp;"!h"&amp;Z194))</f>
        <v>1</v>
      </c>
      <c r="H194" s="125" t="str" cm="1">
        <f t="array" aca="1" ref="H194" ca="1">IFERROR(INDIRECT($D$2&amp;"!i"&amp;Z194),INDIRECT("'"&amp;$D$2&amp;"'"&amp;"!i"&amp;Z194))</f>
        <v/>
      </c>
      <c r="I194" s="113" cm="1">
        <f t="array" aca="1" ref="I194" ca="1">IFERROR(IF($C194="","",INDIRECT($D$2&amp;"!j"&amp;$Z194)+INDIRECT($D$2&amp;"!n"&amp;$Z194)),IF($C194="","",INDIRECT("'"&amp;$D$2&amp;"'"&amp;"!j"&amp;$Z194)+INDIRECT("'"&amp;$D$2&amp;"'"&amp;"!n"&amp;$Z194)))</f>
        <v>0</v>
      </c>
      <c r="J194" s="113">
        <f t="shared" ca="1" si="17"/>
        <v>0</v>
      </c>
      <c r="K194" s="113" cm="1">
        <f t="array" aca="1" ref="K194" ca="1">IFERROR(IF($C194="","",INDIRECT($D$2&amp;"!l"&amp;$Z194)+INDIRECT($D$2&amp;"!p"&amp;$Z194)),IF($C194="","",INDIRECT("'"&amp;$D$2&amp;"'"&amp;"!l"&amp;$Z194)+INDIRECT("'"&amp;$D$2&amp;"'"&amp;"!p"&amp;$Z194)))</f>
        <v>0</v>
      </c>
      <c r="M194" s="113" cm="1">
        <f t="array" aca="1" ref="M194" ca="1">IFERROR(IF($C194="","",INDIRECT($D$2&amp;"!r"&amp;Z194)),IF($C194="","",INDIRECT("'"&amp;$D$2&amp;"'"&amp;"!r"&amp;Z194)))</f>
        <v>2550</v>
      </c>
      <c r="N194" s="113">
        <f t="shared" ca="1" si="18"/>
        <v>0</v>
      </c>
      <c r="O194" s="113" cm="1">
        <f t="array" aca="1" ref="O194" ca="1">IFERROR(IF($C194="","",INDIRECT($D$2&amp;"!t"&amp;Z194)),IF($C194="","",INDIRECT("'"&amp;$D$2&amp;"'"&amp;"!t"&amp;Z194)))</f>
        <v>2550</v>
      </c>
      <c r="Q194" s="113" cm="1">
        <f t="array" aca="1" ref="Q194" ca="1">IFERROR(IF($C194="","",INDIRECT($D$2&amp;"!v"&amp;Z194)),IF($C194="","",INDIRECT("'"&amp;$D$2&amp;"'"&amp;"!v"&amp;Z194)))</f>
        <v>0</v>
      </c>
      <c r="R194" s="113">
        <f t="shared" ca="1" si="19"/>
        <v>0</v>
      </c>
      <c r="S194" s="113" cm="1">
        <f t="array" aca="1" ref="S194" ca="1">IFERROR(IF($C194="","",INDIRECT($D$2&amp;"!x"&amp;Z194)),IF($C194="","",INDIRECT("'"&amp;$D$2&amp;"'"&amp;"!x"&amp;Z194)))</f>
        <v>0</v>
      </c>
      <c r="U194" s="113" cm="1">
        <f t="array" aca="1" ref="U194" ca="1">IFERROR(IF($C194="","",INDIRECT($D$2&amp;"!z"&amp;Z194)),IF($C194="","",INDIRECT("'"&amp;$D$2&amp;"'"&amp;"!z"&amp;Z194)))</f>
        <v>0</v>
      </c>
      <c r="V194" s="113">
        <f t="shared" ca="1" si="20"/>
        <v>0</v>
      </c>
      <c r="W194" s="113" cm="1">
        <f t="array" aca="1" ref="W194" ca="1">IFERROR(IF($C194="","",INDIRECT($D$2&amp;"!ab"&amp;Z194)),IF($C194="","",INDIRECT("'"&amp;$D$2&amp;"'"&amp;"!ab"&amp;Z194)))</f>
        <v>0</v>
      </c>
      <c r="X194" s="113"/>
      <c r="Y194" s="113">
        <f t="shared" ca="1" si="21"/>
        <v>0</v>
      </c>
      <c r="Z194" s="35">
        <v>183</v>
      </c>
      <c r="AA194" s="113"/>
      <c r="AB194" s="35">
        <v>183</v>
      </c>
    </row>
    <row r="195" spans="3:28" x14ac:dyDescent="0.25">
      <c r="C195" t="str" cm="1">
        <f t="array" aca="1" ref="C195" ca="1">IFERROR(IF(INDIRECT($D$2&amp;"!B"&amp;Z195)="","",INDIRECT("'"&amp;$D$2&amp;"'"&amp;"!B"&amp;Z195)),IF(INDIRECT("'"&amp;$D$2&amp;"'"&amp;"!B"&amp;Z195)="","",INDIRECT("'"&amp;$D$2&amp;"'"&amp;"!B"&amp;Z195)))</f>
        <v>Ensenta ITM/ATM</v>
      </c>
      <c r="D195" t="str" cm="1">
        <f t="array" aca="1" ref="D195" ca="1">IFERROR(_xlfn.IFS(C195="","",C195&lt;&gt;"",INDEX(SF_Output!I:I,MATCH(C195,SF_Output!M:M,0))),IFERROR(INDEX(INDIRECT($D$2&amp;"!G:G"),MATCH(C195,INDIRECT($D$2&amp;"!B:B"),0)),INDEX(INDIRECT("'"&amp;$D$2&amp;"'!G:G"),MATCH(C195,INDIRECT("'"&amp;$D$2&amp;"'!B:B"),0))))</f>
        <v>Ensenta</v>
      </c>
      <c r="E195" t="str" cm="1">
        <f t="array" aca="1" ref="E195" ca="1">IFERROR(IF(C195="","",INDIRECT($D$2&amp;"!F"&amp;Z195)),IF(C195="","",INDIRECT("'"&amp;$D$2&amp;"'"&amp;"!F"&amp;Z195)))</f>
        <v>Optional</v>
      </c>
      <c r="F195" t="str" cm="1">
        <f t="array" aca="1" ref="F195" ca="1">IFERROR(IF(C195="","",INDIRECT($D$2&amp;"!ak"&amp;Z195)),IF(C195="","",INDIRECT("'"&amp;$D$2&amp;"'"&amp;"!ak"&amp;Z195)))</f>
        <v/>
      </c>
      <c r="G195" cm="1">
        <f t="array" aca="1" ref="G195" ca="1">IFERROR(INDIRECT($D$2&amp;"!h"&amp;Z195),INDIRECT("'"&amp;$D$2&amp;"'"&amp;"!h"&amp;Z195))</f>
        <v>1</v>
      </c>
      <c r="H195" s="125" t="str" cm="1">
        <f t="array" aca="1" ref="H195" ca="1">IFERROR(INDIRECT($D$2&amp;"!i"&amp;Z195),INDIRECT("'"&amp;$D$2&amp;"'"&amp;"!i"&amp;Z195))</f>
        <v/>
      </c>
      <c r="I195" s="113" cm="1">
        <f t="array" aca="1" ref="I195" ca="1">IFERROR(IF($C195="","",INDIRECT($D$2&amp;"!j"&amp;$Z195)+INDIRECT($D$2&amp;"!n"&amp;$Z195)),IF($C195="","",INDIRECT("'"&amp;$D$2&amp;"'"&amp;"!j"&amp;$Z195)+INDIRECT("'"&amp;$D$2&amp;"'"&amp;"!n"&amp;$Z195)))</f>
        <v>6500</v>
      </c>
      <c r="J195" s="113">
        <f t="shared" ca="1" si="17"/>
        <v>0</v>
      </c>
      <c r="K195" s="113" cm="1">
        <f t="array" aca="1" ref="K195" ca="1">IFERROR(IF($C195="","",INDIRECT($D$2&amp;"!l"&amp;$Z195)+INDIRECT($D$2&amp;"!p"&amp;$Z195)),IF($C195="","",INDIRECT("'"&amp;$D$2&amp;"'"&amp;"!l"&amp;$Z195)+INDIRECT("'"&amp;$D$2&amp;"'"&amp;"!p"&amp;$Z195)))</f>
        <v>6500</v>
      </c>
      <c r="M195" s="113" cm="1">
        <f t="array" aca="1" ref="M195" ca="1">IFERROR(IF($C195="","",INDIRECT($D$2&amp;"!r"&amp;Z195)),IF($C195="","",INDIRECT("'"&amp;$D$2&amp;"'"&amp;"!r"&amp;Z195)))</f>
        <v>0</v>
      </c>
      <c r="N195" s="113">
        <f t="shared" ca="1" si="18"/>
        <v>0</v>
      </c>
      <c r="O195" s="113" cm="1">
        <f t="array" aca="1" ref="O195" ca="1">IFERROR(IF($C195="","",INDIRECT($D$2&amp;"!t"&amp;Z195)),IF($C195="","",INDIRECT("'"&amp;$D$2&amp;"'"&amp;"!t"&amp;Z195)))</f>
        <v>0</v>
      </c>
      <c r="Q195" s="113" cm="1">
        <f t="array" aca="1" ref="Q195" ca="1">IFERROR(IF($C195="","",INDIRECT($D$2&amp;"!v"&amp;Z195)),IF($C195="","",INDIRECT("'"&amp;$D$2&amp;"'"&amp;"!v"&amp;Z195)))</f>
        <v>375</v>
      </c>
      <c r="R195" s="113">
        <f t="shared" ca="1" si="19"/>
        <v>0</v>
      </c>
      <c r="S195" s="113" cm="1">
        <f t="array" aca="1" ref="S195" ca="1">IFERROR(IF($C195="","",INDIRECT($D$2&amp;"!x"&amp;Z195)),IF($C195="","",INDIRECT("'"&amp;$D$2&amp;"'"&amp;"!x"&amp;Z195)))</f>
        <v>375</v>
      </c>
      <c r="U195" s="113" cm="1">
        <f t="array" aca="1" ref="U195" ca="1">IFERROR(IF($C195="","",INDIRECT($D$2&amp;"!z"&amp;Z195)),IF($C195="","",INDIRECT("'"&amp;$D$2&amp;"'"&amp;"!z"&amp;Z195)))</f>
        <v>0</v>
      </c>
      <c r="V195" s="113">
        <f t="shared" ca="1" si="20"/>
        <v>0</v>
      </c>
      <c r="W195" s="113" cm="1">
        <f t="array" aca="1" ref="W195" ca="1">IFERROR(IF($C195="","",INDIRECT($D$2&amp;"!ab"&amp;Z195)),IF($C195="","",INDIRECT("'"&amp;$D$2&amp;"'"&amp;"!ab"&amp;Z195)))</f>
        <v>0</v>
      </c>
      <c r="X195" s="113"/>
      <c r="Y195" s="113">
        <f t="shared" ca="1" si="21"/>
        <v>375</v>
      </c>
      <c r="Z195" s="35">
        <v>184</v>
      </c>
      <c r="AA195" s="113"/>
      <c r="AB195" s="35">
        <v>184</v>
      </c>
    </row>
    <row r="196" spans="3:28" x14ac:dyDescent="0.25">
      <c r="C196" t="str" cm="1">
        <f t="array" aca="1" ref="C196" ca="1">IFERROR(IF(INDIRECT($D$2&amp;"!B"&amp;Z196)="","",INDIRECT("'"&amp;$D$2&amp;"'"&amp;"!B"&amp;Z196)),IF(INDIRECT("'"&amp;$D$2&amp;"'"&amp;"!B"&amp;Z196)="","",INDIRECT("'"&amp;$D$2&amp;"'"&amp;"!B"&amp;Z196)))</f>
        <v>PrePaid Consulting</v>
      </c>
      <c r="D196" t="str" cm="1">
        <f t="array" aca="1" ref="D196" ca="1">IFERROR(_xlfn.IFS(C196="","",C196&lt;&gt;"",INDEX(SF_Output!I:I,MATCH(C196,SF_Output!M:M,0))),IFERROR(INDEX(INDIRECT($D$2&amp;"!G:G"),MATCH(C196,INDIRECT($D$2&amp;"!B:B"),0)),INDEX(INDIRECT("'"&amp;$D$2&amp;"'!G:G"),MATCH(C196,INDIRECT("'"&amp;$D$2&amp;"'!B:B"),0))))</f>
        <v>Op Assessment</v>
      </c>
      <c r="E196" t="str" cm="1">
        <f t="array" aca="1" ref="E196" ca="1">IFERROR(IF(C196="","",INDIRECT($D$2&amp;"!F"&amp;Z196)),IF(C196="","",INDIRECT("'"&amp;$D$2&amp;"'"&amp;"!F"&amp;Z196)))</f>
        <v>Included</v>
      </c>
      <c r="F196" t="str" cm="1">
        <f t="array" aca="1" ref="F196" ca="1">IFERROR(IF(C196="","",INDIRECT($D$2&amp;"!ak"&amp;Z196)),IF(C196="","",INDIRECT("'"&amp;$D$2&amp;"'"&amp;"!ak"&amp;Z196)))</f>
        <v/>
      </c>
      <c r="G196" cm="1">
        <f t="array" aca="1" ref="G196" ca="1">IFERROR(INDIRECT($D$2&amp;"!h"&amp;Z196),INDIRECT("'"&amp;$D$2&amp;"'"&amp;"!h"&amp;Z196))</f>
        <v>1</v>
      </c>
      <c r="H196" s="125" t="str" cm="1">
        <f t="array" aca="1" ref="H196" ca="1">IFERROR(INDIRECT($D$2&amp;"!i"&amp;Z196),INDIRECT("'"&amp;$D$2&amp;"'"&amp;"!i"&amp;Z196))</f>
        <v/>
      </c>
      <c r="I196" s="113" cm="1">
        <f t="array" aca="1" ref="I196" ca="1">IFERROR(IF($C196="","",INDIRECT($D$2&amp;"!j"&amp;$Z196)+INDIRECT($D$2&amp;"!n"&amp;$Z196)),IF($C196="","",INDIRECT("'"&amp;$D$2&amp;"'"&amp;"!j"&amp;$Z196)+INDIRECT("'"&amp;$D$2&amp;"'"&amp;"!n"&amp;$Z196)))</f>
        <v>30000</v>
      </c>
      <c r="J196" s="113">
        <f t="shared" ca="1" si="17"/>
        <v>0</v>
      </c>
      <c r="K196" s="113" cm="1">
        <f t="array" aca="1" ref="K196" ca="1">IFERROR(IF($C196="","",INDIRECT($D$2&amp;"!l"&amp;$Z196)+INDIRECT($D$2&amp;"!p"&amp;$Z196)),IF($C196="","",INDIRECT("'"&amp;$D$2&amp;"'"&amp;"!l"&amp;$Z196)+INDIRECT("'"&amp;$D$2&amp;"'"&amp;"!p"&amp;$Z196)))</f>
        <v>30000</v>
      </c>
      <c r="M196" s="113" cm="1">
        <f t="array" aca="1" ref="M196" ca="1">IFERROR(IF($C196="","",INDIRECT($D$2&amp;"!r"&amp;Z196)),IF($C196="","",INDIRECT("'"&amp;$D$2&amp;"'"&amp;"!r"&amp;Z196)))</f>
        <v>0</v>
      </c>
      <c r="N196" s="113">
        <f t="shared" ca="1" si="18"/>
        <v>0</v>
      </c>
      <c r="O196" s="113" cm="1">
        <f t="array" aca="1" ref="O196" ca="1">IFERROR(IF($C196="","",INDIRECT($D$2&amp;"!t"&amp;Z196)),IF($C196="","",INDIRECT("'"&amp;$D$2&amp;"'"&amp;"!t"&amp;Z196)))</f>
        <v>0</v>
      </c>
      <c r="Q196" s="113" cm="1">
        <f t="array" aca="1" ref="Q196" ca="1">IFERROR(IF($C196="","",INDIRECT($D$2&amp;"!v"&amp;Z196)),IF($C196="","",INDIRECT("'"&amp;$D$2&amp;"'"&amp;"!v"&amp;Z196)))</f>
        <v>0</v>
      </c>
      <c r="R196" s="113">
        <f t="shared" ca="1" si="19"/>
        <v>0</v>
      </c>
      <c r="S196" s="113" cm="1">
        <f t="array" aca="1" ref="S196" ca="1">IFERROR(IF($C196="","",INDIRECT($D$2&amp;"!x"&amp;Z196)),IF($C196="","",INDIRECT("'"&amp;$D$2&amp;"'"&amp;"!x"&amp;Z196)))</f>
        <v>0</v>
      </c>
      <c r="U196" s="113" cm="1">
        <f t="array" aca="1" ref="U196" ca="1">IFERROR(IF($C196="","",INDIRECT($D$2&amp;"!z"&amp;Z196)),IF($C196="","",INDIRECT("'"&amp;$D$2&amp;"'"&amp;"!z"&amp;Z196)))</f>
        <v>0</v>
      </c>
      <c r="V196" s="113">
        <f t="shared" ca="1" si="20"/>
        <v>0</v>
      </c>
      <c r="W196" s="113" cm="1">
        <f t="array" aca="1" ref="W196" ca="1">IFERROR(IF($C196="","",INDIRECT($D$2&amp;"!ab"&amp;Z196)),IF($C196="","",INDIRECT("'"&amp;$D$2&amp;"'"&amp;"!ab"&amp;Z196)))</f>
        <v>0</v>
      </c>
      <c r="X196" s="113"/>
      <c r="Y196" s="113">
        <f t="shared" ca="1" si="21"/>
        <v>0</v>
      </c>
      <c r="Z196" s="35">
        <v>185</v>
      </c>
      <c r="AA196" s="113"/>
      <c r="AB196" s="35">
        <v>185</v>
      </c>
    </row>
    <row r="197" spans="3:28" x14ac:dyDescent="0.25">
      <c r="C197" t="str" cm="1">
        <f t="array" aca="1" ref="C197" ca="1">IFERROR(IF(INDIRECT($D$2&amp;"!B"&amp;Z197)="","",INDIRECT("'"&amp;$D$2&amp;"'"&amp;"!B"&amp;Z197)),IF(INDIRECT("'"&amp;$D$2&amp;"'"&amp;"!B"&amp;Z197)="","",INDIRECT("'"&amp;$D$2&amp;"'"&amp;"!B"&amp;Z197)))</f>
        <v/>
      </c>
      <c r="D197" t="str" cm="1">
        <f t="array" aca="1" ref="D197" ca="1">IFERROR(_xlfn.IFS(C197="","",C197&lt;&gt;"",INDEX(SF_Output!I:I,MATCH(C197,SF_Output!M:M,0))),IFERROR(INDEX(INDIRECT($D$2&amp;"!G:G"),MATCH(C197,INDIRECT($D$2&amp;"!B:B"),0)),INDEX(INDIRECT("'"&amp;$D$2&amp;"'!G:G"),MATCH(C197,INDIRECT("'"&amp;$D$2&amp;"'!B:B"),0))))</f>
        <v/>
      </c>
      <c r="E197" t="str" cm="1">
        <f t="array" aca="1" ref="E197" ca="1">IFERROR(IF(C197="","",INDIRECT($D$2&amp;"!F"&amp;Z197)),IF(C197="","",INDIRECT("'"&amp;$D$2&amp;"'"&amp;"!F"&amp;Z197)))</f>
        <v/>
      </c>
      <c r="F197" t="str" cm="1">
        <f t="array" aca="1" ref="F197" ca="1">IFERROR(IF(C197="","",INDIRECT($D$2&amp;"!ak"&amp;Z197)),IF(C197="","",INDIRECT("'"&amp;$D$2&amp;"'"&amp;"!ak"&amp;Z197)))</f>
        <v/>
      </c>
      <c r="G197" t="str" cm="1">
        <f t="array" aca="1" ref="G197" ca="1">IFERROR(INDIRECT($D$2&amp;"!h"&amp;Z197),INDIRECT("'"&amp;$D$2&amp;"'"&amp;"!h"&amp;Z197))</f>
        <v/>
      </c>
      <c r="H197" s="125" t="str" cm="1">
        <f t="array" aca="1" ref="H197" ca="1">IFERROR(INDIRECT($D$2&amp;"!i"&amp;Z197),INDIRECT("'"&amp;$D$2&amp;"'"&amp;"!i"&amp;Z197))</f>
        <v/>
      </c>
      <c r="I197" s="113" t="str" cm="1">
        <f t="array" aca="1" ref="I197" ca="1">IFERROR(IF($C197="","",INDIRECT($D$2&amp;"!j"&amp;$Z197)+INDIRECT($D$2&amp;"!n"&amp;$Z197)),IF($C197="","",INDIRECT("'"&amp;$D$2&amp;"'"&amp;"!j"&amp;$Z197)+INDIRECT("'"&amp;$D$2&amp;"'"&amp;"!n"&amp;$Z197)))</f>
        <v/>
      </c>
      <c r="J197" s="113" t="str">
        <f t="shared" ca="1" si="17"/>
        <v/>
      </c>
      <c r="K197" s="113" t="str" cm="1">
        <f t="array" aca="1" ref="K197" ca="1">IFERROR(IF($C197="","",INDIRECT($D$2&amp;"!l"&amp;$Z197)+INDIRECT($D$2&amp;"!p"&amp;$Z197)),IF($C197="","",INDIRECT("'"&amp;$D$2&amp;"'"&amp;"!l"&amp;$Z197)+INDIRECT("'"&amp;$D$2&amp;"'"&amp;"!p"&amp;$Z197)))</f>
        <v/>
      </c>
      <c r="M197" s="113" t="str" cm="1">
        <f t="array" aca="1" ref="M197" ca="1">IFERROR(IF($C197="","",INDIRECT($D$2&amp;"!r"&amp;Z197)),IF($C197="","",INDIRECT("'"&amp;$D$2&amp;"'"&amp;"!r"&amp;Z197)))</f>
        <v/>
      </c>
      <c r="N197" s="113" t="str">
        <f t="shared" ca="1" si="18"/>
        <v/>
      </c>
      <c r="O197" s="113" t="str" cm="1">
        <f t="array" aca="1" ref="O197" ca="1">IFERROR(IF($C197="","",INDIRECT($D$2&amp;"!t"&amp;Z197)),IF($C197="","",INDIRECT("'"&amp;$D$2&amp;"'"&amp;"!t"&amp;Z197)))</f>
        <v/>
      </c>
      <c r="Q197" s="113" t="str" cm="1">
        <f t="array" aca="1" ref="Q197" ca="1">IFERROR(IF($C197="","",INDIRECT($D$2&amp;"!v"&amp;Z197)),IF($C197="","",INDIRECT("'"&amp;$D$2&amp;"'"&amp;"!v"&amp;Z197)))</f>
        <v/>
      </c>
      <c r="R197" s="113" t="str">
        <f t="shared" ca="1" si="19"/>
        <v/>
      </c>
      <c r="S197" s="113" t="str" cm="1">
        <f t="array" aca="1" ref="S197" ca="1">IFERROR(IF($C197="","",INDIRECT($D$2&amp;"!x"&amp;Z197)),IF($C197="","",INDIRECT("'"&amp;$D$2&amp;"'"&amp;"!x"&amp;Z197)))</f>
        <v/>
      </c>
      <c r="U197" s="113" t="str" cm="1">
        <f t="array" aca="1" ref="U197" ca="1">IFERROR(IF($C197="","",INDIRECT($D$2&amp;"!z"&amp;Z197)),IF($C197="","",INDIRECT("'"&amp;$D$2&amp;"'"&amp;"!z"&amp;Z197)))</f>
        <v/>
      </c>
      <c r="V197" s="113" t="str">
        <f t="shared" ca="1" si="20"/>
        <v/>
      </c>
      <c r="W197" s="113" t="str" cm="1">
        <f t="array" aca="1" ref="W197" ca="1">IFERROR(IF($C197="","",INDIRECT($D$2&amp;"!ab"&amp;Z197)),IF($C197="","",INDIRECT("'"&amp;$D$2&amp;"'"&amp;"!ab"&amp;Z197)))</f>
        <v/>
      </c>
      <c r="X197" s="113"/>
      <c r="Y197" s="113" t="str">
        <f t="shared" ca="1" si="21"/>
        <v/>
      </c>
      <c r="Z197" s="35">
        <v>186</v>
      </c>
      <c r="AA197" s="113"/>
      <c r="AB197" s="35">
        <v>186</v>
      </c>
    </row>
    <row r="198" spans="3:28" x14ac:dyDescent="0.25">
      <c r="C198" t="str" cm="1">
        <f t="array" aca="1" ref="C198" ca="1">IFERROR(IF(INDIRECT($D$2&amp;"!B"&amp;Z198)="","",INDIRECT("'"&amp;$D$2&amp;"'"&amp;"!B"&amp;Z198)),IF(INDIRECT("'"&amp;$D$2&amp;"'"&amp;"!B"&amp;Z198)="","",INDIRECT("'"&amp;$D$2&amp;"'"&amp;"!B"&amp;Z198)))</f>
        <v>PNV</v>
      </c>
      <c r="D198" t="str" cm="1">
        <f t="array" aca="1" ref="D198" ca="1">IFERROR(_xlfn.IFS(C198="","",C198&lt;&gt;"",INDEX(SF_Output!I:I,MATCH(C198,SF_Output!M:M,0))),IFERROR(INDEX(INDIRECT($D$2&amp;"!G:G"),MATCH(C198,INDIRECT($D$2&amp;"!B:B"),0)),INDEX(INDIRECT("'"&amp;$D$2&amp;"'!G:G"),MATCH(C198,INDIRECT("'"&amp;$D$2&amp;"'!B:B"),0))))</f>
        <v>OutLink Item Processing</v>
      </c>
      <c r="E198" t="str" cm="1">
        <f t="array" aca="1" ref="E198" ca="1">IFERROR(IF(C198="","",INDIRECT($D$2&amp;"!F"&amp;Z198)),IF(C198="","",INDIRECT("'"&amp;$D$2&amp;"'"&amp;"!F"&amp;Z198)))</f>
        <v>Included</v>
      </c>
      <c r="F198" t="str" cm="1">
        <f t="array" aca="1" ref="F198" ca="1">IFERROR(IF(C198="","",INDIRECT($D$2&amp;"!ak"&amp;Z198)),IF(C198="","",INDIRECT("'"&amp;$D$2&amp;"'"&amp;"!ak"&amp;Z198)))</f>
        <v/>
      </c>
      <c r="G198" cm="1">
        <f t="array" aca="1" ref="G198" ca="1">IFERROR(INDIRECT($D$2&amp;"!h"&amp;Z198),INDIRECT("'"&amp;$D$2&amp;"'"&amp;"!h"&amp;Z198))</f>
        <v>1</v>
      </c>
      <c r="H198" s="125" t="str" cm="1">
        <f t="array" aca="1" ref="H198" ca="1">IFERROR(INDIRECT($D$2&amp;"!i"&amp;Z198),INDIRECT("'"&amp;$D$2&amp;"'"&amp;"!i"&amp;Z198))</f>
        <v/>
      </c>
      <c r="I198" s="113" cm="1">
        <f t="array" aca="1" ref="I198" ca="1">IFERROR(IF($C198="","",INDIRECT($D$2&amp;"!j"&amp;$Z198)+INDIRECT($D$2&amp;"!n"&amp;$Z198)),IF($C198="","",INDIRECT("'"&amp;$D$2&amp;"'"&amp;"!j"&amp;$Z198)+INDIRECT("'"&amp;$D$2&amp;"'"&amp;"!n"&amp;$Z198)))</f>
        <v>10500</v>
      </c>
      <c r="J198" s="113">
        <f t="shared" ca="1" si="17"/>
        <v>0</v>
      </c>
      <c r="K198" s="113" cm="1">
        <f t="array" aca="1" ref="K198" ca="1">IFERROR(IF($C198="","",INDIRECT($D$2&amp;"!l"&amp;$Z198)+INDIRECT($D$2&amp;"!p"&amp;$Z198)),IF($C198="","",INDIRECT("'"&amp;$D$2&amp;"'"&amp;"!l"&amp;$Z198)+INDIRECT("'"&amp;$D$2&amp;"'"&amp;"!p"&amp;$Z198)))</f>
        <v>10500</v>
      </c>
      <c r="M198" s="113" cm="1">
        <f t="array" aca="1" ref="M198" ca="1">IFERROR(IF($C198="","",INDIRECT($D$2&amp;"!r"&amp;Z198)),IF($C198="","",INDIRECT("'"&amp;$D$2&amp;"'"&amp;"!r"&amp;Z198)))</f>
        <v>0</v>
      </c>
      <c r="N198" s="113">
        <f t="shared" ca="1" si="18"/>
        <v>0</v>
      </c>
      <c r="O198" s="113" cm="1">
        <f t="array" aca="1" ref="O198" ca="1">IFERROR(IF($C198="","",INDIRECT($D$2&amp;"!t"&amp;Z198)),IF($C198="","",INDIRECT("'"&amp;$D$2&amp;"'"&amp;"!t"&amp;Z198)))</f>
        <v>0</v>
      </c>
      <c r="Q198" s="113" cm="1">
        <f t="array" aca="1" ref="Q198" ca="1">IFERROR(IF($C198="","",INDIRECT($D$2&amp;"!v"&amp;Z198)),IF($C198="","",INDIRECT("'"&amp;$D$2&amp;"'"&amp;"!v"&amp;Z198)))</f>
        <v>114</v>
      </c>
      <c r="R198" s="113">
        <f t="shared" ca="1" si="19"/>
        <v>0</v>
      </c>
      <c r="S198" s="113" cm="1">
        <f t="array" aca="1" ref="S198" ca="1">IFERROR(IF($C198="","",INDIRECT($D$2&amp;"!x"&amp;Z198)),IF($C198="","",INDIRECT("'"&amp;$D$2&amp;"'"&amp;"!x"&amp;Z198)))</f>
        <v>114</v>
      </c>
      <c r="U198" s="113" cm="1">
        <f t="array" aca="1" ref="U198" ca="1">IFERROR(IF($C198="","",INDIRECT($D$2&amp;"!z"&amp;Z198)),IF($C198="","",INDIRECT("'"&amp;$D$2&amp;"'"&amp;"!z"&amp;Z198)))</f>
        <v>0</v>
      </c>
      <c r="V198" s="113">
        <f t="shared" ca="1" si="20"/>
        <v>0</v>
      </c>
      <c r="W198" s="113" cm="1">
        <f t="array" aca="1" ref="W198" ca="1">IFERROR(IF($C198="","",INDIRECT($D$2&amp;"!ab"&amp;Z198)),IF($C198="","",INDIRECT("'"&amp;$D$2&amp;"'"&amp;"!ab"&amp;Z198)))</f>
        <v>0</v>
      </c>
      <c r="X198" s="113"/>
      <c r="Y198" s="113">
        <f t="shared" ca="1" si="21"/>
        <v>114</v>
      </c>
      <c r="Z198" s="35">
        <v>187</v>
      </c>
      <c r="AA198" s="113"/>
      <c r="AB198" s="35">
        <v>187</v>
      </c>
    </row>
    <row r="199" spans="3:28" x14ac:dyDescent="0.25">
      <c r="C199" t="str" cm="1">
        <f t="array" aca="1" ref="C199" ca="1">IFERROR(IF(INDIRECT($D$2&amp;"!B"&amp;Z199)="","",INDIRECT("'"&amp;$D$2&amp;"'"&amp;"!B"&amp;Z199)),IF(INDIRECT("'"&amp;$D$2&amp;"'"&amp;"!B"&amp;Z199)="","",INDIRECT("'"&amp;$D$2&amp;"'"&amp;"!B"&amp;Z199)))</f>
        <v>FPS Customer Profitability and Pricing</v>
      </c>
      <c r="D199" t="str" cm="1">
        <f t="array" aca="1" ref="D199" ca="1">IFERROR(_xlfn.IFS(C199="","",C199&lt;&gt;"",INDEX(SF_Output!I:I,MATCH(C199,SF_Output!M:M,0))),IFERROR(INDEX(INDIRECT($D$2&amp;"!G:G"),MATCH(C199,INDIRECT($D$2&amp;"!B:B"),0)),INDEX(INDIRECT("'"&amp;$D$2&amp;"'!G:G"),MATCH(C199,INDIRECT("'"&amp;$D$2&amp;"'!B:B"),0))))</f>
        <v>ProfitStars Financial Performance</v>
      </c>
      <c r="E199" t="str" cm="1">
        <f t="array" aca="1" ref="E199" ca="1">IFERROR(IF(C199="","",INDIRECT($D$2&amp;"!F"&amp;Z199)),IF(C199="","",INDIRECT("'"&amp;$D$2&amp;"'"&amp;"!F"&amp;Z199)))</f>
        <v>Included</v>
      </c>
      <c r="F199" t="str" cm="1">
        <f t="array" aca="1" ref="F199" ca="1">IFERROR(IF(C199="","",INDIRECT($D$2&amp;"!ak"&amp;Z199)),IF(C199="","",INDIRECT("'"&amp;$D$2&amp;"'"&amp;"!ak"&amp;Z199)))</f>
        <v/>
      </c>
      <c r="G199" cm="1">
        <f t="array" aca="1" ref="G199" ca="1">IFERROR(INDIRECT($D$2&amp;"!h"&amp;Z199),INDIRECT("'"&amp;$D$2&amp;"'"&amp;"!h"&amp;Z199))</f>
        <v>1</v>
      </c>
      <c r="H199" s="125" t="str" cm="1">
        <f t="array" aca="1" ref="H199" ca="1">IFERROR(INDIRECT($D$2&amp;"!i"&amp;Z199),INDIRECT("'"&amp;$D$2&amp;"'"&amp;"!i"&amp;Z199))</f>
        <v/>
      </c>
      <c r="I199" s="113" cm="1">
        <f t="array" aca="1" ref="I199" ca="1">IFERROR(IF($C199="","",INDIRECT($D$2&amp;"!j"&amp;$Z199)+INDIRECT($D$2&amp;"!n"&amp;$Z199)),IF($C199="","",INDIRECT("'"&amp;$D$2&amp;"'"&amp;"!j"&amp;$Z199)+INDIRECT("'"&amp;$D$2&amp;"'"&amp;"!n"&amp;$Z199)))</f>
        <v>4250</v>
      </c>
      <c r="J199" s="113">
        <f t="shared" ca="1" si="17"/>
        <v>-4250</v>
      </c>
      <c r="K199" s="113" cm="1">
        <f t="array" aca="1" ref="K199" ca="1">IFERROR(IF($C199="","",INDIRECT($D$2&amp;"!l"&amp;$Z199)+INDIRECT($D$2&amp;"!p"&amp;$Z199)),IF($C199="","",INDIRECT("'"&amp;$D$2&amp;"'"&amp;"!l"&amp;$Z199)+INDIRECT("'"&amp;$D$2&amp;"'"&amp;"!p"&amp;$Z199)))</f>
        <v>0</v>
      </c>
      <c r="M199" s="113" cm="1">
        <f t="array" aca="1" ref="M199" ca="1">IFERROR(IF($C199="","",INDIRECT($D$2&amp;"!r"&amp;Z199)),IF($C199="","",INDIRECT("'"&amp;$D$2&amp;"'"&amp;"!r"&amp;Z199)))</f>
        <v>0</v>
      </c>
      <c r="N199" s="113">
        <f t="shared" ca="1" si="18"/>
        <v>0</v>
      </c>
      <c r="O199" s="113" cm="1">
        <f t="array" aca="1" ref="O199" ca="1">IFERROR(IF($C199="","",INDIRECT($D$2&amp;"!t"&amp;Z199)),IF($C199="","",INDIRECT("'"&amp;$D$2&amp;"'"&amp;"!t"&amp;Z199)))</f>
        <v>0</v>
      </c>
      <c r="Q199" s="113" cm="1">
        <f t="array" aca="1" ref="Q199" ca="1">IFERROR(IF($C199="","",INDIRECT($D$2&amp;"!v"&amp;Z199)),IF($C199="","",INDIRECT("'"&amp;$D$2&amp;"'"&amp;"!v"&amp;Z199)))</f>
        <v>535</v>
      </c>
      <c r="R199" s="113">
        <f t="shared" ca="1" si="19"/>
        <v>-133.75</v>
      </c>
      <c r="S199" s="113" cm="1">
        <f t="array" aca="1" ref="S199" ca="1">IFERROR(IF($C199="","",INDIRECT($D$2&amp;"!x"&amp;Z199)),IF($C199="","",INDIRECT("'"&amp;$D$2&amp;"'"&amp;"!x"&amp;Z199)))</f>
        <v>401.25</v>
      </c>
      <c r="U199" s="113" cm="1">
        <f t="array" aca="1" ref="U199" ca="1">IFERROR(IF($C199="","",INDIRECT($D$2&amp;"!z"&amp;Z199)),IF($C199="","",INDIRECT("'"&amp;$D$2&amp;"'"&amp;"!z"&amp;Z199)))</f>
        <v>0</v>
      </c>
      <c r="V199" s="113">
        <f t="shared" ca="1" si="20"/>
        <v>0</v>
      </c>
      <c r="W199" s="113" cm="1">
        <f t="array" aca="1" ref="W199" ca="1">IFERROR(IF($C199="","",INDIRECT($D$2&amp;"!ab"&amp;Z199)),IF($C199="","",INDIRECT("'"&amp;$D$2&amp;"'"&amp;"!ab"&amp;Z199)))</f>
        <v>0</v>
      </c>
      <c r="X199" s="113"/>
      <c r="Y199" s="113">
        <f t="shared" ca="1" si="21"/>
        <v>401.25</v>
      </c>
      <c r="Z199" s="35">
        <v>188</v>
      </c>
      <c r="AA199" s="113"/>
      <c r="AB199" s="35">
        <v>188</v>
      </c>
    </row>
    <row r="200" spans="3:28" x14ac:dyDescent="0.25">
      <c r="C200" t="str" cm="1">
        <f t="array" aca="1" ref="C200" ca="1">IFERROR(IF(INDIRECT($D$2&amp;"!B"&amp;Z200)="","",INDIRECT("'"&amp;$D$2&amp;"'"&amp;"!B"&amp;Z200)),IF(INDIRECT("'"&amp;$D$2&amp;"'"&amp;"!B"&amp;Z200)="","",INDIRECT("'"&amp;$D$2&amp;"'"&amp;"!B"&amp;Z200)))</f>
        <v/>
      </c>
      <c r="D200" t="str" cm="1">
        <f t="array" aca="1" ref="D200" ca="1">IFERROR(_xlfn.IFS(C200="","",C200&lt;&gt;"",INDEX(SF_Output!I:I,MATCH(C200,SF_Output!M:M,0))),IFERROR(INDEX(INDIRECT($D$2&amp;"!G:G"),MATCH(C200,INDIRECT($D$2&amp;"!B:B"),0)),INDEX(INDIRECT("'"&amp;$D$2&amp;"'!G:G"),MATCH(C200,INDIRECT("'"&amp;$D$2&amp;"'!B:B"),0))))</f>
        <v/>
      </c>
      <c r="E200" t="str" cm="1">
        <f t="array" aca="1" ref="E200" ca="1">IFERROR(IF(C200="","",INDIRECT($D$2&amp;"!F"&amp;Z200)),IF(C200="","",INDIRECT("'"&amp;$D$2&amp;"'"&amp;"!F"&amp;Z200)))</f>
        <v/>
      </c>
      <c r="F200" t="str" cm="1">
        <f t="array" aca="1" ref="F200" ca="1">IFERROR(IF(C200="","",INDIRECT($D$2&amp;"!ak"&amp;Z200)),IF(C200="","",INDIRECT("'"&amp;$D$2&amp;"'"&amp;"!ak"&amp;Z200)))</f>
        <v/>
      </c>
      <c r="G200" t="str" cm="1">
        <f t="array" aca="1" ref="G200" ca="1">IFERROR(INDIRECT($D$2&amp;"!h"&amp;Z200),INDIRECT("'"&amp;$D$2&amp;"'"&amp;"!h"&amp;Z200))</f>
        <v/>
      </c>
      <c r="H200" s="125" t="str" cm="1">
        <f t="array" aca="1" ref="H200" ca="1">IFERROR(INDIRECT($D$2&amp;"!i"&amp;Z200),INDIRECT("'"&amp;$D$2&amp;"'"&amp;"!i"&amp;Z200))</f>
        <v/>
      </c>
      <c r="I200" s="113" t="str" cm="1">
        <f t="array" aca="1" ref="I200" ca="1">IFERROR(IF($C200="","",INDIRECT($D$2&amp;"!j"&amp;$Z200)+INDIRECT($D$2&amp;"!n"&amp;$Z200)),IF($C200="","",INDIRECT("'"&amp;$D$2&amp;"'"&amp;"!j"&amp;$Z200)+INDIRECT("'"&amp;$D$2&amp;"'"&amp;"!n"&amp;$Z200)))</f>
        <v/>
      </c>
      <c r="J200" s="113" t="str">
        <f t="shared" ca="1" si="17"/>
        <v/>
      </c>
      <c r="K200" s="113" t="str" cm="1">
        <f t="array" aca="1" ref="K200" ca="1">IFERROR(IF($C200="","",INDIRECT($D$2&amp;"!l"&amp;$Z200)+INDIRECT($D$2&amp;"!p"&amp;$Z200)),IF($C200="","",INDIRECT("'"&amp;$D$2&amp;"'"&amp;"!l"&amp;$Z200)+INDIRECT("'"&amp;$D$2&amp;"'"&amp;"!p"&amp;$Z200)))</f>
        <v/>
      </c>
      <c r="M200" s="113" t="str" cm="1">
        <f t="array" aca="1" ref="M200" ca="1">IFERROR(IF($C200="","",INDIRECT($D$2&amp;"!r"&amp;Z200)),IF($C200="","",INDIRECT("'"&amp;$D$2&amp;"'"&amp;"!r"&amp;Z200)))</f>
        <v/>
      </c>
      <c r="N200" s="113" t="str">
        <f t="shared" ca="1" si="18"/>
        <v/>
      </c>
      <c r="O200" s="113" t="str" cm="1">
        <f t="array" aca="1" ref="O200" ca="1">IFERROR(IF($C200="","",INDIRECT($D$2&amp;"!t"&amp;Z200)),IF($C200="","",INDIRECT("'"&amp;$D$2&amp;"'"&amp;"!t"&amp;Z200)))</f>
        <v/>
      </c>
      <c r="Q200" s="113" t="str" cm="1">
        <f t="array" aca="1" ref="Q200" ca="1">IFERROR(IF($C200="","",INDIRECT($D$2&amp;"!v"&amp;Z200)),IF($C200="","",INDIRECT("'"&amp;$D$2&amp;"'"&amp;"!v"&amp;Z200)))</f>
        <v/>
      </c>
      <c r="R200" s="113" t="str">
        <f t="shared" ca="1" si="19"/>
        <v/>
      </c>
      <c r="S200" s="113" t="str" cm="1">
        <f t="array" aca="1" ref="S200" ca="1">IFERROR(IF($C200="","",INDIRECT($D$2&amp;"!x"&amp;Z200)),IF($C200="","",INDIRECT("'"&amp;$D$2&amp;"'"&amp;"!x"&amp;Z200)))</f>
        <v/>
      </c>
      <c r="U200" s="113" t="str" cm="1">
        <f t="array" aca="1" ref="U200" ca="1">IFERROR(IF($C200="","",INDIRECT($D$2&amp;"!z"&amp;Z200)),IF($C200="","",INDIRECT("'"&amp;$D$2&amp;"'"&amp;"!z"&amp;Z200)))</f>
        <v/>
      </c>
      <c r="V200" s="113" t="str">
        <f t="shared" ca="1" si="20"/>
        <v/>
      </c>
      <c r="W200" s="113" t="str" cm="1">
        <f t="array" aca="1" ref="W200" ca="1">IFERROR(IF($C200="","",INDIRECT($D$2&amp;"!ab"&amp;Z200)),IF($C200="","",INDIRECT("'"&amp;$D$2&amp;"'"&amp;"!ab"&amp;Z200)))</f>
        <v/>
      </c>
      <c r="X200" s="113"/>
      <c r="Y200" s="113" t="str">
        <f t="shared" ca="1" si="21"/>
        <v/>
      </c>
      <c r="Z200" s="35">
        <v>189</v>
      </c>
      <c r="AA200" s="113"/>
      <c r="AB200" s="35">
        <v>189</v>
      </c>
    </row>
    <row r="201" spans="3:28" x14ac:dyDescent="0.25">
      <c r="C201" t="str" cm="1">
        <f t="array" aca="1" ref="C201" ca="1">IFERROR(IF(INDIRECT($D$2&amp;"!B"&amp;Z201)="","",INDIRECT("'"&amp;$D$2&amp;"'"&amp;"!B"&amp;Z201)),IF(INDIRECT("'"&amp;$D$2&amp;"'"&amp;"!B"&amp;Z201)="","",INDIRECT("'"&amp;$D$2&amp;"'"&amp;"!B"&amp;Z201)))</f>
        <v/>
      </c>
      <c r="D201" t="str" cm="1">
        <f t="array" aca="1" ref="D201" ca="1">IFERROR(_xlfn.IFS(C201="","",C201&lt;&gt;"",INDEX(SF_Output!I:I,MATCH(C201,SF_Output!M:M,0))),IFERROR(INDEX(INDIRECT($D$2&amp;"!G:G"),MATCH(C201,INDIRECT($D$2&amp;"!B:B"),0)),INDEX(INDIRECT("'"&amp;$D$2&amp;"'!G:G"),MATCH(C201,INDIRECT("'"&amp;$D$2&amp;"'!B:B"),0))))</f>
        <v/>
      </c>
      <c r="E201" t="str" cm="1">
        <f t="array" aca="1" ref="E201" ca="1">IFERROR(IF(C201="","",INDIRECT($D$2&amp;"!F"&amp;Z201)),IF(C201="","",INDIRECT("'"&amp;$D$2&amp;"'"&amp;"!F"&amp;Z201)))</f>
        <v/>
      </c>
      <c r="F201" t="str" cm="1">
        <f t="array" aca="1" ref="F201" ca="1">IFERROR(IF(C201="","",INDIRECT($D$2&amp;"!ak"&amp;Z201)),IF(C201="","",INDIRECT("'"&amp;$D$2&amp;"'"&amp;"!ak"&amp;Z201)))</f>
        <v/>
      </c>
      <c r="G201" t="str" cm="1">
        <f t="array" aca="1" ref="G201" ca="1">IFERROR(INDIRECT($D$2&amp;"!h"&amp;Z201),INDIRECT("'"&amp;$D$2&amp;"'"&amp;"!h"&amp;Z201))</f>
        <v/>
      </c>
      <c r="H201" s="125" t="str" cm="1">
        <f t="array" aca="1" ref="H201" ca="1">IFERROR(INDIRECT($D$2&amp;"!i"&amp;Z201),INDIRECT("'"&amp;$D$2&amp;"'"&amp;"!i"&amp;Z201))</f>
        <v/>
      </c>
      <c r="I201" s="113" t="str" cm="1">
        <f t="array" aca="1" ref="I201" ca="1">IFERROR(IF($C201="","",INDIRECT($D$2&amp;"!j"&amp;$Z201)+INDIRECT($D$2&amp;"!n"&amp;$Z201)),IF($C201="","",INDIRECT("'"&amp;$D$2&amp;"'"&amp;"!j"&amp;$Z201)+INDIRECT("'"&amp;$D$2&amp;"'"&amp;"!n"&amp;$Z201)))</f>
        <v/>
      </c>
      <c r="J201" s="113" t="str">
        <f t="shared" ca="1" si="17"/>
        <v/>
      </c>
      <c r="K201" s="113" t="str" cm="1">
        <f t="array" aca="1" ref="K201" ca="1">IFERROR(IF($C201="","",INDIRECT($D$2&amp;"!l"&amp;$Z201)+INDIRECT($D$2&amp;"!p"&amp;$Z201)),IF($C201="","",INDIRECT("'"&amp;$D$2&amp;"'"&amp;"!l"&amp;$Z201)+INDIRECT("'"&amp;$D$2&amp;"'"&amp;"!p"&amp;$Z201)))</f>
        <v/>
      </c>
      <c r="M201" s="113" t="str" cm="1">
        <f t="array" aca="1" ref="M201" ca="1">IFERROR(IF($C201="","",INDIRECT($D$2&amp;"!r"&amp;Z201)),IF($C201="","",INDIRECT("'"&amp;$D$2&amp;"'"&amp;"!r"&amp;Z201)))</f>
        <v/>
      </c>
      <c r="N201" s="113" t="str">
        <f t="shared" ca="1" si="18"/>
        <v/>
      </c>
      <c r="O201" s="113" t="str" cm="1">
        <f t="array" aca="1" ref="O201" ca="1">IFERROR(IF($C201="","",INDIRECT($D$2&amp;"!t"&amp;Z201)),IF($C201="","",INDIRECT("'"&amp;$D$2&amp;"'"&amp;"!t"&amp;Z201)))</f>
        <v/>
      </c>
      <c r="Q201" s="113" t="str" cm="1">
        <f t="array" aca="1" ref="Q201" ca="1">IFERROR(IF($C201="","",INDIRECT($D$2&amp;"!v"&amp;Z201)),IF($C201="","",INDIRECT("'"&amp;$D$2&amp;"'"&amp;"!v"&amp;Z201)))</f>
        <v/>
      </c>
      <c r="R201" s="113" t="str">
        <f t="shared" ca="1" si="19"/>
        <v/>
      </c>
      <c r="S201" s="113" t="str" cm="1">
        <f t="array" aca="1" ref="S201" ca="1">IFERROR(IF($C201="","",INDIRECT($D$2&amp;"!x"&amp;Z201)),IF($C201="","",INDIRECT("'"&amp;$D$2&amp;"'"&amp;"!x"&amp;Z201)))</f>
        <v/>
      </c>
      <c r="U201" s="113" t="str" cm="1">
        <f t="array" aca="1" ref="U201" ca="1">IFERROR(IF($C201="","",INDIRECT($D$2&amp;"!z"&amp;Z201)),IF($C201="","",INDIRECT("'"&amp;$D$2&amp;"'"&amp;"!z"&amp;Z201)))</f>
        <v/>
      </c>
      <c r="V201" s="113" t="str">
        <f t="shared" ca="1" si="20"/>
        <v/>
      </c>
      <c r="W201" s="113" t="str" cm="1">
        <f t="array" aca="1" ref="W201" ca="1">IFERROR(IF($C201="","",INDIRECT($D$2&amp;"!ab"&amp;Z201)),IF($C201="","",INDIRECT("'"&amp;$D$2&amp;"'"&amp;"!ab"&amp;Z201)))</f>
        <v/>
      </c>
      <c r="X201" s="113"/>
      <c r="Y201" s="113" t="str">
        <f t="shared" ca="1" si="21"/>
        <v/>
      </c>
      <c r="Z201" s="35">
        <v>190</v>
      </c>
      <c r="AA201" s="113"/>
      <c r="AB201" s="35">
        <v>190</v>
      </c>
    </row>
    <row r="202" spans="3:28" x14ac:dyDescent="0.25">
      <c r="C202" t="str" cm="1">
        <f t="array" aca="1" ref="C202" ca="1">IFERROR(IF(INDIRECT($D$2&amp;"!B"&amp;Z202)="","",INDIRECT("'"&amp;$D$2&amp;"'"&amp;"!B"&amp;Z202)),IF(INDIRECT("'"&amp;$D$2&amp;"'"&amp;"!B"&amp;Z202)="","",INDIRECT("'"&amp;$D$2&amp;"'"&amp;"!B"&amp;Z202)))</f>
        <v/>
      </c>
      <c r="D202" t="str" cm="1">
        <f t="array" aca="1" ref="D202" ca="1">IFERROR(_xlfn.IFS(C202="","",C202&lt;&gt;"",INDEX(SF_Output!I:I,MATCH(C202,SF_Output!M:M,0))),IFERROR(INDEX(INDIRECT($D$2&amp;"!G:G"),MATCH(C202,INDIRECT($D$2&amp;"!B:B"),0)),INDEX(INDIRECT("'"&amp;$D$2&amp;"'!G:G"),MATCH(C202,INDIRECT("'"&amp;$D$2&amp;"'!B:B"),0))))</f>
        <v/>
      </c>
      <c r="E202" t="str" cm="1">
        <f t="array" aca="1" ref="E202" ca="1">IFERROR(IF(C202="","",INDIRECT($D$2&amp;"!F"&amp;Z202)),IF(C202="","",INDIRECT("'"&amp;$D$2&amp;"'"&amp;"!F"&amp;Z202)))</f>
        <v/>
      </c>
      <c r="F202" t="str" cm="1">
        <f t="array" aca="1" ref="F202" ca="1">IFERROR(IF(C202="","",INDIRECT($D$2&amp;"!ak"&amp;Z202)),IF(C202="","",INDIRECT("'"&amp;$D$2&amp;"'"&amp;"!ak"&amp;Z202)))</f>
        <v/>
      </c>
      <c r="G202" t="str" cm="1">
        <f t="array" aca="1" ref="G202" ca="1">IFERROR(INDIRECT($D$2&amp;"!h"&amp;Z202),INDIRECT("'"&amp;$D$2&amp;"'"&amp;"!h"&amp;Z202))</f>
        <v/>
      </c>
      <c r="H202" s="125" t="str" cm="1">
        <f t="array" aca="1" ref="H202" ca="1">IFERROR(INDIRECT($D$2&amp;"!i"&amp;Z202),INDIRECT("'"&amp;$D$2&amp;"'"&amp;"!i"&amp;Z202))</f>
        <v/>
      </c>
      <c r="I202" s="113" t="str" cm="1">
        <f t="array" aca="1" ref="I202" ca="1">IFERROR(IF($C202="","",INDIRECT($D$2&amp;"!j"&amp;$Z202)+INDIRECT($D$2&amp;"!n"&amp;$Z202)),IF($C202="","",INDIRECT("'"&amp;$D$2&amp;"'"&amp;"!j"&amp;$Z202)+INDIRECT("'"&amp;$D$2&amp;"'"&amp;"!n"&amp;$Z202)))</f>
        <v/>
      </c>
      <c r="J202" s="113" t="str">
        <f t="shared" ca="1" si="17"/>
        <v/>
      </c>
      <c r="K202" s="113" t="str" cm="1">
        <f t="array" aca="1" ref="K202" ca="1">IFERROR(IF($C202="","",INDIRECT($D$2&amp;"!l"&amp;$Z202)+INDIRECT($D$2&amp;"!p"&amp;$Z202)),IF($C202="","",INDIRECT("'"&amp;$D$2&amp;"'"&amp;"!l"&amp;$Z202)+INDIRECT("'"&amp;$D$2&amp;"'"&amp;"!p"&amp;$Z202)))</f>
        <v/>
      </c>
      <c r="M202" s="113" t="str" cm="1">
        <f t="array" aca="1" ref="M202" ca="1">IFERROR(IF($C202="","",INDIRECT($D$2&amp;"!r"&amp;Z202)),IF($C202="","",INDIRECT("'"&amp;$D$2&amp;"'"&amp;"!r"&amp;Z202)))</f>
        <v/>
      </c>
      <c r="N202" s="113" t="str">
        <f t="shared" ca="1" si="18"/>
        <v/>
      </c>
      <c r="O202" s="113" t="str" cm="1">
        <f t="array" aca="1" ref="O202" ca="1">IFERROR(IF($C202="","",INDIRECT($D$2&amp;"!t"&amp;Z202)),IF($C202="","",INDIRECT("'"&amp;$D$2&amp;"'"&amp;"!t"&amp;Z202)))</f>
        <v/>
      </c>
      <c r="Q202" s="113" t="str" cm="1">
        <f t="array" aca="1" ref="Q202" ca="1">IFERROR(IF($C202="","",INDIRECT($D$2&amp;"!v"&amp;Z202)),IF($C202="","",INDIRECT("'"&amp;$D$2&amp;"'"&amp;"!v"&amp;Z202)))</f>
        <v/>
      </c>
      <c r="R202" s="113" t="str">
        <f t="shared" ca="1" si="19"/>
        <v/>
      </c>
      <c r="S202" s="113" t="str" cm="1">
        <f t="array" aca="1" ref="S202" ca="1">IFERROR(IF($C202="","",INDIRECT($D$2&amp;"!x"&amp;Z202)),IF($C202="","",INDIRECT("'"&amp;$D$2&amp;"'"&amp;"!x"&amp;Z202)))</f>
        <v/>
      </c>
      <c r="U202" s="113" t="str" cm="1">
        <f t="array" aca="1" ref="U202" ca="1">IFERROR(IF($C202="","",INDIRECT($D$2&amp;"!z"&amp;Z202)),IF($C202="","",INDIRECT("'"&amp;$D$2&amp;"'"&amp;"!z"&amp;Z202)))</f>
        <v/>
      </c>
      <c r="V202" s="113" t="str">
        <f t="shared" ca="1" si="20"/>
        <v/>
      </c>
      <c r="W202" s="113" t="str" cm="1">
        <f t="array" aca="1" ref="W202" ca="1">IFERROR(IF($C202="","",INDIRECT($D$2&amp;"!ab"&amp;Z202)),IF($C202="","",INDIRECT("'"&amp;$D$2&amp;"'"&amp;"!ab"&amp;Z202)))</f>
        <v/>
      </c>
      <c r="X202" s="113"/>
      <c r="Y202" s="113" t="str">
        <f t="shared" ca="1" si="21"/>
        <v/>
      </c>
      <c r="Z202" s="35">
        <v>191</v>
      </c>
      <c r="AA202" s="113"/>
      <c r="AB202" s="35">
        <v>191</v>
      </c>
    </row>
    <row r="203" spans="3:28" x14ac:dyDescent="0.25">
      <c r="C203" t="str" cm="1">
        <f t="array" aca="1" ref="C203" ca="1">IFERROR(IF(INDIRECT($D$2&amp;"!B"&amp;Z203)="","",INDIRECT("'"&amp;$D$2&amp;"'"&amp;"!B"&amp;Z203)),IF(INDIRECT("'"&amp;$D$2&amp;"'"&amp;"!B"&amp;Z203)="","",INDIRECT("'"&amp;$D$2&amp;"'"&amp;"!B"&amp;Z203)))</f>
        <v/>
      </c>
      <c r="D203" t="str" cm="1">
        <f t="array" aca="1" ref="D203" ca="1">IFERROR(_xlfn.IFS(C203="","",C203&lt;&gt;"",INDEX(SF_Output!I:I,MATCH(C203,SF_Output!M:M,0))),IFERROR(INDEX(INDIRECT($D$2&amp;"!G:G"),MATCH(C203,INDIRECT($D$2&amp;"!B:B"),0)),INDEX(INDIRECT("'"&amp;$D$2&amp;"'!G:G"),MATCH(C203,INDIRECT("'"&amp;$D$2&amp;"'!B:B"),0))))</f>
        <v/>
      </c>
      <c r="E203" t="str" cm="1">
        <f t="array" aca="1" ref="E203" ca="1">IFERROR(IF(C203="","",INDIRECT($D$2&amp;"!F"&amp;Z203)),IF(C203="","",INDIRECT("'"&amp;$D$2&amp;"'"&amp;"!F"&amp;Z203)))</f>
        <v/>
      </c>
      <c r="F203" t="str" cm="1">
        <f t="array" aca="1" ref="F203" ca="1">IFERROR(IF(C203="","",INDIRECT($D$2&amp;"!ak"&amp;Z203)),IF(C203="","",INDIRECT("'"&amp;$D$2&amp;"'"&amp;"!ak"&amp;Z203)))</f>
        <v/>
      </c>
      <c r="G203" t="str" cm="1">
        <f t="array" aca="1" ref="G203" ca="1">IFERROR(INDIRECT($D$2&amp;"!h"&amp;Z203),INDIRECT("'"&amp;$D$2&amp;"'"&amp;"!h"&amp;Z203))</f>
        <v/>
      </c>
      <c r="H203" s="125" t="str" cm="1">
        <f t="array" aca="1" ref="H203" ca="1">IFERROR(INDIRECT($D$2&amp;"!i"&amp;Z203),INDIRECT("'"&amp;$D$2&amp;"'"&amp;"!i"&amp;Z203))</f>
        <v/>
      </c>
      <c r="I203" s="113" t="str" cm="1">
        <f t="array" aca="1" ref="I203" ca="1">IFERROR(IF($C203="","",INDIRECT($D$2&amp;"!j"&amp;$Z203)+INDIRECT($D$2&amp;"!n"&amp;$Z203)),IF($C203="","",INDIRECT("'"&amp;$D$2&amp;"'"&amp;"!j"&amp;$Z203)+INDIRECT("'"&amp;$D$2&amp;"'"&amp;"!n"&amp;$Z203)))</f>
        <v/>
      </c>
      <c r="J203" s="113" t="str">
        <f t="shared" ca="1" si="17"/>
        <v/>
      </c>
      <c r="K203" s="113" t="str" cm="1">
        <f t="array" aca="1" ref="K203" ca="1">IFERROR(IF($C203="","",INDIRECT($D$2&amp;"!l"&amp;$Z203)+INDIRECT($D$2&amp;"!p"&amp;$Z203)),IF($C203="","",INDIRECT("'"&amp;$D$2&amp;"'"&amp;"!l"&amp;$Z203)+INDIRECT("'"&amp;$D$2&amp;"'"&amp;"!p"&amp;$Z203)))</f>
        <v/>
      </c>
      <c r="M203" s="113" t="str" cm="1">
        <f t="array" aca="1" ref="M203" ca="1">IFERROR(IF($C203="","",INDIRECT($D$2&amp;"!r"&amp;Z203)),IF($C203="","",INDIRECT("'"&amp;$D$2&amp;"'"&amp;"!r"&amp;Z203)))</f>
        <v/>
      </c>
      <c r="N203" s="113" t="str">
        <f t="shared" ca="1" si="18"/>
        <v/>
      </c>
      <c r="O203" s="113" t="str" cm="1">
        <f t="array" aca="1" ref="O203" ca="1">IFERROR(IF($C203="","",INDIRECT($D$2&amp;"!t"&amp;Z203)),IF($C203="","",INDIRECT("'"&amp;$D$2&amp;"'"&amp;"!t"&amp;Z203)))</f>
        <v/>
      </c>
      <c r="Q203" s="113" t="str" cm="1">
        <f t="array" aca="1" ref="Q203" ca="1">IFERROR(IF($C203="","",INDIRECT($D$2&amp;"!v"&amp;Z203)),IF($C203="","",INDIRECT("'"&amp;$D$2&amp;"'"&amp;"!v"&amp;Z203)))</f>
        <v/>
      </c>
      <c r="R203" s="113" t="str">
        <f t="shared" ca="1" si="19"/>
        <v/>
      </c>
      <c r="S203" s="113" t="str" cm="1">
        <f t="array" aca="1" ref="S203" ca="1">IFERROR(IF($C203="","",INDIRECT($D$2&amp;"!x"&amp;Z203)),IF($C203="","",INDIRECT("'"&amp;$D$2&amp;"'"&amp;"!x"&amp;Z203)))</f>
        <v/>
      </c>
      <c r="U203" s="113" t="str" cm="1">
        <f t="array" aca="1" ref="U203" ca="1">IFERROR(IF($C203="","",INDIRECT($D$2&amp;"!z"&amp;Z203)),IF($C203="","",INDIRECT("'"&amp;$D$2&amp;"'"&amp;"!z"&amp;Z203)))</f>
        <v/>
      </c>
      <c r="V203" s="113" t="str">
        <f t="shared" ca="1" si="20"/>
        <v/>
      </c>
      <c r="W203" s="113" t="str" cm="1">
        <f t="array" aca="1" ref="W203" ca="1">IFERROR(IF($C203="","",INDIRECT($D$2&amp;"!ab"&amp;Z203)),IF($C203="","",INDIRECT("'"&amp;$D$2&amp;"'"&amp;"!ab"&amp;Z203)))</f>
        <v/>
      </c>
      <c r="X203" s="113"/>
      <c r="Y203" s="113" t="str">
        <f t="shared" ca="1" si="21"/>
        <v/>
      </c>
      <c r="Z203" s="35">
        <v>192</v>
      </c>
      <c r="AA203" s="113"/>
      <c r="AB203" s="35">
        <v>192</v>
      </c>
    </row>
    <row r="204" spans="3:28" x14ac:dyDescent="0.25">
      <c r="C204" t="str" cm="1">
        <f t="array" aca="1" ref="C204" ca="1">IFERROR(IF(INDIRECT($D$2&amp;"!B"&amp;Z204)="","",INDIRECT("'"&amp;$D$2&amp;"'"&amp;"!B"&amp;Z204)),IF(INDIRECT("'"&amp;$D$2&amp;"'"&amp;"!B"&amp;Z204)="","",INDIRECT("'"&amp;$D$2&amp;"'"&amp;"!B"&amp;Z204)))</f>
        <v/>
      </c>
      <c r="D204" t="str" cm="1">
        <f t="array" aca="1" ref="D204" ca="1">IFERROR(_xlfn.IFS(C204="","",C204&lt;&gt;"",INDEX(SF_Output!I:I,MATCH(C204,SF_Output!M:M,0))),IFERROR(INDEX(INDIRECT($D$2&amp;"!G:G"),MATCH(C204,INDIRECT($D$2&amp;"!B:B"),0)),INDEX(INDIRECT("'"&amp;$D$2&amp;"'!G:G"),MATCH(C204,INDIRECT("'"&amp;$D$2&amp;"'!B:B"),0))))</f>
        <v/>
      </c>
      <c r="E204" t="str" cm="1">
        <f t="array" aca="1" ref="E204" ca="1">IFERROR(IF(C204="","",INDIRECT($D$2&amp;"!F"&amp;Z204)),IF(C204="","",INDIRECT("'"&amp;$D$2&amp;"'"&amp;"!F"&amp;Z204)))</f>
        <v/>
      </c>
      <c r="F204" t="str" cm="1">
        <f t="array" aca="1" ref="F204" ca="1">IFERROR(IF(C204="","",INDIRECT($D$2&amp;"!ak"&amp;Z204)),IF(C204="","",INDIRECT("'"&amp;$D$2&amp;"'"&amp;"!ak"&amp;Z204)))</f>
        <v/>
      </c>
      <c r="G204" t="str" cm="1">
        <f t="array" aca="1" ref="G204" ca="1">IFERROR(INDIRECT($D$2&amp;"!h"&amp;Z204),INDIRECT("'"&amp;$D$2&amp;"'"&amp;"!h"&amp;Z204))</f>
        <v/>
      </c>
      <c r="H204" s="125" t="str" cm="1">
        <f t="array" aca="1" ref="H204" ca="1">IFERROR(INDIRECT($D$2&amp;"!i"&amp;Z204),INDIRECT("'"&amp;$D$2&amp;"'"&amp;"!i"&amp;Z204))</f>
        <v/>
      </c>
      <c r="I204" s="113" t="str" cm="1">
        <f t="array" aca="1" ref="I204" ca="1">IFERROR(IF($C204="","",INDIRECT($D$2&amp;"!j"&amp;$Z204)+INDIRECT($D$2&amp;"!n"&amp;$Z204)),IF($C204="","",INDIRECT("'"&amp;$D$2&amp;"'"&amp;"!j"&amp;$Z204)+INDIRECT("'"&amp;$D$2&amp;"'"&amp;"!n"&amp;$Z204)))</f>
        <v/>
      </c>
      <c r="J204" s="113" t="str">
        <f t="shared" ca="1" si="17"/>
        <v/>
      </c>
      <c r="K204" s="113" t="str" cm="1">
        <f t="array" aca="1" ref="K204" ca="1">IFERROR(IF($C204="","",INDIRECT($D$2&amp;"!l"&amp;$Z204)+INDIRECT($D$2&amp;"!p"&amp;$Z204)),IF($C204="","",INDIRECT("'"&amp;$D$2&amp;"'"&amp;"!l"&amp;$Z204)+INDIRECT("'"&amp;$D$2&amp;"'"&amp;"!p"&amp;$Z204)))</f>
        <v/>
      </c>
      <c r="M204" s="113" t="str" cm="1">
        <f t="array" aca="1" ref="M204" ca="1">IFERROR(IF($C204="","",INDIRECT($D$2&amp;"!r"&amp;Z204)),IF($C204="","",INDIRECT("'"&amp;$D$2&amp;"'"&amp;"!r"&amp;Z204)))</f>
        <v/>
      </c>
      <c r="N204" s="113" t="str">
        <f t="shared" ca="1" si="18"/>
        <v/>
      </c>
      <c r="O204" s="113" t="str" cm="1">
        <f t="array" aca="1" ref="O204" ca="1">IFERROR(IF($C204="","",INDIRECT($D$2&amp;"!t"&amp;Z204)),IF($C204="","",INDIRECT("'"&amp;$D$2&amp;"'"&amp;"!t"&amp;Z204)))</f>
        <v/>
      </c>
      <c r="Q204" s="113" t="str" cm="1">
        <f t="array" aca="1" ref="Q204" ca="1">IFERROR(IF($C204="","",INDIRECT($D$2&amp;"!v"&amp;Z204)),IF($C204="","",INDIRECT("'"&amp;$D$2&amp;"'"&amp;"!v"&amp;Z204)))</f>
        <v/>
      </c>
      <c r="R204" s="113" t="str">
        <f t="shared" ca="1" si="19"/>
        <v/>
      </c>
      <c r="S204" s="113" t="str" cm="1">
        <f t="array" aca="1" ref="S204" ca="1">IFERROR(IF($C204="","",INDIRECT($D$2&amp;"!x"&amp;Z204)),IF($C204="","",INDIRECT("'"&amp;$D$2&amp;"'"&amp;"!x"&amp;Z204)))</f>
        <v/>
      </c>
      <c r="U204" s="113" t="str" cm="1">
        <f t="array" aca="1" ref="U204" ca="1">IFERROR(IF($C204="","",INDIRECT($D$2&amp;"!z"&amp;Z204)),IF($C204="","",INDIRECT("'"&amp;$D$2&amp;"'"&amp;"!z"&amp;Z204)))</f>
        <v/>
      </c>
      <c r="V204" s="113" t="str">
        <f t="shared" ca="1" si="20"/>
        <v/>
      </c>
      <c r="W204" s="113" t="str" cm="1">
        <f t="array" aca="1" ref="W204" ca="1">IFERROR(IF($C204="","",INDIRECT($D$2&amp;"!ab"&amp;Z204)),IF($C204="","",INDIRECT("'"&amp;$D$2&amp;"'"&amp;"!ab"&amp;Z204)))</f>
        <v/>
      </c>
      <c r="X204" s="113"/>
      <c r="Y204" s="113" t="str">
        <f t="shared" ca="1" si="21"/>
        <v/>
      </c>
      <c r="Z204" s="35">
        <v>193</v>
      </c>
      <c r="AA204" s="113"/>
      <c r="AB204" s="35">
        <v>193</v>
      </c>
    </row>
    <row r="205" spans="3:28" x14ac:dyDescent="0.25">
      <c r="C205" t="str" cm="1">
        <f t="array" aca="1" ref="C205" ca="1">IFERROR(IF(INDIRECT($D$2&amp;"!B"&amp;Z205)="","",INDIRECT("'"&amp;$D$2&amp;"'"&amp;"!B"&amp;Z205)),IF(INDIRECT("'"&amp;$D$2&amp;"'"&amp;"!B"&amp;Z205)="","",INDIRECT("'"&amp;$D$2&amp;"'"&amp;"!B"&amp;Z205)))</f>
        <v/>
      </c>
      <c r="D205" t="str" cm="1">
        <f t="array" aca="1" ref="D205" ca="1">IFERROR(_xlfn.IFS(C205="","",C205&lt;&gt;"",INDEX(SF_Output!I:I,MATCH(C205,SF_Output!M:M,0))),IFERROR(INDEX(INDIRECT($D$2&amp;"!G:G"),MATCH(C205,INDIRECT($D$2&amp;"!B:B"),0)),INDEX(INDIRECT("'"&amp;$D$2&amp;"'!G:G"),MATCH(C205,INDIRECT("'"&amp;$D$2&amp;"'!B:B"),0))))</f>
        <v/>
      </c>
      <c r="E205" t="str" cm="1">
        <f t="array" aca="1" ref="E205" ca="1">IFERROR(IF(C205="","",INDIRECT($D$2&amp;"!F"&amp;Z205)),IF(C205="","",INDIRECT("'"&amp;$D$2&amp;"'"&amp;"!F"&amp;Z205)))</f>
        <v/>
      </c>
      <c r="F205" t="str" cm="1">
        <f t="array" aca="1" ref="F205" ca="1">IFERROR(IF(C205="","",INDIRECT($D$2&amp;"!ak"&amp;Z205)),IF(C205="","",INDIRECT("'"&amp;$D$2&amp;"'"&amp;"!ak"&amp;Z205)))</f>
        <v/>
      </c>
      <c r="G205" t="str" cm="1">
        <f t="array" aca="1" ref="G205" ca="1">IFERROR(INDIRECT($D$2&amp;"!h"&amp;Z205),INDIRECT("'"&amp;$D$2&amp;"'"&amp;"!h"&amp;Z205))</f>
        <v/>
      </c>
      <c r="H205" s="125" t="str" cm="1">
        <f t="array" aca="1" ref="H205" ca="1">IFERROR(INDIRECT($D$2&amp;"!i"&amp;Z205),INDIRECT("'"&amp;$D$2&amp;"'"&amp;"!i"&amp;Z205))</f>
        <v/>
      </c>
      <c r="I205" s="113" t="str" cm="1">
        <f t="array" aca="1" ref="I205" ca="1">IFERROR(IF($C205="","",INDIRECT($D$2&amp;"!j"&amp;$Z205)+INDIRECT($D$2&amp;"!n"&amp;$Z205)),IF($C205="","",INDIRECT("'"&amp;$D$2&amp;"'"&amp;"!j"&amp;$Z205)+INDIRECT("'"&amp;$D$2&amp;"'"&amp;"!n"&amp;$Z205)))</f>
        <v/>
      </c>
      <c r="J205" s="113" t="str">
        <f t="shared" ca="1" si="17"/>
        <v/>
      </c>
      <c r="K205" s="113" t="str" cm="1">
        <f t="array" aca="1" ref="K205" ca="1">IFERROR(IF($C205="","",INDIRECT($D$2&amp;"!l"&amp;$Z205)+INDIRECT($D$2&amp;"!p"&amp;$Z205)),IF($C205="","",INDIRECT("'"&amp;$D$2&amp;"'"&amp;"!l"&amp;$Z205)+INDIRECT("'"&amp;$D$2&amp;"'"&amp;"!p"&amp;$Z205)))</f>
        <v/>
      </c>
      <c r="M205" s="113" t="str" cm="1">
        <f t="array" aca="1" ref="M205" ca="1">IFERROR(IF($C205="","",INDIRECT($D$2&amp;"!r"&amp;Z205)),IF($C205="","",INDIRECT("'"&amp;$D$2&amp;"'"&amp;"!r"&amp;Z205)))</f>
        <v/>
      </c>
      <c r="N205" s="113" t="str">
        <f t="shared" ca="1" si="18"/>
        <v/>
      </c>
      <c r="O205" s="113" t="str" cm="1">
        <f t="array" aca="1" ref="O205" ca="1">IFERROR(IF($C205="","",INDIRECT($D$2&amp;"!t"&amp;Z205)),IF($C205="","",INDIRECT("'"&amp;$D$2&amp;"'"&amp;"!t"&amp;Z205)))</f>
        <v/>
      </c>
      <c r="Q205" s="113" t="str" cm="1">
        <f t="array" aca="1" ref="Q205" ca="1">IFERROR(IF($C205="","",INDIRECT($D$2&amp;"!v"&amp;Z205)),IF($C205="","",INDIRECT("'"&amp;$D$2&amp;"'"&amp;"!v"&amp;Z205)))</f>
        <v/>
      </c>
      <c r="R205" s="113" t="str">
        <f t="shared" ca="1" si="19"/>
        <v/>
      </c>
      <c r="S205" s="113" t="str" cm="1">
        <f t="array" aca="1" ref="S205" ca="1">IFERROR(IF($C205="","",INDIRECT($D$2&amp;"!x"&amp;Z205)),IF($C205="","",INDIRECT("'"&amp;$D$2&amp;"'"&amp;"!x"&amp;Z205)))</f>
        <v/>
      </c>
      <c r="U205" s="113" t="str" cm="1">
        <f t="array" aca="1" ref="U205" ca="1">IFERROR(IF($C205="","",INDIRECT($D$2&amp;"!z"&amp;Z205)),IF($C205="","",INDIRECT("'"&amp;$D$2&amp;"'"&amp;"!z"&amp;Z205)))</f>
        <v/>
      </c>
      <c r="V205" s="113" t="str">
        <f t="shared" ca="1" si="20"/>
        <v/>
      </c>
      <c r="W205" s="113" t="str" cm="1">
        <f t="array" aca="1" ref="W205" ca="1">IFERROR(IF($C205="","",INDIRECT($D$2&amp;"!ab"&amp;Z205)),IF($C205="","",INDIRECT("'"&amp;$D$2&amp;"'"&amp;"!ab"&amp;Z205)))</f>
        <v/>
      </c>
      <c r="X205" s="113"/>
      <c r="Y205" s="113" t="str">
        <f t="shared" ca="1" si="21"/>
        <v/>
      </c>
      <c r="Z205" s="35">
        <v>194</v>
      </c>
      <c r="AA205" s="113"/>
      <c r="AB205" s="35">
        <v>194</v>
      </c>
    </row>
    <row r="206" spans="3:28" x14ac:dyDescent="0.25">
      <c r="C206" t="str" cm="1">
        <f t="array" aca="1" ref="C206" ca="1">IFERROR(IF(INDIRECT($D$2&amp;"!B"&amp;Z206)="","",INDIRECT("'"&amp;$D$2&amp;"'"&amp;"!B"&amp;Z206)),IF(INDIRECT("'"&amp;$D$2&amp;"'"&amp;"!B"&amp;Z206)="","",INDIRECT("'"&amp;$D$2&amp;"'"&amp;"!B"&amp;Z206)))</f>
        <v/>
      </c>
      <c r="D206" t="str" cm="1">
        <f t="array" aca="1" ref="D206" ca="1">IFERROR(_xlfn.IFS(C206="","",C206&lt;&gt;"",INDEX(SF_Output!I:I,MATCH(C206,SF_Output!M:M,0))),IFERROR(INDEX(INDIRECT($D$2&amp;"!G:G"),MATCH(C206,INDIRECT($D$2&amp;"!B:B"),0)),INDEX(INDIRECT("'"&amp;$D$2&amp;"'!G:G"),MATCH(C206,INDIRECT("'"&amp;$D$2&amp;"'!B:B"),0))))</f>
        <v/>
      </c>
      <c r="E206" t="str" cm="1">
        <f t="array" aca="1" ref="E206" ca="1">IFERROR(IF(C206="","",INDIRECT($D$2&amp;"!F"&amp;Z206)),IF(C206="","",INDIRECT("'"&amp;$D$2&amp;"'"&amp;"!F"&amp;Z206)))</f>
        <v/>
      </c>
      <c r="F206" t="str" cm="1">
        <f t="array" aca="1" ref="F206" ca="1">IFERROR(IF(C206="","",INDIRECT($D$2&amp;"!ak"&amp;Z206)),IF(C206="","",INDIRECT("'"&amp;$D$2&amp;"'"&amp;"!ak"&amp;Z206)))</f>
        <v/>
      </c>
      <c r="G206" t="str" cm="1">
        <f t="array" aca="1" ref="G206" ca="1">IFERROR(INDIRECT($D$2&amp;"!h"&amp;Z206),INDIRECT("'"&amp;$D$2&amp;"'"&amp;"!h"&amp;Z206))</f>
        <v/>
      </c>
      <c r="H206" s="125" t="str" cm="1">
        <f t="array" aca="1" ref="H206" ca="1">IFERROR(INDIRECT($D$2&amp;"!i"&amp;Z206),INDIRECT("'"&amp;$D$2&amp;"'"&amp;"!i"&amp;Z206))</f>
        <v/>
      </c>
      <c r="I206" s="113" t="str" cm="1">
        <f t="array" aca="1" ref="I206" ca="1">IFERROR(IF($C206="","",INDIRECT($D$2&amp;"!j"&amp;$Z206)+INDIRECT($D$2&amp;"!n"&amp;$Z206)),IF($C206="","",INDIRECT("'"&amp;$D$2&amp;"'"&amp;"!j"&amp;$Z206)+INDIRECT("'"&amp;$D$2&amp;"'"&amp;"!n"&amp;$Z206)))</f>
        <v/>
      </c>
      <c r="J206" s="113" t="str">
        <f t="shared" ca="1" si="17"/>
        <v/>
      </c>
      <c r="K206" s="113" t="str" cm="1">
        <f t="array" aca="1" ref="K206" ca="1">IFERROR(IF($C206="","",INDIRECT($D$2&amp;"!l"&amp;$Z206)+INDIRECT($D$2&amp;"!p"&amp;$Z206)),IF($C206="","",INDIRECT("'"&amp;$D$2&amp;"'"&amp;"!l"&amp;$Z206)+INDIRECT("'"&amp;$D$2&amp;"'"&amp;"!p"&amp;$Z206)))</f>
        <v/>
      </c>
      <c r="M206" s="113" t="str" cm="1">
        <f t="array" aca="1" ref="M206" ca="1">IFERROR(IF($C206="","",INDIRECT($D$2&amp;"!r"&amp;Z206)),IF($C206="","",INDIRECT("'"&amp;$D$2&amp;"'"&amp;"!r"&amp;Z206)))</f>
        <v/>
      </c>
      <c r="N206" s="113" t="str">
        <f t="shared" ca="1" si="18"/>
        <v/>
      </c>
      <c r="O206" s="113" t="str" cm="1">
        <f t="array" aca="1" ref="O206" ca="1">IFERROR(IF($C206="","",INDIRECT($D$2&amp;"!t"&amp;Z206)),IF($C206="","",INDIRECT("'"&amp;$D$2&amp;"'"&amp;"!t"&amp;Z206)))</f>
        <v/>
      </c>
      <c r="Q206" s="113" t="str" cm="1">
        <f t="array" aca="1" ref="Q206" ca="1">IFERROR(IF($C206="","",INDIRECT($D$2&amp;"!v"&amp;Z206)),IF($C206="","",INDIRECT("'"&amp;$D$2&amp;"'"&amp;"!v"&amp;Z206)))</f>
        <v/>
      </c>
      <c r="R206" s="113" t="str">
        <f t="shared" ca="1" si="19"/>
        <v/>
      </c>
      <c r="S206" s="113" t="str" cm="1">
        <f t="array" aca="1" ref="S206" ca="1">IFERROR(IF($C206="","",INDIRECT($D$2&amp;"!x"&amp;Z206)),IF($C206="","",INDIRECT("'"&amp;$D$2&amp;"'"&amp;"!x"&amp;Z206)))</f>
        <v/>
      </c>
      <c r="U206" s="113" t="str" cm="1">
        <f t="array" aca="1" ref="U206" ca="1">IFERROR(IF($C206="","",INDIRECT($D$2&amp;"!z"&amp;Z206)),IF($C206="","",INDIRECT("'"&amp;$D$2&amp;"'"&amp;"!z"&amp;Z206)))</f>
        <v/>
      </c>
      <c r="V206" s="113" t="str">
        <f t="shared" ca="1" si="20"/>
        <v/>
      </c>
      <c r="W206" s="113" t="str" cm="1">
        <f t="array" aca="1" ref="W206" ca="1">IFERROR(IF($C206="","",INDIRECT($D$2&amp;"!ab"&amp;Z206)),IF($C206="","",INDIRECT("'"&amp;$D$2&amp;"'"&amp;"!ab"&amp;Z206)))</f>
        <v/>
      </c>
      <c r="X206" s="113"/>
      <c r="Y206" s="113" t="str">
        <f t="shared" ca="1" si="21"/>
        <v/>
      </c>
      <c r="Z206" s="35">
        <v>195</v>
      </c>
      <c r="AA206" s="113"/>
      <c r="AB206" s="35">
        <v>195</v>
      </c>
    </row>
    <row r="207" spans="3:28" x14ac:dyDescent="0.25">
      <c r="C207" t="str" cm="1">
        <f t="array" aca="1" ref="C207" ca="1">IFERROR(IF(INDIRECT($D$2&amp;"!B"&amp;Z207)="","",INDIRECT("'"&amp;$D$2&amp;"'"&amp;"!B"&amp;Z207)),IF(INDIRECT("'"&amp;$D$2&amp;"'"&amp;"!B"&amp;Z207)="","",INDIRECT("'"&amp;$D$2&amp;"'"&amp;"!B"&amp;Z207)))</f>
        <v/>
      </c>
      <c r="D207" t="str" cm="1">
        <f t="array" aca="1" ref="D207" ca="1">IFERROR(_xlfn.IFS(C207="","",C207&lt;&gt;"",INDEX(SF_Output!I:I,MATCH(C207,SF_Output!M:M,0))),IFERROR(INDEX(INDIRECT($D$2&amp;"!G:G"),MATCH(C207,INDIRECT($D$2&amp;"!B:B"),0)),INDEX(INDIRECT("'"&amp;$D$2&amp;"'!G:G"),MATCH(C207,INDIRECT("'"&amp;$D$2&amp;"'!B:B"),0))))</f>
        <v/>
      </c>
      <c r="E207" t="str" cm="1">
        <f t="array" aca="1" ref="E207" ca="1">IFERROR(IF(C207="","",INDIRECT($D$2&amp;"!F"&amp;Z207)),IF(C207="","",INDIRECT("'"&amp;$D$2&amp;"'"&amp;"!F"&amp;Z207)))</f>
        <v/>
      </c>
      <c r="F207" t="str" cm="1">
        <f t="array" aca="1" ref="F207" ca="1">IFERROR(IF(C207="","",INDIRECT($D$2&amp;"!ak"&amp;Z207)),IF(C207="","",INDIRECT("'"&amp;$D$2&amp;"'"&amp;"!ak"&amp;Z207)))</f>
        <v/>
      </c>
      <c r="G207" t="str" cm="1">
        <f t="array" aca="1" ref="G207" ca="1">IFERROR(INDIRECT($D$2&amp;"!h"&amp;Z207),INDIRECT("'"&amp;$D$2&amp;"'"&amp;"!h"&amp;Z207))</f>
        <v/>
      </c>
      <c r="H207" s="125" t="str" cm="1">
        <f t="array" aca="1" ref="H207" ca="1">IFERROR(INDIRECT($D$2&amp;"!i"&amp;Z207),INDIRECT("'"&amp;$D$2&amp;"'"&amp;"!i"&amp;Z207))</f>
        <v/>
      </c>
      <c r="I207" s="113" t="str" cm="1">
        <f t="array" aca="1" ref="I207" ca="1">IFERROR(IF($C207="","",INDIRECT($D$2&amp;"!j"&amp;$Z207)+INDIRECT($D$2&amp;"!n"&amp;$Z207)),IF($C207="","",INDIRECT("'"&amp;$D$2&amp;"'"&amp;"!j"&amp;$Z207)+INDIRECT("'"&amp;$D$2&amp;"'"&amp;"!n"&amp;$Z207)))</f>
        <v/>
      </c>
      <c r="J207" s="113" t="str">
        <f t="shared" ca="1" si="17"/>
        <v/>
      </c>
      <c r="K207" s="113" t="str" cm="1">
        <f t="array" aca="1" ref="K207" ca="1">IFERROR(IF($C207="","",INDIRECT($D$2&amp;"!l"&amp;$Z207)+INDIRECT($D$2&amp;"!p"&amp;$Z207)),IF($C207="","",INDIRECT("'"&amp;$D$2&amp;"'"&amp;"!l"&amp;$Z207)+INDIRECT("'"&amp;$D$2&amp;"'"&amp;"!p"&amp;$Z207)))</f>
        <v/>
      </c>
      <c r="M207" s="113" t="str" cm="1">
        <f t="array" aca="1" ref="M207" ca="1">IFERROR(IF($C207="","",INDIRECT($D$2&amp;"!r"&amp;Z207)),IF($C207="","",INDIRECT("'"&amp;$D$2&amp;"'"&amp;"!r"&amp;Z207)))</f>
        <v/>
      </c>
      <c r="N207" s="113" t="str">
        <f t="shared" ca="1" si="18"/>
        <v/>
      </c>
      <c r="O207" s="113" t="str" cm="1">
        <f t="array" aca="1" ref="O207" ca="1">IFERROR(IF($C207="","",INDIRECT($D$2&amp;"!t"&amp;Z207)),IF($C207="","",INDIRECT("'"&amp;$D$2&amp;"'"&amp;"!t"&amp;Z207)))</f>
        <v/>
      </c>
      <c r="Q207" s="113" t="str" cm="1">
        <f t="array" aca="1" ref="Q207" ca="1">IFERROR(IF($C207="","",INDIRECT($D$2&amp;"!v"&amp;Z207)),IF($C207="","",INDIRECT("'"&amp;$D$2&amp;"'"&amp;"!v"&amp;Z207)))</f>
        <v/>
      </c>
      <c r="R207" s="113" t="str">
        <f t="shared" ca="1" si="19"/>
        <v/>
      </c>
      <c r="S207" s="113" t="str" cm="1">
        <f t="array" aca="1" ref="S207" ca="1">IFERROR(IF($C207="","",INDIRECT($D$2&amp;"!x"&amp;Z207)),IF($C207="","",INDIRECT("'"&amp;$D$2&amp;"'"&amp;"!x"&amp;Z207)))</f>
        <v/>
      </c>
      <c r="U207" s="113" t="str" cm="1">
        <f t="array" aca="1" ref="U207" ca="1">IFERROR(IF($C207="","",INDIRECT($D$2&amp;"!z"&amp;Z207)),IF($C207="","",INDIRECT("'"&amp;$D$2&amp;"'"&amp;"!z"&amp;Z207)))</f>
        <v/>
      </c>
      <c r="V207" s="113" t="str">
        <f t="shared" ca="1" si="20"/>
        <v/>
      </c>
      <c r="W207" s="113" t="str" cm="1">
        <f t="array" aca="1" ref="W207" ca="1">IFERROR(IF($C207="","",INDIRECT($D$2&amp;"!ab"&amp;Z207)),IF($C207="","",INDIRECT("'"&amp;$D$2&amp;"'"&amp;"!ab"&amp;Z207)))</f>
        <v/>
      </c>
      <c r="X207" s="113"/>
      <c r="Y207" s="113" t="str">
        <f t="shared" ca="1" si="21"/>
        <v/>
      </c>
      <c r="Z207" s="35">
        <v>196</v>
      </c>
      <c r="AA207" s="113"/>
      <c r="AB207" s="35">
        <v>196</v>
      </c>
    </row>
    <row r="208" spans="3:28" x14ac:dyDescent="0.25">
      <c r="C208" t="str" cm="1">
        <f t="array" aca="1" ref="C208" ca="1">IFERROR(IF(INDIRECT($D$2&amp;"!B"&amp;Z208)="","",INDIRECT("'"&amp;$D$2&amp;"'"&amp;"!B"&amp;Z208)),IF(INDIRECT("'"&amp;$D$2&amp;"'"&amp;"!B"&amp;Z208)="","",INDIRECT("'"&amp;$D$2&amp;"'"&amp;"!B"&amp;Z208)))</f>
        <v/>
      </c>
      <c r="D208" t="str" cm="1">
        <f t="array" aca="1" ref="D208" ca="1">IFERROR(_xlfn.IFS(C208="","",C208&lt;&gt;"",INDEX(SF_Output!I:I,MATCH(C208,SF_Output!M:M,0))),IFERROR(INDEX(INDIRECT($D$2&amp;"!G:G"),MATCH(C208,INDIRECT($D$2&amp;"!B:B"),0)),INDEX(INDIRECT("'"&amp;$D$2&amp;"'!G:G"),MATCH(C208,INDIRECT("'"&amp;$D$2&amp;"'!B:B"),0))))</f>
        <v/>
      </c>
      <c r="E208" t="str" cm="1">
        <f t="array" aca="1" ref="E208" ca="1">IFERROR(IF(C208="","",INDIRECT($D$2&amp;"!F"&amp;Z208)),IF(C208="","",INDIRECT("'"&amp;$D$2&amp;"'"&amp;"!F"&amp;Z208)))</f>
        <v/>
      </c>
      <c r="F208" t="str" cm="1">
        <f t="array" aca="1" ref="F208" ca="1">IFERROR(IF(C208="","",INDIRECT($D$2&amp;"!ak"&amp;Z208)),IF(C208="","",INDIRECT("'"&amp;$D$2&amp;"'"&amp;"!ak"&amp;Z208)))</f>
        <v/>
      </c>
      <c r="G208" t="str" cm="1">
        <f t="array" aca="1" ref="G208" ca="1">IFERROR(INDIRECT($D$2&amp;"!h"&amp;Z208),INDIRECT("'"&amp;$D$2&amp;"'"&amp;"!h"&amp;Z208))</f>
        <v/>
      </c>
      <c r="H208" s="125" t="str" cm="1">
        <f t="array" aca="1" ref="H208" ca="1">IFERROR(INDIRECT($D$2&amp;"!i"&amp;Z208),INDIRECT("'"&amp;$D$2&amp;"'"&amp;"!i"&amp;Z208))</f>
        <v/>
      </c>
      <c r="I208" s="113" t="str" cm="1">
        <f t="array" aca="1" ref="I208" ca="1">IFERROR(IF($C208="","",INDIRECT($D$2&amp;"!j"&amp;$Z208)+INDIRECT($D$2&amp;"!n"&amp;$Z208)),IF($C208="","",INDIRECT("'"&amp;$D$2&amp;"'"&amp;"!j"&amp;$Z208)+INDIRECT("'"&amp;$D$2&amp;"'"&amp;"!n"&amp;$Z208)))</f>
        <v/>
      </c>
      <c r="J208" s="113" t="str">
        <f t="shared" ca="1" si="17"/>
        <v/>
      </c>
      <c r="K208" s="113" t="str" cm="1">
        <f t="array" aca="1" ref="K208" ca="1">IFERROR(IF($C208="","",INDIRECT($D$2&amp;"!l"&amp;$Z208)+INDIRECT($D$2&amp;"!p"&amp;$Z208)),IF($C208="","",INDIRECT("'"&amp;$D$2&amp;"'"&amp;"!l"&amp;$Z208)+INDIRECT("'"&amp;$D$2&amp;"'"&amp;"!p"&amp;$Z208)))</f>
        <v/>
      </c>
      <c r="M208" s="113" t="str" cm="1">
        <f t="array" aca="1" ref="M208" ca="1">IFERROR(IF($C208="","",INDIRECT($D$2&amp;"!r"&amp;Z208)),IF($C208="","",INDIRECT("'"&amp;$D$2&amp;"'"&amp;"!r"&amp;Z208)))</f>
        <v/>
      </c>
      <c r="N208" s="113" t="str">
        <f t="shared" ca="1" si="18"/>
        <v/>
      </c>
      <c r="O208" s="113" t="str" cm="1">
        <f t="array" aca="1" ref="O208" ca="1">IFERROR(IF($C208="","",INDIRECT($D$2&amp;"!t"&amp;Z208)),IF($C208="","",INDIRECT("'"&amp;$D$2&amp;"'"&amp;"!t"&amp;Z208)))</f>
        <v/>
      </c>
      <c r="Q208" s="113" t="str" cm="1">
        <f t="array" aca="1" ref="Q208" ca="1">IFERROR(IF($C208="","",INDIRECT($D$2&amp;"!v"&amp;Z208)),IF($C208="","",INDIRECT("'"&amp;$D$2&amp;"'"&amp;"!v"&amp;Z208)))</f>
        <v/>
      </c>
      <c r="R208" s="113" t="str">
        <f t="shared" ca="1" si="19"/>
        <v/>
      </c>
      <c r="S208" s="113" t="str" cm="1">
        <f t="array" aca="1" ref="S208" ca="1">IFERROR(IF($C208="","",INDIRECT($D$2&amp;"!x"&amp;Z208)),IF($C208="","",INDIRECT("'"&amp;$D$2&amp;"'"&amp;"!x"&amp;Z208)))</f>
        <v/>
      </c>
      <c r="U208" s="113" t="str" cm="1">
        <f t="array" aca="1" ref="U208" ca="1">IFERROR(IF($C208="","",INDIRECT($D$2&amp;"!z"&amp;Z208)),IF($C208="","",INDIRECT("'"&amp;$D$2&amp;"'"&amp;"!z"&amp;Z208)))</f>
        <v/>
      </c>
      <c r="V208" s="113" t="str">
        <f t="shared" ca="1" si="20"/>
        <v/>
      </c>
      <c r="W208" s="113" t="str" cm="1">
        <f t="array" aca="1" ref="W208" ca="1">IFERROR(IF($C208="","",INDIRECT($D$2&amp;"!ab"&amp;Z208)),IF($C208="","",INDIRECT("'"&amp;$D$2&amp;"'"&amp;"!ab"&amp;Z208)))</f>
        <v/>
      </c>
      <c r="X208" s="113"/>
      <c r="Y208" s="113" t="str">
        <f t="shared" ca="1" si="21"/>
        <v/>
      </c>
      <c r="Z208" s="35">
        <v>197</v>
      </c>
      <c r="AA208" s="113"/>
      <c r="AB208" s="35">
        <v>197</v>
      </c>
    </row>
    <row r="209" spans="3:28" x14ac:dyDescent="0.25">
      <c r="C209" t="str" cm="1">
        <f t="array" aca="1" ref="C209" ca="1">IFERROR(IF(INDIRECT($D$2&amp;"!B"&amp;Z209)="","",INDIRECT("'"&amp;$D$2&amp;"'"&amp;"!B"&amp;Z209)),IF(INDIRECT("'"&amp;$D$2&amp;"'"&amp;"!B"&amp;Z209)="","",INDIRECT("'"&amp;$D$2&amp;"'"&amp;"!B"&amp;Z209)))</f>
        <v/>
      </c>
      <c r="D209" t="str" cm="1">
        <f t="array" aca="1" ref="D209" ca="1">IFERROR(_xlfn.IFS(C209="","",C209&lt;&gt;"",INDEX(SF_Output!I:I,MATCH(C209,SF_Output!M:M,0))),IFERROR(INDEX(INDIRECT($D$2&amp;"!G:G"),MATCH(C209,INDIRECT($D$2&amp;"!B:B"),0)),INDEX(INDIRECT("'"&amp;$D$2&amp;"'!G:G"),MATCH(C209,INDIRECT("'"&amp;$D$2&amp;"'!B:B"),0))))</f>
        <v/>
      </c>
      <c r="E209" t="str" cm="1">
        <f t="array" aca="1" ref="E209" ca="1">IFERROR(IF(C209="","",INDIRECT($D$2&amp;"!F"&amp;Z209)),IF(C209="","",INDIRECT("'"&amp;$D$2&amp;"'"&amp;"!F"&amp;Z209)))</f>
        <v/>
      </c>
      <c r="F209" t="str" cm="1">
        <f t="array" aca="1" ref="F209" ca="1">IFERROR(IF(C209="","",INDIRECT($D$2&amp;"!ak"&amp;Z209)),IF(C209="","",INDIRECT("'"&amp;$D$2&amp;"'"&amp;"!ak"&amp;Z209)))</f>
        <v/>
      </c>
      <c r="G209" t="str" cm="1">
        <f t="array" aca="1" ref="G209" ca="1">IFERROR(INDIRECT($D$2&amp;"!h"&amp;Z209),INDIRECT("'"&amp;$D$2&amp;"'"&amp;"!h"&amp;Z209))</f>
        <v/>
      </c>
      <c r="H209" s="125" t="str" cm="1">
        <f t="array" aca="1" ref="H209" ca="1">IFERROR(INDIRECT($D$2&amp;"!i"&amp;Z209),INDIRECT("'"&amp;$D$2&amp;"'"&amp;"!i"&amp;Z209))</f>
        <v/>
      </c>
      <c r="I209" s="113" t="str" cm="1">
        <f t="array" aca="1" ref="I209" ca="1">IFERROR(IF($C209="","",INDIRECT($D$2&amp;"!j"&amp;$Z209)+INDIRECT($D$2&amp;"!n"&amp;$Z209)),IF($C209="","",INDIRECT("'"&amp;$D$2&amp;"'"&amp;"!j"&amp;$Z209)+INDIRECT("'"&amp;$D$2&amp;"'"&amp;"!n"&amp;$Z209)))</f>
        <v/>
      </c>
      <c r="J209" s="113" t="str">
        <f t="shared" ca="1" si="17"/>
        <v/>
      </c>
      <c r="K209" s="113" t="str" cm="1">
        <f t="array" aca="1" ref="K209" ca="1">IFERROR(IF($C209="","",INDIRECT($D$2&amp;"!l"&amp;$Z209)+INDIRECT($D$2&amp;"!p"&amp;$Z209)),IF($C209="","",INDIRECT("'"&amp;$D$2&amp;"'"&amp;"!l"&amp;$Z209)+INDIRECT("'"&amp;$D$2&amp;"'"&amp;"!p"&amp;$Z209)))</f>
        <v/>
      </c>
      <c r="M209" s="113" t="str" cm="1">
        <f t="array" aca="1" ref="M209" ca="1">IFERROR(IF($C209="","",INDIRECT($D$2&amp;"!r"&amp;Z209)),IF($C209="","",INDIRECT("'"&amp;$D$2&amp;"'"&amp;"!r"&amp;Z209)))</f>
        <v/>
      </c>
      <c r="N209" s="113" t="str">
        <f t="shared" ca="1" si="18"/>
        <v/>
      </c>
      <c r="O209" s="113" t="str" cm="1">
        <f t="array" aca="1" ref="O209" ca="1">IFERROR(IF($C209="","",INDIRECT($D$2&amp;"!t"&amp;Z209)),IF($C209="","",INDIRECT("'"&amp;$D$2&amp;"'"&amp;"!t"&amp;Z209)))</f>
        <v/>
      </c>
      <c r="Q209" s="113" t="str" cm="1">
        <f t="array" aca="1" ref="Q209" ca="1">IFERROR(IF($C209="","",INDIRECT($D$2&amp;"!v"&amp;Z209)),IF($C209="","",INDIRECT("'"&amp;$D$2&amp;"'"&amp;"!v"&amp;Z209)))</f>
        <v/>
      </c>
      <c r="R209" s="113" t="str">
        <f t="shared" ca="1" si="19"/>
        <v/>
      </c>
      <c r="S209" s="113" t="str" cm="1">
        <f t="array" aca="1" ref="S209" ca="1">IFERROR(IF($C209="","",INDIRECT($D$2&amp;"!x"&amp;Z209)),IF($C209="","",INDIRECT("'"&amp;$D$2&amp;"'"&amp;"!x"&amp;Z209)))</f>
        <v/>
      </c>
      <c r="U209" s="113" t="str" cm="1">
        <f t="array" aca="1" ref="U209" ca="1">IFERROR(IF($C209="","",INDIRECT($D$2&amp;"!z"&amp;Z209)),IF($C209="","",INDIRECT("'"&amp;$D$2&amp;"'"&amp;"!z"&amp;Z209)))</f>
        <v/>
      </c>
      <c r="V209" s="113" t="str">
        <f t="shared" ca="1" si="20"/>
        <v/>
      </c>
      <c r="W209" s="113" t="str" cm="1">
        <f t="array" aca="1" ref="W209" ca="1">IFERROR(IF($C209="","",INDIRECT($D$2&amp;"!ab"&amp;Z209)),IF($C209="","",INDIRECT("'"&amp;$D$2&amp;"'"&amp;"!ab"&amp;Z209)))</f>
        <v/>
      </c>
      <c r="X209" s="113"/>
      <c r="Y209" s="113" t="str">
        <f t="shared" ca="1" si="21"/>
        <v/>
      </c>
      <c r="Z209" s="35">
        <v>198</v>
      </c>
      <c r="AA209" s="113"/>
      <c r="AB209" s="35">
        <v>198</v>
      </c>
    </row>
    <row r="210" spans="3:28" x14ac:dyDescent="0.25">
      <c r="C210" t="str" cm="1">
        <f t="array" aca="1" ref="C210" ca="1">IFERROR(IF(INDIRECT($D$2&amp;"!B"&amp;Z210)="","",INDIRECT("'"&amp;$D$2&amp;"'"&amp;"!B"&amp;Z210)),IF(INDIRECT("'"&amp;$D$2&amp;"'"&amp;"!B"&amp;Z210)="","",INDIRECT("'"&amp;$D$2&amp;"'"&amp;"!B"&amp;Z210)))</f>
        <v/>
      </c>
      <c r="D210" t="str" cm="1">
        <f t="array" aca="1" ref="D210" ca="1">IFERROR(_xlfn.IFS(C210="","",C210&lt;&gt;"",INDEX(SF_Output!I:I,MATCH(C210,SF_Output!M:M,0))),IFERROR(INDEX(INDIRECT($D$2&amp;"!G:G"),MATCH(C210,INDIRECT($D$2&amp;"!B:B"),0)),INDEX(INDIRECT("'"&amp;$D$2&amp;"'!G:G"),MATCH(C210,INDIRECT("'"&amp;$D$2&amp;"'!B:B"),0))))</f>
        <v/>
      </c>
      <c r="E210" t="str" cm="1">
        <f t="array" aca="1" ref="E210" ca="1">IFERROR(IF(C210="","",INDIRECT($D$2&amp;"!F"&amp;Z210)),IF(C210="","",INDIRECT("'"&amp;$D$2&amp;"'"&amp;"!F"&amp;Z210)))</f>
        <v/>
      </c>
      <c r="F210" t="str" cm="1">
        <f t="array" aca="1" ref="F210" ca="1">IFERROR(IF(C210="","",INDIRECT($D$2&amp;"!ak"&amp;Z210)),IF(C210="","",INDIRECT("'"&amp;$D$2&amp;"'"&amp;"!ak"&amp;Z210)))</f>
        <v/>
      </c>
      <c r="G210" t="str" cm="1">
        <f t="array" aca="1" ref="G210" ca="1">IFERROR(INDIRECT($D$2&amp;"!h"&amp;Z210),INDIRECT("'"&amp;$D$2&amp;"'"&amp;"!h"&amp;Z210))</f>
        <v/>
      </c>
      <c r="H210" s="125" t="str" cm="1">
        <f t="array" aca="1" ref="H210" ca="1">IFERROR(INDIRECT($D$2&amp;"!i"&amp;Z210),INDIRECT("'"&amp;$D$2&amp;"'"&amp;"!i"&amp;Z210))</f>
        <v/>
      </c>
      <c r="I210" s="113" t="str" cm="1">
        <f t="array" aca="1" ref="I210" ca="1">IFERROR(IF($C210="","",INDIRECT($D$2&amp;"!j"&amp;$Z210)+INDIRECT($D$2&amp;"!n"&amp;$Z210)),IF($C210="","",INDIRECT("'"&amp;$D$2&amp;"'"&amp;"!j"&amp;$Z210)+INDIRECT("'"&amp;$D$2&amp;"'"&amp;"!n"&amp;$Z210)))</f>
        <v/>
      </c>
      <c r="J210" s="113" t="str">
        <f t="shared" ca="1" si="17"/>
        <v/>
      </c>
      <c r="K210" s="113" t="str" cm="1">
        <f t="array" aca="1" ref="K210" ca="1">IFERROR(IF($C210="","",INDIRECT($D$2&amp;"!l"&amp;$Z210)+INDIRECT($D$2&amp;"!p"&amp;$Z210)),IF($C210="","",INDIRECT("'"&amp;$D$2&amp;"'"&amp;"!l"&amp;$Z210)+INDIRECT("'"&amp;$D$2&amp;"'"&amp;"!p"&amp;$Z210)))</f>
        <v/>
      </c>
      <c r="M210" s="113" t="str" cm="1">
        <f t="array" aca="1" ref="M210" ca="1">IFERROR(IF($C210="","",INDIRECT($D$2&amp;"!r"&amp;Z210)),IF($C210="","",INDIRECT("'"&amp;$D$2&amp;"'"&amp;"!r"&amp;Z210)))</f>
        <v/>
      </c>
      <c r="N210" s="113" t="str">
        <f t="shared" ca="1" si="18"/>
        <v/>
      </c>
      <c r="O210" s="113" t="str" cm="1">
        <f t="array" aca="1" ref="O210" ca="1">IFERROR(IF($C210="","",INDIRECT($D$2&amp;"!t"&amp;Z210)),IF($C210="","",INDIRECT("'"&amp;$D$2&amp;"'"&amp;"!t"&amp;Z210)))</f>
        <v/>
      </c>
      <c r="Q210" s="113" t="str" cm="1">
        <f t="array" aca="1" ref="Q210" ca="1">IFERROR(IF($C210="","",INDIRECT($D$2&amp;"!v"&amp;Z210)),IF($C210="","",INDIRECT("'"&amp;$D$2&amp;"'"&amp;"!v"&amp;Z210)))</f>
        <v/>
      </c>
      <c r="R210" s="113" t="str">
        <f t="shared" ca="1" si="19"/>
        <v/>
      </c>
      <c r="S210" s="113" t="str" cm="1">
        <f t="array" aca="1" ref="S210" ca="1">IFERROR(IF($C210="","",INDIRECT($D$2&amp;"!x"&amp;Z210)),IF($C210="","",INDIRECT("'"&amp;$D$2&amp;"'"&amp;"!x"&amp;Z210)))</f>
        <v/>
      </c>
      <c r="U210" s="113" t="str" cm="1">
        <f t="array" aca="1" ref="U210" ca="1">IFERROR(IF($C210="","",INDIRECT($D$2&amp;"!z"&amp;Z210)),IF($C210="","",INDIRECT("'"&amp;$D$2&amp;"'"&amp;"!z"&amp;Z210)))</f>
        <v/>
      </c>
      <c r="V210" s="113" t="str">
        <f t="shared" ca="1" si="20"/>
        <v/>
      </c>
      <c r="W210" s="113" t="str" cm="1">
        <f t="array" aca="1" ref="W210" ca="1">IFERROR(IF($C210="","",INDIRECT($D$2&amp;"!ab"&amp;Z210)),IF($C210="","",INDIRECT("'"&amp;$D$2&amp;"'"&amp;"!ab"&amp;Z210)))</f>
        <v/>
      </c>
      <c r="X210" s="113"/>
      <c r="Y210" s="113" t="str">
        <f t="shared" ca="1" si="21"/>
        <v/>
      </c>
      <c r="Z210" s="35">
        <v>199</v>
      </c>
      <c r="AA210" s="113"/>
      <c r="AB210" s="35">
        <v>199</v>
      </c>
    </row>
    <row r="211" spans="3:28" x14ac:dyDescent="0.25">
      <c r="C211" t="str" cm="1">
        <f t="array" aca="1" ref="C211" ca="1">IFERROR(IF(INDIRECT($D$2&amp;"!B"&amp;Z211)="","",INDIRECT("'"&amp;$D$2&amp;"'"&amp;"!B"&amp;Z211)),IF(INDIRECT("'"&amp;$D$2&amp;"'"&amp;"!B"&amp;Z211)="","",INDIRECT("'"&amp;$D$2&amp;"'"&amp;"!B"&amp;Z211)))</f>
        <v/>
      </c>
      <c r="D211" t="str" cm="1">
        <f t="array" aca="1" ref="D211" ca="1">IFERROR(_xlfn.IFS(C211="","",C211&lt;&gt;"",INDEX(SF_Output!I:I,MATCH(C211,SF_Output!M:M,0))),IFERROR(INDEX(INDIRECT($D$2&amp;"!G:G"),MATCH(C211,INDIRECT($D$2&amp;"!B:B"),0)),INDEX(INDIRECT("'"&amp;$D$2&amp;"'!G:G"),MATCH(C211,INDIRECT("'"&amp;$D$2&amp;"'!B:B"),0))))</f>
        <v/>
      </c>
      <c r="E211" t="str" cm="1">
        <f t="array" aca="1" ref="E211" ca="1">IFERROR(IF(C211="","",INDIRECT($D$2&amp;"!F"&amp;Z211)),IF(C211="","",INDIRECT("'"&amp;$D$2&amp;"'"&amp;"!F"&amp;Z211)))</f>
        <v/>
      </c>
      <c r="F211" t="str" cm="1">
        <f t="array" aca="1" ref="F211" ca="1">IFERROR(IF(C211="","",INDIRECT($D$2&amp;"!ak"&amp;Z211)),IF(C211="","",INDIRECT("'"&amp;$D$2&amp;"'"&amp;"!ak"&amp;Z211)))</f>
        <v/>
      </c>
      <c r="G211" t="str" cm="1">
        <f t="array" aca="1" ref="G211" ca="1">IFERROR(INDIRECT($D$2&amp;"!h"&amp;Z211),INDIRECT("'"&amp;$D$2&amp;"'"&amp;"!h"&amp;Z211))</f>
        <v/>
      </c>
      <c r="H211" s="125" t="str" cm="1">
        <f t="array" aca="1" ref="H211" ca="1">IFERROR(INDIRECT($D$2&amp;"!i"&amp;Z211),INDIRECT("'"&amp;$D$2&amp;"'"&amp;"!i"&amp;Z211))</f>
        <v/>
      </c>
      <c r="I211" s="113" t="str" cm="1">
        <f t="array" aca="1" ref="I211" ca="1">IFERROR(IF($C211="","",INDIRECT($D$2&amp;"!j"&amp;$Z211)+INDIRECT($D$2&amp;"!n"&amp;$Z211)),IF($C211="","",INDIRECT("'"&amp;$D$2&amp;"'"&amp;"!j"&amp;$Z211)+INDIRECT("'"&amp;$D$2&amp;"'"&amp;"!n"&amp;$Z211)))</f>
        <v/>
      </c>
      <c r="J211" s="113" t="str">
        <f t="shared" ca="1" si="17"/>
        <v/>
      </c>
      <c r="K211" s="113" t="str" cm="1">
        <f t="array" aca="1" ref="K211" ca="1">IFERROR(IF($C211="","",INDIRECT($D$2&amp;"!l"&amp;$Z211)+INDIRECT($D$2&amp;"!p"&amp;$Z211)),IF($C211="","",INDIRECT("'"&amp;$D$2&amp;"'"&amp;"!l"&amp;$Z211)+INDIRECT("'"&amp;$D$2&amp;"'"&amp;"!p"&amp;$Z211)))</f>
        <v/>
      </c>
      <c r="M211" s="113" t="str" cm="1">
        <f t="array" aca="1" ref="M211" ca="1">IFERROR(IF($C211="","",INDIRECT($D$2&amp;"!r"&amp;Z211)),IF($C211="","",INDIRECT("'"&amp;$D$2&amp;"'"&amp;"!r"&amp;Z211)))</f>
        <v/>
      </c>
      <c r="N211" s="113" t="str">
        <f t="shared" ca="1" si="18"/>
        <v/>
      </c>
      <c r="O211" s="113" t="str" cm="1">
        <f t="array" aca="1" ref="O211" ca="1">IFERROR(IF($C211="","",INDIRECT($D$2&amp;"!t"&amp;Z211)),IF($C211="","",INDIRECT("'"&amp;$D$2&amp;"'"&amp;"!t"&amp;Z211)))</f>
        <v/>
      </c>
      <c r="Q211" s="113" t="str" cm="1">
        <f t="array" aca="1" ref="Q211" ca="1">IFERROR(IF($C211="","",INDIRECT($D$2&amp;"!v"&amp;Z211)),IF($C211="","",INDIRECT("'"&amp;$D$2&amp;"'"&amp;"!v"&amp;Z211)))</f>
        <v/>
      </c>
      <c r="R211" s="113" t="str">
        <f t="shared" ca="1" si="19"/>
        <v/>
      </c>
      <c r="S211" s="113" t="str" cm="1">
        <f t="array" aca="1" ref="S211" ca="1">IFERROR(IF($C211="","",INDIRECT($D$2&amp;"!x"&amp;Z211)),IF($C211="","",INDIRECT("'"&amp;$D$2&amp;"'"&amp;"!x"&amp;Z211)))</f>
        <v/>
      </c>
      <c r="U211" s="113" t="str" cm="1">
        <f t="array" aca="1" ref="U211" ca="1">IFERROR(IF($C211="","",INDIRECT($D$2&amp;"!z"&amp;Z211)),IF($C211="","",INDIRECT("'"&amp;$D$2&amp;"'"&amp;"!z"&amp;Z211)))</f>
        <v/>
      </c>
      <c r="V211" s="113" t="str">
        <f t="shared" ca="1" si="20"/>
        <v/>
      </c>
      <c r="W211" s="113" t="str" cm="1">
        <f t="array" aca="1" ref="W211" ca="1">IFERROR(IF($C211="","",INDIRECT($D$2&amp;"!ab"&amp;Z211)),IF($C211="","",INDIRECT("'"&amp;$D$2&amp;"'"&amp;"!ab"&amp;Z211)))</f>
        <v/>
      </c>
      <c r="X211" s="113"/>
      <c r="Y211" s="113" t="str">
        <f t="shared" ca="1" si="21"/>
        <v/>
      </c>
      <c r="Z211" s="35">
        <v>200</v>
      </c>
      <c r="AA211" s="113"/>
      <c r="AB211" s="35">
        <v>200</v>
      </c>
    </row>
    <row r="212" spans="3:28" x14ac:dyDescent="0.25">
      <c r="C212" t="str" cm="1">
        <f t="array" aca="1" ref="C212" ca="1">IFERROR(IF(INDIRECT($D$2&amp;"!B"&amp;Z212)="","",INDIRECT("'"&amp;$D$2&amp;"'"&amp;"!B"&amp;Z212)),IF(INDIRECT("'"&amp;$D$2&amp;"'"&amp;"!B"&amp;Z212)="","",INDIRECT("'"&amp;$D$2&amp;"'"&amp;"!B"&amp;Z212)))</f>
        <v/>
      </c>
      <c r="D212" t="str" cm="1">
        <f t="array" aca="1" ref="D212" ca="1">IFERROR(_xlfn.IFS(C212="","",C212&lt;&gt;"",INDEX(SF_Output!I:I,MATCH(C212,SF_Output!M:M,0))),IFERROR(INDEX(INDIRECT($D$2&amp;"!G:G"),MATCH(C212,INDIRECT($D$2&amp;"!B:B"),0)),INDEX(INDIRECT("'"&amp;$D$2&amp;"'!G:G"),MATCH(C212,INDIRECT("'"&amp;$D$2&amp;"'!B:B"),0))))</f>
        <v/>
      </c>
      <c r="E212" t="str" cm="1">
        <f t="array" aca="1" ref="E212" ca="1">IFERROR(IF(C212="","",INDIRECT($D$2&amp;"!F"&amp;Z212)),IF(C212="","",INDIRECT("'"&amp;$D$2&amp;"'"&amp;"!F"&amp;Z212)))</f>
        <v/>
      </c>
      <c r="F212" t="str" cm="1">
        <f t="array" aca="1" ref="F212" ca="1">IFERROR(IF(C212="","",INDIRECT($D$2&amp;"!ak"&amp;Z212)),IF(C212="","",INDIRECT("'"&amp;$D$2&amp;"'"&amp;"!ak"&amp;Z212)))</f>
        <v/>
      </c>
      <c r="G212" t="str" cm="1">
        <f t="array" aca="1" ref="G212" ca="1">IFERROR(INDIRECT($D$2&amp;"!h"&amp;Z212),INDIRECT("'"&amp;$D$2&amp;"'"&amp;"!h"&amp;Z212))</f>
        <v/>
      </c>
      <c r="H212" s="125" t="str" cm="1">
        <f t="array" aca="1" ref="H212" ca="1">IFERROR(INDIRECT($D$2&amp;"!i"&amp;Z212),INDIRECT("'"&amp;$D$2&amp;"'"&amp;"!i"&amp;Z212))</f>
        <v/>
      </c>
      <c r="I212" s="113" t="str" cm="1">
        <f t="array" aca="1" ref="I212" ca="1">IFERROR(IF($C212="","",INDIRECT($D$2&amp;"!j"&amp;$Z212)+INDIRECT($D$2&amp;"!n"&amp;$Z212)),IF($C212="","",INDIRECT("'"&amp;$D$2&amp;"'"&amp;"!j"&amp;$Z212)+INDIRECT("'"&amp;$D$2&amp;"'"&amp;"!n"&amp;$Z212)))</f>
        <v/>
      </c>
      <c r="J212" s="113" t="str">
        <f t="shared" ca="1" si="17"/>
        <v/>
      </c>
      <c r="K212" s="113" t="str" cm="1">
        <f t="array" aca="1" ref="K212" ca="1">IFERROR(IF($C212="","",INDIRECT($D$2&amp;"!l"&amp;$Z212)+INDIRECT($D$2&amp;"!p"&amp;$Z212)),IF($C212="","",INDIRECT("'"&amp;$D$2&amp;"'"&amp;"!l"&amp;$Z212)+INDIRECT("'"&amp;$D$2&amp;"'"&amp;"!p"&amp;$Z212)))</f>
        <v/>
      </c>
      <c r="M212" s="113" t="str" cm="1">
        <f t="array" aca="1" ref="M212" ca="1">IFERROR(IF($C212="","",INDIRECT($D$2&amp;"!r"&amp;Z212)),IF($C212="","",INDIRECT("'"&amp;$D$2&amp;"'"&amp;"!r"&amp;Z212)))</f>
        <v/>
      </c>
      <c r="N212" s="113" t="str">
        <f t="shared" ca="1" si="18"/>
        <v/>
      </c>
      <c r="O212" s="113" t="str" cm="1">
        <f t="array" aca="1" ref="O212" ca="1">IFERROR(IF($C212="","",INDIRECT($D$2&amp;"!t"&amp;Z212)),IF($C212="","",INDIRECT("'"&amp;$D$2&amp;"'"&amp;"!t"&amp;Z212)))</f>
        <v/>
      </c>
      <c r="Q212" s="113" t="str" cm="1">
        <f t="array" aca="1" ref="Q212" ca="1">IFERROR(IF($C212="","",INDIRECT($D$2&amp;"!v"&amp;Z212)),IF($C212="","",INDIRECT("'"&amp;$D$2&amp;"'"&amp;"!v"&amp;Z212)))</f>
        <v/>
      </c>
      <c r="R212" s="113" t="str">
        <f t="shared" ca="1" si="19"/>
        <v/>
      </c>
      <c r="S212" s="113" t="str" cm="1">
        <f t="array" aca="1" ref="S212" ca="1">IFERROR(IF($C212="","",INDIRECT($D$2&amp;"!x"&amp;Z212)),IF($C212="","",INDIRECT("'"&amp;$D$2&amp;"'"&amp;"!x"&amp;Z212)))</f>
        <v/>
      </c>
      <c r="U212" s="113" t="str" cm="1">
        <f t="array" aca="1" ref="U212" ca="1">IFERROR(IF($C212="","",INDIRECT($D$2&amp;"!z"&amp;Z212)),IF($C212="","",INDIRECT("'"&amp;$D$2&amp;"'"&amp;"!z"&amp;Z212)))</f>
        <v/>
      </c>
      <c r="V212" s="113" t="str">
        <f t="shared" ca="1" si="20"/>
        <v/>
      </c>
      <c r="W212" s="113" t="str" cm="1">
        <f t="array" aca="1" ref="W212" ca="1">IFERROR(IF($C212="","",INDIRECT($D$2&amp;"!ab"&amp;Z212)),IF($C212="","",INDIRECT("'"&amp;$D$2&amp;"'"&amp;"!ab"&amp;Z212)))</f>
        <v/>
      </c>
      <c r="X212" s="113"/>
      <c r="Y212" s="113" t="str">
        <f t="shared" ca="1" si="21"/>
        <v/>
      </c>
      <c r="Z212" s="35">
        <v>201</v>
      </c>
      <c r="AA212" s="113"/>
      <c r="AB212" s="35">
        <v>201</v>
      </c>
    </row>
    <row r="213" spans="3:28" x14ac:dyDescent="0.25">
      <c r="C213" t="str" cm="1">
        <f t="array" aca="1" ref="C213" ca="1">IFERROR(IF(INDIRECT($D$2&amp;"!B"&amp;Z213)="","",INDIRECT("'"&amp;$D$2&amp;"'"&amp;"!B"&amp;Z213)),IF(INDIRECT("'"&amp;$D$2&amp;"'"&amp;"!B"&amp;Z213)="","",INDIRECT("'"&amp;$D$2&amp;"'"&amp;"!B"&amp;Z213)))</f>
        <v/>
      </c>
      <c r="D213" t="str" cm="1">
        <f t="array" aca="1" ref="D213" ca="1">IFERROR(_xlfn.IFS(C213="","",C213&lt;&gt;"",INDEX(SF_Output!I:I,MATCH(C213,SF_Output!M:M,0))),IFERROR(INDEX(INDIRECT($D$2&amp;"!G:G"),MATCH(C213,INDIRECT($D$2&amp;"!B:B"),0)),INDEX(INDIRECT("'"&amp;$D$2&amp;"'!G:G"),MATCH(C213,INDIRECT("'"&amp;$D$2&amp;"'!B:B"),0))))</f>
        <v/>
      </c>
      <c r="E213" t="str" cm="1">
        <f t="array" aca="1" ref="E213" ca="1">IFERROR(IF(C213="","",INDIRECT($D$2&amp;"!F"&amp;Z213)),IF(C213="","",INDIRECT("'"&amp;$D$2&amp;"'"&amp;"!F"&amp;Z213)))</f>
        <v/>
      </c>
      <c r="F213" t="str" cm="1">
        <f t="array" aca="1" ref="F213" ca="1">IFERROR(IF(C213="","",INDIRECT($D$2&amp;"!ak"&amp;Z213)),IF(C213="","",INDIRECT("'"&amp;$D$2&amp;"'"&amp;"!ak"&amp;Z213)))</f>
        <v/>
      </c>
      <c r="G213" t="str" cm="1">
        <f t="array" aca="1" ref="G213" ca="1">IFERROR(INDIRECT($D$2&amp;"!h"&amp;Z213),INDIRECT("'"&amp;$D$2&amp;"'"&amp;"!h"&amp;Z213))</f>
        <v/>
      </c>
      <c r="H213" s="125" t="str" cm="1">
        <f t="array" aca="1" ref="H213" ca="1">IFERROR(INDIRECT($D$2&amp;"!i"&amp;Z213),INDIRECT("'"&amp;$D$2&amp;"'"&amp;"!i"&amp;Z213))</f>
        <v/>
      </c>
      <c r="I213" s="113" t="str" cm="1">
        <f t="array" aca="1" ref="I213" ca="1">IFERROR(IF($C213="","",INDIRECT($D$2&amp;"!j"&amp;$Z213)+INDIRECT($D$2&amp;"!n"&amp;$Z213)),IF($C213="","",INDIRECT("'"&amp;$D$2&amp;"'"&amp;"!j"&amp;$Z213)+INDIRECT("'"&amp;$D$2&amp;"'"&amp;"!n"&amp;$Z213)))</f>
        <v/>
      </c>
      <c r="J213" s="113" t="str">
        <f t="shared" ca="1" si="17"/>
        <v/>
      </c>
      <c r="K213" s="113" t="str" cm="1">
        <f t="array" aca="1" ref="K213" ca="1">IFERROR(IF($C213="","",INDIRECT($D$2&amp;"!l"&amp;$Z213)+INDIRECT($D$2&amp;"!p"&amp;$Z213)),IF($C213="","",INDIRECT("'"&amp;$D$2&amp;"'"&amp;"!l"&amp;$Z213)+INDIRECT("'"&amp;$D$2&amp;"'"&amp;"!p"&amp;$Z213)))</f>
        <v/>
      </c>
      <c r="M213" s="113" t="str" cm="1">
        <f t="array" aca="1" ref="M213" ca="1">IFERROR(IF($C213="","",INDIRECT($D$2&amp;"!r"&amp;Z213)),IF($C213="","",INDIRECT("'"&amp;$D$2&amp;"'"&amp;"!r"&amp;Z213)))</f>
        <v/>
      </c>
      <c r="N213" s="113" t="str">
        <f t="shared" ca="1" si="18"/>
        <v/>
      </c>
      <c r="O213" s="113" t="str" cm="1">
        <f t="array" aca="1" ref="O213" ca="1">IFERROR(IF($C213="","",INDIRECT($D$2&amp;"!t"&amp;Z213)),IF($C213="","",INDIRECT("'"&amp;$D$2&amp;"'"&amp;"!t"&amp;Z213)))</f>
        <v/>
      </c>
      <c r="Q213" s="113" t="str" cm="1">
        <f t="array" aca="1" ref="Q213" ca="1">IFERROR(IF($C213="","",INDIRECT($D$2&amp;"!v"&amp;Z213)),IF($C213="","",INDIRECT("'"&amp;$D$2&amp;"'"&amp;"!v"&amp;Z213)))</f>
        <v/>
      </c>
      <c r="R213" s="113" t="str">
        <f t="shared" ca="1" si="19"/>
        <v/>
      </c>
      <c r="S213" s="113" t="str" cm="1">
        <f t="array" aca="1" ref="S213" ca="1">IFERROR(IF($C213="","",INDIRECT($D$2&amp;"!x"&amp;Z213)),IF($C213="","",INDIRECT("'"&amp;$D$2&amp;"'"&amp;"!x"&amp;Z213)))</f>
        <v/>
      </c>
      <c r="U213" s="113" t="str" cm="1">
        <f t="array" aca="1" ref="U213" ca="1">IFERROR(IF($C213="","",INDIRECT($D$2&amp;"!z"&amp;Z213)),IF($C213="","",INDIRECT("'"&amp;$D$2&amp;"'"&amp;"!z"&amp;Z213)))</f>
        <v/>
      </c>
      <c r="V213" s="113" t="str">
        <f t="shared" ca="1" si="20"/>
        <v/>
      </c>
      <c r="W213" s="113" t="str" cm="1">
        <f t="array" aca="1" ref="W213" ca="1">IFERROR(IF($C213="","",INDIRECT($D$2&amp;"!ab"&amp;Z213)),IF($C213="","",INDIRECT("'"&amp;$D$2&amp;"'"&amp;"!ab"&amp;Z213)))</f>
        <v/>
      </c>
      <c r="X213" s="113"/>
      <c r="Y213" s="113" t="str">
        <f t="shared" ca="1" si="21"/>
        <v/>
      </c>
      <c r="Z213" s="35">
        <v>202</v>
      </c>
      <c r="AA213" s="113"/>
      <c r="AB213" s="35">
        <v>202</v>
      </c>
    </row>
    <row r="214" spans="3:28" x14ac:dyDescent="0.25">
      <c r="C214" t="str" cm="1">
        <f t="array" aca="1" ref="C214" ca="1">IFERROR(IF(INDIRECT($D$2&amp;"!B"&amp;Z214)="","",INDIRECT("'"&amp;$D$2&amp;"'"&amp;"!B"&amp;Z214)),IF(INDIRECT("'"&amp;$D$2&amp;"'"&amp;"!B"&amp;Z214)="","",INDIRECT("'"&amp;$D$2&amp;"'"&amp;"!B"&amp;Z214)))</f>
        <v/>
      </c>
      <c r="D214" t="str" cm="1">
        <f t="array" aca="1" ref="D214" ca="1">IFERROR(_xlfn.IFS(C214="","",C214&lt;&gt;"",INDEX(SF_Output!I:I,MATCH(C214,SF_Output!M:M,0))),IFERROR(INDEX(INDIRECT($D$2&amp;"!G:G"),MATCH(C214,INDIRECT($D$2&amp;"!B:B"),0)),INDEX(INDIRECT("'"&amp;$D$2&amp;"'!G:G"),MATCH(C214,INDIRECT("'"&amp;$D$2&amp;"'!B:B"),0))))</f>
        <v/>
      </c>
      <c r="E214" t="str" cm="1">
        <f t="array" aca="1" ref="E214" ca="1">IFERROR(IF(C214="","",INDIRECT($D$2&amp;"!F"&amp;Z214)),IF(C214="","",INDIRECT("'"&amp;$D$2&amp;"'"&amp;"!F"&amp;Z214)))</f>
        <v/>
      </c>
      <c r="F214" t="str" cm="1">
        <f t="array" aca="1" ref="F214" ca="1">IFERROR(IF(C214="","",INDIRECT($D$2&amp;"!ak"&amp;Z214)),IF(C214="","",INDIRECT("'"&amp;$D$2&amp;"'"&amp;"!ak"&amp;Z214)))</f>
        <v/>
      </c>
      <c r="G214" t="str" cm="1">
        <f t="array" aca="1" ref="G214" ca="1">IFERROR(INDIRECT($D$2&amp;"!h"&amp;Z214),INDIRECT("'"&amp;$D$2&amp;"'"&amp;"!h"&amp;Z214))</f>
        <v/>
      </c>
      <c r="H214" s="125" t="str" cm="1">
        <f t="array" aca="1" ref="H214" ca="1">IFERROR(INDIRECT($D$2&amp;"!i"&amp;Z214),INDIRECT("'"&amp;$D$2&amp;"'"&amp;"!i"&amp;Z214))</f>
        <v/>
      </c>
      <c r="I214" s="113" t="str" cm="1">
        <f t="array" aca="1" ref="I214" ca="1">IFERROR(IF($C214="","",INDIRECT($D$2&amp;"!j"&amp;$Z214)+INDIRECT($D$2&amp;"!n"&amp;$Z214)),IF($C214="","",INDIRECT("'"&amp;$D$2&amp;"'"&amp;"!j"&amp;$Z214)+INDIRECT("'"&amp;$D$2&amp;"'"&amp;"!n"&amp;$Z214)))</f>
        <v/>
      </c>
      <c r="J214" s="113" t="str">
        <f t="shared" ca="1" si="17"/>
        <v/>
      </c>
      <c r="K214" s="113" t="str" cm="1">
        <f t="array" aca="1" ref="K214" ca="1">IFERROR(IF($C214="","",INDIRECT($D$2&amp;"!l"&amp;$Z214)+INDIRECT($D$2&amp;"!p"&amp;$Z214)),IF($C214="","",INDIRECT("'"&amp;$D$2&amp;"'"&amp;"!l"&amp;$Z214)+INDIRECT("'"&amp;$D$2&amp;"'"&amp;"!p"&amp;$Z214)))</f>
        <v/>
      </c>
      <c r="M214" s="113" t="str" cm="1">
        <f t="array" aca="1" ref="M214" ca="1">IFERROR(IF($C214="","",INDIRECT($D$2&amp;"!r"&amp;Z214)),IF($C214="","",INDIRECT("'"&amp;$D$2&amp;"'"&amp;"!r"&amp;Z214)))</f>
        <v/>
      </c>
      <c r="N214" s="113" t="str">
        <f t="shared" ca="1" si="18"/>
        <v/>
      </c>
      <c r="O214" s="113" t="str" cm="1">
        <f t="array" aca="1" ref="O214" ca="1">IFERROR(IF($C214="","",INDIRECT($D$2&amp;"!t"&amp;Z214)),IF($C214="","",INDIRECT("'"&amp;$D$2&amp;"'"&amp;"!t"&amp;Z214)))</f>
        <v/>
      </c>
      <c r="Q214" s="113" t="str" cm="1">
        <f t="array" aca="1" ref="Q214" ca="1">IFERROR(IF($C214="","",INDIRECT($D$2&amp;"!v"&amp;Z214)),IF($C214="","",INDIRECT("'"&amp;$D$2&amp;"'"&amp;"!v"&amp;Z214)))</f>
        <v/>
      </c>
      <c r="R214" s="113" t="str">
        <f t="shared" ca="1" si="19"/>
        <v/>
      </c>
      <c r="S214" s="113" t="str" cm="1">
        <f t="array" aca="1" ref="S214" ca="1">IFERROR(IF($C214="","",INDIRECT($D$2&amp;"!x"&amp;Z214)),IF($C214="","",INDIRECT("'"&amp;$D$2&amp;"'"&amp;"!x"&amp;Z214)))</f>
        <v/>
      </c>
      <c r="U214" s="113" t="str" cm="1">
        <f t="array" aca="1" ref="U214" ca="1">IFERROR(IF($C214="","",INDIRECT($D$2&amp;"!z"&amp;Z214)),IF($C214="","",INDIRECT("'"&amp;$D$2&amp;"'"&amp;"!z"&amp;Z214)))</f>
        <v/>
      </c>
      <c r="V214" s="113" t="str">
        <f t="shared" ca="1" si="20"/>
        <v/>
      </c>
      <c r="W214" s="113" t="str" cm="1">
        <f t="array" aca="1" ref="W214" ca="1">IFERROR(IF($C214="","",INDIRECT($D$2&amp;"!ab"&amp;Z214)),IF($C214="","",INDIRECT("'"&amp;$D$2&amp;"'"&amp;"!ab"&amp;Z214)))</f>
        <v/>
      </c>
      <c r="X214" s="113"/>
      <c r="Y214" s="113" t="str">
        <f t="shared" ca="1" si="21"/>
        <v/>
      </c>
      <c r="Z214" s="35">
        <v>203</v>
      </c>
      <c r="AA214" s="113"/>
      <c r="AB214" s="35">
        <v>203</v>
      </c>
    </row>
    <row r="215" spans="3:28" x14ac:dyDescent="0.25">
      <c r="C215" t="str" cm="1">
        <f t="array" aca="1" ref="C215" ca="1">IFERROR(IF(INDIRECT($D$2&amp;"!B"&amp;Z215)="","",INDIRECT("'"&amp;$D$2&amp;"'"&amp;"!B"&amp;Z215)),IF(INDIRECT("'"&amp;$D$2&amp;"'"&amp;"!B"&amp;Z215)="","",INDIRECT("'"&amp;$D$2&amp;"'"&amp;"!B"&amp;Z215)))</f>
        <v/>
      </c>
      <c r="D215" t="str" cm="1">
        <f t="array" aca="1" ref="D215" ca="1">IFERROR(_xlfn.IFS(C215="","",C215&lt;&gt;"",INDEX(SF_Output!I:I,MATCH(C215,SF_Output!M:M,0))),IFERROR(INDEX(INDIRECT($D$2&amp;"!G:G"),MATCH(C215,INDIRECT($D$2&amp;"!B:B"),0)),INDEX(INDIRECT("'"&amp;$D$2&amp;"'!G:G"),MATCH(C215,INDIRECT("'"&amp;$D$2&amp;"'!B:B"),0))))</f>
        <v/>
      </c>
      <c r="E215" t="str" cm="1">
        <f t="array" aca="1" ref="E215" ca="1">IFERROR(IF(C215="","",INDIRECT($D$2&amp;"!F"&amp;Z215)),IF(C215="","",INDIRECT("'"&amp;$D$2&amp;"'"&amp;"!F"&amp;Z215)))</f>
        <v/>
      </c>
      <c r="F215" t="str" cm="1">
        <f t="array" aca="1" ref="F215" ca="1">IFERROR(IF(C215="","",INDIRECT($D$2&amp;"!ak"&amp;Z215)),IF(C215="","",INDIRECT("'"&amp;$D$2&amp;"'"&amp;"!ak"&amp;Z215)))</f>
        <v/>
      </c>
      <c r="G215" t="str" cm="1">
        <f t="array" aca="1" ref="G215" ca="1">IFERROR(INDIRECT($D$2&amp;"!h"&amp;Z215),INDIRECT("'"&amp;$D$2&amp;"'"&amp;"!h"&amp;Z215))</f>
        <v/>
      </c>
      <c r="H215" s="125" t="str" cm="1">
        <f t="array" aca="1" ref="H215" ca="1">IFERROR(INDIRECT($D$2&amp;"!i"&amp;Z215),INDIRECT("'"&amp;$D$2&amp;"'"&amp;"!i"&amp;Z215))</f>
        <v/>
      </c>
      <c r="I215" s="113" t="str" cm="1">
        <f t="array" aca="1" ref="I215" ca="1">IFERROR(IF($C215="","",INDIRECT($D$2&amp;"!j"&amp;$Z215)+INDIRECT($D$2&amp;"!n"&amp;$Z215)),IF($C215="","",INDIRECT("'"&amp;$D$2&amp;"'"&amp;"!j"&amp;$Z215)+INDIRECT("'"&amp;$D$2&amp;"'"&amp;"!n"&amp;$Z215)))</f>
        <v/>
      </c>
      <c r="J215" s="113" t="str">
        <f t="shared" ca="1" si="17"/>
        <v/>
      </c>
      <c r="K215" s="113" t="str" cm="1">
        <f t="array" aca="1" ref="K215" ca="1">IFERROR(IF($C215="","",INDIRECT($D$2&amp;"!l"&amp;$Z215)+INDIRECT($D$2&amp;"!p"&amp;$Z215)),IF($C215="","",INDIRECT("'"&amp;$D$2&amp;"'"&amp;"!l"&amp;$Z215)+INDIRECT("'"&amp;$D$2&amp;"'"&amp;"!p"&amp;$Z215)))</f>
        <v/>
      </c>
      <c r="M215" s="113" t="str" cm="1">
        <f t="array" aca="1" ref="M215" ca="1">IFERROR(IF($C215="","",INDIRECT($D$2&amp;"!r"&amp;Z215)),IF($C215="","",INDIRECT("'"&amp;$D$2&amp;"'"&amp;"!r"&amp;Z215)))</f>
        <v/>
      </c>
      <c r="N215" s="113" t="str">
        <f t="shared" ca="1" si="18"/>
        <v/>
      </c>
      <c r="O215" s="113" t="str" cm="1">
        <f t="array" aca="1" ref="O215" ca="1">IFERROR(IF($C215="","",INDIRECT($D$2&amp;"!t"&amp;Z215)),IF($C215="","",INDIRECT("'"&amp;$D$2&amp;"'"&amp;"!t"&amp;Z215)))</f>
        <v/>
      </c>
      <c r="Q215" s="113" t="str" cm="1">
        <f t="array" aca="1" ref="Q215" ca="1">IFERROR(IF($C215="","",INDIRECT($D$2&amp;"!v"&amp;Z215)),IF($C215="","",INDIRECT("'"&amp;$D$2&amp;"'"&amp;"!v"&amp;Z215)))</f>
        <v/>
      </c>
      <c r="R215" s="113" t="str">
        <f t="shared" ca="1" si="19"/>
        <v/>
      </c>
      <c r="S215" s="113" t="str" cm="1">
        <f t="array" aca="1" ref="S215" ca="1">IFERROR(IF($C215="","",INDIRECT($D$2&amp;"!x"&amp;Z215)),IF($C215="","",INDIRECT("'"&amp;$D$2&amp;"'"&amp;"!x"&amp;Z215)))</f>
        <v/>
      </c>
      <c r="U215" s="113" t="str" cm="1">
        <f t="array" aca="1" ref="U215" ca="1">IFERROR(IF($C215="","",INDIRECT($D$2&amp;"!z"&amp;Z215)),IF($C215="","",INDIRECT("'"&amp;$D$2&amp;"'"&amp;"!z"&amp;Z215)))</f>
        <v/>
      </c>
      <c r="V215" s="113" t="str">
        <f t="shared" ca="1" si="20"/>
        <v/>
      </c>
      <c r="W215" s="113" t="str" cm="1">
        <f t="array" aca="1" ref="W215" ca="1">IFERROR(IF($C215="","",INDIRECT($D$2&amp;"!ab"&amp;Z215)),IF($C215="","",INDIRECT("'"&amp;$D$2&amp;"'"&amp;"!ab"&amp;Z215)))</f>
        <v/>
      </c>
      <c r="X215" s="113"/>
      <c r="Y215" s="113" t="str">
        <f t="shared" ca="1" si="21"/>
        <v/>
      </c>
      <c r="Z215" s="35">
        <v>204</v>
      </c>
      <c r="AA215" s="113"/>
      <c r="AB215" s="35">
        <v>204</v>
      </c>
    </row>
    <row r="216" spans="3:28" x14ac:dyDescent="0.25">
      <c r="C216" t="str" cm="1">
        <f t="array" aca="1" ref="C216" ca="1">IFERROR(IF(INDIRECT($D$2&amp;"!B"&amp;Z216)="","",INDIRECT("'"&amp;$D$2&amp;"'"&amp;"!B"&amp;Z216)),IF(INDIRECT("'"&amp;$D$2&amp;"'"&amp;"!B"&amp;Z216)="","",INDIRECT("'"&amp;$D$2&amp;"'"&amp;"!B"&amp;Z216)))</f>
        <v/>
      </c>
      <c r="D216" t="str" cm="1">
        <f t="array" aca="1" ref="D216" ca="1">IFERROR(_xlfn.IFS(C216="","",C216&lt;&gt;"",INDEX(SF_Output!I:I,MATCH(C216,SF_Output!M:M,0))),IFERROR(INDEX(INDIRECT($D$2&amp;"!G:G"),MATCH(C216,INDIRECT($D$2&amp;"!B:B"),0)),INDEX(INDIRECT("'"&amp;$D$2&amp;"'!G:G"),MATCH(C216,INDIRECT("'"&amp;$D$2&amp;"'!B:B"),0))))</f>
        <v/>
      </c>
      <c r="E216" t="str" cm="1">
        <f t="array" aca="1" ref="E216" ca="1">IFERROR(IF(C216="","",INDIRECT($D$2&amp;"!F"&amp;Z216)),IF(C216="","",INDIRECT("'"&amp;$D$2&amp;"'"&amp;"!F"&amp;Z216)))</f>
        <v/>
      </c>
      <c r="F216" t="str" cm="1">
        <f t="array" aca="1" ref="F216" ca="1">IFERROR(IF(C216="","",INDIRECT($D$2&amp;"!ak"&amp;Z216)),IF(C216="","",INDIRECT("'"&amp;$D$2&amp;"'"&amp;"!ak"&amp;Z216)))</f>
        <v/>
      </c>
      <c r="G216" t="str" cm="1">
        <f t="array" aca="1" ref="G216" ca="1">IFERROR(INDIRECT($D$2&amp;"!h"&amp;Z216),INDIRECT("'"&amp;$D$2&amp;"'"&amp;"!h"&amp;Z216))</f>
        <v/>
      </c>
      <c r="H216" s="125" t="str" cm="1">
        <f t="array" aca="1" ref="H216" ca="1">IFERROR(INDIRECT($D$2&amp;"!i"&amp;Z216),INDIRECT("'"&amp;$D$2&amp;"'"&amp;"!i"&amp;Z216))</f>
        <v/>
      </c>
      <c r="I216" s="113" t="str" cm="1">
        <f t="array" aca="1" ref="I216" ca="1">IFERROR(IF($C216="","",INDIRECT($D$2&amp;"!j"&amp;$Z216)+INDIRECT($D$2&amp;"!n"&amp;$Z216)),IF($C216="","",INDIRECT("'"&amp;$D$2&amp;"'"&amp;"!j"&amp;$Z216)+INDIRECT("'"&amp;$D$2&amp;"'"&amp;"!n"&amp;$Z216)))</f>
        <v/>
      </c>
      <c r="J216" s="113" t="str">
        <f t="shared" ca="1" si="17"/>
        <v/>
      </c>
      <c r="K216" s="113" t="str" cm="1">
        <f t="array" aca="1" ref="K216" ca="1">IFERROR(IF($C216="","",INDIRECT($D$2&amp;"!l"&amp;$Z216)+INDIRECT($D$2&amp;"!p"&amp;$Z216)),IF($C216="","",INDIRECT("'"&amp;$D$2&amp;"'"&amp;"!l"&amp;$Z216)+INDIRECT("'"&amp;$D$2&amp;"'"&amp;"!p"&amp;$Z216)))</f>
        <v/>
      </c>
      <c r="M216" s="113" t="str" cm="1">
        <f t="array" aca="1" ref="M216" ca="1">IFERROR(IF($C216="","",INDIRECT($D$2&amp;"!r"&amp;Z216)),IF($C216="","",INDIRECT("'"&amp;$D$2&amp;"'"&amp;"!r"&amp;Z216)))</f>
        <v/>
      </c>
      <c r="N216" s="113" t="str">
        <f t="shared" ca="1" si="18"/>
        <v/>
      </c>
      <c r="O216" s="113" t="str" cm="1">
        <f t="array" aca="1" ref="O216" ca="1">IFERROR(IF($C216="","",INDIRECT($D$2&amp;"!t"&amp;Z216)),IF($C216="","",INDIRECT("'"&amp;$D$2&amp;"'"&amp;"!t"&amp;Z216)))</f>
        <v/>
      </c>
      <c r="Q216" s="113" t="str" cm="1">
        <f t="array" aca="1" ref="Q216" ca="1">IFERROR(IF($C216="","",INDIRECT($D$2&amp;"!v"&amp;Z216)),IF($C216="","",INDIRECT("'"&amp;$D$2&amp;"'"&amp;"!v"&amp;Z216)))</f>
        <v/>
      </c>
      <c r="R216" s="113" t="str">
        <f t="shared" ca="1" si="19"/>
        <v/>
      </c>
      <c r="S216" s="113" t="str" cm="1">
        <f t="array" aca="1" ref="S216" ca="1">IFERROR(IF($C216="","",INDIRECT($D$2&amp;"!x"&amp;Z216)),IF($C216="","",INDIRECT("'"&amp;$D$2&amp;"'"&amp;"!x"&amp;Z216)))</f>
        <v/>
      </c>
      <c r="U216" s="113" t="str" cm="1">
        <f t="array" aca="1" ref="U216" ca="1">IFERROR(IF($C216="","",INDIRECT($D$2&amp;"!z"&amp;Z216)),IF($C216="","",INDIRECT("'"&amp;$D$2&amp;"'"&amp;"!z"&amp;Z216)))</f>
        <v/>
      </c>
      <c r="V216" s="113" t="str">
        <f t="shared" ca="1" si="20"/>
        <v/>
      </c>
      <c r="W216" s="113" t="str" cm="1">
        <f t="array" aca="1" ref="W216" ca="1">IFERROR(IF($C216="","",INDIRECT($D$2&amp;"!ab"&amp;Z216)),IF($C216="","",INDIRECT("'"&amp;$D$2&amp;"'"&amp;"!ab"&amp;Z216)))</f>
        <v/>
      </c>
      <c r="X216" s="113"/>
      <c r="Y216" s="113" t="str">
        <f t="shared" ca="1" si="21"/>
        <v/>
      </c>
      <c r="Z216" s="35">
        <v>205</v>
      </c>
      <c r="AA216" s="113"/>
      <c r="AB216" s="35">
        <v>205</v>
      </c>
    </row>
    <row r="217" spans="3:28" x14ac:dyDescent="0.25">
      <c r="C217" t="str" cm="1">
        <f t="array" aca="1" ref="C217" ca="1">IFERROR(IF(INDIRECT($D$2&amp;"!B"&amp;Z217)="","",INDIRECT("'"&amp;$D$2&amp;"'"&amp;"!B"&amp;Z217)),IF(INDIRECT("'"&amp;$D$2&amp;"'"&amp;"!B"&amp;Z217)="","",INDIRECT("'"&amp;$D$2&amp;"'"&amp;"!B"&amp;Z217)))</f>
        <v/>
      </c>
      <c r="D217" t="str" cm="1">
        <f t="array" aca="1" ref="D217" ca="1">IFERROR(_xlfn.IFS(C217="","",C217&lt;&gt;"",INDEX(SF_Output!I:I,MATCH(C217,SF_Output!M:M,0))),IFERROR(INDEX(INDIRECT($D$2&amp;"!G:G"),MATCH(C217,INDIRECT($D$2&amp;"!B:B"),0)),INDEX(INDIRECT("'"&amp;$D$2&amp;"'!G:G"),MATCH(C217,INDIRECT("'"&amp;$D$2&amp;"'!B:B"),0))))</f>
        <v/>
      </c>
      <c r="E217" t="str" cm="1">
        <f t="array" aca="1" ref="E217" ca="1">IFERROR(IF(C217="","",INDIRECT($D$2&amp;"!F"&amp;Z217)),IF(C217="","",INDIRECT("'"&amp;$D$2&amp;"'"&amp;"!F"&amp;Z217)))</f>
        <v/>
      </c>
      <c r="F217" t="str" cm="1">
        <f t="array" aca="1" ref="F217" ca="1">IFERROR(IF(C217="","",INDIRECT($D$2&amp;"!ak"&amp;Z217)),IF(C217="","",INDIRECT("'"&amp;$D$2&amp;"'"&amp;"!ak"&amp;Z217)))</f>
        <v/>
      </c>
      <c r="G217" t="str" cm="1">
        <f t="array" aca="1" ref="G217" ca="1">IFERROR(INDIRECT($D$2&amp;"!h"&amp;Z217),INDIRECT("'"&amp;$D$2&amp;"'"&amp;"!h"&amp;Z217))</f>
        <v/>
      </c>
      <c r="H217" s="125" t="str" cm="1">
        <f t="array" aca="1" ref="H217" ca="1">IFERROR(INDIRECT($D$2&amp;"!i"&amp;Z217),INDIRECT("'"&amp;$D$2&amp;"'"&amp;"!i"&amp;Z217))</f>
        <v/>
      </c>
      <c r="I217" s="113" t="str" cm="1">
        <f t="array" aca="1" ref="I217" ca="1">IFERROR(IF($C217="","",INDIRECT($D$2&amp;"!j"&amp;$Z217)+INDIRECT($D$2&amp;"!n"&amp;$Z217)),IF($C217="","",INDIRECT("'"&amp;$D$2&amp;"'"&amp;"!j"&amp;$Z217)+INDIRECT("'"&amp;$D$2&amp;"'"&amp;"!n"&amp;$Z217)))</f>
        <v/>
      </c>
      <c r="J217" s="113" t="str">
        <f t="shared" ca="1" si="17"/>
        <v/>
      </c>
      <c r="K217" s="113" t="str" cm="1">
        <f t="array" aca="1" ref="K217" ca="1">IFERROR(IF($C217="","",INDIRECT($D$2&amp;"!l"&amp;$Z217)+INDIRECT($D$2&amp;"!p"&amp;$Z217)),IF($C217="","",INDIRECT("'"&amp;$D$2&amp;"'"&amp;"!l"&amp;$Z217)+INDIRECT("'"&amp;$D$2&amp;"'"&amp;"!p"&amp;$Z217)))</f>
        <v/>
      </c>
      <c r="M217" s="113" t="str" cm="1">
        <f t="array" aca="1" ref="M217" ca="1">IFERROR(IF($C217="","",INDIRECT($D$2&amp;"!r"&amp;Z217)),IF($C217="","",INDIRECT("'"&amp;$D$2&amp;"'"&amp;"!r"&amp;Z217)))</f>
        <v/>
      </c>
      <c r="N217" s="113" t="str">
        <f t="shared" ca="1" si="18"/>
        <v/>
      </c>
      <c r="O217" s="113" t="str" cm="1">
        <f t="array" aca="1" ref="O217" ca="1">IFERROR(IF($C217="","",INDIRECT($D$2&amp;"!t"&amp;Z217)),IF($C217="","",INDIRECT("'"&amp;$D$2&amp;"'"&amp;"!t"&amp;Z217)))</f>
        <v/>
      </c>
      <c r="Q217" s="113" t="str" cm="1">
        <f t="array" aca="1" ref="Q217" ca="1">IFERROR(IF($C217="","",INDIRECT($D$2&amp;"!v"&amp;Z217)),IF($C217="","",INDIRECT("'"&amp;$D$2&amp;"'"&amp;"!v"&amp;Z217)))</f>
        <v/>
      </c>
      <c r="R217" s="113" t="str">
        <f t="shared" ca="1" si="19"/>
        <v/>
      </c>
      <c r="S217" s="113" t="str" cm="1">
        <f t="array" aca="1" ref="S217" ca="1">IFERROR(IF($C217="","",INDIRECT($D$2&amp;"!x"&amp;Z217)),IF($C217="","",INDIRECT("'"&amp;$D$2&amp;"'"&amp;"!x"&amp;Z217)))</f>
        <v/>
      </c>
      <c r="U217" s="113" t="str" cm="1">
        <f t="array" aca="1" ref="U217" ca="1">IFERROR(IF($C217="","",INDIRECT($D$2&amp;"!z"&amp;Z217)),IF($C217="","",INDIRECT("'"&amp;$D$2&amp;"'"&amp;"!z"&amp;Z217)))</f>
        <v/>
      </c>
      <c r="V217" s="113" t="str">
        <f t="shared" ca="1" si="20"/>
        <v/>
      </c>
      <c r="W217" s="113" t="str" cm="1">
        <f t="array" aca="1" ref="W217" ca="1">IFERROR(IF($C217="","",INDIRECT($D$2&amp;"!ab"&amp;Z217)),IF($C217="","",INDIRECT("'"&amp;$D$2&amp;"'"&amp;"!ab"&amp;Z217)))</f>
        <v/>
      </c>
      <c r="X217" s="113"/>
      <c r="Y217" s="113" t="str">
        <f t="shared" ca="1" si="21"/>
        <v/>
      </c>
      <c r="Z217" s="35">
        <v>206</v>
      </c>
      <c r="AA217" s="113"/>
      <c r="AB217" s="35">
        <v>206</v>
      </c>
    </row>
    <row r="218" spans="3:28" x14ac:dyDescent="0.25">
      <c r="C218" t="str" cm="1">
        <f t="array" aca="1" ref="C218" ca="1">IFERROR(IF(INDIRECT($D$2&amp;"!B"&amp;Z218)="","",INDIRECT("'"&amp;$D$2&amp;"'"&amp;"!B"&amp;Z218)),IF(INDIRECT("'"&amp;$D$2&amp;"'"&amp;"!B"&amp;Z218)="","",INDIRECT("'"&amp;$D$2&amp;"'"&amp;"!B"&amp;Z218)))</f>
        <v/>
      </c>
      <c r="D218" t="str" cm="1">
        <f t="array" aca="1" ref="D218" ca="1">IFERROR(_xlfn.IFS(C218="","",C218&lt;&gt;"",INDEX(SF_Output!I:I,MATCH(C218,SF_Output!M:M,0))),IFERROR(INDEX(INDIRECT($D$2&amp;"!G:G"),MATCH(C218,INDIRECT($D$2&amp;"!B:B"),0)),INDEX(INDIRECT("'"&amp;$D$2&amp;"'!G:G"),MATCH(C218,INDIRECT("'"&amp;$D$2&amp;"'!B:B"),0))))</f>
        <v/>
      </c>
      <c r="E218" t="str" cm="1">
        <f t="array" aca="1" ref="E218" ca="1">IFERROR(IF(C218="","",INDIRECT($D$2&amp;"!F"&amp;Z218)),IF(C218="","",INDIRECT("'"&amp;$D$2&amp;"'"&amp;"!F"&amp;Z218)))</f>
        <v/>
      </c>
      <c r="F218" t="str" cm="1">
        <f t="array" aca="1" ref="F218" ca="1">IFERROR(IF(C218="","",INDIRECT($D$2&amp;"!ak"&amp;Z218)),IF(C218="","",INDIRECT("'"&amp;$D$2&amp;"'"&amp;"!ak"&amp;Z218)))</f>
        <v/>
      </c>
      <c r="G218" t="str" cm="1">
        <f t="array" aca="1" ref="G218" ca="1">IFERROR(INDIRECT($D$2&amp;"!h"&amp;Z218),INDIRECT("'"&amp;$D$2&amp;"'"&amp;"!h"&amp;Z218))</f>
        <v/>
      </c>
      <c r="H218" s="125" t="str" cm="1">
        <f t="array" aca="1" ref="H218" ca="1">IFERROR(INDIRECT($D$2&amp;"!i"&amp;Z218),INDIRECT("'"&amp;$D$2&amp;"'"&amp;"!i"&amp;Z218))</f>
        <v/>
      </c>
      <c r="I218" s="113" t="str" cm="1">
        <f t="array" aca="1" ref="I218" ca="1">IFERROR(IF($C218="","",INDIRECT($D$2&amp;"!j"&amp;$Z218)+INDIRECT($D$2&amp;"!n"&amp;$Z218)),IF($C218="","",INDIRECT("'"&amp;$D$2&amp;"'"&amp;"!j"&amp;$Z218)+INDIRECT("'"&amp;$D$2&amp;"'"&amp;"!n"&amp;$Z218)))</f>
        <v/>
      </c>
      <c r="J218" s="113" t="str">
        <f t="shared" ref="J218:J261" ca="1" si="22">IF(I218="","",K218-I218)</f>
        <v/>
      </c>
      <c r="K218" s="113" t="str" cm="1">
        <f t="array" aca="1" ref="K218" ca="1">IFERROR(IF($C218="","",INDIRECT($D$2&amp;"!l"&amp;$Z218)+INDIRECT($D$2&amp;"!p"&amp;$Z218)),IF($C218="","",INDIRECT("'"&amp;$D$2&amp;"'"&amp;"!l"&amp;$Z218)+INDIRECT("'"&amp;$D$2&amp;"'"&amp;"!p"&amp;$Z218)))</f>
        <v/>
      </c>
      <c r="M218" s="113" t="str" cm="1">
        <f t="array" aca="1" ref="M218" ca="1">IFERROR(IF($C218="","",INDIRECT($D$2&amp;"!r"&amp;Z218)),IF($C218="","",INDIRECT("'"&amp;$D$2&amp;"'"&amp;"!r"&amp;Z218)))</f>
        <v/>
      </c>
      <c r="N218" s="113" t="str">
        <f t="shared" ref="N218:N261" ca="1" si="23">IF(M218="","",O218-M218)</f>
        <v/>
      </c>
      <c r="O218" s="113" t="str" cm="1">
        <f t="array" aca="1" ref="O218" ca="1">IFERROR(IF($C218="","",INDIRECT($D$2&amp;"!t"&amp;Z218)),IF($C218="","",INDIRECT("'"&amp;$D$2&amp;"'"&amp;"!t"&amp;Z218)))</f>
        <v/>
      </c>
      <c r="Q218" s="113" t="str" cm="1">
        <f t="array" aca="1" ref="Q218" ca="1">IFERROR(IF($C218="","",INDIRECT($D$2&amp;"!v"&amp;Z218)),IF($C218="","",INDIRECT("'"&amp;$D$2&amp;"'"&amp;"!v"&amp;Z218)))</f>
        <v/>
      </c>
      <c r="R218" s="113" t="str">
        <f t="shared" ref="R218:R261" ca="1" si="24">IF(Q218="","",S218-Q218)</f>
        <v/>
      </c>
      <c r="S218" s="113" t="str" cm="1">
        <f t="array" aca="1" ref="S218" ca="1">IFERROR(IF($C218="","",INDIRECT($D$2&amp;"!x"&amp;Z218)),IF($C218="","",INDIRECT("'"&amp;$D$2&amp;"'"&amp;"!x"&amp;Z218)))</f>
        <v/>
      </c>
      <c r="U218" s="113" t="str" cm="1">
        <f t="array" aca="1" ref="U218" ca="1">IFERROR(IF($C218="","",INDIRECT($D$2&amp;"!z"&amp;Z218)),IF($C218="","",INDIRECT("'"&amp;$D$2&amp;"'"&amp;"!z"&amp;Z218)))</f>
        <v/>
      </c>
      <c r="V218" s="113" t="str">
        <f t="shared" ref="V218:V261" ca="1" si="25">IF(U218="","",W218-U218)</f>
        <v/>
      </c>
      <c r="W218" s="113" t="str" cm="1">
        <f t="array" aca="1" ref="W218" ca="1">IFERROR(IF($C218="","",INDIRECT($D$2&amp;"!ab"&amp;Z218)),IF($C218="","",INDIRECT("'"&amp;$D$2&amp;"'"&amp;"!ab"&amp;Z218)))</f>
        <v/>
      </c>
      <c r="X218" s="113"/>
      <c r="Y218" s="113" t="str">
        <f t="shared" ref="Y218:Y261" ca="1" si="26">IF(W218="","",S218-W218)</f>
        <v/>
      </c>
      <c r="Z218" s="35">
        <v>207</v>
      </c>
      <c r="AA218" s="113"/>
      <c r="AB218" s="35">
        <v>207</v>
      </c>
    </row>
    <row r="219" spans="3:28" x14ac:dyDescent="0.25">
      <c r="C219" t="str" cm="1">
        <f t="array" aca="1" ref="C219" ca="1">IFERROR(IF(INDIRECT($D$2&amp;"!B"&amp;Z219)="","",INDIRECT("'"&amp;$D$2&amp;"'"&amp;"!B"&amp;Z219)),IF(INDIRECT("'"&amp;$D$2&amp;"'"&amp;"!B"&amp;Z219)="","",INDIRECT("'"&amp;$D$2&amp;"'"&amp;"!B"&amp;Z219)))</f>
        <v/>
      </c>
      <c r="D219" t="str" cm="1">
        <f t="array" aca="1" ref="D219" ca="1">IFERROR(_xlfn.IFS(C219="","",C219&lt;&gt;"",INDEX(SF_Output!I:I,MATCH(C219,SF_Output!M:M,0))),IFERROR(INDEX(INDIRECT($D$2&amp;"!G:G"),MATCH(C219,INDIRECT($D$2&amp;"!B:B"),0)),INDEX(INDIRECT("'"&amp;$D$2&amp;"'!G:G"),MATCH(C219,INDIRECT("'"&amp;$D$2&amp;"'!B:B"),0))))</f>
        <v/>
      </c>
      <c r="E219" t="str" cm="1">
        <f t="array" aca="1" ref="E219" ca="1">IFERROR(IF(C219="","",INDIRECT($D$2&amp;"!F"&amp;Z219)),IF(C219="","",INDIRECT("'"&amp;$D$2&amp;"'"&amp;"!F"&amp;Z219)))</f>
        <v/>
      </c>
      <c r="F219" t="str" cm="1">
        <f t="array" aca="1" ref="F219" ca="1">IFERROR(IF(C219="","",INDIRECT($D$2&amp;"!ak"&amp;Z219)),IF(C219="","",INDIRECT("'"&amp;$D$2&amp;"'"&amp;"!ak"&amp;Z219)))</f>
        <v/>
      </c>
      <c r="G219" t="str" cm="1">
        <f t="array" aca="1" ref="G219" ca="1">IFERROR(INDIRECT($D$2&amp;"!h"&amp;Z219),INDIRECT("'"&amp;$D$2&amp;"'"&amp;"!h"&amp;Z219))</f>
        <v/>
      </c>
      <c r="H219" s="125" t="str" cm="1">
        <f t="array" aca="1" ref="H219" ca="1">IFERROR(INDIRECT($D$2&amp;"!i"&amp;Z219),INDIRECT("'"&amp;$D$2&amp;"'"&amp;"!i"&amp;Z219))</f>
        <v/>
      </c>
      <c r="I219" s="113" t="str" cm="1">
        <f t="array" aca="1" ref="I219" ca="1">IFERROR(IF($C219="","",INDIRECT($D$2&amp;"!j"&amp;$Z219)+INDIRECT($D$2&amp;"!n"&amp;$Z219)),IF($C219="","",INDIRECT("'"&amp;$D$2&amp;"'"&amp;"!j"&amp;$Z219)+INDIRECT("'"&amp;$D$2&amp;"'"&amp;"!n"&amp;$Z219)))</f>
        <v/>
      </c>
      <c r="J219" s="113" t="str">
        <f t="shared" ca="1" si="22"/>
        <v/>
      </c>
      <c r="K219" s="113" t="str" cm="1">
        <f t="array" aca="1" ref="K219" ca="1">IFERROR(IF($C219="","",INDIRECT($D$2&amp;"!l"&amp;$Z219)+INDIRECT($D$2&amp;"!p"&amp;$Z219)),IF($C219="","",INDIRECT("'"&amp;$D$2&amp;"'"&amp;"!l"&amp;$Z219)+INDIRECT("'"&amp;$D$2&amp;"'"&amp;"!p"&amp;$Z219)))</f>
        <v/>
      </c>
      <c r="M219" s="113" t="str" cm="1">
        <f t="array" aca="1" ref="M219" ca="1">IFERROR(IF($C219="","",INDIRECT($D$2&amp;"!r"&amp;Z219)),IF($C219="","",INDIRECT("'"&amp;$D$2&amp;"'"&amp;"!r"&amp;Z219)))</f>
        <v/>
      </c>
      <c r="N219" s="113" t="str">
        <f t="shared" ca="1" si="23"/>
        <v/>
      </c>
      <c r="O219" s="113" t="str" cm="1">
        <f t="array" aca="1" ref="O219" ca="1">IFERROR(IF($C219="","",INDIRECT($D$2&amp;"!t"&amp;Z219)),IF($C219="","",INDIRECT("'"&amp;$D$2&amp;"'"&amp;"!t"&amp;Z219)))</f>
        <v/>
      </c>
      <c r="Q219" s="113" t="str" cm="1">
        <f t="array" aca="1" ref="Q219" ca="1">IFERROR(IF($C219="","",INDIRECT($D$2&amp;"!v"&amp;Z219)),IF($C219="","",INDIRECT("'"&amp;$D$2&amp;"'"&amp;"!v"&amp;Z219)))</f>
        <v/>
      </c>
      <c r="R219" s="113" t="str">
        <f t="shared" ca="1" si="24"/>
        <v/>
      </c>
      <c r="S219" s="113" t="str" cm="1">
        <f t="array" aca="1" ref="S219" ca="1">IFERROR(IF($C219="","",INDIRECT($D$2&amp;"!x"&amp;Z219)),IF($C219="","",INDIRECT("'"&amp;$D$2&amp;"'"&amp;"!x"&amp;Z219)))</f>
        <v/>
      </c>
      <c r="U219" s="113" t="str" cm="1">
        <f t="array" aca="1" ref="U219" ca="1">IFERROR(IF($C219="","",INDIRECT($D$2&amp;"!z"&amp;Z219)),IF($C219="","",INDIRECT("'"&amp;$D$2&amp;"'"&amp;"!z"&amp;Z219)))</f>
        <v/>
      </c>
      <c r="V219" s="113" t="str">
        <f t="shared" ca="1" si="25"/>
        <v/>
      </c>
      <c r="W219" s="113" t="str" cm="1">
        <f t="array" aca="1" ref="W219" ca="1">IFERROR(IF($C219="","",INDIRECT($D$2&amp;"!ab"&amp;Z219)),IF($C219="","",INDIRECT("'"&amp;$D$2&amp;"'"&amp;"!ab"&amp;Z219)))</f>
        <v/>
      </c>
      <c r="X219" s="113"/>
      <c r="Y219" s="113" t="str">
        <f t="shared" ca="1" si="26"/>
        <v/>
      </c>
      <c r="Z219" s="35">
        <v>208</v>
      </c>
      <c r="AA219" s="113"/>
      <c r="AB219" s="35">
        <v>208</v>
      </c>
    </row>
    <row r="220" spans="3:28" x14ac:dyDescent="0.25">
      <c r="C220" t="str" cm="1">
        <f t="array" aca="1" ref="C220" ca="1">IFERROR(IF(INDIRECT($D$2&amp;"!B"&amp;Z220)="","",INDIRECT("'"&amp;$D$2&amp;"'"&amp;"!B"&amp;Z220)),IF(INDIRECT("'"&amp;$D$2&amp;"'"&amp;"!B"&amp;Z220)="","",INDIRECT("'"&amp;$D$2&amp;"'"&amp;"!B"&amp;Z220)))</f>
        <v/>
      </c>
      <c r="D220" t="str" cm="1">
        <f t="array" aca="1" ref="D220" ca="1">IFERROR(_xlfn.IFS(C220="","",C220&lt;&gt;"",INDEX(SF_Output!I:I,MATCH(C220,SF_Output!M:M,0))),IFERROR(INDEX(INDIRECT($D$2&amp;"!G:G"),MATCH(C220,INDIRECT($D$2&amp;"!B:B"),0)),INDEX(INDIRECT("'"&amp;$D$2&amp;"'!G:G"),MATCH(C220,INDIRECT("'"&amp;$D$2&amp;"'!B:B"),0))))</f>
        <v/>
      </c>
      <c r="E220" t="str" cm="1">
        <f t="array" aca="1" ref="E220" ca="1">IFERROR(IF(C220="","",INDIRECT($D$2&amp;"!F"&amp;Z220)),IF(C220="","",INDIRECT("'"&amp;$D$2&amp;"'"&amp;"!F"&amp;Z220)))</f>
        <v/>
      </c>
      <c r="F220" t="str" cm="1">
        <f t="array" aca="1" ref="F220" ca="1">IFERROR(IF(C220="","",INDIRECT($D$2&amp;"!ak"&amp;Z220)),IF(C220="","",INDIRECT("'"&amp;$D$2&amp;"'"&amp;"!ak"&amp;Z220)))</f>
        <v/>
      </c>
      <c r="G220" t="str" cm="1">
        <f t="array" aca="1" ref="G220" ca="1">IFERROR(INDIRECT($D$2&amp;"!h"&amp;Z220),INDIRECT("'"&amp;$D$2&amp;"'"&amp;"!h"&amp;Z220))</f>
        <v/>
      </c>
      <c r="H220" s="125" t="str" cm="1">
        <f t="array" aca="1" ref="H220" ca="1">IFERROR(INDIRECT($D$2&amp;"!i"&amp;Z220),INDIRECT("'"&amp;$D$2&amp;"'"&amp;"!i"&amp;Z220))</f>
        <v/>
      </c>
      <c r="I220" s="113" t="str" cm="1">
        <f t="array" aca="1" ref="I220" ca="1">IFERROR(IF($C220="","",INDIRECT($D$2&amp;"!j"&amp;$Z220)+INDIRECT($D$2&amp;"!n"&amp;$Z220)),IF($C220="","",INDIRECT("'"&amp;$D$2&amp;"'"&amp;"!j"&amp;$Z220)+INDIRECT("'"&amp;$D$2&amp;"'"&amp;"!n"&amp;$Z220)))</f>
        <v/>
      </c>
      <c r="J220" s="113" t="str">
        <f t="shared" ca="1" si="22"/>
        <v/>
      </c>
      <c r="K220" s="113" t="str" cm="1">
        <f t="array" aca="1" ref="K220" ca="1">IFERROR(IF($C220="","",INDIRECT($D$2&amp;"!l"&amp;$Z220)+INDIRECT($D$2&amp;"!p"&amp;$Z220)),IF($C220="","",INDIRECT("'"&amp;$D$2&amp;"'"&amp;"!l"&amp;$Z220)+INDIRECT("'"&amp;$D$2&amp;"'"&amp;"!p"&amp;$Z220)))</f>
        <v/>
      </c>
      <c r="M220" s="113" t="str" cm="1">
        <f t="array" aca="1" ref="M220" ca="1">IFERROR(IF($C220="","",INDIRECT($D$2&amp;"!r"&amp;Z220)),IF($C220="","",INDIRECT("'"&amp;$D$2&amp;"'"&amp;"!r"&amp;Z220)))</f>
        <v/>
      </c>
      <c r="N220" s="113" t="str">
        <f t="shared" ca="1" si="23"/>
        <v/>
      </c>
      <c r="O220" s="113" t="str" cm="1">
        <f t="array" aca="1" ref="O220" ca="1">IFERROR(IF($C220="","",INDIRECT($D$2&amp;"!t"&amp;Z220)),IF($C220="","",INDIRECT("'"&amp;$D$2&amp;"'"&amp;"!t"&amp;Z220)))</f>
        <v/>
      </c>
      <c r="Q220" s="113" t="str" cm="1">
        <f t="array" aca="1" ref="Q220" ca="1">IFERROR(IF($C220="","",INDIRECT($D$2&amp;"!v"&amp;Z220)),IF($C220="","",INDIRECT("'"&amp;$D$2&amp;"'"&amp;"!v"&amp;Z220)))</f>
        <v/>
      </c>
      <c r="R220" s="113" t="str">
        <f t="shared" ca="1" si="24"/>
        <v/>
      </c>
      <c r="S220" s="113" t="str" cm="1">
        <f t="array" aca="1" ref="S220" ca="1">IFERROR(IF($C220="","",INDIRECT($D$2&amp;"!x"&amp;Z220)),IF($C220="","",INDIRECT("'"&amp;$D$2&amp;"'"&amp;"!x"&amp;Z220)))</f>
        <v/>
      </c>
      <c r="U220" s="113" t="str" cm="1">
        <f t="array" aca="1" ref="U220" ca="1">IFERROR(IF($C220="","",INDIRECT($D$2&amp;"!z"&amp;Z220)),IF($C220="","",INDIRECT("'"&amp;$D$2&amp;"'"&amp;"!z"&amp;Z220)))</f>
        <v/>
      </c>
      <c r="V220" s="113" t="str">
        <f t="shared" ca="1" si="25"/>
        <v/>
      </c>
      <c r="W220" s="113" t="str" cm="1">
        <f t="array" aca="1" ref="W220" ca="1">IFERROR(IF($C220="","",INDIRECT($D$2&amp;"!ab"&amp;Z220)),IF($C220="","",INDIRECT("'"&amp;$D$2&amp;"'"&amp;"!ab"&amp;Z220)))</f>
        <v/>
      </c>
      <c r="X220" s="113"/>
      <c r="Y220" s="113" t="str">
        <f t="shared" ca="1" si="26"/>
        <v/>
      </c>
      <c r="Z220" s="35">
        <v>209</v>
      </c>
      <c r="AA220" s="113"/>
      <c r="AB220" s="35">
        <v>209</v>
      </c>
    </row>
    <row r="221" spans="3:28" x14ac:dyDescent="0.25">
      <c r="C221" t="str" cm="1">
        <f t="array" aca="1" ref="C221" ca="1">IFERROR(IF(INDIRECT($D$2&amp;"!B"&amp;Z221)="","",INDIRECT("'"&amp;$D$2&amp;"'"&amp;"!B"&amp;Z221)),IF(INDIRECT("'"&amp;$D$2&amp;"'"&amp;"!B"&amp;Z221)="","",INDIRECT("'"&amp;$D$2&amp;"'"&amp;"!B"&amp;Z221)))</f>
        <v/>
      </c>
      <c r="D221" t="str" cm="1">
        <f t="array" aca="1" ref="D221" ca="1">IFERROR(_xlfn.IFS(C221="","",C221&lt;&gt;"",INDEX(SF_Output!I:I,MATCH(C221,SF_Output!M:M,0))),IFERROR(INDEX(INDIRECT($D$2&amp;"!G:G"),MATCH(C221,INDIRECT($D$2&amp;"!B:B"),0)),INDEX(INDIRECT("'"&amp;$D$2&amp;"'!G:G"),MATCH(C221,INDIRECT("'"&amp;$D$2&amp;"'!B:B"),0))))</f>
        <v/>
      </c>
      <c r="E221" t="str" cm="1">
        <f t="array" aca="1" ref="E221" ca="1">IFERROR(IF(C221="","",INDIRECT($D$2&amp;"!F"&amp;Z221)),IF(C221="","",INDIRECT("'"&amp;$D$2&amp;"'"&amp;"!F"&amp;Z221)))</f>
        <v/>
      </c>
      <c r="F221" t="str" cm="1">
        <f t="array" aca="1" ref="F221" ca="1">IFERROR(IF(C221="","",INDIRECT($D$2&amp;"!ak"&amp;Z221)),IF(C221="","",INDIRECT("'"&amp;$D$2&amp;"'"&amp;"!ak"&amp;Z221)))</f>
        <v/>
      </c>
      <c r="G221" t="str" cm="1">
        <f t="array" aca="1" ref="G221" ca="1">IFERROR(INDIRECT($D$2&amp;"!h"&amp;Z221),INDIRECT("'"&amp;$D$2&amp;"'"&amp;"!h"&amp;Z221))</f>
        <v/>
      </c>
      <c r="H221" s="125" t="str" cm="1">
        <f t="array" aca="1" ref="H221" ca="1">IFERROR(INDIRECT($D$2&amp;"!i"&amp;Z221),INDIRECT("'"&amp;$D$2&amp;"'"&amp;"!i"&amp;Z221))</f>
        <v/>
      </c>
      <c r="I221" s="113" t="str" cm="1">
        <f t="array" aca="1" ref="I221" ca="1">IFERROR(IF($C221="","",INDIRECT($D$2&amp;"!j"&amp;$Z221)+INDIRECT($D$2&amp;"!n"&amp;$Z221)),IF($C221="","",INDIRECT("'"&amp;$D$2&amp;"'"&amp;"!j"&amp;$Z221)+INDIRECT("'"&amp;$D$2&amp;"'"&amp;"!n"&amp;$Z221)))</f>
        <v/>
      </c>
      <c r="J221" s="113" t="str">
        <f t="shared" ca="1" si="22"/>
        <v/>
      </c>
      <c r="K221" s="113" t="str" cm="1">
        <f t="array" aca="1" ref="K221" ca="1">IFERROR(IF($C221="","",INDIRECT($D$2&amp;"!l"&amp;$Z221)+INDIRECT($D$2&amp;"!p"&amp;$Z221)),IF($C221="","",INDIRECT("'"&amp;$D$2&amp;"'"&amp;"!l"&amp;$Z221)+INDIRECT("'"&amp;$D$2&amp;"'"&amp;"!p"&amp;$Z221)))</f>
        <v/>
      </c>
      <c r="M221" s="113" t="str" cm="1">
        <f t="array" aca="1" ref="M221" ca="1">IFERROR(IF($C221="","",INDIRECT($D$2&amp;"!r"&amp;Z221)),IF($C221="","",INDIRECT("'"&amp;$D$2&amp;"'"&amp;"!r"&amp;Z221)))</f>
        <v/>
      </c>
      <c r="N221" s="113" t="str">
        <f t="shared" ca="1" si="23"/>
        <v/>
      </c>
      <c r="O221" s="113" t="str" cm="1">
        <f t="array" aca="1" ref="O221" ca="1">IFERROR(IF($C221="","",INDIRECT($D$2&amp;"!t"&amp;Z221)),IF($C221="","",INDIRECT("'"&amp;$D$2&amp;"'"&amp;"!t"&amp;Z221)))</f>
        <v/>
      </c>
      <c r="Q221" s="113" t="str" cm="1">
        <f t="array" aca="1" ref="Q221" ca="1">IFERROR(IF($C221="","",INDIRECT($D$2&amp;"!v"&amp;Z221)),IF($C221="","",INDIRECT("'"&amp;$D$2&amp;"'"&amp;"!v"&amp;Z221)))</f>
        <v/>
      </c>
      <c r="R221" s="113" t="str">
        <f t="shared" ca="1" si="24"/>
        <v/>
      </c>
      <c r="S221" s="113" t="str" cm="1">
        <f t="array" aca="1" ref="S221" ca="1">IFERROR(IF($C221="","",INDIRECT($D$2&amp;"!x"&amp;Z221)),IF($C221="","",INDIRECT("'"&amp;$D$2&amp;"'"&amp;"!x"&amp;Z221)))</f>
        <v/>
      </c>
      <c r="U221" s="113" t="str" cm="1">
        <f t="array" aca="1" ref="U221" ca="1">IFERROR(IF($C221="","",INDIRECT($D$2&amp;"!z"&amp;Z221)),IF($C221="","",INDIRECT("'"&amp;$D$2&amp;"'"&amp;"!z"&amp;Z221)))</f>
        <v/>
      </c>
      <c r="V221" s="113" t="str">
        <f t="shared" ca="1" si="25"/>
        <v/>
      </c>
      <c r="W221" s="113" t="str" cm="1">
        <f t="array" aca="1" ref="W221" ca="1">IFERROR(IF($C221="","",INDIRECT($D$2&amp;"!ab"&amp;Z221)),IF($C221="","",INDIRECT("'"&amp;$D$2&amp;"'"&amp;"!ab"&amp;Z221)))</f>
        <v/>
      </c>
      <c r="X221" s="113"/>
      <c r="Y221" s="113" t="str">
        <f t="shared" ca="1" si="26"/>
        <v/>
      </c>
      <c r="Z221" s="35">
        <v>210</v>
      </c>
      <c r="AA221" s="113"/>
      <c r="AB221" s="35">
        <v>210</v>
      </c>
    </row>
    <row r="222" spans="3:28" x14ac:dyDescent="0.25">
      <c r="C222" t="str" cm="1">
        <f t="array" aca="1" ref="C222" ca="1">IFERROR(IF(INDIRECT($D$2&amp;"!B"&amp;Z222)="","",INDIRECT("'"&amp;$D$2&amp;"'"&amp;"!B"&amp;Z222)),IF(INDIRECT("'"&amp;$D$2&amp;"'"&amp;"!B"&amp;Z222)="","",INDIRECT("'"&amp;$D$2&amp;"'"&amp;"!B"&amp;Z222)))</f>
        <v/>
      </c>
      <c r="D222" t="str" cm="1">
        <f t="array" aca="1" ref="D222" ca="1">IFERROR(_xlfn.IFS(C222="","",C222&lt;&gt;"",INDEX(SF_Output!I:I,MATCH(C222,SF_Output!M:M,0))),IFERROR(INDEX(INDIRECT($D$2&amp;"!G:G"),MATCH(C222,INDIRECT($D$2&amp;"!B:B"),0)),INDEX(INDIRECT("'"&amp;$D$2&amp;"'!G:G"),MATCH(C222,INDIRECT("'"&amp;$D$2&amp;"'!B:B"),0))))</f>
        <v/>
      </c>
      <c r="E222" t="str" cm="1">
        <f t="array" aca="1" ref="E222" ca="1">IFERROR(IF(C222="","",INDIRECT($D$2&amp;"!F"&amp;Z222)),IF(C222="","",INDIRECT("'"&amp;$D$2&amp;"'"&amp;"!F"&amp;Z222)))</f>
        <v/>
      </c>
      <c r="F222" t="str" cm="1">
        <f t="array" aca="1" ref="F222" ca="1">IFERROR(IF(C222="","",INDIRECT($D$2&amp;"!ak"&amp;Z222)),IF(C222="","",INDIRECT("'"&amp;$D$2&amp;"'"&amp;"!ak"&amp;Z222)))</f>
        <v/>
      </c>
      <c r="G222" t="str" cm="1">
        <f t="array" aca="1" ref="G222" ca="1">IFERROR(INDIRECT($D$2&amp;"!h"&amp;Z222),INDIRECT("'"&amp;$D$2&amp;"'"&amp;"!h"&amp;Z222))</f>
        <v/>
      </c>
      <c r="H222" s="125" t="str" cm="1">
        <f t="array" aca="1" ref="H222" ca="1">IFERROR(INDIRECT($D$2&amp;"!i"&amp;Z222),INDIRECT("'"&amp;$D$2&amp;"'"&amp;"!i"&amp;Z222))</f>
        <v/>
      </c>
      <c r="I222" s="113" t="str" cm="1">
        <f t="array" aca="1" ref="I222" ca="1">IFERROR(IF($C222="","",INDIRECT($D$2&amp;"!j"&amp;$Z222)+INDIRECT($D$2&amp;"!n"&amp;$Z222)),IF($C222="","",INDIRECT("'"&amp;$D$2&amp;"'"&amp;"!j"&amp;$Z222)+INDIRECT("'"&amp;$D$2&amp;"'"&amp;"!n"&amp;$Z222)))</f>
        <v/>
      </c>
      <c r="J222" s="113" t="str">
        <f t="shared" ca="1" si="22"/>
        <v/>
      </c>
      <c r="K222" s="113" t="str" cm="1">
        <f t="array" aca="1" ref="K222" ca="1">IFERROR(IF($C222="","",INDIRECT($D$2&amp;"!l"&amp;$Z222)+INDIRECT($D$2&amp;"!p"&amp;$Z222)),IF($C222="","",INDIRECT("'"&amp;$D$2&amp;"'"&amp;"!l"&amp;$Z222)+INDIRECT("'"&amp;$D$2&amp;"'"&amp;"!p"&amp;$Z222)))</f>
        <v/>
      </c>
      <c r="M222" s="113" t="str" cm="1">
        <f t="array" aca="1" ref="M222" ca="1">IFERROR(IF($C222="","",INDIRECT($D$2&amp;"!r"&amp;Z222)),IF($C222="","",INDIRECT("'"&amp;$D$2&amp;"'"&amp;"!r"&amp;Z222)))</f>
        <v/>
      </c>
      <c r="N222" s="113" t="str">
        <f t="shared" ca="1" si="23"/>
        <v/>
      </c>
      <c r="O222" s="113" t="str" cm="1">
        <f t="array" aca="1" ref="O222" ca="1">IFERROR(IF($C222="","",INDIRECT($D$2&amp;"!t"&amp;Z222)),IF($C222="","",INDIRECT("'"&amp;$D$2&amp;"'"&amp;"!t"&amp;Z222)))</f>
        <v/>
      </c>
      <c r="Q222" s="113" t="str" cm="1">
        <f t="array" aca="1" ref="Q222" ca="1">IFERROR(IF($C222="","",INDIRECT($D$2&amp;"!v"&amp;Z222)),IF($C222="","",INDIRECT("'"&amp;$D$2&amp;"'"&amp;"!v"&amp;Z222)))</f>
        <v/>
      </c>
      <c r="R222" s="113" t="str">
        <f t="shared" ca="1" si="24"/>
        <v/>
      </c>
      <c r="S222" s="113" t="str" cm="1">
        <f t="array" aca="1" ref="S222" ca="1">IFERROR(IF($C222="","",INDIRECT($D$2&amp;"!x"&amp;Z222)),IF($C222="","",INDIRECT("'"&amp;$D$2&amp;"'"&amp;"!x"&amp;Z222)))</f>
        <v/>
      </c>
      <c r="U222" s="113" t="str" cm="1">
        <f t="array" aca="1" ref="U222" ca="1">IFERROR(IF($C222="","",INDIRECT($D$2&amp;"!z"&amp;Z222)),IF($C222="","",INDIRECT("'"&amp;$D$2&amp;"'"&amp;"!z"&amp;Z222)))</f>
        <v/>
      </c>
      <c r="V222" s="113" t="str">
        <f t="shared" ca="1" si="25"/>
        <v/>
      </c>
      <c r="W222" s="113" t="str" cm="1">
        <f t="array" aca="1" ref="W222" ca="1">IFERROR(IF($C222="","",INDIRECT($D$2&amp;"!ab"&amp;Z222)),IF($C222="","",INDIRECT("'"&amp;$D$2&amp;"'"&amp;"!ab"&amp;Z222)))</f>
        <v/>
      </c>
      <c r="X222" s="113"/>
      <c r="Y222" s="113" t="str">
        <f t="shared" ca="1" si="26"/>
        <v/>
      </c>
      <c r="Z222" s="35">
        <v>211</v>
      </c>
      <c r="AA222" s="113"/>
      <c r="AB222" s="35">
        <v>211</v>
      </c>
    </row>
    <row r="223" spans="3:28" x14ac:dyDescent="0.25">
      <c r="C223" t="str" cm="1">
        <f t="array" aca="1" ref="C223" ca="1">IFERROR(IF(INDIRECT($D$2&amp;"!B"&amp;Z223)="","",INDIRECT("'"&amp;$D$2&amp;"'"&amp;"!B"&amp;Z223)),IF(INDIRECT("'"&amp;$D$2&amp;"'"&amp;"!B"&amp;Z223)="","",INDIRECT("'"&amp;$D$2&amp;"'"&amp;"!B"&amp;Z223)))</f>
        <v/>
      </c>
      <c r="D223" t="str" cm="1">
        <f t="array" aca="1" ref="D223" ca="1">IFERROR(_xlfn.IFS(C223="","",C223&lt;&gt;"",INDEX(SF_Output!I:I,MATCH(C223,SF_Output!M:M,0))),IFERROR(INDEX(INDIRECT($D$2&amp;"!G:G"),MATCH(C223,INDIRECT($D$2&amp;"!B:B"),0)),INDEX(INDIRECT("'"&amp;$D$2&amp;"'!G:G"),MATCH(C223,INDIRECT("'"&amp;$D$2&amp;"'!B:B"),0))))</f>
        <v/>
      </c>
      <c r="E223" t="str" cm="1">
        <f t="array" aca="1" ref="E223" ca="1">IFERROR(IF(C223="","",INDIRECT($D$2&amp;"!F"&amp;Z223)),IF(C223="","",INDIRECT("'"&amp;$D$2&amp;"'"&amp;"!F"&amp;Z223)))</f>
        <v/>
      </c>
      <c r="F223" t="str" cm="1">
        <f t="array" aca="1" ref="F223" ca="1">IFERROR(IF(C223="","",INDIRECT($D$2&amp;"!ak"&amp;Z223)),IF(C223="","",INDIRECT("'"&amp;$D$2&amp;"'"&amp;"!ak"&amp;Z223)))</f>
        <v/>
      </c>
      <c r="G223" t="str" cm="1">
        <f t="array" aca="1" ref="G223" ca="1">IFERROR(INDIRECT($D$2&amp;"!h"&amp;Z223),INDIRECT("'"&amp;$D$2&amp;"'"&amp;"!h"&amp;Z223))</f>
        <v/>
      </c>
      <c r="H223" s="125" t="str" cm="1">
        <f t="array" aca="1" ref="H223" ca="1">IFERROR(INDIRECT($D$2&amp;"!i"&amp;Z223),INDIRECT("'"&amp;$D$2&amp;"'"&amp;"!i"&amp;Z223))</f>
        <v/>
      </c>
      <c r="I223" s="113" t="str" cm="1">
        <f t="array" aca="1" ref="I223" ca="1">IFERROR(IF($C223="","",INDIRECT($D$2&amp;"!j"&amp;$Z223)+INDIRECT($D$2&amp;"!n"&amp;$Z223)),IF($C223="","",INDIRECT("'"&amp;$D$2&amp;"'"&amp;"!j"&amp;$Z223)+INDIRECT("'"&amp;$D$2&amp;"'"&amp;"!n"&amp;$Z223)))</f>
        <v/>
      </c>
      <c r="J223" s="113" t="str">
        <f t="shared" ca="1" si="22"/>
        <v/>
      </c>
      <c r="K223" s="113" t="str" cm="1">
        <f t="array" aca="1" ref="K223" ca="1">IFERROR(IF($C223="","",INDIRECT($D$2&amp;"!l"&amp;$Z223)+INDIRECT($D$2&amp;"!p"&amp;$Z223)),IF($C223="","",INDIRECT("'"&amp;$D$2&amp;"'"&amp;"!l"&amp;$Z223)+INDIRECT("'"&amp;$D$2&amp;"'"&amp;"!p"&amp;$Z223)))</f>
        <v/>
      </c>
      <c r="M223" s="113" t="str" cm="1">
        <f t="array" aca="1" ref="M223" ca="1">IFERROR(IF($C223="","",INDIRECT($D$2&amp;"!r"&amp;Z223)),IF($C223="","",INDIRECT("'"&amp;$D$2&amp;"'"&amp;"!r"&amp;Z223)))</f>
        <v/>
      </c>
      <c r="N223" s="113" t="str">
        <f t="shared" ca="1" si="23"/>
        <v/>
      </c>
      <c r="O223" s="113" t="str" cm="1">
        <f t="array" aca="1" ref="O223" ca="1">IFERROR(IF($C223="","",INDIRECT($D$2&amp;"!t"&amp;Z223)),IF($C223="","",INDIRECT("'"&amp;$D$2&amp;"'"&amp;"!t"&amp;Z223)))</f>
        <v/>
      </c>
      <c r="Q223" s="113" t="str" cm="1">
        <f t="array" aca="1" ref="Q223" ca="1">IFERROR(IF($C223="","",INDIRECT($D$2&amp;"!v"&amp;Z223)),IF($C223="","",INDIRECT("'"&amp;$D$2&amp;"'"&amp;"!v"&amp;Z223)))</f>
        <v/>
      </c>
      <c r="R223" s="113" t="str">
        <f t="shared" ca="1" si="24"/>
        <v/>
      </c>
      <c r="S223" s="113" t="str" cm="1">
        <f t="array" aca="1" ref="S223" ca="1">IFERROR(IF($C223="","",INDIRECT($D$2&amp;"!x"&amp;Z223)),IF($C223="","",INDIRECT("'"&amp;$D$2&amp;"'"&amp;"!x"&amp;Z223)))</f>
        <v/>
      </c>
      <c r="U223" s="113" t="str" cm="1">
        <f t="array" aca="1" ref="U223" ca="1">IFERROR(IF($C223="","",INDIRECT($D$2&amp;"!z"&amp;Z223)),IF($C223="","",INDIRECT("'"&amp;$D$2&amp;"'"&amp;"!z"&amp;Z223)))</f>
        <v/>
      </c>
      <c r="V223" s="113" t="str">
        <f t="shared" ca="1" si="25"/>
        <v/>
      </c>
      <c r="W223" s="113" t="str" cm="1">
        <f t="array" aca="1" ref="W223" ca="1">IFERROR(IF($C223="","",INDIRECT($D$2&amp;"!ab"&amp;Z223)),IF($C223="","",INDIRECT("'"&amp;$D$2&amp;"'"&amp;"!ab"&amp;Z223)))</f>
        <v/>
      </c>
      <c r="X223" s="113"/>
      <c r="Y223" s="113" t="str">
        <f t="shared" ca="1" si="26"/>
        <v/>
      </c>
      <c r="Z223" s="35">
        <v>212</v>
      </c>
      <c r="AA223" s="113"/>
      <c r="AB223" s="35">
        <v>212</v>
      </c>
    </row>
    <row r="224" spans="3:28" x14ac:dyDescent="0.25">
      <c r="C224" t="str" cm="1">
        <f t="array" aca="1" ref="C224" ca="1">IFERROR(IF(INDIRECT($D$2&amp;"!B"&amp;Z224)="","",INDIRECT("'"&amp;$D$2&amp;"'"&amp;"!B"&amp;Z224)),IF(INDIRECT("'"&amp;$D$2&amp;"'"&amp;"!B"&amp;Z224)="","",INDIRECT("'"&amp;$D$2&amp;"'"&amp;"!B"&amp;Z224)))</f>
        <v/>
      </c>
      <c r="D224" t="str" cm="1">
        <f t="array" aca="1" ref="D224" ca="1">IFERROR(_xlfn.IFS(C224="","",C224&lt;&gt;"",INDEX(SF_Output!I:I,MATCH(C224,SF_Output!M:M,0))),IFERROR(INDEX(INDIRECT($D$2&amp;"!G:G"),MATCH(C224,INDIRECT($D$2&amp;"!B:B"),0)),INDEX(INDIRECT("'"&amp;$D$2&amp;"'!G:G"),MATCH(C224,INDIRECT("'"&amp;$D$2&amp;"'!B:B"),0))))</f>
        <v/>
      </c>
      <c r="E224" t="str" cm="1">
        <f t="array" aca="1" ref="E224" ca="1">IFERROR(IF(C224="","",INDIRECT($D$2&amp;"!F"&amp;Z224)),IF(C224="","",INDIRECT("'"&amp;$D$2&amp;"'"&amp;"!F"&amp;Z224)))</f>
        <v/>
      </c>
      <c r="F224" t="str" cm="1">
        <f t="array" aca="1" ref="F224" ca="1">IFERROR(IF(C224="","",INDIRECT($D$2&amp;"!ak"&amp;Z224)),IF(C224="","",INDIRECT("'"&amp;$D$2&amp;"'"&amp;"!ak"&amp;Z224)))</f>
        <v/>
      </c>
      <c r="G224" t="str" cm="1">
        <f t="array" aca="1" ref="G224" ca="1">IFERROR(INDIRECT($D$2&amp;"!h"&amp;Z224),INDIRECT("'"&amp;$D$2&amp;"'"&amp;"!h"&amp;Z224))</f>
        <v/>
      </c>
      <c r="H224" s="125" t="str" cm="1">
        <f t="array" aca="1" ref="H224" ca="1">IFERROR(INDIRECT($D$2&amp;"!i"&amp;Z224),INDIRECT("'"&amp;$D$2&amp;"'"&amp;"!i"&amp;Z224))</f>
        <v/>
      </c>
      <c r="I224" s="113" t="str" cm="1">
        <f t="array" aca="1" ref="I224" ca="1">IFERROR(IF($C224="","",INDIRECT($D$2&amp;"!j"&amp;$Z224)+INDIRECT($D$2&amp;"!n"&amp;$Z224)),IF($C224="","",INDIRECT("'"&amp;$D$2&amp;"'"&amp;"!j"&amp;$Z224)+INDIRECT("'"&amp;$D$2&amp;"'"&amp;"!n"&amp;$Z224)))</f>
        <v/>
      </c>
      <c r="J224" s="113" t="str">
        <f t="shared" ca="1" si="22"/>
        <v/>
      </c>
      <c r="K224" s="113" t="str" cm="1">
        <f t="array" aca="1" ref="K224" ca="1">IFERROR(IF($C224="","",INDIRECT($D$2&amp;"!l"&amp;$Z224)+INDIRECT($D$2&amp;"!p"&amp;$Z224)),IF($C224="","",INDIRECT("'"&amp;$D$2&amp;"'"&amp;"!l"&amp;$Z224)+INDIRECT("'"&amp;$D$2&amp;"'"&amp;"!p"&amp;$Z224)))</f>
        <v/>
      </c>
      <c r="M224" s="113" t="str" cm="1">
        <f t="array" aca="1" ref="M224" ca="1">IFERROR(IF($C224="","",INDIRECT($D$2&amp;"!r"&amp;Z224)),IF($C224="","",INDIRECT("'"&amp;$D$2&amp;"'"&amp;"!r"&amp;Z224)))</f>
        <v/>
      </c>
      <c r="N224" s="113" t="str">
        <f t="shared" ca="1" si="23"/>
        <v/>
      </c>
      <c r="O224" s="113" t="str" cm="1">
        <f t="array" aca="1" ref="O224" ca="1">IFERROR(IF($C224="","",INDIRECT($D$2&amp;"!t"&amp;Z224)),IF($C224="","",INDIRECT("'"&amp;$D$2&amp;"'"&amp;"!t"&amp;Z224)))</f>
        <v/>
      </c>
      <c r="Q224" s="113" t="str" cm="1">
        <f t="array" aca="1" ref="Q224" ca="1">IFERROR(IF($C224="","",INDIRECT($D$2&amp;"!v"&amp;Z224)),IF($C224="","",INDIRECT("'"&amp;$D$2&amp;"'"&amp;"!v"&amp;Z224)))</f>
        <v/>
      </c>
      <c r="R224" s="113" t="str">
        <f t="shared" ca="1" si="24"/>
        <v/>
      </c>
      <c r="S224" s="113" t="str" cm="1">
        <f t="array" aca="1" ref="S224" ca="1">IFERROR(IF($C224="","",INDIRECT($D$2&amp;"!x"&amp;Z224)),IF($C224="","",INDIRECT("'"&amp;$D$2&amp;"'"&amp;"!x"&amp;Z224)))</f>
        <v/>
      </c>
      <c r="U224" s="113" t="str" cm="1">
        <f t="array" aca="1" ref="U224" ca="1">IFERROR(IF($C224="","",INDIRECT($D$2&amp;"!z"&amp;Z224)),IF($C224="","",INDIRECT("'"&amp;$D$2&amp;"'"&amp;"!z"&amp;Z224)))</f>
        <v/>
      </c>
      <c r="V224" s="113" t="str">
        <f t="shared" ca="1" si="25"/>
        <v/>
      </c>
      <c r="W224" s="113" t="str" cm="1">
        <f t="array" aca="1" ref="W224" ca="1">IFERROR(IF($C224="","",INDIRECT($D$2&amp;"!ab"&amp;Z224)),IF($C224="","",INDIRECT("'"&amp;$D$2&amp;"'"&amp;"!ab"&amp;Z224)))</f>
        <v/>
      </c>
      <c r="X224" s="113"/>
      <c r="Y224" s="113" t="str">
        <f t="shared" ca="1" si="26"/>
        <v/>
      </c>
      <c r="Z224" s="35">
        <v>213</v>
      </c>
      <c r="AA224" s="113"/>
      <c r="AB224" s="35">
        <v>213</v>
      </c>
    </row>
    <row r="225" spans="3:28" x14ac:dyDescent="0.25">
      <c r="C225" t="str" cm="1">
        <f t="array" aca="1" ref="C225" ca="1">IFERROR(IF(INDIRECT($D$2&amp;"!B"&amp;Z225)="","",INDIRECT("'"&amp;$D$2&amp;"'"&amp;"!B"&amp;Z225)),IF(INDIRECT("'"&amp;$D$2&amp;"'"&amp;"!B"&amp;Z225)="","",INDIRECT("'"&amp;$D$2&amp;"'"&amp;"!B"&amp;Z225)))</f>
        <v/>
      </c>
      <c r="D225" t="str" cm="1">
        <f t="array" aca="1" ref="D225" ca="1">IFERROR(_xlfn.IFS(C225="","",C225&lt;&gt;"",INDEX(SF_Output!I:I,MATCH(C225,SF_Output!M:M,0))),IFERROR(INDEX(INDIRECT($D$2&amp;"!G:G"),MATCH(C225,INDIRECT($D$2&amp;"!B:B"),0)),INDEX(INDIRECT("'"&amp;$D$2&amp;"'!G:G"),MATCH(C225,INDIRECT("'"&amp;$D$2&amp;"'!B:B"),0))))</f>
        <v/>
      </c>
      <c r="E225" t="str" cm="1">
        <f t="array" aca="1" ref="E225" ca="1">IFERROR(IF(C225="","",INDIRECT($D$2&amp;"!F"&amp;Z225)),IF(C225="","",INDIRECT("'"&amp;$D$2&amp;"'"&amp;"!F"&amp;Z225)))</f>
        <v/>
      </c>
      <c r="F225" t="str" cm="1">
        <f t="array" aca="1" ref="F225" ca="1">IFERROR(IF(C225="","",INDIRECT($D$2&amp;"!ak"&amp;Z225)),IF(C225="","",INDIRECT("'"&amp;$D$2&amp;"'"&amp;"!ak"&amp;Z225)))</f>
        <v/>
      </c>
      <c r="G225" t="str" cm="1">
        <f t="array" aca="1" ref="G225" ca="1">IFERROR(INDIRECT($D$2&amp;"!h"&amp;Z225),INDIRECT("'"&amp;$D$2&amp;"'"&amp;"!h"&amp;Z225))</f>
        <v/>
      </c>
      <c r="H225" s="125" t="str" cm="1">
        <f t="array" aca="1" ref="H225" ca="1">IFERROR(INDIRECT($D$2&amp;"!i"&amp;Z225),INDIRECT("'"&amp;$D$2&amp;"'"&amp;"!i"&amp;Z225))</f>
        <v/>
      </c>
      <c r="I225" s="113" t="str" cm="1">
        <f t="array" aca="1" ref="I225" ca="1">IFERROR(IF($C225="","",INDIRECT($D$2&amp;"!j"&amp;$Z225)+INDIRECT($D$2&amp;"!n"&amp;$Z225)),IF($C225="","",INDIRECT("'"&amp;$D$2&amp;"'"&amp;"!j"&amp;$Z225)+INDIRECT("'"&amp;$D$2&amp;"'"&amp;"!n"&amp;$Z225)))</f>
        <v/>
      </c>
      <c r="J225" s="113" t="str">
        <f t="shared" ca="1" si="22"/>
        <v/>
      </c>
      <c r="K225" s="113" t="str" cm="1">
        <f t="array" aca="1" ref="K225" ca="1">IFERROR(IF($C225="","",INDIRECT($D$2&amp;"!l"&amp;$Z225)+INDIRECT($D$2&amp;"!p"&amp;$Z225)),IF($C225="","",INDIRECT("'"&amp;$D$2&amp;"'"&amp;"!l"&amp;$Z225)+INDIRECT("'"&amp;$D$2&amp;"'"&amp;"!p"&amp;$Z225)))</f>
        <v/>
      </c>
      <c r="M225" s="113" t="str" cm="1">
        <f t="array" aca="1" ref="M225" ca="1">IFERROR(IF($C225="","",INDIRECT($D$2&amp;"!r"&amp;Z225)),IF($C225="","",INDIRECT("'"&amp;$D$2&amp;"'"&amp;"!r"&amp;Z225)))</f>
        <v/>
      </c>
      <c r="N225" s="113" t="str">
        <f t="shared" ca="1" si="23"/>
        <v/>
      </c>
      <c r="O225" s="113" t="str" cm="1">
        <f t="array" aca="1" ref="O225" ca="1">IFERROR(IF($C225="","",INDIRECT($D$2&amp;"!t"&amp;Z225)),IF($C225="","",INDIRECT("'"&amp;$D$2&amp;"'"&amp;"!t"&amp;Z225)))</f>
        <v/>
      </c>
      <c r="Q225" s="113" t="str" cm="1">
        <f t="array" aca="1" ref="Q225" ca="1">IFERROR(IF($C225="","",INDIRECT($D$2&amp;"!v"&amp;Z225)),IF($C225="","",INDIRECT("'"&amp;$D$2&amp;"'"&amp;"!v"&amp;Z225)))</f>
        <v/>
      </c>
      <c r="R225" s="113" t="str">
        <f t="shared" ca="1" si="24"/>
        <v/>
      </c>
      <c r="S225" s="113" t="str" cm="1">
        <f t="array" aca="1" ref="S225" ca="1">IFERROR(IF($C225="","",INDIRECT($D$2&amp;"!x"&amp;Z225)),IF($C225="","",INDIRECT("'"&amp;$D$2&amp;"'"&amp;"!x"&amp;Z225)))</f>
        <v/>
      </c>
      <c r="U225" s="113" t="str" cm="1">
        <f t="array" aca="1" ref="U225" ca="1">IFERROR(IF($C225="","",INDIRECT($D$2&amp;"!z"&amp;Z225)),IF($C225="","",INDIRECT("'"&amp;$D$2&amp;"'"&amp;"!z"&amp;Z225)))</f>
        <v/>
      </c>
      <c r="V225" s="113" t="str">
        <f t="shared" ca="1" si="25"/>
        <v/>
      </c>
      <c r="W225" s="113" t="str" cm="1">
        <f t="array" aca="1" ref="W225" ca="1">IFERROR(IF($C225="","",INDIRECT($D$2&amp;"!ab"&amp;Z225)),IF($C225="","",INDIRECT("'"&amp;$D$2&amp;"'"&amp;"!ab"&amp;Z225)))</f>
        <v/>
      </c>
      <c r="X225" s="113"/>
      <c r="Y225" s="113" t="str">
        <f t="shared" ca="1" si="26"/>
        <v/>
      </c>
      <c r="Z225" s="35">
        <v>214</v>
      </c>
      <c r="AA225" s="113"/>
      <c r="AB225" s="35">
        <v>214</v>
      </c>
    </row>
    <row r="226" spans="3:28" x14ac:dyDescent="0.25">
      <c r="C226" t="str" cm="1">
        <f t="array" aca="1" ref="C226" ca="1">IFERROR(IF(INDIRECT($D$2&amp;"!B"&amp;Z226)="","",INDIRECT("'"&amp;$D$2&amp;"'"&amp;"!B"&amp;Z226)),IF(INDIRECT("'"&amp;$D$2&amp;"'"&amp;"!B"&amp;Z226)="","",INDIRECT("'"&amp;$D$2&amp;"'"&amp;"!B"&amp;Z226)))</f>
        <v/>
      </c>
      <c r="D226" t="str" cm="1">
        <f t="array" aca="1" ref="D226" ca="1">IFERROR(_xlfn.IFS(C226="","",C226&lt;&gt;"",INDEX(SF_Output!I:I,MATCH(C226,SF_Output!M:M,0))),IFERROR(INDEX(INDIRECT($D$2&amp;"!G:G"),MATCH(C226,INDIRECT($D$2&amp;"!B:B"),0)),INDEX(INDIRECT("'"&amp;$D$2&amp;"'!G:G"),MATCH(C226,INDIRECT("'"&amp;$D$2&amp;"'!B:B"),0))))</f>
        <v/>
      </c>
      <c r="E226" t="str" cm="1">
        <f t="array" aca="1" ref="E226" ca="1">IFERROR(IF(C226="","",INDIRECT($D$2&amp;"!F"&amp;Z226)),IF(C226="","",INDIRECT("'"&amp;$D$2&amp;"'"&amp;"!F"&amp;Z226)))</f>
        <v/>
      </c>
      <c r="F226" t="str" cm="1">
        <f t="array" aca="1" ref="F226" ca="1">IFERROR(IF(C226="","",INDIRECT($D$2&amp;"!ak"&amp;Z226)),IF(C226="","",INDIRECT("'"&amp;$D$2&amp;"'"&amp;"!ak"&amp;Z226)))</f>
        <v/>
      </c>
      <c r="G226" t="str" cm="1">
        <f t="array" aca="1" ref="G226" ca="1">IFERROR(INDIRECT($D$2&amp;"!h"&amp;Z226),INDIRECT("'"&amp;$D$2&amp;"'"&amp;"!h"&amp;Z226))</f>
        <v/>
      </c>
      <c r="H226" s="125" t="str" cm="1">
        <f t="array" aca="1" ref="H226" ca="1">IFERROR(INDIRECT($D$2&amp;"!i"&amp;Z226),INDIRECT("'"&amp;$D$2&amp;"'"&amp;"!i"&amp;Z226))</f>
        <v/>
      </c>
      <c r="I226" s="113" t="str" cm="1">
        <f t="array" aca="1" ref="I226" ca="1">IFERROR(IF($C226="","",INDIRECT($D$2&amp;"!j"&amp;$Z226)+INDIRECT($D$2&amp;"!n"&amp;$Z226)),IF($C226="","",INDIRECT("'"&amp;$D$2&amp;"'"&amp;"!j"&amp;$Z226)+INDIRECT("'"&amp;$D$2&amp;"'"&amp;"!n"&amp;$Z226)))</f>
        <v/>
      </c>
      <c r="J226" s="113" t="str">
        <f t="shared" ca="1" si="22"/>
        <v/>
      </c>
      <c r="K226" s="113" t="str" cm="1">
        <f t="array" aca="1" ref="K226" ca="1">IFERROR(IF($C226="","",INDIRECT($D$2&amp;"!l"&amp;$Z226)+INDIRECT($D$2&amp;"!p"&amp;$Z226)),IF($C226="","",INDIRECT("'"&amp;$D$2&amp;"'"&amp;"!l"&amp;$Z226)+INDIRECT("'"&amp;$D$2&amp;"'"&amp;"!p"&amp;$Z226)))</f>
        <v/>
      </c>
      <c r="M226" s="113" t="str" cm="1">
        <f t="array" aca="1" ref="M226" ca="1">IFERROR(IF($C226="","",INDIRECT($D$2&amp;"!r"&amp;Z226)),IF($C226="","",INDIRECT("'"&amp;$D$2&amp;"'"&amp;"!r"&amp;Z226)))</f>
        <v/>
      </c>
      <c r="N226" s="113" t="str">
        <f t="shared" ca="1" si="23"/>
        <v/>
      </c>
      <c r="O226" s="113" t="str" cm="1">
        <f t="array" aca="1" ref="O226" ca="1">IFERROR(IF($C226="","",INDIRECT($D$2&amp;"!t"&amp;Z226)),IF($C226="","",INDIRECT("'"&amp;$D$2&amp;"'"&amp;"!t"&amp;Z226)))</f>
        <v/>
      </c>
      <c r="Q226" s="113" t="str" cm="1">
        <f t="array" aca="1" ref="Q226" ca="1">IFERROR(IF($C226="","",INDIRECT($D$2&amp;"!v"&amp;Z226)),IF($C226="","",INDIRECT("'"&amp;$D$2&amp;"'"&amp;"!v"&amp;Z226)))</f>
        <v/>
      </c>
      <c r="R226" s="113" t="str">
        <f t="shared" ca="1" si="24"/>
        <v/>
      </c>
      <c r="S226" s="113" t="str" cm="1">
        <f t="array" aca="1" ref="S226" ca="1">IFERROR(IF($C226="","",INDIRECT($D$2&amp;"!x"&amp;Z226)),IF($C226="","",INDIRECT("'"&amp;$D$2&amp;"'"&amp;"!x"&amp;Z226)))</f>
        <v/>
      </c>
      <c r="U226" s="113" t="str" cm="1">
        <f t="array" aca="1" ref="U226" ca="1">IFERROR(IF($C226="","",INDIRECT($D$2&amp;"!z"&amp;Z226)),IF($C226="","",INDIRECT("'"&amp;$D$2&amp;"'"&amp;"!z"&amp;Z226)))</f>
        <v/>
      </c>
      <c r="V226" s="113" t="str">
        <f t="shared" ca="1" si="25"/>
        <v/>
      </c>
      <c r="W226" s="113" t="str" cm="1">
        <f t="array" aca="1" ref="W226" ca="1">IFERROR(IF($C226="","",INDIRECT($D$2&amp;"!ab"&amp;Z226)),IF($C226="","",INDIRECT("'"&amp;$D$2&amp;"'"&amp;"!ab"&amp;Z226)))</f>
        <v/>
      </c>
      <c r="X226" s="113"/>
      <c r="Y226" s="113" t="str">
        <f t="shared" ca="1" si="26"/>
        <v/>
      </c>
      <c r="Z226" s="35">
        <v>215</v>
      </c>
      <c r="AA226" s="113"/>
      <c r="AB226" s="35">
        <v>215</v>
      </c>
    </row>
    <row r="227" spans="3:28" x14ac:dyDescent="0.25">
      <c r="C227" t="str" cm="1">
        <f t="array" aca="1" ref="C227" ca="1">IFERROR(IF(INDIRECT($D$2&amp;"!B"&amp;Z227)="","",INDIRECT("'"&amp;$D$2&amp;"'"&amp;"!B"&amp;Z227)),IF(INDIRECT("'"&amp;$D$2&amp;"'"&amp;"!B"&amp;Z227)="","",INDIRECT("'"&amp;$D$2&amp;"'"&amp;"!B"&amp;Z227)))</f>
        <v/>
      </c>
      <c r="D227" t="str" cm="1">
        <f t="array" aca="1" ref="D227" ca="1">IFERROR(_xlfn.IFS(C227="","",C227&lt;&gt;"",INDEX(SF_Output!I:I,MATCH(C227,SF_Output!M:M,0))),IFERROR(INDEX(INDIRECT($D$2&amp;"!G:G"),MATCH(C227,INDIRECT($D$2&amp;"!B:B"),0)),INDEX(INDIRECT("'"&amp;$D$2&amp;"'!G:G"),MATCH(C227,INDIRECT("'"&amp;$D$2&amp;"'!B:B"),0))))</f>
        <v/>
      </c>
      <c r="E227" t="str" cm="1">
        <f t="array" aca="1" ref="E227" ca="1">IFERROR(IF(C227="","",INDIRECT($D$2&amp;"!F"&amp;Z227)),IF(C227="","",INDIRECT("'"&amp;$D$2&amp;"'"&amp;"!F"&amp;Z227)))</f>
        <v/>
      </c>
      <c r="F227" t="str" cm="1">
        <f t="array" aca="1" ref="F227" ca="1">IFERROR(IF(C227="","",INDIRECT($D$2&amp;"!ak"&amp;Z227)),IF(C227="","",INDIRECT("'"&amp;$D$2&amp;"'"&amp;"!ak"&amp;Z227)))</f>
        <v/>
      </c>
      <c r="G227" t="str" cm="1">
        <f t="array" aca="1" ref="G227" ca="1">IFERROR(INDIRECT($D$2&amp;"!h"&amp;Z227),INDIRECT("'"&amp;$D$2&amp;"'"&amp;"!h"&amp;Z227))</f>
        <v/>
      </c>
      <c r="H227" s="125" t="str" cm="1">
        <f t="array" aca="1" ref="H227" ca="1">IFERROR(INDIRECT($D$2&amp;"!i"&amp;Z227),INDIRECT("'"&amp;$D$2&amp;"'"&amp;"!i"&amp;Z227))</f>
        <v/>
      </c>
      <c r="I227" s="113" t="str" cm="1">
        <f t="array" aca="1" ref="I227" ca="1">IFERROR(IF($C227="","",INDIRECT($D$2&amp;"!j"&amp;$Z227)+INDIRECT($D$2&amp;"!n"&amp;$Z227)),IF($C227="","",INDIRECT("'"&amp;$D$2&amp;"'"&amp;"!j"&amp;$Z227)+INDIRECT("'"&amp;$D$2&amp;"'"&amp;"!n"&amp;$Z227)))</f>
        <v/>
      </c>
      <c r="J227" s="113" t="str">
        <f t="shared" ca="1" si="22"/>
        <v/>
      </c>
      <c r="K227" s="113" t="str" cm="1">
        <f t="array" aca="1" ref="K227" ca="1">IFERROR(IF($C227="","",INDIRECT($D$2&amp;"!l"&amp;$Z227)+INDIRECT($D$2&amp;"!p"&amp;$Z227)),IF($C227="","",INDIRECT("'"&amp;$D$2&amp;"'"&amp;"!l"&amp;$Z227)+INDIRECT("'"&amp;$D$2&amp;"'"&amp;"!p"&amp;$Z227)))</f>
        <v/>
      </c>
      <c r="M227" s="113" t="str" cm="1">
        <f t="array" aca="1" ref="M227" ca="1">IFERROR(IF($C227="","",INDIRECT($D$2&amp;"!r"&amp;Z227)),IF($C227="","",INDIRECT("'"&amp;$D$2&amp;"'"&amp;"!r"&amp;Z227)))</f>
        <v/>
      </c>
      <c r="N227" s="113" t="str">
        <f t="shared" ca="1" si="23"/>
        <v/>
      </c>
      <c r="O227" s="113" t="str" cm="1">
        <f t="array" aca="1" ref="O227" ca="1">IFERROR(IF($C227="","",INDIRECT($D$2&amp;"!t"&amp;Z227)),IF($C227="","",INDIRECT("'"&amp;$D$2&amp;"'"&amp;"!t"&amp;Z227)))</f>
        <v/>
      </c>
      <c r="Q227" s="113" t="str" cm="1">
        <f t="array" aca="1" ref="Q227" ca="1">IFERROR(IF($C227="","",INDIRECT($D$2&amp;"!v"&amp;Z227)),IF($C227="","",INDIRECT("'"&amp;$D$2&amp;"'"&amp;"!v"&amp;Z227)))</f>
        <v/>
      </c>
      <c r="R227" s="113" t="str">
        <f t="shared" ca="1" si="24"/>
        <v/>
      </c>
      <c r="S227" s="113" t="str" cm="1">
        <f t="array" aca="1" ref="S227" ca="1">IFERROR(IF($C227="","",INDIRECT($D$2&amp;"!x"&amp;Z227)),IF($C227="","",INDIRECT("'"&amp;$D$2&amp;"'"&amp;"!x"&amp;Z227)))</f>
        <v/>
      </c>
      <c r="U227" s="113" t="str" cm="1">
        <f t="array" aca="1" ref="U227" ca="1">IFERROR(IF($C227="","",INDIRECT($D$2&amp;"!z"&amp;Z227)),IF($C227="","",INDIRECT("'"&amp;$D$2&amp;"'"&amp;"!z"&amp;Z227)))</f>
        <v/>
      </c>
      <c r="V227" s="113" t="str">
        <f t="shared" ca="1" si="25"/>
        <v/>
      </c>
      <c r="W227" s="113" t="str" cm="1">
        <f t="array" aca="1" ref="W227" ca="1">IFERROR(IF($C227="","",INDIRECT($D$2&amp;"!ab"&amp;Z227)),IF($C227="","",INDIRECT("'"&amp;$D$2&amp;"'"&amp;"!ab"&amp;Z227)))</f>
        <v/>
      </c>
      <c r="X227" s="113"/>
      <c r="Y227" s="113" t="str">
        <f t="shared" ca="1" si="26"/>
        <v/>
      </c>
      <c r="Z227" s="35">
        <v>216</v>
      </c>
      <c r="AA227" s="113"/>
      <c r="AB227" s="35">
        <v>216</v>
      </c>
    </row>
    <row r="228" spans="3:28" x14ac:dyDescent="0.25">
      <c r="C228" t="str" cm="1">
        <f t="array" aca="1" ref="C228" ca="1">IFERROR(IF(INDIRECT($D$2&amp;"!B"&amp;Z228)="","",INDIRECT("'"&amp;$D$2&amp;"'"&amp;"!B"&amp;Z228)),IF(INDIRECT("'"&amp;$D$2&amp;"'"&amp;"!B"&amp;Z228)="","",INDIRECT("'"&amp;$D$2&amp;"'"&amp;"!B"&amp;Z228)))</f>
        <v/>
      </c>
      <c r="D228" t="str" cm="1">
        <f t="array" aca="1" ref="D228" ca="1">IFERROR(_xlfn.IFS(C228="","",C228&lt;&gt;"",INDEX(SF_Output!I:I,MATCH(C228,SF_Output!M:M,0))),IFERROR(INDEX(INDIRECT($D$2&amp;"!G:G"),MATCH(C228,INDIRECT($D$2&amp;"!B:B"),0)),INDEX(INDIRECT("'"&amp;$D$2&amp;"'!G:G"),MATCH(C228,INDIRECT("'"&amp;$D$2&amp;"'!B:B"),0))))</f>
        <v/>
      </c>
      <c r="E228" t="str" cm="1">
        <f t="array" aca="1" ref="E228" ca="1">IFERROR(IF(C228="","",INDIRECT($D$2&amp;"!F"&amp;Z228)),IF(C228="","",INDIRECT("'"&amp;$D$2&amp;"'"&amp;"!F"&amp;Z228)))</f>
        <v/>
      </c>
      <c r="F228" t="str" cm="1">
        <f t="array" aca="1" ref="F228" ca="1">IFERROR(IF(C228="","",INDIRECT($D$2&amp;"!ak"&amp;Z228)),IF(C228="","",INDIRECT("'"&amp;$D$2&amp;"'"&amp;"!ak"&amp;Z228)))</f>
        <v/>
      </c>
      <c r="G228" t="str" cm="1">
        <f t="array" aca="1" ref="G228" ca="1">IFERROR(INDIRECT($D$2&amp;"!h"&amp;Z228),INDIRECT("'"&amp;$D$2&amp;"'"&amp;"!h"&amp;Z228))</f>
        <v/>
      </c>
      <c r="H228" s="125" t="str" cm="1">
        <f t="array" aca="1" ref="H228" ca="1">IFERROR(INDIRECT($D$2&amp;"!i"&amp;Z228),INDIRECT("'"&amp;$D$2&amp;"'"&amp;"!i"&amp;Z228))</f>
        <v/>
      </c>
      <c r="I228" s="113" t="str" cm="1">
        <f t="array" aca="1" ref="I228" ca="1">IFERROR(IF($C228="","",INDIRECT($D$2&amp;"!j"&amp;$Z228)+INDIRECT($D$2&amp;"!n"&amp;$Z228)),IF($C228="","",INDIRECT("'"&amp;$D$2&amp;"'"&amp;"!j"&amp;$Z228)+INDIRECT("'"&amp;$D$2&amp;"'"&amp;"!n"&amp;$Z228)))</f>
        <v/>
      </c>
      <c r="J228" s="113" t="str">
        <f t="shared" ca="1" si="22"/>
        <v/>
      </c>
      <c r="K228" s="113" t="str" cm="1">
        <f t="array" aca="1" ref="K228" ca="1">IFERROR(IF($C228="","",INDIRECT($D$2&amp;"!l"&amp;$Z228)+INDIRECT($D$2&amp;"!p"&amp;$Z228)),IF($C228="","",INDIRECT("'"&amp;$D$2&amp;"'"&amp;"!l"&amp;$Z228)+INDIRECT("'"&amp;$D$2&amp;"'"&amp;"!p"&amp;$Z228)))</f>
        <v/>
      </c>
      <c r="M228" s="113" t="str" cm="1">
        <f t="array" aca="1" ref="M228" ca="1">IFERROR(IF($C228="","",INDIRECT($D$2&amp;"!r"&amp;Z228)),IF($C228="","",INDIRECT("'"&amp;$D$2&amp;"'"&amp;"!r"&amp;Z228)))</f>
        <v/>
      </c>
      <c r="N228" s="113" t="str">
        <f t="shared" ca="1" si="23"/>
        <v/>
      </c>
      <c r="O228" s="113" t="str" cm="1">
        <f t="array" aca="1" ref="O228" ca="1">IFERROR(IF($C228="","",INDIRECT($D$2&amp;"!t"&amp;Z228)),IF($C228="","",INDIRECT("'"&amp;$D$2&amp;"'"&amp;"!t"&amp;Z228)))</f>
        <v/>
      </c>
      <c r="Q228" s="113" t="str" cm="1">
        <f t="array" aca="1" ref="Q228" ca="1">IFERROR(IF($C228="","",INDIRECT($D$2&amp;"!v"&amp;Z228)),IF($C228="","",INDIRECT("'"&amp;$D$2&amp;"'"&amp;"!v"&amp;Z228)))</f>
        <v/>
      </c>
      <c r="R228" s="113" t="str">
        <f t="shared" ca="1" si="24"/>
        <v/>
      </c>
      <c r="S228" s="113" t="str" cm="1">
        <f t="array" aca="1" ref="S228" ca="1">IFERROR(IF($C228="","",INDIRECT($D$2&amp;"!x"&amp;Z228)),IF($C228="","",INDIRECT("'"&amp;$D$2&amp;"'"&amp;"!x"&amp;Z228)))</f>
        <v/>
      </c>
      <c r="U228" s="113" t="str" cm="1">
        <f t="array" aca="1" ref="U228" ca="1">IFERROR(IF($C228="","",INDIRECT($D$2&amp;"!z"&amp;Z228)),IF($C228="","",INDIRECT("'"&amp;$D$2&amp;"'"&amp;"!z"&amp;Z228)))</f>
        <v/>
      </c>
      <c r="V228" s="113" t="str">
        <f t="shared" ca="1" si="25"/>
        <v/>
      </c>
      <c r="W228" s="113" t="str" cm="1">
        <f t="array" aca="1" ref="W228" ca="1">IFERROR(IF($C228="","",INDIRECT($D$2&amp;"!ab"&amp;Z228)),IF($C228="","",INDIRECT("'"&amp;$D$2&amp;"'"&amp;"!ab"&amp;Z228)))</f>
        <v/>
      </c>
      <c r="X228" s="113"/>
      <c r="Y228" s="113" t="str">
        <f t="shared" ca="1" si="26"/>
        <v/>
      </c>
      <c r="Z228" s="35">
        <v>217</v>
      </c>
      <c r="AA228" s="113"/>
      <c r="AB228" s="35">
        <v>217</v>
      </c>
    </row>
    <row r="229" spans="3:28" x14ac:dyDescent="0.25">
      <c r="C229" t="str" cm="1">
        <f t="array" aca="1" ref="C229" ca="1">IFERROR(IF(INDIRECT($D$2&amp;"!B"&amp;Z229)="","",INDIRECT("'"&amp;$D$2&amp;"'"&amp;"!B"&amp;Z229)),IF(INDIRECT("'"&amp;$D$2&amp;"'"&amp;"!B"&amp;Z229)="","",INDIRECT("'"&amp;$D$2&amp;"'"&amp;"!B"&amp;Z229)))</f>
        <v/>
      </c>
      <c r="D229" t="str" cm="1">
        <f t="array" aca="1" ref="D229" ca="1">IFERROR(_xlfn.IFS(C229="","",C229&lt;&gt;"",INDEX(SF_Output!I:I,MATCH(C229,SF_Output!M:M,0))),IFERROR(INDEX(INDIRECT($D$2&amp;"!G:G"),MATCH(C229,INDIRECT($D$2&amp;"!B:B"),0)),INDEX(INDIRECT("'"&amp;$D$2&amp;"'!G:G"),MATCH(C229,INDIRECT("'"&amp;$D$2&amp;"'!B:B"),0))))</f>
        <v/>
      </c>
      <c r="E229" t="str" cm="1">
        <f t="array" aca="1" ref="E229" ca="1">IFERROR(IF(C229="","",INDIRECT($D$2&amp;"!F"&amp;Z229)),IF(C229="","",INDIRECT("'"&amp;$D$2&amp;"'"&amp;"!F"&amp;Z229)))</f>
        <v/>
      </c>
      <c r="F229" t="str" cm="1">
        <f t="array" aca="1" ref="F229" ca="1">IFERROR(IF(C229="","",INDIRECT($D$2&amp;"!ak"&amp;Z229)),IF(C229="","",INDIRECT("'"&amp;$D$2&amp;"'"&amp;"!ak"&amp;Z229)))</f>
        <v/>
      </c>
      <c r="G229" t="str" cm="1">
        <f t="array" aca="1" ref="G229" ca="1">IFERROR(INDIRECT($D$2&amp;"!h"&amp;Z229),INDIRECT("'"&amp;$D$2&amp;"'"&amp;"!h"&amp;Z229))</f>
        <v/>
      </c>
      <c r="H229" s="125" t="str" cm="1">
        <f t="array" aca="1" ref="H229" ca="1">IFERROR(INDIRECT($D$2&amp;"!i"&amp;Z229),INDIRECT("'"&amp;$D$2&amp;"'"&amp;"!i"&amp;Z229))</f>
        <v/>
      </c>
      <c r="I229" s="113" t="str" cm="1">
        <f t="array" aca="1" ref="I229" ca="1">IFERROR(IF($C229="","",INDIRECT($D$2&amp;"!j"&amp;$Z229)+INDIRECT($D$2&amp;"!n"&amp;$Z229)),IF($C229="","",INDIRECT("'"&amp;$D$2&amp;"'"&amp;"!j"&amp;$Z229)+INDIRECT("'"&amp;$D$2&amp;"'"&amp;"!n"&amp;$Z229)))</f>
        <v/>
      </c>
      <c r="J229" s="113" t="str">
        <f t="shared" ca="1" si="22"/>
        <v/>
      </c>
      <c r="K229" s="113" t="str" cm="1">
        <f t="array" aca="1" ref="K229" ca="1">IFERROR(IF($C229="","",INDIRECT($D$2&amp;"!l"&amp;$Z229)+INDIRECT($D$2&amp;"!p"&amp;$Z229)),IF($C229="","",INDIRECT("'"&amp;$D$2&amp;"'"&amp;"!l"&amp;$Z229)+INDIRECT("'"&amp;$D$2&amp;"'"&amp;"!p"&amp;$Z229)))</f>
        <v/>
      </c>
      <c r="M229" s="113" t="str" cm="1">
        <f t="array" aca="1" ref="M229" ca="1">IFERROR(IF($C229="","",INDIRECT($D$2&amp;"!r"&amp;Z229)),IF($C229="","",INDIRECT("'"&amp;$D$2&amp;"'"&amp;"!r"&amp;Z229)))</f>
        <v/>
      </c>
      <c r="N229" s="113" t="str">
        <f t="shared" ca="1" si="23"/>
        <v/>
      </c>
      <c r="O229" s="113" t="str" cm="1">
        <f t="array" aca="1" ref="O229" ca="1">IFERROR(IF($C229="","",INDIRECT($D$2&amp;"!t"&amp;Z229)),IF($C229="","",INDIRECT("'"&amp;$D$2&amp;"'"&amp;"!t"&amp;Z229)))</f>
        <v/>
      </c>
      <c r="Q229" s="113" t="str" cm="1">
        <f t="array" aca="1" ref="Q229" ca="1">IFERROR(IF($C229="","",INDIRECT($D$2&amp;"!v"&amp;Z229)),IF($C229="","",INDIRECT("'"&amp;$D$2&amp;"'"&amp;"!v"&amp;Z229)))</f>
        <v/>
      </c>
      <c r="R229" s="113" t="str">
        <f t="shared" ca="1" si="24"/>
        <v/>
      </c>
      <c r="S229" s="113" t="str" cm="1">
        <f t="array" aca="1" ref="S229" ca="1">IFERROR(IF($C229="","",INDIRECT($D$2&amp;"!x"&amp;Z229)),IF($C229="","",INDIRECT("'"&amp;$D$2&amp;"'"&amp;"!x"&amp;Z229)))</f>
        <v/>
      </c>
      <c r="U229" s="113" t="str" cm="1">
        <f t="array" aca="1" ref="U229" ca="1">IFERROR(IF($C229="","",INDIRECT($D$2&amp;"!z"&amp;Z229)),IF($C229="","",INDIRECT("'"&amp;$D$2&amp;"'"&amp;"!z"&amp;Z229)))</f>
        <v/>
      </c>
      <c r="V229" s="113" t="str">
        <f t="shared" ca="1" si="25"/>
        <v/>
      </c>
      <c r="W229" s="113" t="str" cm="1">
        <f t="array" aca="1" ref="W229" ca="1">IFERROR(IF($C229="","",INDIRECT($D$2&amp;"!ab"&amp;Z229)),IF($C229="","",INDIRECT("'"&amp;$D$2&amp;"'"&amp;"!ab"&amp;Z229)))</f>
        <v/>
      </c>
      <c r="X229" s="113"/>
      <c r="Y229" s="113" t="str">
        <f t="shared" ca="1" si="26"/>
        <v/>
      </c>
      <c r="Z229" s="35">
        <v>218</v>
      </c>
      <c r="AA229" s="113"/>
      <c r="AB229" s="35">
        <v>218</v>
      </c>
    </row>
    <row r="230" spans="3:28" x14ac:dyDescent="0.25">
      <c r="C230" t="str" cm="1">
        <f t="array" aca="1" ref="C230" ca="1">IFERROR(IF(INDIRECT($D$2&amp;"!B"&amp;Z230)="","",INDIRECT("'"&amp;$D$2&amp;"'"&amp;"!B"&amp;Z230)),IF(INDIRECT("'"&amp;$D$2&amp;"'"&amp;"!B"&amp;Z230)="","",INDIRECT("'"&amp;$D$2&amp;"'"&amp;"!B"&amp;Z230)))</f>
        <v/>
      </c>
      <c r="D230" t="str" cm="1">
        <f t="array" aca="1" ref="D230" ca="1">IFERROR(_xlfn.IFS(C230="","",C230&lt;&gt;"",INDEX(SF_Output!I:I,MATCH(C230,SF_Output!M:M,0))),IFERROR(INDEX(INDIRECT($D$2&amp;"!G:G"),MATCH(C230,INDIRECT($D$2&amp;"!B:B"),0)),INDEX(INDIRECT("'"&amp;$D$2&amp;"'!G:G"),MATCH(C230,INDIRECT("'"&amp;$D$2&amp;"'!B:B"),0))))</f>
        <v/>
      </c>
      <c r="E230" t="str" cm="1">
        <f t="array" aca="1" ref="E230" ca="1">IFERROR(IF(C230="","",INDIRECT($D$2&amp;"!F"&amp;Z230)),IF(C230="","",INDIRECT("'"&amp;$D$2&amp;"'"&amp;"!F"&amp;Z230)))</f>
        <v/>
      </c>
      <c r="F230" t="str" cm="1">
        <f t="array" aca="1" ref="F230" ca="1">IFERROR(IF(C230="","",INDIRECT($D$2&amp;"!ak"&amp;Z230)),IF(C230="","",INDIRECT("'"&amp;$D$2&amp;"'"&amp;"!ak"&amp;Z230)))</f>
        <v/>
      </c>
      <c r="G230" t="str" cm="1">
        <f t="array" aca="1" ref="G230" ca="1">IFERROR(INDIRECT($D$2&amp;"!h"&amp;Z230),INDIRECT("'"&amp;$D$2&amp;"'"&amp;"!h"&amp;Z230))</f>
        <v/>
      </c>
      <c r="H230" s="125" t="str" cm="1">
        <f t="array" aca="1" ref="H230" ca="1">IFERROR(INDIRECT($D$2&amp;"!i"&amp;Z230),INDIRECT("'"&amp;$D$2&amp;"'"&amp;"!i"&amp;Z230))</f>
        <v/>
      </c>
      <c r="I230" s="113" t="str" cm="1">
        <f t="array" aca="1" ref="I230" ca="1">IFERROR(IF($C230="","",INDIRECT($D$2&amp;"!j"&amp;$Z230)+INDIRECT($D$2&amp;"!n"&amp;$Z230)),IF($C230="","",INDIRECT("'"&amp;$D$2&amp;"'"&amp;"!j"&amp;$Z230)+INDIRECT("'"&amp;$D$2&amp;"'"&amp;"!n"&amp;$Z230)))</f>
        <v/>
      </c>
      <c r="J230" s="113" t="str">
        <f t="shared" ca="1" si="22"/>
        <v/>
      </c>
      <c r="K230" s="113" t="str" cm="1">
        <f t="array" aca="1" ref="K230" ca="1">IFERROR(IF($C230="","",INDIRECT($D$2&amp;"!l"&amp;$Z230)+INDIRECT($D$2&amp;"!p"&amp;$Z230)),IF($C230="","",INDIRECT("'"&amp;$D$2&amp;"'"&amp;"!l"&amp;$Z230)+INDIRECT("'"&amp;$D$2&amp;"'"&amp;"!p"&amp;$Z230)))</f>
        <v/>
      </c>
      <c r="M230" s="113" t="str" cm="1">
        <f t="array" aca="1" ref="M230" ca="1">IFERROR(IF($C230="","",INDIRECT($D$2&amp;"!r"&amp;Z230)),IF($C230="","",INDIRECT("'"&amp;$D$2&amp;"'"&amp;"!r"&amp;Z230)))</f>
        <v/>
      </c>
      <c r="N230" s="113" t="str">
        <f t="shared" ca="1" si="23"/>
        <v/>
      </c>
      <c r="O230" s="113" t="str" cm="1">
        <f t="array" aca="1" ref="O230" ca="1">IFERROR(IF($C230="","",INDIRECT($D$2&amp;"!t"&amp;Z230)),IF($C230="","",INDIRECT("'"&amp;$D$2&amp;"'"&amp;"!t"&amp;Z230)))</f>
        <v/>
      </c>
      <c r="Q230" s="113" t="str" cm="1">
        <f t="array" aca="1" ref="Q230" ca="1">IFERROR(IF($C230="","",INDIRECT($D$2&amp;"!v"&amp;Z230)),IF($C230="","",INDIRECT("'"&amp;$D$2&amp;"'"&amp;"!v"&amp;Z230)))</f>
        <v/>
      </c>
      <c r="R230" s="113" t="str">
        <f t="shared" ca="1" si="24"/>
        <v/>
      </c>
      <c r="S230" s="113" t="str" cm="1">
        <f t="array" aca="1" ref="S230" ca="1">IFERROR(IF($C230="","",INDIRECT($D$2&amp;"!x"&amp;Z230)),IF($C230="","",INDIRECT("'"&amp;$D$2&amp;"'"&amp;"!x"&amp;Z230)))</f>
        <v/>
      </c>
      <c r="U230" s="113" t="str" cm="1">
        <f t="array" aca="1" ref="U230" ca="1">IFERROR(IF($C230="","",INDIRECT($D$2&amp;"!z"&amp;Z230)),IF($C230="","",INDIRECT("'"&amp;$D$2&amp;"'"&amp;"!z"&amp;Z230)))</f>
        <v/>
      </c>
      <c r="V230" s="113" t="str">
        <f t="shared" ca="1" si="25"/>
        <v/>
      </c>
      <c r="W230" s="113" t="str" cm="1">
        <f t="array" aca="1" ref="W230" ca="1">IFERROR(IF($C230="","",INDIRECT($D$2&amp;"!ab"&amp;Z230)),IF($C230="","",INDIRECT("'"&amp;$D$2&amp;"'"&amp;"!ab"&amp;Z230)))</f>
        <v/>
      </c>
      <c r="X230" s="113"/>
      <c r="Y230" s="113" t="str">
        <f t="shared" ca="1" si="26"/>
        <v/>
      </c>
      <c r="Z230" s="35">
        <v>219</v>
      </c>
      <c r="AA230" s="113"/>
      <c r="AB230" s="35">
        <v>219</v>
      </c>
    </row>
    <row r="231" spans="3:28" x14ac:dyDescent="0.25">
      <c r="C231" t="str" cm="1">
        <f t="array" aca="1" ref="C231" ca="1">IFERROR(IF(INDIRECT($D$2&amp;"!B"&amp;Z231)="","",INDIRECT("'"&amp;$D$2&amp;"'"&amp;"!B"&amp;Z231)),IF(INDIRECT("'"&amp;$D$2&amp;"'"&amp;"!B"&amp;Z231)="","",INDIRECT("'"&amp;$D$2&amp;"'"&amp;"!B"&amp;Z231)))</f>
        <v/>
      </c>
      <c r="D231" t="str" cm="1">
        <f t="array" aca="1" ref="D231" ca="1">IFERROR(_xlfn.IFS(C231="","",C231&lt;&gt;"",INDEX(SF_Output!I:I,MATCH(C231,SF_Output!M:M,0))),IFERROR(INDEX(INDIRECT($D$2&amp;"!G:G"),MATCH(C231,INDIRECT($D$2&amp;"!B:B"),0)),INDEX(INDIRECT("'"&amp;$D$2&amp;"'!G:G"),MATCH(C231,INDIRECT("'"&amp;$D$2&amp;"'!B:B"),0))))</f>
        <v/>
      </c>
      <c r="E231" t="str" cm="1">
        <f t="array" aca="1" ref="E231" ca="1">IFERROR(IF(C231="","",INDIRECT($D$2&amp;"!F"&amp;Z231)),IF(C231="","",INDIRECT("'"&amp;$D$2&amp;"'"&amp;"!F"&amp;Z231)))</f>
        <v/>
      </c>
      <c r="F231" t="str" cm="1">
        <f t="array" aca="1" ref="F231" ca="1">IFERROR(IF(C231="","",INDIRECT($D$2&amp;"!ak"&amp;Z231)),IF(C231="","",INDIRECT("'"&amp;$D$2&amp;"'"&amp;"!ak"&amp;Z231)))</f>
        <v/>
      </c>
      <c r="G231" t="str" cm="1">
        <f t="array" aca="1" ref="G231" ca="1">IFERROR(INDIRECT($D$2&amp;"!h"&amp;Z231),INDIRECT("'"&amp;$D$2&amp;"'"&amp;"!h"&amp;Z231))</f>
        <v/>
      </c>
      <c r="H231" s="125" t="str" cm="1">
        <f t="array" aca="1" ref="H231" ca="1">IFERROR(INDIRECT($D$2&amp;"!i"&amp;Z231),INDIRECT("'"&amp;$D$2&amp;"'"&amp;"!i"&amp;Z231))</f>
        <v/>
      </c>
      <c r="I231" s="113" t="str" cm="1">
        <f t="array" aca="1" ref="I231" ca="1">IFERROR(IF($C231="","",INDIRECT($D$2&amp;"!j"&amp;$Z231)+INDIRECT($D$2&amp;"!n"&amp;$Z231)),IF($C231="","",INDIRECT("'"&amp;$D$2&amp;"'"&amp;"!j"&amp;$Z231)+INDIRECT("'"&amp;$D$2&amp;"'"&amp;"!n"&amp;$Z231)))</f>
        <v/>
      </c>
      <c r="J231" s="113" t="str">
        <f t="shared" ca="1" si="22"/>
        <v/>
      </c>
      <c r="K231" s="113" t="str" cm="1">
        <f t="array" aca="1" ref="K231" ca="1">IFERROR(IF($C231="","",INDIRECT($D$2&amp;"!l"&amp;$Z231)+INDIRECT($D$2&amp;"!p"&amp;$Z231)),IF($C231="","",INDIRECT("'"&amp;$D$2&amp;"'"&amp;"!l"&amp;$Z231)+INDIRECT("'"&amp;$D$2&amp;"'"&amp;"!p"&amp;$Z231)))</f>
        <v/>
      </c>
      <c r="M231" s="113" t="str" cm="1">
        <f t="array" aca="1" ref="M231" ca="1">IFERROR(IF($C231="","",INDIRECT($D$2&amp;"!r"&amp;Z231)),IF($C231="","",INDIRECT("'"&amp;$D$2&amp;"'"&amp;"!r"&amp;Z231)))</f>
        <v/>
      </c>
      <c r="N231" s="113" t="str">
        <f t="shared" ca="1" si="23"/>
        <v/>
      </c>
      <c r="O231" s="113" t="str" cm="1">
        <f t="array" aca="1" ref="O231" ca="1">IFERROR(IF($C231="","",INDIRECT($D$2&amp;"!t"&amp;Z231)),IF($C231="","",INDIRECT("'"&amp;$D$2&amp;"'"&amp;"!t"&amp;Z231)))</f>
        <v/>
      </c>
      <c r="Q231" s="113" t="str" cm="1">
        <f t="array" aca="1" ref="Q231" ca="1">IFERROR(IF($C231="","",INDIRECT($D$2&amp;"!v"&amp;Z231)),IF($C231="","",INDIRECT("'"&amp;$D$2&amp;"'"&amp;"!v"&amp;Z231)))</f>
        <v/>
      </c>
      <c r="R231" s="113" t="str">
        <f t="shared" ca="1" si="24"/>
        <v/>
      </c>
      <c r="S231" s="113" t="str" cm="1">
        <f t="array" aca="1" ref="S231" ca="1">IFERROR(IF($C231="","",INDIRECT($D$2&amp;"!x"&amp;Z231)),IF($C231="","",INDIRECT("'"&amp;$D$2&amp;"'"&amp;"!x"&amp;Z231)))</f>
        <v/>
      </c>
      <c r="U231" s="113" t="str" cm="1">
        <f t="array" aca="1" ref="U231" ca="1">IFERROR(IF($C231="","",INDIRECT($D$2&amp;"!z"&amp;Z231)),IF($C231="","",INDIRECT("'"&amp;$D$2&amp;"'"&amp;"!z"&amp;Z231)))</f>
        <v/>
      </c>
      <c r="V231" s="113" t="str">
        <f t="shared" ca="1" si="25"/>
        <v/>
      </c>
      <c r="W231" s="113" t="str" cm="1">
        <f t="array" aca="1" ref="W231" ca="1">IFERROR(IF($C231="","",INDIRECT($D$2&amp;"!ab"&amp;Z231)),IF($C231="","",INDIRECT("'"&amp;$D$2&amp;"'"&amp;"!ab"&amp;Z231)))</f>
        <v/>
      </c>
      <c r="X231" s="113"/>
      <c r="Y231" s="113" t="str">
        <f t="shared" ca="1" si="26"/>
        <v/>
      </c>
      <c r="Z231" s="35">
        <v>220</v>
      </c>
      <c r="AA231" s="113"/>
      <c r="AB231" s="35">
        <v>220</v>
      </c>
    </row>
    <row r="232" spans="3:28" x14ac:dyDescent="0.25">
      <c r="C232" t="str" cm="1">
        <f t="array" aca="1" ref="C232" ca="1">IFERROR(IF(INDIRECT($D$2&amp;"!B"&amp;Z232)="","",INDIRECT("'"&amp;$D$2&amp;"'"&amp;"!B"&amp;Z232)),IF(INDIRECT("'"&amp;$D$2&amp;"'"&amp;"!B"&amp;Z232)="","",INDIRECT("'"&amp;$D$2&amp;"'"&amp;"!B"&amp;Z232)))</f>
        <v/>
      </c>
      <c r="D232" t="str" cm="1">
        <f t="array" aca="1" ref="D232" ca="1">IFERROR(_xlfn.IFS(C232="","",C232&lt;&gt;"",INDEX(SF_Output!I:I,MATCH(C232,SF_Output!M:M,0))),IFERROR(INDEX(INDIRECT($D$2&amp;"!G:G"),MATCH(C232,INDIRECT($D$2&amp;"!B:B"),0)),INDEX(INDIRECT("'"&amp;$D$2&amp;"'!G:G"),MATCH(C232,INDIRECT("'"&amp;$D$2&amp;"'!B:B"),0))))</f>
        <v/>
      </c>
      <c r="E232" t="str" cm="1">
        <f t="array" aca="1" ref="E232" ca="1">IFERROR(IF(C232="","",INDIRECT($D$2&amp;"!F"&amp;Z232)),IF(C232="","",INDIRECT("'"&amp;$D$2&amp;"'"&amp;"!F"&amp;Z232)))</f>
        <v/>
      </c>
      <c r="F232" t="str" cm="1">
        <f t="array" aca="1" ref="F232" ca="1">IFERROR(IF(C232="","",INDIRECT($D$2&amp;"!ak"&amp;Z232)),IF(C232="","",INDIRECT("'"&amp;$D$2&amp;"'"&amp;"!ak"&amp;Z232)))</f>
        <v/>
      </c>
      <c r="G232" t="str" cm="1">
        <f t="array" aca="1" ref="G232" ca="1">IFERROR(INDIRECT($D$2&amp;"!h"&amp;Z232),INDIRECT("'"&amp;$D$2&amp;"'"&amp;"!h"&amp;Z232))</f>
        <v/>
      </c>
      <c r="H232" s="125" t="str" cm="1">
        <f t="array" aca="1" ref="H232" ca="1">IFERROR(INDIRECT($D$2&amp;"!i"&amp;Z232),INDIRECT("'"&amp;$D$2&amp;"'"&amp;"!i"&amp;Z232))</f>
        <v/>
      </c>
      <c r="I232" s="113" t="str" cm="1">
        <f t="array" aca="1" ref="I232" ca="1">IFERROR(IF($C232="","",INDIRECT($D$2&amp;"!j"&amp;$Z232)+INDIRECT($D$2&amp;"!n"&amp;$Z232)),IF($C232="","",INDIRECT("'"&amp;$D$2&amp;"'"&amp;"!j"&amp;$Z232)+INDIRECT("'"&amp;$D$2&amp;"'"&amp;"!n"&amp;$Z232)))</f>
        <v/>
      </c>
      <c r="J232" s="113" t="str">
        <f t="shared" ca="1" si="22"/>
        <v/>
      </c>
      <c r="K232" s="113" t="str" cm="1">
        <f t="array" aca="1" ref="K232" ca="1">IFERROR(IF($C232="","",INDIRECT($D$2&amp;"!l"&amp;$Z232)+INDIRECT($D$2&amp;"!p"&amp;$Z232)),IF($C232="","",INDIRECT("'"&amp;$D$2&amp;"'"&amp;"!l"&amp;$Z232)+INDIRECT("'"&amp;$D$2&amp;"'"&amp;"!p"&amp;$Z232)))</f>
        <v/>
      </c>
      <c r="M232" s="113" t="str" cm="1">
        <f t="array" aca="1" ref="M232" ca="1">IFERROR(IF($C232="","",INDIRECT($D$2&amp;"!r"&amp;Z232)),IF($C232="","",INDIRECT("'"&amp;$D$2&amp;"'"&amp;"!r"&amp;Z232)))</f>
        <v/>
      </c>
      <c r="N232" s="113" t="str">
        <f t="shared" ca="1" si="23"/>
        <v/>
      </c>
      <c r="O232" s="113" t="str" cm="1">
        <f t="array" aca="1" ref="O232" ca="1">IFERROR(IF($C232="","",INDIRECT($D$2&amp;"!t"&amp;Z232)),IF($C232="","",INDIRECT("'"&amp;$D$2&amp;"'"&amp;"!t"&amp;Z232)))</f>
        <v/>
      </c>
      <c r="Q232" s="113" t="str" cm="1">
        <f t="array" aca="1" ref="Q232" ca="1">IFERROR(IF($C232="","",INDIRECT($D$2&amp;"!v"&amp;Z232)),IF($C232="","",INDIRECT("'"&amp;$D$2&amp;"'"&amp;"!v"&amp;Z232)))</f>
        <v/>
      </c>
      <c r="R232" s="113" t="str">
        <f t="shared" ca="1" si="24"/>
        <v/>
      </c>
      <c r="S232" s="113" t="str" cm="1">
        <f t="array" aca="1" ref="S232" ca="1">IFERROR(IF($C232="","",INDIRECT($D$2&amp;"!x"&amp;Z232)),IF($C232="","",INDIRECT("'"&amp;$D$2&amp;"'"&amp;"!x"&amp;Z232)))</f>
        <v/>
      </c>
      <c r="U232" s="113" t="str" cm="1">
        <f t="array" aca="1" ref="U232" ca="1">IFERROR(IF($C232="","",INDIRECT($D$2&amp;"!z"&amp;Z232)),IF($C232="","",INDIRECT("'"&amp;$D$2&amp;"'"&amp;"!z"&amp;Z232)))</f>
        <v/>
      </c>
      <c r="V232" s="113" t="str">
        <f t="shared" ca="1" si="25"/>
        <v/>
      </c>
      <c r="W232" s="113" t="str" cm="1">
        <f t="array" aca="1" ref="W232" ca="1">IFERROR(IF($C232="","",INDIRECT($D$2&amp;"!ab"&amp;Z232)),IF($C232="","",INDIRECT("'"&amp;$D$2&amp;"'"&amp;"!ab"&amp;Z232)))</f>
        <v/>
      </c>
      <c r="X232" s="113"/>
      <c r="Y232" s="113" t="str">
        <f t="shared" ca="1" si="26"/>
        <v/>
      </c>
      <c r="Z232" s="35">
        <v>221</v>
      </c>
      <c r="AA232" s="113"/>
      <c r="AB232" s="35">
        <v>221</v>
      </c>
    </row>
    <row r="233" spans="3:28" x14ac:dyDescent="0.25">
      <c r="C233" t="str" cm="1">
        <f t="array" aca="1" ref="C233" ca="1">IFERROR(IF(INDIRECT($D$2&amp;"!B"&amp;Z233)="","",INDIRECT("'"&amp;$D$2&amp;"'"&amp;"!B"&amp;Z233)),IF(INDIRECT("'"&amp;$D$2&amp;"'"&amp;"!B"&amp;Z233)="","",INDIRECT("'"&amp;$D$2&amp;"'"&amp;"!B"&amp;Z233)))</f>
        <v/>
      </c>
      <c r="D233" t="str" cm="1">
        <f t="array" aca="1" ref="D233" ca="1">IFERROR(_xlfn.IFS(C233="","",C233&lt;&gt;"",INDEX(SF_Output!I:I,MATCH(C233,SF_Output!M:M,0))),IFERROR(INDEX(INDIRECT($D$2&amp;"!G:G"),MATCH(C233,INDIRECT($D$2&amp;"!B:B"),0)),INDEX(INDIRECT("'"&amp;$D$2&amp;"'!G:G"),MATCH(C233,INDIRECT("'"&amp;$D$2&amp;"'!B:B"),0))))</f>
        <v/>
      </c>
      <c r="E233" t="str" cm="1">
        <f t="array" aca="1" ref="E233" ca="1">IFERROR(IF(C233="","",INDIRECT($D$2&amp;"!F"&amp;Z233)),IF(C233="","",INDIRECT("'"&amp;$D$2&amp;"'"&amp;"!F"&amp;Z233)))</f>
        <v/>
      </c>
      <c r="F233" t="str" cm="1">
        <f t="array" aca="1" ref="F233" ca="1">IFERROR(IF(C233="","",INDIRECT($D$2&amp;"!ak"&amp;Z233)),IF(C233="","",INDIRECT("'"&amp;$D$2&amp;"'"&amp;"!ak"&amp;Z233)))</f>
        <v/>
      </c>
      <c r="G233" t="str" cm="1">
        <f t="array" aca="1" ref="G233" ca="1">IFERROR(INDIRECT($D$2&amp;"!h"&amp;Z233),INDIRECT("'"&amp;$D$2&amp;"'"&amp;"!h"&amp;Z233))</f>
        <v/>
      </c>
      <c r="H233" s="125" t="str" cm="1">
        <f t="array" aca="1" ref="H233" ca="1">IFERROR(INDIRECT($D$2&amp;"!i"&amp;Z233),INDIRECT("'"&amp;$D$2&amp;"'"&amp;"!i"&amp;Z233))</f>
        <v/>
      </c>
      <c r="I233" s="113" t="str" cm="1">
        <f t="array" aca="1" ref="I233" ca="1">IFERROR(IF($C233="","",INDIRECT($D$2&amp;"!j"&amp;$Z233)+INDIRECT($D$2&amp;"!n"&amp;$Z233)),IF($C233="","",INDIRECT("'"&amp;$D$2&amp;"'"&amp;"!j"&amp;$Z233)+INDIRECT("'"&amp;$D$2&amp;"'"&amp;"!n"&amp;$Z233)))</f>
        <v/>
      </c>
      <c r="J233" s="113" t="str">
        <f t="shared" ca="1" si="22"/>
        <v/>
      </c>
      <c r="K233" s="113" t="str" cm="1">
        <f t="array" aca="1" ref="K233" ca="1">IFERROR(IF($C233="","",INDIRECT($D$2&amp;"!l"&amp;$Z233)+INDIRECT($D$2&amp;"!p"&amp;$Z233)),IF($C233="","",INDIRECT("'"&amp;$D$2&amp;"'"&amp;"!l"&amp;$Z233)+INDIRECT("'"&amp;$D$2&amp;"'"&amp;"!p"&amp;$Z233)))</f>
        <v/>
      </c>
      <c r="M233" s="113" t="str" cm="1">
        <f t="array" aca="1" ref="M233" ca="1">IFERROR(IF($C233="","",INDIRECT($D$2&amp;"!r"&amp;Z233)),IF($C233="","",INDIRECT("'"&amp;$D$2&amp;"'"&amp;"!r"&amp;Z233)))</f>
        <v/>
      </c>
      <c r="N233" s="113" t="str">
        <f t="shared" ca="1" si="23"/>
        <v/>
      </c>
      <c r="O233" s="113" t="str" cm="1">
        <f t="array" aca="1" ref="O233" ca="1">IFERROR(IF($C233="","",INDIRECT($D$2&amp;"!t"&amp;Z233)),IF($C233="","",INDIRECT("'"&amp;$D$2&amp;"'"&amp;"!t"&amp;Z233)))</f>
        <v/>
      </c>
      <c r="Q233" s="113" t="str" cm="1">
        <f t="array" aca="1" ref="Q233" ca="1">IFERROR(IF($C233="","",INDIRECT($D$2&amp;"!v"&amp;Z233)),IF($C233="","",INDIRECT("'"&amp;$D$2&amp;"'"&amp;"!v"&amp;Z233)))</f>
        <v/>
      </c>
      <c r="R233" s="113" t="str">
        <f t="shared" ca="1" si="24"/>
        <v/>
      </c>
      <c r="S233" s="113" t="str" cm="1">
        <f t="array" aca="1" ref="S233" ca="1">IFERROR(IF($C233="","",INDIRECT($D$2&amp;"!x"&amp;Z233)),IF($C233="","",INDIRECT("'"&amp;$D$2&amp;"'"&amp;"!x"&amp;Z233)))</f>
        <v/>
      </c>
      <c r="U233" s="113" t="str" cm="1">
        <f t="array" aca="1" ref="U233" ca="1">IFERROR(IF($C233="","",INDIRECT($D$2&amp;"!z"&amp;Z233)),IF($C233="","",INDIRECT("'"&amp;$D$2&amp;"'"&amp;"!z"&amp;Z233)))</f>
        <v/>
      </c>
      <c r="V233" s="113" t="str">
        <f t="shared" ca="1" si="25"/>
        <v/>
      </c>
      <c r="W233" s="113" t="str" cm="1">
        <f t="array" aca="1" ref="W233" ca="1">IFERROR(IF($C233="","",INDIRECT($D$2&amp;"!ab"&amp;Z233)),IF($C233="","",INDIRECT("'"&amp;$D$2&amp;"'"&amp;"!ab"&amp;Z233)))</f>
        <v/>
      </c>
      <c r="X233" s="113"/>
      <c r="Y233" s="113" t="str">
        <f t="shared" ca="1" si="26"/>
        <v/>
      </c>
      <c r="Z233" s="35">
        <v>222</v>
      </c>
      <c r="AA233" s="113"/>
      <c r="AB233" s="35">
        <v>222</v>
      </c>
    </row>
    <row r="234" spans="3:28" x14ac:dyDescent="0.25">
      <c r="C234" t="str" cm="1">
        <f t="array" aca="1" ref="C234" ca="1">IFERROR(IF(INDIRECT($D$2&amp;"!B"&amp;Z234)="","",INDIRECT("'"&amp;$D$2&amp;"'"&amp;"!B"&amp;Z234)),IF(INDIRECT("'"&amp;$D$2&amp;"'"&amp;"!B"&amp;Z234)="","",INDIRECT("'"&amp;$D$2&amp;"'"&amp;"!B"&amp;Z234)))</f>
        <v/>
      </c>
      <c r="D234" t="str" cm="1">
        <f t="array" aca="1" ref="D234" ca="1">IFERROR(_xlfn.IFS(C234="","",C234&lt;&gt;"",INDEX(SF_Output!I:I,MATCH(C234,SF_Output!M:M,0))),IFERROR(INDEX(INDIRECT($D$2&amp;"!G:G"),MATCH(C234,INDIRECT($D$2&amp;"!B:B"),0)),INDEX(INDIRECT("'"&amp;$D$2&amp;"'!G:G"),MATCH(C234,INDIRECT("'"&amp;$D$2&amp;"'!B:B"),0))))</f>
        <v/>
      </c>
      <c r="E234" t="str" cm="1">
        <f t="array" aca="1" ref="E234" ca="1">IFERROR(IF(C234="","",INDIRECT($D$2&amp;"!F"&amp;Z234)),IF(C234="","",INDIRECT("'"&amp;$D$2&amp;"'"&amp;"!F"&amp;Z234)))</f>
        <v/>
      </c>
      <c r="F234" t="str" cm="1">
        <f t="array" aca="1" ref="F234" ca="1">IFERROR(IF(C234="","",INDIRECT($D$2&amp;"!ak"&amp;Z234)),IF(C234="","",INDIRECT("'"&amp;$D$2&amp;"'"&amp;"!ak"&amp;Z234)))</f>
        <v/>
      </c>
      <c r="G234" t="str" cm="1">
        <f t="array" aca="1" ref="G234" ca="1">IFERROR(INDIRECT($D$2&amp;"!h"&amp;Z234),INDIRECT("'"&amp;$D$2&amp;"'"&amp;"!h"&amp;Z234))</f>
        <v/>
      </c>
      <c r="H234" s="125" t="str" cm="1">
        <f t="array" aca="1" ref="H234" ca="1">IFERROR(INDIRECT($D$2&amp;"!i"&amp;Z234),INDIRECT("'"&amp;$D$2&amp;"'"&amp;"!i"&amp;Z234))</f>
        <v/>
      </c>
      <c r="I234" s="113" t="str" cm="1">
        <f t="array" aca="1" ref="I234" ca="1">IFERROR(IF($C234="","",INDIRECT($D$2&amp;"!j"&amp;$Z234)+INDIRECT($D$2&amp;"!n"&amp;$Z234)),IF($C234="","",INDIRECT("'"&amp;$D$2&amp;"'"&amp;"!j"&amp;$Z234)+INDIRECT("'"&amp;$D$2&amp;"'"&amp;"!n"&amp;$Z234)))</f>
        <v/>
      </c>
      <c r="J234" s="113" t="str">
        <f t="shared" ca="1" si="22"/>
        <v/>
      </c>
      <c r="K234" s="113" t="str" cm="1">
        <f t="array" aca="1" ref="K234" ca="1">IFERROR(IF($C234="","",INDIRECT($D$2&amp;"!l"&amp;$Z234)+INDIRECT($D$2&amp;"!p"&amp;$Z234)),IF($C234="","",INDIRECT("'"&amp;$D$2&amp;"'"&amp;"!l"&amp;$Z234)+INDIRECT("'"&amp;$D$2&amp;"'"&amp;"!p"&amp;$Z234)))</f>
        <v/>
      </c>
      <c r="M234" s="113" t="str" cm="1">
        <f t="array" aca="1" ref="M234" ca="1">IFERROR(IF($C234="","",INDIRECT($D$2&amp;"!r"&amp;Z234)),IF($C234="","",INDIRECT("'"&amp;$D$2&amp;"'"&amp;"!r"&amp;Z234)))</f>
        <v/>
      </c>
      <c r="N234" s="113" t="str">
        <f t="shared" ca="1" si="23"/>
        <v/>
      </c>
      <c r="O234" s="113" t="str" cm="1">
        <f t="array" aca="1" ref="O234" ca="1">IFERROR(IF($C234="","",INDIRECT($D$2&amp;"!t"&amp;Z234)),IF($C234="","",INDIRECT("'"&amp;$D$2&amp;"'"&amp;"!t"&amp;Z234)))</f>
        <v/>
      </c>
      <c r="Q234" s="113" t="str" cm="1">
        <f t="array" aca="1" ref="Q234" ca="1">IFERROR(IF($C234="","",INDIRECT($D$2&amp;"!v"&amp;Z234)),IF($C234="","",INDIRECT("'"&amp;$D$2&amp;"'"&amp;"!v"&amp;Z234)))</f>
        <v/>
      </c>
      <c r="R234" s="113" t="str">
        <f t="shared" ca="1" si="24"/>
        <v/>
      </c>
      <c r="S234" s="113" t="str" cm="1">
        <f t="array" aca="1" ref="S234" ca="1">IFERROR(IF($C234="","",INDIRECT($D$2&amp;"!x"&amp;Z234)),IF($C234="","",INDIRECT("'"&amp;$D$2&amp;"'"&amp;"!x"&amp;Z234)))</f>
        <v/>
      </c>
      <c r="U234" s="113" t="str" cm="1">
        <f t="array" aca="1" ref="U234" ca="1">IFERROR(IF($C234="","",INDIRECT($D$2&amp;"!z"&amp;Z234)),IF($C234="","",INDIRECT("'"&amp;$D$2&amp;"'"&amp;"!z"&amp;Z234)))</f>
        <v/>
      </c>
      <c r="V234" s="113" t="str">
        <f t="shared" ca="1" si="25"/>
        <v/>
      </c>
      <c r="W234" s="113" t="str" cm="1">
        <f t="array" aca="1" ref="W234" ca="1">IFERROR(IF($C234="","",INDIRECT($D$2&amp;"!ab"&amp;Z234)),IF($C234="","",INDIRECT("'"&amp;$D$2&amp;"'"&amp;"!ab"&amp;Z234)))</f>
        <v/>
      </c>
      <c r="X234" s="113"/>
      <c r="Y234" s="113" t="str">
        <f t="shared" ca="1" si="26"/>
        <v/>
      </c>
      <c r="Z234" s="35">
        <v>223</v>
      </c>
      <c r="AA234" s="113"/>
      <c r="AB234" s="35">
        <v>223</v>
      </c>
    </row>
    <row r="235" spans="3:28" x14ac:dyDescent="0.25">
      <c r="C235" t="str" cm="1">
        <f t="array" aca="1" ref="C235" ca="1">IFERROR(IF(INDIRECT($D$2&amp;"!B"&amp;Z235)="","",INDIRECT("'"&amp;$D$2&amp;"'"&amp;"!B"&amp;Z235)),IF(INDIRECT("'"&amp;$D$2&amp;"'"&amp;"!B"&amp;Z235)="","",INDIRECT("'"&amp;$D$2&amp;"'"&amp;"!B"&amp;Z235)))</f>
        <v/>
      </c>
      <c r="D235" t="str" cm="1">
        <f t="array" aca="1" ref="D235" ca="1">IFERROR(_xlfn.IFS(C235="","",C235&lt;&gt;"",INDEX(SF_Output!I:I,MATCH(C235,SF_Output!M:M,0))),IFERROR(INDEX(INDIRECT($D$2&amp;"!G:G"),MATCH(C235,INDIRECT($D$2&amp;"!B:B"),0)),INDEX(INDIRECT("'"&amp;$D$2&amp;"'!G:G"),MATCH(C235,INDIRECT("'"&amp;$D$2&amp;"'!B:B"),0))))</f>
        <v/>
      </c>
      <c r="E235" t="str" cm="1">
        <f t="array" aca="1" ref="E235" ca="1">IFERROR(IF(C235="","",INDIRECT($D$2&amp;"!F"&amp;Z235)),IF(C235="","",INDIRECT("'"&amp;$D$2&amp;"'"&amp;"!F"&amp;Z235)))</f>
        <v/>
      </c>
      <c r="F235" t="str" cm="1">
        <f t="array" aca="1" ref="F235" ca="1">IFERROR(IF(C235="","",INDIRECT($D$2&amp;"!ak"&amp;Z235)),IF(C235="","",INDIRECT("'"&amp;$D$2&amp;"'"&amp;"!ak"&amp;Z235)))</f>
        <v/>
      </c>
      <c r="G235" t="str" cm="1">
        <f t="array" aca="1" ref="G235" ca="1">IFERROR(INDIRECT($D$2&amp;"!h"&amp;Z235),INDIRECT("'"&amp;$D$2&amp;"'"&amp;"!h"&amp;Z235))</f>
        <v/>
      </c>
      <c r="H235" s="125" t="str" cm="1">
        <f t="array" aca="1" ref="H235" ca="1">IFERROR(INDIRECT($D$2&amp;"!i"&amp;Z235),INDIRECT("'"&amp;$D$2&amp;"'"&amp;"!i"&amp;Z235))</f>
        <v/>
      </c>
      <c r="I235" s="113" t="str" cm="1">
        <f t="array" aca="1" ref="I235" ca="1">IFERROR(IF($C235="","",INDIRECT($D$2&amp;"!j"&amp;$Z235)+INDIRECT($D$2&amp;"!n"&amp;$Z235)),IF($C235="","",INDIRECT("'"&amp;$D$2&amp;"'"&amp;"!j"&amp;$Z235)+INDIRECT("'"&amp;$D$2&amp;"'"&amp;"!n"&amp;$Z235)))</f>
        <v/>
      </c>
      <c r="J235" s="113" t="str">
        <f t="shared" ca="1" si="22"/>
        <v/>
      </c>
      <c r="K235" s="113" t="str" cm="1">
        <f t="array" aca="1" ref="K235" ca="1">IFERROR(IF($C235="","",INDIRECT($D$2&amp;"!l"&amp;$Z235)+INDIRECT($D$2&amp;"!p"&amp;$Z235)),IF($C235="","",INDIRECT("'"&amp;$D$2&amp;"'"&amp;"!l"&amp;$Z235)+INDIRECT("'"&amp;$D$2&amp;"'"&amp;"!p"&amp;$Z235)))</f>
        <v/>
      </c>
      <c r="M235" s="113" t="str" cm="1">
        <f t="array" aca="1" ref="M235" ca="1">IFERROR(IF($C235="","",INDIRECT($D$2&amp;"!r"&amp;Z235)),IF($C235="","",INDIRECT("'"&amp;$D$2&amp;"'"&amp;"!r"&amp;Z235)))</f>
        <v/>
      </c>
      <c r="N235" s="113" t="str">
        <f t="shared" ca="1" si="23"/>
        <v/>
      </c>
      <c r="O235" s="113" t="str" cm="1">
        <f t="array" aca="1" ref="O235" ca="1">IFERROR(IF($C235="","",INDIRECT($D$2&amp;"!t"&amp;Z235)),IF($C235="","",INDIRECT("'"&amp;$D$2&amp;"'"&amp;"!t"&amp;Z235)))</f>
        <v/>
      </c>
      <c r="Q235" s="113" t="str" cm="1">
        <f t="array" aca="1" ref="Q235" ca="1">IFERROR(IF($C235="","",INDIRECT($D$2&amp;"!v"&amp;Z235)),IF($C235="","",INDIRECT("'"&amp;$D$2&amp;"'"&amp;"!v"&amp;Z235)))</f>
        <v/>
      </c>
      <c r="R235" s="113" t="str">
        <f t="shared" ca="1" si="24"/>
        <v/>
      </c>
      <c r="S235" s="113" t="str" cm="1">
        <f t="array" aca="1" ref="S235" ca="1">IFERROR(IF($C235="","",INDIRECT($D$2&amp;"!x"&amp;Z235)),IF($C235="","",INDIRECT("'"&amp;$D$2&amp;"'"&amp;"!x"&amp;Z235)))</f>
        <v/>
      </c>
      <c r="U235" s="113" t="str" cm="1">
        <f t="array" aca="1" ref="U235" ca="1">IFERROR(IF($C235="","",INDIRECT($D$2&amp;"!z"&amp;Z235)),IF($C235="","",INDIRECT("'"&amp;$D$2&amp;"'"&amp;"!z"&amp;Z235)))</f>
        <v/>
      </c>
      <c r="V235" s="113" t="str">
        <f t="shared" ca="1" si="25"/>
        <v/>
      </c>
      <c r="W235" s="113" t="str" cm="1">
        <f t="array" aca="1" ref="W235" ca="1">IFERROR(IF($C235="","",INDIRECT($D$2&amp;"!ab"&amp;Z235)),IF($C235="","",INDIRECT("'"&amp;$D$2&amp;"'"&amp;"!ab"&amp;Z235)))</f>
        <v/>
      </c>
      <c r="X235" s="113"/>
      <c r="Y235" s="113" t="str">
        <f t="shared" ca="1" si="26"/>
        <v/>
      </c>
      <c r="Z235" s="35">
        <v>224</v>
      </c>
      <c r="AA235" s="113"/>
      <c r="AB235" s="35">
        <v>224</v>
      </c>
    </row>
    <row r="236" spans="3:28" x14ac:dyDescent="0.25">
      <c r="C236" t="str" cm="1">
        <f t="array" aca="1" ref="C236" ca="1">IFERROR(IF(INDIRECT($D$2&amp;"!B"&amp;Z236)="","",INDIRECT("'"&amp;$D$2&amp;"'"&amp;"!B"&amp;Z236)),IF(INDIRECT("'"&amp;$D$2&amp;"'"&amp;"!B"&amp;Z236)="","",INDIRECT("'"&amp;$D$2&amp;"'"&amp;"!B"&amp;Z236)))</f>
        <v/>
      </c>
      <c r="D236" t="str" cm="1">
        <f t="array" aca="1" ref="D236" ca="1">IFERROR(_xlfn.IFS(C236="","",C236&lt;&gt;"",INDEX(SF_Output!I:I,MATCH(C236,SF_Output!M:M,0))),IFERROR(INDEX(INDIRECT($D$2&amp;"!G:G"),MATCH(C236,INDIRECT($D$2&amp;"!B:B"),0)),INDEX(INDIRECT("'"&amp;$D$2&amp;"'!G:G"),MATCH(C236,INDIRECT("'"&amp;$D$2&amp;"'!B:B"),0))))</f>
        <v/>
      </c>
      <c r="E236" t="str" cm="1">
        <f t="array" aca="1" ref="E236" ca="1">IFERROR(IF(C236="","",INDIRECT($D$2&amp;"!F"&amp;Z236)),IF(C236="","",INDIRECT("'"&amp;$D$2&amp;"'"&amp;"!F"&amp;Z236)))</f>
        <v/>
      </c>
      <c r="F236" t="str" cm="1">
        <f t="array" aca="1" ref="F236" ca="1">IFERROR(IF(C236="","",INDIRECT($D$2&amp;"!ak"&amp;Z236)),IF(C236="","",INDIRECT("'"&amp;$D$2&amp;"'"&amp;"!ak"&amp;Z236)))</f>
        <v/>
      </c>
      <c r="G236" t="str" cm="1">
        <f t="array" aca="1" ref="G236" ca="1">IFERROR(INDIRECT($D$2&amp;"!h"&amp;Z236),INDIRECT("'"&amp;$D$2&amp;"'"&amp;"!h"&amp;Z236))</f>
        <v/>
      </c>
      <c r="H236" s="125" t="str" cm="1">
        <f t="array" aca="1" ref="H236" ca="1">IFERROR(INDIRECT($D$2&amp;"!i"&amp;Z236),INDIRECT("'"&amp;$D$2&amp;"'"&amp;"!i"&amp;Z236))</f>
        <v/>
      </c>
      <c r="I236" s="113" t="str" cm="1">
        <f t="array" aca="1" ref="I236" ca="1">IFERROR(IF($C236="","",INDIRECT($D$2&amp;"!j"&amp;$Z236)+INDIRECT($D$2&amp;"!n"&amp;$Z236)),IF($C236="","",INDIRECT("'"&amp;$D$2&amp;"'"&amp;"!j"&amp;$Z236)+INDIRECT("'"&amp;$D$2&amp;"'"&amp;"!n"&amp;$Z236)))</f>
        <v/>
      </c>
      <c r="J236" s="113" t="str">
        <f t="shared" ca="1" si="22"/>
        <v/>
      </c>
      <c r="K236" s="113" t="str" cm="1">
        <f t="array" aca="1" ref="K236" ca="1">IFERROR(IF($C236="","",INDIRECT($D$2&amp;"!l"&amp;$Z236)+INDIRECT($D$2&amp;"!p"&amp;$Z236)),IF($C236="","",INDIRECT("'"&amp;$D$2&amp;"'"&amp;"!l"&amp;$Z236)+INDIRECT("'"&amp;$D$2&amp;"'"&amp;"!p"&amp;$Z236)))</f>
        <v/>
      </c>
      <c r="M236" s="113" t="str" cm="1">
        <f t="array" aca="1" ref="M236" ca="1">IFERROR(IF($C236="","",INDIRECT($D$2&amp;"!r"&amp;Z236)),IF($C236="","",INDIRECT("'"&amp;$D$2&amp;"'"&amp;"!r"&amp;Z236)))</f>
        <v/>
      </c>
      <c r="N236" s="113" t="str">
        <f t="shared" ca="1" si="23"/>
        <v/>
      </c>
      <c r="O236" s="113" t="str" cm="1">
        <f t="array" aca="1" ref="O236" ca="1">IFERROR(IF($C236="","",INDIRECT($D$2&amp;"!t"&amp;Z236)),IF($C236="","",INDIRECT("'"&amp;$D$2&amp;"'"&amp;"!t"&amp;Z236)))</f>
        <v/>
      </c>
      <c r="Q236" s="113" t="str" cm="1">
        <f t="array" aca="1" ref="Q236" ca="1">IFERROR(IF($C236="","",INDIRECT($D$2&amp;"!v"&amp;Z236)),IF($C236="","",INDIRECT("'"&amp;$D$2&amp;"'"&amp;"!v"&amp;Z236)))</f>
        <v/>
      </c>
      <c r="R236" s="113" t="str">
        <f t="shared" ca="1" si="24"/>
        <v/>
      </c>
      <c r="S236" s="113" t="str" cm="1">
        <f t="array" aca="1" ref="S236" ca="1">IFERROR(IF($C236="","",INDIRECT($D$2&amp;"!x"&amp;Z236)),IF($C236="","",INDIRECT("'"&amp;$D$2&amp;"'"&amp;"!x"&amp;Z236)))</f>
        <v/>
      </c>
      <c r="U236" s="113" t="str" cm="1">
        <f t="array" aca="1" ref="U236" ca="1">IFERROR(IF($C236="","",INDIRECT($D$2&amp;"!z"&amp;Z236)),IF($C236="","",INDIRECT("'"&amp;$D$2&amp;"'"&amp;"!z"&amp;Z236)))</f>
        <v/>
      </c>
      <c r="V236" s="113" t="str">
        <f t="shared" ca="1" si="25"/>
        <v/>
      </c>
      <c r="W236" s="113" t="str" cm="1">
        <f t="array" aca="1" ref="W236" ca="1">IFERROR(IF($C236="","",INDIRECT($D$2&amp;"!ab"&amp;Z236)),IF($C236="","",INDIRECT("'"&amp;$D$2&amp;"'"&amp;"!ab"&amp;Z236)))</f>
        <v/>
      </c>
      <c r="X236" s="113"/>
      <c r="Y236" s="113" t="str">
        <f t="shared" ca="1" si="26"/>
        <v/>
      </c>
      <c r="Z236" s="35">
        <v>225</v>
      </c>
      <c r="AA236" s="113"/>
      <c r="AB236" s="35">
        <v>225</v>
      </c>
    </row>
    <row r="237" spans="3:28" x14ac:dyDescent="0.25">
      <c r="C237" t="str" cm="1">
        <f t="array" aca="1" ref="C237" ca="1">IFERROR(IF(INDIRECT($D$2&amp;"!B"&amp;Z237)="","",INDIRECT("'"&amp;$D$2&amp;"'"&amp;"!B"&amp;Z237)),IF(INDIRECT("'"&amp;$D$2&amp;"'"&amp;"!B"&amp;Z237)="","",INDIRECT("'"&amp;$D$2&amp;"'"&amp;"!B"&amp;Z237)))</f>
        <v/>
      </c>
      <c r="D237" t="str" cm="1">
        <f t="array" aca="1" ref="D237" ca="1">IFERROR(_xlfn.IFS(C237="","",C237&lt;&gt;"",INDEX(SF_Output!I:I,MATCH(C237,SF_Output!M:M,0))),IFERROR(INDEX(INDIRECT($D$2&amp;"!G:G"),MATCH(C237,INDIRECT($D$2&amp;"!B:B"),0)),INDEX(INDIRECT("'"&amp;$D$2&amp;"'!G:G"),MATCH(C237,INDIRECT("'"&amp;$D$2&amp;"'!B:B"),0))))</f>
        <v/>
      </c>
      <c r="E237" t="str" cm="1">
        <f t="array" aca="1" ref="E237" ca="1">IFERROR(IF(C237="","",INDIRECT($D$2&amp;"!F"&amp;Z237)),IF(C237="","",INDIRECT("'"&amp;$D$2&amp;"'"&amp;"!F"&amp;Z237)))</f>
        <v/>
      </c>
      <c r="F237" t="str" cm="1">
        <f t="array" aca="1" ref="F237" ca="1">IFERROR(IF(C237="","",INDIRECT($D$2&amp;"!ak"&amp;Z237)),IF(C237="","",INDIRECT("'"&amp;$D$2&amp;"'"&amp;"!ak"&amp;Z237)))</f>
        <v/>
      </c>
      <c r="G237" t="str" cm="1">
        <f t="array" aca="1" ref="G237" ca="1">IFERROR(INDIRECT($D$2&amp;"!h"&amp;Z237),INDIRECT("'"&amp;$D$2&amp;"'"&amp;"!h"&amp;Z237))</f>
        <v/>
      </c>
      <c r="H237" s="125" t="str" cm="1">
        <f t="array" aca="1" ref="H237" ca="1">IFERROR(INDIRECT($D$2&amp;"!i"&amp;Z237),INDIRECT("'"&amp;$D$2&amp;"'"&amp;"!i"&amp;Z237))</f>
        <v/>
      </c>
      <c r="I237" s="113" t="str" cm="1">
        <f t="array" aca="1" ref="I237" ca="1">IFERROR(IF($C237="","",INDIRECT($D$2&amp;"!j"&amp;$Z237)+INDIRECT($D$2&amp;"!n"&amp;$Z237)),IF($C237="","",INDIRECT("'"&amp;$D$2&amp;"'"&amp;"!j"&amp;$Z237)+INDIRECT("'"&amp;$D$2&amp;"'"&amp;"!n"&amp;$Z237)))</f>
        <v/>
      </c>
      <c r="J237" s="113" t="str">
        <f t="shared" ca="1" si="22"/>
        <v/>
      </c>
      <c r="K237" s="113" t="str" cm="1">
        <f t="array" aca="1" ref="K237" ca="1">IFERROR(IF($C237="","",INDIRECT($D$2&amp;"!l"&amp;$Z237)+INDIRECT($D$2&amp;"!p"&amp;$Z237)),IF($C237="","",INDIRECT("'"&amp;$D$2&amp;"'"&amp;"!l"&amp;$Z237)+INDIRECT("'"&amp;$D$2&amp;"'"&amp;"!p"&amp;$Z237)))</f>
        <v/>
      </c>
      <c r="M237" s="113" t="str" cm="1">
        <f t="array" aca="1" ref="M237" ca="1">IFERROR(IF($C237="","",INDIRECT($D$2&amp;"!r"&amp;Z237)),IF($C237="","",INDIRECT("'"&amp;$D$2&amp;"'"&amp;"!r"&amp;Z237)))</f>
        <v/>
      </c>
      <c r="N237" s="113" t="str">
        <f t="shared" ca="1" si="23"/>
        <v/>
      </c>
      <c r="O237" s="113" t="str" cm="1">
        <f t="array" aca="1" ref="O237" ca="1">IFERROR(IF($C237="","",INDIRECT($D$2&amp;"!t"&amp;Z237)),IF($C237="","",INDIRECT("'"&amp;$D$2&amp;"'"&amp;"!t"&amp;Z237)))</f>
        <v/>
      </c>
      <c r="Q237" s="113" t="str" cm="1">
        <f t="array" aca="1" ref="Q237" ca="1">IFERROR(IF($C237="","",INDIRECT($D$2&amp;"!v"&amp;Z237)),IF($C237="","",INDIRECT("'"&amp;$D$2&amp;"'"&amp;"!v"&amp;Z237)))</f>
        <v/>
      </c>
      <c r="R237" s="113" t="str">
        <f t="shared" ca="1" si="24"/>
        <v/>
      </c>
      <c r="S237" s="113" t="str" cm="1">
        <f t="array" aca="1" ref="S237" ca="1">IFERROR(IF($C237="","",INDIRECT($D$2&amp;"!x"&amp;Z237)),IF($C237="","",INDIRECT("'"&amp;$D$2&amp;"'"&amp;"!x"&amp;Z237)))</f>
        <v/>
      </c>
      <c r="U237" s="113" t="str" cm="1">
        <f t="array" aca="1" ref="U237" ca="1">IFERROR(IF($C237="","",INDIRECT($D$2&amp;"!z"&amp;Z237)),IF($C237="","",INDIRECT("'"&amp;$D$2&amp;"'"&amp;"!z"&amp;Z237)))</f>
        <v/>
      </c>
      <c r="V237" s="113" t="str">
        <f t="shared" ca="1" si="25"/>
        <v/>
      </c>
      <c r="W237" s="113" t="str" cm="1">
        <f t="array" aca="1" ref="W237" ca="1">IFERROR(IF($C237="","",INDIRECT($D$2&amp;"!ab"&amp;Z237)),IF($C237="","",INDIRECT("'"&amp;$D$2&amp;"'"&amp;"!ab"&amp;Z237)))</f>
        <v/>
      </c>
      <c r="X237" s="113"/>
      <c r="Y237" s="113" t="str">
        <f t="shared" ca="1" si="26"/>
        <v/>
      </c>
      <c r="Z237" s="35">
        <v>226</v>
      </c>
      <c r="AA237" s="113"/>
      <c r="AB237" s="35">
        <v>226</v>
      </c>
    </row>
    <row r="238" spans="3:28" x14ac:dyDescent="0.25">
      <c r="C238" t="str" cm="1">
        <f t="array" aca="1" ref="C238" ca="1">IFERROR(IF(INDIRECT($D$2&amp;"!B"&amp;Z238)="","",INDIRECT("'"&amp;$D$2&amp;"'"&amp;"!B"&amp;Z238)),IF(INDIRECT("'"&amp;$D$2&amp;"'"&amp;"!B"&amp;Z238)="","",INDIRECT("'"&amp;$D$2&amp;"'"&amp;"!B"&amp;Z238)))</f>
        <v/>
      </c>
      <c r="D238" t="str" cm="1">
        <f t="array" aca="1" ref="D238" ca="1">IFERROR(_xlfn.IFS(C238="","",C238&lt;&gt;"",INDEX(SF_Output!I:I,MATCH(C238,SF_Output!M:M,0))),IFERROR(INDEX(INDIRECT($D$2&amp;"!G:G"),MATCH(C238,INDIRECT($D$2&amp;"!B:B"),0)),INDEX(INDIRECT("'"&amp;$D$2&amp;"'!G:G"),MATCH(C238,INDIRECT("'"&amp;$D$2&amp;"'!B:B"),0))))</f>
        <v/>
      </c>
      <c r="E238" t="str" cm="1">
        <f t="array" aca="1" ref="E238" ca="1">IFERROR(IF(C238="","",INDIRECT($D$2&amp;"!F"&amp;Z238)),IF(C238="","",INDIRECT("'"&amp;$D$2&amp;"'"&amp;"!F"&amp;Z238)))</f>
        <v/>
      </c>
      <c r="F238" t="str" cm="1">
        <f t="array" aca="1" ref="F238" ca="1">IFERROR(IF(C238="","",INDIRECT($D$2&amp;"!ak"&amp;Z238)),IF(C238="","",INDIRECT("'"&amp;$D$2&amp;"'"&amp;"!ak"&amp;Z238)))</f>
        <v/>
      </c>
      <c r="G238" t="str" cm="1">
        <f t="array" aca="1" ref="G238" ca="1">IFERROR(INDIRECT($D$2&amp;"!h"&amp;Z238),INDIRECT("'"&amp;$D$2&amp;"'"&amp;"!h"&amp;Z238))</f>
        <v/>
      </c>
      <c r="H238" s="125" t="str" cm="1">
        <f t="array" aca="1" ref="H238" ca="1">IFERROR(INDIRECT($D$2&amp;"!i"&amp;Z238),INDIRECT("'"&amp;$D$2&amp;"'"&amp;"!i"&amp;Z238))</f>
        <v/>
      </c>
      <c r="I238" s="113" t="str" cm="1">
        <f t="array" aca="1" ref="I238" ca="1">IFERROR(IF($C238="","",INDIRECT($D$2&amp;"!j"&amp;$Z238)+INDIRECT($D$2&amp;"!n"&amp;$Z238)),IF($C238="","",INDIRECT("'"&amp;$D$2&amp;"'"&amp;"!j"&amp;$Z238)+INDIRECT("'"&amp;$D$2&amp;"'"&amp;"!n"&amp;$Z238)))</f>
        <v/>
      </c>
      <c r="J238" s="113" t="str">
        <f t="shared" ca="1" si="22"/>
        <v/>
      </c>
      <c r="K238" s="113" t="str" cm="1">
        <f t="array" aca="1" ref="K238" ca="1">IFERROR(IF($C238="","",INDIRECT($D$2&amp;"!l"&amp;$Z238)+INDIRECT($D$2&amp;"!p"&amp;$Z238)),IF($C238="","",INDIRECT("'"&amp;$D$2&amp;"'"&amp;"!l"&amp;$Z238)+INDIRECT("'"&amp;$D$2&amp;"'"&amp;"!p"&amp;$Z238)))</f>
        <v/>
      </c>
      <c r="M238" s="113" t="str" cm="1">
        <f t="array" aca="1" ref="M238" ca="1">IFERROR(IF($C238="","",INDIRECT($D$2&amp;"!r"&amp;Z238)),IF($C238="","",INDIRECT("'"&amp;$D$2&amp;"'"&amp;"!r"&amp;Z238)))</f>
        <v/>
      </c>
      <c r="N238" s="113" t="str">
        <f t="shared" ca="1" si="23"/>
        <v/>
      </c>
      <c r="O238" s="113" t="str" cm="1">
        <f t="array" aca="1" ref="O238" ca="1">IFERROR(IF($C238="","",INDIRECT($D$2&amp;"!t"&amp;Z238)),IF($C238="","",INDIRECT("'"&amp;$D$2&amp;"'"&amp;"!t"&amp;Z238)))</f>
        <v/>
      </c>
      <c r="Q238" s="113" t="str" cm="1">
        <f t="array" aca="1" ref="Q238" ca="1">IFERROR(IF($C238="","",INDIRECT($D$2&amp;"!v"&amp;Z238)),IF($C238="","",INDIRECT("'"&amp;$D$2&amp;"'"&amp;"!v"&amp;Z238)))</f>
        <v/>
      </c>
      <c r="R238" s="113" t="str">
        <f t="shared" ca="1" si="24"/>
        <v/>
      </c>
      <c r="S238" s="113" t="str" cm="1">
        <f t="array" aca="1" ref="S238" ca="1">IFERROR(IF($C238="","",INDIRECT($D$2&amp;"!x"&amp;Z238)),IF($C238="","",INDIRECT("'"&amp;$D$2&amp;"'"&amp;"!x"&amp;Z238)))</f>
        <v/>
      </c>
      <c r="U238" s="113" t="str" cm="1">
        <f t="array" aca="1" ref="U238" ca="1">IFERROR(IF($C238="","",INDIRECT($D$2&amp;"!z"&amp;Z238)),IF($C238="","",INDIRECT("'"&amp;$D$2&amp;"'"&amp;"!z"&amp;Z238)))</f>
        <v/>
      </c>
      <c r="V238" s="113" t="str">
        <f t="shared" ca="1" si="25"/>
        <v/>
      </c>
      <c r="W238" s="113" t="str" cm="1">
        <f t="array" aca="1" ref="W238" ca="1">IFERROR(IF($C238="","",INDIRECT($D$2&amp;"!ab"&amp;Z238)),IF($C238="","",INDIRECT("'"&amp;$D$2&amp;"'"&amp;"!ab"&amp;Z238)))</f>
        <v/>
      </c>
      <c r="X238" s="113"/>
      <c r="Y238" s="113" t="str">
        <f t="shared" ca="1" si="26"/>
        <v/>
      </c>
      <c r="Z238" s="35">
        <v>227</v>
      </c>
      <c r="AA238" s="113"/>
      <c r="AB238" s="35">
        <v>227</v>
      </c>
    </row>
    <row r="239" spans="3:28" x14ac:dyDescent="0.25">
      <c r="C239" t="str" cm="1">
        <f t="array" aca="1" ref="C239" ca="1">IFERROR(IF(INDIRECT($D$2&amp;"!B"&amp;Z239)="","",INDIRECT("'"&amp;$D$2&amp;"'"&amp;"!B"&amp;Z239)),IF(INDIRECT("'"&amp;$D$2&amp;"'"&amp;"!B"&amp;Z239)="","",INDIRECT("'"&amp;$D$2&amp;"'"&amp;"!B"&amp;Z239)))</f>
        <v/>
      </c>
      <c r="D239" t="str" cm="1">
        <f t="array" aca="1" ref="D239" ca="1">IFERROR(_xlfn.IFS(C239="","",C239&lt;&gt;"",INDEX(SF_Output!I:I,MATCH(C239,SF_Output!M:M,0))),IFERROR(INDEX(INDIRECT($D$2&amp;"!G:G"),MATCH(C239,INDIRECT($D$2&amp;"!B:B"),0)),INDEX(INDIRECT("'"&amp;$D$2&amp;"'!G:G"),MATCH(C239,INDIRECT("'"&amp;$D$2&amp;"'!B:B"),0))))</f>
        <v/>
      </c>
      <c r="E239" t="str" cm="1">
        <f t="array" aca="1" ref="E239" ca="1">IFERROR(IF(C239="","",INDIRECT($D$2&amp;"!F"&amp;Z239)),IF(C239="","",INDIRECT("'"&amp;$D$2&amp;"'"&amp;"!F"&amp;Z239)))</f>
        <v/>
      </c>
      <c r="F239" t="str" cm="1">
        <f t="array" aca="1" ref="F239" ca="1">IFERROR(IF(C239="","",INDIRECT($D$2&amp;"!ak"&amp;Z239)),IF(C239="","",INDIRECT("'"&amp;$D$2&amp;"'"&amp;"!ak"&amp;Z239)))</f>
        <v/>
      </c>
      <c r="G239" t="str" cm="1">
        <f t="array" aca="1" ref="G239" ca="1">IFERROR(INDIRECT($D$2&amp;"!h"&amp;Z239),INDIRECT("'"&amp;$D$2&amp;"'"&amp;"!h"&amp;Z239))</f>
        <v/>
      </c>
      <c r="H239" s="125" t="str" cm="1">
        <f t="array" aca="1" ref="H239" ca="1">IFERROR(INDIRECT($D$2&amp;"!i"&amp;Z239),INDIRECT("'"&amp;$D$2&amp;"'"&amp;"!i"&amp;Z239))</f>
        <v/>
      </c>
      <c r="I239" s="113" t="str" cm="1">
        <f t="array" aca="1" ref="I239" ca="1">IFERROR(IF($C239="","",INDIRECT($D$2&amp;"!j"&amp;$Z239)+INDIRECT($D$2&amp;"!n"&amp;$Z239)),IF($C239="","",INDIRECT("'"&amp;$D$2&amp;"'"&amp;"!j"&amp;$Z239)+INDIRECT("'"&amp;$D$2&amp;"'"&amp;"!n"&amp;$Z239)))</f>
        <v/>
      </c>
      <c r="J239" s="113" t="str">
        <f t="shared" ca="1" si="22"/>
        <v/>
      </c>
      <c r="K239" s="113" t="str" cm="1">
        <f t="array" aca="1" ref="K239" ca="1">IFERROR(IF($C239="","",INDIRECT($D$2&amp;"!l"&amp;$Z239)+INDIRECT($D$2&amp;"!p"&amp;$Z239)),IF($C239="","",INDIRECT("'"&amp;$D$2&amp;"'"&amp;"!l"&amp;$Z239)+INDIRECT("'"&amp;$D$2&amp;"'"&amp;"!p"&amp;$Z239)))</f>
        <v/>
      </c>
      <c r="M239" s="113" t="str" cm="1">
        <f t="array" aca="1" ref="M239" ca="1">IFERROR(IF($C239="","",INDIRECT($D$2&amp;"!r"&amp;Z239)),IF($C239="","",INDIRECT("'"&amp;$D$2&amp;"'"&amp;"!r"&amp;Z239)))</f>
        <v/>
      </c>
      <c r="N239" s="113" t="str">
        <f t="shared" ca="1" si="23"/>
        <v/>
      </c>
      <c r="O239" s="113" t="str" cm="1">
        <f t="array" aca="1" ref="O239" ca="1">IFERROR(IF($C239="","",INDIRECT($D$2&amp;"!t"&amp;Z239)),IF($C239="","",INDIRECT("'"&amp;$D$2&amp;"'"&amp;"!t"&amp;Z239)))</f>
        <v/>
      </c>
      <c r="Q239" s="113" t="str" cm="1">
        <f t="array" aca="1" ref="Q239" ca="1">IFERROR(IF($C239="","",INDIRECT($D$2&amp;"!v"&amp;Z239)),IF($C239="","",INDIRECT("'"&amp;$D$2&amp;"'"&amp;"!v"&amp;Z239)))</f>
        <v/>
      </c>
      <c r="R239" s="113" t="str">
        <f t="shared" ca="1" si="24"/>
        <v/>
      </c>
      <c r="S239" s="113" t="str" cm="1">
        <f t="array" aca="1" ref="S239" ca="1">IFERROR(IF($C239="","",INDIRECT($D$2&amp;"!x"&amp;Z239)),IF($C239="","",INDIRECT("'"&amp;$D$2&amp;"'"&amp;"!x"&amp;Z239)))</f>
        <v/>
      </c>
      <c r="U239" s="113" t="str" cm="1">
        <f t="array" aca="1" ref="U239" ca="1">IFERROR(IF($C239="","",INDIRECT($D$2&amp;"!z"&amp;Z239)),IF($C239="","",INDIRECT("'"&amp;$D$2&amp;"'"&amp;"!z"&amp;Z239)))</f>
        <v/>
      </c>
      <c r="V239" s="113" t="str">
        <f t="shared" ca="1" si="25"/>
        <v/>
      </c>
      <c r="W239" s="113" t="str" cm="1">
        <f t="array" aca="1" ref="W239" ca="1">IFERROR(IF($C239="","",INDIRECT($D$2&amp;"!ab"&amp;Z239)),IF($C239="","",INDIRECT("'"&amp;$D$2&amp;"'"&amp;"!ab"&amp;Z239)))</f>
        <v/>
      </c>
      <c r="X239" s="113"/>
      <c r="Y239" s="113" t="str">
        <f t="shared" ca="1" si="26"/>
        <v/>
      </c>
      <c r="Z239" s="35">
        <v>228</v>
      </c>
      <c r="AA239" s="113"/>
      <c r="AB239" s="35">
        <v>228</v>
      </c>
    </row>
    <row r="240" spans="3:28" x14ac:dyDescent="0.25">
      <c r="C240" t="str" cm="1">
        <f t="array" aca="1" ref="C240" ca="1">IFERROR(IF(INDIRECT($D$2&amp;"!B"&amp;Z240)="","",INDIRECT("'"&amp;$D$2&amp;"'"&amp;"!B"&amp;Z240)),IF(INDIRECT("'"&amp;$D$2&amp;"'"&amp;"!B"&amp;Z240)="","",INDIRECT("'"&amp;$D$2&amp;"'"&amp;"!B"&amp;Z240)))</f>
        <v/>
      </c>
      <c r="D240" t="str" cm="1">
        <f t="array" aca="1" ref="D240" ca="1">IFERROR(_xlfn.IFS(C240="","",C240&lt;&gt;"",INDEX(SF_Output!I:I,MATCH(C240,SF_Output!M:M,0))),IFERROR(INDEX(INDIRECT($D$2&amp;"!G:G"),MATCH(C240,INDIRECT($D$2&amp;"!B:B"),0)),INDEX(INDIRECT("'"&amp;$D$2&amp;"'!G:G"),MATCH(C240,INDIRECT("'"&amp;$D$2&amp;"'!B:B"),0))))</f>
        <v/>
      </c>
      <c r="E240" t="str" cm="1">
        <f t="array" aca="1" ref="E240" ca="1">IFERROR(IF(C240="","",INDIRECT($D$2&amp;"!F"&amp;Z240)),IF(C240="","",INDIRECT("'"&amp;$D$2&amp;"'"&amp;"!F"&amp;Z240)))</f>
        <v/>
      </c>
      <c r="F240" t="str" cm="1">
        <f t="array" aca="1" ref="F240" ca="1">IFERROR(IF(C240="","",INDIRECT($D$2&amp;"!ak"&amp;Z240)),IF(C240="","",INDIRECT("'"&amp;$D$2&amp;"'"&amp;"!ak"&amp;Z240)))</f>
        <v/>
      </c>
      <c r="G240" t="str" cm="1">
        <f t="array" aca="1" ref="G240" ca="1">IFERROR(INDIRECT($D$2&amp;"!h"&amp;Z240),INDIRECT("'"&amp;$D$2&amp;"'"&amp;"!h"&amp;Z240))</f>
        <v/>
      </c>
      <c r="H240" s="125" t="str" cm="1">
        <f t="array" aca="1" ref="H240" ca="1">IFERROR(INDIRECT($D$2&amp;"!i"&amp;Z240),INDIRECT("'"&amp;$D$2&amp;"'"&amp;"!i"&amp;Z240))</f>
        <v/>
      </c>
      <c r="I240" s="113" t="str" cm="1">
        <f t="array" aca="1" ref="I240" ca="1">IFERROR(IF($C240="","",INDIRECT($D$2&amp;"!j"&amp;$Z240)+INDIRECT($D$2&amp;"!n"&amp;$Z240)),IF($C240="","",INDIRECT("'"&amp;$D$2&amp;"'"&amp;"!j"&amp;$Z240)+INDIRECT("'"&amp;$D$2&amp;"'"&amp;"!n"&amp;$Z240)))</f>
        <v/>
      </c>
      <c r="J240" s="113" t="str">
        <f t="shared" ca="1" si="22"/>
        <v/>
      </c>
      <c r="K240" s="113" t="str" cm="1">
        <f t="array" aca="1" ref="K240" ca="1">IFERROR(IF($C240="","",INDIRECT($D$2&amp;"!l"&amp;$Z240)+INDIRECT($D$2&amp;"!p"&amp;$Z240)),IF($C240="","",INDIRECT("'"&amp;$D$2&amp;"'"&amp;"!l"&amp;$Z240)+INDIRECT("'"&amp;$D$2&amp;"'"&amp;"!p"&amp;$Z240)))</f>
        <v/>
      </c>
      <c r="M240" s="113" t="str" cm="1">
        <f t="array" aca="1" ref="M240" ca="1">IFERROR(IF($C240="","",INDIRECT($D$2&amp;"!r"&amp;Z240)),IF($C240="","",INDIRECT("'"&amp;$D$2&amp;"'"&amp;"!r"&amp;Z240)))</f>
        <v/>
      </c>
      <c r="N240" s="113" t="str">
        <f t="shared" ca="1" si="23"/>
        <v/>
      </c>
      <c r="O240" s="113" t="str" cm="1">
        <f t="array" aca="1" ref="O240" ca="1">IFERROR(IF($C240="","",INDIRECT($D$2&amp;"!t"&amp;Z240)),IF($C240="","",INDIRECT("'"&amp;$D$2&amp;"'"&amp;"!t"&amp;Z240)))</f>
        <v/>
      </c>
      <c r="Q240" s="113" t="str" cm="1">
        <f t="array" aca="1" ref="Q240" ca="1">IFERROR(IF($C240="","",INDIRECT($D$2&amp;"!v"&amp;Z240)),IF($C240="","",INDIRECT("'"&amp;$D$2&amp;"'"&amp;"!v"&amp;Z240)))</f>
        <v/>
      </c>
      <c r="R240" s="113" t="str">
        <f t="shared" ca="1" si="24"/>
        <v/>
      </c>
      <c r="S240" s="113" t="str" cm="1">
        <f t="array" aca="1" ref="S240" ca="1">IFERROR(IF($C240="","",INDIRECT($D$2&amp;"!x"&amp;Z240)),IF($C240="","",INDIRECT("'"&amp;$D$2&amp;"'"&amp;"!x"&amp;Z240)))</f>
        <v/>
      </c>
      <c r="U240" s="113" t="str" cm="1">
        <f t="array" aca="1" ref="U240" ca="1">IFERROR(IF($C240="","",INDIRECT($D$2&amp;"!z"&amp;Z240)),IF($C240="","",INDIRECT("'"&amp;$D$2&amp;"'"&amp;"!z"&amp;Z240)))</f>
        <v/>
      </c>
      <c r="V240" s="113" t="str">
        <f t="shared" ca="1" si="25"/>
        <v/>
      </c>
      <c r="W240" s="113" t="str" cm="1">
        <f t="array" aca="1" ref="W240" ca="1">IFERROR(IF($C240="","",INDIRECT($D$2&amp;"!ab"&amp;Z240)),IF($C240="","",INDIRECT("'"&amp;$D$2&amp;"'"&amp;"!ab"&amp;Z240)))</f>
        <v/>
      </c>
      <c r="X240" s="113"/>
      <c r="Y240" s="113" t="str">
        <f t="shared" ca="1" si="26"/>
        <v/>
      </c>
      <c r="Z240" s="35">
        <v>229</v>
      </c>
      <c r="AA240" s="113"/>
      <c r="AB240" s="35">
        <v>229</v>
      </c>
    </row>
    <row r="241" spans="3:28" x14ac:dyDescent="0.25">
      <c r="C241" t="str" cm="1">
        <f t="array" aca="1" ref="C241" ca="1">IFERROR(IF(INDIRECT($D$2&amp;"!B"&amp;Z241)="","",INDIRECT("'"&amp;$D$2&amp;"'"&amp;"!B"&amp;Z241)),IF(INDIRECT("'"&amp;$D$2&amp;"'"&amp;"!B"&amp;Z241)="","",INDIRECT("'"&amp;$D$2&amp;"'"&amp;"!B"&amp;Z241)))</f>
        <v/>
      </c>
      <c r="D241" t="str" cm="1">
        <f t="array" aca="1" ref="D241" ca="1">IFERROR(_xlfn.IFS(C241="","",C241&lt;&gt;"",INDEX(SF_Output!I:I,MATCH(C241,SF_Output!M:M,0))),IFERROR(INDEX(INDIRECT($D$2&amp;"!G:G"),MATCH(C241,INDIRECT($D$2&amp;"!B:B"),0)),INDEX(INDIRECT("'"&amp;$D$2&amp;"'!G:G"),MATCH(C241,INDIRECT("'"&amp;$D$2&amp;"'!B:B"),0))))</f>
        <v/>
      </c>
      <c r="E241" t="str" cm="1">
        <f t="array" aca="1" ref="E241" ca="1">IFERROR(IF(C241="","",INDIRECT($D$2&amp;"!F"&amp;Z241)),IF(C241="","",INDIRECT("'"&amp;$D$2&amp;"'"&amp;"!F"&amp;Z241)))</f>
        <v/>
      </c>
      <c r="F241" t="str" cm="1">
        <f t="array" aca="1" ref="F241" ca="1">IFERROR(IF(C241="","",INDIRECT($D$2&amp;"!ak"&amp;Z241)),IF(C241="","",INDIRECT("'"&amp;$D$2&amp;"'"&amp;"!ak"&amp;Z241)))</f>
        <v/>
      </c>
      <c r="G241" t="str" cm="1">
        <f t="array" aca="1" ref="G241" ca="1">IFERROR(INDIRECT($D$2&amp;"!h"&amp;Z241),INDIRECT("'"&amp;$D$2&amp;"'"&amp;"!h"&amp;Z241))</f>
        <v/>
      </c>
      <c r="H241" s="125" t="str" cm="1">
        <f t="array" aca="1" ref="H241" ca="1">IFERROR(INDIRECT($D$2&amp;"!i"&amp;Z241),INDIRECT("'"&amp;$D$2&amp;"'"&amp;"!i"&amp;Z241))</f>
        <v/>
      </c>
      <c r="I241" s="113" t="str" cm="1">
        <f t="array" aca="1" ref="I241" ca="1">IFERROR(IF($C241="","",INDIRECT($D$2&amp;"!j"&amp;$Z241)+INDIRECT($D$2&amp;"!n"&amp;$Z241)),IF($C241="","",INDIRECT("'"&amp;$D$2&amp;"'"&amp;"!j"&amp;$Z241)+INDIRECT("'"&amp;$D$2&amp;"'"&amp;"!n"&amp;$Z241)))</f>
        <v/>
      </c>
      <c r="J241" s="113" t="str">
        <f t="shared" ca="1" si="22"/>
        <v/>
      </c>
      <c r="K241" s="113" t="str" cm="1">
        <f t="array" aca="1" ref="K241" ca="1">IFERROR(IF($C241="","",INDIRECT($D$2&amp;"!l"&amp;$Z241)+INDIRECT($D$2&amp;"!p"&amp;$Z241)),IF($C241="","",INDIRECT("'"&amp;$D$2&amp;"'"&amp;"!l"&amp;$Z241)+INDIRECT("'"&amp;$D$2&amp;"'"&amp;"!p"&amp;$Z241)))</f>
        <v/>
      </c>
      <c r="M241" s="113" t="str" cm="1">
        <f t="array" aca="1" ref="M241" ca="1">IFERROR(IF($C241="","",INDIRECT($D$2&amp;"!r"&amp;Z241)),IF($C241="","",INDIRECT("'"&amp;$D$2&amp;"'"&amp;"!r"&amp;Z241)))</f>
        <v/>
      </c>
      <c r="N241" s="113" t="str">
        <f t="shared" ca="1" si="23"/>
        <v/>
      </c>
      <c r="O241" s="113" t="str" cm="1">
        <f t="array" aca="1" ref="O241" ca="1">IFERROR(IF($C241="","",INDIRECT($D$2&amp;"!t"&amp;Z241)),IF($C241="","",INDIRECT("'"&amp;$D$2&amp;"'"&amp;"!t"&amp;Z241)))</f>
        <v/>
      </c>
      <c r="Q241" s="113" t="str" cm="1">
        <f t="array" aca="1" ref="Q241" ca="1">IFERROR(IF($C241="","",INDIRECT($D$2&amp;"!v"&amp;Z241)),IF($C241="","",INDIRECT("'"&amp;$D$2&amp;"'"&amp;"!v"&amp;Z241)))</f>
        <v/>
      </c>
      <c r="R241" s="113" t="str">
        <f t="shared" ca="1" si="24"/>
        <v/>
      </c>
      <c r="S241" s="113" t="str" cm="1">
        <f t="array" aca="1" ref="S241" ca="1">IFERROR(IF($C241="","",INDIRECT($D$2&amp;"!x"&amp;Z241)),IF($C241="","",INDIRECT("'"&amp;$D$2&amp;"'"&amp;"!x"&amp;Z241)))</f>
        <v/>
      </c>
      <c r="U241" s="113" t="str" cm="1">
        <f t="array" aca="1" ref="U241" ca="1">IFERROR(IF($C241="","",INDIRECT($D$2&amp;"!z"&amp;Z241)),IF($C241="","",INDIRECT("'"&amp;$D$2&amp;"'"&amp;"!z"&amp;Z241)))</f>
        <v/>
      </c>
      <c r="V241" s="113" t="str">
        <f t="shared" ca="1" si="25"/>
        <v/>
      </c>
      <c r="W241" s="113" t="str" cm="1">
        <f t="array" aca="1" ref="W241" ca="1">IFERROR(IF($C241="","",INDIRECT($D$2&amp;"!ab"&amp;Z241)),IF($C241="","",INDIRECT("'"&amp;$D$2&amp;"'"&amp;"!ab"&amp;Z241)))</f>
        <v/>
      </c>
      <c r="X241" s="113"/>
      <c r="Y241" s="113" t="str">
        <f t="shared" ca="1" si="26"/>
        <v/>
      </c>
      <c r="Z241" s="35">
        <v>230</v>
      </c>
      <c r="AA241" s="113"/>
      <c r="AB241" s="35">
        <v>230</v>
      </c>
    </row>
    <row r="242" spans="3:28" x14ac:dyDescent="0.25">
      <c r="C242" t="str" cm="1">
        <f t="array" aca="1" ref="C242" ca="1">IFERROR(IF(INDIRECT($D$2&amp;"!B"&amp;Z242)="","",INDIRECT("'"&amp;$D$2&amp;"'"&amp;"!B"&amp;Z242)),IF(INDIRECT("'"&amp;$D$2&amp;"'"&amp;"!B"&amp;Z242)="","",INDIRECT("'"&amp;$D$2&amp;"'"&amp;"!B"&amp;Z242)))</f>
        <v/>
      </c>
      <c r="D242" t="str" cm="1">
        <f t="array" aca="1" ref="D242" ca="1">IFERROR(_xlfn.IFS(C242="","",C242&lt;&gt;"",INDEX(SF_Output!I:I,MATCH(C242,SF_Output!M:M,0))),IFERROR(INDEX(INDIRECT($D$2&amp;"!G:G"),MATCH(C242,INDIRECT($D$2&amp;"!B:B"),0)),INDEX(INDIRECT("'"&amp;$D$2&amp;"'!G:G"),MATCH(C242,INDIRECT("'"&amp;$D$2&amp;"'!B:B"),0))))</f>
        <v/>
      </c>
      <c r="E242" t="str" cm="1">
        <f t="array" aca="1" ref="E242" ca="1">IFERROR(IF(C242="","",INDIRECT($D$2&amp;"!F"&amp;Z242)),IF(C242="","",INDIRECT("'"&amp;$D$2&amp;"'"&amp;"!F"&amp;Z242)))</f>
        <v/>
      </c>
      <c r="F242" t="str" cm="1">
        <f t="array" aca="1" ref="F242" ca="1">IFERROR(IF(C242="","",INDIRECT($D$2&amp;"!ak"&amp;Z242)),IF(C242="","",INDIRECT("'"&amp;$D$2&amp;"'"&amp;"!ak"&amp;Z242)))</f>
        <v/>
      </c>
      <c r="G242" t="str" cm="1">
        <f t="array" aca="1" ref="G242" ca="1">IFERROR(INDIRECT($D$2&amp;"!h"&amp;Z242),INDIRECT("'"&amp;$D$2&amp;"'"&amp;"!h"&amp;Z242))</f>
        <v/>
      </c>
      <c r="H242" s="125" t="str" cm="1">
        <f t="array" aca="1" ref="H242" ca="1">IFERROR(INDIRECT($D$2&amp;"!i"&amp;Z242),INDIRECT("'"&amp;$D$2&amp;"'"&amp;"!i"&amp;Z242))</f>
        <v/>
      </c>
      <c r="I242" s="113" t="str" cm="1">
        <f t="array" aca="1" ref="I242" ca="1">IFERROR(IF($C242="","",INDIRECT($D$2&amp;"!j"&amp;$Z242)+INDIRECT($D$2&amp;"!n"&amp;$Z242)),IF($C242="","",INDIRECT("'"&amp;$D$2&amp;"'"&amp;"!j"&amp;$Z242)+INDIRECT("'"&amp;$D$2&amp;"'"&amp;"!n"&amp;$Z242)))</f>
        <v/>
      </c>
      <c r="J242" s="113" t="str">
        <f t="shared" ca="1" si="22"/>
        <v/>
      </c>
      <c r="K242" s="113" t="str" cm="1">
        <f t="array" aca="1" ref="K242" ca="1">IFERROR(IF($C242="","",INDIRECT($D$2&amp;"!l"&amp;$Z242)+INDIRECT($D$2&amp;"!p"&amp;$Z242)),IF($C242="","",INDIRECT("'"&amp;$D$2&amp;"'"&amp;"!l"&amp;$Z242)+INDIRECT("'"&amp;$D$2&amp;"'"&amp;"!p"&amp;$Z242)))</f>
        <v/>
      </c>
      <c r="M242" s="113" t="str" cm="1">
        <f t="array" aca="1" ref="M242" ca="1">IFERROR(IF($C242="","",INDIRECT($D$2&amp;"!r"&amp;Z242)),IF($C242="","",INDIRECT("'"&amp;$D$2&amp;"'"&amp;"!r"&amp;Z242)))</f>
        <v/>
      </c>
      <c r="N242" s="113" t="str">
        <f t="shared" ca="1" si="23"/>
        <v/>
      </c>
      <c r="O242" s="113" t="str" cm="1">
        <f t="array" aca="1" ref="O242" ca="1">IFERROR(IF($C242="","",INDIRECT($D$2&amp;"!t"&amp;Z242)),IF($C242="","",INDIRECT("'"&amp;$D$2&amp;"'"&amp;"!t"&amp;Z242)))</f>
        <v/>
      </c>
      <c r="Q242" s="113" t="str" cm="1">
        <f t="array" aca="1" ref="Q242" ca="1">IFERROR(IF($C242="","",INDIRECT($D$2&amp;"!v"&amp;Z242)),IF($C242="","",INDIRECT("'"&amp;$D$2&amp;"'"&amp;"!v"&amp;Z242)))</f>
        <v/>
      </c>
      <c r="R242" s="113" t="str">
        <f t="shared" ca="1" si="24"/>
        <v/>
      </c>
      <c r="S242" s="113" t="str" cm="1">
        <f t="array" aca="1" ref="S242" ca="1">IFERROR(IF($C242="","",INDIRECT($D$2&amp;"!x"&amp;Z242)),IF($C242="","",INDIRECT("'"&amp;$D$2&amp;"'"&amp;"!x"&amp;Z242)))</f>
        <v/>
      </c>
      <c r="U242" s="113" t="str" cm="1">
        <f t="array" aca="1" ref="U242" ca="1">IFERROR(IF($C242="","",INDIRECT($D$2&amp;"!z"&amp;Z242)),IF($C242="","",INDIRECT("'"&amp;$D$2&amp;"'"&amp;"!z"&amp;Z242)))</f>
        <v/>
      </c>
      <c r="V242" s="113" t="str">
        <f t="shared" ca="1" si="25"/>
        <v/>
      </c>
      <c r="W242" s="113" t="str" cm="1">
        <f t="array" aca="1" ref="W242" ca="1">IFERROR(IF($C242="","",INDIRECT($D$2&amp;"!ab"&amp;Z242)),IF($C242="","",INDIRECT("'"&amp;$D$2&amp;"'"&amp;"!ab"&amp;Z242)))</f>
        <v/>
      </c>
      <c r="X242" s="113"/>
      <c r="Y242" s="113" t="str">
        <f t="shared" ca="1" si="26"/>
        <v/>
      </c>
      <c r="Z242" s="35">
        <v>231</v>
      </c>
      <c r="AA242" s="113"/>
      <c r="AB242" s="35">
        <v>231</v>
      </c>
    </row>
    <row r="243" spans="3:28" x14ac:dyDescent="0.25">
      <c r="C243" t="str" cm="1">
        <f t="array" aca="1" ref="C243" ca="1">IFERROR(IF(INDIRECT($D$2&amp;"!B"&amp;Z243)="","",INDIRECT("'"&amp;$D$2&amp;"'"&amp;"!B"&amp;Z243)),IF(INDIRECT("'"&amp;$D$2&amp;"'"&amp;"!B"&amp;Z243)="","",INDIRECT("'"&amp;$D$2&amp;"'"&amp;"!B"&amp;Z243)))</f>
        <v/>
      </c>
      <c r="D243" t="str" cm="1">
        <f t="array" aca="1" ref="D243" ca="1">IFERROR(_xlfn.IFS(C243="","",C243&lt;&gt;"",INDEX(SF_Output!I:I,MATCH(C243,SF_Output!M:M,0))),IFERROR(INDEX(INDIRECT($D$2&amp;"!G:G"),MATCH(C243,INDIRECT($D$2&amp;"!B:B"),0)),INDEX(INDIRECT("'"&amp;$D$2&amp;"'!G:G"),MATCH(C243,INDIRECT("'"&amp;$D$2&amp;"'!B:B"),0))))</f>
        <v/>
      </c>
      <c r="E243" t="str" cm="1">
        <f t="array" aca="1" ref="E243" ca="1">IFERROR(IF(C243="","",INDIRECT($D$2&amp;"!F"&amp;Z243)),IF(C243="","",INDIRECT("'"&amp;$D$2&amp;"'"&amp;"!F"&amp;Z243)))</f>
        <v/>
      </c>
      <c r="F243" t="str" cm="1">
        <f t="array" aca="1" ref="F243" ca="1">IFERROR(IF(C243="","",INDIRECT($D$2&amp;"!ak"&amp;Z243)),IF(C243="","",INDIRECT("'"&amp;$D$2&amp;"'"&amp;"!ak"&amp;Z243)))</f>
        <v/>
      </c>
      <c r="G243" t="str" cm="1">
        <f t="array" aca="1" ref="G243" ca="1">IFERROR(INDIRECT($D$2&amp;"!h"&amp;Z243),INDIRECT("'"&amp;$D$2&amp;"'"&amp;"!h"&amp;Z243))</f>
        <v/>
      </c>
      <c r="H243" s="125" t="str" cm="1">
        <f t="array" aca="1" ref="H243" ca="1">IFERROR(INDIRECT($D$2&amp;"!i"&amp;Z243),INDIRECT("'"&amp;$D$2&amp;"'"&amp;"!i"&amp;Z243))</f>
        <v/>
      </c>
      <c r="I243" s="113" t="str" cm="1">
        <f t="array" aca="1" ref="I243" ca="1">IFERROR(IF($C243="","",INDIRECT($D$2&amp;"!j"&amp;$Z243)+INDIRECT($D$2&amp;"!n"&amp;$Z243)),IF($C243="","",INDIRECT("'"&amp;$D$2&amp;"'"&amp;"!j"&amp;$Z243)+INDIRECT("'"&amp;$D$2&amp;"'"&amp;"!n"&amp;$Z243)))</f>
        <v/>
      </c>
      <c r="J243" s="113" t="str">
        <f t="shared" ca="1" si="22"/>
        <v/>
      </c>
      <c r="K243" s="113" t="str" cm="1">
        <f t="array" aca="1" ref="K243" ca="1">IFERROR(IF($C243="","",INDIRECT($D$2&amp;"!l"&amp;$Z243)+INDIRECT($D$2&amp;"!p"&amp;$Z243)),IF($C243="","",INDIRECT("'"&amp;$D$2&amp;"'"&amp;"!l"&amp;$Z243)+INDIRECT("'"&amp;$D$2&amp;"'"&amp;"!p"&amp;$Z243)))</f>
        <v/>
      </c>
      <c r="M243" s="113" t="str" cm="1">
        <f t="array" aca="1" ref="M243" ca="1">IFERROR(IF($C243="","",INDIRECT($D$2&amp;"!r"&amp;Z243)),IF($C243="","",INDIRECT("'"&amp;$D$2&amp;"'"&amp;"!r"&amp;Z243)))</f>
        <v/>
      </c>
      <c r="N243" s="113" t="str">
        <f t="shared" ca="1" si="23"/>
        <v/>
      </c>
      <c r="O243" s="113" t="str" cm="1">
        <f t="array" aca="1" ref="O243" ca="1">IFERROR(IF($C243="","",INDIRECT($D$2&amp;"!t"&amp;Z243)),IF($C243="","",INDIRECT("'"&amp;$D$2&amp;"'"&amp;"!t"&amp;Z243)))</f>
        <v/>
      </c>
      <c r="Q243" s="113" t="str" cm="1">
        <f t="array" aca="1" ref="Q243" ca="1">IFERROR(IF($C243="","",INDIRECT($D$2&amp;"!v"&amp;Z243)),IF($C243="","",INDIRECT("'"&amp;$D$2&amp;"'"&amp;"!v"&amp;Z243)))</f>
        <v/>
      </c>
      <c r="R243" s="113" t="str">
        <f t="shared" ca="1" si="24"/>
        <v/>
      </c>
      <c r="S243" s="113" t="str" cm="1">
        <f t="array" aca="1" ref="S243" ca="1">IFERROR(IF($C243="","",INDIRECT($D$2&amp;"!x"&amp;Z243)),IF($C243="","",INDIRECT("'"&amp;$D$2&amp;"'"&amp;"!x"&amp;Z243)))</f>
        <v/>
      </c>
      <c r="U243" s="113" t="str" cm="1">
        <f t="array" aca="1" ref="U243" ca="1">IFERROR(IF($C243="","",INDIRECT($D$2&amp;"!z"&amp;Z243)),IF($C243="","",INDIRECT("'"&amp;$D$2&amp;"'"&amp;"!z"&amp;Z243)))</f>
        <v/>
      </c>
      <c r="V243" s="113" t="str">
        <f t="shared" ca="1" si="25"/>
        <v/>
      </c>
      <c r="W243" s="113" t="str" cm="1">
        <f t="array" aca="1" ref="W243" ca="1">IFERROR(IF($C243="","",INDIRECT($D$2&amp;"!ab"&amp;Z243)),IF($C243="","",INDIRECT("'"&amp;$D$2&amp;"'"&amp;"!ab"&amp;Z243)))</f>
        <v/>
      </c>
      <c r="X243" s="113"/>
      <c r="Y243" s="113" t="str">
        <f t="shared" ca="1" si="26"/>
        <v/>
      </c>
      <c r="Z243" s="35">
        <v>232</v>
      </c>
      <c r="AA243" s="113"/>
      <c r="AB243" s="35">
        <v>232</v>
      </c>
    </row>
    <row r="244" spans="3:28" x14ac:dyDescent="0.25">
      <c r="C244" t="str" cm="1">
        <f t="array" aca="1" ref="C244" ca="1">IFERROR(IF(INDIRECT($D$2&amp;"!B"&amp;Z244)="","",INDIRECT("'"&amp;$D$2&amp;"'"&amp;"!B"&amp;Z244)),IF(INDIRECT("'"&amp;$D$2&amp;"'"&amp;"!B"&amp;Z244)="","",INDIRECT("'"&amp;$D$2&amp;"'"&amp;"!B"&amp;Z244)))</f>
        <v/>
      </c>
      <c r="D244" t="str" cm="1">
        <f t="array" aca="1" ref="D244" ca="1">IFERROR(_xlfn.IFS(C244="","",C244&lt;&gt;"",INDEX(SF_Output!I:I,MATCH(C244,SF_Output!M:M,0))),IFERROR(INDEX(INDIRECT($D$2&amp;"!G:G"),MATCH(C244,INDIRECT($D$2&amp;"!B:B"),0)),INDEX(INDIRECT("'"&amp;$D$2&amp;"'!G:G"),MATCH(C244,INDIRECT("'"&amp;$D$2&amp;"'!B:B"),0))))</f>
        <v/>
      </c>
      <c r="E244" t="str" cm="1">
        <f t="array" aca="1" ref="E244" ca="1">IFERROR(IF(C244="","",INDIRECT($D$2&amp;"!F"&amp;Z244)),IF(C244="","",INDIRECT("'"&amp;$D$2&amp;"'"&amp;"!F"&amp;Z244)))</f>
        <v/>
      </c>
      <c r="F244" t="str" cm="1">
        <f t="array" aca="1" ref="F244" ca="1">IFERROR(IF(C244="","",INDIRECT($D$2&amp;"!ak"&amp;Z244)),IF(C244="","",INDIRECT("'"&amp;$D$2&amp;"'"&amp;"!ak"&amp;Z244)))</f>
        <v/>
      </c>
      <c r="G244" t="str" cm="1">
        <f t="array" aca="1" ref="G244" ca="1">IFERROR(INDIRECT($D$2&amp;"!h"&amp;Z244),INDIRECT("'"&amp;$D$2&amp;"'"&amp;"!h"&amp;Z244))</f>
        <v/>
      </c>
      <c r="H244" s="125" t="str" cm="1">
        <f t="array" aca="1" ref="H244" ca="1">IFERROR(INDIRECT($D$2&amp;"!i"&amp;Z244),INDIRECT("'"&amp;$D$2&amp;"'"&amp;"!i"&amp;Z244))</f>
        <v/>
      </c>
      <c r="I244" s="113" t="str" cm="1">
        <f t="array" aca="1" ref="I244" ca="1">IFERROR(IF($C244="","",INDIRECT($D$2&amp;"!j"&amp;$Z244)+INDIRECT($D$2&amp;"!n"&amp;$Z244)),IF($C244="","",INDIRECT("'"&amp;$D$2&amp;"'"&amp;"!j"&amp;$Z244)+INDIRECT("'"&amp;$D$2&amp;"'"&amp;"!n"&amp;$Z244)))</f>
        <v/>
      </c>
      <c r="J244" s="113" t="str">
        <f t="shared" ca="1" si="22"/>
        <v/>
      </c>
      <c r="K244" s="113" t="str" cm="1">
        <f t="array" aca="1" ref="K244" ca="1">IFERROR(IF($C244="","",INDIRECT($D$2&amp;"!l"&amp;$Z244)+INDIRECT($D$2&amp;"!p"&amp;$Z244)),IF($C244="","",INDIRECT("'"&amp;$D$2&amp;"'"&amp;"!l"&amp;$Z244)+INDIRECT("'"&amp;$D$2&amp;"'"&amp;"!p"&amp;$Z244)))</f>
        <v/>
      </c>
      <c r="M244" s="113" t="str" cm="1">
        <f t="array" aca="1" ref="M244" ca="1">IFERROR(IF($C244="","",INDIRECT($D$2&amp;"!r"&amp;Z244)),IF($C244="","",INDIRECT("'"&amp;$D$2&amp;"'"&amp;"!r"&amp;Z244)))</f>
        <v/>
      </c>
      <c r="N244" s="113" t="str">
        <f t="shared" ca="1" si="23"/>
        <v/>
      </c>
      <c r="O244" s="113" t="str" cm="1">
        <f t="array" aca="1" ref="O244" ca="1">IFERROR(IF($C244="","",INDIRECT($D$2&amp;"!t"&amp;Z244)),IF($C244="","",INDIRECT("'"&amp;$D$2&amp;"'"&amp;"!t"&amp;Z244)))</f>
        <v/>
      </c>
      <c r="Q244" s="113" t="str" cm="1">
        <f t="array" aca="1" ref="Q244" ca="1">IFERROR(IF($C244="","",INDIRECT($D$2&amp;"!v"&amp;Z244)),IF($C244="","",INDIRECT("'"&amp;$D$2&amp;"'"&amp;"!v"&amp;Z244)))</f>
        <v/>
      </c>
      <c r="R244" s="113" t="str">
        <f t="shared" ca="1" si="24"/>
        <v/>
      </c>
      <c r="S244" s="113" t="str" cm="1">
        <f t="array" aca="1" ref="S244" ca="1">IFERROR(IF($C244="","",INDIRECT($D$2&amp;"!x"&amp;Z244)),IF($C244="","",INDIRECT("'"&amp;$D$2&amp;"'"&amp;"!x"&amp;Z244)))</f>
        <v/>
      </c>
      <c r="U244" s="113" t="str" cm="1">
        <f t="array" aca="1" ref="U244" ca="1">IFERROR(IF($C244="","",INDIRECT($D$2&amp;"!z"&amp;Z244)),IF($C244="","",INDIRECT("'"&amp;$D$2&amp;"'"&amp;"!z"&amp;Z244)))</f>
        <v/>
      </c>
      <c r="V244" s="113" t="str">
        <f t="shared" ca="1" si="25"/>
        <v/>
      </c>
      <c r="W244" s="113" t="str" cm="1">
        <f t="array" aca="1" ref="W244" ca="1">IFERROR(IF($C244="","",INDIRECT($D$2&amp;"!ab"&amp;Z244)),IF($C244="","",INDIRECT("'"&amp;$D$2&amp;"'"&amp;"!ab"&amp;Z244)))</f>
        <v/>
      </c>
      <c r="X244" s="113"/>
      <c r="Y244" s="113" t="str">
        <f t="shared" ca="1" si="26"/>
        <v/>
      </c>
      <c r="Z244" s="35">
        <v>233</v>
      </c>
      <c r="AA244" s="113"/>
      <c r="AB244" s="35">
        <v>233</v>
      </c>
    </row>
    <row r="245" spans="3:28" x14ac:dyDescent="0.25">
      <c r="C245" t="str" cm="1">
        <f t="array" aca="1" ref="C245" ca="1">IFERROR(IF(INDIRECT($D$2&amp;"!B"&amp;Z245)="","",INDIRECT("'"&amp;$D$2&amp;"'"&amp;"!B"&amp;Z245)),IF(INDIRECT("'"&amp;$D$2&amp;"'"&amp;"!B"&amp;Z245)="","",INDIRECT("'"&amp;$D$2&amp;"'"&amp;"!B"&amp;Z245)))</f>
        <v/>
      </c>
      <c r="D245" t="str" cm="1">
        <f t="array" aca="1" ref="D245" ca="1">IFERROR(_xlfn.IFS(C245="","",C245&lt;&gt;"",INDEX(SF_Output!I:I,MATCH(C245,SF_Output!M:M,0))),IFERROR(INDEX(INDIRECT($D$2&amp;"!G:G"),MATCH(C245,INDIRECT($D$2&amp;"!B:B"),0)),INDEX(INDIRECT("'"&amp;$D$2&amp;"'!G:G"),MATCH(C245,INDIRECT("'"&amp;$D$2&amp;"'!B:B"),0))))</f>
        <v/>
      </c>
      <c r="E245" t="str" cm="1">
        <f t="array" aca="1" ref="E245" ca="1">IFERROR(IF(C245="","",INDIRECT($D$2&amp;"!F"&amp;Z245)),IF(C245="","",INDIRECT("'"&amp;$D$2&amp;"'"&amp;"!F"&amp;Z245)))</f>
        <v/>
      </c>
      <c r="F245" t="str" cm="1">
        <f t="array" aca="1" ref="F245" ca="1">IFERROR(IF(C245="","",INDIRECT($D$2&amp;"!ak"&amp;Z245)),IF(C245="","",INDIRECT("'"&amp;$D$2&amp;"'"&amp;"!ak"&amp;Z245)))</f>
        <v/>
      </c>
      <c r="G245" t="str" cm="1">
        <f t="array" aca="1" ref="G245" ca="1">IFERROR(INDIRECT($D$2&amp;"!h"&amp;Z245),INDIRECT("'"&amp;$D$2&amp;"'"&amp;"!h"&amp;Z245))</f>
        <v/>
      </c>
      <c r="H245" s="125" t="str" cm="1">
        <f t="array" aca="1" ref="H245" ca="1">IFERROR(INDIRECT($D$2&amp;"!i"&amp;Z245),INDIRECT("'"&amp;$D$2&amp;"'"&amp;"!i"&amp;Z245))</f>
        <v/>
      </c>
      <c r="I245" s="113" t="str" cm="1">
        <f t="array" aca="1" ref="I245" ca="1">IFERROR(IF($C245="","",INDIRECT($D$2&amp;"!j"&amp;$Z245)+INDIRECT($D$2&amp;"!n"&amp;$Z245)),IF($C245="","",INDIRECT("'"&amp;$D$2&amp;"'"&amp;"!j"&amp;$Z245)+INDIRECT("'"&amp;$D$2&amp;"'"&amp;"!n"&amp;$Z245)))</f>
        <v/>
      </c>
      <c r="J245" s="113" t="str">
        <f t="shared" ca="1" si="22"/>
        <v/>
      </c>
      <c r="K245" s="113" t="str" cm="1">
        <f t="array" aca="1" ref="K245" ca="1">IFERROR(IF($C245="","",INDIRECT($D$2&amp;"!l"&amp;$Z245)+INDIRECT($D$2&amp;"!p"&amp;$Z245)),IF($C245="","",INDIRECT("'"&amp;$D$2&amp;"'"&amp;"!l"&amp;$Z245)+INDIRECT("'"&amp;$D$2&amp;"'"&amp;"!p"&amp;$Z245)))</f>
        <v/>
      </c>
      <c r="M245" s="113" t="str" cm="1">
        <f t="array" aca="1" ref="M245" ca="1">IFERROR(IF($C245="","",INDIRECT($D$2&amp;"!r"&amp;Z245)),IF($C245="","",INDIRECT("'"&amp;$D$2&amp;"'"&amp;"!r"&amp;Z245)))</f>
        <v/>
      </c>
      <c r="N245" s="113" t="str">
        <f t="shared" ca="1" si="23"/>
        <v/>
      </c>
      <c r="O245" s="113" t="str" cm="1">
        <f t="array" aca="1" ref="O245" ca="1">IFERROR(IF($C245="","",INDIRECT($D$2&amp;"!t"&amp;Z245)),IF($C245="","",INDIRECT("'"&amp;$D$2&amp;"'"&amp;"!t"&amp;Z245)))</f>
        <v/>
      </c>
      <c r="Q245" s="113" t="str" cm="1">
        <f t="array" aca="1" ref="Q245" ca="1">IFERROR(IF($C245="","",INDIRECT($D$2&amp;"!v"&amp;Z245)),IF($C245="","",INDIRECT("'"&amp;$D$2&amp;"'"&amp;"!v"&amp;Z245)))</f>
        <v/>
      </c>
      <c r="R245" s="113" t="str">
        <f t="shared" ca="1" si="24"/>
        <v/>
      </c>
      <c r="S245" s="113" t="str" cm="1">
        <f t="array" aca="1" ref="S245" ca="1">IFERROR(IF($C245="","",INDIRECT($D$2&amp;"!x"&amp;Z245)),IF($C245="","",INDIRECT("'"&amp;$D$2&amp;"'"&amp;"!x"&amp;Z245)))</f>
        <v/>
      </c>
      <c r="U245" s="113" t="str" cm="1">
        <f t="array" aca="1" ref="U245" ca="1">IFERROR(IF($C245="","",INDIRECT($D$2&amp;"!z"&amp;Z245)),IF($C245="","",INDIRECT("'"&amp;$D$2&amp;"'"&amp;"!z"&amp;Z245)))</f>
        <v/>
      </c>
      <c r="V245" s="113" t="str">
        <f t="shared" ca="1" si="25"/>
        <v/>
      </c>
      <c r="W245" s="113" t="str" cm="1">
        <f t="array" aca="1" ref="W245" ca="1">IFERROR(IF($C245="","",INDIRECT($D$2&amp;"!ab"&amp;Z245)),IF($C245="","",INDIRECT("'"&amp;$D$2&amp;"'"&amp;"!ab"&amp;Z245)))</f>
        <v/>
      </c>
      <c r="X245" s="113"/>
      <c r="Y245" s="113" t="str">
        <f t="shared" ca="1" si="26"/>
        <v/>
      </c>
      <c r="Z245" s="35">
        <v>234</v>
      </c>
      <c r="AA245" s="113"/>
      <c r="AB245" s="35">
        <v>234</v>
      </c>
    </row>
    <row r="246" spans="3:28" x14ac:dyDescent="0.25">
      <c r="C246" t="str" cm="1">
        <f t="array" aca="1" ref="C246" ca="1">IFERROR(IF(INDIRECT($D$2&amp;"!B"&amp;Z246)="","",INDIRECT("'"&amp;$D$2&amp;"'"&amp;"!B"&amp;Z246)),IF(INDIRECT("'"&amp;$D$2&amp;"'"&amp;"!B"&amp;Z246)="","",INDIRECT("'"&amp;$D$2&amp;"'"&amp;"!B"&amp;Z246)))</f>
        <v/>
      </c>
      <c r="D246" t="str" cm="1">
        <f t="array" aca="1" ref="D246" ca="1">IFERROR(_xlfn.IFS(C246="","",C246&lt;&gt;"",INDEX(SF_Output!I:I,MATCH(C246,SF_Output!M:M,0))),IFERROR(INDEX(INDIRECT($D$2&amp;"!G:G"),MATCH(C246,INDIRECT($D$2&amp;"!B:B"),0)),INDEX(INDIRECT("'"&amp;$D$2&amp;"'!G:G"),MATCH(C246,INDIRECT("'"&amp;$D$2&amp;"'!B:B"),0))))</f>
        <v/>
      </c>
      <c r="E246" t="str" cm="1">
        <f t="array" aca="1" ref="E246" ca="1">IFERROR(IF(C246="","",INDIRECT($D$2&amp;"!F"&amp;Z246)),IF(C246="","",INDIRECT("'"&amp;$D$2&amp;"'"&amp;"!F"&amp;Z246)))</f>
        <v/>
      </c>
      <c r="F246" t="str" cm="1">
        <f t="array" aca="1" ref="F246" ca="1">IFERROR(IF(C246="","",INDIRECT($D$2&amp;"!ak"&amp;Z246)),IF(C246="","",INDIRECT("'"&amp;$D$2&amp;"'"&amp;"!ak"&amp;Z246)))</f>
        <v/>
      </c>
      <c r="G246" t="str" cm="1">
        <f t="array" aca="1" ref="G246" ca="1">IFERROR(INDIRECT($D$2&amp;"!h"&amp;Z246),INDIRECT("'"&amp;$D$2&amp;"'"&amp;"!h"&amp;Z246))</f>
        <v/>
      </c>
      <c r="H246" s="125" t="str" cm="1">
        <f t="array" aca="1" ref="H246" ca="1">IFERROR(INDIRECT($D$2&amp;"!i"&amp;Z246),INDIRECT("'"&amp;$D$2&amp;"'"&amp;"!i"&amp;Z246))</f>
        <v/>
      </c>
      <c r="I246" s="113" t="str" cm="1">
        <f t="array" aca="1" ref="I246" ca="1">IFERROR(IF($C246="","",INDIRECT($D$2&amp;"!j"&amp;$Z246)+INDIRECT($D$2&amp;"!n"&amp;$Z246)),IF($C246="","",INDIRECT("'"&amp;$D$2&amp;"'"&amp;"!j"&amp;$Z246)+INDIRECT("'"&amp;$D$2&amp;"'"&amp;"!n"&amp;$Z246)))</f>
        <v/>
      </c>
      <c r="J246" s="113" t="str">
        <f t="shared" ca="1" si="22"/>
        <v/>
      </c>
      <c r="K246" s="113" t="str" cm="1">
        <f t="array" aca="1" ref="K246" ca="1">IFERROR(IF($C246="","",INDIRECT($D$2&amp;"!l"&amp;$Z246)+INDIRECT($D$2&amp;"!p"&amp;$Z246)),IF($C246="","",INDIRECT("'"&amp;$D$2&amp;"'"&amp;"!l"&amp;$Z246)+INDIRECT("'"&amp;$D$2&amp;"'"&amp;"!p"&amp;$Z246)))</f>
        <v/>
      </c>
      <c r="M246" s="113" t="str" cm="1">
        <f t="array" aca="1" ref="M246" ca="1">IFERROR(IF($C246="","",INDIRECT($D$2&amp;"!r"&amp;Z246)),IF($C246="","",INDIRECT("'"&amp;$D$2&amp;"'"&amp;"!r"&amp;Z246)))</f>
        <v/>
      </c>
      <c r="N246" s="113" t="str">
        <f t="shared" ca="1" si="23"/>
        <v/>
      </c>
      <c r="O246" s="113" t="str" cm="1">
        <f t="array" aca="1" ref="O246" ca="1">IFERROR(IF($C246="","",INDIRECT($D$2&amp;"!t"&amp;Z246)),IF($C246="","",INDIRECT("'"&amp;$D$2&amp;"'"&amp;"!t"&amp;Z246)))</f>
        <v/>
      </c>
      <c r="Q246" s="113" t="str" cm="1">
        <f t="array" aca="1" ref="Q246" ca="1">IFERROR(IF($C246="","",INDIRECT($D$2&amp;"!v"&amp;Z246)),IF($C246="","",INDIRECT("'"&amp;$D$2&amp;"'"&amp;"!v"&amp;Z246)))</f>
        <v/>
      </c>
      <c r="R246" s="113" t="str">
        <f t="shared" ca="1" si="24"/>
        <v/>
      </c>
      <c r="S246" s="113" t="str" cm="1">
        <f t="array" aca="1" ref="S246" ca="1">IFERROR(IF($C246="","",INDIRECT($D$2&amp;"!x"&amp;Z246)),IF($C246="","",INDIRECT("'"&amp;$D$2&amp;"'"&amp;"!x"&amp;Z246)))</f>
        <v/>
      </c>
      <c r="U246" s="113" t="str" cm="1">
        <f t="array" aca="1" ref="U246" ca="1">IFERROR(IF($C246="","",INDIRECT($D$2&amp;"!z"&amp;Z246)),IF($C246="","",INDIRECT("'"&amp;$D$2&amp;"'"&amp;"!z"&amp;Z246)))</f>
        <v/>
      </c>
      <c r="V246" s="113" t="str">
        <f t="shared" ca="1" si="25"/>
        <v/>
      </c>
      <c r="W246" s="113" t="str" cm="1">
        <f t="array" aca="1" ref="W246" ca="1">IFERROR(IF($C246="","",INDIRECT($D$2&amp;"!ab"&amp;Z246)),IF($C246="","",INDIRECT("'"&amp;$D$2&amp;"'"&amp;"!ab"&amp;Z246)))</f>
        <v/>
      </c>
      <c r="X246" s="113"/>
      <c r="Y246" s="113" t="str">
        <f t="shared" ca="1" si="26"/>
        <v/>
      </c>
      <c r="Z246" s="35">
        <v>235</v>
      </c>
      <c r="AA246" s="113"/>
      <c r="AB246" s="35">
        <v>235</v>
      </c>
    </row>
    <row r="247" spans="3:28" x14ac:dyDescent="0.25">
      <c r="C247" t="str" cm="1">
        <f t="array" aca="1" ref="C247" ca="1">IFERROR(IF(INDIRECT($D$2&amp;"!B"&amp;Z247)="","",INDIRECT("'"&amp;$D$2&amp;"'"&amp;"!B"&amp;Z247)),IF(INDIRECT("'"&amp;$D$2&amp;"'"&amp;"!B"&amp;Z247)="","",INDIRECT("'"&amp;$D$2&amp;"'"&amp;"!B"&amp;Z247)))</f>
        <v/>
      </c>
      <c r="D247" t="str" cm="1">
        <f t="array" aca="1" ref="D247" ca="1">IFERROR(_xlfn.IFS(C247="","",C247&lt;&gt;"",INDEX(SF_Output!I:I,MATCH(C247,SF_Output!M:M,0))),IFERROR(INDEX(INDIRECT($D$2&amp;"!G:G"),MATCH(C247,INDIRECT($D$2&amp;"!B:B"),0)),INDEX(INDIRECT("'"&amp;$D$2&amp;"'!G:G"),MATCH(C247,INDIRECT("'"&amp;$D$2&amp;"'!B:B"),0))))</f>
        <v/>
      </c>
      <c r="E247" t="str" cm="1">
        <f t="array" aca="1" ref="E247" ca="1">IFERROR(IF(C247="","",INDIRECT($D$2&amp;"!F"&amp;Z247)),IF(C247="","",INDIRECT("'"&amp;$D$2&amp;"'"&amp;"!F"&amp;Z247)))</f>
        <v/>
      </c>
      <c r="F247" t="str" cm="1">
        <f t="array" aca="1" ref="F247" ca="1">IFERROR(IF(C247="","",INDIRECT($D$2&amp;"!ak"&amp;Z247)),IF(C247="","",INDIRECT("'"&amp;$D$2&amp;"'"&amp;"!ak"&amp;Z247)))</f>
        <v/>
      </c>
      <c r="G247" t="str" cm="1">
        <f t="array" aca="1" ref="G247" ca="1">IFERROR(INDIRECT($D$2&amp;"!h"&amp;Z247),INDIRECT("'"&amp;$D$2&amp;"'"&amp;"!h"&amp;Z247))</f>
        <v/>
      </c>
      <c r="H247" s="125" t="str" cm="1">
        <f t="array" aca="1" ref="H247" ca="1">IFERROR(INDIRECT($D$2&amp;"!i"&amp;Z247),INDIRECT("'"&amp;$D$2&amp;"'"&amp;"!i"&amp;Z247))</f>
        <v/>
      </c>
      <c r="I247" s="113" t="str" cm="1">
        <f t="array" aca="1" ref="I247" ca="1">IFERROR(IF($C247="","",INDIRECT($D$2&amp;"!j"&amp;$Z247)+INDIRECT($D$2&amp;"!n"&amp;$Z247)),IF($C247="","",INDIRECT("'"&amp;$D$2&amp;"'"&amp;"!j"&amp;$Z247)+INDIRECT("'"&amp;$D$2&amp;"'"&amp;"!n"&amp;$Z247)))</f>
        <v/>
      </c>
      <c r="J247" s="113" t="str">
        <f t="shared" ca="1" si="22"/>
        <v/>
      </c>
      <c r="K247" s="113" t="str" cm="1">
        <f t="array" aca="1" ref="K247" ca="1">IFERROR(IF($C247="","",INDIRECT($D$2&amp;"!l"&amp;$Z247)+INDIRECT($D$2&amp;"!p"&amp;$Z247)),IF($C247="","",INDIRECT("'"&amp;$D$2&amp;"'"&amp;"!l"&amp;$Z247)+INDIRECT("'"&amp;$D$2&amp;"'"&amp;"!p"&amp;$Z247)))</f>
        <v/>
      </c>
      <c r="M247" s="113" t="str" cm="1">
        <f t="array" aca="1" ref="M247" ca="1">IFERROR(IF($C247="","",INDIRECT($D$2&amp;"!r"&amp;Z247)),IF($C247="","",INDIRECT("'"&amp;$D$2&amp;"'"&amp;"!r"&amp;Z247)))</f>
        <v/>
      </c>
      <c r="N247" s="113" t="str">
        <f t="shared" ca="1" si="23"/>
        <v/>
      </c>
      <c r="O247" s="113" t="str" cm="1">
        <f t="array" aca="1" ref="O247" ca="1">IFERROR(IF($C247="","",INDIRECT($D$2&amp;"!t"&amp;Z247)),IF($C247="","",INDIRECT("'"&amp;$D$2&amp;"'"&amp;"!t"&amp;Z247)))</f>
        <v/>
      </c>
      <c r="Q247" s="113" t="str" cm="1">
        <f t="array" aca="1" ref="Q247" ca="1">IFERROR(IF($C247="","",INDIRECT($D$2&amp;"!v"&amp;Z247)),IF($C247="","",INDIRECT("'"&amp;$D$2&amp;"'"&amp;"!v"&amp;Z247)))</f>
        <v/>
      </c>
      <c r="R247" s="113" t="str">
        <f t="shared" ca="1" si="24"/>
        <v/>
      </c>
      <c r="S247" s="113" t="str" cm="1">
        <f t="array" aca="1" ref="S247" ca="1">IFERROR(IF($C247="","",INDIRECT($D$2&amp;"!x"&amp;Z247)),IF($C247="","",INDIRECT("'"&amp;$D$2&amp;"'"&amp;"!x"&amp;Z247)))</f>
        <v/>
      </c>
      <c r="U247" s="113" t="str" cm="1">
        <f t="array" aca="1" ref="U247" ca="1">IFERROR(IF($C247="","",INDIRECT($D$2&amp;"!z"&amp;Z247)),IF($C247="","",INDIRECT("'"&amp;$D$2&amp;"'"&amp;"!z"&amp;Z247)))</f>
        <v/>
      </c>
      <c r="V247" s="113" t="str">
        <f t="shared" ca="1" si="25"/>
        <v/>
      </c>
      <c r="W247" s="113" t="str" cm="1">
        <f t="array" aca="1" ref="W247" ca="1">IFERROR(IF($C247="","",INDIRECT($D$2&amp;"!ab"&amp;Z247)),IF($C247="","",INDIRECT("'"&amp;$D$2&amp;"'"&amp;"!ab"&amp;Z247)))</f>
        <v/>
      </c>
      <c r="X247" s="113"/>
      <c r="Y247" s="113" t="str">
        <f t="shared" ca="1" si="26"/>
        <v/>
      </c>
      <c r="Z247" s="35">
        <v>236</v>
      </c>
      <c r="AA247" s="113"/>
      <c r="AB247" s="35">
        <v>236</v>
      </c>
    </row>
    <row r="248" spans="3:28" x14ac:dyDescent="0.25">
      <c r="C248" t="str" cm="1">
        <f t="array" aca="1" ref="C248" ca="1">IFERROR(IF(INDIRECT($D$2&amp;"!B"&amp;Z248)="","",INDIRECT("'"&amp;$D$2&amp;"'"&amp;"!B"&amp;Z248)),IF(INDIRECT("'"&amp;$D$2&amp;"'"&amp;"!B"&amp;Z248)="","",INDIRECT("'"&amp;$D$2&amp;"'"&amp;"!B"&amp;Z248)))</f>
        <v/>
      </c>
      <c r="D248" t="str" cm="1">
        <f t="array" aca="1" ref="D248" ca="1">IFERROR(_xlfn.IFS(C248="","",C248&lt;&gt;"",INDEX(SF_Output!I:I,MATCH(C248,SF_Output!M:M,0))),IFERROR(INDEX(INDIRECT($D$2&amp;"!G:G"),MATCH(C248,INDIRECT($D$2&amp;"!B:B"),0)),INDEX(INDIRECT("'"&amp;$D$2&amp;"'!G:G"),MATCH(C248,INDIRECT("'"&amp;$D$2&amp;"'!B:B"),0))))</f>
        <v/>
      </c>
      <c r="E248" t="str" cm="1">
        <f t="array" aca="1" ref="E248" ca="1">IFERROR(IF(C248="","",INDIRECT($D$2&amp;"!F"&amp;Z248)),IF(C248="","",INDIRECT("'"&amp;$D$2&amp;"'"&amp;"!F"&amp;Z248)))</f>
        <v/>
      </c>
      <c r="F248" t="str" cm="1">
        <f t="array" aca="1" ref="F248" ca="1">IFERROR(IF(C248="","",INDIRECT($D$2&amp;"!ak"&amp;Z248)),IF(C248="","",INDIRECT("'"&amp;$D$2&amp;"'"&amp;"!ak"&amp;Z248)))</f>
        <v/>
      </c>
      <c r="G248" t="str" cm="1">
        <f t="array" aca="1" ref="G248" ca="1">IFERROR(INDIRECT($D$2&amp;"!h"&amp;Z248),INDIRECT("'"&amp;$D$2&amp;"'"&amp;"!h"&amp;Z248))</f>
        <v/>
      </c>
      <c r="H248" s="125" t="str" cm="1">
        <f t="array" aca="1" ref="H248" ca="1">IFERROR(INDIRECT($D$2&amp;"!i"&amp;Z248),INDIRECT("'"&amp;$D$2&amp;"'"&amp;"!i"&amp;Z248))</f>
        <v/>
      </c>
      <c r="I248" s="113" t="str" cm="1">
        <f t="array" aca="1" ref="I248" ca="1">IFERROR(IF($C248="","",INDIRECT($D$2&amp;"!j"&amp;$Z248)+INDIRECT($D$2&amp;"!n"&amp;$Z248)),IF($C248="","",INDIRECT("'"&amp;$D$2&amp;"'"&amp;"!j"&amp;$Z248)+INDIRECT("'"&amp;$D$2&amp;"'"&amp;"!n"&amp;$Z248)))</f>
        <v/>
      </c>
      <c r="J248" s="113" t="str">
        <f t="shared" ca="1" si="22"/>
        <v/>
      </c>
      <c r="K248" s="113" t="str" cm="1">
        <f t="array" aca="1" ref="K248" ca="1">IFERROR(IF($C248="","",INDIRECT($D$2&amp;"!l"&amp;$Z248)+INDIRECT($D$2&amp;"!p"&amp;$Z248)),IF($C248="","",INDIRECT("'"&amp;$D$2&amp;"'"&amp;"!l"&amp;$Z248)+INDIRECT("'"&amp;$D$2&amp;"'"&amp;"!p"&amp;$Z248)))</f>
        <v/>
      </c>
      <c r="M248" s="113" t="str" cm="1">
        <f t="array" aca="1" ref="M248" ca="1">IFERROR(IF($C248="","",INDIRECT($D$2&amp;"!r"&amp;Z248)),IF($C248="","",INDIRECT("'"&amp;$D$2&amp;"'"&amp;"!r"&amp;Z248)))</f>
        <v/>
      </c>
      <c r="N248" s="113" t="str">
        <f t="shared" ca="1" si="23"/>
        <v/>
      </c>
      <c r="O248" s="113" t="str" cm="1">
        <f t="array" aca="1" ref="O248" ca="1">IFERROR(IF($C248="","",INDIRECT($D$2&amp;"!t"&amp;Z248)),IF($C248="","",INDIRECT("'"&amp;$D$2&amp;"'"&amp;"!t"&amp;Z248)))</f>
        <v/>
      </c>
      <c r="Q248" s="113" t="str" cm="1">
        <f t="array" aca="1" ref="Q248" ca="1">IFERROR(IF($C248="","",INDIRECT($D$2&amp;"!v"&amp;Z248)),IF($C248="","",INDIRECT("'"&amp;$D$2&amp;"'"&amp;"!v"&amp;Z248)))</f>
        <v/>
      </c>
      <c r="R248" s="113" t="str">
        <f t="shared" ca="1" si="24"/>
        <v/>
      </c>
      <c r="S248" s="113" t="str" cm="1">
        <f t="array" aca="1" ref="S248" ca="1">IFERROR(IF($C248="","",INDIRECT($D$2&amp;"!x"&amp;Z248)),IF($C248="","",INDIRECT("'"&amp;$D$2&amp;"'"&amp;"!x"&amp;Z248)))</f>
        <v/>
      </c>
      <c r="U248" s="113" t="str" cm="1">
        <f t="array" aca="1" ref="U248" ca="1">IFERROR(IF($C248="","",INDIRECT($D$2&amp;"!z"&amp;Z248)),IF($C248="","",INDIRECT("'"&amp;$D$2&amp;"'"&amp;"!z"&amp;Z248)))</f>
        <v/>
      </c>
      <c r="V248" s="113" t="str">
        <f t="shared" ca="1" si="25"/>
        <v/>
      </c>
      <c r="W248" s="113" t="str" cm="1">
        <f t="array" aca="1" ref="W248" ca="1">IFERROR(IF($C248="","",INDIRECT($D$2&amp;"!ab"&amp;Z248)),IF($C248="","",INDIRECT("'"&amp;$D$2&amp;"'"&amp;"!ab"&amp;Z248)))</f>
        <v/>
      </c>
      <c r="X248" s="113"/>
      <c r="Y248" s="113" t="str">
        <f t="shared" ca="1" si="26"/>
        <v/>
      </c>
      <c r="Z248" s="35">
        <v>237</v>
      </c>
      <c r="AA248" s="113"/>
      <c r="AB248" s="35">
        <v>237</v>
      </c>
    </row>
    <row r="249" spans="3:28" x14ac:dyDescent="0.25">
      <c r="C249" t="str" cm="1">
        <f t="array" aca="1" ref="C249" ca="1">IFERROR(IF(INDIRECT($D$2&amp;"!B"&amp;Z249)="","",INDIRECT("'"&amp;$D$2&amp;"'"&amp;"!B"&amp;Z249)),IF(INDIRECT("'"&amp;$D$2&amp;"'"&amp;"!B"&amp;Z249)="","",INDIRECT("'"&amp;$D$2&amp;"'"&amp;"!B"&amp;Z249)))</f>
        <v/>
      </c>
      <c r="D249" t="str" cm="1">
        <f t="array" aca="1" ref="D249" ca="1">IFERROR(_xlfn.IFS(C249="","",C249&lt;&gt;"",INDEX(SF_Output!I:I,MATCH(C249,SF_Output!M:M,0))),IFERROR(INDEX(INDIRECT($D$2&amp;"!G:G"),MATCH(C249,INDIRECT($D$2&amp;"!B:B"),0)),INDEX(INDIRECT("'"&amp;$D$2&amp;"'!G:G"),MATCH(C249,INDIRECT("'"&amp;$D$2&amp;"'!B:B"),0))))</f>
        <v/>
      </c>
      <c r="E249" t="str" cm="1">
        <f t="array" aca="1" ref="E249" ca="1">IFERROR(IF(C249="","",INDIRECT($D$2&amp;"!F"&amp;Z249)),IF(C249="","",INDIRECT("'"&amp;$D$2&amp;"'"&amp;"!F"&amp;Z249)))</f>
        <v/>
      </c>
      <c r="F249" t="str" cm="1">
        <f t="array" aca="1" ref="F249" ca="1">IFERROR(IF(C249="","",INDIRECT($D$2&amp;"!ak"&amp;Z249)),IF(C249="","",INDIRECT("'"&amp;$D$2&amp;"'"&amp;"!ak"&amp;Z249)))</f>
        <v/>
      </c>
      <c r="G249" t="str" cm="1">
        <f t="array" aca="1" ref="G249" ca="1">IFERROR(INDIRECT($D$2&amp;"!h"&amp;Z249),INDIRECT("'"&amp;$D$2&amp;"'"&amp;"!h"&amp;Z249))</f>
        <v/>
      </c>
      <c r="H249" s="125" t="str" cm="1">
        <f t="array" aca="1" ref="H249" ca="1">IFERROR(INDIRECT($D$2&amp;"!i"&amp;Z249),INDIRECT("'"&amp;$D$2&amp;"'"&amp;"!i"&amp;Z249))</f>
        <v/>
      </c>
      <c r="I249" s="113" t="str" cm="1">
        <f t="array" aca="1" ref="I249" ca="1">IFERROR(IF($C249="","",INDIRECT($D$2&amp;"!j"&amp;$Z249)+INDIRECT($D$2&amp;"!n"&amp;$Z249)),IF($C249="","",INDIRECT("'"&amp;$D$2&amp;"'"&amp;"!j"&amp;$Z249)+INDIRECT("'"&amp;$D$2&amp;"'"&amp;"!n"&amp;$Z249)))</f>
        <v/>
      </c>
      <c r="J249" s="113" t="str">
        <f t="shared" ca="1" si="22"/>
        <v/>
      </c>
      <c r="K249" s="113" t="str" cm="1">
        <f t="array" aca="1" ref="K249" ca="1">IFERROR(IF($C249="","",INDIRECT($D$2&amp;"!l"&amp;$Z249)+INDIRECT($D$2&amp;"!p"&amp;$Z249)),IF($C249="","",INDIRECT("'"&amp;$D$2&amp;"'"&amp;"!l"&amp;$Z249)+INDIRECT("'"&amp;$D$2&amp;"'"&amp;"!p"&amp;$Z249)))</f>
        <v/>
      </c>
      <c r="M249" s="113" t="str" cm="1">
        <f t="array" aca="1" ref="M249" ca="1">IFERROR(IF($C249="","",INDIRECT($D$2&amp;"!r"&amp;Z249)),IF($C249="","",INDIRECT("'"&amp;$D$2&amp;"'"&amp;"!r"&amp;Z249)))</f>
        <v/>
      </c>
      <c r="N249" s="113" t="str">
        <f t="shared" ca="1" si="23"/>
        <v/>
      </c>
      <c r="O249" s="113" t="str" cm="1">
        <f t="array" aca="1" ref="O249" ca="1">IFERROR(IF($C249="","",INDIRECT($D$2&amp;"!t"&amp;Z249)),IF($C249="","",INDIRECT("'"&amp;$D$2&amp;"'"&amp;"!t"&amp;Z249)))</f>
        <v/>
      </c>
      <c r="Q249" s="113" t="str" cm="1">
        <f t="array" aca="1" ref="Q249" ca="1">IFERROR(IF($C249="","",INDIRECT($D$2&amp;"!v"&amp;Z249)),IF($C249="","",INDIRECT("'"&amp;$D$2&amp;"'"&amp;"!v"&amp;Z249)))</f>
        <v/>
      </c>
      <c r="R249" s="113" t="str">
        <f t="shared" ca="1" si="24"/>
        <v/>
      </c>
      <c r="S249" s="113" t="str" cm="1">
        <f t="array" aca="1" ref="S249" ca="1">IFERROR(IF($C249="","",INDIRECT($D$2&amp;"!x"&amp;Z249)),IF($C249="","",INDIRECT("'"&amp;$D$2&amp;"'"&amp;"!x"&amp;Z249)))</f>
        <v/>
      </c>
      <c r="U249" s="113" t="str" cm="1">
        <f t="array" aca="1" ref="U249" ca="1">IFERROR(IF($C249="","",INDIRECT($D$2&amp;"!z"&amp;Z249)),IF($C249="","",INDIRECT("'"&amp;$D$2&amp;"'"&amp;"!z"&amp;Z249)))</f>
        <v/>
      </c>
      <c r="V249" s="113" t="str">
        <f t="shared" ca="1" si="25"/>
        <v/>
      </c>
      <c r="W249" s="113" t="str" cm="1">
        <f t="array" aca="1" ref="W249" ca="1">IFERROR(IF($C249="","",INDIRECT($D$2&amp;"!ab"&amp;Z249)),IF($C249="","",INDIRECT("'"&amp;$D$2&amp;"'"&amp;"!ab"&amp;Z249)))</f>
        <v/>
      </c>
      <c r="X249" s="113"/>
      <c r="Y249" s="113" t="str">
        <f t="shared" ca="1" si="26"/>
        <v/>
      </c>
      <c r="Z249" s="35">
        <v>238</v>
      </c>
      <c r="AA249" s="113"/>
      <c r="AB249" s="35">
        <v>238</v>
      </c>
    </row>
    <row r="250" spans="3:28" x14ac:dyDescent="0.25">
      <c r="C250" t="str" cm="1">
        <f t="array" aca="1" ref="C250" ca="1">IFERROR(IF(INDIRECT($D$2&amp;"!B"&amp;Z250)="","",INDIRECT("'"&amp;$D$2&amp;"'"&amp;"!B"&amp;Z250)),IF(INDIRECT("'"&amp;$D$2&amp;"'"&amp;"!B"&amp;Z250)="","",INDIRECT("'"&amp;$D$2&amp;"'"&amp;"!B"&amp;Z250)))</f>
        <v/>
      </c>
      <c r="D250" t="str" cm="1">
        <f t="array" aca="1" ref="D250" ca="1">IFERROR(_xlfn.IFS(C250="","",C250&lt;&gt;"",INDEX(SF_Output!I:I,MATCH(C250,SF_Output!M:M,0))),IFERROR(INDEX(INDIRECT($D$2&amp;"!G:G"),MATCH(C250,INDIRECT($D$2&amp;"!B:B"),0)),INDEX(INDIRECT("'"&amp;$D$2&amp;"'!G:G"),MATCH(C250,INDIRECT("'"&amp;$D$2&amp;"'!B:B"),0))))</f>
        <v/>
      </c>
      <c r="E250" t="str" cm="1">
        <f t="array" aca="1" ref="E250" ca="1">IFERROR(IF(C250="","",INDIRECT($D$2&amp;"!F"&amp;Z250)),IF(C250="","",INDIRECT("'"&amp;$D$2&amp;"'"&amp;"!F"&amp;Z250)))</f>
        <v/>
      </c>
      <c r="F250" t="str" cm="1">
        <f t="array" aca="1" ref="F250" ca="1">IFERROR(IF(C250="","",INDIRECT($D$2&amp;"!ak"&amp;Z250)),IF(C250="","",INDIRECT("'"&amp;$D$2&amp;"'"&amp;"!ak"&amp;Z250)))</f>
        <v/>
      </c>
      <c r="G250" t="str" cm="1">
        <f t="array" aca="1" ref="G250" ca="1">IFERROR(INDIRECT($D$2&amp;"!h"&amp;Z250),INDIRECT("'"&amp;$D$2&amp;"'"&amp;"!h"&amp;Z250))</f>
        <v/>
      </c>
      <c r="H250" s="125" t="str" cm="1">
        <f t="array" aca="1" ref="H250" ca="1">IFERROR(INDIRECT($D$2&amp;"!i"&amp;Z250),INDIRECT("'"&amp;$D$2&amp;"'"&amp;"!i"&amp;Z250))</f>
        <v/>
      </c>
      <c r="I250" s="113" t="str" cm="1">
        <f t="array" aca="1" ref="I250" ca="1">IFERROR(IF($C250="","",INDIRECT($D$2&amp;"!j"&amp;$Z250)+INDIRECT($D$2&amp;"!n"&amp;$Z250)),IF($C250="","",INDIRECT("'"&amp;$D$2&amp;"'"&amp;"!j"&amp;$Z250)+INDIRECT("'"&amp;$D$2&amp;"'"&amp;"!n"&amp;$Z250)))</f>
        <v/>
      </c>
      <c r="J250" s="113" t="str">
        <f t="shared" ca="1" si="22"/>
        <v/>
      </c>
      <c r="K250" s="113" t="str" cm="1">
        <f t="array" aca="1" ref="K250" ca="1">IFERROR(IF($C250="","",INDIRECT($D$2&amp;"!l"&amp;$Z250)+INDIRECT($D$2&amp;"!p"&amp;$Z250)),IF($C250="","",INDIRECT("'"&amp;$D$2&amp;"'"&amp;"!l"&amp;$Z250)+INDIRECT("'"&amp;$D$2&amp;"'"&amp;"!p"&amp;$Z250)))</f>
        <v/>
      </c>
      <c r="M250" s="113" t="str" cm="1">
        <f t="array" aca="1" ref="M250" ca="1">IFERROR(IF($C250="","",INDIRECT($D$2&amp;"!r"&amp;Z250)),IF($C250="","",INDIRECT("'"&amp;$D$2&amp;"'"&amp;"!r"&amp;Z250)))</f>
        <v/>
      </c>
      <c r="N250" s="113" t="str">
        <f t="shared" ca="1" si="23"/>
        <v/>
      </c>
      <c r="O250" s="113" t="str" cm="1">
        <f t="array" aca="1" ref="O250" ca="1">IFERROR(IF($C250="","",INDIRECT($D$2&amp;"!t"&amp;Z250)),IF($C250="","",INDIRECT("'"&amp;$D$2&amp;"'"&amp;"!t"&amp;Z250)))</f>
        <v/>
      </c>
      <c r="Q250" s="113" t="str" cm="1">
        <f t="array" aca="1" ref="Q250" ca="1">IFERROR(IF($C250="","",INDIRECT($D$2&amp;"!v"&amp;Z250)),IF($C250="","",INDIRECT("'"&amp;$D$2&amp;"'"&amp;"!v"&amp;Z250)))</f>
        <v/>
      </c>
      <c r="R250" s="113" t="str">
        <f t="shared" ca="1" si="24"/>
        <v/>
      </c>
      <c r="S250" s="113" t="str" cm="1">
        <f t="array" aca="1" ref="S250" ca="1">IFERROR(IF($C250="","",INDIRECT($D$2&amp;"!x"&amp;Z250)),IF($C250="","",INDIRECT("'"&amp;$D$2&amp;"'"&amp;"!x"&amp;Z250)))</f>
        <v/>
      </c>
      <c r="U250" s="113" t="str" cm="1">
        <f t="array" aca="1" ref="U250" ca="1">IFERROR(IF($C250="","",INDIRECT($D$2&amp;"!z"&amp;Z250)),IF($C250="","",INDIRECT("'"&amp;$D$2&amp;"'"&amp;"!z"&amp;Z250)))</f>
        <v/>
      </c>
      <c r="V250" s="113" t="str">
        <f t="shared" ca="1" si="25"/>
        <v/>
      </c>
      <c r="W250" s="113" t="str" cm="1">
        <f t="array" aca="1" ref="W250" ca="1">IFERROR(IF($C250="","",INDIRECT($D$2&amp;"!ab"&amp;Z250)),IF($C250="","",INDIRECT("'"&amp;$D$2&amp;"'"&amp;"!ab"&amp;Z250)))</f>
        <v/>
      </c>
      <c r="X250" s="113"/>
      <c r="Y250" s="113" t="str">
        <f t="shared" ca="1" si="26"/>
        <v/>
      </c>
      <c r="Z250" s="35">
        <v>239</v>
      </c>
      <c r="AA250" s="113"/>
      <c r="AB250" s="35">
        <v>239</v>
      </c>
    </row>
    <row r="251" spans="3:28" x14ac:dyDescent="0.25">
      <c r="C251" t="str" cm="1">
        <f t="array" aca="1" ref="C251" ca="1">IFERROR(IF(INDIRECT($D$2&amp;"!B"&amp;Z251)="","",INDIRECT("'"&amp;$D$2&amp;"'"&amp;"!B"&amp;Z251)),IF(INDIRECT("'"&amp;$D$2&amp;"'"&amp;"!B"&amp;Z251)="","",INDIRECT("'"&amp;$D$2&amp;"'"&amp;"!B"&amp;Z251)))</f>
        <v/>
      </c>
      <c r="D251" t="str" cm="1">
        <f t="array" aca="1" ref="D251" ca="1">IFERROR(_xlfn.IFS(C251="","",C251&lt;&gt;"",INDEX(SF_Output!I:I,MATCH(C251,SF_Output!M:M,0))),IFERROR(INDEX(INDIRECT($D$2&amp;"!G:G"),MATCH(C251,INDIRECT($D$2&amp;"!B:B"),0)),INDEX(INDIRECT("'"&amp;$D$2&amp;"'!G:G"),MATCH(C251,INDIRECT("'"&amp;$D$2&amp;"'!B:B"),0))))</f>
        <v/>
      </c>
      <c r="E251" t="str" cm="1">
        <f t="array" aca="1" ref="E251" ca="1">IFERROR(IF(C251="","",INDIRECT($D$2&amp;"!F"&amp;Z251)),IF(C251="","",INDIRECT("'"&amp;$D$2&amp;"'"&amp;"!F"&amp;Z251)))</f>
        <v/>
      </c>
      <c r="F251" t="str" cm="1">
        <f t="array" aca="1" ref="F251" ca="1">IFERROR(IF(C251="","",INDIRECT($D$2&amp;"!ak"&amp;Z251)),IF(C251="","",INDIRECT("'"&amp;$D$2&amp;"'"&amp;"!ak"&amp;Z251)))</f>
        <v/>
      </c>
      <c r="G251" t="str" cm="1">
        <f t="array" aca="1" ref="G251" ca="1">IFERROR(INDIRECT($D$2&amp;"!h"&amp;Z251),INDIRECT("'"&amp;$D$2&amp;"'"&amp;"!h"&amp;Z251))</f>
        <v/>
      </c>
      <c r="H251" s="125" t="str" cm="1">
        <f t="array" aca="1" ref="H251" ca="1">IFERROR(INDIRECT($D$2&amp;"!i"&amp;Z251),INDIRECT("'"&amp;$D$2&amp;"'"&amp;"!i"&amp;Z251))</f>
        <v/>
      </c>
      <c r="I251" s="113" t="str" cm="1">
        <f t="array" aca="1" ref="I251" ca="1">IFERROR(IF($C251="","",INDIRECT($D$2&amp;"!j"&amp;$Z251)+INDIRECT($D$2&amp;"!n"&amp;$Z251)),IF($C251="","",INDIRECT("'"&amp;$D$2&amp;"'"&amp;"!j"&amp;$Z251)+INDIRECT("'"&amp;$D$2&amp;"'"&amp;"!n"&amp;$Z251)))</f>
        <v/>
      </c>
      <c r="J251" s="113" t="str">
        <f t="shared" ca="1" si="22"/>
        <v/>
      </c>
      <c r="K251" s="113" t="str" cm="1">
        <f t="array" aca="1" ref="K251" ca="1">IFERROR(IF($C251="","",INDIRECT($D$2&amp;"!l"&amp;$Z251)+INDIRECT($D$2&amp;"!p"&amp;$Z251)),IF($C251="","",INDIRECT("'"&amp;$D$2&amp;"'"&amp;"!l"&amp;$Z251)+INDIRECT("'"&amp;$D$2&amp;"'"&amp;"!p"&amp;$Z251)))</f>
        <v/>
      </c>
      <c r="M251" s="113" t="str" cm="1">
        <f t="array" aca="1" ref="M251" ca="1">IFERROR(IF($C251="","",INDIRECT($D$2&amp;"!r"&amp;Z251)),IF($C251="","",INDIRECT("'"&amp;$D$2&amp;"'"&amp;"!r"&amp;Z251)))</f>
        <v/>
      </c>
      <c r="N251" s="113" t="str">
        <f t="shared" ca="1" si="23"/>
        <v/>
      </c>
      <c r="O251" s="113" t="str" cm="1">
        <f t="array" aca="1" ref="O251" ca="1">IFERROR(IF($C251="","",INDIRECT($D$2&amp;"!t"&amp;Z251)),IF($C251="","",INDIRECT("'"&amp;$D$2&amp;"'"&amp;"!t"&amp;Z251)))</f>
        <v/>
      </c>
      <c r="Q251" s="113" t="str" cm="1">
        <f t="array" aca="1" ref="Q251" ca="1">IFERROR(IF($C251="","",INDIRECT($D$2&amp;"!v"&amp;Z251)),IF($C251="","",INDIRECT("'"&amp;$D$2&amp;"'"&amp;"!v"&amp;Z251)))</f>
        <v/>
      </c>
      <c r="R251" s="113" t="str">
        <f t="shared" ca="1" si="24"/>
        <v/>
      </c>
      <c r="S251" s="113" t="str" cm="1">
        <f t="array" aca="1" ref="S251" ca="1">IFERROR(IF($C251="","",INDIRECT($D$2&amp;"!x"&amp;Z251)),IF($C251="","",INDIRECT("'"&amp;$D$2&amp;"'"&amp;"!x"&amp;Z251)))</f>
        <v/>
      </c>
      <c r="U251" s="113" t="str" cm="1">
        <f t="array" aca="1" ref="U251" ca="1">IFERROR(IF($C251="","",INDIRECT($D$2&amp;"!z"&amp;Z251)),IF($C251="","",INDIRECT("'"&amp;$D$2&amp;"'"&amp;"!z"&amp;Z251)))</f>
        <v/>
      </c>
      <c r="V251" s="113" t="str">
        <f t="shared" ca="1" si="25"/>
        <v/>
      </c>
      <c r="W251" s="113" t="str" cm="1">
        <f t="array" aca="1" ref="W251" ca="1">IFERROR(IF($C251="","",INDIRECT($D$2&amp;"!ab"&amp;Z251)),IF($C251="","",INDIRECT("'"&amp;$D$2&amp;"'"&amp;"!ab"&amp;Z251)))</f>
        <v/>
      </c>
      <c r="X251" s="113"/>
      <c r="Y251" s="113" t="str">
        <f t="shared" ca="1" si="26"/>
        <v/>
      </c>
      <c r="Z251" s="35">
        <v>240</v>
      </c>
      <c r="AA251" s="113"/>
      <c r="AB251" s="35">
        <v>240</v>
      </c>
    </row>
    <row r="252" spans="3:28" x14ac:dyDescent="0.25">
      <c r="C252" t="str" cm="1">
        <f t="array" aca="1" ref="C252" ca="1">IFERROR(IF(INDIRECT($D$2&amp;"!B"&amp;Z252)="","",INDIRECT("'"&amp;$D$2&amp;"'"&amp;"!B"&amp;Z252)),IF(INDIRECT("'"&amp;$D$2&amp;"'"&amp;"!B"&amp;Z252)="","",INDIRECT("'"&amp;$D$2&amp;"'"&amp;"!B"&amp;Z252)))</f>
        <v/>
      </c>
      <c r="D252" t="str" cm="1">
        <f t="array" aca="1" ref="D252" ca="1">IFERROR(_xlfn.IFS(C252="","",C252&lt;&gt;"",INDEX(SF_Output!I:I,MATCH(C252,SF_Output!M:M,0))),IFERROR(INDEX(INDIRECT($D$2&amp;"!G:G"),MATCH(C252,INDIRECT($D$2&amp;"!B:B"),0)),INDEX(INDIRECT("'"&amp;$D$2&amp;"'!G:G"),MATCH(C252,INDIRECT("'"&amp;$D$2&amp;"'!B:B"),0))))</f>
        <v/>
      </c>
      <c r="E252" t="str" cm="1">
        <f t="array" aca="1" ref="E252" ca="1">IFERROR(IF(C252="","",INDIRECT($D$2&amp;"!F"&amp;Z252)),IF(C252="","",INDIRECT("'"&amp;$D$2&amp;"'"&amp;"!F"&amp;Z252)))</f>
        <v/>
      </c>
      <c r="F252" t="str" cm="1">
        <f t="array" aca="1" ref="F252" ca="1">IFERROR(IF(C252="","",INDIRECT($D$2&amp;"!ak"&amp;Z252)),IF(C252="","",INDIRECT("'"&amp;$D$2&amp;"'"&amp;"!ak"&amp;Z252)))</f>
        <v/>
      </c>
      <c r="G252" t="str" cm="1">
        <f t="array" aca="1" ref="G252" ca="1">IFERROR(INDIRECT($D$2&amp;"!h"&amp;Z252),INDIRECT("'"&amp;$D$2&amp;"'"&amp;"!h"&amp;Z252))</f>
        <v/>
      </c>
      <c r="H252" s="125" t="str" cm="1">
        <f t="array" aca="1" ref="H252" ca="1">IFERROR(INDIRECT($D$2&amp;"!i"&amp;Z252),INDIRECT("'"&amp;$D$2&amp;"'"&amp;"!i"&amp;Z252))</f>
        <v/>
      </c>
      <c r="I252" s="113" t="str" cm="1">
        <f t="array" aca="1" ref="I252" ca="1">IFERROR(IF($C252="","",INDIRECT($D$2&amp;"!j"&amp;$Z252)+INDIRECT($D$2&amp;"!n"&amp;$Z252)),IF($C252="","",INDIRECT("'"&amp;$D$2&amp;"'"&amp;"!j"&amp;$Z252)+INDIRECT("'"&amp;$D$2&amp;"'"&amp;"!n"&amp;$Z252)))</f>
        <v/>
      </c>
      <c r="J252" s="113" t="str">
        <f t="shared" ca="1" si="22"/>
        <v/>
      </c>
      <c r="K252" s="113" t="str" cm="1">
        <f t="array" aca="1" ref="K252" ca="1">IFERROR(IF($C252="","",INDIRECT($D$2&amp;"!l"&amp;$Z252)+INDIRECT($D$2&amp;"!p"&amp;$Z252)),IF($C252="","",INDIRECT("'"&amp;$D$2&amp;"'"&amp;"!l"&amp;$Z252)+INDIRECT("'"&amp;$D$2&amp;"'"&amp;"!p"&amp;$Z252)))</f>
        <v/>
      </c>
      <c r="M252" s="113" t="str" cm="1">
        <f t="array" aca="1" ref="M252" ca="1">IFERROR(IF($C252="","",INDIRECT($D$2&amp;"!r"&amp;Z252)),IF($C252="","",INDIRECT("'"&amp;$D$2&amp;"'"&amp;"!r"&amp;Z252)))</f>
        <v/>
      </c>
      <c r="N252" s="113" t="str">
        <f t="shared" ca="1" si="23"/>
        <v/>
      </c>
      <c r="O252" s="113" t="str" cm="1">
        <f t="array" aca="1" ref="O252" ca="1">IFERROR(IF($C252="","",INDIRECT($D$2&amp;"!t"&amp;Z252)),IF($C252="","",INDIRECT("'"&amp;$D$2&amp;"'"&amp;"!t"&amp;Z252)))</f>
        <v/>
      </c>
      <c r="Q252" s="113" t="str" cm="1">
        <f t="array" aca="1" ref="Q252" ca="1">IFERROR(IF($C252="","",INDIRECT($D$2&amp;"!v"&amp;Z252)),IF($C252="","",INDIRECT("'"&amp;$D$2&amp;"'"&amp;"!v"&amp;Z252)))</f>
        <v/>
      </c>
      <c r="R252" s="113" t="str">
        <f t="shared" ca="1" si="24"/>
        <v/>
      </c>
      <c r="S252" s="113" t="str" cm="1">
        <f t="array" aca="1" ref="S252" ca="1">IFERROR(IF($C252="","",INDIRECT($D$2&amp;"!x"&amp;Z252)),IF($C252="","",INDIRECT("'"&amp;$D$2&amp;"'"&amp;"!x"&amp;Z252)))</f>
        <v/>
      </c>
      <c r="U252" s="113" t="str" cm="1">
        <f t="array" aca="1" ref="U252" ca="1">IFERROR(IF($C252="","",INDIRECT($D$2&amp;"!z"&amp;Z252)),IF($C252="","",INDIRECT("'"&amp;$D$2&amp;"'"&amp;"!z"&amp;Z252)))</f>
        <v/>
      </c>
      <c r="V252" s="113" t="str">
        <f t="shared" ca="1" si="25"/>
        <v/>
      </c>
      <c r="W252" s="113" t="str" cm="1">
        <f t="array" aca="1" ref="W252" ca="1">IFERROR(IF($C252="","",INDIRECT($D$2&amp;"!ab"&amp;Z252)),IF($C252="","",INDIRECT("'"&amp;$D$2&amp;"'"&amp;"!ab"&amp;Z252)))</f>
        <v/>
      </c>
      <c r="X252" s="113"/>
      <c r="Y252" s="113" t="str">
        <f t="shared" ca="1" si="26"/>
        <v/>
      </c>
      <c r="Z252" s="35">
        <v>241</v>
      </c>
      <c r="AA252" s="113"/>
      <c r="AB252" s="35">
        <v>241</v>
      </c>
    </row>
    <row r="253" spans="3:28" x14ac:dyDescent="0.25">
      <c r="C253" t="str" cm="1">
        <f t="array" aca="1" ref="C253" ca="1">IFERROR(IF(INDIRECT($D$2&amp;"!B"&amp;Z253)="","",INDIRECT("'"&amp;$D$2&amp;"'"&amp;"!B"&amp;Z253)),IF(INDIRECT("'"&amp;$D$2&amp;"'"&amp;"!B"&amp;Z253)="","",INDIRECT("'"&amp;$D$2&amp;"'"&amp;"!B"&amp;Z253)))</f>
        <v/>
      </c>
      <c r="D253" t="str" cm="1">
        <f t="array" aca="1" ref="D253" ca="1">IFERROR(_xlfn.IFS(C253="","",C253&lt;&gt;"",INDEX(SF_Output!I:I,MATCH(C253,SF_Output!M:M,0))),IFERROR(INDEX(INDIRECT($D$2&amp;"!G:G"),MATCH(C253,INDIRECT($D$2&amp;"!B:B"),0)),INDEX(INDIRECT("'"&amp;$D$2&amp;"'!G:G"),MATCH(C253,INDIRECT("'"&amp;$D$2&amp;"'!B:B"),0))))</f>
        <v/>
      </c>
      <c r="E253" t="str" cm="1">
        <f t="array" aca="1" ref="E253" ca="1">IFERROR(IF(C253="","",INDIRECT($D$2&amp;"!F"&amp;Z253)),IF(C253="","",INDIRECT("'"&amp;$D$2&amp;"'"&amp;"!F"&amp;Z253)))</f>
        <v/>
      </c>
      <c r="F253" t="str" cm="1">
        <f t="array" aca="1" ref="F253" ca="1">IFERROR(IF(C253="","",INDIRECT($D$2&amp;"!ak"&amp;Z253)),IF(C253="","",INDIRECT("'"&amp;$D$2&amp;"'"&amp;"!ak"&amp;Z253)))</f>
        <v/>
      </c>
      <c r="G253" t="str" cm="1">
        <f t="array" aca="1" ref="G253" ca="1">IFERROR(INDIRECT($D$2&amp;"!h"&amp;Z253),INDIRECT("'"&amp;$D$2&amp;"'"&amp;"!h"&amp;Z253))</f>
        <v/>
      </c>
      <c r="H253" s="125" t="str" cm="1">
        <f t="array" aca="1" ref="H253" ca="1">IFERROR(INDIRECT($D$2&amp;"!i"&amp;Z253),INDIRECT("'"&amp;$D$2&amp;"'"&amp;"!i"&amp;Z253))</f>
        <v/>
      </c>
      <c r="I253" s="113" t="str" cm="1">
        <f t="array" aca="1" ref="I253" ca="1">IFERROR(IF($C253="","",INDIRECT($D$2&amp;"!j"&amp;$Z253)+INDIRECT($D$2&amp;"!n"&amp;$Z253)),IF($C253="","",INDIRECT("'"&amp;$D$2&amp;"'"&amp;"!j"&amp;$Z253)+INDIRECT("'"&amp;$D$2&amp;"'"&amp;"!n"&amp;$Z253)))</f>
        <v/>
      </c>
      <c r="J253" s="113" t="str">
        <f t="shared" ca="1" si="22"/>
        <v/>
      </c>
      <c r="K253" s="113" t="str" cm="1">
        <f t="array" aca="1" ref="K253" ca="1">IFERROR(IF($C253="","",INDIRECT($D$2&amp;"!l"&amp;$Z253)+INDIRECT($D$2&amp;"!p"&amp;$Z253)),IF($C253="","",INDIRECT("'"&amp;$D$2&amp;"'"&amp;"!l"&amp;$Z253)+INDIRECT("'"&amp;$D$2&amp;"'"&amp;"!p"&amp;$Z253)))</f>
        <v/>
      </c>
      <c r="M253" s="113" t="str" cm="1">
        <f t="array" aca="1" ref="M253" ca="1">IFERROR(IF($C253="","",INDIRECT($D$2&amp;"!r"&amp;Z253)),IF($C253="","",INDIRECT("'"&amp;$D$2&amp;"'"&amp;"!r"&amp;Z253)))</f>
        <v/>
      </c>
      <c r="N253" s="113" t="str">
        <f t="shared" ca="1" si="23"/>
        <v/>
      </c>
      <c r="O253" s="113" t="str" cm="1">
        <f t="array" aca="1" ref="O253" ca="1">IFERROR(IF($C253="","",INDIRECT($D$2&amp;"!t"&amp;Z253)),IF($C253="","",INDIRECT("'"&amp;$D$2&amp;"'"&amp;"!t"&amp;Z253)))</f>
        <v/>
      </c>
      <c r="Q253" s="113" t="str" cm="1">
        <f t="array" aca="1" ref="Q253" ca="1">IFERROR(IF($C253="","",INDIRECT($D$2&amp;"!v"&amp;Z253)),IF($C253="","",INDIRECT("'"&amp;$D$2&amp;"'"&amp;"!v"&amp;Z253)))</f>
        <v/>
      </c>
      <c r="R253" s="113" t="str">
        <f t="shared" ca="1" si="24"/>
        <v/>
      </c>
      <c r="S253" s="113" t="str" cm="1">
        <f t="array" aca="1" ref="S253" ca="1">IFERROR(IF($C253="","",INDIRECT($D$2&amp;"!x"&amp;Z253)),IF($C253="","",INDIRECT("'"&amp;$D$2&amp;"'"&amp;"!x"&amp;Z253)))</f>
        <v/>
      </c>
      <c r="U253" s="113" t="str" cm="1">
        <f t="array" aca="1" ref="U253" ca="1">IFERROR(IF($C253="","",INDIRECT($D$2&amp;"!z"&amp;Z253)),IF($C253="","",INDIRECT("'"&amp;$D$2&amp;"'"&amp;"!z"&amp;Z253)))</f>
        <v/>
      </c>
      <c r="V253" s="113" t="str">
        <f t="shared" ca="1" si="25"/>
        <v/>
      </c>
      <c r="W253" s="113" t="str" cm="1">
        <f t="array" aca="1" ref="W253" ca="1">IFERROR(IF($C253="","",INDIRECT($D$2&amp;"!ab"&amp;Z253)),IF($C253="","",INDIRECT("'"&amp;$D$2&amp;"'"&amp;"!ab"&amp;Z253)))</f>
        <v/>
      </c>
      <c r="X253" s="113"/>
      <c r="Y253" s="113" t="str">
        <f t="shared" ca="1" si="26"/>
        <v/>
      </c>
      <c r="Z253" s="35">
        <v>242</v>
      </c>
      <c r="AA253" s="113"/>
      <c r="AB253" s="35">
        <v>242</v>
      </c>
    </row>
    <row r="254" spans="3:28" x14ac:dyDescent="0.25">
      <c r="C254" t="str" cm="1">
        <f t="array" aca="1" ref="C254" ca="1">IFERROR(IF(INDIRECT($D$2&amp;"!B"&amp;Z254)="","",INDIRECT("'"&amp;$D$2&amp;"'"&amp;"!B"&amp;Z254)),IF(INDIRECT("'"&amp;$D$2&amp;"'"&amp;"!B"&amp;Z254)="","",INDIRECT("'"&amp;$D$2&amp;"'"&amp;"!B"&amp;Z254)))</f>
        <v/>
      </c>
      <c r="D254" t="str" cm="1">
        <f t="array" aca="1" ref="D254" ca="1">IFERROR(_xlfn.IFS(C254="","",C254&lt;&gt;"",INDEX(SF_Output!I:I,MATCH(C254,SF_Output!M:M,0))),IFERROR(INDEX(INDIRECT($D$2&amp;"!G:G"),MATCH(C254,INDIRECT($D$2&amp;"!B:B"),0)),INDEX(INDIRECT("'"&amp;$D$2&amp;"'!G:G"),MATCH(C254,INDIRECT("'"&amp;$D$2&amp;"'!B:B"),0))))</f>
        <v/>
      </c>
      <c r="E254" t="str" cm="1">
        <f t="array" aca="1" ref="E254" ca="1">IFERROR(IF(C254="","",INDIRECT($D$2&amp;"!F"&amp;Z254)),IF(C254="","",INDIRECT("'"&amp;$D$2&amp;"'"&amp;"!F"&amp;Z254)))</f>
        <v/>
      </c>
      <c r="F254" t="str" cm="1">
        <f t="array" aca="1" ref="F254" ca="1">IFERROR(IF(C254="","",INDIRECT($D$2&amp;"!ak"&amp;Z254)),IF(C254="","",INDIRECT("'"&amp;$D$2&amp;"'"&amp;"!ak"&amp;Z254)))</f>
        <v/>
      </c>
      <c r="G254" t="str" cm="1">
        <f t="array" aca="1" ref="G254" ca="1">IFERROR(INDIRECT($D$2&amp;"!h"&amp;Z254),INDIRECT("'"&amp;$D$2&amp;"'"&amp;"!h"&amp;Z254))</f>
        <v/>
      </c>
      <c r="H254" s="125" t="str" cm="1">
        <f t="array" aca="1" ref="H254" ca="1">IFERROR(INDIRECT($D$2&amp;"!i"&amp;Z254),INDIRECT("'"&amp;$D$2&amp;"'"&amp;"!i"&amp;Z254))</f>
        <v/>
      </c>
      <c r="I254" s="113" t="str" cm="1">
        <f t="array" aca="1" ref="I254" ca="1">IFERROR(IF($C254="","",INDIRECT($D$2&amp;"!j"&amp;$Z254)+INDIRECT($D$2&amp;"!n"&amp;$Z254)),IF($C254="","",INDIRECT("'"&amp;$D$2&amp;"'"&amp;"!j"&amp;$Z254)+INDIRECT("'"&amp;$D$2&amp;"'"&amp;"!n"&amp;$Z254)))</f>
        <v/>
      </c>
      <c r="J254" s="113" t="str">
        <f t="shared" ca="1" si="22"/>
        <v/>
      </c>
      <c r="K254" s="113" t="str" cm="1">
        <f t="array" aca="1" ref="K254" ca="1">IFERROR(IF($C254="","",INDIRECT($D$2&amp;"!l"&amp;$Z254)+INDIRECT($D$2&amp;"!p"&amp;$Z254)),IF($C254="","",INDIRECT("'"&amp;$D$2&amp;"'"&amp;"!l"&amp;$Z254)+INDIRECT("'"&amp;$D$2&amp;"'"&amp;"!p"&amp;$Z254)))</f>
        <v/>
      </c>
      <c r="M254" s="113" t="str" cm="1">
        <f t="array" aca="1" ref="M254" ca="1">IFERROR(IF($C254="","",INDIRECT($D$2&amp;"!r"&amp;Z254)),IF($C254="","",INDIRECT("'"&amp;$D$2&amp;"'"&amp;"!r"&amp;Z254)))</f>
        <v/>
      </c>
      <c r="N254" s="113" t="str">
        <f t="shared" ca="1" si="23"/>
        <v/>
      </c>
      <c r="O254" s="113" t="str" cm="1">
        <f t="array" aca="1" ref="O254" ca="1">IFERROR(IF($C254="","",INDIRECT($D$2&amp;"!t"&amp;Z254)),IF($C254="","",INDIRECT("'"&amp;$D$2&amp;"'"&amp;"!t"&amp;Z254)))</f>
        <v/>
      </c>
      <c r="Q254" s="113" t="str" cm="1">
        <f t="array" aca="1" ref="Q254" ca="1">IFERROR(IF($C254="","",INDIRECT($D$2&amp;"!v"&amp;Z254)),IF($C254="","",INDIRECT("'"&amp;$D$2&amp;"'"&amp;"!v"&amp;Z254)))</f>
        <v/>
      </c>
      <c r="R254" s="113" t="str">
        <f t="shared" ca="1" si="24"/>
        <v/>
      </c>
      <c r="S254" s="113" t="str" cm="1">
        <f t="array" aca="1" ref="S254" ca="1">IFERROR(IF($C254="","",INDIRECT($D$2&amp;"!x"&amp;Z254)),IF($C254="","",INDIRECT("'"&amp;$D$2&amp;"'"&amp;"!x"&amp;Z254)))</f>
        <v/>
      </c>
      <c r="U254" s="113" t="str" cm="1">
        <f t="array" aca="1" ref="U254" ca="1">IFERROR(IF($C254="","",INDIRECT($D$2&amp;"!z"&amp;Z254)),IF($C254="","",INDIRECT("'"&amp;$D$2&amp;"'"&amp;"!z"&amp;Z254)))</f>
        <v/>
      </c>
      <c r="V254" s="113" t="str">
        <f t="shared" ca="1" si="25"/>
        <v/>
      </c>
      <c r="W254" s="113" t="str" cm="1">
        <f t="array" aca="1" ref="W254" ca="1">IFERROR(IF($C254="","",INDIRECT($D$2&amp;"!ab"&amp;Z254)),IF($C254="","",INDIRECT("'"&amp;$D$2&amp;"'"&amp;"!ab"&amp;Z254)))</f>
        <v/>
      </c>
      <c r="X254" s="113"/>
      <c r="Y254" s="113" t="str">
        <f t="shared" ca="1" si="26"/>
        <v/>
      </c>
      <c r="Z254" s="35">
        <v>243</v>
      </c>
      <c r="AA254" s="113"/>
      <c r="AB254" s="35">
        <v>243</v>
      </c>
    </row>
    <row r="255" spans="3:28" x14ac:dyDescent="0.25">
      <c r="C255" t="str" cm="1">
        <f t="array" aca="1" ref="C255" ca="1">IFERROR(IF(INDIRECT($D$2&amp;"!B"&amp;Z255)="","",INDIRECT("'"&amp;$D$2&amp;"'"&amp;"!B"&amp;Z255)),IF(INDIRECT("'"&amp;$D$2&amp;"'"&amp;"!B"&amp;Z255)="","",INDIRECT("'"&amp;$D$2&amp;"'"&amp;"!B"&amp;Z255)))</f>
        <v/>
      </c>
      <c r="D255" t="str" cm="1">
        <f t="array" aca="1" ref="D255" ca="1">IFERROR(_xlfn.IFS(C255="","",C255&lt;&gt;"",INDEX(SF_Output!I:I,MATCH(C255,SF_Output!M:M,0))),IFERROR(INDEX(INDIRECT($D$2&amp;"!G:G"),MATCH(C255,INDIRECT($D$2&amp;"!B:B"),0)),INDEX(INDIRECT("'"&amp;$D$2&amp;"'!G:G"),MATCH(C255,INDIRECT("'"&amp;$D$2&amp;"'!B:B"),0))))</f>
        <v/>
      </c>
      <c r="E255" t="str" cm="1">
        <f t="array" aca="1" ref="E255" ca="1">IFERROR(IF(C255="","",INDIRECT($D$2&amp;"!F"&amp;Z255)),IF(C255="","",INDIRECT("'"&amp;$D$2&amp;"'"&amp;"!F"&amp;Z255)))</f>
        <v/>
      </c>
      <c r="F255" t="str" cm="1">
        <f t="array" aca="1" ref="F255" ca="1">IFERROR(IF(C255="","",INDIRECT($D$2&amp;"!ak"&amp;Z255)),IF(C255="","",INDIRECT("'"&amp;$D$2&amp;"'"&amp;"!ak"&amp;Z255)))</f>
        <v/>
      </c>
      <c r="G255" t="str" cm="1">
        <f t="array" aca="1" ref="G255" ca="1">IFERROR(INDIRECT($D$2&amp;"!h"&amp;Z255),INDIRECT("'"&amp;$D$2&amp;"'"&amp;"!h"&amp;Z255))</f>
        <v/>
      </c>
      <c r="H255" s="125" t="str" cm="1">
        <f t="array" aca="1" ref="H255" ca="1">IFERROR(INDIRECT($D$2&amp;"!i"&amp;Z255),INDIRECT("'"&amp;$D$2&amp;"'"&amp;"!i"&amp;Z255))</f>
        <v/>
      </c>
      <c r="I255" s="113" t="str" cm="1">
        <f t="array" aca="1" ref="I255" ca="1">IFERROR(IF($C255="","",INDIRECT($D$2&amp;"!j"&amp;$Z255)+INDIRECT($D$2&amp;"!n"&amp;$Z255)),IF($C255="","",INDIRECT("'"&amp;$D$2&amp;"'"&amp;"!j"&amp;$Z255)+INDIRECT("'"&amp;$D$2&amp;"'"&amp;"!n"&amp;$Z255)))</f>
        <v/>
      </c>
      <c r="J255" s="113" t="str">
        <f t="shared" ca="1" si="22"/>
        <v/>
      </c>
      <c r="K255" s="113" t="str" cm="1">
        <f t="array" aca="1" ref="K255" ca="1">IFERROR(IF($C255="","",INDIRECT($D$2&amp;"!l"&amp;$Z255)+INDIRECT($D$2&amp;"!p"&amp;$Z255)),IF($C255="","",INDIRECT("'"&amp;$D$2&amp;"'"&amp;"!l"&amp;$Z255)+INDIRECT("'"&amp;$D$2&amp;"'"&amp;"!p"&amp;$Z255)))</f>
        <v/>
      </c>
      <c r="M255" s="113" t="str" cm="1">
        <f t="array" aca="1" ref="M255" ca="1">IFERROR(IF($C255="","",INDIRECT($D$2&amp;"!r"&amp;Z255)),IF($C255="","",INDIRECT("'"&amp;$D$2&amp;"'"&amp;"!r"&amp;Z255)))</f>
        <v/>
      </c>
      <c r="N255" s="113" t="str">
        <f t="shared" ca="1" si="23"/>
        <v/>
      </c>
      <c r="O255" s="113" t="str" cm="1">
        <f t="array" aca="1" ref="O255" ca="1">IFERROR(IF($C255="","",INDIRECT($D$2&amp;"!t"&amp;Z255)),IF($C255="","",INDIRECT("'"&amp;$D$2&amp;"'"&amp;"!t"&amp;Z255)))</f>
        <v/>
      </c>
      <c r="Q255" s="113" t="str" cm="1">
        <f t="array" aca="1" ref="Q255" ca="1">IFERROR(IF($C255="","",INDIRECT($D$2&amp;"!v"&amp;Z255)),IF($C255="","",INDIRECT("'"&amp;$D$2&amp;"'"&amp;"!v"&amp;Z255)))</f>
        <v/>
      </c>
      <c r="R255" s="113" t="str">
        <f t="shared" ca="1" si="24"/>
        <v/>
      </c>
      <c r="S255" s="113" t="str" cm="1">
        <f t="array" aca="1" ref="S255" ca="1">IFERROR(IF($C255="","",INDIRECT($D$2&amp;"!x"&amp;Z255)),IF($C255="","",INDIRECT("'"&amp;$D$2&amp;"'"&amp;"!x"&amp;Z255)))</f>
        <v/>
      </c>
      <c r="U255" s="113" t="str" cm="1">
        <f t="array" aca="1" ref="U255" ca="1">IFERROR(IF($C255="","",INDIRECT($D$2&amp;"!z"&amp;Z255)),IF($C255="","",INDIRECT("'"&amp;$D$2&amp;"'"&amp;"!z"&amp;Z255)))</f>
        <v/>
      </c>
      <c r="V255" s="113" t="str">
        <f t="shared" ca="1" si="25"/>
        <v/>
      </c>
      <c r="W255" s="113" t="str" cm="1">
        <f t="array" aca="1" ref="W255" ca="1">IFERROR(IF($C255="","",INDIRECT($D$2&amp;"!ab"&amp;Z255)),IF($C255="","",INDIRECT("'"&amp;$D$2&amp;"'"&amp;"!ab"&amp;Z255)))</f>
        <v/>
      </c>
      <c r="X255" s="113"/>
      <c r="Y255" s="113" t="str">
        <f t="shared" ca="1" si="26"/>
        <v/>
      </c>
      <c r="Z255" s="35">
        <v>244</v>
      </c>
      <c r="AA255" s="113"/>
      <c r="AB255" s="35">
        <v>244</v>
      </c>
    </row>
    <row r="256" spans="3:28" x14ac:dyDescent="0.25">
      <c r="C256" t="str" cm="1">
        <f t="array" aca="1" ref="C256" ca="1">IFERROR(IF(INDIRECT($D$2&amp;"!B"&amp;Z256)="","",INDIRECT("'"&amp;$D$2&amp;"'"&amp;"!B"&amp;Z256)),IF(INDIRECT("'"&amp;$D$2&amp;"'"&amp;"!B"&amp;Z256)="","",INDIRECT("'"&amp;$D$2&amp;"'"&amp;"!B"&amp;Z256)))</f>
        <v/>
      </c>
      <c r="D256" t="str" cm="1">
        <f t="array" aca="1" ref="D256" ca="1">IFERROR(_xlfn.IFS(C256="","",C256&lt;&gt;"",INDEX(SF_Output!I:I,MATCH(C256,SF_Output!M:M,0))),IFERROR(INDEX(INDIRECT($D$2&amp;"!G:G"),MATCH(C256,INDIRECT($D$2&amp;"!B:B"),0)),INDEX(INDIRECT("'"&amp;$D$2&amp;"'!G:G"),MATCH(C256,INDIRECT("'"&amp;$D$2&amp;"'!B:B"),0))))</f>
        <v/>
      </c>
      <c r="E256" t="str" cm="1">
        <f t="array" aca="1" ref="E256" ca="1">IFERROR(IF(C256="","",INDIRECT($D$2&amp;"!F"&amp;Z256)),IF(C256="","",INDIRECT("'"&amp;$D$2&amp;"'"&amp;"!F"&amp;Z256)))</f>
        <v/>
      </c>
      <c r="F256" t="str" cm="1">
        <f t="array" aca="1" ref="F256" ca="1">IFERROR(IF(C256="","",INDIRECT($D$2&amp;"!ak"&amp;Z256)),IF(C256="","",INDIRECT("'"&amp;$D$2&amp;"'"&amp;"!ak"&amp;Z256)))</f>
        <v/>
      </c>
      <c r="G256" t="str" cm="1">
        <f t="array" aca="1" ref="G256" ca="1">IFERROR(INDIRECT($D$2&amp;"!h"&amp;Z256),INDIRECT("'"&amp;$D$2&amp;"'"&amp;"!h"&amp;Z256))</f>
        <v/>
      </c>
      <c r="H256" s="125" t="str" cm="1">
        <f t="array" aca="1" ref="H256" ca="1">IFERROR(INDIRECT($D$2&amp;"!i"&amp;Z256),INDIRECT("'"&amp;$D$2&amp;"'"&amp;"!i"&amp;Z256))</f>
        <v/>
      </c>
      <c r="I256" s="113" t="str" cm="1">
        <f t="array" aca="1" ref="I256" ca="1">IFERROR(IF($C256="","",INDIRECT($D$2&amp;"!j"&amp;$Z256)+INDIRECT($D$2&amp;"!n"&amp;$Z256)),IF($C256="","",INDIRECT("'"&amp;$D$2&amp;"'"&amp;"!j"&amp;$Z256)+INDIRECT("'"&amp;$D$2&amp;"'"&amp;"!n"&amp;$Z256)))</f>
        <v/>
      </c>
      <c r="J256" s="113" t="str">
        <f t="shared" ca="1" si="22"/>
        <v/>
      </c>
      <c r="K256" s="113" t="str" cm="1">
        <f t="array" aca="1" ref="K256" ca="1">IFERROR(IF($C256="","",INDIRECT($D$2&amp;"!l"&amp;$Z256)+INDIRECT($D$2&amp;"!p"&amp;$Z256)),IF($C256="","",INDIRECT("'"&amp;$D$2&amp;"'"&amp;"!l"&amp;$Z256)+INDIRECT("'"&amp;$D$2&amp;"'"&amp;"!p"&amp;$Z256)))</f>
        <v/>
      </c>
      <c r="M256" s="113" t="str" cm="1">
        <f t="array" aca="1" ref="M256" ca="1">IFERROR(IF($C256="","",INDIRECT($D$2&amp;"!r"&amp;Z256)),IF($C256="","",INDIRECT("'"&amp;$D$2&amp;"'"&amp;"!r"&amp;Z256)))</f>
        <v/>
      </c>
      <c r="N256" s="113" t="str">
        <f t="shared" ca="1" si="23"/>
        <v/>
      </c>
      <c r="O256" s="113" t="str" cm="1">
        <f t="array" aca="1" ref="O256" ca="1">IFERROR(IF($C256="","",INDIRECT($D$2&amp;"!t"&amp;Z256)),IF($C256="","",INDIRECT("'"&amp;$D$2&amp;"'"&amp;"!t"&amp;Z256)))</f>
        <v/>
      </c>
      <c r="Q256" s="113" t="str" cm="1">
        <f t="array" aca="1" ref="Q256" ca="1">IFERROR(IF($C256="","",INDIRECT($D$2&amp;"!v"&amp;Z256)),IF($C256="","",INDIRECT("'"&amp;$D$2&amp;"'"&amp;"!v"&amp;Z256)))</f>
        <v/>
      </c>
      <c r="R256" s="113" t="str">
        <f t="shared" ca="1" si="24"/>
        <v/>
      </c>
      <c r="S256" s="113" t="str" cm="1">
        <f t="array" aca="1" ref="S256" ca="1">IFERROR(IF($C256="","",INDIRECT($D$2&amp;"!x"&amp;Z256)),IF($C256="","",INDIRECT("'"&amp;$D$2&amp;"'"&amp;"!x"&amp;Z256)))</f>
        <v/>
      </c>
      <c r="U256" s="113" t="str" cm="1">
        <f t="array" aca="1" ref="U256" ca="1">IFERROR(IF($C256="","",INDIRECT($D$2&amp;"!z"&amp;Z256)),IF($C256="","",INDIRECT("'"&amp;$D$2&amp;"'"&amp;"!z"&amp;Z256)))</f>
        <v/>
      </c>
      <c r="V256" s="113" t="str">
        <f t="shared" ca="1" si="25"/>
        <v/>
      </c>
      <c r="W256" s="113" t="str" cm="1">
        <f t="array" aca="1" ref="W256" ca="1">IFERROR(IF($C256="","",INDIRECT($D$2&amp;"!ab"&amp;Z256)),IF($C256="","",INDIRECT("'"&amp;$D$2&amp;"'"&amp;"!ab"&amp;Z256)))</f>
        <v/>
      </c>
      <c r="X256" s="113"/>
      <c r="Y256" s="113" t="str">
        <f t="shared" ca="1" si="26"/>
        <v/>
      </c>
      <c r="Z256" s="35">
        <v>245</v>
      </c>
      <c r="AA256" s="113"/>
      <c r="AB256" s="35">
        <v>245</v>
      </c>
    </row>
    <row r="257" spans="3:28" x14ac:dyDescent="0.25">
      <c r="C257" t="str" cm="1">
        <f t="array" aca="1" ref="C257" ca="1">IFERROR(IF(INDIRECT($D$2&amp;"!B"&amp;Z257)="","",INDIRECT("'"&amp;$D$2&amp;"'"&amp;"!B"&amp;Z257)),IF(INDIRECT("'"&amp;$D$2&amp;"'"&amp;"!B"&amp;Z257)="","",INDIRECT("'"&amp;$D$2&amp;"'"&amp;"!B"&amp;Z257)))</f>
        <v/>
      </c>
      <c r="D257" t="str" cm="1">
        <f t="array" aca="1" ref="D257" ca="1">IFERROR(_xlfn.IFS(C257="","",C257&lt;&gt;"",INDEX(SF_Output!I:I,MATCH(C257,SF_Output!M:M,0))),IFERROR(INDEX(INDIRECT($D$2&amp;"!G:G"),MATCH(C257,INDIRECT($D$2&amp;"!B:B"),0)),INDEX(INDIRECT("'"&amp;$D$2&amp;"'!G:G"),MATCH(C257,INDIRECT("'"&amp;$D$2&amp;"'!B:B"),0))))</f>
        <v/>
      </c>
      <c r="E257" t="str" cm="1">
        <f t="array" aca="1" ref="E257" ca="1">IFERROR(IF(C257="","",INDIRECT($D$2&amp;"!F"&amp;Z257)),IF(C257="","",INDIRECT("'"&amp;$D$2&amp;"'"&amp;"!F"&amp;Z257)))</f>
        <v/>
      </c>
      <c r="F257" t="str" cm="1">
        <f t="array" aca="1" ref="F257" ca="1">IFERROR(IF(C257="","",INDIRECT($D$2&amp;"!ak"&amp;Z257)),IF(C257="","",INDIRECT("'"&amp;$D$2&amp;"'"&amp;"!ak"&amp;Z257)))</f>
        <v/>
      </c>
      <c r="G257" t="str" cm="1">
        <f t="array" aca="1" ref="G257" ca="1">IFERROR(INDIRECT($D$2&amp;"!h"&amp;Z257),INDIRECT("'"&amp;$D$2&amp;"'"&amp;"!h"&amp;Z257))</f>
        <v/>
      </c>
      <c r="H257" s="125" t="str" cm="1">
        <f t="array" aca="1" ref="H257" ca="1">IFERROR(INDIRECT($D$2&amp;"!i"&amp;Z257),INDIRECT("'"&amp;$D$2&amp;"'"&amp;"!i"&amp;Z257))</f>
        <v/>
      </c>
      <c r="I257" s="113" t="str" cm="1">
        <f t="array" aca="1" ref="I257" ca="1">IFERROR(IF($C257="","",INDIRECT($D$2&amp;"!j"&amp;$Z257)+INDIRECT($D$2&amp;"!n"&amp;$Z257)),IF($C257="","",INDIRECT("'"&amp;$D$2&amp;"'"&amp;"!j"&amp;$Z257)+INDIRECT("'"&amp;$D$2&amp;"'"&amp;"!n"&amp;$Z257)))</f>
        <v/>
      </c>
      <c r="J257" s="113" t="str">
        <f t="shared" ca="1" si="22"/>
        <v/>
      </c>
      <c r="K257" s="113" t="str" cm="1">
        <f t="array" aca="1" ref="K257" ca="1">IFERROR(IF($C257="","",INDIRECT($D$2&amp;"!l"&amp;$Z257)+INDIRECT($D$2&amp;"!p"&amp;$Z257)),IF($C257="","",INDIRECT("'"&amp;$D$2&amp;"'"&amp;"!l"&amp;$Z257)+INDIRECT("'"&amp;$D$2&amp;"'"&amp;"!p"&amp;$Z257)))</f>
        <v/>
      </c>
      <c r="M257" s="113" t="str" cm="1">
        <f t="array" aca="1" ref="M257" ca="1">IFERROR(IF($C257="","",INDIRECT($D$2&amp;"!r"&amp;Z257)),IF($C257="","",INDIRECT("'"&amp;$D$2&amp;"'"&amp;"!r"&amp;Z257)))</f>
        <v/>
      </c>
      <c r="N257" s="113" t="str">
        <f t="shared" ca="1" si="23"/>
        <v/>
      </c>
      <c r="O257" s="113" t="str" cm="1">
        <f t="array" aca="1" ref="O257" ca="1">IFERROR(IF($C257="","",INDIRECT($D$2&amp;"!t"&amp;Z257)),IF($C257="","",INDIRECT("'"&amp;$D$2&amp;"'"&amp;"!t"&amp;Z257)))</f>
        <v/>
      </c>
      <c r="Q257" s="113" t="str" cm="1">
        <f t="array" aca="1" ref="Q257" ca="1">IFERROR(IF($C257="","",INDIRECT($D$2&amp;"!v"&amp;Z257)),IF($C257="","",INDIRECT("'"&amp;$D$2&amp;"'"&amp;"!v"&amp;Z257)))</f>
        <v/>
      </c>
      <c r="R257" s="113" t="str">
        <f t="shared" ca="1" si="24"/>
        <v/>
      </c>
      <c r="S257" s="113" t="str" cm="1">
        <f t="array" aca="1" ref="S257" ca="1">IFERROR(IF($C257="","",INDIRECT($D$2&amp;"!x"&amp;Z257)),IF($C257="","",INDIRECT("'"&amp;$D$2&amp;"'"&amp;"!x"&amp;Z257)))</f>
        <v/>
      </c>
      <c r="U257" s="113" t="str" cm="1">
        <f t="array" aca="1" ref="U257" ca="1">IFERROR(IF($C257="","",INDIRECT($D$2&amp;"!z"&amp;Z257)),IF($C257="","",INDIRECT("'"&amp;$D$2&amp;"'"&amp;"!z"&amp;Z257)))</f>
        <v/>
      </c>
      <c r="V257" s="113" t="str">
        <f t="shared" ca="1" si="25"/>
        <v/>
      </c>
      <c r="W257" s="113" t="str" cm="1">
        <f t="array" aca="1" ref="W257" ca="1">IFERROR(IF($C257="","",INDIRECT($D$2&amp;"!ab"&amp;Z257)),IF($C257="","",INDIRECT("'"&amp;$D$2&amp;"'"&amp;"!ab"&amp;Z257)))</f>
        <v/>
      </c>
      <c r="X257" s="113"/>
      <c r="Y257" s="113" t="str">
        <f t="shared" ca="1" si="26"/>
        <v/>
      </c>
      <c r="Z257" s="35">
        <v>246</v>
      </c>
      <c r="AA257" s="113"/>
      <c r="AB257" s="35">
        <v>246</v>
      </c>
    </row>
    <row r="258" spans="3:28" x14ac:dyDescent="0.25">
      <c r="C258" t="str" cm="1">
        <f t="array" aca="1" ref="C258" ca="1">IFERROR(IF(INDIRECT($D$2&amp;"!B"&amp;Z258)="","",INDIRECT("'"&amp;$D$2&amp;"'"&amp;"!B"&amp;Z258)),IF(INDIRECT("'"&amp;$D$2&amp;"'"&amp;"!B"&amp;Z258)="","",INDIRECT("'"&amp;$D$2&amp;"'"&amp;"!B"&amp;Z258)))</f>
        <v/>
      </c>
      <c r="D258" t="str" cm="1">
        <f t="array" aca="1" ref="D258" ca="1">IFERROR(_xlfn.IFS(C258="","",C258&lt;&gt;"",INDEX(SF_Output!I:I,MATCH(C258,SF_Output!M:M,0))),IFERROR(INDEX(INDIRECT($D$2&amp;"!G:G"),MATCH(C258,INDIRECT($D$2&amp;"!B:B"),0)),INDEX(INDIRECT("'"&amp;$D$2&amp;"'!G:G"),MATCH(C258,INDIRECT("'"&amp;$D$2&amp;"'!B:B"),0))))</f>
        <v/>
      </c>
      <c r="E258" t="str" cm="1">
        <f t="array" aca="1" ref="E258" ca="1">IFERROR(IF(C258="","",INDIRECT($D$2&amp;"!F"&amp;Z258)),IF(C258="","",INDIRECT("'"&amp;$D$2&amp;"'"&amp;"!F"&amp;Z258)))</f>
        <v/>
      </c>
      <c r="F258" t="str" cm="1">
        <f t="array" aca="1" ref="F258" ca="1">IFERROR(IF(C258="","",INDIRECT($D$2&amp;"!ak"&amp;Z258)),IF(C258="","",INDIRECT("'"&amp;$D$2&amp;"'"&amp;"!ak"&amp;Z258)))</f>
        <v/>
      </c>
      <c r="G258" t="str" cm="1">
        <f t="array" aca="1" ref="G258" ca="1">IFERROR(INDIRECT($D$2&amp;"!h"&amp;Z258),INDIRECT("'"&amp;$D$2&amp;"'"&amp;"!h"&amp;Z258))</f>
        <v/>
      </c>
      <c r="H258" s="125" t="str" cm="1">
        <f t="array" aca="1" ref="H258" ca="1">IFERROR(INDIRECT($D$2&amp;"!i"&amp;Z258),INDIRECT("'"&amp;$D$2&amp;"'"&amp;"!i"&amp;Z258))</f>
        <v/>
      </c>
      <c r="I258" s="113" t="str" cm="1">
        <f t="array" aca="1" ref="I258" ca="1">IFERROR(IF($C258="","",INDIRECT($D$2&amp;"!j"&amp;$Z258)+INDIRECT($D$2&amp;"!n"&amp;$Z258)),IF($C258="","",INDIRECT("'"&amp;$D$2&amp;"'"&amp;"!j"&amp;$Z258)+INDIRECT("'"&amp;$D$2&amp;"'"&amp;"!n"&amp;$Z258)))</f>
        <v/>
      </c>
      <c r="J258" s="113" t="str">
        <f t="shared" ca="1" si="22"/>
        <v/>
      </c>
      <c r="K258" s="113" t="str" cm="1">
        <f t="array" aca="1" ref="K258" ca="1">IFERROR(IF($C258="","",INDIRECT($D$2&amp;"!l"&amp;$Z258)+INDIRECT($D$2&amp;"!p"&amp;$Z258)),IF($C258="","",INDIRECT("'"&amp;$D$2&amp;"'"&amp;"!l"&amp;$Z258)+INDIRECT("'"&amp;$D$2&amp;"'"&amp;"!p"&amp;$Z258)))</f>
        <v/>
      </c>
      <c r="M258" s="113" t="str" cm="1">
        <f t="array" aca="1" ref="M258" ca="1">IFERROR(IF($C258="","",INDIRECT($D$2&amp;"!r"&amp;Z258)),IF($C258="","",INDIRECT("'"&amp;$D$2&amp;"'"&amp;"!r"&amp;Z258)))</f>
        <v/>
      </c>
      <c r="N258" s="113" t="str">
        <f t="shared" ca="1" si="23"/>
        <v/>
      </c>
      <c r="O258" s="113" t="str" cm="1">
        <f t="array" aca="1" ref="O258" ca="1">IFERROR(IF($C258="","",INDIRECT($D$2&amp;"!t"&amp;Z258)),IF($C258="","",INDIRECT("'"&amp;$D$2&amp;"'"&amp;"!t"&amp;Z258)))</f>
        <v/>
      </c>
      <c r="Q258" s="113" t="str" cm="1">
        <f t="array" aca="1" ref="Q258" ca="1">IFERROR(IF($C258="","",INDIRECT($D$2&amp;"!v"&amp;Z258)),IF($C258="","",INDIRECT("'"&amp;$D$2&amp;"'"&amp;"!v"&amp;Z258)))</f>
        <v/>
      </c>
      <c r="R258" s="113" t="str">
        <f t="shared" ca="1" si="24"/>
        <v/>
      </c>
      <c r="S258" s="113" t="str" cm="1">
        <f t="array" aca="1" ref="S258" ca="1">IFERROR(IF($C258="","",INDIRECT($D$2&amp;"!x"&amp;Z258)),IF($C258="","",INDIRECT("'"&amp;$D$2&amp;"'"&amp;"!x"&amp;Z258)))</f>
        <v/>
      </c>
      <c r="U258" s="113" t="str" cm="1">
        <f t="array" aca="1" ref="U258" ca="1">IFERROR(IF($C258="","",INDIRECT($D$2&amp;"!z"&amp;Z258)),IF($C258="","",INDIRECT("'"&amp;$D$2&amp;"'"&amp;"!z"&amp;Z258)))</f>
        <v/>
      </c>
      <c r="V258" s="113" t="str">
        <f t="shared" ca="1" si="25"/>
        <v/>
      </c>
      <c r="W258" s="113" t="str" cm="1">
        <f t="array" aca="1" ref="W258" ca="1">IFERROR(IF($C258="","",INDIRECT($D$2&amp;"!ab"&amp;Z258)),IF($C258="","",INDIRECT("'"&amp;$D$2&amp;"'"&amp;"!ab"&amp;Z258)))</f>
        <v/>
      </c>
      <c r="X258" s="113"/>
      <c r="Y258" s="113" t="str">
        <f t="shared" ca="1" si="26"/>
        <v/>
      </c>
      <c r="Z258" s="35">
        <v>247</v>
      </c>
      <c r="AA258" s="113"/>
      <c r="AB258" s="35">
        <v>247</v>
      </c>
    </row>
    <row r="259" spans="3:28" x14ac:dyDescent="0.25">
      <c r="C259" t="str" cm="1">
        <f t="array" aca="1" ref="C259" ca="1">IFERROR(IF(INDIRECT($D$2&amp;"!B"&amp;Z259)="","",INDIRECT("'"&amp;$D$2&amp;"'"&amp;"!B"&amp;Z259)),IF(INDIRECT("'"&amp;$D$2&amp;"'"&amp;"!B"&amp;Z259)="","",INDIRECT("'"&amp;$D$2&amp;"'"&amp;"!B"&amp;Z259)))</f>
        <v/>
      </c>
      <c r="D259" t="str" cm="1">
        <f t="array" aca="1" ref="D259" ca="1">IFERROR(_xlfn.IFS(C259="","",C259&lt;&gt;"",INDEX(SF_Output!I:I,MATCH(C259,SF_Output!M:M,0))),IFERROR(INDEX(INDIRECT($D$2&amp;"!G:G"),MATCH(C259,INDIRECT($D$2&amp;"!B:B"),0)),INDEX(INDIRECT("'"&amp;$D$2&amp;"'!G:G"),MATCH(C259,INDIRECT("'"&amp;$D$2&amp;"'!B:B"),0))))</f>
        <v/>
      </c>
      <c r="E259" t="str" cm="1">
        <f t="array" aca="1" ref="E259" ca="1">IFERROR(IF(C259="","",INDIRECT($D$2&amp;"!F"&amp;Z259)),IF(C259="","",INDIRECT("'"&amp;$D$2&amp;"'"&amp;"!F"&amp;Z259)))</f>
        <v/>
      </c>
      <c r="F259" t="str" cm="1">
        <f t="array" aca="1" ref="F259" ca="1">IFERROR(IF(C259="","",INDIRECT($D$2&amp;"!ak"&amp;Z259)),IF(C259="","",INDIRECT("'"&amp;$D$2&amp;"'"&amp;"!ak"&amp;Z259)))</f>
        <v/>
      </c>
      <c r="G259" t="str" cm="1">
        <f t="array" aca="1" ref="G259" ca="1">IFERROR(INDIRECT($D$2&amp;"!h"&amp;Z259),INDIRECT("'"&amp;$D$2&amp;"'"&amp;"!h"&amp;Z259))</f>
        <v/>
      </c>
      <c r="H259" s="125" t="str" cm="1">
        <f t="array" aca="1" ref="H259" ca="1">IFERROR(INDIRECT($D$2&amp;"!i"&amp;Z259),INDIRECT("'"&amp;$D$2&amp;"'"&amp;"!i"&amp;Z259))</f>
        <v/>
      </c>
      <c r="I259" s="113" t="str" cm="1">
        <f t="array" aca="1" ref="I259" ca="1">IFERROR(IF($C259="","",INDIRECT($D$2&amp;"!j"&amp;$Z259)+INDIRECT($D$2&amp;"!n"&amp;$Z259)),IF($C259="","",INDIRECT("'"&amp;$D$2&amp;"'"&amp;"!j"&amp;$Z259)+INDIRECT("'"&amp;$D$2&amp;"'"&amp;"!n"&amp;$Z259)))</f>
        <v/>
      </c>
      <c r="J259" s="113" t="str">
        <f t="shared" ca="1" si="22"/>
        <v/>
      </c>
      <c r="K259" s="113" t="str" cm="1">
        <f t="array" aca="1" ref="K259" ca="1">IFERROR(IF($C259="","",INDIRECT($D$2&amp;"!l"&amp;$Z259)+INDIRECT($D$2&amp;"!p"&amp;$Z259)),IF($C259="","",INDIRECT("'"&amp;$D$2&amp;"'"&amp;"!l"&amp;$Z259)+INDIRECT("'"&amp;$D$2&amp;"'"&amp;"!p"&amp;$Z259)))</f>
        <v/>
      </c>
      <c r="M259" s="113" t="str" cm="1">
        <f t="array" aca="1" ref="M259" ca="1">IFERROR(IF($C259="","",INDIRECT($D$2&amp;"!r"&amp;Z259)),IF($C259="","",INDIRECT("'"&amp;$D$2&amp;"'"&amp;"!r"&amp;Z259)))</f>
        <v/>
      </c>
      <c r="N259" s="113" t="str">
        <f t="shared" ca="1" si="23"/>
        <v/>
      </c>
      <c r="O259" s="113" t="str" cm="1">
        <f t="array" aca="1" ref="O259" ca="1">IFERROR(IF($C259="","",INDIRECT($D$2&amp;"!t"&amp;Z259)),IF($C259="","",INDIRECT("'"&amp;$D$2&amp;"'"&amp;"!t"&amp;Z259)))</f>
        <v/>
      </c>
      <c r="Q259" s="113" t="str" cm="1">
        <f t="array" aca="1" ref="Q259" ca="1">IFERROR(IF($C259="","",INDIRECT($D$2&amp;"!v"&amp;Z259)),IF($C259="","",INDIRECT("'"&amp;$D$2&amp;"'"&amp;"!v"&amp;Z259)))</f>
        <v/>
      </c>
      <c r="R259" s="113" t="str">
        <f t="shared" ca="1" si="24"/>
        <v/>
      </c>
      <c r="S259" s="113" t="str" cm="1">
        <f t="array" aca="1" ref="S259" ca="1">IFERROR(IF($C259="","",INDIRECT($D$2&amp;"!x"&amp;Z259)),IF($C259="","",INDIRECT("'"&amp;$D$2&amp;"'"&amp;"!x"&amp;Z259)))</f>
        <v/>
      </c>
      <c r="U259" s="113" t="str" cm="1">
        <f t="array" aca="1" ref="U259" ca="1">IFERROR(IF($C259="","",INDIRECT($D$2&amp;"!z"&amp;Z259)),IF($C259="","",INDIRECT("'"&amp;$D$2&amp;"'"&amp;"!z"&amp;Z259)))</f>
        <v/>
      </c>
      <c r="V259" s="113" t="str">
        <f t="shared" ca="1" si="25"/>
        <v/>
      </c>
      <c r="W259" s="113" t="str" cm="1">
        <f t="array" aca="1" ref="W259" ca="1">IFERROR(IF($C259="","",INDIRECT($D$2&amp;"!ab"&amp;Z259)),IF($C259="","",INDIRECT("'"&amp;$D$2&amp;"'"&amp;"!ab"&amp;Z259)))</f>
        <v/>
      </c>
      <c r="X259" s="113"/>
      <c r="Y259" s="113" t="str">
        <f t="shared" ca="1" si="26"/>
        <v/>
      </c>
      <c r="Z259" s="35">
        <v>248</v>
      </c>
      <c r="AA259" s="113"/>
      <c r="AB259" s="35">
        <v>248</v>
      </c>
    </row>
    <row r="260" spans="3:28" x14ac:dyDescent="0.25">
      <c r="C260" t="str" cm="1">
        <f t="array" aca="1" ref="C260" ca="1">IFERROR(IF(INDIRECT($D$2&amp;"!B"&amp;Z260)="","",INDIRECT("'"&amp;$D$2&amp;"'"&amp;"!B"&amp;Z260)),IF(INDIRECT("'"&amp;$D$2&amp;"'"&amp;"!B"&amp;Z260)="","",INDIRECT("'"&amp;$D$2&amp;"'"&amp;"!B"&amp;Z260)))</f>
        <v/>
      </c>
      <c r="D260" t="str" cm="1">
        <f t="array" aca="1" ref="D260" ca="1">IFERROR(_xlfn.IFS(C260="","",C260&lt;&gt;"",INDEX(SF_Output!I:I,MATCH(C260,SF_Output!M:M,0))),IFERROR(INDEX(INDIRECT($D$2&amp;"!G:G"),MATCH(C260,INDIRECT($D$2&amp;"!B:B"),0)),INDEX(INDIRECT("'"&amp;$D$2&amp;"'!G:G"),MATCH(C260,INDIRECT("'"&amp;$D$2&amp;"'!B:B"),0))))</f>
        <v/>
      </c>
      <c r="E260" t="str" cm="1">
        <f t="array" aca="1" ref="E260" ca="1">IFERROR(IF(C260="","",INDIRECT($D$2&amp;"!F"&amp;Z260)),IF(C260="","",INDIRECT("'"&amp;$D$2&amp;"'"&amp;"!F"&amp;Z260)))</f>
        <v/>
      </c>
      <c r="F260" t="str" cm="1">
        <f t="array" aca="1" ref="F260" ca="1">IFERROR(IF(C260="","",INDIRECT($D$2&amp;"!ak"&amp;Z260)),IF(C260="","",INDIRECT("'"&amp;$D$2&amp;"'"&amp;"!ak"&amp;Z260)))</f>
        <v/>
      </c>
      <c r="G260" t="str" cm="1">
        <f t="array" aca="1" ref="G260" ca="1">IFERROR(INDIRECT($D$2&amp;"!h"&amp;Z260),INDIRECT("'"&amp;$D$2&amp;"'"&amp;"!h"&amp;Z260))</f>
        <v/>
      </c>
      <c r="H260" s="125" t="str" cm="1">
        <f t="array" aca="1" ref="H260" ca="1">IFERROR(INDIRECT($D$2&amp;"!i"&amp;Z260),INDIRECT("'"&amp;$D$2&amp;"'"&amp;"!i"&amp;Z260))</f>
        <v/>
      </c>
      <c r="I260" s="113" t="str" cm="1">
        <f t="array" aca="1" ref="I260" ca="1">IFERROR(IF($C260="","",INDIRECT($D$2&amp;"!j"&amp;$Z260)+INDIRECT($D$2&amp;"!n"&amp;$Z260)),IF($C260="","",INDIRECT("'"&amp;$D$2&amp;"'"&amp;"!j"&amp;$Z260)+INDIRECT("'"&amp;$D$2&amp;"'"&amp;"!n"&amp;$Z260)))</f>
        <v/>
      </c>
      <c r="J260" s="113" t="str">
        <f t="shared" ca="1" si="22"/>
        <v/>
      </c>
      <c r="K260" s="113" t="str" cm="1">
        <f t="array" aca="1" ref="K260" ca="1">IFERROR(IF($C260="","",INDIRECT($D$2&amp;"!l"&amp;$Z260)+INDIRECT($D$2&amp;"!p"&amp;$Z260)),IF($C260="","",INDIRECT("'"&amp;$D$2&amp;"'"&amp;"!l"&amp;$Z260)+INDIRECT("'"&amp;$D$2&amp;"'"&amp;"!p"&amp;$Z260)))</f>
        <v/>
      </c>
      <c r="M260" s="113" t="str" cm="1">
        <f t="array" aca="1" ref="M260" ca="1">IFERROR(IF($C260="","",INDIRECT($D$2&amp;"!r"&amp;Z260)),IF($C260="","",INDIRECT("'"&amp;$D$2&amp;"'"&amp;"!r"&amp;Z260)))</f>
        <v/>
      </c>
      <c r="N260" s="113" t="str">
        <f t="shared" ca="1" si="23"/>
        <v/>
      </c>
      <c r="O260" s="113" t="str" cm="1">
        <f t="array" aca="1" ref="O260" ca="1">IFERROR(IF($C260="","",INDIRECT($D$2&amp;"!t"&amp;Z260)),IF($C260="","",INDIRECT("'"&amp;$D$2&amp;"'"&amp;"!t"&amp;Z260)))</f>
        <v/>
      </c>
      <c r="Q260" s="113" t="str" cm="1">
        <f t="array" aca="1" ref="Q260" ca="1">IFERROR(IF($C260="","",INDIRECT($D$2&amp;"!v"&amp;Z260)),IF($C260="","",INDIRECT("'"&amp;$D$2&amp;"'"&amp;"!v"&amp;Z260)))</f>
        <v/>
      </c>
      <c r="R260" s="113" t="str">
        <f t="shared" ca="1" si="24"/>
        <v/>
      </c>
      <c r="S260" s="113" t="str" cm="1">
        <f t="array" aca="1" ref="S260" ca="1">IFERROR(IF($C260="","",INDIRECT($D$2&amp;"!x"&amp;Z260)),IF($C260="","",INDIRECT("'"&amp;$D$2&amp;"'"&amp;"!x"&amp;Z260)))</f>
        <v/>
      </c>
      <c r="U260" s="113" t="str" cm="1">
        <f t="array" aca="1" ref="U260" ca="1">IFERROR(IF($C260="","",INDIRECT($D$2&amp;"!z"&amp;Z260)),IF($C260="","",INDIRECT("'"&amp;$D$2&amp;"'"&amp;"!z"&amp;Z260)))</f>
        <v/>
      </c>
      <c r="V260" s="113" t="str">
        <f t="shared" ca="1" si="25"/>
        <v/>
      </c>
      <c r="W260" s="113" t="str" cm="1">
        <f t="array" aca="1" ref="W260" ca="1">IFERROR(IF($C260="","",INDIRECT($D$2&amp;"!ab"&amp;Z260)),IF($C260="","",INDIRECT("'"&amp;$D$2&amp;"'"&amp;"!ab"&amp;Z260)))</f>
        <v/>
      </c>
      <c r="X260" s="113"/>
      <c r="Y260" s="113" t="str">
        <f t="shared" ca="1" si="26"/>
        <v/>
      </c>
      <c r="Z260" s="35">
        <v>249</v>
      </c>
      <c r="AA260" s="113"/>
      <c r="AB260" s="35">
        <v>249</v>
      </c>
    </row>
    <row r="261" spans="3:28" x14ac:dyDescent="0.25">
      <c r="C261" t="str" cm="1">
        <f t="array" aca="1" ref="C261" ca="1">IFERROR(IF(INDIRECT($D$2&amp;"!B"&amp;Z261)="","",INDIRECT("'"&amp;$D$2&amp;"'"&amp;"!B"&amp;Z261)),IF(INDIRECT("'"&amp;$D$2&amp;"'"&amp;"!B"&amp;Z261)="","",INDIRECT("'"&amp;$D$2&amp;"'"&amp;"!B"&amp;Z261)))</f>
        <v/>
      </c>
      <c r="D261" t="str" cm="1">
        <f t="array" aca="1" ref="D261" ca="1">IFERROR(_xlfn.IFS(C261="","",C261&lt;&gt;"",INDEX(SF_Output!I:I,MATCH(C261,SF_Output!M:M,0))),IFERROR(INDEX(INDIRECT($D$2&amp;"!G:G"),MATCH(C261,INDIRECT($D$2&amp;"!B:B"),0)),INDEX(INDIRECT("'"&amp;$D$2&amp;"'!G:G"),MATCH(C261,INDIRECT("'"&amp;$D$2&amp;"'!B:B"),0))))</f>
        <v/>
      </c>
      <c r="E261" t="str" cm="1">
        <f t="array" aca="1" ref="E261" ca="1">IFERROR(IF(C261="","",INDIRECT($D$2&amp;"!F"&amp;Z261)),IF(C261="","",INDIRECT("'"&amp;$D$2&amp;"'"&amp;"!F"&amp;Z261)))</f>
        <v/>
      </c>
      <c r="F261" t="str" cm="1">
        <f t="array" aca="1" ref="F261" ca="1">IFERROR(IF(C261="","",INDIRECT($D$2&amp;"!ak"&amp;Z261)),IF(C261="","",INDIRECT("'"&amp;$D$2&amp;"'"&amp;"!ak"&amp;Z261)))</f>
        <v/>
      </c>
      <c r="G261" t="str" cm="1">
        <f t="array" aca="1" ref="G261" ca="1">IFERROR(INDIRECT($D$2&amp;"!h"&amp;Z261),INDIRECT("'"&amp;$D$2&amp;"'"&amp;"!h"&amp;Z261))</f>
        <v/>
      </c>
      <c r="H261" s="125" t="str" cm="1">
        <f t="array" aca="1" ref="H261" ca="1">IFERROR(INDIRECT($D$2&amp;"!i"&amp;Z261),INDIRECT("'"&amp;$D$2&amp;"'"&amp;"!i"&amp;Z261))</f>
        <v/>
      </c>
      <c r="I261" s="113" t="str" cm="1">
        <f t="array" aca="1" ref="I261" ca="1">IFERROR(IF($C261="","",INDIRECT($D$2&amp;"!j"&amp;$Z261)+INDIRECT($D$2&amp;"!n"&amp;$Z261)),IF($C261="","",INDIRECT("'"&amp;$D$2&amp;"'"&amp;"!j"&amp;$Z261)+INDIRECT("'"&amp;$D$2&amp;"'"&amp;"!n"&amp;$Z261)))</f>
        <v/>
      </c>
      <c r="J261" s="113" t="str">
        <f t="shared" ca="1" si="22"/>
        <v/>
      </c>
      <c r="K261" s="113" t="str" cm="1">
        <f t="array" aca="1" ref="K261" ca="1">IFERROR(IF($C261="","",INDIRECT($D$2&amp;"!l"&amp;$Z261)+INDIRECT($D$2&amp;"!p"&amp;$Z261)),IF($C261="","",INDIRECT("'"&amp;$D$2&amp;"'"&amp;"!l"&amp;$Z261)+INDIRECT("'"&amp;$D$2&amp;"'"&amp;"!p"&amp;$Z261)))</f>
        <v/>
      </c>
      <c r="M261" s="113" t="str" cm="1">
        <f t="array" aca="1" ref="M261" ca="1">IFERROR(IF($C261="","",INDIRECT($D$2&amp;"!r"&amp;Z261)),IF($C261="","",INDIRECT("'"&amp;$D$2&amp;"'"&amp;"!r"&amp;Z261)))</f>
        <v/>
      </c>
      <c r="N261" s="113" t="str">
        <f t="shared" ca="1" si="23"/>
        <v/>
      </c>
      <c r="O261" s="113" t="str" cm="1">
        <f t="array" aca="1" ref="O261" ca="1">IFERROR(IF($C261="","",INDIRECT($D$2&amp;"!t"&amp;Z261)),IF($C261="","",INDIRECT("'"&amp;$D$2&amp;"'"&amp;"!t"&amp;Z261)))</f>
        <v/>
      </c>
      <c r="Q261" s="113" t="str" cm="1">
        <f t="array" aca="1" ref="Q261" ca="1">IFERROR(IF($C261="","",INDIRECT($D$2&amp;"!v"&amp;Z261)),IF($C261="","",INDIRECT("'"&amp;$D$2&amp;"'"&amp;"!v"&amp;Z261)))</f>
        <v/>
      </c>
      <c r="R261" s="113" t="str">
        <f t="shared" ca="1" si="24"/>
        <v/>
      </c>
      <c r="S261" s="113" t="str" cm="1">
        <f t="array" aca="1" ref="S261" ca="1">IFERROR(IF($C261="","",INDIRECT($D$2&amp;"!x"&amp;Z261)),IF($C261="","",INDIRECT("'"&amp;$D$2&amp;"'"&amp;"!x"&amp;Z261)))</f>
        <v/>
      </c>
      <c r="U261" s="113" t="str" cm="1">
        <f t="array" aca="1" ref="U261" ca="1">IFERROR(IF($C261="","",INDIRECT($D$2&amp;"!z"&amp;Z261)),IF($C261="","",INDIRECT("'"&amp;$D$2&amp;"'"&amp;"!z"&amp;Z261)))</f>
        <v/>
      </c>
      <c r="V261" s="113" t="str">
        <f t="shared" ca="1" si="25"/>
        <v/>
      </c>
      <c r="W261" s="113" t="str" cm="1">
        <f t="array" aca="1" ref="W261" ca="1">IFERROR(IF($C261="","",INDIRECT($D$2&amp;"!ab"&amp;Z261)),IF($C261="","",INDIRECT("'"&amp;$D$2&amp;"'"&amp;"!ab"&amp;Z261)))</f>
        <v/>
      </c>
      <c r="X261" s="113"/>
      <c r="Y261" s="113" t="str">
        <f t="shared" ca="1" si="26"/>
        <v/>
      </c>
      <c r="Z261" s="35">
        <v>250</v>
      </c>
      <c r="AA261" s="113"/>
      <c r="AB261" s="35">
        <v>250</v>
      </c>
    </row>
  </sheetData>
  <dataValidations count="1">
    <dataValidation type="list" allowBlank="1" showInputMessage="1" showErrorMessage="1" sqref="I2" xr:uid="{B05571CE-A60C-400C-B09E-56EB186B9751}">
      <formula1>"Yes,No"</formula1>
    </dataValidation>
  </dataValidations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7066BE0-DCF2-4BA2-A8B1-0FDB843BF021}">
          <x14:formula1>
            <xm:f>H_Tables!$K$2:$K$4</xm:f>
          </x14:formula1>
          <xm:sqref>D2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C9D57-51D0-4239-984E-8CB2B718866F}">
  <sheetPr codeName="Sheet8"/>
  <dimension ref="B2:V262"/>
  <sheetViews>
    <sheetView zoomScale="85" zoomScaleNormal="85" workbookViewId="0">
      <pane ySplit="25" topLeftCell="A50" activePane="bottomLeft" state="frozen"/>
      <selection pane="bottomLeft" activeCell="F15" sqref="F15"/>
    </sheetView>
  </sheetViews>
  <sheetFormatPr defaultColWidth="9.140625" defaultRowHeight="15" x14ac:dyDescent="0.25"/>
  <cols>
    <col min="1" max="2" width="3.42578125" customWidth="1"/>
    <col min="3" max="3" width="50.5703125" customWidth="1"/>
    <col min="4" max="4" width="16.42578125" customWidth="1"/>
    <col min="5" max="5" width="17.140625" customWidth="1"/>
    <col min="6" max="6" width="6.7109375" customWidth="1"/>
    <col min="7" max="7" width="10.42578125" customWidth="1"/>
    <col min="8" max="8" width="17.140625" customWidth="1"/>
    <col min="9" max="9" width="21.140625" customWidth="1"/>
    <col min="10" max="10" width="17" customWidth="1"/>
    <col min="11" max="11" width="21.140625" customWidth="1"/>
    <col min="12" max="12" width="3.42578125" customWidth="1"/>
    <col min="13" max="13" width="21.140625" customWidth="1"/>
    <col min="14" max="14" width="17" customWidth="1"/>
    <col min="15" max="15" width="21.140625" customWidth="1"/>
    <col min="16" max="16" width="3.42578125" customWidth="1"/>
    <col min="17" max="17" width="21.140625" customWidth="1"/>
    <col min="18" max="18" width="17" customWidth="1"/>
    <col min="19" max="19" width="21.140625" customWidth="1"/>
    <col min="20" max="20" width="9.140625" style="35"/>
  </cols>
  <sheetData>
    <row r="2" spans="2:19" x14ac:dyDescent="0.25">
      <c r="C2" t="s">
        <v>169</v>
      </c>
      <c r="D2" s="105" t="s">
        <v>170</v>
      </c>
    </row>
    <row r="4" spans="2:19" x14ac:dyDescent="0.25">
      <c r="B4" s="100" t="str" cm="1">
        <f t="array" aca="1" ref="B4" ca="1">IFERROR(CONCATENATE("Pricing Proposal Summary for Prepared for ",INDIRECT($D$2&amp;"!c4")," - ",INDIRECT(D2&amp;"!c11")," Months"),CONCATENATE("Pricing Proposal Summary for Prepared for ",INDIRECT("'"&amp;$D$2&amp;"'!c4")," - ",INDIRECT("'"&amp;D2&amp;"'!c11")," Months"))</f>
        <v>Pricing Proposal Summary for Prepared for Echelon Bank (InOrg) - TBD Months</v>
      </c>
      <c r="C4" s="101"/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26" t="s">
        <v>172</v>
      </c>
    </row>
    <row r="6" spans="2:19" x14ac:dyDescent="0.25">
      <c r="B6" s="104" t="s">
        <v>173</v>
      </c>
      <c r="C6" s="102"/>
      <c r="D6" s="102"/>
      <c r="E6" s="102"/>
      <c r="F6" s="102"/>
      <c r="G6" s="102"/>
      <c r="H6" s="102"/>
      <c r="I6" s="108" t="s">
        <v>174</v>
      </c>
      <c r="J6" s="108" t="s">
        <v>21</v>
      </c>
      <c r="K6" s="108" t="s">
        <v>175</v>
      </c>
      <c r="L6" s="108"/>
      <c r="M6" s="108" t="s">
        <v>176</v>
      </c>
      <c r="N6" s="108" t="s">
        <v>21</v>
      </c>
      <c r="O6" s="108" t="s">
        <v>177</v>
      </c>
      <c r="P6" s="108"/>
      <c r="Q6" s="108" t="s">
        <v>178</v>
      </c>
      <c r="R6" s="108" t="s">
        <v>21</v>
      </c>
      <c r="S6" s="108" t="s">
        <v>179</v>
      </c>
    </row>
    <row r="7" spans="2:19" x14ac:dyDescent="0.25">
      <c r="H7" t="s">
        <v>182</v>
      </c>
      <c r="I7" s="106">
        <f t="shared" ref="I7:K19" ca="1" si="0">SUMIFS(I$26:I$262,$D$26:$D$262,$H7,$E$26:$E$262,"Included")</f>
        <v>215605</v>
      </c>
      <c r="J7" s="106">
        <f t="shared" ca="1" si="0"/>
        <v>-206605</v>
      </c>
      <c r="K7" s="106">
        <f t="shared" ca="1" si="0"/>
        <v>9000</v>
      </c>
      <c r="L7" s="106"/>
      <c r="M7" s="106">
        <f t="shared" ref="M7:O19" ca="1" si="1">SUMIFS(M$26:M$262,$D$26:$D$262,$H7,$E$26:$E$262,"Included")</f>
        <v>0</v>
      </c>
      <c r="N7" s="106">
        <f t="shared" ca="1" si="1"/>
        <v>0</v>
      </c>
      <c r="O7" s="106">
        <f t="shared" ca="1" si="1"/>
        <v>0</v>
      </c>
      <c r="P7" s="106"/>
      <c r="Q7" s="106">
        <f t="shared" ref="Q7:S19" ca="1" si="2">SUMIFS(Q$26:Q$262,$D$26:$D$262,$H7,$E$26:$E$262,"Included")</f>
        <v>7371.4</v>
      </c>
      <c r="R7" s="106">
        <f t="shared" ca="1" si="2"/>
        <v>-943.14999999999964</v>
      </c>
      <c r="S7" s="106">
        <f t="shared" ca="1" si="2"/>
        <v>6428.25</v>
      </c>
    </row>
    <row r="8" spans="2:19" x14ac:dyDescent="0.25">
      <c r="H8" t="s">
        <v>183</v>
      </c>
      <c r="I8" s="106">
        <f t="shared" ca="1" si="0"/>
        <v>43220</v>
      </c>
      <c r="J8" s="106">
        <f t="shared" ca="1" si="0"/>
        <v>-36675</v>
      </c>
      <c r="K8" s="106">
        <f t="shared" ca="1" si="0"/>
        <v>6545</v>
      </c>
      <c r="L8" s="106"/>
      <c r="M8" s="106">
        <f t="shared" ca="1" si="1"/>
        <v>6309</v>
      </c>
      <c r="N8" s="106">
        <f t="shared" ca="1" si="1"/>
        <v>0</v>
      </c>
      <c r="O8" s="106">
        <f t="shared" ca="1" si="1"/>
        <v>6309</v>
      </c>
      <c r="P8" s="106"/>
      <c r="Q8" s="106">
        <f t="shared" ca="1" si="2"/>
        <v>2520</v>
      </c>
      <c r="R8" s="106">
        <f t="shared" ca="1" si="2"/>
        <v>-629.5</v>
      </c>
      <c r="S8" s="106">
        <f t="shared" ca="1" si="2"/>
        <v>1890.5</v>
      </c>
    </row>
    <row r="9" spans="2:19" x14ac:dyDescent="0.25">
      <c r="H9" t="s">
        <v>184</v>
      </c>
      <c r="I9" s="106">
        <f t="shared" ca="1" si="0"/>
        <v>112050</v>
      </c>
      <c r="J9" s="106">
        <f t="shared" ca="1" si="0"/>
        <v>-112050</v>
      </c>
      <c r="K9" s="106">
        <f t="shared" ca="1" si="0"/>
        <v>0</v>
      </c>
      <c r="L9" s="106"/>
      <c r="M9" s="106">
        <f t="shared" ca="1" si="1"/>
        <v>500</v>
      </c>
      <c r="N9" s="106">
        <f t="shared" ca="1" si="1"/>
        <v>0</v>
      </c>
      <c r="O9" s="106">
        <f t="shared" ca="1" si="1"/>
        <v>500</v>
      </c>
      <c r="P9" s="106"/>
      <c r="Q9" s="106">
        <f t="shared" ca="1" si="2"/>
        <v>3505</v>
      </c>
      <c r="R9" s="106">
        <f t="shared" ca="1" si="2"/>
        <v>-588.5</v>
      </c>
      <c r="S9" s="106">
        <f t="shared" ca="1" si="2"/>
        <v>2916.5</v>
      </c>
    </row>
    <row r="10" spans="2:19" x14ac:dyDescent="0.25">
      <c r="H10" t="s">
        <v>185</v>
      </c>
      <c r="I10" s="106">
        <f t="shared" ca="1" si="0"/>
        <v>90325</v>
      </c>
      <c r="J10" s="106">
        <f t="shared" ca="1" si="0"/>
        <v>-58350</v>
      </c>
      <c r="K10" s="106">
        <f t="shared" ca="1" si="0"/>
        <v>31975</v>
      </c>
      <c r="L10" s="106"/>
      <c r="M10" s="106">
        <f t="shared" ca="1" si="1"/>
        <v>0</v>
      </c>
      <c r="N10" s="106">
        <f t="shared" ca="1" si="1"/>
        <v>0</v>
      </c>
      <c r="O10" s="106">
        <f t="shared" ca="1" si="1"/>
        <v>0</v>
      </c>
      <c r="P10" s="106"/>
      <c r="Q10" s="106">
        <f t="shared" ca="1" si="2"/>
        <v>5925</v>
      </c>
      <c r="R10" s="106">
        <f t="shared" ca="1" si="2"/>
        <v>-1026</v>
      </c>
      <c r="S10" s="106">
        <f t="shared" ca="1" si="2"/>
        <v>4899</v>
      </c>
    </row>
    <row r="11" spans="2:19" x14ac:dyDescent="0.25">
      <c r="H11" t="s">
        <v>186</v>
      </c>
      <c r="I11" s="106">
        <f t="shared" ca="1" si="0"/>
        <v>0</v>
      </c>
      <c r="J11" s="106">
        <f t="shared" ca="1" si="0"/>
        <v>0</v>
      </c>
      <c r="K11" s="106">
        <f t="shared" ca="1" si="0"/>
        <v>0</v>
      </c>
      <c r="L11" s="106"/>
      <c r="M11" s="106">
        <f t="shared" ca="1" si="1"/>
        <v>0</v>
      </c>
      <c r="N11" s="106">
        <f t="shared" ca="1" si="1"/>
        <v>0</v>
      </c>
      <c r="O11" s="106">
        <f t="shared" ca="1" si="1"/>
        <v>0</v>
      </c>
      <c r="P11" s="106"/>
      <c r="Q11" s="106">
        <f t="shared" ca="1" si="2"/>
        <v>0</v>
      </c>
      <c r="R11" s="106">
        <f t="shared" ca="1" si="2"/>
        <v>0</v>
      </c>
      <c r="S11" s="106">
        <f t="shared" ca="1" si="2"/>
        <v>0</v>
      </c>
    </row>
    <row r="12" spans="2:19" x14ac:dyDescent="0.25">
      <c r="H12" t="s">
        <v>187</v>
      </c>
      <c r="I12" s="106">
        <f t="shared" ca="1" si="0"/>
        <v>89490</v>
      </c>
      <c r="J12" s="106">
        <f t="shared" ca="1" si="0"/>
        <v>-24722.5</v>
      </c>
      <c r="K12" s="106">
        <f t="shared" ca="1" si="0"/>
        <v>64767.5</v>
      </c>
      <c r="L12" s="106"/>
      <c r="M12" s="106">
        <f t="shared" ca="1" si="1"/>
        <v>1880</v>
      </c>
      <c r="N12" s="106">
        <f t="shared" ca="1" si="1"/>
        <v>0</v>
      </c>
      <c r="O12" s="106">
        <f t="shared" ca="1" si="1"/>
        <v>1880</v>
      </c>
      <c r="P12" s="106"/>
      <c r="Q12" s="106">
        <f t="shared" ca="1" si="2"/>
        <v>9320</v>
      </c>
      <c r="R12" s="106">
        <f t="shared" ca="1" si="2"/>
        <v>-933</v>
      </c>
      <c r="S12" s="106">
        <f t="shared" ca="1" si="2"/>
        <v>8387</v>
      </c>
    </row>
    <row r="13" spans="2:19" x14ac:dyDescent="0.25">
      <c r="H13" t="s">
        <v>188</v>
      </c>
      <c r="I13" s="106">
        <f t="shared" ca="1" si="0"/>
        <v>123095</v>
      </c>
      <c r="J13" s="106">
        <f t="shared" ca="1" si="0"/>
        <v>-120595</v>
      </c>
      <c r="K13" s="106">
        <f t="shared" ca="1" si="0"/>
        <v>2500</v>
      </c>
      <c r="L13" s="106"/>
      <c r="M13" s="106">
        <f t="shared" ca="1" si="1"/>
        <v>630</v>
      </c>
      <c r="N13" s="106">
        <f t="shared" ca="1" si="1"/>
        <v>0</v>
      </c>
      <c r="O13" s="106">
        <f t="shared" ca="1" si="1"/>
        <v>630</v>
      </c>
      <c r="P13" s="106"/>
      <c r="Q13" s="106">
        <f t="shared" ca="1" si="2"/>
        <v>10140</v>
      </c>
      <c r="R13" s="106">
        <f t="shared" ca="1" si="2"/>
        <v>-1075</v>
      </c>
      <c r="S13" s="106">
        <f t="shared" ca="1" si="2"/>
        <v>9065</v>
      </c>
    </row>
    <row r="14" spans="2:19" x14ac:dyDescent="0.25">
      <c r="H14" t="s">
        <v>189</v>
      </c>
      <c r="I14" s="106">
        <f t="shared" ca="1" si="0"/>
        <v>31575</v>
      </c>
      <c r="J14" s="106">
        <f t="shared" ca="1" si="0"/>
        <v>-26075</v>
      </c>
      <c r="K14" s="106">
        <f t="shared" ca="1" si="0"/>
        <v>5500</v>
      </c>
      <c r="L14" s="106"/>
      <c r="M14" s="106">
        <f t="shared" ca="1" si="1"/>
        <v>4940</v>
      </c>
      <c r="N14" s="106">
        <f t="shared" ca="1" si="1"/>
        <v>0</v>
      </c>
      <c r="O14" s="106">
        <f t="shared" ca="1" si="1"/>
        <v>4940</v>
      </c>
      <c r="P14" s="106"/>
      <c r="Q14" s="106">
        <f t="shared" ca="1" si="2"/>
        <v>2975</v>
      </c>
      <c r="R14" s="106">
        <f t="shared" ca="1" si="2"/>
        <v>-200.99999999999994</v>
      </c>
      <c r="S14" s="106">
        <f t="shared" ca="1" si="2"/>
        <v>2774</v>
      </c>
    </row>
    <row r="15" spans="2:19" x14ac:dyDescent="0.25">
      <c r="H15" t="s">
        <v>190</v>
      </c>
      <c r="I15" s="106">
        <f t="shared" ca="1" si="0"/>
        <v>45000</v>
      </c>
      <c r="J15" s="106">
        <f t="shared" ca="1" si="0"/>
        <v>0</v>
      </c>
      <c r="K15" s="106">
        <f t="shared" ca="1" si="0"/>
        <v>45000</v>
      </c>
      <c r="L15" s="106"/>
      <c r="M15" s="106">
        <f t="shared" ca="1" si="1"/>
        <v>3500</v>
      </c>
      <c r="N15" s="106">
        <f t="shared" ca="1" si="1"/>
        <v>0</v>
      </c>
      <c r="O15" s="106">
        <f t="shared" ca="1" si="1"/>
        <v>3500</v>
      </c>
      <c r="P15" s="106"/>
      <c r="Q15" s="106">
        <f t="shared" ca="1" si="2"/>
        <v>0</v>
      </c>
      <c r="R15" s="106">
        <f t="shared" ca="1" si="2"/>
        <v>0</v>
      </c>
      <c r="S15" s="106">
        <f t="shared" ca="1" si="2"/>
        <v>0</v>
      </c>
    </row>
    <row r="16" spans="2:19" x14ac:dyDescent="0.25">
      <c r="H16" t="s">
        <v>2642</v>
      </c>
      <c r="I16" s="106">
        <f t="shared" ca="1" si="0"/>
        <v>54000</v>
      </c>
      <c r="J16" s="106">
        <f t="shared" ca="1" si="0"/>
        <v>0</v>
      </c>
      <c r="K16" s="106">
        <f t="shared" ca="1" si="0"/>
        <v>54000</v>
      </c>
      <c r="L16" s="106"/>
      <c r="M16" s="106">
        <f t="shared" ca="1" si="1"/>
        <v>0</v>
      </c>
      <c r="N16" s="106">
        <f t="shared" ca="1" si="1"/>
        <v>0</v>
      </c>
      <c r="O16" s="106">
        <f t="shared" ca="1" si="1"/>
        <v>0</v>
      </c>
      <c r="P16" s="106"/>
      <c r="Q16" s="106">
        <f t="shared" ca="1" si="2"/>
        <v>2200</v>
      </c>
      <c r="R16" s="106">
        <f t="shared" ca="1" si="2"/>
        <v>0</v>
      </c>
      <c r="S16" s="106">
        <f t="shared" ca="1" si="2"/>
        <v>2200</v>
      </c>
    </row>
    <row r="17" spans="2:22" x14ac:dyDescent="0.25">
      <c r="H17" t="s">
        <v>2644</v>
      </c>
      <c r="I17" s="106">
        <f t="shared" ca="1" si="0"/>
        <v>7650</v>
      </c>
      <c r="J17" s="106">
        <f t="shared" ca="1" si="0"/>
        <v>0</v>
      </c>
      <c r="K17" s="106">
        <f t="shared" ca="1" si="0"/>
        <v>7650</v>
      </c>
      <c r="M17" s="106">
        <f t="shared" ca="1" si="1"/>
        <v>17140</v>
      </c>
      <c r="N17" s="106">
        <f t="shared" ca="1" si="1"/>
        <v>0</v>
      </c>
      <c r="O17" s="106">
        <f t="shared" ca="1" si="1"/>
        <v>17140</v>
      </c>
      <c r="Q17" s="106">
        <f t="shared" ca="1" si="2"/>
        <v>0</v>
      </c>
      <c r="R17" s="106">
        <f t="shared" ca="1" si="2"/>
        <v>0</v>
      </c>
      <c r="S17" s="106">
        <f t="shared" ca="1" si="2"/>
        <v>0</v>
      </c>
    </row>
    <row r="18" spans="2:22" x14ac:dyDescent="0.25">
      <c r="H18" t="s">
        <v>2648</v>
      </c>
      <c r="I18" s="106">
        <f t="shared" ca="1" si="0"/>
        <v>0</v>
      </c>
      <c r="J18" s="106">
        <f t="shared" ca="1" si="0"/>
        <v>0</v>
      </c>
      <c r="K18" s="106">
        <f t="shared" ca="1" si="0"/>
        <v>0</v>
      </c>
      <c r="M18" s="106">
        <f t="shared" ca="1" si="1"/>
        <v>0</v>
      </c>
      <c r="N18" s="106">
        <f t="shared" ca="1" si="1"/>
        <v>0</v>
      </c>
      <c r="O18" s="106">
        <f t="shared" ca="1" si="1"/>
        <v>0</v>
      </c>
      <c r="Q18" s="106">
        <f t="shared" ca="1" si="2"/>
        <v>0</v>
      </c>
      <c r="R18" s="106">
        <f t="shared" ca="1" si="2"/>
        <v>0</v>
      </c>
      <c r="S18" s="106">
        <f t="shared" ca="1" si="2"/>
        <v>0</v>
      </c>
    </row>
    <row r="19" spans="2:22" x14ac:dyDescent="0.25">
      <c r="H19" t="s">
        <v>2650</v>
      </c>
      <c r="I19" s="106">
        <f t="shared" ca="1" si="0"/>
        <v>30000</v>
      </c>
      <c r="J19" s="106">
        <f t="shared" ca="1" si="0"/>
        <v>0</v>
      </c>
      <c r="K19" s="106">
        <f t="shared" ca="1" si="0"/>
        <v>30000</v>
      </c>
      <c r="M19" s="106">
        <f t="shared" ca="1" si="1"/>
        <v>0</v>
      </c>
      <c r="N19" s="106">
        <f t="shared" ca="1" si="1"/>
        <v>0</v>
      </c>
      <c r="O19" s="106">
        <f t="shared" ca="1" si="1"/>
        <v>0</v>
      </c>
      <c r="Q19" s="106">
        <f t="shared" ca="1" si="2"/>
        <v>0</v>
      </c>
      <c r="R19" s="106">
        <f t="shared" ca="1" si="2"/>
        <v>0</v>
      </c>
      <c r="S19" s="106">
        <f t="shared" ca="1" si="2"/>
        <v>0</v>
      </c>
    </row>
    <row r="20" spans="2:22" x14ac:dyDescent="0.25">
      <c r="C20" s="103" t="s">
        <v>147</v>
      </c>
      <c r="D20" s="103"/>
      <c r="E20" s="103"/>
      <c r="F20" s="103"/>
      <c r="G20" s="103"/>
      <c r="H20" s="103"/>
      <c r="I20" s="107">
        <f ca="1">SUM(I7:I19)</f>
        <v>842010</v>
      </c>
      <c r="J20" s="107">
        <f ca="1">SUM(J7:J19)</f>
        <v>-585072.5</v>
      </c>
      <c r="K20" s="107">
        <f ca="1">SUM(K7:K19)</f>
        <v>256937.5</v>
      </c>
      <c r="L20" s="107"/>
      <c r="M20" s="107">
        <f ca="1">SUM(M7:M19)</f>
        <v>34899</v>
      </c>
      <c r="N20" s="107">
        <f ca="1">SUM(N7:N19)</f>
        <v>0</v>
      </c>
      <c r="O20" s="107">
        <f ca="1">SUM(O7:O19)</f>
        <v>34899</v>
      </c>
      <c r="P20" s="107"/>
      <c r="Q20" s="107">
        <f ca="1">SUM(Q7:Q19)</f>
        <v>43956.4</v>
      </c>
      <c r="R20" s="107">
        <f ca="1">SUM(R7:R19)</f>
        <v>-5396.15</v>
      </c>
      <c r="S20" s="107">
        <f ca="1">Q20+R20</f>
        <v>38560.25</v>
      </c>
    </row>
    <row r="22" spans="2:22" x14ac:dyDescent="0.25">
      <c r="C22" t="s">
        <v>192</v>
      </c>
      <c r="I22" s="106">
        <f ca="1">SUMIF($E$26:$E$262,"Replaced",I26:I262)</f>
        <v>0</v>
      </c>
      <c r="J22" s="106">
        <f ca="1">SUMIF($E$26:$E$262,"Replaced",J26:J262)</f>
        <v>0</v>
      </c>
      <c r="K22" s="106">
        <f ca="1">SUMIF($E$26:$E$262,"Replaced",K26:K262)</f>
        <v>0</v>
      </c>
      <c r="L22" s="106"/>
      <c r="M22" s="106">
        <f ca="1">SUMIF($E$26:$E$262,"Replaced",M26:M262)</f>
        <v>0</v>
      </c>
      <c r="N22" s="106">
        <f ca="1">SUMIF($E$26:$E$262,"Replaced",N26:N262)</f>
        <v>0</v>
      </c>
      <c r="O22" s="106">
        <f ca="1">SUMIF($E$26:$E$262,"Replaced",O26:O262)</f>
        <v>0</v>
      </c>
      <c r="P22" s="106"/>
      <c r="Q22" s="106">
        <f ca="1">SUMIF($E$26:$E$262,"Replaced",Q26:Q262)</f>
        <v>0</v>
      </c>
      <c r="R22" s="106">
        <f ca="1">SUMIF($E$26:$E$262,"Replaced",R26:R262)</f>
        <v>0</v>
      </c>
      <c r="S22" s="106">
        <f ca="1">SUMIF($E$26:$E$262,"Replaced",S26:S262)</f>
        <v>0</v>
      </c>
    </row>
    <row r="23" spans="2:22" x14ac:dyDescent="0.25">
      <c r="C23" t="s">
        <v>193</v>
      </c>
      <c r="I23" s="106">
        <f ca="1">SUMIF($E$26:$E$262,"optional",I26:I262)</f>
        <v>279595</v>
      </c>
      <c r="J23" s="106">
        <f ca="1">SUMIF($E$26:$E$262,"optional",J26:J262)</f>
        <v>-190745</v>
      </c>
      <c r="K23" s="106">
        <f ca="1">SUMIF($E$26:$E$262,"optional",K26:K262)</f>
        <v>88850</v>
      </c>
      <c r="L23" s="106"/>
      <c r="M23" s="106">
        <f ca="1">SUMIF($E$26:$E$262,"optional",M26:M262)</f>
        <v>14095.7</v>
      </c>
      <c r="N23" s="106">
        <f ca="1">SUMIF($E$26:$E$262,"optional",N26:N262)</f>
        <v>0</v>
      </c>
      <c r="O23" s="106">
        <f ca="1">SUMIF($E$26:$E$262,"optional",O26:O262)</f>
        <v>14095.7</v>
      </c>
      <c r="P23" s="106"/>
      <c r="Q23" s="106">
        <f ca="1">SUMIF($E$26:$E$262,"optional",Q26:Q262)</f>
        <v>11380</v>
      </c>
      <c r="R23" s="106">
        <f ca="1">SUMIF($E$26:$E$262,"optional",R26:R262)</f>
        <v>-1155.5</v>
      </c>
      <c r="S23" s="106">
        <f ca="1">SUMIF($E$26:$E$262,"optional",S26:S262)</f>
        <v>10224.5</v>
      </c>
    </row>
    <row r="25" spans="2:22" x14ac:dyDescent="0.25">
      <c r="B25" s="104"/>
      <c r="C25" s="102" t="s">
        <v>194</v>
      </c>
      <c r="D25" s="102" t="s">
        <v>195</v>
      </c>
      <c r="E25" s="102" t="s">
        <v>54</v>
      </c>
      <c r="F25" s="102"/>
      <c r="G25" s="102" t="s">
        <v>56</v>
      </c>
      <c r="H25" s="102" t="s">
        <v>196</v>
      </c>
      <c r="I25" s="108" t="str">
        <f>I6</f>
        <v>One Times - List</v>
      </c>
      <c r="J25" s="108" t="str">
        <f>J6</f>
        <v>Discount</v>
      </c>
      <c r="K25" s="108" t="str">
        <f>K6</f>
        <v>One Times - Net</v>
      </c>
      <c r="L25" s="108"/>
      <c r="M25" s="108" t="str">
        <f>M6</f>
        <v>Maintenance - List</v>
      </c>
      <c r="N25" s="108" t="str">
        <f>N6</f>
        <v>Discount</v>
      </c>
      <c r="O25" s="108" t="str">
        <f>O6</f>
        <v>Maintenance - Net</v>
      </c>
      <c r="P25" s="108"/>
      <c r="Q25" s="108" t="str">
        <f>Q6</f>
        <v>New Monthly - List</v>
      </c>
      <c r="R25" s="108" t="str">
        <f>R6</f>
        <v>Discount</v>
      </c>
      <c r="S25" s="108" t="str">
        <f>S6</f>
        <v>New Monthly - Net</v>
      </c>
    </row>
    <row r="26" spans="2:22" x14ac:dyDescent="0.25">
      <c r="C26" t="str" cm="1">
        <f t="array" aca="1" ref="C26" ca="1">IFERROR(IF(INDIRECT($D$2&amp;"!B"&amp;T26)="","",INDIRECT("'"&amp;$D$2&amp;"'"&amp;"!B"&amp;T26)),IF(INDIRECT("'"&amp;$D$2&amp;"'"&amp;"!B"&amp;T26)="","",INDIRECT("'"&amp;$D$2&amp;"'"&amp;"!B"&amp;T26)))</f>
        <v>SilverLake System Bundle</v>
      </c>
      <c r="D26" t="str" cm="1">
        <f t="array" aca="1" ref="D26" ca="1">IFERROR(_xlfn.IFS(C26="","",C26&lt;&gt;"",INDEX(SF_Output!I:I,MATCH(C26,SF_Output!M:M,0))),IFERROR(INDEX(INDIRECT($D$2&amp;"!G:G"),MATCH(C26,INDIRECT($D$2&amp;"!B:B"),0)),INDEX(INDIRECT("'"&amp;$D$2&amp;"'!G:G"),MATCH(C26,INDIRECT("'"&amp;$D$2&amp;"'!B:B"),0))))</f>
        <v>Core</v>
      </c>
      <c r="E26" t="str" cm="1">
        <f t="array" aca="1" ref="E26" ca="1">IFERROR(IF(C26="","",INDIRECT($D$2&amp;"!F"&amp;T26)),IF(C26="","",INDIRECT("'"&amp;$D$2&amp;"'"&amp;"!F"&amp;T26)))</f>
        <v>Included</v>
      </c>
      <c r="F26" t="str" cm="1">
        <f t="array" aca="1" ref="F26" ca="1">IFERROR(IF(C26="","",INDIRECT($D$2&amp;"!ak"&amp;T26)),IF(C26="","",INDIRECT("'"&amp;$D$2&amp;"'"&amp;"!ak"&amp;T26)))</f>
        <v>PAP</v>
      </c>
      <c r="G26" cm="1">
        <f t="array" aca="1" ref="G26" ca="1">IFERROR(INDIRECT($D$2&amp;"!h"&amp;T26),INDIRECT("'"&amp;$D$2&amp;"'"&amp;"!h"&amp;T26))</f>
        <v>5000</v>
      </c>
      <c r="H26" s="125" cm="1">
        <f t="array" aca="1" ref="H26" ca="1">IFERROR(INDIRECT($D$2&amp;"!i"&amp;T26),INDIRECT("'"&amp;$D$2&amp;"'"&amp;"!i"&amp;T26))</f>
        <v>1.2181</v>
      </c>
      <c r="I26" s="113" cm="1">
        <f t="array" aca="1" ref="I26" ca="1">IFERROR(IF($C26="","",INDIRECT($D$2&amp;"!j"&amp;$T26)+INDIRECT($D$2&amp;"!n"&amp;$T26)),IF($C26="","",INDIRECT("'"&amp;$D$2&amp;"'"&amp;"!j"&amp;$T26)+INDIRECT("'"&amp;$D$2&amp;"'"&amp;"!n"&amp;$T26)))</f>
        <v>78700</v>
      </c>
      <c r="J26" s="113">
        <f ca="1">IF(I26="","",K26-I26)</f>
        <v>-78700</v>
      </c>
      <c r="K26" s="113" cm="1">
        <f t="array" aca="1" ref="K26" ca="1">IFERROR(IF($C26="","",INDIRECT($D$2&amp;"!l"&amp;$T26)+INDIRECT($D$2&amp;"!p"&amp;$T26)),IF($C26="","",INDIRECT("'"&amp;$D$2&amp;"'"&amp;"!l"&amp;$T26)+INDIRECT("'"&amp;$D$2&amp;"'"&amp;"!p"&amp;$T26)))</f>
        <v>0</v>
      </c>
      <c r="M26" s="113" cm="1">
        <f t="array" aca="1" ref="M26" ca="1">IFERROR(IF($C26="","",INDIRECT($D$2&amp;"!r"&amp;T26)),IF($C26="","",INDIRECT("'"&amp;$D$2&amp;"'"&amp;"!r"&amp;T26)))</f>
        <v>0</v>
      </c>
      <c r="N26" s="113">
        <f ca="1">IF(M26="","",O26-M26)</f>
        <v>0</v>
      </c>
      <c r="O26" s="113" cm="1">
        <f t="array" aca="1" ref="O26" ca="1">IFERROR(IF($C26="","",INDIRECT($D$2&amp;"!t"&amp;T26)),IF($C26="","",INDIRECT("'"&amp;$D$2&amp;"'"&amp;"!t"&amp;T26)))</f>
        <v>0</v>
      </c>
      <c r="Q26" s="113" cm="1">
        <f t="array" aca="1" ref="Q26" ca="1">IFERROR(IF($C26="","",INDIRECT($D$2&amp;"!v"&amp;T26)),IF($C26="","",INDIRECT("'"&amp;$D$2&amp;"'"&amp;"!v"&amp;T26)))</f>
        <v>6921.15</v>
      </c>
      <c r="R26" s="113">
        <f ca="1">IF(Q26="","",S26-Q26)</f>
        <v>-830.64999999999964</v>
      </c>
      <c r="S26" s="113" cm="1">
        <f t="array" aca="1" ref="S26" ca="1">IFERROR(IF($C26="","",INDIRECT($D$2&amp;"!x"&amp;T26)),IF($C26="","",INDIRECT("'"&amp;$D$2&amp;"'"&amp;"!x"&amp;T26)))</f>
        <v>6090.5</v>
      </c>
      <c r="T26" s="35">
        <v>14</v>
      </c>
      <c r="U26" s="113"/>
      <c r="V26" s="35">
        <v>14</v>
      </c>
    </row>
    <row r="27" spans="2:22" x14ac:dyDescent="0.25">
      <c r="C27" t="str" cm="1">
        <f t="array" aca="1" ref="C27" ca="1">IFERROR(IF(INDIRECT($D$2&amp;"!B"&amp;T27)="","",INDIRECT("'"&amp;$D$2&amp;"'"&amp;"!B"&amp;T27)),IF(INDIRECT("'"&amp;$D$2&amp;"'"&amp;"!B"&amp;T27)="","",INDIRECT("'"&amp;$D$2&amp;"'"&amp;"!B"&amp;T27)))</f>
        <v>SilverLake Technical Conversion/Installation</v>
      </c>
      <c r="D27" t="str" cm="1">
        <f t="array" aca="1" ref="D27" ca="1">IFERROR(_xlfn.IFS(C27="","",C27&lt;&gt;"",INDEX(SF_Output!I:I,MATCH(C27,SF_Output!M:M,0))),IFERROR(INDEX(INDIRECT($D$2&amp;"!G:G"),MATCH(C27,INDIRECT($D$2&amp;"!B:B"),0)),INDEX(INDIRECT("'"&amp;$D$2&amp;"'!G:G"),MATCH(C27,INDIRECT("'"&amp;$D$2&amp;"'!B:B"),0))))</f>
        <v>Core</v>
      </c>
      <c r="E27" t="str" cm="1">
        <f t="array" aca="1" ref="E27" ca="1">IFERROR(IF(C27="","",INDIRECT($D$2&amp;"!F"&amp;T27)),IF(C27="","",INDIRECT("'"&amp;$D$2&amp;"'"&amp;"!F"&amp;T27)))</f>
        <v>Included</v>
      </c>
      <c r="F27" t="str" cm="1">
        <f t="array" aca="1" ref="F27" ca="1">IFERROR(IF(C27="","",INDIRECT($D$2&amp;"!ak"&amp;T27)),IF(C27="","",INDIRECT("'"&amp;$D$2&amp;"'"&amp;"!ak"&amp;T27)))</f>
        <v/>
      </c>
      <c r="G27" cm="1">
        <f t="array" aca="1" ref="G27" ca="1">IFERROR(INDIRECT($D$2&amp;"!h"&amp;T27),INDIRECT("'"&amp;$D$2&amp;"'"&amp;"!h"&amp;T27))</f>
        <v>1</v>
      </c>
      <c r="H27" s="125" t="str" cm="1">
        <f t="array" aca="1" ref="H27" ca="1">IFERROR(INDIRECT($D$2&amp;"!i"&amp;T27),INDIRECT("'"&amp;$D$2&amp;"'"&amp;"!i"&amp;T27))</f>
        <v/>
      </c>
      <c r="I27" s="113" cm="1">
        <f t="array" aca="1" ref="I27" ca="1">IFERROR(IF($C27="","",INDIRECT($D$2&amp;"!j"&amp;$T27)+INDIRECT($D$2&amp;"!n"&amp;$T27)),IF($C27="","",INDIRECT("'"&amp;$D$2&amp;"'"&amp;"!j"&amp;$T27)+INDIRECT("'"&amp;$D$2&amp;"'"&amp;"!n"&amp;$T27)))</f>
        <v>125405</v>
      </c>
      <c r="J27" s="113">
        <f t="shared" ref="J27:J90" ca="1" si="3">IF(I27="","",K27-I27)</f>
        <v>-125405</v>
      </c>
      <c r="K27" s="113" cm="1">
        <f t="array" aca="1" ref="K27" ca="1">IFERROR(IF($C27="","",INDIRECT($D$2&amp;"!l"&amp;$T27)+INDIRECT($D$2&amp;"!p"&amp;$T27)),IF($C27="","",INDIRECT("'"&amp;$D$2&amp;"'"&amp;"!l"&amp;$T27)+INDIRECT("'"&amp;$D$2&amp;"'"&amp;"!p"&amp;$T27)))</f>
        <v>0</v>
      </c>
      <c r="M27" s="113" cm="1">
        <f t="array" aca="1" ref="M27" ca="1">IFERROR(IF($C27="","",INDIRECT($D$2&amp;"!r"&amp;T27)),IF($C27="","",INDIRECT("'"&amp;$D$2&amp;"'"&amp;"!r"&amp;T27)))</f>
        <v>0</v>
      </c>
      <c r="N27" s="113">
        <f t="shared" ref="N27:N90" ca="1" si="4">IF(M27="","",O27-M27)</f>
        <v>0</v>
      </c>
      <c r="O27" s="113" cm="1">
        <f t="array" aca="1" ref="O27" ca="1">IFERROR(IF($C27="","",INDIRECT($D$2&amp;"!t"&amp;T27)),IF($C27="","",INDIRECT("'"&amp;$D$2&amp;"'"&amp;"!t"&amp;T27)))</f>
        <v>0</v>
      </c>
      <c r="Q27" s="113" cm="1">
        <f t="array" aca="1" ref="Q27" ca="1">IFERROR(IF($C27="","",INDIRECT($D$2&amp;"!v"&amp;T27)),IF($C27="","",INDIRECT("'"&amp;$D$2&amp;"'"&amp;"!v"&amp;T27)))</f>
        <v>0</v>
      </c>
      <c r="R27" s="113">
        <f t="shared" ref="R27:R90" ca="1" si="5">IF(Q27="","",S27-Q27)</f>
        <v>0</v>
      </c>
      <c r="S27" s="113" cm="1">
        <f t="array" aca="1" ref="S27" ca="1">IFERROR(IF($C27="","",INDIRECT($D$2&amp;"!x"&amp;T27)),IF($C27="","",INDIRECT("'"&amp;$D$2&amp;"'"&amp;"!x"&amp;T27)))</f>
        <v>0</v>
      </c>
      <c r="T27" s="35">
        <v>15</v>
      </c>
      <c r="U27" s="113"/>
      <c r="V27" s="35">
        <v>15</v>
      </c>
    </row>
    <row r="28" spans="2:22" x14ac:dyDescent="0.25">
      <c r="C28" t="str" cm="1">
        <f t="array" aca="1" ref="C28" ca="1">IFERROR(IF(INDIRECT($D$2&amp;"!B"&amp;T28)="","",INDIRECT("'"&amp;$D$2&amp;"'"&amp;"!B"&amp;T28)),IF(INDIRECT("'"&amp;$D$2&amp;"'"&amp;"!B"&amp;T28)="","",INDIRECT("'"&amp;$D$2&amp;"'"&amp;"!B"&amp;T28)))</f>
        <v>Closed Accounts (PAP)</v>
      </c>
      <c r="D28" t="str" cm="1">
        <f t="array" aca="1" ref="D28" ca="1">IFERROR(_xlfn.IFS(C28="","",C28&lt;&gt;"",INDEX(SF_Output!I:I,MATCH(C28,SF_Output!M:M,0))),IFERROR(INDEX(INDIRECT($D$2&amp;"!G:G"),MATCH(C28,INDIRECT($D$2&amp;"!B:B"),0)),INDEX(INDIRECT("'"&amp;$D$2&amp;"'!G:G"),MATCH(C28,INDIRECT("'"&amp;$D$2&amp;"'!B:B"),0))))</f>
        <v>Core</v>
      </c>
      <c r="E28" t="str" cm="1">
        <f t="array" aca="1" ref="E28" ca="1">IFERROR(IF(C28="","",INDIRECT($D$2&amp;"!F"&amp;T28)),IF(C28="","",INDIRECT("'"&amp;$D$2&amp;"'"&amp;"!F"&amp;T28)))</f>
        <v>Included</v>
      </c>
      <c r="F28" t="str" cm="1">
        <f t="array" aca="1" ref="F28" ca="1">IFERROR(IF(C28="","",INDIRECT($D$2&amp;"!ak"&amp;T28)),IF(C28="","",INDIRECT("'"&amp;$D$2&amp;"'"&amp;"!ak"&amp;T28)))</f>
        <v/>
      </c>
      <c r="G28" cm="1">
        <f t="array" aca="1" ref="G28" ca="1">IFERROR(INDIRECT($D$2&amp;"!h"&amp;T28),INDIRECT("'"&amp;$D$2&amp;"'"&amp;"!h"&amp;T28))</f>
        <v>1</v>
      </c>
      <c r="H28" s="125" t="str" cm="1">
        <f t="array" aca="1" ref="H28" ca="1">IFERROR(INDIRECT($D$2&amp;"!i"&amp;T28),INDIRECT("'"&amp;$D$2&amp;"'"&amp;"!i"&amp;T28))</f>
        <v/>
      </c>
      <c r="I28" s="113" cm="1">
        <f t="array" aca="1" ref="I28" ca="1">IFERROR(IF($C28="","",INDIRECT($D$2&amp;"!j"&amp;$T28)+INDIRECT($D$2&amp;"!n"&amp;$T28)),IF($C28="","",INDIRECT("'"&amp;$D$2&amp;"'"&amp;"!j"&amp;$T28)+INDIRECT("'"&amp;$D$2&amp;"'"&amp;"!n"&amp;$T28)))</f>
        <v>0</v>
      </c>
      <c r="J28" s="113">
        <f t="shared" ca="1" si="3"/>
        <v>0</v>
      </c>
      <c r="K28" s="113" cm="1">
        <f t="array" aca="1" ref="K28" ca="1">IFERROR(IF($C28="","",INDIRECT($D$2&amp;"!l"&amp;$T28)+INDIRECT($D$2&amp;"!p"&amp;$T28)),IF($C28="","",INDIRECT("'"&amp;$D$2&amp;"'"&amp;"!l"&amp;$T28)+INDIRECT("'"&amp;$D$2&amp;"'"&amp;"!p"&amp;$T28)))</f>
        <v>0</v>
      </c>
      <c r="M28" s="113" cm="1">
        <f t="array" aca="1" ref="M28" ca="1">IFERROR(IF($C28="","",INDIRECT($D$2&amp;"!r"&amp;T28)),IF($C28="","",INDIRECT("'"&amp;$D$2&amp;"'"&amp;"!r"&amp;T28)))</f>
        <v>0</v>
      </c>
      <c r="N28" s="113">
        <f t="shared" ca="1" si="4"/>
        <v>0</v>
      </c>
      <c r="O28" s="113" cm="1">
        <f t="array" aca="1" ref="O28" ca="1">IFERROR(IF($C28="","",INDIRECT($D$2&amp;"!t"&amp;T28)),IF($C28="","",INDIRECT("'"&amp;$D$2&amp;"'"&amp;"!t"&amp;T28)))</f>
        <v>0</v>
      </c>
      <c r="Q28" s="113" cm="1">
        <f t="array" aca="1" ref="Q28" ca="1">IFERROR(IF($C28="","",INDIRECT($D$2&amp;"!v"&amp;T28)),IF($C28="","",INDIRECT("'"&amp;$D$2&amp;"'"&amp;"!v"&amp;T28)))</f>
        <v>0.25</v>
      </c>
      <c r="R28" s="113">
        <f t="shared" ca="1" si="5"/>
        <v>0</v>
      </c>
      <c r="S28" s="113" cm="1">
        <f t="array" aca="1" ref="S28" ca="1">IFERROR(IF($C28="","",INDIRECT($D$2&amp;"!x"&amp;T28)),IF($C28="","",INDIRECT("'"&amp;$D$2&amp;"'"&amp;"!x"&amp;T28)))</f>
        <v>0.25</v>
      </c>
      <c r="T28" s="35">
        <v>16</v>
      </c>
      <c r="U28" s="113"/>
      <c r="V28" s="35">
        <v>16</v>
      </c>
    </row>
    <row r="29" spans="2:22" x14ac:dyDescent="0.25">
      <c r="C29" t="str" cm="1">
        <f t="array" aca="1" ref="C29" ca="1">IFERROR(IF(INDIRECT($D$2&amp;"!B"&amp;T29)="","",INDIRECT("'"&amp;$D$2&amp;"'"&amp;"!B"&amp;T29)),IF(INDIRECT("'"&amp;$D$2&amp;"'"&amp;"!B"&amp;T29)="","",INDIRECT("'"&amp;$D$2&amp;"'"&amp;"!B"&amp;T29)))</f>
        <v>SilverLake Static Training Bank</v>
      </c>
      <c r="D29" t="str" cm="1">
        <f t="array" aca="1" ref="D29" ca="1">IFERROR(_xlfn.IFS(C29="","",C29&lt;&gt;"",INDEX(SF_Output!I:I,MATCH(C29,SF_Output!M:M,0))),IFERROR(INDEX(INDIRECT($D$2&amp;"!G:G"),MATCH(C29,INDIRECT($D$2&amp;"!B:B"),0)),INDEX(INDIRECT("'"&amp;$D$2&amp;"'!G:G"),MATCH(C29,INDIRECT("'"&amp;$D$2&amp;"'!B:B"),0))))</f>
        <v>Core</v>
      </c>
      <c r="E29" t="str" cm="1">
        <f t="array" aca="1" ref="E29" ca="1">IFERROR(IF(C29="","",INDIRECT($D$2&amp;"!F"&amp;T29)),IF(C29="","",INDIRECT("'"&amp;$D$2&amp;"'"&amp;"!F"&amp;T29)))</f>
        <v>Optional</v>
      </c>
      <c r="F29" t="str" cm="1">
        <f t="array" aca="1" ref="F29" ca="1">IFERROR(IF(C29="","",INDIRECT($D$2&amp;"!ak"&amp;T29)),IF(C29="","",INDIRECT("'"&amp;$D$2&amp;"'"&amp;"!ak"&amp;T29)))</f>
        <v/>
      </c>
      <c r="G29" cm="1">
        <f t="array" aca="1" ref="G29" ca="1">IFERROR(INDIRECT($D$2&amp;"!h"&amp;T29),INDIRECT("'"&amp;$D$2&amp;"'"&amp;"!h"&amp;T29))</f>
        <v>1</v>
      </c>
      <c r="H29" s="125" t="str" cm="1">
        <f t="array" aca="1" ref="H29" ca="1">IFERROR(INDIRECT($D$2&amp;"!i"&amp;T29),INDIRECT("'"&amp;$D$2&amp;"'"&amp;"!i"&amp;T29))</f>
        <v/>
      </c>
      <c r="I29" s="113" cm="1">
        <f t="array" aca="1" ref="I29" ca="1">IFERROR(IF($C29="","",INDIRECT($D$2&amp;"!j"&amp;$T29)+INDIRECT($D$2&amp;"!n"&amp;$T29)),IF($C29="","",INDIRECT("'"&amp;$D$2&amp;"'"&amp;"!j"&amp;$T29)+INDIRECT("'"&amp;$D$2&amp;"'"&amp;"!n"&amp;$T29)))</f>
        <v>6000</v>
      </c>
      <c r="J29" s="113">
        <f t="shared" ca="1" si="3"/>
        <v>-6000</v>
      </c>
      <c r="K29" s="113" cm="1">
        <f t="array" aca="1" ref="K29" ca="1">IFERROR(IF($C29="","",INDIRECT($D$2&amp;"!l"&amp;$T29)+INDIRECT($D$2&amp;"!p"&amp;$T29)),IF($C29="","",INDIRECT("'"&amp;$D$2&amp;"'"&amp;"!l"&amp;$T29)+INDIRECT("'"&amp;$D$2&amp;"'"&amp;"!p"&amp;$T29)))</f>
        <v>0</v>
      </c>
      <c r="M29" s="113" cm="1">
        <f t="array" aca="1" ref="M29" ca="1">IFERROR(IF($C29="","",INDIRECT($D$2&amp;"!r"&amp;T29)),IF($C29="","",INDIRECT("'"&amp;$D$2&amp;"'"&amp;"!r"&amp;T29)))</f>
        <v>0</v>
      </c>
      <c r="N29" s="113">
        <f t="shared" ca="1" si="4"/>
        <v>0</v>
      </c>
      <c r="O29" s="113" cm="1">
        <f t="array" aca="1" ref="O29" ca="1">IFERROR(IF($C29="","",INDIRECT($D$2&amp;"!t"&amp;T29)),IF($C29="","",INDIRECT("'"&amp;$D$2&amp;"'"&amp;"!t"&amp;T29)))</f>
        <v>0</v>
      </c>
      <c r="Q29" s="113" cm="1">
        <f t="array" aca="1" ref="Q29" ca="1">IFERROR(IF($C29="","",INDIRECT($D$2&amp;"!v"&amp;T29)),IF($C29="","",INDIRECT("'"&amp;$D$2&amp;"'"&amp;"!v"&amp;T29)))</f>
        <v>530</v>
      </c>
      <c r="R29" s="113">
        <f t="shared" ca="1" si="5"/>
        <v>-132.5</v>
      </c>
      <c r="S29" s="113" cm="1">
        <f t="array" aca="1" ref="S29" ca="1">IFERROR(IF($C29="","",INDIRECT($D$2&amp;"!x"&amp;T29)),IF($C29="","",INDIRECT("'"&amp;$D$2&amp;"'"&amp;"!x"&amp;T29)))</f>
        <v>397.5</v>
      </c>
      <c r="T29" s="35">
        <v>17</v>
      </c>
      <c r="U29" s="113"/>
      <c r="V29" s="35">
        <v>17</v>
      </c>
    </row>
    <row r="30" spans="2:22" x14ac:dyDescent="0.25">
      <c r="C30" t="str" cm="1">
        <f t="array" aca="1" ref="C30" ca="1">IFERROR(IF(INDIRECT($D$2&amp;"!B"&amp;T30)="","",INDIRECT("'"&amp;$D$2&amp;"'"&amp;"!B"&amp;T30)),IF(INDIRECT("'"&amp;$D$2&amp;"'"&amp;"!B"&amp;T30)="","",INDIRECT("'"&amp;$D$2&amp;"'"&amp;"!B"&amp;T30)))</f>
        <v>SilverLake Teller Static Training Bank</v>
      </c>
      <c r="D30" t="str" cm="1">
        <f t="array" aca="1" ref="D30" ca="1">IFERROR(_xlfn.IFS(C30="","",C30&lt;&gt;"",INDEX(SF_Output!I:I,MATCH(C30,SF_Output!M:M,0))),IFERROR(INDEX(INDIRECT($D$2&amp;"!G:G"),MATCH(C30,INDIRECT($D$2&amp;"!B:B"),0)),INDEX(INDIRECT("'"&amp;$D$2&amp;"'!G:G"),MATCH(C30,INDIRECT("'"&amp;$D$2&amp;"'!B:B"),0))))</f>
        <v>Core</v>
      </c>
      <c r="E30" t="str" cm="1">
        <f t="array" aca="1" ref="E30" ca="1">IFERROR(IF(C30="","",INDIRECT($D$2&amp;"!F"&amp;T30)),IF(C30="","",INDIRECT("'"&amp;$D$2&amp;"'"&amp;"!F"&amp;T30)))</f>
        <v>Optional</v>
      </c>
      <c r="F30" t="str" cm="1">
        <f t="array" aca="1" ref="F30" ca="1">IFERROR(IF(C30="","",INDIRECT($D$2&amp;"!ak"&amp;T30)),IF(C30="","",INDIRECT("'"&amp;$D$2&amp;"'"&amp;"!ak"&amp;T30)))</f>
        <v/>
      </c>
      <c r="G30" cm="1">
        <f t="array" aca="1" ref="G30" ca="1">IFERROR(INDIRECT($D$2&amp;"!h"&amp;T30),INDIRECT("'"&amp;$D$2&amp;"'"&amp;"!h"&amp;T30))</f>
        <v>1</v>
      </c>
      <c r="H30" s="125" t="str" cm="1">
        <f t="array" aca="1" ref="H30" ca="1">IFERROR(INDIRECT($D$2&amp;"!i"&amp;T30),INDIRECT("'"&amp;$D$2&amp;"'"&amp;"!i"&amp;T30))</f>
        <v/>
      </c>
      <c r="I30" s="113" cm="1">
        <f t="array" aca="1" ref="I30" ca="1">IFERROR(IF($C30="","",INDIRECT($D$2&amp;"!j"&amp;$T30)+INDIRECT($D$2&amp;"!n"&amp;$T30)),IF($C30="","",INDIRECT("'"&amp;$D$2&amp;"'"&amp;"!j"&amp;$T30)+INDIRECT("'"&amp;$D$2&amp;"'"&amp;"!n"&amp;$T30)))</f>
        <v>2340</v>
      </c>
      <c r="J30" s="113">
        <f t="shared" ca="1" si="3"/>
        <v>-2340</v>
      </c>
      <c r="K30" s="113" cm="1">
        <f t="array" aca="1" ref="K30" ca="1">IFERROR(IF($C30="","",INDIRECT($D$2&amp;"!l"&amp;$T30)+INDIRECT($D$2&amp;"!p"&amp;$T30)),IF($C30="","",INDIRECT("'"&amp;$D$2&amp;"'"&amp;"!l"&amp;$T30)+INDIRECT("'"&amp;$D$2&amp;"'"&amp;"!p"&amp;$T30)))</f>
        <v>0</v>
      </c>
      <c r="M30" s="113" cm="1">
        <f t="array" aca="1" ref="M30" ca="1">IFERROR(IF($C30="","",INDIRECT($D$2&amp;"!r"&amp;T30)),IF($C30="","",INDIRECT("'"&amp;$D$2&amp;"'"&amp;"!r"&amp;T30)))</f>
        <v>0</v>
      </c>
      <c r="N30" s="113">
        <f t="shared" ca="1" si="4"/>
        <v>0</v>
      </c>
      <c r="O30" s="113" cm="1">
        <f t="array" aca="1" ref="O30" ca="1">IFERROR(IF($C30="","",INDIRECT($D$2&amp;"!t"&amp;T30)),IF($C30="","",INDIRECT("'"&amp;$D$2&amp;"'"&amp;"!t"&amp;T30)))</f>
        <v>0</v>
      </c>
      <c r="Q30" s="113" cm="1">
        <f t="array" aca="1" ref="Q30" ca="1">IFERROR(IF($C30="","",INDIRECT($D$2&amp;"!v"&amp;T30)),IF($C30="","",INDIRECT("'"&amp;$D$2&amp;"'"&amp;"!v"&amp;T30)))</f>
        <v>220</v>
      </c>
      <c r="R30" s="113">
        <f t="shared" ca="1" si="5"/>
        <v>-55</v>
      </c>
      <c r="S30" s="113" cm="1">
        <f t="array" aca="1" ref="S30" ca="1">IFERROR(IF($C30="","",INDIRECT($D$2&amp;"!x"&amp;T30)),IF($C30="","",INDIRECT("'"&amp;$D$2&amp;"'"&amp;"!x"&amp;T30)))</f>
        <v>165</v>
      </c>
      <c r="T30" s="35">
        <v>18</v>
      </c>
      <c r="U30" s="113"/>
      <c r="V30" s="35">
        <v>18</v>
      </c>
    </row>
    <row r="31" spans="2:22" x14ac:dyDescent="0.25">
      <c r="C31" t="str" cm="1">
        <f t="array" aca="1" ref="C31" ca="1">IFERROR(IF(INDIRECT($D$2&amp;"!B"&amp;T31)="","",INDIRECT("'"&amp;$D$2&amp;"'"&amp;"!B"&amp;T31)),IF(INDIRECT("'"&amp;$D$2&amp;"'"&amp;"!B"&amp;T31)="","",INDIRECT("'"&amp;$D$2&amp;"'"&amp;"!B"&amp;T31)))</f>
        <v>JH Technology Architecture Services</v>
      </c>
      <c r="D31" t="str" cm="1">
        <f t="array" aca="1" ref="D31" ca="1">IFERROR(_xlfn.IFS(C31="","",C31&lt;&gt;"",INDEX(SF_Output!I:I,MATCH(C31,SF_Output!M:M,0))),IFERROR(INDEX(INDIRECT($D$2&amp;"!G:G"),MATCH(C31,INDIRECT($D$2&amp;"!B:B"),0)),INDEX(INDIRECT("'"&amp;$D$2&amp;"'!G:G"),MATCH(C31,INDIRECT("'"&amp;$D$2&amp;"'!B:B"),0))))</f>
        <v>Core</v>
      </c>
      <c r="E31" t="str" cm="1">
        <f t="array" aca="1" ref="E31" ca="1">IFERROR(IF(C31="","",INDIRECT($D$2&amp;"!F"&amp;T31)),IF(C31="","",INDIRECT("'"&amp;$D$2&amp;"'"&amp;"!F"&amp;T31)))</f>
        <v>Included</v>
      </c>
      <c r="F31" t="str" cm="1">
        <f t="array" aca="1" ref="F31" ca="1">IFERROR(IF(C31="","",INDIRECT($D$2&amp;"!ak"&amp;T31)),IF(C31="","",INDIRECT("'"&amp;$D$2&amp;"'"&amp;"!ak"&amp;T31)))</f>
        <v/>
      </c>
      <c r="G31" cm="1">
        <f t="array" aca="1" ref="G31" ca="1">IFERROR(INDIRECT($D$2&amp;"!h"&amp;T31),INDIRECT("'"&amp;$D$2&amp;"'"&amp;"!h"&amp;T31))</f>
        <v>1</v>
      </c>
      <c r="H31" s="125" t="str" cm="1">
        <f t="array" aca="1" ref="H31" ca="1">IFERROR(INDIRECT($D$2&amp;"!i"&amp;T31),INDIRECT("'"&amp;$D$2&amp;"'"&amp;"!i"&amp;T31))</f>
        <v/>
      </c>
      <c r="I31" s="113" cm="1">
        <f t="array" aca="1" ref="I31" ca="1">IFERROR(IF($C31="","",INDIRECT($D$2&amp;"!j"&amp;$T31)+INDIRECT($D$2&amp;"!n"&amp;$T31)),IF($C31="","",INDIRECT("'"&amp;$D$2&amp;"'"&amp;"!j"&amp;$T31)+INDIRECT("'"&amp;$D$2&amp;"'"&amp;"!n"&amp;$T31)))</f>
        <v>0</v>
      </c>
      <c r="J31" s="113">
        <f t="shared" ca="1" si="3"/>
        <v>0</v>
      </c>
      <c r="K31" s="113" cm="1">
        <f t="array" aca="1" ref="K31" ca="1">IFERROR(IF($C31="","",INDIRECT($D$2&amp;"!l"&amp;$T31)+INDIRECT($D$2&amp;"!p"&amp;$T31)),IF($C31="","",INDIRECT("'"&amp;$D$2&amp;"'"&amp;"!l"&amp;$T31)+INDIRECT("'"&amp;$D$2&amp;"'"&amp;"!p"&amp;$T31)))</f>
        <v>0</v>
      </c>
      <c r="M31" s="113" cm="1">
        <f t="array" aca="1" ref="M31" ca="1">IFERROR(IF($C31="","",INDIRECT($D$2&amp;"!r"&amp;T31)),IF($C31="","",INDIRECT("'"&amp;$D$2&amp;"'"&amp;"!r"&amp;T31)))</f>
        <v>0</v>
      </c>
      <c r="N31" s="113">
        <f t="shared" ca="1" si="4"/>
        <v>0</v>
      </c>
      <c r="O31" s="113" cm="1">
        <f t="array" aca="1" ref="O31" ca="1">IFERROR(IF($C31="","",INDIRECT($D$2&amp;"!t"&amp;T31)),IF($C31="","",INDIRECT("'"&amp;$D$2&amp;"'"&amp;"!t"&amp;T31)))</f>
        <v>0</v>
      </c>
      <c r="Q31" s="113" cm="1">
        <f t="array" aca="1" ref="Q31" ca="1">IFERROR(IF($C31="","",INDIRECT($D$2&amp;"!v"&amp;T31)),IF($C31="","",INDIRECT("'"&amp;$D$2&amp;"'"&amp;"!v"&amp;T31)))</f>
        <v>0</v>
      </c>
      <c r="R31" s="113">
        <f t="shared" ca="1" si="5"/>
        <v>0</v>
      </c>
      <c r="S31" s="113" cm="1">
        <f t="array" aca="1" ref="S31" ca="1">IFERROR(IF($C31="","",INDIRECT($D$2&amp;"!x"&amp;T31)),IF($C31="","",INDIRECT("'"&amp;$D$2&amp;"'"&amp;"!x"&amp;T31)))</f>
        <v>0</v>
      </c>
      <c r="T31" s="35">
        <v>19</v>
      </c>
      <c r="U31" s="113"/>
      <c r="V31" s="35">
        <v>19</v>
      </c>
    </row>
    <row r="32" spans="2:22" x14ac:dyDescent="0.25">
      <c r="C32" t="str" cm="1">
        <f t="array" aca="1" ref="C32" ca="1">IFERROR(IF(INDIRECT($D$2&amp;"!B"&amp;T32)="","",INDIRECT("'"&amp;$D$2&amp;"'"&amp;"!B"&amp;T32)),IF(INDIRECT("'"&amp;$D$2&amp;"'"&amp;"!B"&amp;T32)="","",INDIRECT("'"&amp;$D$2&amp;"'"&amp;"!B"&amp;T32)))</f>
        <v>JHMenu Express</v>
      </c>
      <c r="D32" t="str" cm="1">
        <f t="array" aca="1" ref="D32" ca="1">IFERROR(_xlfn.IFS(C32="","",C32&lt;&gt;"",INDEX(SF_Output!I:I,MATCH(C32,SF_Output!M:M,0))),IFERROR(INDEX(INDIRECT($D$2&amp;"!G:G"),MATCH(C32,INDIRECT($D$2&amp;"!B:B"),0)),INDEX(INDIRECT("'"&amp;$D$2&amp;"'!G:G"),MATCH(C32,INDIRECT("'"&amp;$D$2&amp;"'!B:B"),0))))</f>
        <v>Core</v>
      </c>
      <c r="E32" t="str" cm="1">
        <f t="array" aca="1" ref="E32" ca="1">IFERROR(IF(C32="","",INDIRECT($D$2&amp;"!F"&amp;T32)),IF(C32="","",INDIRECT("'"&amp;$D$2&amp;"'"&amp;"!F"&amp;T32)))</f>
        <v>Included</v>
      </c>
      <c r="F32" t="str" cm="1">
        <f t="array" aca="1" ref="F32" ca="1">IFERROR(IF(C32="","",INDIRECT($D$2&amp;"!ak"&amp;T32)),IF(C32="","",INDIRECT("'"&amp;$D$2&amp;"'"&amp;"!ak"&amp;T32)))</f>
        <v/>
      </c>
      <c r="G32" cm="1">
        <f t="array" aca="1" ref="G32" ca="1">IFERROR(INDIRECT($D$2&amp;"!h"&amp;T32),INDIRECT("'"&amp;$D$2&amp;"'"&amp;"!h"&amp;T32))</f>
        <v>1</v>
      </c>
      <c r="H32" s="125" t="str" cm="1">
        <f t="array" aca="1" ref="H32" ca="1">IFERROR(INDIRECT($D$2&amp;"!i"&amp;T32),INDIRECT("'"&amp;$D$2&amp;"'"&amp;"!i"&amp;T32))</f>
        <v/>
      </c>
      <c r="I32" s="113" cm="1">
        <f t="array" aca="1" ref="I32" ca="1">IFERROR(IF($C32="","",INDIRECT($D$2&amp;"!j"&amp;$T32)+INDIRECT($D$2&amp;"!n"&amp;$T32)),IF($C32="","",INDIRECT("'"&amp;$D$2&amp;"'"&amp;"!j"&amp;$T32)+INDIRECT("'"&amp;$D$2&amp;"'"&amp;"!n"&amp;$T32)))</f>
        <v>9000</v>
      </c>
      <c r="J32" s="113">
        <f t="shared" ca="1" si="3"/>
        <v>0</v>
      </c>
      <c r="K32" s="113" cm="1">
        <f t="array" aca="1" ref="K32" ca="1">IFERROR(IF($C32="","",INDIRECT($D$2&amp;"!l"&amp;$T32)+INDIRECT($D$2&amp;"!p"&amp;$T32)),IF($C32="","",INDIRECT("'"&amp;$D$2&amp;"'"&amp;"!l"&amp;$T32)+INDIRECT("'"&amp;$D$2&amp;"'"&amp;"!p"&amp;$T32)))</f>
        <v>9000</v>
      </c>
      <c r="M32" s="113" cm="1">
        <f t="array" aca="1" ref="M32" ca="1">IFERROR(IF($C32="","",INDIRECT($D$2&amp;"!r"&amp;T32)),IF($C32="","",INDIRECT("'"&amp;$D$2&amp;"'"&amp;"!r"&amp;T32)))</f>
        <v>0</v>
      </c>
      <c r="N32" s="113">
        <f t="shared" ca="1" si="4"/>
        <v>0</v>
      </c>
      <c r="O32" s="113" cm="1">
        <f t="array" aca="1" ref="O32" ca="1">IFERROR(IF($C32="","",INDIRECT($D$2&amp;"!t"&amp;T32)),IF($C32="","",INDIRECT("'"&amp;$D$2&amp;"'"&amp;"!t"&amp;T32)))</f>
        <v>0</v>
      </c>
      <c r="Q32" s="113" cm="1">
        <f t="array" aca="1" ref="Q32" ca="1">IFERROR(IF($C32="","",INDIRECT($D$2&amp;"!v"&amp;T32)),IF($C32="","",INDIRECT("'"&amp;$D$2&amp;"'"&amp;"!v"&amp;T32)))</f>
        <v>0</v>
      </c>
      <c r="R32" s="113">
        <f t="shared" ca="1" si="5"/>
        <v>0</v>
      </c>
      <c r="S32" s="113" cm="1">
        <f t="array" aca="1" ref="S32" ca="1">IFERROR(IF($C32="","",INDIRECT($D$2&amp;"!x"&amp;T32)),IF($C32="","",INDIRECT("'"&amp;$D$2&amp;"'"&amp;"!x"&amp;T32)))</f>
        <v>0</v>
      </c>
      <c r="T32" s="35">
        <v>20</v>
      </c>
      <c r="U32" s="113"/>
      <c r="V32" s="35">
        <v>20</v>
      </c>
    </row>
    <row r="33" spans="3:22" x14ac:dyDescent="0.25">
      <c r="C33" t="str" cm="1">
        <f t="array" aca="1" ref="C33" ca="1">IFERROR(IF(INDIRECT($D$2&amp;"!B"&amp;T33)="","",INDIRECT("'"&amp;$D$2&amp;"'"&amp;"!B"&amp;T33)),IF(INDIRECT("'"&amp;$D$2&amp;"'"&amp;"!B"&amp;T33)="","",INDIRECT("'"&amp;$D$2&amp;"'"&amp;"!B"&amp;T33)))</f>
        <v>Daily File Transfer Integration IntraFi</v>
      </c>
      <c r="D33" t="str" cm="1">
        <f t="array" aca="1" ref="D33" ca="1">IFERROR(_xlfn.IFS(C33="","",C33&lt;&gt;"",INDEX(SF_Output!I:I,MATCH(C33,SF_Output!M:M,0))),IFERROR(INDEX(INDIRECT($D$2&amp;"!G:G"),MATCH(C33,INDIRECT($D$2&amp;"!B:B"),0)),INDEX(INDIRECT("'"&amp;$D$2&amp;"'!G:G"),MATCH(C33,INDIRECT("'"&amp;$D$2&amp;"'!B:B"),0))))</f>
        <v>Core</v>
      </c>
      <c r="E33" t="str" cm="1">
        <f t="array" aca="1" ref="E33" ca="1">IFERROR(IF(C33="","",INDIRECT($D$2&amp;"!F"&amp;T33)),IF(C33="","",INDIRECT("'"&amp;$D$2&amp;"'"&amp;"!F"&amp;T33)))</f>
        <v>Included</v>
      </c>
      <c r="F33" t="str" cm="1">
        <f t="array" aca="1" ref="F33" ca="1">IFERROR(IF(C33="","",INDIRECT($D$2&amp;"!ak"&amp;T33)),IF(C33="","",INDIRECT("'"&amp;$D$2&amp;"'"&amp;"!ak"&amp;T33)))</f>
        <v/>
      </c>
      <c r="G33" cm="1">
        <f t="array" aca="1" ref="G33" ca="1">IFERROR(INDIRECT($D$2&amp;"!h"&amp;T33),INDIRECT("'"&amp;$D$2&amp;"'"&amp;"!h"&amp;T33))</f>
        <v>1</v>
      </c>
      <c r="H33" s="125" t="str" cm="1">
        <f t="array" aca="1" ref="H33" ca="1">IFERROR(INDIRECT($D$2&amp;"!i"&amp;T33),INDIRECT("'"&amp;$D$2&amp;"'"&amp;"!i"&amp;T33))</f>
        <v/>
      </c>
      <c r="I33" s="113" cm="1">
        <f t="array" aca="1" ref="I33" ca="1">IFERROR(IF($C33="","",INDIRECT($D$2&amp;"!j"&amp;$T33)+INDIRECT($D$2&amp;"!n"&amp;$T33)),IF($C33="","",INDIRECT("'"&amp;$D$2&amp;"'"&amp;"!j"&amp;$T33)+INDIRECT("'"&amp;$D$2&amp;"'"&amp;"!n"&amp;$T33)))</f>
        <v>2500</v>
      </c>
      <c r="J33" s="113">
        <f t="shared" ca="1" si="3"/>
        <v>-2500</v>
      </c>
      <c r="K33" s="113" cm="1">
        <f t="array" aca="1" ref="K33" ca="1">IFERROR(IF($C33="","",INDIRECT($D$2&amp;"!l"&amp;$T33)+INDIRECT($D$2&amp;"!p"&amp;$T33)),IF($C33="","",INDIRECT("'"&amp;$D$2&amp;"'"&amp;"!l"&amp;$T33)+INDIRECT("'"&amp;$D$2&amp;"'"&amp;"!p"&amp;$T33)))</f>
        <v>0</v>
      </c>
      <c r="M33" s="113" cm="1">
        <f t="array" aca="1" ref="M33" ca="1">IFERROR(IF($C33="","",INDIRECT($D$2&amp;"!r"&amp;T33)),IF($C33="","",INDIRECT("'"&amp;$D$2&amp;"'"&amp;"!r"&amp;T33)))</f>
        <v>0</v>
      </c>
      <c r="N33" s="113">
        <f t="shared" ca="1" si="4"/>
        <v>0</v>
      </c>
      <c r="O33" s="113" cm="1">
        <f t="array" aca="1" ref="O33" ca="1">IFERROR(IF($C33="","",INDIRECT($D$2&amp;"!t"&amp;T33)),IF($C33="","",INDIRECT("'"&amp;$D$2&amp;"'"&amp;"!t"&amp;T33)))</f>
        <v>0</v>
      </c>
      <c r="Q33" s="113" cm="1">
        <f t="array" aca="1" ref="Q33" ca="1">IFERROR(IF($C33="","",INDIRECT($D$2&amp;"!v"&amp;T33)),IF($C33="","",INDIRECT("'"&amp;$D$2&amp;"'"&amp;"!v"&amp;T33)))</f>
        <v>300</v>
      </c>
      <c r="R33" s="113">
        <f t="shared" ca="1" si="5"/>
        <v>-75</v>
      </c>
      <c r="S33" s="113" cm="1">
        <f t="array" aca="1" ref="S33" ca="1">IFERROR(IF($C33="","",INDIRECT($D$2&amp;"!x"&amp;T33)),IF($C33="","",INDIRECT("'"&amp;$D$2&amp;"'"&amp;"!x"&amp;T33)))</f>
        <v>225</v>
      </c>
      <c r="T33" s="35">
        <v>21</v>
      </c>
      <c r="U33" s="113"/>
      <c r="V33" s="35">
        <v>21</v>
      </c>
    </row>
    <row r="34" spans="3:22" x14ac:dyDescent="0.25">
      <c r="C34" t="str" cm="1">
        <f t="array" aca="1" ref="C34" ca="1">IFERROR(IF(INDIRECT($D$2&amp;"!B"&amp;T34)="","",INDIRECT("'"&amp;$D$2&amp;"'"&amp;"!B"&amp;T34)),IF(INDIRECT("'"&amp;$D$2&amp;"'"&amp;"!B"&amp;T34)="","",INDIRECT("'"&amp;$D$2&amp;"'"&amp;"!B"&amp;T34)))</f>
        <v>Hosted Xperience</v>
      </c>
      <c r="D34" t="str" cm="1">
        <f t="array" aca="1" ref="D34" ca="1">IFERROR(_xlfn.IFS(C34="","",C34&lt;&gt;"",INDEX(SF_Output!I:I,MATCH(C34,SF_Output!M:M,0))),IFERROR(INDEX(INDIRECT($D$2&amp;"!G:G"),MATCH(C34,INDIRECT($D$2&amp;"!B:B"),0)),INDEX(INDIRECT("'"&amp;$D$2&amp;"'!G:G"),MATCH(C34,INDIRECT("'"&amp;$D$2&amp;"'!B:B"),0))))</f>
        <v>Core</v>
      </c>
      <c r="E34" t="str" cm="1">
        <f t="array" aca="1" ref="E34" ca="1">IFERROR(IF(C34="","",INDIRECT($D$2&amp;"!F"&amp;T34)),IF(C34="","",INDIRECT("'"&amp;$D$2&amp;"'"&amp;"!F"&amp;T34)))</f>
        <v>Included</v>
      </c>
      <c r="F34" t="str" cm="1">
        <f t="array" aca="1" ref="F34" ca="1">IFERROR(IF(C34="","",INDIRECT($D$2&amp;"!ak"&amp;T34)),IF(C34="","",INDIRECT("'"&amp;$D$2&amp;"'"&amp;"!ak"&amp;T34)))</f>
        <v>PAP</v>
      </c>
      <c r="G34" cm="1">
        <f t="array" aca="1" ref="G34" ca="1">IFERROR(INDIRECT($D$2&amp;"!h"&amp;T34),INDIRECT("'"&amp;$D$2&amp;"'"&amp;"!h"&amp;T34))</f>
        <v>5000</v>
      </c>
      <c r="H34" s="125" cm="1">
        <f t="array" aca="1" ref="H34" ca="1">IFERROR(INDIRECT($D$2&amp;"!i"&amp;T34),INDIRECT("'"&amp;$D$2&amp;"'"&amp;"!i"&amp;T34))</f>
        <v>2.2499999999999999E-2</v>
      </c>
      <c r="I34" s="113" cm="1">
        <f t="array" aca="1" ref="I34" ca="1">IFERROR(IF($C34="","",INDIRECT($D$2&amp;"!j"&amp;$T34)+INDIRECT($D$2&amp;"!n"&amp;$T34)),IF($C34="","",INDIRECT("'"&amp;$D$2&amp;"'"&amp;"!j"&amp;$T34)+INDIRECT("'"&amp;$D$2&amp;"'"&amp;"!n"&amp;$T34)))</f>
        <v>0</v>
      </c>
      <c r="J34" s="113">
        <f t="shared" ca="1" si="3"/>
        <v>0</v>
      </c>
      <c r="K34" s="113" cm="1">
        <f t="array" aca="1" ref="K34" ca="1">IFERROR(IF($C34="","",INDIRECT($D$2&amp;"!l"&amp;$T34)+INDIRECT($D$2&amp;"!p"&amp;$T34)),IF($C34="","",INDIRECT("'"&amp;$D$2&amp;"'"&amp;"!l"&amp;$T34)+INDIRECT("'"&amp;$D$2&amp;"'"&amp;"!p"&amp;$T34)))</f>
        <v>0</v>
      </c>
      <c r="M34" s="113" cm="1">
        <f t="array" aca="1" ref="M34" ca="1">IFERROR(IF($C34="","",INDIRECT($D$2&amp;"!r"&amp;T34)),IF($C34="","",INDIRECT("'"&amp;$D$2&amp;"'"&amp;"!r"&amp;T34)))</f>
        <v>0</v>
      </c>
      <c r="N34" s="113">
        <f t="shared" ca="1" si="4"/>
        <v>0</v>
      </c>
      <c r="O34" s="113" cm="1">
        <f t="array" aca="1" ref="O34" ca="1">IFERROR(IF($C34="","",INDIRECT($D$2&amp;"!t"&amp;T34)),IF($C34="","",INDIRECT("'"&amp;$D$2&amp;"'"&amp;"!t"&amp;T34)))</f>
        <v>0</v>
      </c>
      <c r="Q34" s="113" cm="1">
        <f t="array" aca="1" ref="Q34" ca="1">IFERROR(IF($C34="","",INDIRECT($D$2&amp;"!v"&amp;T34)),IF($C34="","",INDIRECT("'"&amp;$D$2&amp;"'"&amp;"!v"&amp;T34)))</f>
        <v>150</v>
      </c>
      <c r="R34" s="113">
        <f t="shared" ca="1" si="5"/>
        <v>-37.5</v>
      </c>
      <c r="S34" s="113" cm="1">
        <f t="array" aca="1" ref="S34" ca="1">IFERROR(IF($C34="","",INDIRECT($D$2&amp;"!x"&amp;T34)),IF($C34="","",INDIRECT("'"&amp;$D$2&amp;"'"&amp;"!x"&amp;T34)))</f>
        <v>112.5</v>
      </c>
      <c r="T34" s="35">
        <v>22</v>
      </c>
      <c r="U34" s="113"/>
      <c r="V34" s="35">
        <v>22</v>
      </c>
    </row>
    <row r="35" spans="3:22" x14ac:dyDescent="0.25">
      <c r="C35" t="str" cm="1">
        <f t="array" aca="1" ref="C35" ca="1">IFERROR(IF(INDIRECT($D$2&amp;"!B"&amp;T35)="","",INDIRECT("'"&amp;$D$2&amp;"'"&amp;"!B"&amp;T35)),IF(INDIRECT("'"&amp;$D$2&amp;"'"&amp;"!B"&amp;T35)="","",INDIRECT("'"&amp;$D$2&amp;"'"&amp;"!B"&amp;T35)))</f>
        <v>Platform Static Training Bank</v>
      </c>
      <c r="D35" t="str" cm="1">
        <f t="array" aca="1" ref="D35" ca="1">IFERROR(_xlfn.IFS(C35="","",C35&lt;&gt;"",INDEX(SF_Output!I:I,MATCH(C35,SF_Output!M:M,0))),IFERROR(INDEX(INDIRECT($D$2&amp;"!G:G"),MATCH(C35,INDIRECT($D$2&amp;"!B:B"),0)),INDEX(INDIRECT("'"&amp;$D$2&amp;"'!G:G"),MATCH(C35,INDIRECT("'"&amp;$D$2&amp;"'!B:B"),0))))</f>
        <v>Retail</v>
      </c>
      <c r="E35" t="str" cm="1">
        <f t="array" aca="1" ref="E35" ca="1">IFERROR(IF(C35="","",INDIRECT($D$2&amp;"!F"&amp;T35)),IF(C35="","",INDIRECT("'"&amp;$D$2&amp;"'"&amp;"!F"&amp;T35)))</f>
        <v>Optional</v>
      </c>
      <c r="F35" t="str" cm="1">
        <f t="array" aca="1" ref="F35" ca="1">IFERROR(IF(C35="","",INDIRECT($D$2&amp;"!ak"&amp;T35)),IF(C35="","",INDIRECT("'"&amp;$D$2&amp;"'"&amp;"!ak"&amp;T35)))</f>
        <v/>
      </c>
      <c r="G35" cm="1">
        <f t="array" aca="1" ref="G35" ca="1">IFERROR(INDIRECT($D$2&amp;"!h"&amp;T35),INDIRECT("'"&amp;$D$2&amp;"'"&amp;"!h"&amp;T35))</f>
        <v>1</v>
      </c>
      <c r="H35" s="125" t="str" cm="1">
        <f t="array" aca="1" ref="H35" ca="1">IFERROR(INDIRECT($D$2&amp;"!i"&amp;T35),INDIRECT("'"&amp;$D$2&amp;"'"&amp;"!i"&amp;T35))</f>
        <v/>
      </c>
      <c r="I35" s="113" cm="1">
        <f t="array" aca="1" ref="I35" ca="1">IFERROR(IF($C35="","",INDIRECT($D$2&amp;"!j"&amp;$T35)+INDIRECT($D$2&amp;"!n"&amp;$T35)),IF($C35="","",INDIRECT("'"&amp;$D$2&amp;"'"&amp;"!j"&amp;$T35)+INDIRECT("'"&amp;$D$2&amp;"'"&amp;"!n"&amp;$T35)))</f>
        <v>5000</v>
      </c>
      <c r="J35" s="113">
        <f t="shared" ca="1" si="3"/>
        <v>-5000</v>
      </c>
      <c r="K35" s="113" cm="1">
        <f t="array" aca="1" ref="K35" ca="1">IFERROR(IF($C35="","",INDIRECT($D$2&amp;"!l"&amp;$T35)+INDIRECT($D$2&amp;"!p"&amp;$T35)),IF($C35="","",INDIRECT("'"&amp;$D$2&amp;"'"&amp;"!l"&amp;$T35)+INDIRECT("'"&amp;$D$2&amp;"'"&amp;"!p"&amp;$T35)))</f>
        <v>0</v>
      </c>
      <c r="M35" s="113" cm="1">
        <f t="array" aca="1" ref="M35" ca="1">IFERROR(IF($C35="","",INDIRECT($D$2&amp;"!r"&amp;T35)),IF($C35="","",INDIRECT("'"&amp;$D$2&amp;"'"&amp;"!r"&amp;T35)))</f>
        <v>0</v>
      </c>
      <c r="N35" s="113">
        <f t="shared" ca="1" si="4"/>
        <v>0</v>
      </c>
      <c r="O35" s="113" cm="1">
        <f t="array" aca="1" ref="O35" ca="1">IFERROR(IF($C35="","",INDIRECT($D$2&amp;"!t"&amp;T35)),IF($C35="","",INDIRECT("'"&amp;$D$2&amp;"'"&amp;"!t"&amp;T35)))</f>
        <v>0</v>
      </c>
      <c r="Q35" s="113" cm="1">
        <f t="array" aca="1" ref="Q35" ca="1">IFERROR(IF($C35="","",INDIRECT($D$2&amp;"!v"&amp;T35)),IF($C35="","",INDIRECT("'"&amp;$D$2&amp;"'"&amp;"!v"&amp;T35)))</f>
        <v>220</v>
      </c>
      <c r="R35" s="113">
        <f t="shared" ca="1" si="5"/>
        <v>-55</v>
      </c>
      <c r="S35" s="113" cm="1">
        <f t="array" aca="1" ref="S35" ca="1">IFERROR(IF($C35="","",INDIRECT($D$2&amp;"!x"&amp;T35)),IF($C35="","",INDIRECT("'"&amp;$D$2&amp;"'"&amp;"!x"&amp;T35)))</f>
        <v>165</v>
      </c>
      <c r="T35" s="35">
        <v>23</v>
      </c>
      <c r="U35" s="113"/>
      <c r="V35" s="35">
        <v>23</v>
      </c>
    </row>
    <row r="36" spans="3:22" x14ac:dyDescent="0.25">
      <c r="C36" t="str" cm="1">
        <f t="array" aca="1" ref="C36" ca="1">IFERROR(IF(INDIRECT($D$2&amp;"!B"&amp;T36)="","",INDIRECT("'"&amp;$D$2&amp;"'"&amp;"!B"&amp;T36)),IF(INDIRECT("'"&amp;$D$2&amp;"'"&amp;"!B"&amp;T36)="","",INDIRECT("'"&amp;$D$2&amp;"'"&amp;"!B"&amp;T36)))</f>
        <v>OnBoard Deposits</v>
      </c>
      <c r="D36" t="str" cm="1">
        <f t="array" aca="1" ref="D36" ca="1">IFERROR(_xlfn.IFS(C36="","",C36&lt;&gt;"",INDEX(SF_Output!I:I,MATCH(C36,SF_Output!M:M,0))),IFERROR(INDEX(INDIRECT($D$2&amp;"!G:G"),MATCH(C36,INDIRECT($D$2&amp;"!B:B"),0)),INDEX(INDIRECT("'"&amp;$D$2&amp;"'!G:G"),MATCH(C36,INDIRECT("'"&amp;$D$2&amp;"'!B:B"),0))))</f>
        <v>Retail</v>
      </c>
      <c r="E36" t="str" cm="1">
        <f t="array" aca="1" ref="E36" ca="1">IFERROR(IF(C36="","",INDIRECT($D$2&amp;"!F"&amp;T36)),IF(C36="","",INDIRECT("'"&amp;$D$2&amp;"'"&amp;"!F"&amp;T36)))</f>
        <v>Included</v>
      </c>
      <c r="F36" t="str" cm="1">
        <f t="array" aca="1" ref="F36" ca="1">IFERROR(IF(C36="","",INDIRECT($D$2&amp;"!ak"&amp;T36)),IF(C36="","",INDIRECT("'"&amp;$D$2&amp;"'"&amp;"!ak"&amp;T36)))</f>
        <v>PAP</v>
      </c>
      <c r="G36" cm="1">
        <f t="array" aca="1" ref="G36" ca="1">IFERROR(INDIRECT($D$2&amp;"!h"&amp;T36),INDIRECT("'"&amp;$D$2&amp;"'"&amp;"!h"&amp;T36))</f>
        <v>5000</v>
      </c>
      <c r="H36" s="125" cm="1">
        <f t="array" aca="1" ref="H36" ca="1">IFERROR(INDIRECT($D$2&amp;"!i"&amp;T36),INDIRECT("'"&amp;$D$2&amp;"'"&amp;"!i"&amp;T36))</f>
        <v>0.17030000000000001</v>
      </c>
      <c r="I36" s="113" cm="1">
        <f t="array" aca="1" ref="I36" ca="1">IFERROR(IF($C36="","",INDIRECT($D$2&amp;"!j"&amp;$T36)+INDIRECT($D$2&amp;"!n"&amp;$T36)),IF($C36="","",INDIRECT("'"&amp;$D$2&amp;"'"&amp;"!j"&amp;$T36)+INDIRECT("'"&amp;$D$2&amp;"'"&amp;"!n"&amp;$T36)))</f>
        <v>23180</v>
      </c>
      <c r="J36" s="113">
        <f t="shared" ca="1" si="3"/>
        <v>-23180</v>
      </c>
      <c r="K36" s="113" cm="1">
        <f t="array" aca="1" ref="K36" ca="1">IFERROR(IF($C36="","",INDIRECT($D$2&amp;"!l"&amp;$T36)+INDIRECT($D$2&amp;"!p"&amp;$T36)),IF($C36="","",INDIRECT("'"&amp;$D$2&amp;"'"&amp;"!l"&amp;$T36)+INDIRECT("'"&amp;$D$2&amp;"'"&amp;"!p"&amp;$T36)))</f>
        <v>0</v>
      </c>
      <c r="M36" s="113" cm="1">
        <f t="array" aca="1" ref="M36" ca="1">IFERROR(IF($C36="","",INDIRECT($D$2&amp;"!r"&amp;T36)),IF($C36="","",INDIRECT("'"&amp;$D$2&amp;"'"&amp;"!r"&amp;T36)))</f>
        <v>0</v>
      </c>
      <c r="N36" s="113">
        <f t="shared" ca="1" si="4"/>
        <v>0</v>
      </c>
      <c r="O36" s="113" cm="1">
        <f t="array" aca="1" ref="O36" ca="1">IFERROR(IF($C36="","",INDIRECT($D$2&amp;"!t"&amp;T36)),IF($C36="","",INDIRECT("'"&amp;$D$2&amp;"'"&amp;"!t"&amp;T36)))</f>
        <v>0</v>
      </c>
      <c r="Q36" s="113" cm="1">
        <f t="array" aca="1" ref="Q36" ca="1">IFERROR(IF($C36="","",INDIRECT($D$2&amp;"!v"&amp;T36)),IF($C36="","",INDIRECT("'"&amp;$D$2&amp;"'"&amp;"!v"&amp;T36)))</f>
        <v>1135</v>
      </c>
      <c r="R36" s="113">
        <f t="shared" ca="1" si="5"/>
        <v>-283.5</v>
      </c>
      <c r="S36" s="113" cm="1">
        <f t="array" aca="1" ref="S36" ca="1">IFERROR(IF($C36="","",INDIRECT($D$2&amp;"!x"&amp;T36)),IF($C36="","",INDIRECT("'"&amp;$D$2&amp;"'"&amp;"!x"&amp;T36)))</f>
        <v>851.5</v>
      </c>
      <c r="T36" s="35">
        <v>24</v>
      </c>
      <c r="U36" s="113"/>
      <c r="V36" s="35">
        <v>24</v>
      </c>
    </row>
    <row r="37" spans="3:22" x14ac:dyDescent="0.25">
      <c r="C37" t="str" cm="1">
        <f t="array" aca="1" ref="C37" ca="1">IFERROR(IF(INDIRECT($D$2&amp;"!B"&amp;T37)="","",INDIRECT("'"&amp;$D$2&amp;"'"&amp;"!B"&amp;T37)),IF(INDIRECT("'"&amp;$D$2&amp;"'"&amp;"!B"&amp;T37)="","",INDIRECT("'"&amp;$D$2&amp;"'"&amp;"!B"&amp;T37)))</f>
        <v>OnBoard Lending</v>
      </c>
      <c r="D37" t="str" cm="1">
        <f t="array" aca="1" ref="D37" ca="1">IFERROR(_xlfn.IFS(C37="","",C37&lt;&gt;"",INDEX(SF_Output!I:I,MATCH(C37,SF_Output!M:M,0))),IFERROR(INDEX(INDIRECT($D$2&amp;"!G:G"),MATCH(C37,INDIRECT($D$2&amp;"!B:B"),0)),INDEX(INDIRECT("'"&amp;$D$2&amp;"'!G:G"),MATCH(C37,INDIRECT("'"&amp;$D$2&amp;"'!B:B"),0))))</f>
        <v>Retail</v>
      </c>
      <c r="E37" t="str" cm="1">
        <f t="array" aca="1" ref="E37" ca="1">IFERROR(IF(C37="","",INDIRECT($D$2&amp;"!F"&amp;T37)),IF(C37="","",INDIRECT("'"&amp;$D$2&amp;"'"&amp;"!F"&amp;T37)))</f>
        <v>Optional</v>
      </c>
      <c r="F37" t="str" cm="1">
        <f t="array" aca="1" ref="F37" ca="1">IFERROR(IF(C37="","",INDIRECT($D$2&amp;"!ak"&amp;T37)),IF(C37="","",INDIRECT("'"&amp;$D$2&amp;"'"&amp;"!ak"&amp;T37)))</f>
        <v>PAP</v>
      </c>
      <c r="G37" cm="1">
        <f t="array" aca="1" ref="G37" ca="1">IFERROR(INDIRECT($D$2&amp;"!h"&amp;T37),INDIRECT("'"&amp;$D$2&amp;"'"&amp;"!h"&amp;T37))</f>
        <v>5000</v>
      </c>
      <c r="H37" s="125" cm="1">
        <f t="array" aca="1" ref="H37" ca="1">IFERROR(INDIRECT($D$2&amp;"!i"&amp;T37),INDIRECT("'"&amp;$D$2&amp;"'"&amp;"!i"&amp;T37))</f>
        <v>0.2273</v>
      </c>
      <c r="I37" s="113" cm="1">
        <f t="array" aca="1" ref="I37" ca="1">IFERROR(IF($C37="","",INDIRECT($D$2&amp;"!j"&amp;$T37)+INDIRECT($D$2&amp;"!n"&amp;$T37)),IF($C37="","",INDIRECT("'"&amp;$D$2&amp;"'"&amp;"!j"&amp;$T37)+INDIRECT("'"&amp;$D$2&amp;"'"&amp;"!n"&amp;$T37)))</f>
        <v>42480</v>
      </c>
      <c r="J37" s="113">
        <f t="shared" ca="1" si="3"/>
        <v>-42480</v>
      </c>
      <c r="K37" s="113" cm="1">
        <f t="array" aca="1" ref="K37" ca="1">IFERROR(IF($C37="","",INDIRECT($D$2&amp;"!l"&amp;$T37)+INDIRECT($D$2&amp;"!p"&amp;$T37)),IF($C37="","",INDIRECT("'"&amp;$D$2&amp;"'"&amp;"!l"&amp;$T37)+INDIRECT("'"&amp;$D$2&amp;"'"&amp;"!p"&amp;$T37)))</f>
        <v>0</v>
      </c>
      <c r="M37" s="113" cm="1">
        <f t="array" aca="1" ref="M37" ca="1">IFERROR(IF($C37="","",INDIRECT($D$2&amp;"!r"&amp;T37)),IF($C37="","",INDIRECT("'"&amp;$D$2&amp;"'"&amp;"!r"&amp;T37)))</f>
        <v>0</v>
      </c>
      <c r="N37" s="113">
        <f t="shared" ca="1" si="4"/>
        <v>0</v>
      </c>
      <c r="O37" s="113" cm="1">
        <f t="array" aca="1" ref="O37" ca="1">IFERROR(IF($C37="","",INDIRECT($D$2&amp;"!t"&amp;T37)),IF($C37="","",INDIRECT("'"&amp;$D$2&amp;"'"&amp;"!t"&amp;T37)))</f>
        <v>0</v>
      </c>
      <c r="Q37" s="113" cm="1">
        <f t="array" aca="1" ref="Q37" ca="1">IFERROR(IF($C37="","",INDIRECT($D$2&amp;"!v"&amp;T37)),IF($C37="","",INDIRECT("'"&amp;$D$2&amp;"'"&amp;"!v"&amp;T37)))</f>
        <v>1515</v>
      </c>
      <c r="R37" s="113">
        <f t="shared" ca="1" si="5"/>
        <v>-378.5</v>
      </c>
      <c r="S37" s="113" cm="1">
        <f t="array" aca="1" ref="S37" ca="1">IFERROR(IF($C37="","",INDIRECT($D$2&amp;"!x"&amp;T37)),IF($C37="","",INDIRECT("'"&amp;$D$2&amp;"'"&amp;"!x"&amp;T37)))</f>
        <v>1136.5</v>
      </c>
      <c r="T37" s="35">
        <v>25</v>
      </c>
      <c r="U37" s="113"/>
      <c r="V37" s="35">
        <v>25</v>
      </c>
    </row>
    <row r="38" spans="3:22" x14ac:dyDescent="0.25">
      <c r="C38" t="str" cm="1">
        <f t="array" aca="1" ref="C38" ca="1">IFERROR(IF(INDIRECT($D$2&amp;"!B"&amp;T38)="","",INDIRECT("'"&amp;$D$2&amp;"'"&amp;"!B"&amp;T38)),IF(INDIRECT("'"&amp;$D$2&amp;"'"&amp;"!B"&amp;T38)="","",INDIRECT("'"&amp;$D$2&amp;"'"&amp;"!B"&amp;T38)))</f>
        <v>Carleton SmartCalcs Lending</v>
      </c>
      <c r="D38" t="str" cm="1">
        <f t="array" aca="1" ref="D38" ca="1">IFERROR(_xlfn.IFS(C38="","",C38&lt;&gt;"",INDEX(SF_Output!I:I,MATCH(C38,SF_Output!M:M,0))),IFERROR(INDEX(INDIRECT($D$2&amp;"!G:G"),MATCH(C38,INDIRECT($D$2&amp;"!B:B"),0)),INDEX(INDIRECT("'"&amp;$D$2&amp;"'!G:G"),MATCH(C38,INDIRECT("'"&amp;$D$2&amp;"'!B:B"),0))))</f>
        <v>Retail</v>
      </c>
      <c r="E38" t="str" cm="1">
        <f t="array" aca="1" ref="E38" ca="1">IFERROR(IF(C38="","",INDIRECT($D$2&amp;"!F"&amp;T38)),IF(C38="","",INDIRECT("'"&amp;$D$2&amp;"'"&amp;"!F"&amp;T38)))</f>
        <v>Optional</v>
      </c>
      <c r="F38" t="str" cm="1">
        <f t="array" aca="1" ref="F38" ca="1">IFERROR(IF(C38="","",INDIRECT($D$2&amp;"!ak"&amp;T38)),IF(C38="","",INDIRECT("'"&amp;$D$2&amp;"'"&amp;"!ak"&amp;T38)))</f>
        <v/>
      </c>
      <c r="G38" cm="1">
        <f t="array" aca="1" ref="G38" ca="1">IFERROR(INDIRECT($D$2&amp;"!h"&amp;T38),INDIRECT("'"&amp;$D$2&amp;"'"&amp;"!h"&amp;T38))</f>
        <v>1</v>
      </c>
      <c r="H38" s="125" t="str" cm="1">
        <f t="array" aca="1" ref="H38" ca="1">IFERROR(INDIRECT($D$2&amp;"!i"&amp;T38),INDIRECT("'"&amp;$D$2&amp;"'"&amp;"!i"&amp;T38))</f>
        <v/>
      </c>
      <c r="I38" s="113" cm="1">
        <f t="array" aca="1" ref="I38" ca="1">IFERROR(IF($C38="","",INDIRECT($D$2&amp;"!j"&amp;$T38)+INDIRECT($D$2&amp;"!n"&amp;$T38)),IF($C38="","",INDIRECT("'"&amp;$D$2&amp;"'"&amp;"!j"&amp;$T38)+INDIRECT("'"&amp;$D$2&amp;"'"&amp;"!n"&amp;$T38)))</f>
        <v>1500</v>
      </c>
      <c r="J38" s="113">
        <f t="shared" ca="1" si="3"/>
        <v>0</v>
      </c>
      <c r="K38" s="113" cm="1">
        <f t="array" aca="1" ref="K38" ca="1">IFERROR(IF($C38="","",INDIRECT($D$2&amp;"!l"&amp;$T38)+INDIRECT($D$2&amp;"!p"&amp;$T38)),IF($C38="","",INDIRECT("'"&amp;$D$2&amp;"'"&amp;"!l"&amp;$T38)+INDIRECT("'"&amp;$D$2&amp;"'"&amp;"!p"&amp;$T38)))</f>
        <v>1500</v>
      </c>
      <c r="M38" s="113" cm="1">
        <f t="array" aca="1" ref="M38" ca="1">IFERROR(IF($C38="","",INDIRECT($D$2&amp;"!r"&amp;T38)),IF($C38="","",INDIRECT("'"&amp;$D$2&amp;"'"&amp;"!r"&amp;T38)))</f>
        <v>0</v>
      </c>
      <c r="N38" s="113">
        <f t="shared" ca="1" si="4"/>
        <v>0</v>
      </c>
      <c r="O38" s="113" cm="1">
        <f t="array" aca="1" ref="O38" ca="1">IFERROR(IF($C38="","",INDIRECT($D$2&amp;"!t"&amp;T38)),IF($C38="","",INDIRECT("'"&amp;$D$2&amp;"'"&amp;"!t"&amp;T38)))</f>
        <v>0</v>
      </c>
      <c r="Q38" s="113" cm="1">
        <f t="array" aca="1" ref="Q38" ca="1">IFERROR(IF($C38="","",INDIRECT($D$2&amp;"!v"&amp;T38)),IF($C38="","",INDIRECT("'"&amp;$D$2&amp;"'"&amp;"!v"&amp;T38)))</f>
        <v>0</v>
      </c>
      <c r="R38" s="113">
        <f t="shared" ca="1" si="5"/>
        <v>0</v>
      </c>
      <c r="S38" s="113" cm="1">
        <f t="array" aca="1" ref="S38" ca="1">IFERROR(IF($C38="","",INDIRECT($D$2&amp;"!x"&amp;T38)),IF($C38="","",INDIRECT("'"&amp;$D$2&amp;"'"&amp;"!x"&amp;T38)))</f>
        <v>0</v>
      </c>
      <c r="T38" s="35">
        <v>26</v>
      </c>
      <c r="U38" s="113"/>
      <c r="V38" s="35">
        <v>26</v>
      </c>
    </row>
    <row r="39" spans="3:22" x14ac:dyDescent="0.25">
      <c r="C39" t="str" cm="1">
        <f t="array" aca="1" ref="C39" ca="1">IFERROR(IF(INDIRECT($D$2&amp;"!B"&amp;T39)="","",INDIRECT("'"&amp;$D$2&amp;"'"&amp;"!B"&amp;T39)),IF(INDIRECT("'"&amp;$D$2&amp;"'"&amp;"!B"&amp;T39)="","",INDIRECT("'"&amp;$D$2&amp;"'"&amp;"!B"&amp;T39)))</f>
        <v>Teller Cash Recycler</v>
      </c>
      <c r="D39" t="str" cm="1">
        <f t="array" aca="1" ref="D39" ca="1">IFERROR(_xlfn.IFS(C39="","",C39&lt;&gt;"",INDEX(SF_Output!I:I,MATCH(C39,SF_Output!M:M,0))),IFERROR(INDEX(INDIRECT($D$2&amp;"!G:G"),MATCH(C39,INDIRECT($D$2&amp;"!B:B"),0)),INDEX(INDIRECT("'"&amp;$D$2&amp;"'!G:G"),MATCH(C39,INDIRECT("'"&amp;$D$2&amp;"'!B:B"),0))))</f>
        <v>Retail</v>
      </c>
      <c r="E39" t="str" cm="1">
        <f t="array" aca="1" ref="E39" ca="1">IFERROR(IF(C39="","",INDIRECT($D$2&amp;"!F"&amp;T39)),IF(C39="","",INDIRECT("'"&amp;$D$2&amp;"'"&amp;"!F"&amp;T39)))</f>
        <v>Included</v>
      </c>
      <c r="F39" t="str" cm="1">
        <f t="array" aca="1" ref="F39" ca="1">IFERROR(IF(C39="","",INDIRECT($D$2&amp;"!ak"&amp;T39)),IF(C39="","",INDIRECT("'"&amp;$D$2&amp;"'"&amp;"!ak"&amp;T39)))</f>
        <v>PAP</v>
      </c>
      <c r="G39" cm="1">
        <f t="array" aca="1" ref="G39" ca="1">IFERROR(INDIRECT($D$2&amp;"!h"&amp;T39),INDIRECT("'"&amp;$D$2&amp;"'"&amp;"!h"&amp;T39))</f>
        <v>5000</v>
      </c>
      <c r="H39" s="125" cm="1">
        <f t="array" aca="1" ref="H39" ca="1">IFERROR(INDIRECT($D$2&amp;"!i"&amp;T39),INDIRECT("'"&amp;$D$2&amp;"'"&amp;"!i"&amp;T39))</f>
        <v>0.03</v>
      </c>
      <c r="I39" s="113" cm="1">
        <f t="array" aca="1" ref="I39" ca="1">IFERROR(IF($C39="","",INDIRECT($D$2&amp;"!j"&amp;$T39)+INDIRECT($D$2&amp;"!n"&amp;$T39)),IF($C39="","",INDIRECT("'"&amp;$D$2&amp;"'"&amp;"!j"&amp;$T39)+INDIRECT("'"&amp;$D$2&amp;"'"&amp;"!n"&amp;$T39)))</f>
        <v>855</v>
      </c>
      <c r="J39" s="113">
        <f t="shared" ca="1" si="3"/>
        <v>-855</v>
      </c>
      <c r="K39" s="113" cm="1">
        <f t="array" aca="1" ref="K39" ca="1">IFERROR(IF($C39="","",INDIRECT($D$2&amp;"!l"&amp;$T39)+INDIRECT($D$2&amp;"!p"&amp;$T39)),IF($C39="","",INDIRECT("'"&amp;$D$2&amp;"'"&amp;"!l"&amp;$T39)+INDIRECT("'"&amp;$D$2&amp;"'"&amp;"!p"&amp;$T39)))</f>
        <v>0</v>
      </c>
      <c r="M39" s="113" cm="1">
        <f t="array" aca="1" ref="M39" ca="1">IFERROR(IF($C39="","",INDIRECT($D$2&amp;"!r"&amp;T39)),IF($C39="","",INDIRECT("'"&amp;$D$2&amp;"'"&amp;"!r"&amp;T39)))</f>
        <v>0</v>
      </c>
      <c r="N39" s="113">
        <f t="shared" ca="1" si="4"/>
        <v>0</v>
      </c>
      <c r="O39" s="113" cm="1">
        <f t="array" aca="1" ref="O39" ca="1">IFERROR(IF($C39="","",INDIRECT($D$2&amp;"!t"&amp;T39)),IF($C39="","",INDIRECT("'"&amp;$D$2&amp;"'"&amp;"!t"&amp;T39)))</f>
        <v>0</v>
      </c>
      <c r="Q39" s="113" cm="1">
        <f t="array" aca="1" ref="Q39" ca="1">IFERROR(IF($C39="","",INDIRECT($D$2&amp;"!v"&amp;T39)),IF($C39="","",INDIRECT("'"&amp;$D$2&amp;"'"&amp;"!v"&amp;T39)))</f>
        <v>200</v>
      </c>
      <c r="R39" s="113">
        <f t="shared" ca="1" si="5"/>
        <v>-50</v>
      </c>
      <c r="S39" s="113" cm="1">
        <f t="array" aca="1" ref="S39" ca="1">IFERROR(IF($C39="","",INDIRECT($D$2&amp;"!x"&amp;T39)),IF($C39="","",INDIRECT("'"&amp;$D$2&amp;"'"&amp;"!x"&amp;T39)))</f>
        <v>150</v>
      </c>
      <c r="T39" s="35">
        <v>27</v>
      </c>
      <c r="U39" s="113"/>
      <c r="V39" s="35">
        <v>27</v>
      </c>
    </row>
    <row r="40" spans="3:22" x14ac:dyDescent="0.25">
      <c r="C40" t="str" cm="1">
        <f t="array" aca="1" ref="C40" ca="1">IFERROR(IF(INDIRECT($D$2&amp;"!B"&amp;T40)="","",INDIRECT("'"&amp;$D$2&amp;"'"&amp;"!B"&amp;T40)),IF(INDIRECT("'"&amp;$D$2&amp;"'"&amp;"!B"&amp;T40)="","",INDIRECT("'"&amp;$D$2&amp;"'"&amp;"!B"&amp;T40)))</f>
        <v>Teller CheckMaster Plus</v>
      </c>
      <c r="D40" t="str" cm="1">
        <f t="array" aca="1" ref="D40" ca="1">IFERROR(_xlfn.IFS(C40="","",C40&lt;&gt;"",INDEX(SF_Output!I:I,MATCH(C40,SF_Output!M:M,0))),IFERROR(INDEX(INDIRECT($D$2&amp;"!G:G"),MATCH(C40,INDIRECT($D$2&amp;"!B:B"),0)),INDEX(INDIRECT("'"&amp;$D$2&amp;"'!G:G"),MATCH(C40,INDIRECT("'"&amp;$D$2&amp;"'!B:B"),0))))</f>
        <v>Retail</v>
      </c>
      <c r="E40" t="str" cm="1">
        <f t="array" aca="1" ref="E40" ca="1">IFERROR(IF(C40="","",INDIRECT($D$2&amp;"!F"&amp;T40)),IF(C40="","",INDIRECT("'"&amp;$D$2&amp;"'"&amp;"!F"&amp;T40)))</f>
        <v>Included</v>
      </c>
      <c r="F40" t="str" cm="1">
        <f t="array" aca="1" ref="F40" ca="1">IFERROR(IF(C40="","",INDIRECT($D$2&amp;"!ak"&amp;T40)),IF(C40="","",INDIRECT("'"&amp;$D$2&amp;"'"&amp;"!ak"&amp;T40)))</f>
        <v>PAP</v>
      </c>
      <c r="G40" cm="1">
        <f t="array" aca="1" ref="G40" ca="1">IFERROR(INDIRECT($D$2&amp;"!h"&amp;T40),INDIRECT("'"&amp;$D$2&amp;"'"&amp;"!h"&amp;T40))</f>
        <v>5000</v>
      </c>
      <c r="H40" s="125" cm="1">
        <f t="array" aca="1" ref="H40" ca="1">IFERROR(INDIRECT($D$2&amp;"!i"&amp;T40),INDIRECT("'"&amp;$D$2&amp;"'"&amp;"!i"&amp;T40))</f>
        <v>1.35E-2</v>
      </c>
      <c r="I40" s="113" cm="1">
        <f t="array" aca="1" ref="I40" ca="1">IFERROR(IF($C40="","",INDIRECT($D$2&amp;"!j"&amp;$T40)+INDIRECT($D$2&amp;"!n"&amp;$T40)),IF($C40="","",INDIRECT("'"&amp;$D$2&amp;"'"&amp;"!j"&amp;$T40)+INDIRECT("'"&amp;$D$2&amp;"'"&amp;"!n"&amp;$T40)))</f>
        <v>390</v>
      </c>
      <c r="J40" s="113">
        <f t="shared" ca="1" si="3"/>
        <v>-390</v>
      </c>
      <c r="K40" s="113" cm="1">
        <f t="array" aca="1" ref="K40" ca="1">IFERROR(IF($C40="","",INDIRECT($D$2&amp;"!l"&amp;$T40)+INDIRECT($D$2&amp;"!p"&amp;$T40)),IF($C40="","",INDIRECT("'"&amp;$D$2&amp;"'"&amp;"!l"&amp;$T40)+INDIRECT("'"&amp;$D$2&amp;"'"&amp;"!p"&amp;$T40)))</f>
        <v>0</v>
      </c>
      <c r="M40" s="113" cm="1">
        <f t="array" aca="1" ref="M40" ca="1">IFERROR(IF($C40="","",INDIRECT($D$2&amp;"!r"&amp;T40)),IF($C40="","",INDIRECT("'"&amp;$D$2&amp;"'"&amp;"!r"&amp;T40)))</f>
        <v>0</v>
      </c>
      <c r="N40" s="113">
        <f t="shared" ca="1" si="4"/>
        <v>0</v>
      </c>
      <c r="O40" s="113" cm="1">
        <f t="array" aca="1" ref="O40" ca="1">IFERROR(IF($C40="","",INDIRECT($D$2&amp;"!t"&amp;T40)),IF($C40="","",INDIRECT("'"&amp;$D$2&amp;"'"&amp;"!t"&amp;T40)))</f>
        <v>0</v>
      </c>
      <c r="Q40" s="113" cm="1">
        <f t="array" aca="1" ref="Q40" ca="1">IFERROR(IF($C40="","",INDIRECT($D$2&amp;"!v"&amp;T40)),IF($C40="","",INDIRECT("'"&amp;$D$2&amp;"'"&amp;"!v"&amp;T40)))</f>
        <v>90</v>
      </c>
      <c r="R40" s="113">
        <f t="shared" ca="1" si="5"/>
        <v>-22.5</v>
      </c>
      <c r="S40" s="113" cm="1">
        <f t="array" aca="1" ref="S40" ca="1">IFERROR(IF($C40="","",INDIRECT($D$2&amp;"!x"&amp;T40)),IF($C40="","",INDIRECT("'"&amp;$D$2&amp;"'"&amp;"!x"&amp;T40)))</f>
        <v>67.5</v>
      </c>
      <c r="T40" s="35">
        <v>28</v>
      </c>
      <c r="U40" s="113"/>
      <c r="V40" s="35">
        <v>28</v>
      </c>
    </row>
    <row r="41" spans="3:22" x14ac:dyDescent="0.25">
      <c r="C41" t="str" cm="1">
        <f t="array" aca="1" ref="C41" ca="1">IFERROR(IF(INDIRECT($D$2&amp;"!B"&amp;T41)="","",INDIRECT("'"&amp;$D$2&amp;"'"&amp;"!B"&amp;T41)),IF(INDIRECT("'"&amp;$D$2&amp;"'"&amp;"!B"&amp;T41)="","",INDIRECT("'"&amp;$D$2&amp;"'"&amp;"!B"&amp;T41)))</f>
        <v>Teller Email Receipts</v>
      </c>
      <c r="D41" t="str" cm="1">
        <f t="array" aca="1" ref="D41" ca="1">IFERROR(_xlfn.IFS(C41="","",C41&lt;&gt;"",INDEX(SF_Output!I:I,MATCH(C41,SF_Output!M:M,0))),IFERROR(INDEX(INDIRECT($D$2&amp;"!G:G"),MATCH(C41,INDIRECT($D$2&amp;"!B:B"),0)),INDEX(INDIRECT("'"&amp;$D$2&amp;"'!G:G"),MATCH(C41,INDIRECT("'"&amp;$D$2&amp;"'!B:B"),0))))</f>
        <v>Retail</v>
      </c>
      <c r="E41" t="str" cm="1">
        <f t="array" aca="1" ref="E41" ca="1">IFERROR(IF(C41="","",INDIRECT($D$2&amp;"!F"&amp;T41)),IF(C41="","",INDIRECT("'"&amp;$D$2&amp;"'"&amp;"!F"&amp;T41)))</f>
        <v>Included</v>
      </c>
      <c r="F41" t="str" cm="1">
        <f t="array" aca="1" ref="F41" ca="1">IFERROR(IF(C41="","",INDIRECT($D$2&amp;"!ak"&amp;T41)),IF(C41="","",INDIRECT("'"&amp;$D$2&amp;"'"&amp;"!ak"&amp;T41)))</f>
        <v/>
      </c>
      <c r="G41" cm="1">
        <f t="array" aca="1" ref="G41" ca="1">IFERROR(INDIRECT($D$2&amp;"!h"&amp;T41),INDIRECT("'"&amp;$D$2&amp;"'"&amp;"!h"&amp;T41))</f>
        <v>1</v>
      </c>
      <c r="H41" s="125" t="str" cm="1">
        <f t="array" aca="1" ref="H41" ca="1">IFERROR(INDIRECT($D$2&amp;"!i"&amp;T41),INDIRECT("'"&amp;$D$2&amp;"'"&amp;"!i"&amp;T41))</f>
        <v/>
      </c>
      <c r="I41" s="113" cm="1">
        <f t="array" aca="1" ref="I41" ca="1">IFERROR(IF($C41="","",INDIRECT($D$2&amp;"!j"&amp;$T41)+INDIRECT($D$2&amp;"!n"&amp;$T41)),IF($C41="","",INDIRECT("'"&amp;$D$2&amp;"'"&amp;"!j"&amp;$T41)+INDIRECT("'"&amp;$D$2&amp;"'"&amp;"!n"&amp;$T41)))</f>
        <v>3750</v>
      </c>
      <c r="J41" s="113">
        <f t="shared" ca="1" si="3"/>
        <v>-3750</v>
      </c>
      <c r="K41" s="113" cm="1">
        <f t="array" aca="1" ref="K41" ca="1">IFERROR(IF($C41="","",INDIRECT($D$2&amp;"!l"&amp;$T41)+INDIRECT($D$2&amp;"!p"&amp;$T41)),IF($C41="","",INDIRECT("'"&amp;$D$2&amp;"'"&amp;"!l"&amp;$T41)+INDIRECT("'"&amp;$D$2&amp;"'"&amp;"!p"&amp;$T41)))</f>
        <v>0</v>
      </c>
      <c r="M41" s="113" cm="1">
        <f t="array" aca="1" ref="M41" ca="1">IFERROR(IF($C41="","",INDIRECT($D$2&amp;"!r"&amp;T41)),IF($C41="","",INDIRECT("'"&amp;$D$2&amp;"'"&amp;"!r"&amp;T41)))</f>
        <v>0</v>
      </c>
      <c r="N41" s="113">
        <f t="shared" ca="1" si="4"/>
        <v>0</v>
      </c>
      <c r="O41" s="113" cm="1">
        <f t="array" aca="1" ref="O41" ca="1">IFERROR(IF($C41="","",INDIRECT($D$2&amp;"!t"&amp;T41)),IF($C41="","",INDIRECT("'"&amp;$D$2&amp;"'"&amp;"!t"&amp;T41)))</f>
        <v>0</v>
      </c>
      <c r="Q41" s="113" cm="1">
        <f t="array" aca="1" ref="Q41" ca="1">IFERROR(IF($C41="","",INDIRECT($D$2&amp;"!v"&amp;T41)),IF($C41="","",INDIRECT("'"&amp;$D$2&amp;"'"&amp;"!v"&amp;T41)))</f>
        <v>0</v>
      </c>
      <c r="R41" s="113">
        <f t="shared" ca="1" si="5"/>
        <v>0</v>
      </c>
      <c r="S41" s="113" cm="1">
        <f t="array" aca="1" ref="S41" ca="1">IFERROR(IF($C41="","",INDIRECT($D$2&amp;"!x"&amp;T41)),IF($C41="","",INDIRECT("'"&amp;$D$2&amp;"'"&amp;"!x"&amp;T41)))</f>
        <v>0</v>
      </c>
      <c r="T41" s="35">
        <v>29</v>
      </c>
      <c r="U41" s="113"/>
      <c r="V41" s="35">
        <v>29</v>
      </c>
    </row>
    <row r="42" spans="3:22" x14ac:dyDescent="0.25">
      <c r="C42" t="str" cm="1">
        <f t="array" aca="1" ref="C42" ca="1">IFERROR(IF(INDIRECT($D$2&amp;"!B"&amp;T42)="","",INDIRECT("'"&amp;$D$2&amp;"'"&amp;"!B"&amp;T42)),IF(INDIRECT("'"&amp;$D$2&amp;"'"&amp;"!B"&amp;T42)="","",INDIRECT("'"&amp;$D$2&amp;"'"&amp;"!B"&amp;T42)))</f>
        <v>Teller OrboAnywhere AI Recognition</v>
      </c>
      <c r="D42" t="str" cm="1">
        <f t="array" aca="1" ref="D42" ca="1">IFERROR(_xlfn.IFS(C42="","",C42&lt;&gt;"",INDEX(SF_Output!I:I,MATCH(C42,SF_Output!M:M,0))),IFERROR(INDEX(INDIRECT($D$2&amp;"!G:G"),MATCH(C42,INDIRECT($D$2&amp;"!B:B"),0)),INDEX(INDIRECT("'"&amp;$D$2&amp;"'!G:G"),MATCH(C42,INDIRECT("'"&amp;$D$2&amp;"'!B:B"),0))))</f>
        <v>Retail</v>
      </c>
      <c r="E42" t="str" cm="1">
        <f t="array" aca="1" ref="E42" ca="1">IFERROR(IF(C42="","",INDIRECT($D$2&amp;"!F"&amp;T42)),IF(C42="","",INDIRECT("'"&amp;$D$2&amp;"'"&amp;"!F"&amp;T42)))</f>
        <v>Included</v>
      </c>
      <c r="F42" t="str" cm="1">
        <f t="array" aca="1" ref="F42" ca="1">IFERROR(IF(C42="","",INDIRECT($D$2&amp;"!ak"&amp;T42)),IF(C42="","",INDIRECT("'"&amp;$D$2&amp;"'"&amp;"!ak"&amp;T42)))</f>
        <v/>
      </c>
      <c r="G42" cm="1">
        <f t="array" aca="1" ref="G42" ca="1">IFERROR(INDIRECT($D$2&amp;"!h"&amp;T42),INDIRECT("'"&amp;$D$2&amp;"'"&amp;"!h"&amp;T42))</f>
        <v>1</v>
      </c>
      <c r="H42" s="125" t="str" cm="1">
        <f t="array" aca="1" ref="H42" ca="1">IFERROR(INDIRECT($D$2&amp;"!i"&amp;T42),INDIRECT("'"&amp;$D$2&amp;"'"&amp;"!i"&amp;T42))</f>
        <v/>
      </c>
      <c r="I42" s="113" cm="1">
        <f t="array" aca="1" ref="I42" ca="1">IFERROR(IF($C42="","",INDIRECT($D$2&amp;"!j"&amp;$T42)+INDIRECT($D$2&amp;"!n"&amp;$T42)),IF($C42="","",INDIRECT("'"&amp;$D$2&amp;"'"&amp;"!j"&amp;$T42)+INDIRECT("'"&amp;$D$2&amp;"'"&amp;"!n"&amp;$T42)))</f>
        <v>4909</v>
      </c>
      <c r="J42" s="113">
        <f t="shared" ca="1" si="3"/>
        <v>0</v>
      </c>
      <c r="K42" s="113" cm="1">
        <f t="array" aca="1" ref="K42" ca="1">IFERROR(IF($C42="","",INDIRECT($D$2&amp;"!l"&amp;$T42)+INDIRECT($D$2&amp;"!p"&amp;$T42)),IF($C42="","",INDIRECT("'"&amp;$D$2&amp;"'"&amp;"!l"&amp;$T42)+INDIRECT("'"&amp;$D$2&amp;"'"&amp;"!p"&amp;$T42)))</f>
        <v>4909</v>
      </c>
      <c r="M42" s="113" cm="1">
        <f t="array" aca="1" ref="M42" ca="1">IFERROR(IF($C42="","",INDIRECT($D$2&amp;"!r"&amp;T42)),IF($C42="","",INDIRECT("'"&amp;$D$2&amp;"'"&amp;"!r"&amp;T42)))</f>
        <v>982</v>
      </c>
      <c r="N42" s="113">
        <f t="shared" ca="1" si="4"/>
        <v>0</v>
      </c>
      <c r="O42" s="113" cm="1">
        <f t="array" aca="1" ref="O42" ca="1">IFERROR(IF($C42="","",INDIRECT($D$2&amp;"!t"&amp;T42)),IF($C42="","",INDIRECT("'"&amp;$D$2&amp;"'"&amp;"!t"&amp;T42)))</f>
        <v>982</v>
      </c>
      <c r="Q42" s="113" cm="1">
        <f t="array" aca="1" ref="Q42" ca="1">IFERROR(IF($C42="","",INDIRECT($D$2&amp;"!v"&amp;T42)),IF($C42="","",INDIRECT("'"&amp;$D$2&amp;"'"&amp;"!v"&amp;T42)))</f>
        <v>0</v>
      </c>
      <c r="R42" s="113">
        <f t="shared" ca="1" si="5"/>
        <v>0</v>
      </c>
      <c r="S42" s="113" cm="1">
        <f t="array" aca="1" ref="S42" ca="1">IFERROR(IF($C42="","",INDIRECT($D$2&amp;"!x"&amp;T42)),IF($C42="","",INDIRECT("'"&amp;$D$2&amp;"'"&amp;"!x"&amp;T42)))</f>
        <v>0</v>
      </c>
      <c r="T42" s="35">
        <v>30</v>
      </c>
      <c r="U42" s="113"/>
      <c r="V42" s="35">
        <v>30</v>
      </c>
    </row>
    <row r="43" spans="3:22" x14ac:dyDescent="0.25">
      <c r="C43" t="str" cm="1">
        <f t="array" aca="1" ref="C43" ca="1">IFERROR(IF(INDIRECT($D$2&amp;"!B"&amp;T43)="","",INDIRECT("'"&amp;$D$2&amp;"'"&amp;"!B"&amp;T43)),IF(INDIRECT("'"&amp;$D$2&amp;"'"&amp;"!B"&amp;T43)="","",INDIRECT("'"&amp;$D$2&amp;"'"&amp;"!B"&amp;T43)))</f>
        <v>Teller OrboAnywhere AI Validate</v>
      </c>
      <c r="D43" t="str" cm="1">
        <f t="array" aca="1" ref="D43" ca="1">IFERROR(_xlfn.IFS(C43="","",C43&lt;&gt;"",INDEX(SF_Output!I:I,MATCH(C43,SF_Output!M:M,0))),IFERROR(INDEX(INDIRECT($D$2&amp;"!G:G"),MATCH(C43,INDIRECT($D$2&amp;"!B:B"),0)),INDEX(INDIRECT("'"&amp;$D$2&amp;"'!G:G"),MATCH(C43,INDIRECT("'"&amp;$D$2&amp;"'!B:B"),0))))</f>
        <v>Retail</v>
      </c>
      <c r="E43" t="str" cm="1">
        <f t="array" aca="1" ref="E43" ca="1">IFERROR(IF(C43="","",INDIRECT($D$2&amp;"!F"&amp;T43)),IF(C43="","",INDIRECT("'"&amp;$D$2&amp;"'"&amp;"!F"&amp;T43)))</f>
        <v>Included</v>
      </c>
      <c r="F43" t="str" cm="1">
        <f t="array" aca="1" ref="F43" ca="1">IFERROR(IF(C43="","",INDIRECT($D$2&amp;"!ak"&amp;T43)),IF(C43="","",INDIRECT("'"&amp;$D$2&amp;"'"&amp;"!ak"&amp;T43)))</f>
        <v/>
      </c>
      <c r="G43" cm="1">
        <f t="array" aca="1" ref="G43" ca="1">IFERROR(INDIRECT($D$2&amp;"!h"&amp;T43),INDIRECT("'"&amp;$D$2&amp;"'"&amp;"!h"&amp;T43))</f>
        <v>1</v>
      </c>
      <c r="H43" s="125" t="str" cm="1">
        <f t="array" aca="1" ref="H43" ca="1">IFERROR(INDIRECT($D$2&amp;"!i"&amp;T43),INDIRECT("'"&amp;$D$2&amp;"'"&amp;"!i"&amp;T43))</f>
        <v/>
      </c>
      <c r="I43" s="113" cm="1">
        <f t="array" aca="1" ref="I43" ca="1">IFERROR(IF($C43="","",INDIRECT($D$2&amp;"!j"&amp;$T43)+INDIRECT($D$2&amp;"!n"&amp;$T43)),IF($C43="","",INDIRECT("'"&amp;$D$2&amp;"'"&amp;"!j"&amp;$T43)+INDIRECT("'"&amp;$D$2&amp;"'"&amp;"!n"&amp;$T43)))</f>
        <v>1636</v>
      </c>
      <c r="J43" s="113">
        <f t="shared" ca="1" si="3"/>
        <v>0</v>
      </c>
      <c r="K43" s="113" cm="1">
        <f t="array" aca="1" ref="K43" ca="1">IFERROR(IF($C43="","",INDIRECT($D$2&amp;"!l"&amp;$T43)+INDIRECT($D$2&amp;"!p"&amp;$T43)),IF($C43="","",INDIRECT("'"&amp;$D$2&amp;"'"&amp;"!l"&amp;$T43)+INDIRECT("'"&amp;$D$2&amp;"'"&amp;"!p"&amp;$T43)))</f>
        <v>1636</v>
      </c>
      <c r="M43" s="113" cm="1">
        <f t="array" aca="1" ref="M43" ca="1">IFERROR(IF($C43="","",INDIRECT($D$2&amp;"!r"&amp;T43)),IF($C43="","",INDIRECT("'"&amp;$D$2&amp;"'"&amp;"!r"&amp;T43)))</f>
        <v>327</v>
      </c>
      <c r="N43" s="113">
        <f t="shared" ca="1" si="4"/>
        <v>0</v>
      </c>
      <c r="O43" s="113" cm="1">
        <f t="array" aca="1" ref="O43" ca="1">IFERROR(IF($C43="","",INDIRECT($D$2&amp;"!t"&amp;T43)),IF($C43="","",INDIRECT("'"&amp;$D$2&amp;"'"&amp;"!t"&amp;T43)))</f>
        <v>327</v>
      </c>
      <c r="Q43" s="113" cm="1">
        <f t="array" aca="1" ref="Q43" ca="1">IFERROR(IF($C43="","",INDIRECT($D$2&amp;"!v"&amp;T43)),IF($C43="","",INDIRECT("'"&amp;$D$2&amp;"'"&amp;"!v"&amp;T43)))</f>
        <v>0</v>
      </c>
      <c r="R43" s="113">
        <f t="shared" ca="1" si="5"/>
        <v>0</v>
      </c>
      <c r="S43" s="113" cm="1">
        <f t="array" aca="1" ref="S43" ca="1">IFERROR(IF($C43="","",INDIRECT($D$2&amp;"!x"&amp;T43)),IF($C43="","",INDIRECT("'"&amp;$D$2&amp;"'"&amp;"!x"&amp;T43)))</f>
        <v>0</v>
      </c>
      <c r="T43" s="35">
        <v>31</v>
      </c>
      <c r="U43" s="113"/>
      <c r="V43" s="35">
        <v>31</v>
      </c>
    </row>
    <row r="44" spans="3:22" x14ac:dyDescent="0.25">
      <c r="C44" t="str" cm="1">
        <f t="array" aca="1" ref="C44" ca="1">IFERROR(IF(INDIRECT($D$2&amp;"!B"&amp;T44)="","",INDIRECT("'"&amp;$D$2&amp;"'"&amp;"!B"&amp;T44)),IF(INDIRECT("'"&amp;$D$2&amp;"'"&amp;"!B"&amp;T44)="","",INDIRECT("'"&amp;$D$2&amp;"'"&amp;"!B"&amp;T44)))</f>
        <v>Teller Integration to AlertCenter</v>
      </c>
      <c r="D44" t="str" cm="1">
        <f t="array" aca="1" ref="D44" ca="1">IFERROR(_xlfn.IFS(C44="","",C44&lt;&gt;"",INDEX(SF_Output!I:I,MATCH(C44,SF_Output!M:M,0))),IFERROR(INDEX(INDIRECT($D$2&amp;"!G:G"),MATCH(C44,INDIRECT($D$2&amp;"!B:B"),0)),INDEX(INDIRECT("'"&amp;$D$2&amp;"'!G:G"),MATCH(C44,INDIRECT("'"&amp;$D$2&amp;"'!B:B"),0))))</f>
        <v>Retail</v>
      </c>
      <c r="E44" t="str" cm="1">
        <f t="array" aca="1" ref="E44" ca="1">IFERROR(IF(C44="","",INDIRECT($D$2&amp;"!F"&amp;T44)),IF(C44="","",INDIRECT("'"&amp;$D$2&amp;"'"&amp;"!F"&amp;T44)))</f>
        <v>Optional</v>
      </c>
      <c r="F44" t="str" cm="1">
        <f t="array" aca="1" ref="F44" ca="1">IFERROR(IF(C44="","",INDIRECT($D$2&amp;"!ak"&amp;T44)),IF(C44="","",INDIRECT("'"&amp;$D$2&amp;"'"&amp;"!ak"&amp;T44)))</f>
        <v/>
      </c>
      <c r="G44" cm="1">
        <f t="array" aca="1" ref="G44" ca="1">IFERROR(INDIRECT($D$2&amp;"!h"&amp;T44),INDIRECT("'"&amp;$D$2&amp;"'"&amp;"!h"&amp;T44))</f>
        <v>1</v>
      </c>
      <c r="H44" s="125" t="str" cm="1">
        <f t="array" aca="1" ref="H44" ca="1">IFERROR(INDIRECT($D$2&amp;"!i"&amp;T44),INDIRECT("'"&amp;$D$2&amp;"'"&amp;"!i"&amp;T44))</f>
        <v/>
      </c>
      <c r="I44" s="113" cm="1">
        <f t="array" aca="1" ref="I44" ca="1">IFERROR(IF($C44="","",INDIRECT($D$2&amp;"!j"&amp;$T44)+INDIRECT($D$2&amp;"!n"&amp;$T44)),IF($C44="","",INDIRECT("'"&amp;$D$2&amp;"'"&amp;"!j"&amp;$T44)+INDIRECT("'"&amp;$D$2&amp;"'"&amp;"!n"&amp;$T44)))</f>
        <v>3750</v>
      </c>
      <c r="J44" s="113">
        <f t="shared" ca="1" si="3"/>
        <v>-3750</v>
      </c>
      <c r="K44" s="113" cm="1">
        <f t="array" aca="1" ref="K44" ca="1">IFERROR(IF($C44="","",INDIRECT($D$2&amp;"!l"&amp;$T44)+INDIRECT($D$2&amp;"!p"&amp;$T44)),IF($C44="","",INDIRECT("'"&amp;$D$2&amp;"'"&amp;"!l"&amp;$T44)+INDIRECT("'"&amp;$D$2&amp;"'"&amp;"!p"&amp;$T44)))</f>
        <v>0</v>
      </c>
      <c r="M44" s="113" cm="1">
        <f t="array" aca="1" ref="M44" ca="1">IFERROR(IF($C44="","",INDIRECT($D$2&amp;"!r"&amp;T44)),IF($C44="","",INDIRECT("'"&amp;$D$2&amp;"'"&amp;"!r"&amp;T44)))</f>
        <v>0</v>
      </c>
      <c r="N44" s="113">
        <f t="shared" ca="1" si="4"/>
        <v>0</v>
      </c>
      <c r="O44" s="113" cm="1">
        <f t="array" aca="1" ref="O44" ca="1">IFERROR(IF($C44="","",INDIRECT($D$2&amp;"!t"&amp;T44)),IF($C44="","",INDIRECT("'"&amp;$D$2&amp;"'"&amp;"!t"&amp;T44)))</f>
        <v>0</v>
      </c>
      <c r="Q44" s="113" cm="1">
        <f t="array" aca="1" ref="Q44" ca="1">IFERROR(IF($C44="","",INDIRECT($D$2&amp;"!v"&amp;T44)),IF($C44="","",INDIRECT("'"&amp;$D$2&amp;"'"&amp;"!v"&amp;T44)))</f>
        <v>0</v>
      </c>
      <c r="R44" s="113">
        <f t="shared" ca="1" si="5"/>
        <v>0</v>
      </c>
      <c r="S44" s="113" cm="1">
        <f t="array" aca="1" ref="S44" ca="1">IFERROR(IF($C44="","",INDIRECT($D$2&amp;"!x"&amp;T44)),IF($C44="","",INDIRECT("'"&amp;$D$2&amp;"'"&amp;"!x"&amp;T44)))</f>
        <v>0</v>
      </c>
      <c r="T44" s="35">
        <v>32</v>
      </c>
      <c r="U44" s="113"/>
      <c r="V44" s="35">
        <v>32</v>
      </c>
    </row>
    <row r="45" spans="3:22" x14ac:dyDescent="0.25">
      <c r="C45" t="str" cm="1">
        <f t="array" aca="1" ref="C45" ca="1">IFERROR(IF(INDIRECT($D$2&amp;"!B"&amp;T45)="","",INDIRECT("'"&amp;$D$2&amp;"'"&amp;"!B"&amp;T45)),IF(INDIRECT("'"&amp;$D$2&amp;"'"&amp;"!B"&amp;T45)="","",INDIRECT("'"&amp;$D$2&amp;"'"&amp;"!B"&amp;T45)))</f>
        <v>Synapsys CRM</v>
      </c>
      <c r="D45" t="str" cm="1">
        <f t="array" aca="1" ref="D45" ca="1">IFERROR(_xlfn.IFS(C45="","",C45&lt;&gt;"",INDEX(SF_Output!I:I,MATCH(C45,SF_Output!M:M,0))),IFERROR(INDEX(INDIRECT($D$2&amp;"!G:G"),MATCH(C45,INDIRECT($D$2&amp;"!B:B"),0)),INDEX(INDIRECT("'"&amp;$D$2&amp;"'!G:G"),MATCH(C45,INDIRECT("'"&amp;$D$2&amp;"'!B:B"),0))))</f>
        <v>Retail</v>
      </c>
      <c r="E45" t="str" cm="1">
        <f t="array" aca="1" ref="E45" ca="1">IFERROR(IF(C45="","",INDIRECT($D$2&amp;"!F"&amp;T45)),IF(C45="","",INDIRECT("'"&amp;$D$2&amp;"'"&amp;"!F"&amp;T45)))</f>
        <v>Included</v>
      </c>
      <c r="F45" t="str" cm="1">
        <f t="array" aca="1" ref="F45" ca="1">IFERROR(IF(C45="","",INDIRECT($D$2&amp;"!ak"&amp;T45)),IF(C45="","",INDIRECT("'"&amp;$D$2&amp;"'"&amp;"!ak"&amp;T45)))</f>
        <v>PAP</v>
      </c>
      <c r="G45" cm="1">
        <f t="array" aca="1" ref="G45" ca="1">IFERROR(INDIRECT($D$2&amp;"!h"&amp;T45),INDIRECT("'"&amp;$D$2&amp;"'"&amp;"!h"&amp;T45))</f>
        <v>5000</v>
      </c>
      <c r="H45" s="125" cm="1">
        <f t="array" aca="1" ref="H45" ca="1">IFERROR(INDIRECT($D$2&amp;"!i"&amp;T45),INDIRECT("'"&amp;$D$2&amp;"'"&amp;"!i"&amp;T45))</f>
        <v>0.1643</v>
      </c>
      <c r="I45" s="113" cm="1">
        <f t="array" aca="1" ref="I45" ca="1">IFERROR(IF($C45="","",INDIRECT($D$2&amp;"!j"&amp;$T45)+INDIRECT($D$2&amp;"!n"&amp;$T45)),IF($C45="","",INDIRECT("'"&amp;$D$2&amp;"'"&amp;"!j"&amp;$T45)+INDIRECT("'"&amp;$D$2&amp;"'"&amp;"!n"&amp;$T45)))</f>
        <v>8500</v>
      </c>
      <c r="J45" s="113">
        <f t="shared" ca="1" si="3"/>
        <v>-8500</v>
      </c>
      <c r="K45" s="113" cm="1">
        <f t="array" aca="1" ref="K45" ca="1">IFERROR(IF($C45="","",INDIRECT($D$2&amp;"!l"&amp;$T45)+INDIRECT($D$2&amp;"!p"&amp;$T45)),IF($C45="","",INDIRECT("'"&amp;$D$2&amp;"'"&amp;"!l"&amp;$T45)+INDIRECT("'"&amp;$D$2&amp;"'"&amp;"!p"&amp;$T45)))</f>
        <v>0</v>
      </c>
      <c r="M45" s="113" cm="1">
        <f t="array" aca="1" ref="M45" ca="1">IFERROR(IF($C45="","",INDIRECT($D$2&amp;"!r"&amp;T45)),IF($C45="","",INDIRECT("'"&amp;$D$2&amp;"'"&amp;"!r"&amp;T45)))</f>
        <v>0</v>
      </c>
      <c r="N45" s="113">
        <f t="shared" ca="1" si="4"/>
        <v>0</v>
      </c>
      <c r="O45" s="113" cm="1">
        <f t="array" aca="1" ref="O45" ca="1">IFERROR(IF($C45="","",INDIRECT($D$2&amp;"!t"&amp;T45)),IF($C45="","",INDIRECT("'"&amp;$D$2&amp;"'"&amp;"!t"&amp;T45)))</f>
        <v>0</v>
      </c>
      <c r="Q45" s="113" cm="1">
        <f t="array" aca="1" ref="Q45" ca="1">IFERROR(IF($C45="","",INDIRECT($D$2&amp;"!v"&amp;T45)),IF($C45="","",INDIRECT("'"&amp;$D$2&amp;"'"&amp;"!v"&amp;T45)))</f>
        <v>1095</v>
      </c>
      <c r="R45" s="113">
        <f t="shared" ca="1" si="5"/>
        <v>-273.5</v>
      </c>
      <c r="S45" s="113" cm="1">
        <f t="array" aca="1" ref="S45" ca="1">IFERROR(IF($C45="","",INDIRECT($D$2&amp;"!x"&amp;T45)),IF($C45="","",INDIRECT("'"&amp;$D$2&amp;"'"&amp;"!x"&amp;T45)))</f>
        <v>821.5</v>
      </c>
      <c r="T45" s="35">
        <v>33</v>
      </c>
      <c r="U45" s="113"/>
      <c r="V45" s="35">
        <v>33</v>
      </c>
    </row>
    <row r="46" spans="3:22" x14ac:dyDescent="0.25">
      <c r="C46" t="str" cm="1">
        <f t="array" aca="1" ref="C46" ca="1">IFERROR(IF(INDIRECT($D$2&amp;"!B"&amp;T46)="","",INDIRECT("'"&amp;$D$2&amp;"'"&amp;"!B"&amp;T46)),IF(INDIRECT("'"&amp;$D$2&amp;"'"&amp;"!B"&amp;T46)="","",INDIRECT("'"&amp;$D$2&amp;"'"&amp;"!B"&amp;T46)))</f>
        <v>Synapsys CRM Annual Training/Consulting Maintenance (For OutLink/Hosted customers only)</v>
      </c>
      <c r="D46" t="str" cm="1">
        <f t="array" aca="1" ref="D46" ca="1">IFERROR(_xlfn.IFS(C46="","",C46&lt;&gt;"",INDEX(SF_Output!I:I,MATCH(C46,SF_Output!M:M,0))),IFERROR(INDEX(INDIRECT($D$2&amp;"!G:G"),MATCH(C46,INDIRECT($D$2&amp;"!B:B"),0)),INDEX(INDIRECT("'"&amp;$D$2&amp;"'!G:G"),MATCH(C46,INDIRECT("'"&amp;$D$2&amp;"'!B:B"),0))))</f>
        <v>Retail</v>
      </c>
      <c r="E46" t="str" cm="1">
        <f t="array" aca="1" ref="E46" ca="1">IFERROR(IF(C46="","",INDIRECT($D$2&amp;"!F"&amp;T46)),IF(C46="","",INDIRECT("'"&amp;$D$2&amp;"'"&amp;"!F"&amp;T46)))</f>
        <v>Included</v>
      </c>
      <c r="F46" t="str" cm="1">
        <f t="array" aca="1" ref="F46" ca="1">IFERROR(IF(C46="","",INDIRECT($D$2&amp;"!ak"&amp;T46)),IF(C46="","",INDIRECT("'"&amp;$D$2&amp;"'"&amp;"!ak"&amp;T46)))</f>
        <v/>
      </c>
      <c r="G46" cm="1">
        <f t="array" aca="1" ref="G46" ca="1">IFERROR(INDIRECT($D$2&amp;"!h"&amp;T46),INDIRECT("'"&amp;$D$2&amp;"'"&amp;"!h"&amp;T46))</f>
        <v>1</v>
      </c>
      <c r="H46" s="125" t="str" cm="1">
        <f t="array" aca="1" ref="H46" ca="1">IFERROR(INDIRECT($D$2&amp;"!i"&amp;T46),INDIRECT("'"&amp;$D$2&amp;"'"&amp;"!i"&amp;T46))</f>
        <v/>
      </c>
      <c r="I46" s="113" cm="1">
        <f t="array" aca="1" ref="I46" ca="1">IFERROR(IF($C46="","",INDIRECT($D$2&amp;"!j"&amp;$T46)+INDIRECT($D$2&amp;"!n"&amp;$T46)),IF($C46="","",INDIRECT("'"&amp;$D$2&amp;"'"&amp;"!j"&amp;$T46)+INDIRECT("'"&amp;$D$2&amp;"'"&amp;"!n"&amp;$T46)))</f>
        <v>0</v>
      </c>
      <c r="J46" s="113">
        <f t="shared" ca="1" si="3"/>
        <v>0</v>
      </c>
      <c r="K46" s="113" cm="1">
        <f t="array" aca="1" ref="K46" ca="1">IFERROR(IF($C46="","",INDIRECT($D$2&amp;"!l"&amp;$T46)+INDIRECT($D$2&amp;"!p"&amp;$T46)),IF($C46="","",INDIRECT("'"&amp;$D$2&amp;"'"&amp;"!l"&amp;$T46)+INDIRECT("'"&amp;$D$2&amp;"'"&amp;"!p"&amp;$T46)))</f>
        <v>0</v>
      </c>
      <c r="M46" s="113" cm="1">
        <f t="array" aca="1" ref="M46" ca="1">IFERROR(IF($C46="","",INDIRECT($D$2&amp;"!r"&amp;T46)),IF($C46="","",INDIRECT("'"&amp;$D$2&amp;"'"&amp;"!r"&amp;T46)))</f>
        <v>5000</v>
      </c>
      <c r="N46" s="113">
        <f t="shared" ca="1" si="4"/>
        <v>0</v>
      </c>
      <c r="O46" s="113" cm="1">
        <f t="array" aca="1" ref="O46" ca="1">IFERROR(IF($C46="","",INDIRECT($D$2&amp;"!t"&amp;T46)),IF($C46="","",INDIRECT("'"&amp;$D$2&amp;"'"&amp;"!t"&amp;T46)))</f>
        <v>5000</v>
      </c>
      <c r="Q46" s="113" cm="1">
        <f t="array" aca="1" ref="Q46" ca="1">IFERROR(IF($C46="","",INDIRECT($D$2&amp;"!v"&amp;T46)),IF($C46="","",INDIRECT("'"&amp;$D$2&amp;"'"&amp;"!v"&amp;T46)))</f>
        <v>0</v>
      </c>
      <c r="R46" s="113">
        <f t="shared" ca="1" si="5"/>
        <v>0</v>
      </c>
      <c r="S46" s="113" cm="1">
        <f t="array" aca="1" ref="S46" ca="1">IFERROR(IF($C46="","",INDIRECT($D$2&amp;"!x"&amp;T46)),IF($C46="","",INDIRECT("'"&amp;$D$2&amp;"'"&amp;"!x"&amp;T46)))</f>
        <v>0</v>
      </c>
      <c r="T46" s="35">
        <v>34</v>
      </c>
      <c r="U46" s="113"/>
      <c r="V46" s="35">
        <v>34</v>
      </c>
    </row>
    <row r="47" spans="3:22" x14ac:dyDescent="0.25">
      <c r="C47" t="str" cm="1">
        <f t="array" aca="1" ref="C47" ca="1">IFERROR(IF(INDIRECT($D$2&amp;"!B"&amp;T47)="","",INDIRECT("'"&amp;$D$2&amp;"'"&amp;"!B"&amp;T47)),IF(INDIRECT("'"&amp;$D$2&amp;"'"&amp;"!B"&amp;T47)="","",INDIRECT("'"&amp;$D$2&amp;"'"&amp;"!B"&amp;T47)))</f>
        <v>JHA OpenAnywhere</v>
      </c>
      <c r="D47" t="str" cm="1">
        <f t="array" aca="1" ref="D47" ca="1">IFERROR(_xlfn.IFS(C47="","",C47&lt;&gt;"",INDEX(SF_Output!I:I,MATCH(C47,SF_Output!M:M,0))),IFERROR(INDEX(INDIRECT($D$2&amp;"!G:G"),MATCH(C47,INDIRECT($D$2&amp;"!B:B"),0)),INDEX(INDIRECT("'"&amp;$D$2&amp;"'!G:G"),MATCH(C47,INDIRECT("'"&amp;$D$2&amp;"'!B:B"),0))))</f>
        <v>Digital</v>
      </c>
      <c r="E47" t="str" cm="1">
        <f t="array" aca="1" ref="E47" ca="1">IFERROR(IF(C47="","",INDIRECT($D$2&amp;"!F"&amp;T47)),IF(C47="","",INDIRECT("'"&amp;$D$2&amp;"'"&amp;"!F"&amp;T47)))</f>
        <v>Included</v>
      </c>
      <c r="F47" t="str" cm="1">
        <f t="array" aca="1" ref="F47" ca="1">IFERROR(IF(C47="","",INDIRECT($D$2&amp;"!ak"&amp;T47)),IF(C47="","",INDIRECT("'"&amp;$D$2&amp;"'"&amp;"!ak"&amp;T47)))</f>
        <v>PAP</v>
      </c>
      <c r="G47" cm="1">
        <f t="array" aca="1" ref="G47" ca="1">IFERROR(INDIRECT($D$2&amp;"!h"&amp;T47),INDIRECT("'"&amp;$D$2&amp;"'"&amp;"!h"&amp;T47))</f>
        <v>5000</v>
      </c>
      <c r="H47" s="125" cm="1">
        <f t="array" aca="1" ref="H47" ca="1">IFERROR(INDIRECT($D$2&amp;"!i"&amp;T47),INDIRECT("'"&amp;$D$2&amp;"'"&amp;"!i"&amp;T47))</f>
        <v>0.33229999999999998</v>
      </c>
      <c r="I47" s="113" cm="1">
        <f t="array" aca="1" ref="I47" ca="1">IFERROR(IF($C47="","",INDIRECT($D$2&amp;"!j"&amp;$T47)+INDIRECT($D$2&amp;"!n"&amp;$T47)),IF($C47="","",INDIRECT("'"&amp;$D$2&amp;"'"&amp;"!j"&amp;$T47)+INDIRECT("'"&amp;$D$2&amp;"'"&amp;"!n"&amp;$T47)))</f>
        <v>20800</v>
      </c>
      <c r="J47" s="113">
        <f t="shared" ca="1" si="3"/>
        <v>-20800</v>
      </c>
      <c r="K47" s="113" cm="1">
        <f t="array" aca="1" ref="K47" ca="1">IFERROR(IF($C47="","",INDIRECT($D$2&amp;"!l"&amp;$T47)+INDIRECT($D$2&amp;"!p"&amp;$T47)),IF($C47="","",INDIRECT("'"&amp;$D$2&amp;"'"&amp;"!l"&amp;$T47)+INDIRECT("'"&amp;$D$2&amp;"'"&amp;"!p"&amp;$T47)))</f>
        <v>0</v>
      </c>
      <c r="M47" s="113" cm="1">
        <f t="array" aca="1" ref="M47" ca="1">IFERROR(IF($C47="","",INDIRECT($D$2&amp;"!r"&amp;T47)),IF($C47="","",INDIRECT("'"&amp;$D$2&amp;"'"&amp;"!r"&amp;T47)))</f>
        <v>0</v>
      </c>
      <c r="N47" s="113">
        <f t="shared" ca="1" si="4"/>
        <v>0</v>
      </c>
      <c r="O47" s="113" cm="1">
        <f t="array" aca="1" ref="O47" ca="1">IFERROR(IF($C47="","",INDIRECT($D$2&amp;"!t"&amp;T47)),IF($C47="","",INDIRECT("'"&amp;$D$2&amp;"'"&amp;"!t"&amp;T47)))</f>
        <v>0</v>
      </c>
      <c r="Q47" s="113" cm="1">
        <f t="array" aca="1" ref="Q47" ca="1">IFERROR(IF($C47="","",INDIRECT($D$2&amp;"!v"&amp;T47)),IF($C47="","",INDIRECT("'"&amp;$D$2&amp;"'"&amp;"!v"&amp;T47)))</f>
        <v>2215</v>
      </c>
      <c r="R47" s="113">
        <f t="shared" ca="1" si="5"/>
        <v>-553.5</v>
      </c>
      <c r="S47" s="113" cm="1">
        <f t="array" aca="1" ref="S47" ca="1">IFERROR(IF($C47="","",INDIRECT($D$2&amp;"!x"&amp;T47)),IF($C47="","",INDIRECT("'"&amp;$D$2&amp;"'"&amp;"!x"&amp;T47)))</f>
        <v>1661.5</v>
      </c>
      <c r="T47" s="35">
        <v>35</v>
      </c>
      <c r="U47" s="113"/>
      <c r="V47" s="35">
        <v>35</v>
      </c>
    </row>
    <row r="48" spans="3:22" x14ac:dyDescent="0.25">
      <c r="C48" t="str" cm="1">
        <f t="array" aca="1" ref="C48" ca="1">IFERROR(IF(INDIRECT($D$2&amp;"!B"&amp;T48)="","",INDIRECT("'"&amp;$D$2&amp;"'"&amp;"!B"&amp;T48)),IF(INDIRECT("'"&amp;$D$2&amp;"'"&amp;"!B"&amp;T48)="","",INDIRECT("'"&amp;$D$2&amp;"'"&amp;"!B"&amp;T48)))</f>
        <v>JHA OpenAnywhere Project Management</v>
      </c>
      <c r="D48" t="str" cm="1">
        <f t="array" aca="1" ref="D48" ca="1">IFERROR(_xlfn.IFS(C48="","",C48&lt;&gt;"",INDEX(SF_Output!I:I,MATCH(C48,SF_Output!M:M,0))),IFERROR(INDEX(INDIRECT($D$2&amp;"!G:G"),MATCH(C48,INDIRECT($D$2&amp;"!B:B"),0)),INDEX(INDIRECT("'"&amp;$D$2&amp;"'!G:G"),MATCH(C48,INDIRECT("'"&amp;$D$2&amp;"'!B:B"),0))))</f>
        <v>Digital</v>
      </c>
      <c r="E48" t="str" cm="1">
        <f t="array" aca="1" ref="E48" ca="1">IFERROR(IF(C48="","",INDIRECT($D$2&amp;"!F"&amp;T48)),IF(C48="","",INDIRECT("'"&amp;$D$2&amp;"'"&amp;"!F"&amp;T48)))</f>
        <v>Included</v>
      </c>
      <c r="F48" t="str" cm="1">
        <f t="array" aca="1" ref="F48" ca="1">IFERROR(IF(C48="","",INDIRECT($D$2&amp;"!ak"&amp;T48)),IF(C48="","",INDIRECT("'"&amp;$D$2&amp;"'"&amp;"!ak"&amp;T48)))</f>
        <v/>
      </c>
      <c r="G48" cm="1">
        <f t="array" aca="1" ref="G48" ca="1">IFERROR(INDIRECT($D$2&amp;"!h"&amp;T48),INDIRECT("'"&amp;$D$2&amp;"'"&amp;"!h"&amp;T48))</f>
        <v>1</v>
      </c>
      <c r="H48" s="125" t="str" cm="1">
        <f t="array" aca="1" ref="H48" ca="1">IFERROR(INDIRECT($D$2&amp;"!i"&amp;T48),INDIRECT("'"&amp;$D$2&amp;"'"&amp;"!i"&amp;T48))</f>
        <v/>
      </c>
      <c r="I48" s="113" cm="1">
        <f t="array" aca="1" ref="I48" ca="1">IFERROR(IF($C48="","",INDIRECT($D$2&amp;"!j"&amp;$T48)+INDIRECT($D$2&amp;"!n"&amp;$T48)),IF($C48="","",INDIRECT("'"&amp;$D$2&amp;"'"&amp;"!j"&amp;$T48)+INDIRECT("'"&amp;$D$2&amp;"'"&amp;"!n"&amp;$T48)))</f>
        <v>2500</v>
      </c>
      <c r="J48" s="113">
        <f t="shared" ca="1" si="3"/>
        <v>-2500</v>
      </c>
      <c r="K48" s="113" cm="1">
        <f t="array" aca="1" ref="K48" ca="1">IFERROR(IF($C48="","",INDIRECT($D$2&amp;"!l"&amp;$T48)+INDIRECT($D$2&amp;"!p"&amp;$T48)),IF($C48="","",INDIRECT("'"&amp;$D$2&amp;"'"&amp;"!l"&amp;$T48)+INDIRECT("'"&amp;$D$2&amp;"'"&amp;"!p"&amp;$T48)))</f>
        <v>0</v>
      </c>
      <c r="M48" s="113" cm="1">
        <f t="array" aca="1" ref="M48" ca="1">IFERROR(IF($C48="","",INDIRECT($D$2&amp;"!r"&amp;T48)),IF($C48="","",INDIRECT("'"&amp;$D$2&amp;"'"&amp;"!r"&amp;T48)))</f>
        <v>0</v>
      </c>
      <c r="N48" s="113">
        <f t="shared" ca="1" si="4"/>
        <v>0</v>
      </c>
      <c r="O48" s="113" cm="1">
        <f t="array" aca="1" ref="O48" ca="1">IFERROR(IF($C48="","",INDIRECT($D$2&amp;"!t"&amp;T48)),IF($C48="","",INDIRECT("'"&amp;$D$2&amp;"'"&amp;"!t"&amp;T48)))</f>
        <v>0</v>
      </c>
      <c r="Q48" s="113" cm="1">
        <f t="array" aca="1" ref="Q48" ca="1">IFERROR(IF($C48="","",INDIRECT($D$2&amp;"!v"&amp;T48)),IF($C48="","",INDIRECT("'"&amp;$D$2&amp;"'"&amp;"!v"&amp;T48)))</f>
        <v>0</v>
      </c>
      <c r="R48" s="113">
        <f t="shared" ca="1" si="5"/>
        <v>0</v>
      </c>
      <c r="S48" s="113" cm="1">
        <f t="array" aca="1" ref="S48" ca="1">IFERROR(IF($C48="","",INDIRECT($D$2&amp;"!x"&amp;T48)),IF($C48="","",INDIRECT("'"&amp;$D$2&amp;"'"&amp;"!x"&amp;T48)))</f>
        <v>0</v>
      </c>
      <c r="T48" s="35">
        <v>36</v>
      </c>
      <c r="U48" s="113"/>
      <c r="V48" s="35">
        <v>36</v>
      </c>
    </row>
    <row r="49" spans="3:22" x14ac:dyDescent="0.25">
      <c r="C49" t="str" cm="1">
        <f t="array" aca="1" ref="C49" ca="1">IFERROR(IF(INDIRECT($D$2&amp;"!B"&amp;T49)="","",INDIRECT("'"&amp;$D$2&amp;"'"&amp;"!B"&amp;T49)),IF(INDIRECT("'"&amp;$D$2&amp;"'"&amp;"!B"&amp;T49)="","",INDIRECT("'"&amp;$D$2&amp;"'"&amp;"!B"&amp;T49)))</f>
        <v>Plaid</v>
      </c>
      <c r="D49" t="str" cm="1">
        <f t="array" aca="1" ref="D49" ca="1">IFERROR(_xlfn.IFS(C49="","",C49&lt;&gt;"",INDEX(SF_Output!I:I,MATCH(C49,SF_Output!M:M,0))),IFERROR(INDEX(INDIRECT($D$2&amp;"!G:G"),MATCH(C49,INDIRECT($D$2&amp;"!B:B"),0)),INDEX(INDIRECT("'"&amp;$D$2&amp;"'!G:G"),MATCH(C49,INDIRECT("'"&amp;$D$2&amp;"'!B:B"),0))))</f>
        <v>Digital</v>
      </c>
      <c r="E49" t="str" cm="1">
        <f t="array" aca="1" ref="E49" ca="1">IFERROR(IF(C49="","",INDIRECT($D$2&amp;"!F"&amp;T49)),IF(C49="","",INDIRECT("'"&amp;$D$2&amp;"'"&amp;"!F"&amp;T49)))</f>
        <v>Optional</v>
      </c>
      <c r="F49" t="str" cm="1">
        <f t="array" aca="1" ref="F49" ca="1">IFERROR(IF(C49="","",INDIRECT($D$2&amp;"!ak"&amp;T49)),IF(C49="","",INDIRECT("'"&amp;$D$2&amp;"'"&amp;"!ak"&amp;T49)))</f>
        <v/>
      </c>
      <c r="G49" cm="1">
        <f t="array" aca="1" ref="G49" ca="1">IFERROR(INDIRECT($D$2&amp;"!h"&amp;T49),INDIRECT("'"&amp;$D$2&amp;"'"&amp;"!h"&amp;T49))</f>
        <v>1</v>
      </c>
      <c r="H49" s="125" t="str" cm="1">
        <f t="array" aca="1" ref="H49" ca="1">IFERROR(INDIRECT($D$2&amp;"!i"&amp;T49),INDIRECT("'"&amp;$D$2&amp;"'"&amp;"!i"&amp;T49))</f>
        <v/>
      </c>
      <c r="I49" s="113" cm="1">
        <f t="array" aca="1" ref="I49" ca="1">IFERROR(IF($C49="","",INDIRECT($D$2&amp;"!j"&amp;$T49)+INDIRECT($D$2&amp;"!n"&amp;$T49)),IF($C49="","",INDIRECT("'"&amp;$D$2&amp;"'"&amp;"!j"&amp;$T49)+INDIRECT("'"&amp;$D$2&amp;"'"&amp;"!n"&amp;$T49)))</f>
        <v>0</v>
      </c>
      <c r="J49" s="113">
        <f t="shared" ca="1" si="3"/>
        <v>0</v>
      </c>
      <c r="K49" s="113" cm="1">
        <f t="array" aca="1" ref="K49" ca="1">IFERROR(IF($C49="","",INDIRECT($D$2&amp;"!l"&amp;$T49)+INDIRECT($D$2&amp;"!p"&amp;$T49)),IF($C49="","",INDIRECT("'"&amp;$D$2&amp;"'"&amp;"!l"&amp;$T49)+INDIRECT("'"&amp;$D$2&amp;"'"&amp;"!p"&amp;$T49)))</f>
        <v>0</v>
      </c>
      <c r="M49" s="113" cm="1">
        <f t="array" aca="1" ref="M49" ca="1">IFERROR(IF($C49="","",INDIRECT($D$2&amp;"!r"&amp;T49)),IF($C49="","",INDIRECT("'"&amp;$D$2&amp;"'"&amp;"!r"&amp;T49)))</f>
        <v>0</v>
      </c>
      <c r="N49" s="113">
        <f t="shared" ca="1" si="4"/>
        <v>0</v>
      </c>
      <c r="O49" s="113" cm="1">
        <f t="array" aca="1" ref="O49" ca="1">IFERROR(IF($C49="","",INDIRECT($D$2&amp;"!t"&amp;T49)),IF($C49="","",INDIRECT("'"&amp;$D$2&amp;"'"&amp;"!t"&amp;T49)))</f>
        <v>0</v>
      </c>
      <c r="Q49" s="113" cm="1">
        <f t="array" aca="1" ref="Q49" ca="1">IFERROR(IF($C49="","",INDIRECT($D$2&amp;"!v"&amp;T49)),IF($C49="","",INDIRECT("'"&amp;$D$2&amp;"'"&amp;"!v"&amp;T49)))</f>
        <v>375</v>
      </c>
      <c r="R49" s="113">
        <f t="shared" ca="1" si="5"/>
        <v>0</v>
      </c>
      <c r="S49" s="113" cm="1">
        <f t="array" aca="1" ref="S49" ca="1">IFERROR(IF($C49="","",INDIRECT($D$2&amp;"!x"&amp;T49)),IF($C49="","",INDIRECT("'"&amp;$D$2&amp;"'"&amp;"!x"&amp;T49)))</f>
        <v>375</v>
      </c>
      <c r="T49" s="35">
        <v>37</v>
      </c>
      <c r="U49" s="113"/>
      <c r="V49" s="35">
        <v>37</v>
      </c>
    </row>
    <row r="50" spans="3:22" x14ac:dyDescent="0.25">
      <c r="C50" t="str" cm="1">
        <f t="array" aca="1" ref="C50" ca="1">IFERROR(IF(INDIRECT($D$2&amp;"!B"&amp;T50)="","",INDIRECT("'"&amp;$D$2&amp;"'"&amp;"!B"&amp;T50)),IF(INDIRECT("'"&amp;$D$2&amp;"'"&amp;"!B"&amp;T50)="","",INDIRECT("'"&amp;$D$2&amp;"'"&amp;"!B"&amp;T50)))</f>
        <v>IDScan.net OCR</v>
      </c>
      <c r="D50" t="str" cm="1">
        <f t="array" aca="1" ref="D50" ca="1">IFERROR(_xlfn.IFS(C50="","",C50&lt;&gt;"",INDEX(SF_Output!I:I,MATCH(C50,SF_Output!M:M,0))),IFERROR(INDEX(INDIRECT($D$2&amp;"!G:G"),MATCH(C50,INDIRECT($D$2&amp;"!B:B"),0)),INDEX(INDIRECT("'"&amp;$D$2&amp;"'!G:G"),MATCH(C50,INDIRECT("'"&amp;$D$2&amp;"'!B:B"),0))))</f>
        <v>Digital</v>
      </c>
      <c r="E50" t="str" cm="1">
        <f t="array" aca="1" ref="E50" ca="1">IFERROR(IF(C50="","",INDIRECT($D$2&amp;"!F"&amp;T50)),IF(C50="","",INDIRECT("'"&amp;$D$2&amp;"'"&amp;"!F"&amp;T50)))</f>
        <v>Included</v>
      </c>
      <c r="F50" t="str" cm="1">
        <f t="array" aca="1" ref="F50" ca="1">IFERROR(IF(C50="","",INDIRECT($D$2&amp;"!ak"&amp;T50)),IF(C50="","",INDIRECT("'"&amp;$D$2&amp;"'"&amp;"!ak"&amp;T50)))</f>
        <v/>
      </c>
      <c r="G50" cm="1">
        <f t="array" aca="1" ref="G50" ca="1">IFERROR(INDIRECT($D$2&amp;"!h"&amp;T50),INDIRECT("'"&amp;$D$2&amp;"'"&amp;"!h"&amp;T50))</f>
        <v>1</v>
      </c>
      <c r="H50" s="125" t="str" cm="1">
        <f t="array" aca="1" ref="H50" ca="1">IFERROR(INDIRECT($D$2&amp;"!i"&amp;T50),INDIRECT("'"&amp;$D$2&amp;"'"&amp;"!i"&amp;T50))</f>
        <v/>
      </c>
      <c r="I50" s="113" cm="1">
        <f t="array" aca="1" ref="I50" ca="1">IFERROR(IF($C50="","",INDIRECT($D$2&amp;"!j"&amp;$T50)+INDIRECT($D$2&amp;"!n"&amp;$T50)),IF($C50="","",INDIRECT("'"&amp;$D$2&amp;"'"&amp;"!j"&amp;$T50)+INDIRECT("'"&amp;$D$2&amp;"'"&amp;"!n"&amp;$T50)))</f>
        <v>0</v>
      </c>
      <c r="J50" s="113">
        <f t="shared" ca="1" si="3"/>
        <v>0</v>
      </c>
      <c r="K50" s="113" cm="1">
        <f t="array" aca="1" ref="K50" ca="1">IFERROR(IF($C50="","",INDIRECT($D$2&amp;"!l"&amp;$T50)+INDIRECT($D$2&amp;"!p"&amp;$T50)),IF($C50="","",INDIRECT("'"&amp;$D$2&amp;"'"&amp;"!l"&amp;$T50)+INDIRECT("'"&amp;$D$2&amp;"'"&amp;"!p"&amp;$T50)))</f>
        <v>0</v>
      </c>
      <c r="M50" s="113" cm="1">
        <f t="array" aca="1" ref="M50" ca="1">IFERROR(IF($C50="","",INDIRECT($D$2&amp;"!r"&amp;T50)),IF($C50="","",INDIRECT("'"&amp;$D$2&amp;"'"&amp;"!r"&amp;T50)))</f>
        <v>0</v>
      </c>
      <c r="N50" s="113">
        <f t="shared" ca="1" si="4"/>
        <v>0</v>
      </c>
      <c r="O50" s="113" cm="1">
        <f t="array" aca="1" ref="O50" ca="1">IFERROR(IF($C50="","",INDIRECT($D$2&amp;"!t"&amp;T50)),IF($C50="","",INDIRECT("'"&amp;$D$2&amp;"'"&amp;"!t"&amp;T50)))</f>
        <v>0</v>
      </c>
      <c r="Q50" s="113" cm="1">
        <f t="array" aca="1" ref="Q50" ca="1">IFERROR(IF($C50="","",INDIRECT($D$2&amp;"!v"&amp;T50)),IF($C50="","",INDIRECT("'"&amp;$D$2&amp;"'"&amp;"!v"&amp;T50)))</f>
        <v>400</v>
      </c>
      <c r="R50" s="113">
        <f t="shared" ca="1" si="5"/>
        <v>0</v>
      </c>
      <c r="S50" s="113" cm="1">
        <f t="array" aca="1" ref="S50" ca="1">IFERROR(IF($C50="","",INDIRECT($D$2&amp;"!x"&amp;T50)),IF($C50="","",INDIRECT("'"&amp;$D$2&amp;"'"&amp;"!x"&amp;T50)))</f>
        <v>400</v>
      </c>
      <c r="T50" s="35">
        <v>38</v>
      </c>
      <c r="U50" s="113"/>
      <c r="V50" s="35">
        <v>38</v>
      </c>
    </row>
    <row r="51" spans="3:22" x14ac:dyDescent="0.25">
      <c r="C51" t="str" cm="1">
        <f t="array" aca="1" ref="C51" ca="1">IFERROR(IF(INDIRECT($D$2&amp;"!B"&amp;T51)="","",INDIRECT("'"&amp;$D$2&amp;"'"&amp;"!B"&amp;T51)),IF(INDIRECT("'"&amp;$D$2&amp;"'"&amp;"!B"&amp;T51)="","",INDIRECT("'"&amp;$D$2&amp;"'"&amp;"!B"&amp;T51)))</f>
        <v>Alloy</v>
      </c>
      <c r="D51" t="str" cm="1">
        <f t="array" aca="1" ref="D51" ca="1">IFERROR(_xlfn.IFS(C51="","",C51&lt;&gt;"",INDEX(SF_Output!I:I,MATCH(C51,SF_Output!M:M,0))),IFERROR(INDEX(INDIRECT($D$2&amp;"!G:G"),MATCH(C51,INDIRECT($D$2&amp;"!B:B"),0)),INDEX(INDIRECT("'"&amp;$D$2&amp;"'!G:G"),MATCH(C51,INDIRECT("'"&amp;$D$2&amp;"'!B:B"),0))))</f>
        <v>Digital</v>
      </c>
      <c r="E51" t="str" cm="1">
        <f t="array" aca="1" ref="E51" ca="1">IFERROR(IF(C51="","",INDIRECT($D$2&amp;"!F"&amp;T51)),IF(C51="","",INDIRECT("'"&amp;$D$2&amp;"'"&amp;"!F"&amp;T51)))</f>
        <v>Optional</v>
      </c>
      <c r="F51" t="str" cm="1">
        <f t="array" aca="1" ref="F51" ca="1">IFERROR(IF(C51="","",INDIRECT($D$2&amp;"!ak"&amp;T51)),IF(C51="","",INDIRECT("'"&amp;$D$2&amp;"'"&amp;"!ak"&amp;T51)))</f>
        <v/>
      </c>
      <c r="G51" cm="1">
        <f t="array" aca="1" ref="G51" ca="1">IFERROR(INDIRECT($D$2&amp;"!h"&amp;T51),INDIRECT("'"&amp;$D$2&amp;"'"&amp;"!h"&amp;T51))</f>
        <v>1</v>
      </c>
      <c r="H51" s="125" t="str" cm="1">
        <f t="array" aca="1" ref="H51" ca="1">IFERROR(INDIRECT($D$2&amp;"!i"&amp;T51),INDIRECT("'"&amp;$D$2&amp;"'"&amp;"!i"&amp;T51))</f>
        <v/>
      </c>
      <c r="I51" s="113" cm="1">
        <f t="array" aca="1" ref="I51" ca="1">IFERROR(IF($C51="","",INDIRECT($D$2&amp;"!j"&amp;$T51)+INDIRECT($D$2&amp;"!n"&amp;$T51)),IF($C51="","",INDIRECT("'"&amp;$D$2&amp;"'"&amp;"!j"&amp;$T51)+INDIRECT("'"&amp;$D$2&amp;"'"&amp;"!n"&amp;$T51)))</f>
        <v>3500</v>
      </c>
      <c r="J51" s="113">
        <f t="shared" ca="1" si="3"/>
        <v>0</v>
      </c>
      <c r="K51" s="113" cm="1">
        <f t="array" aca="1" ref="K51" ca="1">IFERROR(IF($C51="","",INDIRECT($D$2&amp;"!l"&amp;$T51)+INDIRECT($D$2&amp;"!p"&amp;$T51)),IF($C51="","",INDIRECT("'"&amp;$D$2&amp;"'"&amp;"!l"&amp;$T51)+INDIRECT("'"&amp;$D$2&amp;"'"&amp;"!p"&amp;$T51)))</f>
        <v>3500</v>
      </c>
      <c r="M51" s="113" cm="1">
        <f t="array" aca="1" ref="M51" ca="1">IFERROR(IF($C51="","",INDIRECT($D$2&amp;"!r"&amp;T51)),IF($C51="","",INDIRECT("'"&amp;$D$2&amp;"'"&amp;"!r"&amp;T51)))</f>
        <v>0</v>
      </c>
      <c r="N51" s="113">
        <f t="shared" ca="1" si="4"/>
        <v>0</v>
      </c>
      <c r="O51" s="113" cm="1">
        <f t="array" aca="1" ref="O51" ca="1">IFERROR(IF($C51="","",INDIRECT($D$2&amp;"!t"&amp;T51)),IF($C51="","",INDIRECT("'"&amp;$D$2&amp;"'"&amp;"!t"&amp;T51)))</f>
        <v>0</v>
      </c>
      <c r="Q51" s="113" cm="1">
        <f t="array" aca="1" ref="Q51" ca="1">IFERROR(IF($C51="","",INDIRECT($D$2&amp;"!v"&amp;T51)),IF($C51="","",INDIRECT("'"&amp;$D$2&amp;"'"&amp;"!v"&amp;T51)))</f>
        <v>2000</v>
      </c>
      <c r="R51" s="113">
        <f t="shared" ca="1" si="5"/>
        <v>0</v>
      </c>
      <c r="S51" s="113" cm="1">
        <f t="array" aca="1" ref="S51" ca="1">IFERROR(IF($C51="","",INDIRECT($D$2&amp;"!x"&amp;T51)),IF($C51="","",INDIRECT("'"&amp;$D$2&amp;"'"&amp;"!x"&amp;T51)))</f>
        <v>2000</v>
      </c>
      <c r="T51" s="35">
        <v>39</v>
      </c>
      <c r="U51" s="113"/>
      <c r="V51" s="35">
        <v>39</v>
      </c>
    </row>
    <row r="52" spans="3:22" x14ac:dyDescent="0.25">
      <c r="C52" t="str" cm="1">
        <f t="array" aca="1" ref="C52" ca="1">IFERROR(IF(INDIRECT($D$2&amp;"!B"&amp;T52)="","",INDIRECT("'"&amp;$D$2&amp;"'"&amp;"!B"&amp;T52)),IF(INDIRECT("'"&amp;$D$2&amp;"'"&amp;"!B"&amp;T52)="","",INDIRECT("'"&amp;$D$2&amp;"'"&amp;"!B"&amp;T52)))</f>
        <v>JHA OpenAnywhere Finicity</v>
      </c>
      <c r="D52" t="str" cm="1">
        <f t="array" aca="1" ref="D52" ca="1">IFERROR(_xlfn.IFS(C52="","",C52&lt;&gt;"",INDEX(SF_Output!I:I,MATCH(C52,SF_Output!M:M,0))),IFERROR(INDEX(INDIRECT($D$2&amp;"!G:G"),MATCH(C52,INDIRECT($D$2&amp;"!B:B"),0)),INDEX(INDIRECT("'"&amp;$D$2&amp;"'!G:G"),MATCH(C52,INDIRECT("'"&amp;$D$2&amp;"'!B:B"),0))))</f>
        <v>Digital</v>
      </c>
      <c r="E52" t="str" cm="1">
        <f t="array" aca="1" ref="E52" ca="1">IFERROR(IF(C52="","",INDIRECT($D$2&amp;"!F"&amp;T52)),IF(C52="","",INDIRECT("'"&amp;$D$2&amp;"'"&amp;"!F"&amp;T52)))</f>
        <v>Included</v>
      </c>
      <c r="F52" t="str" cm="1">
        <f t="array" aca="1" ref="F52" ca="1">IFERROR(IF(C52="","",INDIRECT($D$2&amp;"!ak"&amp;T52)),IF(C52="","",INDIRECT("'"&amp;$D$2&amp;"'"&amp;"!ak"&amp;T52)))</f>
        <v/>
      </c>
      <c r="G52" cm="1">
        <f t="array" aca="1" ref="G52" ca="1">IFERROR(INDIRECT($D$2&amp;"!h"&amp;T52),INDIRECT("'"&amp;$D$2&amp;"'"&amp;"!h"&amp;T52))</f>
        <v>1</v>
      </c>
      <c r="H52" s="125" t="str" cm="1">
        <f t="array" aca="1" ref="H52" ca="1">IFERROR(INDIRECT($D$2&amp;"!i"&amp;T52),INDIRECT("'"&amp;$D$2&amp;"'"&amp;"!i"&amp;T52))</f>
        <v/>
      </c>
      <c r="I52" s="113" cm="1">
        <f t="array" aca="1" ref="I52" ca="1">IFERROR(IF($C52="","",INDIRECT($D$2&amp;"!j"&amp;$T52)+INDIRECT($D$2&amp;"!n"&amp;$T52)),IF($C52="","",INDIRECT("'"&amp;$D$2&amp;"'"&amp;"!j"&amp;$T52)+INDIRECT("'"&amp;$D$2&amp;"'"&amp;"!n"&amp;$T52)))</f>
        <v>0</v>
      </c>
      <c r="J52" s="113">
        <f t="shared" ca="1" si="3"/>
        <v>0</v>
      </c>
      <c r="K52" s="113" cm="1">
        <f t="array" aca="1" ref="K52" ca="1">IFERROR(IF($C52="","",INDIRECT($D$2&amp;"!l"&amp;$T52)+INDIRECT($D$2&amp;"!p"&amp;$T52)),IF($C52="","",INDIRECT("'"&amp;$D$2&amp;"'"&amp;"!l"&amp;$T52)+INDIRECT("'"&amp;$D$2&amp;"'"&amp;"!p"&amp;$T52)))</f>
        <v>0</v>
      </c>
      <c r="M52" s="113" cm="1">
        <f t="array" aca="1" ref="M52" ca="1">IFERROR(IF($C52="","",INDIRECT($D$2&amp;"!r"&amp;T52)),IF($C52="","",INDIRECT("'"&amp;$D$2&amp;"'"&amp;"!r"&amp;T52)))</f>
        <v>0</v>
      </c>
      <c r="N52" s="113">
        <f t="shared" ca="1" si="4"/>
        <v>0</v>
      </c>
      <c r="O52" s="113" cm="1">
        <f t="array" aca="1" ref="O52" ca="1">IFERROR(IF($C52="","",INDIRECT($D$2&amp;"!t"&amp;T52)),IF($C52="","",INDIRECT("'"&amp;$D$2&amp;"'"&amp;"!t"&amp;T52)))</f>
        <v>0</v>
      </c>
      <c r="Q52" s="113" cm="1">
        <f t="array" aca="1" ref="Q52" ca="1">IFERROR(IF($C52="","",INDIRECT($D$2&amp;"!v"&amp;T52)),IF($C52="","",INDIRECT("'"&amp;$D$2&amp;"'"&amp;"!v"&amp;T52)))</f>
        <v>200</v>
      </c>
      <c r="R52" s="113">
        <f t="shared" ca="1" si="5"/>
        <v>0</v>
      </c>
      <c r="S52" s="113" cm="1">
        <f t="array" aca="1" ref="S52" ca="1">IFERROR(IF($C52="","",INDIRECT($D$2&amp;"!x"&amp;T52)),IF($C52="","",INDIRECT("'"&amp;$D$2&amp;"'"&amp;"!x"&amp;T52)))</f>
        <v>200</v>
      </c>
      <c r="T52" s="35">
        <v>40</v>
      </c>
      <c r="U52" s="113"/>
      <c r="V52" s="35">
        <v>40</v>
      </c>
    </row>
    <row r="53" spans="3:22" x14ac:dyDescent="0.25">
      <c r="C53" t="str" cm="1">
        <f t="array" aca="1" ref="C53" ca="1">IFERROR(IF(INDIRECT($D$2&amp;"!B"&amp;T53)="","",INDIRECT("'"&amp;$D$2&amp;"'"&amp;"!B"&amp;T53)),IF(INDIRECT("'"&amp;$D$2&amp;"'"&amp;"!B"&amp;T53)="","",INDIRECT("'"&amp;$D$2&amp;"'"&amp;"!B"&amp;T53)))</f>
        <v>Banno</v>
      </c>
      <c r="D53" t="str" cm="1">
        <f t="array" aca="1" ref="D53" ca="1">IFERROR(_xlfn.IFS(C53="","",C53&lt;&gt;"",INDEX(SF_Output!I:I,MATCH(C53,SF_Output!M:M,0))),IFERROR(INDEX(INDIRECT($D$2&amp;"!G:G"),MATCH(C53,INDIRECT($D$2&amp;"!B:B"),0)),INDEX(INDIRECT("'"&amp;$D$2&amp;"'!G:G"),MATCH(C53,INDIRECT("'"&amp;$D$2&amp;"'!B:B"),0))))</f>
        <v>Digital</v>
      </c>
      <c r="E53" t="str" cm="1">
        <f t="array" aca="1" ref="E53" ca="1">IFERROR(IF(C53="","",INDIRECT($D$2&amp;"!F"&amp;T53)),IF(C53="","",INDIRECT("'"&amp;$D$2&amp;"'"&amp;"!F"&amp;T53)))</f>
        <v>Included</v>
      </c>
      <c r="F53" t="str" cm="1">
        <f t="array" aca="1" ref="F53" ca="1">IFERROR(IF(C53="","",INDIRECT($D$2&amp;"!ak"&amp;T53)),IF(C53="","",INDIRECT("'"&amp;$D$2&amp;"'"&amp;"!ak"&amp;T53)))</f>
        <v/>
      </c>
      <c r="G53" cm="1">
        <f t="array" aca="1" ref="G53" ca="1">IFERROR(INDIRECT($D$2&amp;"!h"&amp;T53),INDIRECT("'"&amp;$D$2&amp;"'"&amp;"!h"&amp;T53))</f>
        <v>1</v>
      </c>
      <c r="H53" s="125" t="str" cm="1">
        <f t="array" aca="1" ref="H53" ca="1">IFERROR(INDIRECT($D$2&amp;"!i"&amp;T53),INDIRECT("'"&amp;$D$2&amp;"'"&amp;"!i"&amp;T53))</f>
        <v/>
      </c>
      <c r="I53" s="113" cm="1">
        <f t="array" aca="1" ref="I53" ca="1">IFERROR(IF($C53="","",INDIRECT($D$2&amp;"!j"&amp;$T53)+INDIRECT($D$2&amp;"!n"&amp;$T53)),IF($C53="","",INDIRECT("'"&amp;$D$2&amp;"'"&amp;"!j"&amp;$T53)+INDIRECT("'"&amp;$D$2&amp;"'"&amp;"!n"&amp;$T53)))</f>
        <v>65000</v>
      </c>
      <c r="J53" s="113">
        <f t="shared" ca="1" si="3"/>
        <v>-65000</v>
      </c>
      <c r="K53" s="113" cm="1">
        <f t="array" aca="1" ref="K53" ca="1">IFERROR(IF($C53="","",INDIRECT($D$2&amp;"!l"&amp;$T53)+INDIRECT($D$2&amp;"!p"&amp;$T53)),IF($C53="","",INDIRECT("'"&amp;$D$2&amp;"'"&amp;"!l"&amp;$T53)+INDIRECT("'"&amp;$D$2&amp;"'"&amp;"!p"&amp;$T53)))</f>
        <v>0</v>
      </c>
      <c r="M53" s="113" cm="1">
        <f t="array" aca="1" ref="M53" ca="1">IFERROR(IF($C53="","",INDIRECT($D$2&amp;"!r"&amp;T53)),IF($C53="","",INDIRECT("'"&amp;$D$2&amp;"'"&amp;"!r"&amp;T53)))</f>
        <v>0</v>
      </c>
      <c r="N53" s="113">
        <f t="shared" ca="1" si="4"/>
        <v>0</v>
      </c>
      <c r="O53" s="113" cm="1">
        <f t="array" aca="1" ref="O53" ca="1">IFERROR(IF($C53="","",INDIRECT($D$2&amp;"!t"&amp;T53)),IF($C53="","",INDIRECT("'"&amp;$D$2&amp;"'"&amp;"!t"&amp;T53)))</f>
        <v>0</v>
      </c>
      <c r="Q53" s="113" cm="1">
        <f t="array" aca="1" ref="Q53" ca="1">IFERROR(IF($C53="","",INDIRECT($D$2&amp;"!v"&amp;T53)),IF($C53="","",INDIRECT("'"&amp;$D$2&amp;"'"&amp;"!v"&amp;T53)))</f>
        <v>500</v>
      </c>
      <c r="R53" s="113">
        <f t="shared" ca="1" si="5"/>
        <v>0</v>
      </c>
      <c r="S53" s="113" cm="1">
        <f t="array" aca="1" ref="S53" ca="1">IFERROR(IF($C53="","",INDIRECT($D$2&amp;"!x"&amp;T53)),IF($C53="","",INDIRECT("'"&amp;$D$2&amp;"'"&amp;"!x"&amp;T53)))</f>
        <v>500</v>
      </c>
      <c r="T53" s="35">
        <v>41</v>
      </c>
      <c r="U53" s="113"/>
      <c r="V53" s="35">
        <v>41</v>
      </c>
    </row>
    <row r="54" spans="3:22" x14ac:dyDescent="0.25">
      <c r="C54" t="str" cm="1">
        <f t="array" aca="1" ref="C54" ca="1">IFERROR(IF(INDIRECT($D$2&amp;"!B"&amp;T54)="","",INDIRECT("'"&amp;$D$2&amp;"'"&amp;"!B"&amp;T54)),IF(INDIRECT("'"&amp;$D$2&amp;"'"&amp;"!B"&amp;T54)="","",INDIRECT("'"&amp;$D$2&amp;"'"&amp;"!B"&amp;T54)))</f>
        <v>Banno Business</v>
      </c>
      <c r="D54" t="str" cm="1">
        <f t="array" aca="1" ref="D54" ca="1">IFERROR(_xlfn.IFS(C54="","",C54&lt;&gt;"",INDEX(SF_Output!I:I,MATCH(C54,SF_Output!M:M,0))),IFERROR(INDEX(INDIRECT($D$2&amp;"!G:G"),MATCH(C54,INDIRECT($D$2&amp;"!B:B"),0)),INDEX(INDIRECT("'"&amp;$D$2&amp;"'!G:G"),MATCH(C54,INDIRECT("'"&amp;$D$2&amp;"'!B:B"),0))))</f>
        <v>Digital</v>
      </c>
      <c r="E54" t="str" cm="1">
        <f t="array" aca="1" ref="E54" ca="1">IFERROR(IF(C54="","",INDIRECT($D$2&amp;"!F"&amp;T54)),IF(C54="","",INDIRECT("'"&amp;$D$2&amp;"'"&amp;"!F"&amp;T54)))</f>
        <v>Included</v>
      </c>
      <c r="F54" t="str" cm="1">
        <f t="array" aca="1" ref="F54" ca="1">IFERROR(IF(C54="","",INDIRECT($D$2&amp;"!ak"&amp;T54)),IF(C54="","",INDIRECT("'"&amp;$D$2&amp;"'"&amp;"!ak"&amp;T54)))</f>
        <v/>
      </c>
      <c r="G54" cm="1">
        <f t="array" aca="1" ref="G54" ca="1">IFERROR(INDIRECT($D$2&amp;"!h"&amp;T54),INDIRECT("'"&amp;$D$2&amp;"'"&amp;"!h"&amp;T54))</f>
        <v>1</v>
      </c>
      <c r="H54" s="125" t="str" cm="1">
        <f t="array" aca="1" ref="H54" ca="1">IFERROR(INDIRECT($D$2&amp;"!i"&amp;T54),INDIRECT("'"&amp;$D$2&amp;"'"&amp;"!i"&amp;T54))</f>
        <v/>
      </c>
      <c r="I54" s="113" cm="1">
        <f t="array" aca="1" ref="I54" ca="1">IFERROR(IF($C54="","",INDIRECT($D$2&amp;"!j"&amp;$T54)+INDIRECT($D$2&amp;"!n"&amp;$T54)),IF($C54="","",INDIRECT("'"&amp;$D$2&amp;"'"&amp;"!j"&amp;$T54)+INDIRECT("'"&amp;$D$2&amp;"'"&amp;"!n"&amp;$T54)))</f>
        <v>20000</v>
      </c>
      <c r="J54" s="113">
        <f t="shared" ca="1" si="3"/>
        <v>-20000</v>
      </c>
      <c r="K54" s="113" cm="1">
        <f t="array" aca="1" ref="K54" ca="1">IFERROR(IF($C54="","",INDIRECT($D$2&amp;"!l"&amp;$T54)+INDIRECT($D$2&amp;"!p"&amp;$T54)),IF($C54="","",INDIRECT("'"&amp;$D$2&amp;"'"&amp;"!l"&amp;$T54)+INDIRECT("'"&amp;$D$2&amp;"'"&amp;"!p"&amp;$T54)))</f>
        <v>0</v>
      </c>
      <c r="M54" s="113" cm="1">
        <f t="array" aca="1" ref="M54" ca="1">IFERROR(IF($C54="","",INDIRECT($D$2&amp;"!r"&amp;T54)),IF($C54="","",INDIRECT("'"&amp;$D$2&amp;"'"&amp;"!r"&amp;T54)))</f>
        <v>0</v>
      </c>
      <c r="N54" s="113">
        <f t="shared" ca="1" si="4"/>
        <v>0</v>
      </c>
      <c r="O54" s="113" cm="1">
        <f t="array" aca="1" ref="O54" ca="1">IFERROR(IF($C54="","",INDIRECT($D$2&amp;"!t"&amp;T54)),IF($C54="","",INDIRECT("'"&amp;$D$2&amp;"'"&amp;"!t"&amp;T54)))</f>
        <v>0</v>
      </c>
      <c r="Q54" s="113" cm="1">
        <f t="array" aca="1" ref="Q54" ca="1">IFERROR(IF($C54="","",INDIRECT($D$2&amp;"!v"&amp;T54)),IF($C54="","",INDIRECT("'"&amp;$D$2&amp;"'"&amp;"!v"&amp;T54)))</f>
        <v>0</v>
      </c>
      <c r="R54" s="113">
        <f t="shared" ca="1" si="5"/>
        <v>0</v>
      </c>
      <c r="S54" s="113" cm="1">
        <f t="array" aca="1" ref="S54" ca="1">IFERROR(IF($C54="","",INDIRECT($D$2&amp;"!x"&amp;T54)),IF($C54="","",INDIRECT("'"&amp;$D$2&amp;"'"&amp;"!x"&amp;T54)))</f>
        <v>0</v>
      </c>
      <c r="T54" s="35">
        <v>42</v>
      </c>
      <c r="U54" s="113"/>
      <c r="V54" s="35">
        <v>42</v>
      </c>
    </row>
    <row r="55" spans="3:22" x14ac:dyDescent="0.25">
      <c r="C55" t="str" cm="1">
        <f t="array" aca="1" ref="C55" ca="1">IFERROR(IF(INDIRECT($D$2&amp;"!B"&amp;T55)="","",INDIRECT("'"&amp;$D$2&amp;"'"&amp;"!B"&amp;T55)),IF(INDIRECT("'"&amp;$D$2&amp;"'"&amp;"!B"&amp;T55)="","",INDIRECT("'"&amp;$D$2&amp;"'"&amp;"!B"&amp;T55)))</f>
        <v>Digital Video Chat and Screen Sharing</v>
      </c>
      <c r="D55" t="str" cm="1">
        <f t="array" aca="1" ref="D55" ca="1">IFERROR(_xlfn.IFS(C55="","",C55&lt;&gt;"",INDEX(SF_Output!I:I,MATCH(C55,SF_Output!M:M,0))),IFERROR(INDEX(INDIRECT($D$2&amp;"!G:G"),MATCH(C55,INDIRECT($D$2&amp;"!B:B"),0)),INDEX(INDIRECT("'"&amp;$D$2&amp;"'!G:G"),MATCH(C55,INDIRECT("'"&amp;$D$2&amp;"'!B:B"),0))))</f>
        <v>Digital</v>
      </c>
      <c r="E55" t="str" cm="1">
        <f t="array" aca="1" ref="E55" ca="1">IFERROR(IF(C55="","",INDIRECT($D$2&amp;"!F"&amp;T55)),IF(C55="","",INDIRECT("'"&amp;$D$2&amp;"'"&amp;"!F"&amp;T55)))</f>
        <v>Optional</v>
      </c>
      <c r="F55" t="str" cm="1">
        <f t="array" aca="1" ref="F55" ca="1">IFERROR(IF(C55="","",INDIRECT($D$2&amp;"!ak"&amp;T55)),IF(C55="","",INDIRECT("'"&amp;$D$2&amp;"'"&amp;"!ak"&amp;T55)))</f>
        <v/>
      </c>
      <c r="G55" cm="1">
        <f t="array" aca="1" ref="G55" ca="1">IFERROR(INDIRECT($D$2&amp;"!h"&amp;T55),INDIRECT("'"&amp;$D$2&amp;"'"&amp;"!h"&amp;T55))</f>
        <v>1</v>
      </c>
      <c r="H55" s="125" t="str" cm="1">
        <f t="array" aca="1" ref="H55" ca="1">IFERROR(INDIRECT($D$2&amp;"!i"&amp;T55),INDIRECT("'"&amp;$D$2&amp;"'"&amp;"!i"&amp;T55))</f>
        <v/>
      </c>
      <c r="I55" s="113" cm="1">
        <f t="array" aca="1" ref="I55" ca="1">IFERROR(IF($C55="","",INDIRECT($D$2&amp;"!j"&amp;$T55)+INDIRECT($D$2&amp;"!n"&amp;$T55)),IF($C55="","",INDIRECT("'"&amp;$D$2&amp;"'"&amp;"!j"&amp;$T55)+INDIRECT("'"&amp;$D$2&amp;"'"&amp;"!n"&amp;$T55)))</f>
        <v>5000</v>
      </c>
      <c r="J55" s="113">
        <f t="shared" ca="1" si="3"/>
        <v>-5000</v>
      </c>
      <c r="K55" s="113" cm="1">
        <f t="array" aca="1" ref="K55" ca="1">IFERROR(IF($C55="","",INDIRECT($D$2&amp;"!l"&amp;$T55)+INDIRECT($D$2&amp;"!p"&amp;$T55)),IF($C55="","",INDIRECT("'"&amp;$D$2&amp;"'"&amp;"!l"&amp;$T55)+INDIRECT("'"&amp;$D$2&amp;"'"&amp;"!p"&amp;$T55)))</f>
        <v>0</v>
      </c>
      <c r="M55" s="113" cm="1">
        <f t="array" aca="1" ref="M55" ca="1">IFERROR(IF($C55="","",INDIRECT($D$2&amp;"!r"&amp;T55)),IF($C55="","",INDIRECT("'"&amp;$D$2&amp;"'"&amp;"!r"&amp;T55)))</f>
        <v>0</v>
      </c>
      <c r="N55" s="113">
        <f t="shared" ca="1" si="4"/>
        <v>0</v>
      </c>
      <c r="O55" s="113" cm="1">
        <f t="array" aca="1" ref="O55" ca="1">IFERROR(IF($C55="","",INDIRECT($D$2&amp;"!t"&amp;T55)),IF($C55="","",INDIRECT("'"&amp;$D$2&amp;"'"&amp;"!t"&amp;T55)))</f>
        <v>0</v>
      </c>
      <c r="Q55" s="113" cm="1">
        <f t="array" aca="1" ref="Q55" ca="1">IFERROR(IF($C55="","",INDIRECT($D$2&amp;"!v"&amp;T55)),IF($C55="","",INDIRECT("'"&amp;$D$2&amp;"'"&amp;"!v"&amp;T55)))</f>
        <v>0</v>
      </c>
      <c r="R55" s="113">
        <f t="shared" ca="1" si="5"/>
        <v>0</v>
      </c>
      <c r="S55" s="113" cm="1">
        <f t="array" aca="1" ref="S55" ca="1">IFERROR(IF($C55="","",INDIRECT($D$2&amp;"!x"&amp;T55)),IF($C55="","",INDIRECT("'"&amp;$D$2&amp;"'"&amp;"!x"&amp;T55)))</f>
        <v>0</v>
      </c>
      <c r="T55" s="35">
        <v>43</v>
      </c>
      <c r="U55" s="113"/>
      <c r="V55" s="35">
        <v>43</v>
      </c>
    </row>
    <row r="56" spans="3:22" x14ac:dyDescent="0.25">
      <c r="C56" t="str" cm="1">
        <f t="array" aca="1" ref="C56" ca="1">IFERROR(IF(INDIRECT($D$2&amp;"!B"&amp;T56)="","",INDIRECT("'"&amp;$D$2&amp;"'"&amp;"!B"&amp;T56)),IF(INDIRECT("'"&amp;$D$2&amp;"'"&amp;"!B"&amp;T56)="","",INDIRECT("'"&amp;$D$2&amp;"'"&amp;"!B"&amp;T56)))</f>
        <v>JH Online Financial Management with Account Aggregation</v>
      </c>
      <c r="D56" t="str" cm="1">
        <f t="array" aca="1" ref="D56" ca="1">IFERROR(_xlfn.IFS(C56="","",C56&lt;&gt;"",INDEX(SF_Output!I:I,MATCH(C56,SF_Output!M:M,0))),IFERROR(INDEX(INDIRECT($D$2&amp;"!G:G"),MATCH(C56,INDIRECT($D$2&amp;"!B:B"),0)),INDEX(INDIRECT("'"&amp;$D$2&amp;"'!G:G"),MATCH(C56,INDIRECT("'"&amp;$D$2&amp;"'!B:B"),0))))</f>
        <v>Digital</v>
      </c>
      <c r="E56" t="str" cm="1">
        <f t="array" aca="1" ref="E56" ca="1">IFERROR(IF(C56="","",INDIRECT($D$2&amp;"!F"&amp;T56)),IF(C56="","",INDIRECT("'"&amp;$D$2&amp;"'"&amp;"!F"&amp;T56)))</f>
        <v>Optional</v>
      </c>
      <c r="F56" t="str" cm="1">
        <f t="array" aca="1" ref="F56" ca="1">IFERROR(IF(C56="","",INDIRECT($D$2&amp;"!ak"&amp;T56)),IF(C56="","",INDIRECT("'"&amp;$D$2&amp;"'"&amp;"!ak"&amp;T56)))</f>
        <v/>
      </c>
      <c r="G56" cm="1">
        <f t="array" aca="1" ref="G56" ca="1">IFERROR(INDIRECT($D$2&amp;"!h"&amp;T56),INDIRECT("'"&amp;$D$2&amp;"'"&amp;"!h"&amp;T56))</f>
        <v>1</v>
      </c>
      <c r="H56" s="125" t="str" cm="1">
        <f t="array" aca="1" ref="H56" ca="1">IFERROR(INDIRECT($D$2&amp;"!i"&amp;T56),INDIRECT("'"&amp;$D$2&amp;"'"&amp;"!i"&amp;T56))</f>
        <v/>
      </c>
      <c r="I56" s="113" cm="1">
        <f t="array" aca="1" ref="I56" ca="1">IFERROR(IF($C56="","",INDIRECT($D$2&amp;"!j"&amp;$T56)+INDIRECT($D$2&amp;"!n"&amp;$T56)),IF($C56="","",INDIRECT("'"&amp;$D$2&amp;"'"&amp;"!j"&amp;$T56)+INDIRECT("'"&amp;$D$2&amp;"'"&amp;"!n"&amp;$T56)))</f>
        <v>10000</v>
      </c>
      <c r="J56" s="113">
        <f t="shared" ca="1" si="3"/>
        <v>-10000</v>
      </c>
      <c r="K56" s="113" cm="1">
        <f t="array" aca="1" ref="K56" ca="1">IFERROR(IF($C56="","",INDIRECT($D$2&amp;"!l"&amp;$T56)+INDIRECT($D$2&amp;"!p"&amp;$T56)),IF($C56="","",INDIRECT("'"&amp;$D$2&amp;"'"&amp;"!l"&amp;$T56)+INDIRECT("'"&amp;$D$2&amp;"'"&amp;"!p"&amp;$T56)))</f>
        <v>0</v>
      </c>
      <c r="M56" s="113" cm="1">
        <f t="array" aca="1" ref="M56" ca="1">IFERROR(IF($C56="","",INDIRECT($D$2&amp;"!r"&amp;T56)),IF($C56="","",INDIRECT("'"&amp;$D$2&amp;"'"&amp;"!r"&amp;T56)))</f>
        <v>0</v>
      </c>
      <c r="N56" s="113">
        <f t="shared" ca="1" si="4"/>
        <v>0</v>
      </c>
      <c r="O56" s="113" cm="1">
        <f t="array" aca="1" ref="O56" ca="1">IFERROR(IF($C56="","",INDIRECT($D$2&amp;"!t"&amp;T56)),IF($C56="","",INDIRECT("'"&amp;$D$2&amp;"'"&amp;"!t"&amp;T56)))</f>
        <v>0</v>
      </c>
      <c r="Q56" s="113" cm="1">
        <f t="array" aca="1" ref="Q56" ca="1">IFERROR(IF($C56="","",INDIRECT($D$2&amp;"!v"&amp;T56)),IF($C56="","",INDIRECT("'"&amp;$D$2&amp;"'"&amp;"!v"&amp;T56)))</f>
        <v>500</v>
      </c>
      <c r="R56" s="113">
        <f t="shared" ca="1" si="5"/>
        <v>0</v>
      </c>
      <c r="S56" s="113" cm="1">
        <f t="array" aca="1" ref="S56" ca="1">IFERROR(IF($C56="","",INDIRECT($D$2&amp;"!x"&amp;T56)),IF($C56="","",INDIRECT("'"&amp;$D$2&amp;"'"&amp;"!x"&amp;T56)))</f>
        <v>500</v>
      </c>
      <c r="T56" s="35">
        <v>44</v>
      </c>
      <c r="U56" s="113"/>
      <c r="V56" s="35">
        <v>44</v>
      </c>
    </row>
    <row r="57" spans="3:22" x14ac:dyDescent="0.25">
      <c r="C57" t="str" cm="1">
        <f t="array" aca="1" ref="C57" ca="1">IFERROR(IF(INDIRECT($D$2&amp;"!B"&amp;T57)="","",INDIRECT("'"&amp;$D$2&amp;"'"&amp;"!B"&amp;T57)),IF(INDIRECT("'"&amp;$D$2&amp;"'"&amp;"!B"&amp;T57)="","",INDIRECT("'"&amp;$D$2&amp;"'"&amp;"!B"&amp;T57)))</f>
        <v>Jack Henry Digital Card Issuance and Provisioning - Mastercard</v>
      </c>
      <c r="D57" t="str" cm="1">
        <f t="array" aca="1" ref="D57" ca="1">IFERROR(_xlfn.IFS(C57="","",C57&lt;&gt;"",INDEX(SF_Output!I:I,MATCH(C57,SF_Output!M:M,0))),IFERROR(INDEX(INDIRECT($D$2&amp;"!G:G"),MATCH(C57,INDIRECT($D$2&amp;"!B:B"),0)),INDEX(INDIRECT("'"&amp;$D$2&amp;"'!G:G"),MATCH(C57,INDIRECT("'"&amp;$D$2&amp;"'!B:B"),0))))</f>
        <v>Digital</v>
      </c>
      <c r="E57" t="str" cm="1">
        <f t="array" aca="1" ref="E57" ca="1">IFERROR(IF(C57="","",INDIRECT($D$2&amp;"!F"&amp;T57)),IF(C57="","",INDIRECT("'"&amp;$D$2&amp;"'"&amp;"!F"&amp;T57)))</f>
        <v>Included</v>
      </c>
      <c r="F57" t="str" cm="1">
        <f t="array" aca="1" ref="F57" ca="1">IFERROR(IF(C57="","",INDIRECT($D$2&amp;"!ak"&amp;T57)),IF(C57="","",INDIRECT("'"&amp;$D$2&amp;"'"&amp;"!ak"&amp;T57)))</f>
        <v/>
      </c>
      <c r="G57" cm="1">
        <f t="array" aca="1" ref="G57" ca="1">IFERROR(INDIRECT($D$2&amp;"!h"&amp;T57),INDIRECT("'"&amp;$D$2&amp;"'"&amp;"!h"&amp;T57))</f>
        <v>1</v>
      </c>
      <c r="H57" s="125" t="str" cm="1">
        <f t="array" aca="1" ref="H57" ca="1">IFERROR(INDIRECT($D$2&amp;"!i"&amp;T57),INDIRECT("'"&amp;$D$2&amp;"'"&amp;"!i"&amp;T57))</f>
        <v/>
      </c>
      <c r="I57" s="113" cm="1">
        <f t="array" aca="1" ref="I57" ca="1">IFERROR(IF($C57="","",INDIRECT($D$2&amp;"!j"&amp;$T57)+INDIRECT($D$2&amp;"!n"&amp;$T57)),IF($C57="","",INDIRECT("'"&amp;$D$2&amp;"'"&amp;"!j"&amp;$T57)+INDIRECT("'"&amp;$D$2&amp;"'"&amp;"!n"&amp;$T57)))</f>
        <v>2000</v>
      </c>
      <c r="J57" s="113">
        <f t="shared" ca="1" si="3"/>
        <v>-2000</v>
      </c>
      <c r="K57" s="113" cm="1">
        <f t="array" aca="1" ref="K57" ca="1">IFERROR(IF($C57="","",INDIRECT($D$2&amp;"!l"&amp;$T57)+INDIRECT($D$2&amp;"!p"&amp;$T57)),IF($C57="","",INDIRECT("'"&amp;$D$2&amp;"'"&amp;"!l"&amp;$T57)+INDIRECT("'"&amp;$D$2&amp;"'"&amp;"!p"&amp;$T57)))</f>
        <v>0</v>
      </c>
      <c r="M57" s="113" cm="1">
        <f t="array" aca="1" ref="M57" ca="1">IFERROR(IF($C57="","",INDIRECT($D$2&amp;"!r"&amp;T57)),IF($C57="","",INDIRECT("'"&amp;$D$2&amp;"'"&amp;"!r"&amp;T57)))</f>
        <v>0</v>
      </c>
      <c r="N57" s="113">
        <f t="shared" ca="1" si="4"/>
        <v>0</v>
      </c>
      <c r="O57" s="113" cm="1">
        <f t="array" aca="1" ref="O57" ca="1">IFERROR(IF($C57="","",INDIRECT($D$2&amp;"!t"&amp;T57)),IF($C57="","",INDIRECT("'"&amp;$D$2&amp;"'"&amp;"!t"&amp;T57)))</f>
        <v>0</v>
      </c>
      <c r="Q57" s="113" cm="1">
        <f t="array" aca="1" ref="Q57" ca="1">IFERROR(IF($C57="","",INDIRECT($D$2&amp;"!v"&amp;T57)),IF($C57="","",INDIRECT("'"&amp;$D$2&amp;"'"&amp;"!v"&amp;T57)))</f>
        <v>50</v>
      </c>
      <c r="R57" s="113">
        <f t="shared" ca="1" si="5"/>
        <v>0</v>
      </c>
      <c r="S57" s="113" cm="1">
        <f t="array" aca="1" ref="S57" ca="1">IFERROR(IF($C57="","",INDIRECT($D$2&amp;"!x"&amp;T57)),IF($C57="","",INDIRECT("'"&amp;$D$2&amp;"'"&amp;"!x"&amp;T57)))</f>
        <v>50</v>
      </c>
      <c r="T57" s="35">
        <v>45</v>
      </c>
      <c r="U57" s="113"/>
      <c r="V57" s="35">
        <v>45</v>
      </c>
    </row>
    <row r="58" spans="3:22" x14ac:dyDescent="0.25">
      <c r="C58" t="str" cm="1">
        <f t="array" aca="1" ref="C58" ca="1">IFERROR(IF(INDIRECT($D$2&amp;"!B"&amp;T58)="","",INDIRECT("'"&amp;$D$2&amp;"'"&amp;"!B"&amp;T58)),IF(INDIRECT("'"&amp;$D$2&amp;"'"&amp;"!B"&amp;T58)="","",INDIRECT("'"&amp;$D$2&amp;"'"&amp;"!B"&amp;T58)))</f>
        <v>Banno Marketing</v>
      </c>
      <c r="D58" t="str" cm="1">
        <f t="array" aca="1" ref="D58" ca="1">IFERROR(_xlfn.IFS(C58="","",C58&lt;&gt;"",INDEX(SF_Output!I:I,MATCH(C58,SF_Output!M:M,0))),IFERROR(INDEX(INDIRECT($D$2&amp;"!G:G"),MATCH(C58,INDIRECT($D$2&amp;"!B:B"),0)),INDEX(INDIRECT("'"&amp;$D$2&amp;"'!G:G"),MATCH(C58,INDIRECT("'"&amp;$D$2&amp;"'!B:B"),0))))</f>
        <v>Digital</v>
      </c>
      <c r="E58" t="str" cm="1">
        <f t="array" aca="1" ref="E58" ca="1">IFERROR(IF(C58="","",INDIRECT($D$2&amp;"!F"&amp;T58)),IF(C58="","",INDIRECT("'"&amp;$D$2&amp;"'"&amp;"!F"&amp;T58)))</f>
        <v>Optional</v>
      </c>
      <c r="F58" t="str" cm="1">
        <f t="array" aca="1" ref="F58" ca="1">IFERROR(IF(C58="","",INDIRECT($D$2&amp;"!ak"&amp;T58)),IF(C58="","",INDIRECT("'"&amp;$D$2&amp;"'"&amp;"!ak"&amp;T58)))</f>
        <v/>
      </c>
      <c r="G58" cm="1">
        <f t="array" aca="1" ref="G58" ca="1">IFERROR(INDIRECT($D$2&amp;"!h"&amp;T58),INDIRECT("'"&amp;$D$2&amp;"'"&amp;"!h"&amp;T58))</f>
        <v>1</v>
      </c>
      <c r="H58" s="125" t="str" cm="1">
        <f t="array" aca="1" ref="H58" ca="1">IFERROR(INDIRECT($D$2&amp;"!i"&amp;T58),INDIRECT("'"&amp;$D$2&amp;"'"&amp;"!i"&amp;T58))</f>
        <v/>
      </c>
      <c r="I58" s="113" cm="1">
        <f t="array" aca="1" ref="I58" ca="1">IFERROR(IF($C58="","",INDIRECT($D$2&amp;"!j"&amp;$T58)+INDIRECT($D$2&amp;"!n"&amp;$T58)),IF($C58="","",INDIRECT("'"&amp;$D$2&amp;"'"&amp;"!j"&amp;$T58)+INDIRECT("'"&amp;$D$2&amp;"'"&amp;"!n"&amp;$T58)))</f>
        <v>5000</v>
      </c>
      <c r="J58" s="113">
        <f t="shared" ca="1" si="3"/>
        <v>-5000</v>
      </c>
      <c r="K58" s="113" cm="1">
        <f t="array" aca="1" ref="K58" ca="1">IFERROR(IF($C58="","",INDIRECT($D$2&amp;"!l"&amp;$T58)+INDIRECT($D$2&amp;"!p"&amp;$T58)),IF($C58="","",INDIRECT("'"&amp;$D$2&amp;"'"&amp;"!l"&amp;$T58)+INDIRECT("'"&amp;$D$2&amp;"'"&amp;"!p"&amp;$T58)))</f>
        <v>0</v>
      </c>
      <c r="M58" s="113" cm="1">
        <f t="array" aca="1" ref="M58" ca="1">IFERROR(IF($C58="","",INDIRECT($D$2&amp;"!r"&amp;T58)),IF($C58="","",INDIRECT("'"&amp;$D$2&amp;"'"&amp;"!r"&amp;T58)))</f>
        <v>0</v>
      </c>
      <c r="N58" s="113">
        <f t="shared" ca="1" si="4"/>
        <v>0</v>
      </c>
      <c r="O58" s="113" cm="1">
        <f t="array" aca="1" ref="O58" ca="1">IFERROR(IF($C58="","",INDIRECT($D$2&amp;"!t"&amp;T58)),IF($C58="","",INDIRECT("'"&amp;$D$2&amp;"'"&amp;"!t"&amp;T58)))</f>
        <v>0</v>
      </c>
      <c r="Q58" s="113" cm="1">
        <f t="array" aca="1" ref="Q58" ca="1">IFERROR(IF($C58="","",INDIRECT($D$2&amp;"!v"&amp;T58)),IF($C58="","",INDIRECT("'"&amp;$D$2&amp;"'"&amp;"!v"&amp;T58)))</f>
        <v>0</v>
      </c>
      <c r="R58" s="113">
        <f t="shared" ca="1" si="5"/>
        <v>0</v>
      </c>
      <c r="S58" s="113" cm="1">
        <f t="array" aca="1" ref="S58" ca="1">IFERROR(IF($C58="","",INDIRECT($D$2&amp;"!x"&amp;T58)),IF($C58="","",INDIRECT("'"&amp;$D$2&amp;"'"&amp;"!x"&amp;T58)))</f>
        <v>0</v>
      </c>
      <c r="T58" s="35">
        <v>46</v>
      </c>
      <c r="U58" s="113"/>
      <c r="V58" s="35">
        <v>46</v>
      </c>
    </row>
    <row r="59" spans="3:22" x14ac:dyDescent="0.25">
      <c r="C59" t="str" cm="1">
        <f t="array" aca="1" ref="C59" ca="1">IFERROR(IF(INDIRECT($D$2&amp;"!B"&amp;T59)="","",INDIRECT("'"&amp;$D$2&amp;"'"&amp;"!B"&amp;T59)),IF(INDIRECT("'"&amp;$D$2&amp;"'"&amp;"!B"&amp;T59)="","",INDIRECT("'"&amp;$D$2&amp;"'"&amp;"!B"&amp;T59)))</f>
        <v>Electronic Statement Interactive (ESI)</v>
      </c>
      <c r="D59" t="str" cm="1">
        <f t="array" aca="1" ref="D59" ca="1">IFERROR(_xlfn.IFS(C59="","",C59&lt;&gt;"",INDEX(SF_Output!I:I,MATCH(C59,SF_Output!M:M,0))),IFERROR(INDEX(INDIRECT($D$2&amp;"!G:G"),MATCH(C59,INDIRECT($D$2&amp;"!B:B"),0)),INDEX(INDIRECT("'"&amp;$D$2&amp;"'!G:G"),MATCH(C59,INDIRECT("'"&amp;$D$2&amp;"'!B:B"),0))))</f>
        <v>Digital</v>
      </c>
      <c r="E59" t="str" cm="1">
        <f t="array" aca="1" ref="E59" ca="1">IFERROR(IF(C59="","",INDIRECT($D$2&amp;"!F"&amp;T59)),IF(C59="","",INDIRECT("'"&amp;$D$2&amp;"'"&amp;"!F"&amp;T59)))</f>
        <v>Included</v>
      </c>
      <c r="F59" t="str" cm="1">
        <f t="array" aca="1" ref="F59" ca="1">IFERROR(IF(C59="","",INDIRECT($D$2&amp;"!ak"&amp;T59)),IF(C59="","",INDIRECT("'"&amp;$D$2&amp;"'"&amp;"!ak"&amp;T59)))</f>
        <v>PAP</v>
      </c>
      <c r="G59" cm="1">
        <f t="array" aca="1" ref="G59" ca="1">IFERROR(INDIRECT($D$2&amp;"!h"&amp;T59),INDIRECT("'"&amp;$D$2&amp;"'"&amp;"!h"&amp;T59))</f>
        <v>5000</v>
      </c>
      <c r="H59" s="125" cm="1">
        <f t="array" aca="1" ref="H59" ca="1">IFERROR(INDIRECT($D$2&amp;"!i"&amp;T59),INDIRECT("'"&amp;$D$2&amp;"'"&amp;"!i"&amp;T59))</f>
        <v>2.1000000000000001E-2</v>
      </c>
      <c r="I59" s="113" cm="1">
        <f t="array" aca="1" ref="I59" ca="1">IFERROR(IF($C59="","",INDIRECT($D$2&amp;"!j"&amp;$T59)+INDIRECT($D$2&amp;"!n"&amp;$T59)),IF($C59="","",INDIRECT("'"&amp;$D$2&amp;"'"&amp;"!j"&amp;$T59)+INDIRECT("'"&amp;$D$2&amp;"'"&amp;"!n"&amp;$T59)))</f>
        <v>1750</v>
      </c>
      <c r="J59" s="113">
        <f t="shared" ca="1" si="3"/>
        <v>-1750</v>
      </c>
      <c r="K59" s="113" cm="1">
        <f t="array" aca="1" ref="K59" ca="1">IFERROR(IF($C59="","",INDIRECT($D$2&amp;"!l"&amp;$T59)+INDIRECT($D$2&amp;"!p"&amp;$T59)),IF($C59="","",INDIRECT("'"&amp;$D$2&amp;"'"&amp;"!l"&amp;$T59)+INDIRECT("'"&amp;$D$2&amp;"'"&amp;"!p"&amp;$T59)))</f>
        <v>0</v>
      </c>
      <c r="M59" s="113" cm="1">
        <f t="array" aca="1" ref="M59" ca="1">IFERROR(IF($C59="","",INDIRECT($D$2&amp;"!r"&amp;T59)),IF($C59="","",INDIRECT("'"&amp;$D$2&amp;"'"&amp;"!r"&amp;T59)))</f>
        <v>0</v>
      </c>
      <c r="N59" s="113">
        <f t="shared" ca="1" si="4"/>
        <v>0</v>
      </c>
      <c r="O59" s="113" cm="1">
        <f t="array" aca="1" ref="O59" ca="1">IFERROR(IF($C59="","",INDIRECT($D$2&amp;"!t"&amp;T59)),IF($C59="","",INDIRECT("'"&amp;$D$2&amp;"'"&amp;"!t"&amp;T59)))</f>
        <v>0</v>
      </c>
      <c r="Q59" s="113" cm="1">
        <f t="array" aca="1" ref="Q59" ca="1">IFERROR(IF($C59="","",INDIRECT($D$2&amp;"!v"&amp;T59)),IF($C59="","",INDIRECT("'"&amp;$D$2&amp;"'"&amp;"!v"&amp;T59)))</f>
        <v>140</v>
      </c>
      <c r="R59" s="113">
        <f t="shared" ca="1" si="5"/>
        <v>-35</v>
      </c>
      <c r="S59" s="113" cm="1">
        <f t="array" aca="1" ref="S59" ca="1">IFERROR(IF($C59="","",INDIRECT($D$2&amp;"!x"&amp;T59)),IF($C59="","",INDIRECT("'"&amp;$D$2&amp;"'"&amp;"!x"&amp;T59)))</f>
        <v>105</v>
      </c>
      <c r="T59" s="35">
        <v>47</v>
      </c>
      <c r="U59" s="113"/>
      <c r="V59" s="35">
        <v>47</v>
      </c>
    </row>
    <row r="60" spans="3:22" x14ac:dyDescent="0.25">
      <c r="C60" t="str" cm="1">
        <f t="array" aca="1" ref="C60" ca="1">IFERROR(IF(INDIRECT($D$2&amp;"!B"&amp;T60)="","",INDIRECT("'"&amp;$D$2&amp;"'"&amp;"!B"&amp;T60)),IF(INDIRECT("'"&amp;$D$2&amp;"'"&amp;"!B"&amp;T60)="","",INDIRECT("'"&amp;$D$2&amp;"'"&amp;"!B"&amp;T60)))</f>
        <v>Intuit Connectivity for QuickBooks Current Release</v>
      </c>
      <c r="D60" t="str" cm="1">
        <f t="array" aca="1" ref="D60" ca="1">IFERROR(_xlfn.IFS(C60="","",C60&lt;&gt;"",INDEX(SF_Output!I:I,MATCH(C60,SF_Output!M:M,0))),IFERROR(INDEX(INDIRECT($D$2&amp;"!G:G"),MATCH(C60,INDIRECT($D$2&amp;"!B:B"),0)),INDEX(INDIRECT("'"&amp;$D$2&amp;"'!G:G"),MATCH(C60,INDIRECT("'"&amp;$D$2&amp;"'!B:B"),0))))</f>
        <v>Digital</v>
      </c>
      <c r="E60" t="str" cm="1">
        <f t="array" aca="1" ref="E60" ca="1">IFERROR(IF(C60="","",INDIRECT($D$2&amp;"!F"&amp;T60)),IF(C60="","",INDIRECT("'"&amp;$D$2&amp;"'"&amp;"!F"&amp;T60)))</f>
        <v>Included</v>
      </c>
      <c r="F60" t="str" cm="1">
        <f t="array" aca="1" ref="F60" ca="1">IFERROR(IF(C60="","",INDIRECT($D$2&amp;"!ak"&amp;T60)),IF(C60="","",INDIRECT("'"&amp;$D$2&amp;"'"&amp;"!ak"&amp;T60)))</f>
        <v/>
      </c>
      <c r="G60" cm="1">
        <f t="array" aca="1" ref="G60" ca="1">IFERROR(INDIRECT($D$2&amp;"!h"&amp;T60),INDIRECT("'"&amp;$D$2&amp;"'"&amp;"!h"&amp;T60))</f>
        <v>1</v>
      </c>
      <c r="H60" s="125" t="str" cm="1">
        <f t="array" aca="1" ref="H60" ca="1">IFERROR(INDIRECT($D$2&amp;"!i"&amp;T60),INDIRECT("'"&amp;$D$2&amp;"'"&amp;"!i"&amp;T60))</f>
        <v/>
      </c>
      <c r="I60" s="113" cm="1">
        <f t="array" aca="1" ref="I60" ca="1">IFERROR(IF($C60="","",INDIRECT($D$2&amp;"!j"&amp;$T60)+INDIRECT($D$2&amp;"!n"&amp;$T60)),IF($C60="","",INDIRECT("'"&amp;$D$2&amp;"'"&amp;"!j"&amp;$T60)+INDIRECT("'"&amp;$D$2&amp;"'"&amp;"!n"&amp;$T60)))</f>
        <v>0</v>
      </c>
      <c r="J60" s="113">
        <f t="shared" ca="1" si="3"/>
        <v>0</v>
      </c>
      <c r="K60" s="113" cm="1">
        <f t="array" aca="1" ref="K60" ca="1">IFERROR(IF($C60="","",INDIRECT($D$2&amp;"!l"&amp;$T60)+INDIRECT($D$2&amp;"!p"&amp;$T60)),IF($C60="","",INDIRECT("'"&amp;$D$2&amp;"'"&amp;"!l"&amp;$T60)+INDIRECT("'"&amp;$D$2&amp;"'"&amp;"!p"&amp;$T60)))</f>
        <v>0</v>
      </c>
      <c r="M60" s="113" cm="1">
        <f t="array" aca="1" ref="M60" ca="1">IFERROR(IF($C60="","",INDIRECT($D$2&amp;"!r"&amp;T60)),IF($C60="","",INDIRECT("'"&amp;$D$2&amp;"'"&amp;"!r"&amp;T60)))</f>
        <v>0</v>
      </c>
      <c r="N60" s="113">
        <f t="shared" ca="1" si="4"/>
        <v>0</v>
      </c>
      <c r="O60" s="113" cm="1">
        <f t="array" aca="1" ref="O60" ca="1">IFERROR(IF($C60="","",INDIRECT($D$2&amp;"!t"&amp;T60)),IF($C60="","",INDIRECT("'"&amp;$D$2&amp;"'"&amp;"!t"&amp;T60)))</f>
        <v>0</v>
      </c>
      <c r="Q60" s="113" cm="1">
        <f t="array" aca="1" ref="Q60" ca="1">IFERROR(IF($C60="","",INDIRECT($D$2&amp;"!v"&amp;T60)),IF($C60="","",INDIRECT("'"&amp;$D$2&amp;"'"&amp;"!v"&amp;T60)))</f>
        <v>0</v>
      </c>
      <c r="R60" s="113">
        <f t="shared" ca="1" si="5"/>
        <v>0</v>
      </c>
      <c r="S60" s="113" cm="1">
        <f t="array" aca="1" ref="S60" ca="1">IFERROR(IF($C60="","",INDIRECT($D$2&amp;"!x"&amp;T60)),IF($C60="","",INDIRECT("'"&amp;$D$2&amp;"'"&amp;"!x"&amp;T60)))</f>
        <v>0</v>
      </c>
      <c r="T60" s="35">
        <v>48</v>
      </c>
      <c r="U60" s="113"/>
      <c r="V60" s="35">
        <v>48</v>
      </c>
    </row>
    <row r="61" spans="3:22" x14ac:dyDescent="0.25">
      <c r="C61" t="str" cm="1">
        <f t="array" aca="1" ref="C61" ca="1">IFERROR(IF(INDIRECT($D$2&amp;"!B"&amp;T61)="","",INDIRECT("'"&amp;$D$2&amp;"'"&amp;"!B"&amp;T61)),IF(INDIRECT("'"&amp;$D$2&amp;"'"&amp;"!B"&amp;T61)="","",INDIRECT("'"&amp;$D$2&amp;"'"&amp;"!B"&amp;T61)))</f>
        <v>Intuit Connectivity for Quicken Current Release</v>
      </c>
      <c r="D61" t="str" cm="1">
        <f t="array" aca="1" ref="D61" ca="1">IFERROR(_xlfn.IFS(C61="","",C61&lt;&gt;"",INDEX(SF_Output!I:I,MATCH(C61,SF_Output!M:M,0))),IFERROR(INDEX(INDIRECT($D$2&amp;"!G:G"),MATCH(C61,INDIRECT($D$2&amp;"!B:B"),0)),INDEX(INDIRECT("'"&amp;$D$2&amp;"'!G:G"),MATCH(C61,INDIRECT("'"&amp;$D$2&amp;"'!B:B"),0))))</f>
        <v>Digital</v>
      </c>
      <c r="E61" t="str" cm="1">
        <f t="array" aca="1" ref="E61" ca="1">IFERROR(IF(C61="","",INDIRECT($D$2&amp;"!F"&amp;T61)),IF(C61="","",INDIRECT("'"&amp;$D$2&amp;"'"&amp;"!F"&amp;T61)))</f>
        <v>Included</v>
      </c>
      <c r="F61" t="str" cm="1">
        <f t="array" aca="1" ref="F61" ca="1">IFERROR(IF(C61="","",INDIRECT($D$2&amp;"!ak"&amp;T61)),IF(C61="","",INDIRECT("'"&amp;$D$2&amp;"'"&amp;"!ak"&amp;T61)))</f>
        <v/>
      </c>
      <c r="G61" cm="1">
        <f t="array" aca="1" ref="G61" ca="1">IFERROR(INDIRECT($D$2&amp;"!h"&amp;T61),INDIRECT("'"&amp;$D$2&amp;"'"&amp;"!h"&amp;T61))</f>
        <v>1</v>
      </c>
      <c r="H61" s="125" t="str" cm="1">
        <f t="array" aca="1" ref="H61" ca="1">IFERROR(INDIRECT($D$2&amp;"!i"&amp;T61),INDIRECT("'"&amp;$D$2&amp;"'"&amp;"!i"&amp;T61))</f>
        <v/>
      </c>
      <c r="I61" s="113" cm="1">
        <f t="array" aca="1" ref="I61" ca="1">IFERROR(IF($C61="","",INDIRECT($D$2&amp;"!j"&amp;$T61)+INDIRECT($D$2&amp;"!n"&amp;$T61)),IF($C61="","",INDIRECT("'"&amp;$D$2&amp;"'"&amp;"!j"&amp;$T61)+INDIRECT("'"&amp;$D$2&amp;"'"&amp;"!n"&amp;$T61)))</f>
        <v>0</v>
      </c>
      <c r="J61" s="113">
        <f t="shared" ca="1" si="3"/>
        <v>0</v>
      </c>
      <c r="K61" s="113" cm="1">
        <f t="array" aca="1" ref="K61" ca="1">IFERROR(IF($C61="","",INDIRECT($D$2&amp;"!l"&amp;$T61)+INDIRECT($D$2&amp;"!p"&amp;$T61)),IF($C61="","",INDIRECT("'"&amp;$D$2&amp;"'"&amp;"!l"&amp;$T61)+INDIRECT("'"&amp;$D$2&amp;"'"&amp;"!p"&amp;$T61)))</f>
        <v>0</v>
      </c>
      <c r="M61" s="113" cm="1">
        <f t="array" aca="1" ref="M61" ca="1">IFERROR(IF($C61="","",INDIRECT($D$2&amp;"!r"&amp;T61)),IF($C61="","",INDIRECT("'"&amp;$D$2&amp;"'"&amp;"!r"&amp;T61)))</f>
        <v>500</v>
      </c>
      <c r="N61" s="113">
        <f t="shared" ca="1" si="4"/>
        <v>0</v>
      </c>
      <c r="O61" s="113" cm="1">
        <f t="array" aca="1" ref="O61" ca="1">IFERROR(IF($C61="","",INDIRECT($D$2&amp;"!t"&amp;T61)),IF($C61="","",INDIRECT("'"&amp;$D$2&amp;"'"&amp;"!t"&amp;T61)))</f>
        <v>500</v>
      </c>
      <c r="Q61" s="113" cm="1">
        <f t="array" aca="1" ref="Q61" ca="1">IFERROR(IF($C61="","",INDIRECT($D$2&amp;"!v"&amp;T61)),IF($C61="","",INDIRECT("'"&amp;$D$2&amp;"'"&amp;"!v"&amp;T61)))</f>
        <v>0</v>
      </c>
      <c r="R61" s="113">
        <f t="shared" ca="1" si="5"/>
        <v>0</v>
      </c>
      <c r="S61" s="113" cm="1">
        <f t="array" aca="1" ref="S61" ca="1">IFERROR(IF($C61="","",INDIRECT($D$2&amp;"!x"&amp;T61)),IF($C61="","",INDIRECT("'"&amp;$D$2&amp;"'"&amp;"!x"&amp;T61)))</f>
        <v>0</v>
      </c>
      <c r="T61" s="35">
        <v>49</v>
      </c>
      <c r="U61" s="113"/>
      <c r="V61" s="35">
        <v>49</v>
      </c>
    </row>
    <row r="62" spans="3:22" x14ac:dyDescent="0.25">
      <c r="C62" t="str" cm="1">
        <f t="array" aca="1" ref="C62" ca="1">IFERROR(IF(INDIRECT($D$2&amp;"!B"&amp;T62)="","",INDIRECT("'"&amp;$D$2&amp;"'"&amp;"!B"&amp;T62)),IF(INDIRECT("'"&amp;$D$2&amp;"'"&amp;"!B"&amp;T62)="","",INDIRECT("'"&amp;$D$2&amp;"'"&amp;"!B"&amp;T62)))</f>
        <v>Intuit Connectivity for QuickBooks Previous two versions support</v>
      </c>
      <c r="D62" t="str" cm="1">
        <f t="array" aca="1" ref="D62" ca="1">IFERROR(_xlfn.IFS(C62="","",C62&lt;&gt;"",INDEX(SF_Output!I:I,MATCH(C62,SF_Output!M:M,0))),IFERROR(INDEX(INDIRECT($D$2&amp;"!G:G"),MATCH(C62,INDIRECT($D$2&amp;"!B:B"),0)),INDEX(INDIRECT("'"&amp;$D$2&amp;"'!G:G"),MATCH(C62,INDIRECT("'"&amp;$D$2&amp;"'!B:B"),0))))</f>
        <v>Digital</v>
      </c>
      <c r="E62" t="str" cm="1">
        <f t="array" aca="1" ref="E62" ca="1">IFERROR(IF(C62="","",INDIRECT($D$2&amp;"!F"&amp;T62)),IF(C62="","",INDIRECT("'"&amp;$D$2&amp;"'"&amp;"!F"&amp;T62)))</f>
        <v>Included</v>
      </c>
      <c r="F62" t="str" cm="1">
        <f t="array" aca="1" ref="F62" ca="1">IFERROR(IF(C62="","",INDIRECT($D$2&amp;"!ak"&amp;T62)),IF(C62="","",INDIRECT("'"&amp;$D$2&amp;"'"&amp;"!ak"&amp;T62)))</f>
        <v/>
      </c>
      <c r="G62" cm="1">
        <f t="array" aca="1" ref="G62" ca="1">IFERROR(INDIRECT($D$2&amp;"!h"&amp;T62),INDIRECT("'"&amp;$D$2&amp;"'"&amp;"!h"&amp;T62))</f>
        <v>1</v>
      </c>
      <c r="H62" s="125" t="str" cm="1">
        <f t="array" aca="1" ref="H62" ca="1">IFERROR(INDIRECT($D$2&amp;"!i"&amp;T62),INDIRECT("'"&amp;$D$2&amp;"'"&amp;"!i"&amp;T62))</f>
        <v/>
      </c>
      <c r="I62" s="113" cm="1">
        <f t="array" aca="1" ref="I62" ca="1">IFERROR(IF($C62="","",INDIRECT($D$2&amp;"!j"&amp;$T62)+INDIRECT($D$2&amp;"!n"&amp;$T62)),IF($C62="","",INDIRECT("'"&amp;$D$2&amp;"'"&amp;"!j"&amp;$T62)+INDIRECT("'"&amp;$D$2&amp;"'"&amp;"!n"&amp;$T62)))</f>
        <v>0</v>
      </c>
      <c r="J62" s="113">
        <f t="shared" ca="1" si="3"/>
        <v>0</v>
      </c>
      <c r="K62" s="113" cm="1">
        <f t="array" aca="1" ref="K62" ca="1">IFERROR(IF($C62="","",INDIRECT($D$2&amp;"!l"&amp;$T62)+INDIRECT($D$2&amp;"!p"&amp;$T62)),IF($C62="","",INDIRECT("'"&amp;$D$2&amp;"'"&amp;"!l"&amp;$T62)+INDIRECT("'"&amp;$D$2&amp;"'"&amp;"!p"&amp;$T62)))</f>
        <v>0</v>
      </c>
      <c r="M62" s="113" cm="1">
        <f t="array" aca="1" ref="M62" ca="1">IFERROR(IF($C62="","",INDIRECT($D$2&amp;"!r"&amp;T62)),IF($C62="","",INDIRECT("'"&amp;$D$2&amp;"'"&amp;"!r"&amp;T62)))</f>
        <v>0</v>
      </c>
      <c r="N62" s="113">
        <f t="shared" ca="1" si="4"/>
        <v>0</v>
      </c>
      <c r="O62" s="113" cm="1">
        <f t="array" aca="1" ref="O62" ca="1">IFERROR(IF($C62="","",INDIRECT($D$2&amp;"!t"&amp;T62)),IF($C62="","",INDIRECT("'"&amp;$D$2&amp;"'"&amp;"!t"&amp;T62)))</f>
        <v>0</v>
      </c>
      <c r="Q62" s="113" cm="1">
        <f t="array" aca="1" ref="Q62" ca="1">IFERROR(IF($C62="","",INDIRECT($D$2&amp;"!v"&amp;T62)),IF($C62="","",INDIRECT("'"&amp;$D$2&amp;"'"&amp;"!v"&amp;T62)))</f>
        <v>0</v>
      </c>
      <c r="R62" s="113">
        <f t="shared" ca="1" si="5"/>
        <v>0</v>
      </c>
      <c r="S62" s="113" cm="1">
        <f t="array" aca="1" ref="S62" ca="1">IFERROR(IF($C62="","",INDIRECT($D$2&amp;"!x"&amp;T62)),IF($C62="","",INDIRECT("'"&amp;$D$2&amp;"'"&amp;"!x"&amp;T62)))</f>
        <v>0</v>
      </c>
      <c r="T62" s="35">
        <v>50</v>
      </c>
      <c r="U62" s="113"/>
      <c r="V62" s="35">
        <v>50</v>
      </c>
    </row>
    <row r="63" spans="3:22" x14ac:dyDescent="0.25">
      <c r="C63" t="str" cm="1">
        <f t="array" aca="1" ref="C63" ca="1">IFERROR(IF(INDIRECT($D$2&amp;"!B"&amp;T63)="","",INDIRECT("'"&amp;$D$2&amp;"'"&amp;"!B"&amp;T63)),IF(INDIRECT("'"&amp;$D$2&amp;"'"&amp;"!B"&amp;T63)="","",INDIRECT("'"&amp;$D$2&amp;"'"&amp;"!B"&amp;T63)))</f>
        <v>OFX Gateway CFM</v>
      </c>
      <c r="D63" t="str" cm="1">
        <f t="array" aca="1" ref="D63" ca="1">IFERROR(_xlfn.IFS(C63="","",C63&lt;&gt;"",INDEX(SF_Output!I:I,MATCH(C63,SF_Output!M:M,0))),IFERROR(INDEX(INDIRECT($D$2&amp;"!G:G"),MATCH(C63,INDIRECT($D$2&amp;"!B:B"),0)),INDEX(INDIRECT("'"&amp;$D$2&amp;"'!G:G"),MATCH(C63,INDIRECT("'"&amp;$D$2&amp;"'!B:B"),0))))</f>
        <v>Digital</v>
      </c>
      <c r="E63" t="str" cm="1">
        <f t="array" aca="1" ref="E63" ca="1">IFERROR(IF(C63="","",INDIRECT($D$2&amp;"!F"&amp;T63)),IF(C63="","",INDIRECT("'"&amp;$D$2&amp;"'"&amp;"!F"&amp;T63)))</f>
        <v>Optional</v>
      </c>
      <c r="F63" t="str" cm="1">
        <f t="array" aca="1" ref="F63" ca="1">IFERROR(IF(C63="","",INDIRECT($D$2&amp;"!ak"&amp;T63)),IF(C63="","",INDIRECT("'"&amp;$D$2&amp;"'"&amp;"!ak"&amp;T63)))</f>
        <v>PAP</v>
      </c>
      <c r="G63" cm="1">
        <f t="array" aca="1" ref="G63" ca="1">IFERROR(INDIRECT($D$2&amp;"!h"&amp;T63),INDIRECT("'"&amp;$D$2&amp;"'"&amp;"!h"&amp;T63))</f>
        <v>5000</v>
      </c>
      <c r="H63" s="125" cm="1">
        <f t="array" aca="1" ref="H63" ca="1">IFERROR(INDIRECT($D$2&amp;"!i"&amp;T63),INDIRECT("'"&amp;$D$2&amp;"'"&amp;"!i"&amp;T63))</f>
        <v>4.0500000000000001E-2</v>
      </c>
      <c r="I63" s="113" cm="1">
        <f t="array" aca="1" ref="I63" ca="1">IFERROR(IF($C63="","",INDIRECT($D$2&amp;"!j"&amp;$T63)+INDIRECT($D$2&amp;"!n"&amp;$T63)),IF($C63="","",INDIRECT("'"&amp;$D$2&amp;"'"&amp;"!j"&amp;$T63)+INDIRECT("'"&amp;$D$2&amp;"'"&amp;"!n"&amp;$T63)))</f>
        <v>2500</v>
      </c>
      <c r="J63" s="113">
        <f t="shared" ca="1" si="3"/>
        <v>-2500</v>
      </c>
      <c r="K63" s="113" cm="1">
        <f t="array" aca="1" ref="K63" ca="1">IFERROR(IF($C63="","",INDIRECT($D$2&amp;"!l"&amp;$T63)+INDIRECT($D$2&amp;"!p"&amp;$T63)),IF($C63="","",INDIRECT("'"&amp;$D$2&amp;"'"&amp;"!l"&amp;$T63)+INDIRECT("'"&amp;$D$2&amp;"'"&amp;"!p"&amp;$T63)))</f>
        <v>0</v>
      </c>
      <c r="M63" s="113" cm="1">
        <f t="array" aca="1" ref="M63" ca="1">IFERROR(IF($C63="","",INDIRECT($D$2&amp;"!r"&amp;T63)),IF($C63="","",INDIRECT("'"&amp;$D$2&amp;"'"&amp;"!r"&amp;T63)))</f>
        <v>0</v>
      </c>
      <c r="N63" s="113">
        <f t="shared" ca="1" si="4"/>
        <v>0</v>
      </c>
      <c r="O63" s="113" cm="1">
        <f t="array" aca="1" ref="O63" ca="1">IFERROR(IF($C63="","",INDIRECT($D$2&amp;"!t"&amp;T63)),IF($C63="","",INDIRECT("'"&amp;$D$2&amp;"'"&amp;"!t"&amp;T63)))</f>
        <v>0</v>
      </c>
      <c r="Q63" s="113" cm="1">
        <f t="array" aca="1" ref="Q63" ca="1">IFERROR(IF($C63="","",INDIRECT($D$2&amp;"!v"&amp;T63)),IF($C63="","",INDIRECT("'"&amp;$D$2&amp;"'"&amp;"!v"&amp;T63)))</f>
        <v>270</v>
      </c>
      <c r="R63" s="113">
        <f t="shared" ca="1" si="5"/>
        <v>-67.5</v>
      </c>
      <c r="S63" s="113" cm="1">
        <f t="array" aca="1" ref="S63" ca="1">IFERROR(IF($C63="","",INDIRECT($D$2&amp;"!x"&amp;T63)),IF($C63="","",INDIRECT("'"&amp;$D$2&amp;"'"&amp;"!x"&amp;T63)))</f>
        <v>202.5</v>
      </c>
      <c r="T63" s="35">
        <v>51</v>
      </c>
      <c r="U63" s="113"/>
      <c r="V63" s="35">
        <v>51</v>
      </c>
    </row>
    <row r="64" spans="3:22" x14ac:dyDescent="0.25">
      <c r="C64" t="str" cm="1">
        <f t="array" aca="1" ref="C64" ca="1">IFERROR(IF(INDIRECT($D$2&amp;"!B"&amp;T64)="","",INDIRECT("'"&amp;$D$2&amp;"'"&amp;"!B"&amp;T64)),IF(INDIRECT("'"&amp;$D$2&amp;"'"&amp;"!B"&amp;T64)="","",INDIRECT("'"&amp;$D$2&amp;"'"&amp;"!B"&amp;T64)))</f>
        <v>OFX Gateway PFM</v>
      </c>
      <c r="D64" t="str" cm="1">
        <f t="array" aca="1" ref="D64" ca="1">IFERROR(_xlfn.IFS(C64="","",C64&lt;&gt;"",INDEX(SF_Output!I:I,MATCH(C64,SF_Output!M:M,0))),IFERROR(INDEX(INDIRECT($D$2&amp;"!G:G"),MATCH(C64,INDIRECT($D$2&amp;"!B:B"),0)),INDEX(INDIRECT("'"&amp;$D$2&amp;"'!G:G"),MATCH(C64,INDIRECT("'"&amp;$D$2&amp;"'!B:B"),0))))</f>
        <v>Digital</v>
      </c>
      <c r="E64" t="str" cm="1">
        <f t="array" aca="1" ref="E64" ca="1">IFERROR(IF(C64="","",INDIRECT($D$2&amp;"!F"&amp;T64)),IF(C64="","",INDIRECT("'"&amp;$D$2&amp;"'"&amp;"!F"&amp;T64)))</f>
        <v>Optional</v>
      </c>
      <c r="F64" t="str" cm="1">
        <f t="array" aca="1" ref="F64" ca="1">IFERROR(IF(C64="","",INDIRECT($D$2&amp;"!ak"&amp;T64)),IF(C64="","",INDIRECT("'"&amp;$D$2&amp;"'"&amp;"!ak"&amp;T64)))</f>
        <v>PAP</v>
      </c>
      <c r="G64" cm="1">
        <f t="array" aca="1" ref="G64" ca="1">IFERROR(INDIRECT($D$2&amp;"!h"&amp;T64),INDIRECT("'"&amp;$D$2&amp;"'"&amp;"!h"&amp;T64))</f>
        <v>5000</v>
      </c>
      <c r="H64" s="125" cm="1">
        <f t="array" aca="1" ref="H64" ca="1">IFERROR(INDIRECT($D$2&amp;"!i"&amp;T64),INDIRECT("'"&amp;$D$2&amp;"'"&amp;"!i"&amp;T64))</f>
        <v>3.0800000000000001E-2</v>
      </c>
      <c r="I64" s="113" cm="1">
        <f t="array" aca="1" ref="I64" ca="1">IFERROR(IF($C64="","",INDIRECT($D$2&amp;"!j"&amp;$T64)+INDIRECT($D$2&amp;"!n"&amp;$T64)),IF($C64="","",INDIRECT("'"&amp;$D$2&amp;"'"&amp;"!j"&amp;$T64)+INDIRECT("'"&amp;$D$2&amp;"'"&amp;"!n"&amp;$T64)))</f>
        <v>2500</v>
      </c>
      <c r="J64" s="113">
        <f t="shared" ca="1" si="3"/>
        <v>-2500</v>
      </c>
      <c r="K64" s="113" cm="1">
        <f t="array" aca="1" ref="K64" ca="1">IFERROR(IF($C64="","",INDIRECT($D$2&amp;"!l"&amp;$T64)+INDIRECT($D$2&amp;"!p"&amp;$T64)),IF($C64="","",INDIRECT("'"&amp;$D$2&amp;"'"&amp;"!l"&amp;$T64)+INDIRECT("'"&amp;$D$2&amp;"'"&amp;"!p"&amp;$T64)))</f>
        <v>0</v>
      </c>
      <c r="M64" s="113" cm="1">
        <f t="array" aca="1" ref="M64" ca="1">IFERROR(IF($C64="","",INDIRECT($D$2&amp;"!r"&amp;T64)),IF($C64="","",INDIRECT("'"&amp;$D$2&amp;"'"&amp;"!r"&amp;T64)))</f>
        <v>0</v>
      </c>
      <c r="N64" s="113">
        <f t="shared" ca="1" si="4"/>
        <v>0</v>
      </c>
      <c r="O64" s="113" cm="1">
        <f t="array" aca="1" ref="O64" ca="1">IFERROR(IF($C64="","",INDIRECT($D$2&amp;"!t"&amp;T64)),IF($C64="","",INDIRECT("'"&amp;$D$2&amp;"'"&amp;"!t"&amp;T64)))</f>
        <v>0</v>
      </c>
      <c r="Q64" s="113" cm="1">
        <f t="array" aca="1" ref="Q64" ca="1">IFERROR(IF($C64="","",INDIRECT($D$2&amp;"!v"&amp;T64)),IF($C64="","",INDIRECT("'"&amp;$D$2&amp;"'"&amp;"!v"&amp;T64)))</f>
        <v>205</v>
      </c>
      <c r="R64" s="113">
        <f t="shared" ca="1" si="5"/>
        <v>-51</v>
      </c>
      <c r="S64" s="113" cm="1">
        <f t="array" aca="1" ref="S64" ca="1">IFERROR(IF($C64="","",INDIRECT($D$2&amp;"!x"&amp;T64)),IF($C64="","",INDIRECT("'"&amp;$D$2&amp;"'"&amp;"!x"&amp;T64)))</f>
        <v>154</v>
      </c>
      <c r="T64" s="35">
        <v>52</v>
      </c>
      <c r="U64" s="113"/>
      <c r="V64" s="35">
        <v>52</v>
      </c>
    </row>
    <row r="65" spans="3:22" x14ac:dyDescent="0.25">
      <c r="C65" t="str" cm="1">
        <f t="array" aca="1" ref="C65" ca="1">IFERROR(IF(INDIRECT($D$2&amp;"!B"&amp;T65)="","",INDIRECT("'"&amp;$D$2&amp;"'"&amp;"!B"&amp;T65)),IF(INDIRECT("'"&amp;$D$2&amp;"'"&amp;"!B"&amp;T65)="","",INDIRECT("'"&amp;$D$2&amp;"'"&amp;"!B"&amp;T65)))</f>
        <v>4|sight OrboAnywhere Fraud</v>
      </c>
      <c r="D65" t="str" cm="1">
        <f t="array" aca="1" ref="D65" ca="1">IFERROR(_xlfn.IFS(C65="","",C65&lt;&gt;"",INDEX(SF_Output!I:I,MATCH(C65,SF_Output!M:M,0))),IFERROR(INDEX(INDIRECT($D$2&amp;"!G:G"),MATCH(C65,INDIRECT($D$2&amp;"!B:B"),0)),INDEX(INDIRECT("'"&amp;$D$2&amp;"'!G:G"),MATCH(C65,INDIRECT("'"&amp;$D$2&amp;"'!B:B"),0))))</f>
        <v>Imaging</v>
      </c>
      <c r="E65" t="str" cm="1">
        <f t="array" aca="1" ref="E65" ca="1">IFERROR(IF(C65="","",INDIRECT($D$2&amp;"!F"&amp;T65)),IF(C65="","",INDIRECT("'"&amp;$D$2&amp;"'"&amp;"!F"&amp;T65)))</f>
        <v>Optional</v>
      </c>
      <c r="F65" t="str" cm="1">
        <f t="array" aca="1" ref="F65" ca="1">IFERROR(IF(C65="","",INDIRECT($D$2&amp;"!ak"&amp;T65)),IF(C65="","",INDIRECT("'"&amp;$D$2&amp;"'"&amp;"!ak"&amp;T65)))</f>
        <v/>
      </c>
      <c r="G65" cm="1">
        <f t="array" aca="1" ref="G65" ca="1">IFERROR(INDIRECT($D$2&amp;"!h"&amp;T65),INDIRECT("'"&amp;$D$2&amp;"'"&amp;"!h"&amp;T65))</f>
        <v>1</v>
      </c>
      <c r="H65" s="125" t="str" cm="1">
        <f t="array" aca="1" ref="H65" ca="1">IFERROR(INDIRECT($D$2&amp;"!i"&amp;T65),INDIRECT("'"&amp;$D$2&amp;"'"&amp;"!i"&amp;T65))</f>
        <v/>
      </c>
      <c r="I65" s="113" cm="1">
        <f t="array" aca="1" ref="I65" ca="1">IFERROR(IF($C65="","",INDIRECT($D$2&amp;"!j"&amp;$T65)+INDIRECT($D$2&amp;"!n"&amp;$T65)),IF($C65="","",INDIRECT("'"&amp;$D$2&amp;"'"&amp;"!j"&amp;$T65)+INDIRECT("'"&amp;$D$2&amp;"'"&amp;"!n"&amp;$T65)))</f>
        <v>7425</v>
      </c>
      <c r="J65" s="113">
        <f t="shared" ca="1" si="3"/>
        <v>0</v>
      </c>
      <c r="K65" s="113" cm="1">
        <f t="array" aca="1" ref="K65" ca="1">IFERROR(IF($C65="","",INDIRECT($D$2&amp;"!l"&amp;$T65)+INDIRECT($D$2&amp;"!p"&amp;$T65)),IF($C65="","",INDIRECT("'"&amp;$D$2&amp;"'"&amp;"!l"&amp;$T65)+INDIRECT("'"&amp;$D$2&amp;"'"&amp;"!p"&amp;$T65)))</f>
        <v>7425</v>
      </c>
      <c r="M65" s="113" cm="1">
        <f t="array" aca="1" ref="M65" ca="1">IFERROR(IF($C65="","",INDIRECT($D$2&amp;"!r"&amp;T65)),IF($C65="","",INDIRECT("'"&amp;$D$2&amp;"'"&amp;"!r"&amp;T65)))</f>
        <v>0</v>
      </c>
      <c r="N65" s="113">
        <f t="shared" ca="1" si="4"/>
        <v>0</v>
      </c>
      <c r="O65" s="113" cm="1">
        <f t="array" aca="1" ref="O65" ca="1">IFERROR(IF($C65="","",INDIRECT($D$2&amp;"!t"&amp;T65)),IF($C65="","",INDIRECT("'"&amp;$D$2&amp;"'"&amp;"!t"&amp;T65)))</f>
        <v>0</v>
      </c>
      <c r="Q65" s="113" cm="1">
        <f t="array" aca="1" ref="Q65" ca="1">IFERROR(IF($C65="","",INDIRECT($D$2&amp;"!v"&amp;T65)),IF($C65="","",INDIRECT("'"&amp;$D$2&amp;"'"&amp;"!v"&amp;T65)))</f>
        <v>760</v>
      </c>
      <c r="R65" s="113">
        <f t="shared" ca="1" si="5"/>
        <v>0</v>
      </c>
      <c r="S65" s="113" cm="1">
        <f t="array" aca="1" ref="S65" ca="1">IFERROR(IF($C65="","",INDIRECT($D$2&amp;"!x"&amp;T65)),IF($C65="","",INDIRECT("'"&amp;$D$2&amp;"'"&amp;"!x"&amp;T65)))</f>
        <v>760</v>
      </c>
      <c r="T65" s="35">
        <v>53</v>
      </c>
      <c r="U65" s="113"/>
      <c r="V65" s="35">
        <v>53</v>
      </c>
    </row>
    <row r="66" spans="3:22" x14ac:dyDescent="0.25">
      <c r="C66" t="str" cm="1">
        <f t="array" aca="1" ref="C66" ca="1">IFERROR(IF(INDIRECT($D$2&amp;"!B"&amp;T66)="","",INDIRECT("'"&amp;$D$2&amp;"'"&amp;"!B"&amp;T66)),IF(INDIRECT("'"&amp;$D$2&amp;"'"&amp;"!B"&amp;T66)="","",INDIRECT("'"&amp;$D$2&amp;"'"&amp;"!B"&amp;T66)))</f>
        <v>OutLink Item Imaging</v>
      </c>
      <c r="D66" t="str" cm="1">
        <f t="array" aca="1" ref="D66" ca="1">IFERROR(_xlfn.IFS(C66="","",C66&lt;&gt;"",INDEX(SF_Output!I:I,MATCH(C66,SF_Output!M:M,0))),IFERROR(INDEX(INDIRECT($D$2&amp;"!G:G"),MATCH(C66,INDIRECT($D$2&amp;"!B:B"),0)),INDEX(INDIRECT("'"&amp;$D$2&amp;"'!G:G"),MATCH(C66,INDIRECT("'"&amp;$D$2&amp;"'!B:B"),0))))</f>
        <v>Imaging</v>
      </c>
      <c r="E66" t="str" cm="1">
        <f t="array" aca="1" ref="E66" ca="1">IFERROR(IF(C66="","",INDIRECT($D$2&amp;"!F"&amp;T66)),IF(C66="","",INDIRECT("'"&amp;$D$2&amp;"'"&amp;"!F"&amp;T66)))</f>
        <v>Included</v>
      </c>
      <c r="F66" t="str" cm="1">
        <f t="array" aca="1" ref="F66" ca="1">IFERROR(IF(C66="","",INDIRECT($D$2&amp;"!ak"&amp;T66)),IF(C66="","",INDIRECT("'"&amp;$D$2&amp;"'"&amp;"!ak"&amp;T66)))</f>
        <v>PAP</v>
      </c>
      <c r="G66" cm="1">
        <f t="array" aca="1" ref="G66" ca="1">IFERROR(INDIRECT($D$2&amp;"!h"&amp;T66),INDIRECT("'"&amp;$D$2&amp;"'"&amp;"!h"&amp;T66))</f>
        <v>5000</v>
      </c>
      <c r="H66" s="125" cm="1">
        <f t="array" aca="1" ref="H66" ca="1">IFERROR(INDIRECT($D$2&amp;"!i"&amp;T66),INDIRECT("'"&amp;$D$2&amp;"'"&amp;"!i"&amp;T66))</f>
        <v>0.33379999999999999</v>
      </c>
      <c r="I66" s="113" cm="1">
        <f t="array" aca="1" ref="I66" ca="1">IFERROR(IF($C66="","",INDIRECT($D$2&amp;"!j"&amp;$T66)+INDIRECT($D$2&amp;"!n"&amp;$T66)),IF($C66="","",INDIRECT("'"&amp;$D$2&amp;"'"&amp;"!j"&amp;$T66)+INDIRECT("'"&amp;$D$2&amp;"'"&amp;"!n"&amp;$T66)))</f>
        <v>33900</v>
      </c>
      <c r="J66" s="113">
        <f t="shared" ca="1" si="3"/>
        <v>-33900</v>
      </c>
      <c r="K66" s="113" cm="1">
        <f t="array" aca="1" ref="K66" ca="1">IFERROR(IF($C66="","",INDIRECT($D$2&amp;"!l"&amp;$T66)+INDIRECT($D$2&amp;"!p"&amp;$T66)),IF($C66="","",INDIRECT("'"&amp;$D$2&amp;"'"&amp;"!l"&amp;$T66)+INDIRECT("'"&amp;$D$2&amp;"'"&amp;"!p"&amp;$T66)))</f>
        <v>0</v>
      </c>
      <c r="M66" s="113" cm="1">
        <f t="array" aca="1" ref="M66" ca="1">IFERROR(IF($C66="","",INDIRECT($D$2&amp;"!r"&amp;T66)),IF($C66="","",INDIRECT("'"&amp;$D$2&amp;"'"&amp;"!r"&amp;T66)))</f>
        <v>0</v>
      </c>
      <c r="N66" s="113">
        <f t="shared" ca="1" si="4"/>
        <v>0</v>
      </c>
      <c r="O66" s="113" cm="1">
        <f t="array" aca="1" ref="O66" ca="1">IFERROR(IF($C66="","",INDIRECT($D$2&amp;"!t"&amp;T66)),IF($C66="","",INDIRECT("'"&amp;$D$2&amp;"'"&amp;"!t"&amp;T66)))</f>
        <v>0</v>
      </c>
      <c r="Q66" s="113" cm="1">
        <f t="array" aca="1" ref="Q66" ca="1">IFERROR(IF($C66="","",INDIRECT($D$2&amp;"!v"&amp;T66)),IF($C66="","",INDIRECT("'"&amp;$D$2&amp;"'"&amp;"!v"&amp;T66)))</f>
        <v>2225</v>
      </c>
      <c r="R66" s="113">
        <f t="shared" ca="1" si="5"/>
        <v>-556</v>
      </c>
      <c r="S66" s="113" cm="1">
        <f t="array" aca="1" ref="S66" ca="1">IFERROR(IF($C66="","",INDIRECT($D$2&amp;"!x"&amp;T66)),IF($C66="","",INDIRECT("'"&amp;$D$2&amp;"'"&amp;"!x"&amp;T66)))</f>
        <v>1669</v>
      </c>
      <c r="T66" s="35">
        <v>54</v>
      </c>
      <c r="U66" s="113"/>
      <c r="V66" s="35">
        <v>54</v>
      </c>
    </row>
    <row r="67" spans="3:22" x14ac:dyDescent="0.25">
      <c r="C67" t="str" cm="1">
        <f t="array" aca="1" ref="C67" ca="1">IFERROR(IF(INDIRECT($D$2&amp;"!B"&amp;T67)="","",INDIRECT("'"&amp;$D$2&amp;"'"&amp;"!B"&amp;T67)),IF(INDIRECT("'"&amp;$D$2&amp;"'"&amp;"!B"&amp;T67)="","",INDIRECT("'"&amp;$D$2&amp;"'"&amp;"!B"&amp;T67)))</f>
        <v>OutLink Item Processing Customer Training</v>
      </c>
      <c r="D67" t="str" cm="1">
        <f t="array" aca="1" ref="D67" ca="1">IFERROR(_xlfn.IFS(C67="","",C67&lt;&gt;"",INDEX(SF_Output!I:I,MATCH(C67,SF_Output!M:M,0))),IFERROR(INDEX(INDIRECT($D$2&amp;"!G:G"),MATCH(C67,INDIRECT($D$2&amp;"!B:B"),0)),INDEX(INDIRECT("'"&amp;$D$2&amp;"'!G:G"),MATCH(C67,INDIRECT("'"&amp;$D$2&amp;"'!B:B"),0))))</f>
        <v>Imaging</v>
      </c>
      <c r="E67" t="str" cm="1">
        <f t="array" aca="1" ref="E67" ca="1">IFERROR(IF(C67="","",INDIRECT($D$2&amp;"!F"&amp;T67)),IF(C67="","",INDIRECT("'"&amp;$D$2&amp;"'"&amp;"!F"&amp;T67)))</f>
        <v>Included</v>
      </c>
      <c r="F67" t="str" cm="1">
        <f t="array" aca="1" ref="F67" ca="1">IFERROR(IF(C67="","",INDIRECT($D$2&amp;"!ak"&amp;T67)),IF(C67="","",INDIRECT("'"&amp;$D$2&amp;"'"&amp;"!ak"&amp;T67)))</f>
        <v/>
      </c>
      <c r="G67" cm="1">
        <f t="array" aca="1" ref="G67" ca="1">IFERROR(INDIRECT($D$2&amp;"!h"&amp;T67),INDIRECT("'"&amp;$D$2&amp;"'"&amp;"!h"&amp;T67))</f>
        <v>1</v>
      </c>
      <c r="H67" s="125" t="str" cm="1">
        <f t="array" aca="1" ref="H67" ca="1">IFERROR(INDIRECT($D$2&amp;"!i"&amp;T67),INDIRECT("'"&amp;$D$2&amp;"'"&amp;"!i"&amp;T67))</f>
        <v/>
      </c>
      <c r="I67" s="113" cm="1">
        <f t="array" aca="1" ref="I67" ca="1">IFERROR(IF($C67="","",INDIRECT($D$2&amp;"!j"&amp;$T67)+INDIRECT($D$2&amp;"!n"&amp;$T67)),IF($C67="","",INDIRECT("'"&amp;$D$2&amp;"'"&amp;"!j"&amp;$T67)+INDIRECT("'"&amp;$D$2&amp;"'"&amp;"!n"&amp;$T67)))</f>
        <v>1125</v>
      </c>
      <c r="J67" s="113">
        <f t="shared" ca="1" si="3"/>
        <v>0</v>
      </c>
      <c r="K67" s="113" cm="1">
        <f t="array" aca="1" ref="K67" ca="1">IFERROR(IF($C67="","",INDIRECT($D$2&amp;"!l"&amp;$T67)+INDIRECT($D$2&amp;"!p"&amp;$T67)),IF($C67="","",INDIRECT("'"&amp;$D$2&amp;"'"&amp;"!l"&amp;$T67)+INDIRECT("'"&amp;$D$2&amp;"'"&amp;"!p"&amp;$T67)))</f>
        <v>1125</v>
      </c>
      <c r="M67" s="113" cm="1">
        <f t="array" aca="1" ref="M67" ca="1">IFERROR(IF($C67="","",INDIRECT($D$2&amp;"!r"&amp;T67)),IF($C67="","",INDIRECT("'"&amp;$D$2&amp;"'"&amp;"!r"&amp;T67)))</f>
        <v>0</v>
      </c>
      <c r="N67" s="113">
        <f t="shared" ca="1" si="4"/>
        <v>0</v>
      </c>
      <c r="O67" s="113" cm="1">
        <f t="array" aca="1" ref="O67" ca="1">IFERROR(IF($C67="","",INDIRECT($D$2&amp;"!t"&amp;T67)),IF($C67="","",INDIRECT("'"&amp;$D$2&amp;"'"&amp;"!t"&amp;T67)))</f>
        <v>0</v>
      </c>
      <c r="Q67" s="113" cm="1">
        <f t="array" aca="1" ref="Q67" ca="1">IFERROR(IF($C67="","",INDIRECT($D$2&amp;"!v"&amp;T67)),IF($C67="","",INDIRECT("'"&amp;$D$2&amp;"'"&amp;"!v"&amp;T67)))</f>
        <v>0</v>
      </c>
      <c r="R67" s="113">
        <f t="shared" ca="1" si="5"/>
        <v>0</v>
      </c>
      <c r="S67" s="113" cm="1">
        <f t="array" aca="1" ref="S67" ca="1">IFERROR(IF($C67="","",INDIRECT($D$2&amp;"!x"&amp;T67)),IF($C67="","",INDIRECT("'"&amp;$D$2&amp;"'"&amp;"!x"&amp;T67)))</f>
        <v>0</v>
      </c>
      <c r="T67" s="35">
        <v>55</v>
      </c>
      <c r="U67" s="113"/>
      <c r="V67" s="35">
        <v>55</v>
      </c>
    </row>
    <row r="68" spans="3:22" x14ac:dyDescent="0.25">
      <c r="C68" t="str" cm="1">
        <f t="array" aca="1" ref="C68" ca="1">IFERROR(IF(INDIRECT($D$2&amp;"!B"&amp;T68)="","",INDIRECT("'"&amp;$D$2&amp;"'"&amp;"!B"&amp;T68)),IF(INDIRECT("'"&amp;$D$2&amp;"'"&amp;"!B"&amp;T68)="","",INDIRECT("'"&amp;$D$2&amp;"'"&amp;"!B"&amp;T68)))</f>
        <v>Outlink Statement Printing</v>
      </c>
      <c r="D68" t="str" cm="1">
        <f t="array" aca="1" ref="D68" ca="1">IFERROR(_xlfn.IFS(C68="","",C68&lt;&gt;"",INDEX(SF_Output!I:I,MATCH(C68,SF_Output!M:M,0))),IFERROR(INDEX(INDIRECT($D$2&amp;"!G:G"),MATCH(C68,INDIRECT($D$2&amp;"!B:B"),0)),INDEX(INDIRECT("'"&amp;$D$2&amp;"'!G:G"),MATCH(C68,INDIRECT("'"&amp;$D$2&amp;"'!B:B"),0))))</f>
        <v>Imaging</v>
      </c>
      <c r="E68" t="str" cm="1">
        <f t="array" aca="1" ref="E68" ca="1">IFERROR(IF(C68="","",INDIRECT($D$2&amp;"!F"&amp;T68)),IF(C68="","",INDIRECT("'"&amp;$D$2&amp;"'"&amp;"!F"&amp;T68)))</f>
        <v>Included</v>
      </c>
      <c r="F68" t="str" cm="1">
        <f t="array" aca="1" ref="F68" ca="1">IFERROR(IF(C68="","",INDIRECT($D$2&amp;"!ak"&amp;T68)),IF(C68="","",INDIRECT("'"&amp;$D$2&amp;"'"&amp;"!ak"&amp;T68)))</f>
        <v/>
      </c>
      <c r="G68" cm="1">
        <f t="array" aca="1" ref="G68" ca="1">IFERROR(INDIRECT($D$2&amp;"!h"&amp;T68),INDIRECT("'"&amp;$D$2&amp;"'"&amp;"!h"&amp;T68))</f>
        <v>1</v>
      </c>
      <c r="H68" s="125" t="str" cm="1">
        <f t="array" aca="1" ref="H68" ca="1">IFERROR(INDIRECT($D$2&amp;"!i"&amp;T68),INDIRECT("'"&amp;$D$2&amp;"'"&amp;"!i"&amp;T68))</f>
        <v/>
      </c>
      <c r="I68" s="113" cm="1">
        <f t="array" aca="1" ref="I68" ca="1">IFERROR(IF($C68="","",INDIRECT($D$2&amp;"!j"&amp;$T68)+INDIRECT($D$2&amp;"!n"&amp;$T68)),IF($C68="","",INDIRECT("'"&amp;$D$2&amp;"'"&amp;"!j"&amp;$T68)+INDIRECT("'"&amp;$D$2&amp;"'"&amp;"!n"&amp;$T68)))</f>
        <v>0</v>
      </c>
      <c r="J68" s="113">
        <f t="shared" ca="1" si="3"/>
        <v>0</v>
      </c>
      <c r="K68" s="113" cm="1">
        <f t="array" aca="1" ref="K68" ca="1">IFERROR(IF($C68="","",INDIRECT($D$2&amp;"!l"&amp;$T68)+INDIRECT($D$2&amp;"!p"&amp;$T68)),IF($C68="","",INDIRECT("'"&amp;$D$2&amp;"'"&amp;"!l"&amp;$T68)+INDIRECT("'"&amp;$D$2&amp;"'"&amp;"!p"&amp;$T68)))</f>
        <v>0</v>
      </c>
      <c r="M68" s="113" cm="1">
        <f t="array" aca="1" ref="M68" ca="1">IFERROR(IF($C68="","",INDIRECT($D$2&amp;"!r"&amp;T68)),IF($C68="","",INDIRECT("'"&amp;$D$2&amp;"'"&amp;"!r"&amp;T68)))</f>
        <v>0</v>
      </c>
      <c r="N68" s="113">
        <f t="shared" ca="1" si="4"/>
        <v>0</v>
      </c>
      <c r="O68" s="113" cm="1">
        <f t="array" aca="1" ref="O68" ca="1">IFERROR(IF($C68="","",INDIRECT($D$2&amp;"!t"&amp;T68)),IF($C68="","",INDIRECT("'"&amp;$D$2&amp;"'"&amp;"!t"&amp;T68)))</f>
        <v>0</v>
      </c>
      <c r="Q68" s="113" cm="1">
        <f t="array" aca="1" ref="Q68" ca="1">IFERROR(IF($C68="","",INDIRECT($D$2&amp;"!v"&amp;T68)),IF($C68="","",INDIRECT("'"&amp;$D$2&amp;"'"&amp;"!v"&amp;T68)))</f>
        <v>900</v>
      </c>
      <c r="R68" s="113">
        <f t="shared" ca="1" si="5"/>
        <v>0</v>
      </c>
      <c r="S68" s="113" cm="1">
        <f t="array" aca="1" ref="S68" ca="1">IFERROR(IF($C68="","",INDIRECT($D$2&amp;"!x"&amp;T68)),IF($C68="","",INDIRECT("'"&amp;$D$2&amp;"'"&amp;"!x"&amp;T68)))</f>
        <v>900</v>
      </c>
      <c r="T68" s="35">
        <v>56</v>
      </c>
      <c r="U68" s="113"/>
      <c r="V68" s="35">
        <v>56</v>
      </c>
    </row>
    <row r="69" spans="3:22" x14ac:dyDescent="0.25">
      <c r="C69" t="str" cm="1">
        <f t="array" aca="1" ref="C69" ca="1">IFERROR(IF(INDIRECT($D$2&amp;"!B"&amp;T69)="","",INDIRECT("'"&amp;$D$2&amp;"'"&amp;"!B"&amp;T69)),IF(INDIRECT("'"&amp;$D$2&amp;"'"&amp;"!B"&amp;T69)="","",INDIRECT("'"&amp;$D$2&amp;"'"&amp;"!B"&amp;T69)))</f>
        <v>Premium Notice Printing</v>
      </c>
      <c r="D69" t="str" cm="1">
        <f t="array" aca="1" ref="D69" ca="1">IFERROR(_xlfn.IFS(C69="","",C69&lt;&gt;"",INDEX(SF_Output!I:I,MATCH(C69,SF_Output!M:M,0))),IFERROR(INDEX(INDIRECT($D$2&amp;"!G:G"),MATCH(C69,INDIRECT($D$2&amp;"!B:B"),0)),INDEX(INDIRECT("'"&amp;$D$2&amp;"'!G:G"),MATCH(C69,INDIRECT("'"&amp;$D$2&amp;"'!B:B"),0))))</f>
        <v>Imaging</v>
      </c>
      <c r="E69" t="str" cm="1">
        <f t="array" aca="1" ref="E69" ca="1">IFERROR(IF(C69="","",INDIRECT($D$2&amp;"!F"&amp;T69)),IF(C69="","",INDIRECT("'"&amp;$D$2&amp;"'"&amp;"!F"&amp;T69)))</f>
        <v>Included</v>
      </c>
      <c r="F69" t="str" cm="1">
        <f t="array" aca="1" ref="F69" ca="1">IFERROR(IF(C69="","",INDIRECT($D$2&amp;"!ak"&amp;T69)),IF(C69="","",INDIRECT("'"&amp;$D$2&amp;"'"&amp;"!ak"&amp;T69)))</f>
        <v/>
      </c>
      <c r="G69" cm="1">
        <f t="array" aca="1" ref="G69" ca="1">IFERROR(INDIRECT($D$2&amp;"!h"&amp;T69),INDIRECT("'"&amp;$D$2&amp;"'"&amp;"!h"&amp;T69))</f>
        <v>1</v>
      </c>
      <c r="H69" s="125" t="str" cm="1">
        <f t="array" aca="1" ref="H69" ca="1">IFERROR(INDIRECT($D$2&amp;"!i"&amp;T69),INDIRECT("'"&amp;$D$2&amp;"'"&amp;"!i"&amp;T69))</f>
        <v/>
      </c>
      <c r="I69" s="113" cm="1">
        <f t="array" aca="1" ref="I69" ca="1">IFERROR(IF($C69="","",INDIRECT($D$2&amp;"!j"&amp;$T69)+INDIRECT($D$2&amp;"!n"&amp;$T69)),IF($C69="","",INDIRECT("'"&amp;$D$2&amp;"'"&amp;"!j"&amp;$T69)+INDIRECT("'"&amp;$D$2&amp;"'"&amp;"!n"&amp;$T69)))</f>
        <v>500</v>
      </c>
      <c r="J69" s="113">
        <f t="shared" ca="1" si="3"/>
        <v>-500</v>
      </c>
      <c r="K69" s="113" cm="1">
        <f t="array" aca="1" ref="K69" ca="1">IFERROR(IF($C69="","",INDIRECT($D$2&amp;"!l"&amp;$T69)+INDIRECT($D$2&amp;"!p"&amp;$T69)),IF($C69="","",INDIRECT("'"&amp;$D$2&amp;"'"&amp;"!l"&amp;$T69)+INDIRECT("'"&amp;$D$2&amp;"'"&amp;"!p"&amp;$T69)))</f>
        <v>0</v>
      </c>
      <c r="M69" s="113" cm="1">
        <f t="array" aca="1" ref="M69" ca="1">IFERROR(IF($C69="","",INDIRECT($D$2&amp;"!r"&amp;T69)),IF($C69="","",INDIRECT("'"&amp;$D$2&amp;"'"&amp;"!r"&amp;T69)))</f>
        <v>0</v>
      </c>
      <c r="N69" s="113">
        <f t="shared" ca="1" si="4"/>
        <v>0</v>
      </c>
      <c r="O69" s="113" cm="1">
        <f t="array" aca="1" ref="O69" ca="1">IFERROR(IF($C69="","",INDIRECT($D$2&amp;"!t"&amp;T69)),IF($C69="","",INDIRECT("'"&amp;$D$2&amp;"'"&amp;"!t"&amp;T69)))</f>
        <v>0</v>
      </c>
      <c r="Q69" s="113" cm="1">
        <f t="array" aca="1" ref="Q69" ca="1">IFERROR(IF($C69="","",INDIRECT($D$2&amp;"!v"&amp;T69)),IF($C69="","",INDIRECT("'"&amp;$D$2&amp;"'"&amp;"!v"&amp;T69)))</f>
        <v>0</v>
      </c>
      <c r="R69" s="113">
        <f t="shared" ca="1" si="5"/>
        <v>0</v>
      </c>
      <c r="S69" s="113" cm="1">
        <f t="array" aca="1" ref="S69" ca="1">IFERROR(IF($C69="","",INDIRECT($D$2&amp;"!x"&amp;T69)),IF($C69="","",INDIRECT("'"&amp;$D$2&amp;"'"&amp;"!x"&amp;T69)))</f>
        <v>0</v>
      </c>
      <c r="T69" s="35">
        <v>57</v>
      </c>
      <c r="U69" s="113"/>
      <c r="V69" s="35">
        <v>57</v>
      </c>
    </row>
    <row r="70" spans="3:22" x14ac:dyDescent="0.25">
      <c r="C70" t="str" cm="1">
        <f t="array" aca="1" ref="C70" ca="1">IFERROR(IF(INDIRECT($D$2&amp;"!B"&amp;T70)="","",INDIRECT("'"&amp;$D$2&amp;"'"&amp;"!B"&amp;T70)),IF(INDIRECT("'"&amp;$D$2&amp;"'"&amp;"!B"&amp;T70)="","",INDIRECT("'"&amp;$D$2&amp;"'"&amp;"!B"&amp;T70)))</f>
        <v>AlertCenter with: Advanced Fraud Solutions ("AFS")</v>
      </c>
      <c r="D70" t="str" cm="1">
        <f t="array" aca="1" ref="D70" ca="1">IFERROR(_xlfn.IFS(C70="","",C70&lt;&gt;"",INDEX(SF_Output!I:I,MATCH(C70,SF_Output!M:M,0))),IFERROR(INDEX(INDIRECT($D$2&amp;"!G:G"),MATCH(C70,INDIRECT($D$2&amp;"!B:B"),0)),INDEX(INDIRECT("'"&amp;$D$2&amp;"'!G:G"),MATCH(C70,INDIRECT("'"&amp;$D$2&amp;"'!B:B"),0))))</f>
        <v>Imaging</v>
      </c>
      <c r="E70" t="str" cm="1">
        <f t="array" aca="1" ref="E70" ca="1">IFERROR(IF(C70="","",INDIRECT($D$2&amp;"!F"&amp;T70)),IF(C70="","",INDIRECT("'"&amp;$D$2&amp;"'"&amp;"!F"&amp;T70)))</f>
        <v>Optional</v>
      </c>
      <c r="F70" t="str" cm="1">
        <f t="array" aca="1" ref="F70" ca="1">IFERROR(IF(C70="","",INDIRECT($D$2&amp;"!ak"&amp;T70)),IF(C70="","",INDIRECT("'"&amp;$D$2&amp;"'"&amp;"!ak"&amp;T70)))</f>
        <v/>
      </c>
      <c r="G70" cm="1">
        <f t="array" aca="1" ref="G70" ca="1">IFERROR(INDIRECT($D$2&amp;"!h"&amp;T70),INDIRECT("'"&amp;$D$2&amp;"'"&amp;"!h"&amp;T70))</f>
        <v>1</v>
      </c>
      <c r="H70" s="125" t="str" cm="1">
        <f t="array" aca="1" ref="H70" ca="1">IFERROR(INDIRECT($D$2&amp;"!i"&amp;T70),INDIRECT("'"&amp;$D$2&amp;"'"&amp;"!i"&amp;T70))</f>
        <v/>
      </c>
      <c r="I70" s="113" cm="1">
        <f t="array" aca="1" ref="I70" ca="1">IFERROR(IF($C70="","",INDIRECT($D$2&amp;"!j"&amp;$T70)+INDIRECT($D$2&amp;"!n"&amp;$T70)),IF($C70="","",INDIRECT("'"&amp;$D$2&amp;"'"&amp;"!j"&amp;$T70)+INDIRECT("'"&amp;$D$2&amp;"'"&amp;"!n"&amp;$T70)))</f>
        <v>0</v>
      </c>
      <c r="J70" s="113">
        <f t="shared" ca="1" si="3"/>
        <v>0</v>
      </c>
      <c r="K70" s="113" cm="1">
        <f t="array" aca="1" ref="K70" ca="1">IFERROR(IF($C70="","",INDIRECT($D$2&amp;"!l"&amp;$T70)+INDIRECT($D$2&amp;"!p"&amp;$T70)),IF($C70="","",INDIRECT("'"&amp;$D$2&amp;"'"&amp;"!l"&amp;$T70)+INDIRECT("'"&amp;$D$2&amp;"'"&amp;"!p"&amp;$T70)))</f>
        <v>0</v>
      </c>
      <c r="M70" s="113" cm="1">
        <f t="array" aca="1" ref="M70" ca="1">IFERROR(IF($C70="","",INDIRECT($D$2&amp;"!r"&amp;T70)),IF($C70="","",INDIRECT("'"&amp;$D$2&amp;"'"&amp;"!r"&amp;T70)))</f>
        <v>0</v>
      </c>
      <c r="N70" s="113">
        <f t="shared" ca="1" si="4"/>
        <v>0</v>
      </c>
      <c r="O70" s="113" cm="1">
        <f t="array" aca="1" ref="O70" ca="1">IFERROR(IF($C70="","",INDIRECT($D$2&amp;"!t"&amp;T70)),IF($C70="","",INDIRECT("'"&amp;$D$2&amp;"'"&amp;"!t"&amp;T70)))</f>
        <v>0</v>
      </c>
      <c r="Q70" s="113" cm="1">
        <f t="array" aca="1" ref="Q70" ca="1">IFERROR(IF($C70="","",INDIRECT($D$2&amp;"!v"&amp;T70)),IF($C70="","",INDIRECT("'"&amp;$D$2&amp;"'"&amp;"!v"&amp;T70)))</f>
        <v>420</v>
      </c>
      <c r="R70" s="113">
        <f t="shared" ca="1" si="5"/>
        <v>0</v>
      </c>
      <c r="S70" s="113" cm="1">
        <f t="array" aca="1" ref="S70" ca="1">IFERROR(IF($C70="","",INDIRECT($D$2&amp;"!x"&amp;T70)),IF($C70="","",INDIRECT("'"&amp;$D$2&amp;"'"&amp;"!x"&amp;T70)))</f>
        <v>420</v>
      </c>
      <c r="T70" s="35">
        <v>58</v>
      </c>
      <c r="U70" s="113"/>
      <c r="V70" s="35">
        <v>58</v>
      </c>
    </row>
    <row r="71" spans="3:22" x14ac:dyDescent="0.25">
      <c r="C71" t="str" cm="1">
        <f t="array" aca="1" ref="C71" ca="1">IFERROR(IF(INDIRECT($D$2&amp;"!B"&amp;T71)="","",INDIRECT("'"&amp;$D$2&amp;"'"&amp;"!B"&amp;T71)),IF(INDIRECT("'"&amp;$D$2&amp;"'"&amp;"!B"&amp;T71)="","",INDIRECT("'"&amp;$D$2&amp;"'"&amp;"!B"&amp;T71)))</f>
        <v>AFS Deposit Chek Onboarding</v>
      </c>
      <c r="D71" t="str" cm="1">
        <f t="array" aca="1" ref="D71" ca="1">IFERROR(_xlfn.IFS(C71="","",C71&lt;&gt;"",INDEX(SF_Output!I:I,MATCH(C71,SF_Output!M:M,0))),IFERROR(INDEX(INDIRECT($D$2&amp;"!G:G"),MATCH(C71,INDIRECT($D$2&amp;"!B:B"),0)),INDEX(INDIRECT("'"&amp;$D$2&amp;"'!G:G"),MATCH(C71,INDIRECT("'"&amp;$D$2&amp;"'!B:B"),0))))</f>
        <v>Imaging</v>
      </c>
      <c r="E71" t="str" cm="1">
        <f t="array" aca="1" ref="E71" ca="1">IFERROR(IF(C71="","",INDIRECT($D$2&amp;"!F"&amp;T71)),IF(C71="","",INDIRECT("'"&amp;$D$2&amp;"'"&amp;"!F"&amp;T71)))</f>
        <v>Optional</v>
      </c>
      <c r="F71" t="str" cm="1">
        <f t="array" aca="1" ref="F71" ca="1">IFERROR(IF(C71="","",INDIRECT($D$2&amp;"!ak"&amp;T71)),IF(C71="","",INDIRECT("'"&amp;$D$2&amp;"'"&amp;"!ak"&amp;T71)))</f>
        <v/>
      </c>
      <c r="G71" cm="1">
        <f t="array" aca="1" ref="G71" ca="1">IFERROR(INDIRECT($D$2&amp;"!h"&amp;T71),INDIRECT("'"&amp;$D$2&amp;"'"&amp;"!h"&amp;T71))</f>
        <v>1</v>
      </c>
      <c r="H71" s="125" t="str" cm="1">
        <f t="array" aca="1" ref="H71" ca="1">IFERROR(INDIRECT($D$2&amp;"!i"&amp;T71),INDIRECT("'"&amp;$D$2&amp;"'"&amp;"!i"&amp;T71))</f>
        <v/>
      </c>
      <c r="I71" s="113" cm="1">
        <f t="array" aca="1" ref="I71" ca="1">IFERROR(IF($C71="","",INDIRECT($D$2&amp;"!j"&amp;$T71)+INDIRECT($D$2&amp;"!n"&amp;$T71)),IF($C71="","",INDIRECT("'"&amp;$D$2&amp;"'"&amp;"!j"&amp;$T71)+INDIRECT("'"&amp;$D$2&amp;"'"&amp;"!n"&amp;$T71)))</f>
        <v>825</v>
      </c>
      <c r="J71" s="113">
        <f t="shared" ca="1" si="3"/>
        <v>0</v>
      </c>
      <c r="K71" s="113" cm="1">
        <f t="array" aca="1" ref="K71" ca="1">IFERROR(IF($C71="","",INDIRECT($D$2&amp;"!l"&amp;$T71)+INDIRECT($D$2&amp;"!p"&amp;$T71)),IF($C71="","",INDIRECT("'"&amp;$D$2&amp;"'"&amp;"!l"&amp;$T71)+INDIRECT("'"&amp;$D$2&amp;"'"&amp;"!p"&amp;$T71)))</f>
        <v>825</v>
      </c>
      <c r="M71" s="113" cm="1">
        <f t="array" aca="1" ref="M71" ca="1">IFERROR(IF($C71="","",INDIRECT($D$2&amp;"!r"&amp;T71)),IF($C71="","",INDIRECT("'"&amp;$D$2&amp;"'"&amp;"!r"&amp;T71)))</f>
        <v>0</v>
      </c>
      <c r="N71" s="113">
        <f t="shared" ca="1" si="4"/>
        <v>0</v>
      </c>
      <c r="O71" s="113" cm="1">
        <f t="array" aca="1" ref="O71" ca="1">IFERROR(IF($C71="","",INDIRECT($D$2&amp;"!t"&amp;T71)),IF($C71="","",INDIRECT("'"&amp;$D$2&amp;"'"&amp;"!t"&amp;T71)))</f>
        <v>0</v>
      </c>
      <c r="Q71" s="113" cm="1">
        <f t="array" aca="1" ref="Q71" ca="1">IFERROR(IF($C71="","",INDIRECT($D$2&amp;"!v"&amp;T71)),IF($C71="","",INDIRECT("'"&amp;$D$2&amp;"'"&amp;"!v"&amp;T71)))</f>
        <v>0</v>
      </c>
      <c r="R71" s="113">
        <f t="shared" ca="1" si="5"/>
        <v>0</v>
      </c>
      <c r="S71" s="113" cm="1">
        <f t="array" aca="1" ref="S71" ca="1">IFERROR(IF($C71="","",INDIRECT($D$2&amp;"!x"&amp;T71)),IF($C71="","",INDIRECT("'"&amp;$D$2&amp;"'"&amp;"!x"&amp;T71)))</f>
        <v>0</v>
      </c>
      <c r="T71" s="35">
        <v>59</v>
      </c>
      <c r="U71" s="113"/>
      <c r="V71" s="35">
        <v>59</v>
      </c>
    </row>
    <row r="72" spans="3:22" x14ac:dyDescent="0.25">
      <c r="C72" t="str" cm="1">
        <f t="array" aca="1" ref="C72" ca="1">IFERROR(IF(INDIRECT($D$2&amp;"!B"&amp;T72)="","",INDIRECT("'"&amp;$D$2&amp;"'"&amp;"!B"&amp;T72)),IF(INDIRECT("'"&amp;$D$2&amp;"'"&amp;"!B"&amp;T72)="","",INDIRECT("'"&amp;$D$2&amp;"'"&amp;"!B"&amp;T72)))</f>
        <v>AlertCenter AFS TrueChecks Frontline</v>
      </c>
      <c r="D72" t="str" cm="1">
        <f t="array" aca="1" ref="D72" ca="1">IFERROR(_xlfn.IFS(C72="","",C72&lt;&gt;"",INDEX(SF_Output!I:I,MATCH(C72,SF_Output!M:M,0))),IFERROR(INDEX(INDIRECT($D$2&amp;"!G:G"),MATCH(C72,INDIRECT($D$2&amp;"!B:B"),0)),INDEX(INDIRECT("'"&amp;$D$2&amp;"'!G:G"),MATCH(C72,INDIRECT("'"&amp;$D$2&amp;"'!B:B"),0))))</f>
        <v>Imaging</v>
      </c>
      <c r="E72" t="str" cm="1">
        <f t="array" aca="1" ref="E72" ca="1">IFERROR(IF(C72="","",INDIRECT($D$2&amp;"!F"&amp;T72)),IF(C72="","",INDIRECT("'"&amp;$D$2&amp;"'"&amp;"!F"&amp;T72)))</f>
        <v>Optional</v>
      </c>
      <c r="F72" t="str" cm="1">
        <f t="array" aca="1" ref="F72" ca="1">IFERROR(IF(C72="","",INDIRECT($D$2&amp;"!ak"&amp;T72)),IF(C72="","",INDIRECT("'"&amp;$D$2&amp;"'"&amp;"!ak"&amp;T72)))</f>
        <v/>
      </c>
      <c r="G72" cm="1">
        <f t="array" aca="1" ref="G72" ca="1">IFERROR(INDIRECT($D$2&amp;"!h"&amp;T72),INDIRECT("'"&amp;$D$2&amp;"'"&amp;"!h"&amp;T72))</f>
        <v>1</v>
      </c>
      <c r="H72" s="125" t="str" cm="1">
        <f t="array" aca="1" ref="H72" ca="1">IFERROR(INDIRECT($D$2&amp;"!i"&amp;T72),INDIRECT("'"&amp;$D$2&amp;"'"&amp;"!i"&amp;T72))</f>
        <v/>
      </c>
      <c r="I72" s="113" cm="1">
        <f t="array" aca="1" ref="I72" ca="1">IFERROR(IF($C72="","",INDIRECT($D$2&amp;"!j"&amp;$T72)+INDIRECT($D$2&amp;"!n"&amp;$T72)),IF($C72="","",INDIRECT("'"&amp;$D$2&amp;"'"&amp;"!j"&amp;$T72)+INDIRECT("'"&amp;$D$2&amp;"'"&amp;"!n"&amp;$T72)))</f>
        <v>0</v>
      </c>
      <c r="J72" s="113">
        <f t="shared" ca="1" si="3"/>
        <v>0</v>
      </c>
      <c r="K72" s="113" cm="1">
        <f t="array" aca="1" ref="K72" ca="1">IFERROR(IF($C72="","",INDIRECT($D$2&amp;"!l"&amp;$T72)+INDIRECT($D$2&amp;"!p"&amp;$T72)),IF($C72="","",INDIRECT("'"&amp;$D$2&amp;"'"&amp;"!l"&amp;$T72)+INDIRECT("'"&amp;$D$2&amp;"'"&amp;"!p"&amp;$T72)))</f>
        <v>0</v>
      </c>
      <c r="M72" s="113" cm="1">
        <f t="array" aca="1" ref="M72" ca="1">IFERROR(IF($C72="","",INDIRECT($D$2&amp;"!r"&amp;T72)),IF($C72="","",INDIRECT("'"&amp;$D$2&amp;"'"&amp;"!r"&amp;T72)))</f>
        <v>0</v>
      </c>
      <c r="N72" s="113">
        <f t="shared" ca="1" si="4"/>
        <v>0</v>
      </c>
      <c r="O72" s="113" cm="1">
        <f t="array" aca="1" ref="O72" ca="1">IFERROR(IF($C72="","",INDIRECT($D$2&amp;"!t"&amp;T72)),IF($C72="","",INDIRECT("'"&amp;$D$2&amp;"'"&amp;"!t"&amp;T72)))</f>
        <v>0</v>
      </c>
      <c r="Q72" s="113" cm="1">
        <f t="array" aca="1" ref="Q72" ca="1">IFERROR(IF($C72="","",INDIRECT($D$2&amp;"!v"&amp;T72)),IF($C72="","",INDIRECT("'"&amp;$D$2&amp;"'"&amp;"!v"&amp;T72)))</f>
        <v>75</v>
      </c>
      <c r="R72" s="113">
        <f t="shared" ca="1" si="5"/>
        <v>0</v>
      </c>
      <c r="S72" s="113" cm="1">
        <f t="array" aca="1" ref="S72" ca="1">IFERROR(IF($C72="","",INDIRECT($D$2&amp;"!x"&amp;T72)),IF($C72="","",INDIRECT("'"&amp;$D$2&amp;"'"&amp;"!x"&amp;T72)))</f>
        <v>75</v>
      </c>
      <c r="T72" s="35">
        <v>60</v>
      </c>
      <c r="U72" s="113"/>
      <c r="V72" s="35">
        <v>60</v>
      </c>
    </row>
    <row r="73" spans="3:22" x14ac:dyDescent="0.25">
      <c r="C73" t="str" cm="1">
        <f t="array" aca="1" ref="C73" ca="1">IFERROR(IF(INDIRECT($D$2&amp;"!B"&amp;T73)="","",INDIRECT("'"&amp;$D$2&amp;"'"&amp;"!B"&amp;T73)),IF(INDIRECT("'"&amp;$D$2&amp;"'"&amp;"!B"&amp;T73)="","",INDIRECT("'"&amp;$D$2&amp;"'"&amp;"!B"&amp;T73)))</f>
        <v>AlertCenter Integration to 4|Sight</v>
      </c>
      <c r="D73" t="str" cm="1">
        <f t="array" aca="1" ref="D73" ca="1">IFERROR(_xlfn.IFS(C73="","",C73&lt;&gt;"",INDEX(SF_Output!I:I,MATCH(C73,SF_Output!M:M,0))),IFERROR(INDEX(INDIRECT($D$2&amp;"!G:G"),MATCH(C73,INDIRECT($D$2&amp;"!B:B"),0)),INDEX(INDIRECT("'"&amp;$D$2&amp;"'!G:G"),MATCH(C73,INDIRECT("'"&amp;$D$2&amp;"'!B:B"),0))))</f>
        <v>Imaging</v>
      </c>
      <c r="E73" t="str" cm="1">
        <f t="array" aca="1" ref="E73" ca="1">IFERROR(IF(C73="","",INDIRECT($D$2&amp;"!F"&amp;T73)),IF(C73="","",INDIRECT("'"&amp;$D$2&amp;"'"&amp;"!F"&amp;T73)))</f>
        <v>Optional</v>
      </c>
      <c r="F73" t="str" cm="1">
        <f t="array" aca="1" ref="F73" ca="1">IFERROR(IF(C73="","",INDIRECT($D$2&amp;"!ak"&amp;T73)),IF(C73="","",INDIRECT("'"&amp;$D$2&amp;"'"&amp;"!ak"&amp;T73)))</f>
        <v/>
      </c>
      <c r="G73" cm="1">
        <f t="array" aca="1" ref="G73" ca="1">IFERROR(INDIRECT($D$2&amp;"!h"&amp;T73),INDIRECT("'"&amp;$D$2&amp;"'"&amp;"!h"&amp;T73))</f>
        <v>1</v>
      </c>
      <c r="H73" s="125" t="str" cm="1">
        <f t="array" aca="1" ref="H73" ca="1">IFERROR(INDIRECT($D$2&amp;"!i"&amp;T73),INDIRECT("'"&amp;$D$2&amp;"'"&amp;"!i"&amp;T73))</f>
        <v/>
      </c>
      <c r="I73" s="113" cm="1">
        <f t="array" aca="1" ref="I73" ca="1">IFERROR(IF($C73="","",INDIRECT($D$2&amp;"!j"&amp;$T73)+INDIRECT($D$2&amp;"!n"&amp;$T73)),IF($C73="","",INDIRECT("'"&amp;$D$2&amp;"'"&amp;"!j"&amp;$T73)+INDIRECT("'"&amp;$D$2&amp;"'"&amp;"!n"&amp;$T73)))</f>
        <v>3750</v>
      </c>
      <c r="J73" s="113">
        <f t="shared" ca="1" si="3"/>
        <v>-3750</v>
      </c>
      <c r="K73" s="113" cm="1">
        <f t="array" aca="1" ref="K73" ca="1">IFERROR(IF($C73="","",INDIRECT($D$2&amp;"!l"&amp;$T73)+INDIRECT($D$2&amp;"!p"&amp;$T73)),IF($C73="","",INDIRECT("'"&amp;$D$2&amp;"'"&amp;"!l"&amp;$T73)+INDIRECT("'"&amp;$D$2&amp;"'"&amp;"!p"&amp;$T73)))</f>
        <v>0</v>
      </c>
      <c r="M73" s="113" cm="1">
        <f t="array" aca="1" ref="M73" ca="1">IFERROR(IF($C73="","",INDIRECT($D$2&amp;"!r"&amp;T73)),IF($C73="","",INDIRECT("'"&amp;$D$2&amp;"'"&amp;"!r"&amp;T73)))</f>
        <v>0</v>
      </c>
      <c r="N73" s="113">
        <f t="shared" ca="1" si="4"/>
        <v>0</v>
      </c>
      <c r="O73" s="113" cm="1">
        <f t="array" aca="1" ref="O73" ca="1">IFERROR(IF($C73="","",INDIRECT($D$2&amp;"!t"&amp;T73)),IF($C73="","",INDIRECT("'"&amp;$D$2&amp;"'"&amp;"!t"&amp;T73)))</f>
        <v>0</v>
      </c>
      <c r="Q73" s="113" cm="1">
        <f t="array" aca="1" ref="Q73" ca="1">IFERROR(IF($C73="","",INDIRECT($D$2&amp;"!v"&amp;T73)),IF($C73="","",INDIRECT("'"&amp;$D$2&amp;"'"&amp;"!v"&amp;T73)))</f>
        <v>0</v>
      </c>
      <c r="R73" s="113">
        <f t="shared" ca="1" si="5"/>
        <v>0</v>
      </c>
      <c r="S73" s="113" cm="1">
        <f t="array" aca="1" ref="S73" ca="1">IFERROR(IF($C73="","",INDIRECT($D$2&amp;"!x"&amp;T73)),IF($C73="","",INDIRECT("'"&amp;$D$2&amp;"'"&amp;"!x"&amp;T73)))</f>
        <v>0</v>
      </c>
      <c r="T73" s="35">
        <v>61</v>
      </c>
      <c r="U73" s="113"/>
      <c r="V73" s="35">
        <v>61</v>
      </c>
    </row>
    <row r="74" spans="3:22" x14ac:dyDescent="0.25">
      <c r="C74" t="str" cm="1">
        <f t="array" aca="1" ref="C74" ca="1">IFERROR(IF(INDIRECT($D$2&amp;"!B"&amp;T74)="","",INDIRECT("'"&amp;$D$2&amp;"'"&amp;"!B"&amp;T74)),IF(INDIRECT("'"&amp;$D$2&amp;"'"&amp;"!B"&amp;T74)="","",INDIRECT("'"&amp;$D$2&amp;"'"&amp;"!B"&amp;T74)))</f>
        <v>Synergy ECM</v>
      </c>
      <c r="D74" t="str" cm="1">
        <f t="array" aca="1" ref="D74" ca="1">IFERROR(_xlfn.IFS(C74="","",C74&lt;&gt;"",INDEX(SF_Output!I:I,MATCH(C74,SF_Output!M:M,0))),IFERROR(INDEX(INDIRECT($D$2&amp;"!G:G"),MATCH(C74,INDIRECT($D$2&amp;"!B:B"),0)),INDEX(INDIRECT("'"&amp;$D$2&amp;"'!G:G"),MATCH(C74,INDIRECT("'"&amp;$D$2&amp;"'!B:B"),0))))</f>
        <v>Imaging</v>
      </c>
      <c r="E74" t="str" cm="1">
        <f t="array" aca="1" ref="E74" ca="1">IFERROR(IF(C74="","",INDIRECT($D$2&amp;"!F"&amp;T74)),IF(C74="","",INDIRECT("'"&amp;$D$2&amp;"'"&amp;"!F"&amp;T74)))</f>
        <v>Included</v>
      </c>
      <c r="F74" t="str" cm="1">
        <f t="array" aca="1" ref="F74" ca="1">IFERROR(IF(C74="","",INDIRECT($D$2&amp;"!ak"&amp;T74)),IF(C74="","",INDIRECT("'"&amp;$D$2&amp;"'"&amp;"!ak"&amp;T74)))</f>
        <v>PAP</v>
      </c>
      <c r="G74" cm="1">
        <f t="array" aca="1" ref="G74" ca="1">IFERROR(INDIRECT($D$2&amp;"!h"&amp;T74),INDIRECT("'"&amp;$D$2&amp;"'"&amp;"!h"&amp;T74))</f>
        <v>5000</v>
      </c>
      <c r="H74" s="125" cm="1">
        <f t="array" aca="1" ref="H74" ca="1">IFERROR(INDIRECT($D$2&amp;"!i"&amp;T74),INDIRECT("'"&amp;$D$2&amp;"'"&amp;"!i"&amp;T74))</f>
        <v>0.20549999999999999</v>
      </c>
      <c r="I74" s="113" cm="1">
        <f t="array" aca="1" ref="I74" ca="1">IFERROR(IF($C74="","",INDIRECT($D$2&amp;"!j"&amp;$T74)+INDIRECT($D$2&amp;"!n"&amp;$T74)),IF($C74="","",INDIRECT("'"&amp;$D$2&amp;"'"&amp;"!j"&amp;$T74)+INDIRECT("'"&amp;$D$2&amp;"'"&amp;"!n"&amp;$T74)))</f>
        <v>19150</v>
      </c>
      <c r="J74" s="113">
        <f t="shared" ca="1" si="3"/>
        <v>-19150</v>
      </c>
      <c r="K74" s="113" cm="1">
        <f t="array" aca="1" ref="K74" ca="1">IFERROR(IF($C74="","",INDIRECT($D$2&amp;"!l"&amp;$T74)+INDIRECT($D$2&amp;"!p"&amp;$T74)),IF($C74="","",INDIRECT("'"&amp;$D$2&amp;"'"&amp;"!l"&amp;$T74)+INDIRECT("'"&amp;$D$2&amp;"'"&amp;"!p"&amp;$T74)))</f>
        <v>0</v>
      </c>
      <c r="M74" s="113" cm="1">
        <f t="array" aca="1" ref="M74" ca="1">IFERROR(IF($C74="","",INDIRECT($D$2&amp;"!r"&amp;T74)),IF($C74="","",INDIRECT("'"&amp;$D$2&amp;"'"&amp;"!r"&amp;T74)))</f>
        <v>0</v>
      </c>
      <c r="N74" s="113">
        <f t="shared" ca="1" si="4"/>
        <v>0</v>
      </c>
      <c r="O74" s="113" cm="1">
        <f t="array" aca="1" ref="O74" ca="1">IFERROR(IF($C74="","",INDIRECT($D$2&amp;"!t"&amp;T74)),IF($C74="","",INDIRECT("'"&amp;$D$2&amp;"'"&amp;"!t"&amp;T74)))</f>
        <v>0</v>
      </c>
      <c r="Q74" s="113" cm="1">
        <f t="array" aca="1" ref="Q74" ca="1">IFERROR(IF($C74="","",INDIRECT($D$2&amp;"!v"&amp;T74)),IF($C74="","",INDIRECT("'"&amp;$D$2&amp;"'"&amp;"!v"&amp;T74)))</f>
        <v>1370</v>
      </c>
      <c r="R74" s="113">
        <f t="shared" ca="1" si="5"/>
        <v>-342.5</v>
      </c>
      <c r="S74" s="113" cm="1">
        <f t="array" aca="1" ref="S74" ca="1">IFERROR(IF($C74="","",INDIRECT($D$2&amp;"!x"&amp;T74)),IF($C74="","",INDIRECT("'"&amp;$D$2&amp;"'"&amp;"!x"&amp;T74)))</f>
        <v>1027.5</v>
      </c>
      <c r="T74" s="35">
        <v>62</v>
      </c>
      <c r="U74" s="113"/>
      <c r="V74" s="35">
        <v>62</v>
      </c>
    </row>
    <row r="75" spans="3:22" x14ac:dyDescent="0.25">
      <c r="C75" t="str" cm="1">
        <f t="array" aca="1" ref="C75" ca="1">IFERROR(IF(INDIRECT($D$2&amp;"!B"&amp;T75)="","",INDIRECT("'"&amp;$D$2&amp;"'"&amp;"!B"&amp;T75)),IF(INDIRECT("'"&amp;$D$2&amp;"'"&amp;"!B"&amp;T75)="","",INDIRECT("'"&amp;$D$2&amp;"'"&amp;"!B"&amp;T75)))</f>
        <v>Synergy Productivity</v>
      </c>
      <c r="D75" t="str" cm="1">
        <f t="array" aca="1" ref="D75" ca="1">IFERROR(_xlfn.IFS(C75="","",C75&lt;&gt;"",INDEX(SF_Output!I:I,MATCH(C75,SF_Output!M:M,0))),IFERROR(INDEX(INDIRECT($D$2&amp;"!G:G"),MATCH(C75,INDIRECT($D$2&amp;"!B:B"),0)),INDEX(INDIRECT("'"&amp;$D$2&amp;"'!G:G"),MATCH(C75,INDIRECT("'"&amp;$D$2&amp;"'!B:B"),0))))</f>
        <v>Imaging</v>
      </c>
      <c r="E75" t="str" cm="1">
        <f t="array" aca="1" ref="E75" ca="1">IFERROR(IF(C75="","",INDIRECT($D$2&amp;"!F"&amp;T75)),IF(C75="","",INDIRECT("'"&amp;$D$2&amp;"'"&amp;"!F"&amp;T75)))</f>
        <v>Included</v>
      </c>
      <c r="F75" t="str" cm="1">
        <f t="array" aca="1" ref="F75" ca="1">IFERROR(IF(C75="","",INDIRECT($D$2&amp;"!ak"&amp;T75)),IF(C75="","",INDIRECT("'"&amp;$D$2&amp;"'"&amp;"!ak"&amp;T75)))</f>
        <v>PAP</v>
      </c>
      <c r="G75" cm="1">
        <f t="array" aca="1" ref="G75" ca="1">IFERROR(INDIRECT($D$2&amp;"!h"&amp;T75),INDIRECT("'"&amp;$D$2&amp;"'"&amp;"!h"&amp;T75))</f>
        <v>5000</v>
      </c>
      <c r="H75" s="125" cm="1">
        <f t="array" aca="1" ref="H75" ca="1">IFERROR(INDIRECT($D$2&amp;"!i"&amp;T75),INDIRECT("'"&amp;$D$2&amp;"'"&amp;"!i"&amp;T75))</f>
        <v>7.6499999999999999E-2</v>
      </c>
      <c r="I75" s="113" cm="1">
        <f t="array" aca="1" ref="I75" ca="1">IFERROR(IF($C75="","",INDIRECT($D$2&amp;"!j"&amp;$T75)+INDIRECT($D$2&amp;"!n"&amp;$T75)),IF($C75="","",INDIRECT("'"&amp;$D$2&amp;"'"&amp;"!j"&amp;$T75)+INDIRECT("'"&amp;$D$2&amp;"'"&amp;"!n"&amp;$T75)))</f>
        <v>4800</v>
      </c>
      <c r="J75" s="113">
        <f t="shared" ca="1" si="3"/>
        <v>-4800</v>
      </c>
      <c r="K75" s="113" cm="1">
        <f t="array" aca="1" ref="K75" ca="1">IFERROR(IF($C75="","",INDIRECT($D$2&amp;"!l"&amp;$T75)+INDIRECT($D$2&amp;"!p"&amp;$T75)),IF($C75="","",INDIRECT("'"&amp;$D$2&amp;"'"&amp;"!l"&amp;$T75)+INDIRECT("'"&amp;$D$2&amp;"'"&amp;"!p"&amp;$T75)))</f>
        <v>0</v>
      </c>
      <c r="M75" s="113" cm="1">
        <f t="array" aca="1" ref="M75" ca="1">IFERROR(IF($C75="","",INDIRECT($D$2&amp;"!r"&amp;T75)),IF($C75="","",INDIRECT("'"&amp;$D$2&amp;"'"&amp;"!r"&amp;T75)))</f>
        <v>0</v>
      </c>
      <c r="N75" s="113">
        <f t="shared" ca="1" si="4"/>
        <v>0</v>
      </c>
      <c r="O75" s="113" cm="1">
        <f t="array" aca="1" ref="O75" ca="1">IFERROR(IF($C75="","",INDIRECT($D$2&amp;"!t"&amp;T75)),IF($C75="","",INDIRECT("'"&amp;$D$2&amp;"'"&amp;"!t"&amp;T75)))</f>
        <v>0</v>
      </c>
      <c r="Q75" s="113" cm="1">
        <f t="array" aca="1" ref="Q75" ca="1">IFERROR(IF($C75="","",INDIRECT($D$2&amp;"!v"&amp;T75)),IF($C75="","",INDIRECT("'"&amp;$D$2&amp;"'"&amp;"!v"&amp;T75)))</f>
        <v>510</v>
      </c>
      <c r="R75" s="113">
        <f t="shared" ca="1" si="5"/>
        <v>-127.5</v>
      </c>
      <c r="S75" s="113" cm="1">
        <f t="array" aca="1" ref="S75" ca="1">IFERROR(IF($C75="","",INDIRECT($D$2&amp;"!x"&amp;T75)),IF($C75="","",INDIRECT("'"&amp;$D$2&amp;"'"&amp;"!x"&amp;T75)))</f>
        <v>382.5</v>
      </c>
      <c r="T75" s="35">
        <v>63</v>
      </c>
      <c r="U75" s="113"/>
      <c r="V75" s="35">
        <v>63</v>
      </c>
    </row>
    <row r="76" spans="3:22" x14ac:dyDescent="0.25">
      <c r="C76" t="str" cm="1">
        <f t="array" aca="1" ref="C76" ca="1">IFERROR(IF(INDIRECT($D$2&amp;"!B"&amp;T76)="","",INDIRECT("'"&amp;$D$2&amp;"'"&amp;"!B"&amp;T76)),IF(INDIRECT("'"&amp;$D$2&amp;"'"&amp;"!B"&amp;T76)="","",INDIRECT("'"&amp;$D$2&amp;"'"&amp;"!B"&amp;T76)))</f>
        <v>DSIS Scanner Interface</v>
      </c>
      <c r="D76" t="str" cm="1">
        <f t="array" aca="1" ref="D76" ca="1">IFERROR(_xlfn.IFS(C76="","",C76&lt;&gt;"",INDEX(SF_Output!I:I,MATCH(C76,SF_Output!M:M,0))),IFERROR(INDEX(INDIRECT($D$2&amp;"!G:G"),MATCH(C76,INDIRECT($D$2&amp;"!B:B"),0)),INDEX(INDIRECT("'"&amp;$D$2&amp;"'!G:G"),MATCH(C76,INDIRECT("'"&amp;$D$2&amp;"'!B:B"),0))))</f>
        <v>Imaging</v>
      </c>
      <c r="E76" t="str" cm="1">
        <f t="array" aca="1" ref="E76" ca="1">IFERROR(IF(C76="","",INDIRECT($D$2&amp;"!F"&amp;T76)),IF(C76="","",INDIRECT("'"&amp;$D$2&amp;"'"&amp;"!F"&amp;T76)))</f>
        <v>Included</v>
      </c>
      <c r="F76" t="str" cm="1">
        <f t="array" aca="1" ref="F76" ca="1">IFERROR(IF(C76="","",INDIRECT($D$2&amp;"!ak"&amp;T76)),IF(C76="","",INDIRECT("'"&amp;$D$2&amp;"'"&amp;"!ak"&amp;T76)))</f>
        <v/>
      </c>
      <c r="G76" cm="1">
        <f t="array" aca="1" ref="G76" ca="1">IFERROR(INDIRECT($D$2&amp;"!h"&amp;T76),INDIRECT("'"&amp;$D$2&amp;"'"&amp;"!h"&amp;T76))</f>
        <v>2</v>
      </c>
      <c r="H76" s="125" t="str" cm="1">
        <f t="array" aca="1" ref="H76" ca="1">IFERROR(INDIRECT($D$2&amp;"!i"&amp;T76),INDIRECT("'"&amp;$D$2&amp;"'"&amp;"!i"&amp;T76))</f>
        <v/>
      </c>
      <c r="I76" s="113" cm="1">
        <f t="array" aca="1" ref="I76" ca="1">IFERROR(IF($C76="","",INDIRECT($D$2&amp;"!j"&amp;$T76)+INDIRECT($D$2&amp;"!n"&amp;$T76)),IF($C76="","",INDIRECT("'"&amp;$D$2&amp;"'"&amp;"!j"&amp;$T76)+INDIRECT("'"&amp;$D$2&amp;"'"&amp;"!n"&amp;$T76)))</f>
        <v>1000</v>
      </c>
      <c r="J76" s="113">
        <f t="shared" ca="1" si="3"/>
        <v>0</v>
      </c>
      <c r="K76" s="113" cm="1">
        <f t="array" aca="1" ref="K76" ca="1">IFERROR(IF($C76="","",INDIRECT($D$2&amp;"!l"&amp;$T76)+INDIRECT($D$2&amp;"!p"&amp;$T76)),IF($C76="","",INDIRECT("'"&amp;$D$2&amp;"'"&amp;"!l"&amp;$T76)+INDIRECT("'"&amp;$D$2&amp;"'"&amp;"!p"&amp;$T76)))</f>
        <v>1000</v>
      </c>
      <c r="M76" s="113" cm="1">
        <f t="array" aca="1" ref="M76" ca="1">IFERROR(IF($C76="","",INDIRECT($D$2&amp;"!r"&amp;T76)),IF($C76="","",INDIRECT("'"&amp;$D$2&amp;"'"&amp;"!r"&amp;T76)))</f>
        <v>0</v>
      </c>
      <c r="N76" s="113">
        <f t="shared" ca="1" si="4"/>
        <v>0</v>
      </c>
      <c r="O76" s="113" cm="1">
        <f t="array" aca="1" ref="O76" ca="1">IFERROR(IF($C76="","",INDIRECT($D$2&amp;"!t"&amp;T76)),IF($C76="","",INDIRECT("'"&amp;$D$2&amp;"'"&amp;"!t"&amp;T76)))</f>
        <v>0</v>
      </c>
      <c r="Q76" s="113" cm="1">
        <f t="array" aca="1" ref="Q76" ca="1">IFERROR(IF($C76="","",INDIRECT($D$2&amp;"!v"&amp;T76)),IF($C76="","",INDIRECT("'"&amp;$D$2&amp;"'"&amp;"!v"&amp;T76)))</f>
        <v>0</v>
      </c>
      <c r="R76" s="113">
        <f t="shared" ca="1" si="5"/>
        <v>0</v>
      </c>
      <c r="S76" s="113" cm="1">
        <f t="array" aca="1" ref="S76" ca="1">IFERROR(IF($C76="","",INDIRECT($D$2&amp;"!x"&amp;T76)),IF($C76="","",INDIRECT("'"&amp;$D$2&amp;"'"&amp;"!x"&amp;T76)))</f>
        <v>0</v>
      </c>
      <c r="T76" s="35">
        <v>64</v>
      </c>
      <c r="U76" s="113"/>
      <c r="V76" s="35">
        <v>64</v>
      </c>
    </row>
    <row r="77" spans="3:22" x14ac:dyDescent="0.25">
      <c r="C77" t="str" cm="1">
        <f t="array" aca="1" ref="C77" ca="1">IFERROR(IF(INDIRECT($D$2&amp;"!B"&amp;T77)="","",INDIRECT("'"&amp;$D$2&amp;"'"&amp;"!B"&amp;T77)),IF(INDIRECT("'"&amp;$D$2&amp;"'"&amp;"!B"&amp;T77)="","",INDIRECT("'"&amp;$D$2&amp;"'"&amp;"!B"&amp;T77)))</f>
        <v>Synergy Automated Document Recognition</v>
      </c>
      <c r="D77" t="str" cm="1">
        <f t="array" aca="1" ref="D77" ca="1">IFERROR(_xlfn.IFS(C77="","",C77&lt;&gt;"",INDEX(SF_Output!I:I,MATCH(C77,SF_Output!M:M,0))),IFERROR(INDEX(INDIRECT($D$2&amp;"!G:G"),MATCH(C77,INDIRECT($D$2&amp;"!B:B"),0)),INDEX(INDIRECT("'"&amp;$D$2&amp;"'!G:G"),MATCH(C77,INDIRECT("'"&amp;$D$2&amp;"'!B:B"),0))))</f>
        <v>Imaging</v>
      </c>
      <c r="E77" t="str" cm="1">
        <f t="array" aca="1" ref="E77" ca="1">IFERROR(IF(C77="","",INDIRECT($D$2&amp;"!F"&amp;T77)),IF(C77="","",INDIRECT("'"&amp;$D$2&amp;"'"&amp;"!F"&amp;T77)))</f>
        <v>Optional</v>
      </c>
      <c r="F77" t="str" cm="1">
        <f t="array" aca="1" ref="F77" ca="1">IFERROR(IF(C77="","",INDIRECT($D$2&amp;"!ak"&amp;T77)),IF(C77="","",INDIRECT("'"&amp;$D$2&amp;"'"&amp;"!ak"&amp;T77)))</f>
        <v>PAP</v>
      </c>
      <c r="G77" cm="1">
        <f t="array" aca="1" ref="G77" ca="1">IFERROR(INDIRECT($D$2&amp;"!h"&amp;T77),INDIRECT("'"&amp;$D$2&amp;"'"&amp;"!h"&amp;T77))</f>
        <v>5000</v>
      </c>
      <c r="H77" s="125" cm="1">
        <f t="array" aca="1" ref="H77" ca="1">IFERROR(INDIRECT($D$2&amp;"!i"&amp;T77),INDIRECT("'"&amp;$D$2&amp;"'"&amp;"!i"&amp;T77))</f>
        <v>0.08</v>
      </c>
      <c r="I77" s="113" cm="1">
        <f t="array" aca="1" ref="I77" ca="1">IFERROR(IF($C77="","",INDIRECT($D$2&amp;"!j"&amp;$T77)+INDIRECT($D$2&amp;"!n"&amp;$T77)),IF($C77="","",INDIRECT("'"&amp;$D$2&amp;"'"&amp;"!j"&amp;$T77)+INDIRECT("'"&amp;$D$2&amp;"'"&amp;"!n"&amp;$T77)))</f>
        <v>2800</v>
      </c>
      <c r="J77" s="113">
        <f t="shared" ca="1" si="3"/>
        <v>-2800</v>
      </c>
      <c r="K77" s="113" cm="1">
        <f t="array" aca="1" ref="K77" ca="1">IFERROR(IF($C77="","",INDIRECT($D$2&amp;"!l"&amp;$T77)+INDIRECT($D$2&amp;"!p"&amp;$T77)),IF($C77="","",INDIRECT("'"&amp;$D$2&amp;"'"&amp;"!l"&amp;$T77)+INDIRECT("'"&amp;$D$2&amp;"'"&amp;"!p"&amp;$T77)))</f>
        <v>0</v>
      </c>
      <c r="M77" s="113" cm="1">
        <f t="array" aca="1" ref="M77" ca="1">IFERROR(IF($C77="","",INDIRECT($D$2&amp;"!r"&amp;T77)),IF($C77="","",INDIRECT("'"&amp;$D$2&amp;"'"&amp;"!r"&amp;T77)))</f>
        <v>0</v>
      </c>
      <c r="N77" s="113">
        <f t="shared" ca="1" si="4"/>
        <v>0</v>
      </c>
      <c r="O77" s="113" cm="1">
        <f t="array" aca="1" ref="O77" ca="1">IFERROR(IF($C77="","",INDIRECT($D$2&amp;"!t"&amp;T77)),IF($C77="","",INDIRECT("'"&amp;$D$2&amp;"'"&amp;"!t"&amp;T77)))</f>
        <v>0</v>
      </c>
      <c r="Q77" s="113" cm="1">
        <f t="array" aca="1" ref="Q77" ca="1">IFERROR(IF($C77="","",INDIRECT($D$2&amp;"!v"&amp;T77)),IF($C77="","",INDIRECT("'"&amp;$D$2&amp;"'"&amp;"!v"&amp;T77)))</f>
        <v>400</v>
      </c>
      <c r="R77" s="113">
        <f t="shared" ca="1" si="5"/>
        <v>0</v>
      </c>
      <c r="S77" s="113" cm="1">
        <f t="array" aca="1" ref="S77" ca="1">IFERROR(IF($C77="","",INDIRECT($D$2&amp;"!x"&amp;T77)),IF($C77="","",INDIRECT("'"&amp;$D$2&amp;"'"&amp;"!x"&amp;T77)))</f>
        <v>400</v>
      </c>
      <c r="T77" s="35">
        <v>65</v>
      </c>
      <c r="U77" s="113"/>
      <c r="V77" s="35">
        <v>65</v>
      </c>
    </row>
    <row r="78" spans="3:22" x14ac:dyDescent="0.25">
      <c r="C78" t="str" cm="1">
        <f t="array" aca="1" ref="C78" ca="1">IFERROR(IF(INDIRECT($D$2&amp;"!B"&amp;T78)="","",INDIRECT("'"&amp;$D$2&amp;"'"&amp;"!B"&amp;T78)),IF(INDIRECT("'"&amp;$D$2&amp;"'"&amp;"!B"&amp;T78)="","",INDIRECT("'"&amp;$D$2&amp;"'"&amp;"!B"&amp;T78)))</f>
        <v>Synergy eSign and eSignWeb Bundle</v>
      </c>
      <c r="D78" t="str" cm="1">
        <f t="array" aca="1" ref="D78" ca="1">IFERROR(_xlfn.IFS(C78="","",C78&lt;&gt;"",INDEX(SF_Output!I:I,MATCH(C78,SF_Output!M:M,0))),IFERROR(INDEX(INDIRECT($D$2&amp;"!G:G"),MATCH(C78,INDIRECT($D$2&amp;"!B:B"),0)),INDEX(INDIRECT("'"&amp;$D$2&amp;"'!G:G"),MATCH(C78,INDIRECT("'"&amp;$D$2&amp;"'!B:B"),0))))</f>
        <v>Imaging</v>
      </c>
      <c r="E78" t="str" cm="1">
        <f t="array" aca="1" ref="E78" ca="1">IFERROR(IF(C78="","",INDIRECT($D$2&amp;"!F"&amp;T78)),IF(C78="","",INDIRECT("'"&amp;$D$2&amp;"'"&amp;"!F"&amp;T78)))</f>
        <v>Included</v>
      </c>
      <c r="F78" t="str" cm="1">
        <f t="array" aca="1" ref="F78" ca="1">IFERROR(IF(C78="","",INDIRECT($D$2&amp;"!ak"&amp;T78)),IF(C78="","",INDIRECT("'"&amp;$D$2&amp;"'"&amp;"!ak"&amp;T78)))</f>
        <v>PAP</v>
      </c>
      <c r="G78" cm="1">
        <f t="array" aca="1" ref="G78" ca="1">IFERROR(INDIRECT($D$2&amp;"!h"&amp;T78),INDIRECT("'"&amp;$D$2&amp;"'"&amp;"!h"&amp;T78))</f>
        <v>5000</v>
      </c>
      <c r="H78" s="125" cm="1">
        <f t="array" aca="1" ref="H78" ca="1">IFERROR(INDIRECT($D$2&amp;"!i"&amp;T78),INDIRECT("'"&amp;$D$2&amp;"'"&amp;"!i"&amp;T78))</f>
        <v>0.184</v>
      </c>
      <c r="I78" s="113" cm="1">
        <f t="array" aca="1" ref="I78" ca="1">IFERROR(IF($C78="","",INDIRECT($D$2&amp;"!j"&amp;$T78)+INDIRECT($D$2&amp;"!n"&amp;$T78)),IF($C78="","",INDIRECT("'"&amp;$D$2&amp;"'"&amp;"!j"&amp;$T78)+INDIRECT("'"&amp;$D$2&amp;"'"&amp;"!n"&amp;$T78)))</f>
        <v>15750</v>
      </c>
      <c r="J78" s="113">
        <f t="shared" ca="1" si="3"/>
        <v>0</v>
      </c>
      <c r="K78" s="113" cm="1">
        <f t="array" aca="1" ref="K78" ca="1">IFERROR(IF($C78="","",INDIRECT($D$2&amp;"!l"&amp;$T78)+INDIRECT($D$2&amp;"!p"&amp;$T78)),IF($C78="","",INDIRECT("'"&amp;$D$2&amp;"'"&amp;"!l"&amp;$T78)+INDIRECT("'"&amp;$D$2&amp;"'"&amp;"!p"&amp;$T78)))</f>
        <v>15750</v>
      </c>
      <c r="M78" s="113" cm="1">
        <f t="array" aca="1" ref="M78" ca="1">IFERROR(IF($C78="","",INDIRECT($D$2&amp;"!r"&amp;T78)),IF($C78="","",INDIRECT("'"&amp;$D$2&amp;"'"&amp;"!r"&amp;T78)))</f>
        <v>0</v>
      </c>
      <c r="N78" s="113">
        <f t="shared" ca="1" si="4"/>
        <v>0</v>
      </c>
      <c r="O78" s="113" cm="1">
        <f t="array" aca="1" ref="O78" ca="1">IFERROR(IF($C78="","",INDIRECT($D$2&amp;"!t"&amp;T78)),IF($C78="","",INDIRECT("'"&amp;$D$2&amp;"'"&amp;"!t"&amp;T78)))</f>
        <v>0</v>
      </c>
      <c r="Q78" s="113" cm="1">
        <f t="array" aca="1" ref="Q78" ca="1">IFERROR(IF($C78="","",INDIRECT($D$2&amp;"!v"&amp;T78)),IF($C78="","",INDIRECT("'"&amp;$D$2&amp;"'"&amp;"!v"&amp;T78)))</f>
        <v>920</v>
      </c>
      <c r="R78" s="113">
        <f t="shared" ca="1" si="5"/>
        <v>0</v>
      </c>
      <c r="S78" s="113" cm="1">
        <f t="array" aca="1" ref="S78" ca="1">IFERROR(IF($C78="","",INDIRECT($D$2&amp;"!x"&amp;T78)),IF($C78="","",INDIRECT("'"&amp;$D$2&amp;"'"&amp;"!x"&amp;T78)))</f>
        <v>920</v>
      </c>
      <c r="T78" s="35">
        <v>66</v>
      </c>
      <c r="U78" s="113"/>
      <c r="V78" s="35">
        <v>66</v>
      </c>
    </row>
    <row r="79" spans="3:22" x14ac:dyDescent="0.25">
      <c r="C79" t="str" cm="1">
        <f t="array" aca="1" ref="C79" ca="1">IFERROR(IF(INDIRECT($D$2&amp;"!B"&amp;T79)="","",INDIRECT("'"&amp;$D$2&amp;"'"&amp;"!B"&amp;T79)),IF(INDIRECT("'"&amp;$D$2&amp;"'"&amp;"!B"&amp;T79)="","",INDIRECT("'"&amp;$D$2&amp;"'"&amp;"!B"&amp;T79)))</f>
        <v>Synergy ECM Administrator Education Pack (Virtual, instructor-led training and eLearning)</v>
      </c>
      <c r="D79" t="str" cm="1">
        <f t="array" aca="1" ref="D79" ca="1">IFERROR(_xlfn.IFS(C79="","",C79&lt;&gt;"",INDEX(SF_Output!I:I,MATCH(C79,SF_Output!M:M,0))),IFERROR(INDEX(INDIRECT($D$2&amp;"!G:G"),MATCH(C79,INDIRECT($D$2&amp;"!B:B"),0)),INDEX(INDIRECT("'"&amp;$D$2&amp;"'!G:G"),MATCH(C79,INDIRECT("'"&amp;$D$2&amp;"'!B:B"),0))))</f>
        <v>Imaging</v>
      </c>
      <c r="E79" t="str" cm="1">
        <f t="array" aca="1" ref="E79" ca="1">IFERROR(IF(C79="","",INDIRECT($D$2&amp;"!F"&amp;T79)),IF(C79="","",INDIRECT("'"&amp;$D$2&amp;"'"&amp;"!F"&amp;T79)))</f>
        <v>Included</v>
      </c>
      <c r="F79" t="str" cm="1">
        <f t="array" aca="1" ref="F79" ca="1">IFERROR(IF(C79="","",INDIRECT($D$2&amp;"!ak"&amp;T79)),IF(C79="","",INDIRECT("'"&amp;$D$2&amp;"'"&amp;"!ak"&amp;T79)))</f>
        <v/>
      </c>
      <c r="G79" cm="1">
        <f t="array" aca="1" ref="G79" ca="1">IFERROR(INDIRECT($D$2&amp;"!h"&amp;T79),INDIRECT("'"&amp;$D$2&amp;"'"&amp;"!h"&amp;T79))</f>
        <v>1</v>
      </c>
      <c r="H79" s="125" t="str" cm="1">
        <f t="array" aca="1" ref="H79" ca="1">IFERROR(INDIRECT($D$2&amp;"!i"&amp;T79),INDIRECT("'"&amp;$D$2&amp;"'"&amp;"!i"&amp;T79))</f>
        <v/>
      </c>
      <c r="I79" s="113" cm="1">
        <f t="array" aca="1" ref="I79" ca="1">IFERROR(IF($C79="","",INDIRECT($D$2&amp;"!j"&amp;$T79)+INDIRECT($D$2&amp;"!n"&amp;$T79)),IF($C79="","",INDIRECT("'"&amp;$D$2&amp;"'"&amp;"!j"&amp;$T79)+INDIRECT("'"&amp;$D$2&amp;"'"&amp;"!n"&amp;$T79)))</f>
        <v>2600</v>
      </c>
      <c r="J79" s="113">
        <f t="shared" ca="1" si="3"/>
        <v>0</v>
      </c>
      <c r="K79" s="113" cm="1">
        <f t="array" aca="1" ref="K79" ca="1">IFERROR(IF($C79="","",INDIRECT($D$2&amp;"!l"&amp;$T79)+INDIRECT($D$2&amp;"!p"&amp;$T79)),IF($C79="","",INDIRECT("'"&amp;$D$2&amp;"'"&amp;"!l"&amp;$T79)+INDIRECT("'"&amp;$D$2&amp;"'"&amp;"!p"&amp;$T79)))</f>
        <v>2600</v>
      </c>
      <c r="M79" s="113" cm="1">
        <f t="array" aca="1" ref="M79" ca="1">IFERROR(IF($C79="","",INDIRECT($D$2&amp;"!r"&amp;T79)),IF($C79="","",INDIRECT("'"&amp;$D$2&amp;"'"&amp;"!r"&amp;T79)))</f>
        <v>0</v>
      </c>
      <c r="N79" s="113">
        <f t="shared" ca="1" si="4"/>
        <v>0</v>
      </c>
      <c r="O79" s="113" cm="1">
        <f t="array" aca="1" ref="O79" ca="1">IFERROR(IF($C79="","",INDIRECT($D$2&amp;"!t"&amp;T79)),IF($C79="","",INDIRECT("'"&amp;$D$2&amp;"'"&amp;"!t"&amp;T79)))</f>
        <v>0</v>
      </c>
      <c r="Q79" s="113" cm="1">
        <f t="array" aca="1" ref="Q79" ca="1">IFERROR(IF($C79="","",INDIRECT($D$2&amp;"!v"&amp;T79)),IF($C79="","",INDIRECT("'"&amp;$D$2&amp;"'"&amp;"!v"&amp;T79)))</f>
        <v>0</v>
      </c>
      <c r="R79" s="113">
        <f t="shared" ca="1" si="5"/>
        <v>0</v>
      </c>
      <c r="S79" s="113" cm="1">
        <f t="array" aca="1" ref="S79" ca="1">IFERROR(IF($C79="","",INDIRECT($D$2&amp;"!x"&amp;T79)),IF($C79="","",INDIRECT("'"&amp;$D$2&amp;"'"&amp;"!x"&amp;T79)))</f>
        <v>0</v>
      </c>
      <c r="T79" s="35">
        <v>67</v>
      </c>
      <c r="U79" s="113"/>
      <c r="V79" s="35">
        <v>67</v>
      </c>
    </row>
    <row r="80" spans="3:22" x14ac:dyDescent="0.25">
      <c r="C80" t="str" cm="1">
        <f t="array" aca="1" ref="C80" ca="1">IFERROR(IF(INDIRECT($D$2&amp;"!B"&amp;T80)="","",INDIRECT("'"&amp;$D$2&amp;"'"&amp;"!B"&amp;T80)),IF(INDIRECT("'"&amp;$D$2&amp;"'"&amp;"!B"&amp;T80)="","",INDIRECT("'"&amp;$D$2&amp;"'"&amp;"!B"&amp;T80)))</f>
        <v>Synergy ECM User/Operator Education Pack (eLearning)</v>
      </c>
      <c r="D80" t="str" cm="1">
        <f t="array" aca="1" ref="D80" ca="1">IFERROR(_xlfn.IFS(C80="","",C80&lt;&gt;"",INDEX(SF_Output!I:I,MATCH(C80,SF_Output!M:M,0))),IFERROR(INDEX(INDIRECT($D$2&amp;"!G:G"),MATCH(C80,INDIRECT($D$2&amp;"!B:B"),0)),INDEX(INDIRECT("'"&amp;$D$2&amp;"'!G:G"),MATCH(C80,INDIRECT("'"&amp;$D$2&amp;"'!B:B"),0))))</f>
        <v>Imaging</v>
      </c>
      <c r="E80" t="str" cm="1">
        <f t="array" aca="1" ref="E80" ca="1">IFERROR(IF(C80="","",INDIRECT($D$2&amp;"!F"&amp;T80)),IF(C80="","",INDIRECT("'"&amp;$D$2&amp;"'"&amp;"!F"&amp;T80)))</f>
        <v>Included</v>
      </c>
      <c r="F80" t="str" cm="1">
        <f t="array" aca="1" ref="F80" ca="1">IFERROR(IF(C80="","",INDIRECT($D$2&amp;"!ak"&amp;T80)),IF(C80="","",INDIRECT("'"&amp;$D$2&amp;"'"&amp;"!ak"&amp;T80)))</f>
        <v/>
      </c>
      <c r="G80" cm="1">
        <f t="array" aca="1" ref="G80" ca="1">IFERROR(INDIRECT($D$2&amp;"!h"&amp;T80),INDIRECT("'"&amp;$D$2&amp;"'"&amp;"!h"&amp;T80))</f>
        <v>1</v>
      </c>
      <c r="H80" s="125" t="str" cm="1">
        <f t="array" aca="1" ref="H80" ca="1">IFERROR(INDIRECT($D$2&amp;"!i"&amp;T80),INDIRECT("'"&amp;$D$2&amp;"'"&amp;"!i"&amp;T80))</f>
        <v/>
      </c>
      <c r="I80" s="113" cm="1">
        <f t="array" aca="1" ref="I80" ca="1">IFERROR(IF($C80="","",INDIRECT($D$2&amp;"!j"&amp;$T80)+INDIRECT($D$2&amp;"!n"&amp;$T80)),IF($C80="","",INDIRECT("'"&amp;$D$2&amp;"'"&amp;"!j"&amp;$T80)+INDIRECT("'"&amp;$D$2&amp;"'"&amp;"!n"&amp;$T80)))</f>
        <v>3250</v>
      </c>
      <c r="J80" s="113">
        <f t="shared" ca="1" si="3"/>
        <v>0</v>
      </c>
      <c r="K80" s="113" cm="1">
        <f t="array" aca="1" ref="K80" ca="1">IFERROR(IF($C80="","",INDIRECT($D$2&amp;"!l"&amp;$T80)+INDIRECT($D$2&amp;"!p"&amp;$T80)),IF($C80="","",INDIRECT("'"&amp;$D$2&amp;"'"&amp;"!l"&amp;$T80)+INDIRECT("'"&amp;$D$2&amp;"'"&amp;"!p"&amp;$T80)))</f>
        <v>3250</v>
      </c>
      <c r="M80" s="113" cm="1">
        <f t="array" aca="1" ref="M80" ca="1">IFERROR(IF($C80="","",INDIRECT($D$2&amp;"!r"&amp;T80)),IF($C80="","",INDIRECT("'"&amp;$D$2&amp;"'"&amp;"!r"&amp;T80)))</f>
        <v>0</v>
      </c>
      <c r="N80" s="113">
        <f t="shared" ca="1" si="4"/>
        <v>0</v>
      </c>
      <c r="O80" s="113" cm="1">
        <f t="array" aca="1" ref="O80" ca="1">IFERROR(IF($C80="","",INDIRECT($D$2&amp;"!t"&amp;T80)),IF($C80="","",INDIRECT("'"&amp;$D$2&amp;"'"&amp;"!t"&amp;T80)))</f>
        <v>0</v>
      </c>
      <c r="Q80" s="113" cm="1">
        <f t="array" aca="1" ref="Q80" ca="1">IFERROR(IF($C80="","",INDIRECT($D$2&amp;"!v"&amp;T80)),IF($C80="","",INDIRECT("'"&amp;$D$2&amp;"'"&amp;"!v"&amp;T80)))</f>
        <v>0</v>
      </c>
      <c r="R80" s="113">
        <f t="shared" ca="1" si="5"/>
        <v>0</v>
      </c>
      <c r="S80" s="113" cm="1">
        <f t="array" aca="1" ref="S80" ca="1">IFERROR(IF($C80="","",INDIRECT($D$2&amp;"!x"&amp;T80)),IF($C80="","",INDIRECT("'"&amp;$D$2&amp;"'"&amp;"!x"&amp;T80)))</f>
        <v>0</v>
      </c>
      <c r="T80" s="35">
        <v>68</v>
      </c>
      <c r="U80" s="113"/>
      <c r="V80" s="35">
        <v>68</v>
      </c>
    </row>
    <row r="81" spans="3:22" x14ac:dyDescent="0.25">
      <c r="C81" t="str" cm="1">
        <f t="array" aca="1" ref="C81" ca="1">IFERROR(IF(INDIRECT($D$2&amp;"!B"&amp;T81)="","",INDIRECT("'"&amp;$D$2&amp;"'"&amp;"!B"&amp;T81)),IF(INDIRECT("'"&amp;$D$2&amp;"'"&amp;"!B"&amp;T81)="","",INDIRECT("'"&amp;$D$2&amp;"'"&amp;"!B"&amp;T81)))</f>
        <v>Synergy Productivity Education Pack (Virtual, instructor-led training and eLearning)</v>
      </c>
      <c r="D81" t="str" cm="1">
        <f t="array" aca="1" ref="D81" ca="1">IFERROR(_xlfn.IFS(C81="","",C81&lt;&gt;"",INDEX(SF_Output!I:I,MATCH(C81,SF_Output!M:M,0))),IFERROR(INDEX(INDIRECT($D$2&amp;"!G:G"),MATCH(C81,INDIRECT($D$2&amp;"!B:B"),0)),INDEX(INDIRECT("'"&amp;$D$2&amp;"'!G:G"),MATCH(C81,INDIRECT("'"&amp;$D$2&amp;"'!B:B"),0))))</f>
        <v>Imaging</v>
      </c>
      <c r="E81" t="str" cm="1">
        <f t="array" aca="1" ref="E81" ca="1">IFERROR(IF(C81="","",INDIRECT($D$2&amp;"!F"&amp;T81)),IF(C81="","",INDIRECT("'"&amp;$D$2&amp;"'"&amp;"!F"&amp;T81)))</f>
        <v>Included</v>
      </c>
      <c r="F81" t="str" cm="1">
        <f t="array" aca="1" ref="F81" ca="1">IFERROR(IF(C81="","",INDIRECT($D$2&amp;"!ak"&amp;T81)),IF(C81="","",INDIRECT("'"&amp;$D$2&amp;"'"&amp;"!ak"&amp;T81)))</f>
        <v/>
      </c>
      <c r="G81" cm="1">
        <f t="array" aca="1" ref="G81" ca="1">IFERROR(INDIRECT($D$2&amp;"!h"&amp;T81),INDIRECT("'"&amp;$D$2&amp;"'"&amp;"!h"&amp;T81))</f>
        <v>1</v>
      </c>
      <c r="H81" s="125" t="str" cm="1">
        <f t="array" aca="1" ref="H81" ca="1">IFERROR(INDIRECT($D$2&amp;"!i"&amp;T81),INDIRECT("'"&amp;$D$2&amp;"'"&amp;"!i"&amp;T81))</f>
        <v/>
      </c>
      <c r="I81" s="113" cm="1">
        <f t="array" aca="1" ref="I81" ca="1">IFERROR(IF($C81="","",INDIRECT($D$2&amp;"!j"&amp;$T81)+INDIRECT($D$2&amp;"!n"&amp;$T81)),IF($C81="","",INDIRECT("'"&amp;$D$2&amp;"'"&amp;"!j"&amp;$T81)+INDIRECT("'"&amp;$D$2&amp;"'"&amp;"!n"&amp;$T81)))</f>
        <v>1150</v>
      </c>
      <c r="J81" s="113">
        <f t="shared" ca="1" si="3"/>
        <v>0</v>
      </c>
      <c r="K81" s="113" cm="1">
        <f t="array" aca="1" ref="K81" ca="1">IFERROR(IF($C81="","",INDIRECT($D$2&amp;"!l"&amp;$T81)+INDIRECT($D$2&amp;"!p"&amp;$T81)),IF($C81="","",INDIRECT("'"&amp;$D$2&amp;"'"&amp;"!l"&amp;$T81)+INDIRECT("'"&amp;$D$2&amp;"'"&amp;"!p"&amp;$T81)))</f>
        <v>1150</v>
      </c>
      <c r="M81" s="113" cm="1">
        <f t="array" aca="1" ref="M81" ca="1">IFERROR(IF($C81="","",INDIRECT($D$2&amp;"!r"&amp;T81)),IF($C81="","",INDIRECT("'"&amp;$D$2&amp;"'"&amp;"!r"&amp;T81)))</f>
        <v>0</v>
      </c>
      <c r="N81" s="113">
        <f t="shared" ca="1" si="4"/>
        <v>0</v>
      </c>
      <c r="O81" s="113" cm="1">
        <f t="array" aca="1" ref="O81" ca="1">IFERROR(IF($C81="","",INDIRECT($D$2&amp;"!t"&amp;T81)),IF($C81="","",INDIRECT("'"&amp;$D$2&amp;"'"&amp;"!t"&amp;T81)))</f>
        <v>0</v>
      </c>
      <c r="Q81" s="113" cm="1">
        <f t="array" aca="1" ref="Q81" ca="1">IFERROR(IF($C81="","",INDIRECT($D$2&amp;"!v"&amp;T81)),IF($C81="","",INDIRECT("'"&amp;$D$2&amp;"'"&amp;"!v"&amp;T81)))</f>
        <v>0</v>
      </c>
      <c r="R81" s="113">
        <f t="shared" ca="1" si="5"/>
        <v>0</v>
      </c>
      <c r="S81" s="113" cm="1">
        <f t="array" aca="1" ref="S81" ca="1">IFERROR(IF($C81="","",INDIRECT($D$2&amp;"!x"&amp;T81)),IF($C81="","",INDIRECT("'"&amp;$D$2&amp;"'"&amp;"!x"&amp;T81)))</f>
        <v>0</v>
      </c>
      <c r="T81" s="35">
        <v>69</v>
      </c>
      <c r="U81" s="113"/>
      <c r="V81" s="35">
        <v>69</v>
      </c>
    </row>
    <row r="82" spans="3:22" x14ac:dyDescent="0.25">
      <c r="C82" t="str" cm="1">
        <f t="array" aca="1" ref="C82" ca="1">IFERROR(IF(INDIRECT($D$2&amp;"!B"&amp;T82)="","",INDIRECT("'"&amp;$D$2&amp;"'"&amp;"!B"&amp;T82)),IF(INDIRECT("'"&amp;$D$2&amp;"'"&amp;"!B"&amp;T82)="","",INDIRECT("'"&amp;$D$2&amp;"'"&amp;"!B"&amp;T82)))</f>
        <v>Synergy Document Recognition Education (eLearning)</v>
      </c>
      <c r="D82" t="str" cm="1">
        <f t="array" aca="1" ref="D82" ca="1">IFERROR(_xlfn.IFS(C82="","",C82&lt;&gt;"",INDEX(SF_Output!I:I,MATCH(C82,SF_Output!M:M,0))),IFERROR(INDEX(INDIRECT($D$2&amp;"!G:G"),MATCH(C82,INDIRECT($D$2&amp;"!B:B"),0)),INDEX(INDIRECT("'"&amp;$D$2&amp;"'!G:G"),MATCH(C82,INDIRECT("'"&amp;$D$2&amp;"'!B:B"),0))))</f>
        <v>Imaging</v>
      </c>
      <c r="E82" t="str" cm="1">
        <f t="array" aca="1" ref="E82" ca="1">IFERROR(IF(C82="","",INDIRECT($D$2&amp;"!F"&amp;T82)),IF(C82="","",INDIRECT("'"&amp;$D$2&amp;"'"&amp;"!F"&amp;T82)))</f>
        <v>Optional</v>
      </c>
      <c r="F82" t="str" cm="1">
        <f t="array" aca="1" ref="F82" ca="1">IFERROR(IF(C82="","",INDIRECT($D$2&amp;"!ak"&amp;T82)),IF(C82="","",INDIRECT("'"&amp;$D$2&amp;"'"&amp;"!ak"&amp;T82)))</f>
        <v/>
      </c>
      <c r="G82" cm="1">
        <f t="array" aca="1" ref="G82" ca="1">IFERROR(INDIRECT($D$2&amp;"!h"&amp;T82),INDIRECT("'"&amp;$D$2&amp;"'"&amp;"!h"&amp;T82))</f>
        <v>1</v>
      </c>
      <c r="H82" s="125" t="str" cm="1">
        <f t="array" aca="1" ref="H82" ca="1">IFERROR(INDIRECT($D$2&amp;"!i"&amp;T82),INDIRECT("'"&amp;$D$2&amp;"'"&amp;"!i"&amp;T82))</f>
        <v/>
      </c>
      <c r="I82" s="113" cm="1">
        <f t="array" aca="1" ref="I82" ca="1">IFERROR(IF($C82="","",INDIRECT($D$2&amp;"!j"&amp;$T82)+INDIRECT($D$2&amp;"!n"&amp;$T82)),IF($C82="","",INDIRECT("'"&amp;$D$2&amp;"'"&amp;"!j"&amp;$T82)+INDIRECT("'"&amp;$D$2&amp;"'"&amp;"!n"&amp;$T82)))</f>
        <v>450</v>
      </c>
      <c r="J82" s="113">
        <f t="shared" ca="1" si="3"/>
        <v>0</v>
      </c>
      <c r="K82" s="113" cm="1">
        <f t="array" aca="1" ref="K82" ca="1">IFERROR(IF($C82="","",INDIRECT($D$2&amp;"!l"&amp;$T82)+INDIRECT($D$2&amp;"!p"&amp;$T82)),IF($C82="","",INDIRECT("'"&amp;$D$2&amp;"'"&amp;"!l"&amp;$T82)+INDIRECT("'"&amp;$D$2&amp;"'"&amp;"!p"&amp;$T82)))</f>
        <v>450</v>
      </c>
      <c r="M82" s="113" cm="1">
        <f t="array" aca="1" ref="M82" ca="1">IFERROR(IF($C82="","",INDIRECT($D$2&amp;"!r"&amp;T82)),IF($C82="","",INDIRECT("'"&amp;$D$2&amp;"'"&amp;"!r"&amp;T82)))</f>
        <v>0</v>
      </c>
      <c r="N82" s="113">
        <f t="shared" ca="1" si="4"/>
        <v>0</v>
      </c>
      <c r="O82" s="113" cm="1">
        <f t="array" aca="1" ref="O82" ca="1">IFERROR(IF($C82="","",INDIRECT($D$2&amp;"!t"&amp;T82)),IF($C82="","",INDIRECT("'"&amp;$D$2&amp;"'"&amp;"!t"&amp;T82)))</f>
        <v>0</v>
      </c>
      <c r="Q82" s="113" cm="1">
        <f t="array" aca="1" ref="Q82" ca="1">IFERROR(IF($C82="","",INDIRECT($D$2&amp;"!v"&amp;T82)),IF($C82="","",INDIRECT("'"&amp;$D$2&amp;"'"&amp;"!v"&amp;T82)))</f>
        <v>0</v>
      </c>
      <c r="R82" s="113">
        <f t="shared" ca="1" si="5"/>
        <v>0</v>
      </c>
      <c r="S82" s="113" cm="1">
        <f t="array" aca="1" ref="S82" ca="1">IFERROR(IF($C82="","",INDIRECT($D$2&amp;"!x"&amp;T82)),IF($C82="","",INDIRECT("'"&amp;$D$2&amp;"'"&amp;"!x"&amp;T82)))</f>
        <v>0</v>
      </c>
      <c r="T82" s="35">
        <v>70</v>
      </c>
      <c r="U82" s="113"/>
      <c r="V82" s="35">
        <v>70</v>
      </c>
    </row>
    <row r="83" spans="3:22" x14ac:dyDescent="0.25">
      <c r="C83" t="str" cm="1">
        <f t="array" aca="1" ref="C83" ca="1">IFERROR(IF(INDIRECT($D$2&amp;"!B"&amp;T83)="","",INDIRECT("'"&amp;$D$2&amp;"'"&amp;"!B"&amp;T83)),IF(INDIRECT("'"&amp;$D$2&amp;"'"&amp;"!B"&amp;T83)="","",INDIRECT("'"&amp;$D$2&amp;"'"&amp;"!B"&amp;T83)))</f>
        <v>Synergy eSign &amp; eSignWeb Education Pack (Virtual, instructor-led training and eLearning)</v>
      </c>
      <c r="D83" t="str" cm="1">
        <f t="array" aca="1" ref="D83" ca="1">IFERROR(_xlfn.IFS(C83="","",C83&lt;&gt;"",INDEX(SF_Output!I:I,MATCH(C83,SF_Output!M:M,0))),IFERROR(INDEX(INDIRECT($D$2&amp;"!G:G"),MATCH(C83,INDIRECT($D$2&amp;"!B:B"),0)),INDEX(INDIRECT("'"&amp;$D$2&amp;"'!G:G"),MATCH(C83,INDIRECT("'"&amp;$D$2&amp;"'!B:B"),0))))</f>
        <v>Imaging</v>
      </c>
      <c r="E83" t="str" cm="1">
        <f t="array" aca="1" ref="E83" ca="1">IFERROR(IF(C83="","",INDIRECT($D$2&amp;"!F"&amp;T83)),IF(C83="","",INDIRECT("'"&amp;$D$2&amp;"'"&amp;"!F"&amp;T83)))</f>
        <v>Included</v>
      </c>
      <c r="F83" t="str" cm="1">
        <f t="array" aca="1" ref="F83" ca="1">IFERROR(IF(C83="","",INDIRECT($D$2&amp;"!ak"&amp;T83)),IF(C83="","",INDIRECT("'"&amp;$D$2&amp;"'"&amp;"!ak"&amp;T83)))</f>
        <v/>
      </c>
      <c r="G83" cm="1">
        <f t="array" aca="1" ref="G83" ca="1">IFERROR(INDIRECT($D$2&amp;"!h"&amp;T83),INDIRECT("'"&amp;$D$2&amp;"'"&amp;"!h"&amp;T83))</f>
        <v>1</v>
      </c>
      <c r="H83" s="125" t="str" cm="1">
        <f t="array" aca="1" ref="H83" ca="1">IFERROR(INDIRECT($D$2&amp;"!i"&amp;T83),INDIRECT("'"&amp;$D$2&amp;"'"&amp;"!i"&amp;T83))</f>
        <v/>
      </c>
      <c r="I83" s="113" cm="1">
        <f t="array" aca="1" ref="I83" ca="1">IFERROR(IF($C83="","",INDIRECT($D$2&amp;"!j"&amp;$T83)+INDIRECT($D$2&amp;"!n"&amp;$T83)),IF($C83="","",INDIRECT("'"&amp;$D$2&amp;"'"&amp;"!j"&amp;$T83)+INDIRECT("'"&amp;$D$2&amp;"'"&amp;"!n"&amp;$T83)))</f>
        <v>1900</v>
      </c>
      <c r="J83" s="113">
        <f t="shared" ca="1" si="3"/>
        <v>0</v>
      </c>
      <c r="K83" s="113" cm="1">
        <f t="array" aca="1" ref="K83" ca="1">IFERROR(IF($C83="","",INDIRECT($D$2&amp;"!l"&amp;$T83)+INDIRECT($D$2&amp;"!p"&amp;$T83)),IF($C83="","",INDIRECT("'"&amp;$D$2&amp;"'"&amp;"!l"&amp;$T83)+INDIRECT("'"&amp;$D$2&amp;"'"&amp;"!p"&amp;$T83)))</f>
        <v>1900</v>
      </c>
      <c r="M83" s="113" cm="1">
        <f t="array" aca="1" ref="M83" ca="1">IFERROR(IF($C83="","",INDIRECT($D$2&amp;"!r"&amp;T83)),IF($C83="","",INDIRECT("'"&amp;$D$2&amp;"'"&amp;"!r"&amp;T83)))</f>
        <v>0</v>
      </c>
      <c r="N83" s="113">
        <f t="shared" ca="1" si="4"/>
        <v>0</v>
      </c>
      <c r="O83" s="113" cm="1">
        <f t="array" aca="1" ref="O83" ca="1">IFERROR(IF($C83="","",INDIRECT($D$2&amp;"!t"&amp;T83)),IF($C83="","",INDIRECT("'"&amp;$D$2&amp;"'"&amp;"!t"&amp;T83)))</f>
        <v>0</v>
      </c>
      <c r="Q83" s="113" cm="1">
        <f t="array" aca="1" ref="Q83" ca="1">IFERROR(IF($C83="","",INDIRECT($D$2&amp;"!v"&amp;T83)),IF($C83="","",INDIRECT("'"&amp;$D$2&amp;"'"&amp;"!v"&amp;T83)))</f>
        <v>0</v>
      </c>
      <c r="R83" s="113">
        <f t="shared" ca="1" si="5"/>
        <v>0</v>
      </c>
      <c r="S83" s="113" cm="1">
        <f t="array" aca="1" ref="S83" ca="1">IFERROR(IF($C83="","",INDIRECT($D$2&amp;"!x"&amp;T83)),IF($C83="","",INDIRECT("'"&amp;$D$2&amp;"'"&amp;"!x"&amp;T83)))</f>
        <v>0</v>
      </c>
      <c r="T83" s="35">
        <v>71</v>
      </c>
      <c r="U83" s="113"/>
      <c r="V83" s="35">
        <v>71</v>
      </c>
    </row>
    <row r="84" spans="3:22" x14ac:dyDescent="0.25">
      <c r="C84" t="str" cm="1">
        <f t="array" aca="1" ref="C84" ca="1">IFERROR(IF(INDIRECT($D$2&amp;"!B"&amp;T84)="","",INDIRECT("'"&amp;$D$2&amp;"'"&amp;"!B"&amp;T84)),IF(INDIRECT("'"&amp;$D$2&amp;"'"&amp;"!B"&amp;T84)="","",INDIRECT("'"&amp;$D$2&amp;"'"&amp;"!B"&amp;T84)))</f>
        <v>Synergy Implementation Consulting</v>
      </c>
      <c r="D84" t="str" cm="1">
        <f t="array" aca="1" ref="D84" ca="1">IFERROR(_xlfn.IFS(C84="","",C84&lt;&gt;"",INDEX(SF_Output!I:I,MATCH(C84,SF_Output!M:M,0))),IFERROR(INDEX(INDIRECT($D$2&amp;"!G:G"),MATCH(C84,INDIRECT($D$2&amp;"!B:B"),0)),INDEX(INDIRECT("'"&amp;$D$2&amp;"'!G:G"),MATCH(C84,INDIRECT("'"&amp;$D$2&amp;"'!B:B"),0))))</f>
        <v>Imaging</v>
      </c>
      <c r="E84" t="str" cm="1">
        <f t="array" aca="1" ref="E84" ca="1">IFERROR(IF(C84="","",INDIRECT($D$2&amp;"!F"&amp;T84)),IF(C84="","",INDIRECT("'"&amp;$D$2&amp;"'"&amp;"!F"&amp;T84)))</f>
        <v>Included</v>
      </c>
      <c r="F84" t="str" cm="1">
        <f t="array" aca="1" ref="F84" ca="1">IFERROR(IF(C84="","",INDIRECT($D$2&amp;"!ak"&amp;T84)),IF(C84="","",INDIRECT("'"&amp;$D$2&amp;"'"&amp;"!ak"&amp;T84)))</f>
        <v/>
      </c>
      <c r="G84" cm="1">
        <f t="array" aca="1" ref="G84" ca="1">IFERROR(INDIRECT($D$2&amp;"!h"&amp;T84),INDIRECT("'"&amp;$D$2&amp;"'"&amp;"!h"&amp;T84))</f>
        <v>1</v>
      </c>
      <c r="H84" s="125" t="str" cm="1">
        <f t="array" aca="1" ref="H84" ca="1">IFERROR(INDIRECT($D$2&amp;"!i"&amp;T84),INDIRECT("'"&amp;$D$2&amp;"'"&amp;"!i"&amp;T84))</f>
        <v/>
      </c>
      <c r="I84" s="113" cm="1">
        <f t="array" aca="1" ref="I84" ca="1">IFERROR(IF($C84="","",INDIRECT($D$2&amp;"!j"&amp;$T84)+INDIRECT($D$2&amp;"!n"&amp;$T84)),IF($C84="","",INDIRECT("'"&amp;$D$2&amp;"'"&amp;"!j"&amp;$T84)+INDIRECT("'"&amp;$D$2&amp;"'"&amp;"!n"&amp;$T84)))</f>
        <v>5200</v>
      </c>
      <c r="J84" s="113">
        <f t="shared" ca="1" si="3"/>
        <v>0</v>
      </c>
      <c r="K84" s="113" cm="1">
        <f t="array" aca="1" ref="K84" ca="1">IFERROR(IF($C84="","",INDIRECT($D$2&amp;"!l"&amp;$T84)+INDIRECT($D$2&amp;"!p"&amp;$T84)),IF($C84="","",INDIRECT("'"&amp;$D$2&amp;"'"&amp;"!l"&amp;$T84)+INDIRECT("'"&amp;$D$2&amp;"'"&amp;"!p"&amp;$T84)))</f>
        <v>5200</v>
      </c>
      <c r="M84" s="113" cm="1">
        <f t="array" aca="1" ref="M84" ca="1">IFERROR(IF($C84="","",INDIRECT($D$2&amp;"!r"&amp;T84)),IF($C84="","",INDIRECT("'"&amp;$D$2&amp;"'"&amp;"!r"&amp;T84)))</f>
        <v>0</v>
      </c>
      <c r="N84" s="113">
        <f t="shared" ca="1" si="4"/>
        <v>0</v>
      </c>
      <c r="O84" s="113" cm="1">
        <f t="array" aca="1" ref="O84" ca="1">IFERROR(IF($C84="","",INDIRECT($D$2&amp;"!t"&amp;T84)),IF($C84="","",INDIRECT("'"&amp;$D$2&amp;"'"&amp;"!t"&amp;T84)))</f>
        <v>0</v>
      </c>
      <c r="Q84" s="113" cm="1">
        <f t="array" aca="1" ref="Q84" ca="1">IFERROR(IF($C84="","",INDIRECT($D$2&amp;"!v"&amp;T84)),IF($C84="","",INDIRECT("'"&amp;$D$2&amp;"'"&amp;"!v"&amp;T84)))</f>
        <v>0</v>
      </c>
      <c r="R84" s="113">
        <f t="shared" ca="1" si="5"/>
        <v>0</v>
      </c>
      <c r="S84" s="113" cm="1">
        <f t="array" aca="1" ref="S84" ca="1">IFERROR(IF($C84="","",INDIRECT($D$2&amp;"!x"&amp;T84)),IF($C84="","",INDIRECT("'"&amp;$D$2&amp;"'"&amp;"!x"&amp;T84)))</f>
        <v>0</v>
      </c>
      <c r="T84" s="35">
        <v>72</v>
      </c>
      <c r="U84" s="113"/>
      <c r="V84" s="35">
        <v>72</v>
      </c>
    </row>
    <row r="85" spans="3:22" x14ac:dyDescent="0.25">
      <c r="C85" t="str" cm="1">
        <f t="array" aca="1" ref="C85" ca="1">IFERROR(IF(INDIRECT($D$2&amp;"!B"&amp;T85)="","",INDIRECT("'"&amp;$D$2&amp;"'"&amp;"!B"&amp;T85)),IF(INDIRECT("'"&amp;$D$2&amp;"'"&amp;"!B"&amp;T85)="","",INDIRECT("'"&amp;$D$2&amp;"'"&amp;"!B"&amp;T85)))</f>
        <v>iPay Business BillPay Banno</v>
      </c>
      <c r="D85" t="str" cm="1">
        <f t="array" aca="1" ref="D85" ca="1">IFERROR(_xlfn.IFS(C85="","",C85&lt;&gt;"",INDEX(SF_Output!I:I,MATCH(C85,SF_Output!M:M,0))),IFERROR(INDEX(INDIRECT($D$2&amp;"!G:G"),MATCH(C85,INDIRECT($D$2&amp;"!B:B"),0)),INDEX(INDIRECT("'"&amp;$D$2&amp;"'!G:G"),MATCH(C85,INDIRECT("'"&amp;$D$2&amp;"'!B:B"),0))))</f>
        <v>Payments</v>
      </c>
      <c r="E85" t="str" cm="1">
        <f t="array" aca="1" ref="E85" ca="1">IFERROR(IF(C85="","",INDIRECT($D$2&amp;"!F"&amp;T85)),IF(C85="","",INDIRECT("'"&amp;$D$2&amp;"'"&amp;"!F"&amp;T85)))</f>
        <v>Included</v>
      </c>
      <c r="F85" t="str" cm="1">
        <f t="array" aca="1" ref="F85" ca="1">IFERROR(IF(C85="","",INDIRECT($D$2&amp;"!ak"&amp;T85)),IF(C85="","",INDIRECT("'"&amp;$D$2&amp;"'"&amp;"!ak"&amp;T85)))</f>
        <v/>
      </c>
      <c r="G85" cm="1">
        <f t="array" aca="1" ref="G85" ca="1">IFERROR(INDIRECT($D$2&amp;"!h"&amp;T85),INDIRECT("'"&amp;$D$2&amp;"'"&amp;"!h"&amp;T85))</f>
        <v>1</v>
      </c>
      <c r="H85" s="125" t="str" cm="1">
        <f t="array" aca="1" ref="H85" ca="1">IFERROR(INDIRECT($D$2&amp;"!i"&amp;T85),INDIRECT("'"&amp;$D$2&amp;"'"&amp;"!i"&amp;T85))</f>
        <v/>
      </c>
      <c r="I85" s="113" cm="1">
        <f t="array" aca="1" ref="I85" ca="1">IFERROR(IF($C85="","",INDIRECT($D$2&amp;"!j"&amp;$T85)+INDIRECT($D$2&amp;"!n"&amp;$T85)),IF($C85="","",INDIRECT("'"&amp;$D$2&amp;"'"&amp;"!j"&amp;$T85)+INDIRECT("'"&amp;$D$2&amp;"'"&amp;"!n"&amp;$T85)))</f>
        <v>2500</v>
      </c>
      <c r="J85" s="113">
        <f t="shared" ca="1" si="3"/>
        <v>-2500</v>
      </c>
      <c r="K85" s="113" cm="1">
        <f t="array" aca="1" ref="K85" ca="1">IFERROR(IF($C85="","",INDIRECT($D$2&amp;"!l"&amp;$T85)+INDIRECT($D$2&amp;"!p"&amp;$T85)),IF($C85="","",INDIRECT("'"&amp;$D$2&amp;"'"&amp;"!l"&amp;$T85)+INDIRECT("'"&amp;$D$2&amp;"'"&amp;"!p"&amp;$T85)))</f>
        <v>0</v>
      </c>
      <c r="M85" s="113" cm="1">
        <f t="array" aca="1" ref="M85" ca="1">IFERROR(IF($C85="","",INDIRECT($D$2&amp;"!r"&amp;T85)),IF($C85="","",INDIRECT("'"&amp;$D$2&amp;"'"&amp;"!r"&amp;T85)))</f>
        <v>0</v>
      </c>
      <c r="N85" s="113">
        <f t="shared" ca="1" si="4"/>
        <v>0</v>
      </c>
      <c r="O85" s="113" cm="1">
        <f t="array" aca="1" ref="O85" ca="1">IFERROR(IF($C85="","",INDIRECT($D$2&amp;"!t"&amp;T85)),IF($C85="","",INDIRECT("'"&amp;$D$2&amp;"'"&amp;"!t"&amp;T85)))</f>
        <v>0</v>
      </c>
      <c r="Q85" s="113" cm="1">
        <f t="array" aca="1" ref="Q85" ca="1">IFERROR(IF($C85="","",INDIRECT($D$2&amp;"!v"&amp;T85)),IF($C85="","",INDIRECT("'"&amp;$D$2&amp;"'"&amp;"!v"&amp;T85)))</f>
        <v>400</v>
      </c>
      <c r="R85" s="113">
        <f t="shared" ca="1" si="5"/>
        <v>0</v>
      </c>
      <c r="S85" s="113" cm="1">
        <f t="array" aca="1" ref="S85" ca="1">IFERROR(IF($C85="","",INDIRECT($D$2&amp;"!x"&amp;T85)),IF($C85="","",INDIRECT("'"&amp;$D$2&amp;"'"&amp;"!x"&amp;T85)))</f>
        <v>400</v>
      </c>
      <c r="T85" s="35">
        <v>73</v>
      </c>
      <c r="U85" s="113"/>
      <c r="V85" s="35">
        <v>73</v>
      </c>
    </row>
    <row r="86" spans="3:22" x14ac:dyDescent="0.25">
      <c r="C86" t="str" cm="1">
        <f t="array" aca="1" ref="C86" ca="1">IFERROR(IF(INDIRECT($D$2&amp;"!B"&amp;T86)="","",INDIRECT("'"&amp;$D$2&amp;"'"&amp;"!B"&amp;T86)),IF(INDIRECT("'"&amp;$D$2&amp;"'"&amp;"!B"&amp;T86)="","",INDIRECT("'"&amp;$D$2&amp;"'"&amp;"!B"&amp;T86)))</f>
        <v>iPay Electronic Bill Payment Annual Compliance Package Banno</v>
      </c>
      <c r="D86" t="str" cm="1">
        <f t="array" aca="1" ref="D86" ca="1">IFERROR(_xlfn.IFS(C86="","",C86&lt;&gt;"",INDEX(SF_Output!I:I,MATCH(C86,SF_Output!M:M,0))),IFERROR(INDEX(INDIRECT($D$2&amp;"!G:G"),MATCH(C86,INDIRECT($D$2&amp;"!B:B"),0)),INDEX(INDIRECT("'"&amp;$D$2&amp;"'!G:G"),MATCH(C86,INDIRECT("'"&amp;$D$2&amp;"'!B:B"),0))))</f>
        <v>Payments</v>
      </c>
      <c r="E86" t="str" cm="1">
        <f t="array" aca="1" ref="E86" ca="1">IFERROR(IF(C86="","",INDIRECT($D$2&amp;"!F"&amp;T86)),IF(C86="","",INDIRECT("'"&amp;$D$2&amp;"'"&amp;"!F"&amp;T86)))</f>
        <v>Included</v>
      </c>
      <c r="F86" t="str" cm="1">
        <f t="array" aca="1" ref="F86" ca="1">IFERROR(IF(C86="","",INDIRECT($D$2&amp;"!ak"&amp;T86)),IF(C86="","",INDIRECT("'"&amp;$D$2&amp;"'"&amp;"!ak"&amp;T86)))</f>
        <v/>
      </c>
      <c r="G86" cm="1">
        <f t="array" aca="1" ref="G86" ca="1">IFERROR(INDIRECT($D$2&amp;"!h"&amp;T86),INDIRECT("'"&amp;$D$2&amp;"'"&amp;"!h"&amp;T86))</f>
        <v>1</v>
      </c>
      <c r="H86" s="125" t="str" cm="1">
        <f t="array" aca="1" ref="H86" ca="1">IFERROR(INDIRECT($D$2&amp;"!i"&amp;T86),INDIRECT("'"&amp;$D$2&amp;"'"&amp;"!i"&amp;T86))</f>
        <v/>
      </c>
      <c r="I86" s="113" cm="1">
        <f t="array" aca="1" ref="I86" ca="1">IFERROR(IF($C86="","",INDIRECT($D$2&amp;"!j"&amp;$T86)+INDIRECT($D$2&amp;"!n"&amp;$T86)),IF($C86="","",INDIRECT("'"&amp;$D$2&amp;"'"&amp;"!j"&amp;$T86)+INDIRECT("'"&amp;$D$2&amp;"'"&amp;"!n"&amp;$T86)))</f>
        <v>0</v>
      </c>
      <c r="J86" s="113">
        <f t="shared" ca="1" si="3"/>
        <v>0</v>
      </c>
      <c r="K86" s="113" cm="1">
        <f t="array" aca="1" ref="K86" ca="1">IFERROR(IF($C86="","",INDIRECT($D$2&amp;"!l"&amp;$T86)+INDIRECT($D$2&amp;"!p"&amp;$T86)),IF($C86="","",INDIRECT("'"&amp;$D$2&amp;"'"&amp;"!l"&amp;$T86)+INDIRECT("'"&amp;$D$2&amp;"'"&amp;"!p"&amp;$T86)))</f>
        <v>0</v>
      </c>
      <c r="M86" s="113" cm="1">
        <f t="array" aca="1" ref="M86" ca="1">IFERROR(IF($C86="","",INDIRECT($D$2&amp;"!r"&amp;T86)),IF($C86="","",INDIRECT("'"&amp;$D$2&amp;"'"&amp;"!r"&amp;T86)))</f>
        <v>630</v>
      </c>
      <c r="N86" s="113">
        <f t="shared" ca="1" si="4"/>
        <v>0</v>
      </c>
      <c r="O86" s="113" cm="1">
        <f t="array" aca="1" ref="O86" ca="1">IFERROR(IF($C86="","",INDIRECT($D$2&amp;"!t"&amp;T86)),IF($C86="","",INDIRECT("'"&amp;$D$2&amp;"'"&amp;"!t"&amp;T86)))</f>
        <v>630</v>
      </c>
      <c r="Q86" s="113" cm="1">
        <f t="array" aca="1" ref="Q86" ca="1">IFERROR(IF($C86="","",INDIRECT($D$2&amp;"!v"&amp;T86)),IF($C86="","",INDIRECT("'"&amp;$D$2&amp;"'"&amp;"!v"&amp;T86)))</f>
        <v>0</v>
      </c>
      <c r="R86" s="113">
        <f t="shared" ca="1" si="5"/>
        <v>0</v>
      </c>
      <c r="S86" s="113" cm="1">
        <f t="array" aca="1" ref="S86" ca="1">IFERROR(IF($C86="","",INDIRECT($D$2&amp;"!x"&amp;T86)),IF($C86="","",INDIRECT("'"&amp;$D$2&amp;"'"&amp;"!x"&amp;T86)))</f>
        <v>0</v>
      </c>
      <c r="T86" s="35">
        <v>74</v>
      </c>
      <c r="U86" s="113"/>
      <c r="V86" s="35">
        <v>74</v>
      </c>
    </row>
    <row r="87" spans="3:22" x14ac:dyDescent="0.25">
      <c r="C87" t="str" cm="1">
        <f t="array" aca="1" ref="C87" ca="1">IFERROR(IF(INDIRECT($D$2&amp;"!B"&amp;T87)="","",INDIRECT("'"&amp;$D$2&amp;"'"&amp;"!B"&amp;T87)),IF(INDIRECT("'"&amp;$D$2&amp;"'"&amp;"!B"&amp;T87)="","",INDIRECT("'"&amp;$D$2&amp;"'"&amp;"!B"&amp;T87)))</f>
        <v>iPay eBill Detail</v>
      </c>
      <c r="D87" t="str" cm="1">
        <f t="array" aca="1" ref="D87" ca="1">IFERROR(_xlfn.IFS(C87="","",C87&lt;&gt;"",INDEX(SF_Output!I:I,MATCH(C87,SF_Output!M:M,0))),IFERROR(INDEX(INDIRECT($D$2&amp;"!G:G"),MATCH(C87,INDIRECT($D$2&amp;"!B:B"),0)),INDEX(INDIRECT("'"&amp;$D$2&amp;"'!G:G"),MATCH(C87,INDIRECT("'"&amp;$D$2&amp;"'!B:B"),0))))</f>
        <v>Payments</v>
      </c>
      <c r="E87" t="str" cm="1">
        <f t="array" aca="1" ref="E87" ca="1">IFERROR(IF(C87="","",INDIRECT($D$2&amp;"!F"&amp;T87)),IF(C87="","",INDIRECT("'"&amp;$D$2&amp;"'"&amp;"!F"&amp;T87)))</f>
        <v>Included</v>
      </c>
      <c r="F87" t="str" cm="1">
        <f t="array" aca="1" ref="F87" ca="1">IFERROR(IF(C87="","",INDIRECT($D$2&amp;"!ak"&amp;T87)),IF(C87="","",INDIRECT("'"&amp;$D$2&amp;"'"&amp;"!ak"&amp;T87)))</f>
        <v/>
      </c>
      <c r="G87" cm="1">
        <f t="array" aca="1" ref="G87" ca="1">IFERROR(INDIRECT($D$2&amp;"!h"&amp;T87),INDIRECT("'"&amp;$D$2&amp;"'"&amp;"!h"&amp;T87))</f>
        <v>1</v>
      </c>
      <c r="H87" s="125" t="str" cm="1">
        <f t="array" aca="1" ref="H87" ca="1">IFERROR(INDIRECT($D$2&amp;"!i"&amp;T87),INDIRECT("'"&amp;$D$2&amp;"'"&amp;"!i"&amp;T87))</f>
        <v/>
      </c>
      <c r="I87" s="113" cm="1">
        <f t="array" aca="1" ref="I87" ca="1">IFERROR(IF($C87="","",INDIRECT($D$2&amp;"!j"&amp;$T87)+INDIRECT($D$2&amp;"!n"&amp;$T87)),IF($C87="","",INDIRECT("'"&amp;$D$2&amp;"'"&amp;"!j"&amp;$T87)+INDIRECT("'"&amp;$D$2&amp;"'"&amp;"!n"&amp;$T87)))</f>
        <v>0</v>
      </c>
      <c r="J87" s="113">
        <f t="shared" ca="1" si="3"/>
        <v>0</v>
      </c>
      <c r="K87" s="113" cm="1">
        <f t="array" aca="1" ref="K87" ca="1">IFERROR(IF($C87="","",INDIRECT($D$2&amp;"!l"&amp;$T87)+INDIRECT($D$2&amp;"!p"&amp;$T87)),IF($C87="","",INDIRECT("'"&amp;$D$2&amp;"'"&amp;"!l"&amp;$T87)+INDIRECT("'"&amp;$D$2&amp;"'"&amp;"!p"&amp;$T87)))</f>
        <v>0</v>
      </c>
      <c r="M87" s="113" cm="1">
        <f t="array" aca="1" ref="M87" ca="1">IFERROR(IF($C87="","",INDIRECT($D$2&amp;"!r"&amp;T87)),IF($C87="","",INDIRECT("'"&amp;$D$2&amp;"'"&amp;"!r"&amp;T87)))</f>
        <v>0</v>
      </c>
      <c r="N87" s="113">
        <f t="shared" ca="1" si="4"/>
        <v>0</v>
      </c>
      <c r="O87" s="113" cm="1">
        <f t="array" aca="1" ref="O87" ca="1">IFERROR(IF($C87="","",INDIRECT($D$2&amp;"!t"&amp;T87)),IF($C87="","",INDIRECT("'"&amp;$D$2&amp;"'"&amp;"!t"&amp;T87)))</f>
        <v>0</v>
      </c>
      <c r="Q87" s="113" cm="1">
        <f t="array" aca="1" ref="Q87" ca="1">IFERROR(IF($C87="","",INDIRECT($D$2&amp;"!v"&amp;T87)),IF($C87="","",INDIRECT("'"&amp;$D$2&amp;"'"&amp;"!v"&amp;T87)))</f>
        <v>0</v>
      </c>
      <c r="R87" s="113">
        <f t="shared" ca="1" si="5"/>
        <v>0</v>
      </c>
      <c r="S87" s="113" cm="1">
        <f t="array" aca="1" ref="S87" ca="1">IFERROR(IF($C87="","",INDIRECT($D$2&amp;"!x"&amp;T87)),IF($C87="","",INDIRECT("'"&amp;$D$2&amp;"'"&amp;"!x"&amp;T87)))</f>
        <v>0</v>
      </c>
      <c r="T87" s="35">
        <v>75</v>
      </c>
      <c r="U87" s="113"/>
      <c r="V87" s="35">
        <v>75</v>
      </c>
    </row>
    <row r="88" spans="3:22" x14ac:dyDescent="0.25">
      <c r="C88" t="str" cm="1">
        <f t="array" aca="1" ref="C88" ca="1">IFERROR(IF(INDIRECT($D$2&amp;"!B"&amp;T88)="","",INDIRECT("'"&amp;$D$2&amp;"'"&amp;"!B"&amp;T88)),IF(INDIRECT("'"&amp;$D$2&amp;"'"&amp;"!B"&amp;T88)="","",INDIRECT("'"&amp;$D$2&amp;"'"&amp;"!B"&amp;T88)))</f>
        <v>Payrailz/iPay Integration</v>
      </c>
      <c r="D88" t="str" cm="1">
        <f t="array" aca="1" ref="D88" ca="1">IFERROR(_xlfn.IFS(C88="","",C88&lt;&gt;"",INDEX(SF_Output!I:I,MATCH(C88,SF_Output!M:M,0))),IFERROR(INDEX(INDIRECT($D$2&amp;"!G:G"),MATCH(C88,INDIRECT($D$2&amp;"!B:B"),0)),INDEX(INDIRECT("'"&amp;$D$2&amp;"'!G:G"),MATCH(C88,INDIRECT("'"&amp;$D$2&amp;"'!B:B"),0))))</f>
        <v>Payments</v>
      </c>
      <c r="E88" t="str" cm="1">
        <f t="array" aca="1" ref="E88" ca="1">IFERROR(IF(C88="","",INDIRECT($D$2&amp;"!F"&amp;T88)),IF(C88="","",INDIRECT("'"&amp;$D$2&amp;"'"&amp;"!F"&amp;T88)))</f>
        <v>Included</v>
      </c>
      <c r="F88" t="str" cm="1">
        <f t="array" aca="1" ref="F88" ca="1">IFERROR(IF(C88="","",INDIRECT($D$2&amp;"!ak"&amp;T88)),IF(C88="","",INDIRECT("'"&amp;$D$2&amp;"'"&amp;"!ak"&amp;T88)))</f>
        <v/>
      </c>
      <c r="G88" cm="1">
        <f t="array" aca="1" ref="G88" ca="1">IFERROR(INDIRECT($D$2&amp;"!h"&amp;T88),INDIRECT("'"&amp;$D$2&amp;"'"&amp;"!h"&amp;T88))</f>
        <v>1</v>
      </c>
      <c r="H88" s="125" t="str" cm="1">
        <f t="array" aca="1" ref="H88" ca="1">IFERROR(INDIRECT($D$2&amp;"!i"&amp;T88),INDIRECT("'"&amp;$D$2&amp;"'"&amp;"!i"&amp;T88))</f>
        <v/>
      </c>
      <c r="I88" s="113" cm="1">
        <f t="array" aca="1" ref="I88" ca="1">IFERROR(IF($C88="","",INDIRECT($D$2&amp;"!j"&amp;$T88)+INDIRECT($D$2&amp;"!n"&amp;$T88)),IF($C88="","",INDIRECT("'"&amp;$D$2&amp;"'"&amp;"!j"&amp;$T88)+INDIRECT("'"&amp;$D$2&amp;"'"&amp;"!n"&amp;$T88)))</f>
        <v>10000</v>
      </c>
      <c r="J88" s="113">
        <f t="shared" ca="1" si="3"/>
        <v>-10000</v>
      </c>
      <c r="K88" s="113" cm="1">
        <f t="array" aca="1" ref="K88" ca="1">IFERROR(IF($C88="","",INDIRECT($D$2&amp;"!l"&amp;$T88)+INDIRECT($D$2&amp;"!p"&amp;$T88)),IF($C88="","",INDIRECT("'"&amp;$D$2&amp;"'"&amp;"!l"&amp;$T88)+INDIRECT("'"&amp;$D$2&amp;"'"&amp;"!p"&amp;$T88)))</f>
        <v>0</v>
      </c>
      <c r="M88" s="113" cm="1">
        <f t="array" aca="1" ref="M88" ca="1">IFERROR(IF($C88="","",INDIRECT($D$2&amp;"!r"&amp;T88)),IF($C88="","",INDIRECT("'"&amp;$D$2&amp;"'"&amp;"!r"&amp;T88)))</f>
        <v>0</v>
      </c>
      <c r="N88" s="113">
        <f t="shared" ca="1" si="4"/>
        <v>0</v>
      </c>
      <c r="O88" s="113" cm="1">
        <f t="array" aca="1" ref="O88" ca="1">IFERROR(IF($C88="","",INDIRECT($D$2&amp;"!t"&amp;T88)),IF($C88="","",INDIRECT("'"&amp;$D$2&amp;"'"&amp;"!t"&amp;T88)))</f>
        <v>0</v>
      </c>
      <c r="Q88" s="113" cm="1">
        <f t="array" aca="1" ref="Q88" ca="1">IFERROR(IF($C88="","",INDIRECT($D$2&amp;"!v"&amp;T88)),IF($C88="","",INDIRECT("'"&amp;$D$2&amp;"'"&amp;"!v"&amp;T88)))</f>
        <v>0</v>
      </c>
      <c r="R88" s="113">
        <f t="shared" ca="1" si="5"/>
        <v>0</v>
      </c>
      <c r="S88" s="113" cm="1">
        <f t="array" aca="1" ref="S88" ca="1">IFERROR(IF($C88="","",INDIRECT($D$2&amp;"!x"&amp;T88)),IF($C88="","",INDIRECT("'"&amp;$D$2&amp;"'"&amp;"!x"&amp;T88)))</f>
        <v>0</v>
      </c>
      <c r="T88" s="35">
        <v>76</v>
      </c>
      <c r="U88" s="113"/>
      <c r="V88" s="35">
        <v>76</v>
      </c>
    </row>
    <row r="89" spans="3:22" x14ac:dyDescent="0.25">
      <c r="C89" t="str" cm="1">
        <f t="array" aca="1" ref="C89" ca="1">IFERROR(IF(INDIRECT($D$2&amp;"!B"&amp;T89)="","",INDIRECT("'"&amp;$D$2&amp;"'"&amp;"!B"&amp;T89)),IF(INDIRECT("'"&amp;$D$2&amp;"'"&amp;"!B"&amp;T89)="","",INDIRECT("'"&amp;$D$2&amp;"'"&amp;"!B"&amp;T89)))</f>
        <v>DirectLine Wires</v>
      </c>
      <c r="D89" t="str" cm="1">
        <f t="array" aca="1" ref="D89" ca="1">IFERROR(_xlfn.IFS(C89="","",C89&lt;&gt;"",INDEX(SF_Output!I:I,MATCH(C89,SF_Output!M:M,0))),IFERROR(INDEX(INDIRECT($D$2&amp;"!G:G"),MATCH(C89,INDIRECT($D$2&amp;"!B:B"),0)),INDEX(INDIRECT("'"&amp;$D$2&amp;"'!G:G"),MATCH(C89,INDIRECT("'"&amp;$D$2&amp;"'!B:B"),0))))</f>
        <v>Payments</v>
      </c>
      <c r="E89" t="str" cm="1">
        <f t="array" aca="1" ref="E89" ca="1">IFERROR(IF(C89="","",INDIRECT($D$2&amp;"!F"&amp;T89)),IF(C89="","",INDIRECT("'"&amp;$D$2&amp;"'"&amp;"!F"&amp;T89)))</f>
        <v>Included</v>
      </c>
      <c r="F89" t="str" cm="1">
        <f t="array" aca="1" ref="F89" ca="1">IFERROR(IF(C89="","",INDIRECT($D$2&amp;"!ak"&amp;T89)),IF(C89="","",INDIRECT("'"&amp;$D$2&amp;"'"&amp;"!ak"&amp;T89)))</f>
        <v/>
      </c>
      <c r="G89" cm="1">
        <f t="array" aca="1" ref="G89" ca="1">IFERROR(INDIRECT($D$2&amp;"!h"&amp;T89),INDIRECT("'"&amp;$D$2&amp;"'"&amp;"!h"&amp;T89))</f>
        <v>1</v>
      </c>
      <c r="H89" s="125" t="str" cm="1">
        <f t="array" aca="1" ref="H89" ca="1">IFERROR(INDIRECT($D$2&amp;"!i"&amp;T89),INDIRECT("'"&amp;$D$2&amp;"'"&amp;"!i"&amp;T89))</f>
        <v/>
      </c>
      <c r="I89" s="113" cm="1">
        <f t="array" aca="1" ref="I89" ca="1">IFERROR(IF($C89="","",INDIRECT($D$2&amp;"!j"&amp;$T89)+INDIRECT($D$2&amp;"!n"&amp;$T89)),IF($C89="","",INDIRECT("'"&amp;$D$2&amp;"'"&amp;"!j"&amp;$T89)+INDIRECT("'"&amp;$D$2&amp;"'"&amp;"!n"&amp;$T89)))</f>
        <v>7500</v>
      </c>
      <c r="J89" s="113">
        <f t="shared" ca="1" si="3"/>
        <v>-7500</v>
      </c>
      <c r="K89" s="113" cm="1">
        <f t="array" aca="1" ref="K89" ca="1">IFERROR(IF($C89="","",INDIRECT($D$2&amp;"!l"&amp;$T89)+INDIRECT($D$2&amp;"!p"&amp;$T89)),IF($C89="","",INDIRECT("'"&amp;$D$2&amp;"'"&amp;"!l"&amp;$T89)+INDIRECT("'"&amp;$D$2&amp;"'"&amp;"!p"&amp;$T89)))</f>
        <v>0</v>
      </c>
      <c r="M89" s="113" cm="1">
        <f t="array" aca="1" ref="M89" ca="1">IFERROR(IF($C89="","",INDIRECT($D$2&amp;"!r"&amp;T89)),IF($C89="","",INDIRECT("'"&amp;$D$2&amp;"'"&amp;"!r"&amp;T89)))</f>
        <v>0</v>
      </c>
      <c r="N89" s="113">
        <f t="shared" ca="1" si="4"/>
        <v>0</v>
      </c>
      <c r="O89" s="113" cm="1">
        <f t="array" aca="1" ref="O89" ca="1">IFERROR(IF($C89="","",INDIRECT($D$2&amp;"!t"&amp;T89)),IF($C89="","",INDIRECT("'"&amp;$D$2&amp;"'"&amp;"!t"&amp;T89)))</f>
        <v>0</v>
      </c>
      <c r="Q89" s="113" cm="1">
        <f t="array" aca="1" ref="Q89" ca="1">IFERROR(IF($C89="","",INDIRECT($D$2&amp;"!v"&amp;T89)),IF($C89="","",INDIRECT("'"&amp;$D$2&amp;"'"&amp;"!v"&amp;T89)))</f>
        <v>450</v>
      </c>
      <c r="R89" s="113">
        <f t="shared" ca="1" si="5"/>
        <v>0</v>
      </c>
      <c r="S89" s="113" cm="1">
        <f t="array" aca="1" ref="S89" ca="1">IFERROR(IF($C89="","",INDIRECT($D$2&amp;"!x"&amp;T89)),IF($C89="","",INDIRECT("'"&amp;$D$2&amp;"'"&amp;"!x"&amp;T89)))</f>
        <v>450</v>
      </c>
      <c r="T89" s="35">
        <v>77</v>
      </c>
      <c r="U89" s="113"/>
      <c r="V89" s="35">
        <v>77</v>
      </c>
    </row>
    <row r="90" spans="3:22" x14ac:dyDescent="0.25">
      <c r="C90" t="str" cm="1">
        <f t="array" aca="1" ref="C90" ca="1">IFERROR(IF(INDIRECT($D$2&amp;"!B"&amp;T90)="","",INDIRECT("'"&amp;$D$2&amp;"'"&amp;"!B"&amp;T90)),IF(INDIRECT("'"&amp;$D$2&amp;"'"&amp;"!B"&amp;T90)="","",INDIRECT("'"&amp;$D$2&amp;"'"&amp;"!B"&amp;T90)))</f>
        <v>CorPay Integration</v>
      </c>
      <c r="D90" t="str" cm="1">
        <f t="array" aca="1" ref="D90" ca="1">IFERROR(_xlfn.IFS(C90="","",C90&lt;&gt;"",INDEX(SF_Output!I:I,MATCH(C90,SF_Output!M:M,0))),IFERROR(INDEX(INDIRECT($D$2&amp;"!G:G"),MATCH(C90,INDIRECT($D$2&amp;"!B:B"),0)),INDEX(INDIRECT("'"&amp;$D$2&amp;"'!G:G"),MATCH(C90,INDIRECT("'"&amp;$D$2&amp;"'!B:B"),0))))</f>
        <v>Payments</v>
      </c>
      <c r="E90" t="str" cm="1">
        <f t="array" aca="1" ref="E90" ca="1">IFERROR(IF(C90="","",INDIRECT($D$2&amp;"!F"&amp;T90)),IF(C90="","",INDIRECT("'"&amp;$D$2&amp;"'"&amp;"!F"&amp;T90)))</f>
        <v>Included</v>
      </c>
      <c r="F90" t="str" cm="1">
        <f t="array" aca="1" ref="F90" ca="1">IFERROR(IF(C90="","",INDIRECT($D$2&amp;"!ak"&amp;T90)),IF(C90="","",INDIRECT("'"&amp;$D$2&amp;"'"&amp;"!ak"&amp;T90)))</f>
        <v/>
      </c>
      <c r="G90" cm="1">
        <f t="array" aca="1" ref="G90" ca="1">IFERROR(INDIRECT($D$2&amp;"!h"&amp;T90),INDIRECT("'"&amp;$D$2&amp;"'"&amp;"!h"&amp;T90))</f>
        <v>1</v>
      </c>
      <c r="H90" s="125" t="str" cm="1">
        <f t="array" aca="1" ref="H90" ca="1">IFERROR(INDIRECT($D$2&amp;"!i"&amp;T90),INDIRECT("'"&amp;$D$2&amp;"'"&amp;"!i"&amp;T90))</f>
        <v/>
      </c>
      <c r="I90" s="113" cm="1">
        <f t="array" aca="1" ref="I90" ca="1">IFERROR(IF($C90="","",INDIRECT($D$2&amp;"!j"&amp;$T90)+INDIRECT($D$2&amp;"!n"&amp;$T90)),IF($C90="","",INDIRECT("'"&amp;$D$2&amp;"'"&amp;"!j"&amp;$T90)+INDIRECT("'"&amp;$D$2&amp;"'"&amp;"!n"&amp;$T90)))</f>
        <v>2500</v>
      </c>
      <c r="J90" s="113">
        <f t="shared" ca="1" si="3"/>
        <v>0</v>
      </c>
      <c r="K90" s="113" cm="1">
        <f t="array" aca="1" ref="K90" ca="1">IFERROR(IF($C90="","",INDIRECT($D$2&amp;"!l"&amp;$T90)+INDIRECT($D$2&amp;"!p"&amp;$T90)),IF($C90="","",INDIRECT("'"&amp;$D$2&amp;"'"&amp;"!l"&amp;$T90)+INDIRECT("'"&amp;$D$2&amp;"'"&amp;"!p"&amp;$T90)))</f>
        <v>2500</v>
      </c>
      <c r="M90" s="113" cm="1">
        <f t="array" aca="1" ref="M90" ca="1">IFERROR(IF($C90="","",INDIRECT($D$2&amp;"!r"&amp;T90)),IF($C90="","",INDIRECT("'"&amp;$D$2&amp;"'"&amp;"!r"&amp;T90)))</f>
        <v>0</v>
      </c>
      <c r="N90" s="113">
        <f t="shared" ca="1" si="4"/>
        <v>0</v>
      </c>
      <c r="O90" s="113" cm="1">
        <f t="array" aca="1" ref="O90" ca="1">IFERROR(IF($C90="","",INDIRECT($D$2&amp;"!t"&amp;T90)),IF($C90="","",INDIRECT("'"&amp;$D$2&amp;"'"&amp;"!t"&amp;T90)))</f>
        <v>0</v>
      </c>
      <c r="Q90" s="113" cm="1">
        <f t="array" aca="1" ref="Q90" ca="1">IFERROR(IF($C90="","",INDIRECT($D$2&amp;"!v"&amp;T90)),IF($C90="","",INDIRECT("'"&amp;$D$2&amp;"'"&amp;"!v"&amp;T90)))</f>
        <v>300</v>
      </c>
      <c r="R90" s="113">
        <f t="shared" ca="1" si="5"/>
        <v>0</v>
      </c>
      <c r="S90" s="113" cm="1">
        <f t="array" aca="1" ref="S90" ca="1">IFERROR(IF($C90="","",INDIRECT($D$2&amp;"!x"&amp;T90)),IF($C90="","",INDIRECT("'"&amp;$D$2&amp;"'"&amp;"!x"&amp;T90)))</f>
        <v>300</v>
      </c>
      <c r="T90" s="35">
        <v>78</v>
      </c>
      <c r="U90" s="113"/>
      <c r="V90" s="35">
        <v>78</v>
      </c>
    </row>
    <row r="91" spans="3:22" x14ac:dyDescent="0.25">
      <c r="C91" t="str" cm="1">
        <f t="array" aca="1" ref="C91" ca="1">IFERROR(IF(INDIRECT($D$2&amp;"!B"&amp;T91)="","",INDIRECT("'"&amp;$D$2&amp;"'"&amp;"!B"&amp;T91)),IF(INDIRECT("'"&amp;$D$2&amp;"'"&amp;"!B"&amp;T91)="","",INDIRECT("'"&amp;$D$2&amp;"'"&amp;"!B"&amp;T91)))</f>
        <v>JHA PayCenter</v>
      </c>
      <c r="D91" t="str" cm="1">
        <f t="array" aca="1" ref="D91" ca="1">IFERROR(_xlfn.IFS(C91="","",C91&lt;&gt;"",INDEX(SF_Output!I:I,MATCH(C91,SF_Output!M:M,0))),IFERROR(INDEX(INDIRECT($D$2&amp;"!G:G"),MATCH(C91,INDIRECT($D$2&amp;"!B:B"),0)),INDEX(INDIRECT("'"&amp;$D$2&amp;"'!G:G"),MATCH(C91,INDIRECT("'"&amp;$D$2&amp;"'!B:B"),0))))</f>
        <v>Payments</v>
      </c>
      <c r="E91" t="str" cm="1">
        <f t="array" aca="1" ref="E91" ca="1">IFERROR(IF(C91="","",INDIRECT($D$2&amp;"!F"&amp;T91)),IF(C91="","",INDIRECT("'"&amp;$D$2&amp;"'"&amp;"!F"&amp;T91)))</f>
        <v>Included</v>
      </c>
      <c r="F91" t="str" cm="1">
        <f t="array" aca="1" ref="F91" ca="1">IFERROR(IF(C91="","",INDIRECT($D$2&amp;"!ak"&amp;T91)),IF(C91="","",INDIRECT("'"&amp;$D$2&amp;"'"&amp;"!ak"&amp;T91)))</f>
        <v/>
      </c>
      <c r="G91" cm="1">
        <f t="array" aca="1" ref="G91" ca="1">IFERROR(INDIRECT($D$2&amp;"!h"&amp;T91),INDIRECT("'"&amp;$D$2&amp;"'"&amp;"!h"&amp;T91))</f>
        <v>1</v>
      </c>
      <c r="H91" s="125" t="str" cm="1">
        <f t="array" aca="1" ref="H91" ca="1">IFERROR(INDIRECT($D$2&amp;"!i"&amp;T91),INDIRECT("'"&amp;$D$2&amp;"'"&amp;"!i"&amp;T91))</f>
        <v/>
      </c>
      <c r="I91" s="113" cm="1">
        <f t="array" aca="1" ref="I91" ca="1">IFERROR(IF($C91="","",INDIRECT($D$2&amp;"!j"&amp;$T91)+INDIRECT($D$2&amp;"!n"&amp;$T91)),IF($C91="","",INDIRECT("'"&amp;$D$2&amp;"'"&amp;"!j"&amp;$T91)+INDIRECT("'"&amp;$D$2&amp;"'"&amp;"!n"&amp;$T91)))</f>
        <v>5000</v>
      </c>
      <c r="J91" s="113">
        <f t="shared" ref="J91:J154" ca="1" si="6">IF(I91="","",K91-I91)</f>
        <v>-5000</v>
      </c>
      <c r="K91" s="113" cm="1">
        <f t="array" aca="1" ref="K91" ca="1">IFERROR(IF($C91="","",INDIRECT($D$2&amp;"!l"&amp;$T91)+INDIRECT($D$2&amp;"!p"&amp;$T91)),IF($C91="","",INDIRECT("'"&amp;$D$2&amp;"'"&amp;"!l"&amp;$T91)+INDIRECT("'"&amp;$D$2&amp;"'"&amp;"!p"&amp;$T91)))</f>
        <v>0</v>
      </c>
      <c r="M91" s="113" cm="1">
        <f t="array" aca="1" ref="M91" ca="1">IFERROR(IF($C91="","",INDIRECT($D$2&amp;"!r"&amp;T91)),IF($C91="","",INDIRECT("'"&amp;$D$2&amp;"'"&amp;"!r"&amp;T91)))</f>
        <v>0</v>
      </c>
      <c r="N91" s="113">
        <f t="shared" ref="N91:N154" ca="1" si="7">IF(M91="","",O91-M91)</f>
        <v>0</v>
      </c>
      <c r="O91" s="113" cm="1">
        <f t="array" aca="1" ref="O91" ca="1">IFERROR(IF($C91="","",INDIRECT($D$2&amp;"!t"&amp;T91)),IF($C91="","",INDIRECT("'"&amp;$D$2&amp;"'"&amp;"!t"&amp;T91)))</f>
        <v>0</v>
      </c>
      <c r="Q91" s="113" cm="1">
        <f t="array" aca="1" ref="Q91" ca="1">IFERROR(IF($C91="","",INDIRECT($D$2&amp;"!v"&amp;T91)),IF($C91="","",INDIRECT("'"&amp;$D$2&amp;"'"&amp;"!v"&amp;T91)))</f>
        <v>0</v>
      </c>
      <c r="R91" s="113">
        <f t="shared" ref="R91:R154" ca="1" si="8">IF(Q91="","",S91-Q91)</f>
        <v>0</v>
      </c>
      <c r="S91" s="113" cm="1">
        <f t="array" aca="1" ref="S91" ca="1">IFERROR(IF($C91="","",INDIRECT($D$2&amp;"!x"&amp;T91)),IF($C91="","",INDIRECT("'"&amp;$D$2&amp;"'"&amp;"!x"&amp;T91)))</f>
        <v>0</v>
      </c>
      <c r="T91" s="35">
        <v>79</v>
      </c>
      <c r="U91" s="113"/>
      <c r="V91" s="35">
        <v>79</v>
      </c>
    </row>
    <row r="92" spans="3:22" x14ac:dyDescent="0.25">
      <c r="C92" t="str" cm="1">
        <f t="array" aca="1" ref="C92" ca="1">IFERROR(IF(INDIRECT($D$2&amp;"!B"&amp;T92)="","",INDIRECT("'"&amp;$D$2&amp;"'"&amp;"!B"&amp;T92)),IF(INDIRECT("'"&amp;$D$2&amp;"'"&amp;"!B"&amp;T92)="","",INDIRECT("'"&amp;$D$2&amp;"'"&amp;"!B"&amp;T92)))</f>
        <v>Zelle Implementation and Monthly Network</v>
      </c>
      <c r="D92" t="str" cm="1">
        <f t="array" aca="1" ref="D92" ca="1">IFERROR(_xlfn.IFS(C92="","",C92&lt;&gt;"",INDEX(SF_Output!I:I,MATCH(C92,SF_Output!M:M,0))),IFERROR(INDEX(INDIRECT($D$2&amp;"!G:G"),MATCH(C92,INDIRECT($D$2&amp;"!B:B"),0)),INDEX(INDIRECT("'"&amp;$D$2&amp;"'!G:G"),MATCH(C92,INDIRECT("'"&amp;$D$2&amp;"'!B:B"),0))))</f>
        <v>Payments</v>
      </c>
      <c r="E92" t="str" cm="1">
        <f t="array" aca="1" ref="E92" ca="1">IFERROR(IF(C92="","",INDIRECT($D$2&amp;"!F"&amp;T92)),IF(C92="","",INDIRECT("'"&amp;$D$2&amp;"'"&amp;"!F"&amp;T92)))</f>
        <v>Included</v>
      </c>
      <c r="F92" t="str" cm="1">
        <f t="array" aca="1" ref="F92" ca="1">IFERROR(IF(C92="","",INDIRECT($D$2&amp;"!ak"&amp;T92)),IF(C92="","",INDIRECT("'"&amp;$D$2&amp;"'"&amp;"!ak"&amp;T92)))</f>
        <v/>
      </c>
      <c r="G92" cm="1">
        <f t="array" aca="1" ref="G92" ca="1">IFERROR(INDIRECT($D$2&amp;"!h"&amp;T92),INDIRECT("'"&amp;$D$2&amp;"'"&amp;"!h"&amp;T92))</f>
        <v>1</v>
      </c>
      <c r="H92" s="125" t="str" cm="1">
        <f t="array" aca="1" ref="H92" ca="1">IFERROR(INDIRECT($D$2&amp;"!i"&amp;T92),INDIRECT("'"&amp;$D$2&amp;"'"&amp;"!i"&amp;T92))</f>
        <v/>
      </c>
      <c r="I92" s="113" cm="1">
        <f t="array" aca="1" ref="I92" ca="1">IFERROR(IF($C92="","",INDIRECT($D$2&amp;"!j"&amp;$T92)+INDIRECT($D$2&amp;"!n"&amp;$T92)),IF($C92="","",INDIRECT("'"&amp;$D$2&amp;"'"&amp;"!j"&amp;$T92)+INDIRECT("'"&amp;$D$2&amp;"'"&amp;"!n"&amp;$T92)))</f>
        <v>3000</v>
      </c>
      <c r="J92" s="113">
        <f t="shared" ca="1" si="6"/>
        <v>-3000</v>
      </c>
      <c r="K92" s="113" cm="1">
        <f t="array" aca="1" ref="K92" ca="1">IFERROR(IF($C92="","",INDIRECT($D$2&amp;"!l"&amp;$T92)+INDIRECT($D$2&amp;"!p"&amp;$T92)),IF($C92="","",INDIRECT("'"&amp;$D$2&amp;"'"&amp;"!l"&amp;$T92)+INDIRECT("'"&amp;$D$2&amp;"'"&amp;"!p"&amp;$T92)))</f>
        <v>0</v>
      </c>
      <c r="M92" s="113" cm="1">
        <f t="array" aca="1" ref="M92" ca="1">IFERROR(IF($C92="","",INDIRECT($D$2&amp;"!r"&amp;T92)),IF($C92="","",INDIRECT("'"&amp;$D$2&amp;"'"&amp;"!r"&amp;T92)))</f>
        <v>0</v>
      </c>
      <c r="N92" s="113">
        <f t="shared" ca="1" si="7"/>
        <v>0</v>
      </c>
      <c r="O92" s="113" cm="1">
        <f t="array" aca="1" ref="O92" ca="1">IFERROR(IF($C92="","",INDIRECT($D$2&amp;"!t"&amp;T92)),IF($C92="","",INDIRECT("'"&amp;$D$2&amp;"'"&amp;"!t"&amp;T92)))</f>
        <v>0</v>
      </c>
      <c r="Q92" s="113" cm="1">
        <f t="array" aca="1" ref="Q92" ca="1">IFERROR(IF($C92="","",INDIRECT($D$2&amp;"!v"&amp;T92)),IF($C92="","",INDIRECT("'"&amp;$D$2&amp;"'"&amp;"!v"&amp;T92)))</f>
        <v>600</v>
      </c>
      <c r="R92" s="113">
        <f t="shared" ca="1" si="8"/>
        <v>0</v>
      </c>
      <c r="S92" s="113" cm="1">
        <f t="array" aca="1" ref="S92" ca="1">IFERROR(IF($C92="","",INDIRECT($D$2&amp;"!x"&amp;T92)),IF($C92="","",INDIRECT("'"&amp;$D$2&amp;"'"&amp;"!x"&amp;T92)))</f>
        <v>600</v>
      </c>
      <c r="T92" s="35">
        <v>80</v>
      </c>
      <c r="U92" s="113"/>
      <c r="V92" s="35">
        <v>80</v>
      </c>
    </row>
    <row r="93" spans="3:22" x14ac:dyDescent="0.25">
      <c r="C93" t="str" cm="1">
        <f t="array" aca="1" ref="C93" ca="1">IFERROR(IF(INDIRECT($D$2&amp;"!B"&amp;T93)="","",INDIRECT("'"&amp;$D$2&amp;"'"&amp;"!B"&amp;T93)),IF(INDIRECT("'"&amp;$D$2&amp;"'"&amp;"!B"&amp;T93)="","",INDIRECT("'"&amp;$D$2&amp;"'"&amp;"!B"&amp;T93)))</f>
        <v>RTP Implementation and Monthly Network Receive Only</v>
      </c>
      <c r="D93" t="str" cm="1">
        <f t="array" aca="1" ref="D93" ca="1">IFERROR(_xlfn.IFS(C93="","",C93&lt;&gt;"",INDEX(SF_Output!I:I,MATCH(C93,SF_Output!M:M,0))),IFERROR(INDEX(INDIRECT($D$2&amp;"!G:G"),MATCH(C93,INDIRECT($D$2&amp;"!B:B"),0)),INDEX(INDIRECT("'"&amp;$D$2&amp;"'!G:G"),MATCH(C93,INDIRECT("'"&amp;$D$2&amp;"'!B:B"),0))))</f>
        <v>Payments</v>
      </c>
      <c r="E93" t="str" cm="1">
        <f t="array" aca="1" ref="E93" ca="1">IFERROR(IF(C93="","",INDIRECT($D$2&amp;"!F"&amp;T93)),IF(C93="","",INDIRECT("'"&amp;$D$2&amp;"'"&amp;"!F"&amp;T93)))</f>
        <v>Included</v>
      </c>
      <c r="F93" t="str" cm="1">
        <f t="array" aca="1" ref="F93" ca="1">IFERROR(IF(C93="","",INDIRECT($D$2&amp;"!ak"&amp;T93)),IF(C93="","",INDIRECT("'"&amp;$D$2&amp;"'"&amp;"!ak"&amp;T93)))</f>
        <v/>
      </c>
      <c r="G93" cm="1">
        <f t="array" aca="1" ref="G93" ca="1">IFERROR(INDIRECT($D$2&amp;"!h"&amp;T93),INDIRECT("'"&amp;$D$2&amp;"'"&amp;"!h"&amp;T93))</f>
        <v>1</v>
      </c>
      <c r="H93" s="125" t="str" cm="1">
        <f t="array" aca="1" ref="H93" ca="1">IFERROR(INDIRECT($D$2&amp;"!i"&amp;T93),INDIRECT("'"&amp;$D$2&amp;"'"&amp;"!i"&amp;T93))</f>
        <v/>
      </c>
      <c r="I93" s="113" cm="1">
        <f t="array" aca="1" ref="I93" ca="1">IFERROR(IF($C93="","",INDIRECT($D$2&amp;"!j"&amp;$T93)+INDIRECT($D$2&amp;"!n"&amp;$T93)),IF($C93="","",INDIRECT("'"&amp;$D$2&amp;"'"&amp;"!j"&amp;$T93)+INDIRECT("'"&amp;$D$2&amp;"'"&amp;"!n"&amp;$T93)))</f>
        <v>1000</v>
      </c>
      <c r="J93" s="113">
        <f t="shared" ca="1" si="6"/>
        <v>-1000</v>
      </c>
      <c r="K93" s="113" cm="1">
        <f t="array" aca="1" ref="K93" ca="1">IFERROR(IF($C93="","",INDIRECT($D$2&amp;"!l"&amp;$T93)+INDIRECT($D$2&amp;"!p"&amp;$T93)),IF($C93="","",INDIRECT("'"&amp;$D$2&amp;"'"&amp;"!l"&amp;$T93)+INDIRECT("'"&amp;$D$2&amp;"'"&amp;"!p"&amp;$T93)))</f>
        <v>0</v>
      </c>
      <c r="M93" s="113" cm="1">
        <f t="array" aca="1" ref="M93" ca="1">IFERROR(IF($C93="","",INDIRECT($D$2&amp;"!r"&amp;T93)),IF($C93="","",INDIRECT("'"&amp;$D$2&amp;"'"&amp;"!r"&amp;T93)))</f>
        <v>0</v>
      </c>
      <c r="N93" s="113">
        <f t="shared" ca="1" si="7"/>
        <v>0</v>
      </c>
      <c r="O93" s="113" cm="1">
        <f t="array" aca="1" ref="O93" ca="1">IFERROR(IF($C93="","",INDIRECT($D$2&amp;"!t"&amp;T93)),IF($C93="","",INDIRECT("'"&amp;$D$2&amp;"'"&amp;"!t"&amp;T93)))</f>
        <v>0</v>
      </c>
      <c r="Q93" s="113" cm="1">
        <f t="array" aca="1" ref="Q93" ca="1">IFERROR(IF($C93="","",INDIRECT($D$2&amp;"!v"&amp;T93)),IF($C93="","",INDIRECT("'"&amp;$D$2&amp;"'"&amp;"!v"&amp;T93)))</f>
        <v>400</v>
      </c>
      <c r="R93" s="113">
        <f t="shared" ca="1" si="8"/>
        <v>0</v>
      </c>
      <c r="S93" s="113" cm="1">
        <f t="array" aca="1" ref="S93" ca="1">IFERROR(IF($C93="","",INDIRECT($D$2&amp;"!x"&amp;T93)),IF($C93="","",INDIRECT("'"&amp;$D$2&amp;"'"&amp;"!x"&amp;T93)))</f>
        <v>400</v>
      </c>
      <c r="T93" s="35">
        <v>81</v>
      </c>
      <c r="U93" s="113"/>
      <c r="V93" s="35">
        <v>81</v>
      </c>
    </row>
    <row r="94" spans="3:22" x14ac:dyDescent="0.25">
      <c r="C94" t="str" cm="1">
        <f t="array" aca="1" ref="C94" ca="1">IFERROR(IF(INDIRECT($D$2&amp;"!B"&amp;T94)="","",INDIRECT("'"&amp;$D$2&amp;"'"&amp;"!B"&amp;T94)),IF(INDIRECT("'"&amp;$D$2&amp;"'"&amp;"!B"&amp;T94)="","",INDIRECT("'"&amp;$D$2&amp;"'"&amp;"!B"&amp;T94)))</f>
        <v>FedNow Implementation and Monthly Network Receive Only</v>
      </c>
      <c r="D94" t="str" cm="1">
        <f t="array" aca="1" ref="D94" ca="1">IFERROR(_xlfn.IFS(C94="","",C94&lt;&gt;"",INDEX(SF_Output!I:I,MATCH(C94,SF_Output!M:M,0))),IFERROR(INDEX(INDIRECT($D$2&amp;"!G:G"),MATCH(C94,INDIRECT($D$2&amp;"!B:B"),0)),INDEX(INDIRECT("'"&amp;$D$2&amp;"'!G:G"),MATCH(C94,INDIRECT("'"&amp;$D$2&amp;"'!B:B"),0))))</f>
        <v>Payments</v>
      </c>
      <c r="E94" t="str" cm="1">
        <f t="array" aca="1" ref="E94" ca="1">IFERROR(IF(C94="","",INDIRECT($D$2&amp;"!F"&amp;T94)),IF(C94="","",INDIRECT("'"&amp;$D$2&amp;"'"&amp;"!F"&amp;T94)))</f>
        <v>Included</v>
      </c>
      <c r="F94" t="str" cm="1">
        <f t="array" aca="1" ref="F94" ca="1">IFERROR(IF(C94="","",INDIRECT($D$2&amp;"!ak"&amp;T94)),IF(C94="","",INDIRECT("'"&amp;$D$2&amp;"'"&amp;"!ak"&amp;T94)))</f>
        <v/>
      </c>
      <c r="G94" cm="1">
        <f t="array" aca="1" ref="G94" ca="1">IFERROR(INDIRECT($D$2&amp;"!h"&amp;T94),INDIRECT("'"&amp;$D$2&amp;"'"&amp;"!h"&amp;T94))</f>
        <v>1</v>
      </c>
      <c r="H94" s="125" t="str" cm="1">
        <f t="array" aca="1" ref="H94" ca="1">IFERROR(INDIRECT($D$2&amp;"!i"&amp;T94),INDIRECT("'"&amp;$D$2&amp;"'"&amp;"!i"&amp;T94))</f>
        <v/>
      </c>
      <c r="I94" s="113" cm="1">
        <f t="array" aca="1" ref="I94" ca="1">IFERROR(IF($C94="","",INDIRECT($D$2&amp;"!j"&amp;$T94)+INDIRECT($D$2&amp;"!n"&amp;$T94)),IF($C94="","",INDIRECT("'"&amp;$D$2&amp;"'"&amp;"!j"&amp;$T94)+INDIRECT("'"&amp;$D$2&amp;"'"&amp;"!n"&amp;$T94)))</f>
        <v>1000</v>
      </c>
      <c r="J94" s="113">
        <f t="shared" ca="1" si="6"/>
        <v>-1000</v>
      </c>
      <c r="K94" s="113" cm="1">
        <f t="array" aca="1" ref="K94" ca="1">IFERROR(IF($C94="","",INDIRECT($D$2&amp;"!l"&amp;$T94)+INDIRECT($D$2&amp;"!p"&amp;$T94)),IF($C94="","",INDIRECT("'"&amp;$D$2&amp;"'"&amp;"!l"&amp;$T94)+INDIRECT("'"&amp;$D$2&amp;"'"&amp;"!p"&amp;$T94)))</f>
        <v>0</v>
      </c>
      <c r="M94" s="113" cm="1">
        <f t="array" aca="1" ref="M94" ca="1">IFERROR(IF($C94="","",INDIRECT($D$2&amp;"!r"&amp;T94)),IF($C94="","",INDIRECT("'"&amp;$D$2&amp;"'"&amp;"!r"&amp;T94)))</f>
        <v>0</v>
      </c>
      <c r="N94" s="113">
        <f t="shared" ca="1" si="7"/>
        <v>0</v>
      </c>
      <c r="O94" s="113" cm="1">
        <f t="array" aca="1" ref="O94" ca="1">IFERROR(IF($C94="","",INDIRECT($D$2&amp;"!t"&amp;T94)),IF($C94="","",INDIRECT("'"&amp;$D$2&amp;"'"&amp;"!t"&amp;T94)))</f>
        <v>0</v>
      </c>
      <c r="Q94" s="113" cm="1">
        <f t="array" aca="1" ref="Q94" ca="1">IFERROR(IF($C94="","",INDIRECT($D$2&amp;"!v"&amp;T94)),IF($C94="","",INDIRECT("'"&amp;$D$2&amp;"'"&amp;"!v"&amp;T94)))</f>
        <v>400</v>
      </c>
      <c r="R94" s="113">
        <f t="shared" ca="1" si="8"/>
        <v>0</v>
      </c>
      <c r="S94" s="113" cm="1">
        <f t="array" aca="1" ref="S94" ca="1">IFERROR(IF($C94="","",INDIRECT($D$2&amp;"!x"&amp;T94)),IF($C94="","",INDIRECT("'"&amp;$D$2&amp;"'"&amp;"!x"&amp;T94)))</f>
        <v>400</v>
      </c>
      <c r="T94" s="35">
        <v>82</v>
      </c>
      <c r="U94" s="113"/>
      <c r="V94" s="35">
        <v>82</v>
      </c>
    </row>
    <row r="95" spans="3:22" x14ac:dyDescent="0.25">
      <c r="C95" t="str" cm="1">
        <f t="array" aca="1" ref="C95" ca="1">IFERROR(IF(INDIRECT($D$2&amp;"!B"&amp;T95)="","",INDIRECT("'"&amp;$D$2&amp;"'"&amp;"!B"&amp;T95)),IF(INDIRECT("'"&amp;$D$2&amp;"'"&amp;"!B"&amp;T95)="","",INDIRECT("'"&amp;$D$2&amp;"'"&amp;"!B"&amp;T95)))</f>
        <v>EPS Platform Set Up Fee</v>
      </c>
      <c r="D95" t="str" cm="1">
        <f t="array" aca="1" ref="D95" ca="1">IFERROR(_xlfn.IFS(C95="","",C95&lt;&gt;"",INDEX(SF_Output!I:I,MATCH(C95,SF_Output!M:M,0))),IFERROR(INDEX(INDIRECT($D$2&amp;"!G:G"),MATCH(C95,INDIRECT($D$2&amp;"!B:B"),0)),INDEX(INDIRECT("'"&amp;$D$2&amp;"'!G:G"),MATCH(C95,INDIRECT("'"&amp;$D$2&amp;"'!B:B"),0))))</f>
        <v>Payments</v>
      </c>
      <c r="E95" t="str" cm="1">
        <f t="array" aca="1" ref="E95" ca="1">IFERROR(IF(C95="","",INDIRECT($D$2&amp;"!F"&amp;T95)),IF(C95="","",INDIRECT("'"&amp;$D$2&amp;"'"&amp;"!F"&amp;T95)))</f>
        <v>Included</v>
      </c>
      <c r="F95" t="str" cm="1">
        <f t="array" aca="1" ref="F95" ca="1">IFERROR(IF(C95="","",INDIRECT($D$2&amp;"!ak"&amp;T95)),IF(C95="","",INDIRECT("'"&amp;$D$2&amp;"'"&amp;"!ak"&amp;T95)))</f>
        <v/>
      </c>
      <c r="G95" cm="1">
        <f t="array" aca="1" ref="G95" ca="1">IFERROR(INDIRECT($D$2&amp;"!h"&amp;T95),INDIRECT("'"&amp;$D$2&amp;"'"&amp;"!h"&amp;T95))</f>
        <v>1</v>
      </c>
      <c r="H95" s="125" t="str" cm="1">
        <f t="array" aca="1" ref="H95" ca="1">IFERROR(INDIRECT($D$2&amp;"!i"&amp;T95),INDIRECT("'"&amp;$D$2&amp;"'"&amp;"!i"&amp;T95))</f>
        <v/>
      </c>
      <c r="I95" s="113" cm="1">
        <f t="array" aca="1" ref="I95" ca="1">IFERROR(IF($C95="","",INDIRECT($D$2&amp;"!j"&amp;$T95)+INDIRECT($D$2&amp;"!n"&amp;$T95)),IF($C95="","",INDIRECT("'"&amp;$D$2&amp;"'"&amp;"!j"&amp;$T95)+INDIRECT("'"&amp;$D$2&amp;"'"&amp;"!n"&amp;$T95)))</f>
        <v>2500</v>
      </c>
      <c r="J95" s="113">
        <f t="shared" ca="1" si="6"/>
        <v>-2500</v>
      </c>
      <c r="K95" s="113" cm="1">
        <f t="array" aca="1" ref="K95" ca="1">IFERROR(IF($C95="","",INDIRECT($D$2&amp;"!l"&amp;$T95)+INDIRECT($D$2&amp;"!p"&amp;$T95)),IF($C95="","",INDIRECT("'"&amp;$D$2&amp;"'"&amp;"!l"&amp;$T95)+INDIRECT("'"&amp;$D$2&amp;"'"&amp;"!p"&amp;$T95)))</f>
        <v>0</v>
      </c>
      <c r="M95" s="113" cm="1">
        <f t="array" aca="1" ref="M95" ca="1">IFERROR(IF($C95="","",INDIRECT($D$2&amp;"!r"&amp;T95)),IF($C95="","",INDIRECT("'"&amp;$D$2&amp;"'"&amp;"!r"&amp;T95)))</f>
        <v>0</v>
      </c>
      <c r="N95" s="113">
        <f t="shared" ca="1" si="7"/>
        <v>0</v>
      </c>
      <c r="O95" s="113" cm="1">
        <f t="array" aca="1" ref="O95" ca="1">IFERROR(IF($C95="","",INDIRECT($D$2&amp;"!t"&amp;T95)),IF($C95="","",INDIRECT("'"&amp;$D$2&amp;"'"&amp;"!t"&amp;T95)))</f>
        <v>0</v>
      </c>
      <c r="Q95" s="113" cm="1">
        <f t="array" aca="1" ref="Q95" ca="1">IFERROR(IF($C95="","",INDIRECT($D$2&amp;"!v"&amp;T95)),IF($C95="","",INDIRECT("'"&amp;$D$2&amp;"'"&amp;"!v"&amp;T95)))</f>
        <v>0</v>
      </c>
      <c r="R95" s="113">
        <f t="shared" ca="1" si="8"/>
        <v>0</v>
      </c>
      <c r="S95" s="113" cm="1">
        <f t="array" aca="1" ref="S95" ca="1">IFERROR(IF($C95="","",INDIRECT($D$2&amp;"!x"&amp;T95)),IF($C95="","",INDIRECT("'"&amp;$D$2&amp;"'"&amp;"!x"&amp;T95)))</f>
        <v>0</v>
      </c>
      <c r="T95" s="35">
        <v>83</v>
      </c>
      <c r="U95" s="113"/>
      <c r="V95" s="35">
        <v>83</v>
      </c>
    </row>
    <row r="96" spans="3:22" x14ac:dyDescent="0.25">
      <c r="C96" t="str" cm="1">
        <f t="array" aca="1" ref="C96" ca="1">IFERROR(IF(INDIRECT($D$2&amp;"!B"&amp;T96)="","",INDIRECT("'"&amp;$D$2&amp;"'"&amp;"!B"&amp;T96)),IF(INDIRECT("'"&amp;$D$2&amp;"'"&amp;"!B"&amp;T96)="","",INDIRECT("'"&amp;$D$2&amp;"'"&amp;"!B"&amp;T96)))</f>
        <v>JHA SmartPay Remote Deposit Now (RDN)</v>
      </c>
      <c r="D96" t="str" cm="1">
        <f t="array" aca="1" ref="D96" ca="1">IFERROR(_xlfn.IFS(C96="","",C96&lt;&gt;"",INDEX(SF_Output!I:I,MATCH(C96,SF_Output!M:M,0))),IFERROR(INDEX(INDIRECT($D$2&amp;"!G:G"),MATCH(C96,INDIRECT($D$2&amp;"!B:B"),0)),INDEX(INDIRECT("'"&amp;$D$2&amp;"'!G:G"),MATCH(C96,INDIRECT("'"&amp;$D$2&amp;"'!B:B"),0))))</f>
        <v>Payments</v>
      </c>
      <c r="E96" t="str" cm="1">
        <f t="array" aca="1" ref="E96" ca="1">IFERROR(IF(C96="","",INDIRECT($D$2&amp;"!F"&amp;T96)),IF(C96="","",INDIRECT("'"&amp;$D$2&amp;"'"&amp;"!F"&amp;T96)))</f>
        <v>Included</v>
      </c>
      <c r="F96" t="str" cm="1">
        <f t="array" aca="1" ref="F96" ca="1">IFERROR(IF(C96="","",INDIRECT($D$2&amp;"!ak"&amp;T96)),IF(C96="","",INDIRECT("'"&amp;$D$2&amp;"'"&amp;"!ak"&amp;T96)))</f>
        <v/>
      </c>
      <c r="G96" cm="1">
        <f t="array" aca="1" ref="G96" ca="1">IFERROR(INDIRECT($D$2&amp;"!h"&amp;T96),INDIRECT("'"&amp;$D$2&amp;"'"&amp;"!h"&amp;T96))</f>
        <v>1</v>
      </c>
      <c r="H96" s="125" t="str" cm="1">
        <f t="array" aca="1" ref="H96" ca="1">IFERROR(INDIRECT($D$2&amp;"!i"&amp;T96),INDIRECT("'"&amp;$D$2&amp;"'"&amp;"!i"&amp;T96))</f>
        <v/>
      </c>
      <c r="I96" s="113" cm="1">
        <f t="array" aca="1" ref="I96" ca="1">IFERROR(IF($C96="","",INDIRECT($D$2&amp;"!j"&amp;$T96)+INDIRECT($D$2&amp;"!n"&amp;$T96)),IF($C96="","",INDIRECT("'"&amp;$D$2&amp;"'"&amp;"!j"&amp;$T96)+INDIRECT("'"&amp;$D$2&amp;"'"&amp;"!n"&amp;$T96)))</f>
        <v>1000</v>
      </c>
      <c r="J96" s="113">
        <f t="shared" ca="1" si="6"/>
        <v>-1000</v>
      </c>
      <c r="K96" s="113" cm="1">
        <f t="array" aca="1" ref="K96" ca="1">IFERROR(IF($C96="","",INDIRECT($D$2&amp;"!l"&amp;$T96)+INDIRECT($D$2&amp;"!p"&amp;$T96)),IF($C96="","",INDIRECT("'"&amp;$D$2&amp;"'"&amp;"!l"&amp;$T96)+INDIRECT("'"&amp;$D$2&amp;"'"&amp;"!p"&amp;$T96)))</f>
        <v>0</v>
      </c>
      <c r="M96" s="113" cm="1">
        <f t="array" aca="1" ref="M96" ca="1">IFERROR(IF($C96="","",INDIRECT($D$2&amp;"!r"&amp;T96)),IF($C96="","",INDIRECT("'"&amp;$D$2&amp;"'"&amp;"!r"&amp;T96)))</f>
        <v>0</v>
      </c>
      <c r="N96" s="113">
        <f t="shared" ca="1" si="7"/>
        <v>0</v>
      </c>
      <c r="O96" s="113" cm="1">
        <f t="array" aca="1" ref="O96" ca="1">IFERROR(IF($C96="","",INDIRECT($D$2&amp;"!t"&amp;T96)),IF($C96="","",INDIRECT("'"&amp;$D$2&amp;"'"&amp;"!t"&amp;T96)))</f>
        <v>0</v>
      </c>
      <c r="Q96" s="113" cm="1">
        <f t="array" aca="1" ref="Q96" ca="1">IFERROR(IF($C96="","",INDIRECT($D$2&amp;"!v"&amp;T96)),IF($C96="","",INDIRECT("'"&amp;$D$2&amp;"'"&amp;"!v"&amp;T96)))</f>
        <v>350</v>
      </c>
      <c r="R96" s="113">
        <f t="shared" ca="1" si="8"/>
        <v>0</v>
      </c>
      <c r="S96" s="113" cm="1">
        <f t="array" aca="1" ref="S96" ca="1">IFERROR(IF($C96="","",INDIRECT($D$2&amp;"!x"&amp;T96)),IF($C96="","",INDIRECT("'"&amp;$D$2&amp;"'"&amp;"!x"&amp;T96)))</f>
        <v>350</v>
      </c>
      <c r="T96" s="35">
        <v>84</v>
      </c>
      <c r="U96" s="113"/>
      <c r="V96" s="35">
        <v>84</v>
      </c>
    </row>
    <row r="97" spans="3:22" x14ac:dyDescent="0.25">
      <c r="C97" t="str" cm="1">
        <f t="array" aca="1" ref="C97" ca="1">IFERROR(IF(INDIRECT($D$2&amp;"!B"&amp;T97)="","",INDIRECT("'"&amp;$D$2&amp;"'"&amp;"!B"&amp;T97)),IF(INDIRECT("'"&amp;$D$2&amp;"'"&amp;"!B"&amp;T97)="","",INDIRECT("'"&amp;$D$2&amp;"'"&amp;"!B"&amp;T97)))</f>
        <v>JHA SmartPay Remote Deposit Anywhere (RDA)</v>
      </c>
      <c r="D97" t="str" cm="1">
        <f t="array" aca="1" ref="D97" ca="1">IFERROR(_xlfn.IFS(C97="","",C97&lt;&gt;"",INDEX(SF_Output!I:I,MATCH(C97,SF_Output!M:M,0))),IFERROR(INDEX(INDIRECT($D$2&amp;"!G:G"),MATCH(C97,INDIRECT($D$2&amp;"!B:B"),0)),INDEX(INDIRECT("'"&amp;$D$2&amp;"'!G:G"),MATCH(C97,INDIRECT("'"&amp;$D$2&amp;"'!B:B"),0))))</f>
        <v>Payments</v>
      </c>
      <c r="E97" t="str" cm="1">
        <f t="array" aca="1" ref="E97" ca="1">IFERROR(IF(C97="","",INDIRECT($D$2&amp;"!F"&amp;T97)),IF(C97="","",INDIRECT("'"&amp;$D$2&amp;"'"&amp;"!F"&amp;T97)))</f>
        <v>Included</v>
      </c>
      <c r="F97" t="str" cm="1">
        <f t="array" aca="1" ref="F97" ca="1">IFERROR(IF(C97="","",INDIRECT($D$2&amp;"!ak"&amp;T97)),IF(C97="","",INDIRECT("'"&amp;$D$2&amp;"'"&amp;"!ak"&amp;T97)))</f>
        <v/>
      </c>
      <c r="G97" cm="1">
        <f t="array" aca="1" ref="G97" ca="1">IFERROR(INDIRECT($D$2&amp;"!h"&amp;T97),INDIRECT("'"&amp;$D$2&amp;"'"&amp;"!h"&amp;T97))</f>
        <v>1</v>
      </c>
      <c r="H97" s="125" t="str" cm="1">
        <f t="array" aca="1" ref="H97" ca="1">IFERROR(INDIRECT($D$2&amp;"!i"&amp;T97),INDIRECT("'"&amp;$D$2&amp;"'"&amp;"!i"&amp;T97))</f>
        <v/>
      </c>
      <c r="I97" s="113" cm="1">
        <f t="array" aca="1" ref="I97" ca="1">IFERROR(IF($C97="","",INDIRECT($D$2&amp;"!j"&amp;$T97)+INDIRECT($D$2&amp;"!n"&amp;$T97)),IF($C97="","",INDIRECT("'"&amp;$D$2&amp;"'"&amp;"!j"&amp;$T97)+INDIRECT("'"&amp;$D$2&amp;"'"&amp;"!n"&amp;$T97)))</f>
        <v>2500</v>
      </c>
      <c r="J97" s="113">
        <f t="shared" ca="1" si="6"/>
        <v>-2500</v>
      </c>
      <c r="K97" s="113" cm="1">
        <f t="array" aca="1" ref="K97" ca="1">IFERROR(IF($C97="","",INDIRECT($D$2&amp;"!l"&amp;$T97)+INDIRECT($D$2&amp;"!p"&amp;$T97)),IF($C97="","",INDIRECT("'"&amp;$D$2&amp;"'"&amp;"!l"&amp;$T97)+INDIRECT("'"&amp;$D$2&amp;"'"&amp;"!p"&amp;$T97)))</f>
        <v>0</v>
      </c>
      <c r="M97" s="113" cm="1">
        <f t="array" aca="1" ref="M97" ca="1">IFERROR(IF($C97="","",INDIRECT($D$2&amp;"!r"&amp;T97)),IF($C97="","",INDIRECT("'"&amp;$D$2&amp;"'"&amp;"!r"&amp;T97)))</f>
        <v>0</v>
      </c>
      <c r="N97" s="113">
        <f t="shared" ca="1" si="7"/>
        <v>0</v>
      </c>
      <c r="O97" s="113" cm="1">
        <f t="array" aca="1" ref="O97" ca="1">IFERROR(IF($C97="","",INDIRECT($D$2&amp;"!t"&amp;T97)),IF($C97="","",INDIRECT("'"&amp;$D$2&amp;"'"&amp;"!t"&amp;T97)))</f>
        <v>0</v>
      </c>
      <c r="Q97" s="113" cm="1">
        <f t="array" aca="1" ref="Q97" ca="1">IFERROR(IF($C97="","",INDIRECT($D$2&amp;"!v"&amp;T97)),IF($C97="","",INDIRECT("'"&amp;$D$2&amp;"'"&amp;"!v"&amp;T97)))</f>
        <v>500</v>
      </c>
      <c r="R97" s="113">
        <f t="shared" ca="1" si="8"/>
        <v>0</v>
      </c>
      <c r="S97" s="113" cm="1">
        <f t="array" aca="1" ref="S97" ca="1">IFERROR(IF($C97="","",INDIRECT($D$2&amp;"!x"&amp;T97)),IF($C97="","",INDIRECT("'"&amp;$D$2&amp;"'"&amp;"!x"&amp;T97)))</f>
        <v>500</v>
      </c>
      <c r="T97" s="35">
        <v>85</v>
      </c>
      <c r="U97" s="113"/>
      <c r="V97" s="35">
        <v>85</v>
      </c>
    </row>
    <row r="98" spans="3:22" x14ac:dyDescent="0.25">
      <c r="C98" t="str" cm="1">
        <f t="array" aca="1" ref="C98" ca="1">IFERROR(IF(INDIRECT($D$2&amp;"!B"&amp;T98)="","",INDIRECT("'"&amp;$D$2&amp;"'"&amp;"!B"&amp;T98)),IF(INDIRECT("'"&amp;$D$2&amp;"'"&amp;"!B"&amp;T98)="","",INDIRECT("'"&amp;$D$2&amp;"'"&amp;"!B"&amp;T98)))</f>
        <v>JHA SmartPay mRDC</v>
      </c>
      <c r="D98" t="str" cm="1">
        <f t="array" aca="1" ref="D98" ca="1">IFERROR(_xlfn.IFS(C98="","",C98&lt;&gt;"",INDEX(SF_Output!I:I,MATCH(C98,SF_Output!M:M,0))),IFERROR(INDEX(INDIRECT($D$2&amp;"!G:G"),MATCH(C98,INDIRECT($D$2&amp;"!B:B"),0)),INDEX(INDIRECT("'"&amp;$D$2&amp;"'!G:G"),MATCH(C98,INDIRECT("'"&amp;$D$2&amp;"'!B:B"),0))))</f>
        <v>Payments</v>
      </c>
      <c r="E98" t="str" cm="1">
        <f t="array" aca="1" ref="E98" ca="1">IFERROR(IF(C98="","",INDIRECT($D$2&amp;"!F"&amp;T98)),IF(C98="","",INDIRECT("'"&amp;$D$2&amp;"'"&amp;"!F"&amp;T98)))</f>
        <v>Included</v>
      </c>
      <c r="F98" t="str" cm="1">
        <f t="array" aca="1" ref="F98" ca="1">IFERROR(IF(C98="","",INDIRECT($D$2&amp;"!ak"&amp;T98)),IF(C98="","",INDIRECT("'"&amp;$D$2&amp;"'"&amp;"!ak"&amp;T98)))</f>
        <v/>
      </c>
      <c r="G98" cm="1">
        <f t="array" aca="1" ref="G98" ca="1">IFERROR(INDIRECT($D$2&amp;"!h"&amp;T98),INDIRECT("'"&amp;$D$2&amp;"'"&amp;"!h"&amp;T98))</f>
        <v>1</v>
      </c>
      <c r="H98" s="125" t="str" cm="1">
        <f t="array" aca="1" ref="H98" ca="1">IFERROR(INDIRECT($D$2&amp;"!i"&amp;T98),INDIRECT("'"&amp;$D$2&amp;"'"&amp;"!i"&amp;T98))</f>
        <v/>
      </c>
      <c r="I98" s="113" cm="1">
        <f t="array" aca="1" ref="I98" ca="1">IFERROR(IF($C98="","",INDIRECT($D$2&amp;"!j"&amp;$T98)+INDIRECT($D$2&amp;"!n"&amp;$T98)),IF($C98="","",INDIRECT("'"&amp;$D$2&amp;"'"&amp;"!j"&amp;$T98)+INDIRECT("'"&amp;$D$2&amp;"'"&amp;"!n"&amp;$T98)))</f>
        <v>1000</v>
      </c>
      <c r="J98" s="113">
        <f t="shared" ca="1" si="6"/>
        <v>-1000</v>
      </c>
      <c r="K98" s="113" cm="1">
        <f t="array" aca="1" ref="K98" ca="1">IFERROR(IF($C98="","",INDIRECT($D$2&amp;"!l"&amp;$T98)+INDIRECT($D$2&amp;"!p"&amp;$T98)),IF($C98="","",INDIRECT("'"&amp;$D$2&amp;"'"&amp;"!l"&amp;$T98)+INDIRECT("'"&amp;$D$2&amp;"'"&amp;"!p"&amp;$T98)))</f>
        <v>0</v>
      </c>
      <c r="M98" s="113" cm="1">
        <f t="array" aca="1" ref="M98" ca="1">IFERROR(IF($C98="","",INDIRECT($D$2&amp;"!r"&amp;T98)),IF($C98="","",INDIRECT("'"&amp;$D$2&amp;"'"&amp;"!r"&amp;T98)))</f>
        <v>0</v>
      </c>
      <c r="N98" s="113">
        <f t="shared" ca="1" si="7"/>
        <v>0</v>
      </c>
      <c r="O98" s="113" cm="1">
        <f t="array" aca="1" ref="O98" ca="1">IFERROR(IF($C98="","",INDIRECT($D$2&amp;"!t"&amp;T98)),IF($C98="","",INDIRECT("'"&amp;$D$2&amp;"'"&amp;"!t"&amp;T98)))</f>
        <v>0</v>
      </c>
      <c r="Q98" s="113" cm="1">
        <f t="array" aca="1" ref="Q98" ca="1">IFERROR(IF($C98="","",INDIRECT($D$2&amp;"!v"&amp;T98)),IF($C98="","",INDIRECT("'"&amp;$D$2&amp;"'"&amp;"!v"&amp;T98)))</f>
        <v>350</v>
      </c>
      <c r="R98" s="113">
        <f t="shared" ca="1" si="8"/>
        <v>-175</v>
      </c>
      <c r="S98" s="113" cm="1">
        <f t="array" aca="1" ref="S98" ca="1">IFERROR(IF($C98="","",INDIRECT($D$2&amp;"!x"&amp;T98)),IF($C98="","",INDIRECT("'"&amp;$D$2&amp;"'"&amp;"!x"&amp;T98)))</f>
        <v>175</v>
      </c>
      <c r="T98" s="35">
        <v>86</v>
      </c>
      <c r="U98" s="113"/>
      <c r="V98" s="35">
        <v>86</v>
      </c>
    </row>
    <row r="99" spans="3:22" x14ac:dyDescent="0.25">
      <c r="C99" t="str" cm="1">
        <f t="array" aca="1" ref="C99" ca="1">IFERROR(IF(INDIRECT($D$2&amp;"!B"&amp;T99)="","",INDIRECT("'"&amp;$D$2&amp;"'"&amp;"!B"&amp;T99)),IF(INDIRECT("'"&amp;$D$2&amp;"'"&amp;"!B"&amp;T99)="","",INDIRECT("'"&amp;$D$2&amp;"'"&amp;"!B"&amp;T99)))</f>
        <v>EPS SmartSight Setup Fee and Monthly Subscription Fee</v>
      </c>
      <c r="D99" t="str" cm="1">
        <f t="array" aca="1" ref="D99" ca="1">IFERROR(_xlfn.IFS(C99="","",C99&lt;&gt;"",INDEX(SF_Output!I:I,MATCH(C99,SF_Output!M:M,0))),IFERROR(INDEX(INDIRECT($D$2&amp;"!G:G"),MATCH(C99,INDIRECT($D$2&amp;"!B:B"),0)),INDEX(INDIRECT("'"&amp;$D$2&amp;"'!G:G"),MATCH(C99,INDIRECT("'"&amp;$D$2&amp;"'!B:B"),0))))</f>
        <v>Payments</v>
      </c>
      <c r="E99" t="str" cm="1">
        <f t="array" aca="1" ref="E99" ca="1">IFERROR(IF(C99="","",INDIRECT($D$2&amp;"!F"&amp;T99)),IF(C99="","",INDIRECT("'"&amp;$D$2&amp;"'"&amp;"!F"&amp;T99)))</f>
        <v>Included</v>
      </c>
      <c r="F99" t="str" cm="1">
        <f t="array" aca="1" ref="F99" ca="1">IFERROR(IF(C99="","",INDIRECT($D$2&amp;"!ak"&amp;T99)),IF(C99="","",INDIRECT("'"&amp;$D$2&amp;"'"&amp;"!ak"&amp;T99)))</f>
        <v/>
      </c>
      <c r="G99" cm="1">
        <f t="array" aca="1" ref="G99" ca="1">IFERROR(INDIRECT($D$2&amp;"!h"&amp;T99),INDIRECT("'"&amp;$D$2&amp;"'"&amp;"!h"&amp;T99))</f>
        <v>1</v>
      </c>
      <c r="H99" s="125" t="str" cm="1">
        <f t="array" aca="1" ref="H99" ca="1">IFERROR(INDIRECT($D$2&amp;"!i"&amp;T99),INDIRECT("'"&amp;$D$2&amp;"'"&amp;"!i"&amp;T99))</f>
        <v/>
      </c>
      <c r="I99" s="113" cm="1">
        <f t="array" aca="1" ref="I99" ca="1">IFERROR(IF($C99="","",INDIRECT($D$2&amp;"!j"&amp;$T99)+INDIRECT($D$2&amp;"!n"&amp;$T99)),IF($C99="","",INDIRECT("'"&amp;$D$2&amp;"'"&amp;"!j"&amp;$T99)+INDIRECT("'"&amp;$D$2&amp;"'"&amp;"!n"&amp;$T99)))</f>
        <v>1500</v>
      </c>
      <c r="J99" s="113">
        <f t="shared" ca="1" si="6"/>
        <v>-1500</v>
      </c>
      <c r="K99" s="113" cm="1">
        <f t="array" aca="1" ref="K99" ca="1">IFERROR(IF($C99="","",INDIRECT($D$2&amp;"!l"&amp;$T99)+INDIRECT($D$2&amp;"!p"&amp;$T99)),IF($C99="","",INDIRECT("'"&amp;$D$2&amp;"'"&amp;"!l"&amp;$T99)+INDIRECT("'"&amp;$D$2&amp;"'"&amp;"!p"&amp;$T99)))</f>
        <v>0</v>
      </c>
      <c r="M99" s="113" cm="1">
        <f t="array" aca="1" ref="M99" ca="1">IFERROR(IF($C99="","",INDIRECT($D$2&amp;"!r"&amp;T99)),IF($C99="","",INDIRECT("'"&amp;$D$2&amp;"'"&amp;"!r"&amp;T99)))</f>
        <v>0</v>
      </c>
      <c r="N99" s="113">
        <f t="shared" ca="1" si="7"/>
        <v>0</v>
      </c>
      <c r="O99" s="113" cm="1">
        <f t="array" aca="1" ref="O99" ca="1">IFERROR(IF($C99="","",INDIRECT($D$2&amp;"!t"&amp;T99)),IF($C99="","",INDIRECT("'"&amp;$D$2&amp;"'"&amp;"!t"&amp;T99)))</f>
        <v>0</v>
      </c>
      <c r="Q99" s="113" cm="1">
        <f t="array" aca="1" ref="Q99" ca="1">IFERROR(IF($C99="","",INDIRECT($D$2&amp;"!v"&amp;T99)),IF($C99="","",INDIRECT("'"&amp;$D$2&amp;"'"&amp;"!v"&amp;T99)))</f>
        <v>300</v>
      </c>
      <c r="R99" s="113">
        <f t="shared" ca="1" si="8"/>
        <v>0</v>
      </c>
      <c r="S99" s="113" cm="1">
        <f t="array" aca="1" ref="S99" ca="1">IFERROR(IF($C99="","",INDIRECT($D$2&amp;"!x"&amp;T99)),IF($C99="","",INDIRECT("'"&amp;$D$2&amp;"'"&amp;"!x"&amp;T99)))</f>
        <v>300</v>
      </c>
      <c r="T99" s="35">
        <v>87</v>
      </c>
      <c r="U99" s="113"/>
      <c r="V99" s="35">
        <v>87</v>
      </c>
    </row>
    <row r="100" spans="3:22" x14ac:dyDescent="0.25">
      <c r="C100" t="str" cm="1">
        <f t="array" aca="1" ref="C100" ca="1">IFERROR(IF(INDIRECT($D$2&amp;"!B"&amp;T100)="","",INDIRECT("'"&amp;$D$2&amp;"'"&amp;"!B"&amp;T100)),IF(INDIRECT("'"&amp;$D$2&amp;"'"&amp;"!B"&amp;T100)="","",INDIRECT("'"&amp;$D$2&amp;"'"&amp;"!B"&amp;T100)))</f>
        <v>Parascript CAR/LAR</v>
      </c>
      <c r="D100" t="str" cm="1">
        <f t="array" aca="1" ref="D100" ca="1">IFERROR(_xlfn.IFS(C100="","",C100&lt;&gt;"",INDEX(SF_Output!I:I,MATCH(C100,SF_Output!M:M,0))),IFERROR(INDEX(INDIRECT($D$2&amp;"!G:G"),MATCH(C100,INDIRECT($D$2&amp;"!B:B"),0)),INDEX(INDIRECT("'"&amp;$D$2&amp;"'!G:G"),MATCH(C100,INDIRECT("'"&amp;$D$2&amp;"'!B:B"),0))))</f>
        <v>Payments</v>
      </c>
      <c r="E100" t="str" cm="1">
        <f t="array" aca="1" ref="E100" ca="1">IFERROR(IF(C100="","",INDIRECT($D$2&amp;"!F"&amp;T100)),IF(C100="","",INDIRECT("'"&amp;$D$2&amp;"'"&amp;"!F"&amp;T100)))</f>
        <v>Included</v>
      </c>
      <c r="F100" t="str" cm="1">
        <f t="array" aca="1" ref="F100" ca="1">IFERROR(IF(C100="","",INDIRECT($D$2&amp;"!ak"&amp;T100)),IF(C100="","",INDIRECT("'"&amp;$D$2&amp;"'"&amp;"!ak"&amp;T100)))</f>
        <v/>
      </c>
      <c r="G100" cm="1">
        <f t="array" aca="1" ref="G100" ca="1">IFERROR(INDIRECT($D$2&amp;"!h"&amp;T100),INDIRECT("'"&amp;$D$2&amp;"'"&amp;"!h"&amp;T100))</f>
        <v>1</v>
      </c>
      <c r="H100" s="125" t="str" cm="1">
        <f t="array" aca="1" ref="H100" ca="1">IFERROR(INDIRECT($D$2&amp;"!i"&amp;T100),INDIRECT("'"&amp;$D$2&amp;"'"&amp;"!i"&amp;T100))</f>
        <v/>
      </c>
      <c r="I100" s="113" cm="1">
        <f t="array" aca="1" ref="I100" ca="1">IFERROR(IF($C100="","",INDIRECT($D$2&amp;"!j"&amp;$T100)+INDIRECT($D$2&amp;"!n"&amp;$T100)),IF($C100="","",INDIRECT("'"&amp;$D$2&amp;"'"&amp;"!j"&amp;$T100)+INDIRECT("'"&amp;$D$2&amp;"'"&amp;"!n"&amp;$T100)))</f>
        <v>0</v>
      </c>
      <c r="J100" s="113">
        <f t="shared" ca="1" si="6"/>
        <v>0</v>
      </c>
      <c r="K100" s="113" cm="1">
        <f t="array" aca="1" ref="K100" ca="1">IFERROR(IF($C100="","",INDIRECT($D$2&amp;"!l"&amp;$T100)+INDIRECT($D$2&amp;"!p"&amp;$T100)),IF($C100="","",INDIRECT("'"&amp;$D$2&amp;"'"&amp;"!l"&amp;$T100)+INDIRECT("'"&amp;$D$2&amp;"'"&amp;"!p"&amp;$T100)))</f>
        <v>0</v>
      </c>
      <c r="M100" s="113" cm="1">
        <f t="array" aca="1" ref="M100" ca="1">IFERROR(IF($C100="","",INDIRECT($D$2&amp;"!r"&amp;T100)),IF($C100="","",INDIRECT("'"&amp;$D$2&amp;"'"&amp;"!r"&amp;T100)))</f>
        <v>0</v>
      </c>
      <c r="N100" s="113">
        <f t="shared" ca="1" si="7"/>
        <v>0</v>
      </c>
      <c r="O100" s="113" cm="1">
        <f t="array" aca="1" ref="O100" ca="1">IFERROR(IF($C100="","",INDIRECT($D$2&amp;"!t"&amp;T100)),IF($C100="","",INDIRECT("'"&amp;$D$2&amp;"'"&amp;"!t"&amp;T100)))</f>
        <v>0</v>
      </c>
      <c r="Q100" s="113" cm="1">
        <f t="array" aca="1" ref="Q100" ca="1">IFERROR(IF($C100="","",INDIRECT($D$2&amp;"!v"&amp;T100)),IF($C100="","",INDIRECT("'"&amp;$D$2&amp;"'"&amp;"!v"&amp;T100)))</f>
        <v>100</v>
      </c>
      <c r="R100" s="113">
        <f t="shared" ca="1" si="8"/>
        <v>0</v>
      </c>
      <c r="S100" s="113" cm="1">
        <f t="array" aca="1" ref="S100" ca="1">IFERROR(IF($C100="","",INDIRECT($D$2&amp;"!x"&amp;T100)),IF($C100="","",INDIRECT("'"&amp;$D$2&amp;"'"&amp;"!x"&amp;T100)))</f>
        <v>100</v>
      </c>
      <c r="T100" s="35">
        <v>88</v>
      </c>
      <c r="U100" s="113"/>
      <c r="V100" s="35">
        <v>88</v>
      </c>
    </row>
    <row r="101" spans="3:22" x14ac:dyDescent="0.25">
      <c r="C101" t="str" cm="1">
        <f t="array" aca="1" ref="C101" ca="1">IFERROR(IF(INDIRECT($D$2&amp;"!B"&amp;T101)="","",INDIRECT("'"&amp;$D$2&amp;"'"&amp;"!B"&amp;T101)),IF(INDIRECT("'"&amp;$D$2&amp;"'"&amp;"!B"&amp;T101)="","",INDIRECT("'"&amp;$D$2&amp;"'"&amp;"!B"&amp;T101)))</f>
        <v>JHA Debit Processing</v>
      </c>
      <c r="D101" t="str" cm="1">
        <f t="array" aca="1" ref="D101" ca="1">IFERROR(_xlfn.IFS(C101="","",C101&lt;&gt;"",INDEX(SF_Output!I:I,MATCH(C101,SF_Output!M:M,0))),IFERROR(INDEX(INDIRECT($D$2&amp;"!G:G"),MATCH(C101,INDIRECT($D$2&amp;"!B:B"),0)),INDEX(INDIRECT("'"&amp;$D$2&amp;"'!G:G"),MATCH(C101,INDIRECT("'"&amp;$D$2&amp;"'!B:B"),0))))</f>
        <v>Payments</v>
      </c>
      <c r="E101" t="str" cm="1">
        <f t="array" aca="1" ref="E101" ca="1">IFERROR(IF(C101="","",INDIRECT($D$2&amp;"!F"&amp;T101)),IF(C101="","",INDIRECT("'"&amp;$D$2&amp;"'"&amp;"!F"&amp;T101)))</f>
        <v>Included</v>
      </c>
      <c r="F101" t="str" cm="1">
        <f t="array" aca="1" ref="F101" ca="1">IFERROR(IF(C101="","",INDIRECT($D$2&amp;"!ak"&amp;T101)),IF(C101="","",INDIRECT("'"&amp;$D$2&amp;"'"&amp;"!ak"&amp;T101)))</f>
        <v/>
      </c>
      <c r="G101" cm="1">
        <f t="array" aca="1" ref="G101" ca="1">IFERROR(INDIRECT($D$2&amp;"!h"&amp;T101),INDIRECT("'"&amp;$D$2&amp;"'"&amp;"!h"&amp;T101))</f>
        <v>1</v>
      </c>
      <c r="H101" s="125" t="str" cm="1">
        <f t="array" aca="1" ref="H101" ca="1">IFERROR(INDIRECT($D$2&amp;"!i"&amp;T101),INDIRECT("'"&amp;$D$2&amp;"'"&amp;"!i"&amp;T101))</f>
        <v/>
      </c>
      <c r="I101" s="113" cm="1">
        <f t="array" aca="1" ref="I101" ca="1">IFERROR(IF($C101="","",INDIRECT($D$2&amp;"!j"&amp;$T101)+INDIRECT($D$2&amp;"!n"&amp;$T101)),IF($C101="","",INDIRECT("'"&amp;$D$2&amp;"'"&amp;"!j"&amp;$T101)+INDIRECT("'"&amp;$D$2&amp;"'"&amp;"!n"&amp;$T101)))</f>
        <v>12500</v>
      </c>
      <c r="J101" s="113">
        <f t="shared" ca="1" si="6"/>
        <v>-12500</v>
      </c>
      <c r="K101" s="113" cm="1">
        <f t="array" aca="1" ref="K101" ca="1">IFERROR(IF($C101="","",INDIRECT($D$2&amp;"!l"&amp;$T101)+INDIRECT($D$2&amp;"!p"&amp;$T101)),IF($C101="","",INDIRECT("'"&amp;$D$2&amp;"'"&amp;"!l"&amp;$T101)+INDIRECT("'"&amp;$D$2&amp;"'"&amp;"!p"&amp;$T101)))</f>
        <v>0</v>
      </c>
      <c r="M101" s="113" cm="1">
        <f t="array" aca="1" ref="M101" ca="1">IFERROR(IF($C101="","",INDIRECT($D$2&amp;"!r"&amp;T101)),IF($C101="","",INDIRECT("'"&amp;$D$2&amp;"'"&amp;"!r"&amp;T101)))</f>
        <v>0</v>
      </c>
      <c r="N101" s="113">
        <f t="shared" ca="1" si="7"/>
        <v>0</v>
      </c>
      <c r="O101" s="113" cm="1">
        <f t="array" aca="1" ref="O101" ca="1">IFERROR(IF($C101="","",INDIRECT($D$2&amp;"!t"&amp;T101)),IF($C101="","",INDIRECT("'"&amp;$D$2&amp;"'"&amp;"!t"&amp;T101)))</f>
        <v>0</v>
      </c>
      <c r="Q101" s="113" cm="1">
        <f t="array" aca="1" ref="Q101" ca="1">IFERROR(IF($C101="","",INDIRECT($D$2&amp;"!v"&amp;T101)),IF($C101="","",INDIRECT("'"&amp;$D$2&amp;"'"&amp;"!v"&amp;T101)))</f>
        <v>650</v>
      </c>
      <c r="R101" s="113">
        <f t="shared" ca="1" si="8"/>
        <v>0</v>
      </c>
      <c r="S101" s="113" cm="1">
        <f t="array" aca="1" ref="S101" ca="1">IFERROR(IF($C101="","",INDIRECT($D$2&amp;"!x"&amp;T101)),IF($C101="","",INDIRECT("'"&amp;$D$2&amp;"'"&amp;"!x"&amp;T101)))</f>
        <v>650</v>
      </c>
      <c r="T101" s="35">
        <v>89</v>
      </c>
      <c r="U101" s="113"/>
      <c r="V101" s="35">
        <v>89</v>
      </c>
    </row>
    <row r="102" spans="3:22" x14ac:dyDescent="0.25">
      <c r="C102" t="str" cm="1">
        <f t="array" aca="1" ref="C102" ca="1">IFERROR(IF(INDIRECT($D$2&amp;"!B"&amp;T102)="","",INDIRECT("'"&amp;$D$2&amp;"'"&amp;"!B"&amp;T102)),IF(INDIRECT("'"&amp;$D$2&amp;"'"&amp;"!B"&amp;T102)="","",INDIRECT("'"&amp;$D$2&amp;"'"&amp;"!B"&amp;T102)))</f>
        <v>Debit Card Authorization subject to {$}250 minimum monthly</v>
      </c>
      <c r="D102" t="str" cm="1">
        <f t="array" aca="1" ref="D102" ca="1">IFERROR(_xlfn.IFS(C102="","",C102&lt;&gt;"",INDEX(SF_Output!I:I,MATCH(C102,SF_Output!M:M,0))),IFERROR(INDEX(INDIRECT($D$2&amp;"!G:G"),MATCH(C102,INDIRECT($D$2&amp;"!B:B"),0)),INDEX(INDIRECT("'"&amp;$D$2&amp;"'!G:G"),MATCH(C102,INDIRECT("'"&amp;$D$2&amp;"'!B:B"),0))))</f>
        <v>Payments</v>
      </c>
      <c r="E102" t="str" cm="1">
        <f t="array" aca="1" ref="E102" ca="1">IFERROR(IF(C102="","",INDIRECT($D$2&amp;"!F"&amp;T102)),IF(C102="","",INDIRECT("'"&amp;$D$2&amp;"'"&amp;"!F"&amp;T102)))</f>
        <v>Included</v>
      </c>
      <c r="F102" t="str" cm="1">
        <f t="array" aca="1" ref="F102" ca="1">IFERROR(IF(C102="","",INDIRECT($D$2&amp;"!ak"&amp;T102)),IF(C102="","",INDIRECT("'"&amp;$D$2&amp;"'"&amp;"!ak"&amp;T102)))</f>
        <v/>
      </c>
      <c r="G102" cm="1">
        <f t="array" aca="1" ref="G102" ca="1">IFERROR(INDIRECT($D$2&amp;"!h"&amp;T102),INDIRECT("'"&amp;$D$2&amp;"'"&amp;"!h"&amp;T102))</f>
        <v>1</v>
      </c>
      <c r="H102" s="125" t="str" cm="1">
        <f t="array" aca="1" ref="H102" ca="1">IFERROR(INDIRECT($D$2&amp;"!i"&amp;T102),INDIRECT("'"&amp;$D$2&amp;"'"&amp;"!i"&amp;T102))</f>
        <v/>
      </c>
      <c r="I102" s="113" cm="1">
        <f t="array" aca="1" ref="I102" ca="1">IFERROR(IF($C102="","",INDIRECT($D$2&amp;"!j"&amp;$T102)+INDIRECT($D$2&amp;"!n"&amp;$T102)),IF($C102="","",INDIRECT("'"&amp;$D$2&amp;"'"&amp;"!j"&amp;$T102)+INDIRECT("'"&amp;$D$2&amp;"'"&amp;"!n"&amp;$T102)))</f>
        <v>0</v>
      </c>
      <c r="J102" s="113">
        <f t="shared" ca="1" si="6"/>
        <v>0</v>
      </c>
      <c r="K102" s="113" cm="1">
        <f t="array" aca="1" ref="K102" ca="1">IFERROR(IF($C102="","",INDIRECT($D$2&amp;"!l"&amp;$T102)+INDIRECT($D$2&amp;"!p"&amp;$T102)),IF($C102="","",INDIRECT("'"&amp;$D$2&amp;"'"&amp;"!l"&amp;$T102)+INDIRECT("'"&amp;$D$2&amp;"'"&amp;"!p"&amp;$T102)))</f>
        <v>0</v>
      </c>
      <c r="M102" s="113" cm="1">
        <f t="array" aca="1" ref="M102" ca="1">IFERROR(IF($C102="","",INDIRECT($D$2&amp;"!r"&amp;T102)),IF($C102="","",INDIRECT("'"&amp;$D$2&amp;"'"&amp;"!r"&amp;T102)))</f>
        <v>0</v>
      </c>
      <c r="N102" s="113">
        <f t="shared" ca="1" si="7"/>
        <v>0</v>
      </c>
      <c r="O102" s="113" cm="1">
        <f t="array" aca="1" ref="O102" ca="1">IFERROR(IF($C102="","",INDIRECT($D$2&amp;"!t"&amp;T102)),IF($C102="","",INDIRECT("'"&amp;$D$2&amp;"'"&amp;"!t"&amp;T102)))</f>
        <v>0</v>
      </c>
      <c r="Q102" s="113" cm="1">
        <f t="array" aca="1" ref="Q102" ca="1">IFERROR(IF($C102="","",INDIRECT($D$2&amp;"!v"&amp;T102)),IF($C102="","",INDIRECT("'"&amp;$D$2&amp;"'"&amp;"!v"&amp;T102)))</f>
        <v>250</v>
      </c>
      <c r="R102" s="113">
        <f t="shared" ca="1" si="8"/>
        <v>0</v>
      </c>
      <c r="S102" s="113" cm="1">
        <f t="array" aca="1" ref="S102" ca="1">IFERROR(IF($C102="","",INDIRECT($D$2&amp;"!x"&amp;T102)),IF($C102="","",INDIRECT("'"&amp;$D$2&amp;"'"&amp;"!x"&amp;T102)))</f>
        <v>250</v>
      </c>
      <c r="T102" s="35">
        <v>90</v>
      </c>
      <c r="U102" s="113"/>
      <c r="V102" s="35">
        <v>90</v>
      </c>
    </row>
    <row r="103" spans="3:22" x14ac:dyDescent="0.25">
      <c r="C103" t="str" cm="1">
        <f t="array" aca="1" ref="C103" ca="1">IFERROR(IF(INDIRECT($D$2&amp;"!B"&amp;T103)="","",INDIRECT("'"&amp;$D$2&amp;"'"&amp;"!B"&amp;T103)),IF(INDIRECT("'"&amp;$D$2&amp;"'"&amp;"!B"&amp;T103)="","",INDIRECT("'"&amp;$D$2&amp;"'"&amp;"!B"&amp;T103)))</f>
        <v>Debit Card Settlement</v>
      </c>
      <c r="D103" t="str" cm="1">
        <f t="array" aca="1" ref="D103" ca="1">IFERROR(_xlfn.IFS(C103="","",C103&lt;&gt;"",INDEX(SF_Output!I:I,MATCH(C103,SF_Output!M:M,0))),IFERROR(INDEX(INDIRECT($D$2&amp;"!G:G"),MATCH(C103,INDIRECT($D$2&amp;"!B:B"),0)),INDEX(INDIRECT("'"&amp;$D$2&amp;"'!G:G"),MATCH(C103,INDIRECT("'"&amp;$D$2&amp;"'!B:B"),0))))</f>
        <v>Payments</v>
      </c>
      <c r="E103" t="str" cm="1">
        <f t="array" aca="1" ref="E103" ca="1">IFERROR(IF(C103="","",INDIRECT($D$2&amp;"!F"&amp;T103)),IF(C103="","",INDIRECT("'"&amp;$D$2&amp;"'"&amp;"!F"&amp;T103)))</f>
        <v>Included</v>
      </c>
      <c r="F103" t="str" cm="1">
        <f t="array" aca="1" ref="F103" ca="1">IFERROR(IF(C103="","",INDIRECT($D$2&amp;"!ak"&amp;T103)),IF(C103="","",INDIRECT("'"&amp;$D$2&amp;"'"&amp;"!ak"&amp;T103)))</f>
        <v/>
      </c>
      <c r="G103" cm="1">
        <f t="array" aca="1" ref="G103" ca="1">IFERROR(INDIRECT($D$2&amp;"!h"&amp;T103),INDIRECT("'"&amp;$D$2&amp;"'"&amp;"!h"&amp;T103))</f>
        <v>0</v>
      </c>
      <c r="H103" s="125" t="str" cm="1">
        <f t="array" aca="1" ref="H103" ca="1">IFERROR(INDIRECT($D$2&amp;"!i"&amp;T103),INDIRECT("'"&amp;$D$2&amp;"'"&amp;"!i"&amp;T103))</f>
        <v/>
      </c>
      <c r="I103" s="113" cm="1">
        <f t="array" aca="1" ref="I103" ca="1">IFERROR(IF($C103="","",INDIRECT($D$2&amp;"!j"&amp;$T103)+INDIRECT($D$2&amp;"!n"&amp;$T103)),IF($C103="","",INDIRECT("'"&amp;$D$2&amp;"'"&amp;"!j"&amp;$T103)+INDIRECT("'"&amp;$D$2&amp;"'"&amp;"!n"&amp;$T103)))</f>
        <v>0</v>
      </c>
      <c r="J103" s="113">
        <f t="shared" ca="1" si="6"/>
        <v>0</v>
      </c>
      <c r="K103" s="113" cm="1">
        <f t="array" aca="1" ref="K103" ca="1">IFERROR(IF($C103="","",INDIRECT($D$2&amp;"!l"&amp;$T103)+INDIRECT($D$2&amp;"!p"&amp;$T103)),IF($C103="","",INDIRECT("'"&amp;$D$2&amp;"'"&amp;"!l"&amp;$T103)+INDIRECT("'"&amp;$D$2&amp;"'"&amp;"!p"&amp;$T103)))</f>
        <v>0</v>
      </c>
      <c r="M103" s="113" cm="1">
        <f t="array" aca="1" ref="M103" ca="1">IFERROR(IF($C103="","",INDIRECT($D$2&amp;"!r"&amp;T103)),IF($C103="","",INDIRECT("'"&amp;$D$2&amp;"'"&amp;"!r"&amp;T103)))</f>
        <v>0</v>
      </c>
      <c r="N103" s="113">
        <f t="shared" ca="1" si="7"/>
        <v>0</v>
      </c>
      <c r="O103" s="113" cm="1">
        <f t="array" aca="1" ref="O103" ca="1">IFERROR(IF($C103="","",INDIRECT($D$2&amp;"!t"&amp;T103)),IF($C103="","",INDIRECT("'"&amp;$D$2&amp;"'"&amp;"!t"&amp;T103)))</f>
        <v>0</v>
      </c>
      <c r="Q103" s="113" cm="1">
        <f t="array" aca="1" ref="Q103" ca="1">IFERROR(IF($C103="","",INDIRECT($D$2&amp;"!v"&amp;T103)),IF($C103="","",INDIRECT("'"&amp;$D$2&amp;"'"&amp;"!v"&amp;T103)))</f>
        <v>0</v>
      </c>
      <c r="R103" s="113">
        <f t="shared" ca="1" si="8"/>
        <v>0</v>
      </c>
      <c r="S103" s="113" cm="1">
        <f t="array" aca="1" ref="S103" ca="1">IFERROR(IF($C103="","",INDIRECT($D$2&amp;"!x"&amp;T103)),IF($C103="","",INDIRECT("'"&amp;$D$2&amp;"'"&amp;"!x"&amp;T103)))</f>
        <v>0</v>
      </c>
      <c r="T103" s="35">
        <v>91</v>
      </c>
      <c r="U103" s="113"/>
      <c r="V103" s="35">
        <v>91</v>
      </c>
    </row>
    <row r="104" spans="3:22" x14ac:dyDescent="0.25">
      <c r="C104" t="str" cm="1">
        <f t="array" aca="1" ref="C104" ca="1">IFERROR(IF(INDIRECT($D$2&amp;"!B"&amp;T104)="","",INDIRECT("'"&amp;$D$2&amp;"'"&amp;"!B"&amp;T104)),IF(INDIRECT("'"&amp;$D$2&amp;"'"&amp;"!B"&amp;T104)="","",INDIRECT("'"&amp;$D$2&amp;"'"&amp;"!B"&amp;T104)))</f>
        <v>ATM/Debit Cards</v>
      </c>
      <c r="D104" t="str" cm="1">
        <f t="array" aca="1" ref="D104" ca="1">IFERROR(_xlfn.IFS(C104="","",C104&lt;&gt;"",INDEX(SF_Output!I:I,MATCH(C104,SF_Output!M:M,0))),IFERROR(INDEX(INDIRECT($D$2&amp;"!G:G"),MATCH(C104,INDIRECT($D$2&amp;"!B:B"),0)),INDEX(INDIRECT("'"&amp;$D$2&amp;"'!G:G"),MATCH(C104,INDIRECT("'"&amp;$D$2&amp;"'!B:B"),0))))</f>
        <v>Payments</v>
      </c>
      <c r="E104" t="str" cm="1">
        <f t="array" aca="1" ref="E104" ca="1">IFERROR(IF(C104="","",INDIRECT($D$2&amp;"!F"&amp;T104)),IF(C104="","",INDIRECT("'"&amp;$D$2&amp;"'"&amp;"!F"&amp;T104)))</f>
        <v>Included</v>
      </c>
      <c r="F104" t="str" cm="1">
        <f t="array" aca="1" ref="F104" ca="1">IFERROR(IF(C104="","",INDIRECT($D$2&amp;"!ak"&amp;T104)),IF(C104="","",INDIRECT("'"&amp;$D$2&amp;"'"&amp;"!ak"&amp;T104)))</f>
        <v/>
      </c>
      <c r="G104" cm="1">
        <f t="array" aca="1" ref="G104" ca="1">IFERROR(INDIRECT($D$2&amp;"!h"&amp;T104),INDIRECT("'"&amp;$D$2&amp;"'"&amp;"!h"&amp;T104))</f>
        <v>0</v>
      </c>
      <c r="H104" s="125" t="str" cm="1">
        <f t="array" aca="1" ref="H104" ca="1">IFERROR(INDIRECT($D$2&amp;"!i"&amp;T104),INDIRECT("'"&amp;$D$2&amp;"'"&amp;"!i"&amp;T104))</f>
        <v/>
      </c>
      <c r="I104" s="113" cm="1">
        <f t="array" aca="1" ref="I104" ca="1">IFERROR(IF($C104="","",INDIRECT($D$2&amp;"!j"&amp;$T104)+INDIRECT($D$2&amp;"!n"&amp;$T104)),IF($C104="","",INDIRECT("'"&amp;$D$2&amp;"'"&amp;"!j"&amp;$T104)+INDIRECT("'"&amp;$D$2&amp;"'"&amp;"!n"&amp;$T104)))</f>
        <v>0</v>
      </c>
      <c r="J104" s="113">
        <f t="shared" ca="1" si="6"/>
        <v>0</v>
      </c>
      <c r="K104" s="113" cm="1">
        <f t="array" aca="1" ref="K104" ca="1">IFERROR(IF($C104="","",INDIRECT($D$2&amp;"!l"&amp;$T104)+INDIRECT($D$2&amp;"!p"&amp;$T104)),IF($C104="","",INDIRECT("'"&amp;$D$2&amp;"'"&amp;"!l"&amp;$T104)+INDIRECT("'"&amp;$D$2&amp;"'"&amp;"!p"&amp;$T104)))</f>
        <v>0</v>
      </c>
      <c r="M104" s="113" cm="1">
        <f t="array" aca="1" ref="M104" ca="1">IFERROR(IF($C104="","",INDIRECT($D$2&amp;"!r"&amp;T104)),IF($C104="","",INDIRECT("'"&amp;$D$2&amp;"'"&amp;"!r"&amp;T104)))</f>
        <v>0</v>
      </c>
      <c r="N104" s="113">
        <f t="shared" ca="1" si="7"/>
        <v>0</v>
      </c>
      <c r="O104" s="113" cm="1">
        <f t="array" aca="1" ref="O104" ca="1">IFERROR(IF($C104="","",INDIRECT($D$2&amp;"!t"&amp;T104)),IF($C104="","",INDIRECT("'"&amp;$D$2&amp;"'"&amp;"!t"&amp;T104)))</f>
        <v>0</v>
      </c>
      <c r="Q104" s="113" cm="1">
        <f t="array" aca="1" ref="Q104" ca="1">IFERROR(IF($C104="","",INDIRECT($D$2&amp;"!v"&amp;T104)),IF($C104="","",INDIRECT("'"&amp;$D$2&amp;"'"&amp;"!v"&amp;T104)))</f>
        <v>0</v>
      </c>
      <c r="R104" s="113">
        <f t="shared" ca="1" si="8"/>
        <v>0</v>
      </c>
      <c r="S104" s="113" cm="1">
        <f t="array" aca="1" ref="S104" ca="1">IFERROR(IF($C104="","",INDIRECT($D$2&amp;"!x"&amp;T104)),IF($C104="","",INDIRECT("'"&amp;$D$2&amp;"'"&amp;"!x"&amp;T104)))</f>
        <v>0</v>
      </c>
      <c r="T104" s="35">
        <v>92</v>
      </c>
      <c r="U104" s="113"/>
      <c r="V104" s="35">
        <v>92</v>
      </c>
    </row>
    <row r="105" spans="3:22" x14ac:dyDescent="0.25">
      <c r="C105" t="str" cm="1">
        <f t="array" aca="1" ref="C105" ca="1">IFERROR(IF(INDIRECT($D$2&amp;"!B"&amp;T105)="","",INDIRECT("'"&amp;$D$2&amp;"'"&amp;"!B"&amp;T105)),IF(INDIRECT("'"&amp;$D$2&amp;"'"&amp;"!B"&amp;T105)="","",INDIRECT("'"&amp;$D$2&amp;"'"&amp;"!B"&amp;T105)))</f>
        <v>Administrative Fee</v>
      </c>
      <c r="D105" t="str" cm="1">
        <f t="array" aca="1" ref="D105" ca="1">IFERROR(_xlfn.IFS(C105="","",C105&lt;&gt;"",INDEX(SF_Output!I:I,MATCH(C105,SF_Output!M:M,0))),IFERROR(INDEX(INDIRECT($D$2&amp;"!G:G"),MATCH(C105,INDIRECT($D$2&amp;"!B:B"),0)),INDEX(INDIRECT("'"&amp;$D$2&amp;"'!G:G"),MATCH(C105,INDIRECT("'"&amp;$D$2&amp;"'!B:B"),0))))</f>
        <v>Payments</v>
      </c>
      <c r="E105" t="str" cm="1">
        <f t="array" aca="1" ref="E105" ca="1">IFERROR(IF(C105="","",INDIRECT($D$2&amp;"!F"&amp;T105)),IF(C105="","",INDIRECT("'"&amp;$D$2&amp;"'"&amp;"!F"&amp;T105)))</f>
        <v>Included</v>
      </c>
      <c r="F105" t="str" cm="1">
        <f t="array" aca="1" ref="F105" ca="1">IFERROR(IF(C105="","",INDIRECT($D$2&amp;"!ak"&amp;T105)),IF(C105="","",INDIRECT("'"&amp;$D$2&amp;"'"&amp;"!ak"&amp;T105)))</f>
        <v/>
      </c>
      <c r="G105" cm="1">
        <f t="array" aca="1" ref="G105" ca="1">IFERROR(INDIRECT($D$2&amp;"!h"&amp;T105),INDIRECT("'"&amp;$D$2&amp;"'"&amp;"!h"&amp;T105))</f>
        <v>0</v>
      </c>
      <c r="H105" s="125" t="str" cm="1">
        <f t="array" aca="1" ref="H105" ca="1">IFERROR(INDIRECT($D$2&amp;"!i"&amp;T105),INDIRECT("'"&amp;$D$2&amp;"'"&amp;"!i"&amp;T105))</f>
        <v/>
      </c>
      <c r="I105" s="113" cm="1">
        <f t="array" aca="1" ref="I105" ca="1">IFERROR(IF($C105="","",INDIRECT($D$2&amp;"!j"&amp;$T105)+INDIRECT($D$2&amp;"!n"&amp;$T105)),IF($C105="","",INDIRECT("'"&amp;$D$2&amp;"'"&amp;"!j"&amp;$T105)+INDIRECT("'"&amp;$D$2&amp;"'"&amp;"!n"&amp;$T105)))</f>
        <v>0</v>
      </c>
      <c r="J105" s="113">
        <f t="shared" ca="1" si="6"/>
        <v>0</v>
      </c>
      <c r="K105" s="113" cm="1">
        <f t="array" aca="1" ref="K105" ca="1">IFERROR(IF($C105="","",INDIRECT($D$2&amp;"!l"&amp;$T105)+INDIRECT($D$2&amp;"!p"&amp;$T105)),IF($C105="","",INDIRECT("'"&amp;$D$2&amp;"'"&amp;"!l"&amp;$T105)+INDIRECT("'"&amp;$D$2&amp;"'"&amp;"!p"&amp;$T105)))</f>
        <v>0</v>
      </c>
      <c r="M105" s="113" cm="1">
        <f t="array" aca="1" ref="M105" ca="1">IFERROR(IF($C105="","",INDIRECT($D$2&amp;"!r"&amp;T105)),IF($C105="","",INDIRECT("'"&amp;$D$2&amp;"'"&amp;"!r"&amp;T105)))</f>
        <v>0</v>
      </c>
      <c r="N105" s="113">
        <f t="shared" ca="1" si="7"/>
        <v>0</v>
      </c>
      <c r="O105" s="113" cm="1">
        <f t="array" aca="1" ref="O105" ca="1">IFERROR(IF($C105="","",INDIRECT($D$2&amp;"!t"&amp;T105)),IF($C105="","",INDIRECT("'"&amp;$D$2&amp;"'"&amp;"!t"&amp;T105)))</f>
        <v>0</v>
      </c>
      <c r="Q105" s="113" cm="1">
        <f t="array" aca="1" ref="Q105" ca="1">IFERROR(IF($C105="","",INDIRECT($D$2&amp;"!v"&amp;T105)),IF($C105="","",INDIRECT("'"&amp;$D$2&amp;"'"&amp;"!v"&amp;T105)))</f>
        <v>0</v>
      </c>
      <c r="R105" s="113">
        <f t="shared" ca="1" si="8"/>
        <v>0</v>
      </c>
      <c r="S105" s="113" cm="1">
        <f t="array" aca="1" ref="S105" ca="1">IFERROR(IF($C105="","",INDIRECT($D$2&amp;"!x"&amp;T105)),IF($C105="","",INDIRECT("'"&amp;$D$2&amp;"'"&amp;"!x"&amp;T105)))</f>
        <v>0</v>
      </c>
      <c r="T105" s="35">
        <v>93</v>
      </c>
      <c r="U105" s="113"/>
      <c r="V105" s="35">
        <v>93</v>
      </c>
    </row>
    <row r="106" spans="3:22" x14ac:dyDescent="0.25">
      <c r="C106" t="str" cm="1">
        <f t="array" aca="1" ref="C106" ca="1">IFERROR(IF(INDIRECT($D$2&amp;"!B"&amp;T106)="","",INDIRECT("'"&amp;$D$2&amp;"'"&amp;"!B"&amp;T106)),IF(INDIRECT("'"&amp;$D$2&amp;"'"&amp;"!B"&amp;T106)="","",INDIRECT("'"&amp;$D$2&amp;"'"&amp;"!B"&amp;T106)))</f>
        <v>EMV Chip Card Authorization</v>
      </c>
      <c r="D106" t="str" cm="1">
        <f t="array" aca="1" ref="D106" ca="1">IFERROR(_xlfn.IFS(C106="","",C106&lt;&gt;"",INDEX(SF_Output!I:I,MATCH(C106,SF_Output!M:M,0))),IFERROR(INDEX(INDIRECT($D$2&amp;"!G:G"),MATCH(C106,INDIRECT($D$2&amp;"!B:B"),0)),INDEX(INDIRECT("'"&amp;$D$2&amp;"'!G:G"),MATCH(C106,INDIRECT("'"&amp;$D$2&amp;"'!B:B"),0))))</f>
        <v>Payments</v>
      </c>
      <c r="E106" t="str" cm="1">
        <f t="array" aca="1" ref="E106" ca="1">IFERROR(IF(C106="","",INDIRECT($D$2&amp;"!F"&amp;T106)),IF(C106="","",INDIRECT("'"&amp;$D$2&amp;"'"&amp;"!F"&amp;T106)))</f>
        <v>Included</v>
      </c>
      <c r="F106" t="str" cm="1">
        <f t="array" aca="1" ref="F106" ca="1">IFERROR(IF(C106="","",INDIRECT($D$2&amp;"!ak"&amp;T106)),IF(C106="","",INDIRECT("'"&amp;$D$2&amp;"'"&amp;"!ak"&amp;T106)))</f>
        <v/>
      </c>
      <c r="G106" cm="1">
        <f t="array" aca="1" ref="G106" ca="1">IFERROR(INDIRECT($D$2&amp;"!h"&amp;T106),INDIRECT("'"&amp;$D$2&amp;"'"&amp;"!h"&amp;T106))</f>
        <v>0</v>
      </c>
      <c r="H106" s="125" t="str" cm="1">
        <f t="array" aca="1" ref="H106" ca="1">IFERROR(INDIRECT($D$2&amp;"!i"&amp;T106),INDIRECT("'"&amp;$D$2&amp;"'"&amp;"!i"&amp;T106))</f>
        <v/>
      </c>
      <c r="I106" s="113" cm="1">
        <f t="array" aca="1" ref="I106" ca="1">IFERROR(IF($C106="","",INDIRECT($D$2&amp;"!j"&amp;$T106)+INDIRECT($D$2&amp;"!n"&amp;$T106)),IF($C106="","",INDIRECT("'"&amp;$D$2&amp;"'"&amp;"!j"&amp;$T106)+INDIRECT("'"&amp;$D$2&amp;"'"&amp;"!n"&amp;$T106)))</f>
        <v>0</v>
      </c>
      <c r="J106" s="113">
        <f t="shared" ca="1" si="6"/>
        <v>0</v>
      </c>
      <c r="K106" s="113" cm="1">
        <f t="array" aca="1" ref="K106" ca="1">IFERROR(IF($C106="","",INDIRECT($D$2&amp;"!l"&amp;$T106)+INDIRECT($D$2&amp;"!p"&amp;$T106)),IF($C106="","",INDIRECT("'"&amp;$D$2&amp;"'"&amp;"!l"&amp;$T106)+INDIRECT("'"&amp;$D$2&amp;"'"&amp;"!p"&amp;$T106)))</f>
        <v>0</v>
      </c>
      <c r="M106" s="113" cm="1">
        <f t="array" aca="1" ref="M106" ca="1">IFERROR(IF($C106="","",INDIRECT($D$2&amp;"!r"&amp;T106)),IF($C106="","",INDIRECT("'"&amp;$D$2&amp;"'"&amp;"!r"&amp;T106)))</f>
        <v>0</v>
      </c>
      <c r="N106" s="113">
        <f t="shared" ca="1" si="7"/>
        <v>0</v>
      </c>
      <c r="O106" s="113" cm="1">
        <f t="array" aca="1" ref="O106" ca="1">IFERROR(IF($C106="","",INDIRECT($D$2&amp;"!t"&amp;T106)),IF($C106="","",INDIRECT("'"&amp;$D$2&amp;"'"&amp;"!t"&amp;T106)))</f>
        <v>0</v>
      </c>
      <c r="Q106" s="113" cm="1">
        <f t="array" aca="1" ref="Q106" ca="1">IFERROR(IF($C106="","",INDIRECT($D$2&amp;"!v"&amp;T106)),IF($C106="","",INDIRECT("'"&amp;$D$2&amp;"'"&amp;"!v"&amp;T106)))</f>
        <v>0</v>
      </c>
      <c r="R106" s="113">
        <f t="shared" ca="1" si="8"/>
        <v>0</v>
      </c>
      <c r="S106" s="113" cm="1">
        <f t="array" aca="1" ref="S106" ca="1">IFERROR(IF($C106="","",INDIRECT($D$2&amp;"!x"&amp;T106)),IF($C106="","",INDIRECT("'"&amp;$D$2&amp;"'"&amp;"!x"&amp;T106)))</f>
        <v>0</v>
      </c>
      <c r="T106" s="35">
        <v>94</v>
      </c>
      <c r="U106" s="113"/>
      <c r="V106" s="35">
        <v>94</v>
      </c>
    </row>
    <row r="107" spans="3:22" x14ac:dyDescent="0.25">
      <c r="C107" t="str" cm="1">
        <f t="array" aca="1" ref="C107" ca="1">IFERROR(IF(INDIRECT($D$2&amp;"!B"&amp;T107)="","",INDIRECT("'"&amp;$D$2&amp;"'"&amp;"!B"&amp;T107)),IF(INDIRECT("'"&amp;$D$2&amp;"'"&amp;"!B"&amp;T107)="","",INDIRECT("'"&amp;$D$2&amp;"'"&amp;"!B"&amp;T107)))</f>
        <v>Authorization Track One Name Edit</v>
      </c>
      <c r="D107" t="str" cm="1">
        <f t="array" aca="1" ref="D107" ca="1">IFERROR(_xlfn.IFS(C107="","",C107&lt;&gt;"",INDEX(SF_Output!I:I,MATCH(C107,SF_Output!M:M,0))),IFERROR(INDEX(INDIRECT($D$2&amp;"!G:G"),MATCH(C107,INDIRECT($D$2&amp;"!B:B"),0)),INDEX(INDIRECT("'"&amp;$D$2&amp;"'!G:G"),MATCH(C107,INDIRECT("'"&amp;$D$2&amp;"'!B:B"),0))))</f>
        <v>Payments</v>
      </c>
      <c r="E107" t="str" cm="1">
        <f t="array" aca="1" ref="E107" ca="1">IFERROR(IF(C107="","",INDIRECT($D$2&amp;"!F"&amp;T107)),IF(C107="","",INDIRECT("'"&amp;$D$2&amp;"'"&amp;"!F"&amp;T107)))</f>
        <v>Included</v>
      </c>
      <c r="F107" t="str" cm="1">
        <f t="array" aca="1" ref="F107" ca="1">IFERROR(IF(C107="","",INDIRECT($D$2&amp;"!ak"&amp;T107)),IF(C107="","",INDIRECT("'"&amp;$D$2&amp;"'"&amp;"!ak"&amp;T107)))</f>
        <v/>
      </c>
      <c r="G107" cm="1">
        <f t="array" aca="1" ref="G107" ca="1">IFERROR(INDIRECT($D$2&amp;"!h"&amp;T107),INDIRECT("'"&amp;$D$2&amp;"'"&amp;"!h"&amp;T107))</f>
        <v>0</v>
      </c>
      <c r="H107" s="125" t="str" cm="1">
        <f t="array" aca="1" ref="H107" ca="1">IFERROR(INDIRECT($D$2&amp;"!i"&amp;T107),INDIRECT("'"&amp;$D$2&amp;"'"&amp;"!i"&amp;T107))</f>
        <v/>
      </c>
      <c r="I107" s="113" cm="1">
        <f t="array" aca="1" ref="I107" ca="1">IFERROR(IF($C107="","",INDIRECT($D$2&amp;"!j"&amp;$T107)+INDIRECT($D$2&amp;"!n"&amp;$T107)),IF($C107="","",INDIRECT("'"&amp;$D$2&amp;"'"&amp;"!j"&amp;$T107)+INDIRECT("'"&amp;$D$2&amp;"'"&amp;"!n"&amp;$T107)))</f>
        <v>0</v>
      </c>
      <c r="J107" s="113">
        <f t="shared" ca="1" si="6"/>
        <v>0</v>
      </c>
      <c r="K107" s="113" cm="1">
        <f t="array" aca="1" ref="K107" ca="1">IFERROR(IF($C107="","",INDIRECT($D$2&amp;"!l"&amp;$T107)+INDIRECT($D$2&amp;"!p"&amp;$T107)),IF($C107="","",INDIRECT("'"&amp;$D$2&amp;"'"&amp;"!l"&amp;$T107)+INDIRECT("'"&amp;$D$2&amp;"'"&amp;"!p"&amp;$T107)))</f>
        <v>0</v>
      </c>
      <c r="M107" s="113" cm="1">
        <f t="array" aca="1" ref="M107" ca="1">IFERROR(IF($C107="","",INDIRECT($D$2&amp;"!r"&amp;T107)),IF($C107="","",INDIRECT("'"&amp;$D$2&amp;"'"&amp;"!r"&amp;T107)))</f>
        <v>0</v>
      </c>
      <c r="N107" s="113">
        <f t="shared" ca="1" si="7"/>
        <v>0</v>
      </c>
      <c r="O107" s="113" cm="1">
        <f t="array" aca="1" ref="O107" ca="1">IFERROR(IF($C107="","",INDIRECT($D$2&amp;"!t"&amp;T107)),IF($C107="","",INDIRECT("'"&amp;$D$2&amp;"'"&amp;"!t"&amp;T107)))</f>
        <v>0</v>
      </c>
      <c r="Q107" s="113" cm="1">
        <f t="array" aca="1" ref="Q107" ca="1">IFERROR(IF($C107="","",INDIRECT($D$2&amp;"!v"&amp;T107)),IF($C107="","",INDIRECT("'"&amp;$D$2&amp;"'"&amp;"!v"&amp;T107)))</f>
        <v>0</v>
      </c>
      <c r="R107" s="113">
        <f t="shared" ca="1" si="8"/>
        <v>0</v>
      </c>
      <c r="S107" s="113" cm="1">
        <f t="array" aca="1" ref="S107" ca="1">IFERROR(IF($C107="","",INDIRECT($D$2&amp;"!x"&amp;T107)),IF($C107="","",INDIRECT("'"&amp;$D$2&amp;"'"&amp;"!x"&amp;T107)))</f>
        <v>0</v>
      </c>
      <c r="T107" s="35">
        <v>95</v>
      </c>
      <c r="U107" s="113"/>
      <c r="V107" s="35">
        <v>95</v>
      </c>
    </row>
    <row r="108" spans="3:22" x14ac:dyDescent="0.25">
      <c r="C108" t="str" cm="1">
        <f t="array" aca="1" ref="C108" ca="1">IFERROR(IF(INDIRECT($D$2&amp;"!B"&amp;T108)="","",INDIRECT("'"&amp;$D$2&amp;"'"&amp;"!B"&amp;T108)),IF(INDIRECT("'"&amp;$D$2&amp;"'"&amp;"!B"&amp;T108)="","",INDIRECT("'"&amp;$D$2&amp;"'"&amp;"!B"&amp;T108)))</f>
        <v>JHA ATM/POS Processing</v>
      </c>
      <c r="D108" t="str" cm="1">
        <f t="array" aca="1" ref="D108" ca="1">IFERROR(_xlfn.IFS(C108="","",C108&lt;&gt;"",INDEX(SF_Output!I:I,MATCH(C108,SF_Output!M:M,0))),IFERROR(INDEX(INDIRECT($D$2&amp;"!G:G"),MATCH(C108,INDIRECT($D$2&amp;"!B:B"),0)),INDEX(INDIRECT("'"&amp;$D$2&amp;"'!G:G"),MATCH(C108,INDIRECT("'"&amp;$D$2&amp;"'!B:B"),0))))</f>
        <v>Payments</v>
      </c>
      <c r="E108" t="str" cm="1">
        <f t="array" aca="1" ref="E108" ca="1">IFERROR(IF(C108="","",INDIRECT($D$2&amp;"!F"&amp;T108)),IF(C108="","",INDIRECT("'"&amp;$D$2&amp;"'"&amp;"!F"&amp;T108)))</f>
        <v>Included</v>
      </c>
      <c r="F108" t="str" cm="1">
        <f t="array" aca="1" ref="F108" ca="1">IFERROR(IF(C108="","",INDIRECT($D$2&amp;"!ak"&amp;T108)),IF(C108="","",INDIRECT("'"&amp;$D$2&amp;"'"&amp;"!ak"&amp;T108)))</f>
        <v/>
      </c>
      <c r="G108" cm="1">
        <f t="array" aca="1" ref="G108" ca="1">IFERROR(INDIRECT($D$2&amp;"!h"&amp;T108),INDIRECT("'"&amp;$D$2&amp;"'"&amp;"!h"&amp;T108))</f>
        <v>1</v>
      </c>
      <c r="H108" s="125" t="str" cm="1">
        <f t="array" aca="1" ref="H108" ca="1">IFERROR(INDIRECT($D$2&amp;"!i"&amp;T108),INDIRECT("'"&amp;$D$2&amp;"'"&amp;"!i"&amp;T108))</f>
        <v/>
      </c>
      <c r="I108" s="113" cm="1">
        <f t="array" aca="1" ref="I108" ca="1">IFERROR(IF($C108="","",INDIRECT($D$2&amp;"!j"&amp;$T108)+INDIRECT($D$2&amp;"!n"&amp;$T108)),IF($C108="","",INDIRECT("'"&amp;$D$2&amp;"'"&amp;"!j"&amp;$T108)+INDIRECT("'"&amp;$D$2&amp;"'"&amp;"!n"&amp;$T108)))</f>
        <v>3000</v>
      </c>
      <c r="J108" s="113">
        <f t="shared" ca="1" si="6"/>
        <v>-3000</v>
      </c>
      <c r="K108" s="113" cm="1">
        <f t="array" aca="1" ref="K108" ca="1">IFERROR(IF($C108="","",INDIRECT($D$2&amp;"!l"&amp;$T108)+INDIRECT($D$2&amp;"!p"&amp;$T108)),IF($C108="","",INDIRECT("'"&amp;$D$2&amp;"'"&amp;"!l"&amp;$T108)+INDIRECT("'"&amp;$D$2&amp;"'"&amp;"!p"&amp;$T108)))</f>
        <v>0</v>
      </c>
      <c r="M108" s="113" cm="1">
        <f t="array" aca="1" ref="M108" ca="1">IFERROR(IF($C108="","",INDIRECT($D$2&amp;"!r"&amp;T108)),IF($C108="","",INDIRECT("'"&amp;$D$2&amp;"'"&amp;"!r"&amp;T108)))</f>
        <v>0</v>
      </c>
      <c r="N108" s="113">
        <f t="shared" ca="1" si="7"/>
        <v>0</v>
      </c>
      <c r="O108" s="113" cm="1">
        <f t="array" aca="1" ref="O108" ca="1">IFERROR(IF($C108="","",INDIRECT($D$2&amp;"!t"&amp;T108)),IF($C108="","",INDIRECT("'"&amp;$D$2&amp;"'"&amp;"!t"&amp;T108)))</f>
        <v>0</v>
      </c>
      <c r="Q108" s="113" cm="1">
        <f t="array" aca="1" ref="Q108" ca="1">IFERROR(IF($C108="","",INDIRECT($D$2&amp;"!v"&amp;T108)),IF($C108="","",INDIRECT("'"&amp;$D$2&amp;"'"&amp;"!v"&amp;T108)))</f>
        <v>500</v>
      </c>
      <c r="R108" s="113">
        <f t="shared" ca="1" si="8"/>
        <v>0</v>
      </c>
      <c r="S108" s="113" cm="1">
        <f t="array" aca="1" ref="S108" ca="1">IFERROR(IF($C108="","",INDIRECT($D$2&amp;"!x"&amp;T108)),IF($C108="","",INDIRECT("'"&amp;$D$2&amp;"'"&amp;"!x"&amp;T108)))</f>
        <v>500</v>
      </c>
      <c r="T108" s="35">
        <v>96</v>
      </c>
      <c r="U108" s="113"/>
      <c r="V108" s="35">
        <v>96</v>
      </c>
    </row>
    <row r="109" spans="3:22" x14ac:dyDescent="0.25">
      <c r="C109" t="str" cm="1">
        <f t="array" aca="1" ref="C109" ca="1">IFERROR(IF(INDIRECT($D$2&amp;"!B"&amp;T109)="","",INDIRECT("'"&amp;$D$2&amp;"'"&amp;"!B"&amp;T109)),IF(INDIRECT("'"&amp;$D$2&amp;"'"&amp;"!B"&amp;T109)="","",INDIRECT("'"&amp;$D$2&amp;"'"&amp;"!B"&amp;T109)))</f>
        <v>ATM/POS Transactions subject to {$}250 minimum monthly</v>
      </c>
      <c r="D109" t="str" cm="1">
        <f t="array" aca="1" ref="D109" ca="1">IFERROR(_xlfn.IFS(C109="","",C109&lt;&gt;"",INDEX(SF_Output!I:I,MATCH(C109,SF_Output!M:M,0))),IFERROR(INDEX(INDIRECT($D$2&amp;"!G:G"),MATCH(C109,INDIRECT($D$2&amp;"!B:B"),0)),INDEX(INDIRECT("'"&amp;$D$2&amp;"'!G:G"),MATCH(C109,INDIRECT("'"&amp;$D$2&amp;"'!B:B"),0))))</f>
        <v>Payments</v>
      </c>
      <c r="E109" t="str" cm="1">
        <f t="array" aca="1" ref="E109" ca="1">IFERROR(IF(C109="","",INDIRECT($D$2&amp;"!F"&amp;T109)),IF(C109="","",INDIRECT("'"&amp;$D$2&amp;"'"&amp;"!F"&amp;T109)))</f>
        <v>Included</v>
      </c>
      <c r="F109" t="str" cm="1">
        <f t="array" aca="1" ref="F109" ca="1">IFERROR(IF(C109="","",INDIRECT($D$2&amp;"!ak"&amp;T109)),IF(C109="","",INDIRECT("'"&amp;$D$2&amp;"'"&amp;"!ak"&amp;T109)))</f>
        <v/>
      </c>
      <c r="G109" cm="1">
        <f t="array" aca="1" ref="G109" ca="1">IFERROR(INDIRECT($D$2&amp;"!h"&amp;T109),INDIRECT("'"&amp;$D$2&amp;"'"&amp;"!h"&amp;T109))</f>
        <v>1</v>
      </c>
      <c r="H109" s="125" t="str" cm="1">
        <f t="array" aca="1" ref="H109" ca="1">IFERROR(INDIRECT($D$2&amp;"!i"&amp;T109),INDIRECT("'"&amp;$D$2&amp;"'"&amp;"!i"&amp;T109))</f>
        <v/>
      </c>
      <c r="I109" s="113" cm="1">
        <f t="array" aca="1" ref="I109" ca="1">IFERROR(IF($C109="","",INDIRECT($D$2&amp;"!j"&amp;$T109)+INDIRECT($D$2&amp;"!n"&amp;$T109)),IF($C109="","",INDIRECT("'"&amp;$D$2&amp;"'"&amp;"!j"&amp;$T109)+INDIRECT("'"&amp;$D$2&amp;"'"&amp;"!n"&amp;$T109)))</f>
        <v>0</v>
      </c>
      <c r="J109" s="113">
        <f t="shared" ca="1" si="6"/>
        <v>0</v>
      </c>
      <c r="K109" s="113" cm="1">
        <f t="array" aca="1" ref="K109" ca="1">IFERROR(IF($C109="","",INDIRECT($D$2&amp;"!l"&amp;$T109)+INDIRECT($D$2&amp;"!p"&amp;$T109)),IF($C109="","",INDIRECT("'"&amp;$D$2&amp;"'"&amp;"!l"&amp;$T109)+INDIRECT("'"&amp;$D$2&amp;"'"&amp;"!p"&amp;$T109)))</f>
        <v>0</v>
      </c>
      <c r="M109" s="113" cm="1">
        <f t="array" aca="1" ref="M109" ca="1">IFERROR(IF($C109="","",INDIRECT($D$2&amp;"!r"&amp;T109)),IF($C109="","",INDIRECT("'"&amp;$D$2&amp;"'"&amp;"!r"&amp;T109)))</f>
        <v>0</v>
      </c>
      <c r="N109" s="113">
        <f t="shared" ca="1" si="7"/>
        <v>0</v>
      </c>
      <c r="O109" s="113" cm="1">
        <f t="array" aca="1" ref="O109" ca="1">IFERROR(IF($C109="","",INDIRECT($D$2&amp;"!t"&amp;T109)),IF($C109="","",INDIRECT("'"&amp;$D$2&amp;"'"&amp;"!t"&amp;T109)))</f>
        <v>0</v>
      </c>
      <c r="Q109" s="113" cm="1">
        <f t="array" aca="1" ref="Q109" ca="1">IFERROR(IF($C109="","",INDIRECT($D$2&amp;"!v"&amp;T109)),IF($C109="","",INDIRECT("'"&amp;$D$2&amp;"'"&amp;"!v"&amp;T109)))</f>
        <v>250</v>
      </c>
      <c r="R109" s="113">
        <f t="shared" ca="1" si="8"/>
        <v>0</v>
      </c>
      <c r="S109" s="113" cm="1">
        <f t="array" aca="1" ref="S109" ca="1">IFERROR(IF($C109="","",INDIRECT($D$2&amp;"!x"&amp;T109)),IF($C109="","",INDIRECT("'"&amp;$D$2&amp;"'"&amp;"!x"&amp;T109)))</f>
        <v>250</v>
      </c>
      <c r="T109" s="35">
        <v>97</v>
      </c>
      <c r="U109" s="113"/>
      <c r="V109" s="35">
        <v>97</v>
      </c>
    </row>
    <row r="110" spans="3:22" x14ac:dyDescent="0.25">
      <c r="C110" t="str" cm="1">
        <f t="array" aca="1" ref="C110" ca="1">IFERROR(IF(INDIRECT($D$2&amp;"!B"&amp;T110)="","",INDIRECT("'"&amp;$D$2&amp;"'"&amp;"!B"&amp;T110)),IF(INDIRECT("'"&amp;$D$2&amp;"'"&amp;"!B"&amp;T110)="","",INDIRECT("'"&amp;$D$2&amp;"'"&amp;"!B"&amp;T110)))</f>
        <v>ATM Transactions (on-us at-us)</v>
      </c>
      <c r="D110" t="str" cm="1">
        <f t="array" aca="1" ref="D110" ca="1">IFERROR(_xlfn.IFS(C110="","",C110&lt;&gt;"",INDEX(SF_Output!I:I,MATCH(C110,SF_Output!M:M,0))),IFERROR(INDEX(INDIRECT($D$2&amp;"!G:G"),MATCH(C110,INDIRECT($D$2&amp;"!B:B"),0)),INDEX(INDIRECT("'"&amp;$D$2&amp;"'!G:G"),MATCH(C110,INDIRECT("'"&amp;$D$2&amp;"'!B:B"),0))))</f>
        <v>Payments</v>
      </c>
      <c r="E110" t="str" cm="1">
        <f t="array" aca="1" ref="E110" ca="1">IFERROR(IF(C110="","",INDIRECT($D$2&amp;"!F"&amp;T110)),IF(C110="","",INDIRECT("'"&amp;$D$2&amp;"'"&amp;"!F"&amp;T110)))</f>
        <v>Included</v>
      </c>
      <c r="F110" t="str" cm="1">
        <f t="array" aca="1" ref="F110" ca="1">IFERROR(IF(C110="","",INDIRECT($D$2&amp;"!ak"&amp;T110)),IF(C110="","",INDIRECT("'"&amp;$D$2&amp;"'"&amp;"!ak"&amp;T110)))</f>
        <v/>
      </c>
      <c r="G110" cm="1">
        <f t="array" aca="1" ref="G110" ca="1">IFERROR(INDIRECT($D$2&amp;"!h"&amp;T110),INDIRECT("'"&amp;$D$2&amp;"'"&amp;"!h"&amp;T110))</f>
        <v>0</v>
      </c>
      <c r="H110" s="125" t="str" cm="1">
        <f t="array" aca="1" ref="H110" ca="1">IFERROR(INDIRECT($D$2&amp;"!i"&amp;T110),INDIRECT("'"&amp;$D$2&amp;"'"&amp;"!i"&amp;T110))</f>
        <v/>
      </c>
      <c r="I110" s="113" cm="1">
        <f t="array" aca="1" ref="I110" ca="1">IFERROR(IF($C110="","",INDIRECT($D$2&amp;"!j"&amp;$T110)+INDIRECT($D$2&amp;"!n"&amp;$T110)),IF($C110="","",INDIRECT("'"&amp;$D$2&amp;"'"&amp;"!j"&amp;$T110)+INDIRECT("'"&amp;$D$2&amp;"'"&amp;"!n"&amp;$T110)))</f>
        <v>0</v>
      </c>
      <c r="J110" s="113">
        <f t="shared" ca="1" si="6"/>
        <v>0</v>
      </c>
      <c r="K110" s="113" cm="1">
        <f t="array" aca="1" ref="K110" ca="1">IFERROR(IF($C110="","",INDIRECT($D$2&amp;"!l"&amp;$T110)+INDIRECT($D$2&amp;"!p"&amp;$T110)),IF($C110="","",INDIRECT("'"&amp;$D$2&amp;"'"&amp;"!l"&amp;$T110)+INDIRECT("'"&amp;$D$2&amp;"'"&amp;"!p"&amp;$T110)))</f>
        <v>0</v>
      </c>
      <c r="M110" s="113" cm="1">
        <f t="array" aca="1" ref="M110" ca="1">IFERROR(IF($C110="","",INDIRECT($D$2&amp;"!r"&amp;T110)),IF($C110="","",INDIRECT("'"&amp;$D$2&amp;"'"&amp;"!r"&amp;T110)))</f>
        <v>0</v>
      </c>
      <c r="N110" s="113">
        <f t="shared" ca="1" si="7"/>
        <v>0</v>
      </c>
      <c r="O110" s="113" cm="1">
        <f t="array" aca="1" ref="O110" ca="1">IFERROR(IF($C110="","",INDIRECT($D$2&amp;"!t"&amp;T110)),IF($C110="","",INDIRECT("'"&amp;$D$2&amp;"'"&amp;"!t"&amp;T110)))</f>
        <v>0</v>
      </c>
      <c r="Q110" s="113" cm="1">
        <f t="array" aca="1" ref="Q110" ca="1">IFERROR(IF($C110="","",INDIRECT($D$2&amp;"!v"&amp;T110)),IF($C110="","",INDIRECT("'"&amp;$D$2&amp;"'"&amp;"!v"&amp;T110)))</f>
        <v>0</v>
      </c>
      <c r="R110" s="113">
        <f t="shared" ca="1" si="8"/>
        <v>0</v>
      </c>
      <c r="S110" s="113" cm="1">
        <f t="array" aca="1" ref="S110" ca="1">IFERROR(IF($C110="","",INDIRECT($D$2&amp;"!x"&amp;T110)),IF($C110="","",INDIRECT("'"&amp;$D$2&amp;"'"&amp;"!x"&amp;T110)))</f>
        <v>0</v>
      </c>
      <c r="T110" s="35">
        <v>98</v>
      </c>
      <c r="U110" s="113"/>
      <c r="V110" s="35">
        <v>98</v>
      </c>
    </row>
    <row r="111" spans="3:22" x14ac:dyDescent="0.25">
      <c r="C111" t="str" cm="1">
        <f t="array" aca="1" ref="C111" ca="1">IFERROR(IF(INDIRECT($D$2&amp;"!B"&amp;T111)="","",INDIRECT("'"&amp;$D$2&amp;"'"&amp;"!B"&amp;T111)),IF(INDIRECT("'"&amp;$D$2&amp;"'"&amp;"!B"&amp;T111)="","",INDIRECT("'"&amp;$D$2&amp;"'"&amp;"!B"&amp;T111)))</f>
        <v>ATM Setup</v>
      </c>
      <c r="D111" t="str" cm="1">
        <f t="array" aca="1" ref="D111" ca="1">IFERROR(_xlfn.IFS(C111="","",C111&lt;&gt;"",INDEX(SF_Output!I:I,MATCH(C111,SF_Output!M:M,0))),IFERROR(INDEX(INDIRECT($D$2&amp;"!G:G"),MATCH(C111,INDIRECT($D$2&amp;"!B:B"),0)),INDEX(INDIRECT("'"&amp;$D$2&amp;"'!G:G"),MATCH(C111,INDIRECT("'"&amp;$D$2&amp;"'!B:B"),0))))</f>
        <v>Payments</v>
      </c>
      <c r="E111" t="str" cm="1">
        <f t="array" aca="1" ref="E111" ca="1">IFERROR(IF(C111="","",INDIRECT($D$2&amp;"!F"&amp;T111)),IF(C111="","",INDIRECT("'"&amp;$D$2&amp;"'"&amp;"!F"&amp;T111)))</f>
        <v>Included</v>
      </c>
      <c r="F111" t="str" cm="1">
        <f t="array" aca="1" ref="F111" ca="1">IFERROR(IF(C111="","",INDIRECT($D$2&amp;"!ak"&amp;T111)),IF(C111="","",INDIRECT("'"&amp;$D$2&amp;"'"&amp;"!ak"&amp;T111)))</f>
        <v/>
      </c>
      <c r="G111" cm="1">
        <f t="array" aca="1" ref="G111" ca="1">IFERROR(INDIRECT($D$2&amp;"!h"&amp;T111),INDIRECT("'"&amp;$D$2&amp;"'"&amp;"!h"&amp;T111))</f>
        <v>1</v>
      </c>
      <c r="H111" s="125" t="str" cm="1">
        <f t="array" aca="1" ref="H111" ca="1">IFERROR(INDIRECT($D$2&amp;"!i"&amp;T111),INDIRECT("'"&amp;$D$2&amp;"'"&amp;"!i"&amp;T111))</f>
        <v/>
      </c>
      <c r="I111" s="113" cm="1">
        <f t="array" aca="1" ref="I111" ca="1">IFERROR(IF($C111="","",INDIRECT($D$2&amp;"!j"&amp;$T111)+INDIRECT($D$2&amp;"!n"&amp;$T111)),IF($C111="","",INDIRECT("'"&amp;$D$2&amp;"'"&amp;"!j"&amp;$T111)+INDIRECT("'"&amp;$D$2&amp;"'"&amp;"!n"&amp;$T111)))</f>
        <v>145</v>
      </c>
      <c r="J111" s="113">
        <f t="shared" ca="1" si="6"/>
        <v>-145</v>
      </c>
      <c r="K111" s="113" cm="1">
        <f t="array" aca="1" ref="K111" ca="1">IFERROR(IF($C111="","",INDIRECT($D$2&amp;"!l"&amp;$T111)+INDIRECT($D$2&amp;"!p"&amp;$T111)),IF($C111="","",INDIRECT("'"&amp;$D$2&amp;"'"&amp;"!l"&amp;$T111)+INDIRECT("'"&amp;$D$2&amp;"'"&amp;"!p"&amp;$T111)))</f>
        <v>0</v>
      </c>
      <c r="M111" s="113" cm="1">
        <f t="array" aca="1" ref="M111" ca="1">IFERROR(IF($C111="","",INDIRECT($D$2&amp;"!r"&amp;T111)),IF($C111="","",INDIRECT("'"&amp;$D$2&amp;"'"&amp;"!r"&amp;T111)))</f>
        <v>0</v>
      </c>
      <c r="N111" s="113">
        <f t="shared" ca="1" si="7"/>
        <v>0</v>
      </c>
      <c r="O111" s="113" cm="1">
        <f t="array" aca="1" ref="O111" ca="1">IFERROR(IF($C111="","",INDIRECT($D$2&amp;"!t"&amp;T111)),IF($C111="","",INDIRECT("'"&amp;$D$2&amp;"'"&amp;"!t"&amp;T111)))</f>
        <v>0</v>
      </c>
      <c r="Q111" s="113" cm="1">
        <f t="array" aca="1" ref="Q111" ca="1">IFERROR(IF($C111="","",INDIRECT($D$2&amp;"!v"&amp;T111)),IF($C111="","",INDIRECT("'"&amp;$D$2&amp;"'"&amp;"!v"&amp;T111)))</f>
        <v>0</v>
      </c>
      <c r="R111" s="113">
        <f t="shared" ca="1" si="8"/>
        <v>0</v>
      </c>
      <c r="S111" s="113" cm="1">
        <f t="array" aca="1" ref="S111" ca="1">IFERROR(IF($C111="","",INDIRECT($D$2&amp;"!x"&amp;T111)),IF($C111="","",INDIRECT("'"&amp;$D$2&amp;"'"&amp;"!x"&amp;T111)))</f>
        <v>0</v>
      </c>
      <c r="T111" s="35">
        <v>99</v>
      </c>
      <c r="U111" s="113"/>
      <c r="V111" s="35">
        <v>99</v>
      </c>
    </row>
    <row r="112" spans="3:22" x14ac:dyDescent="0.25">
      <c r="C112" t="str" cm="1">
        <f t="array" aca="1" ref="C112" ca="1">IFERROR(IF(INDIRECT($D$2&amp;"!B"&amp;T112)="","",INDIRECT("'"&amp;$D$2&amp;"'"&amp;"!B"&amp;T112)),IF(INDIRECT("'"&amp;$D$2&amp;"'"&amp;"!B"&amp;T112)="","",INDIRECT("'"&amp;$D$2&amp;"'"&amp;"!B"&amp;T112)))</f>
        <v>ATM Driving VPN</v>
      </c>
      <c r="D112" t="str" cm="1">
        <f t="array" aca="1" ref="D112" ca="1">IFERROR(_xlfn.IFS(C112="","",C112&lt;&gt;"",INDEX(SF_Output!I:I,MATCH(C112,SF_Output!M:M,0))),IFERROR(INDEX(INDIRECT($D$2&amp;"!G:G"),MATCH(C112,INDIRECT($D$2&amp;"!B:B"),0)),INDEX(INDIRECT("'"&amp;$D$2&amp;"'!G:G"),MATCH(C112,INDIRECT("'"&amp;$D$2&amp;"'!B:B"),0))))</f>
        <v>Payments</v>
      </c>
      <c r="E112" t="str" cm="1">
        <f t="array" aca="1" ref="E112" ca="1">IFERROR(IF(C112="","",INDIRECT($D$2&amp;"!F"&amp;T112)),IF(C112="","",INDIRECT("'"&amp;$D$2&amp;"'"&amp;"!F"&amp;T112)))</f>
        <v>Included</v>
      </c>
      <c r="F112" t="str" cm="1">
        <f t="array" aca="1" ref="F112" ca="1">IFERROR(IF(C112="","",INDIRECT($D$2&amp;"!ak"&amp;T112)),IF(C112="","",INDIRECT("'"&amp;$D$2&amp;"'"&amp;"!ak"&amp;T112)))</f>
        <v/>
      </c>
      <c r="G112" cm="1">
        <f t="array" aca="1" ref="G112" ca="1">IFERROR(INDIRECT($D$2&amp;"!h"&amp;T112),INDIRECT("'"&amp;$D$2&amp;"'"&amp;"!h"&amp;T112))</f>
        <v>1</v>
      </c>
      <c r="H112" s="125" t="str" cm="1">
        <f t="array" aca="1" ref="H112" ca="1">IFERROR(INDIRECT($D$2&amp;"!i"&amp;T112),INDIRECT("'"&amp;$D$2&amp;"'"&amp;"!i"&amp;T112))</f>
        <v/>
      </c>
      <c r="I112" s="113" cm="1">
        <f t="array" aca="1" ref="I112" ca="1">IFERROR(IF($C112="","",INDIRECT($D$2&amp;"!j"&amp;$T112)+INDIRECT($D$2&amp;"!n"&amp;$T112)),IF($C112="","",INDIRECT("'"&amp;$D$2&amp;"'"&amp;"!j"&amp;$T112)+INDIRECT("'"&amp;$D$2&amp;"'"&amp;"!n"&amp;$T112)))</f>
        <v>0</v>
      </c>
      <c r="J112" s="113">
        <f t="shared" ca="1" si="6"/>
        <v>0</v>
      </c>
      <c r="K112" s="113" cm="1">
        <f t="array" aca="1" ref="K112" ca="1">IFERROR(IF($C112="","",INDIRECT($D$2&amp;"!l"&amp;$T112)+INDIRECT($D$2&amp;"!p"&amp;$T112)),IF($C112="","",INDIRECT("'"&amp;$D$2&amp;"'"&amp;"!l"&amp;$T112)+INDIRECT("'"&amp;$D$2&amp;"'"&amp;"!p"&amp;$T112)))</f>
        <v>0</v>
      </c>
      <c r="M112" s="113" cm="1">
        <f t="array" aca="1" ref="M112" ca="1">IFERROR(IF($C112="","",INDIRECT($D$2&amp;"!r"&amp;T112)),IF($C112="","",INDIRECT("'"&amp;$D$2&amp;"'"&amp;"!r"&amp;T112)))</f>
        <v>0</v>
      </c>
      <c r="N112" s="113">
        <f t="shared" ca="1" si="7"/>
        <v>0</v>
      </c>
      <c r="O112" s="113" cm="1">
        <f t="array" aca="1" ref="O112" ca="1">IFERROR(IF($C112="","",INDIRECT($D$2&amp;"!t"&amp;T112)),IF($C112="","",INDIRECT("'"&amp;$D$2&amp;"'"&amp;"!t"&amp;T112)))</f>
        <v>0</v>
      </c>
      <c r="Q112" s="113" cm="1">
        <f t="array" aca="1" ref="Q112" ca="1">IFERROR(IF($C112="","",INDIRECT($D$2&amp;"!v"&amp;T112)),IF($C112="","",INDIRECT("'"&amp;$D$2&amp;"'"&amp;"!v"&amp;T112)))</f>
        <v>100</v>
      </c>
      <c r="R112" s="113">
        <f t="shared" ca="1" si="8"/>
        <v>0</v>
      </c>
      <c r="S112" s="113" cm="1">
        <f t="array" aca="1" ref="S112" ca="1">IFERROR(IF($C112="","",INDIRECT($D$2&amp;"!x"&amp;T112)),IF($C112="","",INDIRECT("'"&amp;$D$2&amp;"'"&amp;"!x"&amp;T112)))</f>
        <v>100</v>
      </c>
      <c r="T112" s="35">
        <v>100</v>
      </c>
      <c r="U112" s="113"/>
      <c r="V112" s="35">
        <v>100</v>
      </c>
    </row>
    <row r="113" spans="3:22" x14ac:dyDescent="0.25">
      <c r="C113" t="str" cm="1">
        <f t="array" aca="1" ref="C113" ca="1">IFERROR(IF(INDIRECT($D$2&amp;"!B"&amp;T113)="","",INDIRECT("'"&amp;$D$2&amp;"'"&amp;"!B"&amp;T113)),IF(INDIRECT("'"&amp;$D$2&amp;"'"&amp;"!B"&amp;T113)="","",INDIRECT("'"&amp;$D$2&amp;"'"&amp;"!B"&amp;T113)))</f>
        <v>Regional ATM/Debit Network</v>
      </c>
      <c r="D113" t="str" cm="1">
        <f t="array" aca="1" ref="D113" ca="1">IFERROR(_xlfn.IFS(C113="","",C113&lt;&gt;"",INDEX(SF_Output!I:I,MATCH(C113,SF_Output!M:M,0))),IFERROR(INDEX(INDIRECT($D$2&amp;"!G:G"),MATCH(C113,INDIRECT($D$2&amp;"!B:B"),0)),INDEX(INDIRECT("'"&amp;$D$2&amp;"'!G:G"),MATCH(C113,INDIRECT("'"&amp;$D$2&amp;"'!B:B"),0))))</f>
        <v>Payments</v>
      </c>
      <c r="E113" t="str" cm="1">
        <f t="array" aca="1" ref="E113" ca="1">IFERROR(IF(C113="","",INDIRECT($D$2&amp;"!F"&amp;T113)),IF(C113="","",INDIRECT("'"&amp;$D$2&amp;"'"&amp;"!F"&amp;T113)))</f>
        <v>Included</v>
      </c>
      <c r="F113" t="str" cm="1">
        <f t="array" aca="1" ref="F113" ca="1">IFERROR(IF(C113="","",INDIRECT($D$2&amp;"!ak"&amp;T113)),IF(C113="","",INDIRECT("'"&amp;$D$2&amp;"'"&amp;"!ak"&amp;T113)))</f>
        <v/>
      </c>
      <c r="G113" cm="1">
        <f t="array" aca="1" ref="G113" ca="1">IFERROR(INDIRECT($D$2&amp;"!h"&amp;T113),INDIRECT("'"&amp;$D$2&amp;"'"&amp;"!h"&amp;T113))</f>
        <v>1</v>
      </c>
      <c r="H113" s="125" t="str" cm="1">
        <f t="array" aca="1" ref="H113" ca="1">IFERROR(INDIRECT($D$2&amp;"!i"&amp;T113),INDIRECT("'"&amp;$D$2&amp;"'"&amp;"!i"&amp;T113))</f>
        <v/>
      </c>
      <c r="I113" s="113" cm="1">
        <f t="array" aca="1" ref="I113" ca="1">IFERROR(IF($C113="","",INDIRECT($D$2&amp;"!j"&amp;$T113)+INDIRECT($D$2&amp;"!n"&amp;$T113)),IF($C113="","",INDIRECT("'"&amp;$D$2&amp;"'"&amp;"!j"&amp;$T113)+INDIRECT("'"&amp;$D$2&amp;"'"&amp;"!n"&amp;$T113)))</f>
        <v>500</v>
      </c>
      <c r="J113" s="113">
        <f t="shared" ca="1" si="6"/>
        <v>-500</v>
      </c>
      <c r="K113" s="113" cm="1">
        <f t="array" aca="1" ref="K113" ca="1">IFERROR(IF($C113="","",INDIRECT($D$2&amp;"!l"&amp;$T113)+INDIRECT($D$2&amp;"!p"&amp;$T113)),IF($C113="","",INDIRECT("'"&amp;$D$2&amp;"'"&amp;"!l"&amp;$T113)+INDIRECT("'"&amp;$D$2&amp;"'"&amp;"!p"&amp;$T113)))</f>
        <v>0</v>
      </c>
      <c r="M113" s="113" cm="1">
        <f t="array" aca="1" ref="M113" ca="1">IFERROR(IF($C113="","",INDIRECT($D$2&amp;"!r"&amp;T113)),IF($C113="","",INDIRECT("'"&amp;$D$2&amp;"'"&amp;"!r"&amp;T113)))</f>
        <v>0</v>
      </c>
      <c r="N113" s="113">
        <f t="shared" ca="1" si="7"/>
        <v>0</v>
      </c>
      <c r="O113" s="113" cm="1">
        <f t="array" aca="1" ref="O113" ca="1">IFERROR(IF($C113="","",INDIRECT($D$2&amp;"!t"&amp;T113)),IF($C113="","",INDIRECT("'"&amp;$D$2&amp;"'"&amp;"!t"&amp;T113)))</f>
        <v>0</v>
      </c>
      <c r="Q113" s="113" cm="1">
        <f t="array" aca="1" ref="Q113" ca="1">IFERROR(IF($C113="","",INDIRECT($D$2&amp;"!v"&amp;T113)),IF($C113="","",INDIRECT("'"&amp;$D$2&amp;"'"&amp;"!v"&amp;T113)))</f>
        <v>75</v>
      </c>
      <c r="R113" s="113">
        <f t="shared" ca="1" si="8"/>
        <v>0</v>
      </c>
      <c r="S113" s="113" cm="1">
        <f t="array" aca="1" ref="S113" ca="1">IFERROR(IF($C113="","",INDIRECT($D$2&amp;"!x"&amp;T113)),IF($C113="","",INDIRECT("'"&amp;$D$2&amp;"'"&amp;"!x"&amp;T113)))</f>
        <v>75</v>
      </c>
      <c r="T113" s="35">
        <v>101</v>
      </c>
      <c r="U113" s="113"/>
      <c r="V113" s="35">
        <v>101</v>
      </c>
    </row>
    <row r="114" spans="3:22" x14ac:dyDescent="0.25">
      <c r="C114" t="str" cm="1">
        <f t="array" aca="1" ref="C114" ca="1">IFERROR(IF(INDIRECT($D$2&amp;"!B"&amp;T114)="","",INDIRECT("'"&amp;$D$2&amp;"'"&amp;"!B"&amp;T114)),IF(INDIRECT("'"&amp;$D$2&amp;"'"&amp;"!B"&amp;T114)="","",INDIRECT("'"&amp;$D$2&amp;"'"&amp;"!B"&amp;T114)))</f>
        <v>National ATM/Debit Network</v>
      </c>
      <c r="D114" t="str" cm="1">
        <f t="array" aca="1" ref="D114" ca="1">IFERROR(_xlfn.IFS(C114="","",C114&lt;&gt;"",INDEX(SF_Output!I:I,MATCH(C114,SF_Output!M:M,0))),IFERROR(INDEX(INDIRECT($D$2&amp;"!G:G"),MATCH(C114,INDIRECT($D$2&amp;"!B:B"),0)),INDEX(INDIRECT("'"&amp;$D$2&amp;"'!G:G"),MATCH(C114,INDIRECT("'"&amp;$D$2&amp;"'!B:B"),0))))</f>
        <v>Payments</v>
      </c>
      <c r="E114" t="str" cm="1">
        <f t="array" aca="1" ref="E114" ca="1">IFERROR(IF(C114="","",INDIRECT($D$2&amp;"!F"&amp;T114)),IF(C114="","",INDIRECT("'"&amp;$D$2&amp;"'"&amp;"!F"&amp;T114)))</f>
        <v>Included</v>
      </c>
      <c r="F114" t="str" cm="1">
        <f t="array" aca="1" ref="F114" ca="1">IFERROR(IF(C114="","",INDIRECT($D$2&amp;"!ak"&amp;T114)),IF(C114="","",INDIRECT("'"&amp;$D$2&amp;"'"&amp;"!ak"&amp;T114)))</f>
        <v/>
      </c>
      <c r="G114" cm="1">
        <f t="array" aca="1" ref="G114" ca="1">IFERROR(INDIRECT($D$2&amp;"!h"&amp;T114),INDIRECT("'"&amp;$D$2&amp;"'"&amp;"!h"&amp;T114))</f>
        <v>3</v>
      </c>
      <c r="H114" s="125" cm="1">
        <f t="array" aca="1" ref="H114" ca="1">IFERROR(INDIRECT($D$2&amp;"!i"&amp;T114),INDIRECT("'"&amp;$D$2&amp;"'"&amp;"!i"&amp;T114))</f>
        <v>75</v>
      </c>
      <c r="I114" s="113" cm="1">
        <f t="array" aca="1" ref="I114" ca="1">IFERROR(IF($C114="","",INDIRECT($D$2&amp;"!j"&amp;$T114)+INDIRECT($D$2&amp;"!n"&amp;$T114)),IF($C114="","",INDIRECT("'"&amp;$D$2&amp;"'"&amp;"!j"&amp;$T114)+INDIRECT("'"&amp;$D$2&amp;"'"&amp;"!n"&amp;$T114)))</f>
        <v>1500</v>
      </c>
      <c r="J114" s="113">
        <f t="shared" ca="1" si="6"/>
        <v>-1500</v>
      </c>
      <c r="K114" s="113" cm="1">
        <f t="array" aca="1" ref="K114" ca="1">IFERROR(IF($C114="","",INDIRECT($D$2&amp;"!l"&amp;$T114)+INDIRECT($D$2&amp;"!p"&amp;$T114)),IF($C114="","",INDIRECT("'"&amp;$D$2&amp;"'"&amp;"!l"&amp;$T114)+INDIRECT("'"&amp;$D$2&amp;"'"&amp;"!p"&amp;$T114)))</f>
        <v>0</v>
      </c>
      <c r="M114" s="113" cm="1">
        <f t="array" aca="1" ref="M114" ca="1">IFERROR(IF($C114="","",INDIRECT($D$2&amp;"!r"&amp;T114)),IF($C114="","",INDIRECT("'"&amp;$D$2&amp;"'"&amp;"!r"&amp;T114)))</f>
        <v>0</v>
      </c>
      <c r="N114" s="113">
        <f t="shared" ca="1" si="7"/>
        <v>0</v>
      </c>
      <c r="O114" s="113" cm="1">
        <f t="array" aca="1" ref="O114" ca="1">IFERROR(IF($C114="","",INDIRECT($D$2&amp;"!t"&amp;T114)),IF($C114="","",INDIRECT("'"&amp;$D$2&amp;"'"&amp;"!t"&amp;T114)))</f>
        <v>0</v>
      </c>
      <c r="Q114" s="113" cm="1">
        <f t="array" aca="1" ref="Q114" ca="1">IFERROR(IF($C114="","",INDIRECT($D$2&amp;"!v"&amp;T114)),IF($C114="","",INDIRECT("'"&amp;$D$2&amp;"'"&amp;"!v"&amp;T114)))</f>
        <v>225</v>
      </c>
      <c r="R114" s="113">
        <f t="shared" ca="1" si="8"/>
        <v>0</v>
      </c>
      <c r="S114" s="113" cm="1">
        <f t="array" aca="1" ref="S114" ca="1">IFERROR(IF($C114="","",INDIRECT($D$2&amp;"!x"&amp;T114)),IF($C114="","",INDIRECT("'"&amp;$D$2&amp;"'"&amp;"!x"&amp;T114)))</f>
        <v>225</v>
      </c>
      <c r="T114" s="35">
        <v>102</v>
      </c>
      <c r="U114" s="113"/>
      <c r="V114" s="35">
        <v>102</v>
      </c>
    </row>
    <row r="115" spans="3:22" x14ac:dyDescent="0.25">
      <c r="C115" t="str" cm="1">
        <f t="array" aca="1" ref="C115" ca="1">IFERROR(IF(INDIRECT($D$2&amp;"!B"&amp;T115)="","",INDIRECT("'"&amp;$D$2&amp;"'"&amp;"!B"&amp;T115)),IF(INDIRECT("'"&amp;$D$2&amp;"'"&amp;"!B"&amp;T115)="","",INDIRECT("'"&amp;$D$2&amp;"'"&amp;"!B"&amp;T115)))</f>
        <v>VISA/MasterCard Account Update (Items Needing Review)</v>
      </c>
      <c r="D115" t="str" cm="1">
        <f t="array" aca="1" ref="D115" ca="1">IFERROR(_xlfn.IFS(C115="","",C115&lt;&gt;"",INDEX(SF_Output!I:I,MATCH(C115,SF_Output!M:M,0))),IFERROR(INDEX(INDIRECT($D$2&amp;"!G:G"),MATCH(C115,INDIRECT($D$2&amp;"!B:B"),0)),INDEX(INDIRECT("'"&amp;$D$2&amp;"'!G:G"),MATCH(C115,INDIRECT("'"&amp;$D$2&amp;"'!B:B"),0))))</f>
        <v>Payments</v>
      </c>
      <c r="E115" t="str" cm="1">
        <f t="array" aca="1" ref="E115" ca="1">IFERROR(IF(C115="","",INDIRECT($D$2&amp;"!F"&amp;T115)),IF(C115="","",INDIRECT("'"&amp;$D$2&amp;"'"&amp;"!F"&amp;T115)))</f>
        <v>Included</v>
      </c>
      <c r="F115" t="str" cm="1">
        <f t="array" aca="1" ref="F115" ca="1">IFERROR(IF(C115="","",INDIRECT($D$2&amp;"!ak"&amp;T115)),IF(C115="","",INDIRECT("'"&amp;$D$2&amp;"'"&amp;"!ak"&amp;T115)))</f>
        <v/>
      </c>
      <c r="G115" cm="1">
        <f t="array" aca="1" ref="G115" ca="1">IFERROR(INDIRECT($D$2&amp;"!h"&amp;T115),INDIRECT("'"&amp;$D$2&amp;"'"&amp;"!h"&amp;T115))</f>
        <v>0</v>
      </c>
      <c r="H115" s="125" t="str" cm="1">
        <f t="array" aca="1" ref="H115" ca="1">IFERROR(INDIRECT($D$2&amp;"!i"&amp;T115),INDIRECT("'"&amp;$D$2&amp;"'"&amp;"!i"&amp;T115))</f>
        <v/>
      </c>
      <c r="I115" s="113" cm="1">
        <f t="array" aca="1" ref="I115" ca="1">IFERROR(IF($C115="","",INDIRECT($D$2&amp;"!j"&amp;$T115)+INDIRECT($D$2&amp;"!n"&amp;$T115)),IF($C115="","",INDIRECT("'"&amp;$D$2&amp;"'"&amp;"!j"&amp;$T115)+INDIRECT("'"&amp;$D$2&amp;"'"&amp;"!n"&amp;$T115)))</f>
        <v>200</v>
      </c>
      <c r="J115" s="113">
        <f t="shared" ca="1" si="6"/>
        <v>-200</v>
      </c>
      <c r="K115" s="113" cm="1">
        <f t="array" aca="1" ref="K115" ca="1">IFERROR(IF($C115="","",INDIRECT($D$2&amp;"!l"&amp;$T115)+INDIRECT($D$2&amp;"!p"&amp;$T115)),IF($C115="","",INDIRECT("'"&amp;$D$2&amp;"'"&amp;"!l"&amp;$T115)+INDIRECT("'"&amp;$D$2&amp;"'"&amp;"!p"&amp;$T115)))</f>
        <v>0</v>
      </c>
      <c r="M115" s="113" cm="1">
        <f t="array" aca="1" ref="M115" ca="1">IFERROR(IF($C115="","",INDIRECT($D$2&amp;"!r"&amp;T115)),IF($C115="","",INDIRECT("'"&amp;$D$2&amp;"'"&amp;"!r"&amp;T115)))</f>
        <v>0</v>
      </c>
      <c r="N115" s="113">
        <f t="shared" ca="1" si="7"/>
        <v>0</v>
      </c>
      <c r="O115" s="113" cm="1">
        <f t="array" aca="1" ref="O115" ca="1">IFERROR(IF($C115="","",INDIRECT($D$2&amp;"!t"&amp;T115)),IF($C115="","",INDIRECT("'"&amp;$D$2&amp;"'"&amp;"!t"&amp;T115)))</f>
        <v>0</v>
      </c>
      <c r="Q115" s="113" cm="1">
        <f t="array" aca="1" ref="Q115" ca="1">IFERROR(IF($C115="","",INDIRECT($D$2&amp;"!v"&amp;T115)),IF($C115="","",INDIRECT("'"&amp;$D$2&amp;"'"&amp;"!v"&amp;T115)))</f>
        <v>0</v>
      </c>
      <c r="R115" s="113">
        <f t="shared" ca="1" si="8"/>
        <v>0</v>
      </c>
      <c r="S115" s="113" cm="1">
        <f t="array" aca="1" ref="S115" ca="1">IFERROR(IF($C115="","",INDIRECT($D$2&amp;"!x"&amp;T115)),IF($C115="","",INDIRECT("'"&amp;$D$2&amp;"'"&amp;"!x"&amp;T115)))</f>
        <v>0</v>
      </c>
      <c r="T115" s="35">
        <v>103</v>
      </c>
      <c r="U115" s="113"/>
      <c r="V115" s="35">
        <v>103</v>
      </c>
    </row>
    <row r="116" spans="3:22" x14ac:dyDescent="0.25">
      <c r="C116" t="str" cm="1">
        <f t="array" aca="1" ref="C116" ca="1">IFERROR(IF(INDIRECT($D$2&amp;"!B"&amp;T116)="","",INDIRECT("'"&amp;$D$2&amp;"'"&amp;"!B"&amp;T116)),IF(INDIRECT("'"&amp;$D$2&amp;"'"&amp;"!B"&amp;T116)="","",INDIRECT("'"&amp;$D$2&amp;"'"&amp;"!B"&amp;T116)))</f>
        <v>VISA/MasterCard Add/Change/Delete</v>
      </c>
      <c r="D116" t="str" cm="1">
        <f t="array" aca="1" ref="D116" ca="1">IFERROR(_xlfn.IFS(C116="","",C116&lt;&gt;"",INDEX(SF_Output!I:I,MATCH(C116,SF_Output!M:M,0))),IFERROR(INDEX(INDIRECT($D$2&amp;"!G:G"),MATCH(C116,INDIRECT($D$2&amp;"!B:B"),0)),INDEX(INDIRECT("'"&amp;$D$2&amp;"'!G:G"),MATCH(C116,INDIRECT("'"&amp;$D$2&amp;"'!B:B"),0))))</f>
        <v>Payments</v>
      </c>
      <c r="E116" t="str" cm="1">
        <f t="array" aca="1" ref="E116" ca="1">IFERROR(IF(C116="","",INDIRECT($D$2&amp;"!F"&amp;T116)),IF(C116="","",INDIRECT("'"&amp;$D$2&amp;"'"&amp;"!F"&amp;T116)))</f>
        <v>Included</v>
      </c>
      <c r="F116" t="str" cm="1">
        <f t="array" aca="1" ref="F116" ca="1">IFERROR(IF(C116="","",INDIRECT($D$2&amp;"!ak"&amp;T116)),IF(C116="","",INDIRECT("'"&amp;$D$2&amp;"'"&amp;"!ak"&amp;T116)))</f>
        <v/>
      </c>
      <c r="G116" cm="1">
        <f t="array" aca="1" ref="G116" ca="1">IFERROR(INDIRECT($D$2&amp;"!h"&amp;T116),INDIRECT("'"&amp;$D$2&amp;"'"&amp;"!h"&amp;T116))</f>
        <v>0</v>
      </c>
      <c r="H116" s="125" t="str" cm="1">
        <f t="array" aca="1" ref="H116" ca="1">IFERROR(INDIRECT($D$2&amp;"!i"&amp;T116),INDIRECT("'"&amp;$D$2&amp;"'"&amp;"!i"&amp;T116))</f>
        <v/>
      </c>
      <c r="I116" s="113" cm="1">
        <f t="array" aca="1" ref="I116" ca="1">IFERROR(IF($C116="","",INDIRECT($D$2&amp;"!j"&amp;$T116)+INDIRECT($D$2&amp;"!n"&amp;$T116)),IF($C116="","",INDIRECT("'"&amp;$D$2&amp;"'"&amp;"!j"&amp;$T116)+INDIRECT("'"&amp;$D$2&amp;"'"&amp;"!n"&amp;$T116)))</f>
        <v>0</v>
      </c>
      <c r="J116" s="113">
        <f t="shared" ca="1" si="6"/>
        <v>0</v>
      </c>
      <c r="K116" s="113" cm="1">
        <f t="array" aca="1" ref="K116" ca="1">IFERROR(IF($C116="","",INDIRECT($D$2&amp;"!l"&amp;$T116)+INDIRECT($D$2&amp;"!p"&amp;$T116)),IF($C116="","",INDIRECT("'"&amp;$D$2&amp;"'"&amp;"!l"&amp;$T116)+INDIRECT("'"&amp;$D$2&amp;"'"&amp;"!p"&amp;$T116)))</f>
        <v>0</v>
      </c>
      <c r="M116" s="113" cm="1">
        <f t="array" aca="1" ref="M116" ca="1">IFERROR(IF($C116="","",INDIRECT($D$2&amp;"!r"&amp;T116)),IF($C116="","",INDIRECT("'"&amp;$D$2&amp;"'"&amp;"!r"&amp;T116)))</f>
        <v>0</v>
      </c>
      <c r="N116" s="113">
        <f t="shared" ca="1" si="7"/>
        <v>0</v>
      </c>
      <c r="O116" s="113" cm="1">
        <f t="array" aca="1" ref="O116" ca="1">IFERROR(IF($C116="","",INDIRECT($D$2&amp;"!t"&amp;T116)),IF($C116="","",INDIRECT("'"&amp;$D$2&amp;"'"&amp;"!t"&amp;T116)))</f>
        <v>0</v>
      </c>
      <c r="Q116" s="113" cm="1">
        <f t="array" aca="1" ref="Q116" ca="1">IFERROR(IF($C116="","",INDIRECT($D$2&amp;"!v"&amp;T116)),IF($C116="","",INDIRECT("'"&amp;$D$2&amp;"'"&amp;"!v"&amp;T116)))</f>
        <v>0</v>
      </c>
      <c r="R116" s="113">
        <f t="shared" ca="1" si="8"/>
        <v>0</v>
      </c>
      <c r="S116" s="113" cm="1">
        <f t="array" aca="1" ref="S116" ca="1">IFERROR(IF($C116="","",INDIRECT($D$2&amp;"!x"&amp;T116)),IF($C116="","",INDIRECT("'"&amp;$D$2&amp;"'"&amp;"!x"&amp;T116)))</f>
        <v>0</v>
      </c>
      <c r="T116" s="35">
        <v>104</v>
      </c>
      <c r="U116" s="113"/>
      <c r="V116" s="35">
        <v>104</v>
      </c>
    </row>
    <row r="117" spans="3:22" x14ac:dyDescent="0.25">
      <c r="C117" t="str" cm="1">
        <f t="array" aca="1" ref="C117" ca="1">IFERROR(IF(INDIRECT($D$2&amp;"!B"&amp;T117)="","",INDIRECT("'"&amp;$D$2&amp;"'"&amp;"!B"&amp;T117)),IF(INDIRECT("'"&amp;$D$2&amp;"'"&amp;"!B"&amp;T117)="","",INDIRECT("'"&amp;$D$2&amp;"'"&amp;"!B"&amp;T117)))</f>
        <v>JHA Tokenization (Digital Wallet) JHA Debit Processing</v>
      </c>
      <c r="D117" t="str" cm="1">
        <f t="array" aca="1" ref="D117" ca="1">IFERROR(_xlfn.IFS(C117="","",C117&lt;&gt;"",INDEX(SF_Output!I:I,MATCH(C117,SF_Output!M:M,0))),IFERROR(INDEX(INDIRECT($D$2&amp;"!G:G"),MATCH(C117,INDIRECT($D$2&amp;"!B:B"),0)),INDEX(INDIRECT("'"&amp;$D$2&amp;"'!G:G"),MATCH(C117,INDIRECT("'"&amp;$D$2&amp;"'!B:B"),0))))</f>
        <v>Payments</v>
      </c>
      <c r="E117" t="str" cm="1">
        <f t="array" aca="1" ref="E117" ca="1">IFERROR(IF(C117="","",INDIRECT($D$2&amp;"!F"&amp;T117)),IF(C117="","",INDIRECT("'"&amp;$D$2&amp;"'"&amp;"!F"&amp;T117)))</f>
        <v>Included</v>
      </c>
      <c r="F117" t="str" cm="1">
        <f t="array" aca="1" ref="F117" ca="1">IFERROR(IF(C117="","",INDIRECT($D$2&amp;"!ak"&amp;T117)),IF(C117="","",INDIRECT("'"&amp;$D$2&amp;"'"&amp;"!ak"&amp;T117)))</f>
        <v/>
      </c>
      <c r="G117" cm="1">
        <f t="array" aca="1" ref="G117" ca="1">IFERROR(INDIRECT($D$2&amp;"!h"&amp;T117),INDIRECT("'"&amp;$D$2&amp;"'"&amp;"!h"&amp;T117))</f>
        <v>1</v>
      </c>
      <c r="H117" s="125" t="str" cm="1">
        <f t="array" aca="1" ref="H117" ca="1">IFERROR(INDIRECT($D$2&amp;"!i"&amp;T117),INDIRECT("'"&amp;$D$2&amp;"'"&amp;"!i"&amp;T117))</f>
        <v/>
      </c>
      <c r="I117" s="113" cm="1">
        <f t="array" aca="1" ref="I117" ca="1">IFERROR(IF($C117="","",INDIRECT($D$2&amp;"!j"&amp;$T117)+INDIRECT($D$2&amp;"!n"&amp;$T117)),IF($C117="","",INDIRECT("'"&amp;$D$2&amp;"'"&amp;"!j"&amp;$T117)+INDIRECT("'"&amp;$D$2&amp;"'"&amp;"!n"&amp;$T117)))</f>
        <v>4000</v>
      </c>
      <c r="J117" s="113">
        <f t="shared" ca="1" si="6"/>
        <v>-4000</v>
      </c>
      <c r="K117" s="113" cm="1">
        <f t="array" aca="1" ref="K117" ca="1">IFERROR(IF($C117="","",INDIRECT($D$2&amp;"!l"&amp;$T117)+INDIRECT($D$2&amp;"!p"&amp;$T117)),IF($C117="","",INDIRECT("'"&amp;$D$2&amp;"'"&amp;"!l"&amp;$T117)+INDIRECT("'"&amp;$D$2&amp;"'"&amp;"!p"&amp;$T117)))</f>
        <v>0</v>
      </c>
      <c r="M117" s="113" cm="1">
        <f t="array" aca="1" ref="M117" ca="1">IFERROR(IF($C117="","",INDIRECT($D$2&amp;"!r"&amp;T117)),IF($C117="","",INDIRECT("'"&amp;$D$2&amp;"'"&amp;"!r"&amp;T117)))</f>
        <v>0</v>
      </c>
      <c r="N117" s="113">
        <f t="shared" ca="1" si="7"/>
        <v>0</v>
      </c>
      <c r="O117" s="113" cm="1">
        <f t="array" aca="1" ref="O117" ca="1">IFERROR(IF($C117="","",INDIRECT($D$2&amp;"!t"&amp;T117)),IF($C117="","",INDIRECT("'"&amp;$D$2&amp;"'"&amp;"!t"&amp;T117)))</f>
        <v>0</v>
      </c>
      <c r="Q117" s="113" cm="1">
        <f t="array" aca="1" ref="Q117" ca="1">IFERROR(IF($C117="","",INDIRECT($D$2&amp;"!v"&amp;T117)),IF($C117="","",INDIRECT("'"&amp;$D$2&amp;"'"&amp;"!v"&amp;T117)))</f>
        <v>0</v>
      </c>
      <c r="R117" s="113">
        <f t="shared" ca="1" si="8"/>
        <v>0</v>
      </c>
      <c r="S117" s="113" cm="1">
        <f t="array" aca="1" ref="S117" ca="1">IFERROR(IF($C117="","",INDIRECT($D$2&amp;"!x"&amp;T117)),IF($C117="","",INDIRECT("'"&amp;$D$2&amp;"'"&amp;"!x"&amp;T117)))</f>
        <v>0</v>
      </c>
      <c r="T117" s="35">
        <v>105</v>
      </c>
      <c r="U117" s="113"/>
      <c r="V117" s="35">
        <v>105</v>
      </c>
    </row>
    <row r="118" spans="3:22" x14ac:dyDescent="0.25">
      <c r="C118" t="str" cm="1">
        <f t="array" aca="1" ref="C118" ca="1">IFERROR(IF(INDIRECT($D$2&amp;"!B"&amp;T118)="","",INDIRECT("'"&amp;$D$2&amp;"'"&amp;"!B"&amp;T118)),IF(INDIRECT("'"&amp;$D$2&amp;"'"&amp;"!B"&amp;T118)="","",INDIRECT("'"&amp;$D$2&amp;"'"&amp;"!B"&amp;T118)))</f>
        <v>JHA Tokenization (Digital Wallet) Additional Instance JHA Debit Processing</v>
      </c>
      <c r="D118" t="str" cm="1">
        <f t="array" aca="1" ref="D118" ca="1">IFERROR(_xlfn.IFS(C118="","",C118&lt;&gt;"",INDEX(SF_Output!I:I,MATCH(C118,SF_Output!M:M,0))),IFERROR(INDEX(INDIRECT($D$2&amp;"!G:G"),MATCH(C118,INDIRECT($D$2&amp;"!B:B"),0)),INDEX(INDIRECT("'"&amp;$D$2&amp;"'!G:G"),MATCH(C118,INDIRECT("'"&amp;$D$2&amp;"'!B:B"),0))))</f>
        <v>Payments</v>
      </c>
      <c r="E118" t="str" cm="1">
        <f t="array" aca="1" ref="E118" ca="1">IFERROR(IF(C118="","",INDIRECT($D$2&amp;"!F"&amp;T118)),IF(C118="","",INDIRECT("'"&amp;$D$2&amp;"'"&amp;"!F"&amp;T118)))</f>
        <v>Included</v>
      </c>
      <c r="F118" t="str" cm="1">
        <f t="array" aca="1" ref="F118" ca="1">IFERROR(IF(C118="","",INDIRECT($D$2&amp;"!ak"&amp;T118)),IF(C118="","",INDIRECT("'"&amp;$D$2&amp;"'"&amp;"!ak"&amp;T118)))</f>
        <v/>
      </c>
      <c r="G118" cm="1">
        <f t="array" aca="1" ref="G118" ca="1">IFERROR(INDIRECT($D$2&amp;"!h"&amp;T118),INDIRECT("'"&amp;$D$2&amp;"'"&amp;"!h"&amp;T118))</f>
        <v>1</v>
      </c>
      <c r="H118" s="125" t="str" cm="1">
        <f t="array" aca="1" ref="H118" ca="1">IFERROR(INDIRECT($D$2&amp;"!i"&amp;T118),INDIRECT("'"&amp;$D$2&amp;"'"&amp;"!i"&amp;T118))</f>
        <v/>
      </c>
      <c r="I118" s="113" cm="1">
        <f t="array" aca="1" ref="I118" ca="1">IFERROR(IF($C118="","",INDIRECT($D$2&amp;"!j"&amp;$T118)+INDIRECT($D$2&amp;"!n"&amp;$T118)),IF($C118="","",INDIRECT("'"&amp;$D$2&amp;"'"&amp;"!j"&amp;$T118)+INDIRECT("'"&amp;$D$2&amp;"'"&amp;"!n"&amp;$T118)))</f>
        <v>2000</v>
      </c>
      <c r="J118" s="113">
        <f t="shared" ca="1" si="6"/>
        <v>-2000</v>
      </c>
      <c r="K118" s="113" cm="1">
        <f t="array" aca="1" ref="K118" ca="1">IFERROR(IF($C118="","",INDIRECT($D$2&amp;"!l"&amp;$T118)+INDIRECT($D$2&amp;"!p"&amp;$T118)),IF($C118="","",INDIRECT("'"&amp;$D$2&amp;"'"&amp;"!l"&amp;$T118)+INDIRECT("'"&amp;$D$2&amp;"'"&amp;"!p"&amp;$T118)))</f>
        <v>0</v>
      </c>
      <c r="M118" s="113" cm="1">
        <f t="array" aca="1" ref="M118" ca="1">IFERROR(IF($C118="","",INDIRECT($D$2&amp;"!r"&amp;T118)),IF($C118="","",INDIRECT("'"&amp;$D$2&amp;"'"&amp;"!r"&amp;T118)))</f>
        <v>0</v>
      </c>
      <c r="N118" s="113">
        <f t="shared" ca="1" si="7"/>
        <v>0</v>
      </c>
      <c r="O118" s="113" cm="1">
        <f t="array" aca="1" ref="O118" ca="1">IFERROR(IF($C118="","",INDIRECT($D$2&amp;"!t"&amp;T118)),IF($C118="","",INDIRECT("'"&amp;$D$2&amp;"'"&amp;"!t"&amp;T118)))</f>
        <v>0</v>
      </c>
      <c r="Q118" s="113" cm="1">
        <f t="array" aca="1" ref="Q118" ca="1">IFERROR(IF($C118="","",INDIRECT($D$2&amp;"!v"&amp;T118)),IF($C118="","",INDIRECT("'"&amp;$D$2&amp;"'"&amp;"!v"&amp;T118)))</f>
        <v>0</v>
      </c>
      <c r="R118" s="113">
        <f t="shared" ca="1" si="8"/>
        <v>0</v>
      </c>
      <c r="S118" s="113" cm="1">
        <f t="array" aca="1" ref="S118" ca="1">IFERROR(IF($C118="","",INDIRECT($D$2&amp;"!x"&amp;T118)),IF($C118="","",INDIRECT("'"&amp;$D$2&amp;"'"&amp;"!x"&amp;T118)))</f>
        <v>0</v>
      </c>
      <c r="T118" s="35">
        <v>106</v>
      </c>
      <c r="U118" s="113"/>
      <c r="V118" s="35">
        <v>106</v>
      </c>
    </row>
    <row r="119" spans="3:22" x14ac:dyDescent="0.25">
      <c r="C119" t="str" cm="1">
        <f t="array" aca="1" ref="C119" ca="1">IFERROR(IF(INDIRECT($D$2&amp;"!B"&amp;T119)="","",INDIRECT("'"&amp;$D$2&amp;"'"&amp;"!B"&amp;T119)),IF(INDIRECT("'"&amp;$D$2&amp;"'"&amp;"!B"&amp;T119)="","",INDIRECT("'"&amp;$D$2&amp;"'"&amp;"!B"&amp;T119)))</f>
        <v>JHA Tokenization (Digital Wallet) Automated Provisioning Notifications Enrollment Fee JHA Debit</v>
      </c>
      <c r="D119" t="str" cm="1">
        <f t="array" aca="1" ref="D119" ca="1">IFERROR(_xlfn.IFS(C119="","",C119&lt;&gt;"",INDEX(SF_Output!I:I,MATCH(C119,SF_Output!M:M,0))),IFERROR(INDEX(INDIRECT($D$2&amp;"!G:G"),MATCH(C119,INDIRECT($D$2&amp;"!B:B"),0)),INDEX(INDIRECT("'"&amp;$D$2&amp;"'!G:G"),MATCH(C119,INDIRECT("'"&amp;$D$2&amp;"'!B:B"),0))))</f>
        <v>Payments</v>
      </c>
      <c r="E119" t="str" cm="1">
        <f t="array" aca="1" ref="E119" ca="1">IFERROR(IF(C119="","",INDIRECT($D$2&amp;"!F"&amp;T119)),IF(C119="","",INDIRECT("'"&amp;$D$2&amp;"'"&amp;"!F"&amp;T119)))</f>
        <v>Included</v>
      </c>
      <c r="F119" t="str" cm="1">
        <f t="array" aca="1" ref="F119" ca="1">IFERROR(IF(C119="","",INDIRECT($D$2&amp;"!ak"&amp;T119)),IF(C119="","",INDIRECT("'"&amp;$D$2&amp;"'"&amp;"!ak"&amp;T119)))</f>
        <v/>
      </c>
      <c r="G119" cm="1">
        <f t="array" aca="1" ref="G119" ca="1">IFERROR(INDIRECT($D$2&amp;"!h"&amp;T119),INDIRECT("'"&amp;$D$2&amp;"'"&amp;"!h"&amp;T119))</f>
        <v>1</v>
      </c>
      <c r="H119" s="125" t="str" cm="1">
        <f t="array" aca="1" ref="H119" ca="1">IFERROR(INDIRECT($D$2&amp;"!i"&amp;T119),INDIRECT("'"&amp;$D$2&amp;"'"&amp;"!i"&amp;T119))</f>
        <v/>
      </c>
      <c r="I119" s="113" cm="1">
        <f t="array" aca="1" ref="I119" ca="1">IFERROR(IF($C119="","",INDIRECT($D$2&amp;"!j"&amp;$T119)+INDIRECT($D$2&amp;"!n"&amp;$T119)),IF($C119="","",INDIRECT("'"&amp;$D$2&amp;"'"&amp;"!j"&amp;$T119)+INDIRECT("'"&amp;$D$2&amp;"'"&amp;"!n"&amp;$T119)))</f>
        <v>250</v>
      </c>
      <c r="J119" s="113">
        <f t="shared" ca="1" si="6"/>
        <v>-250</v>
      </c>
      <c r="K119" s="113" cm="1">
        <f t="array" aca="1" ref="K119" ca="1">IFERROR(IF($C119="","",INDIRECT($D$2&amp;"!l"&amp;$T119)+INDIRECT($D$2&amp;"!p"&amp;$T119)),IF($C119="","",INDIRECT("'"&amp;$D$2&amp;"'"&amp;"!l"&amp;$T119)+INDIRECT("'"&amp;$D$2&amp;"'"&amp;"!p"&amp;$T119)))</f>
        <v>0</v>
      </c>
      <c r="M119" s="113" cm="1">
        <f t="array" aca="1" ref="M119" ca="1">IFERROR(IF($C119="","",INDIRECT($D$2&amp;"!r"&amp;T119)),IF($C119="","",INDIRECT("'"&amp;$D$2&amp;"'"&amp;"!r"&amp;T119)))</f>
        <v>0</v>
      </c>
      <c r="N119" s="113">
        <f t="shared" ca="1" si="7"/>
        <v>0</v>
      </c>
      <c r="O119" s="113" cm="1">
        <f t="array" aca="1" ref="O119" ca="1">IFERROR(IF($C119="","",INDIRECT($D$2&amp;"!t"&amp;T119)),IF($C119="","",INDIRECT("'"&amp;$D$2&amp;"'"&amp;"!t"&amp;T119)))</f>
        <v>0</v>
      </c>
      <c r="Q119" s="113" cm="1">
        <f t="array" aca="1" ref="Q119" ca="1">IFERROR(IF($C119="","",INDIRECT($D$2&amp;"!v"&amp;T119)),IF($C119="","",INDIRECT("'"&amp;$D$2&amp;"'"&amp;"!v"&amp;T119)))</f>
        <v>0</v>
      </c>
      <c r="R119" s="113">
        <f t="shared" ca="1" si="8"/>
        <v>0</v>
      </c>
      <c r="S119" s="113" cm="1">
        <f t="array" aca="1" ref="S119" ca="1">IFERROR(IF($C119="","",INDIRECT($D$2&amp;"!x"&amp;T119)),IF($C119="","",INDIRECT("'"&amp;$D$2&amp;"'"&amp;"!x"&amp;T119)))</f>
        <v>0</v>
      </c>
      <c r="T119" s="35">
        <v>107</v>
      </c>
      <c r="U119" s="113"/>
      <c r="V119" s="35">
        <v>107</v>
      </c>
    </row>
    <row r="120" spans="3:22" x14ac:dyDescent="0.25">
      <c r="C120" t="str" cm="1">
        <f t="array" aca="1" ref="C120" ca="1">IFERROR(IF(INDIRECT($D$2&amp;"!B"&amp;T120)="","",INDIRECT("'"&amp;$D$2&amp;"'"&amp;"!B"&amp;T120)),IF(INDIRECT("'"&amp;$D$2&amp;"'"&amp;"!B"&amp;T120)="","",INDIRECT("'"&amp;$D$2&amp;"'"&amp;"!B"&amp;T120)))</f>
        <v>JHA Tokenization (Digital Wallet) Automated Provisioning Notifications JHA Debit Processing</v>
      </c>
      <c r="D120" t="str" cm="1">
        <f t="array" aca="1" ref="D120" ca="1">IFERROR(_xlfn.IFS(C120="","",C120&lt;&gt;"",INDEX(SF_Output!I:I,MATCH(C120,SF_Output!M:M,0))),IFERROR(INDEX(INDIRECT($D$2&amp;"!G:G"),MATCH(C120,INDIRECT($D$2&amp;"!B:B"),0)),INDEX(INDIRECT("'"&amp;$D$2&amp;"'!G:G"),MATCH(C120,INDIRECT("'"&amp;$D$2&amp;"'!B:B"),0))))</f>
        <v>Payments</v>
      </c>
      <c r="E120" t="str" cm="1">
        <f t="array" aca="1" ref="E120" ca="1">IFERROR(IF(C120="","",INDIRECT($D$2&amp;"!F"&amp;T120)),IF(C120="","",INDIRECT("'"&amp;$D$2&amp;"'"&amp;"!F"&amp;T120)))</f>
        <v>Included</v>
      </c>
      <c r="F120" t="str" cm="1">
        <f t="array" aca="1" ref="F120" ca="1">IFERROR(IF(C120="","",INDIRECT($D$2&amp;"!ak"&amp;T120)),IF(C120="","",INDIRECT("'"&amp;$D$2&amp;"'"&amp;"!ak"&amp;T120)))</f>
        <v/>
      </c>
      <c r="G120" cm="1">
        <f t="array" aca="1" ref="G120" ca="1">IFERROR(INDIRECT($D$2&amp;"!h"&amp;T120),INDIRECT("'"&amp;$D$2&amp;"'"&amp;"!h"&amp;T120))</f>
        <v>0</v>
      </c>
      <c r="H120" s="125" t="str" cm="1">
        <f t="array" aca="1" ref="H120" ca="1">IFERROR(INDIRECT($D$2&amp;"!i"&amp;T120),INDIRECT("'"&amp;$D$2&amp;"'"&amp;"!i"&amp;T120))</f>
        <v/>
      </c>
      <c r="I120" s="113" cm="1">
        <f t="array" aca="1" ref="I120" ca="1">IFERROR(IF($C120="","",INDIRECT($D$2&amp;"!j"&amp;$T120)+INDIRECT($D$2&amp;"!n"&amp;$T120)),IF($C120="","",INDIRECT("'"&amp;$D$2&amp;"'"&amp;"!j"&amp;$T120)+INDIRECT("'"&amp;$D$2&amp;"'"&amp;"!n"&amp;$T120)))</f>
        <v>0</v>
      </c>
      <c r="J120" s="113">
        <f t="shared" ca="1" si="6"/>
        <v>0</v>
      </c>
      <c r="K120" s="113" cm="1">
        <f t="array" aca="1" ref="K120" ca="1">IFERROR(IF($C120="","",INDIRECT($D$2&amp;"!l"&amp;$T120)+INDIRECT($D$2&amp;"!p"&amp;$T120)),IF($C120="","",INDIRECT("'"&amp;$D$2&amp;"'"&amp;"!l"&amp;$T120)+INDIRECT("'"&amp;$D$2&amp;"'"&amp;"!p"&amp;$T120)))</f>
        <v>0</v>
      </c>
      <c r="M120" s="113" cm="1">
        <f t="array" aca="1" ref="M120" ca="1">IFERROR(IF($C120="","",INDIRECT($D$2&amp;"!r"&amp;T120)),IF($C120="","",INDIRECT("'"&amp;$D$2&amp;"'"&amp;"!r"&amp;T120)))</f>
        <v>0</v>
      </c>
      <c r="N120" s="113">
        <f t="shared" ca="1" si="7"/>
        <v>0</v>
      </c>
      <c r="O120" s="113" cm="1">
        <f t="array" aca="1" ref="O120" ca="1">IFERROR(IF($C120="","",INDIRECT($D$2&amp;"!t"&amp;T120)),IF($C120="","",INDIRECT("'"&amp;$D$2&amp;"'"&amp;"!t"&amp;T120)))</f>
        <v>0</v>
      </c>
      <c r="Q120" s="113" cm="1">
        <f t="array" aca="1" ref="Q120" ca="1">IFERROR(IF($C120="","",INDIRECT($D$2&amp;"!v"&amp;T120)),IF($C120="","",INDIRECT("'"&amp;$D$2&amp;"'"&amp;"!v"&amp;T120)))</f>
        <v>0</v>
      </c>
      <c r="R120" s="113">
        <f t="shared" ca="1" si="8"/>
        <v>0</v>
      </c>
      <c r="S120" s="113" cm="1">
        <f t="array" aca="1" ref="S120" ca="1">IFERROR(IF($C120="","",INDIRECT($D$2&amp;"!x"&amp;T120)),IF($C120="","",INDIRECT("'"&amp;$D$2&amp;"'"&amp;"!x"&amp;T120)))</f>
        <v>0</v>
      </c>
      <c r="T120" s="35">
        <v>108</v>
      </c>
      <c r="U120" s="113"/>
      <c r="V120" s="35">
        <v>108</v>
      </c>
    </row>
    <row r="121" spans="3:22" x14ac:dyDescent="0.25">
      <c r="C121" t="str" cm="1">
        <f t="array" aca="1" ref="C121" ca="1">IFERROR(IF(INDIRECT($D$2&amp;"!B"&amp;T121)="","",INDIRECT("'"&amp;$D$2&amp;"'"&amp;"!B"&amp;T121)),IF(INDIRECT("'"&amp;$D$2&amp;"'"&amp;"!B"&amp;T121)="","",INDIRECT("'"&amp;$D$2&amp;"'"&amp;"!B"&amp;T121)))</f>
        <v>JHA Tokenization (Digital Wallet) Transactions JHA Debit Processing</v>
      </c>
      <c r="D121" t="str" cm="1">
        <f t="array" aca="1" ref="D121" ca="1">IFERROR(_xlfn.IFS(C121="","",C121&lt;&gt;"",INDEX(SF_Output!I:I,MATCH(C121,SF_Output!M:M,0))),IFERROR(INDEX(INDIRECT($D$2&amp;"!G:G"),MATCH(C121,INDIRECT($D$2&amp;"!B:B"),0)),INDEX(INDIRECT("'"&amp;$D$2&amp;"'!G:G"),MATCH(C121,INDIRECT("'"&amp;$D$2&amp;"'!B:B"),0))))</f>
        <v>Payments</v>
      </c>
      <c r="E121" t="str" cm="1">
        <f t="array" aca="1" ref="E121" ca="1">IFERROR(IF(C121="","",INDIRECT($D$2&amp;"!F"&amp;T121)),IF(C121="","",INDIRECT("'"&amp;$D$2&amp;"'"&amp;"!F"&amp;T121)))</f>
        <v>Included</v>
      </c>
      <c r="F121" t="str" cm="1">
        <f t="array" aca="1" ref="F121" ca="1">IFERROR(IF(C121="","",INDIRECT($D$2&amp;"!ak"&amp;T121)),IF(C121="","",INDIRECT("'"&amp;$D$2&amp;"'"&amp;"!ak"&amp;T121)))</f>
        <v/>
      </c>
      <c r="G121" cm="1">
        <f t="array" aca="1" ref="G121" ca="1">IFERROR(INDIRECT($D$2&amp;"!h"&amp;T121),INDIRECT("'"&amp;$D$2&amp;"'"&amp;"!h"&amp;T121))</f>
        <v>0</v>
      </c>
      <c r="H121" s="125" t="str" cm="1">
        <f t="array" aca="1" ref="H121" ca="1">IFERROR(INDIRECT($D$2&amp;"!i"&amp;T121),INDIRECT("'"&amp;$D$2&amp;"'"&amp;"!i"&amp;T121))</f>
        <v/>
      </c>
      <c r="I121" s="113" cm="1">
        <f t="array" aca="1" ref="I121" ca="1">IFERROR(IF($C121="","",INDIRECT($D$2&amp;"!j"&amp;$T121)+INDIRECT($D$2&amp;"!n"&amp;$T121)),IF($C121="","",INDIRECT("'"&amp;$D$2&amp;"'"&amp;"!j"&amp;$T121)+INDIRECT("'"&amp;$D$2&amp;"'"&amp;"!n"&amp;$T121)))</f>
        <v>0</v>
      </c>
      <c r="J121" s="113">
        <f t="shared" ca="1" si="6"/>
        <v>0</v>
      </c>
      <c r="K121" s="113" cm="1">
        <f t="array" aca="1" ref="K121" ca="1">IFERROR(IF($C121="","",INDIRECT($D$2&amp;"!l"&amp;$T121)+INDIRECT($D$2&amp;"!p"&amp;$T121)),IF($C121="","",INDIRECT("'"&amp;$D$2&amp;"'"&amp;"!l"&amp;$T121)+INDIRECT("'"&amp;$D$2&amp;"'"&amp;"!p"&amp;$T121)))</f>
        <v>0</v>
      </c>
      <c r="M121" s="113" cm="1">
        <f t="array" aca="1" ref="M121" ca="1">IFERROR(IF($C121="","",INDIRECT($D$2&amp;"!r"&amp;T121)),IF($C121="","",INDIRECT("'"&amp;$D$2&amp;"'"&amp;"!r"&amp;T121)))</f>
        <v>0</v>
      </c>
      <c r="N121" s="113">
        <f t="shared" ca="1" si="7"/>
        <v>0</v>
      </c>
      <c r="O121" s="113" cm="1">
        <f t="array" aca="1" ref="O121" ca="1">IFERROR(IF($C121="","",INDIRECT($D$2&amp;"!t"&amp;T121)),IF($C121="","",INDIRECT("'"&amp;$D$2&amp;"'"&amp;"!t"&amp;T121)))</f>
        <v>0</v>
      </c>
      <c r="Q121" s="113" cm="1">
        <f t="array" aca="1" ref="Q121" ca="1">IFERROR(IF($C121="","",INDIRECT($D$2&amp;"!v"&amp;T121)),IF($C121="","",INDIRECT("'"&amp;$D$2&amp;"'"&amp;"!v"&amp;T121)))</f>
        <v>0</v>
      </c>
      <c r="R121" s="113">
        <f t="shared" ca="1" si="8"/>
        <v>0</v>
      </c>
      <c r="S121" s="113" cm="1">
        <f t="array" aca="1" ref="S121" ca="1">IFERROR(IF($C121="","",INDIRECT($D$2&amp;"!x"&amp;T121)),IF($C121="","",INDIRECT("'"&amp;$D$2&amp;"'"&amp;"!x"&amp;T121)))</f>
        <v>0</v>
      </c>
      <c r="T121" s="35">
        <v>109</v>
      </c>
      <c r="U121" s="113"/>
      <c r="V121" s="35">
        <v>109</v>
      </c>
    </row>
    <row r="122" spans="3:22" x14ac:dyDescent="0.25">
      <c r="C122" t="str" cm="1">
        <f t="array" aca="1" ref="C122" ca="1">IFERROR(IF(INDIRECT($D$2&amp;"!B"&amp;T122)="","",INDIRECT("'"&amp;$D$2&amp;"'"&amp;"!B"&amp;T122)),IF(INDIRECT("'"&amp;$D$2&amp;"'"&amp;"!B"&amp;T122)="","",INDIRECT("'"&amp;$D$2&amp;"'"&amp;"!B"&amp;T122)))</f>
        <v>Jack Henry Digital Provisioning Enablement (JHA Tokenization Required) JHA Debit Processing</v>
      </c>
      <c r="D122" t="str" cm="1">
        <f t="array" aca="1" ref="D122" ca="1">IFERROR(_xlfn.IFS(C122="","",C122&lt;&gt;"",INDEX(SF_Output!I:I,MATCH(C122,SF_Output!M:M,0))),IFERROR(INDEX(INDIRECT($D$2&amp;"!G:G"),MATCH(C122,INDIRECT($D$2&amp;"!B:B"),0)),INDEX(INDIRECT("'"&amp;$D$2&amp;"'!G:G"),MATCH(C122,INDIRECT("'"&amp;$D$2&amp;"'!B:B"),0))))</f>
        <v>Payments</v>
      </c>
      <c r="E122" t="str" cm="1">
        <f t="array" aca="1" ref="E122" ca="1">IFERROR(IF(C122="","",INDIRECT($D$2&amp;"!F"&amp;T122)),IF(C122="","",INDIRECT("'"&amp;$D$2&amp;"'"&amp;"!F"&amp;T122)))</f>
        <v>Included</v>
      </c>
      <c r="F122" t="str" cm="1">
        <f t="array" aca="1" ref="F122" ca="1">IFERROR(IF(C122="","",INDIRECT($D$2&amp;"!ak"&amp;T122)),IF(C122="","",INDIRECT("'"&amp;$D$2&amp;"'"&amp;"!ak"&amp;T122)))</f>
        <v/>
      </c>
      <c r="G122" cm="1">
        <f t="array" aca="1" ref="G122" ca="1">IFERROR(INDIRECT($D$2&amp;"!h"&amp;T122),INDIRECT("'"&amp;$D$2&amp;"'"&amp;"!h"&amp;T122))</f>
        <v>1</v>
      </c>
      <c r="H122" s="125" t="str" cm="1">
        <f t="array" aca="1" ref="H122" ca="1">IFERROR(INDIRECT($D$2&amp;"!i"&amp;T122),INDIRECT("'"&amp;$D$2&amp;"'"&amp;"!i"&amp;T122))</f>
        <v/>
      </c>
      <c r="I122" s="113" cm="1">
        <f t="array" aca="1" ref="I122" ca="1">IFERROR(IF($C122="","",INDIRECT($D$2&amp;"!j"&amp;$T122)+INDIRECT($D$2&amp;"!n"&amp;$T122)),IF($C122="","",INDIRECT("'"&amp;$D$2&amp;"'"&amp;"!j"&amp;$T122)+INDIRECT("'"&amp;$D$2&amp;"'"&amp;"!n"&amp;$T122)))</f>
        <v>1900</v>
      </c>
      <c r="J122" s="113">
        <f t="shared" ca="1" si="6"/>
        <v>-1900</v>
      </c>
      <c r="K122" s="113" cm="1">
        <f t="array" aca="1" ref="K122" ca="1">IFERROR(IF($C122="","",INDIRECT($D$2&amp;"!l"&amp;$T122)+INDIRECT($D$2&amp;"!p"&amp;$T122)),IF($C122="","",INDIRECT("'"&amp;$D$2&amp;"'"&amp;"!l"&amp;$T122)+INDIRECT("'"&amp;$D$2&amp;"'"&amp;"!p"&amp;$T122)))</f>
        <v>0</v>
      </c>
      <c r="M122" s="113" cm="1">
        <f t="array" aca="1" ref="M122" ca="1">IFERROR(IF($C122="","",INDIRECT($D$2&amp;"!r"&amp;T122)),IF($C122="","",INDIRECT("'"&amp;$D$2&amp;"'"&amp;"!r"&amp;T122)))</f>
        <v>0</v>
      </c>
      <c r="N122" s="113">
        <f t="shared" ca="1" si="7"/>
        <v>0</v>
      </c>
      <c r="O122" s="113" cm="1">
        <f t="array" aca="1" ref="O122" ca="1">IFERROR(IF($C122="","",INDIRECT($D$2&amp;"!t"&amp;T122)),IF($C122="","",INDIRECT("'"&amp;$D$2&amp;"'"&amp;"!t"&amp;T122)))</f>
        <v>0</v>
      </c>
      <c r="Q122" s="113" cm="1">
        <f t="array" aca="1" ref="Q122" ca="1">IFERROR(IF($C122="","",INDIRECT($D$2&amp;"!v"&amp;T122)),IF($C122="","",INDIRECT("'"&amp;$D$2&amp;"'"&amp;"!v"&amp;T122)))</f>
        <v>0</v>
      </c>
      <c r="R122" s="113">
        <f t="shared" ca="1" si="8"/>
        <v>0</v>
      </c>
      <c r="S122" s="113" cm="1">
        <f t="array" aca="1" ref="S122" ca="1">IFERROR(IF($C122="","",INDIRECT($D$2&amp;"!x"&amp;T122)),IF($C122="","",INDIRECT("'"&amp;$D$2&amp;"'"&amp;"!x"&amp;T122)))</f>
        <v>0</v>
      </c>
      <c r="T122" s="35">
        <v>110</v>
      </c>
      <c r="U122" s="113"/>
      <c r="V122" s="35">
        <v>110</v>
      </c>
    </row>
    <row r="123" spans="3:22" x14ac:dyDescent="0.25">
      <c r="C123" t="str" cm="1">
        <f t="array" aca="1" ref="C123" ca="1">IFERROR(IF(INDIRECT($D$2&amp;"!B"&amp;T123)="","",INDIRECT("'"&amp;$D$2&amp;"'"&amp;"!B"&amp;T123)),IF(INDIRECT("'"&amp;$D$2&amp;"'"&amp;"!B"&amp;T123)="","",INDIRECT("'"&amp;$D$2&amp;"'"&amp;"!B"&amp;T123)))</f>
        <v>JHA Card Analytics JHA Debit Processing</v>
      </c>
      <c r="D123" t="str" cm="1">
        <f t="array" aca="1" ref="D123" ca="1">IFERROR(_xlfn.IFS(C123="","",C123&lt;&gt;"",INDEX(SF_Output!I:I,MATCH(C123,SF_Output!M:M,0))),IFERROR(INDEX(INDIRECT($D$2&amp;"!G:G"),MATCH(C123,INDIRECT($D$2&amp;"!B:B"),0)),INDEX(INDIRECT("'"&amp;$D$2&amp;"'!G:G"),MATCH(C123,INDIRECT("'"&amp;$D$2&amp;"'!B:B"),0))))</f>
        <v>Payments</v>
      </c>
      <c r="E123" t="str" cm="1">
        <f t="array" aca="1" ref="E123" ca="1">IFERROR(IF(C123="","",INDIRECT($D$2&amp;"!F"&amp;T123)),IF(C123="","",INDIRECT("'"&amp;$D$2&amp;"'"&amp;"!F"&amp;T123)))</f>
        <v>Included</v>
      </c>
      <c r="F123" t="str" cm="1">
        <f t="array" aca="1" ref="F123" ca="1">IFERROR(IF(C123="","",INDIRECT($D$2&amp;"!ak"&amp;T123)),IF(C123="","",INDIRECT("'"&amp;$D$2&amp;"'"&amp;"!ak"&amp;T123)))</f>
        <v/>
      </c>
      <c r="G123" cm="1">
        <f t="array" aca="1" ref="G123" ca="1">IFERROR(INDIRECT($D$2&amp;"!h"&amp;T123),INDIRECT("'"&amp;$D$2&amp;"'"&amp;"!h"&amp;T123))</f>
        <v>1</v>
      </c>
      <c r="H123" s="125" t="str" cm="1">
        <f t="array" aca="1" ref="H123" ca="1">IFERROR(INDIRECT($D$2&amp;"!i"&amp;T123),INDIRECT("'"&amp;$D$2&amp;"'"&amp;"!i"&amp;T123))</f>
        <v/>
      </c>
      <c r="I123" s="113" cm="1">
        <f t="array" aca="1" ref="I123" ca="1">IFERROR(IF($C123="","",INDIRECT($D$2&amp;"!j"&amp;$T123)+INDIRECT($D$2&amp;"!n"&amp;$T123)),IF($C123="","",INDIRECT("'"&amp;$D$2&amp;"'"&amp;"!j"&amp;$T123)+INDIRECT("'"&amp;$D$2&amp;"'"&amp;"!n"&amp;$T123)))</f>
        <v>0</v>
      </c>
      <c r="J123" s="113">
        <f t="shared" ca="1" si="6"/>
        <v>0</v>
      </c>
      <c r="K123" s="113" cm="1">
        <f t="array" aca="1" ref="K123" ca="1">IFERROR(IF($C123="","",INDIRECT($D$2&amp;"!l"&amp;$T123)+INDIRECT($D$2&amp;"!p"&amp;$T123)),IF($C123="","",INDIRECT("'"&amp;$D$2&amp;"'"&amp;"!l"&amp;$T123)+INDIRECT("'"&amp;$D$2&amp;"'"&amp;"!p"&amp;$T123)))</f>
        <v>0</v>
      </c>
      <c r="M123" s="113" cm="1">
        <f t="array" aca="1" ref="M123" ca="1">IFERROR(IF($C123="","",INDIRECT($D$2&amp;"!r"&amp;T123)),IF($C123="","",INDIRECT("'"&amp;$D$2&amp;"'"&amp;"!r"&amp;T123)))</f>
        <v>0</v>
      </c>
      <c r="N123" s="113">
        <f t="shared" ca="1" si="7"/>
        <v>0</v>
      </c>
      <c r="O123" s="113" cm="1">
        <f t="array" aca="1" ref="O123" ca="1">IFERROR(IF($C123="","",INDIRECT($D$2&amp;"!t"&amp;T123)),IF($C123="","",INDIRECT("'"&amp;$D$2&amp;"'"&amp;"!t"&amp;T123)))</f>
        <v>0</v>
      </c>
      <c r="Q123" s="113" cm="1">
        <f t="array" aca="1" ref="Q123" ca="1">IFERROR(IF($C123="","",INDIRECT($D$2&amp;"!v"&amp;T123)),IF($C123="","",INDIRECT("'"&amp;$D$2&amp;"'"&amp;"!v"&amp;T123)))</f>
        <v>350</v>
      </c>
      <c r="R123" s="113">
        <f t="shared" ca="1" si="8"/>
        <v>0</v>
      </c>
      <c r="S123" s="113" cm="1">
        <f t="array" aca="1" ref="S123" ca="1">IFERROR(IF($C123="","",INDIRECT($D$2&amp;"!x"&amp;T123)),IF($C123="","",INDIRECT("'"&amp;$D$2&amp;"'"&amp;"!x"&amp;T123)))</f>
        <v>350</v>
      </c>
      <c r="T123" s="35">
        <v>111</v>
      </c>
      <c r="U123" s="113"/>
      <c r="V123" s="35">
        <v>111</v>
      </c>
    </row>
    <row r="124" spans="3:22" x14ac:dyDescent="0.25">
      <c r="C124" t="str" cm="1">
        <f t="array" aca="1" ref="C124" ca="1">IFERROR(IF(INDIRECT($D$2&amp;"!B"&amp;T124)="","",INDIRECT("'"&amp;$D$2&amp;"'"&amp;"!B"&amp;T124)),IF(INDIRECT("'"&amp;$D$2&amp;"'"&amp;"!B"&amp;T124)="","",INDIRECT("'"&amp;$D$2&amp;"'"&amp;"!B"&amp;T124)))</f>
        <v>JHA Card Connect JHA Debit Processing</v>
      </c>
      <c r="D124" t="str" cm="1">
        <f t="array" aca="1" ref="D124" ca="1">IFERROR(_xlfn.IFS(C124="","",C124&lt;&gt;"",INDEX(SF_Output!I:I,MATCH(C124,SF_Output!M:M,0))),IFERROR(INDEX(INDIRECT($D$2&amp;"!G:G"),MATCH(C124,INDIRECT($D$2&amp;"!B:B"),0)),INDEX(INDIRECT("'"&amp;$D$2&amp;"'!G:G"),MATCH(C124,INDIRECT("'"&amp;$D$2&amp;"'!B:B"),0))))</f>
        <v>Payments</v>
      </c>
      <c r="E124" t="str" cm="1">
        <f t="array" aca="1" ref="E124" ca="1">IFERROR(IF(C124="","",INDIRECT($D$2&amp;"!F"&amp;T124)),IF(C124="","",INDIRECT("'"&amp;$D$2&amp;"'"&amp;"!F"&amp;T124)))</f>
        <v>Included</v>
      </c>
      <c r="F124" t="str" cm="1">
        <f t="array" aca="1" ref="F124" ca="1">IFERROR(IF(C124="","",INDIRECT($D$2&amp;"!ak"&amp;T124)),IF(C124="","",INDIRECT("'"&amp;$D$2&amp;"'"&amp;"!ak"&amp;T124)))</f>
        <v/>
      </c>
      <c r="G124" cm="1">
        <f t="array" aca="1" ref="G124" ca="1">IFERROR(INDIRECT($D$2&amp;"!h"&amp;T124),INDIRECT("'"&amp;$D$2&amp;"'"&amp;"!h"&amp;T124))</f>
        <v>1</v>
      </c>
      <c r="H124" s="125" t="str" cm="1">
        <f t="array" aca="1" ref="H124" ca="1">IFERROR(INDIRECT($D$2&amp;"!i"&amp;T124),INDIRECT("'"&amp;$D$2&amp;"'"&amp;"!i"&amp;T124))</f>
        <v/>
      </c>
      <c r="I124" s="113" cm="1">
        <f t="array" aca="1" ref="I124" ca="1">IFERROR(IF($C124="","",INDIRECT($D$2&amp;"!j"&amp;$T124)+INDIRECT($D$2&amp;"!n"&amp;$T124)),IF($C124="","",INDIRECT("'"&amp;$D$2&amp;"'"&amp;"!j"&amp;$T124)+INDIRECT("'"&amp;$D$2&amp;"'"&amp;"!n"&amp;$T124)))</f>
        <v>1500</v>
      </c>
      <c r="J124" s="113">
        <f t="shared" ca="1" si="6"/>
        <v>-1500</v>
      </c>
      <c r="K124" s="113" cm="1">
        <f t="array" aca="1" ref="K124" ca="1">IFERROR(IF($C124="","",INDIRECT($D$2&amp;"!l"&amp;$T124)+INDIRECT($D$2&amp;"!p"&amp;$T124)),IF($C124="","",INDIRECT("'"&amp;$D$2&amp;"'"&amp;"!l"&amp;$T124)+INDIRECT("'"&amp;$D$2&amp;"'"&amp;"!p"&amp;$T124)))</f>
        <v>0</v>
      </c>
      <c r="M124" s="113" cm="1">
        <f t="array" aca="1" ref="M124" ca="1">IFERROR(IF($C124="","",INDIRECT($D$2&amp;"!r"&amp;T124)),IF($C124="","",INDIRECT("'"&amp;$D$2&amp;"'"&amp;"!r"&amp;T124)))</f>
        <v>0</v>
      </c>
      <c r="N124" s="113">
        <f t="shared" ca="1" si="7"/>
        <v>0</v>
      </c>
      <c r="O124" s="113" cm="1">
        <f t="array" aca="1" ref="O124" ca="1">IFERROR(IF($C124="","",INDIRECT($D$2&amp;"!t"&amp;T124)),IF($C124="","",INDIRECT("'"&amp;$D$2&amp;"'"&amp;"!t"&amp;T124)))</f>
        <v>0</v>
      </c>
      <c r="Q124" s="113" cm="1">
        <f t="array" aca="1" ref="Q124" ca="1">IFERROR(IF($C124="","",INDIRECT($D$2&amp;"!v"&amp;T124)),IF($C124="","",INDIRECT("'"&amp;$D$2&amp;"'"&amp;"!v"&amp;T124)))</f>
        <v>350</v>
      </c>
      <c r="R124" s="113">
        <f t="shared" ca="1" si="8"/>
        <v>0</v>
      </c>
      <c r="S124" s="113" cm="1">
        <f t="array" aca="1" ref="S124" ca="1">IFERROR(IF($C124="","",INDIRECT($D$2&amp;"!x"&amp;T124)),IF($C124="","",INDIRECT("'"&amp;$D$2&amp;"'"&amp;"!x"&amp;T124)))</f>
        <v>350</v>
      </c>
      <c r="T124" s="35">
        <v>112</v>
      </c>
      <c r="U124" s="113"/>
      <c r="V124" s="35">
        <v>112</v>
      </c>
    </row>
    <row r="125" spans="3:22" x14ac:dyDescent="0.25">
      <c r="C125" t="str" cm="1">
        <f t="array" aca="1" ref="C125" ca="1">IFERROR(IF(INDIRECT($D$2&amp;"!B"&amp;T125)="","",INDIRECT("'"&amp;$D$2&amp;"'"&amp;"!B"&amp;T125)),IF(INDIRECT("'"&amp;$D$2&amp;"'"&amp;"!B"&amp;T125)="","",INDIRECT("'"&amp;$D$2&amp;"'"&amp;"!B"&amp;T125)))</f>
        <v>Footprints Data Storage JHA Debit Processing</v>
      </c>
      <c r="D125" t="str" cm="1">
        <f t="array" aca="1" ref="D125" ca="1">IFERROR(_xlfn.IFS(C125="","",C125&lt;&gt;"",INDEX(SF_Output!I:I,MATCH(C125,SF_Output!M:M,0))),IFERROR(INDEX(INDIRECT($D$2&amp;"!G:G"),MATCH(C125,INDIRECT($D$2&amp;"!B:B"),0)),INDEX(INDIRECT("'"&amp;$D$2&amp;"'!G:G"),MATCH(C125,INDIRECT("'"&amp;$D$2&amp;"'!B:B"),0))))</f>
        <v>Payments</v>
      </c>
      <c r="E125" t="str" cm="1">
        <f t="array" aca="1" ref="E125" ca="1">IFERROR(IF(C125="","",INDIRECT($D$2&amp;"!F"&amp;T125)),IF(C125="","",INDIRECT("'"&amp;$D$2&amp;"'"&amp;"!F"&amp;T125)))</f>
        <v>Included</v>
      </c>
      <c r="F125" t="str" cm="1">
        <f t="array" aca="1" ref="F125" ca="1">IFERROR(IF(C125="","",INDIRECT($D$2&amp;"!ak"&amp;T125)),IF(C125="","",INDIRECT("'"&amp;$D$2&amp;"'"&amp;"!ak"&amp;T125)))</f>
        <v/>
      </c>
      <c r="G125" cm="1">
        <f t="array" aca="1" ref="G125" ca="1">IFERROR(INDIRECT($D$2&amp;"!h"&amp;T125),INDIRECT("'"&amp;$D$2&amp;"'"&amp;"!h"&amp;T125))</f>
        <v>1</v>
      </c>
      <c r="H125" s="125" t="str" cm="1">
        <f t="array" aca="1" ref="H125" ca="1">IFERROR(INDIRECT($D$2&amp;"!i"&amp;T125),INDIRECT("'"&amp;$D$2&amp;"'"&amp;"!i"&amp;T125))</f>
        <v/>
      </c>
      <c r="I125" s="113" cm="1">
        <f t="array" aca="1" ref="I125" ca="1">IFERROR(IF($C125="","",INDIRECT($D$2&amp;"!j"&amp;$T125)+INDIRECT($D$2&amp;"!n"&amp;$T125)),IF($C125="","",INDIRECT("'"&amp;$D$2&amp;"'"&amp;"!j"&amp;$T125)+INDIRECT("'"&amp;$D$2&amp;"'"&amp;"!n"&amp;$T125)))</f>
        <v>0</v>
      </c>
      <c r="J125" s="113">
        <f t="shared" ca="1" si="6"/>
        <v>0</v>
      </c>
      <c r="K125" s="113" cm="1">
        <f t="array" aca="1" ref="K125" ca="1">IFERROR(IF($C125="","",INDIRECT($D$2&amp;"!l"&amp;$T125)+INDIRECT($D$2&amp;"!p"&amp;$T125)),IF($C125="","",INDIRECT("'"&amp;$D$2&amp;"'"&amp;"!l"&amp;$T125)+INDIRECT("'"&amp;$D$2&amp;"'"&amp;"!p"&amp;$T125)))</f>
        <v>0</v>
      </c>
      <c r="M125" s="113" cm="1">
        <f t="array" aca="1" ref="M125" ca="1">IFERROR(IF($C125="","",INDIRECT($D$2&amp;"!r"&amp;T125)),IF($C125="","",INDIRECT("'"&amp;$D$2&amp;"'"&amp;"!r"&amp;T125)))</f>
        <v>0</v>
      </c>
      <c r="N125" s="113">
        <f t="shared" ca="1" si="7"/>
        <v>0</v>
      </c>
      <c r="O125" s="113" cm="1">
        <f t="array" aca="1" ref="O125" ca="1">IFERROR(IF($C125="","",INDIRECT($D$2&amp;"!t"&amp;T125)),IF($C125="","",INDIRECT("'"&amp;$D$2&amp;"'"&amp;"!t"&amp;T125)))</f>
        <v>0</v>
      </c>
      <c r="Q125" s="113" cm="1">
        <f t="array" aca="1" ref="Q125" ca="1">IFERROR(IF($C125="","",INDIRECT($D$2&amp;"!v"&amp;T125)),IF($C125="","",INDIRECT("'"&amp;$D$2&amp;"'"&amp;"!v"&amp;T125)))</f>
        <v>150</v>
      </c>
      <c r="R125" s="113">
        <f t="shared" ca="1" si="8"/>
        <v>0</v>
      </c>
      <c r="S125" s="113" cm="1">
        <f t="array" aca="1" ref="S125" ca="1">IFERROR(IF($C125="","",INDIRECT($D$2&amp;"!x"&amp;T125)),IF($C125="","",INDIRECT("'"&amp;$D$2&amp;"'"&amp;"!x"&amp;T125)))</f>
        <v>150</v>
      </c>
      <c r="T125" s="35">
        <v>113</v>
      </c>
      <c r="U125" s="113"/>
      <c r="V125" s="35">
        <v>113</v>
      </c>
    </row>
    <row r="126" spans="3:22" x14ac:dyDescent="0.25">
      <c r="C126" t="str" cm="1">
        <f t="array" aca="1" ref="C126" ca="1">IFERROR(IF(INDIRECT($D$2&amp;"!B"&amp;T126)="","",INDIRECT("'"&amp;$D$2&amp;"'"&amp;"!B"&amp;T126)),IF(INDIRECT("'"&amp;$D$2&amp;"'"&amp;"!B"&amp;T126)="","",INDIRECT("'"&amp;$D$2&amp;"'"&amp;"!B"&amp;T126)))</f>
        <v>Remote Entered Non-Monetary Transactions JHA Debit Processing</v>
      </c>
      <c r="D126" t="str" cm="1">
        <f t="array" aca="1" ref="D126" ca="1">IFERROR(_xlfn.IFS(C126="","",C126&lt;&gt;"",INDEX(SF_Output!I:I,MATCH(C126,SF_Output!M:M,0))),IFERROR(INDEX(INDIRECT($D$2&amp;"!G:G"),MATCH(C126,INDIRECT($D$2&amp;"!B:B"),0)),INDEX(INDIRECT("'"&amp;$D$2&amp;"'!G:G"),MATCH(C126,INDIRECT("'"&amp;$D$2&amp;"'!B:B"),0))))</f>
        <v>Payments</v>
      </c>
      <c r="E126" t="str" cm="1">
        <f t="array" aca="1" ref="E126" ca="1">IFERROR(IF(C126="","",INDIRECT($D$2&amp;"!F"&amp;T126)),IF(C126="","",INDIRECT("'"&amp;$D$2&amp;"'"&amp;"!F"&amp;T126)))</f>
        <v>Included</v>
      </c>
      <c r="F126" t="str" cm="1">
        <f t="array" aca="1" ref="F126" ca="1">IFERROR(IF(C126="","",INDIRECT($D$2&amp;"!ak"&amp;T126)),IF(C126="","",INDIRECT("'"&amp;$D$2&amp;"'"&amp;"!ak"&amp;T126)))</f>
        <v/>
      </c>
      <c r="G126" cm="1">
        <f t="array" aca="1" ref="G126" ca="1">IFERROR(INDIRECT($D$2&amp;"!h"&amp;T126),INDIRECT("'"&amp;$D$2&amp;"'"&amp;"!h"&amp;T126))</f>
        <v>0</v>
      </c>
      <c r="H126" s="125" t="str" cm="1">
        <f t="array" aca="1" ref="H126" ca="1">IFERROR(INDIRECT($D$2&amp;"!i"&amp;T126),INDIRECT("'"&amp;$D$2&amp;"'"&amp;"!i"&amp;T126))</f>
        <v/>
      </c>
      <c r="I126" s="113" cm="1">
        <f t="array" aca="1" ref="I126" ca="1">IFERROR(IF($C126="","",INDIRECT($D$2&amp;"!j"&amp;$T126)+INDIRECT($D$2&amp;"!n"&amp;$T126)),IF($C126="","",INDIRECT("'"&amp;$D$2&amp;"'"&amp;"!j"&amp;$T126)+INDIRECT("'"&amp;$D$2&amp;"'"&amp;"!n"&amp;$T126)))</f>
        <v>0</v>
      </c>
      <c r="J126" s="113">
        <f t="shared" ca="1" si="6"/>
        <v>0</v>
      </c>
      <c r="K126" s="113" cm="1">
        <f t="array" aca="1" ref="K126" ca="1">IFERROR(IF($C126="","",INDIRECT($D$2&amp;"!l"&amp;$T126)+INDIRECT($D$2&amp;"!p"&amp;$T126)),IF($C126="","",INDIRECT("'"&amp;$D$2&amp;"'"&amp;"!l"&amp;$T126)+INDIRECT("'"&amp;$D$2&amp;"'"&amp;"!p"&amp;$T126)))</f>
        <v>0</v>
      </c>
      <c r="M126" s="113" cm="1">
        <f t="array" aca="1" ref="M126" ca="1">IFERROR(IF($C126="","",INDIRECT($D$2&amp;"!r"&amp;T126)),IF($C126="","",INDIRECT("'"&amp;$D$2&amp;"'"&amp;"!r"&amp;T126)))</f>
        <v>0</v>
      </c>
      <c r="N126" s="113">
        <f t="shared" ca="1" si="7"/>
        <v>0</v>
      </c>
      <c r="O126" s="113" cm="1">
        <f t="array" aca="1" ref="O126" ca="1">IFERROR(IF($C126="","",INDIRECT($D$2&amp;"!t"&amp;T126)),IF($C126="","",INDIRECT("'"&amp;$D$2&amp;"'"&amp;"!t"&amp;T126)))</f>
        <v>0</v>
      </c>
      <c r="Q126" s="113" cm="1">
        <f t="array" aca="1" ref="Q126" ca="1">IFERROR(IF($C126="","",INDIRECT($D$2&amp;"!v"&amp;T126)),IF($C126="","",INDIRECT("'"&amp;$D$2&amp;"'"&amp;"!v"&amp;T126)))</f>
        <v>0</v>
      </c>
      <c r="R126" s="113">
        <f t="shared" ca="1" si="8"/>
        <v>0</v>
      </c>
      <c r="S126" s="113" cm="1">
        <f t="array" aca="1" ref="S126" ca="1">IFERROR(IF($C126="","",INDIRECT($D$2&amp;"!x"&amp;T126)),IF($C126="","",INDIRECT("'"&amp;$D$2&amp;"'"&amp;"!x"&amp;T126)))</f>
        <v>0</v>
      </c>
      <c r="T126" s="35">
        <v>114</v>
      </c>
      <c r="U126" s="113"/>
      <c r="V126" s="35">
        <v>114</v>
      </c>
    </row>
    <row r="127" spans="3:22" x14ac:dyDescent="0.25">
      <c r="C127" t="str" cm="1">
        <f t="array" aca="1" ref="C127" ca="1">IFERROR(IF(INDIRECT($D$2&amp;"!B"&amp;T127)="","",INDIRECT("'"&amp;$D$2&amp;"'"&amp;"!B"&amp;T127)),IF(INDIRECT("'"&amp;$D$2&amp;"'"&amp;"!B"&amp;T127)="","",INDIRECT("'"&amp;$D$2&amp;"'"&amp;"!B"&amp;T127)))</f>
        <v>Host Based PIN Authorization JHA Debit Processing</v>
      </c>
      <c r="D127" t="str" cm="1">
        <f t="array" aca="1" ref="D127" ca="1">IFERROR(_xlfn.IFS(C127="","",C127&lt;&gt;"",INDEX(SF_Output!I:I,MATCH(C127,SF_Output!M:M,0))),IFERROR(INDEX(INDIRECT($D$2&amp;"!G:G"),MATCH(C127,INDIRECT($D$2&amp;"!B:B"),0)),INDEX(INDIRECT("'"&amp;$D$2&amp;"'!G:G"),MATCH(C127,INDIRECT("'"&amp;$D$2&amp;"'!B:B"),0))))</f>
        <v>Payments</v>
      </c>
      <c r="E127" t="str" cm="1">
        <f t="array" aca="1" ref="E127" ca="1">IFERROR(IF(C127="","",INDIRECT($D$2&amp;"!F"&amp;T127)),IF(C127="","",INDIRECT("'"&amp;$D$2&amp;"'"&amp;"!F"&amp;T127)))</f>
        <v>Included</v>
      </c>
      <c r="F127" t="str" cm="1">
        <f t="array" aca="1" ref="F127" ca="1">IFERROR(IF(C127="","",INDIRECT($D$2&amp;"!ak"&amp;T127)),IF(C127="","",INDIRECT("'"&amp;$D$2&amp;"'"&amp;"!ak"&amp;T127)))</f>
        <v/>
      </c>
      <c r="G127" cm="1">
        <f t="array" aca="1" ref="G127" ca="1">IFERROR(INDIRECT($D$2&amp;"!h"&amp;T127),INDIRECT("'"&amp;$D$2&amp;"'"&amp;"!h"&amp;T127))</f>
        <v>1</v>
      </c>
      <c r="H127" s="125" t="str" cm="1">
        <f t="array" aca="1" ref="H127" ca="1">IFERROR(INDIRECT($D$2&amp;"!i"&amp;T127),INDIRECT("'"&amp;$D$2&amp;"'"&amp;"!i"&amp;T127))</f>
        <v/>
      </c>
      <c r="I127" s="113" cm="1">
        <f t="array" aca="1" ref="I127" ca="1">IFERROR(IF($C127="","",INDIRECT($D$2&amp;"!j"&amp;$T127)+INDIRECT($D$2&amp;"!n"&amp;$T127)),IF($C127="","",INDIRECT("'"&amp;$D$2&amp;"'"&amp;"!j"&amp;$T127)+INDIRECT("'"&amp;$D$2&amp;"'"&amp;"!n"&amp;$T127)))</f>
        <v>3000</v>
      </c>
      <c r="J127" s="113">
        <f t="shared" ca="1" si="6"/>
        <v>-3000</v>
      </c>
      <c r="K127" s="113" cm="1">
        <f t="array" aca="1" ref="K127" ca="1">IFERROR(IF($C127="","",INDIRECT($D$2&amp;"!l"&amp;$T127)+INDIRECT($D$2&amp;"!p"&amp;$T127)),IF($C127="","",INDIRECT("'"&amp;$D$2&amp;"'"&amp;"!l"&amp;$T127)+INDIRECT("'"&amp;$D$2&amp;"'"&amp;"!p"&amp;$T127)))</f>
        <v>0</v>
      </c>
      <c r="M127" s="113" cm="1">
        <f t="array" aca="1" ref="M127" ca="1">IFERROR(IF($C127="","",INDIRECT($D$2&amp;"!r"&amp;T127)),IF($C127="","",INDIRECT("'"&amp;$D$2&amp;"'"&amp;"!r"&amp;T127)))</f>
        <v>0</v>
      </c>
      <c r="N127" s="113">
        <f t="shared" ca="1" si="7"/>
        <v>0</v>
      </c>
      <c r="O127" s="113" cm="1">
        <f t="array" aca="1" ref="O127" ca="1">IFERROR(IF($C127="","",INDIRECT($D$2&amp;"!t"&amp;T127)),IF($C127="","",INDIRECT("'"&amp;$D$2&amp;"'"&amp;"!t"&amp;T127)))</f>
        <v>0</v>
      </c>
      <c r="Q127" s="113" cm="1">
        <f t="array" aca="1" ref="Q127" ca="1">IFERROR(IF($C127="","",INDIRECT($D$2&amp;"!v"&amp;T127)),IF($C127="","",INDIRECT("'"&amp;$D$2&amp;"'"&amp;"!v"&amp;T127)))</f>
        <v>250</v>
      </c>
      <c r="R127" s="113">
        <f t="shared" ca="1" si="8"/>
        <v>0</v>
      </c>
      <c r="S127" s="113" cm="1">
        <f t="array" aca="1" ref="S127" ca="1">IFERROR(IF($C127="","",INDIRECT($D$2&amp;"!x"&amp;T127)),IF($C127="","",INDIRECT("'"&amp;$D$2&amp;"'"&amp;"!x"&amp;T127)))</f>
        <v>250</v>
      </c>
      <c r="T127" s="35">
        <v>115</v>
      </c>
      <c r="U127" s="113"/>
      <c r="V127" s="35">
        <v>115</v>
      </c>
    </row>
    <row r="128" spans="3:22" x14ac:dyDescent="0.25">
      <c r="C128" t="str" cm="1">
        <f t="array" aca="1" ref="C128" ca="1">IFERROR(IF(INDIRECT($D$2&amp;"!B"&amp;T128)="","",INDIRECT("'"&amp;$D$2&amp;"'"&amp;"!B"&amp;T128)),IF(INDIRECT("'"&amp;$D$2&amp;"'"&amp;"!B"&amp;T128)="","",INDIRECT("'"&amp;$D$2&amp;"'"&amp;"!B"&amp;T128)))</f>
        <v>Tape Entered Non-Monetary Transactions JHA Debit Processing</v>
      </c>
      <c r="D128" t="str" cm="1">
        <f t="array" aca="1" ref="D128" ca="1">IFERROR(_xlfn.IFS(C128="","",C128&lt;&gt;"",INDEX(SF_Output!I:I,MATCH(C128,SF_Output!M:M,0))),IFERROR(INDEX(INDIRECT($D$2&amp;"!G:G"),MATCH(C128,INDIRECT($D$2&amp;"!B:B"),0)),INDEX(INDIRECT("'"&amp;$D$2&amp;"'!G:G"),MATCH(C128,INDIRECT("'"&amp;$D$2&amp;"'!B:B"),0))))</f>
        <v>Payments</v>
      </c>
      <c r="E128" t="str" cm="1">
        <f t="array" aca="1" ref="E128" ca="1">IFERROR(IF(C128="","",INDIRECT($D$2&amp;"!F"&amp;T128)),IF(C128="","",INDIRECT("'"&amp;$D$2&amp;"'"&amp;"!F"&amp;T128)))</f>
        <v>Included</v>
      </c>
      <c r="F128" t="str" cm="1">
        <f t="array" aca="1" ref="F128" ca="1">IFERROR(IF(C128="","",INDIRECT($D$2&amp;"!ak"&amp;T128)),IF(C128="","",INDIRECT("'"&amp;$D$2&amp;"'"&amp;"!ak"&amp;T128)))</f>
        <v/>
      </c>
      <c r="G128" cm="1">
        <f t="array" aca="1" ref="G128" ca="1">IFERROR(INDIRECT($D$2&amp;"!h"&amp;T128),INDIRECT("'"&amp;$D$2&amp;"'"&amp;"!h"&amp;T128))</f>
        <v>0</v>
      </c>
      <c r="H128" s="125" t="str" cm="1">
        <f t="array" aca="1" ref="H128" ca="1">IFERROR(INDIRECT($D$2&amp;"!i"&amp;T128),INDIRECT("'"&amp;$D$2&amp;"'"&amp;"!i"&amp;T128))</f>
        <v/>
      </c>
      <c r="I128" s="113" cm="1">
        <f t="array" aca="1" ref="I128" ca="1">IFERROR(IF($C128="","",INDIRECT($D$2&amp;"!j"&amp;$T128)+INDIRECT($D$2&amp;"!n"&amp;$T128)),IF($C128="","",INDIRECT("'"&amp;$D$2&amp;"'"&amp;"!j"&amp;$T128)+INDIRECT("'"&amp;$D$2&amp;"'"&amp;"!n"&amp;$T128)))</f>
        <v>0</v>
      </c>
      <c r="J128" s="113">
        <f t="shared" ca="1" si="6"/>
        <v>0</v>
      </c>
      <c r="K128" s="113" cm="1">
        <f t="array" aca="1" ref="K128" ca="1">IFERROR(IF($C128="","",INDIRECT($D$2&amp;"!l"&amp;$T128)+INDIRECT($D$2&amp;"!p"&amp;$T128)),IF($C128="","",INDIRECT("'"&amp;$D$2&amp;"'"&amp;"!l"&amp;$T128)+INDIRECT("'"&amp;$D$2&amp;"'"&amp;"!p"&amp;$T128)))</f>
        <v>0</v>
      </c>
      <c r="M128" s="113" cm="1">
        <f t="array" aca="1" ref="M128" ca="1">IFERROR(IF($C128="","",INDIRECT($D$2&amp;"!r"&amp;T128)),IF($C128="","",INDIRECT("'"&amp;$D$2&amp;"'"&amp;"!r"&amp;T128)))</f>
        <v>0</v>
      </c>
      <c r="N128" s="113">
        <f t="shared" ca="1" si="7"/>
        <v>0</v>
      </c>
      <c r="O128" s="113" cm="1">
        <f t="array" aca="1" ref="O128" ca="1">IFERROR(IF($C128="","",INDIRECT($D$2&amp;"!t"&amp;T128)),IF($C128="","",INDIRECT("'"&amp;$D$2&amp;"'"&amp;"!t"&amp;T128)))</f>
        <v>0</v>
      </c>
      <c r="Q128" s="113" cm="1">
        <f t="array" aca="1" ref="Q128" ca="1">IFERROR(IF($C128="","",INDIRECT($D$2&amp;"!v"&amp;T128)),IF($C128="","",INDIRECT("'"&amp;$D$2&amp;"'"&amp;"!v"&amp;T128)))</f>
        <v>0</v>
      </c>
      <c r="R128" s="113">
        <f t="shared" ca="1" si="8"/>
        <v>0</v>
      </c>
      <c r="S128" s="113" cm="1">
        <f t="array" aca="1" ref="S128" ca="1">IFERROR(IF($C128="","",INDIRECT($D$2&amp;"!x"&amp;T128)),IF($C128="","",INDIRECT("'"&amp;$D$2&amp;"'"&amp;"!x"&amp;T128)))</f>
        <v>0</v>
      </c>
      <c r="T128" s="35">
        <v>116</v>
      </c>
      <c r="U128" s="113"/>
      <c r="V128" s="35">
        <v>116</v>
      </c>
    </row>
    <row r="129" spans="3:22" x14ac:dyDescent="0.25">
      <c r="C129" t="str" cm="1">
        <f t="array" aca="1" ref="C129" ca="1">IFERROR(IF(INDIRECT($D$2&amp;"!B"&amp;T129)="","",INDIRECT("'"&amp;$D$2&amp;"'"&amp;"!B"&amp;T129)),IF(INDIRECT("'"&amp;$D$2&amp;"'"&amp;"!B"&amp;T129)="","",INDIRECT("'"&amp;$D$2&amp;"'"&amp;"!B"&amp;T129)))</f>
        <v>Instant Issue JHA Debit Processing</v>
      </c>
      <c r="D129" t="str" cm="1">
        <f t="array" aca="1" ref="D129" ca="1">IFERROR(_xlfn.IFS(C129="","",C129&lt;&gt;"",INDEX(SF_Output!I:I,MATCH(C129,SF_Output!M:M,0))),IFERROR(INDEX(INDIRECT($D$2&amp;"!G:G"),MATCH(C129,INDIRECT($D$2&amp;"!B:B"),0)),INDEX(INDIRECT("'"&amp;$D$2&amp;"'!G:G"),MATCH(C129,INDIRECT("'"&amp;$D$2&amp;"'!B:B"),0))))</f>
        <v>Payments</v>
      </c>
      <c r="E129" t="str" cm="1">
        <f t="array" aca="1" ref="E129" ca="1">IFERROR(IF(C129="","",INDIRECT($D$2&amp;"!F"&amp;T129)),IF(C129="","",INDIRECT("'"&amp;$D$2&amp;"'"&amp;"!F"&amp;T129)))</f>
        <v>Included</v>
      </c>
      <c r="F129" t="str" cm="1">
        <f t="array" aca="1" ref="F129" ca="1">IFERROR(IF(C129="","",INDIRECT($D$2&amp;"!ak"&amp;T129)),IF(C129="","",INDIRECT("'"&amp;$D$2&amp;"'"&amp;"!ak"&amp;T129)))</f>
        <v/>
      </c>
      <c r="G129" cm="1">
        <f t="array" aca="1" ref="G129" ca="1">IFERROR(INDIRECT($D$2&amp;"!h"&amp;T129),INDIRECT("'"&amp;$D$2&amp;"'"&amp;"!h"&amp;T129))</f>
        <v>1</v>
      </c>
      <c r="H129" s="125" t="str" cm="1">
        <f t="array" aca="1" ref="H129" ca="1">IFERROR(INDIRECT($D$2&amp;"!i"&amp;T129),INDIRECT("'"&amp;$D$2&amp;"'"&amp;"!i"&amp;T129))</f>
        <v/>
      </c>
      <c r="I129" s="113" cm="1">
        <f t="array" aca="1" ref="I129" ca="1">IFERROR(IF($C129="","",INDIRECT($D$2&amp;"!j"&amp;$T129)+INDIRECT($D$2&amp;"!n"&amp;$T129)),IF($C129="","",INDIRECT("'"&amp;$D$2&amp;"'"&amp;"!j"&amp;$T129)+INDIRECT("'"&amp;$D$2&amp;"'"&amp;"!n"&amp;$T129)))</f>
        <v>4500</v>
      </c>
      <c r="J129" s="113">
        <f t="shared" ca="1" si="6"/>
        <v>-4500</v>
      </c>
      <c r="K129" s="113" cm="1">
        <f t="array" aca="1" ref="K129" ca="1">IFERROR(IF($C129="","",INDIRECT($D$2&amp;"!l"&amp;$T129)+INDIRECT($D$2&amp;"!p"&amp;$T129)),IF($C129="","",INDIRECT("'"&amp;$D$2&amp;"'"&amp;"!l"&amp;$T129)+INDIRECT("'"&amp;$D$2&amp;"'"&amp;"!p"&amp;$T129)))</f>
        <v>0</v>
      </c>
      <c r="M129" s="113" cm="1">
        <f t="array" aca="1" ref="M129" ca="1">IFERROR(IF($C129="","",INDIRECT($D$2&amp;"!r"&amp;T129)),IF($C129="","",INDIRECT("'"&amp;$D$2&amp;"'"&amp;"!r"&amp;T129)))</f>
        <v>0</v>
      </c>
      <c r="N129" s="113">
        <f t="shared" ca="1" si="7"/>
        <v>0</v>
      </c>
      <c r="O129" s="113" cm="1">
        <f t="array" aca="1" ref="O129" ca="1">IFERROR(IF($C129="","",INDIRECT($D$2&amp;"!t"&amp;T129)),IF($C129="","",INDIRECT("'"&amp;$D$2&amp;"'"&amp;"!t"&amp;T129)))</f>
        <v>0</v>
      </c>
      <c r="Q129" s="113" cm="1">
        <f t="array" aca="1" ref="Q129" ca="1">IFERROR(IF($C129="","",INDIRECT($D$2&amp;"!v"&amp;T129)),IF($C129="","",INDIRECT("'"&amp;$D$2&amp;"'"&amp;"!v"&amp;T129)))</f>
        <v>75</v>
      </c>
      <c r="R129" s="113">
        <f t="shared" ca="1" si="8"/>
        <v>0</v>
      </c>
      <c r="S129" s="113" cm="1">
        <f t="array" aca="1" ref="S129" ca="1">IFERROR(IF($C129="","",INDIRECT($D$2&amp;"!x"&amp;T129)),IF($C129="","",INDIRECT("'"&amp;$D$2&amp;"'"&amp;"!x"&amp;T129)))</f>
        <v>75</v>
      </c>
      <c r="T129" s="35">
        <v>117</v>
      </c>
      <c r="U129" s="113"/>
      <c r="V129" s="35">
        <v>117</v>
      </c>
    </row>
    <row r="130" spans="3:22" x14ac:dyDescent="0.25">
      <c r="C130" t="str" cm="1">
        <f t="array" aca="1" ref="C130" ca="1">IFERROR(IF(INDIRECT($D$2&amp;"!B"&amp;T130)="","",INDIRECT("'"&amp;$D$2&amp;"'"&amp;"!B"&amp;T130)),IF(INDIRECT("'"&amp;$D$2&amp;"'"&amp;"!B"&amp;T130)="","",INDIRECT("'"&amp;$D$2&amp;"'"&amp;"!B"&amp;T130)))</f>
        <v>CPU Transmissions, per file JHA Debit Processing</v>
      </c>
      <c r="D130" t="str" cm="1">
        <f t="array" aca="1" ref="D130" ca="1">IFERROR(_xlfn.IFS(C130="","",C130&lt;&gt;"",INDEX(SF_Output!I:I,MATCH(C130,SF_Output!M:M,0))),IFERROR(INDEX(INDIRECT($D$2&amp;"!G:G"),MATCH(C130,INDIRECT($D$2&amp;"!B:B"),0)),INDEX(INDIRECT("'"&amp;$D$2&amp;"'!G:G"),MATCH(C130,INDIRECT("'"&amp;$D$2&amp;"'!B:B"),0))))</f>
        <v>Payments</v>
      </c>
      <c r="E130" t="str" cm="1">
        <f t="array" aca="1" ref="E130" ca="1">IFERROR(IF(C130="","",INDIRECT($D$2&amp;"!F"&amp;T130)),IF(C130="","",INDIRECT("'"&amp;$D$2&amp;"'"&amp;"!F"&amp;T130)))</f>
        <v>Included</v>
      </c>
      <c r="F130" t="str" cm="1">
        <f t="array" aca="1" ref="F130" ca="1">IFERROR(IF(C130="","",INDIRECT($D$2&amp;"!ak"&amp;T130)),IF(C130="","",INDIRECT("'"&amp;$D$2&amp;"'"&amp;"!ak"&amp;T130)))</f>
        <v/>
      </c>
      <c r="G130" cm="1">
        <f t="array" aca="1" ref="G130" ca="1">IFERROR(INDIRECT($D$2&amp;"!h"&amp;T130),INDIRECT("'"&amp;$D$2&amp;"'"&amp;"!h"&amp;T130))</f>
        <v>0</v>
      </c>
      <c r="H130" s="125" t="str" cm="1">
        <f t="array" aca="1" ref="H130" ca="1">IFERROR(INDIRECT($D$2&amp;"!i"&amp;T130),INDIRECT("'"&amp;$D$2&amp;"'"&amp;"!i"&amp;T130))</f>
        <v/>
      </c>
      <c r="I130" s="113" cm="1">
        <f t="array" aca="1" ref="I130" ca="1">IFERROR(IF($C130="","",INDIRECT($D$2&amp;"!j"&amp;$T130)+INDIRECT($D$2&amp;"!n"&amp;$T130)),IF($C130="","",INDIRECT("'"&amp;$D$2&amp;"'"&amp;"!j"&amp;$T130)+INDIRECT("'"&amp;$D$2&amp;"'"&amp;"!n"&amp;$T130)))</f>
        <v>0</v>
      </c>
      <c r="J130" s="113">
        <f t="shared" ca="1" si="6"/>
        <v>0</v>
      </c>
      <c r="K130" s="113" cm="1">
        <f t="array" aca="1" ref="K130" ca="1">IFERROR(IF($C130="","",INDIRECT($D$2&amp;"!l"&amp;$T130)+INDIRECT($D$2&amp;"!p"&amp;$T130)),IF($C130="","",INDIRECT("'"&amp;$D$2&amp;"'"&amp;"!l"&amp;$T130)+INDIRECT("'"&amp;$D$2&amp;"'"&amp;"!p"&amp;$T130)))</f>
        <v>0</v>
      </c>
      <c r="M130" s="113" cm="1">
        <f t="array" aca="1" ref="M130" ca="1">IFERROR(IF($C130="","",INDIRECT($D$2&amp;"!r"&amp;T130)),IF($C130="","",INDIRECT("'"&amp;$D$2&amp;"'"&amp;"!r"&amp;T130)))</f>
        <v>0</v>
      </c>
      <c r="N130" s="113">
        <f t="shared" ca="1" si="7"/>
        <v>0</v>
      </c>
      <c r="O130" s="113" cm="1">
        <f t="array" aca="1" ref="O130" ca="1">IFERROR(IF($C130="","",INDIRECT($D$2&amp;"!t"&amp;T130)),IF($C130="","",INDIRECT("'"&amp;$D$2&amp;"'"&amp;"!t"&amp;T130)))</f>
        <v>0</v>
      </c>
      <c r="Q130" s="113" cm="1">
        <f t="array" aca="1" ref="Q130" ca="1">IFERROR(IF($C130="","",INDIRECT($D$2&amp;"!v"&amp;T130)),IF($C130="","",INDIRECT("'"&amp;$D$2&amp;"'"&amp;"!v"&amp;T130)))</f>
        <v>0</v>
      </c>
      <c r="R130" s="113">
        <f t="shared" ca="1" si="8"/>
        <v>0</v>
      </c>
      <c r="S130" s="113" cm="1">
        <f t="array" aca="1" ref="S130" ca="1">IFERROR(IF($C130="","",INDIRECT($D$2&amp;"!x"&amp;T130)),IF($C130="","",INDIRECT("'"&amp;$D$2&amp;"'"&amp;"!x"&amp;T130)))</f>
        <v>0</v>
      </c>
      <c r="T130" s="35">
        <v>118</v>
      </c>
      <c r="U130" s="113"/>
      <c r="V130" s="35">
        <v>118</v>
      </c>
    </row>
    <row r="131" spans="3:22" x14ac:dyDescent="0.25">
      <c r="C131" t="str" cm="1">
        <f t="array" aca="1" ref="C131" ca="1">IFERROR(IF(INDIRECT($D$2&amp;"!B"&amp;T131)="","",INDIRECT("'"&amp;$D$2&amp;"'"&amp;"!B"&amp;T131)),IF(INDIRECT("'"&amp;$D$2&amp;"'"&amp;"!B"&amp;T131)="","",INDIRECT("'"&amp;$D$2&amp;"'"&amp;"!B"&amp;T131)))</f>
        <v>Report Archival Pages JHA Debit Processing</v>
      </c>
      <c r="D131" t="str" cm="1">
        <f t="array" aca="1" ref="D131" ca="1">IFERROR(_xlfn.IFS(C131="","",C131&lt;&gt;"",INDEX(SF_Output!I:I,MATCH(C131,SF_Output!M:M,0))),IFERROR(INDEX(INDIRECT($D$2&amp;"!G:G"),MATCH(C131,INDIRECT($D$2&amp;"!B:B"),0)),INDEX(INDIRECT("'"&amp;$D$2&amp;"'!G:G"),MATCH(C131,INDIRECT("'"&amp;$D$2&amp;"'!B:B"),0))))</f>
        <v>Payments</v>
      </c>
      <c r="E131" t="str" cm="1">
        <f t="array" aca="1" ref="E131" ca="1">IFERROR(IF(C131="","",INDIRECT($D$2&amp;"!F"&amp;T131)),IF(C131="","",INDIRECT("'"&amp;$D$2&amp;"'"&amp;"!F"&amp;T131)))</f>
        <v>Included</v>
      </c>
      <c r="F131" t="str" cm="1">
        <f t="array" aca="1" ref="F131" ca="1">IFERROR(IF(C131="","",INDIRECT($D$2&amp;"!ak"&amp;T131)),IF(C131="","",INDIRECT("'"&amp;$D$2&amp;"'"&amp;"!ak"&amp;T131)))</f>
        <v/>
      </c>
      <c r="G131" cm="1">
        <f t="array" aca="1" ref="G131" ca="1">IFERROR(INDIRECT($D$2&amp;"!h"&amp;T131),INDIRECT("'"&amp;$D$2&amp;"'"&amp;"!h"&amp;T131))</f>
        <v>0</v>
      </c>
      <c r="H131" s="125" t="str" cm="1">
        <f t="array" aca="1" ref="H131" ca="1">IFERROR(INDIRECT($D$2&amp;"!i"&amp;T131),INDIRECT("'"&amp;$D$2&amp;"'"&amp;"!i"&amp;T131))</f>
        <v/>
      </c>
      <c r="I131" s="113" cm="1">
        <f t="array" aca="1" ref="I131" ca="1">IFERROR(IF($C131="","",INDIRECT($D$2&amp;"!j"&amp;$T131)+INDIRECT($D$2&amp;"!n"&amp;$T131)),IF($C131="","",INDIRECT("'"&amp;$D$2&amp;"'"&amp;"!j"&amp;$T131)+INDIRECT("'"&amp;$D$2&amp;"'"&amp;"!n"&amp;$T131)))</f>
        <v>0</v>
      </c>
      <c r="J131" s="113">
        <f t="shared" ca="1" si="6"/>
        <v>0</v>
      </c>
      <c r="K131" s="113" cm="1">
        <f t="array" aca="1" ref="K131" ca="1">IFERROR(IF($C131="","",INDIRECT($D$2&amp;"!l"&amp;$T131)+INDIRECT($D$2&amp;"!p"&amp;$T131)),IF($C131="","",INDIRECT("'"&amp;$D$2&amp;"'"&amp;"!l"&amp;$T131)+INDIRECT("'"&amp;$D$2&amp;"'"&amp;"!p"&amp;$T131)))</f>
        <v>0</v>
      </c>
      <c r="M131" s="113" cm="1">
        <f t="array" aca="1" ref="M131" ca="1">IFERROR(IF($C131="","",INDIRECT($D$2&amp;"!r"&amp;T131)),IF($C131="","",INDIRECT("'"&amp;$D$2&amp;"'"&amp;"!r"&amp;T131)))</f>
        <v>0</v>
      </c>
      <c r="N131" s="113">
        <f t="shared" ca="1" si="7"/>
        <v>0</v>
      </c>
      <c r="O131" s="113" cm="1">
        <f t="array" aca="1" ref="O131" ca="1">IFERROR(IF($C131="","",INDIRECT($D$2&amp;"!t"&amp;T131)),IF($C131="","",INDIRECT("'"&amp;$D$2&amp;"'"&amp;"!t"&amp;T131)))</f>
        <v>0</v>
      </c>
      <c r="Q131" s="113" cm="1">
        <f t="array" aca="1" ref="Q131" ca="1">IFERROR(IF($C131="","",INDIRECT($D$2&amp;"!v"&amp;T131)),IF($C131="","",INDIRECT("'"&amp;$D$2&amp;"'"&amp;"!v"&amp;T131)))</f>
        <v>0</v>
      </c>
      <c r="R131" s="113">
        <f t="shared" ca="1" si="8"/>
        <v>0</v>
      </c>
      <c r="S131" s="113" cm="1">
        <f t="array" aca="1" ref="S131" ca="1">IFERROR(IF($C131="","",INDIRECT($D$2&amp;"!x"&amp;T131)),IF($C131="","",INDIRECT("'"&amp;$D$2&amp;"'"&amp;"!x"&amp;T131)))</f>
        <v>0</v>
      </c>
      <c r="T131" s="35">
        <v>119</v>
      </c>
      <c r="U131" s="113"/>
      <c r="V131" s="35">
        <v>119</v>
      </c>
    </row>
    <row r="132" spans="3:22" x14ac:dyDescent="0.25">
      <c r="C132" t="str" cm="1">
        <f t="array" aca="1" ref="C132" ca="1">IFERROR(IF(INDIRECT($D$2&amp;"!B"&amp;T132)="","",INDIRECT("'"&amp;$D$2&amp;"'"&amp;"!B"&amp;T132)),IF(INDIRECT("'"&amp;$D$2&amp;"'"&amp;"!B"&amp;T132)="","",INDIRECT("'"&amp;$D$2&amp;"'"&amp;"!B"&amp;T132)))</f>
        <v>Non-Standard Job Request, per job JHA Debit Processing</v>
      </c>
      <c r="D132" t="str" cm="1">
        <f t="array" aca="1" ref="D132" ca="1">IFERROR(_xlfn.IFS(C132="","",C132&lt;&gt;"",INDEX(SF_Output!I:I,MATCH(C132,SF_Output!M:M,0))),IFERROR(INDEX(INDIRECT($D$2&amp;"!G:G"),MATCH(C132,INDIRECT($D$2&amp;"!B:B"),0)),INDEX(INDIRECT("'"&amp;$D$2&amp;"'!G:G"),MATCH(C132,INDIRECT("'"&amp;$D$2&amp;"'!B:B"),0))))</f>
        <v>Payments</v>
      </c>
      <c r="E132" t="str" cm="1">
        <f t="array" aca="1" ref="E132" ca="1">IFERROR(IF(C132="","",INDIRECT($D$2&amp;"!F"&amp;T132)),IF(C132="","",INDIRECT("'"&amp;$D$2&amp;"'"&amp;"!F"&amp;T132)))</f>
        <v>Included</v>
      </c>
      <c r="F132" t="str" cm="1">
        <f t="array" aca="1" ref="F132" ca="1">IFERROR(IF(C132="","",INDIRECT($D$2&amp;"!ak"&amp;T132)),IF(C132="","",INDIRECT("'"&amp;$D$2&amp;"'"&amp;"!ak"&amp;T132)))</f>
        <v/>
      </c>
      <c r="G132" cm="1">
        <f t="array" aca="1" ref="G132" ca="1">IFERROR(INDIRECT($D$2&amp;"!h"&amp;T132),INDIRECT("'"&amp;$D$2&amp;"'"&amp;"!h"&amp;T132))</f>
        <v>0</v>
      </c>
      <c r="H132" s="125" t="str" cm="1">
        <f t="array" aca="1" ref="H132" ca="1">IFERROR(INDIRECT($D$2&amp;"!i"&amp;T132),INDIRECT("'"&amp;$D$2&amp;"'"&amp;"!i"&amp;T132))</f>
        <v/>
      </c>
      <c r="I132" s="113" cm="1">
        <f t="array" aca="1" ref="I132" ca="1">IFERROR(IF($C132="","",INDIRECT($D$2&amp;"!j"&amp;$T132)+INDIRECT($D$2&amp;"!n"&amp;$T132)),IF($C132="","",INDIRECT("'"&amp;$D$2&amp;"'"&amp;"!j"&amp;$T132)+INDIRECT("'"&amp;$D$2&amp;"'"&amp;"!n"&amp;$T132)))</f>
        <v>0</v>
      </c>
      <c r="J132" s="113">
        <f t="shared" ca="1" si="6"/>
        <v>0</v>
      </c>
      <c r="K132" s="113" cm="1">
        <f t="array" aca="1" ref="K132" ca="1">IFERROR(IF($C132="","",INDIRECT($D$2&amp;"!l"&amp;$T132)+INDIRECT($D$2&amp;"!p"&amp;$T132)),IF($C132="","",INDIRECT("'"&amp;$D$2&amp;"'"&amp;"!l"&amp;$T132)+INDIRECT("'"&amp;$D$2&amp;"'"&amp;"!p"&amp;$T132)))</f>
        <v>0</v>
      </c>
      <c r="M132" s="113" cm="1">
        <f t="array" aca="1" ref="M132" ca="1">IFERROR(IF($C132="","",INDIRECT($D$2&amp;"!r"&amp;T132)),IF($C132="","",INDIRECT("'"&amp;$D$2&amp;"'"&amp;"!r"&amp;T132)))</f>
        <v>0</v>
      </c>
      <c r="N132" s="113">
        <f t="shared" ca="1" si="7"/>
        <v>0</v>
      </c>
      <c r="O132" s="113" cm="1">
        <f t="array" aca="1" ref="O132" ca="1">IFERROR(IF($C132="","",INDIRECT($D$2&amp;"!t"&amp;T132)),IF($C132="","",INDIRECT("'"&amp;$D$2&amp;"'"&amp;"!t"&amp;T132)))</f>
        <v>0</v>
      </c>
      <c r="Q132" s="113" cm="1">
        <f t="array" aca="1" ref="Q132" ca="1">IFERROR(IF($C132="","",INDIRECT($D$2&amp;"!v"&amp;T132)),IF($C132="","",INDIRECT("'"&amp;$D$2&amp;"'"&amp;"!v"&amp;T132)))</f>
        <v>0</v>
      </c>
      <c r="R132" s="113">
        <f t="shared" ca="1" si="8"/>
        <v>0</v>
      </c>
      <c r="S132" s="113" cm="1">
        <f t="array" aca="1" ref="S132" ca="1">IFERROR(IF($C132="","",INDIRECT($D$2&amp;"!x"&amp;T132)),IF($C132="","",INDIRECT("'"&amp;$D$2&amp;"'"&amp;"!x"&amp;T132)))</f>
        <v>0</v>
      </c>
      <c r="T132" s="35">
        <v>120</v>
      </c>
      <c r="U132" s="113"/>
      <c r="V132" s="35">
        <v>120</v>
      </c>
    </row>
    <row r="133" spans="3:22" x14ac:dyDescent="0.25">
      <c r="C133" t="str" cm="1">
        <f t="array" aca="1" ref="C133" ca="1">IFERROR(IF(INDIRECT($D$2&amp;"!B"&amp;T133)="","",INDIRECT("'"&amp;$D$2&amp;"'"&amp;"!B"&amp;T133)),IF(INDIRECT("'"&amp;$D$2&amp;"'"&amp;"!B"&amp;T133)="","",INDIRECT("'"&amp;$D$2&amp;"'"&amp;"!B"&amp;T133)))</f>
        <v>CPS Dual Interface Cards Fee Schedule JHA Debit Processing</v>
      </c>
      <c r="D133" t="str" cm="1">
        <f t="array" aca="1" ref="D133" ca="1">IFERROR(_xlfn.IFS(C133="","",C133&lt;&gt;"",INDEX(SF_Output!I:I,MATCH(C133,SF_Output!M:M,0))),IFERROR(INDEX(INDIRECT($D$2&amp;"!G:G"),MATCH(C133,INDIRECT($D$2&amp;"!B:B"),0)),INDEX(INDIRECT("'"&amp;$D$2&amp;"'!G:G"),MATCH(C133,INDIRECT("'"&amp;$D$2&amp;"'!B:B"),0))))</f>
        <v>Payments</v>
      </c>
      <c r="E133" t="str" cm="1">
        <f t="array" aca="1" ref="E133" ca="1">IFERROR(IF(C133="","",INDIRECT($D$2&amp;"!F"&amp;T133)),IF(C133="","",INDIRECT("'"&amp;$D$2&amp;"'"&amp;"!F"&amp;T133)))</f>
        <v>Included</v>
      </c>
      <c r="F133" t="str" cm="1">
        <f t="array" aca="1" ref="F133" ca="1">IFERROR(IF(C133="","",INDIRECT($D$2&amp;"!ak"&amp;T133)),IF(C133="","",INDIRECT("'"&amp;$D$2&amp;"'"&amp;"!ak"&amp;T133)))</f>
        <v/>
      </c>
      <c r="G133" cm="1">
        <f t="array" aca="1" ref="G133" ca="1">IFERROR(INDIRECT($D$2&amp;"!h"&amp;T133),INDIRECT("'"&amp;$D$2&amp;"'"&amp;"!h"&amp;T133))</f>
        <v>1</v>
      </c>
      <c r="H133" s="125" t="str" cm="1">
        <f t="array" aca="1" ref="H133" ca="1">IFERROR(INDIRECT($D$2&amp;"!i"&amp;T133),INDIRECT("'"&amp;$D$2&amp;"'"&amp;"!i"&amp;T133))</f>
        <v/>
      </c>
      <c r="I133" s="113" cm="1">
        <f t="array" aca="1" ref="I133" ca="1">IFERROR(IF($C133="","",INDIRECT($D$2&amp;"!j"&amp;$T133)+INDIRECT($D$2&amp;"!n"&amp;$T133)),IF($C133="","",INDIRECT("'"&amp;$D$2&amp;"'"&amp;"!j"&amp;$T133)+INDIRECT("'"&amp;$D$2&amp;"'"&amp;"!n"&amp;$T133)))</f>
        <v>16000</v>
      </c>
      <c r="J133" s="113">
        <f t="shared" ca="1" si="6"/>
        <v>-16000</v>
      </c>
      <c r="K133" s="113" cm="1">
        <f t="array" aca="1" ref="K133" ca="1">IFERROR(IF($C133="","",INDIRECT($D$2&amp;"!l"&amp;$T133)+INDIRECT($D$2&amp;"!p"&amp;$T133)),IF($C133="","",INDIRECT("'"&amp;$D$2&amp;"'"&amp;"!l"&amp;$T133)+INDIRECT("'"&amp;$D$2&amp;"'"&amp;"!p"&amp;$T133)))</f>
        <v>0</v>
      </c>
      <c r="M133" s="113" cm="1">
        <f t="array" aca="1" ref="M133" ca="1">IFERROR(IF($C133="","",INDIRECT($D$2&amp;"!r"&amp;T133)),IF($C133="","",INDIRECT("'"&amp;$D$2&amp;"'"&amp;"!r"&amp;T133)))</f>
        <v>0</v>
      </c>
      <c r="N133" s="113">
        <f t="shared" ca="1" si="7"/>
        <v>0</v>
      </c>
      <c r="O133" s="113" cm="1">
        <f t="array" aca="1" ref="O133" ca="1">IFERROR(IF($C133="","",INDIRECT($D$2&amp;"!t"&amp;T133)),IF($C133="","",INDIRECT("'"&amp;$D$2&amp;"'"&amp;"!t"&amp;T133)))</f>
        <v>0</v>
      </c>
      <c r="Q133" s="113" cm="1">
        <f t="array" aca="1" ref="Q133" ca="1">IFERROR(IF($C133="","",INDIRECT($D$2&amp;"!v"&amp;T133)),IF($C133="","",INDIRECT("'"&amp;$D$2&amp;"'"&amp;"!v"&amp;T133)))</f>
        <v>0</v>
      </c>
      <c r="R133" s="113">
        <f t="shared" ca="1" si="8"/>
        <v>0</v>
      </c>
      <c r="S133" s="113" cm="1">
        <f t="array" aca="1" ref="S133" ca="1">IFERROR(IF($C133="","",INDIRECT($D$2&amp;"!x"&amp;T133)),IF($C133="","",INDIRECT("'"&amp;$D$2&amp;"'"&amp;"!x"&amp;T133)))</f>
        <v>0</v>
      </c>
      <c r="T133" s="35">
        <v>121</v>
      </c>
      <c r="U133" s="113"/>
      <c r="V133" s="35">
        <v>121</v>
      </c>
    </row>
    <row r="134" spans="3:22" x14ac:dyDescent="0.25">
      <c r="C134" t="str" cm="1">
        <f t="array" aca="1" ref="C134" ca="1">IFERROR(IF(INDIRECT($D$2&amp;"!B"&amp;T134)="","",INDIRECT("'"&amp;$D$2&amp;"'"&amp;"!B"&amp;T134)),IF(INDIRECT("'"&amp;$D$2&amp;"'"&amp;"!B"&amp;T134)="","",INDIRECT("'"&amp;$D$2&amp;"'"&amp;"!B"&amp;T134)))</f>
        <v>CPS Dual Interface Cards Additional Personalization Vendor BIN(s) JHA Debit Processing</v>
      </c>
      <c r="D134" t="str" cm="1">
        <f t="array" aca="1" ref="D134" ca="1">IFERROR(_xlfn.IFS(C134="","",C134&lt;&gt;"",INDEX(SF_Output!I:I,MATCH(C134,SF_Output!M:M,0))),IFERROR(INDEX(INDIRECT($D$2&amp;"!G:G"),MATCH(C134,INDIRECT($D$2&amp;"!B:B"),0)),INDEX(INDIRECT("'"&amp;$D$2&amp;"'!G:G"),MATCH(C134,INDIRECT("'"&amp;$D$2&amp;"'!B:B"),0))))</f>
        <v>Payments</v>
      </c>
      <c r="E134" t="str" cm="1">
        <f t="array" aca="1" ref="E134" ca="1">IFERROR(IF(C134="","",INDIRECT($D$2&amp;"!F"&amp;T134)),IF(C134="","",INDIRECT("'"&amp;$D$2&amp;"'"&amp;"!F"&amp;T134)))</f>
        <v>Included</v>
      </c>
      <c r="F134" t="str" cm="1">
        <f t="array" aca="1" ref="F134" ca="1">IFERROR(IF(C134="","",INDIRECT($D$2&amp;"!ak"&amp;T134)),IF(C134="","",INDIRECT("'"&amp;$D$2&amp;"'"&amp;"!ak"&amp;T134)))</f>
        <v/>
      </c>
      <c r="G134" cm="1">
        <f t="array" aca="1" ref="G134" ca="1">IFERROR(INDIRECT($D$2&amp;"!h"&amp;T134),INDIRECT("'"&amp;$D$2&amp;"'"&amp;"!h"&amp;T134))</f>
        <v>2</v>
      </c>
      <c r="H134" s="125" t="str" cm="1">
        <f t="array" aca="1" ref="H134" ca="1">IFERROR(INDIRECT($D$2&amp;"!i"&amp;T134),INDIRECT("'"&amp;$D$2&amp;"'"&amp;"!i"&amp;T134))</f>
        <v/>
      </c>
      <c r="I134" s="113" cm="1">
        <f t="array" aca="1" ref="I134" ca="1">IFERROR(IF($C134="","",INDIRECT($D$2&amp;"!j"&amp;$T134)+INDIRECT($D$2&amp;"!n"&amp;$T134)),IF($C134="","",INDIRECT("'"&amp;$D$2&amp;"'"&amp;"!j"&amp;$T134)+INDIRECT("'"&amp;$D$2&amp;"'"&amp;"!n"&amp;$T134)))</f>
        <v>3000</v>
      </c>
      <c r="J134" s="113">
        <f t="shared" ca="1" si="6"/>
        <v>-3000</v>
      </c>
      <c r="K134" s="113" cm="1">
        <f t="array" aca="1" ref="K134" ca="1">IFERROR(IF($C134="","",INDIRECT($D$2&amp;"!l"&amp;$T134)+INDIRECT($D$2&amp;"!p"&amp;$T134)),IF($C134="","",INDIRECT("'"&amp;$D$2&amp;"'"&amp;"!l"&amp;$T134)+INDIRECT("'"&amp;$D$2&amp;"'"&amp;"!p"&amp;$T134)))</f>
        <v>0</v>
      </c>
      <c r="M134" s="113" cm="1">
        <f t="array" aca="1" ref="M134" ca="1">IFERROR(IF($C134="","",INDIRECT($D$2&amp;"!r"&amp;T134)),IF($C134="","",INDIRECT("'"&amp;$D$2&amp;"'"&amp;"!r"&amp;T134)))</f>
        <v>0</v>
      </c>
      <c r="N134" s="113">
        <f t="shared" ca="1" si="7"/>
        <v>0</v>
      </c>
      <c r="O134" s="113" cm="1">
        <f t="array" aca="1" ref="O134" ca="1">IFERROR(IF($C134="","",INDIRECT($D$2&amp;"!t"&amp;T134)),IF($C134="","",INDIRECT("'"&amp;$D$2&amp;"'"&amp;"!t"&amp;T134)))</f>
        <v>0</v>
      </c>
      <c r="Q134" s="113" cm="1">
        <f t="array" aca="1" ref="Q134" ca="1">IFERROR(IF($C134="","",INDIRECT($D$2&amp;"!v"&amp;T134)),IF($C134="","",INDIRECT("'"&amp;$D$2&amp;"'"&amp;"!v"&amp;T134)))</f>
        <v>0</v>
      </c>
      <c r="R134" s="113">
        <f t="shared" ca="1" si="8"/>
        <v>0</v>
      </c>
      <c r="S134" s="113" cm="1">
        <f t="array" aca="1" ref="S134" ca="1">IFERROR(IF($C134="","",INDIRECT($D$2&amp;"!x"&amp;T134)),IF($C134="","",INDIRECT("'"&amp;$D$2&amp;"'"&amp;"!x"&amp;T134)))</f>
        <v>0</v>
      </c>
      <c r="T134" s="35">
        <v>122</v>
      </c>
      <c r="U134" s="113"/>
      <c r="V134" s="35">
        <v>122</v>
      </c>
    </row>
    <row r="135" spans="3:22" x14ac:dyDescent="0.25">
      <c r="C135" t="str" cm="1">
        <f t="array" aca="1" ref="C135" ca="1">IFERROR(IF(INDIRECT($D$2&amp;"!B"&amp;T135)="","",INDIRECT("'"&amp;$D$2&amp;"'"&amp;"!B"&amp;T135)),IF(INDIRECT("'"&amp;$D$2&amp;"'"&amp;"!B"&amp;T135)="","",INDIRECT("'"&amp;$D$2&amp;"'"&amp;"!B"&amp;T135)))</f>
        <v>Online ATM &amp; Debit Authorization to CPS Switch Includes 7,000 ATM Transactions per month &amp; 2,50</v>
      </c>
      <c r="D135" t="str" cm="1">
        <f t="array" aca="1" ref="D135" ca="1">IFERROR(_xlfn.IFS(C135="","",C135&lt;&gt;"",INDEX(SF_Output!I:I,MATCH(C135,SF_Output!M:M,0))),IFERROR(INDEX(INDIRECT($D$2&amp;"!G:G"),MATCH(C135,INDIRECT($D$2&amp;"!B:B"),0)),INDEX(INDIRECT("'"&amp;$D$2&amp;"'!G:G"),MATCH(C135,INDIRECT("'"&amp;$D$2&amp;"'!B:B"),0))))</f>
        <v>Payments</v>
      </c>
      <c r="E135" t="str" cm="1">
        <f t="array" aca="1" ref="E135" ca="1">IFERROR(IF(C135="","",INDIRECT($D$2&amp;"!F"&amp;T135)),IF(C135="","",INDIRECT("'"&amp;$D$2&amp;"'"&amp;"!F"&amp;T135)))</f>
        <v>Included</v>
      </c>
      <c r="F135" t="str" cm="1">
        <f t="array" aca="1" ref="F135" ca="1">IFERROR(IF(C135="","",INDIRECT($D$2&amp;"!ak"&amp;T135)),IF(C135="","",INDIRECT("'"&amp;$D$2&amp;"'"&amp;"!ak"&amp;T135)))</f>
        <v/>
      </c>
      <c r="G135" cm="1">
        <f t="array" aca="1" ref="G135" ca="1">IFERROR(INDIRECT($D$2&amp;"!h"&amp;T135),INDIRECT("'"&amp;$D$2&amp;"'"&amp;"!h"&amp;T135))</f>
        <v>1</v>
      </c>
      <c r="H135" s="125" t="str" cm="1">
        <f t="array" aca="1" ref="H135" ca="1">IFERROR(INDIRECT($D$2&amp;"!i"&amp;T135),INDIRECT("'"&amp;$D$2&amp;"'"&amp;"!i"&amp;T135))</f>
        <v/>
      </c>
      <c r="I135" s="113" cm="1">
        <f t="array" aca="1" ref="I135" ca="1">IFERROR(IF($C135="","",INDIRECT($D$2&amp;"!j"&amp;$T135)+INDIRECT($D$2&amp;"!n"&amp;$T135)),IF($C135="","",INDIRECT("'"&amp;$D$2&amp;"'"&amp;"!j"&amp;$T135)+INDIRECT("'"&amp;$D$2&amp;"'"&amp;"!n"&amp;$T135)))</f>
        <v>5500</v>
      </c>
      <c r="J135" s="113">
        <f t="shared" ca="1" si="6"/>
        <v>-5500</v>
      </c>
      <c r="K135" s="113" cm="1">
        <f t="array" aca="1" ref="K135" ca="1">IFERROR(IF($C135="","",INDIRECT($D$2&amp;"!l"&amp;$T135)+INDIRECT($D$2&amp;"!p"&amp;$T135)),IF($C135="","",INDIRECT("'"&amp;$D$2&amp;"'"&amp;"!l"&amp;$T135)+INDIRECT("'"&amp;$D$2&amp;"'"&amp;"!p"&amp;$T135)))</f>
        <v>0</v>
      </c>
      <c r="M135" s="113" cm="1">
        <f t="array" aca="1" ref="M135" ca="1">IFERROR(IF($C135="","",INDIRECT($D$2&amp;"!r"&amp;T135)),IF($C135="","",INDIRECT("'"&amp;$D$2&amp;"'"&amp;"!r"&amp;T135)))</f>
        <v>0</v>
      </c>
      <c r="N135" s="113">
        <f t="shared" ca="1" si="7"/>
        <v>0</v>
      </c>
      <c r="O135" s="113" cm="1">
        <f t="array" aca="1" ref="O135" ca="1">IFERROR(IF($C135="","",INDIRECT($D$2&amp;"!t"&amp;T135)),IF($C135="","",INDIRECT("'"&amp;$D$2&amp;"'"&amp;"!t"&amp;T135)))</f>
        <v>0</v>
      </c>
      <c r="Q135" s="113" cm="1">
        <f t="array" aca="1" ref="Q135" ca="1">IFERROR(IF($C135="","",INDIRECT($D$2&amp;"!v"&amp;T135)),IF($C135="","",INDIRECT("'"&amp;$D$2&amp;"'"&amp;"!v"&amp;T135)))</f>
        <v>405</v>
      </c>
      <c r="R135" s="113">
        <f t="shared" ca="1" si="8"/>
        <v>0</v>
      </c>
      <c r="S135" s="113" cm="1">
        <f t="array" aca="1" ref="S135" ca="1">IFERROR(IF($C135="","",INDIRECT($D$2&amp;"!x"&amp;T135)),IF($C135="","",INDIRECT("'"&amp;$D$2&amp;"'"&amp;"!x"&amp;T135)))</f>
        <v>405</v>
      </c>
      <c r="T135" s="35">
        <v>123</v>
      </c>
      <c r="U135" s="113"/>
      <c r="V135" s="35">
        <v>123</v>
      </c>
    </row>
    <row r="136" spans="3:22" x14ac:dyDescent="0.25">
      <c r="C136" t="str" cm="1">
        <f t="array" aca="1" ref="C136" ca="1">IFERROR(IF(INDIRECT($D$2&amp;"!B"&amp;T136)="","",INDIRECT("'"&amp;$D$2&amp;"'"&amp;"!B"&amp;T136)),IF(INDIRECT("'"&amp;$D$2&amp;"'"&amp;"!B"&amp;T136)="","",INDIRECT("'"&amp;$D$2&amp;"'"&amp;"!B"&amp;T136)))</f>
        <v>Online ATM Authorizations (to CPS) JHA Debit Processing</v>
      </c>
      <c r="D136" t="str" cm="1">
        <f t="array" aca="1" ref="D136" ca="1">IFERROR(_xlfn.IFS(C136="","",C136&lt;&gt;"",INDEX(SF_Output!I:I,MATCH(C136,SF_Output!M:M,0))),IFERROR(INDEX(INDIRECT($D$2&amp;"!G:G"),MATCH(C136,INDIRECT($D$2&amp;"!B:B"),0)),INDEX(INDIRECT("'"&amp;$D$2&amp;"'!G:G"),MATCH(C136,INDIRECT("'"&amp;$D$2&amp;"'!B:B"),0))))</f>
        <v>Payments</v>
      </c>
      <c r="E136" t="str" cm="1">
        <f t="array" aca="1" ref="E136" ca="1">IFERROR(IF(C136="","",INDIRECT($D$2&amp;"!F"&amp;T136)),IF(C136="","",INDIRECT("'"&amp;$D$2&amp;"'"&amp;"!F"&amp;T136)))</f>
        <v>Included</v>
      </c>
      <c r="F136" t="str" cm="1">
        <f t="array" aca="1" ref="F136" ca="1">IFERROR(IF(C136="","",INDIRECT($D$2&amp;"!ak"&amp;T136)),IF(C136="","",INDIRECT("'"&amp;$D$2&amp;"'"&amp;"!ak"&amp;T136)))</f>
        <v/>
      </c>
      <c r="G136" cm="1">
        <f t="array" aca="1" ref="G136" ca="1">IFERROR(INDIRECT($D$2&amp;"!h"&amp;T136),INDIRECT("'"&amp;$D$2&amp;"'"&amp;"!h"&amp;T136))</f>
        <v>0</v>
      </c>
      <c r="H136" s="125" t="str" cm="1">
        <f t="array" aca="1" ref="H136" ca="1">IFERROR(INDIRECT($D$2&amp;"!i"&amp;T136),INDIRECT("'"&amp;$D$2&amp;"'"&amp;"!i"&amp;T136))</f>
        <v/>
      </c>
      <c r="I136" s="113" cm="1">
        <f t="array" aca="1" ref="I136" ca="1">IFERROR(IF($C136="","",INDIRECT($D$2&amp;"!j"&amp;$T136)+INDIRECT($D$2&amp;"!n"&amp;$T136)),IF($C136="","",INDIRECT("'"&amp;$D$2&amp;"'"&amp;"!j"&amp;$T136)+INDIRECT("'"&amp;$D$2&amp;"'"&amp;"!n"&amp;$T136)))</f>
        <v>0</v>
      </c>
      <c r="J136" s="113">
        <f t="shared" ca="1" si="6"/>
        <v>0</v>
      </c>
      <c r="K136" s="113" cm="1">
        <f t="array" aca="1" ref="K136" ca="1">IFERROR(IF($C136="","",INDIRECT($D$2&amp;"!l"&amp;$T136)+INDIRECT($D$2&amp;"!p"&amp;$T136)),IF($C136="","",INDIRECT("'"&amp;$D$2&amp;"'"&amp;"!l"&amp;$T136)+INDIRECT("'"&amp;$D$2&amp;"'"&amp;"!p"&amp;$T136)))</f>
        <v>0</v>
      </c>
      <c r="M136" s="113" cm="1">
        <f t="array" aca="1" ref="M136" ca="1">IFERROR(IF($C136="","",INDIRECT($D$2&amp;"!r"&amp;T136)),IF($C136="","",INDIRECT("'"&amp;$D$2&amp;"'"&amp;"!r"&amp;T136)))</f>
        <v>0</v>
      </c>
      <c r="N136" s="113">
        <f t="shared" ca="1" si="7"/>
        <v>0</v>
      </c>
      <c r="O136" s="113" cm="1">
        <f t="array" aca="1" ref="O136" ca="1">IFERROR(IF($C136="","",INDIRECT($D$2&amp;"!t"&amp;T136)),IF($C136="","",INDIRECT("'"&amp;$D$2&amp;"'"&amp;"!t"&amp;T136)))</f>
        <v>0</v>
      </c>
      <c r="Q136" s="113" cm="1">
        <f t="array" aca="1" ref="Q136" ca="1">IFERROR(IF($C136="","",INDIRECT($D$2&amp;"!v"&amp;T136)),IF($C136="","",INDIRECT("'"&amp;$D$2&amp;"'"&amp;"!v"&amp;T136)))</f>
        <v>0</v>
      </c>
      <c r="R136" s="113">
        <f t="shared" ca="1" si="8"/>
        <v>0</v>
      </c>
      <c r="S136" s="113" cm="1">
        <f t="array" aca="1" ref="S136" ca="1">IFERROR(IF($C136="","",INDIRECT($D$2&amp;"!x"&amp;T136)),IF($C136="","",INDIRECT("'"&amp;$D$2&amp;"'"&amp;"!x"&amp;T136)))</f>
        <v>0</v>
      </c>
      <c r="T136" s="35">
        <v>124</v>
      </c>
      <c r="U136" s="113"/>
      <c r="V136" s="35">
        <v>124</v>
      </c>
    </row>
    <row r="137" spans="3:22" x14ac:dyDescent="0.25">
      <c r="C137" t="str" cm="1">
        <f t="array" aca="1" ref="C137" ca="1">IFERROR(IF(INDIRECT($D$2&amp;"!B"&amp;T137)="","",INDIRECT("'"&amp;$D$2&amp;"'"&amp;"!B"&amp;T137)),IF(INDIRECT("'"&amp;$D$2&amp;"'"&amp;"!B"&amp;T137)="","",INDIRECT("'"&amp;$D$2&amp;"'"&amp;"!B"&amp;T137)))</f>
        <v>Online Debit Authorizations (to CPS) JHA Debit Processing</v>
      </c>
      <c r="D137" t="str" cm="1">
        <f t="array" aca="1" ref="D137" ca="1">IFERROR(_xlfn.IFS(C137="","",C137&lt;&gt;"",INDEX(SF_Output!I:I,MATCH(C137,SF_Output!M:M,0))),IFERROR(INDEX(INDIRECT($D$2&amp;"!G:G"),MATCH(C137,INDIRECT($D$2&amp;"!B:B"),0)),INDEX(INDIRECT("'"&amp;$D$2&amp;"'!G:G"),MATCH(C137,INDIRECT("'"&amp;$D$2&amp;"'!B:B"),0))))</f>
        <v>Payments</v>
      </c>
      <c r="E137" t="str" cm="1">
        <f t="array" aca="1" ref="E137" ca="1">IFERROR(IF(C137="","",INDIRECT($D$2&amp;"!F"&amp;T137)),IF(C137="","",INDIRECT("'"&amp;$D$2&amp;"'"&amp;"!F"&amp;T137)))</f>
        <v>Included</v>
      </c>
      <c r="F137" t="str" cm="1">
        <f t="array" aca="1" ref="F137" ca="1">IFERROR(IF(C137="","",INDIRECT($D$2&amp;"!ak"&amp;T137)),IF(C137="","",INDIRECT("'"&amp;$D$2&amp;"'"&amp;"!ak"&amp;T137)))</f>
        <v/>
      </c>
      <c r="G137" cm="1">
        <f t="array" aca="1" ref="G137" ca="1">IFERROR(INDIRECT($D$2&amp;"!h"&amp;T137),INDIRECT("'"&amp;$D$2&amp;"'"&amp;"!h"&amp;T137))</f>
        <v>0</v>
      </c>
      <c r="H137" s="125" t="str" cm="1">
        <f t="array" aca="1" ref="H137" ca="1">IFERROR(INDIRECT($D$2&amp;"!i"&amp;T137),INDIRECT("'"&amp;$D$2&amp;"'"&amp;"!i"&amp;T137))</f>
        <v/>
      </c>
      <c r="I137" s="113" cm="1">
        <f t="array" aca="1" ref="I137" ca="1">IFERROR(IF($C137="","",INDIRECT($D$2&amp;"!j"&amp;$T137)+INDIRECT($D$2&amp;"!n"&amp;$T137)),IF($C137="","",INDIRECT("'"&amp;$D$2&amp;"'"&amp;"!j"&amp;$T137)+INDIRECT("'"&amp;$D$2&amp;"'"&amp;"!n"&amp;$T137)))</f>
        <v>0</v>
      </c>
      <c r="J137" s="113">
        <f t="shared" ca="1" si="6"/>
        <v>0</v>
      </c>
      <c r="K137" s="113" cm="1">
        <f t="array" aca="1" ref="K137" ca="1">IFERROR(IF($C137="","",INDIRECT($D$2&amp;"!l"&amp;$T137)+INDIRECT($D$2&amp;"!p"&amp;$T137)),IF($C137="","",INDIRECT("'"&amp;$D$2&amp;"'"&amp;"!l"&amp;$T137)+INDIRECT("'"&amp;$D$2&amp;"'"&amp;"!p"&amp;$T137)))</f>
        <v>0</v>
      </c>
      <c r="M137" s="113" cm="1">
        <f t="array" aca="1" ref="M137" ca="1">IFERROR(IF($C137="","",INDIRECT($D$2&amp;"!r"&amp;T137)),IF($C137="","",INDIRECT("'"&amp;$D$2&amp;"'"&amp;"!r"&amp;T137)))</f>
        <v>0</v>
      </c>
      <c r="N137" s="113">
        <f t="shared" ca="1" si="7"/>
        <v>0</v>
      </c>
      <c r="O137" s="113" cm="1">
        <f t="array" aca="1" ref="O137" ca="1">IFERROR(IF($C137="","",INDIRECT($D$2&amp;"!t"&amp;T137)),IF($C137="","",INDIRECT("'"&amp;$D$2&amp;"'"&amp;"!t"&amp;T137)))</f>
        <v>0</v>
      </c>
      <c r="Q137" s="113" cm="1">
        <f t="array" aca="1" ref="Q137" ca="1">IFERROR(IF($C137="","",INDIRECT($D$2&amp;"!v"&amp;T137)),IF($C137="","",INDIRECT("'"&amp;$D$2&amp;"'"&amp;"!v"&amp;T137)))</f>
        <v>0</v>
      </c>
      <c r="R137" s="113">
        <f t="shared" ca="1" si="8"/>
        <v>0</v>
      </c>
      <c r="S137" s="113" cm="1">
        <f t="array" aca="1" ref="S137" ca="1">IFERROR(IF($C137="","",INDIRECT($D$2&amp;"!x"&amp;T137)),IF($C137="","",INDIRECT("'"&amp;$D$2&amp;"'"&amp;"!x"&amp;T137)))</f>
        <v>0</v>
      </c>
      <c r="T137" s="35">
        <v>125</v>
      </c>
      <c r="U137" s="113"/>
      <c r="V137" s="35">
        <v>125</v>
      </c>
    </row>
    <row r="138" spans="3:22" x14ac:dyDescent="0.25">
      <c r="C138" t="str" cm="1">
        <f t="array" aca="1" ref="C138" ca="1">IFERROR(IF(INDIRECT($D$2&amp;"!B"&amp;T138)="","",INDIRECT("'"&amp;$D$2&amp;"'"&amp;"!B"&amp;T138)),IF(INDIRECT("'"&amp;$D$2&amp;"'"&amp;"!B"&amp;T138)="","",INDIRECT("'"&amp;$D$2&amp;"'"&amp;"!B"&amp;T138)))</f>
        <v>JHA Card Activation JHA Debit Processing</v>
      </c>
      <c r="D138" t="str" cm="1">
        <f t="array" aca="1" ref="D138" ca="1">IFERROR(_xlfn.IFS(C138="","",C138&lt;&gt;"",INDEX(SF_Output!I:I,MATCH(C138,SF_Output!M:M,0))),IFERROR(INDEX(INDIRECT($D$2&amp;"!G:G"),MATCH(C138,INDIRECT($D$2&amp;"!B:B"),0)),INDEX(INDIRECT("'"&amp;$D$2&amp;"'!G:G"),MATCH(C138,INDIRECT("'"&amp;$D$2&amp;"'!B:B"),0))))</f>
        <v>Payments</v>
      </c>
      <c r="E138" t="str" cm="1">
        <f t="array" aca="1" ref="E138" ca="1">IFERROR(IF(C138="","",INDIRECT($D$2&amp;"!F"&amp;T138)),IF(C138="","",INDIRECT("'"&amp;$D$2&amp;"'"&amp;"!F"&amp;T138)))</f>
        <v>Included</v>
      </c>
      <c r="F138" t="str" cm="1">
        <f t="array" aca="1" ref="F138" ca="1">IFERROR(IF(C138="","",INDIRECT($D$2&amp;"!ak"&amp;T138)),IF(C138="","",INDIRECT("'"&amp;$D$2&amp;"'"&amp;"!ak"&amp;T138)))</f>
        <v/>
      </c>
      <c r="G138" cm="1">
        <f t="array" aca="1" ref="G138" ca="1">IFERROR(INDIRECT($D$2&amp;"!h"&amp;T138),INDIRECT("'"&amp;$D$2&amp;"'"&amp;"!h"&amp;T138))</f>
        <v>1</v>
      </c>
      <c r="H138" s="125" t="str" cm="1">
        <f t="array" aca="1" ref="H138" ca="1">IFERROR(INDIRECT($D$2&amp;"!i"&amp;T138),INDIRECT("'"&amp;$D$2&amp;"'"&amp;"!i"&amp;T138))</f>
        <v/>
      </c>
      <c r="I138" s="113" cm="1">
        <f t="array" aca="1" ref="I138" ca="1">IFERROR(IF($C138="","",INDIRECT($D$2&amp;"!j"&amp;$T138)+INDIRECT($D$2&amp;"!n"&amp;$T138)),IF($C138="","",INDIRECT("'"&amp;$D$2&amp;"'"&amp;"!j"&amp;$T138)+INDIRECT("'"&amp;$D$2&amp;"'"&amp;"!n"&amp;$T138)))</f>
        <v>1500</v>
      </c>
      <c r="J138" s="113">
        <f t="shared" ca="1" si="6"/>
        <v>-1500</v>
      </c>
      <c r="K138" s="113" cm="1">
        <f t="array" aca="1" ref="K138" ca="1">IFERROR(IF($C138="","",INDIRECT($D$2&amp;"!l"&amp;$T138)+INDIRECT($D$2&amp;"!p"&amp;$T138)),IF($C138="","",INDIRECT("'"&amp;$D$2&amp;"'"&amp;"!l"&amp;$T138)+INDIRECT("'"&amp;$D$2&amp;"'"&amp;"!p"&amp;$T138)))</f>
        <v>0</v>
      </c>
      <c r="M138" s="113" cm="1">
        <f t="array" aca="1" ref="M138" ca="1">IFERROR(IF($C138="","",INDIRECT($D$2&amp;"!r"&amp;T138)),IF($C138="","",INDIRECT("'"&amp;$D$2&amp;"'"&amp;"!r"&amp;T138)))</f>
        <v>0</v>
      </c>
      <c r="N138" s="113">
        <f t="shared" ca="1" si="7"/>
        <v>0</v>
      </c>
      <c r="O138" s="113" cm="1">
        <f t="array" aca="1" ref="O138" ca="1">IFERROR(IF($C138="","",INDIRECT($D$2&amp;"!t"&amp;T138)),IF($C138="","",INDIRECT("'"&amp;$D$2&amp;"'"&amp;"!t"&amp;T138)))</f>
        <v>0</v>
      </c>
      <c r="Q138" s="113" cm="1">
        <f t="array" aca="1" ref="Q138" ca="1">IFERROR(IF($C138="","",INDIRECT($D$2&amp;"!v"&amp;T138)),IF($C138="","",INDIRECT("'"&amp;$D$2&amp;"'"&amp;"!v"&amp;T138)))</f>
        <v>150</v>
      </c>
      <c r="R138" s="113">
        <f t="shared" ca="1" si="8"/>
        <v>-150</v>
      </c>
      <c r="S138" s="113" cm="1">
        <f t="array" aca="1" ref="S138" ca="1">IFERROR(IF($C138="","",INDIRECT($D$2&amp;"!x"&amp;T138)),IF($C138="","",INDIRECT("'"&amp;$D$2&amp;"'"&amp;"!x"&amp;T138)))</f>
        <v>0</v>
      </c>
      <c r="T138" s="35">
        <v>126</v>
      </c>
      <c r="U138" s="113"/>
      <c r="V138" s="35">
        <v>126</v>
      </c>
    </row>
    <row r="139" spans="3:22" x14ac:dyDescent="0.25">
      <c r="C139" t="str" cm="1">
        <f t="array" aca="1" ref="C139" ca="1">IFERROR(IF(INDIRECT($D$2&amp;"!B"&amp;T139)="","",INDIRECT("'"&amp;$D$2&amp;"'"&amp;"!B"&amp;T139)),IF(INDIRECT("'"&amp;$D$2&amp;"'"&amp;"!B"&amp;T139)="","",INDIRECT("'"&amp;$D$2&amp;"'"&amp;"!B"&amp;T139)))</f>
        <v>Card Activations JHA Debit Processing</v>
      </c>
      <c r="D139" t="str" cm="1">
        <f t="array" aca="1" ref="D139" ca="1">IFERROR(_xlfn.IFS(C139="","",C139&lt;&gt;"",INDEX(SF_Output!I:I,MATCH(C139,SF_Output!M:M,0))),IFERROR(INDEX(INDIRECT($D$2&amp;"!G:G"),MATCH(C139,INDIRECT($D$2&amp;"!B:B"),0)),INDEX(INDIRECT("'"&amp;$D$2&amp;"'!G:G"),MATCH(C139,INDIRECT("'"&amp;$D$2&amp;"'!B:B"),0))))</f>
        <v>Payments</v>
      </c>
      <c r="E139" t="str" cm="1">
        <f t="array" aca="1" ref="E139" ca="1">IFERROR(IF(C139="","",INDIRECT($D$2&amp;"!F"&amp;T139)),IF(C139="","",INDIRECT("'"&amp;$D$2&amp;"'"&amp;"!F"&amp;T139)))</f>
        <v>Included</v>
      </c>
      <c r="F139" t="str" cm="1">
        <f t="array" aca="1" ref="F139" ca="1">IFERROR(IF(C139="","",INDIRECT($D$2&amp;"!ak"&amp;T139)),IF(C139="","",INDIRECT("'"&amp;$D$2&amp;"'"&amp;"!ak"&amp;T139)))</f>
        <v/>
      </c>
      <c r="G139" cm="1">
        <f t="array" aca="1" ref="G139" ca="1">IFERROR(INDIRECT($D$2&amp;"!h"&amp;T139),INDIRECT("'"&amp;$D$2&amp;"'"&amp;"!h"&amp;T139))</f>
        <v>0</v>
      </c>
      <c r="H139" s="125" t="str" cm="1">
        <f t="array" aca="1" ref="H139" ca="1">IFERROR(INDIRECT($D$2&amp;"!i"&amp;T139),INDIRECT("'"&amp;$D$2&amp;"'"&amp;"!i"&amp;T139))</f>
        <v/>
      </c>
      <c r="I139" s="113" cm="1">
        <f t="array" aca="1" ref="I139" ca="1">IFERROR(IF($C139="","",INDIRECT($D$2&amp;"!j"&amp;$T139)+INDIRECT($D$2&amp;"!n"&amp;$T139)),IF($C139="","",INDIRECT("'"&amp;$D$2&amp;"'"&amp;"!j"&amp;$T139)+INDIRECT("'"&amp;$D$2&amp;"'"&amp;"!n"&amp;$T139)))</f>
        <v>0</v>
      </c>
      <c r="J139" s="113">
        <f t="shared" ca="1" si="6"/>
        <v>0</v>
      </c>
      <c r="K139" s="113" cm="1">
        <f t="array" aca="1" ref="K139" ca="1">IFERROR(IF($C139="","",INDIRECT($D$2&amp;"!l"&amp;$T139)+INDIRECT($D$2&amp;"!p"&amp;$T139)),IF($C139="","",INDIRECT("'"&amp;$D$2&amp;"'"&amp;"!l"&amp;$T139)+INDIRECT("'"&amp;$D$2&amp;"'"&amp;"!p"&amp;$T139)))</f>
        <v>0</v>
      </c>
      <c r="M139" s="113" cm="1">
        <f t="array" aca="1" ref="M139" ca="1">IFERROR(IF($C139="","",INDIRECT($D$2&amp;"!r"&amp;T139)),IF($C139="","",INDIRECT("'"&amp;$D$2&amp;"'"&amp;"!r"&amp;T139)))</f>
        <v>0</v>
      </c>
      <c r="N139" s="113">
        <f t="shared" ca="1" si="7"/>
        <v>0</v>
      </c>
      <c r="O139" s="113" cm="1">
        <f t="array" aca="1" ref="O139" ca="1">IFERROR(IF($C139="","",INDIRECT($D$2&amp;"!t"&amp;T139)),IF($C139="","",INDIRECT("'"&amp;$D$2&amp;"'"&amp;"!t"&amp;T139)))</f>
        <v>0</v>
      </c>
      <c r="Q139" s="113" cm="1">
        <f t="array" aca="1" ref="Q139" ca="1">IFERROR(IF($C139="","",INDIRECT($D$2&amp;"!v"&amp;T139)),IF($C139="","",INDIRECT("'"&amp;$D$2&amp;"'"&amp;"!v"&amp;T139)))</f>
        <v>0</v>
      </c>
      <c r="R139" s="113">
        <f t="shared" ca="1" si="8"/>
        <v>0</v>
      </c>
      <c r="S139" s="113" cm="1">
        <f t="array" aca="1" ref="S139" ca="1">IFERROR(IF($C139="","",INDIRECT($D$2&amp;"!x"&amp;T139)),IF($C139="","",INDIRECT("'"&amp;$D$2&amp;"'"&amp;"!x"&amp;T139)))</f>
        <v>0</v>
      </c>
      <c r="T139" s="35">
        <v>127</v>
      </c>
      <c r="U139" s="113"/>
      <c r="V139" s="35">
        <v>127</v>
      </c>
    </row>
    <row r="140" spans="3:22" x14ac:dyDescent="0.25">
      <c r="C140" t="str" cm="1">
        <f t="array" aca="1" ref="C140" ca="1">IFERROR(IF(INDIRECT($D$2&amp;"!B"&amp;T140)="","",INDIRECT("'"&amp;$D$2&amp;"'"&amp;"!B"&amp;T140)),IF(INDIRECT("'"&amp;$D$2&amp;"'"&amp;"!B"&amp;T140)="","",INDIRECT("'"&amp;$D$2&amp;"'"&amp;"!B"&amp;T140)))</f>
        <v>JHA PIN Management JHA Debit Processing</v>
      </c>
      <c r="D140" t="str" cm="1">
        <f t="array" aca="1" ref="D140" ca="1">IFERROR(_xlfn.IFS(C140="","",C140&lt;&gt;"",INDEX(SF_Output!I:I,MATCH(C140,SF_Output!M:M,0))),IFERROR(INDEX(INDIRECT($D$2&amp;"!G:G"),MATCH(C140,INDIRECT($D$2&amp;"!B:B"),0)),INDEX(INDIRECT("'"&amp;$D$2&amp;"'!G:G"),MATCH(C140,INDIRECT("'"&amp;$D$2&amp;"'!B:B"),0))))</f>
        <v>Payments</v>
      </c>
      <c r="E140" t="str" cm="1">
        <f t="array" aca="1" ref="E140" ca="1">IFERROR(IF(C140="","",INDIRECT($D$2&amp;"!F"&amp;T140)),IF(C140="","",INDIRECT("'"&amp;$D$2&amp;"'"&amp;"!F"&amp;T140)))</f>
        <v>Included</v>
      </c>
      <c r="F140" t="str" cm="1">
        <f t="array" aca="1" ref="F140" ca="1">IFERROR(IF(C140="","",INDIRECT($D$2&amp;"!ak"&amp;T140)),IF(C140="","",INDIRECT("'"&amp;$D$2&amp;"'"&amp;"!ak"&amp;T140)))</f>
        <v/>
      </c>
      <c r="G140" cm="1">
        <f t="array" aca="1" ref="G140" ca="1">IFERROR(INDIRECT($D$2&amp;"!h"&amp;T140),INDIRECT("'"&amp;$D$2&amp;"'"&amp;"!h"&amp;T140))</f>
        <v>1</v>
      </c>
      <c r="H140" s="125" t="str" cm="1">
        <f t="array" aca="1" ref="H140" ca="1">IFERROR(INDIRECT($D$2&amp;"!i"&amp;T140),INDIRECT("'"&amp;$D$2&amp;"'"&amp;"!i"&amp;T140))</f>
        <v/>
      </c>
      <c r="I140" s="113" cm="1">
        <f t="array" aca="1" ref="I140" ca="1">IFERROR(IF($C140="","",INDIRECT($D$2&amp;"!j"&amp;$T140)+INDIRECT($D$2&amp;"!n"&amp;$T140)),IF($C140="","",INDIRECT("'"&amp;$D$2&amp;"'"&amp;"!j"&amp;$T140)+INDIRECT("'"&amp;$D$2&amp;"'"&amp;"!n"&amp;$T140)))</f>
        <v>1500</v>
      </c>
      <c r="J140" s="113">
        <f t="shared" ca="1" si="6"/>
        <v>-1500</v>
      </c>
      <c r="K140" s="113" cm="1">
        <f t="array" aca="1" ref="K140" ca="1">IFERROR(IF($C140="","",INDIRECT($D$2&amp;"!l"&amp;$T140)+INDIRECT($D$2&amp;"!p"&amp;$T140)),IF($C140="","",INDIRECT("'"&amp;$D$2&amp;"'"&amp;"!l"&amp;$T140)+INDIRECT("'"&amp;$D$2&amp;"'"&amp;"!p"&amp;$T140)))</f>
        <v>0</v>
      </c>
      <c r="M140" s="113" cm="1">
        <f t="array" aca="1" ref="M140" ca="1">IFERROR(IF($C140="","",INDIRECT($D$2&amp;"!r"&amp;T140)),IF($C140="","",INDIRECT("'"&amp;$D$2&amp;"'"&amp;"!r"&amp;T140)))</f>
        <v>0</v>
      </c>
      <c r="N140" s="113">
        <f t="shared" ca="1" si="7"/>
        <v>0</v>
      </c>
      <c r="O140" s="113" cm="1">
        <f t="array" aca="1" ref="O140" ca="1">IFERROR(IF($C140="","",INDIRECT($D$2&amp;"!t"&amp;T140)),IF($C140="","",INDIRECT("'"&amp;$D$2&amp;"'"&amp;"!t"&amp;T140)))</f>
        <v>0</v>
      </c>
      <c r="Q140" s="113" cm="1">
        <f t="array" aca="1" ref="Q140" ca="1">IFERROR(IF($C140="","",INDIRECT($D$2&amp;"!v"&amp;T140)),IF($C140="","",INDIRECT("'"&amp;$D$2&amp;"'"&amp;"!v"&amp;T140)))</f>
        <v>150</v>
      </c>
      <c r="R140" s="113">
        <f t="shared" ca="1" si="8"/>
        <v>0</v>
      </c>
      <c r="S140" s="113" cm="1">
        <f t="array" aca="1" ref="S140" ca="1">IFERROR(IF($C140="","",INDIRECT($D$2&amp;"!x"&amp;T140)),IF($C140="","",INDIRECT("'"&amp;$D$2&amp;"'"&amp;"!x"&amp;T140)))</f>
        <v>150</v>
      </c>
      <c r="T140" s="35">
        <v>128</v>
      </c>
      <c r="U140" s="113"/>
      <c r="V140" s="35">
        <v>128</v>
      </c>
    </row>
    <row r="141" spans="3:22" x14ac:dyDescent="0.25">
      <c r="C141" t="str" cm="1">
        <f t="array" aca="1" ref="C141" ca="1">IFERROR(IF(INDIRECT($D$2&amp;"!B"&amp;T141)="","",INDIRECT("'"&amp;$D$2&amp;"'"&amp;"!B"&amp;T141)),IF(INDIRECT("'"&amp;$D$2&amp;"'"&amp;"!B"&amp;T141)="","",INDIRECT("'"&amp;$D$2&amp;"'"&amp;"!B"&amp;T141)))</f>
        <v>PIN Sets or PIN Changes JHA Debit Processing</v>
      </c>
      <c r="D141" t="str" cm="1">
        <f t="array" aca="1" ref="D141" ca="1">IFERROR(_xlfn.IFS(C141="","",C141&lt;&gt;"",INDEX(SF_Output!I:I,MATCH(C141,SF_Output!M:M,0))),IFERROR(INDEX(INDIRECT($D$2&amp;"!G:G"),MATCH(C141,INDIRECT($D$2&amp;"!B:B"),0)),INDEX(INDIRECT("'"&amp;$D$2&amp;"'!G:G"),MATCH(C141,INDIRECT("'"&amp;$D$2&amp;"'!B:B"),0))))</f>
        <v>Payments</v>
      </c>
      <c r="E141" t="str" cm="1">
        <f t="array" aca="1" ref="E141" ca="1">IFERROR(IF(C141="","",INDIRECT($D$2&amp;"!F"&amp;T141)),IF(C141="","",INDIRECT("'"&amp;$D$2&amp;"'"&amp;"!F"&amp;T141)))</f>
        <v>Included</v>
      </c>
      <c r="F141" t="str" cm="1">
        <f t="array" aca="1" ref="F141" ca="1">IFERROR(IF(C141="","",INDIRECT($D$2&amp;"!ak"&amp;T141)),IF(C141="","",INDIRECT("'"&amp;$D$2&amp;"'"&amp;"!ak"&amp;T141)))</f>
        <v/>
      </c>
      <c r="G141" cm="1">
        <f t="array" aca="1" ref="G141" ca="1">IFERROR(INDIRECT($D$2&amp;"!h"&amp;T141),INDIRECT("'"&amp;$D$2&amp;"'"&amp;"!h"&amp;T141))</f>
        <v>0</v>
      </c>
      <c r="H141" s="125" t="str" cm="1">
        <f t="array" aca="1" ref="H141" ca="1">IFERROR(INDIRECT($D$2&amp;"!i"&amp;T141),INDIRECT("'"&amp;$D$2&amp;"'"&amp;"!i"&amp;T141))</f>
        <v/>
      </c>
      <c r="I141" s="113" cm="1">
        <f t="array" aca="1" ref="I141" ca="1">IFERROR(IF($C141="","",INDIRECT($D$2&amp;"!j"&amp;$T141)+INDIRECT($D$2&amp;"!n"&amp;$T141)),IF($C141="","",INDIRECT("'"&amp;$D$2&amp;"'"&amp;"!j"&amp;$T141)+INDIRECT("'"&amp;$D$2&amp;"'"&amp;"!n"&amp;$T141)))</f>
        <v>0</v>
      </c>
      <c r="J141" s="113">
        <f t="shared" ca="1" si="6"/>
        <v>0</v>
      </c>
      <c r="K141" s="113" cm="1">
        <f t="array" aca="1" ref="K141" ca="1">IFERROR(IF($C141="","",INDIRECT($D$2&amp;"!l"&amp;$T141)+INDIRECT($D$2&amp;"!p"&amp;$T141)),IF($C141="","",INDIRECT("'"&amp;$D$2&amp;"'"&amp;"!l"&amp;$T141)+INDIRECT("'"&amp;$D$2&amp;"'"&amp;"!p"&amp;$T141)))</f>
        <v>0</v>
      </c>
      <c r="M141" s="113" cm="1">
        <f t="array" aca="1" ref="M141" ca="1">IFERROR(IF($C141="","",INDIRECT($D$2&amp;"!r"&amp;T141)),IF($C141="","",INDIRECT("'"&amp;$D$2&amp;"'"&amp;"!r"&amp;T141)))</f>
        <v>0</v>
      </c>
      <c r="N141" s="113">
        <f t="shared" ca="1" si="7"/>
        <v>0</v>
      </c>
      <c r="O141" s="113" cm="1">
        <f t="array" aca="1" ref="O141" ca="1">IFERROR(IF($C141="","",INDIRECT($D$2&amp;"!t"&amp;T141)),IF($C141="","",INDIRECT("'"&amp;$D$2&amp;"'"&amp;"!t"&amp;T141)))</f>
        <v>0</v>
      </c>
      <c r="Q141" s="113" cm="1">
        <f t="array" aca="1" ref="Q141" ca="1">IFERROR(IF($C141="","",INDIRECT($D$2&amp;"!v"&amp;T141)),IF($C141="","",INDIRECT("'"&amp;$D$2&amp;"'"&amp;"!v"&amp;T141)))</f>
        <v>0</v>
      </c>
      <c r="R141" s="113">
        <f t="shared" ca="1" si="8"/>
        <v>0</v>
      </c>
      <c r="S141" s="113" cm="1">
        <f t="array" aca="1" ref="S141" ca="1">IFERROR(IF($C141="","",INDIRECT($D$2&amp;"!x"&amp;T141)),IF($C141="","",INDIRECT("'"&amp;$D$2&amp;"'"&amp;"!x"&amp;T141)))</f>
        <v>0</v>
      </c>
      <c r="T141" s="35">
        <v>129</v>
      </c>
      <c r="U141" s="113"/>
      <c r="V141" s="35">
        <v>129</v>
      </c>
    </row>
    <row r="142" spans="3:22" x14ac:dyDescent="0.25">
      <c r="C142" t="str" cm="1">
        <f t="array" aca="1" ref="C142" ca="1">IFERROR(IF(INDIRECT($D$2&amp;"!B"&amp;T142)="","",INDIRECT("'"&amp;$D$2&amp;"'"&amp;"!B"&amp;T142)),IF(INDIRECT("'"&amp;$D$2&amp;"'"&amp;"!B"&amp;T142)="","",INDIRECT("'"&amp;$D$2&amp;"'"&amp;"!B"&amp;T142)))</f>
        <v>JHA Card Fraud Center (scored transactions) JHA Debit Processing</v>
      </c>
      <c r="D142" t="str" cm="1">
        <f t="array" aca="1" ref="D142" ca="1">IFERROR(_xlfn.IFS(C142="","",C142&lt;&gt;"",INDEX(SF_Output!I:I,MATCH(C142,SF_Output!M:M,0))),IFERROR(INDEX(INDIRECT($D$2&amp;"!G:G"),MATCH(C142,INDIRECT($D$2&amp;"!B:B"),0)),INDEX(INDIRECT("'"&amp;$D$2&amp;"'!G:G"),MATCH(C142,INDIRECT("'"&amp;$D$2&amp;"'!B:B"),0))))</f>
        <v>Payments</v>
      </c>
      <c r="E142" t="str" cm="1">
        <f t="array" aca="1" ref="E142" ca="1">IFERROR(IF(C142="","",INDIRECT($D$2&amp;"!F"&amp;T142)),IF(C142="","",INDIRECT("'"&amp;$D$2&amp;"'"&amp;"!F"&amp;T142)))</f>
        <v>Included</v>
      </c>
      <c r="F142" t="str" cm="1">
        <f t="array" aca="1" ref="F142" ca="1">IFERROR(IF(C142="","",INDIRECT($D$2&amp;"!ak"&amp;T142)),IF(C142="","",INDIRECT("'"&amp;$D$2&amp;"'"&amp;"!ak"&amp;T142)))</f>
        <v/>
      </c>
      <c r="G142" cm="1">
        <f t="array" aca="1" ref="G142" ca="1">IFERROR(INDIRECT($D$2&amp;"!h"&amp;T142),INDIRECT("'"&amp;$D$2&amp;"'"&amp;"!h"&amp;T142))</f>
        <v>0</v>
      </c>
      <c r="H142" s="125" t="str" cm="1">
        <f t="array" aca="1" ref="H142" ca="1">IFERROR(INDIRECT($D$2&amp;"!i"&amp;T142),INDIRECT("'"&amp;$D$2&amp;"'"&amp;"!i"&amp;T142))</f>
        <v/>
      </c>
      <c r="I142" s="113" cm="1">
        <f t="array" aca="1" ref="I142" ca="1">IFERROR(IF($C142="","",INDIRECT($D$2&amp;"!j"&amp;$T142)+INDIRECT($D$2&amp;"!n"&amp;$T142)),IF($C142="","",INDIRECT("'"&amp;$D$2&amp;"'"&amp;"!j"&amp;$T142)+INDIRECT("'"&amp;$D$2&amp;"'"&amp;"!n"&amp;$T142)))</f>
        <v>1000</v>
      </c>
      <c r="J142" s="113">
        <f t="shared" ca="1" si="6"/>
        <v>-1000</v>
      </c>
      <c r="K142" s="113" cm="1">
        <f t="array" aca="1" ref="K142" ca="1">IFERROR(IF($C142="","",INDIRECT($D$2&amp;"!l"&amp;$T142)+INDIRECT($D$2&amp;"!p"&amp;$T142)),IF($C142="","",INDIRECT("'"&amp;$D$2&amp;"'"&amp;"!l"&amp;$T142)+INDIRECT("'"&amp;$D$2&amp;"'"&amp;"!p"&amp;$T142)))</f>
        <v>0</v>
      </c>
      <c r="M142" s="113" cm="1">
        <f t="array" aca="1" ref="M142" ca="1">IFERROR(IF($C142="","",INDIRECT($D$2&amp;"!r"&amp;T142)),IF($C142="","",INDIRECT("'"&amp;$D$2&amp;"'"&amp;"!r"&amp;T142)))</f>
        <v>0</v>
      </c>
      <c r="N142" s="113">
        <f t="shared" ca="1" si="7"/>
        <v>0</v>
      </c>
      <c r="O142" s="113" cm="1">
        <f t="array" aca="1" ref="O142" ca="1">IFERROR(IF($C142="","",INDIRECT($D$2&amp;"!t"&amp;T142)),IF($C142="","",INDIRECT("'"&amp;$D$2&amp;"'"&amp;"!t"&amp;T142)))</f>
        <v>0</v>
      </c>
      <c r="Q142" s="113" cm="1">
        <f t="array" aca="1" ref="Q142" ca="1">IFERROR(IF($C142="","",INDIRECT($D$2&amp;"!v"&amp;T142)),IF($C142="","",INDIRECT("'"&amp;$D$2&amp;"'"&amp;"!v"&amp;T142)))</f>
        <v>0</v>
      </c>
      <c r="R142" s="113">
        <f t="shared" ca="1" si="8"/>
        <v>0</v>
      </c>
      <c r="S142" s="113" cm="1">
        <f t="array" aca="1" ref="S142" ca="1">IFERROR(IF($C142="","",INDIRECT($D$2&amp;"!x"&amp;T142)),IF($C142="","",INDIRECT("'"&amp;$D$2&amp;"'"&amp;"!x"&amp;T142)))</f>
        <v>0</v>
      </c>
      <c r="T142" s="35">
        <v>130</v>
      </c>
      <c r="U142" s="113"/>
      <c r="V142" s="35">
        <v>130</v>
      </c>
    </row>
    <row r="143" spans="3:22" x14ac:dyDescent="0.25">
      <c r="C143" t="str" cm="1">
        <f t="array" aca="1" ref="C143" ca="1">IFERROR(IF(INDIRECT($D$2&amp;"!B"&amp;T143)="","",INDIRECT("'"&amp;$D$2&amp;"'"&amp;"!B"&amp;T143)),IF(INDIRECT("'"&amp;$D$2&amp;"'"&amp;"!B"&amp;T143)="","",INDIRECT("'"&amp;$D$2&amp;"'"&amp;"!B"&amp;T143)))</f>
        <v>Fraud Cardholder Record Storage JHA Debit Processing</v>
      </c>
      <c r="D143" t="str" cm="1">
        <f t="array" aca="1" ref="D143" ca="1">IFERROR(_xlfn.IFS(C143="","",C143&lt;&gt;"",INDEX(SF_Output!I:I,MATCH(C143,SF_Output!M:M,0))),IFERROR(INDEX(INDIRECT($D$2&amp;"!G:G"),MATCH(C143,INDIRECT($D$2&amp;"!B:B"),0)),INDEX(INDIRECT("'"&amp;$D$2&amp;"'!G:G"),MATCH(C143,INDIRECT("'"&amp;$D$2&amp;"'!B:B"),0))))</f>
        <v>Payments</v>
      </c>
      <c r="E143" t="str" cm="1">
        <f t="array" aca="1" ref="E143" ca="1">IFERROR(IF(C143="","",INDIRECT($D$2&amp;"!F"&amp;T143)),IF(C143="","",INDIRECT("'"&amp;$D$2&amp;"'"&amp;"!F"&amp;T143)))</f>
        <v>Included</v>
      </c>
      <c r="F143" t="str" cm="1">
        <f t="array" aca="1" ref="F143" ca="1">IFERROR(IF(C143="","",INDIRECT($D$2&amp;"!ak"&amp;T143)),IF(C143="","",INDIRECT("'"&amp;$D$2&amp;"'"&amp;"!ak"&amp;T143)))</f>
        <v/>
      </c>
      <c r="G143" cm="1">
        <f t="array" aca="1" ref="G143" ca="1">IFERROR(INDIRECT($D$2&amp;"!h"&amp;T143),INDIRECT("'"&amp;$D$2&amp;"'"&amp;"!h"&amp;T143))</f>
        <v>0</v>
      </c>
      <c r="H143" s="125" t="str" cm="1">
        <f t="array" aca="1" ref="H143" ca="1">IFERROR(INDIRECT($D$2&amp;"!i"&amp;T143),INDIRECT("'"&amp;$D$2&amp;"'"&amp;"!i"&amp;T143))</f>
        <v/>
      </c>
      <c r="I143" s="113" cm="1">
        <f t="array" aca="1" ref="I143" ca="1">IFERROR(IF($C143="","",INDIRECT($D$2&amp;"!j"&amp;$T143)+INDIRECT($D$2&amp;"!n"&amp;$T143)),IF($C143="","",INDIRECT("'"&amp;$D$2&amp;"'"&amp;"!j"&amp;$T143)+INDIRECT("'"&amp;$D$2&amp;"'"&amp;"!n"&amp;$T143)))</f>
        <v>0</v>
      </c>
      <c r="J143" s="113">
        <f t="shared" ca="1" si="6"/>
        <v>0</v>
      </c>
      <c r="K143" s="113" cm="1">
        <f t="array" aca="1" ref="K143" ca="1">IFERROR(IF($C143="","",INDIRECT($D$2&amp;"!l"&amp;$T143)+INDIRECT($D$2&amp;"!p"&amp;$T143)),IF($C143="","",INDIRECT("'"&amp;$D$2&amp;"'"&amp;"!l"&amp;$T143)+INDIRECT("'"&amp;$D$2&amp;"'"&amp;"!p"&amp;$T143)))</f>
        <v>0</v>
      </c>
      <c r="M143" s="113" cm="1">
        <f t="array" aca="1" ref="M143" ca="1">IFERROR(IF($C143="","",INDIRECT($D$2&amp;"!r"&amp;T143)),IF($C143="","",INDIRECT("'"&amp;$D$2&amp;"'"&amp;"!r"&amp;T143)))</f>
        <v>0</v>
      </c>
      <c r="N143" s="113">
        <f t="shared" ca="1" si="7"/>
        <v>0</v>
      </c>
      <c r="O143" s="113" cm="1">
        <f t="array" aca="1" ref="O143" ca="1">IFERROR(IF($C143="","",INDIRECT($D$2&amp;"!t"&amp;T143)),IF($C143="","",INDIRECT("'"&amp;$D$2&amp;"'"&amp;"!t"&amp;T143)))</f>
        <v>0</v>
      </c>
      <c r="Q143" s="113" cm="1">
        <f t="array" aca="1" ref="Q143" ca="1">IFERROR(IF($C143="","",INDIRECT($D$2&amp;"!v"&amp;T143)),IF($C143="","",INDIRECT("'"&amp;$D$2&amp;"'"&amp;"!v"&amp;T143)))</f>
        <v>0</v>
      </c>
      <c r="R143" s="113">
        <f t="shared" ca="1" si="8"/>
        <v>0</v>
      </c>
      <c r="S143" s="113" cm="1">
        <f t="array" aca="1" ref="S143" ca="1">IFERROR(IF($C143="","",INDIRECT($D$2&amp;"!x"&amp;T143)),IF($C143="","",INDIRECT("'"&amp;$D$2&amp;"'"&amp;"!x"&amp;T143)))</f>
        <v>0</v>
      </c>
      <c r="T143" s="35">
        <v>131</v>
      </c>
      <c r="U143" s="113"/>
      <c r="V143" s="35">
        <v>131</v>
      </c>
    </row>
    <row r="144" spans="3:22" x14ac:dyDescent="0.25">
      <c r="C144" t="str" cm="1">
        <f t="array" aca="1" ref="C144" ca="1">IFERROR(IF(INDIRECT($D$2&amp;"!B"&amp;T144)="","",INDIRECT("'"&amp;$D$2&amp;"'"&amp;"!B"&amp;T144)),IF(INDIRECT("'"&amp;$D$2&amp;"'"&amp;"!B"&amp;T144)="","",INDIRECT("'"&amp;$D$2&amp;"'"&amp;"!B"&amp;T144)))</f>
        <v>Fraud Alert Case Management JHA Debit Processing</v>
      </c>
      <c r="D144" t="str" cm="1">
        <f t="array" aca="1" ref="D144" ca="1">IFERROR(_xlfn.IFS(C144="","",C144&lt;&gt;"",INDEX(SF_Output!I:I,MATCH(C144,SF_Output!M:M,0))),IFERROR(INDEX(INDIRECT($D$2&amp;"!G:G"),MATCH(C144,INDIRECT($D$2&amp;"!B:B"),0)),INDEX(INDIRECT("'"&amp;$D$2&amp;"'!G:G"),MATCH(C144,INDIRECT("'"&amp;$D$2&amp;"'!B:B"),0))))</f>
        <v>Payments</v>
      </c>
      <c r="E144" t="str" cm="1">
        <f t="array" aca="1" ref="E144" ca="1">IFERROR(IF(C144="","",INDIRECT($D$2&amp;"!F"&amp;T144)),IF(C144="","",INDIRECT("'"&amp;$D$2&amp;"'"&amp;"!F"&amp;T144)))</f>
        <v>Included</v>
      </c>
      <c r="F144" t="str" cm="1">
        <f t="array" aca="1" ref="F144" ca="1">IFERROR(IF(C144="","",INDIRECT($D$2&amp;"!ak"&amp;T144)),IF(C144="","",INDIRECT("'"&amp;$D$2&amp;"'"&amp;"!ak"&amp;T144)))</f>
        <v/>
      </c>
      <c r="G144" cm="1">
        <f t="array" aca="1" ref="G144" ca="1">IFERROR(INDIRECT($D$2&amp;"!h"&amp;T144),INDIRECT("'"&amp;$D$2&amp;"'"&amp;"!h"&amp;T144))</f>
        <v>0</v>
      </c>
      <c r="H144" s="125" t="str" cm="1">
        <f t="array" aca="1" ref="H144" ca="1">IFERROR(INDIRECT($D$2&amp;"!i"&amp;T144),INDIRECT("'"&amp;$D$2&amp;"'"&amp;"!i"&amp;T144))</f>
        <v/>
      </c>
      <c r="I144" s="113" cm="1">
        <f t="array" aca="1" ref="I144" ca="1">IFERROR(IF($C144="","",INDIRECT($D$2&amp;"!j"&amp;$T144)+INDIRECT($D$2&amp;"!n"&amp;$T144)),IF($C144="","",INDIRECT("'"&amp;$D$2&amp;"'"&amp;"!j"&amp;$T144)+INDIRECT("'"&amp;$D$2&amp;"'"&amp;"!n"&amp;$T144)))</f>
        <v>0</v>
      </c>
      <c r="J144" s="113">
        <f t="shared" ca="1" si="6"/>
        <v>0</v>
      </c>
      <c r="K144" s="113" cm="1">
        <f t="array" aca="1" ref="K144" ca="1">IFERROR(IF($C144="","",INDIRECT($D$2&amp;"!l"&amp;$T144)+INDIRECT($D$2&amp;"!p"&amp;$T144)),IF($C144="","",INDIRECT("'"&amp;$D$2&amp;"'"&amp;"!l"&amp;$T144)+INDIRECT("'"&amp;$D$2&amp;"'"&amp;"!p"&amp;$T144)))</f>
        <v>0</v>
      </c>
      <c r="M144" s="113" cm="1">
        <f t="array" aca="1" ref="M144" ca="1">IFERROR(IF($C144="","",INDIRECT($D$2&amp;"!r"&amp;T144)),IF($C144="","",INDIRECT("'"&amp;$D$2&amp;"'"&amp;"!r"&amp;T144)))</f>
        <v>0</v>
      </c>
      <c r="N144" s="113">
        <f t="shared" ca="1" si="7"/>
        <v>0</v>
      </c>
      <c r="O144" s="113" cm="1">
        <f t="array" aca="1" ref="O144" ca="1">IFERROR(IF($C144="","",INDIRECT($D$2&amp;"!t"&amp;T144)),IF($C144="","",INDIRECT("'"&amp;$D$2&amp;"'"&amp;"!t"&amp;T144)))</f>
        <v>0</v>
      </c>
      <c r="Q144" s="113" cm="1">
        <f t="array" aca="1" ref="Q144" ca="1">IFERROR(IF($C144="","",INDIRECT($D$2&amp;"!v"&amp;T144)),IF($C144="","",INDIRECT("'"&amp;$D$2&amp;"'"&amp;"!v"&amp;T144)))</f>
        <v>0</v>
      </c>
      <c r="R144" s="113">
        <f t="shared" ca="1" si="8"/>
        <v>0</v>
      </c>
      <c r="S144" s="113" cm="1">
        <f t="array" aca="1" ref="S144" ca="1">IFERROR(IF($C144="","",INDIRECT($D$2&amp;"!x"&amp;T144)),IF($C144="","",INDIRECT("'"&amp;$D$2&amp;"'"&amp;"!x"&amp;T144)))</f>
        <v>0</v>
      </c>
      <c r="T144" s="35">
        <v>132</v>
      </c>
      <c r="U144" s="113"/>
      <c r="V144" s="35">
        <v>132</v>
      </c>
    </row>
    <row r="145" spans="3:22" x14ac:dyDescent="0.25">
      <c r="C145" t="str" cm="1">
        <f t="array" aca="1" ref="C145" ca="1">IFERROR(IF(INDIRECT($D$2&amp;"!B"&amp;T145)="","",INDIRECT("'"&amp;$D$2&amp;"'"&amp;"!B"&amp;T145)),IF(INDIRECT("'"&amp;$D$2&amp;"'"&amp;"!B"&amp;T145)="","",INDIRECT("'"&amp;$D$2&amp;"'"&amp;"!B"&amp;T145)))</f>
        <v>Two-Way Connect Cardholder Alerts JHA Debit Processing</v>
      </c>
      <c r="D145" t="str" cm="1">
        <f t="array" aca="1" ref="D145" ca="1">IFERROR(_xlfn.IFS(C145="","",C145&lt;&gt;"",INDEX(SF_Output!I:I,MATCH(C145,SF_Output!M:M,0))),IFERROR(INDEX(INDIRECT($D$2&amp;"!G:G"),MATCH(C145,INDIRECT($D$2&amp;"!B:B"),0)),INDEX(INDIRECT("'"&amp;$D$2&amp;"'!G:G"),MATCH(C145,INDIRECT("'"&amp;$D$2&amp;"'!B:B"),0))))</f>
        <v>Payments</v>
      </c>
      <c r="E145" t="str" cm="1">
        <f t="array" aca="1" ref="E145" ca="1">IFERROR(IF(C145="","",INDIRECT($D$2&amp;"!F"&amp;T145)),IF(C145="","",INDIRECT("'"&amp;$D$2&amp;"'"&amp;"!F"&amp;T145)))</f>
        <v>Included</v>
      </c>
      <c r="F145" t="str" cm="1">
        <f t="array" aca="1" ref="F145" ca="1">IFERROR(IF(C145="","",INDIRECT($D$2&amp;"!ak"&amp;T145)),IF(C145="","",INDIRECT("'"&amp;$D$2&amp;"'"&amp;"!ak"&amp;T145)))</f>
        <v/>
      </c>
      <c r="G145" cm="1">
        <f t="array" aca="1" ref="G145" ca="1">IFERROR(INDIRECT($D$2&amp;"!h"&amp;T145),INDIRECT("'"&amp;$D$2&amp;"'"&amp;"!h"&amp;T145))</f>
        <v>1</v>
      </c>
      <c r="H145" s="125" t="str" cm="1">
        <f t="array" aca="1" ref="H145" ca="1">IFERROR(INDIRECT($D$2&amp;"!i"&amp;T145),INDIRECT("'"&amp;$D$2&amp;"'"&amp;"!i"&amp;T145))</f>
        <v/>
      </c>
      <c r="I145" s="113" cm="1">
        <f t="array" aca="1" ref="I145" ca="1">IFERROR(IF($C145="","",INDIRECT($D$2&amp;"!j"&amp;$T145)+INDIRECT($D$2&amp;"!n"&amp;$T145)),IF($C145="","",INDIRECT("'"&amp;$D$2&amp;"'"&amp;"!j"&amp;$T145)+INDIRECT("'"&amp;$D$2&amp;"'"&amp;"!n"&amp;$T145)))</f>
        <v>600</v>
      </c>
      <c r="J145" s="113">
        <f t="shared" ca="1" si="6"/>
        <v>-600</v>
      </c>
      <c r="K145" s="113" cm="1">
        <f t="array" aca="1" ref="K145" ca="1">IFERROR(IF($C145="","",INDIRECT($D$2&amp;"!l"&amp;$T145)+INDIRECT($D$2&amp;"!p"&amp;$T145)),IF($C145="","",INDIRECT("'"&amp;$D$2&amp;"'"&amp;"!l"&amp;$T145)+INDIRECT("'"&amp;$D$2&amp;"'"&amp;"!p"&amp;$T145)))</f>
        <v>0</v>
      </c>
      <c r="M145" s="113" cm="1">
        <f t="array" aca="1" ref="M145" ca="1">IFERROR(IF($C145="","",INDIRECT($D$2&amp;"!r"&amp;T145)),IF($C145="","",INDIRECT("'"&amp;$D$2&amp;"'"&amp;"!r"&amp;T145)))</f>
        <v>0</v>
      </c>
      <c r="N145" s="113">
        <f t="shared" ca="1" si="7"/>
        <v>0</v>
      </c>
      <c r="O145" s="113" cm="1">
        <f t="array" aca="1" ref="O145" ca="1">IFERROR(IF($C145="","",INDIRECT($D$2&amp;"!t"&amp;T145)),IF($C145="","",INDIRECT("'"&amp;$D$2&amp;"'"&amp;"!t"&amp;T145)))</f>
        <v>0</v>
      </c>
      <c r="Q145" s="113" cm="1">
        <f t="array" aca="1" ref="Q145" ca="1">IFERROR(IF($C145="","",INDIRECT($D$2&amp;"!v"&amp;T145)),IF($C145="","",INDIRECT("'"&amp;$D$2&amp;"'"&amp;"!v"&amp;T145)))</f>
        <v>50</v>
      </c>
      <c r="R145" s="113">
        <f t="shared" ca="1" si="8"/>
        <v>0</v>
      </c>
      <c r="S145" s="113" cm="1">
        <f t="array" aca="1" ref="S145" ca="1">IFERROR(IF($C145="","",INDIRECT($D$2&amp;"!x"&amp;T145)),IF($C145="","",INDIRECT("'"&amp;$D$2&amp;"'"&amp;"!x"&amp;T145)))</f>
        <v>50</v>
      </c>
      <c r="T145" s="35">
        <v>133</v>
      </c>
      <c r="U145" s="113"/>
      <c r="V145" s="35">
        <v>133</v>
      </c>
    </row>
    <row r="146" spans="3:22" x14ac:dyDescent="0.25">
      <c r="C146" t="str" cm="1">
        <f t="array" aca="1" ref="C146" ca="1">IFERROR(IF(INDIRECT($D$2&amp;"!B"&amp;T146)="","",INDIRECT("'"&amp;$D$2&amp;"'"&amp;"!B"&amp;T146)),IF(INDIRECT("'"&amp;$D$2&amp;"'"&amp;"!B"&amp;T146)="","",INDIRECT("'"&amp;$D$2&amp;"'"&amp;"!B"&amp;T146)))</f>
        <v>Full-Service Chargeback Dispute Processing JHA Debit Processing</v>
      </c>
      <c r="D146" t="str" cm="1">
        <f t="array" aca="1" ref="D146" ca="1">IFERROR(_xlfn.IFS(C146="","",C146&lt;&gt;"",INDEX(SF_Output!I:I,MATCH(C146,SF_Output!M:M,0))),IFERROR(INDEX(INDIRECT($D$2&amp;"!G:G"),MATCH(C146,INDIRECT($D$2&amp;"!B:B"),0)),INDEX(INDIRECT("'"&amp;$D$2&amp;"'!G:G"),MATCH(C146,INDIRECT("'"&amp;$D$2&amp;"'!B:B"),0))))</f>
        <v>Payments</v>
      </c>
      <c r="E146" t="str" cm="1">
        <f t="array" aca="1" ref="E146" ca="1">IFERROR(IF(C146="","",INDIRECT($D$2&amp;"!F"&amp;T146)),IF(C146="","",INDIRECT("'"&amp;$D$2&amp;"'"&amp;"!F"&amp;T146)))</f>
        <v>Included</v>
      </c>
      <c r="F146" t="str" cm="1">
        <f t="array" aca="1" ref="F146" ca="1">IFERROR(IF(C146="","",INDIRECT($D$2&amp;"!ak"&amp;T146)),IF(C146="","",INDIRECT("'"&amp;$D$2&amp;"'"&amp;"!ak"&amp;T146)))</f>
        <v/>
      </c>
      <c r="G146" cm="1">
        <f t="array" aca="1" ref="G146" ca="1">IFERROR(INDIRECT($D$2&amp;"!h"&amp;T146),INDIRECT("'"&amp;$D$2&amp;"'"&amp;"!h"&amp;T146))</f>
        <v>1</v>
      </c>
      <c r="H146" s="125" t="str" cm="1">
        <f t="array" aca="1" ref="H146" ca="1">IFERROR(INDIRECT($D$2&amp;"!i"&amp;T146),INDIRECT("'"&amp;$D$2&amp;"'"&amp;"!i"&amp;T146))</f>
        <v/>
      </c>
      <c r="I146" s="113" cm="1">
        <f t="array" aca="1" ref="I146" ca="1">IFERROR(IF($C146="","",INDIRECT($D$2&amp;"!j"&amp;$T146)+INDIRECT($D$2&amp;"!n"&amp;$T146)),IF($C146="","",INDIRECT("'"&amp;$D$2&amp;"'"&amp;"!j"&amp;$T146)+INDIRECT("'"&amp;$D$2&amp;"'"&amp;"!n"&amp;$T146)))</f>
        <v>1500</v>
      </c>
      <c r="J146" s="113">
        <f t="shared" ca="1" si="6"/>
        <v>-1500</v>
      </c>
      <c r="K146" s="113" cm="1">
        <f t="array" aca="1" ref="K146" ca="1">IFERROR(IF($C146="","",INDIRECT($D$2&amp;"!l"&amp;$T146)+INDIRECT($D$2&amp;"!p"&amp;$T146)),IF($C146="","",INDIRECT("'"&amp;$D$2&amp;"'"&amp;"!l"&amp;$T146)+INDIRECT("'"&amp;$D$2&amp;"'"&amp;"!p"&amp;$T146)))</f>
        <v>0</v>
      </c>
      <c r="M146" s="113" cm="1">
        <f t="array" aca="1" ref="M146" ca="1">IFERROR(IF($C146="","",INDIRECT($D$2&amp;"!r"&amp;T146)),IF($C146="","",INDIRECT("'"&amp;$D$2&amp;"'"&amp;"!r"&amp;T146)))</f>
        <v>0</v>
      </c>
      <c r="N146" s="113">
        <f t="shared" ca="1" si="7"/>
        <v>0</v>
      </c>
      <c r="O146" s="113" cm="1">
        <f t="array" aca="1" ref="O146" ca="1">IFERROR(IF($C146="","",INDIRECT($D$2&amp;"!t"&amp;T146)),IF($C146="","",INDIRECT("'"&amp;$D$2&amp;"'"&amp;"!t"&amp;T146)))</f>
        <v>0</v>
      </c>
      <c r="Q146" s="113" cm="1">
        <f t="array" aca="1" ref="Q146" ca="1">IFERROR(IF($C146="","",INDIRECT($D$2&amp;"!v"&amp;T146)),IF($C146="","",INDIRECT("'"&amp;$D$2&amp;"'"&amp;"!v"&amp;T146)))</f>
        <v>150</v>
      </c>
      <c r="R146" s="113">
        <f t="shared" ca="1" si="8"/>
        <v>0</v>
      </c>
      <c r="S146" s="113" cm="1">
        <f t="array" aca="1" ref="S146" ca="1">IFERROR(IF($C146="","",INDIRECT($D$2&amp;"!x"&amp;T146)),IF($C146="","",INDIRECT("'"&amp;$D$2&amp;"'"&amp;"!x"&amp;T146)))</f>
        <v>150</v>
      </c>
      <c r="T146" s="35">
        <v>134</v>
      </c>
      <c r="U146" s="113"/>
      <c r="V146" s="35">
        <v>134</v>
      </c>
    </row>
    <row r="147" spans="3:22" x14ac:dyDescent="0.25">
      <c r="C147" t="str" cm="1">
        <f t="array" aca="1" ref="C147" ca="1">IFERROR(IF(INDIRECT($D$2&amp;"!B"&amp;T147)="","",INDIRECT("'"&amp;$D$2&amp;"'"&amp;"!B"&amp;T147)),IF(INDIRECT("'"&amp;$D$2&amp;"'"&amp;"!B"&amp;T147)="","",INDIRECT("'"&amp;$D$2&amp;"'"&amp;"!B"&amp;T147)))</f>
        <v>Chargeback Dispute Processing Cases Jack Henry intake JHA Debit Processing</v>
      </c>
      <c r="D147" t="str" cm="1">
        <f t="array" aca="1" ref="D147" ca="1">IFERROR(_xlfn.IFS(C147="","",C147&lt;&gt;"",INDEX(SF_Output!I:I,MATCH(C147,SF_Output!M:M,0))),IFERROR(INDEX(INDIRECT($D$2&amp;"!G:G"),MATCH(C147,INDIRECT($D$2&amp;"!B:B"),0)),INDEX(INDIRECT("'"&amp;$D$2&amp;"'!G:G"),MATCH(C147,INDIRECT("'"&amp;$D$2&amp;"'!B:B"),0))))</f>
        <v>Payments</v>
      </c>
      <c r="E147" t="str" cm="1">
        <f t="array" aca="1" ref="E147" ca="1">IFERROR(IF(C147="","",INDIRECT($D$2&amp;"!F"&amp;T147)),IF(C147="","",INDIRECT("'"&amp;$D$2&amp;"'"&amp;"!F"&amp;T147)))</f>
        <v>Included</v>
      </c>
      <c r="F147" t="str" cm="1">
        <f t="array" aca="1" ref="F147" ca="1">IFERROR(IF(C147="","",INDIRECT($D$2&amp;"!ak"&amp;T147)),IF(C147="","",INDIRECT("'"&amp;$D$2&amp;"'"&amp;"!ak"&amp;T147)))</f>
        <v/>
      </c>
      <c r="G147" cm="1">
        <f t="array" aca="1" ref="G147" ca="1">IFERROR(INDIRECT($D$2&amp;"!h"&amp;T147),INDIRECT("'"&amp;$D$2&amp;"'"&amp;"!h"&amp;T147))</f>
        <v>0</v>
      </c>
      <c r="H147" s="125" t="str" cm="1">
        <f t="array" aca="1" ref="H147" ca="1">IFERROR(INDIRECT($D$2&amp;"!i"&amp;T147),INDIRECT("'"&amp;$D$2&amp;"'"&amp;"!i"&amp;T147))</f>
        <v/>
      </c>
      <c r="I147" s="113" cm="1">
        <f t="array" aca="1" ref="I147" ca="1">IFERROR(IF($C147="","",INDIRECT($D$2&amp;"!j"&amp;$T147)+INDIRECT($D$2&amp;"!n"&amp;$T147)),IF($C147="","",INDIRECT("'"&amp;$D$2&amp;"'"&amp;"!j"&amp;$T147)+INDIRECT("'"&amp;$D$2&amp;"'"&amp;"!n"&amp;$T147)))</f>
        <v>0</v>
      </c>
      <c r="J147" s="113">
        <f t="shared" ca="1" si="6"/>
        <v>0</v>
      </c>
      <c r="K147" s="113" cm="1">
        <f t="array" aca="1" ref="K147" ca="1">IFERROR(IF($C147="","",INDIRECT($D$2&amp;"!l"&amp;$T147)+INDIRECT($D$2&amp;"!p"&amp;$T147)),IF($C147="","",INDIRECT("'"&amp;$D$2&amp;"'"&amp;"!l"&amp;$T147)+INDIRECT("'"&amp;$D$2&amp;"'"&amp;"!p"&amp;$T147)))</f>
        <v>0</v>
      </c>
      <c r="M147" s="113" cm="1">
        <f t="array" aca="1" ref="M147" ca="1">IFERROR(IF($C147="","",INDIRECT($D$2&amp;"!r"&amp;T147)),IF($C147="","",INDIRECT("'"&amp;$D$2&amp;"'"&amp;"!r"&amp;T147)))</f>
        <v>0</v>
      </c>
      <c r="N147" s="113">
        <f t="shared" ca="1" si="7"/>
        <v>0</v>
      </c>
      <c r="O147" s="113" cm="1">
        <f t="array" aca="1" ref="O147" ca="1">IFERROR(IF($C147="","",INDIRECT($D$2&amp;"!t"&amp;T147)),IF($C147="","",INDIRECT("'"&amp;$D$2&amp;"'"&amp;"!t"&amp;T147)))</f>
        <v>0</v>
      </c>
      <c r="Q147" s="113" cm="1">
        <f t="array" aca="1" ref="Q147" ca="1">IFERROR(IF($C147="","",INDIRECT($D$2&amp;"!v"&amp;T147)),IF($C147="","",INDIRECT("'"&amp;$D$2&amp;"'"&amp;"!v"&amp;T147)))</f>
        <v>0</v>
      </c>
      <c r="R147" s="113">
        <f t="shared" ca="1" si="8"/>
        <v>0</v>
      </c>
      <c r="S147" s="113" cm="1">
        <f t="array" aca="1" ref="S147" ca="1">IFERROR(IF($C147="","",INDIRECT($D$2&amp;"!x"&amp;T147)),IF($C147="","",INDIRECT("'"&amp;$D$2&amp;"'"&amp;"!x"&amp;T147)))</f>
        <v>0</v>
      </c>
      <c r="T147" s="35">
        <v>135</v>
      </c>
      <c r="U147" s="113"/>
      <c r="V147" s="35">
        <v>135</v>
      </c>
    </row>
    <row r="148" spans="3:22" x14ac:dyDescent="0.25">
      <c r="C148" t="str" cm="1">
        <f t="array" aca="1" ref="C148" ca="1">IFERROR(IF(INDIRECT($D$2&amp;"!B"&amp;T148)="","",INDIRECT("'"&amp;$D$2&amp;"'"&amp;"!B"&amp;T148)),IF(INDIRECT("'"&amp;$D$2&amp;"'"&amp;"!B"&amp;T148)="","",INDIRECT("'"&amp;$D$2&amp;"'"&amp;"!B"&amp;T148)))</f>
        <v>Low-Dollar Write-off, per case JHA Debit Processing</v>
      </c>
      <c r="D148" t="str" cm="1">
        <f t="array" aca="1" ref="D148" ca="1">IFERROR(_xlfn.IFS(C148="","",C148&lt;&gt;"",INDEX(SF_Output!I:I,MATCH(C148,SF_Output!M:M,0))),IFERROR(INDEX(INDIRECT($D$2&amp;"!G:G"),MATCH(C148,INDIRECT($D$2&amp;"!B:B"),0)),INDEX(INDIRECT("'"&amp;$D$2&amp;"'!G:G"),MATCH(C148,INDIRECT("'"&amp;$D$2&amp;"'!B:B"),0))))</f>
        <v>Payments</v>
      </c>
      <c r="E148" t="str" cm="1">
        <f t="array" aca="1" ref="E148" ca="1">IFERROR(IF(C148="","",INDIRECT($D$2&amp;"!F"&amp;T148)),IF(C148="","",INDIRECT("'"&amp;$D$2&amp;"'"&amp;"!F"&amp;T148)))</f>
        <v>Included</v>
      </c>
      <c r="F148" t="str" cm="1">
        <f t="array" aca="1" ref="F148" ca="1">IFERROR(IF(C148="","",INDIRECT($D$2&amp;"!ak"&amp;T148)),IF(C148="","",INDIRECT("'"&amp;$D$2&amp;"'"&amp;"!ak"&amp;T148)))</f>
        <v/>
      </c>
      <c r="G148" cm="1">
        <f t="array" aca="1" ref="G148" ca="1">IFERROR(INDIRECT($D$2&amp;"!h"&amp;T148),INDIRECT("'"&amp;$D$2&amp;"'"&amp;"!h"&amp;T148))</f>
        <v>0</v>
      </c>
      <c r="H148" s="125" t="str" cm="1">
        <f t="array" aca="1" ref="H148" ca="1">IFERROR(INDIRECT($D$2&amp;"!i"&amp;T148),INDIRECT("'"&amp;$D$2&amp;"'"&amp;"!i"&amp;T148))</f>
        <v/>
      </c>
      <c r="I148" s="113" cm="1">
        <f t="array" aca="1" ref="I148" ca="1">IFERROR(IF($C148="","",INDIRECT($D$2&amp;"!j"&amp;$T148)+INDIRECT($D$2&amp;"!n"&amp;$T148)),IF($C148="","",INDIRECT("'"&amp;$D$2&amp;"'"&amp;"!j"&amp;$T148)+INDIRECT("'"&amp;$D$2&amp;"'"&amp;"!n"&amp;$T148)))</f>
        <v>0</v>
      </c>
      <c r="J148" s="113">
        <f t="shared" ca="1" si="6"/>
        <v>0</v>
      </c>
      <c r="K148" s="113" cm="1">
        <f t="array" aca="1" ref="K148" ca="1">IFERROR(IF($C148="","",INDIRECT($D$2&amp;"!l"&amp;$T148)+INDIRECT($D$2&amp;"!p"&amp;$T148)),IF($C148="","",INDIRECT("'"&amp;$D$2&amp;"'"&amp;"!l"&amp;$T148)+INDIRECT("'"&amp;$D$2&amp;"'"&amp;"!p"&amp;$T148)))</f>
        <v>0</v>
      </c>
      <c r="M148" s="113" cm="1">
        <f t="array" aca="1" ref="M148" ca="1">IFERROR(IF($C148="","",INDIRECT($D$2&amp;"!r"&amp;T148)),IF($C148="","",INDIRECT("'"&amp;$D$2&amp;"'"&amp;"!r"&amp;T148)))</f>
        <v>0</v>
      </c>
      <c r="N148" s="113">
        <f t="shared" ca="1" si="7"/>
        <v>0</v>
      </c>
      <c r="O148" s="113" cm="1">
        <f t="array" aca="1" ref="O148" ca="1">IFERROR(IF($C148="","",INDIRECT($D$2&amp;"!t"&amp;T148)),IF($C148="","",INDIRECT("'"&amp;$D$2&amp;"'"&amp;"!t"&amp;T148)))</f>
        <v>0</v>
      </c>
      <c r="Q148" s="113" cm="1">
        <f t="array" aca="1" ref="Q148" ca="1">IFERROR(IF($C148="","",INDIRECT($D$2&amp;"!v"&amp;T148)),IF($C148="","",INDIRECT("'"&amp;$D$2&amp;"'"&amp;"!v"&amp;T148)))</f>
        <v>0</v>
      </c>
      <c r="R148" s="113">
        <f t="shared" ca="1" si="8"/>
        <v>0</v>
      </c>
      <c r="S148" s="113" cm="1">
        <f t="array" aca="1" ref="S148" ca="1">IFERROR(IF($C148="","",INDIRECT($D$2&amp;"!x"&amp;T148)),IF($C148="","",INDIRECT("'"&amp;$D$2&amp;"'"&amp;"!x"&amp;T148)))</f>
        <v>0</v>
      </c>
      <c r="T148" s="35">
        <v>136</v>
      </c>
      <c r="U148" s="113"/>
      <c r="V148" s="35">
        <v>136</v>
      </c>
    </row>
    <row r="149" spans="3:22" x14ac:dyDescent="0.25">
      <c r="C149" t="str" cm="1">
        <f t="array" aca="1" ref="C149" ca="1">IFERROR(IF(INDIRECT($D$2&amp;"!B"&amp;T149)="","",INDIRECT("'"&amp;$D$2&amp;"'"&amp;"!B"&amp;T149)),IF(INDIRECT("'"&amp;$D$2&amp;"'"&amp;"!B"&amp;T149)="","",INDIRECT("'"&amp;$D$2&amp;"'"&amp;"!B"&amp;T149)))</f>
        <v>Full Service Disputes Letters JHA Debit Processing</v>
      </c>
      <c r="D149" t="str" cm="1">
        <f t="array" aca="1" ref="D149" ca="1">IFERROR(_xlfn.IFS(C149="","",C149&lt;&gt;"",INDEX(SF_Output!I:I,MATCH(C149,SF_Output!M:M,0))),IFERROR(INDEX(INDIRECT($D$2&amp;"!G:G"),MATCH(C149,INDIRECT($D$2&amp;"!B:B"),0)),INDEX(INDIRECT("'"&amp;$D$2&amp;"'!G:G"),MATCH(C149,INDIRECT("'"&amp;$D$2&amp;"'!B:B"),0))))</f>
        <v>Payments</v>
      </c>
      <c r="E149" t="str" cm="1">
        <f t="array" aca="1" ref="E149" ca="1">IFERROR(IF(C149="","",INDIRECT($D$2&amp;"!F"&amp;T149)),IF(C149="","",INDIRECT("'"&amp;$D$2&amp;"'"&amp;"!F"&amp;T149)))</f>
        <v>Included</v>
      </c>
      <c r="F149" t="str" cm="1">
        <f t="array" aca="1" ref="F149" ca="1">IFERROR(IF(C149="","",INDIRECT($D$2&amp;"!ak"&amp;T149)),IF(C149="","",INDIRECT("'"&amp;$D$2&amp;"'"&amp;"!ak"&amp;T149)))</f>
        <v/>
      </c>
      <c r="G149" cm="1">
        <f t="array" aca="1" ref="G149" ca="1">IFERROR(INDIRECT($D$2&amp;"!h"&amp;T149),INDIRECT("'"&amp;$D$2&amp;"'"&amp;"!h"&amp;T149))</f>
        <v>0</v>
      </c>
      <c r="H149" s="125" t="str" cm="1">
        <f t="array" aca="1" ref="H149" ca="1">IFERROR(INDIRECT($D$2&amp;"!i"&amp;T149),INDIRECT("'"&amp;$D$2&amp;"'"&amp;"!i"&amp;T149))</f>
        <v/>
      </c>
      <c r="I149" s="113" cm="1">
        <f t="array" aca="1" ref="I149" ca="1">IFERROR(IF($C149="","",INDIRECT($D$2&amp;"!j"&amp;$T149)+INDIRECT($D$2&amp;"!n"&amp;$T149)),IF($C149="","",INDIRECT("'"&amp;$D$2&amp;"'"&amp;"!j"&amp;$T149)+INDIRECT("'"&amp;$D$2&amp;"'"&amp;"!n"&amp;$T149)))</f>
        <v>0</v>
      </c>
      <c r="J149" s="113">
        <f t="shared" ca="1" si="6"/>
        <v>0</v>
      </c>
      <c r="K149" s="113" cm="1">
        <f t="array" aca="1" ref="K149" ca="1">IFERROR(IF($C149="","",INDIRECT($D$2&amp;"!l"&amp;$T149)+INDIRECT($D$2&amp;"!p"&amp;$T149)),IF($C149="","",INDIRECT("'"&amp;$D$2&amp;"'"&amp;"!l"&amp;$T149)+INDIRECT("'"&amp;$D$2&amp;"'"&amp;"!p"&amp;$T149)))</f>
        <v>0</v>
      </c>
      <c r="M149" s="113" cm="1">
        <f t="array" aca="1" ref="M149" ca="1">IFERROR(IF($C149="","",INDIRECT($D$2&amp;"!r"&amp;T149)),IF($C149="","",INDIRECT("'"&amp;$D$2&amp;"'"&amp;"!r"&amp;T149)))</f>
        <v>0</v>
      </c>
      <c r="N149" s="113">
        <f t="shared" ca="1" si="7"/>
        <v>0</v>
      </c>
      <c r="O149" s="113" cm="1">
        <f t="array" aca="1" ref="O149" ca="1">IFERROR(IF($C149="","",INDIRECT($D$2&amp;"!t"&amp;T149)),IF($C149="","",INDIRECT("'"&amp;$D$2&amp;"'"&amp;"!t"&amp;T149)))</f>
        <v>0</v>
      </c>
      <c r="Q149" s="113" cm="1">
        <f t="array" aca="1" ref="Q149" ca="1">IFERROR(IF($C149="","",INDIRECT($D$2&amp;"!v"&amp;T149)),IF($C149="","",INDIRECT("'"&amp;$D$2&amp;"'"&amp;"!v"&amp;T149)))</f>
        <v>0</v>
      </c>
      <c r="R149" s="113">
        <f t="shared" ca="1" si="8"/>
        <v>0</v>
      </c>
      <c r="S149" s="113" cm="1">
        <f t="array" aca="1" ref="S149" ca="1">IFERROR(IF($C149="","",INDIRECT($D$2&amp;"!x"&amp;T149)),IF($C149="","",INDIRECT("'"&amp;$D$2&amp;"'"&amp;"!x"&amp;T149)))</f>
        <v>0</v>
      </c>
      <c r="T149" s="35">
        <v>137</v>
      </c>
      <c r="U149" s="113"/>
      <c r="V149" s="35">
        <v>137</v>
      </c>
    </row>
    <row r="150" spans="3:22" x14ac:dyDescent="0.25">
      <c r="C150" t="str" cm="1">
        <f t="array" aca="1" ref="C150" ca="1">IFERROR(IF(INDIRECT($D$2&amp;"!B"&amp;T150)="","",INDIRECT("'"&amp;$D$2&amp;"'"&amp;"!B"&amp;T150)),IF(INDIRECT("'"&amp;$D$2&amp;"'"&amp;"!B"&amp;T150)="","",INDIRECT("'"&amp;$D$2&amp;"'"&amp;"!B"&amp;T150)))</f>
        <v>Full-Service Disputes Digital SSO Support JHA Debit Processing</v>
      </c>
      <c r="D150" t="str" cm="1">
        <f t="array" aca="1" ref="D150" ca="1">IFERROR(_xlfn.IFS(C150="","",C150&lt;&gt;"",INDEX(SF_Output!I:I,MATCH(C150,SF_Output!M:M,0))),IFERROR(INDEX(INDIRECT($D$2&amp;"!G:G"),MATCH(C150,INDIRECT($D$2&amp;"!B:B"),0)),INDEX(INDIRECT("'"&amp;$D$2&amp;"'!G:G"),MATCH(C150,INDIRECT("'"&amp;$D$2&amp;"'!B:B"),0))))</f>
        <v>Payments</v>
      </c>
      <c r="E150" t="str" cm="1">
        <f t="array" aca="1" ref="E150" ca="1">IFERROR(IF(C150="","",INDIRECT($D$2&amp;"!F"&amp;T150)),IF(C150="","",INDIRECT("'"&amp;$D$2&amp;"'"&amp;"!F"&amp;T150)))</f>
        <v>Included</v>
      </c>
      <c r="F150" t="str" cm="1">
        <f t="array" aca="1" ref="F150" ca="1">IFERROR(IF(C150="","",INDIRECT($D$2&amp;"!ak"&amp;T150)),IF(C150="","",INDIRECT("'"&amp;$D$2&amp;"'"&amp;"!ak"&amp;T150)))</f>
        <v/>
      </c>
      <c r="G150" cm="1">
        <f t="array" aca="1" ref="G150" ca="1">IFERROR(INDIRECT($D$2&amp;"!h"&amp;T150),INDIRECT("'"&amp;$D$2&amp;"'"&amp;"!h"&amp;T150))</f>
        <v>0</v>
      </c>
      <c r="H150" s="125" t="str" cm="1">
        <f t="array" aca="1" ref="H150" ca="1">IFERROR(INDIRECT($D$2&amp;"!i"&amp;T150),INDIRECT("'"&amp;$D$2&amp;"'"&amp;"!i"&amp;T150))</f>
        <v/>
      </c>
      <c r="I150" s="113" cm="1">
        <f t="array" aca="1" ref="I150" ca="1">IFERROR(IF($C150="","",INDIRECT($D$2&amp;"!j"&amp;$T150)+INDIRECT($D$2&amp;"!n"&amp;$T150)),IF($C150="","",INDIRECT("'"&amp;$D$2&amp;"'"&amp;"!j"&amp;$T150)+INDIRECT("'"&amp;$D$2&amp;"'"&amp;"!n"&amp;$T150)))</f>
        <v>2500</v>
      </c>
      <c r="J150" s="113">
        <f t="shared" ca="1" si="6"/>
        <v>-2500</v>
      </c>
      <c r="K150" s="113" cm="1">
        <f t="array" aca="1" ref="K150" ca="1">IFERROR(IF($C150="","",INDIRECT($D$2&amp;"!l"&amp;$T150)+INDIRECT($D$2&amp;"!p"&amp;$T150)),IF($C150="","",INDIRECT("'"&amp;$D$2&amp;"'"&amp;"!l"&amp;$T150)+INDIRECT("'"&amp;$D$2&amp;"'"&amp;"!p"&amp;$T150)))</f>
        <v>0</v>
      </c>
      <c r="M150" s="113" cm="1">
        <f t="array" aca="1" ref="M150" ca="1">IFERROR(IF($C150="","",INDIRECT($D$2&amp;"!r"&amp;T150)),IF($C150="","",INDIRECT("'"&amp;$D$2&amp;"'"&amp;"!r"&amp;T150)))</f>
        <v>0</v>
      </c>
      <c r="N150" s="113">
        <f t="shared" ca="1" si="7"/>
        <v>0</v>
      </c>
      <c r="O150" s="113" cm="1">
        <f t="array" aca="1" ref="O150" ca="1">IFERROR(IF($C150="","",INDIRECT($D$2&amp;"!t"&amp;T150)),IF($C150="","",INDIRECT("'"&amp;$D$2&amp;"'"&amp;"!t"&amp;T150)))</f>
        <v>0</v>
      </c>
      <c r="Q150" s="113" cm="1">
        <f t="array" aca="1" ref="Q150" ca="1">IFERROR(IF($C150="","",INDIRECT($D$2&amp;"!v"&amp;T150)),IF($C150="","",INDIRECT("'"&amp;$D$2&amp;"'"&amp;"!v"&amp;T150)))</f>
        <v>100</v>
      </c>
      <c r="R150" s="113">
        <f t="shared" ca="1" si="8"/>
        <v>0</v>
      </c>
      <c r="S150" s="113" cm="1">
        <f t="array" aca="1" ref="S150" ca="1">IFERROR(IF($C150="","",INDIRECT($D$2&amp;"!x"&amp;T150)),IF($C150="","",INDIRECT("'"&amp;$D$2&amp;"'"&amp;"!x"&amp;T150)))</f>
        <v>100</v>
      </c>
      <c r="T150" s="35">
        <v>138</v>
      </c>
      <c r="U150" s="113"/>
      <c r="V150" s="35">
        <v>138</v>
      </c>
    </row>
    <row r="151" spans="3:22" x14ac:dyDescent="0.25">
      <c r="C151" t="str" cm="1">
        <f t="array" aca="1" ref="C151" ca="1">IFERROR(IF(INDIRECT($D$2&amp;"!B"&amp;T151)="","",INDIRECT("'"&amp;$D$2&amp;"'"&amp;"!B"&amp;T151)),IF(INDIRECT("'"&amp;$D$2&amp;"'"&amp;"!B"&amp;T151)="","",INDIRECT("'"&amp;$D$2&amp;"'"&amp;"!B"&amp;T151)))</f>
        <v>JHA Hot Card Center JHA Debit Processing</v>
      </c>
      <c r="D151" t="str" cm="1">
        <f t="array" aca="1" ref="D151" ca="1">IFERROR(_xlfn.IFS(C151="","",C151&lt;&gt;"",INDEX(SF_Output!I:I,MATCH(C151,SF_Output!M:M,0))),IFERROR(INDEX(INDIRECT($D$2&amp;"!G:G"),MATCH(C151,INDIRECT($D$2&amp;"!B:B"),0)),INDEX(INDIRECT("'"&amp;$D$2&amp;"'!G:G"),MATCH(C151,INDIRECT("'"&amp;$D$2&amp;"'!B:B"),0))))</f>
        <v>Payments</v>
      </c>
      <c r="E151" t="str" cm="1">
        <f t="array" aca="1" ref="E151" ca="1">IFERROR(IF(C151="","",INDIRECT($D$2&amp;"!F"&amp;T151)),IF(C151="","",INDIRECT("'"&amp;$D$2&amp;"'"&amp;"!F"&amp;T151)))</f>
        <v>Included</v>
      </c>
      <c r="F151" t="str" cm="1">
        <f t="array" aca="1" ref="F151" ca="1">IFERROR(IF(C151="","",INDIRECT($D$2&amp;"!ak"&amp;T151)),IF(C151="","",INDIRECT("'"&amp;$D$2&amp;"'"&amp;"!ak"&amp;T151)))</f>
        <v/>
      </c>
      <c r="G151" cm="1">
        <f t="array" aca="1" ref="G151" ca="1">IFERROR(INDIRECT($D$2&amp;"!h"&amp;T151),INDIRECT("'"&amp;$D$2&amp;"'"&amp;"!h"&amp;T151))</f>
        <v>1</v>
      </c>
      <c r="H151" s="125" t="str" cm="1">
        <f t="array" aca="1" ref="H151" ca="1">IFERROR(INDIRECT($D$2&amp;"!i"&amp;T151),INDIRECT("'"&amp;$D$2&amp;"'"&amp;"!i"&amp;T151))</f>
        <v/>
      </c>
      <c r="I151" s="113" cm="1">
        <f t="array" aca="1" ref="I151" ca="1">IFERROR(IF($C151="","",INDIRECT($D$2&amp;"!j"&amp;$T151)+INDIRECT($D$2&amp;"!n"&amp;$T151)),IF($C151="","",INDIRECT("'"&amp;$D$2&amp;"'"&amp;"!j"&amp;$T151)+INDIRECT("'"&amp;$D$2&amp;"'"&amp;"!n"&amp;$T151)))</f>
        <v>500</v>
      </c>
      <c r="J151" s="113">
        <f t="shared" ca="1" si="6"/>
        <v>-500</v>
      </c>
      <c r="K151" s="113" cm="1">
        <f t="array" aca="1" ref="K151" ca="1">IFERROR(IF($C151="","",INDIRECT($D$2&amp;"!l"&amp;$T151)+INDIRECT($D$2&amp;"!p"&amp;$T151)),IF($C151="","",INDIRECT("'"&amp;$D$2&amp;"'"&amp;"!l"&amp;$T151)+INDIRECT("'"&amp;$D$2&amp;"'"&amp;"!p"&amp;$T151)))</f>
        <v>0</v>
      </c>
      <c r="M151" s="113" cm="1">
        <f t="array" aca="1" ref="M151" ca="1">IFERROR(IF($C151="","",INDIRECT($D$2&amp;"!r"&amp;T151)),IF($C151="","",INDIRECT("'"&amp;$D$2&amp;"'"&amp;"!r"&amp;T151)))</f>
        <v>0</v>
      </c>
      <c r="N151" s="113">
        <f t="shared" ca="1" si="7"/>
        <v>0</v>
      </c>
      <c r="O151" s="113" cm="1">
        <f t="array" aca="1" ref="O151" ca="1">IFERROR(IF($C151="","",INDIRECT($D$2&amp;"!t"&amp;T151)),IF($C151="","",INDIRECT("'"&amp;$D$2&amp;"'"&amp;"!t"&amp;T151)))</f>
        <v>0</v>
      </c>
      <c r="Q151" s="113" cm="1">
        <f t="array" aca="1" ref="Q151" ca="1">IFERROR(IF($C151="","",INDIRECT($D$2&amp;"!v"&amp;T151)),IF($C151="","",INDIRECT("'"&amp;$D$2&amp;"'"&amp;"!v"&amp;T151)))</f>
        <v>100</v>
      </c>
      <c r="R151" s="113">
        <f t="shared" ca="1" si="8"/>
        <v>0</v>
      </c>
      <c r="S151" s="113" cm="1">
        <f t="array" aca="1" ref="S151" ca="1">IFERROR(IF($C151="","",INDIRECT($D$2&amp;"!x"&amp;T151)),IF($C151="","",INDIRECT("'"&amp;$D$2&amp;"'"&amp;"!x"&amp;T151)))</f>
        <v>100</v>
      </c>
      <c r="T151" s="35">
        <v>139</v>
      </c>
      <c r="U151" s="113"/>
      <c r="V151" s="35">
        <v>139</v>
      </c>
    </row>
    <row r="152" spans="3:22" x14ac:dyDescent="0.25">
      <c r="C152" t="str" cm="1">
        <f t="array" aca="1" ref="C152" ca="1">IFERROR(IF(INDIRECT($D$2&amp;"!B"&amp;T152)="","",INDIRECT("'"&amp;$D$2&amp;"'"&amp;"!B"&amp;T152)),IF(INDIRECT("'"&amp;$D$2&amp;"'"&amp;"!B"&amp;T152)="","",INDIRECT("'"&amp;$D$2&amp;"'"&amp;"!B"&amp;T152)))</f>
        <v>JHA Hot Card Center Calls JHA Debit Processing</v>
      </c>
      <c r="D152" t="str" cm="1">
        <f t="array" aca="1" ref="D152" ca="1">IFERROR(_xlfn.IFS(C152="","",C152&lt;&gt;"",INDEX(SF_Output!I:I,MATCH(C152,SF_Output!M:M,0))),IFERROR(INDEX(INDIRECT($D$2&amp;"!G:G"),MATCH(C152,INDIRECT($D$2&amp;"!B:B"),0)),INDEX(INDIRECT("'"&amp;$D$2&amp;"'!G:G"),MATCH(C152,INDIRECT("'"&amp;$D$2&amp;"'!B:B"),0))))</f>
        <v>Payments</v>
      </c>
      <c r="E152" t="str" cm="1">
        <f t="array" aca="1" ref="E152" ca="1">IFERROR(IF(C152="","",INDIRECT($D$2&amp;"!F"&amp;T152)),IF(C152="","",INDIRECT("'"&amp;$D$2&amp;"'"&amp;"!F"&amp;T152)))</f>
        <v>Included</v>
      </c>
      <c r="F152" t="str" cm="1">
        <f t="array" aca="1" ref="F152" ca="1">IFERROR(IF(C152="","",INDIRECT($D$2&amp;"!ak"&amp;T152)),IF(C152="","",INDIRECT("'"&amp;$D$2&amp;"'"&amp;"!ak"&amp;T152)))</f>
        <v/>
      </c>
      <c r="G152" cm="1">
        <f t="array" aca="1" ref="G152" ca="1">IFERROR(INDIRECT($D$2&amp;"!h"&amp;T152),INDIRECT("'"&amp;$D$2&amp;"'"&amp;"!h"&amp;T152))</f>
        <v>0</v>
      </c>
      <c r="H152" s="125" t="str" cm="1">
        <f t="array" aca="1" ref="H152" ca="1">IFERROR(INDIRECT($D$2&amp;"!i"&amp;T152),INDIRECT("'"&amp;$D$2&amp;"'"&amp;"!i"&amp;T152))</f>
        <v/>
      </c>
      <c r="I152" s="113" cm="1">
        <f t="array" aca="1" ref="I152" ca="1">IFERROR(IF($C152="","",INDIRECT($D$2&amp;"!j"&amp;$T152)+INDIRECT($D$2&amp;"!n"&amp;$T152)),IF($C152="","",INDIRECT("'"&amp;$D$2&amp;"'"&amp;"!j"&amp;$T152)+INDIRECT("'"&amp;$D$2&amp;"'"&amp;"!n"&amp;$T152)))</f>
        <v>0</v>
      </c>
      <c r="J152" s="113">
        <f t="shared" ca="1" si="6"/>
        <v>0</v>
      </c>
      <c r="K152" s="113" cm="1">
        <f t="array" aca="1" ref="K152" ca="1">IFERROR(IF($C152="","",INDIRECT($D$2&amp;"!l"&amp;$T152)+INDIRECT($D$2&amp;"!p"&amp;$T152)),IF($C152="","",INDIRECT("'"&amp;$D$2&amp;"'"&amp;"!l"&amp;$T152)+INDIRECT("'"&amp;$D$2&amp;"'"&amp;"!p"&amp;$T152)))</f>
        <v>0</v>
      </c>
      <c r="M152" s="113" cm="1">
        <f t="array" aca="1" ref="M152" ca="1">IFERROR(IF($C152="","",INDIRECT($D$2&amp;"!r"&amp;T152)),IF($C152="","",INDIRECT("'"&amp;$D$2&amp;"'"&amp;"!r"&amp;T152)))</f>
        <v>0</v>
      </c>
      <c r="N152" s="113">
        <f t="shared" ca="1" si="7"/>
        <v>0</v>
      </c>
      <c r="O152" s="113" cm="1">
        <f t="array" aca="1" ref="O152" ca="1">IFERROR(IF($C152="","",INDIRECT($D$2&amp;"!t"&amp;T152)),IF($C152="","",INDIRECT("'"&amp;$D$2&amp;"'"&amp;"!t"&amp;T152)))</f>
        <v>0</v>
      </c>
      <c r="Q152" s="113" cm="1">
        <f t="array" aca="1" ref="Q152" ca="1">IFERROR(IF($C152="","",INDIRECT($D$2&amp;"!v"&amp;T152)),IF($C152="","",INDIRECT("'"&amp;$D$2&amp;"'"&amp;"!v"&amp;T152)))</f>
        <v>0</v>
      </c>
      <c r="R152" s="113">
        <f t="shared" ca="1" si="8"/>
        <v>0</v>
      </c>
      <c r="S152" s="113" cm="1">
        <f t="array" aca="1" ref="S152" ca="1">IFERROR(IF($C152="","",INDIRECT($D$2&amp;"!x"&amp;T152)),IF($C152="","",INDIRECT("'"&amp;$D$2&amp;"'"&amp;"!x"&amp;T152)))</f>
        <v>0</v>
      </c>
      <c r="T152" s="35">
        <v>140</v>
      </c>
      <c r="U152" s="113"/>
      <c r="V152" s="35">
        <v>140</v>
      </c>
    </row>
    <row r="153" spans="3:22" x14ac:dyDescent="0.25">
      <c r="C153" t="str" cm="1">
        <f t="array" aca="1" ref="C153" ca="1">IFERROR(IF(INDIRECT($D$2&amp;"!B"&amp;T153)="","",INDIRECT("'"&amp;$D$2&amp;"'"&amp;"!B"&amp;T153)),IF(INDIRECT("'"&amp;$D$2&amp;"'"&amp;"!B"&amp;T153)="","",INDIRECT("'"&amp;$D$2&amp;"'"&amp;"!B"&amp;T153)))</f>
        <v>Ethoca (based on dollars recovered) JHA Debit Processing</v>
      </c>
      <c r="D153" t="str" cm="1">
        <f t="array" aca="1" ref="D153" ca="1">IFERROR(_xlfn.IFS(C153="","",C153&lt;&gt;"",INDEX(SF_Output!I:I,MATCH(C153,SF_Output!M:M,0))),IFERROR(INDEX(INDIRECT($D$2&amp;"!G:G"),MATCH(C153,INDIRECT($D$2&amp;"!B:B"),0)),INDEX(INDIRECT("'"&amp;$D$2&amp;"'!G:G"),MATCH(C153,INDIRECT("'"&amp;$D$2&amp;"'!B:B"),0))))</f>
        <v>Payments</v>
      </c>
      <c r="E153" t="str" cm="1">
        <f t="array" aca="1" ref="E153" ca="1">IFERROR(IF(C153="","",INDIRECT($D$2&amp;"!F"&amp;T153)),IF(C153="","",INDIRECT("'"&amp;$D$2&amp;"'"&amp;"!F"&amp;T153)))</f>
        <v>Included</v>
      </c>
      <c r="F153" t="str" cm="1">
        <f t="array" aca="1" ref="F153" ca="1">IFERROR(IF(C153="","",INDIRECT($D$2&amp;"!ak"&amp;T153)),IF(C153="","",INDIRECT("'"&amp;$D$2&amp;"'"&amp;"!ak"&amp;T153)))</f>
        <v/>
      </c>
      <c r="G153" cm="1">
        <f t="array" aca="1" ref="G153" ca="1">IFERROR(INDIRECT($D$2&amp;"!h"&amp;T153),INDIRECT("'"&amp;$D$2&amp;"'"&amp;"!h"&amp;T153))</f>
        <v>0</v>
      </c>
      <c r="H153" s="125" t="str" cm="1">
        <f t="array" aca="1" ref="H153" ca="1">IFERROR(INDIRECT($D$2&amp;"!i"&amp;T153),INDIRECT("'"&amp;$D$2&amp;"'"&amp;"!i"&amp;T153))</f>
        <v/>
      </c>
      <c r="I153" s="113" cm="1">
        <f t="array" aca="1" ref="I153" ca="1">IFERROR(IF($C153="","",INDIRECT($D$2&amp;"!j"&amp;$T153)+INDIRECT($D$2&amp;"!n"&amp;$T153)),IF($C153="","",INDIRECT("'"&amp;$D$2&amp;"'"&amp;"!j"&amp;$T153)+INDIRECT("'"&amp;$D$2&amp;"'"&amp;"!n"&amp;$T153)))</f>
        <v>4000</v>
      </c>
      <c r="J153" s="113">
        <f t="shared" ca="1" si="6"/>
        <v>-4000</v>
      </c>
      <c r="K153" s="113" cm="1">
        <f t="array" aca="1" ref="K153" ca="1">IFERROR(IF($C153="","",INDIRECT($D$2&amp;"!l"&amp;$T153)+INDIRECT($D$2&amp;"!p"&amp;$T153)),IF($C153="","",INDIRECT("'"&amp;$D$2&amp;"'"&amp;"!l"&amp;$T153)+INDIRECT("'"&amp;$D$2&amp;"'"&amp;"!p"&amp;$T153)))</f>
        <v>0</v>
      </c>
      <c r="M153" s="113" cm="1">
        <f t="array" aca="1" ref="M153" ca="1">IFERROR(IF($C153="","",INDIRECT($D$2&amp;"!r"&amp;T153)),IF($C153="","",INDIRECT("'"&amp;$D$2&amp;"'"&amp;"!r"&amp;T153)))</f>
        <v>0</v>
      </c>
      <c r="N153" s="113">
        <f t="shared" ca="1" si="7"/>
        <v>0</v>
      </c>
      <c r="O153" s="113" cm="1">
        <f t="array" aca="1" ref="O153" ca="1">IFERROR(IF($C153="","",INDIRECT($D$2&amp;"!t"&amp;T153)),IF($C153="","",INDIRECT("'"&amp;$D$2&amp;"'"&amp;"!t"&amp;T153)))</f>
        <v>0</v>
      </c>
      <c r="Q153" s="113" cm="1">
        <f t="array" aca="1" ref="Q153" ca="1">IFERROR(IF($C153="","",INDIRECT($D$2&amp;"!v"&amp;T153)),IF($C153="","",INDIRECT("'"&amp;$D$2&amp;"'"&amp;"!v"&amp;T153)))</f>
        <v>0</v>
      </c>
      <c r="R153" s="113">
        <f t="shared" ca="1" si="8"/>
        <v>0</v>
      </c>
      <c r="S153" s="113" cm="1">
        <f t="array" aca="1" ref="S153" ca="1">IFERROR(IF($C153="","",INDIRECT($D$2&amp;"!x"&amp;T153)),IF($C153="","",INDIRECT("'"&amp;$D$2&amp;"'"&amp;"!x"&amp;T153)))</f>
        <v>0</v>
      </c>
      <c r="T153" s="35">
        <v>141</v>
      </c>
      <c r="U153" s="113"/>
      <c r="V153" s="35">
        <v>141</v>
      </c>
    </row>
    <row r="154" spans="3:22" x14ac:dyDescent="0.25">
      <c r="C154" t="str" cm="1">
        <f t="array" aca="1" ref="C154" ca="1">IFERROR(IF(INDIRECT($D$2&amp;"!B"&amp;T154)="","",INDIRECT("'"&amp;$D$2&amp;"'"&amp;"!B"&amp;T154)),IF(INDIRECT("'"&amp;$D$2&amp;"'"&amp;"!B"&amp;T154)="","",INDIRECT("'"&amp;$D$2&amp;"'"&amp;"!B"&amp;T154)))</f>
        <v>Debit Adjustment Dispute JHA Debit Processing</v>
      </c>
      <c r="D154" t="str" cm="1">
        <f t="array" aca="1" ref="D154" ca="1">IFERROR(_xlfn.IFS(C154="","",C154&lt;&gt;"",INDEX(SF_Output!I:I,MATCH(C154,SF_Output!M:M,0))),IFERROR(INDEX(INDIRECT($D$2&amp;"!G:G"),MATCH(C154,INDIRECT($D$2&amp;"!B:B"),0)),INDEX(INDIRECT("'"&amp;$D$2&amp;"'!G:G"),MATCH(C154,INDIRECT("'"&amp;$D$2&amp;"'!B:B"),0))))</f>
        <v>Payments</v>
      </c>
      <c r="E154" t="str" cm="1">
        <f t="array" aca="1" ref="E154" ca="1">IFERROR(IF(C154="","",INDIRECT($D$2&amp;"!F"&amp;T154)),IF(C154="","",INDIRECT("'"&amp;$D$2&amp;"'"&amp;"!F"&amp;T154)))</f>
        <v>Included</v>
      </c>
      <c r="F154" t="str" cm="1">
        <f t="array" aca="1" ref="F154" ca="1">IFERROR(IF(C154="","",INDIRECT($D$2&amp;"!ak"&amp;T154)),IF(C154="","",INDIRECT("'"&amp;$D$2&amp;"'"&amp;"!ak"&amp;T154)))</f>
        <v/>
      </c>
      <c r="G154" cm="1">
        <f t="array" aca="1" ref="G154" ca="1">IFERROR(INDIRECT($D$2&amp;"!h"&amp;T154),INDIRECT("'"&amp;$D$2&amp;"'"&amp;"!h"&amp;T154))</f>
        <v>0</v>
      </c>
      <c r="H154" s="125" t="str" cm="1">
        <f t="array" aca="1" ref="H154" ca="1">IFERROR(INDIRECT($D$2&amp;"!i"&amp;T154),INDIRECT("'"&amp;$D$2&amp;"'"&amp;"!i"&amp;T154))</f>
        <v/>
      </c>
      <c r="I154" s="113" cm="1">
        <f t="array" aca="1" ref="I154" ca="1">IFERROR(IF($C154="","",INDIRECT($D$2&amp;"!j"&amp;$T154)+INDIRECT($D$2&amp;"!n"&amp;$T154)),IF($C154="","",INDIRECT("'"&amp;$D$2&amp;"'"&amp;"!j"&amp;$T154)+INDIRECT("'"&amp;$D$2&amp;"'"&amp;"!n"&amp;$T154)))</f>
        <v>0</v>
      </c>
      <c r="J154" s="113">
        <f t="shared" ca="1" si="6"/>
        <v>0</v>
      </c>
      <c r="K154" s="113" cm="1">
        <f t="array" aca="1" ref="K154" ca="1">IFERROR(IF($C154="","",INDIRECT($D$2&amp;"!l"&amp;$T154)+INDIRECT($D$2&amp;"!p"&amp;$T154)),IF($C154="","",INDIRECT("'"&amp;$D$2&amp;"'"&amp;"!l"&amp;$T154)+INDIRECT("'"&amp;$D$2&amp;"'"&amp;"!p"&amp;$T154)))</f>
        <v>0</v>
      </c>
      <c r="M154" s="113" cm="1">
        <f t="array" aca="1" ref="M154" ca="1">IFERROR(IF($C154="","",INDIRECT($D$2&amp;"!r"&amp;T154)),IF($C154="","",INDIRECT("'"&amp;$D$2&amp;"'"&amp;"!r"&amp;T154)))</f>
        <v>0</v>
      </c>
      <c r="N154" s="113">
        <f t="shared" ca="1" si="7"/>
        <v>0</v>
      </c>
      <c r="O154" s="113" cm="1">
        <f t="array" aca="1" ref="O154" ca="1">IFERROR(IF($C154="","",INDIRECT($D$2&amp;"!t"&amp;T154)),IF($C154="","",INDIRECT("'"&amp;$D$2&amp;"'"&amp;"!t"&amp;T154)))</f>
        <v>0</v>
      </c>
      <c r="Q154" s="113" cm="1">
        <f t="array" aca="1" ref="Q154" ca="1">IFERROR(IF($C154="","",INDIRECT($D$2&amp;"!v"&amp;T154)),IF($C154="","",INDIRECT("'"&amp;$D$2&amp;"'"&amp;"!v"&amp;T154)))</f>
        <v>0</v>
      </c>
      <c r="R154" s="113">
        <f t="shared" ca="1" si="8"/>
        <v>0</v>
      </c>
      <c r="S154" s="113" cm="1">
        <f t="array" aca="1" ref="S154" ca="1">IFERROR(IF($C154="","",INDIRECT($D$2&amp;"!x"&amp;T154)),IF($C154="","",INDIRECT("'"&amp;$D$2&amp;"'"&amp;"!x"&amp;T154)))</f>
        <v>0</v>
      </c>
      <c r="T154" s="35">
        <v>142</v>
      </c>
      <c r="U154" s="113"/>
      <c r="V154" s="35">
        <v>142</v>
      </c>
    </row>
    <row r="155" spans="3:22" x14ac:dyDescent="0.25">
      <c r="C155" t="str" cm="1">
        <f t="array" aca="1" ref="C155" ca="1">IFERROR(IF(INDIRECT($D$2&amp;"!B"&amp;T155)="","",INDIRECT("'"&amp;$D$2&amp;"'"&amp;"!B"&amp;T155)),IF(INDIRECT("'"&amp;$D$2&amp;"'"&amp;"!B"&amp;T155)="","",INDIRECT("'"&amp;$D$2&amp;"'"&amp;"!B"&amp;T155)))</f>
        <v>Network Fraud Reporting JHA Debit Processing</v>
      </c>
      <c r="D155" t="str" cm="1">
        <f t="array" aca="1" ref="D155" ca="1">IFERROR(_xlfn.IFS(C155="","",C155&lt;&gt;"",INDEX(SF_Output!I:I,MATCH(C155,SF_Output!M:M,0))),IFERROR(INDEX(INDIRECT($D$2&amp;"!G:G"),MATCH(C155,INDIRECT($D$2&amp;"!B:B"),0)),INDEX(INDIRECT("'"&amp;$D$2&amp;"'!G:G"),MATCH(C155,INDIRECT("'"&amp;$D$2&amp;"'!B:B"),0))))</f>
        <v>Payments</v>
      </c>
      <c r="E155" t="str" cm="1">
        <f t="array" aca="1" ref="E155" ca="1">IFERROR(IF(C155="","",INDIRECT($D$2&amp;"!F"&amp;T155)),IF(C155="","",INDIRECT("'"&amp;$D$2&amp;"'"&amp;"!F"&amp;T155)))</f>
        <v>Included</v>
      </c>
      <c r="F155" t="str" cm="1">
        <f t="array" aca="1" ref="F155" ca="1">IFERROR(IF(C155="","",INDIRECT($D$2&amp;"!ak"&amp;T155)),IF(C155="","",INDIRECT("'"&amp;$D$2&amp;"'"&amp;"!ak"&amp;T155)))</f>
        <v/>
      </c>
      <c r="G155" cm="1">
        <f t="array" aca="1" ref="G155" ca="1">IFERROR(INDIRECT($D$2&amp;"!h"&amp;T155),INDIRECT("'"&amp;$D$2&amp;"'"&amp;"!h"&amp;T155))</f>
        <v>0</v>
      </c>
      <c r="H155" s="125" t="str" cm="1">
        <f t="array" aca="1" ref="H155" ca="1">IFERROR(INDIRECT($D$2&amp;"!i"&amp;T155),INDIRECT("'"&amp;$D$2&amp;"'"&amp;"!i"&amp;T155))</f>
        <v/>
      </c>
      <c r="I155" s="113" cm="1">
        <f t="array" aca="1" ref="I155" ca="1">IFERROR(IF($C155="","",INDIRECT($D$2&amp;"!j"&amp;$T155)+INDIRECT($D$2&amp;"!n"&amp;$T155)),IF($C155="","",INDIRECT("'"&amp;$D$2&amp;"'"&amp;"!j"&amp;$T155)+INDIRECT("'"&amp;$D$2&amp;"'"&amp;"!n"&amp;$T155)))</f>
        <v>0</v>
      </c>
      <c r="J155" s="113">
        <f t="shared" ref="J155:J218" ca="1" si="9">IF(I155="","",K155-I155)</f>
        <v>0</v>
      </c>
      <c r="K155" s="113" cm="1">
        <f t="array" aca="1" ref="K155" ca="1">IFERROR(IF($C155="","",INDIRECT($D$2&amp;"!l"&amp;$T155)+INDIRECT($D$2&amp;"!p"&amp;$T155)),IF($C155="","",INDIRECT("'"&amp;$D$2&amp;"'"&amp;"!l"&amp;$T155)+INDIRECT("'"&amp;$D$2&amp;"'"&amp;"!p"&amp;$T155)))</f>
        <v>0</v>
      </c>
      <c r="M155" s="113" cm="1">
        <f t="array" aca="1" ref="M155" ca="1">IFERROR(IF($C155="","",INDIRECT($D$2&amp;"!r"&amp;T155)),IF($C155="","",INDIRECT("'"&amp;$D$2&amp;"'"&amp;"!r"&amp;T155)))</f>
        <v>0</v>
      </c>
      <c r="N155" s="113">
        <f t="shared" ref="N155:N218" ca="1" si="10">IF(M155="","",O155-M155)</f>
        <v>0</v>
      </c>
      <c r="O155" s="113" cm="1">
        <f t="array" aca="1" ref="O155" ca="1">IFERROR(IF($C155="","",INDIRECT($D$2&amp;"!t"&amp;T155)),IF($C155="","",INDIRECT("'"&amp;$D$2&amp;"'"&amp;"!t"&amp;T155)))</f>
        <v>0</v>
      </c>
      <c r="Q155" s="113" cm="1">
        <f t="array" aca="1" ref="Q155" ca="1">IFERROR(IF($C155="","",INDIRECT($D$2&amp;"!v"&amp;T155)),IF($C155="","",INDIRECT("'"&amp;$D$2&amp;"'"&amp;"!v"&amp;T155)))</f>
        <v>0</v>
      </c>
      <c r="R155" s="113">
        <f t="shared" ref="R155:R218" ca="1" si="11">IF(Q155="","",S155-Q155)</f>
        <v>0</v>
      </c>
      <c r="S155" s="113" cm="1">
        <f t="array" aca="1" ref="S155" ca="1">IFERROR(IF($C155="","",INDIRECT($D$2&amp;"!x"&amp;T155)),IF($C155="","",INDIRECT("'"&amp;$D$2&amp;"'"&amp;"!x"&amp;T155)))</f>
        <v>0</v>
      </c>
      <c r="T155" s="35">
        <v>143</v>
      </c>
      <c r="U155" s="113"/>
      <c r="V155" s="35">
        <v>143</v>
      </c>
    </row>
    <row r="156" spans="3:22" x14ac:dyDescent="0.25">
      <c r="C156" t="str" cm="1">
        <f t="array" aca="1" ref="C156" ca="1">IFERROR(IF(INDIRECT($D$2&amp;"!B"&amp;T156)="","",INDIRECT("'"&amp;$D$2&amp;"'"&amp;"!B"&amp;T156)),IF(INDIRECT("'"&amp;$D$2&amp;"'"&amp;"!B"&amp;T156)="","",INDIRECT("'"&amp;$D$2&amp;"'"&amp;"!B"&amp;T156)))</f>
        <v>MyCardRules JHA Debit Processing</v>
      </c>
      <c r="D156" t="str" cm="1">
        <f t="array" aca="1" ref="D156" ca="1">IFERROR(_xlfn.IFS(C156="","",C156&lt;&gt;"",INDEX(SF_Output!I:I,MATCH(C156,SF_Output!M:M,0))),IFERROR(INDEX(INDIRECT($D$2&amp;"!G:G"),MATCH(C156,INDIRECT($D$2&amp;"!B:B"),0)),INDEX(INDIRECT("'"&amp;$D$2&amp;"'!G:G"),MATCH(C156,INDIRECT("'"&amp;$D$2&amp;"'!B:B"),0))))</f>
        <v>Payments</v>
      </c>
      <c r="E156" t="str" cm="1">
        <f t="array" aca="1" ref="E156" ca="1">IFERROR(IF(C156="","",INDIRECT($D$2&amp;"!F"&amp;T156)),IF(C156="","",INDIRECT("'"&amp;$D$2&amp;"'"&amp;"!F"&amp;T156)))</f>
        <v>Included</v>
      </c>
      <c r="F156" t="str" cm="1">
        <f t="array" aca="1" ref="F156" ca="1">IFERROR(IF(C156="","",INDIRECT($D$2&amp;"!ak"&amp;T156)),IF(C156="","",INDIRECT("'"&amp;$D$2&amp;"'"&amp;"!ak"&amp;T156)))</f>
        <v/>
      </c>
      <c r="G156" cm="1">
        <f t="array" aca="1" ref="G156" ca="1">IFERROR(INDIRECT($D$2&amp;"!h"&amp;T156),INDIRECT("'"&amp;$D$2&amp;"'"&amp;"!h"&amp;T156))</f>
        <v>0</v>
      </c>
      <c r="H156" s="125" t="str" cm="1">
        <f t="array" aca="1" ref="H156" ca="1">IFERROR(INDIRECT($D$2&amp;"!i"&amp;T156),INDIRECT("'"&amp;$D$2&amp;"'"&amp;"!i"&amp;T156))</f>
        <v/>
      </c>
      <c r="I156" s="113" cm="1">
        <f t="array" aca="1" ref="I156" ca="1">IFERROR(IF($C156="","",INDIRECT($D$2&amp;"!j"&amp;$T156)+INDIRECT($D$2&amp;"!n"&amp;$T156)),IF($C156="","",INDIRECT("'"&amp;$D$2&amp;"'"&amp;"!j"&amp;$T156)+INDIRECT("'"&amp;$D$2&amp;"'"&amp;"!n"&amp;$T156)))</f>
        <v>1500</v>
      </c>
      <c r="J156" s="113">
        <f t="shared" ca="1" si="9"/>
        <v>-1500</v>
      </c>
      <c r="K156" s="113" cm="1">
        <f t="array" aca="1" ref="K156" ca="1">IFERROR(IF($C156="","",INDIRECT($D$2&amp;"!l"&amp;$T156)+INDIRECT($D$2&amp;"!p"&amp;$T156)),IF($C156="","",INDIRECT("'"&amp;$D$2&amp;"'"&amp;"!l"&amp;$T156)+INDIRECT("'"&amp;$D$2&amp;"'"&amp;"!p"&amp;$T156)))</f>
        <v>0</v>
      </c>
      <c r="M156" s="113" cm="1">
        <f t="array" aca="1" ref="M156" ca="1">IFERROR(IF($C156="","",INDIRECT($D$2&amp;"!r"&amp;T156)),IF($C156="","",INDIRECT("'"&amp;$D$2&amp;"'"&amp;"!r"&amp;T156)))</f>
        <v>0</v>
      </c>
      <c r="N156" s="113">
        <f t="shared" ca="1" si="10"/>
        <v>0</v>
      </c>
      <c r="O156" s="113" cm="1">
        <f t="array" aca="1" ref="O156" ca="1">IFERROR(IF($C156="","",INDIRECT($D$2&amp;"!t"&amp;T156)),IF($C156="","",INDIRECT("'"&amp;$D$2&amp;"'"&amp;"!t"&amp;T156)))</f>
        <v>0</v>
      </c>
      <c r="Q156" s="113" cm="1">
        <f t="array" aca="1" ref="Q156" ca="1">IFERROR(IF($C156="","",INDIRECT($D$2&amp;"!v"&amp;T156)),IF($C156="","",INDIRECT("'"&amp;$D$2&amp;"'"&amp;"!v"&amp;T156)))</f>
        <v>250</v>
      </c>
      <c r="R156" s="113">
        <f t="shared" ca="1" si="11"/>
        <v>0</v>
      </c>
      <c r="S156" s="113" cm="1">
        <f t="array" aca="1" ref="S156" ca="1">IFERROR(IF($C156="","",INDIRECT($D$2&amp;"!x"&amp;T156)),IF($C156="","",INDIRECT("'"&amp;$D$2&amp;"'"&amp;"!x"&amp;T156)))</f>
        <v>250</v>
      </c>
      <c r="T156" s="35">
        <v>144</v>
      </c>
      <c r="U156" s="113"/>
      <c r="V156" s="35">
        <v>144</v>
      </c>
    </row>
    <row r="157" spans="3:22" x14ac:dyDescent="0.25">
      <c r="C157" t="str" cm="1">
        <f t="array" aca="1" ref="C157" ca="1">IFERROR(IF(INDIRECT($D$2&amp;"!B"&amp;T157)="","",INDIRECT("'"&amp;$D$2&amp;"'"&amp;"!B"&amp;T157)),IF(INDIRECT("'"&amp;$D$2&amp;"'"&amp;"!B"&amp;T157)="","",INDIRECT("'"&amp;$D$2&amp;"'"&amp;"!B"&amp;T157)))</f>
        <v>Payrailz Bundle</v>
      </c>
      <c r="D157" t="str" cm="1">
        <f t="array" aca="1" ref="D157" ca="1">IFERROR(_xlfn.IFS(C157="","",C157&lt;&gt;"",INDEX(SF_Output!I:I,MATCH(C157,SF_Output!M:M,0))),IFERROR(INDEX(INDIRECT($D$2&amp;"!G:G"),MATCH(C157,INDIRECT($D$2&amp;"!B:B"),0)),INDEX(INDIRECT("'"&amp;$D$2&amp;"'!G:G"),MATCH(C157,INDIRECT("'"&amp;$D$2&amp;"'!B:B"),0))))</f>
        <v>Payments</v>
      </c>
      <c r="E157" t="str" cm="1">
        <f t="array" aca="1" ref="E157" ca="1">IFERROR(IF(C157="","",INDIRECT($D$2&amp;"!F"&amp;T157)),IF(C157="","",INDIRECT("'"&amp;$D$2&amp;"'"&amp;"!F"&amp;T157)))</f>
        <v>Included</v>
      </c>
      <c r="F157" t="str" cm="1">
        <f t="array" aca="1" ref="F157" ca="1">IFERROR(IF(C157="","",INDIRECT($D$2&amp;"!ak"&amp;T157)),IF(C157="","",INDIRECT("'"&amp;$D$2&amp;"'"&amp;"!ak"&amp;T157)))</f>
        <v/>
      </c>
      <c r="G157" cm="1">
        <f t="array" aca="1" ref="G157" ca="1">IFERROR(INDIRECT($D$2&amp;"!h"&amp;T157),INDIRECT("'"&amp;$D$2&amp;"'"&amp;"!h"&amp;T157))</f>
        <v>1</v>
      </c>
      <c r="H157" s="125" t="str" cm="1">
        <f t="array" aca="1" ref="H157" ca="1">IFERROR(INDIRECT($D$2&amp;"!i"&amp;T157),INDIRECT("'"&amp;$D$2&amp;"'"&amp;"!i"&amp;T157))</f>
        <v/>
      </c>
      <c r="I157" s="113" cm="1">
        <f t="array" aca="1" ref="I157" ca="1">IFERROR(IF($C157="","",INDIRECT($D$2&amp;"!j"&amp;$T157)+INDIRECT($D$2&amp;"!n"&amp;$T157)),IF($C157="","",INDIRECT("'"&amp;$D$2&amp;"'"&amp;"!j"&amp;$T157)+INDIRECT("'"&amp;$D$2&amp;"'"&amp;"!n"&amp;$T157)))</f>
        <v>5000</v>
      </c>
      <c r="J157" s="113">
        <f t="shared" ca="1" si="9"/>
        <v>-5000</v>
      </c>
      <c r="K157" s="113" cm="1">
        <f t="array" aca="1" ref="K157" ca="1">IFERROR(IF($C157="","",INDIRECT($D$2&amp;"!l"&amp;$T157)+INDIRECT($D$2&amp;"!p"&amp;$T157)),IF($C157="","",INDIRECT("'"&amp;$D$2&amp;"'"&amp;"!l"&amp;$T157)+INDIRECT("'"&amp;$D$2&amp;"'"&amp;"!p"&amp;$T157)))</f>
        <v>0</v>
      </c>
      <c r="M157" s="113" cm="1">
        <f t="array" aca="1" ref="M157" ca="1">IFERROR(IF($C157="","",INDIRECT($D$2&amp;"!r"&amp;T157)),IF($C157="","",INDIRECT("'"&amp;$D$2&amp;"'"&amp;"!r"&amp;T157)))</f>
        <v>0</v>
      </c>
      <c r="N157" s="113">
        <f t="shared" ca="1" si="10"/>
        <v>0</v>
      </c>
      <c r="O157" s="113" cm="1">
        <f t="array" aca="1" ref="O157" ca="1">IFERROR(IF($C157="","",INDIRECT($D$2&amp;"!t"&amp;T157)),IF($C157="","",INDIRECT("'"&amp;$D$2&amp;"'"&amp;"!t"&amp;T157)))</f>
        <v>0</v>
      </c>
      <c r="Q157" s="113" cm="1">
        <f t="array" aca="1" ref="Q157" ca="1">IFERROR(IF($C157="","",INDIRECT($D$2&amp;"!v"&amp;T157)),IF($C157="","",INDIRECT("'"&amp;$D$2&amp;"'"&amp;"!v"&amp;T157)))</f>
        <v>350</v>
      </c>
      <c r="R157" s="113">
        <f t="shared" ca="1" si="11"/>
        <v>0</v>
      </c>
      <c r="S157" s="113" cm="1">
        <f t="array" aca="1" ref="S157" ca="1">IFERROR(IF($C157="","",INDIRECT($D$2&amp;"!x"&amp;T157)),IF($C157="","",INDIRECT("'"&amp;$D$2&amp;"'"&amp;"!x"&amp;T157)))</f>
        <v>350</v>
      </c>
      <c r="T157" s="35">
        <v>145</v>
      </c>
      <c r="U157" s="113"/>
      <c r="V157" s="35">
        <v>145</v>
      </c>
    </row>
    <row r="158" spans="3:22" x14ac:dyDescent="0.25">
      <c r="C158" t="str" cm="1">
        <f t="array" aca="1" ref="C158" ca="1">IFERROR(IF(INDIRECT($D$2&amp;"!B"&amp;T158)="","",INDIRECT("'"&amp;$D$2&amp;"'"&amp;"!B"&amp;T158)),IF(INDIRECT("'"&amp;$D$2&amp;"'"&amp;"!B"&amp;T158)="","",INDIRECT("'"&amp;$D$2&amp;"'"&amp;"!B"&amp;T158)))</f>
        <v>Payrailz Bundle Transactions</v>
      </c>
      <c r="D158" t="str" cm="1">
        <f t="array" aca="1" ref="D158" ca="1">IFERROR(_xlfn.IFS(C158="","",C158&lt;&gt;"",INDEX(SF_Output!I:I,MATCH(C158,SF_Output!M:M,0))),IFERROR(INDEX(INDIRECT($D$2&amp;"!G:G"),MATCH(C158,INDIRECT($D$2&amp;"!B:B"),0)),INDEX(INDIRECT("'"&amp;$D$2&amp;"'!G:G"),MATCH(C158,INDIRECT("'"&amp;$D$2&amp;"'!B:B"),0))))</f>
        <v>Payments</v>
      </c>
      <c r="E158" t="str" cm="1">
        <f t="array" aca="1" ref="E158" ca="1">IFERROR(IF(C158="","",INDIRECT($D$2&amp;"!F"&amp;T158)),IF(C158="","",INDIRECT("'"&amp;$D$2&amp;"'"&amp;"!F"&amp;T158)))</f>
        <v>Included</v>
      </c>
      <c r="F158" t="str" cm="1">
        <f t="array" aca="1" ref="F158" ca="1">IFERROR(IF(C158="","",INDIRECT($D$2&amp;"!ak"&amp;T158)),IF(C158="","",INDIRECT("'"&amp;$D$2&amp;"'"&amp;"!ak"&amp;T158)))</f>
        <v/>
      </c>
      <c r="G158" cm="1">
        <f t="array" aca="1" ref="G158" ca="1">IFERROR(INDIRECT($D$2&amp;"!h"&amp;T158),INDIRECT("'"&amp;$D$2&amp;"'"&amp;"!h"&amp;T158))</f>
        <v>500</v>
      </c>
      <c r="H158" s="125" cm="1">
        <f t="array" aca="1" ref="H158" ca="1">IFERROR(INDIRECT($D$2&amp;"!i"&amp;T158),INDIRECT("'"&amp;$D$2&amp;"'"&amp;"!i"&amp;T158))</f>
        <v>0.62</v>
      </c>
      <c r="I158" s="113" cm="1">
        <f t="array" aca="1" ref="I158" ca="1">IFERROR(IF($C158="","",INDIRECT($D$2&amp;"!j"&amp;$T158)+INDIRECT($D$2&amp;"!n"&amp;$T158)),IF($C158="","",INDIRECT("'"&amp;$D$2&amp;"'"&amp;"!j"&amp;$T158)+INDIRECT("'"&amp;$D$2&amp;"'"&amp;"!n"&amp;$T158)))</f>
        <v>0</v>
      </c>
      <c r="J158" s="113">
        <f t="shared" ca="1" si="9"/>
        <v>0</v>
      </c>
      <c r="K158" s="113" cm="1">
        <f t="array" aca="1" ref="K158" ca="1">IFERROR(IF($C158="","",INDIRECT($D$2&amp;"!l"&amp;$T158)+INDIRECT($D$2&amp;"!p"&amp;$T158)),IF($C158="","",INDIRECT("'"&amp;$D$2&amp;"'"&amp;"!l"&amp;$T158)+INDIRECT("'"&amp;$D$2&amp;"'"&amp;"!p"&amp;$T158)))</f>
        <v>0</v>
      </c>
      <c r="M158" s="113" cm="1">
        <f t="array" aca="1" ref="M158" ca="1">IFERROR(IF($C158="","",INDIRECT($D$2&amp;"!r"&amp;T158)),IF($C158="","",INDIRECT("'"&amp;$D$2&amp;"'"&amp;"!r"&amp;T158)))</f>
        <v>0</v>
      </c>
      <c r="N158" s="113">
        <f t="shared" ca="1" si="10"/>
        <v>0</v>
      </c>
      <c r="O158" s="113" cm="1">
        <f t="array" aca="1" ref="O158" ca="1">IFERROR(IF($C158="","",INDIRECT($D$2&amp;"!t"&amp;T158)),IF($C158="","",INDIRECT("'"&amp;$D$2&amp;"'"&amp;"!t"&amp;T158)))</f>
        <v>0</v>
      </c>
      <c r="Q158" s="113" cm="1">
        <f t="array" aca="1" ref="Q158" ca="1">IFERROR(IF($C158="","",INDIRECT($D$2&amp;"!v"&amp;T158)),IF($C158="","",INDIRECT("'"&amp;$D$2&amp;"'"&amp;"!v"&amp;T158)))</f>
        <v>310</v>
      </c>
      <c r="R158" s="113">
        <f t="shared" ca="1" si="11"/>
        <v>0</v>
      </c>
      <c r="S158" s="113" cm="1">
        <f t="array" aca="1" ref="S158" ca="1">IFERROR(IF($C158="","",INDIRECT($D$2&amp;"!x"&amp;T158)),IF($C158="","",INDIRECT("'"&amp;$D$2&amp;"'"&amp;"!x"&amp;T158)))</f>
        <v>310</v>
      </c>
      <c r="T158" s="35">
        <v>146</v>
      </c>
      <c r="U158" s="113"/>
      <c r="V158" s="35">
        <v>146</v>
      </c>
    </row>
    <row r="159" spans="3:22" x14ac:dyDescent="0.25">
      <c r="C159" t="str" cm="1">
        <f t="array" aca="1" ref="C159" ca="1">IFERROR(IF(INDIRECT($D$2&amp;"!B"&amp;T159)="","",INDIRECT("'"&amp;$D$2&amp;"'"&amp;"!B"&amp;T159)),IF(INDIRECT("'"&amp;$D$2&amp;"'"&amp;"!B"&amp;T159)="","",INDIRECT("'"&amp;$D$2&amp;"'"&amp;"!B"&amp;T159)))</f>
        <v>Payrailz Fraud Monitor</v>
      </c>
      <c r="D159" t="str" cm="1">
        <f t="array" aca="1" ref="D159" ca="1">IFERROR(_xlfn.IFS(C159="","",C159&lt;&gt;"",INDEX(SF_Output!I:I,MATCH(C159,SF_Output!M:M,0))),IFERROR(INDEX(INDIRECT($D$2&amp;"!G:G"),MATCH(C159,INDIRECT($D$2&amp;"!B:B"),0)),INDEX(INDIRECT("'"&amp;$D$2&amp;"'!G:G"),MATCH(C159,INDIRECT("'"&amp;$D$2&amp;"'!B:B"),0))))</f>
        <v>Payments</v>
      </c>
      <c r="E159" t="str" cm="1">
        <f t="array" aca="1" ref="E159" ca="1">IFERROR(IF(C159="","",INDIRECT($D$2&amp;"!F"&amp;T159)),IF(C159="","",INDIRECT("'"&amp;$D$2&amp;"'"&amp;"!F"&amp;T159)))</f>
        <v>Included</v>
      </c>
      <c r="F159" t="str" cm="1">
        <f t="array" aca="1" ref="F159" ca="1">IFERROR(IF(C159="","",INDIRECT($D$2&amp;"!ak"&amp;T159)),IF(C159="","",INDIRECT("'"&amp;$D$2&amp;"'"&amp;"!ak"&amp;T159)))</f>
        <v/>
      </c>
      <c r="G159" cm="1">
        <f t="array" aca="1" ref="G159" ca="1">IFERROR(INDIRECT($D$2&amp;"!h"&amp;T159),INDIRECT("'"&amp;$D$2&amp;"'"&amp;"!h"&amp;T159))</f>
        <v>1</v>
      </c>
      <c r="H159" s="125" t="str" cm="1">
        <f t="array" aca="1" ref="H159" ca="1">IFERROR(INDIRECT($D$2&amp;"!i"&amp;T159),INDIRECT("'"&amp;$D$2&amp;"'"&amp;"!i"&amp;T159))</f>
        <v/>
      </c>
      <c r="I159" s="113" cm="1">
        <f t="array" aca="1" ref="I159" ca="1">IFERROR(IF($C159="","",INDIRECT($D$2&amp;"!j"&amp;$T159)+INDIRECT($D$2&amp;"!n"&amp;$T159)),IF($C159="","",INDIRECT("'"&amp;$D$2&amp;"'"&amp;"!j"&amp;$T159)+INDIRECT("'"&amp;$D$2&amp;"'"&amp;"!n"&amp;$T159)))</f>
        <v>3000</v>
      </c>
      <c r="J159" s="113">
        <f t="shared" ca="1" si="9"/>
        <v>-3000</v>
      </c>
      <c r="K159" s="113" cm="1">
        <f t="array" aca="1" ref="K159" ca="1">IFERROR(IF($C159="","",INDIRECT($D$2&amp;"!l"&amp;$T159)+INDIRECT($D$2&amp;"!p"&amp;$T159)),IF($C159="","",INDIRECT("'"&amp;$D$2&amp;"'"&amp;"!l"&amp;$T159)+INDIRECT("'"&amp;$D$2&amp;"'"&amp;"!p"&amp;$T159)))</f>
        <v>0</v>
      </c>
      <c r="M159" s="113" cm="1">
        <f t="array" aca="1" ref="M159" ca="1">IFERROR(IF($C159="","",INDIRECT($D$2&amp;"!r"&amp;T159)),IF($C159="","",INDIRECT("'"&amp;$D$2&amp;"'"&amp;"!r"&amp;T159)))</f>
        <v>0</v>
      </c>
      <c r="N159" s="113">
        <f t="shared" ca="1" si="10"/>
        <v>0</v>
      </c>
      <c r="O159" s="113" cm="1">
        <f t="array" aca="1" ref="O159" ca="1">IFERROR(IF($C159="","",INDIRECT($D$2&amp;"!t"&amp;T159)),IF($C159="","",INDIRECT("'"&amp;$D$2&amp;"'"&amp;"!t"&amp;T159)))</f>
        <v>0</v>
      </c>
      <c r="Q159" s="113" cm="1">
        <f t="array" aca="1" ref="Q159" ca="1">IFERROR(IF($C159="","",INDIRECT($D$2&amp;"!v"&amp;T159)),IF($C159="","",INDIRECT("'"&amp;$D$2&amp;"'"&amp;"!v"&amp;T159)))</f>
        <v>750</v>
      </c>
      <c r="R159" s="113">
        <f t="shared" ca="1" si="11"/>
        <v>-750</v>
      </c>
      <c r="S159" s="113" cm="1">
        <f t="array" aca="1" ref="S159" ca="1">IFERROR(IF($C159="","",INDIRECT($D$2&amp;"!x"&amp;T159)),IF($C159="","",INDIRECT("'"&amp;$D$2&amp;"'"&amp;"!x"&amp;T159)))</f>
        <v>0</v>
      </c>
      <c r="T159" s="35">
        <v>147</v>
      </c>
      <c r="U159" s="113"/>
      <c r="V159" s="35">
        <v>147</v>
      </c>
    </row>
    <row r="160" spans="3:22" x14ac:dyDescent="0.25">
      <c r="C160" t="str" cm="1">
        <f t="array" aca="1" ref="C160" ca="1">IFERROR(IF(INDIRECT($D$2&amp;"!B"&amp;T160)="","",INDIRECT("'"&amp;$D$2&amp;"'"&amp;"!B"&amp;T160)),IF(INDIRECT("'"&amp;$D$2&amp;"'"&amp;"!B"&amp;T160)="","",INDIRECT("'"&amp;$D$2&amp;"'"&amp;"!B"&amp;T160)))</f>
        <v>RemitPlus Express - Financial Institution</v>
      </c>
      <c r="D160" t="str" cm="1">
        <f t="array" aca="1" ref="D160" ca="1">IFERROR(_xlfn.IFS(C160="","",C160&lt;&gt;"",INDEX(SF_Output!I:I,MATCH(C160,SF_Output!M:M,0))),IFERROR(INDEX(INDIRECT($D$2&amp;"!G:G"),MATCH(C160,INDIRECT($D$2&amp;"!B:B"),0)),INDEX(INDIRECT("'"&amp;$D$2&amp;"'!G:G"),MATCH(C160,INDIRECT("'"&amp;$D$2&amp;"'!B:B"),0))))</f>
        <v>Payments</v>
      </c>
      <c r="E160" t="str" cm="1">
        <f t="array" aca="1" ref="E160" ca="1">IFERROR(IF(C160="","",INDIRECT($D$2&amp;"!F"&amp;T160)),IF(C160="","",INDIRECT("'"&amp;$D$2&amp;"'"&amp;"!F"&amp;T160)))</f>
        <v>Optional</v>
      </c>
      <c r="F160" t="str" cm="1">
        <f t="array" aca="1" ref="F160" ca="1">IFERROR(IF(C160="","",INDIRECT($D$2&amp;"!ak"&amp;T160)),IF(C160="","",INDIRECT("'"&amp;$D$2&amp;"'"&amp;"!ak"&amp;T160)))</f>
        <v/>
      </c>
      <c r="G160" cm="1">
        <f t="array" aca="1" ref="G160" ca="1">IFERROR(INDIRECT($D$2&amp;"!h"&amp;T160),INDIRECT("'"&amp;$D$2&amp;"'"&amp;"!h"&amp;T160))</f>
        <v>1</v>
      </c>
      <c r="H160" s="125" t="str" cm="1">
        <f t="array" aca="1" ref="H160" ca="1">IFERROR(INDIRECT($D$2&amp;"!i"&amp;T160),INDIRECT("'"&amp;$D$2&amp;"'"&amp;"!i"&amp;T160))</f>
        <v/>
      </c>
      <c r="I160" s="113" cm="1">
        <f t="array" aca="1" ref="I160" ca="1">IFERROR(IF($C160="","",INDIRECT($D$2&amp;"!j"&amp;$T160)+INDIRECT($D$2&amp;"!n"&amp;$T160)),IF($C160="","",INDIRECT("'"&amp;$D$2&amp;"'"&amp;"!j"&amp;$T160)+INDIRECT("'"&amp;$D$2&amp;"'"&amp;"!n"&amp;$T160)))</f>
        <v>3000</v>
      </c>
      <c r="J160" s="113">
        <f t="shared" ca="1" si="9"/>
        <v>0</v>
      </c>
      <c r="K160" s="113" cm="1">
        <f t="array" aca="1" ref="K160" ca="1">IFERROR(IF($C160="","",INDIRECT($D$2&amp;"!l"&amp;$T160)+INDIRECT($D$2&amp;"!p"&amp;$T160)),IF($C160="","",INDIRECT("'"&amp;$D$2&amp;"'"&amp;"!l"&amp;$T160)+INDIRECT("'"&amp;$D$2&amp;"'"&amp;"!p"&amp;$T160)))</f>
        <v>3000</v>
      </c>
      <c r="M160" s="113" cm="1">
        <f t="array" aca="1" ref="M160" ca="1">IFERROR(IF($C160="","",INDIRECT($D$2&amp;"!r"&amp;T160)),IF($C160="","",INDIRECT("'"&amp;$D$2&amp;"'"&amp;"!r"&amp;T160)))</f>
        <v>0</v>
      </c>
      <c r="N160" s="113">
        <f t="shared" ca="1" si="10"/>
        <v>0</v>
      </c>
      <c r="O160" s="113" cm="1">
        <f t="array" aca="1" ref="O160" ca="1">IFERROR(IF($C160="","",INDIRECT($D$2&amp;"!t"&amp;T160)),IF($C160="","",INDIRECT("'"&amp;$D$2&amp;"'"&amp;"!t"&amp;T160)))</f>
        <v>0</v>
      </c>
      <c r="Q160" s="113" cm="1">
        <f t="array" aca="1" ref="Q160" ca="1">IFERROR(IF($C160="","",INDIRECT($D$2&amp;"!v"&amp;T160)),IF($C160="","",INDIRECT("'"&amp;$D$2&amp;"'"&amp;"!v"&amp;T160)))</f>
        <v>100</v>
      </c>
      <c r="R160" s="113">
        <f t="shared" ca="1" si="11"/>
        <v>0</v>
      </c>
      <c r="S160" s="113" cm="1">
        <f t="array" aca="1" ref="S160" ca="1">IFERROR(IF($C160="","",INDIRECT($D$2&amp;"!x"&amp;T160)),IF($C160="","",INDIRECT("'"&amp;$D$2&amp;"'"&amp;"!x"&amp;T160)))</f>
        <v>100</v>
      </c>
      <c r="T160" s="35">
        <v>148</v>
      </c>
      <c r="U160" s="113"/>
      <c r="V160" s="35">
        <v>148</v>
      </c>
    </row>
    <row r="161" spans="3:22" x14ac:dyDescent="0.25">
      <c r="C161" t="str" cm="1">
        <f t="array" aca="1" ref="C161" ca="1">IFERROR(IF(INDIRECT($D$2&amp;"!B"&amp;T161)="","",INDIRECT("'"&amp;$D$2&amp;"'"&amp;"!B"&amp;T161)),IF(INDIRECT("'"&amp;$D$2&amp;"'"&amp;"!B"&amp;T161)="","",INDIRECT("'"&amp;$D$2&amp;"'"&amp;"!B"&amp;T161)))</f>
        <v>Centurion Remote Data Entry</v>
      </c>
      <c r="D161" t="str" cm="1">
        <f t="array" aca="1" ref="D161" ca="1">IFERROR(_xlfn.IFS(C161="","",C161&lt;&gt;"",INDEX(SF_Output!I:I,MATCH(C161,SF_Output!M:M,0))),IFERROR(INDEX(INDIRECT($D$2&amp;"!G:G"),MATCH(C161,INDIRECT($D$2&amp;"!B:B"),0)),INDEX(INDIRECT("'"&amp;$D$2&amp;"'!G:G"),MATCH(C161,INDIRECT("'"&amp;$D$2&amp;"'!B:B"),0))))</f>
        <v>IS and Risk</v>
      </c>
      <c r="E161" t="str" cm="1">
        <f t="array" aca="1" ref="E161" ca="1">IFERROR(IF(C161="","",INDIRECT($D$2&amp;"!F"&amp;T161)),IF(C161="","",INDIRECT("'"&amp;$D$2&amp;"'"&amp;"!F"&amp;T161)))</f>
        <v>Included</v>
      </c>
      <c r="F161" t="str" cm="1">
        <f t="array" aca="1" ref="F161" ca="1">IFERROR(IF(C161="","",INDIRECT($D$2&amp;"!ak"&amp;T161)),IF(C161="","",INDIRECT("'"&amp;$D$2&amp;"'"&amp;"!ak"&amp;T161)))</f>
        <v/>
      </c>
      <c r="G161" cm="1">
        <f t="array" aca="1" ref="G161" ca="1">IFERROR(INDIRECT($D$2&amp;"!h"&amp;T161),INDIRECT("'"&amp;$D$2&amp;"'"&amp;"!h"&amp;T161))</f>
        <v>1</v>
      </c>
      <c r="H161" s="125" t="str" cm="1">
        <f t="array" aca="1" ref="H161" ca="1">IFERROR(INDIRECT($D$2&amp;"!i"&amp;T161),INDIRECT("'"&amp;$D$2&amp;"'"&amp;"!i"&amp;T161))</f>
        <v/>
      </c>
      <c r="I161" s="113" cm="1">
        <f t="array" aca="1" ref="I161" ca="1">IFERROR(IF($C161="","",INDIRECT($D$2&amp;"!j"&amp;$T161)+INDIRECT($D$2&amp;"!n"&amp;$T161)),IF($C161="","",INDIRECT("'"&amp;$D$2&amp;"'"&amp;"!j"&amp;$T161)+INDIRECT("'"&amp;$D$2&amp;"'"&amp;"!n"&amp;$T161)))</f>
        <v>0</v>
      </c>
      <c r="J161" s="113">
        <f t="shared" ca="1" si="9"/>
        <v>0</v>
      </c>
      <c r="K161" s="113" cm="1">
        <f t="array" aca="1" ref="K161" ca="1">IFERROR(IF($C161="","",INDIRECT($D$2&amp;"!l"&amp;$T161)+INDIRECT($D$2&amp;"!p"&amp;$T161)),IF($C161="","",INDIRECT("'"&amp;$D$2&amp;"'"&amp;"!l"&amp;$T161)+INDIRECT("'"&amp;$D$2&amp;"'"&amp;"!p"&amp;$T161)))</f>
        <v>0</v>
      </c>
      <c r="M161" s="113" cm="1">
        <f t="array" aca="1" ref="M161" ca="1">IFERROR(IF($C161="","",INDIRECT($D$2&amp;"!r"&amp;T161)),IF($C161="","",INDIRECT("'"&amp;$D$2&amp;"'"&amp;"!r"&amp;T161)))</f>
        <v>1880</v>
      </c>
      <c r="N161" s="113">
        <f t="shared" ca="1" si="10"/>
        <v>0</v>
      </c>
      <c r="O161" s="113" cm="1">
        <f t="array" aca="1" ref="O161" ca="1">IFERROR(IF($C161="","",INDIRECT($D$2&amp;"!t"&amp;T161)),IF($C161="","",INDIRECT("'"&amp;$D$2&amp;"'"&amp;"!t"&amp;T161)))</f>
        <v>1880</v>
      </c>
      <c r="Q161" s="113" cm="1">
        <f t="array" aca="1" ref="Q161" ca="1">IFERROR(IF($C161="","",INDIRECT($D$2&amp;"!v"&amp;T161)),IF($C161="","",INDIRECT("'"&amp;$D$2&amp;"'"&amp;"!v"&amp;T161)))</f>
        <v>0</v>
      </c>
      <c r="R161" s="113">
        <f t="shared" ca="1" si="11"/>
        <v>0</v>
      </c>
      <c r="S161" s="113" cm="1">
        <f t="array" aca="1" ref="S161" ca="1">IFERROR(IF($C161="","",INDIRECT($D$2&amp;"!x"&amp;T161)),IF($C161="","",INDIRECT("'"&amp;$D$2&amp;"'"&amp;"!x"&amp;T161)))</f>
        <v>0</v>
      </c>
      <c r="T161" s="35">
        <v>149</v>
      </c>
      <c r="U161" s="113"/>
      <c r="V161" s="35">
        <v>149</v>
      </c>
    </row>
    <row r="162" spans="3:22" x14ac:dyDescent="0.25">
      <c r="C162" t="str" cm="1">
        <f t="array" aca="1" ref="C162" ca="1">IFERROR(IF(INDIRECT($D$2&amp;"!B"&amp;T162)="","",INDIRECT("'"&amp;$D$2&amp;"'"&amp;"!B"&amp;T162)),IF(INDIRECT("'"&amp;$D$2&amp;"'"&amp;"!B"&amp;T162)="","",INDIRECT("'"&amp;$D$2&amp;"'"&amp;"!B"&amp;T162)))</f>
        <v>Centurion Connectivity for Jack Henry Hosted Services</v>
      </c>
      <c r="D162" t="str" cm="1">
        <f t="array" aca="1" ref="D162" ca="1">IFERROR(_xlfn.IFS(C162="","",C162&lt;&gt;"",INDEX(SF_Output!I:I,MATCH(C162,SF_Output!M:M,0))),IFERROR(INDEX(INDIRECT($D$2&amp;"!G:G"),MATCH(C162,INDIRECT($D$2&amp;"!B:B"),0)),INDEX(INDIRECT("'"&amp;$D$2&amp;"'!G:G"),MATCH(C162,INDIRECT("'"&amp;$D$2&amp;"'!B:B"),0))))</f>
        <v>IS and Risk</v>
      </c>
      <c r="E162" t="str" cm="1">
        <f t="array" aca="1" ref="E162" ca="1">IFERROR(IF(C162="","",INDIRECT($D$2&amp;"!F"&amp;T162)),IF(C162="","",INDIRECT("'"&amp;$D$2&amp;"'"&amp;"!F"&amp;T162)))</f>
        <v>Included</v>
      </c>
      <c r="F162" t="str" cm="1">
        <f t="array" aca="1" ref="F162" ca="1">IFERROR(IF(C162="","",INDIRECT($D$2&amp;"!ak"&amp;T162)),IF(C162="","",INDIRECT("'"&amp;$D$2&amp;"'"&amp;"!ak"&amp;T162)))</f>
        <v/>
      </c>
      <c r="G162" cm="1">
        <f t="array" aca="1" ref="G162" ca="1">IFERROR(INDIRECT($D$2&amp;"!h"&amp;T162),INDIRECT("'"&amp;$D$2&amp;"'"&amp;"!h"&amp;T162))</f>
        <v>1</v>
      </c>
      <c r="H162" s="125" t="str" cm="1">
        <f t="array" aca="1" ref="H162" ca="1">IFERROR(INDIRECT($D$2&amp;"!i"&amp;T162),INDIRECT("'"&amp;$D$2&amp;"'"&amp;"!i"&amp;T162))</f>
        <v/>
      </c>
      <c r="I162" s="113" cm="1">
        <f t="array" aca="1" ref="I162" ca="1">IFERROR(IF($C162="","",INDIRECT($D$2&amp;"!j"&amp;$T162)+INDIRECT($D$2&amp;"!n"&amp;$T162)),IF($C162="","",INDIRECT("'"&amp;$D$2&amp;"'"&amp;"!j"&amp;$T162)+INDIRECT("'"&amp;$D$2&amp;"'"&amp;"!n"&amp;$T162)))</f>
        <v>0</v>
      </c>
      <c r="J162" s="113">
        <f t="shared" ca="1" si="9"/>
        <v>0</v>
      </c>
      <c r="K162" s="113" cm="1">
        <f t="array" aca="1" ref="K162" ca="1">IFERROR(IF($C162="","",INDIRECT($D$2&amp;"!l"&amp;$T162)+INDIRECT($D$2&amp;"!p"&amp;$T162)),IF($C162="","",INDIRECT("'"&amp;$D$2&amp;"'"&amp;"!l"&amp;$T162)+INDIRECT("'"&amp;$D$2&amp;"'"&amp;"!p"&amp;$T162)))</f>
        <v>0</v>
      </c>
      <c r="M162" s="113" cm="1">
        <f t="array" aca="1" ref="M162" ca="1">IFERROR(IF($C162="","",INDIRECT($D$2&amp;"!r"&amp;T162)),IF($C162="","",INDIRECT("'"&amp;$D$2&amp;"'"&amp;"!r"&amp;T162)))</f>
        <v>0</v>
      </c>
      <c r="N162" s="113">
        <f t="shared" ca="1" si="10"/>
        <v>0</v>
      </c>
      <c r="O162" s="113" cm="1">
        <f t="array" aca="1" ref="O162" ca="1">IFERROR(IF($C162="","",INDIRECT($D$2&amp;"!t"&amp;T162)),IF($C162="","",INDIRECT("'"&amp;$D$2&amp;"'"&amp;"!t"&amp;T162)))</f>
        <v>0</v>
      </c>
      <c r="Q162" s="113" cm="1">
        <f t="array" aca="1" ref="Q162" ca="1">IFERROR(IF($C162="","",INDIRECT($D$2&amp;"!v"&amp;T162)),IF($C162="","",INDIRECT("'"&amp;$D$2&amp;"'"&amp;"!v"&amp;T162)))</f>
        <v>200</v>
      </c>
      <c r="R162" s="113">
        <f t="shared" ca="1" si="11"/>
        <v>0</v>
      </c>
      <c r="S162" s="113" cm="1">
        <f t="array" aca="1" ref="S162" ca="1">IFERROR(IF($C162="","",INDIRECT($D$2&amp;"!x"&amp;T162)),IF($C162="","",INDIRECT("'"&amp;$D$2&amp;"'"&amp;"!x"&amp;T162)))</f>
        <v>200</v>
      </c>
      <c r="T162" s="35">
        <v>150</v>
      </c>
      <c r="U162" s="113"/>
      <c r="V162" s="35">
        <v>150</v>
      </c>
    </row>
    <row r="163" spans="3:22" x14ac:dyDescent="0.25">
      <c r="C163" t="str" cm="1">
        <f t="array" aca="1" ref="C163" ca="1">IFERROR(IF(INDIRECT($D$2&amp;"!B"&amp;T163)="","",INDIRECT("'"&amp;$D$2&amp;"'"&amp;"!B"&amp;T163)),IF(INDIRECT("'"&amp;$D$2&amp;"'"&amp;"!B"&amp;T163)="","",INDIRECT("'"&amp;$D$2&amp;"'"&amp;"!B"&amp;T163)))</f>
        <v>Jack Henry Financial Crimes Defender Enterprise</v>
      </c>
      <c r="D163" t="str" cm="1">
        <f t="array" aca="1" ref="D163" ca="1">IFERROR(_xlfn.IFS(C163="","",C163&lt;&gt;"",INDEX(SF_Output!I:I,MATCH(C163,SF_Output!M:M,0))),IFERROR(INDEX(INDIRECT($D$2&amp;"!G:G"),MATCH(C163,INDIRECT($D$2&amp;"!B:B"),0)),INDEX(INDIRECT("'"&amp;$D$2&amp;"'!G:G"),MATCH(C163,INDIRECT("'"&amp;$D$2&amp;"'!B:B"),0))))</f>
        <v>IS and Risk</v>
      </c>
      <c r="E163" t="str" cm="1">
        <f t="array" aca="1" ref="E163" ca="1">IFERROR(IF(C163="","",INDIRECT($D$2&amp;"!F"&amp;T163)),IF(C163="","",INDIRECT("'"&amp;$D$2&amp;"'"&amp;"!F"&amp;T163)))</f>
        <v>Included</v>
      </c>
      <c r="F163" t="str" cm="1">
        <f t="array" aca="1" ref="F163" ca="1">IFERROR(IF(C163="","",INDIRECT($D$2&amp;"!ak"&amp;T163)),IF(C163="","",INDIRECT("'"&amp;$D$2&amp;"'"&amp;"!ak"&amp;T163)))</f>
        <v>PAP</v>
      </c>
      <c r="G163" cm="1">
        <f t="array" aca="1" ref="G163" ca="1">IFERROR(INDIRECT($D$2&amp;"!h"&amp;T163),INDIRECT("'"&amp;$D$2&amp;"'"&amp;"!h"&amp;T163))</f>
        <v>5000</v>
      </c>
      <c r="H163" s="125" cm="1">
        <f t="array" aca="1" ref="H163" ca="1">IFERROR(INDIRECT($D$2&amp;"!i"&amp;T163),INDIRECT("'"&amp;$D$2&amp;"'"&amp;"!i"&amp;T163))</f>
        <v>0.71640000000000004</v>
      </c>
      <c r="I163" s="113" cm="1">
        <f t="array" aca="1" ref="I163" ca="1">IFERROR(IF($C163="","",INDIRECT($D$2&amp;"!j"&amp;$T163)+INDIRECT($D$2&amp;"!n"&amp;$T163)),IF($C163="","",INDIRECT("'"&amp;$D$2&amp;"'"&amp;"!j"&amp;$T163)+INDIRECT("'"&amp;$D$2&amp;"'"&amp;"!n"&amp;$T163)))</f>
        <v>18890</v>
      </c>
      <c r="J163" s="113">
        <f t="shared" ca="1" si="9"/>
        <v>-4722.5</v>
      </c>
      <c r="K163" s="113" cm="1">
        <f t="array" aca="1" ref="K163" ca="1">IFERROR(IF($C163="","",INDIRECT($D$2&amp;"!l"&amp;$T163)+INDIRECT($D$2&amp;"!p"&amp;$T163)),IF($C163="","",INDIRECT("'"&amp;$D$2&amp;"'"&amp;"!l"&amp;$T163)+INDIRECT("'"&amp;$D$2&amp;"'"&amp;"!p"&amp;$T163)))</f>
        <v>14167.5</v>
      </c>
      <c r="M163" s="113" cm="1">
        <f t="array" aca="1" ref="M163" ca="1">IFERROR(IF($C163="","",INDIRECT($D$2&amp;"!r"&amp;T163)),IF($C163="","",INDIRECT("'"&amp;$D$2&amp;"'"&amp;"!r"&amp;T163)))</f>
        <v>0</v>
      </c>
      <c r="N163" s="113">
        <f t="shared" ca="1" si="10"/>
        <v>0</v>
      </c>
      <c r="O163" s="113" cm="1">
        <f t="array" aca="1" ref="O163" ca="1">IFERROR(IF($C163="","",INDIRECT($D$2&amp;"!t"&amp;T163)),IF($C163="","",INDIRECT("'"&amp;$D$2&amp;"'"&amp;"!t"&amp;T163)))</f>
        <v>0</v>
      </c>
      <c r="Q163" s="113" cm="1">
        <f t="array" aca="1" ref="Q163" ca="1">IFERROR(IF($C163="","",INDIRECT($D$2&amp;"!v"&amp;T163)),IF($C163="","",INDIRECT("'"&amp;$D$2&amp;"'"&amp;"!v"&amp;T163)))</f>
        <v>3980</v>
      </c>
      <c r="R163" s="113">
        <f t="shared" ca="1" si="11"/>
        <v>-398</v>
      </c>
      <c r="S163" s="113" cm="1">
        <f t="array" aca="1" ref="S163" ca="1">IFERROR(IF($C163="","",INDIRECT($D$2&amp;"!x"&amp;T163)),IF($C163="","",INDIRECT("'"&amp;$D$2&amp;"'"&amp;"!x"&amp;T163)))</f>
        <v>3582</v>
      </c>
      <c r="T163" s="35">
        <v>151</v>
      </c>
      <c r="U163" s="113"/>
      <c r="V163" s="35">
        <v>151</v>
      </c>
    </row>
    <row r="164" spans="3:22" x14ac:dyDescent="0.25">
      <c r="C164" t="str" cm="1">
        <f t="array" aca="1" ref="C164" ca="1">IFERROR(IF(INDIRECT($D$2&amp;"!B"&amp;T164)="","",INDIRECT("'"&amp;$D$2&amp;"'"&amp;"!B"&amp;T164)),IF(INDIRECT("'"&amp;$D$2&amp;"'"&amp;"!B"&amp;T164)="","",INDIRECT("'"&amp;$D$2&amp;"'"&amp;"!B"&amp;T164)))</f>
        <v>Jack Henry Financial Crimes Defender Real-time Payments Zelle Initial</v>
      </c>
      <c r="D164" t="str" cm="1">
        <f t="array" aca="1" ref="D164" ca="1">IFERROR(_xlfn.IFS(C164="","",C164&lt;&gt;"",INDEX(SF_Output!I:I,MATCH(C164,SF_Output!M:M,0))),IFERROR(INDEX(INDIRECT($D$2&amp;"!G:G"),MATCH(C164,INDIRECT($D$2&amp;"!B:B"),0)),INDEX(INDIRECT("'"&amp;$D$2&amp;"'!G:G"),MATCH(C164,INDIRECT("'"&amp;$D$2&amp;"'!B:B"),0))))</f>
        <v>IS and Risk</v>
      </c>
      <c r="E164" t="str" cm="1">
        <f t="array" aca="1" ref="E164" ca="1">IFERROR(IF(C164="","",INDIRECT($D$2&amp;"!F"&amp;T164)),IF(C164="","",INDIRECT("'"&amp;$D$2&amp;"'"&amp;"!F"&amp;T164)))</f>
        <v>Included</v>
      </c>
      <c r="F164" t="str" cm="1">
        <f t="array" aca="1" ref="F164" ca="1">IFERROR(IF(C164="","",INDIRECT($D$2&amp;"!ak"&amp;T164)),IF(C164="","",INDIRECT("'"&amp;$D$2&amp;"'"&amp;"!ak"&amp;T164)))</f>
        <v/>
      </c>
      <c r="G164" cm="1">
        <f t="array" aca="1" ref="G164" ca="1">IFERROR(INDIRECT($D$2&amp;"!h"&amp;T164),INDIRECT("'"&amp;$D$2&amp;"'"&amp;"!h"&amp;T164))</f>
        <v>1</v>
      </c>
      <c r="H164" s="125" t="str" cm="1">
        <f t="array" aca="1" ref="H164" ca="1">IFERROR(INDIRECT($D$2&amp;"!i"&amp;T164),INDIRECT("'"&amp;$D$2&amp;"'"&amp;"!i"&amp;T164))</f>
        <v/>
      </c>
      <c r="I164" s="113" cm="1">
        <f t="array" aca="1" ref="I164" ca="1">IFERROR(IF($C164="","",INDIRECT($D$2&amp;"!j"&amp;$T164)+INDIRECT($D$2&amp;"!n"&amp;$T164)),IF($C164="","",INDIRECT("'"&amp;$D$2&amp;"'"&amp;"!j"&amp;$T164)+INDIRECT("'"&amp;$D$2&amp;"'"&amp;"!n"&amp;$T164)))</f>
        <v>6000</v>
      </c>
      <c r="J164" s="113">
        <f t="shared" ca="1" si="9"/>
        <v>0</v>
      </c>
      <c r="K164" s="113" cm="1">
        <f t="array" aca="1" ref="K164" ca="1">IFERROR(IF($C164="","",INDIRECT($D$2&amp;"!l"&amp;$T164)+INDIRECT($D$2&amp;"!p"&amp;$T164)),IF($C164="","",INDIRECT("'"&amp;$D$2&amp;"'"&amp;"!l"&amp;$T164)+INDIRECT("'"&amp;$D$2&amp;"'"&amp;"!p"&amp;$T164)))</f>
        <v>6000</v>
      </c>
      <c r="M164" s="113" cm="1">
        <f t="array" aca="1" ref="M164" ca="1">IFERROR(IF($C164="","",INDIRECT($D$2&amp;"!r"&amp;T164)),IF($C164="","",INDIRECT("'"&amp;$D$2&amp;"'"&amp;"!r"&amp;T164)))</f>
        <v>0</v>
      </c>
      <c r="N164" s="113">
        <f t="shared" ca="1" si="10"/>
        <v>0</v>
      </c>
      <c r="O164" s="113" cm="1">
        <f t="array" aca="1" ref="O164" ca="1">IFERROR(IF($C164="","",INDIRECT($D$2&amp;"!t"&amp;T164)),IF($C164="","",INDIRECT("'"&amp;$D$2&amp;"'"&amp;"!t"&amp;T164)))</f>
        <v>0</v>
      </c>
      <c r="Q164" s="113" cm="1">
        <f t="array" aca="1" ref="Q164" ca="1">IFERROR(IF($C164="","",INDIRECT($D$2&amp;"!v"&amp;T164)),IF($C164="","",INDIRECT("'"&amp;$D$2&amp;"'"&amp;"!v"&amp;T164)))</f>
        <v>2000</v>
      </c>
      <c r="R164" s="113">
        <f t="shared" ca="1" si="11"/>
        <v>0</v>
      </c>
      <c r="S164" s="113" cm="1">
        <f t="array" aca="1" ref="S164" ca="1">IFERROR(IF($C164="","",INDIRECT($D$2&amp;"!x"&amp;T164)),IF($C164="","",INDIRECT("'"&amp;$D$2&amp;"'"&amp;"!x"&amp;T164)))</f>
        <v>2000</v>
      </c>
      <c r="T164" s="35">
        <v>152</v>
      </c>
      <c r="U164" s="113"/>
      <c r="V164" s="35">
        <v>152</v>
      </c>
    </row>
    <row r="165" spans="3:22" x14ac:dyDescent="0.25">
      <c r="C165" t="str" cm="1">
        <f t="array" aca="1" ref="C165" ca="1">IFERROR(IF(INDIRECT($D$2&amp;"!B"&amp;T165)="","",INDIRECT("'"&amp;$D$2&amp;"'"&amp;"!B"&amp;T165)),IF(INDIRECT("'"&amp;$D$2&amp;"'"&amp;"!B"&amp;T165)="","",INDIRECT("'"&amp;$D$2&amp;"'"&amp;"!B"&amp;T165)))</f>
        <v>Jack Henry Financial Crimes Defender Consulting</v>
      </c>
      <c r="D165" t="str" cm="1">
        <f t="array" aca="1" ref="D165" ca="1">IFERROR(_xlfn.IFS(C165="","",C165&lt;&gt;"",INDEX(SF_Output!I:I,MATCH(C165,SF_Output!M:M,0))),IFERROR(INDEX(INDIRECT($D$2&amp;"!G:G"),MATCH(C165,INDIRECT($D$2&amp;"!B:B"),0)),INDEX(INDIRECT("'"&amp;$D$2&amp;"'!G:G"),MATCH(C165,INDIRECT("'"&amp;$D$2&amp;"'!B:B"),0))))</f>
        <v>IS and Risk</v>
      </c>
      <c r="E165" t="str" cm="1">
        <f t="array" aca="1" ref="E165" ca="1">IFERROR(IF(C165="","",INDIRECT($D$2&amp;"!F"&amp;T165)),IF(C165="","",INDIRECT("'"&amp;$D$2&amp;"'"&amp;"!F"&amp;T165)))</f>
        <v>Included</v>
      </c>
      <c r="F165" t="str" cm="1">
        <f t="array" aca="1" ref="F165" ca="1">IFERROR(IF(C165="","",INDIRECT($D$2&amp;"!ak"&amp;T165)),IF(C165="","",INDIRECT("'"&amp;$D$2&amp;"'"&amp;"!ak"&amp;T165)))</f>
        <v/>
      </c>
      <c r="G165" cm="1">
        <f t="array" aca="1" ref="G165" ca="1">IFERROR(INDIRECT($D$2&amp;"!h"&amp;T165),INDIRECT("'"&amp;$D$2&amp;"'"&amp;"!h"&amp;T165))</f>
        <v>1</v>
      </c>
      <c r="H165" s="125" t="str" cm="1">
        <f t="array" aca="1" ref="H165" ca="1">IFERROR(INDIRECT($D$2&amp;"!i"&amp;T165),INDIRECT("'"&amp;$D$2&amp;"'"&amp;"!i"&amp;T165))</f>
        <v/>
      </c>
      <c r="I165" s="113" cm="1">
        <f t="array" aca="1" ref="I165" ca="1">IFERROR(IF($C165="","",INDIRECT($D$2&amp;"!j"&amp;$T165)+INDIRECT($D$2&amp;"!n"&amp;$T165)),IF($C165="","",INDIRECT("'"&amp;$D$2&amp;"'"&amp;"!j"&amp;$T165)+INDIRECT("'"&amp;$D$2&amp;"'"&amp;"!n"&amp;$T165)))</f>
        <v>28500</v>
      </c>
      <c r="J165" s="113">
        <f t="shared" ca="1" si="9"/>
        <v>0</v>
      </c>
      <c r="K165" s="113" cm="1">
        <f t="array" aca="1" ref="K165" ca="1">IFERROR(IF($C165="","",INDIRECT($D$2&amp;"!l"&amp;$T165)+INDIRECT($D$2&amp;"!p"&amp;$T165)),IF($C165="","",INDIRECT("'"&amp;$D$2&amp;"'"&amp;"!l"&amp;$T165)+INDIRECT("'"&amp;$D$2&amp;"'"&amp;"!p"&amp;$T165)))</f>
        <v>28500</v>
      </c>
      <c r="M165" s="113" cm="1">
        <f t="array" aca="1" ref="M165" ca="1">IFERROR(IF($C165="","",INDIRECT($D$2&amp;"!r"&amp;T165)),IF($C165="","",INDIRECT("'"&amp;$D$2&amp;"'"&amp;"!r"&amp;T165)))</f>
        <v>0</v>
      </c>
      <c r="N165" s="113">
        <f t="shared" ca="1" si="10"/>
        <v>0</v>
      </c>
      <c r="O165" s="113" cm="1">
        <f t="array" aca="1" ref="O165" ca="1">IFERROR(IF($C165="","",INDIRECT($D$2&amp;"!t"&amp;T165)),IF($C165="","",INDIRECT("'"&amp;$D$2&amp;"'"&amp;"!t"&amp;T165)))</f>
        <v>0</v>
      </c>
      <c r="Q165" s="113" cm="1">
        <f t="array" aca="1" ref="Q165" ca="1">IFERROR(IF($C165="","",INDIRECT($D$2&amp;"!v"&amp;T165)),IF($C165="","",INDIRECT("'"&amp;$D$2&amp;"'"&amp;"!v"&amp;T165)))</f>
        <v>0</v>
      </c>
      <c r="R165" s="113">
        <f t="shared" ca="1" si="11"/>
        <v>0</v>
      </c>
      <c r="S165" s="113" cm="1">
        <f t="array" aca="1" ref="S165" ca="1">IFERROR(IF($C165="","",INDIRECT($D$2&amp;"!x"&amp;T165)),IF($C165="","",INDIRECT("'"&amp;$D$2&amp;"'"&amp;"!x"&amp;T165)))</f>
        <v>0</v>
      </c>
      <c r="T165" s="35">
        <v>153</v>
      </c>
      <c r="U165" s="113"/>
      <c r="V165" s="35">
        <v>153</v>
      </c>
    </row>
    <row r="166" spans="3:22" x14ac:dyDescent="0.25">
      <c r="C166" t="str" cm="1">
        <f t="array" aca="1" ref="C166" ca="1">IFERROR(IF(INDIRECT($D$2&amp;"!B"&amp;T166)="","",INDIRECT("'"&amp;$D$2&amp;"'"&amp;"!B"&amp;T166)),IF(INDIRECT("'"&amp;$D$2&amp;"'"&amp;"!B"&amp;T166)="","",INDIRECT("'"&amp;$D$2&amp;"'"&amp;"!B"&amp;T166)))</f>
        <v>jhaEnterprise Workflow</v>
      </c>
      <c r="D166" t="str" cm="1">
        <f t="array" aca="1" ref="D166" ca="1">IFERROR(_xlfn.IFS(C166="","",C166&lt;&gt;"",INDEX(SF_Output!I:I,MATCH(C166,SF_Output!M:M,0))),IFERROR(INDEX(INDIRECT($D$2&amp;"!G:G"),MATCH(C166,INDIRECT($D$2&amp;"!B:B"),0)),INDEX(INDIRECT("'"&amp;$D$2&amp;"'!G:G"),MATCH(C166,INDIRECT("'"&amp;$D$2&amp;"'!B:B"),0))))</f>
        <v>IS and Risk</v>
      </c>
      <c r="E166" t="str" cm="1">
        <f t="array" aca="1" ref="E166" ca="1">IFERROR(IF(C166="","",INDIRECT($D$2&amp;"!F"&amp;T166)),IF(C166="","",INDIRECT("'"&amp;$D$2&amp;"'"&amp;"!F"&amp;T166)))</f>
        <v>Included</v>
      </c>
      <c r="F166" t="str" cm="1">
        <f t="array" aca="1" ref="F166" ca="1">IFERROR(IF(C166="","",INDIRECT($D$2&amp;"!ak"&amp;T166)),IF(C166="","",INDIRECT("'"&amp;$D$2&amp;"'"&amp;"!ak"&amp;T166)))</f>
        <v>PAP</v>
      </c>
      <c r="G166" cm="1">
        <f t="array" aca="1" ref="G166" ca="1">IFERROR(INDIRECT($D$2&amp;"!h"&amp;T166),INDIRECT("'"&amp;$D$2&amp;"'"&amp;"!h"&amp;T166))</f>
        <v>5000</v>
      </c>
      <c r="H166" s="125" cm="1">
        <f t="array" aca="1" ref="H166" ca="1">IFERROR(INDIRECT($D$2&amp;"!i"&amp;T166),INDIRECT("'"&amp;$D$2&amp;"'"&amp;"!i"&amp;T166))</f>
        <v>0.1605</v>
      </c>
      <c r="I166" s="113" cm="1">
        <f t="array" aca="1" ref="I166" ca="1">IFERROR(IF($C166="","",INDIRECT($D$2&amp;"!j"&amp;$T166)+INDIRECT($D$2&amp;"!n"&amp;$T166)),IF($C166="","",INDIRECT("'"&amp;$D$2&amp;"'"&amp;"!j"&amp;$T166)+INDIRECT("'"&amp;$D$2&amp;"'"&amp;"!n"&amp;$T166)))</f>
        <v>10000</v>
      </c>
      <c r="J166" s="113">
        <f t="shared" ca="1" si="9"/>
        <v>-10000</v>
      </c>
      <c r="K166" s="113" cm="1">
        <f t="array" aca="1" ref="K166" ca="1">IFERROR(IF($C166="","",INDIRECT($D$2&amp;"!l"&amp;$T166)+INDIRECT($D$2&amp;"!p"&amp;$T166)),IF($C166="","",INDIRECT("'"&amp;$D$2&amp;"'"&amp;"!l"&amp;$T166)+INDIRECT("'"&amp;$D$2&amp;"'"&amp;"!p"&amp;$T166)))</f>
        <v>0</v>
      </c>
      <c r="M166" s="113" cm="1">
        <f t="array" aca="1" ref="M166" ca="1">IFERROR(IF($C166="","",INDIRECT($D$2&amp;"!r"&amp;T166)),IF($C166="","",INDIRECT("'"&amp;$D$2&amp;"'"&amp;"!r"&amp;T166)))</f>
        <v>0</v>
      </c>
      <c r="N166" s="113">
        <f t="shared" ca="1" si="10"/>
        <v>0</v>
      </c>
      <c r="O166" s="113" cm="1">
        <f t="array" aca="1" ref="O166" ca="1">IFERROR(IF($C166="","",INDIRECT($D$2&amp;"!t"&amp;T166)),IF($C166="","",INDIRECT("'"&amp;$D$2&amp;"'"&amp;"!t"&amp;T166)))</f>
        <v>0</v>
      </c>
      <c r="Q166" s="113" cm="1">
        <f t="array" aca="1" ref="Q166" ca="1">IFERROR(IF($C166="","",INDIRECT($D$2&amp;"!v"&amp;T166)),IF($C166="","",INDIRECT("'"&amp;$D$2&amp;"'"&amp;"!v"&amp;T166)))</f>
        <v>1070</v>
      </c>
      <c r="R166" s="113">
        <f t="shared" ca="1" si="11"/>
        <v>-267.5</v>
      </c>
      <c r="S166" s="113" cm="1">
        <f t="array" aca="1" ref="S166" ca="1">IFERROR(IF($C166="","",INDIRECT($D$2&amp;"!x"&amp;T166)),IF($C166="","",INDIRECT("'"&amp;$D$2&amp;"'"&amp;"!x"&amp;T166)))</f>
        <v>802.5</v>
      </c>
      <c r="T166" s="35">
        <v>154</v>
      </c>
      <c r="U166" s="113"/>
      <c r="V166" s="35">
        <v>154</v>
      </c>
    </row>
    <row r="167" spans="3:22" x14ac:dyDescent="0.25">
      <c r="C167" t="str" cm="1">
        <f t="array" aca="1" ref="C167" ca="1">IFERROR(IF(INDIRECT($D$2&amp;"!B"&amp;T167)="","",INDIRECT("'"&amp;$D$2&amp;"'"&amp;"!B"&amp;T167)),IF(INDIRECT("'"&amp;$D$2&amp;"'"&amp;"!B"&amp;T167)="","",INDIRECT("'"&amp;$D$2&amp;"'"&amp;"!B"&amp;T167)))</f>
        <v>jhaEnterprise Workflow Synergy</v>
      </c>
      <c r="D167" t="str" cm="1">
        <f t="array" aca="1" ref="D167" ca="1">IFERROR(_xlfn.IFS(C167="","",C167&lt;&gt;"",INDEX(SF_Output!I:I,MATCH(C167,SF_Output!M:M,0))),IFERROR(INDEX(INDIRECT($D$2&amp;"!G:G"),MATCH(C167,INDIRECT($D$2&amp;"!B:B"),0)),INDEX(INDIRECT("'"&amp;$D$2&amp;"'!G:G"),MATCH(C167,INDIRECT("'"&amp;$D$2&amp;"'!B:B"),0))))</f>
        <v>IS and Risk</v>
      </c>
      <c r="E167" t="str" cm="1">
        <f t="array" aca="1" ref="E167" ca="1">IFERROR(IF(C167="","",INDIRECT($D$2&amp;"!F"&amp;T167)),IF(C167="","",INDIRECT("'"&amp;$D$2&amp;"'"&amp;"!F"&amp;T167)))</f>
        <v>Included</v>
      </c>
      <c r="F167" t="str" cm="1">
        <f t="array" aca="1" ref="F167" ca="1">IFERROR(IF(C167="","",INDIRECT($D$2&amp;"!ak"&amp;T167)),IF(C167="","",INDIRECT("'"&amp;$D$2&amp;"'"&amp;"!ak"&amp;T167)))</f>
        <v>PAP</v>
      </c>
      <c r="G167" cm="1">
        <f t="array" aca="1" ref="G167" ca="1">IFERROR(INDIRECT($D$2&amp;"!h"&amp;T167),INDIRECT("'"&amp;$D$2&amp;"'"&amp;"!h"&amp;T167))</f>
        <v>5000</v>
      </c>
      <c r="H167" s="125" cm="1">
        <f t="array" aca="1" ref="H167" ca="1">IFERROR(INDIRECT($D$2&amp;"!i"&amp;T167),INDIRECT("'"&amp;$D$2&amp;"'"&amp;"!i"&amp;T167))</f>
        <v>0.1605</v>
      </c>
      <c r="I167" s="113" cm="1">
        <f t="array" aca="1" ref="I167" ca="1">IFERROR(IF($C167="","",INDIRECT($D$2&amp;"!j"&amp;$T167)+INDIRECT($D$2&amp;"!n"&amp;$T167)),IF($C167="","",INDIRECT("'"&amp;$D$2&amp;"'"&amp;"!j"&amp;$T167)+INDIRECT("'"&amp;$D$2&amp;"'"&amp;"!n"&amp;$T167)))</f>
        <v>10000</v>
      </c>
      <c r="J167" s="113">
        <f t="shared" ca="1" si="9"/>
        <v>-10000</v>
      </c>
      <c r="K167" s="113" cm="1">
        <f t="array" aca="1" ref="K167" ca="1">IFERROR(IF($C167="","",INDIRECT($D$2&amp;"!l"&amp;$T167)+INDIRECT($D$2&amp;"!p"&amp;$T167)),IF($C167="","",INDIRECT("'"&amp;$D$2&amp;"'"&amp;"!l"&amp;$T167)+INDIRECT("'"&amp;$D$2&amp;"'"&amp;"!p"&amp;$T167)))</f>
        <v>0</v>
      </c>
      <c r="M167" s="113" cm="1">
        <f t="array" aca="1" ref="M167" ca="1">IFERROR(IF($C167="","",INDIRECT($D$2&amp;"!r"&amp;T167)),IF($C167="","",INDIRECT("'"&amp;$D$2&amp;"'"&amp;"!r"&amp;T167)))</f>
        <v>0</v>
      </c>
      <c r="N167" s="113">
        <f t="shared" ca="1" si="10"/>
        <v>0</v>
      </c>
      <c r="O167" s="113" cm="1">
        <f t="array" aca="1" ref="O167" ca="1">IFERROR(IF($C167="","",INDIRECT($D$2&amp;"!t"&amp;T167)),IF($C167="","",INDIRECT("'"&amp;$D$2&amp;"'"&amp;"!t"&amp;T167)))</f>
        <v>0</v>
      </c>
      <c r="Q167" s="113" cm="1">
        <f t="array" aca="1" ref="Q167" ca="1">IFERROR(IF($C167="","",INDIRECT($D$2&amp;"!v"&amp;T167)),IF($C167="","",INDIRECT("'"&amp;$D$2&amp;"'"&amp;"!v"&amp;T167)))</f>
        <v>1070</v>
      </c>
      <c r="R167" s="113">
        <f t="shared" ca="1" si="11"/>
        <v>-267.5</v>
      </c>
      <c r="S167" s="113" cm="1">
        <f t="array" aca="1" ref="S167" ca="1">IFERROR(IF($C167="","",INDIRECT($D$2&amp;"!x"&amp;T167)),IF($C167="","",INDIRECT("'"&amp;$D$2&amp;"'"&amp;"!x"&amp;T167)))</f>
        <v>802.5</v>
      </c>
      <c r="T167" s="35">
        <v>155</v>
      </c>
      <c r="U167" s="113"/>
      <c r="V167" s="35">
        <v>155</v>
      </c>
    </row>
    <row r="168" spans="3:22" x14ac:dyDescent="0.25">
      <c r="C168" t="str" cm="1">
        <f t="array" aca="1" ref="C168" ca="1">IFERROR(IF(INDIRECT($D$2&amp;"!B"&amp;T168)="","",INDIRECT("'"&amp;$D$2&amp;"'"&amp;"!B"&amp;T168)),IF(INDIRECT("'"&amp;$D$2&amp;"'"&amp;"!B"&amp;T168)="","",INDIRECT("'"&amp;$D$2&amp;"'"&amp;"!B"&amp;T168)))</f>
        <v>jhaEnterprise Workflow Consulting</v>
      </c>
      <c r="D168" t="str" cm="1">
        <f t="array" aca="1" ref="D168" ca="1">IFERROR(_xlfn.IFS(C168="","",C168&lt;&gt;"",INDEX(SF_Output!I:I,MATCH(C168,SF_Output!M:M,0))),IFERROR(INDEX(INDIRECT($D$2&amp;"!G:G"),MATCH(C168,INDIRECT($D$2&amp;"!B:B"),0)),INDEX(INDIRECT("'"&amp;$D$2&amp;"'!G:G"),MATCH(C168,INDIRECT("'"&amp;$D$2&amp;"'!B:B"),0))))</f>
        <v>IS and Risk</v>
      </c>
      <c r="E168" t="str" cm="1">
        <f t="array" aca="1" ref="E168" ca="1">IFERROR(IF(C168="","",INDIRECT($D$2&amp;"!F"&amp;T168)),IF(C168="","",INDIRECT("'"&amp;$D$2&amp;"'"&amp;"!F"&amp;T168)))</f>
        <v>Included</v>
      </c>
      <c r="F168" t="str" cm="1">
        <f t="array" aca="1" ref="F168" ca="1">IFERROR(IF(C168="","",INDIRECT($D$2&amp;"!ak"&amp;T168)),IF(C168="","",INDIRECT("'"&amp;$D$2&amp;"'"&amp;"!ak"&amp;T168)))</f>
        <v/>
      </c>
      <c r="G168" cm="1">
        <f t="array" aca="1" ref="G168" ca="1">IFERROR(INDIRECT($D$2&amp;"!h"&amp;T168),INDIRECT("'"&amp;$D$2&amp;"'"&amp;"!h"&amp;T168))</f>
        <v>1</v>
      </c>
      <c r="H168" s="125" t="str" cm="1">
        <f t="array" aca="1" ref="H168" ca="1">IFERROR(INDIRECT($D$2&amp;"!i"&amp;T168),INDIRECT("'"&amp;$D$2&amp;"'"&amp;"!i"&amp;T168))</f>
        <v/>
      </c>
      <c r="I168" s="113" cm="1">
        <f t="array" aca="1" ref="I168" ca="1">IFERROR(IF($C168="","",INDIRECT($D$2&amp;"!j"&amp;$T168)+INDIRECT($D$2&amp;"!n"&amp;$T168)),IF($C168="","",INDIRECT("'"&amp;$D$2&amp;"'"&amp;"!j"&amp;$T168)+INDIRECT("'"&amp;$D$2&amp;"'"&amp;"!n"&amp;$T168)))</f>
        <v>12500</v>
      </c>
      <c r="J168" s="113">
        <f t="shared" ca="1" si="9"/>
        <v>0</v>
      </c>
      <c r="K168" s="113" cm="1">
        <f t="array" aca="1" ref="K168" ca="1">IFERROR(IF($C168="","",INDIRECT($D$2&amp;"!l"&amp;$T168)+INDIRECT($D$2&amp;"!p"&amp;$T168)),IF($C168="","",INDIRECT("'"&amp;$D$2&amp;"'"&amp;"!l"&amp;$T168)+INDIRECT("'"&amp;$D$2&amp;"'"&amp;"!p"&amp;$T168)))</f>
        <v>12500</v>
      </c>
      <c r="M168" s="113" cm="1">
        <f t="array" aca="1" ref="M168" ca="1">IFERROR(IF($C168="","",INDIRECT($D$2&amp;"!r"&amp;T168)),IF($C168="","",INDIRECT("'"&amp;$D$2&amp;"'"&amp;"!r"&amp;T168)))</f>
        <v>0</v>
      </c>
      <c r="N168" s="113">
        <f t="shared" ca="1" si="10"/>
        <v>0</v>
      </c>
      <c r="O168" s="113" cm="1">
        <f t="array" aca="1" ref="O168" ca="1">IFERROR(IF($C168="","",INDIRECT($D$2&amp;"!t"&amp;T168)),IF($C168="","",INDIRECT("'"&amp;$D$2&amp;"'"&amp;"!t"&amp;T168)))</f>
        <v>0</v>
      </c>
      <c r="Q168" s="113" cm="1">
        <f t="array" aca="1" ref="Q168" ca="1">IFERROR(IF($C168="","",INDIRECT($D$2&amp;"!v"&amp;T168)),IF($C168="","",INDIRECT("'"&amp;$D$2&amp;"'"&amp;"!v"&amp;T168)))</f>
        <v>0</v>
      </c>
      <c r="R168" s="113">
        <f t="shared" ca="1" si="11"/>
        <v>0</v>
      </c>
      <c r="S168" s="113" cm="1">
        <f t="array" aca="1" ref="S168" ca="1">IFERROR(IF($C168="","",INDIRECT($D$2&amp;"!x"&amp;T168)),IF($C168="","",INDIRECT("'"&amp;$D$2&amp;"'"&amp;"!x"&amp;T168)))</f>
        <v>0</v>
      </c>
      <c r="T168" s="35">
        <v>156</v>
      </c>
      <c r="U168" s="113"/>
      <c r="V168" s="35">
        <v>156</v>
      </c>
    </row>
    <row r="169" spans="3:22" x14ac:dyDescent="0.25">
      <c r="C169" t="str" cm="1">
        <f t="array" aca="1" ref="C169" ca="1">IFERROR(IF(INDIRECT($D$2&amp;"!B"&amp;T169)="","",INDIRECT("'"&amp;$D$2&amp;"'"&amp;"!B"&amp;T169)),IF(INDIRECT("'"&amp;$D$2&amp;"'"&amp;"!B"&amp;T169)="","",INDIRECT("'"&amp;$D$2&amp;"'"&amp;"!B"&amp;T169)))</f>
        <v>jhaEnterprise Workflow Training Shared</v>
      </c>
      <c r="D169" t="str" cm="1">
        <f t="array" aca="1" ref="D169" ca="1">IFERROR(_xlfn.IFS(C169="","",C169&lt;&gt;"",INDEX(SF_Output!I:I,MATCH(C169,SF_Output!M:M,0))),IFERROR(INDEX(INDIRECT($D$2&amp;"!G:G"),MATCH(C169,INDIRECT($D$2&amp;"!B:B"),0)),INDEX(INDIRECT("'"&amp;$D$2&amp;"'!G:G"),MATCH(C169,INDIRECT("'"&amp;$D$2&amp;"'!B:B"),0))))</f>
        <v>IS and Risk</v>
      </c>
      <c r="E169" t="str" cm="1">
        <f t="array" aca="1" ref="E169" ca="1">IFERROR(IF(C169="","",INDIRECT($D$2&amp;"!F"&amp;T169)),IF(C169="","",INDIRECT("'"&amp;$D$2&amp;"'"&amp;"!F"&amp;T169)))</f>
        <v>Included</v>
      </c>
      <c r="F169" t="str" cm="1">
        <f t="array" aca="1" ref="F169" ca="1">IFERROR(IF(C169="","",INDIRECT($D$2&amp;"!ak"&amp;T169)),IF(C169="","",INDIRECT("'"&amp;$D$2&amp;"'"&amp;"!ak"&amp;T169)))</f>
        <v/>
      </c>
      <c r="G169" cm="1">
        <f t="array" aca="1" ref="G169" ca="1">IFERROR(INDIRECT($D$2&amp;"!h"&amp;T169),INDIRECT("'"&amp;$D$2&amp;"'"&amp;"!h"&amp;T169))</f>
        <v>2</v>
      </c>
      <c r="H169" s="125" t="str" cm="1">
        <f t="array" aca="1" ref="H169" ca="1">IFERROR(INDIRECT($D$2&amp;"!i"&amp;T169),INDIRECT("'"&amp;$D$2&amp;"'"&amp;"!i"&amp;T169))</f>
        <v/>
      </c>
      <c r="I169" s="113" cm="1">
        <f t="array" aca="1" ref="I169" ca="1">IFERROR(IF($C169="","",INDIRECT($D$2&amp;"!j"&amp;$T169)+INDIRECT($D$2&amp;"!n"&amp;$T169)),IF($C169="","",INDIRECT("'"&amp;$D$2&amp;"'"&amp;"!j"&amp;$T169)+INDIRECT("'"&amp;$D$2&amp;"'"&amp;"!n"&amp;$T169)))</f>
        <v>3600</v>
      </c>
      <c r="J169" s="113">
        <f t="shared" ca="1" si="9"/>
        <v>0</v>
      </c>
      <c r="K169" s="113" cm="1">
        <f t="array" aca="1" ref="K169" ca="1">IFERROR(IF($C169="","",INDIRECT($D$2&amp;"!l"&amp;$T169)+INDIRECT($D$2&amp;"!p"&amp;$T169)),IF($C169="","",INDIRECT("'"&amp;$D$2&amp;"'"&amp;"!l"&amp;$T169)+INDIRECT("'"&amp;$D$2&amp;"'"&amp;"!p"&amp;$T169)))</f>
        <v>3600</v>
      </c>
      <c r="M169" s="113" cm="1">
        <f t="array" aca="1" ref="M169" ca="1">IFERROR(IF($C169="","",INDIRECT($D$2&amp;"!r"&amp;T169)),IF($C169="","",INDIRECT("'"&amp;$D$2&amp;"'"&amp;"!r"&amp;T169)))</f>
        <v>0</v>
      </c>
      <c r="N169" s="113">
        <f t="shared" ca="1" si="10"/>
        <v>0</v>
      </c>
      <c r="O169" s="113" cm="1">
        <f t="array" aca="1" ref="O169" ca="1">IFERROR(IF($C169="","",INDIRECT($D$2&amp;"!t"&amp;T169)),IF($C169="","",INDIRECT("'"&amp;$D$2&amp;"'"&amp;"!t"&amp;T169)))</f>
        <v>0</v>
      </c>
      <c r="Q169" s="113" cm="1">
        <f t="array" aca="1" ref="Q169" ca="1">IFERROR(IF($C169="","",INDIRECT($D$2&amp;"!v"&amp;T169)),IF($C169="","",INDIRECT("'"&amp;$D$2&amp;"'"&amp;"!v"&amp;T169)))</f>
        <v>0</v>
      </c>
      <c r="R169" s="113">
        <f t="shared" ca="1" si="11"/>
        <v>0</v>
      </c>
      <c r="S169" s="113" cm="1">
        <f t="array" aca="1" ref="S169" ca="1">IFERROR(IF($C169="","",INDIRECT($D$2&amp;"!x"&amp;T169)),IF($C169="","",INDIRECT("'"&amp;$D$2&amp;"'"&amp;"!x"&amp;T169)))</f>
        <v>0</v>
      </c>
      <c r="T169" s="35">
        <v>157</v>
      </c>
      <c r="U169" s="113"/>
      <c r="V169" s="35">
        <v>157</v>
      </c>
    </row>
    <row r="170" spans="3:22" x14ac:dyDescent="0.25">
      <c r="C170" t="str" cm="1">
        <f t="array" aca="1" ref="C170" ca="1">IFERROR(IF(INDIRECT($D$2&amp;"!B"&amp;T170)="","",INDIRECT("'"&amp;$D$2&amp;"'"&amp;"!B"&amp;T170)),IF(INDIRECT("'"&amp;$D$2&amp;"'"&amp;"!B"&amp;T170)="","",INDIRECT("'"&amp;$D$2&amp;"'"&amp;"!B"&amp;T170)))</f>
        <v>jConnect</v>
      </c>
      <c r="D170" t="str" cm="1">
        <f t="array" aca="1" ref="D170" ca="1">IFERROR(_xlfn.IFS(C170="","",C170&lt;&gt;"",INDEX(SF_Output!I:I,MATCH(C170,SF_Output!M:M,0))),IFERROR(INDEX(INDIRECT($D$2&amp;"!G:G"),MATCH(C170,INDIRECT($D$2&amp;"!B:B"),0)),INDEX(INDIRECT("'"&amp;$D$2&amp;"'!G:G"),MATCH(C170,INDIRECT("'"&amp;$D$2&amp;"'!B:B"),0))))</f>
        <v>IS and Risk</v>
      </c>
      <c r="E170" t="str" cm="1">
        <f t="array" aca="1" ref="E170" ca="1">IFERROR(IF(C170="","",INDIRECT($D$2&amp;"!F"&amp;T170)),IF(C170="","",INDIRECT("'"&amp;$D$2&amp;"'"&amp;"!F"&amp;T170)))</f>
        <v>Included</v>
      </c>
      <c r="F170" t="str" cm="1">
        <f t="array" aca="1" ref="F170" ca="1">IFERROR(IF(C170="","",INDIRECT($D$2&amp;"!ak"&amp;T170)),IF(C170="","",INDIRECT("'"&amp;$D$2&amp;"'"&amp;"!ak"&amp;T170)))</f>
        <v/>
      </c>
      <c r="G170" cm="1">
        <f t="array" aca="1" ref="G170" ca="1">IFERROR(INDIRECT($D$2&amp;"!h"&amp;T170),INDIRECT("'"&amp;$D$2&amp;"'"&amp;"!h"&amp;T170))</f>
        <v>1</v>
      </c>
      <c r="H170" s="125" t="str" cm="1">
        <f t="array" aca="1" ref="H170" ca="1">IFERROR(INDIRECT($D$2&amp;"!i"&amp;T170),INDIRECT("'"&amp;$D$2&amp;"'"&amp;"!i"&amp;T170))</f>
        <v/>
      </c>
      <c r="I170" s="113" cm="1">
        <f t="array" aca="1" ref="I170" ca="1">IFERROR(IF($C170="","",INDIRECT($D$2&amp;"!j"&amp;$T170)+INDIRECT($D$2&amp;"!n"&amp;$T170)),IF($C170="","",INDIRECT("'"&amp;$D$2&amp;"'"&amp;"!j"&amp;$T170)+INDIRECT("'"&amp;$D$2&amp;"'"&amp;"!n"&amp;$T170)))</f>
        <v>0</v>
      </c>
      <c r="J170" s="113">
        <f t="shared" ca="1" si="9"/>
        <v>0</v>
      </c>
      <c r="K170" s="113" cm="1">
        <f t="array" aca="1" ref="K170" ca="1">IFERROR(IF($C170="","",INDIRECT($D$2&amp;"!l"&amp;$T170)+INDIRECT($D$2&amp;"!p"&amp;$T170)),IF($C170="","",INDIRECT("'"&amp;$D$2&amp;"'"&amp;"!l"&amp;$T170)+INDIRECT("'"&amp;$D$2&amp;"'"&amp;"!p"&amp;$T170)))</f>
        <v>0</v>
      </c>
      <c r="M170" s="113" cm="1">
        <f t="array" aca="1" ref="M170" ca="1">IFERROR(IF($C170="","",INDIRECT($D$2&amp;"!r"&amp;T170)),IF($C170="","",INDIRECT("'"&amp;$D$2&amp;"'"&amp;"!r"&amp;T170)))</f>
        <v>0</v>
      </c>
      <c r="N170" s="113">
        <f t="shared" ca="1" si="10"/>
        <v>0</v>
      </c>
      <c r="O170" s="113" cm="1">
        <f t="array" aca="1" ref="O170" ca="1">IFERROR(IF($C170="","",INDIRECT($D$2&amp;"!t"&amp;T170)),IF($C170="","",INDIRECT("'"&amp;$D$2&amp;"'"&amp;"!t"&amp;T170)))</f>
        <v>0</v>
      </c>
      <c r="Q170" s="113" cm="1">
        <f t="array" aca="1" ref="Q170" ca="1">IFERROR(IF($C170="","",INDIRECT($D$2&amp;"!v"&amp;T170)),IF($C170="","",INDIRECT("'"&amp;$D$2&amp;"'"&amp;"!v"&amp;T170)))</f>
        <v>1000</v>
      </c>
      <c r="R170" s="113">
        <f t="shared" ca="1" si="11"/>
        <v>0</v>
      </c>
      <c r="S170" s="113" cm="1">
        <f t="array" aca="1" ref="S170" ca="1">IFERROR(IF($C170="","",INDIRECT($D$2&amp;"!x"&amp;T170)),IF($C170="","",INDIRECT("'"&amp;$D$2&amp;"'"&amp;"!x"&amp;T170)))</f>
        <v>1000</v>
      </c>
      <c r="T170" s="35">
        <v>158</v>
      </c>
      <c r="U170" s="113"/>
      <c r="V170" s="35">
        <v>158</v>
      </c>
    </row>
    <row r="171" spans="3:22" x14ac:dyDescent="0.25">
      <c r="C171" t="str" cm="1">
        <f t="array" aca="1" ref="C171" ca="1">IFERROR(IF(INDIRECT($D$2&amp;"!B"&amp;T171)="","",INDIRECT("'"&amp;$D$2&amp;"'"&amp;"!B"&amp;T171)),IF(INDIRECT("'"&amp;$D$2&amp;"'"&amp;"!B"&amp;T171)="","",INDIRECT("'"&amp;$D$2&amp;"'"&amp;"!B"&amp;T171)))</f>
        <v>Jack Henry Loyalty and Rewards Support - Enterprise</v>
      </c>
      <c r="D171" t="str" cm="1">
        <f t="array" aca="1" ref="D171" ca="1">IFERROR(_xlfn.IFS(C171="","",C171&lt;&gt;"",INDEX(SF_Output!I:I,MATCH(C171,SF_Output!M:M,0))),IFERROR(INDEX(INDIRECT($D$2&amp;"!G:G"),MATCH(C171,INDIRECT($D$2&amp;"!B:B"),0)),INDEX(INDIRECT("'"&amp;$D$2&amp;"'!G:G"),MATCH(C171,INDIRECT("'"&amp;$D$2&amp;"'!B:B"),0))))</f>
        <v>BI and Financial</v>
      </c>
      <c r="E171" t="str" cm="1">
        <f t="array" aca="1" ref="E171" ca="1">IFERROR(IF(C171="","",INDIRECT($D$2&amp;"!F"&amp;T171)),IF(C171="","",INDIRECT("'"&amp;$D$2&amp;"'"&amp;"!F"&amp;T171)))</f>
        <v>Included</v>
      </c>
      <c r="F171" t="str" cm="1">
        <f t="array" aca="1" ref="F171" ca="1">IFERROR(IF(C171="","",INDIRECT($D$2&amp;"!ak"&amp;T171)),IF(C171="","",INDIRECT("'"&amp;$D$2&amp;"'"&amp;"!ak"&amp;T171)))</f>
        <v/>
      </c>
      <c r="G171" cm="1">
        <f t="array" aca="1" ref="G171" ca="1">IFERROR(INDIRECT($D$2&amp;"!h"&amp;T171),INDIRECT("'"&amp;$D$2&amp;"'"&amp;"!h"&amp;T171))</f>
        <v>1</v>
      </c>
      <c r="H171" s="125" t="str" cm="1">
        <f t="array" aca="1" ref="H171" ca="1">IFERROR(INDIRECT($D$2&amp;"!i"&amp;T171),INDIRECT("'"&amp;$D$2&amp;"'"&amp;"!i"&amp;T171))</f>
        <v/>
      </c>
      <c r="I171" s="113" cm="1">
        <f t="array" aca="1" ref="I171" ca="1">IFERROR(IF($C171="","",INDIRECT($D$2&amp;"!j"&amp;$T171)+INDIRECT($D$2&amp;"!n"&amp;$T171)),IF($C171="","",INDIRECT("'"&amp;$D$2&amp;"'"&amp;"!j"&amp;$T171)+INDIRECT("'"&amp;$D$2&amp;"'"&amp;"!n"&amp;$T171)))</f>
        <v>16625</v>
      </c>
      <c r="J171" s="113">
        <f t="shared" ca="1" si="9"/>
        <v>-16625</v>
      </c>
      <c r="K171" s="113" cm="1">
        <f t="array" aca="1" ref="K171" ca="1">IFERROR(IF($C171="","",INDIRECT($D$2&amp;"!l"&amp;$T171)+INDIRECT($D$2&amp;"!p"&amp;$T171)),IF($C171="","",INDIRECT("'"&amp;$D$2&amp;"'"&amp;"!l"&amp;$T171)+INDIRECT("'"&amp;$D$2&amp;"'"&amp;"!p"&amp;$T171)))</f>
        <v>0</v>
      </c>
      <c r="M171" s="113" cm="1">
        <f t="array" aca="1" ref="M171" ca="1">IFERROR(IF($C171="","",INDIRECT($D$2&amp;"!r"&amp;T171)),IF($C171="","",INDIRECT("'"&amp;$D$2&amp;"'"&amp;"!r"&amp;T171)))</f>
        <v>0</v>
      </c>
      <c r="N171" s="113">
        <f t="shared" ca="1" si="10"/>
        <v>0</v>
      </c>
      <c r="O171" s="113" cm="1">
        <f t="array" aca="1" ref="O171" ca="1">IFERROR(IF($C171="","",INDIRECT($D$2&amp;"!t"&amp;T171)),IF($C171="","",INDIRECT("'"&amp;$D$2&amp;"'"&amp;"!t"&amp;T171)))</f>
        <v>0</v>
      </c>
      <c r="Q171" s="113" cm="1">
        <f t="array" aca="1" ref="Q171" ca="1">IFERROR(IF($C171="","",INDIRECT($D$2&amp;"!v"&amp;T171)),IF($C171="","",INDIRECT("'"&amp;$D$2&amp;"'"&amp;"!v"&amp;T171)))</f>
        <v>500</v>
      </c>
      <c r="R171" s="113">
        <f t="shared" ca="1" si="11"/>
        <v>0</v>
      </c>
      <c r="S171" s="113" cm="1">
        <f t="array" aca="1" ref="S171" ca="1">IFERROR(IF($C171="","",INDIRECT($D$2&amp;"!x"&amp;T171)),IF($C171="","",INDIRECT("'"&amp;$D$2&amp;"'"&amp;"!x"&amp;T171)))</f>
        <v>500</v>
      </c>
      <c r="T171" s="35">
        <v>159</v>
      </c>
      <c r="U171" s="113"/>
      <c r="V171" s="35">
        <v>159</v>
      </c>
    </row>
    <row r="172" spans="3:22" x14ac:dyDescent="0.25">
      <c r="C172" t="str" cm="1">
        <f t="array" aca="1" ref="C172" ca="1">IFERROR(IF(INDIRECT($D$2&amp;"!B"&amp;T172)="","",INDIRECT("'"&amp;$D$2&amp;"'"&amp;"!B"&amp;T172)),IF(INDIRECT("'"&amp;$D$2&amp;"'"&amp;"!B"&amp;T172)="","",INDIRECT("'"&amp;$D$2&amp;"'"&amp;"!B"&amp;T172)))</f>
        <v>Jack Henry Loyalty and Rewards - Enterprise</v>
      </c>
      <c r="D172" t="str" cm="1">
        <f t="array" aca="1" ref="D172" ca="1">IFERROR(_xlfn.IFS(C172="","",C172&lt;&gt;"",INDEX(SF_Output!I:I,MATCH(C172,SF_Output!M:M,0))),IFERROR(INDEX(INDIRECT($D$2&amp;"!G:G"),MATCH(C172,INDIRECT($D$2&amp;"!B:B"),0)),INDEX(INDIRECT("'"&amp;$D$2&amp;"'!G:G"),MATCH(C172,INDIRECT("'"&amp;$D$2&amp;"'!B:B"),0))))</f>
        <v>BI and Financial</v>
      </c>
      <c r="E172" t="str" cm="1">
        <f t="array" aca="1" ref="E172" ca="1">IFERROR(IF(C172="","",INDIRECT($D$2&amp;"!F"&amp;T172)),IF(C172="","",INDIRECT("'"&amp;$D$2&amp;"'"&amp;"!F"&amp;T172)))</f>
        <v>Included</v>
      </c>
      <c r="F172" t="str" cm="1">
        <f t="array" aca="1" ref="F172" ca="1">IFERROR(IF(C172="","",INDIRECT($D$2&amp;"!ak"&amp;T172)),IF(C172="","",INDIRECT("'"&amp;$D$2&amp;"'"&amp;"!ak"&amp;T172)))</f>
        <v/>
      </c>
      <c r="G172" cm="1">
        <f t="array" aca="1" ref="G172" ca="1">IFERROR(INDIRECT($D$2&amp;"!h"&amp;T172),INDIRECT("'"&amp;$D$2&amp;"'"&amp;"!h"&amp;T172))</f>
        <v>1</v>
      </c>
      <c r="H172" s="125" t="str" cm="1">
        <f t="array" aca="1" ref="H172" ca="1">IFERROR(INDIRECT($D$2&amp;"!i"&amp;T172),INDIRECT("'"&amp;$D$2&amp;"'"&amp;"!i"&amp;T172))</f>
        <v/>
      </c>
      <c r="I172" s="113" cm="1">
        <f t="array" aca="1" ref="I172" ca="1">IFERROR(IF($C172="","",INDIRECT($D$2&amp;"!j"&amp;$T172)+INDIRECT($D$2&amp;"!n"&amp;$T172)),IF($C172="","",INDIRECT("'"&amp;$D$2&amp;"'"&amp;"!j"&amp;$T172)+INDIRECT("'"&amp;$D$2&amp;"'"&amp;"!n"&amp;$T172)))</f>
        <v>0</v>
      </c>
      <c r="J172" s="113">
        <f t="shared" ca="1" si="9"/>
        <v>0</v>
      </c>
      <c r="K172" s="113" cm="1">
        <f t="array" aca="1" ref="K172" ca="1">IFERROR(IF($C172="","",INDIRECT($D$2&amp;"!l"&amp;$T172)+INDIRECT($D$2&amp;"!p"&amp;$T172)),IF($C172="","",INDIRECT("'"&amp;$D$2&amp;"'"&amp;"!l"&amp;$T172)+INDIRECT("'"&amp;$D$2&amp;"'"&amp;"!p"&amp;$T172)))</f>
        <v>0</v>
      </c>
      <c r="M172" s="113" cm="1">
        <f t="array" aca="1" ref="M172" ca="1">IFERROR(IF($C172="","",INDIRECT($D$2&amp;"!r"&amp;T172)),IF($C172="","",INDIRECT("'"&amp;$D$2&amp;"'"&amp;"!r"&amp;T172)))</f>
        <v>0</v>
      </c>
      <c r="N172" s="113">
        <f t="shared" ca="1" si="10"/>
        <v>0</v>
      </c>
      <c r="O172" s="113" cm="1">
        <f t="array" aca="1" ref="O172" ca="1">IFERROR(IF($C172="","",INDIRECT($D$2&amp;"!t"&amp;T172)),IF($C172="","",INDIRECT("'"&amp;$D$2&amp;"'"&amp;"!t"&amp;T172)))</f>
        <v>0</v>
      </c>
      <c r="Q172" s="113" cm="1">
        <f t="array" aca="1" ref="Q172" ca="1">IFERROR(IF($C172="","",INDIRECT($D$2&amp;"!v"&amp;T172)),IF($C172="","",INDIRECT("'"&amp;$D$2&amp;"'"&amp;"!v"&amp;T172)))</f>
        <v>1000</v>
      </c>
      <c r="R172" s="113">
        <f t="shared" ca="1" si="11"/>
        <v>0</v>
      </c>
      <c r="S172" s="113" cm="1">
        <f t="array" aca="1" ref="S172" ca="1">IFERROR(IF($C172="","",INDIRECT($D$2&amp;"!x"&amp;T172)),IF($C172="","",INDIRECT("'"&amp;$D$2&amp;"'"&amp;"!x"&amp;T172)))</f>
        <v>1000</v>
      </c>
      <c r="T172" s="35">
        <v>160</v>
      </c>
      <c r="U172" s="113"/>
      <c r="V172" s="35">
        <v>160</v>
      </c>
    </row>
    <row r="173" spans="3:22" x14ac:dyDescent="0.25">
      <c r="C173" t="str" cm="1">
        <f t="array" aca="1" ref="C173" ca="1">IFERROR(IF(INDIRECT($D$2&amp;"!B"&amp;T173)="","",INDIRECT("'"&amp;$D$2&amp;"'"&amp;"!B"&amp;T173)),IF(INDIRECT("'"&amp;$D$2&amp;"'"&amp;"!B"&amp;T173)="","",INDIRECT("'"&amp;$D$2&amp;"'"&amp;"!B"&amp;T173)))</f>
        <v>jhaAnalytics</v>
      </c>
      <c r="D173" t="str" cm="1">
        <f t="array" aca="1" ref="D173" ca="1">IFERROR(_xlfn.IFS(C173="","",C173&lt;&gt;"",INDEX(SF_Output!I:I,MATCH(C173,SF_Output!M:M,0))),IFERROR(INDEX(INDIRECT($D$2&amp;"!G:G"),MATCH(C173,INDIRECT($D$2&amp;"!B:B"),0)),INDEX(INDIRECT("'"&amp;$D$2&amp;"'!G:G"),MATCH(C173,INDIRECT("'"&amp;$D$2&amp;"'!B:B"),0))))</f>
        <v>BI and Financial</v>
      </c>
      <c r="E173" t="str" cm="1">
        <f t="array" aca="1" ref="E173" ca="1">IFERROR(IF(C173="","",INDIRECT($D$2&amp;"!F"&amp;T173)),IF(C173="","",INDIRECT("'"&amp;$D$2&amp;"'"&amp;"!F"&amp;T173)))</f>
        <v>Optional</v>
      </c>
      <c r="F173" t="str" cm="1">
        <f t="array" aca="1" ref="F173" ca="1">IFERROR(IF(C173="","",INDIRECT($D$2&amp;"!ak"&amp;T173)),IF(C173="","",INDIRECT("'"&amp;$D$2&amp;"'"&amp;"!ak"&amp;T173)))</f>
        <v>PAP</v>
      </c>
      <c r="G173" cm="1">
        <f t="array" aca="1" ref="G173" ca="1">IFERROR(INDIRECT($D$2&amp;"!h"&amp;T173),INDIRECT("'"&amp;$D$2&amp;"'"&amp;"!h"&amp;T173))</f>
        <v>5000</v>
      </c>
      <c r="H173" s="125" cm="1">
        <f t="array" aca="1" ref="H173" ca="1">IFERROR(INDIRECT($D$2&amp;"!i"&amp;T173),INDIRECT("'"&amp;$D$2&amp;"'"&amp;"!i"&amp;T173))</f>
        <v>0.24979999999999999</v>
      </c>
      <c r="I173" s="113" cm="1">
        <f t="array" aca="1" ref="I173" ca="1">IFERROR(IF($C173="","",INDIRECT($D$2&amp;"!j"&amp;$T173)+INDIRECT($D$2&amp;"!n"&amp;$T173)),IF($C173="","",INDIRECT("'"&amp;$D$2&amp;"'"&amp;"!j"&amp;$T173)+INDIRECT("'"&amp;$D$2&amp;"'"&amp;"!n"&amp;$T173)))</f>
        <v>7500</v>
      </c>
      <c r="J173" s="113">
        <f t="shared" ca="1" si="9"/>
        <v>-7500</v>
      </c>
      <c r="K173" s="113" cm="1">
        <f t="array" aca="1" ref="K173" ca="1">IFERROR(IF($C173="","",INDIRECT($D$2&amp;"!l"&amp;$T173)+INDIRECT($D$2&amp;"!p"&amp;$T173)),IF($C173="","",INDIRECT("'"&amp;$D$2&amp;"'"&amp;"!l"&amp;$T173)+INDIRECT("'"&amp;$D$2&amp;"'"&amp;"!p"&amp;$T173)))</f>
        <v>0</v>
      </c>
      <c r="M173" s="113" cm="1">
        <f t="array" aca="1" ref="M173" ca="1">IFERROR(IF($C173="","",INDIRECT($D$2&amp;"!r"&amp;T173)),IF($C173="","",INDIRECT("'"&amp;$D$2&amp;"'"&amp;"!r"&amp;T173)))</f>
        <v>0</v>
      </c>
      <c r="N173" s="113">
        <f t="shared" ca="1" si="10"/>
        <v>0</v>
      </c>
      <c r="O173" s="113" cm="1">
        <f t="array" aca="1" ref="O173" ca="1">IFERROR(IF($C173="","",INDIRECT($D$2&amp;"!t"&amp;T173)),IF($C173="","",INDIRECT("'"&amp;$D$2&amp;"'"&amp;"!t"&amp;T173)))</f>
        <v>0</v>
      </c>
      <c r="Q173" s="113" cm="1">
        <f t="array" aca="1" ref="Q173" ca="1">IFERROR(IF($C173="","",INDIRECT($D$2&amp;"!v"&amp;T173)),IF($C173="","",INDIRECT("'"&amp;$D$2&amp;"'"&amp;"!v"&amp;T173)))</f>
        <v>1665</v>
      </c>
      <c r="R173" s="113">
        <f t="shared" ca="1" si="11"/>
        <v>-416</v>
      </c>
      <c r="S173" s="113" cm="1">
        <f t="array" aca="1" ref="S173" ca="1">IFERROR(IF($C173="","",INDIRECT($D$2&amp;"!x"&amp;T173)),IF($C173="","",INDIRECT("'"&amp;$D$2&amp;"'"&amp;"!x"&amp;T173)))</f>
        <v>1249</v>
      </c>
      <c r="T173" s="35">
        <v>161</v>
      </c>
      <c r="U173" s="113"/>
      <c r="V173" s="35">
        <v>161</v>
      </c>
    </row>
    <row r="174" spans="3:22" x14ac:dyDescent="0.25">
      <c r="C174" t="str" cm="1">
        <f t="array" aca="1" ref="C174" ca="1">IFERROR(IF(INDIRECT($D$2&amp;"!B"&amp;T174)="","",INDIRECT("'"&amp;$D$2&amp;"'"&amp;"!B"&amp;T174)),IF(INDIRECT("'"&amp;$D$2&amp;"'"&amp;"!B"&amp;T174)="","",INDIRECT("'"&amp;$D$2&amp;"'"&amp;"!B"&amp;T174)))</f>
        <v>Cognos BI Bundles</v>
      </c>
      <c r="D174" t="str" cm="1">
        <f t="array" aca="1" ref="D174" ca="1">IFERROR(_xlfn.IFS(C174="","",C174&lt;&gt;"",INDEX(SF_Output!I:I,MATCH(C174,SF_Output!M:M,0))),IFERROR(INDEX(INDIRECT($D$2&amp;"!G:G"),MATCH(C174,INDIRECT($D$2&amp;"!B:B"),0)),INDEX(INDIRECT("'"&amp;$D$2&amp;"'!G:G"),MATCH(C174,INDIRECT("'"&amp;$D$2&amp;"'!B:B"),0))))</f>
        <v>BI and Financial</v>
      </c>
      <c r="E174" t="str" cm="1">
        <f t="array" aca="1" ref="E174" ca="1">IFERROR(IF(C174="","",INDIRECT($D$2&amp;"!F"&amp;T174)),IF(C174="","",INDIRECT("'"&amp;$D$2&amp;"'"&amp;"!F"&amp;T174)))</f>
        <v>Included</v>
      </c>
      <c r="F174" t="str" cm="1">
        <f t="array" aca="1" ref="F174" ca="1">IFERROR(IF(C174="","",INDIRECT($D$2&amp;"!ak"&amp;T174)),IF(C174="","",INDIRECT("'"&amp;$D$2&amp;"'"&amp;"!ak"&amp;T174)))</f>
        <v/>
      </c>
      <c r="G174" cm="1">
        <f t="array" aca="1" ref="G174" ca="1">IFERROR(INDIRECT($D$2&amp;"!h"&amp;T174),INDIRECT("'"&amp;$D$2&amp;"'"&amp;"!h"&amp;T174))</f>
        <v>1</v>
      </c>
      <c r="H174" s="125" t="str" cm="1">
        <f t="array" aca="1" ref="H174" ca="1">IFERROR(INDIRECT($D$2&amp;"!i"&amp;T174),INDIRECT("'"&amp;$D$2&amp;"'"&amp;"!i"&amp;T174))</f>
        <v/>
      </c>
      <c r="I174" s="113" cm="1">
        <f t="array" aca="1" ref="I174" ca="1">IFERROR(IF($C174="","",INDIRECT($D$2&amp;"!j"&amp;$T174)+INDIRECT($D$2&amp;"!n"&amp;$T174)),IF($C174="","",INDIRECT("'"&amp;$D$2&amp;"'"&amp;"!j"&amp;$T174)+INDIRECT("'"&amp;$D$2&amp;"'"&amp;"!n"&amp;$T174)))</f>
        <v>5500</v>
      </c>
      <c r="J174" s="113">
        <f t="shared" ca="1" si="9"/>
        <v>0</v>
      </c>
      <c r="K174" s="113" cm="1">
        <f t="array" aca="1" ref="K174" ca="1">IFERROR(IF($C174="","",INDIRECT($D$2&amp;"!l"&amp;$T174)+INDIRECT($D$2&amp;"!p"&amp;$T174)),IF($C174="","",INDIRECT("'"&amp;$D$2&amp;"'"&amp;"!l"&amp;$T174)+INDIRECT("'"&amp;$D$2&amp;"'"&amp;"!p"&amp;$T174)))</f>
        <v>5500</v>
      </c>
      <c r="M174" s="113" cm="1">
        <f t="array" aca="1" ref="M174" ca="1">IFERROR(IF($C174="","",INDIRECT($D$2&amp;"!r"&amp;T174)),IF($C174="","",INDIRECT("'"&amp;$D$2&amp;"'"&amp;"!r"&amp;T174)))</f>
        <v>0</v>
      </c>
      <c r="N174" s="113">
        <f t="shared" ca="1" si="10"/>
        <v>0</v>
      </c>
      <c r="O174" s="113" cm="1">
        <f t="array" aca="1" ref="O174" ca="1">IFERROR(IF($C174="","",INDIRECT($D$2&amp;"!t"&amp;T174)),IF($C174="","",INDIRECT("'"&amp;$D$2&amp;"'"&amp;"!t"&amp;T174)))</f>
        <v>0</v>
      </c>
      <c r="Q174" s="113" cm="1">
        <f t="array" aca="1" ref="Q174" ca="1">IFERROR(IF($C174="","",INDIRECT($D$2&amp;"!v"&amp;T174)),IF($C174="","",INDIRECT("'"&amp;$D$2&amp;"'"&amp;"!v"&amp;T174)))</f>
        <v>665</v>
      </c>
      <c r="R174" s="113">
        <f t="shared" ca="1" si="11"/>
        <v>0</v>
      </c>
      <c r="S174" s="113" cm="1">
        <f t="array" aca="1" ref="S174" ca="1">IFERROR(IF($C174="","",INDIRECT($D$2&amp;"!x"&amp;T174)),IF($C174="","",INDIRECT("'"&amp;$D$2&amp;"'"&amp;"!x"&amp;T174)))</f>
        <v>665</v>
      </c>
      <c r="T174" s="35">
        <v>162</v>
      </c>
      <c r="U174" s="113"/>
      <c r="V174" s="35">
        <v>162</v>
      </c>
    </row>
    <row r="175" spans="3:22" x14ac:dyDescent="0.25">
      <c r="C175" t="str" cm="1">
        <f t="array" aca="1" ref="C175" ca="1">IFERROR(IF(INDIRECT($D$2&amp;"!B"&amp;T175)="","",INDIRECT("'"&amp;$D$2&amp;"'"&amp;"!B"&amp;T175)),IF(INDIRECT("'"&amp;$D$2&amp;"'"&amp;"!B"&amp;T175)="","",INDIRECT("'"&amp;$D$2&amp;"'"&amp;"!B"&amp;T175)))</f>
        <v>Cognos BI Data Dictionary jhaEnterprise Workflow</v>
      </c>
      <c r="D175" t="str" cm="1">
        <f t="array" aca="1" ref="D175" ca="1">IFERROR(_xlfn.IFS(C175="","",C175&lt;&gt;"",INDEX(SF_Output!I:I,MATCH(C175,SF_Output!M:M,0))),IFERROR(INDEX(INDIRECT($D$2&amp;"!G:G"),MATCH(C175,INDIRECT($D$2&amp;"!B:B"),0)),INDEX(INDIRECT("'"&amp;$D$2&amp;"'!G:G"),MATCH(C175,INDIRECT("'"&amp;$D$2&amp;"'!B:B"),0))))</f>
        <v>BI and Financial</v>
      </c>
      <c r="E175" t="str" cm="1">
        <f t="array" aca="1" ref="E175" ca="1">IFERROR(IF(C175="","",INDIRECT($D$2&amp;"!F"&amp;T175)),IF(C175="","",INDIRECT("'"&amp;$D$2&amp;"'"&amp;"!F"&amp;T175)))</f>
        <v>Included</v>
      </c>
      <c r="F175" t="str" cm="1">
        <f t="array" aca="1" ref="F175" ca="1">IFERROR(IF(C175="","",INDIRECT($D$2&amp;"!ak"&amp;T175)),IF(C175="","",INDIRECT("'"&amp;$D$2&amp;"'"&amp;"!ak"&amp;T175)))</f>
        <v>PAP</v>
      </c>
      <c r="G175" cm="1">
        <f t="array" aca="1" ref="G175" ca="1">IFERROR(INDIRECT($D$2&amp;"!h"&amp;T175),INDIRECT("'"&amp;$D$2&amp;"'"&amp;"!h"&amp;T175))</f>
        <v>5000</v>
      </c>
      <c r="H175" s="125" cm="1">
        <f t="array" aca="1" ref="H175" ca="1">IFERROR(INDIRECT($D$2&amp;"!i"&amp;T175),INDIRECT("'"&amp;$D$2&amp;"'"&amp;"!i"&amp;T175))</f>
        <v>1.5800000000000002E-2</v>
      </c>
      <c r="I175" s="113" cm="1">
        <f t="array" aca="1" ref="I175" ca="1">IFERROR(IF($C175="","",INDIRECT($D$2&amp;"!j"&amp;$T175)+INDIRECT($D$2&amp;"!n"&amp;$T175)),IF($C175="","",INDIRECT("'"&amp;$D$2&amp;"'"&amp;"!j"&amp;$T175)+INDIRECT("'"&amp;$D$2&amp;"'"&amp;"!n"&amp;$T175)))</f>
        <v>750</v>
      </c>
      <c r="J175" s="113">
        <f t="shared" ca="1" si="9"/>
        <v>-750</v>
      </c>
      <c r="K175" s="113" cm="1">
        <f t="array" aca="1" ref="K175" ca="1">IFERROR(IF($C175="","",INDIRECT($D$2&amp;"!l"&amp;$T175)+INDIRECT($D$2&amp;"!p"&amp;$T175)),IF($C175="","",INDIRECT("'"&amp;$D$2&amp;"'"&amp;"!l"&amp;$T175)+INDIRECT("'"&amp;$D$2&amp;"'"&amp;"!p"&amp;$T175)))</f>
        <v>0</v>
      </c>
      <c r="M175" s="113" cm="1">
        <f t="array" aca="1" ref="M175" ca="1">IFERROR(IF($C175="","",INDIRECT($D$2&amp;"!r"&amp;T175)),IF($C175="","",INDIRECT("'"&amp;$D$2&amp;"'"&amp;"!r"&amp;T175)))</f>
        <v>0</v>
      </c>
      <c r="N175" s="113">
        <f t="shared" ca="1" si="10"/>
        <v>0</v>
      </c>
      <c r="O175" s="113" cm="1">
        <f t="array" aca="1" ref="O175" ca="1">IFERROR(IF($C175="","",INDIRECT($D$2&amp;"!t"&amp;T175)),IF($C175="","",INDIRECT("'"&amp;$D$2&amp;"'"&amp;"!t"&amp;T175)))</f>
        <v>0</v>
      </c>
      <c r="Q175" s="113" cm="1">
        <f t="array" aca="1" ref="Q175" ca="1">IFERROR(IF($C175="","",INDIRECT($D$2&amp;"!v"&amp;T175)),IF($C175="","",INDIRECT("'"&amp;$D$2&amp;"'"&amp;"!v"&amp;T175)))</f>
        <v>105</v>
      </c>
      <c r="R175" s="113">
        <f t="shared" ca="1" si="11"/>
        <v>-25.999999999999986</v>
      </c>
      <c r="S175" s="113" cm="1">
        <f t="array" aca="1" ref="S175" ca="1">IFERROR(IF($C175="","",INDIRECT($D$2&amp;"!x"&amp;T175)),IF($C175="","",INDIRECT("'"&amp;$D$2&amp;"'"&amp;"!x"&amp;T175)))</f>
        <v>79.000000000000014</v>
      </c>
      <c r="T175" s="35">
        <v>163</v>
      </c>
      <c r="U175" s="113"/>
      <c r="V175" s="35">
        <v>163</v>
      </c>
    </row>
    <row r="176" spans="3:22" x14ac:dyDescent="0.25">
      <c r="C176" t="str" cm="1">
        <f t="array" aca="1" ref="C176" ca="1">IFERROR(IF(INDIRECT($D$2&amp;"!B"&amp;T176)="","",INDIRECT("'"&amp;$D$2&amp;"'"&amp;"!B"&amp;T176)),IF(INDIRECT("'"&amp;$D$2&amp;"'"&amp;"!B"&amp;T176)="","",INDIRECT("'"&amp;$D$2&amp;"'"&amp;"!B"&amp;T176)))</f>
        <v>Cognos BI Data Dictionary Synapsys</v>
      </c>
      <c r="D176" t="str" cm="1">
        <f t="array" aca="1" ref="D176" ca="1">IFERROR(_xlfn.IFS(C176="","",C176&lt;&gt;"",INDEX(SF_Output!I:I,MATCH(C176,SF_Output!M:M,0))),IFERROR(INDEX(INDIRECT($D$2&amp;"!G:G"),MATCH(C176,INDIRECT($D$2&amp;"!B:B"),0)),INDEX(INDIRECT("'"&amp;$D$2&amp;"'!G:G"),MATCH(C176,INDIRECT("'"&amp;$D$2&amp;"'!B:B"),0))))</f>
        <v>BI and Financial</v>
      </c>
      <c r="E176" t="str" cm="1">
        <f t="array" aca="1" ref="E176" ca="1">IFERROR(IF(C176="","",INDIRECT($D$2&amp;"!F"&amp;T176)),IF(C176="","",INDIRECT("'"&amp;$D$2&amp;"'"&amp;"!F"&amp;T176)))</f>
        <v>Included</v>
      </c>
      <c r="F176" t="str" cm="1">
        <f t="array" aca="1" ref="F176" ca="1">IFERROR(IF(C176="","",INDIRECT($D$2&amp;"!ak"&amp;T176)),IF(C176="","",INDIRECT("'"&amp;$D$2&amp;"'"&amp;"!ak"&amp;T176)))</f>
        <v>PAP</v>
      </c>
      <c r="G176" cm="1">
        <f t="array" aca="1" ref="G176" ca="1">IFERROR(INDIRECT($D$2&amp;"!h"&amp;T176),INDIRECT("'"&amp;$D$2&amp;"'"&amp;"!h"&amp;T176))</f>
        <v>5000</v>
      </c>
      <c r="H176" s="125" cm="1">
        <f t="array" aca="1" ref="H176" ca="1">IFERROR(INDIRECT($D$2&amp;"!i"&amp;T176),INDIRECT("'"&amp;$D$2&amp;"'"&amp;"!i"&amp;T176))</f>
        <v>1.5800000000000002E-2</v>
      </c>
      <c r="I176" s="113" cm="1">
        <f t="array" aca="1" ref="I176" ca="1">IFERROR(IF($C176="","",INDIRECT($D$2&amp;"!j"&amp;$T176)+INDIRECT($D$2&amp;"!n"&amp;$T176)),IF($C176="","",INDIRECT("'"&amp;$D$2&amp;"'"&amp;"!j"&amp;$T176)+INDIRECT("'"&amp;$D$2&amp;"'"&amp;"!n"&amp;$T176)))</f>
        <v>0</v>
      </c>
      <c r="J176" s="113">
        <f t="shared" ca="1" si="9"/>
        <v>0</v>
      </c>
      <c r="K176" s="113" cm="1">
        <f t="array" aca="1" ref="K176" ca="1">IFERROR(IF($C176="","",INDIRECT($D$2&amp;"!l"&amp;$T176)+INDIRECT($D$2&amp;"!p"&amp;$T176)),IF($C176="","",INDIRECT("'"&amp;$D$2&amp;"'"&amp;"!l"&amp;$T176)+INDIRECT("'"&amp;$D$2&amp;"'"&amp;"!p"&amp;$T176)))</f>
        <v>0</v>
      </c>
      <c r="M176" s="113" cm="1">
        <f t="array" aca="1" ref="M176" ca="1">IFERROR(IF($C176="","",INDIRECT($D$2&amp;"!r"&amp;T176)),IF($C176="","",INDIRECT("'"&amp;$D$2&amp;"'"&amp;"!r"&amp;T176)))</f>
        <v>0</v>
      </c>
      <c r="N176" s="113">
        <f t="shared" ca="1" si="10"/>
        <v>0</v>
      </c>
      <c r="O176" s="113" cm="1">
        <f t="array" aca="1" ref="O176" ca="1">IFERROR(IF($C176="","",INDIRECT($D$2&amp;"!t"&amp;T176)),IF($C176="","",INDIRECT("'"&amp;$D$2&amp;"'"&amp;"!t"&amp;T176)))</f>
        <v>0</v>
      </c>
      <c r="Q176" s="113" cm="1">
        <f t="array" aca="1" ref="Q176" ca="1">IFERROR(IF($C176="","",INDIRECT($D$2&amp;"!v"&amp;T176)),IF($C176="","",INDIRECT("'"&amp;$D$2&amp;"'"&amp;"!v"&amp;T176)))</f>
        <v>105</v>
      </c>
      <c r="R176" s="113">
        <f t="shared" ca="1" si="11"/>
        <v>-25.999999999999986</v>
      </c>
      <c r="S176" s="113" cm="1">
        <f t="array" aca="1" ref="S176" ca="1">IFERROR(IF($C176="","",INDIRECT($D$2&amp;"!x"&amp;T176)),IF($C176="","",INDIRECT("'"&amp;$D$2&amp;"'"&amp;"!x"&amp;T176)))</f>
        <v>79.000000000000014</v>
      </c>
      <c r="T176" s="35">
        <v>164</v>
      </c>
      <c r="U176" s="113"/>
      <c r="V176" s="35">
        <v>164</v>
      </c>
    </row>
    <row r="177" spans="3:22" x14ac:dyDescent="0.25">
      <c r="C177" t="str" cm="1">
        <f t="array" aca="1" ref="C177" ca="1">IFERROR(IF(INDIRECT($D$2&amp;"!B"&amp;T177)="","",INDIRECT("'"&amp;$D$2&amp;"'"&amp;"!B"&amp;T177)),IF(INDIRECT("'"&amp;$D$2&amp;"'"&amp;"!B"&amp;T177)="","",INDIRECT("'"&amp;$D$2&amp;"'"&amp;"!B"&amp;T177)))</f>
        <v>Cognos BI Data Dictionary Synergy</v>
      </c>
      <c r="D177" t="str" cm="1">
        <f t="array" aca="1" ref="D177" ca="1">IFERROR(_xlfn.IFS(C177="","",C177&lt;&gt;"",INDEX(SF_Output!I:I,MATCH(C177,SF_Output!M:M,0))),IFERROR(INDEX(INDIRECT($D$2&amp;"!G:G"),MATCH(C177,INDIRECT($D$2&amp;"!B:B"),0)),INDEX(INDIRECT("'"&amp;$D$2&amp;"'!G:G"),MATCH(C177,INDIRECT("'"&amp;$D$2&amp;"'!B:B"),0))))</f>
        <v>BI and Financial</v>
      </c>
      <c r="E177" t="str" cm="1">
        <f t="array" aca="1" ref="E177" ca="1">IFERROR(IF(C177="","",INDIRECT($D$2&amp;"!F"&amp;T177)),IF(C177="","",INDIRECT("'"&amp;$D$2&amp;"'"&amp;"!F"&amp;T177)))</f>
        <v>Included</v>
      </c>
      <c r="F177" t="str" cm="1">
        <f t="array" aca="1" ref="F177" ca="1">IFERROR(IF(C177="","",INDIRECT($D$2&amp;"!ak"&amp;T177)),IF(C177="","",INDIRECT("'"&amp;$D$2&amp;"'"&amp;"!ak"&amp;T177)))</f>
        <v>PAP</v>
      </c>
      <c r="G177" cm="1">
        <f t="array" aca="1" ref="G177" ca="1">IFERROR(INDIRECT($D$2&amp;"!h"&amp;T177),INDIRECT("'"&amp;$D$2&amp;"'"&amp;"!h"&amp;T177))</f>
        <v>5000</v>
      </c>
      <c r="H177" s="125" cm="1">
        <f t="array" aca="1" ref="H177" ca="1">IFERROR(INDIRECT($D$2&amp;"!i"&amp;T177),INDIRECT("'"&amp;$D$2&amp;"'"&amp;"!i"&amp;T177))</f>
        <v>1.5800000000000002E-2</v>
      </c>
      <c r="I177" s="113" cm="1">
        <f t="array" aca="1" ref="I177" ca="1">IFERROR(IF($C177="","",INDIRECT($D$2&amp;"!j"&amp;$T177)+INDIRECT($D$2&amp;"!n"&amp;$T177)),IF($C177="","",INDIRECT("'"&amp;$D$2&amp;"'"&amp;"!j"&amp;$T177)+INDIRECT("'"&amp;$D$2&amp;"'"&amp;"!n"&amp;$T177)))</f>
        <v>1500</v>
      </c>
      <c r="J177" s="113">
        <f t="shared" ca="1" si="9"/>
        <v>-1500</v>
      </c>
      <c r="K177" s="113" cm="1">
        <f t="array" aca="1" ref="K177" ca="1">IFERROR(IF($C177="","",INDIRECT($D$2&amp;"!l"&amp;$T177)+INDIRECT($D$2&amp;"!p"&amp;$T177)),IF($C177="","",INDIRECT("'"&amp;$D$2&amp;"'"&amp;"!l"&amp;$T177)+INDIRECT("'"&amp;$D$2&amp;"'"&amp;"!p"&amp;$T177)))</f>
        <v>0</v>
      </c>
      <c r="M177" s="113" cm="1">
        <f t="array" aca="1" ref="M177" ca="1">IFERROR(IF($C177="","",INDIRECT($D$2&amp;"!r"&amp;T177)),IF($C177="","",INDIRECT("'"&amp;$D$2&amp;"'"&amp;"!r"&amp;T177)))</f>
        <v>0</v>
      </c>
      <c r="N177" s="113">
        <f t="shared" ca="1" si="10"/>
        <v>0</v>
      </c>
      <c r="O177" s="113" cm="1">
        <f t="array" aca="1" ref="O177" ca="1">IFERROR(IF($C177="","",INDIRECT($D$2&amp;"!t"&amp;T177)),IF($C177="","",INDIRECT("'"&amp;$D$2&amp;"'"&amp;"!t"&amp;T177)))</f>
        <v>0</v>
      </c>
      <c r="Q177" s="113" cm="1">
        <f t="array" aca="1" ref="Q177" ca="1">IFERROR(IF($C177="","",INDIRECT($D$2&amp;"!v"&amp;T177)),IF($C177="","",INDIRECT("'"&amp;$D$2&amp;"'"&amp;"!v"&amp;T177)))</f>
        <v>105</v>
      </c>
      <c r="R177" s="113">
        <f t="shared" ca="1" si="11"/>
        <v>-25.999999999999986</v>
      </c>
      <c r="S177" s="113" cm="1">
        <f t="array" aca="1" ref="S177" ca="1">IFERROR(IF($C177="","",INDIRECT($D$2&amp;"!x"&amp;T177)),IF($C177="","",INDIRECT("'"&amp;$D$2&amp;"'"&amp;"!x"&amp;T177)))</f>
        <v>79.000000000000014</v>
      </c>
      <c r="T177" s="35">
        <v>165</v>
      </c>
      <c r="U177" s="113"/>
      <c r="V177" s="35">
        <v>165</v>
      </c>
    </row>
    <row r="178" spans="3:22" x14ac:dyDescent="0.25">
      <c r="C178" t="str" cm="1">
        <f t="array" aca="1" ref="C178" ca="1">IFERROR(IF(INDIRECT($D$2&amp;"!B"&amp;T178)="","",INDIRECT("'"&amp;$D$2&amp;"'"&amp;"!B"&amp;T178)),IF(INDIRECT("'"&amp;$D$2&amp;"'"&amp;"!B"&amp;T178)="","",INDIRECT("'"&amp;$D$2&amp;"'"&amp;"!B"&amp;T178)))</f>
        <v>Cognos BI Data Dictionary Month-End(Silverlake)</v>
      </c>
      <c r="D178" t="str" cm="1">
        <f t="array" aca="1" ref="D178" ca="1">IFERROR(_xlfn.IFS(C178="","",C178&lt;&gt;"",INDEX(SF_Output!I:I,MATCH(C178,SF_Output!M:M,0))),IFERROR(INDEX(INDIRECT($D$2&amp;"!G:G"),MATCH(C178,INDIRECT($D$2&amp;"!B:B"),0)),INDEX(INDIRECT("'"&amp;$D$2&amp;"'!G:G"),MATCH(C178,INDIRECT("'"&amp;$D$2&amp;"'!B:B"),0))))</f>
        <v>BI and Financial</v>
      </c>
      <c r="E178" t="str" cm="1">
        <f t="array" aca="1" ref="E178" ca="1">IFERROR(IF(C178="","",INDIRECT($D$2&amp;"!F"&amp;T178)),IF(C178="","",INDIRECT("'"&amp;$D$2&amp;"'"&amp;"!F"&amp;T178)))</f>
        <v>Included</v>
      </c>
      <c r="F178" t="str" cm="1">
        <f t="array" aca="1" ref="F178" ca="1">IFERROR(IF(C178="","",INDIRECT($D$2&amp;"!ak"&amp;T178)),IF(C178="","",INDIRECT("'"&amp;$D$2&amp;"'"&amp;"!ak"&amp;T178)))</f>
        <v>PAP</v>
      </c>
      <c r="G178" cm="1">
        <f t="array" aca="1" ref="G178" ca="1">IFERROR(INDIRECT($D$2&amp;"!h"&amp;T178),INDIRECT("'"&amp;$D$2&amp;"'"&amp;"!h"&amp;T178))</f>
        <v>5000</v>
      </c>
      <c r="H178" s="125" cm="1">
        <f t="array" aca="1" ref="H178" ca="1">IFERROR(INDIRECT($D$2&amp;"!i"&amp;T178),INDIRECT("'"&amp;$D$2&amp;"'"&amp;"!i"&amp;T178))</f>
        <v>1.5800000000000002E-2</v>
      </c>
      <c r="I178" s="113" cm="1">
        <f t="array" aca="1" ref="I178" ca="1">IFERROR(IF($C178="","",INDIRECT($D$2&amp;"!j"&amp;$T178)+INDIRECT($D$2&amp;"!n"&amp;$T178)),IF($C178="","",INDIRECT("'"&amp;$D$2&amp;"'"&amp;"!j"&amp;$T178)+INDIRECT("'"&amp;$D$2&amp;"'"&amp;"!n"&amp;$T178)))</f>
        <v>0</v>
      </c>
      <c r="J178" s="113">
        <f t="shared" ca="1" si="9"/>
        <v>0</v>
      </c>
      <c r="K178" s="113" cm="1">
        <f t="array" aca="1" ref="K178" ca="1">IFERROR(IF($C178="","",INDIRECT($D$2&amp;"!l"&amp;$T178)+INDIRECT($D$2&amp;"!p"&amp;$T178)),IF($C178="","",INDIRECT("'"&amp;$D$2&amp;"'"&amp;"!l"&amp;$T178)+INDIRECT("'"&amp;$D$2&amp;"'"&amp;"!p"&amp;$T178)))</f>
        <v>0</v>
      </c>
      <c r="M178" s="113" cm="1">
        <f t="array" aca="1" ref="M178" ca="1">IFERROR(IF($C178="","",INDIRECT($D$2&amp;"!r"&amp;T178)),IF($C178="","",INDIRECT("'"&amp;$D$2&amp;"'"&amp;"!r"&amp;T178)))</f>
        <v>0</v>
      </c>
      <c r="N178" s="113">
        <f t="shared" ca="1" si="10"/>
        <v>0</v>
      </c>
      <c r="O178" s="113" cm="1">
        <f t="array" aca="1" ref="O178" ca="1">IFERROR(IF($C178="","",INDIRECT($D$2&amp;"!t"&amp;T178)),IF($C178="","",INDIRECT("'"&amp;$D$2&amp;"'"&amp;"!t"&amp;T178)))</f>
        <v>0</v>
      </c>
      <c r="Q178" s="113" cm="1">
        <f t="array" aca="1" ref="Q178" ca="1">IFERROR(IF($C178="","",INDIRECT($D$2&amp;"!v"&amp;T178)),IF($C178="","",INDIRECT("'"&amp;$D$2&amp;"'"&amp;"!v"&amp;T178)))</f>
        <v>105</v>
      </c>
      <c r="R178" s="113">
        <f t="shared" ca="1" si="11"/>
        <v>-25.999999999999986</v>
      </c>
      <c r="S178" s="113" cm="1">
        <f t="array" aca="1" ref="S178" ca="1">IFERROR(IF($C178="","",INDIRECT($D$2&amp;"!x"&amp;T178)),IF($C178="","",INDIRECT("'"&amp;$D$2&amp;"'"&amp;"!x"&amp;T178)))</f>
        <v>79.000000000000014</v>
      </c>
      <c r="T178" s="35">
        <v>166</v>
      </c>
      <c r="U178" s="113"/>
      <c r="V178" s="35">
        <v>166</v>
      </c>
    </row>
    <row r="179" spans="3:22" x14ac:dyDescent="0.25">
      <c r="C179" t="str" cm="1">
        <f t="array" aca="1" ref="C179" ca="1">IFERROR(IF(INDIRECT($D$2&amp;"!B"&amp;T179)="","",INDIRECT("'"&amp;$D$2&amp;"'"&amp;"!B"&amp;T179)),IF(INDIRECT("'"&amp;$D$2&amp;"'"&amp;"!B"&amp;T179)="","",INDIRECT("'"&amp;$D$2&amp;"'"&amp;"!B"&amp;T179)))</f>
        <v>FPS Enterprise</v>
      </c>
      <c r="D179" t="str" cm="1">
        <f t="array" aca="1" ref="D179" ca="1">IFERROR(_xlfn.IFS(C179="","",C179&lt;&gt;"",INDEX(SF_Output!I:I,MATCH(C179,SF_Output!M:M,0))),IFERROR(INDEX(INDIRECT($D$2&amp;"!G:G"),MATCH(C179,INDIRECT($D$2&amp;"!B:B"),0)),INDEX(INDIRECT("'"&amp;$D$2&amp;"'!G:G"),MATCH(C179,INDIRECT("'"&amp;$D$2&amp;"'!B:B"),0))))</f>
        <v>BI and Financial</v>
      </c>
      <c r="E179" t="str" cm="1">
        <f t="array" aca="1" ref="E179" ca="1">IFERROR(IF(C179="","",INDIRECT($D$2&amp;"!F"&amp;T179)),IF(C179="","",INDIRECT("'"&amp;$D$2&amp;"'"&amp;"!F"&amp;T179)))</f>
        <v>Included</v>
      </c>
      <c r="F179" t="str" cm="1">
        <f t="array" aca="1" ref="F179" ca="1">IFERROR(IF(C179="","",INDIRECT($D$2&amp;"!ak"&amp;T179)),IF(C179="","",INDIRECT("'"&amp;$D$2&amp;"'"&amp;"!ak"&amp;T179)))</f>
        <v>PAP</v>
      </c>
      <c r="G179" cm="1">
        <f t="array" aca="1" ref="G179" ca="1">IFERROR(INDIRECT($D$2&amp;"!h"&amp;T179),INDIRECT("'"&amp;$D$2&amp;"'"&amp;"!h"&amp;T179))</f>
        <v>5000</v>
      </c>
      <c r="H179" s="125" cm="1">
        <f t="array" aca="1" ref="H179" ca="1">IFERROR(INDIRECT($D$2&amp;"!i"&amp;T179),INDIRECT("'"&amp;$D$2&amp;"'"&amp;"!i"&amp;T179))</f>
        <v>2.7799999999999998E-2</v>
      </c>
      <c r="I179" s="113" cm="1">
        <f t="array" aca="1" ref="I179" ca="1">IFERROR(IF($C179="","",INDIRECT($D$2&amp;"!j"&amp;$T179)+INDIRECT($D$2&amp;"!n"&amp;$T179)),IF($C179="","",INDIRECT("'"&amp;$D$2&amp;"'"&amp;"!j"&amp;$T179)+INDIRECT("'"&amp;$D$2&amp;"'"&amp;"!n"&amp;$T179)))</f>
        <v>0</v>
      </c>
      <c r="J179" s="113">
        <f t="shared" ca="1" si="9"/>
        <v>0</v>
      </c>
      <c r="K179" s="113" cm="1">
        <f t="array" aca="1" ref="K179" ca="1">IFERROR(IF($C179="","",INDIRECT($D$2&amp;"!l"&amp;$T179)+INDIRECT($D$2&amp;"!p"&amp;$T179)),IF($C179="","",INDIRECT("'"&amp;$D$2&amp;"'"&amp;"!l"&amp;$T179)+INDIRECT("'"&amp;$D$2&amp;"'"&amp;"!p"&amp;$T179)))</f>
        <v>0</v>
      </c>
      <c r="M179" s="113" cm="1">
        <f t="array" aca="1" ref="M179" ca="1">IFERROR(IF($C179="","",INDIRECT($D$2&amp;"!r"&amp;T179)),IF($C179="","",INDIRECT("'"&amp;$D$2&amp;"'"&amp;"!r"&amp;T179)))</f>
        <v>0</v>
      </c>
      <c r="N179" s="113">
        <f t="shared" ca="1" si="10"/>
        <v>0</v>
      </c>
      <c r="O179" s="113" cm="1">
        <f t="array" aca="1" ref="O179" ca="1">IFERROR(IF($C179="","",INDIRECT($D$2&amp;"!t"&amp;T179)),IF($C179="","",INDIRECT("'"&amp;$D$2&amp;"'"&amp;"!t"&amp;T179)))</f>
        <v>0</v>
      </c>
      <c r="Q179" s="113" cm="1">
        <f t="array" aca="1" ref="Q179" ca="1">IFERROR(IF($C179="","",INDIRECT($D$2&amp;"!v"&amp;T179)),IF($C179="","",INDIRECT("'"&amp;$D$2&amp;"'"&amp;"!v"&amp;T179)))</f>
        <v>185</v>
      </c>
      <c r="R179" s="113">
        <f t="shared" ca="1" si="11"/>
        <v>-46</v>
      </c>
      <c r="S179" s="113" cm="1">
        <f t="array" aca="1" ref="S179" ca="1">IFERROR(IF($C179="","",INDIRECT($D$2&amp;"!x"&amp;T179)),IF($C179="","",INDIRECT("'"&amp;$D$2&amp;"'"&amp;"!x"&amp;T179)))</f>
        <v>139</v>
      </c>
      <c r="T179" s="35">
        <v>167</v>
      </c>
      <c r="U179" s="113"/>
      <c r="V179" s="35">
        <v>167</v>
      </c>
    </row>
    <row r="180" spans="3:22" x14ac:dyDescent="0.25">
      <c r="C180" t="str" cm="1">
        <f t="array" aca="1" ref="C180" ca="1">IFERROR(IF(INDIRECT($D$2&amp;"!B"&amp;T180)="","",INDIRECT("'"&amp;$D$2&amp;"'"&amp;"!B"&amp;T180)),IF(INDIRECT("'"&amp;$D$2&amp;"'"&amp;"!B"&amp;T180)="","",INDIRECT("'"&amp;$D$2&amp;"'"&amp;"!B"&amp;T180)))</f>
        <v>FPS Forecasting and Financial Reporting</v>
      </c>
      <c r="D180" t="str" cm="1">
        <f t="array" aca="1" ref="D180" ca="1">IFERROR(_xlfn.IFS(C180="","",C180&lt;&gt;"",INDEX(SF_Output!I:I,MATCH(C180,SF_Output!M:M,0))),IFERROR(INDEX(INDIRECT($D$2&amp;"!G:G"),MATCH(C180,INDIRECT($D$2&amp;"!B:B"),0)),INDEX(INDIRECT("'"&amp;$D$2&amp;"'!G:G"),MATCH(C180,INDIRECT("'"&amp;$D$2&amp;"'!B:B"),0))))</f>
        <v>BI and Financial</v>
      </c>
      <c r="E180" t="str" cm="1">
        <f t="array" aca="1" ref="E180" ca="1">IFERROR(IF(C180="","",INDIRECT($D$2&amp;"!F"&amp;T180)),IF(C180="","",INDIRECT("'"&amp;$D$2&amp;"'"&amp;"!F"&amp;T180)))</f>
        <v>Included</v>
      </c>
      <c r="F180" t="str" cm="1">
        <f t="array" aca="1" ref="F180" ca="1">IFERROR(IF(C180="","",INDIRECT($D$2&amp;"!ak"&amp;T180)),IF(C180="","",INDIRECT("'"&amp;$D$2&amp;"'"&amp;"!ak"&amp;T180)))</f>
        <v>PAP</v>
      </c>
      <c r="G180" cm="1">
        <f t="array" aca="1" ref="G180" ca="1">IFERROR(INDIRECT($D$2&amp;"!h"&amp;T180),INDIRECT("'"&amp;$D$2&amp;"'"&amp;"!h"&amp;T180))</f>
        <v>5000</v>
      </c>
      <c r="H180" s="125" cm="1">
        <f t="array" aca="1" ref="H180" ca="1">IFERROR(INDIRECT($D$2&amp;"!i"&amp;T180),INDIRECT("'"&amp;$D$2&amp;"'"&amp;"!i"&amp;T180))</f>
        <v>3.0800000000000001E-2</v>
      </c>
      <c r="I180" s="113" cm="1">
        <f t="array" aca="1" ref="I180" ca="1">IFERROR(IF($C180="","",INDIRECT($D$2&amp;"!j"&amp;$T180)+INDIRECT($D$2&amp;"!n"&amp;$T180)),IF($C180="","",INDIRECT("'"&amp;$D$2&amp;"'"&amp;"!j"&amp;$T180)+INDIRECT("'"&amp;$D$2&amp;"'"&amp;"!n"&amp;$T180)))</f>
        <v>4000</v>
      </c>
      <c r="J180" s="113">
        <f t="shared" ca="1" si="9"/>
        <v>-4000</v>
      </c>
      <c r="K180" s="113" cm="1">
        <f t="array" aca="1" ref="K180" ca="1">IFERROR(IF($C180="","",INDIRECT($D$2&amp;"!l"&amp;$T180)+INDIRECT($D$2&amp;"!p"&amp;$T180)),IF($C180="","",INDIRECT("'"&amp;$D$2&amp;"'"&amp;"!l"&amp;$T180)+INDIRECT("'"&amp;$D$2&amp;"'"&amp;"!p"&amp;$T180)))</f>
        <v>0</v>
      </c>
      <c r="M180" s="113" cm="1">
        <f t="array" aca="1" ref="M180" ca="1">IFERROR(IF($C180="","",INDIRECT($D$2&amp;"!r"&amp;T180)),IF($C180="","",INDIRECT("'"&amp;$D$2&amp;"'"&amp;"!r"&amp;T180)))</f>
        <v>0</v>
      </c>
      <c r="N180" s="113">
        <f t="shared" ca="1" si="10"/>
        <v>0</v>
      </c>
      <c r="O180" s="113" cm="1">
        <f t="array" aca="1" ref="O180" ca="1">IFERROR(IF($C180="","",INDIRECT($D$2&amp;"!t"&amp;T180)),IF($C180="","",INDIRECT("'"&amp;$D$2&amp;"'"&amp;"!t"&amp;T180)))</f>
        <v>0</v>
      </c>
      <c r="Q180" s="113" cm="1">
        <f t="array" aca="1" ref="Q180" ca="1">IFERROR(IF($C180="","",INDIRECT($D$2&amp;"!v"&amp;T180)),IF($C180="","",INDIRECT("'"&amp;$D$2&amp;"'"&amp;"!v"&amp;T180)))</f>
        <v>205</v>
      </c>
      <c r="R180" s="113">
        <f t="shared" ca="1" si="11"/>
        <v>-51</v>
      </c>
      <c r="S180" s="113" cm="1">
        <f t="array" aca="1" ref="S180" ca="1">IFERROR(IF($C180="","",INDIRECT($D$2&amp;"!x"&amp;T180)),IF($C180="","",INDIRECT("'"&amp;$D$2&amp;"'"&amp;"!x"&amp;T180)))</f>
        <v>154</v>
      </c>
      <c r="T180" s="35">
        <v>168</v>
      </c>
      <c r="U180" s="113"/>
      <c r="V180" s="35">
        <v>168</v>
      </c>
    </row>
    <row r="181" spans="3:22" x14ac:dyDescent="0.25">
      <c r="C181" t="str" cm="1">
        <f t="array" aca="1" ref="C181" ca="1">IFERROR(IF(INDIRECT($D$2&amp;"!B"&amp;T181)="","",INDIRECT("'"&amp;$D$2&amp;"'"&amp;"!B"&amp;T181)),IF(INDIRECT("'"&amp;$D$2&amp;"'"&amp;"!B"&amp;T181)="","",INDIRECT("'"&amp;$D$2&amp;"'"&amp;"!B"&amp;T181)))</f>
        <v>ProfitStars ALM Basic Reporting Service</v>
      </c>
      <c r="D181" t="str" cm="1">
        <f t="array" aca="1" ref="D181" ca="1">IFERROR(_xlfn.IFS(C181="","",C181&lt;&gt;"",INDEX(SF_Output!I:I,MATCH(C181,SF_Output!M:M,0))),IFERROR(INDEX(INDIRECT($D$2&amp;"!G:G"),MATCH(C181,INDIRECT($D$2&amp;"!B:B"),0)),INDEX(INDIRECT("'"&amp;$D$2&amp;"'!G:G"),MATCH(C181,INDIRECT("'"&amp;$D$2&amp;"'!B:B"),0))))</f>
        <v>BI and Financial</v>
      </c>
      <c r="E181" t="str" cm="1">
        <f t="array" aca="1" ref="E181" ca="1">IFERROR(IF(C181="","",INDIRECT($D$2&amp;"!F"&amp;T181)),IF(C181="","",INDIRECT("'"&amp;$D$2&amp;"'"&amp;"!F"&amp;T181)))</f>
        <v>Included</v>
      </c>
      <c r="F181" t="str" cm="1">
        <f t="array" aca="1" ref="F181" ca="1">IFERROR(IF(C181="","",INDIRECT($D$2&amp;"!ak"&amp;T181)),IF(C181="","",INDIRECT("'"&amp;$D$2&amp;"'"&amp;"!ak"&amp;T181)))</f>
        <v/>
      </c>
      <c r="G181" cm="1">
        <f t="array" aca="1" ref="G181" ca="1">IFERROR(INDIRECT($D$2&amp;"!h"&amp;T181),INDIRECT("'"&amp;$D$2&amp;"'"&amp;"!h"&amp;T181))</f>
        <v>1</v>
      </c>
      <c r="H181" s="125" t="str" cm="1">
        <f t="array" aca="1" ref="H181" ca="1">IFERROR(INDIRECT($D$2&amp;"!i"&amp;T181),INDIRECT("'"&amp;$D$2&amp;"'"&amp;"!i"&amp;T181))</f>
        <v/>
      </c>
      <c r="I181" s="113" cm="1">
        <f t="array" aca="1" ref="I181" ca="1">IFERROR(IF($C181="","",INDIRECT($D$2&amp;"!j"&amp;$T181)+INDIRECT($D$2&amp;"!n"&amp;$T181)),IF($C181="","",INDIRECT("'"&amp;$D$2&amp;"'"&amp;"!j"&amp;$T181)+INDIRECT("'"&amp;$D$2&amp;"'"&amp;"!n"&amp;$T181)))</f>
        <v>3200</v>
      </c>
      <c r="J181" s="113">
        <f t="shared" ca="1" si="9"/>
        <v>-3200</v>
      </c>
      <c r="K181" s="113" cm="1">
        <f t="array" aca="1" ref="K181" ca="1">IFERROR(IF($C181="","",INDIRECT($D$2&amp;"!l"&amp;$T181)+INDIRECT($D$2&amp;"!p"&amp;$T181)),IF($C181="","",INDIRECT("'"&amp;$D$2&amp;"'"&amp;"!l"&amp;$T181)+INDIRECT("'"&amp;$D$2&amp;"'"&amp;"!p"&amp;$T181)))</f>
        <v>0</v>
      </c>
      <c r="M181" s="113" cm="1">
        <f t="array" aca="1" ref="M181" ca="1">IFERROR(IF($C181="","",INDIRECT($D$2&amp;"!r"&amp;T181)),IF($C181="","",INDIRECT("'"&amp;$D$2&amp;"'"&amp;"!r"&amp;T181)))</f>
        <v>4940</v>
      </c>
      <c r="N181" s="113">
        <f t="shared" ca="1" si="10"/>
        <v>0</v>
      </c>
      <c r="O181" s="113" cm="1">
        <f t="array" aca="1" ref="O181" ca="1">IFERROR(IF($C181="","",INDIRECT($D$2&amp;"!t"&amp;T181)),IF($C181="","",INDIRECT("'"&amp;$D$2&amp;"'"&amp;"!t"&amp;T181)))</f>
        <v>4940</v>
      </c>
      <c r="Q181" s="113" cm="1">
        <f t="array" aca="1" ref="Q181" ca="1">IFERROR(IF($C181="","",INDIRECT($D$2&amp;"!v"&amp;T181)),IF($C181="","",INDIRECT("'"&amp;$D$2&amp;"'"&amp;"!v"&amp;T181)))</f>
        <v>0</v>
      </c>
      <c r="R181" s="113">
        <f t="shared" ca="1" si="11"/>
        <v>0</v>
      </c>
      <c r="S181" s="113" cm="1">
        <f t="array" aca="1" ref="S181" ca="1">IFERROR(IF($C181="","",INDIRECT($D$2&amp;"!x"&amp;T181)),IF($C181="","",INDIRECT("'"&amp;$D$2&amp;"'"&amp;"!x"&amp;T181)))</f>
        <v>0</v>
      </c>
      <c r="T181" s="35">
        <v>169</v>
      </c>
      <c r="U181" s="113"/>
      <c r="V181" s="35">
        <v>169</v>
      </c>
    </row>
    <row r="182" spans="3:22" x14ac:dyDescent="0.25">
      <c r="C182" t="str" cm="1">
        <f t="array" aca="1" ref="C182" ca="1">IFERROR(IF(INDIRECT($D$2&amp;"!B"&amp;T182)="","",INDIRECT("'"&amp;$D$2&amp;"'"&amp;"!B"&amp;T182)),IF(INDIRECT("'"&amp;$D$2&amp;"'"&amp;"!B"&amp;T182)="","",INDIRECT("'"&amp;$D$2&amp;"'"&amp;"!B"&amp;T182)))</f>
        <v>Core Implementation Training</v>
      </c>
      <c r="D182" t="str" cm="1">
        <f t="array" aca="1" ref="D182" ca="1">IFERROR(_xlfn.IFS(C182="","",C182&lt;&gt;"",INDEX(SF_Output!I:I,MATCH(C182,SF_Output!M:M,0))),IFERROR(INDEX(INDIRECT($D$2&amp;"!G:G"),MATCH(C182,INDIRECT($D$2&amp;"!B:B"),0)),INDEX(INDIRECT("'"&amp;$D$2&amp;"'!G:G"),MATCH(C182,INDIRECT("'"&amp;$D$2&amp;"'!B:B"),0))))</f>
        <v>Training</v>
      </c>
      <c r="E182" t="str" cm="1">
        <f t="array" aca="1" ref="E182" ca="1">IFERROR(IF(C182="","",INDIRECT($D$2&amp;"!F"&amp;T182)),IF(C182="","",INDIRECT("'"&amp;$D$2&amp;"'"&amp;"!F"&amp;T182)))</f>
        <v>Included</v>
      </c>
      <c r="F182" t="str" cm="1">
        <f t="array" aca="1" ref="F182" ca="1">IFERROR(IF(C182="","",INDIRECT($D$2&amp;"!ak"&amp;T182)),IF(C182="","",INDIRECT("'"&amp;$D$2&amp;"'"&amp;"!ak"&amp;T182)))</f>
        <v/>
      </c>
      <c r="G182" cm="1">
        <f t="array" aca="1" ref="G182" ca="1">IFERROR(INDIRECT($D$2&amp;"!h"&amp;T182),INDIRECT("'"&amp;$D$2&amp;"'"&amp;"!h"&amp;T182))</f>
        <v>1</v>
      </c>
      <c r="H182" s="125" t="str" cm="1">
        <f t="array" aca="1" ref="H182" ca="1">IFERROR(INDIRECT($D$2&amp;"!i"&amp;T182),INDIRECT("'"&amp;$D$2&amp;"'"&amp;"!i"&amp;T182))</f>
        <v/>
      </c>
      <c r="I182" s="113" cm="1">
        <f t="array" aca="1" ref="I182" ca="1">IFERROR(IF($C182="","",INDIRECT($D$2&amp;"!j"&amp;$T182)+INDIRECT($D$2&amp;"!n"&amp;$T182)),IF($C182="","",INDIRECT("'"&amp;$D$2&amp;"'"&amp;"!j"&amp;$T182)+INDIRECT("'"&amp;$D$2&amp;"'"&amp;"!n"&amp;$T182)))</f>
        <v>30000</v>
      </c>
      <c r="J182" s="113">
        <f t="shared" ca="1" si="9"/>
        <v>0</v>
      </c>
      <c r="K182" s="113" cm="1">
        <f t="array" aca="1" ref="K182" ca="1">IFERROR(IF($C182="","",INDIRECT($D$2&amp;"!l"&amp;$T182)+INDIRECT($D$2&amp;"!p"&amp;$T182)),IF($C182="","",INDIRECT("'"&amp;$D$2&amp;"'"&amp;"!l"&amp;$T182)+INDIRECT("'"&amp;$D$2&amp;"'"&amp;"!p"&amp;$T182)))</f>
        <v>30000</v>
      </c>
      <c r="M182" s="113" cm="1">
        <f t="array" aca="1" ref="M182" ca="1">IFERROR(IF($C182="","",INDIRECT($D$2&amp;"!r"&amp;T182)),IF($C182="","",INDIRECT("'"&amp;$D$2&amp;"'"&amp;"!r"&amp;T182)))</f>
        <v>0</v>
      </c>
      <c r="N182" s="113">
        <f t="shared" ca="1" si="10"/>
        <v>0</v>
      </c>
      <c r="O182" s="113" cm="1">
        <f t="array" aca="1" ref="O182" ca="1">IFERROR(IF($C182="","",INDIRECT($D$2&amp;"!t"&amp;T182)),IF($C182="","",INDIRECT("'"&amp;$D$2&amp;"'"&amp;"!t"&amp;T182)))</f>
        <v>0</v>
      </c>
      <c r="Q182" s="113" cm="1">
        <f t="array" aca="1" ref="Q182" ca="1">IFERROR(IF($C182="","",INDIRECT($D$2&amp;"!v"&amp;T182)),IF($C182="","",INDIRECT("'"&amp;$D$2&amp;"'"&amp;"!v"&amp;T182)))</f>
        <v>0</v>
      </c>
      <c r="R182" s="113">
        <f t="shared" ca="1" si="11"/>
        <v>0</v>
      </c>
      <c r="S182" s="113" cm="1">
        <f t="array" aca="1" ref="S182" ca="1">IFERROR(IF($C182="","",INDIRECT($D$2&amp;"!x"&amp;T182)),IF($C182="","",INDIRECT("'"&amp;$D$2&amp;"'"&amp;"!x"&amp;T182)))</f>
        <v>0</v>
      </c>
      <c r="T182" s="35">
        <v>170</v>
      </c>
      <c r="U182" s="113"/>
      <c r="V182" s="35">
        <v>170</v>
      </c>
    </row>
    <row r="183" spans="3:22" x14ac:dyDescent="0.25">
      <c r="C183" t="str" cm="1">
        <f t="array" aca="1" ref="C183" ca="1">IFERROR(IF(INDIRECT($D$2&amp;"!B"&amp;T183)="","",INDIRECT("'"&amp;$D$2&amp;"'"&amp;"!B"&amp;T183)),IF(INDIRECT("'"&amp;$D$2&amp;"'"&amp;"!B"&amp;T183)="","",INDIRECT("'"&amp;$D$2&amp;"'"&amp;"!B"&amp;T183)))</f>
        <v>User and Device Administration Training</v>
      </c>
      <c r="D183" t="str" cm="1">
        <f t="array" aca="1" ref="D183" ca="1">IFERROR(_xlfn.IFS(C183="","",C183&lt;&gt;"",INDEX(SF_Output!I:I,MATCH(C183,SF_Output!M:M,0))),IFERROR(INDEX(INDIRECT($D$2&amp;"!G:G"),MATCH(C183,INDIRECT($D$2&amp;"!B:B"),0)),INDEX(INDIRECT("'"&amp;$D$2&amp;"'!G:G"),MATCH(C183,INDIRECT("'"&amp;$D$2&amp;"'!B:B"),0))))</f>
        <v>Training</v>
      </c>
      <c r="E183" t="str" cm="1">
        <f t="array" aca="1" ref="E183" ca="1">IFERROR(IF(C183="","",INDIRECT($D$2&amp;"!F"&amp;T183)),IF(C183="","",INDIRECT("'"&amp;$D$2&amp;"'"&amp;"!F"&amp;T183)))</f>
        <v>Included</v>
      </c>
      <c r="F183" t="str" cm="1">
        <f t="array" aca="1" ref="F183" ca="1">IFERROR(IF(C183="","",INDIRECT($D$2&amp;"!ak"&amp;T183)),IF(C183="","",INDIRECT("'"&amp;$D$2&amp;"'"&amp;"!ak"&amp;T183)))</f>
        <v/>
      </c>
      <c r="G183" cm="1">
        <f t="array" aca="1" ref="G183" ca="1">IFERROR(INDIRECT($D$2&amp;"!h"&amp;T183),INDIRECT("'"&amp;$D$2&amp;"'"&amp;"!h"&amp;T183))</f>
        <v>1</v>
      </c>
      <c r="H183" s="125" t="str" cm="1">
        <f t="array" aca="1" ref="H183" ca="1">IFERROR(INDIRECT($D$2&amp;"!i"&amp;T183),INDIRECT("'"&amp;$D$2&amp;"'"&amp;"!i"&amp;T183))</f>
        <v/>
      </c>
      <c r="I183" s="113" cm="1">
        <f t="array" aca="1" ref="I183" ca="1">IFERROR(IF($C183="","",INDIRECT($D$2&amp;"!j"&amp;$T183)+INDIRECT($D$2&amp;"!n"&amp;$T183)),IF($C183="","",INDIRECT("'"&amp;$D$2&amp;"'"&amp;"!j"&amp;$T183)+INDIRECT("'"&amp;$D$2&amp;"'"&amp;"!n"&amp;$T183)))</f>
        <v>5000</v>
      </c>
      <c r="J183" s="113">
        <f t="shared" ca="1" si="9"/>
        <v>0</v>
      </c>
      <c r="K183" s="113" cm="1">
        <f t="array" aca="1" ref="K183" ca="1">IFERROR(IF($C183="","",INDIRECT($D$2&amp;"!l"&amp;$T183)+INDIRECT($D$2&amp;"!p"&amp;$T183)),IF($C183="","",INDIRECT("'"&amp;$D$2&amp;"'"&amp;"!l"&amp;$T183)+INDIRECT("'"&amp;$D$2&amp;"'"&amp;"!p"&amp;$T183)))</f>
        <v>5000</v>
      </c>
      <c r="M183" s="113" cm="1">
        <f t="array" aca="1" ref="M183" ca="1">IFERROR(IF($C183="","",INDIRECT($D$2&amp;"!r"&amp;T183)),IF($C183="","",INDIRECT("'"&amp;$D$2&amp;"'"&amp;"!r"&amp;T183)))</f>
        <v>0</v>
      </c>
      <c r="N183" s="113">
        <f t="shared" ca="1" si="10"/>
        <v>0</v>
      </c>
      <c r="O183" s="113" cm="1">
        <f t="array" aca="1" ref="O183" ca="1">IFERROR(IF($C183="","",INDIRECT($D$2&amp;"!t"&amp;T183)),IF($C183="","",INDIRECT("'"&amp;$D$2&amp;"'"&amp;"!t"&amp;T183)))</f>
        <v>0</v>
      </c>
      <c r="Q183" s="113" cm="1">
        <f t="array" aca="1" ref="Q183" ca="1">IFERROR(IF($C183="","",INDIRECT($D$2&amp;"!v"&amp;T183)),IF($C183="","",INDIRECT("'"&amp;$D$2&amp;"'"&amp;"!v"&amp;T183)))</f>
        <v>0</v>
      </c>
      <c r="R183" s="113">
        <f t="shared" ca="1" si="11"/>
        <v>0</v>
      </c>
      <c r="S183" s="113" cm="1">
        <f t="array" aca="1" ref="S183" ca="1">IFERROR(IF($C183="","",INDIRECT($D$2&amp;"!x"&amp;T183)),IF($C183="","",INDIRECT("'"&amp;$D$2&amp;"'"&amp;"!x"&amp;T183)))</f>
        <v>0</v>
      </c>
      <c r="T183" s="35">
        <v>171</v>
      </c>
      <c r="U183" s="113"/>
      <c r="V183" s="35">
        <v>171</v>
      </c>
    </row>
    <row r="184" spans="3:22" x14ac:dyDescent="0.25">
      <c r="C184" t="str" cm="1">
        <f t="array" aca="1" ref="C184" ca="1">IFERROR(IF(INDIRECT($D$2&amp;"!B"&amp;T184)="","",INDIRECT("'"&amp;$D$2&amp;"'"&amp;"!B"&amp;T184)),IF(INDIRECT("'"&amp;$D$2&amp;"'"&amp;"!B"&amp;T184)="","",INDIRECT("'"&amp;$D$2&amp;"'"&amp;"!B"&amp;T184)))</f>
        <v>Day 2 Project Management - 45 Days engagement</v>
      </c>
      <c r="D184" t="str" cm="1">
        <f t="array" aca="1" ref="D184" ca="1">IFERROR(_xlfn.IFS(C184="","",C184&lt;&gt;"",INDEX(SF_Output!I:I,MATCH(C184,SF_Output!M:M,0))),IFERROR(INDEX(INDIRECT($D$2&amp;"!G:G"),MATCH(C184,INDIRECT($D$2&amp;"!B:B"),0)),INDEX(INDIRECT("'"&amp;$D$2&amp;"'!G:G"),MATCH(C184,INDIRECT("'"&amp;$D$2&amp;"'!B:B"),0))))</f>
        <v>Training</v>
      </c>
      <c r="E184" t="str" cm="1">
        <f t="array" aca="1" ref="E184" ca="1">IFERROR(IF(C184="","",INDIRECT($D$2&amp;"!F"&amp;T184)),IF(C184="","",INDIRECT("'"&amp;$D$2&amp;"'"&amp;"!F"&amp;T184)))</f>
        <v>Included</v>
      </c>
      <c r="F184" t="str" cm="1">
        <f t="array" aca="1" ref="F184" ca="1">IFERROR(IF(C184="","",INDIRECT($D$2&amp;"!ak"&amp;T184)),IF(C184="","",INDIRECT("'"&amp;$D$2&amp;"'"&amp;"!ak"&amp;T184)))</f>
        <v/>
      </c>
      <c r="G184" cm="1">
        <f t="array" aca="1" ref="G184" ca="1">IFERROR(INDIRECT($D$2&amp;"!h"&amp;T184),INDIRECT("'"&amp;$D$2&amp;"'"&amp;"!h"&amp;T184))</f>
        <v>1</v>
      </c>
      <c r="H184" s="125" t="str" cm="1">
        <f t="array" aca="1" ref="H184" ca="1">IFERROR(INDIRECT($D$2&amp;"!i"&amp;T184),INDIRECT("'"&amp;$D$2&amp;"'"&amp;"!i"&amp;T184))</f>
        <v/>
      </c>
      <c r="I184" s="113" cm="1">
        <f t="array" aca="1" ref="I184" ca="1">IFERROR(IF($C184="","",INDIRECT($D$2&amp;"!j"&amp;$T184)+INDIRECT($D$2&amp;"!n"&amp;$T184)),IF($C184="","",INDIRECT("'"&amp;$D$2&amp;"'"&amp;"!j"&amp;$T184)+INDIRECT("'"&amp;$D$2&amp;"'"&amp;"!n"&amp;$T184)))</f>
        <v>10000</v>
      </c>
      <c r="J184" s="113">
        <f t="shared" ca="1" si="9"/>
        <v>0</v>
      </c>
      <c r="K184" s="113" cm="1">
        <f t="array" aca="1" ref="K184" ca="1">IFERROR(IF($C184="","",INDIRECT($D$2&amp;"!l"&amp;$T184)+INDIRECT($D$2&amp;"!p"&amp;$T184)),IF($C184="","",INDIRECT("'"&amp;$D$2&amp;"'"&amp;"!l"&amp;$T184)+INDIRECT("'"&amp;$D$2&amp;"'"&amp;"!p"&amp;$T184)))</f>
        <v>10000</v>
      </c>
      <c r="M184" s="113" cm="1">
        <f t="array" aca="1" ref="M184" ca="1">IFERROR(IF($C184="","",INDIRECT($D$2&amp;"!r"&amp;T184)),IF($C184="","",INDIRECT("'"&amp;$D$2&amp;"'"&amp;"!r"&amp;T184)))</f>
        <v>0</v>
      </c>
      <c r="N184" s="113">
        <f t="shared" ca="1" si="10"/>
        <v>0</v>
      </c>
      <c r="O184" s="113" cm="1">
        <f t="array" aca="1" ref="O184" ca="1">IFERROR(IF($C184="","",INDIRECT($D$2&amp;"!t"&amp;T184)),IF($C184="","",INDIRECT("'"&amp;$D$2&amp;"'"&amp;"!t"&amp;T184)))</f>
        <v>0</v>
      </c>
      <c r="Q184" s="113" cm="1">
        <f t="array" aca="1" ref="Q184" ca="1">IFERROR(IF($C184="","",INDIRECT($D$2&amp;"!v"&amp;T184)),IF($C184="","",INDIRECT("'"&amp;$D$2&amp;"'"&amp;"!v"&amp;T184)))</f>
        <v>0</v>
      </c>
      <c r="R184" s="113">
        <f t="shared" ca="1" si="11"/>
        <v>0</v>
      </c>
      <c r="S184" s="113" cm="1">
        <f t="array" aca="1" ref="S184" ca="1">IFERROR(IF($C184="","",INDIRECT($D$2&amp;"!x"&amp;T184)),IF($C184="","",INDIRECT("'"&amp;$D$2&amp;"'"&amp;"!x"&amp;T184)))</f>
        <v>0</v>
      </c>
      <c r="T184" s="35">
        <v>172</v>
      </c>
      <c r="U184" s="113"/>
      <c r="V184" s="35">
        <v>172</v>
      </c>
    </row>
    <row r="185" spans="3:22" x14ac:dyDescent="0.25">
      <c r="C185" t="str" cm="1">
        <f t="array" aca="1" ref="C185" ca="1">IFERROR(IF(INDIRECT($D$2&amp;"!B"&amp;T185)="","",INDIRECT("'"&amp;$D$2&amp;"'"&amp;"!B"&amp;T185)),IF(INDIRECT("'"&amp;$D$2&amp;"'"&amp;"!B"&amp;T185)="","",INDIRECT("'"&amp;$D$2&amp;"'"&amp;"!B"&amp;T185)))</f>
        <v>Jack Henry Loyalty and Rewards Strategy Engagement</v>
      </c>
      <c r="D185" t="str" cm="1">
        <f t="array" aca="1" ref="D185" ca="1">IFERROR(_xlfn.IFS(C185="","",C185&lt;&gt;"",INDEX(SF_Output!I:I,MATCH(C185,SF_Output!M:M,0))),IFERROR(INDEX(INDIRECT($D$2&amp;"!G:G"),MATCH(C185,INDIRECT($D$2&amp;"!B:B"),0)),INDEX(INDIRECT("'"&amp;$D$2&amp;"'!G:G"),MATCH(C185,INDIRECT("'"&amp;$D$2&amp;"'!B:B"),0))))</f>
        <v>Training</v>
      </c>
      <c r="E185" t="str" cm="1">
        <f t="array" aca="1" ref="E185" ca="1">IFERROR(IF(C185="","",INDIRECT($D$2&amp;"!F"&amp;T185)),IF(C185="","",INDIRECT("'"&amp;$D$2&amp;"'"&amp;"!F"&amp;T185)))</f>
        <v>Optional</v>
      </c>
      <c r="F185" t="str" cm="1">
        <f t="array" aca="1" ref="F185" ca="1">IFERROR(IF(C185="","",INDIRECT($D$2&amp;"!ak"&amp;T185)),IF(C185="","",INDIRECT("'"&amp;$D$2&amp;"'"&amp;"!ak"&amp;T185)))</f>
        <v/>
      </c>
      <c r="G185" cm="1">
        <f t="array" aca="1" ref="G185" ca="1">IFERROR(INDIRECT($D$2&amp;"!h"&amp;T185),INDIRECT("'"&amp;$D$2&amp;"'"&amp;"!h"&amp;T185))</f>
        <v>1</v>
      </c>
      <c r="H185" s="125" t="str" cm="1">
        <f t="array" aca="1" ref="H185" ca="1">IFERROR(INDIRECT($D$2&amp;"!i"&amp;T185),INDIRECT("'"&amp;$D$2&amp;"'"&amp;"!i"&amp;T185))</f>
        <v/>
      </c>
      <c r="I185" s="113" cm="1">
        <f t="array" aca="1" ref="I185" ca="1">IFERROR(IF($C185="","",INDIRECT($D$2&amp;"!j"&amp;$T185)+INDIRECT($D$2&amp;"!n"&amp;$T185)),IF($C185="","",INDIRECT("'"&amp;$D$2&amp;"'"&amp;"!j"&amp;$T185)+INDIRECT("'"&amp;$D$2&amp;"'"&amp;"!n"&amp;$T185)))</f>
        <v>18000</v>
      </c>
      <c r="J185" s="113">
        <f t="shared" ca="1" si="9"/>
        <v>0</v>
      </c>
      <c r="K185" s="113" cm="1">
        <f t="array" aca="1" ref="K185" ca="1">IFERROR(IF($C185="","",INDIRECT($D$2&amp;"!l"&amp;$T185)+INDIRECT($D$2&amp;"!p"&amp;$T185)),IF($C185="","",INDIRECT("'"&amp;$D$2&amp;"'"&amp;"!l"&amp;$T185)+INDIRECT("'"&amp;$D$2&amp;"'"&amp;"!p"&amp;$T185)))</f>
        <v>18000</v>
      </c>
      <c r="M185" s="113" cm="1">
        <f t="array" aca="1" ref="M185" ca="1">IFERROR(IF($C185="","",INDIRECT($D$2&amp;"!r"&amp;T185)),IF($C185="","",INDIRECT("'"&amp;$D$2&amp;"'"&amp;"!r"&amp;T185)))</f>
        <v>0</v>
      </c>
      <c r="N185" s="113">
        <f t="shared" ca="1" si="10"/>
        <v>0</v>
      </c>
      <c r="O185" s="113" cm="1">
        <f t="array" aca="1" ref="O185" ca="1">IFERROR(IF($C185="","",INDIRECT($D$2&amp;"!t"&amp;T185)),IF($C185="","",INDIRECT("'"&amp;$D$2&amp;"'"&amp;"!t"&amp;T185)))</f>
        <v>0</v>
      </c>
      <c r="Q185" s="113" cm="1">
        <f t="array" aca="1" ref="Q185" ca="1">IFERROR(IF($C185="","",INDIRECT($D$2&amp;"!v"&amp;T185)),IF($C185="","",INDIRECT("'"&amp;$D$2&amp;"'"&amp;"!v"&amp;T185)))</f>
        <v>0</v>
      </c>
      <c r="R185" s="113">
        <f t="shared" ca="1" si="11"/>
        <v>0</v>
      </c>
      <c r="S185" s="113" cm="1">
        <f t="array" aca="1" ref="S185" ca="1">IFERROR(IF($C185="","",INDIRECT($D$2&amp;"!x"&amp;T185)),IF($C185="","",INDIRECT("'"&amp;$D$2&amp;"'"&amp;"!x"&amp;T185)))</f>
        <v>0</v>
      </c>
      <c r="T185" s="35">
        <v>173</v>
      </c>
      <c r="U185" s="113"/>
      <c r="V185" s="35">
        <v>173</v>
      </c>
    </row>
    <row r="186" spans="3:22" x14ac:dyDescent="0.25">
      <c r="C186" t="str" cm="1">
        <f t="array" aca="1" ref="C186" ca="1">IFERROR(IF(INDIRECT($D$2&amp;"!B"&amp;T186)="","",INDIRECT("'"&amp;$D$2&amp;"'"&amp;"!B"&amp;T186)),IF(INDIRECT("'"&amp;$D$2&amp;"'"&amp;"!B"&amp;T186)="","",INDIRECT("'"&amp;$D$2&amp;"'"&amp;"!B"&amp;T186)))</f>
        <v>Jack Henry Loyalty and Rewards Optimization Assistance</v>
      </c>
      <c r="D186" t="str" cm="1">
        <f t="array" aca="1" ref="D186" ca="1">IFERROR(_xlfn.IFS(C186="","",C186&lt;&gt;"",INDEX(SF_Output!I:I,MATCH(C186,SF_Output!M:M,0))),IFERROR(INDEX(INDIRECT($D$2&amp;"!G:G"),MATCH(C186,INDIRECT($D$2&amp;"!B:B"),0)),INDEX(INDIRECT("'"&amp;$D$2&amp;"'!G:G"),MATCH(C186,INDIRECT("'"&amp;$D$2&amp;"'!B:B"),0))))</f>
        <v>Training</v>
      </c>
      <c r="E186" t="str" cm="1">
        <f t="array" aca="1" ref="E186" ca="1">IFERROR(IF(C186="","",INDIRECT($D$2&amp;"!F"&amp;T186)),IF(C186="","",INDIRECT("'"&amp;$D$2&amp;"'"&amp;"!F"&amp;T186)))</f>
        <v>Optional</v>
      </c>
      <c r="F186" t="str" cm="1">
        <f t="array" aca="1" ref="F186" ca="1">IFERROR(IF(C186="","",INDIRECT($D$2&amp;"!ak"&amp;T186)),IF(C186="","",INDIRECT("'"&amp;$D$2&amp;"'"&amp;"!ak"&amp;T186)))</f>
        <v/>
      </c>
      <c r="G186" cm="1">
        <f t="array" aca="1" ref="G186" ca="1">IFERROR(INDIRECT($D$2&amp;"!h"&amp;T186),INDIRECT("'"&amp;$D$2&amp;"'"&amp;"!h"&amp;T186))</f>
        <v>1</v>
      </c>
      <c r="H186" s="125" t="str" cm="1">
        <f t="array" aca="1" ref="H186" ca="1">IFERROR(INDIRECT($D$2&amp;"!i"&amp;T186),INDIRECT("'"&amp;$D$2&amp;"'"&amp;"!i"&amp;T186))</f>
        <v/>
      </c>
      <c r="I186" s="113" cm="1">
        <f t="array" aca="1" ref="I186" ca="1">IFERROR(IF($C186="","",INDIRECT($D$2&amp;"!j"&amp;$T186)+INDIRECT($D$2&amp;"!n"&amp;$T186)),IF($C186="","",INDIRECT("'"&amp;$D$2&amp;"'"&amp;"!j"&amp;$T186)+INDIRECT("'"&amp;$D$2&amp;"'"&amp;"!n"&amp;$T186)))</f>
        <v>0</v>
      </c>
      <c r="J186" s="113">
        <f t="shared" ca="1" si="9"/>
        <v>0</v>
      </c>
      <c r="K186" s="113" cm="1">
        <f t="array" aca="1" ref="K186" ca="1">IFERROR(IF($C186="","",INDIRECT($D$2&amp;"!l"&amp;$T186)+INDIRECT($D$2&amp;"!p"&amp;$T186)),IF($C186="","",INDIRECT("'"&amp;$D$2&amp;"'"&amp;"!l"&amp;$T186)+INDIRECT("'"&amp;$D$2&amp;"'"&amp;"!p"&amp;$T186)))</f>
        <v>0</v>
      </c>
      <c r="M186" s="113" cm="1">
        <f t="array" aca="1" ref="M186" ca="1">IFERROR(IF($C186="","",INDIRECT($D$2&amp;"!r"&amp;T186)),IF($C186="","",INDIRECT("'"&amp;$D$2&amp;"'"&amp;"!r"&amp;T186)))</f>
        <v>3500</v>
      </c>
      <c r="N186" s="113">
        <f t="shared" ca="1" si="10"/>
        <v>0</v>
      </c>
      <c r="O186" s="113" cm="1">
        <f t="array" aca="1" ref="O186" ca="1">IFERROR(IF($C186="","",INDIRECT($D$2&amp;"!t"&amp;T186)),IF($C186="","",INDIRECT("'"&amp;$D$2&amp;"'"&amp;"!t"&amp;T186)))</f>
        <v>3500</v>
      </c>
      <c r="Q186" s="113" cm="1">
        <f t="array" aca="1" ref="Q186" ca="1">IFERROR(IF($C186="","",INDIRECT($D$2&amp;"!v"&amp;T186)),IF($C186="","",INDIRECT("'"&amp;$D$2&amp;"'"&amp;"!v"&amp;T186)))</f>
        <v>0</v>
      </c>
      <c r="R186" s="113">
        <f t="shared" ca="1" si="11"/>
        <v>0</v>
      </c>
      <c r="S186" s="113" cm="1">
        <f t="array" aca="1" ref="S186" ca="1">IFERROR(IF($C186="","",INDIRECT($D$2&amp;"!x"&amp;T186)),IF($C186="","",INDIRECT("'"&amp;$D$2&amp;"'"&amp;"!x"&amp;T186)))</f>
        <v>0</v>
      </c>
      <c r="T186" s="35">
        <v>174</v>
      </c>
      <c r="U186" s="113"/>
      <c r="V186" s="35">
        <v>174</v>
      </c>
    </row>
    <row r="187" spans="3:22" x14ac:dyDescent="0.25">
      <c r="C187" t="str" cm="1">
        <f t="array" aca="1" ref="C187" ca="1">IFERROR(IF(INDIRECT($D$2&amp;"!B"&amp;T187)="","",INDIRECT("'"&amp;$D$2&amp;"'"&amp;"!B"&amp;T187)),IF(INDIRECT("'"&amp;$D$2&amp;"'"&amp;"!B"&amp;T187)="","",INDIRECT("'"&amp;$D$2&amp;"'"&amp;"!B"&amp;T187)))</f>
        <v>JHA Client Services Consulting Workflow Process Automation Strategy</v>
      </c>
      <c r="D187" t="str" cm="1">
        <f t="array" aca="1" ref="D187" ca="1">IFERROR(_xlfn.IFS(C187="","",C187&lt;&gt;"",INDEX(SF_Output!I:I,MATCH(C187,SF_Output!M:M,0))),IFERROR(INDEX(INDIRECT($D$2&amp;"!G:G"),MATCH(C187,INDIRECT($D$2&amp;"!B:B"),0)),INDEX(INDIRECT("'"&amp;$D$2&amp;"'!G:G"),MATCH(C187,INDIRECT("'"&amp;$D$2&amp;"'!B:B"),0))))</f>
        <v>Training</v>
      </c>
      <c r="E187" t="str" cm="1">
        <f t="array" aca="1" ref="E187" ca="1">IFERROR(IF(C187="","",INDIRECT($D$2&amp;"!F"&amp;T187)),IF(C187="","",INDIRECT("'"&amp;$D$2&amp;"'"&amp;"!F"&amp;T187)))</f>
        <v>Optional</v>
      </c>
      <c r="F187" t="str" cm="1">
        <f t="array" aca="1" ref="F187" ca="1">IFERROR(IF(C187="","",INDIRECT($D$2&amp;"!ak"&amp;T187)),IF(C187="","",INDIRECT("'"&amp;$D$2&amp;"'"&amp;"!ak"&amp;T187)))</f>
        <v/>
      </c>
      <c r="G187" cm="1">
        <f t="array" aca="1" ref="G187" ca="1">IFERROR(INDIRECT($D$2&amp;"!h"&amp;T187),INDIRECT("'"&amp;$D$2&amp;"'"&amp;"!h"&amp;T187))</f>
        <v>1</v>
      </c>
      <c r="H187" s="125" t="str" cm="1">
        <f t="array" aca="1" ref="H187" ca="1">IFERROR(INDIRECT($D$2&amp;"!i"&amp;T187),INDIRECT("'"&amp;$D$2&amp;"'"&amp;"!i"&amp;T187))</f>
        <v/>
      </c>
      <c r="I187" s="113" cm="1">
        <f t="array" aca="1" ref="I187" ca="1">IFERROR(IF($C187="","",INDIRECT($D$2&amp;"!j"&amp;$T187)+INDIRECT($D$2&amp;"!n"&amp;$T187)),IF($C187="","",INDIRECT("'"&amp;$D$2&amp;"'"&amp;"!j"&amp;$T187)+INDIRECT("'"&amp;$D$2&amp;"'"&amp;"!n"&amp;$T187)))</f>
        <v>15000</v>
      </c>
      <c r="J187" s="113">
        <f t="shared" ca="1" si="9"/>
        <v>0</v>
      </c>
      <c r="K187" s="113" cm="1">
        <f t="array" aca="1" ref="K187" ca="1">IFERROR(IF($C187="","",INDIRECT($D$2&amp;"!l"&amp;$T187)+INDIRECT($D$2&amp;"!p"&amp;$T187)),IF($C187="","",INDIRECT("'"&amp;$D$2&amp;"'"&amp;"!l"&amp;$T187)+INDIRECT("'"&amp;$D$2&amp;"'"&amp;"!p"&amp;$T187)))</f>
        <v>15000</v>
      </c>
      <c r="M187" s="113" cm="1">
        <f t="array" aca="1" ref="M187" ca="1">IFERROR(IF($C187="","",INDIRECT($D$2&amp;"!r"&amp;T187)),IF($C187="","",INDIRECT("'"&amp;$D$2&amp;"'"&amp;"!r"&amp;T187)))</f>
        <v>0</v>
      </c>
      <c r="N187" s="113">
        <f t="shared" ca="1" si="10"/>
        <v>0</v>
      </c>
      <c r="O187" s="113" cm="1">
        <f t="array" aca="1" ref="O187" ca="1">IFERROR(IF($C187="","",INDIRECT($D$2&amp;"!t"&amp;T187)),IF($C187="","",INDIRECT("'"&amp;$D$2&amp;"'"&amp;"!t"&amp;T187)))</f>
        <v>0</v>
      </c>
      <c r="Q187" s="113" cm="1">
        <f t="array" aca="1" ref="Q187" ca="1">IFERROR(IF($C187="","",INDIRECT($D$2&amp;"!v"&amp;T187)),IF($C187="","",INDIRECT("'"&amp;$D$2&amp;"'"&amp;"!v"&amp;T187)))</f>
        <v>0</v>
      </c>
      <c r="R187" s="113">
        <f t="shared" ca="1" si="11"/>
        <v>0</v>
      </c>
      <c r="S187" s="113" cm="1">
        <f t="array" aca="1" ref="S187" ca="1">IFERROR(IF($C187="","",INDIRECT($D$2&amp;"!x"&amp;T187)),IF($C187="","",INDIRECT("'"&amp;$D$2&amp;"'"&amp;"!x"&amp;T187)))</f>
        <v>0</v>
      </c>
      <c r="T187" s="35">
        <v>175</v>
      </c>
      <c r="U187" s="113"/>
      <c r="V187" s="35">
        <v>175</v>
      </c>
    </row>
    <row r="188" spans="3:22" x14ac:dyDescent="0.25">
      <c r="C188" t="str" cm="1">
        <f t="array" aca="1" ref="C188" ca="1">IFERROR(IF(INDIRECT($D$2&amp;"!B"&amp;T188)="","",INDIRECT("'"&amp;$D$2&amp;"'"&amp;"!B"&amp;T188)),IF(INDIRECT("'"&amp;$D$2&amp;"'"&amp;"!B"&amp;T188)="","",INDIRECT("'"&amp;$D$2&amp;"'"&amp;"!B"&amp;T188)))</f>
        <v>JHA Client Services Consulting Workflow Process Automation Design</v>
      </c>
      <c r="D188" t="str" cm="1">
        <f t="array" aca="1" ref="D188" ca="1">IFERROR(_xlfn.IFS(C188="","",C188&lt;&gt;"",INDEX(SF_Output!I:I,MATCH(C188,SF_Output!M:M,0))),IFERROR(INDEX(INDIRECT($D$2&amp;"!G:G"),MATCH(C188,INDIRECT($D$2&amp;"!B:B"),0)),INDEX(INDIRECT("'"&amp;$D$2&amp;"'!G:G"),MATCH(C188,INDIRECT("'"&amp;$D$2&amp;"'!B:B"),0))))</f>
        <v>Training</v>
      </c>
      <c r="E188" t="str" cm="1">
        <f t="array" aca="1" ref="E188" ca="1">IFERROR(IF(C188="","",INDIRECT($D$2&amp;"!F"&amp;T188)),IF(C188="","",INDIRECT("'"&amp;$D$2&amp;"'"&amp;"!F"&amp;T188)))</f>
        <v>Optional</v>
      </c>
      <c r="F188" t="str" cm="1">
        <f t="array" aca="1" ref="F188" ca="1">IFERROR(IF(C188="","",INDIRECT($D$2&amp;"!ak"&amp;T188)),IF(C188="","",INDIRECT("'"&amp;$D$2&amp;"'"&amp;"!ak"&amp;T188)))</f>
        <v/>
      </c>
      <c r="G188" cm="1">
        <f t="array" aca="1" ref="G188" ca="1">IFERROR(INDIRECT($D$2&amp;"!h"&amp;T188),INDIRECT("'"&amp;$D$2&amp;"'"&amp;"!h"&amp;T188))</f>
        <v>1</v>
      </c>
      <c r="H188" s="125" t="str" cm="1">
        <f t="array" aca="1" ref="H188" ca="1">IFERROR(INDIRECT($D$2&amp;"!i"&amp;T188),INDIRECT("'"&amp;$D$2&amp;"'"&amp;"!i"&amp;T188))</f>
        <v/>
      </c>
      <c r="I188" s="113" cm="1">
        <f t="array" aca="1" ref="I188" ca="1">IFERROR(IF($C188="","",INDIRECT($D$2&amp;"!j"&amp;$T188)+INDIRECT($D$2&amp;"!n"&amp;$T188)),IF($C188="","",INDIRECT("'"&amp;$D$2&amp;"'"&amp;"!j"&amp;$T188)+INDIRECT("'"&amp;$D$2&amp;"'"&amp;"!n"&amp;$T188)))</f>
        <v>25000</v>
      </c>
      <c r="J188" s="113">
        <f t="shared" ca="1" si="9"/>
        <v>0</v>
      </c>
      <c r="K188" s="113" cm="1">
        <f t="array" aca="1" ref="K188" ca="1">IFERROR(IF($C188="","",INDIRECT($D$2&amp;"!l"&amp;$T188)+INDIRECT($D$2&amp;"!p"&amp;$T188)),IF($C188="","",INDIRECT("'"&amp;$D$2&amp;"'"&amp;"!l"&amp;$T188)+INDIRECT("'"&amp;$D$2&amp;"'"&amp;"!p"&amp;$T188)))</f>
        <v>25000</v>
      </c>
      <c r="M188" s="113" cm="1">
        <f t="array" aca="1" ref="M188" ca="1">IFERROR(IF($C188="","",INDIRECT($D$2&amp;"!r"&amp;T188)),IF($C188="","",INDIRECT("'"&amp;$D$2&amp;"'"&amp;"!r"&amp;T188)))</f>
        <v>0</v>
      </c>
      <c r="N188" s="113">
        <f t="shared" ca="1" si="10"/>
        <v>0</v>
      </c>
      <c r="O188" s="113" cm="1">
        <f t="array" aca="1" ref="O188" ca="1">IFERROR(IF($C188="","",INDIRECT($D$2&amp;"!t"&amp;T188)),IF($C188="","",INDIRECT("'"&amp;$D$2&amp;"'"&amp;"!t"&amp;T188)))</f>
        <v>0</v>
      </c>
      <c r="Q188" s="113" cm="1">
        <f t="array" aca="1" ref="Q188" ca="1">IFERROR(IF($C188="","",INDIRECT($D$2&amp;"!v"&amp;T188)),IF($C188="","",INDIRECT("'"&amp;$D$2&amp;"'"&amp;"!v"&amp;T188)))</f>
        <v>0</v>
      </c>
      <c r="R188" s="113">
        <f t="shared" ca="1" si="11"/>
        <v>0</v>
      </c>
      <c r="S188" s="113" cm="1">
        <f t="array" aca="1" ref="S188" ca="1">IFERROR(IF($C188="","",INDIRECT($D$2&amp;"!x"&amp;T188)),IF($C188="","",INDIRECT("'"&amp;$D$2&amp;"'"&amp;"!x"&amp;T188)))</f>
        <v>0</v>
      </c>
      <c r="T188" s="35">
        <v>176</v>
      </c>
      <c r="U188" s="113"/>
      <c r="V188" s="35">
        <v>176</v>
      </c>
    </row>
    <row r="189" spans="3:22" x14ac:dyDescent="0.25">
      <c r="C189" t="str" cm="1">
        <f t="array" aca="1" ref="C189" ca="1">IFERROR(IF(INDIRECT($D$2&amp;"!B"&amp;T189)="","",INDIRECT("'"&amp;$D$2&amp;"'"&amp;"!B"&amp;T189)),IF(INDIRECT("'"&amp;$D$2&amp;"'"&amp;"!B"&amp;T189)="","",INDIRECT("'"&amp;$D$2&amp;"'"&amp;"!B"&amp;T189)))</f>
        <v>Know-It-All Now eLearning</v>
      </c>
      <c r="D189" t="str" cm="1">
        <f t="array" aca="1" ref="D189" ca="1">IFERROR(_xlfn.IFS(C189="","",C189&lt;&gt;"",INDEX(SF_Output!I:I,MATCH(C189,SF_Output!M:M,0))),IFERROR(INDEX(INDIRECT($D$2&amp;"!G:G"),MATCH(C189,INDIRECT($D$2&amp;"!B:B"),0)),INDEX(INDIRECT("'"&amp;$D$2&amp;"'!G:G"),MATCH(C189,INDIRECT("'"&amp;$D$2&amp;"'!B:B"),0))))</f>
        <v>Training</v>
      </c>
      <c r="E189" t="str" cm="1">
        <f t="array" aca="1" ref="E189" ca="1">IFERROR(IF(C189="","",INDIRECT($D$2&amp;"!F"&amp;T189)),IF(C189="","",INDIRECT("'"&amp;$D$2&amp;"'"&amp;"!F"&amp;T189)))</f>
        <v>Included</v>
      </c>
      <c r="F189" t="str" cm="1">
        <f t="array" aca="1" ref="F189" ca="1">IFERROR(IF(C189="","",INDIRECT($D$2&amp;"!ak"&amp;T189)),IF(C189="","",INDIRECT("'"&amp;$D$2&amp;"'"&amp;"!ak"&amp;T189)))</f>
        <v/>
      </c>
      <c r="G189" cm="1">
        <f t="array" aca="1" ref="G189" ca="1">IFERROR(INDIRECT($D$2&amp;"!h"&amp;T189),INDIRECT("'"&amp;$D$2&amp;"'"&amp;"!h"&amp;T189))</f>
        <v>1</v>
      </c>
      <c r="H189" s="125" t="str" cm="1">
        <f t="array" aca="1" ref="H189" ca="1">IFERROR(INDIRECT($D$2&amp;"!i"&amp;T189),INDIRECT("'"&amp;$D$2&amp;"'"&amp;"!i"&amp;T189))</f>
        <v/>
      </c>
      <c r="I189" s="113" cm="1">
        <f t="array" aca="1" ref="I189" ca="1">IFERROR(IF($C189="","",INDIRECT($D$2&amp;"!j"&amp;$T189)+INDIRECT($D$2&amp;"!n"&amp;$T189)),IF($C189="","",INDIRECT("'"&amp;$D$2&amp;"'"&amp;"!j"&amp;$T189)+INDIRECT("'"&amp;$D$2&amp;"'"&amp;"!n"&amp;$T189)))</f>
        <v>0</v>
      </c>
      <c r="J189" s="113">
        <f t="shared" ca="1" si="9"/>
        <v>0</v>
      </c>
      <c r="K189" s="113" cm="1">
        <f t="array" aca="1" ref="K189" ca="1">IFERROR(IF($C189="","",INDIRECT($D$2&amp;"!l"&amp;$T189)+INDIRECT($D$2&amp;"!p"&amp;$T189)),IF($C189="","",INDIRECT("'"&amp;$D$2&amp;"'"&amp;"!l"&amp;$T189)+INDIRECT("'"&amp;$D$2&amp;"'"&amp;"!p"&amp;$T189)))</f>
        <v>0</v>
      </c>
      <c r="M189" s="113" cm="1">
        <f t="array" aca="1" ref="M189" ca="1">IFERROR(IF($C189="","",INDIRECT($D$2&amp;"!r"&amp;T189)),IF($C189="","",INDIRECT("'"&amp;$D$2&amp;"'"&amp;"!r"&amp;T189)))</f>
        <v>3500</v>
      </c>
      <c r="N189" s="113">
        <f t="shared" ca="1" si="10"/>
        <v>0</v>
      </c>
      <c r="O189" s="113" cm="1">
        <f t="array" aca="1" ref="O189" ca="1">IFERROR(IF($C189="","",INDIRECT($D$2&amp;"!t"&amp;T189)),IF($C189="","",INDIRECT("'"&amp;$D$2&amp;"'"&amp;"!t"&amp;T189)))</f>
        <v>3500</v>
      </c>
      <c r="Q189" s="113" cm="1">
        <f t="array" aca="1" ref="Q189" ca="1">IFERROR(IF($C189="","",INDIRECT($D$2&amp;"!v"&amp;T189)),IF($C189="","",INDIRECT("'"&amp;$D$2&amp;"'"&amp;"!v"&amp;T189)))</f>
        <v>0</v>
      </c>
      <c r="R189" s="113">
        <f t="shared" ca="1" si="11"/>
        <v>0</v>
      </c>
      <c r="S189" s="113" cm="1">
        <f t="array" aca="1" ref="S189" ca="1">IFERROR(IF($C189="","",INDIRECT($D$2&amp;"!x"&amp;T189)),IF($C189="","",INDIRECT("'"&amp;$D$2&amp;"'"&amp;"!x"&amp;T189)))</f>
        <v>0</v>
      </c>
      <c r="T189" s="35">
        <v>177</v>
      </c>
      <c r="U189" s="113"/>
      <c r="V189" s="35">
        <v>177</v>
      </c>
    </row>
    <row r="190" spans="3:22" x14ac:dyDescent="0.25">
      <c r="C190" t="str" cm="1">
        <f t="array" aca="1" ref="C190" ca="1">IFERROR(IF(INDIRECT($D$2&amp;"!B"&amp;T190)="","",INDIRECT("'"&amp;$D$2&amp;"'"&amp;"!B"&amp;T190)),IF(INDIRECT("'"&amp;$D$2&amp;"'"&amp;"!B"&amp;T190)="","",INDIRECT("'"&amp;$D$2&amp;"'"&amp;"!B"&amp;T190)))</f>
        <v/>
      </c>
      <c r="D190" t="str" cm="1">
        <f t="array" aca="1" ref="D190" ca="1">IFERROR(_xlfn.IFS(C190="","",C190&lt;&gt;"",INDEX(SF_Output!I:I,MATCH(C190,SF_Output!M:M,0))),IFERROR(INDEX(INDIRECT($D$2&amp;"!G:G"),MATCH(C190,INDIRECT($D$2&amp;"!B:B"),0)),INDEX(INDIRECT("'"&amp;$D$2&amp;"'!G:G"),MATCH(C190,INDIRECT("'"&amp;$D$2&amp;"'!B:B"),0))))</f>
        <v/>
      </c>
      <c r="E190" t="str" cm="1">
        <f t="array" aca="1" ref="E190" ca="1">IFERROR(IF(C190="","",INDIRECT($D$2&amp;"!F"&amp;T190)),IF(C190="","",INDIRECT("'"&amp;$D$2&amp;"'"&amp;"!F"&amp;T190)))</f>
        <v/>
      </c>
      <c r="F190" t="str" cm="1">
        <f t="array" aca="1" ref="F190" ca="1">IFERROR(IF(C190="","",INDIRECT($D$2&amp;"!ak"&amp;T190)),IF(C190="","",INDIRECT("'"&amp;$D$2&amp;"'"&amp;"!ak"&amp;T190)))</f>
        <v/>
      </c>
      <c r="G190" t="str" cm="1">
        <f t="array" aca="1" ref="G190" ca="1">IFERROR(INDIRECT($D$2&amp;"!h"&amp;T190),INDIRECT("'"&amp;$D$2&amp;"'"&amp;"!h"&amp;T190))</f>
        <v/>
      </c>
      <c r="H190" s="125" t="str" cm="1">
        <f t="array" aca="1" ref="H190" ca="1">IFERROR(INDIRECT($D$2&amp;"!i"&amp;T190),INDIRECT("'"&amp;$D$2&amp;"'"&amp;"!i"&amp;T190))</f>
        <v/>
      </c>
      <c r="I190" s="113" t="str" cm="1">
        <f t="array" aca="1" ref="I190" ca="1">IFERROR(IF($C190="","",INDIRECT($D$2&amp;"!j"&amp;$T190)+INDIRECT($D$2&amp;"!n"&amp;$T190)),IF($C190="","",INDIRECT("'"&amp;$D$2&amp;"'"&amp;"!j"&amp;$T190)+INDIRECT("'"&amp;$D$2&amp;"'"&amp;"!n"&amp;$T190)))</f>
        <v/>
      </c>
      <c r="J190" s="113" t="str">
        <f t="shared" ca="1" si="9"/>
        <v/>
      </c>
      <c r="K190" s="113" t="str" cm="1">
        <f t="array" aca="1" ref="K190" ca="1">IFERROR(IF($C190="","",INDIRECT($D$2&amp;"!l"&amp;$T190)+INDIRECT($D$2&amp;"!p"&amp;$T190)),IF($C190="","",INDIRECT("'"&amp;$D$2&amp;"'"&amp;"!l"&amp;$T190)+INDIRECT("'"&amp;$D$2&amp;"'"&amp;"!p"&amp;$T190)))</f>
        <v/>
      </c>
      <c r="M190" s="113" t="str" cm="1">
        <f t="array" aca="1" ref="M190" ca="1">IFERROR(IF($C190="","",INDIRECT($D$2&amp;"!r"&amp;T190)),IF($C190="","",INDIRECT("'"&amp;$D$2&amp;"'"&amp;"!r"&amp;T190)))</f>
        <v/>
      </c>
      <c r="N190" s="113" t="str">
        <f t="shared" ca="1" si="10"/>
        <v/>
      </c>
      <c r="O190" s="113" t="str" cm="1">
        <f t="array" aca="1" ref="O190" ca="1">IFERROR(IF($C190="","",INDIRECT($D$2&amp;"!t"&amp;T190)),IF($C190="","",INDIRECT("'"&amp;$D$2&amp;"'"&amp;"!t"&amp;T190)))</f>
        <v/>
      </c>
      <c r="Q190" s="113" t="str" cm="1">
        <f t="array" aca="1" ref="Q190" ca="1">IFERROR(IF($C190="","",INDIRECT($D$2&amp;"!v"&amp;T190)),IF($C190="","",INDIRECT("'"&amp;$D$2&amp;"'"&amp;"!v"&amp;T190)))</f>
        <v/>
      </c>
      <c r="R190" s="113" t="str">
        <f t="shared" ca="1" si="11"/>
        <v/>
      </c>
      <c r="S190" s="113" t="str" cm="1">
        <f t="array" aca="1" ref="S190" ca="1">IFERROR(IF($C190="","",INDIRECT($D$2&amp;"!x"&amp;T190)),IF($C190="","",INDIRECT("'"&amp;$D$2&amp;"'"&amp;"!x"&amp;T190)))</f>
        <v/>
      </c>
      <c r="T190" s="35">
        <v>178</v>
      </c>
      <c r="U190" s="113"/>
      <c r="V190" s="35">
        <v>178</v>
      </c>
    </row>
    <row r="191" spans="3:22" x14ac:dyDescent="0.25">
      <c r="C191" t="str" cm="1">
        <f t="array" aca="1" ref="C191" ca="1">IFERROR(IF(INDIRECT($D$2&amp;"!B"&amp;T191)="","",INDIRECT("'"&amp;$D$2&amp;"'"&amp;"!B"&amp;T191)),IF(INDIRECT("'"&amp;$D$2&amp;"'"&amp;"!B"&amp;T191)="","",INDIRECT("'"&amp;$D$2&amp;"'"&amp;"!B"&amp;T191)))</f>
        <v>LoanVantage</v>
      </c>
      <c r="D191" t="str" cm="1">
        <f t="array" aca="1" ref="D191" ca="1">IFERROR(_xlfn.IFS(C191="","",C191&lt;&gt;"",INDEX(SF_Output!I:I,MATCH(C191,SF_Output!M:M,0))),IFERROR(INDEX(INDIRECT($D$2&amp;"!G:G"),MATCH(C191,INDIRECT($D$2&amp;"!B:B"),0)),INDEX(INDIRECT("'"&amp;$D$2&amp;"'!G:G"),MATCH(C191,INDIRECT("'"&amp;$D$2&amp;"'!B:B"),0))))</f>
        <v>Lending</v>
      </c>
      <c r="E191" t="str" cm="1">
        <f t="array" aca="1" ref="E191" ca="1">IFERROR(IF(C191="","",INDIRECT($D$2&amp;"!F"&amp;T191)),IF(C191="","",INDIRECT("'"&amp;$D$2&amp;"'"&amp;"!F"&amp;T191)))</f>
        <v>Optional</v>
      </c>
      <c r="F191" t="str" cm="1">
        <f t="array" aca="1" ref="F191" ca="1">IFERROR(IF(C191="","",INDIRECT($D$2&amp;"!ak"&amp;T191)),IF(C191="","",INDIRECT("'"&amp;$D$2&amp;"'"&amp;"!ak"&amp;T191)))</f>
        <v/>
      </c>
      <c r="G191" cm="1">
        <f t="array" aca="1" ref="G191" ca="1">IFERROR(INDIRECT($D$2&amp;"!h"&amp;T191),INDIRECT("'"&amp;$D$2&amp;"'"&amp;"!h"&amp;T191))</f>
        <v>1</v>
      </c>
      <c r="H191" s="125" t="str" cm="1">
        <f t="array" aca="1" ref="H191" ca="1">IFERROR(INDIRECT($D$2&amp;"!i"&amp;T191),INDIRECT("'"&amp;$D$2&amp;"'"&amp;"!i"&amp;T191))</f>
        <v/>
      </c>
      <c r="I191" s="113" cm="1">
        <f t="array" aca="1" ref="I191" ca="1">IFERROR(IF($C191="","",INDIRECT($D$2&amp;"!j"&amp;$T191)+INDIRECT($D$2&amp;"!n"&amp;$T191)),IF($C191="","",INDIRECT("'"&amp;$D$2&amp;"'"&amp;"!j"&amp;$T191)+INDIRECT("'"&amp;$D$2&amp;"'"&amp;"!n"&amp;$T191)))</f>
        <v>92125</v>
      </c>
      <c r="J191" s="113">
        <f t="shared" ca="1" si="9"/>
        <v>-92125</v>
      </c>
      <c r="K191" s="113" cm="1">
        <f t="array" aca="1" ref="K191" ca="1">IFERROR(IF($C191="","",INDIRECT($D$2&amp;"!l"&amp;$T191)+INDIRECT($D$2&amp;"!p"&amp;$T191)),IF($C191="","",INDIRECT("'"&amp;$D$2&amp;"'"&amp;"!l"&amp;$T191)+INDIRECT("'"&amp;$D$2&amp;"'"&amp;"!p"&amp;$T191)))</f>
        <v>0</v>
      </c>
      <c r="M191" s="113" cm="1">
        <f t="array" aca="1" ref="M191" ca="1">IFERROR(IF($C191="","",INDIRECT($D$2&amp;"!r"&amp;T191)),IF($C191="","",INDIRECT("'"&amp;$D$2&amp;"'"&amp;"!r"&amp;T191)))</f>
        <v>0</v>
      </c>
      <c r="N191" s="113">
        <f t="shared" ca="1" si="10"/>
        <v>0</v>
      </c>
      <c r="O191" s="113" cm="1">
        <f t="array" aca="1" ref="O191" ca="1">IFERROR(IF($C191="","",INDIRECT($D$2&amp;"!t"&amp;T191)),IF($C191="","",INDIRECT("'"&amp;$D$2&amp;"'"&amp;"!t"&amp;T191)))</f>
        <v>0</v>
      </c>
      <c r="Q191" s="113" cm="1">
        <f t="array" aca="1" ref="Q191" ca="1">IFERROR(IF($C191="","",INDIRECT($D$2&amp;"!v"&amp;T191)),IF($C191="","",INDIRECT("'"&amp;$D$2&amp;"'"&amp;"!v"&amp;T191)))</f>
        <v>1750</v>
      </c>
      <c r="R191" s="113">
        <f t="shared" ca="1" si="11"/>
        <v>0</v>
      </c>
      <c r="S191" s="113" cm="1">
        <f t="array" aca="1" ref="S191" ca="1">IFERROR(IF($C191="","",INDIRECT($D$2&amp;"!x"&amp;T191)),IF($C191="","",INDIRECT("'"&amp;$D$2&amp;"'"&amp;"!x"&amp;T191)))</f>
        <v>1750</v>
      </c>
      <c r="T191" s="35">
        <v>179</v>
      </c>
      <c r="U191" s="113"/>
      <c r="V191" s="35">
        <v>179</v>
      </c>
    </row>
    <row r="192" spans="3:22" x14ac:dyDescent="0.25">
      <c r="C192" t="str" cm="1">
        <f t="array" aca="1" ref="C192" ca="1">IFERROR(IF(INDIRECT($D$2&amp;"!B"&amp;T192)="","",INDIRECT("'"&amp;$D$2&amp;"'"&amp;"!B"&amp;T192)),IF(INDIRECT("'"&amp;$D$2&amp;"'"&amp;"!B"&amp;T192)="","",INDIRECT("'"&amp;$D$2&amp;"'"&amp;"!B"&amp;T192)))</f>
        <v>Web Hosting Showcase Plus</v>
      </c>
      <c r="D192" t="str" cm="1">
        <f t="array" aca="1" ref="D192" ca="1">IFERROR(_xlfn.IFS(C192="","",C192&lt;&gt;"",INDEX(SF_Output!I:I,MATCH(C192,SF_Output!M:M,0))),IFERROR(INDEX(INDIRECT($D$2&amp;"!G:G"),MATCH(C192,INDIRECT($D$2&amp;"!B:B"),0)),INDEX(INDIRECT("'"&amp;$D$2&amp;"'!G:G"),MATCH(C192,INDIRECT("'"&amp;$D$2&amp;"'!B:B"),0))))</f>
        <v>Web Hosting</v>
      </c>
      <c r="E192" t="str" cm="1">
        <f t="array" aca="1" ref="E192" ca="1">IFERROR(IF(C192="","",INDIRECT($D$2&amp;"!F"&amp;T192)),IF(C192="","",INDIRECT("'"&amp;$D$2&amp;"'"&amp;"!F"&amp;T192)))</f>
        <v>Included</v>
      </c>
      <c r="F192" t="str" cm="1">
        <f t="array" aca="1" ref="F192" ca="1">IFERROR(IF(C192="","",INDIRECT($D$2&amp;"!ak"&amp;T192)),IF(C192="","",INDIRECT("'"&amp;$D$2&amp;"'"&amp;"!ak"&amp;T192)))</f>
        <v/>
      </c>
      <c r="G192" cm="1">
        <f t="array" aca="1" ref="G192" ca="1">IFERROR(INDIRECT($D$2&amp;"!h"&amp;T192),INDIRECT("'"&amp;$D$2&amp;"'"&amp;"!h"&amp;T192))</f>
        <v>1</v>
      </c>
      <c r="H192" s="125" t="str" cm="1">
        <f t="array" aca="1" ref="H192" ca="1">IFERROR(INDIRECT($D$2&amp;"!i"&amp;T192),INDIRECT("'"&amp;$D$2&amp;"'"&amp;"!i"&amp;T192))</f>
        <v/>
      </c>
      <c r="I192" s="113" cm="1">
        <f t="array" aca="1" ref="I192" ca="1">IFERROR(IF($C192="","",INDIRECT($D$2&amp;"!j"&amp;$T192)+INDIRECT($D$2&amp;"!n"&amp;$T192)),IF($C192="","",INDIRECT("'"&amp;$D$2&amp;"'"&amp;"!j"&amp;$T192)+INDIRECT("'"&amp;$D$2&amp;"'"&amp;"!n"&amp;$T192)))</f>
        <v>54000</v>
      </c>
      <c r="J192" s="113">
        <f t="shared" ca="1" si="9"/>
        <v>0</v>
      </c>
      <c r="K192" s="113" cm="1">
        <f t="array" aca="1" ref="K192" ca="1">IFERROR(IF($C192="","",INDIRECT($D$2&amp;"!l"&amp;$T192)+INDIRECT($D$2&amp;"!p"&amp;$T192)),IF($C192="","",INDIRECT("'"&amp;$D$2&amp;"'"&amp;"!l"&amp;$T192)+INDIRECT("'"&amp;$D$2&amp;"'"&amp;"!p"&amp;$T192)))</f>
        <v>54000</v>
      </c>
      <c r="M192" s="113" cm="1">
        <f t="array" aca="1" ref="M192" ca="1">IFERROR(IF($C192="","",INDIRECT($D$2&amp;"!r"&amp;T192)),IF($C192="","",INDIRECT("'"&amp;$D$2&amp;"'"&amp;"!r"&amp;T192)))</f>
        <v>0</v>
      </c>
      <c r="N192" s="113">
        <f t="shared" ca="1" si="10"/>
        <v>0</v>
      </c>
      <c r="O192" s="113" cm="1">
        <f t="array" aca="1" ref="O192" ca="1">IFERROR(IF($C192="","",INDIRECT($D$2&amp;"!t"&amp;T192)),IF($C192="","",INDIRECT("'"&amp;$D$2&amp;"'"&amp;"!t"&amp;T192)))</f>
        <v>0</v>
      </c>
      <c r="Q192" s="113" cm="1">
        <f t="array" aca="1" ref="Q192" ca="1">IFERROR(IF($C192="","",INDIRECT($D$2&amp;"!v"&amp;T192)),IF($C192="","",INDIRECT("'"&amp;$D$2&amp;"'"&amp;"!v"&amp;T192)))</f>
        <v>2200</v>
      </c>
      <c r="R192" s="113">
        <f t="shared" ca="1" si="11"/>
        <v>0</v>
      </c>
      <c r="S192" s="113" cm="1">
        <f t="array" aca="1" ref="S192" ca="1">IFERROR(IF($C192="","",INDIRECT($D$2&amp;"!x"&amp;T192)),IF($C192="","",INDIRECT("'"&amp;$D$2&amp;"'"&amp;"!x"&amp;T192)))</f>
        <v>2200</v>
      </c>
      <c r="T192" s="35">
        <v>180</v>
      </c>
      <c r="U192" s="113"/>
      <c r="V192" s="35">
        <v>180</v>
      </c>
    </row>
    <row r="193" spans="3:22" x14ac:dyDescent="0.25">
      <c r="C193" t="str" cm="1">
        <f t="array" aca="1" ref="C193" ca="1">IFERROR(IF(INDIRECT($D$2&amp;"!B"&amp;T193)="","",INDIRECT("'"&amp;$D$2&amp;"'"&amp;"!B"&amp;T193)),IF(INDIRECT("'"&amp;$D$2&amp;"'"&amp;"!B"&amp;T193)="","",INDIRECT("'"&amp;$D$2&amp;"'"&amp;"!B"&amp;T193)))</f>
        <v>TruStage Forms-LoanVantage</v>
      </c>
      <c r="D193" t="str" cm="1">
        <f t="array" aca="1" ref="D193" ca="1">IFERROR(_xlfn.IFS(C193="","",C193&lt;&gt;"",INDEX(SF_Output!I:I,MATCH(C193,SF_Output!M:M,0))),IFERROR(INDEX(INDIRECT($D$2&amp;"!G:G"),MATCH(C193,INDIRECT($D$2&amp;"!B:B"),0)),INDEX(INDIRECT("'"&amp;$D$2&amp;"'!G:G"),MATCH(C193,INDIRECT("'"&amp;$D$2&amp;"'!B:B"),0))))</f>
        <v>Forms</v>
      </c>
      <c r="E193" t="str" cm="1">
        <f t="array" aca="1" ref="E193" ca="1">IFERROR(IF(C193="","",INDIRECT($D$2&amp;"!F"&amp;T193)),IF(C193="","",INDIRECT("'"&amp;$D$2&amp;"'"&amp;"!F"&amp;T193)))</f>
        <v>Optional</v>
      </c>
      <c r="F193" t="str" cm="1">
        <f t="array" aca="1" ref="F193" ca="1">IFERROR(IF(C193="","",INDIRECT($D$2&amp;"!ak"&amp;T193)),IF(C193="","",INDIRECT("'"&amp;$D$2&amp;"'"&amp;"!ak"&amp;T193)))</f>
        <v/>
      </c>
      <c r="G193" cm="1">
        <f t="array" aca="1" ref="G193" ca="1">IFERROR(INDIRECT($D$2&amp;"!h"&amp;T193),INDIRECT("'"&amp;$D$2&amp;"'"&amp;"!h"&amp;T193))</f>
        <v>1</v>
      </c>
      <c r="H193" s="125" t="str" cm="1">
        <f t="array" aca="1" ref="H193" ca="1">IFERROR(INDIRECT($D$2&amp;"!i"&amp;T193),INDIRECT("'"&amp;$D$2&amp;"'"&amp;"!i"&amp;T193))</f>
        <v/>
      </c>
      <c r="I193" s="113" cm="1">
        <f t="array" aca="1" ref="I193" ca="1">IFERROR(IF($C193="","",INDIRECT($D$2&amp;"!j"&amp;$T193)+INDIRECT($D$2&amp;"!n"&amp;$T193)),IF($C193="","",INDIRECT("'"&amp;$D$2&amp;"'"&amp;"!j"&amp;$T193)+INDIRECT("'"&amp;$D$2&amp;"'"&amp;"!n"&amp;$T193)))</f>
        <v>7650</v>
      </c>
      <c r="J193" s="113">
        <f t="shared" ca="1" si="9"/>
        <v>0</v>
      </c>
      <c r="K193" s="113" cm="1">
        <f t="array" aca="1" ref="K193" ca="1">IFERROR(IF($C193="","",INDIRECT($D$2&amp;"!l"&amp;$T193)+INDIRECT($D$2&amp;"!p"&amp;$T193)),IF($C193="","",INDIRECT("'"&amp;$D$2&amp;"'"&amp;"!l"&amp;$T193)+INDIRECT("'"&amp;$D$2&amp;"'"&amp;"!p"&amp;$T193)))</f>
        <v>7650</v>
      </c>
      <c r="M193" s="113" cm="1">
        <f t="array" aca="1" ref="M193" ca="1">IFERROR(IF($C193="","",INDIRECT($D$2&amp;"!r"&amp;T193)),IF($C193="","",INDIRECT("'"&amp;$D$2&amp;"'"&amp;"!r"&amp;T193)))</f>
        <v>10595.7</v>
      </c>
      <c r="N193" s="113">
        <f t="shared" ca="1" si="10"/>
        <v>0</v>
      </c>
      <c r="O193" s="113" cm="1">
        <f t="array" aca="1" ref="O193" ca="1">IFERROR(IF($C193="","",INDIRECT($D$2&amp;"!t"&amp;T193)),IF($C193="","",INDIRECT("'"&amp;$D$2&amp;"'"&amp;"!t"&amp;T193)))</f>
        <v>10595.7</v>
      </c>
      <c r="Q193" s="113" cm="1">
        <f t="array" aca="1" ref="Q193" ca="1">IFERROR(IF($C193="","",INDIRECT($D$2&amp;"!v"&amp;T193)),IF($C193="","",INDIRECT("'"&amp;$D$2&amp;"'"&amp;"!v"&amp;T193)))</f>
        <v>0</v>
      </c>
      <c r="R193" s="113">
        <f t="shared" ca="1" si="11"/>
        <v>0</v>
      </c>
      <c r="S193" s="113" cm="1">
        <f t="array" aca="1" ref="S193" ca="1">IFERROR(IF($C193="","",INDIRECT($D$2&amp;"!x"&amp;T193)),IF($C193="","",INDIRECT("'"&amp;$D$2&amp;"'"&amp;"!x"&amp;T193)))</f>
        <v>0</v>
      </c>
      <c r="T193" s="35">
        <v>181</v>
      </c>
      <c r="U193" s="113"/>
      <c r="V193" s="35">
        <v>181</v>
      </c>
    </row>
    <row r="194" spans="3:22" x14ac:dyDescent="0.25">
      <c r="C194" t="str" cm="1">
        <f t="array" aca="1" ref="C194" ca="1">IFERROR(IF(INDIRECT($D$2&amp;"!B"&amp;T194)="","",INDIRECT("'"&amp;$D$2&amp;"'"&amp;"!B"&amp;T194)),IF(INDIRECT("'"&amp;$D$2&amp;"'"&amp;"!B"&amp;T194)="","",INDIRECT("'"&amp;$D$2&amp;"'"&amp;"!B"&amp;T194)))</f>
        <v>TruStage Forms-OnBoard Deposits-Includes Tax Favored Acct Svcs Bundle</v>
      </c>
      <c r="D194" t="str" cm="1">
        <f t="array" aca="1" ref="D194" ca="1">IFERROR(_xlfn.IFS(C194="","",C194&lt;&gt;"",INDEX(SF_Output!I:I,MATCH(C194,SF_Output!M:M,0))),IFERROR(INDEX(INDIRECT($D$2&amp;"!G:G"),MATCH(C194,INDIRECT($D$2&amp;"!B:B"),0)),INDEX(INDIRECT("'"&amp;$D$2&amp;"'!G:G"),MATCH(C194,INDIRECT("'"&amp;$D$2&amp;"'!B:B"),0))))</f>
        <v>Forms</v>
      </c>
      <c r="E194" t="str" cm="1">
        <f t="array" aca="1" ref="E194" ca="1">IFERROR(IF(C194="","",INDIRECT($D$2&amp;"!F"&amp;T194)),IF(C194="","",INDIRECT("'"&amp;$D$2&amp;"'"&amp;"!F"&amp;T194)))</f>
        <v>Included</v>
      </c>
      <c r="F194" t="str" cm="1">
        <f t="array" aca="1" ref="F194" ca="1">IFERROR(IF(C194="","",INDIRECT($D$2&amp;"!ak"&amp;T194)),IF(C194="","",INDIRECT("'"&amp;$D$2&amp;"'"&amp;"!ak"&amp;T194)))</f>
        <v/>
      </c>
      <c r="G194" cm="1">
        <f t="array" aca="1" ref="G194" ca="1">IFERROR(INDIRECT($D$2&amp;"!h"&amp;T194),INDIRECT("'"&amp;$D$2&amp;"'"&amp;"!h"&amp;T194))</f>
        <v>1</v>
      </c>
      <c r="H194" s="125" t="str" cm="1">
        <f t="array" aca="1" ref="H194" ca="1">IFERROR(INDIRECT($D$2&amp;"!i"&amp;T194),INDIRECT("'"&amp;$D$2&amp;"'"&amp;"!i"&amp;T194))</f>
        <v/>
      </c>
      <c r="I194" s="113" cm="1">
        <f t="array" aca="1" ref="I194" ca="1">IFERROR(IF($C194="","",INDIRECT($D$2&amp;"!j"&amp;$T194)+INDIRECT($D$2&amp;"!n"&amp;$T194)),IF($C194="","",INDIRECT("'"&amp;$D$2&amp;"'"&amp;"!j"&amp;$T194)+INDIRECT("'"&amp;$D$2&amp;"'"&amp;"!n"&amp;$T194)))</f>
        <v>7650</v>
      </c>
      <c r="J194" s="113">
        <f t="shared" ca="1" si="9"/>
        <v>0</v>
      </c>
      <c r="K194" s="113" cm="1">
        <f t="array" aca="1" ref="K194" ca="1">IFERROR(IF($C194="","",INDIRECT($D$2&amp;"!l"&amp;$T194)+INDIRECT($D$2&amp;"!p"&amp;$T194)),IF($C194="","",INDIRECT("'"&amp;$D$2&amp;"'"&amp;"!l"&amp;$T194)+INDIRECT("'"&amp;$D$2&amp;"'"&amp;"!p"&amp;$T194)))</f>
        <v>7650</v>
      </c>
      <c r="M194" s="113" cm="1">
        <f t="array" aca="1" ref="M194" ca="1">IFERROR(IF($C194="","",INDIRECT($D$2&amp;"!r"&amp;T194)),IF($C194="","",INDIRECT("'"&amp;$D$2&amp;"'"&amp;"!r"&amp;T194)))</f>
        <v>14590</v>
      </c>
      <c r="N194" s="113">
        <f t="shared" ca="1" si="10"/>
        <v>0</v>
      </c>
      <c r="O194" s="113" cm="1">
        <f t="array" aca="1" ref="O194" ca="1">IFERROR(IF($C194="","",INDIRECT($D$2&amp;"!t"&amp;T194)),IF($C194="","",INDIRECT("'"&amp;$D$2&amp;"'"&amp;"!t"&amp;T194)))</f>
        <v>14590</v>
      </c>
      <c r="Q194" s="113" cm="1">
        <f t="array" aca="1" ref="Q194" ca="1">IFERROR(IF($C194="","",INDIRECT($D$2&amp;"!v"&amp;T194)),IF($C194="","",INDIRECT("'"&amp;$D$2&amp;"'"&amp;"!v"&amp;T194)))</f>
        <v>0</v>
      </c>
      <c r="R194" s="113">
        <f t="shared" ca="1" si="11"/>
        <v>0</v>
      </c>
      <c r="S194" s="113" cm="1">
        <f t="array" aca="1" ref="S194" ca="1">IFERROR(IF($C194="","",INDIRECT($D$2&amp;"!x"&amp;T194)),IF($C194="","",INDIRECT("'"&amp;$D$2&amp;"'"&amp;"!x"&amp;T194)))</f>
        <v>0</v>
      </c>
      <c r="T194" s="35">
        <v>182</v>
      </c>
      <c r="U194" s="113"/>
      <c r="V194" s="35">
        <v>182</v>
      </c>
    </row>
    <row r="195" spans="3:22" x14ac:dyDescent="0.25">
      <c r="C195" t="str" cm="1">
        <f t="array" aca="1" ref="C195" ca="1">IFERROR(IF(INDIRECT($D$2&amp;"!B"&amp;T195)="","",INDIRECT("'"&amp;$D$2&amp;"'"&amp;"!B"&amp;T195)),IF(INDIRECT("'"&amp;$D$2&amp;"'"&amp;"!B"&amp;T195)="","",INDIRECT("'"&amp;$D$2&amp;"'"&amp;"!B"&amp;T195)))</f>
        <v>TruStage Forms-OpenAnywhere</v>
      </c>
      <c r="D195" t="str" cm="1">
        <f t="array" aca="1" ref="D195" ca="1">IFERROR(_xlfn.IFS(C195="","",C195&lt;&gt;"",INDEX(SF_Output!I:I,MATCH(C195,SF_Output!M:M,0))),IFERROR(INDEX(INDIRECT($D$2&amp;"!G:G"),MATCH(C195,INDIRECT($D$2&amp;"!B:B"),0)),INDEX(INDIRECT("'"&amp;$D$2&amp;"'!G:G"),MATCH(C195,INDIRECT("'"&amp;$D$2&amp;"'!B:B"),0))))</f>
        <v>Forms</v>
      </c>
      <c r="E195" t="str" cm="1">
        <f t="array" aca="1" ref="E195" ca="1">IFERROR(IF(C195="","",INDIRECT($D$2&amp;"!F"&amp;T195)),IF(C195="","",INDIRECT("'"&amp;$D$2&amp;"'"&amp;"!F"&amp;T195)))</f>
        <v>Included</v>
      </c>
      <c r="F195" t="str" cm="1">
        <f t="array" aca="1" ref="F195" ca="1">IFERROR(IF(C195="","",INDIRECT($D$2&amp;"!ak"&amp;T195)),IF(C195="","",INDIRECT("'"&amp;$D$2&amp;"'"&amp;"!ak"&amp;T195)))</f>
        <v/>
      </c>
      <c r="G195" cm="1">
        <f t="array" aca="1" ref="G195" ca="1">IFERROR(INDIRECT($D$2&amp;"!h"&amp;T195),INDIRECT("'"&amp;$D$2&amp;"'"&amp;"!h"&amp;T195))</f>
        <v>1</v>
      </c>
      <c r="H195" s="125" t="str" cm="1">
        <f t="array" aca="1" ref="H195" ca="1">IFERROR(INDIRECT($D$2&amp;"!i"&amp;T195),INDIRECT("'"&amp;$D$2&amp;"'"&amp;"!i"&amp;T195))</f>
        <v/>
      </c>
      <c r="I195" s="113" cm="1">
        <f t="array" aca="1" ref="I195" ca="1">IFERROR(IF($C195="","",INDIRECT($D$2&amp;"!j"&amp;$T195)+INDIRECT($D$2&amp;"!n"&amp;$T195)),IF($C195="","",INDIRECT("'"&amp;$D$2&amp;"'"&amp;"!j"&amp;$T195)+INDIRECT("'"&amp;$D$2&amp;"'"&amp;"!n"&amp;$T195)))</f>
        <v>0</v>
      </c>
      <c r="J195" s="113">
        <f t="shared" ca="1" si="9"/>
        <v>0</v>
      </c>
      <c r="K195" s="113" cm="1">
        <f t="array" aca="1" ref="K195" ca="1">IFERROR(IF($C195="","",INDIRECT($D$2&amp;"!l"&amp;$T195)+INDIRECT($D$2&amp;"!p"&amp;$T195)),IF($C195="","",INDIRECT("'"&amp;$D$2&amp;"'"&amp;"!l"&amp;$T195)+INDIRECT("'"&amp;$D$2&amp;"'"&amp;"!p"&amp;$T195)))</f>
        <v>0</v>
      </c>
      <c r="M195" s="113" cm="1">
        <f t="array" aca="1" ref="M195" ca="1">IFERROR(IF($C195="","",INDIRECT($D$2&amp;"!r"&amp;T195)),IF($C195="","",INDIRECT("'"&amp;$D$2&amp;"'"&amp;"!r"&amp;T195)))</f>
        <v>2550</v>
      </c>
      <c r="N195" s="113">
        <f t="shared" ca="1" si="10"/>
        <v>0</v>
      </c>
      <c r="O195" s="113" cm="1">
        <f t="array" aca="1" ref="O195" ca="1">IFERROR(IF($C195="","",INDIRECT($D$2&amp;"!t"&amp;T195)),IF($C195="","",INDIRECT("'"&amp;$D$2&amp;"'"&amp;"!t"&amp;T195)))</f>
        <v>2550</v>
      </c>
      <c r="Q195" s="113" cm="1">
        <f t="array" aca="1" ref="Q195" ca="1">IFERROR(IF($C195="","",INDIRECT($D$2&amp;"!v"&amp;T195)),IF($C195="","",INDIRECT("'"&amp;$D$2&amp;"'"&amp;"!v"&amp;T195)))</f>
        <v>0</v>
      </c>
      <c r="R195" s="113">
        <f t="shared" ca="1" si="11"/>
        <v>0</v>
      </c>
      <c r="S195" s="113" cm="1">
        <f t="array" aca="1" ref="S195" ca="1">IFERROR(IF($C195="","",INDIRECT($D$2&amp;"!x"&amp;T195)),IF($C195="","",INDIRECT("'"&amp;$D$2&amp;"'"&amp;"!x"&amp;T195)))</f>
        <v>0</v>
      </c>
      <c r="T195" s="35">
        <v>183</v>
      </c>
      <c r="U195" s="113"/>
      <c r="V195" s="35">
        <v>183</v>
      </c>
    </row>
    <row r="196" spans="3:22" x14ac:dyDescent="0.25">
      <c r="C196" t="str" cm="1">
        <f t="array" aca="1" ref="C196" ca="1">IFERROR(IF(INDIRECT($D$2&amp;"!B"&amp;T196)="","",INDIRECT("'"&amp;$D$2&amp;"'"&amp;"!B"&amp;T196)),IF(INDIRECT("'"&amp;$D$2&amp;"'"&amp;"!B"&amp;T196)="","",INDIRECT("'"&amp;$D$2&amp;"'"&amp;"!B"&amp;T196)))</f>
        <v>Ensenta ITM/ATM</v>
      </c>
      <c r="D196" t="str" cm="1">
        <f t="array" aca="1" ref="D196" ca="1">IFERROR(_xlfn.IFS(C196="","",C196&lt;&gt;"",INDEX(SF_Output!I:I,MATCH(C196,SF_Output!M:M,0))),IFERROR(INDEX(INDIRECT($D$2&amp;"!G:G"),MATCH(C196,INDIRECT($D$2&amp;"!B:B"),0)),INDEX(INDIRECT("'"&amp;$D$2&amp;"'!G:G"),MATCH(C196,INDIRECT("'"&amp;$D$2&amp;"'!B:B"),0))))</f>
        <v>Ensenta</v>
      </c>
      <c r="E196" t="str" cm="1">
        <f t="array" aca="1" ref="E196" ca="1">IFERROR(IF(C196="","",INDIRECT($D$2&amp;"!F"&amp;T196)),IF(C196="","",INDIRECT("'"&amp;$D$2&amp;"'"&amp;"!F"&amp;T196)))</f>
        <v>Optional</v>
      </c>
      <c r="F196" t="str" cm="1">
        <f t="array" aca="1" ref="F196" ca="1">IFERROR(IF(C196="","",INDIRECT($D$2&amp;"!ak"&amp;T196)),IF(C196="","",INDIRECT("'"&amp;$D$2&amp;"'"&amp;"!ak"&amp;T196)))</f>
        <v/>
      </c>
      <c r="G196" cm="1">
        <f t="array" aca="1" ref="G196" ca="1">IFERROR(INDIRECT($D$2&amp;"!h"&amp;T196),INDIRECT("'"&amp;$D$2&amp;"'"&amp;"!h"&amp;T196))</f>
        <v>1</v>
      </c>
      <c r="H196" s="125" t="str" cm="1">
        <f t="array" aca="1" ref="H196" ca="1">IFERROR(INDIRECT($D$2&amp;"!i"&amp;T196),INDIRECT("'"&amp;$D$2&amp;"'"&amp;"!i"&amp;T196))</f>
        <v/>
      </c>
      <c r="I196" s="113" cm="1">
        <f t="array" aca="1" ref="I196" ca="1">IFERROR(IF($C196="","",INDIRECT($D$2&amp;"!j"&amp;$T196)+INDIRECT($D$2&amp;"!n"&amp;$T196)),IF($C196="","",INDIRECT("'"&amp;$D$2&amp;"'"&amp;"!j"&amp;$T196)+INDIRECT("'"&amp;$D$2&amp;"'"&amp;"!n"&amp;$T196)))</f>
        <v>6500</v>
      </c>
      <c r="J196" s="113">
        <f t="shared" ca="1" si="9"/>
        <v>0</v>
      </c>
      <c r="K196" s="113" cm="1">
        <f t="array" aca="1" ref="K196" ca="1">IFERROR(IF($C196="","",INDIRECT($D$2&amp;"!l"&amp;$T196)+INDIRECT($D$2&amp;"!p"&amp;$T196)),IF($C196="","",INDIRECT("'"&amp;$D$2&amp;"'"&amp;"!l"&amp;$T196)+INDIRECT("'"&amp;$D$2&amp;"'"&amp;"!p"&amp;$T196)))</f>
        <v>6500</v>
      </c>
      <c r="M196" s="113" cm="1">
        <f t="array" aca="1" ref="M196" ca="1">IFERROR(IF($C196="","",INDIRECT($D$2&amp;"!r"&amp;T196)),IF($C196="","",INDIRECT("'"&amp;$D$2&amp;"'"&amp;"!r"&amp;T196)))</f>
        <v>0</v>
      </c>
      <c r="N196" s="113">
        <f t="shared" ca="1" si="10"/>
        <v>0</v>
      </c>
      <c r="O196" s="113" cm="1">
        <f t="array" aca="1" ref="O196" ca="1">IFERROR(IF($C196="","",INDIRECT($D$2&amp;"!t"&amp;T196)),IF($C196="","",INDIRECT("'"&amp;$D$2&amp;"'"&amp;"!t"&amp;T196)))</f>
        <v>0</v>
      </c>
      <c r="Q196" s="113" cm="1">
        <f t="array" aca="1" ref="Q196" ca="1">IFERROR(IF($C196="","",INDIRECT($D$2&amp;"!v"&amp;T196)),IF($C196="","",INDIRECT("'"&amp;$D$2&amp;"'"&amp;"!v"&amp;T196)))</f>
        <v>375</v>
      </c>
      <c r="R196" s="113">
        <f t="shared" ca="1" si="11"/>
        <v>0</v>
      </c>
      <c r="S196" s="113" cm="1">
        <f t="array" aca="1" ref="S196" ca="1">IFERROR(IF($C196="","",INDIRECT($D$2&amp;"!x"&amp;T196)),IF($C196="","",INDIRECT("'"&amp;$D$2&amp;"'"&amp;"!x"&amp;T196)))</f>
        <v>375</v>
      </c>
      <c r="T196" s="35">
        <v>184</v>
      </c>
      <c r="U196" s="113"/>
      <c r="V196" s="35">
        <v>184</v>
      </c>
    </row>
    <row r="197" spans="3:22" x14ac:dyDescent="0.25">
      <c r="C197" t="str" cm="1">
        <f t="array" aca="1" ref="C197" ca="1">IFERROR(IF(INDIRECT($D$2&amp;"!B"&amp;T197)="","",INDIRECT("'"&amp;$D$2&amp;"'"&amp;"!B"&amp;T197)),IF(INDIRECT("'"&amp;$D$2&amp;"'"&amp;"!B"&amp;T197)="","",INDIRECT("'"&amp;$D$2&amp;"'"&amp;"!B"&amp;T197)))</f>
        <v>PrePaid Consulting</v>
      </c>
      <c r="D197" t="str" cm="1">
        <f t="array" aca="1" ref="D197" ca="1">IFERROR(_xlfn.IFS(C197="","",C197&lt;&gt;"",INDEX(SF_Output!I:I,MATCH(C197,SF_Output!M:M,0))),IFERROR(INDEX(INDIRECT($D$2&amp;"!G:G"),MATCH(C197,INDIRECT($D$2&amp;"!B:B"),0)),INDEX(INDIRECT("'"&amp;$D$2&amp;"'!G:G"),MATCH(C197,INDIRECT("'"&amp;$D$2&amp;"'!B:B"),0))))</f>
        <v>Op Assessment</v>
      </c>
      <c r="E197" t="str" cm="1">
        <f t="array" aca="1" ref="E197" ca="1">IFERROR(IF(C197="","",INDIRECT($D$2&amp;"!F"&amp;T197)),IF(C197="","",INDIRECT("'"&amp;$D$2&amp;"'"&amp;"!F"&amp;T197)))</f>
        <v>Included</v>
      </c>
      <c r="F197" t="str" cm="1">
        <f t="array" aca="1" ref="F197" ca="1">IFERROR(IF(C197="","",INDIRECT($D$2&amp;"!ak"&amp;T197)),IF(C197="","",INDIRECT("'"&amp;$D$2&amp;"'"&amp;"!ak"&amp;T197)))</f>
        <v/>
      </c>
      <c r="G197" cm="1">
        <f t="array" aca="1" ref="G197" ca="1">IFERROR(INDIRECT($D$2&amp;"!h"&amp;T197),INDIRECT("'"&amp;$D$2&amp;"'"&amp;"!h"&amp;T197))</f>
        <v>1</v>
      </c>
      <c r="H197" s="125" t="str" cm="1">
        <f t="array" aca="1" ref="H197" ca="1">IFERROR(INDIRECT($D$2&amp;"!i"&amp;T197),INDIRECT("'"&amp;$D$2&amp;"'"&amp;"!i"&amp;T197))</f>
        <v/>
      </c>
      <c r="I197" s="113" cm="1">
        <f t="array" aca="1" ref="I197" ca="1">IFERROR(IF($C197="","",INDIRECT($D$2&amp;"!j"&amp;$T197)+INDIRECT($D$2&amp;"!n"&amp;$T197)),IF($C197="","",INDIRECT("'"&amp;$D$2&amp;"'"&amp;"!j"&amp;$T197)+INDIRECT("'"&amp;$D$2&amp;"'"&amp;"!n"&amp;$T197)))</f>
        <v>30000</v>
      </c>
      <c r="J197" s="113">
        <f t="shared" ca="1" si="9"/>
        <v>0</v>
      </c>
      <c r="K197" s="113" cm="1">
        <f t="array" aca="1" ref="K197" ca="1">IFERROR(IF($C197="","",INDIRECT($D$2&amp;"!l"&amp;$T197)+INDIRECT($D$2&amp;"!p"&amp;$T197)),IF($C197="","",INDIRECT("'"&amp;$D$2&amp;"'"&amp;"!l"&amp;$T197)+INDIRECT("'"&amp;$D$2&amp;"'"&amp;"!p"&amp;$T197)))</f>
        <v>30000</v>
      </c>
      <c r="M197" s="113" cm="1">
        <f t="array" aca="1" ref="M197" ca="1">IFERROR(IF($C197="","",INDIRECT($D$2&amp;"!r"&amp;T197)),IF($C197="","",INDIRECT("'"&amp;$D$2&amp;"'"&amp;"!r"&amp;T197)))</f>
        <v>0</v>
      </c>
      <c r="N197" s="113">
        <f t="shared" ca="1" si="10"/>
        <v>0</v>
      </c>
      <c r="O197" s="113" cm="1">
        <f t="array" aca="1" ref="O197" ca="1">IFERROR(IF($C197="","",INDIRECT($D$2&amp;"!t"&amp;T197)),IF($C197="","",INDIRECT("'"&amp;$D$2&amp;"'"&amp;"!t"&amp;T197)))</f>
        <v>0</v>
      </c>
      <c r="Q197" s="113" cm="1">
        <f t="array" aca="1" ref="Q197" ca="1">IFERROR(IF($C197="","",INDIRECT($D$2&amp;"!v"&amp;T197)),IF($C197="","",INDIRECT("'"&amp;$D$2&amp;"'"&amp;"!v"&amp;T197)))</f>
        <v>0</v>
      </c>
      <c r="R197" s="113">
        <f t="shared" ca="1" si="11"/>
        <v>0</v>
      </c>
      <c r="S197" s="113" cm="1">
        <f t="array" aca="1" ref="S197" ca="1">IFERROR(IF($C197="","",INDIRECT($D$2&amp;"!x"&amp;T197)),IF($C197="","",INDIRECT("'"&amp;$D$2&amp;"'"&amp;"!x"&amp;T197)))</f>
        <v>0</v>
      </c>
      <c r="T197" s="35">
        <v>185</v>
      </c>
      <c r="U197" s="113"/>
      <c r="V197" s="35">
        <v>185</v>
      </c>
    </row>
    <row r="198" spans="3:22" x14ac:dyDescent="0.25">
      <c r="C198" t="str" cm="1">
        <f t="array" aca="1" ref="C198" ca="1">IFERROR(IF(INDIRECT($D$2&amp;"!B"&amp;T198)="","",INDIRECT("'"&amp;$D$2&amp;"'"&amp;"!B"&amp;T198)),IF(INDIRECT("'"&amp;$D$2&amp;"'"&amp;"!B"&amp;T198)="","",INDIRECT("'"&amp;$D$2&amp;"'"&amp;"!B"&amp;T198)))</f>
        <v/>
      </c>
      <c r="D198" t="str" cm="1">
        <f t="array" aca="1" ref="D198" ca="1">IFERROR(_xlfn.IFS(C198="","",C198&lt;&gt;"",INDEX(SF_Output!I:I,MATCH(C198,SF_Output!M:M,0))),IFERROR(INDEX(INDIRECT($D$2&amp;"!G:G"),MATCH(C198,INDIRECT($D$2&amp;"!B:B"),0)),INDEX(INDIRECT("'"&amp;$D$2&amp;"'!G:G"),MATCH(C198,INDIRECT("'"&amp;$D$2&amp;"'!B:B"),0))))</f>
        <v/>
      </c>
      <c r="E198" t="str" cm="1">
        <f t="array" aca="1" ref="E198" ca="1">IFERROR(IF(C198="","",INDIRECT($D$2&amp;"!F"&amp;T198)),IF(C198="","",INDIRECT("'"&amp;$D$2&amp;"'"&amp;"!F"&amp;T198)))</f>
        <v/>
      </c>
      <c r="F198" t="str" cm="1">
        <f t="array" aca="1" ref="F198" ca="1">IFERROR(IF(C198="","",INDIRECT($D$2&amp;"!ak"&amp;T198)),IF(C198="","",INDIRECT("'"&amp;$D$2&amp;"'"&amp;"!ak"&amp;T198)))</f>
        <v/>
      </c>
      <c r="G198" t="str" cm="1">
        <f t="array" aca="1" ref="G198" ca="1">IFERROR(INDIRECT($D$2&amp;"!h"&amp;T198),INDIRECT("'"&amp;$D$2&amp;"'"&amp;"!h"&amp;T198))</f>
        <v/>
      </c>
      <c r="H198" s="125" t="str" cm="1">
        <f t="array" aca="1" ref="H198" ca="1">IFERROR(INDIRECT($D$2&amp;"!i"&amp;T198),INDIRECT("'"&amp;$D$2&amp;"'"&amp;"!i"&amp;T198))</f>
        <v/>
      </c>
      <c r="I198" s="113" t="str" cm="1">
        <f t="array" aca="1" ref="I198" ca="1">IFERROR(IF($C198="","",INDIRECT($D$2&amp;"!j"&amp;$T198)+INDIRECT($D$2&amp;"!n"&amp;$T198)),IF($C198="","",INDIRECT("'"&amp;$D$2&amp;"'"&amp;"!j"&amp;$T198)+INDIRECT("'"&amp;$D$2&amp;"'"&amp;"!n"&amp;$T198)))</f>
        <v/>
      </c>
      <c r="J198" s="113" t="str">
        <f t="shared" ca="1" si="9"/>
        <v/>
      </c>
      <c r="K198" s="113" t="str" cm="1">
        <f t="array" aca="1" ref="K198" ca="1">IFERROR(IF($C198="","",INDIRECT($D$2&amp;"!l"&amp;$T198)+INDIRECT($D$2&amp;"!p"&amp;$T198)),IF($C198="","",INDIRECT("'"&amp;$D$2&amp;"'"&amp;"!l"&amp;$T198)+INDIRECT("'"&amp;$D$2&amp;"'"&amp;"!p"&amp;$T198)))</f>
        <v/>
      </c>
      <c r="M198" s="113" t="str" cm="1">
        <f t="array" aca="1" ref="M198" ca="1">IFERROR(IF($C198="","",INDIRECT($D$2&amp;"!r"&amp;T198)),IF($C198="","",INDIRECT("'"&amp;$D$2&amp;"'"&amp;"!r"&amp;T198)))</f>
        <v/>
      </c>
      <c r="N198" s="113" t="str">
        <f t="shared" ca="1" si="10"/>
        <v/>
      </c>
      <c r="O198" s="113" t="str" cm="1">
        <f t="array" aca="1" ref="O198" ca="1">IFERROR(IF($C198="","",INDIRECT($D$2&amp;"!t"&amp;T198)),IF($C198="","",INDIRECT("'"&amp;$D$2&amp;"'"&amp;"!t"&amp;T198)))</f>
        <v/>
      </c>
      <c r="Q198" s="113" t="str" cm="1">
        <f t="array" aca="1" ref="Q198" ca="1">IFERROR(IF($C198="","",INDIRECT($D$2&amp;"!v"&amp;T198)),IF($C198="","",INDIRECT("'"&amp;$D$2&amp;"'"&amp;"!v"&amp;T198)))</f>
        <v/>
      </c>
      <c r="R198" s="113" t="str">
        <f t="shared" ca="1" si="11"/>
        <v/>
      </c>
      <c r="S198" s="113" t="str" cm="1">
        <f t="array" aca="1" ref="S198" ca="1">IFERROR(IF($C198="","",INDIRECT($D$2&amp;"!x"&amp;T198)),IF($C198="","",INDIRECT("'"&amp;$D$2&amp;"'"&amp;"!x"&amp;T198)))</f>
        <v/>
      </c>
      <c r="T198" s="35">
        <v>186</v>
      </c>
      <c r="U198" s="113"/>
      <c r="V198" s="35">
        <v>186</v>
      </c>
    </row>
    <row r="199" spans="3:22" x14ac:dyDescent="0.25">
      <c r="C199" t="str" cm="1">
        <f t="array" aca="1" ref="C199" ca="1">IFERROR(IF(INDIRECT($D$2&amp;"!B"&amp;T199)="","",INDIRECT("'"&amp;$D$2&amp;"'"&amp;"!B"&amp;T199)),IF(INDIRECT("'"&amp;$D$2&amp;"'"&amp;"!B"&amp;T199)="","",INDIRECT("'"&amp;$D$2&amp;"'"&amp;"!B"&amp;T199)))</f>
        <v>PNV</v>
      </c>
      <c r="D199" t="str" cm="1">
        <f t="array" aca="1" ref="D199" ca="1">IFERROR(_xlfn.IFS(C199="","",C199&lt;&gt;"",INDEX(SF_Output!I:I,MATCH(C199,SF_Output!M:M,0))),IFERROR(INDEX(INDIRECT($D$2&amp;"!G:G"),MATCH(C199,INDIRECT($D$2&amp;"!B:B"),0)),INDEX(INDIRECT("'"&amp;$D$2&amp;"'!G:G"),MATCH(C199,INDIRECT("'"&amp;$D$2&amp;"'!B:B"),0))))</f>
        <v>OutLink Item Processing</v>
      </c>
      <c r="E199" t="str" cm="1">
        <f t="array" aca="1" ref="E199" ca="1">IFERROR(IF(C199="","",INDIRECT($D$2&amp;"!F"&amp;T199)),IF(C199="","",INDIRECT("'"&amp;$D$2&amp;"'"&amp;"!F"&amp;T199)))</f>
        <v>Included</v>
      </c>
      <c r="F199" t="str" cm="1">
        <f t="array" aca="1" ref="F199" ca="1">IFERROR(IF(C199="","",INDIRECT($D$2&amp;"!ak"&amp;T199)),IF(C199="","",INDIRECT("'"&amp;$D$2&amp;"'"&amp;"!ak"&amp;T199)))</f>
        <v/>
      </c>
      <c r="G199" cm="1">
        <f t="array" aca="1" ref="G199" ca="1">IFERROR(INDIRECT($D$2&amp;"!h"&amp;T199),INDIRECT("'"&amp;$D$2&amp;"'"&amp;"!h"&amp;T199))</f>
        <v>1</v>
      </c>
      <c r="H199" s="125" t="str" cm="1">
        <f t="array" aca="1" ref="H199" ca="1">IFERROR(INDIRECT($D$2&amp;"!i"&amp;T199),INDIRECT("'"&amp;$D$2&amp;"'"&amp;"!i"&amp;T199))</f>
        <v/>
      </c>
      <c r="I199" s="113" cm="1">
        <f t="array" aca="1" ref="I199" ca="1">IFERROR(IF($C199="","",INDIRECT($D$2&amp;"!j"&amp;$T199)+INDIRECT($D$2&amp;"!n"&amp;$T199)),IF($C199="","",INDIRECT("'"&amp;$D$2&amp;"'"&amp;"!j"&amp;$T199)+INDIRECT("'"&amp;$D$2&amp;"'"&amp;"!n"&amp;$T199)))</f>
        <v>10500</v>
      </c>
      <c r="J199" s="113">
        <f t="shared" ca="1" si="9"/>
        <v>0</v>
      </c>
      <c r="K199" s="113" cm="1">
        <f t="array" aca="1" ref="K199" ca="1">IFERROR(IF($C199="","",INDIRECT($D$2&amp;"!l"&amp;$T199)+INDIRECT($D$2&amp;"!p"&amp;$T199)),IF($C199="","",INDIRECT("'"&amp;$D$2&amp;"'"&amp;"!l"&amp;$T199)+INDIRECT("'"&amp;$D$2&amp;"'"&amp;"!p"&amp;$T199)))</f>
        <v>10500</v>
      </c>
      <c r="M199" s="113" cm="1">
        <f t="array" aca="1" ref="M199" ca="1">IFERROR(IF($C199="","",INDIRECT($D$2&amp;"!r"&amp;T199)),IF($C199="","",INDIRECT("'"&amp;$D$2&amp;"'"&amp;"!r"&amp;T199)))</f>
        <v>0</v>
      </c>
      <c r="N199" s="113">
        <f t="shared" ca="1" si="10"/>
        <v>0</v>
      </c>
      <c r="O199" s="113" cm="1">
        <f t="array" aca="1" ref="O199" ca="1">IFERROR(IF($C199="","",INDIRECT($D$2&amp;"!t"&amp;T199)),IF($C199="","",INDIRECT("'"&amp;$D$2&amp;"'"&amp;"!t"&amp;T199)))</f>
        <v>0</v>
      </c>
      <c r="Q199" s="113" cm="1">
        <f t="array" aca="1" ref="Q199" ca="1">IFERROR(IF($C199="","",INDIRECT($D$2&amp;"!v"&amp;T199)),IF($C199="","",INDIRECT("'"&amp;$D$2&amp;"'"&amp;"!v"&amp;T199)))</f>
        <v>114</v>
      </c>
      <c r="R199" s="113">
        <f t="shared" ca="1" si="11"/>
        <v>0</v>
      </c>
      <c r="S199" s="113" cm="1">
        <f t="array" aca="1" ref="S199" ca="1">IFERROR(IF($C199="","",INDIRECT($D$2&amp;"!x"&amp;T199)),IF($C199="","",INDIRECT("'"&amp;$D$2&amp;"'"&amp;"!x"&amp;T199)))</f>
        <v>114</v>
      </c>
      <c r="T199" s="35">
        <v>187</v>
      </c>
      <c r="U199" s="113"/>
      <c r="V199" s="35">
        <v>187</v>
      </c>
    </row>
    <row r="200" spans="3:22" x14ac:dyDescent="0.25">
      <c r="C200" t="str" cm="1">
        <f t="array" aca="1" ref="C200" ca="1">IFERROR(IF(INDIRECT($D$2&amp;"!B"&amp;T200)="","",INDIRECT("'"&amp;$D$2&amp;"'"&amp;"!B"&amp;T200)),IF(INDIRECT("'"&amp;$D$2&amp;"'"&amp;"!B"&amp;T200)="","",INDIRECT("'"&amp;$D$2&amp;"'"&amp;"!B"&amp;T200)))</f>
        <v>FPS Customer Profitability and Pricing</v>
      </c>
      <c r="D200" t="str" cm="1">
        <f t="array" aca="1" ref="D200" ca="1">IFERROR(_xlfn.IFS(C200="","",C200&lt;&gt;"",INDEX(SF_Output!I:I,MATCH(C200,SF_Output!M:M,0))),IFERROR(INDEX(INDIRECT($D$2&amp;"!G:G"),MATCH(C200,INDIRECT($D$2&amp;"!B:B"),0)),INDEX(INDIRECT("'"&amp;$D$2&amp;"'!G:G"),MATCH(C200,INDIRECT("'"&amp;$D$2&amp;"'!B:B"),0))))</f>
        <v>ProfitStars Financial Performance</v>
      </c>
      <c r="E200" t="str" cm="1">
        <f t="array" aca="1" ref="E200" ca="1">IFERROR(IF(C200="","",INDIRECT($D$2&amp;"!F"&amp;T200)),IF(C200="","",INDIRECT("'"&amp;$D$2&amp;"'"&amp;"!F"&amp;T200)))</f>
        <v>Included</v>
      </c>
      <c r="F200" t="str" cm="1">
        <f t="array" aca="1" ref="F200" ca="1">IFERROR(IF(C200="","",INDIRECT($D$2&amp;"!ak"&amp;T200)),IF(C200="","",INDIRECT("'"&amp;$D$2&amp;"'"&amp;"!ak"&amp;T200)))</f>
        <v/>
      </c>
      <c r="G200" cm="1">
        <f t="array" aca="1" ref="G200" ca="1">IFERROR(INDIRECT($D$2&amp;"!h"&amp;T200),INDIRECT("'"&amp;$D$2&amp;"'"&amp;"!h"&amp;T200))</f>
        <v>1</v>
      </c>
      <c r="H200" s="125" t="str" cm="1">
        <f t="array" aca="1" ref="H200" ca="1">IFERROR(INDIRECT($D$2&amp;"!i"&amp;T200),INDIRECT("'"&amp;$D$2&amp;"'"&amp;"!i"&amp;T200))</f>
        <v/>
      </c>
      <c r="I200" s="113" cm="1">
        <f t="array" aca="1" ref="I200" ca="1">IFERROR(IF($C200="","",INDIRECT($D$2&amp;"!j"&amp;$T200)+INDIRECT($D$2&amp;"!n"&amp;$T200)),IF($C200="","",INDIRECT("'"&amp;$D$2&amp;"'"&amp;"!j"&amp;$T200)+INDIRECT("'"&amp;$D$2&amp;"'"&amp;"!n"&amp;$T200)))</f>
        <v>4250</v>
      </c>
      <c r="J200" s="113">
        <f t="shared" ca="1" si="9"/>
        <v>-4250</v>
      </c>
      <c r="K200" s="113" cm="1">
        <f t="array" aca="1" ref="K200" ca="1">IFERROR(IF($C200="","",INDIRECT($D$2&amp;"!l"&amp;$T200)+INDIRECT($D$2&amp;"!p"&amp;$T200)),IF($C200="","",INDIRECT("'"&amp;$D$2&amp;"'"&amp;"!l"&amp;$T200)+INDIRECT("'"&amp;$D$2&amp;"'"&amp;"!p"&amp;$T200)))</f>
        <v>0</v>
      </c>
      <c r="M200" s="113" cm="1">
        <f t="array" aca="1" ref="M200" ca="1">IFERROR(IF($C200="","",INDIRECT($D$2&amp;"!r"&amp;T200)),IF($C200="","",INDIRECT("'"&amp;$D$2&amp;"'"&amp;"!r"&amp;T200)))</f>
        <v>0</v>
      </c>
      <c r="N200" s="113">
        <f t="shared" ca="1" si="10"/>
        <v>0</v>
      </c>
      <c r="O200" s="113" cm="1">
        <f t="array" aca="1" ref="O200" ca="1">IFERROR(IF($C200="","",INDIRECT($D$2&amp;"!t"&amp;T200)),IF($C200="","",INDIRECT("'"&amp;$D$2&amp;"'"&amp;"!t"&amp;T200)))</f>
        <v>0</v>
      </c>
      <c r="Q200" s="113" cm="1">
        <f t="array" aca="1" ref="Q200" ca="1">IFERROR(IF($C200="","",INDIRECT($D$2&amp;"!v"&amp;T200)),IF($C200="","",INDIRECT("'"&amp;$D$2&amp;"'"&amp;"!v"&amp;T200)))</f>
        <v>535</v>
      </c>
      <c r="R200" s="113">
        <f t="shared" ca="1" si="11"/>
        <v>-133.75</v>
      </c>
      <c r="S200" s="113" cm="1">
        <f t="array" aca="1" ref="S200" ca="1">IFERROR(IF($C200="","",INDIRECT($D$2&amp;"!x"&amp;T200)),IF($C200="","",INDIRECT("'"&amp;$D$2&amp;"'"&amp;"!x"&amp;T200)))</f>
        <v>401.25</v>
      </c>
      <c r="T200" s="35">
        <v>188</v>
      </c>
      <c r="U200" s="113"/>
      <c r="V200" s="35">
        <v>188</v>
      </c>
    </row>
    <row r="201" spans="3:22" x14ac:dyDescent="0.25">
      <c r="C201" t="str" cm="1">
        <f t="array" aca="1" ref="C201" ca="1">IFERROR(IF(INDIRECT($D$2&amp;"!B"&amp;T201)="","",INDIRECT("'"&amp;$D$2&amp;"'"&amp;"!B"&amp;T201)),IF(INDIRECT("'"&amp;$D$2&amp;"'"&amp;"!B"&amp;T201)="","",INDIRECT("'"&amp;$D$2&amp;"'"&amp;"!B"&amp;T201)))</f>
        <v/>
      </c>
      <c r="D201" t="str" cm="1">
        <f t="array" aca="1" ref="D201" ca="1">IFERROR(_xlfn.IFS(C201="","",C201&lt;&gt;"",INDEX(SF_Output!I:I,MATCH(C201,SF_Output!M:M,0))),IFERROR(INDEX(INDIRECT($D$2&amp;"!G:G"),MATCH(C201,INDIRECT($D$2&amp;"!B:B"),0)),INDEX(INDIRECT("'"&amp;$D$2&amp;"'!G:G"),MATCH(C201,INDIRECT("'"&amp;$D$2&amp;"'!B:B"),0))))</f>
        <v/>
      </c>
      <c r="E201" t="str" cm="1">
        <f t="array" aca="1" ref="E201" ca="1">IFERROR(IF(C201="","",INDIRECT($D$2&amp;"!F"&amp;T201)),IF(C201="","",INDIRECT("'"&amp;$D$2&amp;"'"&amp;"!F"&amp;T201)))</f>
        <v/>
      </c>
      <c r="F201" t="str" cm="1">
        <f t="array" aca="1" ref="F201" ca="1">IFERROR(IF(C201="","",INDIRECT($D$2&amp;"!ak"&amp;T201)),IF(C201="","",INDIRECT("'"&amp;$D$2&amp;"'"&amp;"!ak"&amp;T201)))</f>
        <v/>
      </c>
      <c r="G201" t="str" cm="1">
        <f t="array" aca="1" ref="G201" ca="1">IFERROR(INDIRECT($D$2&amp;"!h"&amp;T201),INDIRECT("'"&amp;$D$2&amp;"'"&amp;"!h"&amp;T201))</f>
        <v/>
      </c>
      <c r="H201" s="125" t="str" cm="1">
        <f t="array" aca="1" ref="H201" ca="1">IFERROR(INDIRECT($D$2&amp;"!i"&amp;T201),INDIRECT("'"&amp;$D$2&amp;"'"&amp;"!i"&amp;T201))</f>
        <v/>
      </c>
      <c r="I201" s="113" t="str" cm="1">
        <f t="array" aca="1" ref="I201" ca="1">IFERROR(IF($C201="","",INDIRECT($D$2&amp;"!j"&amp;$T201)+INDIRECT($D$2&amp;"!n"&amp;$T201)),IF($C201="","",INDIRECT("'"&amp;$D$2&amp;"'"&amp;"!j"&amp;$T201)+INDIRECT("'"&amp;$D$2&amp;"'"&amp;"!n"&amp;$T201)))</f>
        <v/>
      </c>
      <c r="J201" s="113" t="str">
        <f t="shared" ca="1" si="9"/>
        <v/>
      </c>
      <c r="K201" s="113" t="str" cm="1">
        <f t="array" aca="1" ref="K201" ca="1">IFERROR(IF($C201="","",INDIRECT($D$2&amp;"!l"&amp;$T201)+INDIRECT($D$2&amp;"!p"&amp;$T201)),IF($C201="","",INDIRECT("'"&amp;$D$2&amp;"'"&amp;"!l"&amp;$T201)+INDIRECT("'"&amp;$D$2&amp;"'"&amp;"!p"&amp;$T201)))</f>
        <v/>
      </c>
      <c r="M201" s="113" t="str" cm="1">
        <f t="array" aca="1" ref="M201" ca="1">IFERROR(IF($C201="","",INDIRECT($D$2&amp;"!r"&amp;T201)),IF($C201="","",INDIRECT("'"&amp;$D$2&amp;"'"&amp;"!r"&amp;T201)))</f>
        <v/>
      </c>
      <c r="N201" s="113" t="str">
        <f t="shared" ca="1" si="10"/>
        <v/>
      </c>
      <c r="O201" s="113" t="str" cm="1">
        <f t="array" aca="1" ref="O201" ca="1">IFERROR(IF($C201="","",INDIRECT($D$2&amp;"!t"&amp;T201)),IF($C201="","",INDIRECT("'"&amp;$D$2&amp;"'"&amp;"!t"&amp;T201)))</f>
        <v/>
      </c>
      <c r="Q201" s="113" t="str" cm="1">
        <f t="array" aca="1" ref="Q201" ca="1">IFERROR(IF($C201="","",INDIRECT($D$2&amp;"!v"&amp;T201)),IF($C201="","",INDIRECT("'"&amp;$D$2&amp;"'"&amp;"!v"&amp;T201)))</f>
        <v/>
      </c>
      <c r="R201" s="113" t="str">
        <f t="shared" ca="1" si="11"/>
        <v/>
      </c>
      <c r="S201" s="113" t="str" cm="1">
        <f t="array" aca="1" ref="S201" ca="1">IFERROR(IF($C201="","",INDIRECT($D$2&amp;"!x"&amp;T201)),IF($C201="","",INDIRECT("'"&amp;$D$2&amp;"'"&amp;"!x"&amp;T201)))</f>
        <v/>
      </c>
      <c r="T201" s="35">
        <v>189</v>
      </c>
      <c r="U201" s="113"/>
      <c r="V201" s="35">
        <v>189</v>
      </c>
    </row>
    <row r="202" spans="3:22" x14ac:dyDescent="0.25">
      <c r="C202" t="str" cm="1">
        <f t="array" aca="1" ref="C202" ca="1">IFERROR(IF(INDIRECT($D$2&amp;"!B"&amp;T202)="","",INDIRECT("'"&amp;$D$2&amp;"'"&amp;"!B"&amp;T202)),IF(INDIRECT("'"&amp;$D$2&amp;"'"&amp;"!B"&amp;T202)="","",INDIRECT("'"&amp;$D$2&amp;"'"&amp;"!B"&amp;T202)))</f>
        <v/>
      </c>
      <c r="D202" t="str" cm="1">
        <f t="array" aca="1" ref="D202" ca="1">IFERROR(_xlfn.IFS(C202="","",C202&lt;&gt;"",INDEX(SF_Output!I:I,MATCH(C202,SF_Output!M:M,0))),IFERROR(INDEX(INDIRECT($D$2&amp;"!G:G"),MATCH(C202,INDIRECT($D$2&amp;"!B:B"),0)),INDEX(INDIRECT("'"&amp;$D$2&amp;"'!G:G"),MATCH(C202,INDIRECT("'"&amp;$D$2&amp;"'!B:B"),0))))</f>
        <v/>
      </c>
      <c r="E202" t="str" cm="1">
        <f t="array" aca="1" ref="E202" ca="1">IFERROR(IF(C202="","",INDIRECT($D$2&amp;"!F"&amp;T202)),IF(C202="","",INDIRECT("'"&amp;$D$2&amp;"'"&amp;"!F"&amp;T202)))</f>
        <v/>
      </c>
      <c r="F202" t="str" cm="1">
        <f t="array" aca="1" ref="F202" ca="1">IFERROR(IF(C202="","",INDIRECT($D$2&amp;"!ak"&amp;T202)),IF(C202="","",INDIRECT("'"&amp;$D$2&amp;"'"&amp;"!ak"&amp;T202)))</f>
        <v/>
      </c>
      <c r="G202" t="str" cm="1">
        <f t="array" aca="1" ref="G202" ca="1">IFERROR(INDIRECT($D$2&amp;"!h"&amp;T202),INDIRECT("'"&amp;$D$2&amp;"'"&amp;"!h"&amp;T202))</f>
        <v/>
      </c>
      <c r="H202" s="125" t="str" cm="1">
        <f t="array" aca="1" ref="H202" ca="1">IFERROR(INDIRECT($D$2&amp;"!i"&amp;T202),INDIRECT("'"&amp;$D$2&amp;"'"&amp;"!i"&amp;T202))</f>
        <v/>
      </c>
      <c r="I202" s="113" t="str" cm="1">
        <f t="array" aca="1" ref="I202" ca="1">IFERROR(IF($C202="","",INDIRECT($D$2&amp;"!j"&amp;$T202)+INDIRECT($D$2&amp;"!n"&amp;$T202)),IF($C202="","",INDIRECT("'"&amp;$D$2&amp;"'"&amp;"!j"&amp;$T202)+INDIRECT("'"&amp;$D$2&amp;"'"&amp;"!n"&amp;$T202)))</f>
        <v/>
      </c>
      <c r="J202" s="113" t="str">
        <f t="shared" ca="1" si="9"/>
        <v/>
      </c>
      <c r="K202" s="113" t="str" cm="1">
        <f t="array" aca="1" ref="K202" ca="1">IFERROR(IF($C202="","",INDIRECT($D$2&amp;"!l"&amp;$T202)+INDIRECT($D$2&amp;"!p"&amp;$T202)),IF($C202="","",INDIRECT("'"&amp;$D$2&amp;"'"&amp;"!l"&amp;$T202)+INDIRECT("'"&amp;$D$2&amp;"'"&amp;"!p"&amp;$T202)))</f>
        <v/>
      </c>
      <c r="M202" s="113" t="str" cm="1">
        <f t="array" aca="1" ref="M202" ca="1">IFERROR(IF($C202="","",INDIRECT($D$2&amp;"!r"&amp;T202)),IF($C202="","",INDIRECT("'"&amp;$D$2&amp;"'"&amp;"!r"&amp;T202)))</f>
        <v/>
      </c>
      <c r="N202" s="113" t="str">
        <f t="shared" ca="1" si="10"/>
        <v/>
      </c>
      <c r="O202" s="113" t="str" cm="1">
        <f t="array" aca="1" ref="O202" ca="1">IFERROR(IF($C202="","",INDIRECT($D$2&amp;"!t"&amp;T202)),IF($C202="","",INDIRECT("'"&amp;$D$2&amp;"'"&amp;"!t"&amp;T202)))</f>
        <v/>
      </c>
      <c r="Q202" s="113" t="str" cm="1">
        <f t="array" aca="1" ref="Q202" ca="1">IFERROR(IF($C202="","",INDIRECT($D$2&amp;"!v"&amp;T202)),IF($C202="","",INDIRECT("'"&amp;$D$2&amp;"'"&amp;"!v"&amp;T202)))</f>
        <v/>
      </c>
      <c r="R202" s="113" t="str">
        <f t="shared" ca="1" si="11"/>
        <v/>
      </c>
      <c r="S202" s="113" t="str" cm="1">
        <f t="array" aca="1" ref="S202" ca="1">IFERROR(IF($C202="","",INDIRECT($D$2&amp;"!x"&amp;T202)),IF($C202="","",INDIRECT("'"&amp;$D$2&amp;"'"&amp;"!x"&amp;T202)))</f>
        <v/>
      </c>
      <c r="T202" s="35">
        <v>190</v>
      </c>
      <c r="U202" s="113"/>
      <c r="V202" s="35">
        <v>190</v>
      </c>
    </row>
    <row r="203" spans="3:22" x14ac:dyDescent="0.25">
      <c r="C203" t="str" cm="1">
        <f t="array" aca="1" ref="C203" ca="1">IFERROR(IF(INDIRECT($D$2&amp;"!B"&amp;T203)="","",INDIRECT("'"&amp;$D$2&amp;"'"&amp;"!B"&amp;T203)),IF(INDIRECT("'"&amp;$D$2&amp;"'"&amp;"!B"&amp;T203)="","",INDIRECT("'"&amp;$D$2&amp;"'"&amp;"!B"&amp;T203)))</f>
        <v/>
      </c>
      <c r="D203" t="str" cm="1">
        <f t="array" aca="1" ref="D203" ca="1">IFERROR(_xlfn.IFS(C203="","",C203&lt;&gt;"",INDEX(SF_Output!I:I,MATCH(C203,SF_Output!M:M,0))),IFERROR(INDEX(INDIRECT($D$2&amp;"!G:G"),MATCH(C203,INDIRECT($D$2&amp;"!B:B"),0)),INDEX(INDIRECT("'"&amp;$D$2&amp;"'!G:G"),MATCH(C203,INDIRECT("'"&amp;$D$2&amp;"'!B:B"),0))))</f>
        <v/>
      </c>
      <c r="E203" t="str" cm="1">
        <f t="array" aca="1" ref="E203" ca="1">IFERROR(IF(C203="","",INDIRECT($D$2&amp;"!F"&amp;T203)),IF(C203="","",INDIRECT("'"&amp;$D$2&amp;"'"&amp;"!F"&amp;T203)))</f>
        <v/>
      </c>
      <c r="F203" t="str" cm="1">
        <f t="array" aca="1" ref="F203" ca="1">IFERROR(IF(C203="","",INDIRECT($D$2&amp;"!ak"&amp;T203)),IF(C203="","",INDIRECT("'"&amp;$D$2&amp;"'"&amp;"!ak"&amp;T203)))</f>
        <v/>
      </c>
      <c r="G203" t="str" cm="1">
        <f t="array" aca="1" ref="G203" ca="1">IFERROR(INDIRECT($D$2&amp;"!h"&amp;T203),INDIRECT("'"&amp;$D$2&amp;"'"&amp;"!h"&amp;T203))</f>
        <v/>
      </c>
      <c r="H203" s="125" t="str" cm="1">
        <f t="array" aca="1" ref="H203" ca="1">IFERROR(INDIRECT($D$2&amp;"!i"&amp;T203),INDIRECT("'"&amp;$D$2&amp;"'"&amp;"!i"&amp;T203))</f>
        <v/>
      </c>
      <c r="I203" s="113" t="str" cm="1">
        <f t="array" aca="1" ref="I203" ca="1">IFERROR(IF($C203="","",INDIRECT($D$2&amp;"!j"&amp;$T203)+INDIRECT($D$2&amp;"!n"&amp;$T203)),IF($C203="","",INDIRECT("'"&amp;$D$2&amp;"'"&amp;"!j"&amp;$T203)+INDIRECT("'"&amp;$D$2&amp;"'"&amp;"!n"&amp;$T203)))</f>
        <v/>
      </c>
      <c r="J203" s="113" t="str">
        <f t="shared" ca="1" si="9"/>
        <v/>
      </c>
      <c r="K203" s="113" t="str" cm="1">
        <f t="array" aca="1" ref="K203" ca="1">IFERROR(IF($C203="","",INDIRECT($D$2&amp;"!l"&amp;$T203)+INDIRECT($D$2&amp;"!p"&amp;$T203)),IF($C203="","",INDIRECT("'"&amp;$D$2&amp;"'"&amp;"!l"&amp;$T203)+INDIRECT("'"&amp;$D$2&amp;"'"&amp;"!p"&amp;$T203)))</f>
        <v/>
      </c>
      <c r="M203" s="113" t="str" cm="1">
        <f t="array" aca="1" ref="M203" ca="1">IFERROR(IF($C203="","",INDIRECT($D$2&amp;"!r"&amp;T203)),IF($C203="","",INDIRECT("'"&amp;$D$2&amp;"'"&amp;"!r"&amp;T203)))</f>
        <v/>
      </c>
      <c r="N203" s="113" t="str">
        <f t="shared" ca="1" si="10"/>
        <v/>
      </c>
      <c r="O203" s="113" t="str" cm="1">
        <f t="array" aca="1" ref="O203" ca="1">IFERROR(IF($C203="","",INDIRECT($D$2&amp;"!t"&amp;T203)),IF($C203="","",INDIRECT("'"&amp;$D$2&amp;"'"&amp;"!t"&amp;T203)))</f>
        <v/>
      </c>
      <c r="Q203" s="113" t="str" cm="1">
        <f t="array" aca="1" ref="Q203" ca="1">IFERROR(IF($C203="","",INDIRECT($D$2&amp;"!v"&amp;T203)),IF($C203="","",INDIRECT("'"&amp;$D$2&amp;"'"&amp;"!v"&amp;T203)))</f>
        <v/>
      </c>
      <c r="R203" s="113" t="str">
        <f t="shared" ca="1" si="11"/>
        <v/>
      </c>
      <c r="S203" s="113" t="str" cm="1">
        <f t="array" aca="1" ref="S203" ca="1">IFERROR(IF($C203="","",INDIRECT($D$2&amp;"!x"&amp;T203)),IF($C203="","",INDIRECT("'"&amp;$D$2&amp;"'"&amp;"!x"&amp;T203)))</f>
        <v/>
      </c>
      <c r="T203" s="35">
        <v>191</v>
      </c>
      <c r="U203" s="113"/>
      <c r="V203" s="35">
        <v>191</v>
      </c>
    </row>
    <row r="204" spans="3:22" x14ac:dyDescent="0.25">
      <c r="C204" t="str" cm="1">
        <f t="array" aca="1" ref="C204" ca="1">IFERROR(IF(INDIRECT($D$2&amp;"!B"&amp;T204)="","",INDIRECT("'"&amp;$D$2&amp;"'"&amp;"!B"&amp;T204)),IF(INDIRECT("'"&amp;$D$2&amp;"'"&amp;"!B"&amp;T204)="","",INDIRECT("'"&amp;$D$2&amp;"'"&amp;"!B"&amp;T204)))</f>
        <v/>
      </c>
      <c r="D204" t="str" cm="1">
        <f t="array" aca="1" ref="D204" ca="1">IFERROR(_xlfn.IFS(C204="","",C204&lt;&gt;"",INDEX(SF_Output!I:I,MATCH(C204,SF_Output!M:M,0))),IFERROR(INDEX(INDIRECT($D$2&amp;"!G:G"),MATCH(C204,INDIRECT($D$2&amp;"!B:B"),0)),INDEX(INDIRECT("'"&amp;$D$2&amp;"'!G:G"),MATCH(C204,INDIRECT("'"&amp;$D$2&amp;"'!B:B"),0))))</f>
        <v/>
      </c>
      <c r="E204" t="str" cm="1">
        <f t="array" aca="1" ref="E204" ca="1">IFERROR(IF(C204="","",INDIRECT($D$2&amp;"!F"&amp;T204)),IF(C204="","",INDIRECT("'"&amp;$D$2&amp;"'"&amp;"!F"&amp;T204)))</f>
        <v/>
      </c>
      <c r="F204" t="str" cm="1">
        <f t="array" aca="1" ref="F204" ca="1">IFERROR(IF(C204="","",INDIRECT($D$2&amp;"!ak"&amp;T204)),IF(C204="","",INDIRECT("'"&amp;$D$2&amp;"'"&amp;"!ak"&amp;T204)))</f>
        <v/>
      </c>
      <c r="G204" t="str" cm="1">
        <f t="array" aca="1" ref="G204" ca="1">IFERROR(INDIRECT($D$2&amp;"!h"&amp;T204),INDIRECT("'"&amp;$D$2&amp;"'"&amp;"!h"&amp;T204))</f>
        <v/>
      </c>
      <c r="H204" s="125" t="str" cm="1">
        <f t="array" aca="1" ref="H204" ca="1">IFERROR(INDIRECT($D$2&amp;"!i"&amp;T204),INDIRECT("'"&amp;$D$2&amp;"'"&amp;"!i"&amp;T204))</f>
        <v/>
      </c>
      <c r="I204" s="113" t="str" cm="1">
        <f t="array" aca="1" ref="I204" ca="1">IFERROR(IF($C204="","",INDIRECT($D$2&amp;"!j"&amp;$T204)+INDIRECT($D$2&amp;"!n"&amp;$T204)),IF($C204="","",INDIRECT("'"&amp;$D$2&amp;"'"&amp;"!j"&amp;$T204)+INDIRECT("'"&amp;$D$2&amp;"'"&amp;"!n"&amp;$T204)))</f>
        <v/>
      </c>
      <c r="J204" s="113" t="str">
        <f t="shared" ca="1" si="9"/>
        <v/>
      </c>
      <c r="K204" s="113" t="str" cm="1">
        <f t="array" aca="1" ref="K204" ca="1">IFERROR(IF($C204="","",INDIRECT($D$2&amp;"!l"&amp;$T204)+INDIRECT($D$2&amp;"!p"&amp;$T204)),IF($C204="","",INDIRECT("'"&amp;$D$2&amp;"'"&amp;"!l"&amp;$T204)+INDIRECT("'"&amp;$D$2&amp;"'"&amp;"!p"&amp;$T204)))</f>
        <v/>
      </c>
      <c r="M204" s="113" t="str" cm="1">
        <f t="array" aca="1" ref="M204" ca="1">IFERROR(IF($C204="","",INDIRECT($D$2&amp;"!r"&amp;T204)),IF($C204="","",INDIRECT("'"&amp;$D$2&amp;"'"&amp;"!r"&amp;T204)))</f>
        <v/>
      </c>
      <c r="N204" s="113" t="str">
        <f t="shared" ca="1" si="10"/>
        <v/>
      </c>
      <c r="O204" s="113" t="str" cm="1">
        <f t="array" aca="1" ref="O204" ca="1">IFERROR(IF($C204="","",INDIRECT($D$2&amp;"!t"&amp;T204)),IF($C204="","",INDIRECT("'"&amp;$D$2&amp;"'"&amp;"!t"&amp;T204)))</f>
        <v/>
      </c>
      <c r="Q204" s="113" t="str" cm="1">
        <f t="array" aca="1" ref="Q204" ca="1">IFERROR(IF($C204="","",INDIRECT($D$2&amp;"!v"&amp;T204)),IF($C204="","",INDIRECT("'"&amp;$D$2&amp;"'"&amp;"!v"&amp;T204)))</f>
        <v/>
      </c>
      <c r="R204" s="113" t="str">
        <f t="shared" ca="1" si="11"/>
        <v/>
      </c>
      <c r="S204" s="113" t="str" cm="1">
        <f t="array" aca="1" ref="S204" ca="1">IFERROR(IF($C204="","",INDIRECT($D$2&amp;"!x"&amp;T204)),IF($C204="","",INDIRECT("'"&amp;$D$2&amp;"'"&amp;"!x"&amp;T204)))</f>
        <v/>
      </c>
      <c r="T204" s="35">
        <v>192</v>
      </c>
      <c r="U204" s="113"/>
      <c r="V204" s="35">
        <v>192</v>
      </c>
    </row>
    <row r="205" spans="3:22" x14ac:dyDescent="0.25">
      <c r="C205" t="str" cm="1">
        <f t="array" aca="1" ref="C205" ca="1">IFERROR(IF(INDIRECT($D$2&amp;"!B"&amp;T205)="","",INDIRECT("'"&amp;$D$2&amp;"'"&amp;"!B"&amp;T205)),IF(INDIRECT("'"&amp;$D$2&amp;"'"&amp;"!B"&amp;T205)="","",INDIRECT("'"&amp;$D$2&amp;"'"&amp;"!B"&amp;T205)))</f>
        <v/>
      </c>
      <c r="D205" t="str" cm="1">
        <f t="array" aca="1" ref="D205" ca="1">IFERROR(_xlfn.IFS(C205="","",C205&lt;&gt;"",INDEX(SF_Output!I:I,MATCH(C205,SF_Output!M:M,0))),IFERROR(INDEX(INDIRECT($D$2&amp;"!G:G"),MATCH(C205,INDIRECT($D$2&amp;"!B:B"),0)),INDEX(INDIRECT("'"&amp;$D$2&amp;"'!G:G"),MATCH(C205,INDIRECT("'"&amp;$D$2&amp;"'!B:B"),0))))</f>
        <v/>
      </c>
      <c r="E205" t="str" cm="1">
        <f t="array" aca="1" ref="E205" ca="1">IFERROR(IF(C205="","",INDIRECT($D$2&amp;"!F"&amp;T205)),IF(C205="","",INDIRECT("'"&amp;$D$2&amp;"'"&amp;"!F"&amp;T205)))</f>
        <v/>
      </c>
      <c r="F205" t="str" cm="1">
        <f t="array" aca="1" ref="F205" ca="1">IFERROR(IF(C205="","",INDIRECT($D$2&amp;"!ak"&amp;T205)),IF(C205="","",INDIRECT("'"&amp;$D$2&amp;"'"&amp;"!ak"&amp;T205)))</f>
        <v/>
      </c>
      <c r="G205" t="str" cm="1">
        <f t="array" aca="1" ref="G205" ca="1">IFERROR(INDIRECT($D$2&amp;"!h"&amp;T205),INDIRECT("'"&amp;$D$2&amp;"'"&amp;"!h"&amp;T205))</f>
        <v/>
      </c>
      <c r="H205" s="125" t="str" cm="1">
        <f t="array" aca="1" ref="H205" ca="1">IFERROR(INDIRECT($D$2&amp;"!i"&amp;T205),INDIRECT("'"&amp;$D$2&amp;"'"&amp;"!i"&amp;T205))</f>
        <v/>
      </c>
      <c r="I205" s="113" t="str" cm="1">
        <f t="array" aca="1" ref="I205" ca="1">IFERROR(IF($C205="","",INDIRECT($D$2&amp;"!j"&amp;$T205)+INDIRECT($D$2&amp;"!n"&amp;$T205)),IF($C205="","",INDIRECT("'"&amp;$D$2&amp;"'"&amp;"!j"&amp;$T205)+INDIRECT("'"&amp;$D$2&amp;"'"&amp;"!n"&amp;$T205)))</f>
        <v/>
      </c>
      <c r="J205" s="113" t="str">
        <f t="shared" ca="1" si="9"/>
        <v/>
      </c>
      <c r="K205" s="113" t="str" cm="1">
        <f t="array" aca="1" ref="K205" ca="1">IFERROR(IF($C205="","",INDIRECT($D$2&amp;"!l"&amp;$T205)+INDIRECT($D$2&amp;"!p"&amp;$T205)),IF($C205="","",INDIRECT("'"&amp;$D$2&amp;"'"&amp;"!l"&amp;$T205)+INDIRECT("'"&amp;$D$2&amp;"'"&amp;"!p"&amp;$T205)))</f>
        <v/>
      </c>
      <c r="M205" s="113" t="str" cm="1">
        <f t="array" aca="1" ref="M205" ca="1">IFERROR(IF($C205="","",INDIRECT($D$2&amp;"!r"&amp;T205)),IF($C205="","",INDIRECT("'"&amp;$D$2&amp;"'"&amp;"!r"&amp;T205)))</f>
        <v/>
      </c>
      <c r="N205" s="113" t="str">
        <f t="shared" ca="1" si="10"/>
        <v/>
      </c>
      <c r="O205" s="113" t="str" cm="1">
        <f t="array" aca="1" ref="O205" ca="1">IFERROR(IF($C205="","",INDIRECT($D$2&amp;"!t"&amp;T205)),IF($C205="","",INDIRECT("'"&amp;$D$2&amp;"'"&amp;"!t"&amp;T205)))</f>
        <v/>
      </c>
      <c r="Q205" s="113" t="str" cm="1">
        <f t="array" aca="1" ref="Q205" ca="1">IFERROR(IF($C205="","",INDIRECT($D$2&amp;"!v"&amp;T205)),IF($C205="","",INDIRECT("'"&amp;$D$2&amp;"'"&amp;"!v"&amp;T205)))</f>
        <v/>
      </c>
      <c r="R205" s="113" t="str">
        <f t="shared" ca="1" si="11"/>
        <v/>
      </c>
      <c r="S205" s="113" t="str" cm="1">
        <f t="array" aca="1" ref="S205" ca="1">IFERROR(IF($C205="","",INDIRECT($D$2&amp;"!x"&amp;T205)),IF($C205="","",INDIRECT("'"&amp;$D$2&amp;"'"&amp;"!x"&amp;T205)))</f>
        <v/>
      </c>
      <c r="T205" s="35">
        <v>193</v>
      </c>
      <c r="U205" s="113"/>
      <c r="V205" s="35">
        <v>193</v>
      </c>
    </row>
    <row r="206" spans="3:22" x14ac:dyDescent="0.25">
      <c r="C206" t="str" cm="1">
        <f t="array" aca="1" ref="C206" ca="1">IFERROR(IF(INDIRECT($D$2&amp;"!B"&amp;T206)="","",INDIRECT("'"&amp;$D$2&amp;"'"&amp;"!B"&amp;T206)),IF(INDIRECT("'"&amp;$D$2&amp;"'"&amp;"!B"&amp;T206)="","",INDIRECT("'"&amp;$D$2&amp;"'"&amp;"!B"&amp;T206)))</f>
        <v/>
      </c>
      <c r="D206" t="str" cm="1">
        <f t="array" aca="1" ref="D206" ca="1">IFERROR(_xlfn.IFS(C206="","",C206&lt;&gt;"",INDEX(SF_Output!I:I,MATCH(C206,SF_Output!M:M,0))),IFERROR(INDEX(INDIRECT($D$2&amp;"!G:G"),MATCH(C206,INDIRECT($D$2&amp;"!B:B"),0)),INDEX(INDIRECT("'"&amp;$D$2&amp;"'!G:G"),MATCH(C206,INDIRECT("'"&amp;$D$2&amp;"'!B:B"),0))))</f>
        <v/>
      </c>
      <c r="E206" t="str" cm="1">
        <f t="array" aca="1" ref="E206" ca="1">IFERROR(IF(C206="","",INDIRECT($D$2&amp;"!F"&amp;T206)),IF(C206="","",INDIRECT("'"&amp;$D$2&amp;"'"&amp;"!F"&amp;T206)))</f>
        <v/>
      </c>
      <c r="F206" t="str" cm="1">
        <f t="array" aca="1" ref="F206" ca="1">IFERROR(IF(C206="","",INDIRECT($D$2&amp;"!ak"&amp;T206)),IF(C206="","",INDIRECT("'"&amp;$D$2&amp;"'"&amp;"!ak"&amp;T206)))</f>
        <v/>
      </c>
      <c r="G206" t="str" cm="1">
        <f t="array" aca="1" ref="G206" ca="1">IFERROR(INDIRECT($D$2&amp;"!h"&amp;T206),INDIRECT("'"&amp;$D$2&amp;"'"&amp;"!h"&amp;T206))</f>
        <v/>
      </c>
      <c r="H206" s="125" t="str" cm="1">
        <f t="array" aca="1" ref="H206" ca="1">IFERROR(INDIRECT($D$2&amp;"!i"&amp;T206),INDIRECT("'"&amp;$D$2&amp;"'"&amp;"!i"&amp;T206))</f>
        <v/>
      </c>
      <c r="I206" s="113" t="str" cm="1">
        <f t="array" aca="1" ref="I206" ca="1">IFERROR(IF($C206="","",INDIRECT($D$2&amp;"!j"&amp;$T206)+INDIRECT($D$2&amp;"!n"&amp;$T206)),IF($C206="","",INDIRECT("'"&amp;$D$2&amp;"'"&amp;"!j"&amp;$T206)+INDIRECT("'"&amp;$D$2&amp;"'"&amp;"!n"&amp;$T206)))</f>
        <v/>
      </c>
      <c r="J206" s="113" t="str">
        <f t="shared" ca="1" si="9"/>
        <v/>
      </c>
      <c r="K206" s="113" t="str" cm="1">
        <f t="array" aca="1" ref="K206" ca="1">IFERROR(IF($C206="","",INDIRECT($D$2&amp;"!l"&amp;$T206)+INDIRECT($D$2&amp;"!p"&amp;$T206)),IF($C206="","",INDIRECT("'"&amp;$D$2&amp;"'"&amp;"!l"&amp;$T206)+INDIRECT("'"&amp;$D$2&amp;"'"&amp;"!p"&amp;$T206)))</f>
        <v/>
      </c>
      <c r="M206" s="113" t="str" cm="1">
        <f t="array" aca="1" ref="M206" ca="1">IFERROR(IF($C206="","",INDIRECT($D$2&amp;"!r"&amp;T206)),IF($C206="","",INDIRECT("'"&amp;$D$2&amp;"'"&amp;"!r"&amp;T206)))</f>
        <v/>
      </c>
      <c r="N206" s="113" t="str">
        <f t="shared" ca="1" si="10"/>
        <v/>
      </c>
      <c r="O206" s="113" t="str" cm="1">
        <f t="array" aca="1" ref="O206" ca="1">IFERROR(IF($C206="","",INDIRECT($D$2&amp;"!t"&amp;T206)),IF($C206="","",INDIRECT("'"&amp;$D$2&amp;"'"&amp;"!t"&amp;T206)))</f>
        <v/>
      </c>
      <c r="Q206" s="113" t="str" cm="1">
        <f t="array" aca="1" ref="Q206" ca="1">IFERROR(IF($C206="","",INDIRECT($D$2&amp;"!v"&amp;T206)),IF($C206="","",INDIRECT("'"&amp;$D$2&amp;"'"&amp;"!v"&amp;T206)))</f>
        <v/>
      </c>
      <c r="R206" s="113" t="str">
        <f t="shared" ca="1" si="11"/>
        <v/>
      </c>
      <c r="S206" s="113" t="str" cm="1">
        <f t="array" aca="1" ref="S206" ca="1">IFERROR(IF($C206="","",INDIRECT($D$2&amp;"!x"&amp;T206)),IF($C206="","",INDIRECT("'"&amp;$D$2&amp;"'"&amp;"!x"&amp;T206)))</f>
        <v/>
      </c>
      <c r="T206" s="35">
        <v>194</v>
      </c>
      <c r="U206" s="113"/>
      <c r="V206" s="35">
        <v>194</v>
      </c>
    </row>
    <row r="207" spans="3:22" x14ac:dyDescent="0.25">
      <c r="C207" t="str" cm="1">
        <f t="array" aca="1" ref="C207" ca="1">IFERROR(IF(INDIRECT($D$2&amp;"!B"&amp;T207)="","",INDIRECT("'"&amp;$D$2&amp;"'"&amp;"!B"&amp;T207)),IF(INDIRECT("'"&amp;$D$2&amp;"'"&amp;"!B"&amp;T207)="","",INDIRECT("'"&amp;$D$2&amp;"'"&amp;"!B"&amp;T207)))</f>
        <v/>
      </c>
      <c r="D207" t="str" cm="1">
        <f t="array" aca="1" ref="D207" ca="1">IFERROR(_xlfn.IFS(C207="","",C207&lt;&gt;"",INDEX(SF_Output!I:I,MATCH(C207,SF_Output!M:M,0))),IFERROR(INDEX(INDIRECT($D$2&amp;"!G:G"),MATCH(C207,INDIRECT($D$2&amp;"!B:B"),0)),INDEX(INDIRECT("'"&amp;$D$2&amp;"'!G:G"),MATCH(C207,INDIRECT("'"&amp;$D$2&amp;"'!B:B"),0))))</f>
        <v/>
      </c>
      <c r="E207" t="str" cm="1">
        <f t="array" aca="1" ref="E207" ca="1">IFERROR(IF(C207="","",INDIRECT($D$2&amp;"!F"&amp;T207)),IF(C207="","",INDIRECT("'"&amp;$D$2&amp;"'"&amp;"!F"&amp;T207)))</f>
        <v/>
      </c>
      <c r="F207" t="str" cm="1">
        <f t="array" aca="1" ref="F207" ca="1">IFERROR(IF(C207="","",INDIRECT($D$2&amp;"!ak"&amp;T207)),IF(C207="","",INDIRECT("'"&amp;$D$2&amp;"'"&amp;"!ak"&amp;T207)))</f>
        <v/>
      </c>
      <c r="G207" t="str" cm="1">
        <f t="array" aca="1" ref="G207" ca="1">IFERROR(INDIRECT($D$2&amp;"!h"&amp;T207),INDIRECT("'"&amp;$D$2&amp;"'"&amp;"!h"&amp;T207))</f>
        <v/>
      </c>
      <c r="H207" s="125" t="str" cm="1">
        <f t="array" aca="1" ref="H207" ca="1">IFERROR(INDIRECT($D$2&amp;"!i"&amp;T207),INDIRECT("'"&amp;$D$2&amp;"'"&amp;"!i"&amp;T207))</f>
        <v/>
      </c>
      <c r="I207" s="113" t="str" cm="1">
        <f t="array" aca="1" ref="I207" ca="1">IFERROR(IF($C207="","",INDIRECT($D$2&amp;"!j"&amp;$T207)+INDIRECT($D$2&amp;"!n"&amp;$T207)),IF($C207="","",INDIRECT("'"&amp;$D$2&amp;"'"&amp;"!j"&amp;$T207)+INDIRECT("'"&amp;$D$2&amp;"'"&amp;"!n"&amp;$T207)))</f>
        <v/>
      </c>
      <c r="J207" s="113" t="str">
        <f t="shared" ca="1" si="9"/>
        <v/>
      </c>
      <c r="K207" s="113" t="str" cm="1">
        <f t="array" aca="1" ref="K207" ca="1">IFERROR(IF($C207="","",INDIRECT($D$2&amp;"!l"&amp;$T207)+INDIRECT($D$2&amp;"!p"&amp;$T207)),IF($C207="","",INDIRECT("'"&amp;$D$2&amp;"'"&amp;"!l"&amp;$T207)+INDIRECT("'"&amp;$D$2&amp;"'"&amp;"!p"&amp;$T207)))</f>
        <v/>
      </c>
      <c r="M207" s="113" t="str" cm="1">
        <f t="array" aca="1" ref="M207" ca="1">IFERROR(IF($C207="","",INDIRECT($D$2&amp;"!r"&amp;T207)),IF($C207="","",INDIRECT("'"&amp;$D$2&amp;"'"&amp;"!r"&amp;T207)))</f>
        <v/>
      </c>
      <c r="N207" s="113" t="str">
        <f t="shared" ca="1" si="10"/>
        <v/>
      </c>
      <c r="O207" s="113" t="str" cm="1">
        <f t="array" aca="1" ref="O207" ca="1">IFERROR(IF($C207="","",INDIRECT($D$2&amp;"!t"&amp;T207)),IF($C207="","",INDIRECT("'"&amp;$D$2&amp;"'"&amp;"!t"&amp;T207)))</f>
        <v/>
      </c>
      <c r="Q207" s="113" t="str" cm="1">
        <f t="array" aca="1" ref="Q207" ca="1">IFERROR(IF($C207="","",INDIRECT($D$2&amp;"!v"&amp;T207)),IF($C207="","",INDIRECT("'"&amp;$D$2&amp;"'"&amp;"!v"&amp;T207)))</f>
        <v/>
      </c>
      <c r="R207" s="113" t="str">
        <f t="shared" ca="1" si="11"/>
        <v/>
      </c>
      <c r="S207" s="113" t="str" cm="1">
        <f t="array" aca="1" ref="S207" ca="1">IFERROR(IF($C207="","",INDIRECT($D$2&amp;"!x"&amp;T207)),IF($C207="","",INDIRECT("'"&amp;$D$2&amp;"'"&amp;"!x"&amp;T207)))</f>
        <v/>
      </c>
      <c r="T207" s="35">
        <v>195</v>
      </c>
      <c r="U207" s="113"/>
      <c r="V207" s="35">
        <v>195</v>
      </c>
    </row>
    <row r="208" spans="3:22" x14ac:dyDescent="0.25">
      <c r="C208" t="str" cm="1">
        <f t="array" aca="1" ref="C208" ca="1">IFERROR(IF(INDIRECT($D$2&amp;"!B"&amp;T208)="","",INDIRECT("'"&amp;$D$2&amp;"'"&amp;"!B"&amp;T208)),IF(INDIRECT("'"&amp;$D$2&amp;"'"&amp;"!B"&amp;T208)="","",INDIRECT("'"&amp;$D$2&amp;"'"&amp;"!B"&amp;T208)))</f>
        <v/>
      </c>
      <c r="D208" t="str" cm="1">
        <f t="array" aca="1" ref="D208" ca="1">IFERROR(_xlfn.IFS(C208="","",C208&lt;&gt;"",INDEX(SF_Output!I:I,MATCH(C208,SF_Output!M:M,0))),IFERROR(INDEX(INDIRECT($D$2&amp;"!G:G"),MATCH(C208,INDIRECT($D$2&amp;"!B:B"),0)),INDEX(INDIRECT("'"&amp;$D$2&amp;"'!G:G"),MATCH(C208,INDIRECT("'"&amp;$D$2&amp;"'!B:B"),0))))</f>
        <v/>
      </c>
      <c r="E208" t="str" cm="1">
        <f t="array" aca="1" ref="E208" ca="1">IFERROR(IF(C208="","",INDIRECT($D$2&amp;"!F"&amp;T208)),IF(C208="","",INDIRECT("'"&amp;$D$2&amp;"'"&amp;"!F"&amp;T208)))</f>
        <v/>
      </c>
      <c r="F208" t="str" cm="1">
        <f t="array" aca="1" ref="F208" ca="1">IFERROR(IF(C208="","",INDIRECT($D$2&amp;"!ak"&amp;T208)),IF(C208="","",INDIRECT("'"&amp;$D$2&amp;"'"&amp;"!ak"&amp;T208)))</f>
        <v/>
      </c>
      <c r="G208" t="str" cm="1">
        <f t="array" aca="1" ref="G208" ca="1">IFERROR(INDIRECT($D$2&amp;"!h"&amp;T208),INDIRECT("'"&amp;$D$2&amp;"'"&amp;"!h"&amp;T208))</f>
        <v/>
      </c>
      <c r="H208" s="125" t="str" cm="1">
        <f t="array" aca="1" ref="H208" ca="1">IFERROR(INDIRECT($D$2&amp;"!i"&amp;T208),INDIRECT("'"&amp;$D$2&amp;"'"&amp;"!i"&amp;T208))</f>
        <v/>
      </c>
      <c r="I208" s="113" t="str" cm="1">
        <f t="array" aca="1" ref="I208" ca="1">IFERROR(IF($C208="","",INDIRECT($D$2&amp;"!j"&amp;$T208)+INDIRECT($D$2&amp;"!n"&amp;$T208)),IF($C208="","",INDIRECT("'"&amp;$D$2&amp;"'"&amp;"!j"&amp;$T208)+INDIRECT("'"&amp;$D$2&amp;"'"&amp;"!n"&amp;$T208)))</f>
        <v/>
      </c>
      <c r="J208" s="113" t="str">
        <f t="shared" ca="1" si="9"/>
        <v/>
      </c>
      <c r="K208" s="113" t="str" cm="1">
        <f t="array" aca="1" ref="K208" ca="1">IFERROR(IF($C208="","",INDIRECT($D$2&amp;"!l"&amp;$T208)+INDIRECT($D$2&amp;"!p"&amp;$T208)),IF($C208="","",INDIRECT("'"&amp;$D$2&amp;"'"&amp;"!l"&amp;$T208)+INDIRECT("'"&amp;$D$2&amp;"'"&amp;"!p"&amp;$T208)))</f>
        <v/>
      </c>
      <c r="M208" s="113" t="str" cm="1">
        <f t="array" aca="1" ref="M208" ca="1">IFERROR(IF($C208="","",INDIRECT($D$2&amp;"!r"&amp;T208)),IF($C208="","",INDIRECT("'"&amp;$D$2&amp;"'"&amp;"!r"&amp;T208)))</f>
        <v/>
      </c>
      <c r="N208" s="113" t="str">
        <f t="shared" ca="1" si="10"/>
        <v/>
      </c>
      <c r="O208" s="113" t="str" cm="1">
        <f t="array" aca="1" ref="O208" ca="1">IFERROR(IF($C208="","",INDIRECT($D$2&amp;"!t"&amp;T208)),IF($C208="","",INDIRECT("'"&amp;$D$2&amp;"'"&amp;"!t"&amp;T208)))</f>
        <v/>
      </c>
      <c r="Q208" s="113" t="str" cm="1">
        <f t="array" aca="1" ref="Q208" ca="1">IFERROR(IF($C208="","",INDIRECT($D$2&amp;"!v"&amp;T208)),IF($C208="","",INDIRECT("'"&amp;$D$2&amp;"'"&amp;"!v"&amp;T208)))</f>
        <v/>
      </c>
      <c r="R208" s="113" t="str">
        <f t="shared" ca="1" si="11"/>
        <v/>
      </c>
      <c r="S208" s="113" t="str" cm="1">
        <f t="array" aca="1" ref="S208" ca="1">IFERROR(IF($C208="","",INDIRECT($D$2&amp;"!x"&amp;T208)),IF($C208="","",INDIRECT("'"&amp;$D$2&amp;"'"&amp;"!x"&amp;T208)))</f>
        <v/>
      </c>
      <c r="T208" s="35">
        <v>196</v>
      </c>
      <c r="U208" s="113"/>
      <c r="V208" s="35">
        <v>196</v>
      </c>
    </row>
    <row r="209" spans="3:22" x14ac:dyDescent="0.25">
      <c r="C209" t="str" cm="1">
        <f t="array" aca="1" ref="C209" ca="1">IFERROR(IF(INDIRECT($D$2&amp;"!B"&amp;T209)="","",INDIRECT("'"&amp;$D$2&amp;"'"&amp;"!B"&amp;T209)),IF(INDIRECT("'"&amp;$D$2&amp;"'"&amp;"!B"&amp;T209)="","",INDIRECT("'"&amp;$D$2&amp;"'"&amp;"!B"&amp;T209)))</f>
        <v/>
      </c>
      <c r="D209" t="str" cm="1">
        <f t="array" aca="1" ref="D209" ca="1">IFERROR(_xlfn.IFS(C209="","",C209&lt;&gt;"",INDEX(SF_Output!I:I,MATCH(C209,SF_Output!M:M,0))),IFERROR(INDEX(INDIRECT($D$2&amp;"!G:G"),MATCH(C209,INDIRECT($D$2&amp;"!B:B"),0)),INDEX(INDIRECT("'"&amp;$D$2&amp;"'!G:G"),MATCH(C209,INDIRECT("'"&amp;$D$2&amp;"'!B:B"),0))))</f>
        <v/>
      </c>
      <c r="E209" t="str" cm="1">
        <f t="array" aca="1" ref="E209" ca="1">IFERROR(IF(C209="","",INDIRECT($D$2&amp;"!F"&amp;T209)),IF(C209="","",INDIRECT("'"&amp;$D$2&amp;"'"&amp;"!F"&amp;T209)))</f>
        <v/>
      </c>
      <c r="F209" t="str" cm="1">
        <f t="array" aca="1" ref="F209" ca="1">IFERROR(IF(C209="","",INDIRECT($D$2&amp;"!ak"&amp;T209)),IF(C209="","",INDIRECT("'"&amp;$D$2&amp;"'"&amp;"!ak"&amp;T209)))</f>
        <v/>
      </c>
      <c r="G209" t="str" cm="1">
        <f t="array" aca="1" ref="G209" ca="1">IFERROR(INDIRECT($D$2&amp;"!h"&amp;T209),INDIRECT("'"&amp;$D$2&amp;"'"&amp;"!h"&amp;T209))</f>
        <v/>
      </c>
      <c r="H209" s="125" t="str" cm="1">
        <f t="array" aca="1" ref="H209" ca="1">IFERROR(INDIRECT($D$2&amp;"!i"&amp;T209),INDIRECT("'"&amp;$D$2&amp;"'"&amp;"!i"&amp;T209))</f>
        <v/>
      </c>
      <c r="I209" s="113" t="str" cm="1">
        <f t="array" aca="1" ref="I209" ca="1">IFERROR(IF($C209="","",INDIRECT($D$2&amp;"!j"&amp;$T209)+INDIRECT($D$2&amp;"!n"&amp;$T209)),IF($C209="","",INDIRECT("'"&amp;$D$2&amp;"'"&amp;"!j"&amp;$T209)+INDIRECT("'"&amp;$D$2&amp;"'"&amp;"!n"&amp;$T209)))</f>
        <v/>
      </c>
      <c r="J209" s="113" t="str">
        <f t="shared" ca="1" si="9"/>
        <v/>
      </c>
      <c r="K209" s="113" t="str" cm="1">
        <f t="array" aca="1" ref="K209" ca="1">IFERROR(IF($C209="","",INDIRECT($D$2&amp;"!l"&amp;$T209)+INDIRECT($D$2&amp;"!p"&amp;$T209)),IF($C209="","",INDIRECT("'"&amp;$D$2&amp;"'"&amp;"!l"&amp;$T209)+INDIRECT("'"&amp;$D$2&amp;"'"&amp;"!p"&amp;$T209)))</f>
        <v/>
      </c>
      <c r="M209" s="113" t="str" cm="1">
        <f t="array" aca="1" ref="M209" ca="1">IFERROR(IF($C209="","",INDIRECT($D$2&amp;"!r"&amp;T209)),IF($C209="","",INDIRECT("'"&amp;$D$2&amp;"'"&amp;"!r"&amp;T209)))</f>
        <v/>
      </c>
      <c r="N209" s="113" t="str">
        <f t="shared" ca="1" si="10"/>
        <v/>
      </c>
      <c r="O209" s="113" t="str" cm="1">
        <f t="array" aca="1" ref="O209" ca="1">IFERROR(IF($C209="","",INDIRECT($D$2&amp;"!t"&amp;T209)),IF($C209="","",INDIRECT("'"&amp;$D$2&amp;"'"&amp;"!t"&amp;T209)))</f>
        <v/>
      </c>
      <c r="Q209" s="113" t="str" cm="1">
        <f t="array" aca="1" ref="Q209" ca="1">IFERROR(IF($C209="","",INDIRECT($D$2&amp;"!v"&amp;T209)),IF($C209="","",INDIRECT("'"&amp;$D$2&amp;"'"&amp;"!v"&amp;T209)))</f>
        <v/>
      </c>
      <c r="R209" s="113" t="str">
        <f t="shared" ca="1" si="11"/>
        <v/>
      </c>
      <c r="S209" s="113" t="str" cm="1">
        <f t="array" aca="1" ref="S209" ca="1">IFERROR(IF($C209="","",INDIRECT($D$2&amp;"!x"&amp;T209)),IF($C209="","",INDIRECT("'"&amp;$D$2&amp;"'"&amp;"!x"&amp;T209)))</f>
        <v/>
      </c>
      <c r="T209" s="35">
        <v>197</v>
      </c>
      <c r="U209" s="113"/>
      <c r="V209" s="35">
        <v>197</v>
      </c>
    </row>
    <row r="210" spans="3:22" x14ac:dyDescent="0.25">
      <c r="C210" t="str" cm="1">
        <f t="array" aca="1" ref="C210" ca="1">IFERROR(IF(INDIRECT($D$2&amp;"!B"&amp;T210)="","",INDIRECT("'"&amp;$D$2&amp;"'"&amp;"!B"&amp;T210)),IF(INDIRECT("'"&amp;$D$2&amp;"'"&amp;"!B"&amp;T210)="","",INDIRECT("'"&amp;$D$2&amp;"'"&amp;"!B"&amp;T210)))</f>
        <v/>
      </c>
      <c r="D210" t="str" cm="1">
        <f t="array" aca="1" ref="D210" ca="1">IFERROR(_xlfn.IFS(C210="","",C210&lt;&gt;"",INDEX(SF_Output!I:I,MATCH(C210,SF_Output!M:M,0))),IFERROR(INDEX(INDIRECT($D$2&amp;"!G:G"),MATCH(C210,INDIRECT($D$2&amp;"!B:B"),0)),INDEX(INDIRECT("'"&amp;$D$2&amp;"'!G:G"),MATCH(C210,INDIRECT("'"&amp;$D$2&amp;"'!B:B"),0))))</f>
        <v/>
      </c>
      <c r="E210" t="str" cm="1">
        <f t="array" aca="1" ref="E210" ca="1">IFERROR(IF(C210="","",INDIRECT($D$2&amp;"!F"&amp;T210)),IF(C210="","",INDIRECT("'"&amp;$D$2&amp;"'"&amp;"!F"&amp;T210)))</f>
        <v/>
      </c>
      <c r="F210" t="str" cm="1">
        <f t="array" aca="1" ref="F210" ca="1">IFERROR(IF(C210="","",INDIRECT($D$2&amp;"!ak"&amp;T210)),IF(C210="","",INDIRECT("'"&amp;$D$2&amp;"'"&amp;"!ak"&amp;T210)))</f>
        <v/>
      </c>
      <c r="G210" t="str" cm="1">
        <f t="array" aca="1" ref="G210" ca="1">IFERROR(INDIRECT($D$2&amp;"!h"&amp;T210),INDIRECT("'"&amp;$D$2&amp;"'"&amp;"!h"&amp;T210))</f>
        <v/>
      </c>
      <c r="H210" s="125" t="str" cm="1">
        <f t="array" aca="1" ref="H210" ca="1">IFERROR(INDIRECT($D$2&amp;"!i"&amp;T210),INDIRECT("'"&amp;$D$2&amp;"'"&amp;"!i"&amp;T210))</f>
        <v/>
      </c>
      <c r="I210" s="113" t="str" cm="1">
        <f t="array" aca="1" ref="I210" ca="1">IFERROR(IF($C210="","",INDIRECT($D$2&amp;"!j"&amp;$T210)+INDIRECT($D$2&amp;"!n"&amp;$T210)),IF($C210="","",INDIRECT("'"&amp;$D$2&amp;"'"&amp;"!j"&amp;$T210)+INDIRECT("'"&amp;$D$2&amp;"'"&amp;"!n"&amp;$T210)))</f>
        <v/>
      </c>
      <c r="J210" s="113" t="str">
        <f t="shared" ca="1" si="9"/>
        <v/>
      </c>
      <c r="K210" s="113" t="str" cm="1">
        <f t="array" aca="1" ref="K210" ca="1">IFERROR(IF($C210="","",INDIRECT($D$2&amp;"!l"&amp;$T210)+INDIRECT($D$2&amp;"!p"&amp;$T210)),IF($C210="","",INDIRECT("'"&amp;$D$2&amp;"'"&amp;"!l"&amp;$T210)+INDIRECT("'"&amp;$D$2&amp;"'"&amp;"!p"&amp;$T210)))</f>
        <v/>
      </c>
      <c r="M210" s="113" t="str" cm="1">
        <f t="array" aca="1" ref="M210" ca="1">IFERROR(IF($C210="","",INDIRECT($D$2&amp;"!r"&amp;T210)),IF($C210="","",INDIRECT("'"&amp;$D$2&amp;"'"&amp;"!r"&amp;T210)))</f>
        <v/>
      </c>
      <c r="N210" s="113" t="str">
        <f t="shared" ca="1" si="10"/>
        <v/>
      </c>
      <c r="O210" s="113" t="str" cm="1">
        <f t="array" aca="1" ref="O210" ca="1">IFERROR(IF($C210="","",INDIRECT($D$2&amp;"!t"&amp;T210)),IF($C210="","",INDIRECT("'"&amp;$D$2&amp;"'"&amp;"!t"&amp;T210)))</f>
        <v/>
      </c>
      <c r="Q210" s="113" t="str" cm="1">
        <f t="array" aca="1" ref="Q210" ca="1">IFERROR(IF($C210="","",INDIRECT($D$2&amp;"!v"&amp;T210)),IF($C210="","",INDIRECT("'"&amp;$D$2&amp;"'"&amp;"!v"&amp;T210)))</f>
        <v/>
      </c>
      <c r="R210" s="113" t="str">
        <f t="shared" ca="1" si="11"/>
        <v/>
      </c>
      <c r="S210" s="113" t="str" cm="1">
        <f t="array" aca="1" ref="S210" ca="1">IFERROR(IF($C210="","",INDIRECT($D$2&amp;"!x"&amp;T210)),IF($C210="","",INDIRECT("'"&amp;$D$2&amp;"'"&amp;"!x"&amp;T210)))</f>
        <v/>
      </c>
      <c r="T210" s="35">
        <v>198</v>
      </c>
      <c r="U210" s="113"/>
      <c r="V210" s="35">
        <v>198</v>
      </c>
    </row>
    <row r="211" spans="3:22" x14ac:dyDescent="0.25">
      <c r="C211" t="str" cm="1">
        <f t="array" aca="1" ref="C211" ca="1">IFERROR(IF(INDIRECT($D$2&amp;"!B"&amp;T211)="","",INDIRECT("'"&amp;$D$2&amp;"'"&amp;"!B"&amp;T211)),IF(INDIRECT("'"&amp;$D$2&amp;"'"&amp;"!B"&amp;T211)="","",INDIRECT("'"&amp;$D$2&amp;"'"&amp;"!B"&amp;T211)))</f>
        <v/>
      </c>
      <c r="D211" t="str" cm="1">
        <f t="array" aca="1" ref="D211" ca="1">IFERROR(_xlfn.IFS(C211="","",C211&lt;&gt;"",INDEX(SF_Output!I:I,MATCH(C211,SF_Output!M:M,0))),IFERROR(INDEX(INDIRECT($D$2&amp;"!G:G"),MATCH(C211,INDIRECT($D$2&amp;"!B:B"),0)),INDEX(INDIRECT("'"&amp;$D$2&amp;"'!G:G"),MATCH(C211,INDIRECT("'"&amp;$D$2&amp;"'!B:B"),0))))</f>
        <v/>
      </c>
      <c r="E211" t="str" cm="1">
        <f t="array" aca="1" ref="E211" ca="1">IFERROR(IF(C211="","",INDIRECT($D$2&amp;"!F"&amp;T211)),IF(C211="","",INDIRECT("'"&amp;$D$2&amp;"'"&amp;"!F"&amp;T211)))</f>
        <v/>
      </c>
      <c r="F211" t="str" cm="1">
        <f t="array" aca="1" ref="F211" ca="1">IFERROR(IF(C211="","",INDIRECT($D$2&amp;"!ak"&amp;T211)),IF(C211="","",INDIRECT("'"&amp;$D$2&amp;"'"&amp;"!ak"&amp;T211)))</f>
        <v/>
      </c>
      <c r="G211" t="str" cm="1">
        <f t="array" aca="1" ref="G211" ca="1">IFERROR(INDIRECT($D$2&amp;"!h"&amp;T211),INDIRECT("'"&amp;$D$2&amp;"'"&amp;"!h"&amp;T211))</f>
        <v/>
      </c>
      <c r="H211" s="125" t="str" cm="1">
        <f t="array" aca="1" ref="H211" ca="1">IFERROR(INDIRECT($D$2&amp;"!i"&amp;T211),INDIRECT("'"&amp;$D$2&amp;"'"&amp;"!i"&amp;T211))</f>
        <v/>
      </c>
      <c r="I211" s="113" t="str" cm="1">
        <f t="array" aca="1" ref="I211" ca="1">IFERROR(IF($C211="","",INDIRECT($D$2&amp;"!j"&amp;$T211)+INDIRECT($D$2&amp;"!n"&amp;$T211)),IF($C211="","",INDIRECT("'"&amp;$D$2&amp;"'"&amp;"!j"&amp;$T211)+INDIRECT("'"&amp;$D$2&amp;"'"&amp;"!n"&amp;$T211)))</f>
        <v/>
      </c>
      <c r="J211" s="113" t="str">
        <f t="shared" ca="1" si="9"/>
        <v/>
      </c>
      <c r="K211" s="113" t="str" cm="1">
        <f t="array" aca="1" ref="K211" ca="1">IFERROR(IF($C211="","",INDIRECT($D$2&amp;"!l"&amp;$T211)+INDIRECT($D$2&amp;"!p"&amp;$T211)),IF($C211="","",INDIRECT("'"&amp;$D$2&amp;"'"&amp;"!l"&amp;$T211)+INDIRECT("'"&amp;$D$2&amp;"'"&amp;"!p"&amp;$T211)))</f>
        <v/>
      </c>
      <c r="M211" s="113" t="str" cm="1">
        <f t="array" aca="1" ref="M211" ca="1">IFERROR(IF($C211="","",INDIRECT($D$2&amp;"!r"&amp;T211)),IF($C211="","",INDIRECT("'"&amp;$D$2&amp;"'"&amp;"!r"&amp;T211)))</f>
        <v/>
      </c>
      <c r="N211" s="113" t="str">
        <f t="shared" ca="1" si="10"/>
        <v/>
      </c>
      <c r="O211" s="113" t="str" cm="1">
        <f t="array" aca="1" ref="O211" ca="1">IFERROR(IF($C211="","",INDIRECT($D$2&amp;"!t"&amp;T211)),IF($C211="","",INDIRECT("'"&amp;$D$2&amp;"'"&amp;"!t"&amp;T211)))</f>
        <v/>
      </c>
      <c r="Q211" s="113" t="str" cm="1">
        <f t="array" aca="1" ref="Q211" ca="1">IFERROR(IF($C211="","",INDIRECT($D$2&amp;"!v"&amp;T211)),IF($C211="","",INDIRECT("'"&amp;$D$2&amp;"'"&amp;"!v"&amp;T211)))</f>
        <v/>
      </c>
      <c r="R211" s="113" t="str">
        <f t="shared" ca="1" si="11"/>
        <v/>
      </c>
      <c r="S211" s="113" t="str" cm="1">
        <f t="array" aca="1" ref="S211" ca="1">IFERROR(IF($C211="","",INDIRECT($D$2&amp;"!x"&amp;T211)),IF($C211="","",INDIRECT("'"&amp;$D$2&amp;"'"&amp;"!x"&amp;T211)))</f>
        <v/>
      </c>
      <c r="T211" s="35">
        <v>199</v>
      </c>
      <c r="U211" s="113"/>
      <c r="V211" s="35">
        <v>199</v>
      </c>
    </row>
    <row r="212" spans="3:22" x14ac:dyDescent="0.25">
      <c r="C212" t="str" cm="1">
        <f t="array" aca="1" ref="C212" ca="1">IFERROR(IF(INDIRECT($D$2&amp;"!B"&amp;T212)="","",INDIRECT("'"&amp;$D$2&amp;"'"&amp;"!B"&amp;T212)),IF(INDIRECT("'"&amp;$D$2&amp;"'"&amp;"!B"&amp;T212)="","",INDIRECT("'"&amp;$D$2&amp;"'"&amp;"!B"&amp;T212)))</f>
        <v/>
      </c>
      <c r="D212" t="str" cm="1">
        <f t="array" aca="1" ref="D212" ca="1">IFERROR(_xlfn.IFS(C212="","",C212&lt;&gt;"",INDEX(SF_Output!I:I,MATCH(C212,SF_Output!M:M,0))),IFERROR(INDEX(INDIRECT($D$2&amp;"!G:G"),MATCH(C212,INDIRECT($D$2&amp;"!B:B"),0)),INDEX(INDIRECT("'"&amp;$D$2&amp;"'!G:G"),MATCH(C212,INDIRECT("'"&amp;$D$2&amp;"'!B:B"),0))))</f>
        <v/>
      </c>
      <c r="E212" t="str" cm="1">
        <f t="array" aca="1" ref="E212" ca="1">IFERROR(IF(C212="","",INDIRECT($D$2&amp;"!F"&amp;T212)),IF(C212="","",INDIRECT("'"&amp;$D$2&amp;"'"&amp;"!F"&amp;T212)))</f>
        <v/>
      </c>
      <c r="F212" t="str" cm="1">
        <f t="array" aca="1" ref="F212" ca="1">IFERROR(IF(C212="","",INDIRECT($D$2&amp;"!ak"&amp;T212)),IF(C212="","",INDIRECT("'"&amp;$D$2&amp;"'"&amp;"!ak"&amp;T212)))</f>
        <v/>
      </c>
      <c r="G212" t="str" cm="1">
        <f t="array" aca="1" ref="G212" ca="1">IFERROR(INDIRECT($D$2&amp;"!h"&amp;T212),INDIRECT("'"&amp;$D$2&amp;"'"&amp;"!h"&amp;T212))</f>
        <v/>
      </c>
      <c r="H212" s="125" t="str" cm="1">
        <f t="array" aca="1" ref="H212" ca="1">IFERROR(INDIRECT($D$2&amp;"!i"&amp;T212),INDIRECT("'"&amp;$D$2&amp;"'"&amp;"!i"&amp;T212))</f>
        <v/>
      </c>
      <c r="I212" s="113" t="str" cm="1">
        <f t="array" aca="1" ref="I212" ca="1">IFERROR(IF($C212="","",INDIRECT($D$2&amp;"!j"&amp;$T212)+INDIRECT($D$2&amp;"!n"&amp;$T212)),IF($C212="","",INDIRECT("'"&amp;$D$2&amp;"'"&amp;"!j"&amp;$T212)+INDIRECT("'"&amp;$D$2&amp;"'"&amp;"!n"&amp;$T212)))</f>
        <v/>
      </c>
      <c r="J212" s="113" t="str">
        <f t="shared" ca="1" si="9"/>
        <v/>
      </c>
      <c r="K212" s="113" t="str" cm="1">
        <f t="array" aca="1" ref="K212" ca="1">IFERROR(IF($C212="","",INDIRECT($D$2&amp;"!l"&amp;$T212)+INDIRECT($D$2&amp;"!p"&amp;$T212)),IF($C212="","",INDIRECT("'"&amp;$D$2&amp;"'"&amp;"!l"&amp;$T212)+INDIRECT("'"&amp;$D$2&amp;"'"&amp;"!p"&amp;$T212)))</f>
        <v/>
      </c>
      <c r="M212" s="113" t="str" cm="1">
        <f t="array" aca="1" ref="M212" ca="1">IFERROR(IF($C212="","",INDIRECT($D$2&amp;"!r"&amp;T212)),IF($C212="","",INDIRECT("'"&amp;$D$2&amp;"'"&amp;"!r"&amp;T212)))</f>
        <v/>
      </c>
      <c r="N212" s="113" t="str">
        <f t="shared" ca="1" si="10"/>
        <v/>
      </c>
      <c r="O212" s="113" t="str" cm="1">
        <f t="array" aca="1" ref="O212" ca="1">IFERROR(IF($C212="","",INDIRECT($D$2&amp;"!t"&amp;T212)),IF($C212="","",INDIRECT("'"&amp;$D$2&amp;"'"&amp;"!t"&amp;T212)))</f>
        <v/>
      </c>
      <c r="Q212" s="113" t="str" cm="1">
        <f t="array" aca="1" ref="Q212" ca="1">IFERROR(IF($C212="","",INDIRECT($D$2&amp;"!v"&amp;T212)),IF($C212="","",INDIRECT("'"&amp;$D$2&amp;"'"&amp;"!v"&amp;T212)))</f>
        <v/>
      </c>
      <c r="R212" s="113" t="str">
        <f t="shared" ca="1" si="11"/>
        <v/>
      </c>
      <c r="S212" s="113" t="str" cm="1">
        <f t="array" aca="1" ref="S212" ca="1">IFERROR(IF($C212="","",INDIRECT($D$2&amp;"!x"&amp;T212)),IF($C212="","",INDIRECT("'"&amp;$D$2&amp;"'"&amp;"!x"&amp;T212)))</f>
        <v/>
      </c>
      <c r="T212" s="35">
        <v>200</v>
      </c>
      <c r="U212" s="113"/>
      <c r="V212" s="35">
        <v>200</v>
      </c>
    </row>
    <row r="213" spans="3:22" x14ac:dyDescent="0.25">
      <c r="C213" t="str" cm="1">
        <f t="array" aca="1" ref="C213" ca="1">IFERROR(IF(INDIRECT($D$2&amp;"!B"&amp;T213)="","",INDIRECT("'"&amp;$D$2&amp;"'"&amp;"!B"&amp;T213)),IF(INDIRECT("'"&amp;$D$2&amp;"'"&amp;"!B"&amp;T213)="","",INDIRECT("'"&amp;$D$2&amp;"'"&amp;"!B"&amp;T213)))</f>
        <v/>
      </c>
      <c r="D213" t="str" cm="1">
        <f t="array" aca="1" ref="D213" ca="1">IFERROR(_xlfn.IFS(C213="","",C213&lt;&gt;"",INDEX(SF_Output!I:I,MATCH(C213,SF_Output!M:M,0))),IFERROR(INDEX(INDIRECT($D$2&amp;"!G:G"),MATCH(C213,INDIRECT($D$2&amp;"!B:B"),0)),INDEX(INDIRECT("'"&amp;$D$2&amp;"'!G:G"),MATCH(C213,INDIRECT("'"&amp;$D$2&amp;"'!B:B"),0))))</f>
        <v/>
      </c>
      <c r="E213" t="str" cm="1">
        <f t="array" aca="1" ref="E213" ca="1">IFERROR(IF(C213="","",INDIRECT($D$2&amp;"!F"&amp;T213)),IF(C213="","",INDIRECT("'"&amp;$D$2&amp;"'"&amp;"!F"&amp;T213)))</f>
        <v/>
      </c>
      <c r="F213" t="str" cm="1">
        <f t="array" aca="1" ref="F213" ca="1">IFERROR(IF(C213="","",INDIRECT($D$2&amp;"!ak"&amp;T213)),IF(C213="","",INDIRECT("'"&amp;$D$2&amp;"'"&amp;"!ak"&amp;T213)))</f>
        <v/>
      </c>
      <c r="G213" t="str" cm="1">
        <f t="array" aca="1" ref="G213" ca="1">IFERROR(INDIRECT($D$2&amp;"!h"&amp;T213),INDIRECT("'"&amp;$D$2&amp;"'"&amp;"!h"&amp;T213))</f>
        <v/>
      </c>
      <c r="H213" s="125" t="str" cm="1">
        <f t="array" aca="1" ref="H213" ca="1">IFERROR(INDIRECT($D$2&amp;"!i"&amp;T213),INDIRECT("'"&amp;$D$2&amp;"'"&amp;"!i"&amp;T213))</f>
        <v/>
      </c>
      <c r="I213" s="113" t="str" cm="1">
        <f t="array" aca="1" ref="I213" ca="1">IFERROR(IF($C213="","",INDIRECT($D$2&amp;"!j"&amp;$T213)+INDIRECT($D$2&amp;"!n"&amp;$T213)),IF($C213="","",INDIRECT("'"&amp;$D$2&amp;"'"&amp;"!j"&amp;$T213)+INDIRECT("'"&amp;$D$2&amp;"'"&amp;"!n"&amp;$T213)))</f>
        <v/>
      </c>
      <c r="J213" s="113" t="str">
        <f t="shared" ca="1" si="9"/>
        <v/>
      </c>
      <c r="K213" s="113" t="str" cm="1">
        <f t="array" aca="1" ref="K213" ca="1">IFERROR(IF($C213="","",INDIRECT($D$2&amp;"!l"&amp;$T213)+INDIRECT($D$2&amp;"!p"&amp;$T213)),IF($C213="","",INDIRECT("'"&amp;$D$2&amp;"'"&amp;"!l"&amp;$T213)+INDIRECT("'"&amp;$D$2&amp;"'"&amp;"!p"&amp;$T213)))</f>
        <v/>
      </c>
      <c r="M213" s="113" t="str" cm="1">
        <f t="array" aca="1" ref="M213" ca="1">IFERROR(IF($C213="","",INDIRECT($D$2&amp;"!r"&amp;T213)),IF($C213="","",INDIRECT("'"&amp;$D$2&amp;"'"&amp;"!r"&amp;T213)))</f>
        <v/>
      </c>
      <c r="N213" s="113" t="str">
        <f t="shared" ca="1" si="10"/>
        <v/>
      </c>
      <c r="O213" s="113" t="str" cm="1">
        <f t="array" aca="1" ref="O213" ca="1">IFERROR(IF($C213="","",INDIRECT($D$2&amp;"!t"&amp;T213)),IF($C213="","",INDIRECT("'"&amp;$D$2&amp;"'"&amp;"!t"&amp;T213)))</f>
        <v/>
      </c>
      <c r="Q213" s="113" t="str" cm="1">
        <f t="array" aca="1" ref="Q213" ca="1">IFERROR(IF($C213="","",INDIRECT($D$2&amp;"!v"&amp;T213)),IF($C213="","",INDIRECT("'"&amp;$D$2&amp;"'"&amp;"!v"&amp;T213)))</f>
        <v/>
      </c>
      <c r="R213" s="113" t="str">
        <f t="shared" ca="1" si="11"/>
        <v/>
      </c>
      <c r="S213" s="113" t="str" cm="1">
        <f t="array" aca="1" ref="S213" ca="1">IFERROR(IF($C213="","",INDIRECT($D$2&amp;"!x"&amp;T213)),IF($C213="","",INDIRECT("'"&amp;$D$2&amp;"'"&amp;"!x"&amp;T213)))</f>
        <v/>
      </c>
      <c r="T213" s="35">
        <v>201</v>
      </c>
      <c r="U213" s="113"/>
      <c r="V213" s="35">
        <v>201</v>
      </c>
    </row>
    <row r="214" spans="3:22" x14ac:dyDescent="0.25">
      <c r="C214" t="str" cm="1">
        <f t="array" aca="1" ref="C214" ca="1">IFERROR(IF(INDIRECT($D$2&amp;"!B"&amp;T214)="","",INDIRECT("'"&amp;$D$2&amp;"'"&amp;"!B"&amp;T214)),IF(INDIRECT("'"&amp;$D$2&amp;"'"&amp;"!B"&amp;T214)="","",INDIRECT("'"&amp;$D$2&amp;"'"&amp;"!B"&amp;T214)))</f>
        <v/>
      </c>
      <c r="D214" t="str" cm="1">
        <f t="array" aca="1" ref="D214" ca="1">IFERROR(_xlfn.IFS(C214="","",C214&lt;&gt;"",INDEX(SF_Output!I:I,MATCH(C214,SF_Output!M:M,0))),IFERROR(INDEX(INDIRECT($D$2&amp;"!G:G"),MATCH(C214,INDIRECT($D$2&amp;"!B:B"),0)),INDEX(INDIRECT("'"&amp;$D$2&amp;"'!G:G"),MATCH(C214,INDIRECT("'"&amp;$D$2&amp;"'!B:B"),0))))</f>
        <v/>
      </c>
      <c r="E214" t="str" cm="1">
        <f t="array" aca="1" ref="E214" ca="1">IFERROR(IF(C214="","",INDIRECT($D$2&amp;"!F"&amp;T214)),IF(C214="","",INDIRECT("'"&amp;$D$2&amp;"'"&amp;"!F"&amp;T214)))</f>
        <v/>
      </c>
      <c r="F214" t="str" cm="1">
        <f t="array" aca="1" ref="F214" ca="1">IFERROR(IF(C214="","",INDIRECT($D$2&amp;"!ak"&amp;T214)),IF(C214="","",INDIRECT("'"&amp;$D$2&amp;"'"&amp;"!ak"&amp;T214)))</f>
        <v/>
      </c>
      <c r="G214" t="str" cm="1">
        <f t="array" aca="1" ref="G214" ca="1">IFERROR(INDIRECT($D$2&amp;"!h"&amp;T214),INDIRECT("'"&amp;$D$2&amp;"'"&amp;"!h"&amp;T214))</f>
        <v/>
      </c>
      <c r="H214" s="125" t="str" cm="1">
        <f t="array" aca="1" ref="H214" ca="1">IFERROR(INDIRECT($D$2&amp;"!i"&amp;T214),INDIRECT("'"&amp;$D$2&amp;"'"&amp;"!i"&amp;T214))</f>
        <v/>
      </c>
      <c r="I214" s="113" t="str" cm="1">
        <f t="array" aca="1" ref="I214" ca="1">IFERROR(IF($C214="","",INDIRECT($D$2&amp;"!j"&amp;$T214)+INDIRECT($D$2&amp;"!n"&amp;$T214)),IF($C214="","",INDIRECT("'"&amp;$D$2&amp;"'"&amp;"!j"&amp;$T214)+INDIRECT("'"&amp;$D$2&amp;"'"&amp;"!n"&amp;$T214)))</f>
        <v/>
      </c>
      <c r="J214" s="113" t="str">
        <f t="shared" ca="1" si="9"/>
        <v/>
      </c>
      <c r="K214" s="113" t="str" cm="1">
        <f t="array" aca="1" ref="K214" ca="1">IFERROR(IF($C214="","",INDIRECT($D$2&amp;"!l"&amp;$T214)+INDIRECT($D$2&amp;"!p"&amp;$T214)),IF($C214="","",INDIRECT("'"&amp;$D$2&amp;"'"&amp;"!l"&amp;$T214)+INDIRECT("'"&amp;$D$2&amp;"'"&amp;"!p"&amp;$T214)))</f>
        <v/>
      </c>
      <c r="M214" s="113" t="str" cm="1">
        <f t="array" aca="1" ref="M214" ca="1">IFERROR(IF($C214="","",INDIRECT($D$2&amp;"!r"&amp;T214)),IF($C214="","",INDIRECT("'"&amp;$D$2&amp;"'"&amp;"!r"&amp;T214)))</f>
        <v/>
      </c>
      <c r="N214" s="113" t="str">
        <f t="shared" ca="1" si="10"/>
        <v/>
      </c>
      <c r="O214" s="113" t="str" cm="1">
        <f t="array" aca="1" ref="O214" ca="1">IFERROR(IF($C214="","",INDIRECT($D$2&amp;"!t"&amp;T214)),IF($C214="","",INDIRECT("'"&amp;$D$2&amp;"'"&amp;"!t"&amp;T214)))</f>
        <v/>
      </c>
      <c r="Q214" s="113" t="str" cm="1">
        <f t="array" aca="1" ref="Q214" ca="1">IFERROR(IF($C214="","",INDIRECT($D$2&amp;"!v"&amp;T214)),IF($C214="","",INDIRECT("'"&amp;$D$2&amp;"'"&amp;"!v"&amp;T214)))</f>
        <v/>
      </c>
      <c r="R214" s="113" t="str">
        <f t="shared" ca="1" si="11"/>
        <v/>
      </c>
      <c r="S214" s="113" t="str" cm="1">
        <f t="array" aca="1" ref="S214" ca="1">IFERROR(IF($C214="","",INDIRECT($D$2&amp;"!x"&amp;T214)),IF($C214="","",INDIRECT("'"&amp;$D$2&amp;"'"&amp;"!x"&amp;T214)))</f>
        <v/>
      </c>
      <c r="T214" s="35">
        <v>202</v>
      </c>
      <c r="U214" s="113"/>
      <c r="V214" s="35">
        <v>202</v>
      </c>
    </row>
    <row r="215" spans="3:22" x14ac:dyDescent="0.25">
      <c r="C215" t="str" cm="1">
        <f t="array" aca="1" ref="C215" ca="1">IFERROR(IF(INDIRECT($D$2&amp;"!B"&amp;T215)="","",INDIRECT("'"&amp;$D$2&amp;"'"&amp;"!B"&amp;T215)),IF(INDIRECT("'"&amp;$D$2&amp;"'"&amp;"!B"&amp;T215)="","",INDIRECT("'"&amp;$D$2&amp;"'"&amp;"!B"&amp;T215)))</f>
        <v/>
      </c>
      <c r="D215" t="str" cm="1">
        <f t="array" aca="1" ref="D215" ca="1">IFERROR(_xlfn.IFS(C215="","",C215&lt;&gt;"",INDEX(SF_Output!I:I,MATCH(C215,SF_Output!M:M,0))),IFERROR(INDEX(INDIRECT($D$2&amp;"!G:G"),MATCH(C215,INDIRECT($D$2&amp;"!B:B"),0)),INDEX(INDIRECT("'"&amp;$D$2&amp;"'!G:G"),MATCH(C215,INDIRECT("'"&amp;$D$2&amp;"'!B:B"),0))))</f>
        <v/>
      </c>
      <c r="E215" t="str" cm="1">
        <f t="array" aca="1" ref="E215" ca="1">IFERROR(IF(C215="","",INDIRECT($D$2&amp;"!F"&amp;T215)),IF(C215="","",INDIRECT("'"&amp;$D$2&amp;"'"&amp;"!F"&amp;T215)))</f>
        <v/>
      </c>
      <c r="F215" t="str" cm="1">
        <f t="array" aca="1" ref="F215" ca="1">IFERROR(IF(C215="","",INDIRECT($D$2&amp;"!ak"&amp;T215)),IF(C215="","",INDIRECT("'"&amp;$D$2&amp;"'"&amp;"!ak"&amp;T215)))</f>
        <v/>
      </c>
      <c r="G215" t="str" cm="1">
        <f t="array" aca="1" ref="G215" ca="1">IFERROR(INDIRECT($D$2&amp;"!h"&amp;T215),INDIRECT("'"&amp;$D$2&amp;"'"&amp;"!h"&amp;T215))</f>
        <v/>
      </c>
      <c r="H215" s="125" t="str" cm="1">
        <f t="array" aca="1" ref="H215" ca="1">IFERROR(INDIRECT($D$2&amp;"!i"&amp;T215),INDIRECT("'"&amp;$D$2&amp;"'"&amp;"!i"&amp;T215))</f>
        <v/>
      </c>
      <c r="I215" s="113" t="str" cm="1">
        <f t="array" aca="1" ref="I215" ca="1">IFERROR(IF($C215="","",INDIRECT($D$2&amp;"!j"&amp;$T215)+INDIRECT($D$2&amp;"!n"&amp;$T215)),IF($C215="","",INDIRECT("'"&amp;$D$2&amp;"'"&amp;"!j"&amp;$T215)+INDIRECT("'"&amp;$D$2&amp;"'"&amp;"!n"&amp;$T215)))</f>
        <v/>
      </c>
      <c r="J215" s="113" t="str">
        <f t="shared" ca="1" si="9"/>
        <v/>
      </c>
      <c r="K215" s="113" t="str" cm="1">
        <f t="array" aca="1" ref="K215" ca="1">IFERROR(IF($C215="","",INDIRECT($D$2&amp;"!l"&amp;$T215)+INDIRECT($D$2&amp;"!p"&amp;$T215)),IF($C215="","",INDIRECT("'"&amp;$D$2&amp;"'"&amp;"!l"&amp;$T215)+INDIRECT("'"&amp;$D$2&amp;"'"&amp;"!p"&amp;$T215)))</f>
        <v/>
      </c>
      <c r="M215" s="113" t="str" cm="1">
        <f t="array" aca="1" ref="M215" ca="1">IFERROR(IF($C215="","",INDIRECT($D$2&amp;"!r"&amp;T215)),IF($C215="","",INDIRECT("'"&amp;$D$2&amp;"'"&amp;"!r"&amp;T215)))</f>
        <v/>
      </c>
      <c r="N215" s="113" t="str">
        <f t="shared" ca="1" si="10"/>
        <v/>
      </c>
      <c r="O215" s="113" t="str" cm="1">
        <f t="array" aca="1" ref="O215" ca="1">IFERROR(IF($C215="","",INDIRECT($D$2&amp;"!t"&amp;T215)),IF($C215="","",INDIRECT("'"&amp;$D$2&amp;"'"&amp;"!t"&amp;T215)))</f>
        <v/>
      </c>
      <c r="Q215" s="113" t="str" cm="1">
        <f t="array" aca="1" ref="Q215" ca="1">IFERROR(IF($C215="","",INDIRECT($D$2&amp;"!v"&amp;T215)),IF($C215="","",INDIRECT("'"&amp;$D$2&amp;"'"&amp;"!v"&amp;T215)))</f>
        <v/>
      </c>
      <c r="R215" s="113" t="str">
        <f t="shared" ca="1" si="11"/>
        <v/>
      </c>
      <c r="S215" s="113" t="str" cm="1">
        <f t="array" aca="1" ref="S215" ca="1">IFERROR(IF($C215="","",INDIRECT($D$2&amp;"!x"&amp;T215)),IF($C215="","",INDIRECT("'"&amp;$D$2&amp;"'"&amp;"!x"&amp;T215)))</f>
        <v/>
      </c>
      <c r="T215" s="35">
        <v>203</v>
      </c>
      <c r="U215" s="113"/>
      <c r="V215" s="35">
        <v>203</v>
      </c>
    </row>
    <row r="216" spans="3:22" x14ac:dyDescent="0.25">
      <c r="C216" t="str" cm="1">
        <f t="array" aca="1" ref="C216" ca="1">IFERROR(IF(INDIRECT($D$2&amp;"!B"&amp;T216)="","",INDIRECT("'"&amp;$D$2&amp;"'"&amp;"!B"&amp;T216)),IF(INDIRECT("'"&amp;$D$2&amp;"'"&amp;"!B"&amp;T216)="","",INDIRECT("'"&amp;$D$2&amp;"'"&amp;"!B"&amp;T216)))</f>
        <v/>
      </c>
      <c r="D216" t="str" cm="1">
        <f t="array" aca="1" ref="D216" ca="1">IFERROR(_xlfn.IFS(C216="","",C216&lt;&gt;"",INDEX(SF_Output!I:I,MATCH(C216,SF_Output!M:M,0))),IFERROR(INDEX(INDIRECT($D$2&amp;"!G:G"),MATCH(C216,INDIRECT($D$2&amp;"!B:B"),0)),INDEX(INDIRECT("'"&amp;$D$2&amp;"'!G:G"),MATCH(C216,INDIRECT("'"&amp;$D$2&amp;"'!B:B"),0))))</f>
        <v/>
      </c>
      <c r="E216" t="str" cm="1">
        <f t="array" aca="1" ref="E216" ca="1">IFERROR(IF(C216="","",INDIRECT($D$2&amp;"!F"&amp;T216)),IF(C216="","",INDIRECT("'"&amp;$D$2&amp;"'"&amp;"!F"&amp;T216)))</f>
        <v/>
      </c>
      <c r="F216" t="str" cm="1">
        <f t="array" aca="1" ref="F216" ca="1">IFERROR(IF(C216="","",INDIRECT($D$2&amp;"!ak"&amp;T216)),IF(C216="","",INDIRECT("'"&amp;$D$2&amp;"'"&amp;"!ak"&amp;T216)))</f>
        <v/>
      </c>
      <c r="G216" t="str" cm="1">
        <f t="array" aca="1" ref="G216" ca="1">IFERROR(INDIRECT($D$2&amp;"!h"&amp;T216),INDIRECT("'"&amp;$D$2&amp;"'"&amp;"!h"&amp;T216))</f>
        <v/>
      </c>
      <c r="H216" s="125" t="str" cm="1">
        <f t="array" aca="1" ref="H216" ca="1">IFERROR(INDIRECT($D$2&amp;"!i"&amp;T216),INDIRECT("'"&amp;$D$2&amp;"'"&amp;"!i"&amp;T216))</f>
        <v/>
      </c>
      <c r="I216" s="113" t="str" cm="1">
        <f t="array" aca="1" ref="I216" ca="1">IFERROR(IF($C216="","",INDIRECT($D$2&amp;"!j"&amp;$T216)+INDIRECT($D$2&amp;"!n"&amp;$T216)),IF($C216="","",INDIRECT("'"&amp;$D$2&amp;"'"&amp;"!j"&amp;$T216)+INDIRECT("'"&amp;$D$2&amp;"'"&amp;"!n"&amp;$T216)))</f>
        <v/>
      </c>
      <c r="J216" s="113" t="str">
        <f t="shared" ca="1" si="9"/>
        <v/>
      </c>
      <c r="K216" s="113" t="str" cm="1">
        <f t="array" aca="1" ref="K216" ca="1">IFERROR(IF($C216="","",INDIRECT($D$2&amp;"!l"&amp;$T216)+INDIRECT($D$2&amp;"!p"&amp;$T216)),IF($C216="","",INDIRECT("'"&amp;$D$2&amp;"'"&amp;"!l"&amp;$T216)+INDIRECT("'"&amp;$D$2&amp;"'"&amp;"!p"&amp;$T216)))</f>
        <v/>
      </c>
      <c r="M216" s="113" t="str" cm="1">
        <f t="array" aca="1" ref="M216" ca="1">IFERROR(IF($C216="","",INDIRECT($D$2&amp;"!r"&amp;T216)),IF($C216="","",INDIRECT("'"&amp;$D$2&amp;"'"&amp;"!r"&amp;T216)))</f>
        <v/>
      </c>
      <c r="N216" s="113" t="str">
        <f t="shared" ca="1" si="10"/>
        <v/>
      </c>
      <c r="O216" s="113" t="str" cm="1">
        <f t="array" aca="1" ref="O216" ca="1">IFERROR(IF($C216="","",INDIRECT($D$2&amp;"!t"&amp;T216)),IF($C216="","",INDIRECT("'"&amp;$D$2&amp;"'"&amp;"!t"&amp;T216)))</f>
        <v/>
      </c>
      <c r="Q216" s="113" t="str" cm="1">
        <f t="array" aca="1" ref="Q216" ca="1">IFERROR(IF($C216="","",INDIRECT($D$2&amp;"!v"&amp;T216)),IF($C216="","",INDIRECT("'"&amp;$D$2&amp;"'"&amp;"!v"&amp;T216)))</f>
        <v/>
      </c>
      <c r="R216" s="113" t="str">
        <f t="shared" ca="1" si="11"/>
        <v/>
      </c>
      <c r="S216" s="113" t="str" cm="1">
        <f t="array" aca="1" ref="S216" ca="1">IFERROR(IF($C216="","",INDIRECT($D$2&amp;"!x"&amp;T216)),IF($C216="","",INDIRECT("'"&amp;$D$2&amp;"'"&amp;"!x"&amp;T216)))</f>
        <v/>
      </c>
      <c r="T216" s="35">
        <v>204</v>
      </c>
      <c r="U216" s="113"/>
      <c r="V216" s="35">
        <v>204</v>
      </c>
    </row>
    <row r="217" spans="3:22" x14ac:dyDescent="0.25">
      <c r="C217" t="str" cm="1">
        <f t="array" aca="1" ref="C217" ca="1">IFERROR(IF(INDIRECT($D$2&amp;"!B"&amp;T217)="","",INDIRECT("'"&amp;$D$2&amp;"'"&amp;"!B"&amp;T217)),IF(INDIRECT("'"&amp;$D$2&amp;"'"&amp;"!B"&amp;T217)="","",INDIRECT("'"&amp;$D$2&amp;"'"&amp;"!B"&amp;T217)))</f>
        <v/>
      </c>
      <c r="D217" t="str" cm="1">
        <f t="array" aca="1" ref="D217" ca="1">IFERROR(_xlfn.IFS(C217="","",C217&lt;&gt;"",INDEX(SF_Output!I:I,MATCH(C217,SF_Output!M:M,0))),IFERROR(INDEX(INDIRECT($D$2&amp;"!G:G"),MATCH(C217,INDIRECT($D$2&amp;"!B:B"),0)),INDEX(INDIRECT("'"&amp;$D$2&amp;"'!G:G"),MATCH(C217,INDIRECT("'"&amp;$D$2&amp;"'!B:B"),0))))</f>
        <v/>
      </c>
      <c r="E217" t="str" cm="1">
        <f t="array" aca="1" ref="E217" ca="1">IFERROR(IF(C217="","",INDIRECT($D$2&amp;"!F"&amp;T217)),IF(C217="","",INDIRECT("'"&amp;$D$2&amp;"'"&amp;"!F"&amp;T217)))</f>
        <v/>
      </c>
      <c r="F217" t="str" cm="1">
        <f t="array" aca="1" ref="F217" ca="1">IFERROR(IF(C217="","",INDIRECT($D$2&amp;"!ak"&amp;T217)),IF(C217="","",INDIRECT("'"&amp;$D$2&amp;"'"&amp;"!ak"&amp;T217)))</f>
        <v/>
      </c>
      <c r="G217" t="str" cm="1">
        <f t="array" aca="1" ref="G217" ca="1">IFERROR(INDIRECT($D$2&amp;"!h"&amp;T217),INDIRECT("'"&amp;$D$2&amp;"'"&amp;"!h"&amp;T217))</f>
        <v/>
      </c>
      <c r="H217" s="125" t="str" cm="1">
        <f t="array" aca="1" ref="H217" ca="1">IFERROR(INDIRECT($D$2&amp;"!i"&amp;T217),INDIRECT("'"&amp;$D$2&amp;"'"&amp;"!i"&amp;T217))</f>
        <v/>
      </c>
      <c r="I217" s="113" t="str" cm="1">
        <f t="array" aca="1" ref="I217" ca="1">IFERROR(IF($C217="","",INDIRECT($D$2&amp;"!j"&amp;$T217)+INDIRECT($D$2&amp;"!n"&amp;$T217)),IF($C217="","",INDIRECT("'"&amp;$D$2&amp;"'"&amp;"!j"&amp;$T217)+INDIRECT("'"&amp;$D$2&amp;"'"&amp;"!n"&amp;$T217)))</f>
        <v/>
      </c>
      <c r="J217" s="113" t="str">
        <f t="shared" ca="1" si="9"/>
        <v/>
      </c>
      <c r="K217" s="113" t="str" cm="1">
        <f t="array" aca="1" ref="K217" ca="1">IFERROR(IF($C217="","",INDIRECT($D$2&amp;"!l"&amp;$T217)+INDIRECT($D$2&amp;"!p"&amp;$T217)),IF($C217="","",INDIRECT("'"&amp;$D$2&amp;"'"&amp;"!l"&amp;$T217)+INDIRECT("'"&amp;$D$2&amp;"'"&amp;"!p"&amp;$T217)))</f>
        <v/>
      </c>
      <c r="M217" s="113" t="str" cm="1">
        <f t="array" aca="1" ref="M217" ca="1">IFERROR(IF($C217="","",INDIRECT($D$2&amp;"!r"&amp;T217)),IF($C217="","",INDIRECT("'"&amp;$D$2&amp;"'"&amp;"!r"&amp;T217)))</f>
        <v/>
      </c>
      <c r="N217" s="113" t="str">
        <f t="shared" ca="1" si="10"/>
        <v/>
      </c>
      <c r="O217" s="113" t="str" cm="1">
        <f t="array" aca="1" ref="O217" ca="1">IFERROR(IF($C217="","",INDIRECT($D$2&amp;"!t"&amp;T217)),IF($C217="","",INDIRECT("'"&amp;$D$2&amp;"'"&amp;"!t"&amp;T217)))</f>
        <v/>
      </c>
      <c r="Q217" s="113" t="str" cm="1">
        <f t="array" aca="1" ref="Q217" ca="1">IFERROR(IF($C217="","",INDIRECT($D$2&amp;"!v"&amp;T217)),IF($C217="","",INDIRECT("'"&amp;$D$2&amp;"'"&amp;"!v"&amp;T217)))</f>
        <v/>
      </c>
      <c r="R217" s="113" t="str">
        <f t="shared" ca="1" si="11"/>
        <v/>
      </c>
      <c r="S217" s="113" t="str" cm="1">
        <f t="array" aca="1" ref="S217" ca="1">IFERROR(IF($C217="","",INDIRECT($D$2&amp;"!x"&amp;T217)),IF($C217="","",INDIRECT("'"&amp;$D$2&amp;"'"&amp;"!x"&amp;T217)))</f>
        <v/>
      </c>
      <c r="T217" s="35">
        <v>205</v>
      </c>
      <c r="U217" s="113"/>
      <c r="V217" s="35">
        <v>205</v>
      </c>
    </row>
    <row r="218" spans="3:22" x14ac:dyDescent="0.25">
      <c r="C218" t="str" cm="1">
        <f t="array" aca="1" ref="C218" ca="1">IFERROR(IF(INDIRECT($D$2&amp;"!B"&amp;T218)="","",INDIRECT("'"&amp;$D$2&amp;"'"&amp;"!B"&amp;T218)),IF(INDIRECT("'"&amp;$D$2&amp;"'"&amp;"!B"&amp;T218)="","",INDIRECT("'"&amp;$D$2&amp;"'"&amp;"!B"&amp;T218)))</f>
        <v/>
      </c>
      <c r="D218" t="str" cm="1">
        <f t="array" aca="1" ref="D218" ca="1">IFERROR(_xlfn.IFS(C218="","",C218&lt;&gt;"",INDEX(SF_Output!I:I,MATCH(C218,SF_Output!M:M,0))),IFERROR(INDEX(INDIRECT($D$2&amp;"!G:G"),MATCH(C218,INDIRECT($D$2&amp;"!B:B"),0)),INDEX(INDIRECT("'"&amp;$D$2&amp;"'!G:G"),MATCH(C218,INDIRECT("'"&amp;$D$2&amp;"'!B:B"),0))))</f>
        <v/>
      </c>
      <c r="E218" t="str" cm="1">
        <f t="array" aca="1" ref="E218" ca="1">IFERROR(IF(C218="","",INDIRECT($D$2&amp;"!F"&amp;T218)),IF(C218="","",INDIRECT("'"&amp;$D$2&amp;"'"&amp;"!F"&amp;T218)))</f>
        <v/>
      </c>
      <c r="F218" t="str" cm="1">
        <f t="array" aca="1" ref="F218" ca="1">IFERROR(IF(C218="","",INDIRECT($D$2&amp;"!ak"&amp;T218)),IF(C218="","",INDIRECT("'"&amp;$D$2&amp;"'"&amp;"!ak"&amp;T218)))</f>
        <v/>
      </c>
      <c r="G218" t="str" cm="1">
        <f t="array" aca="1" ref="G218" ca="1">IFERROR(INDIRECT($D$2&amp;"!h"&amp;T218),INDIRECT("'"&amp;$D$2&amp;"'"&amp;"!h"&amp;T218))</f>
        <v/>
      </c>
      <c r="H218" s="125" t="str" cm="1">
        <f t="array" aca="1" ref="H218" ca="1">IFERROR(INDIRECT($D$2&amp;"!i"&amp;T218),INDIRECT("'"&amp;$D$2&amp;"'"&amp;"!i"&amp;T218))</f>
        <v/>
      </c>
      <c r="I218" s="113" t="str" cm="1">
        <f t="array" aca="1" ref="I218" ca="1">IFERROR(IF($C218="","",INDIRECT($D$2&amp;"!j"&amp;$T218)+INDIRECT($D$2&amp;"!n"&amp;$T218)),IF($C218="","",INDIRECT("'"&amp;$D$2&amp;"'"&amp;"!j"&amp;$T218)+INDIRECT("'"&amp;$D$2&amp;"'"&amp;"!n"&amp;$T218)))</f>
        <v/>
      </c>
      <c r="J218" s="113" t="str">
        <f t="shared" ca="1" si="9"/>
        <v/>
      </c>
      <c r="K218" s="113" t="str" cm="1">
        <f t="array" aca="1" ref="K218" ca="1">IFERROR(IF($C218="","",INDIRECT($D$2&amp;"!l"&amp;$T218)+INDIRECT($D$2&amp;"!p"&amp;$T218)),IF($C218="","",INDIRECT("'"&amp;$D$2&amp;"'"&amp;"!l"&amp;$T218)+INDIRECT("'"&amp;$D$2&amp;"'"&amp;"!p"&amp;$T218)))</f>
        <v/>
      </c>
      <c r="M218" s="113" t="str" cm="1">
        <f t="array" aca="1" ref="M218" ca="1">IFERROR(IF($C218="","",INDIRECT($D$2&amp;"!r"&amp;T218)),IF($C218="","",INDIRECT("'"&amp;$D$2&amp;"'"&amp;"!r"&amp;T218)))</f>
        <v/>
      </c>
      <c r="N218" s="113" t="str">
        <f t="shared" ca="1" si="10"/>
        <v/>
      </c>
      <c r="O218" s="113" t="str" cm="1">
        <f t="array" aca="1" ref="O218" ca="1">IFERROR(IF($C218="","",INDIRECT($D$2&amp;"!t"&amp;T218)),IF($C218="","",INDIRECT("'"&amp;$D$2&amp;"'"&amp;"!t"&amp;T218)))</f>
        <v/>
      </c>
      <c r="Q218" s="113" t="str" cm="1">
        <f t="array" aca="1" ref="Q218" ca="1">IFERROR(IF($C218="","",INDIRECT($D$2&amp;"!v"&amp;T218)),IF($C218="","",INDIRECT("'"&amp;$D$2&amp;"'"&amp;"!v"&amp;T218)))</f>
        <v/>
      </c>
      <c r="R218" s="113" t="str">
        <f t="shared" ca="1" si="11"/>
        <v/>
      </c>
      <c r="S218" s="113" t="str" cm="1">
        <f t="array" aca="1" ref="S218" ca="1">IFERROR(IF($C218="","",INDIRECT($D$2&amp;"!x"&amp;T218)),IF($C218="","",INDIRECT("'"&amp;$D$2&amp;"'"&amp;"!x"&amp;T218)))</f>
        <v/>
      </c>
      <c r="T218" s="35">
        <v>206</v>
      </c>
      <c r="U218" s="113"/>
      <c r="V218" s="35">
        <v>206</v>
      </c>
    </row>
    <row r="219" spans="3:22" x14ac:dyDescent="0.25">
      <c r="C219" t="str" cm="1">
        <f t="array" aca="1" ref="C219" ca="1">IFERROR(IF(INDIRECT($D$2&amp;"!B"&amp;T219)="","",INDIRECT("'"&amp;$D$2&amp;"'"&amp;"!B"&amp;T219)),IF(INDIRECT("'"&amp;$D$2&amp;"'"&amp;"!B"&amp;T219)="","",INDIRECT("'"&amp;$D$2&amp;"'"&amp;"!B"&amp;T219)))</f>
        <v/>
      </c>
      <c r="D219" t="str" cm="1">
        <f t="array" aca="1" ref="D219" ca="1">IFERROR(_xlfn.IFS(C219="","",C219&lt;&gt;"",INDEX(SF_Output!I:I,MATCH(C219,SF_Output!M:M,0))),IFERROR(INDEX(INDIRECT($D$2&amp;"!G:G"),MATCH(C219,INDIRECT($D$2&amp;"!B:B"),0)),INDEX(INDIRECT("'"&amp;$D$2&amp;"'!G:G"),MATCH(C219,INDIRECT("'"&amp;$D$2&amp;"'!B:B"),0))))</f>
        <v/>
      </c>
      <c r="E219" t="str" cm="1">
        <f t="array" aca="1" ref="E219" ca="1">IFERROR(IF(C219="","",INDIRECT($D$2&amp;"!F"&amp;T219)),IF(C219="","",INDIRECT("'"&amp;$D$2&amp;"'"&amp;"!F"&amp;T219)))</f>
        <v/>
      </c>
      <c r="F219" t="str" cm="1">
        <f t="array" aca="1" ref="F219" ca="1">IFERROR(IF(C219="","",INDIRECT($D$2&amp;"!ak"&amp;T219)),IF(C219="","",INDIRECT("'"&amp;$D$2&amp;"'"&amp;"!ak"&amp;T219)))</f>
        <v/>
      </c>
      <c r="G219" t="str" cm="1">
        <f t="array" aca="1" ref="G219" ca="1">IFERROR(INDIRECT($D$2&amp;"!h"&amp;T219),INDIRECT("'"&amp;$D$2&amp;"'"&amp;"!h"&amp;T219))</f>
        <v/>
      </c>
      <c r="H219" s="125" t="str" cm="1">
        <f t="array" aca="1" ref="H219" ca="1">IFERROR(INDIRECT($D$2&amp;"!i"&amp;T219),INDIRECT("'"&amp;$D$2&amp;"'"&amp;"!i"&amp;T219))</f>
        <v/>
      </c>
      <c r="I219" s="113" t="str" cm="1">
        <f t="array" aca="1" ref="I219" ca="1">IFERROR(IF($C219="","",INDIRECT($D$2&amp;"!j"&amp;$T219)+INDIRECT($D$2&amp;"!n"&amp;$T219)),IF($C219="","",INDIRECT("'"&amp;$D$2&amp;"'"&amp;"!j"&amp;$T219)+INDIRECT("'"&amp;$D$2&amp;"'"&amp;"!n"&amp;$T219)))</f>
        <v/>
      </c>
      <c r="J219" s="113" t="str">
        <f t="shared" ref="J219:J262" ca="1" si="12">IF(I219="","",K219-I219)</f>
        <v/>
      </c>
      <c r="K219" s="113" t="str" cm="1">
        <f t="array" aca="1" ref="K219" ca="1">IFERROR(IF($C219="","",INDIRECT($D$2&amp;"!l"&amp;$T219)+INDIRECT($D$2&amp;"!p"&amp;$T219)),IF($C219="","",INDIRECT("'"&amp;$D$2&amp;"'"&amp;"!l"&amp;$T219)+INDIRECT("'"&amp;$D$2&amp;"'"&amp;"!p"&amp;$T219)))</f>
        <v/>
      </c>
      <c r="M219" s="113" t="str" cm="1">
        <f t="array" aca="1" ref="M219" ca="1">IFERROR(IF($C219="","",INDIRECT($D$2&amp;"!r"&amp;T219)),IF($C219="","",INDIRECT("'"&amp;$D$2&amp;"'"&amp;"!r"&amp;T219)))</f>
        <v/>
      </c>
      <c r="N219" s="113" t="str">
        <f t="shared" ref="N219:N262" ca="1" si="13">IF(M219="","",O219-M219)</f>
        <v/>
      </c>
      <c r="O219" s="113" t="str" cm="1">
        <f t="array" aca="1" ref="O219" ca="1">IFERROR(IF($C219="","",INDIRECT($D$2&amp;"!t"&amp;T219)),IF($C219="","",INDIRECT("'"&amp;$D$2&amp;"'"&amp;"!t"&amp;T219)))</f>
        <v/>
      </c>
      <c r="Q219" s="113" t="str" cm="1">
        <f t="array" aca="1" ref="Q219" ca="1">IFERROR(IF($C219="","",INDIRECT($D$2&amp;"!v"&amp;T219)),IF($C219="","",INDIRECT("'"&amp;$D$2&amp;"'"&amp;"!v"&amp;T219)))</f>
        <v/>
      </c>
      <c r="R219" s="113" t="str">
        <f t="shared" ref="R219:R262" ca="1" si="14">IF(Q219="","",S219-Q219)</f>
        <v/>
      </c>
      <c r="S219" s="113" t="str" cm="1">
        <f t="array" aca="1" ref="S219" ca="1">IFERROR(IF($C219="","",INDIRECT($D$2&amp;"!x"&amp;T219)),IF($C219="","",INDIRECT("'"&amp;$D$2&amp;"'"&amp;"!x"&amp;T219)))</f>
        <v/>
      </c>
      <c r="T219" s="35">
        <v>207</v>
      </c>
      <c r="U219" s="113"/>
      <c r="V219" s="35">
        <v>207</v>
      </c>
    </row>
    <row r="220" spans="3:22" x14ac:dyDescent="0.25">
      <c r="C220" t="str" cm="1">
        <f t="array" aca="1" ref="C220" ca="1">IFERROR(IF(INDIRECT($D$2&amp;"!B"&amp;T220)="","",INDIRECT("'"&amp;$D$2&amp;"'"&amp;"!B"&amp;T220)),IF(INDIRECT("'"&amp;$D$2&amp;"'"&amp;"!B"&amp;T220)="","",INDIRECT("'"&amp;$D$2&amp;"'"&amp;"!B"&amp;T220)))</f>
        <v/>
      </c>
      <c r="D220" t="str" cm="1">
        <f t="array" aca="1" ref="D220" ca="1">IFERROR(_xlfn.IFS(C220="","",C220&lt;&gt;"",INDEX(SF_Output!I:I,MATCH(C220,SF_Output!M:M,0))),IFERROR(INDEX(INDIRECT($D$2&amp;"!G:G"),MATCH(C220,INDIRECT($D$2&amp;"!B:B"),0)),INDEX(INDIRECT("'"&amp;$D$2&amp;"'!G:G"),MATCH(C220,INDIRECT("'"&amp;$D$2&amp;"'!B:B"),0))))</f>
        <v/>
      </c>
      <c r="E220" t="str" cm="1">
        <f t="array" aca="1" ref="E220" ca="1">IFERROR(IF(C220="","",INDIRECT($D$2&amp;"!F"&amp;T220)),IF(C220="","",INDIRECT("'"&amp;$D$2&amp;"'"&amp;"!F"&amp;T220)))</f>
        <v/>
      </c>
      <c r="F220" t="str" cm="1">
        <f t="array" aca="1" ref="F220" ca="1">IFERROR(IF(C220="","",INDIRECT($D$2&amp;"!ak"&amp;T220)),IF(C220="","",INDIRECT("'"&amp;$D$2&amp;"'"&amp;"!ak"&amp;T220)))</f>
        <v/>
      </c>
      <c r="G220" t="str" cm="1">
        <f t="array" aca="1" ref="G220" ca="1">IFERROR(INDIRECT($D$2&amp;"!h"&amp;T220),INDIRECT("'"&amp;$D$2&amp;"'"&amp;"!h"&amp;T220))</f>
        <v/>
      </c>
      <c r="H220" s="125" t="str" cm="1">
        <f t="array" aca="1" ref="H220" ca="1">IFERROR(INDIRECT($D$2&amp;"!i"&amp;T220),INDIRECT("'"&amp;$D$2&amp;"'"&amp;"!i"&amp;T220))</f>
        <v/>
      </c>
      <c r="I220" s="113" t="str" cm="1">
        <f t="array" aca="1" ref="I220" ca="1">IFERROR(IF($C220="","",INDIRECT($D$2&amp;"!j"&amp;$T220)+INDIRECT($D$2&amp;"!n"&amp;$T220)),IF($C220="","",INDIRECT("'"&amp;$D$2&amp;"'"&amp;"!j"&amp;$T220)+INDIRECT("'"&amp;$D$2&amp;"'"&amp;"!n"&amp;$T220)))</f>
        <v/>
      </c>
      <c r="J220" s="113" t="str">
        <f t="shared" ca="1" si="12"/>
        <v/>
      </c>
      <c r="K220" s="113" t="str" cm="1">
        <f t="array" aca="1" ref="K220" ca="1">IFERROR(IF($C220="","",INDIRECT($D$2&amp;"!l"&amp;$T220)+INDIRECT($D$2&amp;"!p"&amp;$T220)),IF($C220="","",INDIRECT("'"&amp;$D$2&amp;"'"&amp;"!l"&amp;$T220)+INDIRECT("'"&amp;$D$2&amp;"'"&amp;"!p"&amp;$T220)))</f>
        <v/>
      </c>
      <c r="M220" s="113" t="str" cm="1">
        <f t="array" aca="1" ref="M220" ca="1">IFERROR(IF($C220="","",INDIRECT($D$2&amp;"!r"&amp;T220)),IF($C220="","",INDIRECT("'"&amp;$D$2&amp;"'"&amp;"!r"&amp;T220)))</f>
        <v/>
      </c>
      <c r="N220" s="113" t="str">
        <f t="shared" ca="1" si="13"/>
        <v/>
      </c>
      <c r="O220" s="113" t="str" cm="1">
        <f t="array" aca="1" ref="O220" ca="1">IFERROR(IF($C220="","",INDIRECT($D$2&amp;"!t"&amp;T220)),IF($C220="","",INDIRECT("'"&amp;$D$2&amp;"'"&amp;"!t"&amp;T220)))</f>
        <v/>
      </c>
      <c r="Q220" s="113" t="str" cm="1">
        <f t="array" aca="1" ref="Q220" ca="1">IFERROR(IF($C220="","",INDIRECT($D$2&amp;"!v"&amp;T220)),IF($C220="","",INDIRECT("'"&amp;$D$2&amp;"'"&amp;"!v"&amp;T220)))</f>
        <v/>
      </c>
      <c r="R220" s="113" t="str">
        <f t="shared" ca="1" si="14"/>
        <v/>
      </c>
      <c r="S220" s="113" t="str" cm="1">
        <f t="array" aca="1" ref="S220" ca="1">IFERROR(IF($C220="","",INDIRECT($D$2&amp;"!x"&amp;T220)),IF($C220="","",INDIRECT("'"&amp;$D$2&amp;"'"&amp;"!x"&amp;T220)))</f>
        <v/>
      </c>
      <c r="T220" s="35">
        <v>208</v>
      </c>
      <c r="U220" s="113"/>
      <c r="V220" s="35">
        <v>208</v>
      </c>
    </row>
    <row r="221" spans="3:22" x14ac:dyDescent="0.25">
      <c r="C221" t="str" cm="1">
        <f t="array" aca="1" ref="C221" ca="1">IFERROR(IF(INDIRECT($D$2&amp;"!B"&amp;T221)="","",INDIRECT("'"&amp;$D$2&amp;"'"&amp;"!B"&amp;T221)),IF(INDIRECT("'"&amp;$D$2&amp;"'"&amp;"!B"&amp;T221)="","",INDIRECT("'"&amp;$D$2&amp;"'"&amp;"!B"&amp;T221)))</f>
        <v/>
      </c>
      <c r="D221" t="str" cm="1">
        <f t="array" aca="1" ref="D221" ca="1">IFERROR(_xlfn.IFS(C221="","",C221&lt;&gt;"",INDEX(SF_Output!I:I,MATCH(C221,SF_Output!M:M,0))),IFERROR(INDEX(INDIRECT($D$2&amp;"!G:G"),MATCH(C221,INDIRECT($D$2&amp;"!B:B"),0)),INDEX(INDIRECT("'"&amp;$D$2&amp;"'!G:G"),MATCH(C221,INDIRECT("'"&amp;$D$2&amp;"'!B:B"),0))))</f>
        <v/>
      </c>
      <c r="E221" t="str" cm="1">
        <f t="array" aca="1" ref="E221" ca="1">IFERROR(IF(C221="","",INDIRECT($D$2&amp;"!F"&amp;T221)),IF(C221="","",INDIRECT("'"&amp;$D$2&amp;"'"&amp;"!F"&amp;T221)))</f>
        <v/>
      </c>
      <c r="F221" t="str" cm="1">
        <f t="array" aca="1" ref="F221" ca="1">IFERROR(IF(C221="","",INDIRECT($D$2&amp;"!ak"&amp;T221)),IF(C221="","",INDIRECT("'"&amp;$D$2&amp;"'"&amp;"!ak"&amp;T221)))</f>
        <v/>
      </c>
      <c r="G221" t="str" cm="1">
        <f t="array" aca="1" ref="G221" ca="1">IFERROR(INDIRECT($D$2&amp;"!h"&amp;T221),INDIRECT("'"&amp;$D$2&amp;"'"&amp;"!h"&amp;T221))</f>
        <v/>
      </c>
      <c r="H221" s="125" t="str" cm="1">
        <f t="array" aca="1" ref="H221" ca="1">IFERROR(INDIRECT($D$2&amp;"!i"&amp;T221),INDIRECT("'"&amp;$D$2&amp;"'"&amp;"!i"&amp;T221))</f>
        <v/>
      </c>
      <c r="I221" s="113" t="str" cm="1">
        <f t="array" aca="1" ref="I221" ca="1">IFERROR(IF($C221="","",INDIRECT($D$2&amp;"!j"&amp;$T221)+INDIRECT($D$2&amp;"!n"&amp;$T221)),IF($C221="","",INDIRECT("'"&amp;$D$2&amp;"'"&amp;"!j"&amp;$T221)+INDIRECT("'"&amp;$D$2&amp;"'"&amp;"!n"&amp;$T221)))</f>
        <v/>
      </c>
      <c r="J221" s="113" t="str">
        <f t="shared" ca="1" si="12"/>
        <v/>
      </c>
      <c r="K221" s="113" t="str" cm="1">
        <f t="array" aca="1" ref="K221" ca="1">IFERROR(IF($C221="","",INDIRECT($D$2&amp;"!l"&amp;$T221)+INDIRECT($D$2&amp;"!p"&amp;$T221)),IF($C221="","",INDIRECT("'"&amp;$D$2&amp;"'"&amp;"!l"&amp;$T221)+INDIRECT("'"&amp;$D$2&amp;"'"&amp;"!p"&amp;$T221)))</f>
        <v/>
      </c>
      <c r="M221" s="113" t="str" cm="1">
        <f t="array" aca="1" ref="M221" ca="1">IFERROR(IF($C221="","",INDIRECT($D$2&amp;"!r"&amp;T221)),IF($C221="","",INDIRECT("'"&amp;$D$2&amp;"'"&amp;"!r"&amp;T221)))</f>
        <v/>
      </c>
      <c r="N221" s="113" t="str">
        <f t="shared" ca="1" si="13"/>
        <v/>
      </c>
      <c r="O221" s="113" t="str" cm="1">
        <f t="array" aca="1" ref="O221" ca="1">IFERROR(IF($C221="","",INDIRECT($D$2&amp;"!t"&amp;T221)),IF($C221="","",INDIRECT("'"&amp;$D$2&amp;"'"&amp;"!t"&amp;T221)))</f>
        <v/>
      </c>
      <c r="Q221" s="113" t="str" cm="1">
        <f t="array" aca="1" ref="Q221" ca="1">IFERROR(IF($C221="","",INDIRECT($D$2&amp;"!v"&amp;T221)),IF($C221="","",INDIRECT("'"&amp;$D$2&amp;"'"&amp;"!v"&amp;T221)))</f>
        <v/>
      </c>
      <c r="R221" s="113" t="str">
        <f t="shared" ca="1" si="14"/>
        <v/>
      </c>
      <c r="S221" s="113" t="str" cm="1">
        <f t="array" aca="1" ref="S221" ca="1">IFERROR(IF($C221="","",INDIRECT($D$2&amp;"!x"&amp;T221)),IF($C221="","",INDIRECT("'"&amp;$D$2&amp;"'"&amp;"!x"&amp;T221)))</f>
        <v/>
      </c>
      <c r="T221" s="35">
        <v>209</v>
      </c>
      <c r="U221" s="113"/>
      <c r="V221" s="35">
        <v>209</v>
      </c>
    </row>
    <row r="222" spans="3:22" x14ac:dyDescent="0.25">
      <c r="C222" t="str" cm="1">
        <f t="array" aca="1" ref="C222" ca="1">IFERROR(IF(INDIRECT($D$2&amp;"!B"&amp;T222)="","",INDIRECT("'"&amp;$D$2&amp;"'"&amp;"!B"&amp;T222)),IF(INDIRECT("'"&amp;$D$2&amp;"'"&amp;"!B"&amp;T222)="","",INDIRECT("'"&amp;$D$2&amp;"'"&amp;"!B"&amp;T222)))</f>
        <v/>
      </c>
      <c r="D222" t="str" cm="1">
        <f t="array" aca="1" ref="D222" ca="1">IFERROR(_xlfn.IFS(C222="","",C222&lt;&gt;"",INDEX(SF_Output!I:I,MATCH(C222,SF_Output!M:M,0))),IFERROR(INDEX(INDIRECT($D$2&amp;"!G:G"),MATCH(C222,INDIRECT($D$2&amp;"!B:B"),0)),INDEX(INDIRECT("'"&amp;$D$2&amp;"'!G:G"),MATCH(C222,INDIRECT("'"&amp;$D$2&amp;"'!B:B"),0))))</f>
        <v/>
      </c>
      <c r="E222" t="str" cm="1">
        <f t="array" aca="1" ref="E222" ca="1">IFERROR(IF(C222="","",INDIRECT($D$2&amp;"!F"&amp;T222)),IF(C222="","",INDIRECT("'"&amp;$D$2&amp;"'"&amp;"!F"&amp;T222)))</f>
        <v/>
      </c>
      <c r="F222" t="str" cm="1">
        <f t="array" aca="1" ref="F222" ca="1">IFERROR(IF(C222="","",INDIRECT($D$2&amp;"!ak"&amp;T222)),IF(C222="","",INDIRECT("'"&amp;$D$2&amp;"'"&amp;"!ak"&amp;T222)))</f>
        <v/>
      </c>
      <c r="G222" t="str" cm="1">
        <f t="array" aca="1" ref="G222" ca="1">IFERROR(INDIRECT($D$2&amp;"!h"&amp;T222),INDIRECT("'"&amp;$D$2&amp;"'"&amp;"!h"&amp;T222))</f>
        <v/>
      </c>
      <c r="H222" s="125" t="str" cm="1">
        <f t="array" aca="1" ref="H222" ca="1">IFERROR(INDIRECT($D$2&amp;"!i"&amp;T222),INDIRECT("'"&amp;$D$2&amp;"'"&amp;"!i"&amp;T222))</f>
        <v/>
      </c>
      <c r="I222" s="113" t="str" cm="1">
        <f t="array" aca="1" ref="I222" ca="1">IFERROR(IF($C222="","",INDIRECT($D$2&amp;"!j"&amp;$T222)+INDIRECT($D$2&amp;"!n"&amp;$T222)),IF($C222="","",INDIRECT("'"&amp;$D$2&amp;"'"&amp;"!j"&amp;$T222)+INDIRECT("'"&amp;$D$2&amp;"'"&amp;"!n"&amp;$T222)))</f>
        <v/>
      </c>
      <c r="J222" s="113" t="str">
        <f t="shared" ca="1" si="12"/>
        <v/>
      </c>
      <c r="K222" s="113" t="str" cm="1">
        <f t="array" aca="1" ref="K222" ca="1">IFERROR(IF($C222="","",INDIRECT($D$2&amp;"!l"&amp;$T222)+INDIRECT($D$2&amp;"!p"&amp;$T222)),IF($C222="","",INDIRECT("'"&amp;$D$2&amp;"'"&amp;"!l"&amp;$T222)+INDIRECT("'"&amp;$D$2&amp;"'"&amp;"!p"&amp;$T222)))</f>
        <v/>
      </c>
      <c r="M222" s="113" t="str" cm="1">
        <f t="array" aca="1" ref="M222" ca="1">IFERROR(IF($C222="","",INDIRECT($D$2&amp;"!r"&amp;T222)),IF($C222="","",INDIRECT("'"&amp;$D$2&amp;"'"&amp;"!r"&amp;T222)))</f>
        <v/>
      </c>
      <c r="N222" s="113" t="str">
        <f t="shared" ca="1" si="13"/>
        <v/>
      </c>
      <c r="O222" s="113" t="str" cm="1">
        <f t="array" aca="1" ref="O222" ca="1">IFERROR(IF($C222="","",INDIRECT($D$2&amp;"!t"&amp;T222)),IF($C222="","",INDIRECT("'"&amp;$D$2&amp;"'"&amp;"!t"&amp;T222)))</f>
        <v/>
      </c>
      <c r="Q222" s="113" t="str" cm="1">
        <f t="array" aca="1" ref="Q222" ca="1">IFERROR(IF($C222="","",INDIRECT($D$2&amp;"!v"&amp;T222)),IF($C222="","",INDIRECT("'"&amp;$D$2&amp;"'"&amp;"!v"&amp;T222)))</f>
        <v/>
      </c>
      <c r="R222" s="113" t="str">
        <f t="shared" ca="1" si="14"/>
        <v/>
      </c>
      <c r="S222" s="113" t="str" cm="1">
        <f t="array" aca="1" ref="S222" ca="1">IFERROR(IF($C222="","",INDIRECT($D$2&amp;"!x"&amp;T222)),IF($C222="","",INDIRECT("'"&amp;$D$2&amp;"'"&amp;"!x"&amp;T222)))</f>
        <v/>
      </c>
      <c r="T222" s="35">
        <v>210</v>
      </c>
      <c r="U222" s="113"/>
      <c r="V222" s="35">
        <v>210</v>
      </c>
    </row>
    <row r="223" spans="3:22" x14ac:dyDescent="0.25">
      <c r="C223" t="str" cm="1">
        <f t="array" aca="1" ref="C223" ca="1">IFERROR(IF(INDIRECT($D$2&amp;"!B"&amp;T223)="","",INDIRECT("'"&amp;$D$2&amp;"'"&amp;"!B"&amp;T223)),IF(INDIRECT("'"&amp;$D$2&amp;"'"&amp;"!B"&amp;T223)="","",INDIRECT("'"&amp;$D$2&amp;"'"&amp;"!B"&amp;T223)))</f>
        <v/>
      </c>
      <c r="D223" t="str" cm="1">
        <f t="array" aca="1" ref="D223" ca="1">IFERROR(_xlfn.IFS(C223="","",C223&lt;&gt;"",INDEX(SF_Output!I:I,MATCH(C223,SF_Output!M:M,0))),IFERROR(INDEX(INDIRECT($D$2&amp;"!G:G"),MATCH(C223,INDIRECT($D$2&amp;"!B:B"),0)),INDEX(INDIRECT("'"&amp;$D$2&amp;"'!G:G"),MATCH(C223,INDIRECT("'"&amp;$D$2&amp;"'!B:B"),0))))</f>
        <v/>
      </c>
      <c r="E223" t="str" cm="1">
        <f t="array" aca="1" ref="E223" ca="1">IFERROR(IF(C223="","",INDIRECT($D$2&amp;"!F"&amp;T223)),IF(C223="","",INDIRECT("'"&amp;$D$2&amp;"'"&amp;"!F"&amp;T223)))</f>
        <v/>
      </c>
      <c r="F223" t="str" cm="1">
        <f t="array" aca="1" ref="F223" ca="1">IFERROR(IF(C223="","",INDIRECT($D$2&amp;"!ak"&amp;T223)),IF(C223="","",INDIRECT("'"&amp;$D$2&amp;"'"&amp;"!ak"&amp;T223)))</f>
        <v/>
      </c>
      <c r="G223" t="str" cm="1">
        <f t="array" aca="1" ref="G223" ca="1">IFERROR(INDIRECT($D$2&amp;"!h"&amp;T223),INDIRECT("'"&amp;$D$2&amp;"'"&amp;"!h"&amp;T223))</f>
        <v/>
      </c>
      <c r="H223" s="125" t="str" cm="1">
        <f t="array" aca="1" ref="H223" ca="1">IFERROR(INDIRECT($D$2&amp;"!i"&amp;T223),INDIRECT("'"&amp;$D$2&amp;"'"&amp;"!i"&amp;T223))</f>
        <v/>
      </c>
      <c r="I223" s="113" t="str" cm="1">
        <f t="array" aca="1" ref="I223" ca="1">IFERROR(IF($C223="","",INDIRECT($D$2&amp;"!j"&amp;$T223)+INDIRECT($D$2&amp;"!n"&amp;$T223)),IF($C223="","",INDIRECT("'"&amp;$D$2&amp;"'"&amp;"!j"&amp;$T223)+INDIRECT("'"&amp;$D$2&amp;"'"&amp;"!n"&amp;$T223)))</f>
        <v/>
      </c>
      <c r="J223" s="113" t="str">
        <f t="shared" ca="1" si="12"/>
        <v/>
      </c>
      <c r="K223" s="113" t="str" cm="1">
        <f t="array" aca="1" ref="K223" ca="1">IFERROR(IF($C223="","",INDIRECT($D$2&amp;"!l"&amp;$T223)+INDIRECT($D$2&amp;"!p"&amp;$T223)),IF($C223="","",INDIRECT("'"&amp;$D$2&amp;"'"&amp;"!l"&amp;$T223)+INDIRECT("'"&amp;$D$2&amp;"'"&amp;"!p"&amp;$T223)))</f>
        <v/>
      </c>
      <c r="M223" s="113" t="str" cm="1">
        <f t="array" aca="1" ref="M223" ca="1">IFERROR(IF($C223="","",INDIRECT($D$2&amp;"!r"&amp;T223)),IF($C223="","",INDIRECT("'"&amp;$D$2&amp;"'"&amp;"!r"&amp;T223)))</f>
        <v/>
      </c>
      <c r="N223" s="113" t="str">
        <f t="shared" ca="1" si="13"/>
        <v/>
      </c>
      <c r="O223" s="113" t="str" cm="1">
        <f t="array" aca="1" ref="O223" ca="1">IFERROR(IF($C223="","",INDIRECT($D$2&amp;"!t"&amp;T223)),IF($C223="","",INDIRECT("'"&amp;$D$2&amp;"'"&amp;"!t"&amp;T223)))</f>
        <v/>
      </c>
      <c r="Q223" s="113" t="str" cm="1">
        <f t="array" aca="1" ref="Q223" ca="1">IFERROR(IF($C223="","",INDIRECT($D$2&amp;"!v"&amp;T223)),IF($C223="","",INDIRECT("'"&amp;$D$2&amp;"'"&amp;"!v"&amp;T223)))</f>
        <v/>
      </c>
      <c r="R223" s="113" t="str">
        <f t="shared" ca="1" si="14"/>
        <v/>
      </c>
      <c r="S223" s="113" t="str" cm="1">
        <f t="array" aca="1" ref="S223" ca="1">IFERROR(IF($C223="","",INDIRECT($D$2&amp;"!x"&amp;T223)),IF($C223="","",INDIRECT("'"&amp;$D$2&amp;"'"&amp;"!x"&amp;T223)))</f>
        <v/>
      </c>
      <c r="T223" s="35">
        <v>211</v>
      </c>
      <c r="U223" s="113"/>
      <c r="V223" s="35">
        <v>211</v>
      </c>
    </row>
    <row r="224" spans="3:22" x14ac:dyDescent="0.25">
      <c r="C224" t="str" cm="1">
        <f t="array" aca="1" ref="C224" ca="1">IFERROR(IF(INDIRECT($D$2&amp;"!B"&amp;T224)="","",INDIRECT("'"&amp;$D$2&amp;"'"&amp;"!B"&amp;T224)),IF(INDIRECT("'"&amp;$D$2&amp;"'"&amp;"!B"&amp;T224)="","",INDIRECT("'"&amp;$D$2&amp;"'"&amp;"!B"&amp;T224)))</f>
        <v/>
      </c>
      <c r="D224" t="str" cm="1">
        <f t="array" aca="1" ref="D224" ca="1">IFERROR(_xlfn.IFS(C224="","",C224&lt;&gt;"",INDEX(SF_Output!I:I,MATCH(C224,SF_Output!M:M,0))),IFERROR(INDEX(INDIRECT($D$2&amp;"!G:G"),MATCH(C224,INDIRECT($D$2&amp;"!B:B"),0)),INDEX(INDIRECT("'"&amp;$D$2&amp;"'!G:G"),MATCH(C224,INDIRECT("'"&amp;$D$2&amp;"'!B:B"),0))))</f>
        <v/>
      </c>
      <c r="E224" t="str" cm="1">
        <f t="array" aca="1" ref="E224" ca="1">IFERROR(IF(C224="","",INDIRECT($D$2&amp;"!F"&amp;T224)),IF(C224="","",INDIRECT("'"&amp;$D$2&amp;"'"&amp;"!F"&amp;T224)))</f>
        <v/>
      </c>
      <c r="F224" t="str" cm="1">
        <f t="array" aca="1" ref="F224" ca="1">IFERROR(IF(C224="","",INDIRECT($D$2&amp;"!ak"&amp;T224)),IF(C224="","",INDIRECT("'"&amp;$D$2&amp;"'"&amp;"!ak"&amp;T224)))</f>
        <v/>
      </c>
      <c r="G224" t="str" cm="1">
        <f t="array" aca="1" ref="G224" ca="1">IFERROR(INDIRECT($D$2&amp;"!h"&amp;T224),INDIRECT("'"&amp;$D$2&amp;"'"&amp;"!h"&amp;T224))</f>
        <v/>
      </c>
      <c r="H224" s="125" t="str" cm="1">
        <f t="array" aca="1" ref="H224" ca="1">IFERROR(INDIRECT($D$2&amp;"!i"&amp;T224),INDIRECT("'"&amp;$D$2&amp;"'"&amp;"!i"&amp;T224))</f>
        <v/>
      </c>
      <c r="I224" s="113" t="str" cm="1">
        <f t="array" aca="1" ref="I224" ca="1">IFERROR(IF($C224="","",INDIRECT($D$2&amp;"!j"&amp;$T224)+INDIRECT($D$2&amp;"!n"&amp;$T224)),IF($C224="","",INDIRECT("'"&amp;$D$2&amp;"'"&amp;"!j"&amp;$T224)+INDIRECT("'"&amp;$D$2&amp;"'"&amp;"!n"&amp;$T224)))</f>
        <v/>
      </c>
      <c r="J224" s="113" t="str">
        <f t="shared" ca="1" si="12"/>
        <v/>
      </c>
      <c r="K224" s="113" t="str" cm="1">
        <f t="array" aca="1" ref="K224" ca="1">IFERROR(IF($C224="","",INDIRECT($D$2&amp;"!l"&amp;$T224)+INDIRECT($D$2&amp;"!p"&amp;$T224)),IF($C224="","",INDIRECT("'"&amp;$D$2&amp;"'"&amp;"!l"&amp;$T224)+INDIRECT("'"&amp;$D$2&amp;"'"&amp;"!p"&amp;$T224)))</f>
        <v/>
      </c>
      <c r="M224" s="113" t="str" cm="1">
        <f t="array" aca="1" ref="M224" ca="1">IFERROR(IF($C224="","",INDIRECT($D$2&amp;"!r"&amp;T224)),IF($C224="","",INDIRECT("'"&amp;$D$2&amp;"'"&amp;"!r"&amp;T224)))</f>
        <v/>
      </c>
      <c r="N224" s="113" t="str">
        <f t="shared" ca="1" si="13"/>
        <v/>
      </c>
      <c r="O224" s="113" t="str" cm="1">
        <f t="array" aca="1" ref="O224" ca="1">IFERROR(IF($C224="","",INDIRECT($D$2&amp;"!t"&amp;T224)),IF($C224="","",INDIRECT("'"&amp;$D$2&amp;"'"&amp;"!t"&amp;T224)))</f>
        <v/>
      </c>
      <c r="Q224" s="113" t="str" cm="1">
        <f t="array" aca="1" ref="Q224" ca="1">IFERROR(IF($C224="","",INDIRECT($D$2&amp;"!v"&amp;T224)),IF($C224="","",INDIRECT("'"&amp;$D$2&amp;"'"&amp;"!v"&amp;T224)))</f>
        <v/>
      </c>
      <c r="R224" s="113" t="str">
        <f t="shared" ca="1" si="14"/>
        <v/>
      </c>
      <c r="S224" s="113" t="str" cm="1">
        <f t="array" aca="1" ref="S224" ca="1">IFERROR(IF($C224="","",INDIRECT($D$2&amp;"!x"&amp;T224)),IF($C224="","",INDIRECT("'"&amp;$D$2&amp;"'"&amp;"!x"&amp;T224)))</f>
        <v/>
      </c>
      <c r="T224" s="35">
        <v>212</v>
      </c>
      <c r="U224" s="113"/>
      <c r="V224" s="35">
        <v>212</v>
      </c>
    </row>
    <row r="225" spans="3:22" x14ac:dyDescent="0.25">
      <c r="C225" t="str" cm="1">
        <f t="array" aca="1" ref="C225" ca="1">IFERROR(IF(INDIRECT($D$2&amp;"!B"&amp;T225)="","",INDIRECT("'"&amp;$D$2&amp;"'"&amp;"!B"&amp;T225)),IF(INDIRECT("'"&amp;$D$2&amp;"'"&amp;"!B"&amp;T225)="","",INDIRECT("'"&amp;$D$2&amp;"'"&amp;"!B"&amp;T225)))</f>
        <v/>
      </c>
      <c r="D225" t="str" cm="1">
        <f t="array" aca="1" ref="D225" ca="1">IFERROR(_xlfn.IFS(C225="","",C225&lt;&gt;"",INDEX(SF_Output!I:I,MATCH(C225,SF_Output!M:M,0))),IFERROR(INDEX(INDIRECT($D$2&amp;"!G:G"),MATCH(C225,INDIRECT($D$2&amp;"!B:B"),0)),INDEX(INDIRECT("'"&amp;$D$2&amp;"'!G:G"),MATCH(C225,INDIRECT("'"&amp;$D$2&amp;"'!B:B"),0))))</f>
        <v/>
      </c>
      <c r="E225" t="str" cm="1">
        <f t="array" aca="1" ref="E225" ca="1">IFERROR(IF(C225="","",INDIRECT($D$2&amp;"!F"&amp;T225)),IF(C225="","",INDIRECT("'"&amp;$D$2&amp;"'"&amp;"!F"&amp;T225)))</f>
        <v/>
      </c>
      <c r="F225" t="str" cm="1">
        <f t="array" aca="1" ref="F225" ca="1">IFERROR(IF(C225="","",INDIRECT($D$2&amp;"!ak"&amp;T225)),IF(C225="","",INDIRECT("'"&amp;$D$2&amp;"'"&amp;"!ak"&amp;T225)))</f>
        <v/>
      </c>
      <c r="G225" t="str" cm="1">
        <f t="array" aca="1" ref="G225" ca="1">IFERROR(INDIRECT($D$2&amp;"!h"&amp;T225),INDIRECT("'"&amp;$D$2&amp;"'"&amp;"!h"&amp;T225))</f>
        <v/>
      </c>
      <c r="H225" s="125" t="str" cm="1">
        <f t="array" aca="1" ref="H225" ca="1">IFERROR(INDIRECT($D$2&amp;"!i"&amp;T225),INDIRECT("'"&amp;$D$2&amp;"'"&amp;"!i"&amp;T225))</f>
        <v/>
      </c>
      <c r="I225" s="113" t="str" cm="1">
        <f t="array" aca="1" ref="I225" ca="1">IFERROR(IF($C225="","",INDIRECT($D$2&amp;"!j"&amp;$T225)+INDIRECT($D$2&amp;"!n"&amp;$T225)),IF($C225="","",INDIRECT("'"&amp;$D$2&amp;"'"&amp;"!j"&amp;$T225)+INDIRECT("'"&amp;$D$2&amp;"'"&amp;"!n"&amp;$T225)))</f>
        <v/>
      </c>
      <c r="J225" s="113" t="str">
        <f t="shared" ca="1" si="12"/>
        <v/>
      </c>
      <c r="K225" s="113" t="str" cm="1">
        <f t="array" aca="1" ref="K225" ca="1">IFERROR(IF($C225="","",INDIRECT($D$2&amp;"!l"&amp;$T225)+INDIRECT($D$2&amp;"!p"&amp;$T225)),IF($C225="","",INDIRECT("'"&amp;$D$2&amp;"'"&amp;"!l"&amp;$T225)+INDIRECT("'"&amp;$D$2&amp;"'"&amp;"!p"&amp;$T225)))</f>
        <v/>
      </c>
      <c r="M225" s="113" t="str" cm="1">
        <f t="array" aca="1" ref="M225" ca="1">IFERROR(IF($C225="","",INDIRECT($D$2&amp;"!r"&amp;T225)),IF($C225="","",INDIRECT("'"&amp;$D$2&amp;"'"&amp;"!r"&amp;T225)))</f>
        <v/>
      </c>
      <c r="N225" s="113" t="str">
        <f t="shared" ca="1" si="13"/>
        <v/>
      </c>
      <c r="O225" s="113" t="str" cm="1">
        <f t="array" aca="1" ref="O225" ca="1">IFERROR(IF($C225="","",INDIRECT($D$2&amp;"!t"&amp;T225)),IF($C225="","",INDIRECT("'"&amp;$D$2&amp;"'"&amp;"!t"&amp;T225)))</f>
        <v/>
      </c>
      <c r="Q225" s="113" t="str" cm="1">
        <f t="array" aca="1" ref="Q225" ca="1">IFERROR(IF($C225="","",INDIRECT($D$2&amp;"!v"&amp;T225)),IF($C225="","",INDIRECT("'"&amp;$D$2&amp;"'"&amp;"!v"&amp;T225)))</f>
        <v/>
      </c>
      <c r="R225" s="113" t="str">
        <f t="shared" ca="1" si="14"/>
        <v/>
      </c>
      <c r="S225" s="113" t="str" cm="1">
        <f t="array" aca="1" ref="S225" ca="1">IFERROR(IF($C225="","",INDIRECT($D$2&amp;"!x"&amp;T225)),IF($C225="","",INDIRECT("'"&amp;$D$2&amp;"'"&amp;"!x"&amp;T225)))</f>
        <v/>
      </c>
      <c r="T225" s="35">
        <v>213</v>
      </c>
      <c r="U225" s="113"/>
      <c r="V225" s="35">
        <v>213</v>
      </c>
    </row>
    <row r="226" spans="3:22" x14ac:dyDescent="0.25">
      <c r="C226" t="str" cm="1">
        <f t="array" aca="1" ref="C226" ca="1">IFERROR(IF(INDIRECT($D$2&amp;"!B"&amp;T226)="","",INDIRECT("'"&amp;$D$2&amp;"'"&amp;"!B"&amp;T226)),IF(INDIRECT("'"&amp;$D$2&amp;"'"&amp;"!B"&amp;T226)="","",INDIRECT("'"&amp;$D$2&amp;"'"&amp;"!B"&amp;T226)))</f>
        <v/>
      </c>
      <c r="D226" t="str" cm="1">
        <f t="array" aca="1" ref="D226" ca="1">IFERROR(_xlfn.IFS(C226="","",C226&lt;&gt;"",INDEX(SF_Output!I:I,MATCH(C226,SF_Output!M:M,0))),IFERROR(INDEX(INDIRECT($D$2&amp;"!G:G"),MATCH(C226,INDIRECT($D$2&amp;"!B:B"),0)),INDEX(INDIRECT("'"&amp;$D$2&amp;"'!G:G"),MATCH(C226,INDIRECT("'"&amp;$D$2&amp;"'!B:B"),0))))</f>
        <v/>
      </c>
      <c r="E226" t="str" cm="1">
        <f t="array" aca="1" ref="E226" ca="1">IFERROR(IF(C226="","",INDIRECT($D$2&amp;"!F"&amp;T226)),IF(C226="","",INDIRECT("'"&amp;$D$2&amp;"'"&amp;"!F"&amp;T226)))</f>
        <v/>
      </c>
      <c r="F226" t="str" cm="1">
        <f t="array" aca="1" ref="F226" ca="1">IFERROR(IF(C226="","",INDIRECT($D$2&amp;"!ak"&amp;T226)),IF(C226="","",INDIRECT("'"&amp;$D$2&amp;"'"&amp;"!ak"&amp;T226)))</f>
        <v/>
      </c>
      <c r="G226" t="str" cm="1">
        <f t="array" aca="1" ref="G226" ca="1">IFERROR(INDIRECT($D$2&amp;"!h"&amp;T226),INDIRECT("'"&amp;$D$2&amp;"'"&amp;"!h"&amp;T226))</f>
        <v/>
      </c>
      <c r="H226" s="125" t="str" cm="1">
        <f t="array" aca="1" ref="H226" ca="1">IFERROR(INDIRECT($D$2&amp;"!i"&amp;T226),INDIRECT("'"&amp;$D$2&amp;"'"&amp;"!i"&amp;T226))</f>
        <v/>
      </c>
      <c r="I226" s="113" t="str" cm="1">
        <f t="array" aca="1" ref="I226" ca="1">IFERROR(IF($C226="","",INDIRECT($D$2&amp;"!j"&amp;$T226)+INDIRECT($D$2&amp;"!n"&amp;$T226)),IF($C226="","",INDIRECT("'"&amp;$D$2&amp;"'"&amp;"!j"&amp;$T226)+INDIRECT("'"&amp;$D$2&amp;"'"&amp;"!n"&amp;$T226)))</f>
        <v/>
      </c>
      <c r="J226" s="113" t="str">
        <f t="shared" ca="1" si="12"/>
        <v/>
      </c>
      <c r="K226" s="113" t="str" cm="1">
        <f t="array" aca="1" ref="K226" ca="1">IFERROR(IF($C226="","",INDIRECT($D$2&amp;"!l"&amp;$T226)+INDIRECT($D$2&amp;"!p"&amp;$T226)),IF($C226="","",INDIRECT("'"&amp;$D$2&amp;"'"&amp;"!l"&amp;$T226)+INDIRECT("'"&amp;$D$2&amp;"'"&amp;"!p"&amp;$T226)))</f>
        <v/>
      </c>
      <c r="M226" s="113" t="str" cm="1">
        <f t="array" aca="1" ref="M226" ca="1">IFERROR(IF($C226="","",INDIRECT($D$2&amp;"!r"&amp;T226)),IF($C226="","",INDIRECT("'"&amp;$D$2&amp;"'"&amp;"!r"&amp;T226)))</f>
        <v/>
      </c>
      <c r="N226" s="113" t="str">
        <f t="shared" ca="1" si="13"/>
        <v/>
      </c>
      <c r="O226" s="113" t="str" cm="1">
        <f t="array" aca="1" ref="O226" ca="1">IFERROR(IF($C226="","",INDIRECT($D$2&amp;"!t"&amp;T226)),IF($C226="","",INDIRECT("'"&amp;$D$2&amp;"'"&amp;"!t"&amp;T226)))</f>
        <v/>
      </c>
      <c r="Q226" s="113" t="str" cm="1">
        <f t="array" aca="1" ref="Q226" ca="1">IFERROR(IF($C226="","",INDIRECT($D$2&amp;"!v"&amp;T226)),IF($C226="","",INDIRECT("'"&amp;$D$2&amp;"'"&amp;"!v"&amp;T226)))</f>
        <v/>
      </c>
      <c r="R226" s="113" t="str">
        <f t="shared" ca="1" si="14"/>
        <v/>
      </c>
      <c r="S226" s="113" t="str" cm="1">
        <f t="array" aca="1" ref="S226" ca="1">IFERROR(IF($C226="","",INDIRECT($D$2&amp;"!x"&amp;T226)),IF($C226="","",INDIRECT("'"&amp;$D$2&amp;"'"&amp;"!x"&amp;T226)))</f>
        <v/>
      </c>
      <c r="T226" s="35">
        <v>214</v>
      </c>
      <c r="U226" s="113"/>
      <c r="V226" s="35">
        <v>214</v>
      </c>
    </row>
    <row r="227" spans="3:22" x14ac:dyDescent="0.25">
      <c r="C227" t="str" cm="1">
        <f t="array" aca="1" ref="C227" ca="1">IFERROR(IF(INDIRECT($D$2&amp;"!B"&amp;T227)="","",INDIRECT("'"&amp;$D$2&amp;"'"&amp;"!B"&amp;T227)),IF(INDIRECT("'"&amp;$D$2&amp;"'"&amp;"!B"&amp;T227)="","",INDIRECT("'"&amp;$D$2&amp;"'"&amp;"!B"&amp;T227)))</f>
        <v/>
      </c>
      <c r="D227" t="str" cm="1">
        <f t="array" aca="1" ref="D227" ca="1">IFERROR(_xlfn.IFS(C227="","",C227&lt;&gt;"",INDEX(SF_Output!I:I,MATCH(C227,SF_Output!M:M,0))),IFERROR(INDEX(INDIRECT($D$2&amp;"!G:G"),MATCH(C227,INDIRECT($D$2&amp;"!B:B"),0)),INDEX(INDIRECT("'"&amp;$D$2&amp;"'!G:G"),MATCH(C227,INDIRECT("'"&amp;$D$2&amp;"'!B:B"),0))))</f>
        <v/>
      </c>
      <c r="E227" t="str" cm="1">
        <f t="array" aca="1" ref="E227" ca="1">IFERROR(IF(C227="","",INDIRECT($D$2&amp;"!F"&amp;T227)),IF(C227="","",INDIRECT("'"&amp;$D$2&amp;"'"&amp;"!F"&amp;T227)))</f>
        <v/>
      </c>
      <c r="F227" t="str" cm="1">
        <f t="array" aca="1" ref="F227" ca="1">IFERROR(IF(C227="","",INDIRECT($D$2&amp;"!ak"&amp;T227)),IF(C227="","",INDIRECT("'"&amp;$D$2&amp;"'"&amp;"!ak"&amp;T227)))</f>
        <v/>
      </c>
      <c r="G227" t="str" cm="1">
        <f t="array" aca="1" ref="G227" ca="1">IFERROR(INDIRECT($D$2&amp;"!h"&amp;T227),INDIRECT("'"&amp;$D$2&amp;"'"&amp;"!h"&amp;T227))</f>
        <v/>
      </c>
      <c r="H227" s="125" t="str" cm="1">
        <f t="array" aca="1" ref="H227" ca="1">IFERROR(INDIRECT($D$2&amp;"!i"&amp;T227),INDIRECT("'"&amp;$D$2&amp;"'"&amp;"!i"&amp;T227))</f>
        <v/>
      </c>
      <c r="I227" s="113" t="str" cm="1">
        <f t="array" aca="1" ref="I227" ca="1">IFERROR(IF($C227="","",INDIRECT($D$2&amp;"!j"&amp;$T227)+INDIRECT($D$2&amp;"!n"&amp;$T227)),IF($C227="","",INDIRECT("'"&amp;$D$2&amp;"'"&amp;"!j"&amp;$T227)+INDIRECT("'"&amp;$D$2&amp;"'"&amp;"!n"&amp;$T227)))</f>
        <v/>
      </c>
      <c r="J227" s="113" t="str">
        <f t="shared" ca="1" si="12"/>
        <v/>
      </c>
      <c r="K227" s="113" t="str" cm="1">
        <f t="array" aca="1" ref="K227" ca="1">IFERROR(IF($C227="","",INDIRECT($D$2&amp;"!l"&amp;$T227)+INDIRECT($D$2&amp;"!p"&amp;$T227)),IF($C227="","",INDIRECT("'"&amp;$D$2&amp;"'"&amp;"!l"&amp;$T227)+INDIRECT("'"&amp;$D$2&amp;"'"&amp;"!p"&amp;$T227)))</f>
        <v/>
      </c>
      <c r="M227" s="113" t="str" cm="1">
        <f t="array" aca="1" ref="M227" ca="1">IFERROR(IF($C227="","",INDIRECT($D$2&amp;"!r"&amp;T227)),IF($C227="","",INDIRECT("'"&amp;$D$2&amp;"'"&amp;"!r"&amp;T227)))</f>
        <v/>
      </c>
      <c r="N227" s="113" t="str">
        <f t="shared" ca="1" si="13"/>
        <v/>
      </c>
      <c r="O227" s="113" t="str" cm="1">
        <f t="array" aca="1" ref="O227" ca="1">IFERROR(IF($C227="","",INDIRECT($D$2&amp;"!t"&amp;T227)),IF($C227="","",INDIRECT("'"&amp;$D$2&amp;"'"&amp;"!t"&amp;T227)))</f>
        <v/>
      </c>
      <c r="Q227" s="113" t="str" cm="1">
        <f t="array" aca="1" ref="Q227" ca="1">IFERROR(IF($C227="","",INDIRECT($D$2&amp;"!v"&amp;T227)),IF($C227="","",INDIRECT("'"&amp;$D$2&amp;"'"&amp;"!v"&amp;T227)))</f>
        <v/>
      </c>
      <c r="R227" s="113" t="str">
        <f t="shared" ca="1" si="14"/>
        <v/>
      </c>
      <c r="S227" s="113" t="str" cm="1">
        <f t="array" aca="1" ref="S227" ca="1">IFERROR(IF($C227="","",INDIRECT($D$2&amp;"!x"&amp;T227)),IF($C227="","",INDIRECT("'"&amp;$D$2&amp;"'"&amp;"!x"&amp;T227)))</f>
        <v/>
      </c>
      <c r="T227" s="35">
        <v>215</v>
      </c>
      <c r="U227" s="113"/>
      <c r="V227" s="35">
        <v>215</v>
      </c>
    </row>
    <row r="228" spans="3:22" x14ac:dyDescent="0.25">
      <c r="C228" t="str" cm="1">
        <f t="array" aca="1" ref="C228" ca="1">IFERROR(IF(INDIRECT($D$2&amp;"!B"&amp;T228)="","",INDIRECT("'"&amp;$D$2&amp;"'"&amp;"!B"&amp;T228)),IF(INDIRECT("'"&amp;$D$2&amp;"'"&amp;"!B"&amp;T228)="","",INDIRECT("'"&amp;$D$2&amp;"'"&amp;"!B"&amp;T228)))</f>
        <v/>
      </c>
      <c r="D228" t="str" cm="1">
        <f t="array" aca="1" ref="D228" ca="1">IFERROR(_xlfn.IFS(C228="","",C228&lt;&gt;"",INDEX(SF_Output!I:I,MATCH(C228,SF_Output!M:M,0))),IFERROR(INDEX(INDIRECT($D$2&amp;"!G:G"),MATCH(C228,INDIRECT($D$2&amp;"!B:B"),0)),INDEX(INDIRECT("'"&amp;$D$2&amp;"'!G:G"),MATCH(C228,INDIRECT("'"&amp;$D$2&amp;"'!B:B"),0))))</f>
        <v/>
      </c>
      <c r="E228" t="str" cm="1">
        <f t="array" aca="1" ref="E228" ca="1">IFERROR(IF(C228="","",INDIRECT($D$2&amp;"!F"&amp;T228)),IF(C228="","",INDIRECT("'"&amp;$D$2&amp;"'"&amp;"!F"&amp;T228)))</f>
        <v/>
      </c>
      <c r="F228" t="str" cm="1">
        <f t="array" aca="1" ref="F228" ca="1">IFERROR(IF(C228="","",INDIRECT($D$2&amp;"!ak"&amp;T228)),IF(C228="","",INDIRECT("'"&amp;$D$2&amp;"'"&amp;"!ak"&amp;T228)))</f>
        <v/>
      </c>
      <c r="G228" t="str" cm="1">
        <f t="array" aca="1" ref="G228" ca="1">IFERROR(INDIRECT($D$2&amp;"!h"&amp;T228),INDIRECT("'"&amp;$D$2&amp;"'"&amp;"!h"&amp;T228))</f>
        <v/>
      </c>
      <c r="H228" s="125" t="str" cm="1">
        <f t="array" aca="1" ref="H228" ca="1">IFERROR(INDIRECT($D$2&amp;"!i"&amp;T228),INDIRECT("'"&amp;$D$2&amp;"'"&amp;"!i"&amp;T228))</f>
        <v/>
      </c>
      <c r="I228" s="113" t="str" cm="1">
        <f t="array" aca="1" ref="I228" ca="1">IFERROR(IF($C228="","",INDIRECT($D$2&amp;"!j"&amp;$T228)+INDIRECT($D$2&amp;"!n"&amp;$T228)),IF($C228="","",INDIRECT("'"&amp;$D$2&amp;"'"&amp;"!j"&amp;$T228)+INDIRECT("'"&amp;$D$2&amp;"'"&amp;"!n"&amp;$T228)))</f>
        <v/>
      </c>
      <c r="J228" s="113" t="str">
        <f t="shared" ca="1" si="12"/>
        <v/>
      </c>
      <c r="K228" s="113" t="str" cm="1">
        <f t="array" aca="1" ref="K228" ca="1">IFERROR(IF($C228="","",INDIRECT($D$2&amp;"!l"&amp;$T228)+INDIRECT($D$2&amp;"!p"&amp;$T228)),IF($C228="","",INDIRECT("'"&amp;$D$2&amp;"'"&amp;"!l"&amp;$T228)+INDIRECT("'"&amp;$D$2&amp;"'"&amp;"!p"&amp;$T228)))</f>
        <v/>
      </c>
      <c r="M228" s="113" t="str" cm="1">
        <f t="array" aca="1" ref="M228" ca="1">IFERROR(IF($C228="","",INDIRECT($D$2&amp;"!r"&amp;T228)),IF($C228="","",INDIRECT("'"&amp;$D$2&amp;"'"&amp;"!r"&amp;T228)))</f>
        <v/>
      </c>
      <c r="N228" s="113" t="str">
        <f t="shared" ca="1" si="13"/>
        <v/>
      </c>
      <c r="O228" s="113" t="str" cm="1">
        <f t="array" aca="1" ref="O228" ca="1">IFERROR(IF($C228="","",INDIRECT($D$2&amp;"!t"&amp;T228)),IF($C228="","",INDIRECT("'"&amp;$D$2&amp;"'"&amp;"!t"&amp;T228)))</f>
        <v/>
      </c>
      <c r="Q228" s="113" t="str" cm="1">
        <f t="array" aca="1" ref="Q228" ca="1">IFERROR(IF($C228="","",INDIRECT($D$2&amp;"!v"&amp;T228)),IF($C228="","",INDIRECT("'"&amp;$D$2&amp;"'"&amp;"!v"&amp;T228)))</f>
        <v/>
      </c>
      <c r="R228" s="113" t="str">
        <f t="shared" ca="1" si="14"/>
        <v/>
      </c>
      <c r="S228" s="113" t="str" cm="1">
        <f t="array" aca="1" ref="S228" ca="1">IFERROR(IF($C228="","",INDIRECT($D$2&amp;"!x"&amp;T228)),IF($C228="","",INDIRECT("'"&amp;$D$2&amp;"'"&amp;"!x"&amp;T228)))</f>
        <v/>
      </c>
      <c r="T228" s="35">
        <v>216</v>
      </c>
      <c r="U228" s="113"/>
      <c r="V228" s="35">
        <v>216</v>
      </c>
    </row>
    <row r="229" spans="3:22" x14ac:dyDescent="0.25">
      <c r="C229" t="str" cm="1">
        <f t="array" aca="1" ref="C229" ca="1">IFERROR(IF(INDIRECT($D$2&amp;"!B"&amp;T229)="","",INDIRECT("'"&amp;$D$2&amp;"'"&amp;"!B"&amp;T229)),IF(INDIRECT("'"&amp;$D$2&amp;"'"&amp;"!B"&amp;T229)="","",INDIRECT("'"&amp;$D$2&amp;"'"&amp;"!B"&amp;T229)))</f>
        <v/>
      </c>
      <c r="D229" t="str" cm="1">
        <f t="array" aca="1" ref="D229" ca="1">IFERROR(_xlfn.IFS(C229="","",C229&lt;&gt;"",INDEX(SF_Output!I:I,MATCH(C229,SF_Output!M:M,0))),IFERROR(INDEX(INDIRECT($D$2&amp;"!G:G"),MATCH(C229,INDIRECT($D$2&amp;"!B:B"),0)),INDEX(INDIRECT("'"&amp;$D$2&amp;"'!G:G"),MATCH(C229,INDIRECT("'"&amp;$D$2&amp;"'!B:B"),0))))</f>
        <v/>
      </c>
      <c r="E229" t="str" cm="1">
        <f t="array" aca="1" ref="E229" ca="1">IFERROR(IF(C229="","",INDIRECT($D$2&amp;"!F"&amp;T229)),IF(C229="","",INDIRECT("'"&amp;$D$2&amp;"'"&amp;"!F"&amp;T229)))</f>
        <v/>
      </c>
      <c r="F229" t="str" cm="1">
        <f t="array" aca="1" ref="F229" ca="1">IFERROR(IF(C229="","",INDIRECT($D$2&amp;"!ak"&amp;T229)),IF(C229="","",INDIRECT("'"&amp;$D$2&amp;"'"&amp;"!ak"&amp;T229)))</f>
        <v/>
      </c>
      <c r="G229" t="str" cm="1">
        <f t="array" aca="1" ref="G229" ca="1">IFERROR(INDIRECT($D$2&amp;"!h"&amp;T229),INDIRECT("'"&amp;$D$2&amp;"'"&amp;"!h"&amp;T229))</f>
        <v/>
      </c>
      <c r="H229" s="125" t="str" cm="1">
        <f t="array" aca="1" ref="H229" ca="1">IFERROR(INDIRECT($D$2&amp;"!i"&amp;T229),INDIRECT("'"&amp;$D$2&amp;"'"&amp;"!i"&amp;T229))</f>
        <v/>
      </c>
      <c r="I229" s="113" t="str" cm="1">
        <f t="array" aca="1" ref="I229" ca="1">IFERROR(IF($C229="","",INDIRECT($D$2&amp;"!j"&amp;$T229)+INDIRECT($D$2&amp;"!n"&amp;$T229)),IF($C229="","",INDIRECT("'"&amp;$D$2&amp;"'"&amp;"!j"&amp;$T229)+INDIRECT("'"&amp;$D$2&amp;"'"&amp;"!n"&amp;$T229)))</f>
        <v/>
      </c>
      <c r="J229" s="113" t="str">
        <f t="shared" ca="1" si="12"/>
        <v/>
      </c>
      <c r="K229" s="113" t="str" cm="1">
        <f t="array" aca="1" ref="K229" ca="1">IFERROR(IF($C229="","",INDIRECT($D$2&amp;"!l"&amp;$T229)+INDIRECT($D$2&amp;"!p"&amp;$T229)),IF($C229="","",INDIRECT("'"&amp;$D$2&amp;"'"&amp;"!l"&amp;$T229)+INDIRECT("'"&amp;$D$2&amp;"'"&amp;"!p"&amp;$T229)))</f>
        <v/>
      </c>
      <c r="M229" s="113" t="str" cm="1">
        <f t="array" aca="1" ref="M229" ca="1">IFERROR(IF($C229="","",INDIRECT($D$2&amp;"!r"&amp;T229)),IF($C229="","",INDIRECT("'"&amp;$D$2&amp;"'"&amp;"!r"&amp;T229)))</f>
        <v/>
      </c>
      <c r="N229" s="113" t="str">
        <f t="shared" ca="1" si="13"/>
        <v/>
      </c>
      <c r="O229" s="113" t="str" cm="1">
        <f t="array" aca="1" ref="O229" ca="1">IFERROR(IF($C229="","",INDIRECT($D$2&amp;"!t"&amp;T229)),IF($C229="","",INDIRECT("'"&amp;$D$2&amp;"'"&amp;"!t"&amp;T229)))</f>
        <v/>
      </c>
      <c r="Q229" s="113" t="str" cm="1">
        <f t="array" aca="1" ref="Q229" ca="1">IFERROR(IF($C229="","",INDIRECT($D$2&amp;"!v"&amp;T229)),IF($C229="","",INDIRECT("'"&amp;$D$2&amp;"'"&amp;"!v"&amp;T229)))</f>
        <v/>
      </c>
      <c r="R229" s="113" t="str">
        <f t="shared" ca="1" si="14"/>
        <v/>
      </c>
      <c r="S229" s="113" t="str" cm="1">
        <f t="array" aca="1" ref="S229" ca="1">IFERROR(IF($C229="","",INDIRECT($D$2&amp;"!x"&amp;T229)),IF($C229="","",INDIRECT("'"&amp;$D$2&amp;"'"&amp;"!x"&amp;T229)))</f>
        <v/>
      </c>
      <c r="T229" s="35">
        <v>217</v>
      </c>
      <c r="U229" s="113"/>
      <c r="V229" s="35">
        <v>217</v>
      </c>
    </row>
    <row r="230" spans="3:22" x14ac:dyDescent="0.25">
      <c r="C230" t="str" cm="1">
        <f t="array" aca="1" ref="C230" ca="1">IFERROR(IF(INDIRECT($D$2&amp;"!B"&amp;T230)="","",INDIRECT("'"&amp;$D$2&amp;"'"&amp;"!B"&amp;T230)),IF(INDIRECT("'"&amp;$D$2&amp;"'"&amp;"!B"&amp;T230)="","",INDIRECT("'"&amp;$D$2&amp;"'"&amp;"!B"&amp;T230)))</f>
        <v/>
      </c>
      <c r="D230" t="str" cm="1">
        <f t="array" aca="1" ref="D230" ca="1">IFERROR(_xlfn.IFS(C230="","",C230&lt;&gt;"",INDEX(SF_Output!I:I,MATCH(C230,SF_Output!M:M,0))),IFERROR(INDEX(INDIRECT($D$2&amp;"!G:G"),MATCH(C230,INDIRECT($D$2&amp;"!B:B"),0)),INDEX(INDIRECT("'"&amp;$D$2&amp;"'!G:G"),MATCH(C230,INDIRECT("'"&amp;$D$2&amp;"'!B:B"),0))))</f>
        <v/>
      </c>
      <c r="E230" t="str" cm="1">
        <f t="array" aca="1" ref="E230" ca="1">IFERROR(IF(C230="","",INDIRECT($D$2&amp;"!F"&amp;T230)),IF(C230="","",INDIRECT("'"&amp;$D$2&amp;"'"&amp;"!F"&amp;T230)))</f>
        <v/>
      </c>
      <c r="F230" t="str" cm="1">
        <f t="array" aca="1" ref="F230" ca="1">IFERROR(IF(C230="","",INDIRECT($D$2&amp;"!ak"&amp;T230)),IF(C230="","",INDIRECT("'"&amp;$D$2&amp;"'"&amp;"!ak"&amp;T230)))</f>
        <v/>
      </c>
      <c r="G230" t="str" cm="1">
        <f t="array" aca="1" ref="G230" ca="1">IFERROR(INDIRECT($D$2&amp;"!h"&amp;T230),INDIRECT("'"&amp;$D$2&amp;"'"&amp;"!h"&amp;T230))</f>
        <v/>
      </c>
      <c r="H230" s="125" t="str" cm="1">
        <f t="array" aca="1" ref="H230" ca="1">IFERROR(INDIRECT($D$2&amp;"!i"&amp;T230),INDIRECT("'"&amp;$D$2&amp;"'"&amp;"!i"&amp;T230))</f>
        <v/>
      </c>
      <c r="I230" s="113" t="str" cm="1">
        <f t="array" aca="1" ref="I230" ca="1">IFERROR(IF($C230="","",INDIRECT($D$2&amp;"!j"&amp;$T230)+INDIRECT($D$2&amp;"!n"&amp;$T230)),IF($C230="","",INDIRECT("'"&amp;$D$2&amp;"'"&amp;"!j"&amp;$T230)+INDIRECT("'"&amp;$D$2&amp;"'"&amp;"!n"&amp;$T230)))</f>
        <v/>
      </c>
      <c r="J230" s="113" t="str">
        <f t="shared" ca="1" si="12"/>
        <v/>
      </c>
      <c r="K230" s="113" t="str" cm="1">
        <f t="array" aca="1" ref="K230" ca="1">IFERROR(IF($C230="","",INDIRECT($D$2&amp;"!l"&amp;$T230)+INDIRECT($D$2&amp;"!p"&amp;$T230)),IF($C230="","",INDIRECT("'"&amp;$D$2&amp;"'"&amp;"!l"&amp;$T230)+INDIRECT("'"&amp;$D$2&amp;"'"&amp;"!p"&amp;$T230)))</f>
        <v/>
      </c>
      <c r="M230" s="113" t="str" cm="1">
        <f t="array" aca="1" ref="M230" ca="1">IFERROR(IF($C230="","",INDIRECT($D$2&amp;"!r"&amp;T230)),IF($C230="","",INDIRECT("'"&amp;$D$2&amp;"'"&amp;"!r"&amp;T230)))</f>
        <v/>
      </c>
      <c r="N230" s="113" t="str">
        <f t="shared" ca="1" si="13"/>
        <v/>
      </c>
      <c r="O230" s="113" t="str" cm="1">
        <f t="array" aca="1" ref="O230" ca="1">IFERROR(IF($C230="","",INDIRECT($D$2&amp;"!t"&amp;T230)),IF($C230="","",INDIRECT("'"&amp;$D$2&amp;"'"&amp;"!t"&amp;T230)))</f>
        <v/>
      </c>
      <c r="Q230" s="113" t="str" cm="1">
        <f t="array" aca="1" ref="Q230" ca="1">IFERROR(IF($C230="","",INDIRECT($D$2&amp;"!v"&amp;T230)),IF($C230="","",INDIRECT("'"&amp;$D$2&amp;"'"&amp;"!v"&amp;T230)))</f>
        <v/>
      </c>
      <c r="R230" s="113" t="str">
        <f t="shared" ca="1" si="14"/>
        <v/>
      </c>
      <c r="S230" s="113" t="str" cm="1">
        <f t="array" aca="1" ref="S230" ca="1">IFERROR(IF($C230="","",INDIRECT($D$2&amp;"!x"&amp;T230)),IF($C230="","",INDIRECT("'"&amp;$D$2&amp;"'"&amp;"!x"&amp;T230)))</f>
        <v/>
      </c>
      <c r="T230" s="35">
        <v>218</v>
      </c>
      <c r="U230" s="113"/>
      <c r="V230" s="35">
        <v>218</v>
      </c>
    </row>
    <row r="231" spans="3:22" x14ac:dyDescent="0.25">
      <c r="C231" t="str" cm="1">
        <f t="array" aca="1" ref="C231" ca="1">IFERROR(IF(INDIRECT($D$2&amp;"!B"&amp;T231)="","",INDIRECT("'"&amp;$D$2&amp;"'"&amp;"!B"&amp;T231)),IF(INDIRECT("'"&amp;$D$2&amp;"'"&amp;"!B"&amp;T231)="","",INDIRECT("'"&amp;$D$2&amp;"'"&amp;"!B"&amp;T231)))</f>
        <v/>
      </c>
      <c r="D231" t="str" cm="1">
        <f t="array" aca="1" ref="D231" ca="1">IFERROR(_xlfn.IFS(C231="","",C231&lt;&gt;"",INDEX(SF_Output!I:I,MATCH(C231,SF_Output!M:M,0))),IFERROR(INDEX(INDIRECT($D$2&amp;"!G:G"),MATCH(C231,INDIRECT($D$2&amp;"!B:B"),0)),INDEX(INDIRECT("'"&amp;$D$2&amp;"'!G:G"),MATCH(C231,INDIRECT("'"&amp;$D$2&amp;"'!B:B"),0))))</f>
        <v/>
      </c>
      <c r="E231" t="str" cm="1">
        <f t="array" aca="1" ref="E231" ca="1">IFERROR(IF(C231="","",INDIRECT($D$2&amp;"!F"&amp;T231)),IF(C231="","",INDIRECT("'"&amp;$D$2&amp;"'"&amp;"!F"&amp;T231)))</f>
        <v/>
      </c>
      <c r="F231" t="str" cm="1">
        <f t="array" aca="1" ref="F231" ca="1">IFERROR(IF(C231="","",INDIRECT($D$2&amp;"!ak"&amp;T231)),IF(C231="","",INDIRECT("'"&amp;$D$2&amp;"'"&amp;"!ak"&amp;T231)))</f>
        <v/>
      </c>
      <c r="G231" t="str" cm="1">
        <f t="array" aca="1" ref="G231" ca="1">IFERROR(INDIRECT($D$2&amp;"!h"&amp;T231),INDIRECT("'"&amp;$D$2&amp;"'"&amp;"!h"&amp;T231))</f>
        <v/>
      </c>
      <c r="H231" s="125" t="str" cm="1">
        <f t="array" aca="1" ref="H231" ca="1">IFERROR(INDIRECT($D$2&amp;"!i"&amp;T231),INDIRECT("'"&amp;$D$2&amp;"'"&amp;"!i"&amp;T231))</f>
        <v/>
      </c>
      <c r="I231" s="113" t="str" cm="1">
        <f t="array" aca="1" ref="I231" ca="1">IFERROR(IF($C231="","",INDIRECT($D$2&amp;"!j"&amp;$T231)+INDIRECT($D$2&amp;"!n"&amp;$T231)),IF($C231="","",INDIRECT("'"&amp;$D$2&amp;"'"&amp;"!j"&amp;$T231)+INDIRECT("'"&amp;$D$2&amp;"'"&amp;"!n"&amp;$T231)))</f>
        <v/>
      </c>
      <c r="J231" s="113" t="str">
        <f t="shared" ca="1" si="12"/>
        <v/>
      </c>
      <c r="K231" s="113" t="str" cm="1">
        <f t="array" aca="1" ref="K231" ca="1">IFERROR(IF($C231="","",INDIRECT($D$2&amp;"!l"&amp;$T231)+INDIRECT($D$2&amp;"!p"&amp;$T231)),IF($C231="","",INDIRECT("'"&amp;$D$2&amp;"'"&amp;"!l"&amp;$T231)+INDIRECT("'"&amp;$D$2&amp;"'"&amp;"!p"&amp;$T231)))</f>
        <v/>
      </c>
      <c r="M231" s="113" t="str" cm="1">
        <f t="array" aca="1" ref="M231" ca="1">IFERROR(IF($C231="","",INDIRECT($D$2&amp;"!r"&amp;T231)),IF($C231="","",INDIRECT("'"&amp;$D$2&amp;"'"&amp;"!r"&amp;T231)))</f>
        <v/>
      </c>
      <c r="N231" s="113" t="str">
        <f t="shared" ca="1" si="13"/>
        <v/>
      </c>
      <c r="O231" s="113" t="str" cm="1">
        <f t="array" aca="1" ref="O231" ca="1">IFERROR(IF($C231="","",INDIRECT($D$2&amp;"!t"&amp;T231)),IF($C231="","",INDIRECT("'"&amp;$D$2&amp;"'"&amp;"!t"&amp;T231)))</f>
        <v/>
      </c>
      <c r="Q231" s="113" t="str" cm="1">
        <f t="array" aca="1" ref="Q231" ca="1">IFERROR(IF($C231="","",INDIRECT($D$2&amp;"!v"&amp;T231)),IF($C231="","",INDIRECT("'"&amp;$D$2&amp;"'"&amp;"!v"&amp;T231)))</f>
        <v/>
      </c>
      <c r="R231" s="113" t="str">
        <f t="shared" ca="1" si="14"/>
        <v/>
      </c>
      <c r="S231" s="113" t="str" cm="1">
        <f t="array" aca="1" ref="S231" ca="1">IFERROR(IF($C231="","",INDIRECT($D$2&amp;"!x"&amp;T231)),IF($C231="","",INDIRECT("'"&amp;$D$2&amp;"'"&amp;"!x"&amp;T231)))</f>
        <v/>
      </c>
      <c r="T231" s="35">
        <v>219</v>
      </c>
      <c r="U231" s="113"/>
      <c r="V231" s="35">
        <v>219</v>
      </c>
    </row>
    <row r="232" spans="3:22" x14ac:dyDescent="0.25">
      <c r="C232" t="str" cm="1">
        <f t="array" aca="1" ref="C232" ca="1">IFERROR(IF(INDIRECT($D$2&amp;"!B"&amp;T232)="","",INDIRECT("'"&amp;$D$2&amp;"'"&amp;"!B"&amp;T232)),IF(INDIRECT("'"&amp;$D$2&amp;"'"&amp;"!B"&amp;T232)="","",INDIRECT("'"&amp;$D$2&amp;"'"&amp;"!B"&amp;T232)))</f>
        <v/>
      </c>
      <c r="D232" t="str" cm="1">
        <f t="array" aca="1" ref="D232" ca="1">IFERROR(_xlfn.IFS(C232="","",C232&lt;&gt;"",INDEX(SF_Output!I:I,MATCH(C232,SF_Output!M:M,0))),IFERROR(INDEX(INDIRECT($D$2&amp;"!G:G"),MATCH(C232,INDIRECT($D$2&amp;"!B:B"),0)),INDEX(INDIRECT("'"&amp;$D$2&amp;"'!G:G"),MATCH(C232,INDIRECT("'"&amp;$D$2&amp;"'!B:B"),0))))</f>
        <v/>
      </c>
      <c r="E232" t="str" cm="1">
        <f t="array" aca="1" ref="E232" ca="1">IFERROR(IF(C232="","",INDIRECT($D$2&amp;"!F"&amp;T232)),IF(C232="","",INDIRECT("'"&amp;$D$2&amp;"'"&amp;"!F"&amp;T232)))</f>
        <v/>
      </c>
      <c r="F232" t="str" cm="1">
        <f t="array" aca="1" ref="F232" ca="1">IFERROR(IF(C232="","",INDIRECT($D$2&amp;"!ak"&amp;T232)),IF(C232="","",INDIRECT("'"&amp;$D$2&amp;"'"&amp;"!ak"&amp;T232)))</f>
        <v/>
      </c>
      <c r="G232" t="str" cm="1">
        <f t="array" aca="1" ref="G232" ca="1">IFERROR(INDIRECT($D$2&amp;"!h"&amp;T232),INDIRECT("'"&amp;$D$2&amp;"'"&amp;"!h"&amp;T232))</f>
        <v/>
      </c>
      <c r="H232" s="125" t="str" cm="1">
        <f t="array" aca="1" ref="H232" ca="1">IFERROR(INDIRECT($D$2&amp;"!i"&amp;T232),INDIRECT("'"&amp;$D$2&amp;"'"&amp;"!i"&amp;T232))</f>
        <v/>
      </c>
      <c r="I232" s="113" t="str" cm="1">
        <f t="array" aca="1" ref="I232" ca="1">IFERROR(IF($C232="","",INDIRECT($D$2&amp;"!j"&amp;$T232)+INDIRECT($D$2&amp;"!n"&amp;$T232)),IF($C232="","",INDIRECT("'"&amp;$D$2&amp;"'"&amp;"!j"&amp;$T232)+INDIRECT("'"&amp;$D$2&amp;"'"&amp;"!n"&amp;$T232)))</f>
        <v/>
      </c>
      <c r="J232" s="113" t="str">
        <f t="shared" ca="1" si="12"/>
        <v/>
      </c>
      <c r="K232" s="113" t="str" cm="1">
        <f t="array" aca="1" ref="K232" ca="1">IFERROR(IF($C232="","",INDIRECT($D$2&amp;"!l"&amp;$T232)+INDIRECT($D$2&amp;"!p"&amp;$T232)),IF($C232="","",INDIRECT("'"&amp;$D$2&amp;"'"&amp;"!l"&amp;$T232)+INDIRECT("'"&amp;$D$2&amp;"'"&amp;"!p"&amp;$T232)))</f>
        <v/>
      </c>
      <c r="M232" s="113" t="str" cm="1">
        <f t="array" aca="1" ref="M232" ca="1">IFERROR(IF($C232="","",INDIRECT($D$2&amp;"!r"&amp;T232)),IF($C232="","",INDIRECT("'"&amp;$D$2&amp;"'"&amp;"!r"&amp;T232)))</f>
        <v/>
      </c>
      <c r="N232" s="113" t="str">
        <f t="shared" ca="1" si="13"/>
        <v/>
      </c>
      <c r="O232" s="113" t="str" cm="1">
        <f t="array" aca="1" ref="O232" ca="1">IFERROR(IF($C232="","",INDIRECT($D$2&amp;"!t"&amp;T232)),IF($C232="","",INDIRECT("'"&amp;$D$2&amp;"'"&amp;"!t"&amp;T232)))</f>
        <v/>
      </c>
      <c r="Q232" s="113" t="str" cm="1">
        <f t="array" aca="1" ref="Q232" ca="1">IFERROR(IF($C232="","",INDIRECT($D$2&amp;"!v"&amp;T232)),IF($C232="","",INDIRECT("'"&amp;$D$2&amp;"'"&amp;"!v"&amp;T232)))</f>
        <v/>
      </c>
      <c r="R232" s="113" t="str">
        <f t="shared" ca="1" si="14"/>
        <v/>
      </c>
      <c r="S232" s="113" t="str" cm="1">
        <f t="array" aca="1" ref="S232" ca="1">IFERROR(IF($C232="","",INDIRECT($D$2&amp;"!x"&amp;T232)),IF($C232="","",INDIRECT("'"&amp;$D$2&amp;"'"&amp;"!x"&amp;T232)))</f>
        <v/>
      </c>
      <c r="T232" s="35">
        <v>220</v>
      </c>
      <c r="U232" s="113"/>
      <c r="V232" s="35">
        <v>220</v>
      </c>
    </row>
    <row r="233" spans="3:22" x14ac:dyDescent="0.25">
      <c r="C233" t="str" cm="1">
        <f t="array" aca="1" ref="C233" ca="1">IFERROR(IF(INDIRECT($D$2&amp;"!B"&amp;T233)="","",INDIRECT("'"&amp;$D$2&amp;"'"&amp;"!B"&amp;T233)),IF(INDIRECT("'"&amp;$D$2&amp;"'"&amp;"!B"&amp;T233)="","",INDIRECT("'"&amp;$D$2&amp;"'"&amp;"!B"&amp;T233)))</f>
        <v/>
      </c>
      <c r="D233" t="str" cm="1">
        <f t="array" aca="1" ref="D233" ca="1">IFERROR(_xlfn.IFS(C233="","",C233&lt;&gt;"",INDEX(SF_Output!I:I,MATCH(C233,SF_Output!M:M,0))),IFERROR(INDEX(INDIRECT($D$2&amp;"!G:G"),MATCH(C233,INDIRECT($D$2&amp;"!B:B"),0)),INDEX(INDIRECT("'"&amp;$D$2&amp;"'!G:G"),MATCH(C233,INDIRECT("'"&amp;$D$2&amp;"'!B:B"),0))))</f>
        <v/>
      </c>
      <c r="E233" t="str" cm="1">
        <f t="array" aca="1" ref="E233" ca="1">IFERROR(IF(C233="","",INDIRECT($D$2&amp;"!F"&amp;T233)),IF(C233="","",INDIRECT("'"&amp;$D$2&amp;"'"&amp;"!F"&amp;T233)))</f>
        <v/>
      </c>
      <c r="F233" t="str" cm="1">
        <f t="array" aca="1" ref="F233" ca="1">IFERROR(IF(C233="","",INDIRECT($D$2&amp;"!ak"&amp;T233)),IF(C233="","",INDIRECT("'"&amp;$D$2&amp;"'"&amp;"!ak"&amp;T233)))</f>
        <v/>
      </c>
      <c r="G233" t="str" cm="1">
        <f t="array" aca="1" ref="G233" ca="1">IFERROR(INDIRECT($D$2&amp;"!h"&amp;T233),INDIRECT("'"&amp;$D$2&amp;"'"&amp;"!h"&amp;T233))</f>
        <v/>
      </c>
      <c r="H233" s="125" t="str" cm="1">
        <f t="array" aca="1" ref="H233" ca="1">IFERROR(INDIRECT($D$2&amp;"!i"&amp;T233),INDIRECT("'"&amp;$D$2&amp;"'"&amp;"!i"&amp;T233))</f>
        <v/>
      </c>
      <c r="I233" s="113" t="str" cm="1">
        <f t="array" aca="1" ref="I233" ca="1">IFERROR(IF($C233="","",INDIRECT($D$2&amp;"!j"&amp;$T233)+INDIRECT($D$2&amp;"!n"&amp;$T233)),IF($C233="","",INDIRECT("'"&amp;$D$2&amp;"'"&amp;"!j"&amp;$T233)+INDIRECT("'"&amp;$D$2&amp;"'"&amp;"!n"&amp;$T233)))</f>
        <v/>
      </c>
      <c r="J233" s="113" t="str">
        <f t="shared" ca="1" si="12"/>
        <v/>
      </c>
      <c r="K233" s="113" t="str" cm="1">
        <f t="array" aca="1" ref="K233" ca="1">IFERROR(IF($C233="","",INDIRECT($D$2&amp;"!l"&amp;$T233)+INDIRECT($D$2&amp;"!p"&amp;$T233)),IF($C233="","",INDIRECT("'"&amp;$D$2&amp;"'"&amp;"!l"&amp;$T233)+INDIRECT("'"&amp;$D$2&amp;"'"&amp;"!p"&amp;$T233)))</f>
        <v/>
      </c>
      <c r="M233" s="113" t="str" cm="1">
        <f t="array" aca="1" ref="M233" ca="1">IFERROR(IF($C233="","",INDIRECT($D$2&amp;"!r"&amp;T233)),IF($C233="","",INDIRECT("'"&amp;$D$2&amp;"'"&amp;"!r"&amp;T233)))</f>
        <v/>
      </c>
      <c r="N233" s="113" t="str">
        <f t="shared" ca="1" si="13"/>
        <v/>
      </c>
      <c r="O233" s="113" t="str" cm="1">
        <f t="array" aca="1" ref="O233" ca="1">IFERROR(IF($C233="","",INDIRECT($D$2&amp;"!t"&amp;T233)),IF($C233="","",INDIRECT("'"&amp;$D$2&amp;"'"&amp;"!t"&amp;T233)))</f>
        <v/>
      </c>
      <c r="Q233" s="113" t="str" cm="1">
        <f t="array" aca="1" ref="Q233" ca="1">IFERROR(IF($C233="","",INDIRECT($D$2&amp;"!v"&amp;T233)),IF($C233="","",INDIRECT("'"&amp;$D$2&amp;"'"&amp;"!v"&amp;T233)))</f>
        <v/>
      </c>
      <c r="R233" s="113" t="str">
        <f t="shared" ca="1" si="14"/>
        <v/>
      </c>
      <c r="S233" s="113" t="str" cm="1">
        <f t="array" aca="1" ref="S233" ca="1">IFERROR(IF($C233="","",INDIRECT($D$2&amp;"!x"&amp;T233)),IF($C233="","",INDIRECT("'"&amp;$D$2&amp;"'"&amp;"!x"&amp;T233)))</f>
        <v/>
      </c>
      <c r="T233" s="35">
        <v>221</v>
      </c>
      <c r="U233" s="113"/>
      <c r="V233" s="35">
        <v>221</v>
      </c>
    </row>
    <row r="234" spans="3:22" x14ac:dyDescent="0.25">
      <c r="C234" t="str" cm="1">
        <f t="array" aca="1" ref="C234" ca="1">IFERROR(IF(INDIRECT($D$2&amp;"!B"&amp;T234)="","",INDIRECT("'"&amp;$D$2&amp;"'"&amp;"!B"&amp;T234)),IF(INDIRECT("'"&amp;$D$2&amp;"'"&amp;"!B"&amp;T234)="","",INDIRECT("'"&amp;$D$2&amp;"'"&amp;"!B"&amp;T234)))</f>
        <v/>
      </c>
      <c r="D234" t="str" cm="1">
        <f t="array" aca="1" ref="D234" ca="1">IFERROR(_xlfn.IFS(C234="","",C234&lt;&gt;"",INDEX(SF_Output!I:I,MATCH(C234,SF_Output!M:M,0))),IFERROR(INDEX(INDIRECT($D$2&amp;"!G:G"),MATCH(C234,INDIRECT($D$2&amp;"!B:B"),0)),INDEX(INDIRECT("'"&amp;$D$2&amp;"'!G:G"),MATCH(C234,INDIRECT("'"&amp;$D$2&amp;"'!B:B"),0))))</f>
        <v/>
      </c>
      <c r="E234" t="str" cm="1">
        <f t="array" aca="1" ref="E234" ca="1">IFERROR(IF(C234="","",INDIRECT($D$2&amp;"!F"&amp;T234)),IF(C234="","",INDIRECT("'"&amp;$D$2&amp;"'"&amp;"!F"&amp;T234)))</f>
        <v/>
      </c>
      <c r="F234" t="str" cm="1">
        <f t="array" aca="1" ref="F234" ca="1">IFERROR(IF(C234="","",INDIRECT($D$2&amp;"!ak"&amp;T234)),IF(C234="","",INDIRECT("'"&amp;$D$2&amp;"'"&amp;"!ak"&amp;T234)))</f>
        <v/>
      </c>
      <c r="G234" t="str" cm="1">
        <f t="array" aca="1" ref="G234" ca="1">IFERROR(INDIRECT($D$2&amp;"!h"&amp;T234),INDIRECT("'"&amp;$D$2&amp;"'"&amp;"!h"&amp;T234))</f>
        <v/>
      </c>
      <c r="H234" s="125" t="str" cm="1">
        <f t="array" aca="1" ref="H234" ca="1">IFERROR(INDIRECT($D$2&amp;"!i"&amp;T234),INDIRECT("'"&amp;$D$2&amp;"'"&amp;"!i"&amp;T234))</f>
        <v/>
      </c>
      <c r="I234" s="113" t="str" cm="1">
        <f t="array" aca="1" ref="I234" ca="1">IFERROR(IF($C234="","",INDIRECT($D$2&amp;"!j"&amp;$T234)+INDIRECT($D$2&amp;"!n"&amp;$T234)),IF($C234="","",INDIRECT("'"&amp;$D$2&amp;"'"&amp;"!j"&amp;$T234)+INDIRECT("'"&amp;$D$2&amp;"'"&amp;"!n"&amp;$T234)))</f>
        <v/>
      </c>
      <c r="J234" s="113" t="str">
        <f t="shared" ca="1" si="12"/>
        <v/>
      </c>
      <c r="K234" s="113" t="str" cm="1">
        <f t="array" aca="1" ref="K234" ca="1">IFERROR(IF($C234="","",INDIRECT($D$2&amp;"!l"&amp;$T234)+INDIRECT($D$2&amp;"!p"&amp;$T234)),IF($C234="","",INDIRECT("'"&amp;$D$2&amp;"'"&amp;"!l"&amp;$T234)+INDIRECT("'"&amp;$D$2&amp;"'"&amp;"!p"&amp;$T234)))</f>
        <v/>
      </c>
      <c r="M234" s="113" t="str" cm="1">
        <f t="array" aca="1" ref="M234" ca="1">IFERROR(IF($C234="","",INDIRECT($D$2&amp;"!r"&amp;T234)),IF($C234="","",INDIRECT("'"&amp;$D$2&amp;"'"&amp;"!r"&amp;T234)))</f>
        <v/>
      </c>
      <c r="N234" s="113" t="str">
        <f t="shared" ca="1" si="13"/>
        <v/>
      </c>
      <c r="O234" s="113" t="str" cm="1">
        <f t="array" aca="1" ref="O234" ca="1">IFERROR(IF($C234="","",INDIRECT($D$2&amp;"!t"&amp;T234)),IF($C234="","",INDIRECT("'"&amp;$D$2&amp;"'"&amp;"!t"&amp;T234)))</f>
        <v/>
      </c>
      <c r="Q234" s="113" t="str" cm="1">
        <f t="array" aca="1" ref="Q234" ca="1">IFERROR(IF($C234="","",INDIRECT($D$2&amp;"!v"&amp;T234)),IF($C234="","",INDIRECT("'"&amp;$D$2&amp;"'"&amp;"!v"&amp;T234)))</f>
        <v/>
      </c>
      <c r="R234" s="113" t="str">
        <f t="shared" ca="1" si="14"/>
        <v/>
      </c>
      <c r="S234" s="113" t="str" cm="1">
        <f t="array" aca="1" ref="S234" ca="1">IFERROR(IF($C234="","",INDIRECT($D$2&amp;"!x"&amp;T234)),IF($C234="","",INDIRECT("'"&amp;$D$2&amp;"'"&amp;"!x"&amp;T234)))</f>
        <v/>
      </c>
      <c r="T234" s="35">
        <v>222</v>
      </c>
      <c r="U234" s="113"/>
      <c r="V234" s="35">
        <v>222</v>
      </c>
    </row>
    <row r="235" spans="3:22" x14ac:dyDescent="0.25">
      <c r="C235" t="str" cm="1">
        <f t="array" aca="1" ref="C235" ca="1">IFERROR(IF(INDIRECT($D$2&amp;"!B"&amp;T235)="","",INDIRECT("'"&amp;$D$2&amp;"'"&amp;"!B"&amp;T235)),IF(INDIRECT("'"&amp;$D$2&amp;"'"&amp;"!B"&amp;T235)="","",INDIRECT("'"&amp;$D$2&amp;"'"&amp;"!B"&amp;T235)))</f>
        <v/>
      </c>
      <c r="D235" t="str" cm="1">
        <f t="array" aca="1" ref="D235" ca="1">IFERROR(_xlfn.IFS(C235="","",C235&lt;&gt;"",INDEX(SF_Output!I:I,MATCH(C235,SF_Output!M:M,0))),IFERROR(INDEX(INDIRECT($D$2&amp;"!G:G"),MATCH(C235,INDIRECT($D$2&amp;"!B:B"),0)),INDEX(INDIRECT("'"&amp;$D$2&amp;"'!G:G"),MATCH(C235,INDIRECT("'"&amp;$D$2&amp;"'!B:B"),0))))</f>
        <v/>
      </c>
      <c r="E235" t="str" cm="1">
        <f t="array" aca="1" ref="E235" ca="1">IFERROR(IF(C235="","",INDIRECT($D$2&amp;"!F"&amp;T235)),IF(C235="","",INDIRECT("'"&amp;$D$2&amp;"'"&amp;"!F"&amp;T235)))</f>
        <v/>
      </c>
      <c r="F235" t="str" cm="1">
        <f t="array" aca="1" ref="F235" ca="1">IFERROR(IF(C235="","",INDIRECT($D$2&amp;"!ak"&amp;T235)),IF(C235="","",INDIRECT("'"&amp;$D$2&amp;"'"&amp;"!ak"&amp;T235)))</f>
        <v/>
      </c>
      <c r="G235" t="str" cm="1">
        <f t="array" aca="1" ref="G235" ca="1">IFERROR(INDIRECT($D$2&amp;"!h"&amp;T235),INDIRECT("'"&amp;$D$2&amp;"'"&amp;"!h"&amp;T235))</f>
        <v/>
      </c>
      <c r="H235" s="125" t="str" cm="1">
        <f t="array" aca="1" ref="H235" ca="1">IFERROR(INDIRECT($D$2&amp;"!i"&amp;T235),INDIRECT("'"&amp;$D$2&amp;"'"&amp;"!i"&amp;T235))</f>
        <v/>
      </c>
      <c r="I235" s="113" t="str" cm="1">
        <f t="array" aca="1" ref="I235" ca="1">IFERROR(IF($C235="","",INDIRECT($D$2&amp;"!j"&amp;$T235)+INDIRECT($D$2&amp;"!n"&amp;$T235)),IF($C235="","",INDIRECT("'"&amp;$D$2&amp;"'"&amp;"!j"&amp;$T235)+INDIRECT("'"&amp;$D$2&amp;"'"&amp;"!n"&amp;$T235)))</f>
        <v/>
      </c>
      <c r="J235" s="113" t="str">
        <f t="shared" ca="1" si="12"/>
        <v/>
      </c>
      <c r="K235" s="113" t="str" cm="1">
        <f t="array" aca="1" ref="K235" ca="1">IFERROR(IF($C235="","",INDIRECT($D$2&amp;"!l"&amp;$T235)+INDIRECT($D$2&amp;"!p"&amp;$T235)),IF($C235="","",INDIRECT("'"&amp;$D$2&amp;"'"&amp;"!l"&amp;$T235)+INDIRECT("'"&amp;$D$2&amp;"'"&amp;"!p"&amp;$T235)))</f>
        <v/>
      </c>
      <c r="M235" s="113" t="str" cm="1">
        <f t="array" aca="1" ref="M235" ca="1">IFERROR(IF($C235="","",INDIRECT($D$2&amp;"!r"&amp;T235)),IF($C235="","",INDIRECT("'"&amp;$D$2&amp;"'"&amp;"!r"&amp;T235)))</f>
        <v/>
      </c>
      <c r="N235" s="113" t="str">
        <f t="shared" ca="1" si="13"/>
        <v/>
      </c>
      <c r="O235" s="113" t="str" cm="1">
        <f t="array" aca="1" ref="O235" ca="1">IFERROR(IF($C235="","",INDIRECT($D$2&amp;"!t"&amp;T235)),IF($C235="","",INDIRECT("'"&amp;$D$2&amp;"'"&amp;"!t"&amp;T235)))</f>
        <v/>
      </c>
      <c r="Q235" s="113" t="str" cm="1">
        <f t="array" aca="1" ref="Q235" ca="1">IFERROR(IF($C235="","",INDIRECT($D$2&amp;"!v"&amp;T235)),IF($C235="","",INDIRECT("'"&amp;$D$2&amp;"'"&amp;"!v"&amp;T235)))</f>
        <v/>
      </c>
      <c r="R235" s="113" t="str">
        <f t="shared" ca="1" si="14"/>
        <v/>
      </c>
      <c r="S235" s="113" t="str" cm="1">
        <f t="array" aca="1" ref="S235" ca="1">IFERROR(IF($C235="","",INDIRECT($D$2&amp;"!x"&amp;T235)),IF($C235="","",INDIRECT("'"&amp;$D$2&amp;"'"&amp;"!x"&amp;T235)))</f>
        <v/>
      </c>
      <c r="T235" s="35">
        <v>223</v>
      </c>
      <c r="U235" s="113"/>
      <c r="V235" s="35">
        <v>223</v>
      </c>
    </row>
    <row r="236" spans="3:22" x14ac:dyDescent="0.25">
      <c r="C236" t="str" cm="1">
        <f t="array" aca="1" ref="C236" ca="1">IFERROR(IF(INDIRECT($D$2&amp;"!B"&amp;T236)="","",INDIRECT("'"&amp;$D$2&amp;"'"&amp;"!B"&amp;T236)),IF(INDIRECT("'"&amp;$D$2&amp;"'"&amp;"!B"&amp;T236)="","",INDIRECT("'"&amp;$D$2&amp;"'"&amp;"!B"&amp;T236)))</f>
        <v/>
      </c>
      <c r="D236" t="str" cm="1">
        <f t="array" aca="1" ref="D236" ca="1">IFERROR(_xlfn.IFS(C236="","",C236&lt;&gt;"",INDEX(SF_Output!I:I,MATCH(C236,SF_Output!M:M,0))),IFERROR(INDEX(INDIRECT($D$2&amp;"!G:G"),MATCH(C236,INDIRECT($D$2&amp;"!B:B"),0)),INDEX(INDIRECT("'"&amp;$D$2&amp;"'!G:G"),MATCH(C236,INDIRECT("'"&amp;$D$2&amp;"'!B:B"),0))))</f>
        <v/>
      </c>
      <c r="E236" t="str" cm="1">
        <f t="array" aca="1" ref="E236" ca="1">IFERROR(IF(C236="","",INDIRECT($D$2&amp;"!F"&amp;T236)),IF(C236="","",INDIRECT("'"&amp;$D$2&amp;"'"&amp;"!F"&amp;T236)))</f>
        <v/>
      </c>
      <c r="F236" t="str" cm="1">
        <f t="array" aca="1" ref="F236" ca="1">IFERROR(IF(C236="","",INDIRECT($D$2&amp;"!ak"&amp;T236)),IF(C236="","",INDIRECT("'"&amp;$D$2&amp;"'"&amp;"!ak"&amp;T236)))</f>
        <v/>
      </c>
      <c r="G236" t="str" cm="1">
        <f t="array" aca="1" ref="G236" ca="1">IFERROR(INDIRECT($D$2&amp;"!h"&amp;T236),INDIRECT("'"&amp;$D$2&amp;"'"&amp;"!h"&amp;T236))</f>
        <v/>
      </c>
      <c r="H236" s="125" t="str" cm="1">
        <f t="array" aca="1" ref="H236" ca="1">IFERROR(INDIRECT($D$2&amp;"!i"&amp;T236),INDIRECT("'"&amp;$D$2&amp;"'"&amp;"!i"&amp;T236))</f>
        <v/>
      </c>
      <c r="I236" s="113" t="str" cm="1">
        <f t="array" aca="1" ref="I236" ca="1">IFERROR(IF($C236="","",INDIRECT($D$2&amp;"!j"&amp;$T236)+INDIRECT($D$2&amp;"!n"&amp;$T236)),IF($C236="","",INDIRECT("'"&amp;$D$2&amp;"'"&amp;"!j"&amp;$T236)+INDIRECT("'"&amp;$D$2&amp;"'"&amp;"!n"&amp;$T236)))</f>
        <v/>
      </c>
      <c r="J236" s="113" t="str">
        <f t="shared" ca="1" si="12"/>
        <v/>
      </c>
      <c r="K236" s="113" t="str" cm="1">
        <f t="array" aca="1" ref="K236" ca="1">IFERROR(IF($C236="","",INDIRECT($D$2&amp;"!l"&amp;$T236)+INDIRECT($D$2&amp;"!p"&amp;$T236)),IF($C236="","",INDIRECT("'"&amp;$D$2&amp;"'"&amp;"!l"&amp;$T236)+INDIRECT("'"&amp;$D$2&amp;"'"&amp;"!p"&amp;$T236)))</f>
        <v/>
      </c>
      <c r="M236" s="113" t="str" cm="1">
        <f t="array" aca="1" ref="M236" ca="1">IFERROR(IF($C236="","",INDIRECT($D$2&amp;"!r"&amp;T236)),IF($C236="","",INDIRECT("'"&amp;$D$2&amp;"'"&amp;"!r"&amp;T236)))</f>
        <v/>
      </c>
      <c r="N236" s="113" t="str">
        <f t="shared" ca="1" si="13"/>
        <v/>
      </c>
      <c r="O236" s="113" t="str" cm="1">
        <f t="array" aca="1" ref="O236" ca="1">IFERROR(IF($C236="","",INDIRECT($D$2&amp;"!t"&amp;T236)),IF($C236="","",INDIRECT("'"&amp;$D$2&amp;"'"&amp;"!t"&amp;T236)))</f>
        <v/>
      </c>
      <c r="Q236" s="113" t="str" cm="1">
        <f t="array" aca="1" ref="Q236" ca="1">IFERROR(IF($C236="","",INDIRECT($D$2&amp;"!v"&amp;T236)),IF($C236="","",INDIRECT("'"&amp;$D$2&amp;"'"&amp;"!v"&amp;T236)))</f>
        <v/>
      </c>
      <c r="R236" s="113" t="str">
        <f t="shared" ca="1" si="14"/>
        <v/>
      </c>
      <c r="S236" s="113" t="str" cm="1">
        <f t="array" aca="1" ref="S236" ca="1">IFERROR(IF($C236="","",INDIRECT($D$2&amp;"!x"&amp;T236)),IF($C236="","",INDIRECT("'"&amp;$D$2&amp;"'"&amp;"!x"&amp;T236)))</f>
        <v/>
      </c>
      <c r="T236" s="35">
        <v>224</v>
      </c>
      <c r="U236" s="113"/>
      <c r="V236" s="35">
        <v>224</v>
      </c>
    </row>
    <row r="237" spans="3:22" x14ac:dyDescent="0.25">
      <c r="C237" t="str" cm="1">
        <f t="array" aca="1" ref="C237" ca="1">IFERROR(IF(INDIRECT($D$2&amp;"!B"&amp;T237)="","",INDIRECT("'"&amp;$D$2&amp;"'"&amp;"!B"&amp;T237)),IF(INDIRECT("'"&amp;$D$2&amp;"'"&amp;"!B"&amp;T237)="","",INDIRECT("'"&amp;$D$2&amp;"'"&amp;"!B"&amp;T237)))</f>
        <v/>
      </c>
      <c r="D237" t="str" cm="1">
        <f t="array" aca="1" ref="D237" ca="1">IFERROR(_xlfn.IFS(C237="","",C237&lt;&gt;"",INDEX(SF_Output!I:I,MATCH(C237,SF_Output!M:M,0))),IFERROR(INDEX(INDIRECT($D$2&amp;"!G:G"),MATCH(C237,INDIRECT($D$2&amp;"!B:B"),0)),INDEX(INDIRECT("'"&amp;$D$2&amp;"'!G:G"),MATCH(C237,INDIRECT("'"&amp;$D$2&amp;"'!B:B"),0))))</f>
        <v/>
      </c>
      <c r="E237" t="str" cm="1">
        <f t="array" aca="1" ref="E237" ca="1">IFERROR(IF(C237="","",INDIRECT($D$2&amp;"!F"&amp;T237)),IF(C237="","",INDIRECT("'"&amp;$D$2&amp;"'"&amp;"!F"&amp;T237)))</f>
        <v/>
      </c>
      <c r="F237" t="str" cm="1">
        <f t="array" aca="1" ref="F237" ca="1">IFERROR(IF(C237="","",INDIRECT($D$2&amp;"!ak"&amp;T237)),IF(C237="","",INDIRECT("'"&amp;$D$2&amp;"'"&amp;"!ak"&amp;T237)))</f>
        <v/>
      </c>
      <c r="G237" t="str" cm="1">
        <f t="array" aca="1" ref="G237" ca="1">IFERROR(INDIRECT($D$2&amp;"!h"&amp;T237),INDIRECT("'"&amp;$D$2&amp;"'"&amp;"!h"&amp;T237))</f>
        <v/>
      </c>
      <c r="H237" s="125" t="str" cm="1">
        <f t="array" aca="1" ref="H237" ca="1">IFERROR(INDIRECT($D$2&amp;"!i"&amp;T237),INDIRECT("'"&amp;$D$2&amp;"'"&amp;"!i"&amp;T237))</f>
        <v/>
      </c>
      <c r="I237" s="113" t="str" cm="1">
        <f t="array" aca="1" ref="I237" ca="1">IFERROR(IF($C237="","",INDIRECT($D$2&amp;"!j"&amp;$T237)+INDIRECT($D$2&amp;"!n"&amp;$T237)),IF($C237="","",INDIRECT("'"&amp;$D$2&amp;"'"&amp;"!j"&amp;$T237)+INDIRECT("'"&amp;$D$2&amp;"'"&amp;"!n"&amp;$T237)))</f>
        <v/>
      </c>
      <c r="J237" s="113" t="str">
        <f t="shared" ca="1" si="12"/>
        <v/>
      </c>
      <c r="K237" s="113" t="str" cm="1">
        <f t="array" aca="1" ref="K237" ca="1">IFERROR(IF($C237="","",INDIRECT($D$2&amp;"!l"&amp;$T237)+INDIRECT($D$2&amp;"!p"&amp;$T237)),IF($C237="","",INDIRECT("'"&amp;$D$2&amp;"'"&amp;"!l"&amp;$T237)+INDIRECT("'"&amp;$D$2&amp;"'"&amp;"!p"&amp;$T237)))</f>
        <v/>
      </c>
      <c r="M237" s="113" t="str" cm="1">
        <f t="array" aca="1" ref="M237" ca="1">IFERROR(IF($C237="","",INDIRECT($D$2&amp;"!r"&amp;T237)),IF($C237="","",INDIRECT("'"&amp;$D$2&amp;"'"&amp;"!r"&amp;T237)))</f>
        <v/>
      </c>
      <c r="N237" s="113" t="str">
        <f t="shared" ca="1" si="13"/>
        <v/>
      </c>
      <c r="O237" s="113" t="str" cm="1">
        <f t="array" aca="1" ref="O237" ca="1">IFERROR(IF($C237="","",INDIRECT($D$2&amp;"!t"&amp;T237)),IF($C237="","",INDIRECT("'"&amp;$D$2&amp;"'"&amp;"!t"&amp;T237)))</f>
        <v/>
      </c>
      <c r="Q237" s="113" t="str" cm="1">
        <f t="array" aca="1" ref="Q237" ca="1">IFERROR(IF($C237="","",INDIRECT($D$2&amp;"!v"&amp;T237)),IF($C237="","",INDIRECT("'"&amp;$D$2&amp;"'"&amp;"!v"&amp;T237)))</f>
        <v/>
      </c>
      <c r="R237" s="113" t="str">
        <f t="shared" ca="1" si="14"/>
        <v/>
      </c>
      <c r="S237" s="113" t="str" cm="1">
        <f t="array" aca="1" ref="S237" ca="1">IFERROR(IF($C237="","",INDIRECT($D$2&amp;"!x"&amp;T237)),IF($C237="","",INDIRECT("'"&amp;$D$2&amp;"'"&amp;"!x"&amp;T237)))</f>
        <v/>
      </c>
      <c r="T237" s="35">
        <v>225</v>
      </c>
      <c r="U237" s="113"/>
      <c r="V237" s="35">
        <v>225</v>
      </c>
    </row>
    <row r="238" spans="3:22" x14ac:dyDescent="0.25">
      <c r="C238" t="str" cm="1">
        <f t="array" aca="1" ref="C238" ca="1">IFERROR(IF(INDIRECT($D$2&amp;"!B"&amp;T238)="","",INDIRECT("'"&amp;$D$2&amp;"'"&amp;"!B"&amp;T238)),IF(INDIRECT("'"&amp;$D$2&amp;"'"&amp;"!B"&amp;T238)="","",INDIRECT("'"&amp;$D$2&amp;"'"&amp;"!B"&amp;T238)))</f>
        <v/>
      </c>
      <c r="D238" t="str" cm="1">
        <f t="array" aca="1" ref="D238" ca="1">IFERROR(_xlfn.IFS(C238="","",C238&lt;&gt;"",INDEX(SF_Output!I:I,MATCH(C238,SF_Output!M:M,0))),IFERROR(INDEX(INDIRECT($D$2&amp;"!G:G"),MATCH(C238,INDIRECT($D$2&amp;"!B:B"),0)),INDEX(INDIRECT("'"&amp;$D$2&amp;"'!G:G"),MATCH(C238,INDIRECT("'"&amp;$D$2&amp;"'!B:B"),0))))</f>
        <v/>
      </c>
      <c r="E238" t="str" cm="1">
        <f t="array" aca="1" ref="E238" ca="1">IFERROR(IF(C238="","",INDIRECT($D$2&amp;"!F"&amp;T238)),IF(C238="","",INDIRECT("'"&amp;$D$2&amp;"'"&amp;"!F"&amp;T238)))</f>
        <v/>
      </c>
      <c r="F238" t="str" cm="1">
        <f t="array" aca="1" ref="F238" ca="1">IFERROR(IF(C238="","",INDIRECT($D$2&amp;"!ak"&amp;T238)),IF(C238="","",INDIRECT("'"&amp;$D$2&amp;"'"&amp;"!ak"&amp;T238)))</f>
        <v/>
      </c>
      <c r="G238" t="str" cm="1">
        <f t="array" aca="1" ref="G238" ca="1">IFERROR(INDIRECT($D$2&amp;"!h"&amp;T238),INDIRECT("'"&amp;$D$2&amp;"'"&amp;"!h"&amp;T238))</f>
        <v/>
      </c>
      <c r="H238" s="125" t="str" cm="1">
        <f t="array" aca="1" ref="H238" ca="1">IFERROR(INDIRECT($D$2&amp;"!i"&amp;T238),INDIRECT("'"&amp;$D$2&amp;"'"&amp;"!i"&amp;T238))</f>
        <v/>
      </c>
      <c r="I238" s="113" t="str" cm="1">
        <f t="array" aca="1" ref="I238" ca="1">IFERROR(IF($C238="","",INDIRECT($D$2&amp;"!j"&amp;$T238)+INDIRECT($D$2&amp;"!n"&amp;$T238)),IF($C238="","",INDIRECT("'"&amp;$D$2&amp;"'"&amp;"!j"&amp;$T238)+INDIRECT("'"&amp;$D$2&amp;"'"&amp;"!n"&amp;$T238)))</f>
        <v/>
      </c>
      <c r="J238" s="113" t="str">
        <f t="shared" ca="1" si="12"/>
        <v/>
      </c>
      <c r="K238" s="113" t="str" cm="1">
        <f t="array" aca="1" ref="K238" ca="1">IFERROR(IF($C238="","",INDIRECT($D$2&amp;"!l"&amp;$T238)+INDIRECT($D$2&amp;"!p"&amp;$T238)),IF($C238="","",INDIRECT("'"&amp;$D$2&amp;"'"&amp;"!l"&amp;$T238)+INDIRECT("'"&amp;$D$2&amp;"'"&amp;"!p"&amp;$T238)))</f>
        <v/>
      </c>
      <c r="M238" s="113" t="str" cm="1">
        <f t="array" aca="1" ref="M238" ca="1">IFERROR(IF($C238="","",INDIRECT($D$2&amp;"!r"&amp;T238)),IF($C238="","",INDIRECT("'"&amp;$D$2&amp;"'"&amp;"!r"&amp;T238)))</f>
        <v/>
      </c>
      <c r="N238" s="113" t="str">
        <f t="shared" ca="1" si="13"/>
        <v/>
      </c>
      <c r="O238" s="113" t="str" cm="1">
        <f t="array" aca="1" ref="O238" ca="1">IFERROR(IF($C238="","",INDIRECT($D$2&amp;"!t"&amp;T238)),IF($C238="","",INDIRECT("'"&amp;$D$2&amp;"'"&amp;"!t"&amp;T238)))</f>
        <v/>
      </c>
      <c r="Q238" s="113" t="str" cm="1">
        <f t="array" aca="1" ref="Q238" ca="1">IFERROR(IF($C238="","",INDIRECT($D$2&amp;"!v"&amp;T238)),IF($C238="","",INDIRECT("'"&amp;$D$2&amp;"'"&amp;"!v"&amp;T238)))</f>
        <v/>
      </c>
      <c r="R238" s="113" t="str">
        <f t="shared" ca="1" si="14"/>
        <v/>
      </c>
      <c r="S238" s="113" t="str" cm="1">
        <f t="array" aca="1" ref="S238" ca="1">IFERROR(IF($C238="","",INDIRECT($D$2&amp;"!x"&amp;T238)),IF($C238="","",INDIRECT("'"&amp;$D$2&amp;"'"&amp;"!x"&amp;T238)))</f>
        <v/>
      </c>
      <c r="T238" s="35">
        <v>226</v>
      </c>
      <c r="U238" s="113"/>
      <c r="V238" s="35">
        <v>226</v>
      </c>
    </row>
    <row r="239" spans="3:22" x14ac:dyDescent="0.25">
      <c r="C239" t="str" cm="1">
        <f t="array" aca="1" ref="C239" ca="1">IFERROR(IF(INDIRECT($D$2&amp;"!B"&amp;T239)="","",INDIRECT("'"&amp;$D$2&amp;"'"&amp;"!B"&amp;T239)),IF(INDIRECT("'"&amp;$D$2&amp;"'"&amp;"!B"&amp;T239)="","",INDIRECT("'"&amp;$D$2&amp;"'"&amp;"!B"&amp;T239)))</f>
        <v/>
      </c>
      <c r="D239" t="str" cm="1">
        <f t="array" aca="1" ref="D239" ca="1">IFERROR(_xlfn.IFS(C239="","",C239&lt;&gt;"",INDEX(SF_Output!I:I,MATCH(C239,SF_Output!M:M,0))),IFERROR(INDEX(INDIRECT($D$2&amp;"!G:G"),MATCH(C239,INDIRECT($D$2&amp;"!B:B"),0)),INDEX(INDIRECT("'"&amp;$D$2&amp;"'!G:G"),MATCH(C239,INDIRECT("'"&amp;$D$2&amp;"'!B:B"),0))))</f>
        <v/>
      </c>
      <c r="E239" t="str" cm="1">
        <f t="array" aca="1" ref="E239" ca="1">IFERROR(IF(C239="","",INDIRECT($D$2&amp;"!F"&amp;T239)),IF(C239="","",INDIRECT("'"&amp;$D$2&amp;"'"&amp;"!F"&amp;T239)))</f>
        <v/>
      </c>
      <c r="F239" t="str" cm="1">
        <f t="array" aca="1" ref="F239" ca="1">IFERROR(IF(C239="","",INDIRECT($D$2&amp;"!ak"&amp;T239)),IF(C239="","",INDIRECT("'"&amp;$D$2&amp;"'"&amp;"!ak"&amp;T239)))</f>
        <v/>
      </c>
      <c r="G239" t="str" cm="1">
        <f t="array" aca="1" ref="G239" ca="1">IFERROR(INDIRECT($D$2&amp;"!h"&amp;T239),INDIRECT("'"&amp;$D$2&amp;"'"&amp;"!h"&amp;T239))</f>
        <v/>
      </c>
      <c r="H239" s="125" t="str" cm="1">
        <f t="array" aca="1" ref="H239" ca="1">IFERROR(INDIRECT($D$2&amp;"!i"&amp;T239),INDIRECT("'"&amp;$D$2&amp;"'"&amp;"!i"&amp;T239))</f>
        <v/>
      </c>
      <c r="I239" s="113" t="str" cm="1">
        <f t="array" aca="1" ref="I239" ca="1">IFERROR(IF($C239="","",INDIRECT($D$2&amp;"!j"&amp;$T239)+INDIRECT($D$2&amp;"!n"&amp;$T239)),IF($C239="","",INDIRECT("'"&amp;$D$2&amp;"'"&amp;"!j"&amp;$T239)+INDIRECT("'"&amp;$D$2&amp;"'"&amp;"!n"&amp;$T239)))</f>
        <v/>
      </c>
      <c r="J239" s="113" t="str">
        <f t="shared" ca="1" si="12"/>
        <v/>
      </c>
      <c r="K239" s="113" t="str" cm="1">
        <f t="array" aca="1" ref="K239" ca="1">IFERROR(IF($C239="","",INDIRECT($D$2&amp;"!l"&amp;$T239)+INDIRECT($D$2&amp;"!p"&amp;$T239)),IF($C239="","",INDIRECT("'"&amp;$D$2&amp;"'"&amp;"!l"&amp;$T239)+INDIRECT("'"&amp;$D$2&amp;"'"&amp;"!p"&amp;$T239)))</f>
        <v/>
      </c>
      <c r="M239" s="113" t="str" cm="1">
        <f t="array" aca="1" ref="M239" ca="1">IFERROR(IF($C239="","",INDIRECT($D$2&amp;"!r"&amp;T239)),IF($C239="","",INDIRECT("'"&amp;$D$2&amp;"'"&amp;"!r"&amp;T239)))</f>
        <v/>
      </c>
      <c r="N239" s="113" t="str">
        <f t="shared" ca="1" si="13"/>
        <v/>
      </c>
      <c r="O239" s="113" t="str" cm="1">
        <f t="array" aca="1" ref="O239" ca="1">IFERROR(IF($C239="","",INDIRECT($D$2&amp;"!t"&amp;T239)),IF($C239="","",INDIRECT("'"&amp;$D$2&amp;"'"&amp;"!t"&amp;T239)))</f>
        <v/>
      </c>
      <c r="Q239" s="113" t="str" cm="1">
        <f t="array" aca="1" ref="Q239" ca="1">IFERROR(IF($C239="","",INDIRECT($D$2&amp;"!v"&amp;T239)),IF($C239="","",INDIRECT("'"&amp;$D$2&amp;"'"&amp;"!v"&amp;T239)))</f>
        <v/>
      </c>
      <c r="R239" s="113" t="str">
        <f t="shared" ca="1" si="14"/>
        <v/>
      </c>
      <c r="S239" s="113" t="str" cm="1">
        <f t="array" aca="1" ref="S239" ca="1">IFERROR(IF($C239="","",INDIRECT($D$2&amp;"!x"&amp;T239)),IF($C239="","",INDIRECT("'"&amp;$D$2&amp;"'"&amp;"!x"&amp;T239)))</f>
        <v/>
      </c>
      <c r="T239" s="35">
        <v>227</v>
      </c>
      <c r="U239" s="113"/>
      <c r="V239" s="35">
        <v>227</v>
      </c>
    </row>
    <row r="240" spans="3:22" x14ac:dyDescent="0.25">
      <c r="C240" t="str" cm="1">
        <f t="array" aca="1" ref="C240" ca="1">IFERROR(IF(INDIRECT($D$2&amp;"!B"&amp;T240)="","",INDIRECT("'"&amp;$D$2&amp;"'"&amp;"!B"&amp;T240)),IF(INDIRECT("'"&amp;$D$2&amp;"'"&amp;"!B"&amp;T240)="","",INDIRECT("'"&amp;$D$2&amp;"'"&amp;"!B"&amp;T240)))</f>
        <v/>
      </c>
      <c r="D240" t="str" cm="1">
        <f t="array" aca="1" ref="D240" ca="1">IFERROR(_xlfn.IFS(C240="","",C240&lt;&gt;"",INDEX(SF_Output!I:I,MATCH(C240,SF_Output!M:M,0))),IFERROR(INDEX(INDIRECT($D$2&amp;"!G:G"),MATCH(C240,INDIRECT($D$2&amp;"!B:B"),0)),INDEX(INDIRECT("'"&amp;$D$2&amp;"'!G:G"),MATCH(C240,INDIRECT("'"&amp;$D$2&amp;"'!B:B"),0))))</f>
        <v/>
      </c>
      <c r="E240" t="str" cm="1">
        <f t="array" aca="1" ref="E240" ca="1">IFERROR(IF(C240="","",INDIRECT($D$2&amp;"!F"&amp;T240)),IF(C240="","",INDIRECT("'"&amp;$D$2&amp;"'"&amp;"!F"&amp;T240)))</f>
        <v/>
      </c>
      <c r="F240" t="str" cm="1">
        <f t="array" aca="1" ref="F240" ca="1">IFERROR(IF(C240="","",INDIRECT($D$2&amp;"!ak"&amp;T240)),IF(C240="","",INDIRECT("'"&amp;$D$2&amp;"'"&amp;"!ak"&amp;T240)))</f>
        <v/>
      </c>
      <c r="G240" t="str" cm="1">
        <f t="array" aca="1" ref="G240" ca="1">IFERROR(INDIRECT($D$2&amp;"!h"&amp;T240),INDIRECT("'"&amp;$D$2&amp;"'"&amp;"!h"&amp;T240))</f>
        <v/>
      </c>
      <c r="H240" s="125" t="str" cm="1">
        <f t="array" aca="1" ref="H240" ca="1">IFERROR(INDIRECT($D$2&amp;"!i"&amp;T240),INDIRECT("'"&amp;$D$2&amp;"'"&amp;"!i"&amp;T240))</f>
        <v/>
      </c>
      <c r="I240" s="113" t="str" cm="1">
        <f t="array" aca="1" ref="I240" ca="1">IFERROR(IF($C240="","",INDIRECT($D$2&amp;"!j"&amp;$T240)+INDIRECT($D$2&amp;"!n"&amp;$T240)),IF($C240="","",INDIRECT("'"&amp;$D$2&amp;"'"&amp;"!j"&amp;$T240)+INDIRECT("'"&amp;$D$2&amp;"'"&amp;"!n"&amp;$T240)))</f>
        <v/>
      </c>
      <c r="J240" s="113" t="str">
        <f t="shared" ca="1" si="12"/>
        <v/>
      </c>
      <c r="K240" s="113" t="str" cm="1">
        <f t="array" aca="1" ref="K240" ca="1">IFERROR(IF($C240="","",INDIRECT($D$2&amp;"!l"&amp;$T240)+INDIRECT($D$2&amp;"!p"&amp;$T240)),IF($C240="","",INDIRECT("'"&amp;$D$2&amp;"'"&amp;"!l"&amp;$T240)+INDIRECT("'"&amp;$D$2&amp;"'"&amp;"!p"&amp;$T240)))</f>
        <v/>
      </c>
      <c r="M240" s="113" t="str" cm="1">
        <f t="array" aca="1" ref="M240" ca="1">IFERROR(IF($C240="","",INDIRECT($D$2&amp;"!r"&amp;T240)),IF($C240="","",INDIRECT("'"&amp;$D$2&amp;"'"&amp;"!r"&amp;T240)))</f>
        <v/>
      </c>
      <c r="N240" s="113" t="str">
        <f t="shared" ca="1" si="13"/>
        <v/>
      </c>
      <c r="O240" s="113" t="str" cm="1">
        <f t="array" aca="1" ref="O240" ca="1">IFERROR(IF($C240="","",INDIRECT($D$2&amp;"!t"&amp;T240)),IF($C240="","",INDIRECT("'"&amp;$D$2&amp;"'"&amp;"!t"&amp;T240)))</f>
        <v/>
      </c>
      <c r="Q240" s="113" t="str" cm="1">
        <f t="array" aca="1" ref="Q240" ca="1">IFERROR(IF($C240="","",INDIRECT($D$2&amp;"!v"&amp;T240)),IF($C240="","",INDIRECT("'"&amp;$D$2&amp;"'"&amp;"!v"&amp;T240)))</f>
        <v/>
      </c>
      <c r="R240" s="113" t="str">
        <f t="shared" ca="1" si="14"/>
        <v/>
      </c>
      <c r="S240" s="113" t="str" cm="1">
        <f t="array" aca="1" ref="S240" ca="1">IFERROR(IF($C240="","",INDIRECT($D$2&amp;"!x"&amp;T240)),IF($C240="","",INDIRECT("'"&amp;$D$2&amp;"'"&amp;"!x"&amp;T240)))</f>
        <v/>
      </c>
      <c r="T240" s="35">
        <v>228</v>
      </c>
      <c r="U240" s="113"/>
      <c r="V240" s="35">
        <v>228</v>
      </c>
    </row>
    <row r="241" spans="3:22" x14ac:dyDescent="0.25">
      <c r="C241" t="str" cm="1">
        <f t="array" aca="1" ref="C241" ca="1">IFERROR(IF(INDIRECT($D$2&amp;"!B"&amp;T241)="","",INDIRECT("'"&amp;$D$2&amp;"'"&amp;"!B"&amp;T241)),IF(INDIRECT("'"&amp;$D$2&amp;"'"&amp;"!B"&amp;T241)="","",INDIRECT("'"&amp;$D$2&amp;"'"&amp;"!B"&amp;T241)))</f>
        <v/>
      </c>
      <c r="D241" t="str" cm="1">
        <f t="array" aca="1" ref="D241" ca="1">IFERROR(_xlfn.IFS(C241="","",C241&lt;&gt;"",INDEX(SF_Output!I:I,MATCH(C241,SF_Output!M:M,0))),IFERROR(INDEX(INDIRECT($D$2&amp;"!G:G"),MATCH(C241,INDIRECT($D$2&amp;"!B:B"),0)),INDEX(INDIRECT("'"&amp;$D$2&amp;"'!G:G"),MATCH(C241,INDIRECT("'"&amp;$D$2&amp;"'!B:B"),0))))</f>
        <v/>
      </c>
      <c r="E241" t="str" cm="1">
        <f t="array" aca="1" ref="E241" ca="1">IFERROR(IF(C241="","",INDIRECT($D$2&amp;"!F"&amp;T241)),IF(C241="","",INDIRECT("'"&amp;$D$2&amp;"'"&amp;"!F"&amp;T241)))</f>
        <v/>
      </c>
      <c r="F241" t="str" cm="1">
        <f t="array" aca="1" ref="F241" ca="1">IFERROR(IF(C241="","",INDIRECT($D$2&amp;"!ak"&amp;T241)),IF(C241="","",INDIRECT("'"&amp;$D$2&amp;"'"&amp;"!ak"&amp;T241)))</f>
        <v/>
      </c>
      <c r="G241" t="str" cm="1">
        <f t="array" aca="1" ref="G241" ca="1">IFERROR(INDIRECT($D$2&amp;"!h"&amp;T241),INDIRECT("'"&amp;$D$2&amp;"'"&amp;"!h"&amp;T241))</f>
        <v/>
      </c>
      <c r="H241" s="125" t="str" cm="1">
        <f t="array" aca="1" ref="H241" ca="1">IFERROR(INDIRECT($D$2&amp;"!i"&amp;T241),INDIRECT("'"&amp;$D$2&amp;"'"&amp;"!i"&amp;T241))</f>
        <v/>
      </c>
      <c r="I241" s="113" t="str" cm="1">
        <f t="array" aca="1" ref="I241" ca="1">IFERROR(IF($C241="","",INDIRECT($D$2&amp;"!j"&amp;$T241)+INDIRECT($D$2&amp;"!n"&amp;$T241)),IF($C241="","",INDIRECT("'"&amp;$D$2&amp;"'"&amp;"!j"&amp;$T241)+INDIRECT("'"&amp;$D$2&amp;"'"&amp;"!n"&amp;$T241)))</f>
        <v/>
      </c>
      <c r="J241" s="113" t="str">
        <f t="shared" ca="1" si="12"/>
        <v/>
      </c>
      <c r="K241" s="113" t="str" cm="1">
        <f t="array" aca="1" ref="K241" ca="1">IFERROR(IF($C241="","",INDIRECT($D$2&amp;"!l"&amp;$T241)+INDIRECT($D$2&amp;"!p"&amp;$T241)),IF($C241="","",INDIRECT("'"&amp;$D$2&amp;"'"&amp;"!l"&amp;$T241)+INDIRECT("'"&amp;$D$2&amp;"'"&amp;"!p"&amp;$T241)))</f>
        <v/>
      </c>
      <c r="M241" s="113" t="str" cm="1">
        <f t="array" aca="1" ref="M241" ca="1">IFERROR(IF($C241="","",INDIRECT($D$2&amp;"!r"&amp;T241)),IF($C241="","",INDIRECT("'"&amp;$D$2&amp;"'"&amp;"!r"&amp;T241)))</f>
        <v/>
      </c>
      <c r="N241" s="113" t="str">
        <f t="shared" ca="1" si="13"/>
        <v/>
      </c>
      <c r="O241" s="113" t="str" cm="1">
        <f t="array" aca="1" ref="O241" ca="1">IFERROR(IF($C241="","",INDIRECT($D$2&amp;"!t"&amp;T241)),IF($C241="","",INDIRECT("'"&amp;$D$2&amp;"'"&amp;"!t"&amp;T241)))</f>
        <v/>
      </c>
      <c r="Q241" s="113" t="str" cm="1">
        <f t="array" aca="1" ref="Q241" ca="1">IFERROR(IF($C241="","",INDIRECT($D$2&amp;"!v"&amp;T241)),IF($C241="","",INDIRECT("'"&amp;$D$2&amp;"'"&amp;"!v"&amp;T241)))</f>
        <v/>
      </c>
      <c r="R241" s="113" t="str">
        <f t="shared" ca="1" si="14"/>
        <v/>
      </c>
      <c r="S241" s="113" t="str" cm="1">
        <f t="array" aca="1" ref="S241" ca="1">IFERROR(IF($C241="","",INDIRECT($D$2&amp;"!x"&amp;T241)),IF($C241="","",INDIRECT("'"&amp;$D$2&amp;"'"&amp;"!x"&amp;T241)))</f>
        <v/>
      </c>
      <c r="T241" s="35">
        <v>229</v>
      </c>
      <c r="U241" s="113"/>
      <c r="V241" s="35">
        <v>229</v>
      </c>
    </row>
    <row r="242" spans="3:22" x14ac:dyDescent="0.25">
      <c r="C242" t="str" cm="1">
        <f t="array" aca="1" ref="C242" ca="1">IFERROR(IF(INDIRECT($D$2&amp;"!B"&amp;T242)="","",INDIRECT("'"&amp;$D$2&amp;"'"&amp;"!B"&amp;T242)),IF(INDIRECT("'"&amp;$D$2&amp;"'"&amp;"!B"&amp;T242)="","",INDIRECT("'"&amp;$D$2&amp;"'"&amp;"!B"&amp;T242)))</f>
        <v/>
      </c>
      <c r="D242" t="str" cm="1">
        <f t="array" aca="1" ref="D242" ca="1">IFERROR(_xlfn.IFS(C242="","",C242&lt;&gt;"",INDEX(SF_Output!I:I,MATCH(C242,SF_Output!M:M,0))),IFERROR(INDEX(INDIRECT($D$2&amp;"!G:G"),MATCH(C242,INDIRECT($D$2&amp;"!B:B"),0)),INDEX(INDIRECT("'"&amp;$D$2&amp;"'!G:G"),MATCH(C242,INDIRECT("'"&amp;$D$2&amp;"'!B:B"),0))))</f>
        <v/>
      </c>
      <c r="E242" t="str" cm="1">
        <f t="array" aca="1" ref="E242" ca="1">IFERROR(IF(C242="","",INDIRECT($D$2&amp;"!F"&amp;T242)),IF(C242="","",INDIRECT("'"&amp;$D$2&amp;"'"&amp;"!F"&amp;T242)))</f>
        <v/>
      </c>
      <c r="F242" t="str" cm="1">
        <f t="array" aca="1" ref="F242" ca="1">IFERROR(IF(C242="","",INDIRECT($D$2&amp;"!ak"&amp;T242)),IF(C242="","",INDIRECT("'"&amp;$D$2&amp;"'"&amp;"!ak"&amp;T242)))</f>
        <v/>
      </c>
      <c r="G242" t="str" cm="1">
        <f t="array" aca="1" ref="G242" ca="1">IFERROR(INDIRECT($D$2&amp;"!h"&amp;T242),INDIRECT("'"&amp;$D$2&amp;"'"&amp;"!h"&amp;T242))</f>
        <v/>
      </c>
      <c r="H242" s="125" t="str" cm="1">
        <f t="array" aca="1" ref="H242" ca="1">IFERROR(INDIRECT($D$2&amp;"!i"&amp;T242),INDIRECT("'"&amp;$D$2&amp;"'"&amp;"!i"&amp;T242))</f>
        <v/>
      </c>
      <c r="I242" s="113" t="str" cm="1">
        <f t="array" aca="1" ref="I242" ca="1">IFERROR(IF($C242="","",INDIRECT($D$2&amp;"!j"&amp;$T242)+INDIRECT($D$2&amp;"!n"&amp;$T242)),IF($C242="","",INDIRECT("'"&amp;$D$2&amp;"'"&amp;"!j"&amp;$T242)+INDIRECT("'"&amp;$D$2&amp;"'"&amp;"!n"&amp;$T242)))</f>
        <v/>
      </c>
      <c r="J242" s="113" t="str">
        <f t="shared" ca="1" si="12"/>
        <v/>
      </c>
      <c r="K242" s="113" t="str" cm="1">
        <f t="array" aca="1" ref="K242" ca="1">IFERROR(IF($C242="","",INDIRECT($D$2&amp;"!l"&amp;$T242)+INDIRECT($D$2&amp;"!p"&amp;$T242)),IF($C242="","",INDIRECT("'"&amp;$D$2&amp;"'"&amp;"!l"&amp;$T242)+INDIRECT("'"&amp;$D$2&amp;"'"&amp;"!p"&amp;$T242)))</f>
        <v/>
      </c>
      <c r="M242" s="113" t="str" cm="1">
        <f t="array" aca="1" ref="M242" ca="1">IFERROR(IF($C242="","",INDIRECT($D$2&amp;"!r"&amp;T242)),IF($C242="","",INDIRECT("'"&amp;$D$2&amp;"'"&amp;"!r"&amp;T242)))</f>
        <v/>
      </c>
      <c r="N242" s="113" t="str">
        <f t="shared" ca="1" si="13"/>
        <v/>
      </c>
      <c r="O242" s="113" t="str" cm="1">
        <f t="array" aca="1" ref="O242" ca="1">IFERROR(IF($C242="","",INDIRECT($D$2&amp;"!t"&amp;T242)),IF($C242="","",INDIRECT("'"&amp;$D$2&amp;"'"&amp;"!t"&amp;T242)))</f>
        <v/>
      </c>
      <c r="Q242" s="113" t="str" cm="1">
        <f t="array" aca="1" ref="Q242" ca="1">IFERROR(IF($C242="","",INDIRECT($D$2&amp;"!v"&amp;T242)),IF($C242="","",INDIRECT("'"&amp;$D$2&amp;"'"&amp;"!v"&amp;T242)))</f>
        <v/>
      </c>
      <c r="R242" s="113" t="str">
        <f t="shared" ca="1" si="14"/>
        <v/>
      </c>
      <c r="S242" s="113" t="str" cm="1">
        <f t="array" aca="1" ref="S242" ca="1">IFERROR(IF($C242="","",INDIRECT($D$2&amp;"!x"&amp;T242)),IF($C242="","",INDIRECT("'"&amp;$D$2&amp;"'"&amp;"!x"&amp;T242)))</f>
        <v/>
      </c>
      <c r="T242" s="35">
        <v>230</v>
      </c>
      <c r="U242" s="113"/>
      <c r="V242" s="35">
        <v>230</v>
      </c>
    </row>
    <row r="243" spans="3:22" x14ac:dyDescent="0.25">
      <c r="C243" t="str" cm="1">
        <f t="array" aca="1" ref="C243" ca="1">IFERROR(IF(INDIRECT($D$2&amp;"!B"&amp;T243)="","",INDIRECT("'"&amp;$D$2&amp;"'"&amp;"!B"&amp;T243)),IF(INDIRECT("'"&amp;$D$2&amp;"'"&amp;"!B"&amp;T243)="","",INDIRECT("'"&amp;$D$2&amp;"'"&amp;"!B"&amp;T243)))</f>
        <v/>
      </c>
      <c r="D243" t="str" cm="1">
        <f t="array" aca="1" ref="D243" ca="1">IFERROR(_xlfn.IFS(C243="","",C243&lt;&gt;"",INDEX(SF_Output!I:I,MATCH(C243,SF_Output!M:M,0))),IFERROR(INDEX(INDIRECT($D$2&amp;"!G:G"),MATCH(C243,INDIRECT($D$2&amp;"!B:B"),0)),INDEX(INDIRECT("'"&amp;$D$2&amp;"'!G:G"),MATCH(C243,INDIRECT("'"&amp;$D$2&amp;"'!B:B"),0))))</f>
        <v/>
      </c>
      <c r="E243" t="str" cm="1">
        <f t="array" aca="1" ref="E243" ca="1">IFERROR(IF(C243="","",INDIRECT($D$2&amp;"!F"&amp;T243)),IF(C243="","",INDIRECT("'"&amp;$D$2&amp;"'"&amp;"!F"&amp;T243)))</f>
        <v/>
      </c>
      <c r="F243" t="str" cm="1">
        <f t="array" aca="1" ref="F243" ca="1">IFERROR(IF(C243="","",INDIRECT($D$2&amp;"!ak"&amp;T243)),IF(C243="","",INDIRECT("'"&amp;$D$2&amp;"'"&amp;"!ak"&amp;T243)))</f>
        <v/>
      </c>
      <c r="G243" t="str" cm="1">
        <f t="array" aca="1" ref="G243" ca="1">IFERROR(INDIRECT($D$2&amp;"!h"&amp;T243),INDIRECT("'"&amp;$D$2&amp;"'"&amp;"!h"&amp;T243))</f>
        <v/>
      </c>
      <c r="H243" s="125" t="str" cm="1">
        <f t="array" aca="1" ref="H243" ca="1">IFERROR(INDIRECT($D$2&amp;"!i"&amp;T243),INDIRECT("'"&amp;$D$2&amp;"'"&amp;"!i"&amp;T243))</f>
        <v/>
      </c>
      <c r="I243" s="113" t="str" cm="1">
        <f t="array" aca="1" ref="I243" ca="1">IFERROR(IF($C243="","",INDIRECT($D$2&amp;"!j"&amp;$T243)+INDIRECT($D$2&amp;"!n"&amp;$T243)),IF($C243="","",INDIRECT("'"&amp;$D$2&amp;"'"&amp;"!j"&amp;$T243)+INDIRECT("'"&amp;$D$2&amp;"'"&amp;"!n"&amp;$T243)))</f>
        <v/>
      </c>
      <c r="J243" s="113" t="str">
        <f t="shared" ca="1" si="12"/>
        <v/>
      </c>
      <c r="K243" s="113" t="str" cm="1">
        <f t="array" aca="1" ref="K243" ca="1">IFERROR(IF($C243="","",INDIRECT($D$2&amp;"!l"&amp;$T243)+INDIRECT($D$2&amp;"!p"&amp;$T243)),IF($C243="","",INDIRECT("'"&amp;$D$2&amp;"'"&amp;"!l"&amp;$T243)+INDIRECT("'"&amp;$D$2&amp;"'"&amp;"!p"&amp;$T243)))</f>
        <v/>
      </c>
      <c r="M243" s="113" t="str" cm="1">
        <f t="array" aca="1" ref="M243" ca="1">IFERROR(IF($C243="","",INDIRECT($D$2&amp;"!r"&amp;T243)),IF($C243="","",INDIRECT("'"&amp;$D$2&amp;"'"&amp;"!r"&amp;T243)))</f>
        <v/>
      </c>
      <c r="N243" s="113" t="str">
        <f t="shared" ca="1" si="13"/>
        <v/>
      </c>
      <c r="O243" s="113" t="str" cm="1">
        <f t="array" aca="1" ref="O243" ca="1">IFERROR(IF($C243="","",INDIRECT($D$2&amp;"!t"&amp;T243)),IF($C243="","",INDIRECT("'"&amp;$D$2&amp;"'"&amp;"!t"&amp;T243)))</f>
        <v/>
      </c>
      <c r="Q243" s="113" t="str" cm="1">
        <f t="array" aca="1" ref="Q243" ca="1">IFERROR(IF($C243="","",INDIRECT($D$2&amp;"!v"&amp;T243)),IF($C243="","",INDIRECT("'"&amp;$D$2&amp;"'"&amp;"!v"&amp;T243)))</f>
        <v/>
      </c>
      <c r="R243" s="113" t="str">
        <f t="shared" ca="1" si="14"/>
        <v/>
      </c>
      <c r="S243" s="113" t="str" cm="1">
        <f t="array" aca="1" ref="S243" ca="1">IFERROR(IF($C243="","",INDIRECT($D$2&amp;"!x"&amp;T243)),IF($C243="","",INDIRECT("'"&amp;$D$2&amp;"'"&amp;"!x"&amp;T243)))</f>
        <v/>
      </c>
      <c r="T243" s="35">
        <v>231</v>
      </c>
      <c r="U243" s="113"/>
      <c r="V243" s="35">
        <v>231</v>
      </c>
    </row>
    <row r="244" spans="3:22" x14ac:dyDescent="0.25">
      <c r="C244" t="str" cm="1">
        <f t="array" aca="1" ref="C244" ca="1">IFERROR(IF(INDIRECT($D$2&amp;"!B"&amp;T244)="","",INDIRECT("'"&amp;$D$2&amp;"'"&amp;"!B"&amp;T244)),IF(INDIRECT("'"&amp;$D$2&amp;"'"&amp;"!B"&amp;T244)="","",INDIRECT("'"&amp;$D$2&amp;"'"&amp;"!B"&amp;T244)))</f>
        <v/>
      </c>
      <c r="D244" t="str" cm="1">
        <f t="array" aca="1" ref="D244" ca="1">IFERROR(_xlfn.IFS(C244="","",C244&lt;&gt;"",INDEX(SF_Output!I:I,MATCH(C244,SF_Output!M:M,0))),IFERROR(INDEX(INDIRECT($D$2&amp;"!G:G"),MATCH(C244,INDIRECT($D$2&amp;"!B:B"),0)),INDEX(INDIRECT("'"&amp;$D$2&amp;"'!G:G"),MATCH(C244,INDIRECT("'"&amp;$D$2&amp;"'!B:B"),0))))</f>
        <v/>
      </c>
      <c r="E244" t="str" cm="1">
        <f t="array" aca="1" ref="E244" ca="1">IFERROR(IF(C244="","",INDIRECT($D$2&amp;"!F"&amp;T244)),IF(C244="","",INDIRECT("'"&amp;$D$2&amp;"'"&amp;"!F"&amp;T244)))</f>
        <v/>
      </c>
      <c r="F244" t="str" cm="1">
        <f t="array" aca="1" ref="F244" ca="1">IFERROR(IF(C244="","",INDIRECT($D$2&amp;"!ak"&amp;T244)),IF(C244="","",INDIRECT("'"&amp;$D$2&amp;"'"&amp;"!ak"&amp;T244)))</f>
        <v/>
      </c>
      <c r="G244" t="str" cm="1">
        <f t="array" aca="1" ref="G244" ca="1">IFERROR(INDIRECT($D$2&amp;"!h"&amp;T244),INDIRECT("'"&amp;$D$2&amp;"'"&amp;"!h"&amp;T244))</f>
        <v/>
      </c>
      <c r="H244" s="125" t="str" cm="1">
        <f t="array" aca="1" ref="H244" ca="1">IFERROR(INDIRECT($D$2&amp;"!i"&amp;T244),INDIRECT("'"&amp;$D$2&amp;"'"&amp;"!i"&amp;T244))</f>
        <v/>
      </c>
      <c r="I244" s="113" t="str" cm="1">
        <f t="array" aca="1" ref="I244" ca="1">IFERROR(IF($C244="","",INDIRECT($D$2&amp;"!j"&amp;$T244)+INDIRECT($D$2&amp;"!n"&amp;$T244)),IF($C244="","",INDIRECT("'"&amp;$D$2&amp;"'"&amp;"!j"&amp;$T244)+INDIRECT("'"&amp;$D$2&amp;"'"&amp;"!n"&amp;$T244)))</f>
        <v/>
      </c>
      <c r="J244" s="113" t="str">
        <f t="shared" ca="1" si="12"/>
        <v/>
      </c>
      <c r="K244" s="113" t="str" cm="1">
        <f t="array" aca="1" ref="K244" ca="1">IFERROR(IF($C244="","",INDIRECT($D$2&amp;"!l"&amp;$T244)+INDIRECT($D$2&amp;"!p"&amp;$T244)),IF($C244="","",INDIRECT("'"&amp;$D$2&amp;"'"&amp;"!l"&amp;$T244)+INDIRECT("'"&amp;$D$2&amp;"'"&amp;"!p"&amp;$T244)))</f>
        <v/>
      </c>
      <c r="M244" s="113" t="str" cm="1">
        <f t="array" aca="1" ref="M244" ca="1">IFERROR(IF($C244="","",INDIRECT($D$2&amp;"!r"&amp;T244)),IF($C244="","",INDIRECT("'"&amp;$D$2&amp;"'"&amp;"!r"&amp;T244)))</f>
        <v/>
      </c>
      <c r="N244" s="113" t="str">
        <f t="shared" ca="1" si="13"/>
        <v/>
      </c>
      <c r="O244" s="113" t="str" cm="1">
        <f t="array" aca="1" ref="O244" ca="1">IFERROR(IF($C244="","",INDIRECT($D$2&amp;"!t"&amp;T244)),IF($C244="","",INDIRECT("'"&amp;$D$2&amp;"'"&amp;"!t"&amp;T244)))</f>
        <v/>
      </c>
      <c r="Q244" s="113" t="str" cm="1">
        <f t="array" aca="1" ref="Q244" ca="1">IFERROR(IF($C244="","",INDIRECT($D$2&amp;"!v"&amp;T244)),IF($C244="","",INDIRECT("'"&amp;$D$2&amp;"'"&amp;"!v"&amp;T244)))</f>
        <v/>
      </c>
      <c r="R244" s="113" t="str">
        <f t="shared" ca="1" si="14"/>
        <v/>
      </c>
      <c r="S244" s="113" t="str" cm="1">
        <f t="array" aca="1" ref="S244" ca="1">IFERROR(IF($C244="","",INDIRECT($D$2&amp;"!x"&amp;T244)),IF($C244="","",INDIRECT("'"&amp;$D$2&amp;"'"&amp;"!x"&amp;T244)))</f>
        <v/>
      </c>
      <c r="T244" s="35">
        <v>232</v>
      </c>
      <c r="U244" s="113"/>
      <c r="V244" s="35">
        <v>232</v>
      </c>
    </row>
    <row r="245" spans="3:22" x14ac:dyDescent="0.25">
      <c r="C245" t="str" cm="1">
        <f t="array" aca="1" ref="C245" ca="1">IFERROR(IF(INDIRECT($D$2&amp;"!B"&amp;T245)="","",INDIRECT("'"&amp;$D$2&amp;"'"&amp;"!B"&amp;T245)),IF(INDIRECT("'"&amp;$D$2&amp;"'"&amp;"!B"&amp;T245)="","",INDIRECT("'"&amp;$D$2&amp;"'"&amp;"!B"&amp;T245)))</f>
        <v/>
      </c>
      <c r="D245" t="str" cm="1">
        <f t="array" aca="1" ref="D245" ca="1">IFERROR(_xlfn.IFS(C245="","",C245&lt;&gt;"",INDEX(SF_Output!I:I,MATCH(C245,SF_Output!M:M,0))),IFERROR(INDEX(INDIRECT($D$2&amp;"!G:G"),MATCH(C245,INDIRECT($D$2&amp;"!B:B"),0)),INDEX(INDIRECT("'"&amp;$D$2&amp;"'!G:G"),MATCH(C245,INDIRECT("'"&amp;$D$2&amp;"'!B:B"),0))))</f>
        <v/>
      </c>
      <c r="E245" t="str" cm="1">
        <f t="array" aca="1" ref="E245" ca="1">IFERROR(IF(C245="","",INDIRECT($D$2&amp;"!F"&amp;T245)),IF(C245="","",INDIRECT("'"&amp;$D$2&amp;"'"&amp;"!F"&amp;T245)))</f>
        <v/>
      </c>
      <c r="F245" t="str" cm="1">
        <f t="array" aca="1" ref="F245" ca="1">IFERROR(IF(C245="","",INDIRECT($D$2&amp;"!ak"&amp;T245)),IF(C245="","",INDIRECT("'"&amp;$D$2&amp;"'"&amp;"!ak"&amp;T245)))</f>
        <v/>
      </c>
      <c r="G245" t="str" cm="1">
        <f t="array" aca="1" ref="G245" ca="1">IFERROR(INDIRECT($D$2&amp;"!h"&amp;T245),INDIRECT("'"&amp;$D$2&amp;"'"&amp;"!h"&amp;T245))</f>
        <v/>
      </c>
      <c r="H245" s="125" t="str" cm="1">
        <f t="array" aca="1" ref="H245" ca="1">IFERROR(INDIRECT($D$2&amp;"!i"&amp;T245),INDIRECT("'"&amp;$D$2&amp;"'"&amp;"!i"&amp;T245))</f>
        <v/>
      </c>
      <c r="I245" s="113" t="str" cm="1">
        <f t="array" aca="1" ref="I245" ca="1">IFERROR(IF($C245="","",INDIRECT($D$2&amp;"!j"&amp;$T245)+INDIRECT($D$2&amp;"!n"&amp;$T245)),IF($C245="","",INDIRECT("'"&amp;$D$2&amp;"'"&amp;"!j"&amp;$T245)+INDIRECT("'"&amp;$D$2&amp;"'"&amp;"!n"&amp;$T245)))</f>
        <v/>
      </c>
      <c r="J245" s="113" t="str">
        <f t="shared" ca="1" si="12"/>
        <v/>
      </c>
      <c r="K245" s="113" t="str" cm="1">
        <f t="array" aca="1" ref="K245" ca="1">IFERROR(IF($C245="","",INDIRECT($D$2&amp;"!l"&amp;$T245)+INDIRECT($D$2&amp;"!p"&amp;$T245)),IF($C245="","",INDIRECT("'"&amp;$D$2&amp;"'"&amp;"!l"&amp;$T245)+INDIRECT("'"&amp;$D$2&amp;"'"&amp;"!p"&amp;$T245)))</f>
        <v/>
      </c>
      <c r="M245" s="113" t="str" cm="1">
        <f t="array" aca="1" ref="M245" ca="1">IFERROR(IF($C245="","",INDIRECT($D$2&amp;"!r"&amp;T245)),IF($C245="","",INDIRECT("'"&amp;$D$2&amp;"'"&amp;"!r"&amp;T245)))</f>
        <v/>
      </c>
      <c r="N245" s="113" t="str">
        <f t="shared" ca="1" si="13"/>
        <v/>
      </c>
      <c r="O245" s="113" t="str" cm="1">
        <f t="array" aca="1" ref="O245" ca="1">IFERROR(IF($C245="","",INDIRECT($D$2&amp;"!t"&amp;T245)),IF($C245="","",INDIRECT("'"&amp;$D$2&amp;"'"&amp;"!t"&amp;T245)))</f>
        <v/>
      </c>
      <c r="Q245" s="113" t="str" cm="1">
        <f t="array" aca="1" ref="Q245" ca="1">IFERROR(IF($C245="","",INDIRECT($D$2&amp;"!v"&amp;T245)),IF($C245="","",INDIRECT("'"&amp;$D$2&amp;"'"&amp;"!v"&amp;T245)))</f>
        <v/>
      </c>
      <c r="R245" s="113" t="str">
        <f t="shared" ca="1" si="14"/>
        <v/>
      </c>
      <c r="S245" s="113" t="str" cm="1">
        <f t="array" aca="1" ref="S245" ca="1">IFERROR(IF($C245="","",INDIRECT($D$2&amp;"!x"&amp;T245)),IF($C245="","",INDIRECT("'"&amp;$D$2&amp;"'"&amp;"!x"&amp;T245)))</f>
        <v/>
      </c>
      <c r="T245" s="35">
        <v>233</v>
      </c>
      <c r="U245" s="113"/>
      <c r="V245" s="35">
        <v>233</v>
      </c>
    </row>
    <row r="246" spans="3:22" x14ac:dyDescent="0.25">
      <c r="C246" t="str" cm="1">
        <f t="array" aca="1" ref="C246" ca="1">IFERROR(IF(INDIRECT($D$2&amp;"!B"&amp;T246)="","",INDIRECT("'"&amp;$D$2&amp;"'"&amp;"!B"&amp;T246)),IF(INDIRECT("'"&amp;$D$2&amp;"'"&amp;"!B"&amp;T246)="","",INDIRECT("'"&amp;$D$2&amp;"'"&amp;"!B"&amp;T246)))</f>
        <v/>
      </c>
      <c r="D246" t="str" cm="1">
        <f t="array" aca="1" ref="D246" ca="1">IFERROR(_xlfn.IFS(C246="","",C246&lt;&gt;"",INDEX(SF_Output!I:I,MATCH(C246,SF_Output!M:M,0))),IFERROR(INDEX(INDIRECT($D$2&amp;"!G:G"),MATCH(C246,INDIRECT($D$2&amp;"!B:B"),0)),INDEX(INDIRECT("'"&amp;$D$2&amp;"'!G:G"),MATCH(C246,INDIRECT("'"&amp;$D$2&amp;"'!B:B"),0))))</f>
        <v/>
      </c>
      <c r="E246" t="str" cm="1">
        <f t="array" aca="1" ref="E246" ca="1">IFERROR(IF(C246="","",INDIRECT($D$2&amp;"!F"&amp;T246)),IF(C246="","",INDIRECT("'"&amp;$D$2&amp;"'"&amp;"!F"&amp;T246)))</f>
        <v/>
      </c>
      <c r="F246" t="str" cm="1">
        <f t="array" aca="1" ref="F246" ca="1">IFERROR(IF(C246="","",INDIRECT($D$2&amp;"!ak"&amp;T246)),IF(C246="","",INDIRECT("'"&amp;$D$2&amp;"'"&amp;"!ak"&amp;T246)))</f>
        <v/>
      </c>
      <c r="G246" t="str" cm="1">
        <f t="array" aca="1" ref="G246" ca="1">IFERROR(INDIRECT($D$2&amp;"!h"&amp;T246),INDIRECT("'"&amp;$D$2&amp;"'"&amp;"!h"&amp;T246))</f>
        <v/>
      </c>
      <c r="H246" s="125" t="str" cm="1">
        <f t="array" aca="1" ref="H246" ca="1">IFERROR(INDIRECT($D$2&amp;"!i"&amp;T246),INDIRECT("'"&amp;$D$2&amp;"'"&amp;"!i"&amp;T246))</f>
        <v/>
      </c>
      <c r="I246" s="113" t="str" cm="1">
        <f t="array" aca="1" ref="I246" ca="1">IFERROR(IF($C246="","",INDIRECT($D$2&amp;"!j"&amp;$T246)+INDIRECT($D$2&amp;"!n"&amp;$T246)),IF($C246="","",INDIRECT("'"&amp;$D$2&amp;"'"&amp;"!j"&amp;$T246)+INDIRECT("'"&amp;$D$2&amp;"'"&amp;"!n"&amp;$T246)))</f>
        <v/>
      </c>
      <c r="J246" s="113" t="str">
        <f t="shared" ca="1" si="12"/>
        <v/>
      </c>
      <c r="K246" s="113" t="str" cm="1">
        <f t="array" aca="1" ref="K246" ca="1">IFERROR(IF($C246="","",INDIRECT($D$2&amp;"!l"&amp;$T246)+INDIRECT($D$2&amp;"!p"&amp;$T246)),IF($C246="","",INDIRECT("'"&amp;$D$2&amp;"'"&amp;"!l"&amp;$T246)+INDIRECT("'"&amp;$D$2&amp;"'"&amp;"!p"&amp;$T246)))</f>
        <v/>
      </c>
      <c r="M246" s="113" t="str" cm="1">
        <f t="array" aca="1" ref="M246" ca="1">IFERROR(IF($C246="","",INDIRECT($D$2&amp;"!r"&amp;T246)),IF($C246="","",INDIRECT("'"&amp;$D$2&amp;"'"&amp;"!r"&amp;T246)))</f>
        <v/>
      </c>
      <c r="N246" s="113" t="str">
        <f t="shared" ca="1" si="13"/>
        <v/>
      </c>
      <c r="O246" s="113" t="str" cm="1">
        <f t="array" aca="1" ref="O246" ca="1">IFERROR(IF($C246="","",INDIRECT($D$2&amp;"!t"&amp;T246)),IF($C246="","",INDIRECT("'"&amp;$D$2&amp;"'"&amp;"!t"&amp;T246)))</f>
        <v/>
      </c>
      <c r="Q246" s="113" t="str" cm="1">
        <f t="array" aca="1" ref="Q246" ca="1">IFERROR(IF($C246="","",INDIRECT($D$2&amp;"!v"&amp;T246)),IF($C246="","",INDIRECT("'"&amp;$D$2&amp;"'"&amp;"!v"&amp;T246)))</f>
        <v/>
      </c>
      <c r="R246" s="113" t="str">
        <f t="shared" ca="1" si="14"/>
        <v/>
      </c>
      <c r="S246" s="113" t="str" cm="1">
        <f t="array" aca="1" ref="S246" ca="1">IFERROR(IF($C246="","",INDIRECT($D$2&amp;"!x"&amp;T246)),IF($C246="","",INDIRECT("'"&amp;$D$2&amp;"'"&amp;"!x"&amp;T246)))</f>
        <v/>
      </c>
      <c r="T246" s="35">
        <v>234</v>
      </c>
      <c r="U246" s="113"/>
      <c r="V246" s="35">
        <v>234</v>
      </c>
    </row>
    <row r="247" spans="3:22" x14ac:dyDescent="0.25">
      <c r="C247" t="str" cm="1">
        <f t="array" aca="1" ref="C247" ca="1">IFERROR(IF(INDIRECT($D$2&amp;"!B"&amp;T247)="","",INDIRECT("'"&amp;$D$2&amp;"'"&amp;"!B"&amp;T247)),IF(INDIRECT("'"&amp;$D$2&amp;"'"&amp;"!B"&amp;T247)="","",INDIRECT("'"&amp;$D$2&amp;"'"&amp;"!B"&amp;T247)))</f>
        <v/>
      </c>
      <c r="D247" t="str" cm="1">
        <f t="array" aca="1" ref="D247" ca="1">IFERROR(_xlfn.IFS(C247="","",C247&lt;&gt;"",INDEX(SF_Output!I:I,MATCH(C247,SF_Output!M:M,0))),IFERROR(INDEX(INDIRECT($D$2&amp;"!G:G"),MATCH(C247,INDIRECT($D$2&amp;"!B:B"),0)),INDEX(INDIRECT("'"&amp;$D$2&amp;"'!G:G"),MATCH(C247,INDIRECT("'"&amp;$D$2&amp;"'!B:B"),0))))</f>
        <v/>
      </c>
      <c r="E247" t="str" cm="1">
        <f t="array" aca="1" ref="E247" ca="1">IFERROR(IF(C247="","",INDIRECT($D$2&amp;"!F"&amp;T247)),IF(C247="","",INDIRECT("'"&amp;$D$2&amp;"'"&amp;"!F"&amp;T247)))</f>
        <v/>
      </c>
      <c r="F247" t="str" cm="1">
        <f t="array" aca="1" ref="F247" ca="1">IFERROR(IF(C247="","",INDIRECT($D$2&amp;"!ak"&amp;T247)),IF(C247="","",INDIRECT("'"&amp;$D$2&amp;"'"&amp;"!ak"&amp;T247)))</f>
        <v/>
      </c>
      <c r="G247" t="str" cm="1">
        <f t="array" aca="1" ref="G247" ca="1">IFERROR(INDIRECT($D$2&amp;"!h"&amp;T247),INDIRECT("'"&amp;$D$2&amp;"'"&amp;"!h"&amp;T247))</f>
        <v/>
      </c>
      <c r="H247" s="125" t="str" cm="1">
        <f t="array" aca="1" ref="H247" ca="1">IFERROR(INDIRECT($D$2&amp;"!i"&amp;T247),INDIRECT("'"&amp;$D$2&amp;"'"&amp;"!i"&amp;T247))</f>
        <v/>
      </c>
      <c r="I247" s="113" t="str" cm="1">
        <f t="array" aca="1" ref="I247" ca="1">IFERROR(IF($C247="","",INDIRECT($D$2&amp;"!j"&amp;$T247)+INDIRECT($D$2&amp;"!n"&amp;$T247)),IF($C247="","",INDIRECT("'"&amp;$D$2&amp;"'"&amp;"!j"&amp;$T247)+INDIRECT("'"&amp;$D$2&amp;"'"&amp;"!n"&amp;$T247)))</f>
        <v/>
      </c>
      <c r="J247" s="113" t="str">
        <f t="shared" ca="1" si="12"/>
        <v/>
      </c>
      <c r="K247" s="113" t="str" cm="1">
        <f t="array" aca="1" ref="K247" ca="1">IFERROR(IF($C247="","",INDIRECT($D$2&amp;"!l"&amp;$T247)+INDIRECT($D$2&amp;"!p"&amp;$T247)),IF($C247="","",INDIRECT("'"&amp;$D$2&amp;"'"&amp;"!l"&amp;$T247)+INDIRECT("'"&amp;$D$2&amp;"'"&amp;"!p"&amp;$T247)))</f>
        <v/>
      </c>
      <c r="M247" s="113" t="str" cm="1">
        <f t="array" aca="1" ref="M247" ca="1">IFERROR(IF($C247="","",INDIRECT($D$2&amp;"!r"&amp;T247)),IF($C247="","",INDIRECT("'"&amp;$D$2&amp;"'"&amp;"!r"&amp;T247)))</f>
        <v/>
      </c>
      <c r="N247" s="113" t="str">
        <f t="shared" ca="1" si="13"/>
        <v/>
      </c>
      <c r="O247" s="113" t="str" cm="1">
        <f t="array" aca="1" ref="O247" ca="1">IFERROR(IF($C247="","",INDIRECT($D$2&amp;"!t"&amp;T247)),IF($C247="","",INDIRECT("'"&amp;$D$2&amp;"'"&amp;"!t"&amp;T247)))</f>
        <v/>
      </c>
      <c r="Q247" s="113" t="str" cm="1">
        <f t="array" aca="1" ref="Q247" ca="1">IFERROR(IF($C247="","",INDIRECT($D$2&amp;"!v"&amp;T247)),IF($C247="","",INDIRECT("'"&amp;$D$2&amp;"'"&amp;"!v"&amp;T247)))</f>
        <v/>
      </c>
      <c r="R247" s="113" t="str">
        <f t="shared" ca="1" si="14"/>
        <v/>
      </c>
      <c r="S247" s="113" t="str" cm="1">
        <f t="array" aca="1" ref="S247" ca="1">IFERROR(IF($C247="","",INDIRECT($D$2&amp;"!x"&amp;T247)),IF($C247="","",INDIRECT("'"&amp;$D$2&amp;"'"&amp;"!x"&amp;T247)))</f>
        <v/>
      </c>
      <c r="T247" s="35">
        <v>235</v>
      </c>
      <c r="U247" s="113"/>
      <c r="V247" s="35">
        <v>235</v>
      </c>
    </row>
    <row r="248" spans="3:22" x14ac:dyDescent="0.25">
      <c r="C248" t="str" cm="1">
        <f t="array" aca="1" ref="C248" ca="1">IFERROR(IF(INDIRECT($D$2&amp;"!B"&amp;T248)="","",INDIRECT("'"&amp;$D$2&amp;"'"&amp;"!B"&amp;T248)),IF(INDIRECT("'"&amp;$D$2&amp;"'"&amp;"!B"&amp;T248)="","",INDIRECT("'"&amp;$D$2&amp;"'"&amp;"!B"&amp;T248)))</f>
        <v/>
      </c>
      <c r="D248" t="str" cm="1">
        <f t="array" aca="1" ref="D248" ca="1">IFERROR(_xlfn.IFS(C248="","",C248&lt;&gt;"",INDEX(SF_Output!I:I,MATCH(C248,SF_Output!M:M,0))),IFERROR(INDEX(INDIRECT($D$2&amp;"!G:G"),MATCH(C248,INDIRECT($D$2&amp;"!B:B"),0)),INDEX(INDIRECT("'"&amp;$D$2&amp;"'!G:G"),MATCH(C248,INDIRECT("'"&amp;$D$2&amp;"'!B:B"),0))))</f>
        <v/>
      </c>
      <c r="E248" t="str" cm="1">
        <f t="array" aca="1" ref="E248" ca="1">IFERROR(IF(C248="","",INDIRECT($D$2&amp;"!F"&amp;T248)),IF(C248="","",INDIRECT("'"&amp;$D$2&amp;"'"&amp;"!F"&amp;T248)))</f>
        <v/>
      </c>
      <c r="F248" t="str" cm="1">
        <f t="array" aca="1" ref="F248" ca="1">IFERROR(IF(C248="","",INDIRECT($D$2&amp;"!ak"&amp;T248)),IF(C248="","",INDIRECT("'"&amp;$D$2&amp;"'"&amp;"!ak"&amp;T248)))</f>
        <v/>
      </c>
      <c r="G248" t="str" cm="1">
        <f t="array" aca="1" ref="G248" ca="1">IFERROR(INDIRECT($D$2&amp;"!h"&amp;T248),INDIRECT("'"&amp;$D$2&amp;"'"&amp;"!h"&amp;T248))</f>
        <v/>
      </c>
      <c r="H248" s="125" t="str" cm="1">
        <f t="array" aca="1" ref="H248" ca="1">IFERROR(INDIRECT($D$2&amp;"!i"&amp;T248),INDIRECT("'"&amp;$D$2&amp;"'"&amp;"!i"&amp;T248))</f>
        <v/>
      </c>
      <c r="I248" s="113" t="str" cm="1">
        <f t="array" aca="1" ref="I248" ca="1">IFERROR(IF($C248="","",INDIRECT($D$2&amp;"!j"&amp;$T248)+INDIRECT($D$2&amp;"!n"&amp;$T248)),IF($C248="","",INDIRECT("'"&amp;$D$2&amp;"'"&amp;"!j"&amp;$T248)+INDIRECT("'"&amp;$D$2&amp;"'"&amp;"!n"&amp;$T248)))</f>
        <v/>
      </c>
      <c r="J248" s="113" t="str">
        <f t="shared" ca="1" si="12"/>
        <v/>
      </c>
      <c r="K248" s="113" t="str" cm="1">
        <f t="array" aca="1" ref="K248" ca="1">IFERROR(IF($C248="","",INDIRECT($D$2&amp;"!l"&amp;$T248)+INDIRECT($D$2&amp;"!p"&amp;$T248)),IF($C248="","",INDIRECT("'"&amp;$D$2&amp;"'"&amp;"!l"&amp;$T248)+INDIRECT("'"&amp;$D$2&amp;"'"&amp;"!p"&amp;$T248)))</f>
        <v/>
      </c>
      <c r="M248" s="113" t="str" cm="1">
        <f t="array" aca="1" ref="M248" ca="1">IFERROR(IF($C248="","",INDIRECT($D$2&amp;"!r"&amp;T248)),IF($C248="","",INDIRECT("'"&amp;$D$2&amp;"'"&amp;"!r"&amp;T248)))</f>
        <v/>
      </c>
      <c r="N248" s="113" t="str">
        <f t="shared" ca="1" si="13"/>
        <v/>
      </c>
      <c r="O248" s="113" t="str" cm="1">
        <f t="array" aca="1" ref="O248" ca="1">IFERROR(IF($C248="","",INDIRECT($D$2&amp;"!t"&amp;T248)),IF($C248="","",INDIRECT("'"&amp;$D$2&amp;"'"&amp;"!t"&amp;T248)))</f>
        <v/>
      </c>
      <c r="Q248" s="113" t="str" cm="1">
        <f t="array" aca="1" ref="Q248" ca="1">IFERROR(IF($C248="","",INDIRECT($D$2&amp;"!v"&amp;T248)),IF($C248="","",INDIRECT("'"&amp;$D$2&amp;"'"&amp;"!v"&amp;T248)))</f>
        <v/>
      </c>
      <c r="R248" s="113" t="str">
        <f t="shared" ca="1" si="14"/>
        <v/>
      </c>
      <c r="S248" s="113" t="str" cm="1">
        <f t="array" aca="1" ref="S248" ca="1">IFERROR(IF($C248="","",INDIRECT($D$2&amp;"!x"&amp;T248)),IF($C248="","",INDIRECT("'"&amp;$D$2&amp;"'"&amp;"!x"&amp;T248)))</f>
        <v/>
      </c>
      <c r="T248" s="35">
        <v>236</v>
      </c>
      <c r="U248" s="113"/>
      <c r="V248" s="35">
        <v>236</v>
      </c>
    </row>
    <row r="249" spans="3:22" x14ac:dyDescent="0.25">
      <c r="C249" t="str" cm="1">
        <f t="array" aca="1" ref="C249" ca="1">IFERROR(IF(INDIRECT($D$2&amp;"!B"&amp;T249)="","",INDIRECT("'"&amp;$D$2&amp;"'"&amp;"!B"&amp;T249)),IF(INDIRECT("'"&amp;$D$2&amp;"'"&amp;"!B"&amp;T249)="","",INDIRECT("'"&amp;$D$2&amp;"'"&amp;"!B"&amp;T249)))</f>
        <v/>
      </c>
      <c r="D249" t="str" cm="1">
        <f t="array" aca="1" ref="D249" ca="1">IFERROR(_xlfn.IFS(C249="","",C249&lt;&gt;"",INDEX(SF_Output!I:I,MATCH(C249,SF_Output!M:M,0))),IFERROR(INDEX(INDIRECT($D$2&amp;"!G:G"),MATCH(C249,INDIRECT($D$2&amp;"!B:B"),0)),INDEX(INDIRECT("'"&amp;$D$2&amp;"'!G:G"),MATCH(C249,INDIRECT("'"&amp;$D$2&amp;"'!B:B"),0))))</f>
        <v/>
      </c>
      <c r="E249" t="str" cm="1">
        <f t="array" aca="1" ref="E249" ca="1">IFERROR(IF(C249="","",INDIRECT($D$2&amp;"!F"&amp;T249)),IF(C249="","",INDIRECT("'"&amp;$D$2&amp;"'"&amp;"!F"&amp;T249)))</f>
        <v/>
      </c>
      <c r="F249" t="str" cm="1">
        <f t="array" aca="1" ref="F249" ca="1">IFERROR(IF(C249="","",INDIRECT($D$2&amp;"!ak"&amp;T249)),IF(C249="","",INDIRECT("'"&amp;$D$2&amp;"'"&amp;"!ak"&amp;T249)))</f>
        <v/>
      </c>
      <c r="G249" t="str" cm="1">
        <f t="array" aca="1" ref="G249" ca="1">IFERROR(INDIRECT($D$2&amp;"!h"&amp;T249),INDIRECT("'"&amp;$D$2&amp;"'"&amp;"!h"&amp;T249))</f>
        <v/>
      </c>
      <c r="H249" s="125" t="str" cm="1">
        <f t="array" aca="1" ref="H249" ca="1">IFERROR(INDIRECT($D$2&amp;"!i"&amp;T249),INDIRECT("'"&amp;$D$2&amp;"'"&amp;"!i"&amp;T249))</f>
        <v/>
      </c>
      <c r="I249" s="113" t="str" cm="1">
        <f t="array" aca="1" ref="I249" ca="1">IFERROR(IF($C249="","",INDIRECT($D$2&amp;"!j"&amp;$T249)+INDIRECT($D$2&amp;"!n"&amp;$T249)),IF($C249="","",INDIRECT("'"&amp;$D$2&amp;"'"&amp;"!j"&amp;$T249)+INDIRECT("'"&amp;$D$2&amp;"'"&amp;"!n"&amp;$T249)))</f>
        <v/>
      </c>
      <c r="J249" s="113" t="str">
        <f t="shared" ca="1" si="12"/>
        <v/>
      </c>
      <c r="K249" s="113" t="str" cm="1">
        <f t="array" aca="1" ref="K249" ca="1">IFERROR(IF($C249="","",INDIRECT($D$2&amp;"!l"&amp;$T249)+INDIRECT($D$2&amp;"!p"&amp;$T249)),IF($C249="","",INDIRECT("'"&amp;$D$2&amp;"'"&amp;"!l"&amp;$T249)+INDIRECT("'"&amp;$D$2&amp;"'"&amp;"!p"&amp;$T249)))</f>
        <v/>
      </c>
      <c r="M249" s="113" t="str" cm="1">
        <f t="array" aca="1" ref="M249" ca="1">IFERROR(IF($C249="","",INDIRECT($D$2&amp;"!r"&amp;T249)),IF($C249="","",INDIRECT("'"&amp;$D$2&amp;"'"&amp;"!r"&amp;T249)))</f>
        <v/>
      </c>
      <c r="N249" s="113" t="str">
        <f t="shared" ca="1" si="13"/>
        <v/>
      </c>
      <c r="O249" s="113" t="str" cm="1">
        <f t="array" aca="1" ref="O249" ca="1">IFERROR(IF($C249="","",INDIRECT($D$2&amp;"!t"&amp;T249)),IF($C249="","",INDIRECT("'"&amp;$D$2&amp;"'"&amp;"!t"&amp;T249)))</f>
        <v/>
      </c>
      <c r="Q249" s="113" t="str" cm="1">
        <f t="array" aca="1" ref="Q249" ca="1">IFERROR(IF($C249="","",INDIRECT($D$2&amp;"!v"&amp;T249)),IF($C249="","",INDIRECT("'"&amp;$D$2&amp;"'"&amp;"!v"&amp;T249)))</f>
        <v/>
      </c>
      <c r="R249" s="113" t="str">
        <f t="shared" ca="1" si="14"/>
        <v/>
      </c>
      <c r="S249" s="113" t="str" cm="1">
        <f t="array" aca="1" ref="S249" ca="1">IFERROR(IF($C249="","",INDIRECT($D$2&amp;"!x"&amp;T249)),IF($C249="","",INDIRECT("'"&amp;$D$2&amp;"'"&amp;"!x"&amp;T249)))</f>
        <v/>
      </c>
      <c r="T249" s="35">
        <v>237</v>
      </c>
      <c r="U249" s="113"/>
      <c r="V249" s="35">
        <v>237</v>
      </c>
    </row>
    <row r="250" spans="3:22" x14ac:dyDescent="0.25">
      <c r="C250" t="str" cm="1">
        <f t="array" aca="1" ref="C250" ca="1">IFERROR(IF(INDIRECT($D$2&amp;"!B"&amp;T250)="","",INDIRECT("'"&amp;$D$2&amp;"'"&amp;"!B"&amp;T250)),IF(INDIRECT("'"&amp;$D$2&amp;"'"&amp;"!B"&amp;T250)="","",INDIRECT("'"&amp;$D$2&amp;"'"&amp;"!B"&amp;T250)))</f>
        <v/>
      </c>
      <c r="D250" t="str" cm="1">
        <f t="array" aca="1" ref="D250" ca="1">IFERROR(_xlfn.IFS(C250="","",C250&lt;&gt;"",INDEX(SF_Output!I:I,MATCH(C250,SF_Output!M:M,0))),IFERROR(INDEX(INDIRECT($D$2&amp;"!G:G"),MATCH(C250,INDIRECT($D$2&amp;"!B:B"),0)),INDEX(INDIRECT("'"&amp;$D$2&amp;"'!G:G"),MATCH(C250,INDIRECT("'"&amp;$D$2&amp;"'!B:B"),0))))</f>
        <v/>
      </c>
      <c r="E250" t="str" cm="1">
        <f t="array" aca="1" ref="E250" ca="1">IFERROR(IF(C250="","",INDIRECT($D$2&amp;"!F"&amp;T250)),IF(C250="","",INDIRECT("'"&amp;$D$2&amp;"'"&amp;"!F"&amp;T250)))</f>
        <v/>
      </c>
      <c r="F250" t="str" cm="1">
        <f t="array" aca="1" ref="F250" ca="1">IFERROR(IF(C250="","",INDIRECT($D$2&amp;"!ak"&amp;T250)),IF(C250="","",INDIRECT("'"&amp;$D$2&amp;"'"&amp;"!ak"&amp;T250)))</f>
        <v/>
      </c>
      <c r="G250" t="str" cm="1">
        <f t="array" aca="1" ref="G250" ca="1">IFERROR(INDIRECT($D$2&amp;"!h"&amp;T250),INDIRECT("'"&amp;$D$2&amp;"'"&amp;"!h"&amp;T250))</f>
        <v/>
      </c>
      <c r="H250" s="125" t="str" cm="1">
        <f t="array" aca="1" ref="H250" ca="1">IFERROR(INDIRECT($D$2&amp;"!i"&amp;T250),INDIRECT("'"&amp;$D$2&amp;"'"&amp;"!i"&amp;T250))</f>
        <v/>
      </c>
      <c r="I250" s="113" t="str" cm="1">
        <f t="array" aca="1" ref="I250" ca="1">IFERROR(IF($C250="","",INDIRECT($D$2&amp;"!j"&amp;$T250)+INDIRECT($D$2&amp;"!n"&amp;$T250)),IF($C250="","",INDIRECT("'"&amp;$D$2&amp;"'"&amp;"!j"&amp;$T250)+INDIRECT("'"&amp;$D$2&amp;"'"&amp;"!n"&amp;$T250)))</f>
        <v/>
      </c>
      <c r="J250" s="113" t="str">
        <f t="shared" ca="1" si="12"/>
        <v/>
      </c>
      <c r="K250" s="113" t="str" cm="1">
        <f t="array" aca="1" ref="K250" ca="1">IFERROR(IF($C250="","",INDIRECT($D$2&amp;"!l"&amp;$T250)+INDIRECT($D$2&amp;"!p"&amp;$T250)),IF($C250="","",INDIRECT("'"&amp;$D$2&amp;"'"&amp;"!l"&amp;$T250)+INDIRECT("'"&amp;$D$2&amp;"'"&amp;"!p"&amp;$T250)))</f>
        <v/>
      </c>
      <c r="M250" s="113" t="str" cm="1">
        <f t="array" aca="1" ref="M250" ca="1">IFERROR(IF($C250="","",INDIRECT($D$2&amp;"!r"&amp;T250)),IF($C250="","",INDIRECT("'"&amp;$D$2&amp;"'"&amp;"!r"&amp;T250)))</f>
        <v/>
      </c>
      <c r="N250" s="113" t="str">
        <f t="shared" ca="1" si="13"/>
        <v/>
      </c>
      <c r="O250" s="113" t="str" cm="1">
        <f t="array" aca="1" ref="O250" ca="1">IFERROR(IF($C250="","",INDIRECT($D$2&amp;"!t"&amp;T250)),IF($C250="","",INDIRECT("'"&amp;$D$2&amp;"'"&amp;"!t"&amp;T250)))</f>
        <v/>
      </c>
      <c r="Q250" s="113" t="str" cm="1">
        <f t="array" aca="1" ref="Q250" ca="1">IFERROR(IF($C250="","",INDIRECT($D$2&amp;"!v"&amp;T250)),IF($C250="","",INDIRECT("'"&amp;$D$2&amp;"'"&amp;"!v"&amp;T250)))</f>
        <v/>
      </c>
      <c r="R250" s="113" t="str">
        <f t="shared" ca="1" si="14"/>
        <v/>
      </c>
      <c r="S250" s="113" t="str" cm="1">
        <f t="array" aca="1" ref="S250" ca="1">IFERROR(IF($C250="","",INDIRECT($D$2&amp;"!x"&amp;T250)),IF($C250="","",INDIRECT("'"&amp;$D$2&amp;"'"&amp;"!x"&amp;T250)))</f>
        <v/>
      </c>
      <c r="T250" s="35">
        <v>238</v>
      </c>
      <c r="U250" s="113"/>
      <c r="V250" s="35">
        <v>238</v>
      </c>
    </row>
    <row r="251" spans="3:22" x14ac:dyDescent="0.25">
      <c r="C251" t="str" cm="1">
        <f t="array" aca="1" ref="C251" ca="1">IFERROR(IF(INDIRECT($D$2&amp;"!B"&amp;T251)="","",INDIRECT("'"&amp;$D$2&amp;"'"&amp;"!B"&amp;T251)),IF(INDIRECT("'"&amp;$D$2&amp;"'"&amp;"!B"&amp;T251)="","",INDIRECT("'"&amp;$D$2&amp;"'"&amp;"!B"&amp;T251)))</f>
        <v/>
      </c>
      <c r="D251" t="str" cm="1">
        <f t="array" aca="1" ref="D251" ca="1">IFERROR(_xlfn.IFS(C251="","",C251&lt;&gt;"",INDEX(SF_Output!I:I,MATCH(C251,SF_Output!M:M,0))),IFERROR(INDEX(INDIRECT($D$2&amp;"!G:G"),MATCH(C251,INDIRECT($D$2&amp;"!B:B"),0)),INDEX(INDIRECT("'"&amp;$D$2&amp;"'!G:G"),MATCH(C251,INDIRECT("'"&amp;$D$2&amp;"'!B:B"),0))))</f>
        <v/>
      </c>
      <c r="E251" t="str" cm="1">
        <f t="array" aca="1" ref="E251" ca="1">IFERROR(IF(C251="","",INDIRECT($D$2&amp;"!F"&amp;T251)),IF(C251="","",INDIRECT("'"&amp;$D$2&amp;"'"&amp;"!F"&amp;T251)))</f>
        <v/>
      </c>
      <c r="F251" t="str" cm="1">
        <f t="array" aca="1" ref="F251" ca="1">IFERROR(IF(C251="","",INDIRECT($D$2&amp;"!ak"&amp;T251)),IF(C251="","",INDIRECT("'"&amp;$D$2&amp;"'"&amp;"!ak"&amp;T251)))</f>
        <v/>
      </c>
      <c r="G251" t="str" cm="1">
        <f t="array" aca="1" ref="G251" ca="1">IFERROR(INDIRECT($D$2&amp;"!h"&amp;T251),INDIRECT("'"&amp;$D$2&amp;"'"&amp;"!h"&amp;T251))</f>
        <v/>
      </c>
      <c r="H251" s="125" t="str" cm="1">
        <f t="array" aca="1" ref="H251" ca="1">IFERROR(INDIRECT($D$2&amp;"!i"&amp;T251),INDIRECT("'"&amp;$D$2&amp;"'"&amp;"!i"&amp;T251))</f>
        <v/>
      </c>
      <c r="I251" s="113" t="str" cm="1">
        <f t="array" aca="1" ref="I251" ca="1">IFERROR(IF($C251="","",INDIRECT($D$2&amp;"!j"&amp;$T251)+INDIRECT($D$2&amp;"!n"&amp;$T251)),IF($C251="","",INDIRECT("'"&amp;$D$2&amp;"'"&amp;"!j"&amp;$T251)+INDIRECT("'"&amp;$D$2&amp;"'"&amp;"!n"&amp;$T251)))</f>
        <v/>
      </c>
      <c r="J251" s="113" t="str">
        <f t="shared" ca="1" si="12"/>
        <v/>
      </c>
      <c r="K251" s="113" t="str" cm="1">
        <f t="array" aca="1" ref="K251" ca="1">IFERROR(IF($C251="","",INDIRECT($D$2&amp;"!l"&amp;$T251)+INDIRECT($D$2&amp;"!p"&amp;$T251)),IF($C251="","",INDIRECT("'"&amp;$D$2&amp;"'"&amp;"!l"&amp;$T251)+INDIRECT("'"&amp;$D$2&amp;"'"&amp;"!p"&amp;$T251)))</f>
        <v/>
      </c>
      <c r="M251" s="113" t="str" cm="1">
        <f t="array" aca="1" ref="M251" ca="1">IFERROR(IF($C251="","",INDIRECT($D$2&amp;"!r"&amp;T251)),IF($C251="","",INDIRECT("'"&amp;$D$2&amp;"'"&amp;"!r"&amp;T251)))</f>
        <v/>
      </c>
      <c r="N251" s="113" t="str">
        <f t="shared" ca="1" si="13"/>
        <v/>
      </c>
      <c r="O251" s="113" t="str" cm="1">
        <f t="array" aca="1" ref="O251" ca="1">IFERROR(IF($C251="","",INDIRECT($D$2&amp;"!t"&amp;T251)),IF($C251="","",INDIRECT("'"&amp;$D$2&amp;"'"&amp;"!t"&amp;T251)))</f>
        <v/>
      </c>
      <c r="Q251" s="113" t="str" cm="1">
        <f t="array" aca="1" ref="Q251" ca="1">IFERROR(IF($C251="","",INDIRECT($D$2&amp;"!v"&amp;T251)),IF($C251="","",INDIRECT("'"&amp;$D$2&amp;"'"&amp;"!v"&amp;T251)))</f>
        <v/>
      </c>
      <c r="R251" s="113" t="str">
        <f t="shared" ca="1" si="14"/>
        <v/>
      </c>
      <c r="S251" s="113" t="str" cm="1">
        <f t="array" aca="1" ref="S251" ca="1">IFERROR(IF($C251="","",INDIRECT($D$2&amp;"!x"&amp;T251)),IF($C251="","",INDIRECT("'"&amp;$D$2&amp;"'"&amp;"!x"&amp;T251)))</f>
        <v/>
      </c>
      <c r="T251" s="35">
        <v>239</v>
      </c>
      <c r="U251" s="113"/>
      <c r="V251" s="35">
        <v>239</v>
      </c>
    </row>
    <row r="252" spans="3:22" x14ac:dyDescent="0.25">
      <c r="C252" t="str" cm="1">
        <f t="array" aca="1" ref="C252" ca="1">IFERROR(IF(INDIRECT($D$2&amp;"!B"&amp;T252)="","",INDIRECT("'"&amp;$D$2&amp;"'"&amp;"!B"&amp;T252)),IF(INDIRECT("'"&amp;$D$2&amp;"'"&amp;"!B"&amp;T252)="","",INDIRECT("'"&amp;$D$2&amp;"'"&amp;"!B"&amp;T252)))</f>
        <v/>
      </c>
      <c r="D252" t="str" cm="1">
        <f t="array" aca="1" ref="D252" ca="1">IFERROR(_xlfn.IFS(C252="","",C252&lt;&gt;"",INDEX(SF_Output!I:I,MATCH(C252,SF_Output!M:M,0))),IFERROR(INDEX(INDIRECT($D$2&amp;"!G:G"),MATCH(C252,INDIRECT($D$2&amp;"!B:B"),0)),INDEX(INDIRECT("'"&amp;$D$2&amp;"'!G:G"),MATCH(C252,INDIRECT("'"&amp;$D$2&amp;"'!B:B"),0))))</f>
        <v/>
      </c>
      <c r="E252" t="str" cm="1">
        <f t="array" aca="1" ref="E252" ca="1">IFERROR(IF(C252="","",INDIRECT($D$2&amp;"!F"&amp;T252)),IF(C252="","",INDIRECT("'"&amp;$D$2&amp;"'"&amp;"!F"&amp;T252)))</f>
        <v/>
      </c>
      <c r="F252" t="str" cm="1">
        <f t="array" aca="1" ref="F252" ca="1">IFERROR(IF(C252="","",INDIRECT($D$2&amp;"!ak"&amp;T252)),IF(C252="","",INDIRECT("'"&amp;$D$2&amp;"'"&amp;"!ak"&amp;T252)))</f>
        <v/>
      </c>
      <c r="G252" t="str" cm="1">
        <f t="array" aca="1" ref="G252" ca="1">IFERROR(INDIRECT($D$2&amp;"!h"&amp;T252),INDIRECT("'"&amp;$D$2&amp;"'"&amp;"!h"&amp;T252))</f>
        <v/>
      </c>
      <c r="H252" s="125" t="str" cm="1">
        <f t="array" aca="1" ref="H252" ca="1">IFERROR(INDIRECT($D$2&amp;"!i"&amp;T252),INDIRECT("'"&amp;$D$2&amp;"'"&amp;"!i"&amp;T252))</f>
        <v/>
      </c>
      <c r="I252" s="113" t="str" cm="1">
        <f t="array" aca="1" ref="I252" ca="1">IFERROR(IF($C252="","",INDIRECT($D$2&amp;"!j"&amp;$T252)+INDIRECT($D$2&amp;"!n"&amp;$T252)),IF($C252="","",INDIRECT("'"&amp;$D$2&amp;"'"&amp;"!j"&amp;$T252)+INDIRECT("'"&amp;$D$2&amp;"'"&amp;"!n"&amp;$T252)))</f>
        <v/>
      </c>
      <c r="J252" s="113" t="str">
        <f t="shared" ca="1" si="12"/>
        <v/>
      </c>
      <c r="K252" s="113" t="str" cm="1">
        <f t="array" aca="1" ref="K252" ca="1">IFERROR(IF($C252="","",INDIRECT($D$2&amp;"!l"&amp;$T252)+INDIRECT($D$2&amp;"!p"&amp;$T252)),IF($C252="","",INDIRECT("'"&amp;$D$2&amp;"'"&amp;"!l"&amp;$T252)+INDIRECT("'"&amp;$D$2&amp;"'"&amp;"!p"&amp;$T252)))</f>
        <v/>
      </c>
      <c r="M252" s="113" t="str" cm="1">
        <f t="array" aca="1" ref="M252" ca="1">IFERROR(IF($C252="","",INDIRECT($D$2&amp;"!r"&amp;T252)),IF($C252="","",INDIRECT("'"&amp;$D$2&amp;"'"&amp;"!r"&amp;T252)))</f>
        <v/>
      </c>
      <c r="N252" s="113" t="str">
        <f t="shared" ca="1" si="13"/>
        <v/>
      </c>
      <c r="O252" s="113" t="str" cm="1">
        <f t="array" aca="1" ref="O252" ca="1">IFERROR(IF($C252="","",INDIRECT($D$2&amp;"!t"&amp;T252)),IF($C252="","",INDIRECT("'"&amp;$D$2&amp;"'"&amp;"!t"&amp;T252)))</f>
        <v/>
      </c>
      <c r="Q252" s="113" t="str" cm="1">
        <f t="array" aca="1" ref="Q252" ca="1">IFERROR(IF($C252="","",INDIRECT($D$2&amp;"!v"&amp;T252)),IF($C252="","",INDIRECT("'"&amp;$D$2&amp;"'"&amp;"!v"&amp;T252)))</f>
        <v/>
      </c>
      <c r="R252" s="113" t="str">
        <f t="shared" ca="1" si="14"/>
        <v/>
      </c>
      <c r="S252" s="113" t="str" cm="1">
        <f t="array" aca="1" ref="S252" ca="1">IFERROR(IF($C252="","",INDIRECT($D$2&amp;"!x"&amp;T252)),IF($C252="","",INDIRECT("'"&amp;$D$2&amp;"'"&amp;"!x"&amp;T252)))</f>
        <v/>
      </c>
      <c r="T252" s="35">
        <v>240</v>
      </c>
      <c r="U252" s="113"/>
      <c r="V252" s="35">
        <v>240</v>
      </c>
    </row>
    <row r="253" spans="3:22" x14ac:dyDescent="0.25">
      <c r="C253" t="str" cm="1">
        <f t="array" aca="1" ref="C253" ca="1">IFERROR(IF(INDIRECT($D$2&amp;"!B"&amp;T253)="","",INDIRECT("'"&amp;$D$2&amp;"'"&amp;"!B"&amp;T253)),IF(INDIRECT("'"&amp;$D$2&amp;"'"&amp;"!B"&amp;T253)="","",INDIRECT("'"&amp;$D$2&amp;"'"&amp;"!B"&amp;T253)))</f>
        <v/>
      </c>
      <c r="D253" t="str" cm="1">
        <f t="array" aca="1" ref="D253" ca="1">IFERROR(_xlfn.IFS(C253="","",C253&lt;&gt;"",INDEX(SF_Output!I:I,MATCH(C253,SF_Output!M:M,0))),IFERROR(INDEX(INDIRECT($D$2&amp;"!G:G"),MATCH(C253,INDIRECT($D$2&amp;"!B:B"),0)),INDEX(INDIRECT("'"&amp;$D$2&amp;"'!G:G"),MATCH(C253,INDIRECT("'"&amp;$D$2&amp;"'!B:B"),0))))</f>
        <v/>
      </c>
      <c r="E253" t="str" cm="1">
        <f t="array" aca="1" ref="E253" ca="1">IFERROR(IF(C253="","",INDIRECT($D$2&amp;"!F"&amp;T253)),IF(C253="","",INDIRECT("'"&amp;$D$2&amp;"'"&amp;"!F"&amp;T253)))</f>
        <v/>
      </c>
      <c r="F253" t="str" cm="1">
        <f t="array" aca="1" ref="F253" ca="1">IFERROR(IF(C253="","",INDIRECT($D$2&amp;"!ak"&amp;T253)),IF(C253="","",INDIRECT("'"&amp;$D$2&amp;"'"&amp;"!ak"&amp;T253)))</f>
        <v/>
      </c>
      <c r="G253" t="str" cm="1">
        <f t="array" aca="1" ref="G253" ca="1">IFERROR(INDIRECT($D$2&amp;"!h"&amp;T253),INDIRECT("'"&amp;$D$2&amp;"'"&amp;"!h"&amp;T253))</f>
        <v/>
      </c>
      <c r="H253" s="125" t="str" cm="1">
        <f t="array" aca="1" ref="H253" ca="1">IFERROR(INDIRECT($D$2&amp;"!i"&amp;T253),INDIRECT("'"&amp;$D$2&amp;"'"&amp;"!i"&amp;T253))</f>
        <v/>
      </c>
      <c r="I253" s="113" t="str" cm="1">
        <f t="array" aca="1" ref="I253" ca="1">IFERROR(IF($C253="","",INDIRECT($D$2&amp;"!j"&amp;$T253)+INDIRECT($D$2&amp;"!n"&amp;$T253)),IF($C253="","",INDIRECT("'"&amp;$D$2&amp;"'"&amp;"!j"&amp;$T253)+INDIRECT("'"&amp;$D$2&amp;"'"&amp;"!n"&amp;$T253)))</f>
        <v/>
      </c>
      <c r="J253" s="113" t="str">
        <f t="shared" ca="1" si="12"/>
        <v/>
      </c>
      <c r="K253" s="113" t="str" cm="1">
        <f t="array" aca="1" ref="K253" ca="1">IFERROR(IF($C253="","",INDIRECT($D$2&amp;"!l"&amp;$T253)+INDIRECT($D$2&amp;"!p"&amp;$T253)),IF($C253="","",INDIRECT("'"&amp;$D$2&amp;"'"&amp;"!l"&amp;$T253)+INDIRECT("'"&amp;$D$2&amp;"'"&amp;"!p"&amp;$T253)))</f>
        <v/>
      </c>
      <c r="M253" s="113" t="str" cm="1">
        <f t="array" aca="1" ref="M253" ca="1">IFERROR(IF($C253="","",INDIRECT($D$2&amp;"!r"&amp;T253)),IF($C253="","",INDIRECT("'"&amp;$D$2&amp;"'"&amp;"!r"&amp;T253)))</f>
        <v/>
      </c>
      <c r="N253" s="113" t="str">
        <f t="shared" ca="1" si="13"/>
        <v/>
      </c>
      <c r="O253" s="113" t="str" cm="1">
        <f t="array" aca="1" ref="O253" ca="1">IFERROR(IF($C253="","",INDIRECT($D$2&amp;"!t"&amp;T253)),IF($C253="","",INDIRECT("'"&amp;$D$2&amp;"'"&amp;"!t"&amp;T253)))</f>
        <v/>
      </c>
      <c r="Q253" s="113" t="str" cm="1">
        <f t="array" aca="1" ref="Q253" ca="1">IFERROR(IF($C253="","",INDIRECT($D$2&amp;"!v"&amp;T253)),IF($C253="","",INDIRECT("'"&amp;$D$2&amp;"'"&amp;"!v"&amp;T253)))</f>
        <v/>
      </c>
      <c r="R253" s="113" t="str">
        <f t="shared" ca="1" si="14"/>
        <v/>
      </c>
      <c r="S253" s="113" t="str" cm="1">
        <f t="array" aca="1" ref="S253" ca="1">IFERROR(IF($C253="","",INDIRECT($D$2&amp;"!x"&amp;T253)),IF($C253="","",INDIRECT("'"&amp;$D$2&amp;"'"&amp;"!x"&amp;T253)))</f>
        <v/>
      </c>
      <c r="T253" s="35">
        <v>241</v>
      </c>
      <c r="U253" s="113"/>
      <c r="V253" s="35">
        <v>241</v>
      </c>
    </row>
    <row r="254" spans="3:22" x14ac:dyDescent="0.25">
      <c r="C254" t="str" cm="1">
        <f t="array" aca="1" ref="C254" ca="1">IFERROR(IF(INDIRECT($D$2&amp;"!B"&amp;T254)="","",INDIRECT("'"&amp;$D$2&amp;"'"&amp;"!B"&amp;T254)),IF(INDIRECT("'"&amp;$D$2&amp;"'"&amp;"!B"&amp;T254)="","",INDIRECT("'"&amp;$D$2&amp;"'"&amp;"!B"&amp;T254)))</f>
        <v/>
      </c>
      <c r="D254" t="str" cm="1">
        <f t="array" aca="1" ref="D254" ca="1">IFERROR(_xlfn.IFS(C254="","",C254&lt;&gt;"",INDEX(SF_Output!I:I,MATCH(C254,SF_Output!M:M,0))),IFERROR(INDEX(INDIRECT($D$2&amp;"!G:G"),MATCH(C254,INDIRECT($D$2&amp;"!B:B"),0)),INDEX(INDIRECT("'"&amp;$D$2&amp;"'!G:G"),MATCH(C254,INDIRECT("'"&amp;$D$2&amp;"'!B:B"),0))))</f>
        <v/>
      </c>
      <c r="E254" t="str" cm="1">
        <f t="array" aca="1" ref="E254" ca="1">IFERROR(IF(C254="","",INDIRECT($D$2&amp;"!F"&amp;T254)),IF(C254="","",INDIRECT("'"&amp;$D$2&amp;"'"&amp;"!F"&amp;T254)))</f>
        <v/>
      </c>
      <c r="F254" t="str" cm="1">
        <f t="array" aca="1" ref="F254" ca="1">IFERROR(IF(C254="","",INDIRECT($D$2&amp;"!ak"&amp;T254)),IF(C254="","",INDIRECT("'"&amp;$D$2&amp;"'"&amp;"!ak"&amp;T254)))</f>
        <v/>
      </c>
      <c r="G254" t="str" cm="1">
        <f t="array" aca="1" ref="G254" ca="1">IFERROR(INDIRECT($D$2&amp;"!h"&amp;T254),INDIRECT("'"&amp;$D$2&amp;"'"&amp;"!h"&amp;T254))</f>
        <v/>
      </c>
      <c r="H254" s="125" t="str" cm="1">
        <f t="array" aca="1" ref="H254" ca="1">IFERROR(INDIRECT($D$2&amp;"!i"&amp;T254),INDIRECT("'"&amp;$D$2&amp;"'"&amp;"!i"&amp;T254))</f>
        <v/>
      </c>
      <c r="I254" s="113" t="str" cm="1">
        <f t="array" aca="1" ref="I254" ca="1">IFERROR(IF($C254="","",INDIRECT($D$2&amp;"!j"&amp;$T254)+INDIRECT($D$2&amp;"!n"&amp;$T254)),IF($C254="","",INDIRECT("'"&amp;$D$2&amp;"'"&amp;"!j"&amp;$T254)+INDIRECT("'"&amp;$D$2&amp;"'"&amp;"!n"&amp;$T254)))</f>
        <v/>
      </c>
      <c r="J254" s="113" t="str">
        <f t="shared" ca="1" si="12"/>
        <v/>
      </c>
      <c r="K254" s="113" t="str" cm="1">
        <f t="array" aca="1" ref="K254" ca="1">IFERROR(IF($C254="","",INDIRECT($D$2&amp;"!l"&amp;$T254)+INDIRECT($D$2&amp;"!p"&amp;$T254)),IF($C254="","",INDIRECT("'"&amp;$D$2&amp;"'"&amp;"!l"&amp;$T254)+INDIRECT("'"&amp;$D$2&amp;"'"&amp;"!p"&amp;$T254)))</f>
        <v/>
      </c>
      <c r="M254" s="113" t="str" cm="1">
        <f t="array" aca="1" ref="M254" ca="1">IFERROR(IF($C254="","",INDIRECT($D$2&amp;"!r"&amp;T254)),IF($C254="","",INDIRECT("'"&amp;$D$2&amp;"'"&amp;"!r"&amp;T254)))</f>
        <v/>
      </c>
      <c r="N254" s="113" t="str">
        <f t="shared" ca="1" si="13"/>
        <v/>
      </c>
      <c r="O254" s="113" t="str" cm="1">
        <f t="array" aca="1" ref="O254" ca="1">IFERROR(IF($C254="","",INDIRECT($D$2&amp;"!t"&amp;T254)),IF($C254="","",INDIRECT("'"&amp;$D$2&amp;"'"&amp;"!t"&amp;T254)))</f>
        <v/>
      </c>
      <c r="Q254" s="113" t="str" cm="1">
        <f t="array" aca="1" ref="Q254" ca="1">IFERROR(IF($C254="","",INDIRECT($D$2&amp;"!v"&amp;T254)),IF($C254="","",INDIRECT("'"&amp;$D$2&amp;"'"&amp;"!v"&amp;T254)))</f>
        <v/>
      </c>
      <c r="R254" s="113" t="str">
        <f t="shared" ca="1" si="14"/>
        <v/>
      </c>
      <c r="S254" s="113" t="str" cm="1">
        <f t="array" aca="1" ref="S254" ca="1">IFERROR(IF($C254="","",INDIRECT($D$2&amp;"!x"&amp;T254)),IF($C254="","",INDIRECT("'"&amp;$D$2&amp;"'"&amp;"!x"&amp;T254)))</f>
        <v/>
      </c>
      <c r="T254" s="35">
        <v>242</v>
      </c>
      <c r="U254" s="113"/>
      <c r="V254" s="35">
        <v>242</v>
      </c>
    </row>
    <row r="255" spans="3:22" x14ac:dyDescent="0.25">
      <c r="C255" t="str" cm="1">
        <f t="array" aca="1" ref="C255" ca="1">IFERROR(IF(INDIRECT($D$2&amp;"!B"&amp;T255)="","",INDIRECT("'"&amp;$D$2&amp;"'"&amp;"!B"&amp;T255)),IF(INDIRECT("'"&amp;$D$2&amp;"'"&amp;"!B"&amp;T255)="","",INDIRECT("'"&amp;$D$2&amp;"'"&amp;"!B"&amp;T255)))</f>
        <v/>
      </c>
      <c r="D255" t="str" cm="1">
        <f t="array" aca="1" ref="D255" ca="1">IFERROR(_xlfn.IFS(C255="","",C255&lt;&gt;"",INDEX(SF_Output!I:I,MATCH(C255,SF_Output!M:M,0))),IFERROR(INDEX(INDIRECT($D$2&amp;"!G:G"),MATCH(C255,INDIRECT($D$2&amp;"!B:B"),0)),INDEX(INDIRECT("'"&amp;$D$2&amp;"'!G:G"),MATCH(C255,INDIRECT("'"&amp;$D$2&amp;"'!B:B"),0))))</f>
        <v/>
      </c>
      <c r="E255" t="str" cm="1">
        <f t="array" aca="1" ref="E255" ca="1">IFERROR(IF(C255="","",INDIRECT($D$2&amp;"!F"&amp;T255)),IF(C255="","",INDIRECT("'"&amp;$D$2&amp;"'"&amp;"!F"&amp;T255)))</f>
        <v/>
      </c>
      <c r="F255" t="str" cm="1">
        <f t="array" aca="1" ref="F255" ca="1">IFERROR(IF(C255="","",INDIRECT($D$2&amp;"!ak"&amp;T255)),IF(C255="","",INDIRECT("'"&amp;$D$2&amp;"'"&amp;"!ak"&amp;T255)))</f>
        <v/>
      </c>
      <c r="G255" t="str" cm="1">
        <f t="array" aca="1" ref="G255" ca="1">IFERROR(INDIRECT($D$2&amp;"!h"&amp;T255),INDIRECT("'"&amp;$D$2&amp;"'"&amp;"!h"&amp;T255))</f>
        <v/>
      </c>
      <c r="H255" s="125" t="str" cm="1">
        <f t="array" aca="1" ref="H255" ca="1">IFERROR(INDIRECT($D$2&amp;"!i"&amp;T255),INDIRECT("'"&amp;$D$2&amp;"'"&amp;"!i"&amp;T255))</f>
        <v/>
      </c>
      <c r="I255" s="113" t="str" cm="1">
        <f t="array" aca="1" ref="I255" ca="1">IFERROR(IF($C255="","",INDIRECT($D$2&amp;"!j"&amp;$T255)+INDIRECT($D$2&amp;"!n"&amp;$T255)),IF($C255="","",INDIRECT("'"&amp;$D$2&amp;"'"&amp;"!j"&amp;$T255)+INDIRECT("'"&amp;$D$2&amp;"'"&amp;"!n"&amp;$T255)))</f>
        <v/>
      </c>
      <c r="J255" s="113" t="str">
        <f t="shared" ca="1" si="12"/>
        <v/>
      </c>
      <c r="K255" s="113" t="str" cm="1">
        <f t="array" aca="1" ref="K255" ca="1">IFERROR(IF($C255="","",INDIRECT($D$2&amp;"!l"&amp;$T255)+INDIRECT($D$2&amp;"!p"&amp;$T255)),IF($C255="","",INDIRECT("'"&amp;$D$2&amp;"'"&amp;"!l"&amp;$T255)+INDIRECT("'"&amp;$D$2&amp;"'"&amp;"!p"&amp;$T255)))</f>
        <v/>
      </c>
      <c r="M255" s="113" t="str" cm="1">
        <f t="array" aca="1" ref="M255" ca="1">IFERROR(IF($C255="","",INDIRECT($D$2&amp;"!r"&amp;T255)),IF($C255="","",INDIRECT("'"&amp;$D$2&amp;"'"&amp;"!r"&amp;T255)))</f>
        <v/>
      </c>
      <c r="N255" s="113" t="str">
        <f t="shared" ca="1" si="13"/>
        <v/>
      </c>
      <c r="O255" s="113" t="str" cm="1">
        <f t="array" aca="1" ref="O255" ca="1">IFERROR(IF($C255="","",INDIRECT($D$2&amp;"!t"&amp;T255)),IF($C255="","",INDIRECT("'"&amp;$D$2&amp;"'"&amp;"!t"&amp;T255)))</f>
        <v/>
      </c>
      <c r="Q255" s="113" t="str" cm="1">
        <f t="array" aca="1" ref="Q255" ca="1">IFERROR(IF($C255="","",INDIRECT($D$2&amp;"!v"&amp;T255)),IF($C255="","",INDIRECT("'"&amp;$D$2&amp;"'"&amp;"!v"&amp;T255)))</f>
        <v/>
      </c>
      <c r="R255" s="113" t="str">
        <f t="shared" ca="1" si="14"/>
        <v/>
      </c>
      <c r="S255" s="113" t="str" cm="1">
        <f t="array" aca="1" ref="S255" ca="1">IFERROR(IF($C255="","",INDIRECT($D$2&amp;"!x"&amp;T255)),IF($C255="","",INDIRECT("'"&amp;$D$2&amp;"'"&amp;"!x"&amp;T255)))</f>
        <v/>
      </c>
      <c r="T255" s="35">
        <v>243</v>
      </c>
      <c r="U255" s="113"/>
      <c r="V255" s="35">
        <v>243</v>
      </c>
    </row>
    <row r="256" spans="3:22" x14ac:dyDescent="0.25">
      <c r="C256" t="str" cm="1">
        <f t="array" aca="1" ref="C256" ca="1">IFERROR(IF(INDIRECT($D$2&amp;"!B"&amp;T256)="","",INDIRECT("'"&amp;$D$2&amp;"'"&amp;"!B"&amp;T256)),IF(INDIRECT("'"&amp;$D$2&amp;"'"&amp;"!B"&amp;T256)="","",INDIRECT("'"&amp;$D$2&amp;"'"&amp;"!B"&amp;T256)))</f>
        <v/>
      </c>
      <c r="D256" t="str" cm="1">
        <f t="array" aca="1" ref="D256" ca="1">IFERROR(_xlfn.IFS(C256="","",C256&lt;&gt;"",INDEX(SF_Output!I:I,MATCH(C256,SF_Output!M:M,0))),IFERROR(INDEX(INDIRECT($D$2&amp;"!G:G"),MATCH(C256,INDIRECT($D$2&amp;"!B:B"),0)),INDEX(INDIRECT("'"&amp;$D$2&amp;"'!G:G"),MATCH(C256,INDIRECT("'"&amp;$D$2&amp;"'!B:B"),0))))</f>
        <v/>
      </c>
      <c r="E256" t="str" cm="1">
        <f t="array" aca="1" ref="E256" ca="1">IFERROR(IF(C256="","",INDIRECT($D$2&amp;"!F"&amp;T256)),IF(C256="","",INDIRECT("'"&amp;$D$2&amp;"'"&amp;"!F"&amp;T256)))</f>
        <v/>
      </c>
      <c r="F256" t="str" cm="1">
        <f t="array" aca="1" ref="F256" ca="1">IFERROR(IF(C256="","",INDIRECT($D$2&amp;"!ak"&amp;T256)),IF(C256="","",INDIRECT("'"&amp;$D$2&amp;"'"&amp;"!ak"&amp;T256)))</f>
        <v/>
      </c>
      <c r="G256" t="str" cm="1">
        <f t="array" aca="1" ref="G256" ca="1">IFERROR(INDIRECT($D$2&amp;"!h"&amp;T256),INDIRECT("'"&amp;$D$2&amp;"'"&amp;"!h"&amp;T256))</f>
        <v/>
      </c>
      <c r="H256" s="125" t="str" cm="1">
        <f t="array" aca="1" ref="H256" ca="1">IFERROR(INDIRECT($D$2&amp;"!i"&amp;T256),INDIRECT("'"&amp;$D$2&amp;"'"&amp;"!i"&amp;T256))</f>
        <v/>
      </c>
      <c r="I256" s="113" t="str" cm="1">
        <f t="array" aca="1" ref="I256" ca="1">IFERROR(IF($C256="","",INDIRECT($D$2&amp;"!j"&amp;$T256)+INDIRECT($D$2&amp;"!n"&amp;$T256)),IF($C256="","",INDIRECT("'"&amp;$D$2&amp;"'"&amp;"!j"&amp;$T256)+INDIRECT("'"&amp;$D$2&amp;"'"&amp;"!n"&amp;$T256)))</f>
        <v/>
      </c>
      <c r="J256" s="113" t="str">
        <f t="shared" ca="1" si="12"/>
        <v/>
      </c>
      <c r="K256" s="113" t="str" cm="1">
        <f t="array" aca="1" ref="K256" ca="1">IFERROR(IF($C256="","",INDIRECT($D$2&amp;"!l"&amp;$T256)+INDIRECT($D$2&amp;"!p"&amp;$T256)),IF($C256="","",INDIRECT("'"&amp;$D$2&amp;"'"&amp;"!l"&amp;$T256)+INDIRECT("'"&amp;$D$2&amp;"'"&amp;"!p"&amp;$T256)))</f>
        <v/>
      </c>
      <c r="M256" s="113" t="str" cm="1">
        <f t="array" aca="1" ref="M256" ca="1">IFERROR(IF($C256="","",INDIRECT($D$2&amp;"!r"&amp;T256)),IF($C256="","",INDIRECT("'"&amp;$D$2&amp;"'"&amp;"!r"&amp;T256)))</f>
        <v/>
      </c>
      <c r="N256" s="113" t="str">
        <f t="shared" ca="1" si="13"/>
        <v/>
      </c>
      <c r="O256" s="113" t="str" cm="1">
        <f t="array" aca="1" ref="O256" ca="1">IFERROR(IF($C256="","",INDIRECT($D$2&amp;"!t"&amp;T256)),IF($C256="","",INDIRECT("'"&amp;$D$2&amp;"'"&amp;"!t"&amp;T256)))</f>
        <v/>
      </c>
      <c r="Q256" s="113" t="str" cm="1">
        <f t="array" aca="1" ref="Q256" ca="1">IFERROR(IF($C256="","",INDIRECT($D$2&amp;"!v"&amp;T256)),IF($C256="","",INDIRECT("'"&amp;$D$2&amp;"'"&amp;"!v"&amp;T256)))</f>
        <v/>
      </c>
      <c r="R256" s="113" t="str">
        <f t="shared" ca="1" si="14"/>
        <v/>
      </c>
      <c r="S256" s="113" t="str" cm="1">
        <f t="array" aca="1" ref="S256" ca="1">IFERROR(IF($C256="","",INDIRECT($D$2&amp;"!x"&amp;T256)),IF($C256="","",INDIRECT("'"&amp;$D$2&amp;"'"&amp;"!x"&amp;T256)))</f>
        <v/>
      </c>
      <c r="T256" s="35">
        <v>244</v>
      </c>
      <c r="U256" s="113"/>
      <c r="V256" s="35">
        <v>244</v>
      </c>
    </row>
    <row r="257" spans="3:22" x14ac:dyDescent="0.25">
      <c r="C257" t="str" cm="1">
        <f t="array" aca="1" ref="C257" ca="1">IFERROR(IF(INDIRECT($D$2&amp;"!B"&amp;T257)="","",INDIRECT("'"&amp;$D$2&amp;"'"&amp;"!B"&amp;T257)),IF(INDIRECT("'"&amp;$D$2&amp;"'"&amp;"!B"&amp;T257)="","",INDIRECT("'"&amp;$D$2&amp;"'"&amp;"!B"&amp;T257)))</f>
        <v/>
      </c>
      <c r="D257" t="str" cm="1">
        <f t="array" aca="1" ref="D257" ca="1">IFERROR(_xlfn.IFS(C257="","",C257&lt;&gt;"",INDEX(SF_Output!I:I,MATCH(C257,SF_Output!M:M,0))),IFERROR(INDEX(INDIRECT($D$2&amp;"!G:G"),MATCH(C257,INDIRECT($D$2&amp;"!B:B"),0)),INDEX(INDIRECT("'"&amp;$D$2&amp;"'!G:G"),MATCH(C257,INDIRECT("'"&amp;$D$2&amp;"'!B:B"),0))))</f>
        <v/>
      </c>
      <c r="E257" t="str" cm="1">
        <f t="array" aca="1" ref="E257" ca="1">IFERROR(IF(C257="","",INDIRECT($D$2&amp;"!F"&amp;T257)),IF(C257="","",INDIRECT("'"&amp;$D$2&amp;"'"&amp;"!F"&amp;T257)))</f>
        <v/>
      </c>
      <c r="F257" t="str" cm="1">
        <f t="array" aca="1" ref="F257" ca="1">IFERROR(IF(C257="","",INDIRECT($D$2&amp;"!ak"&amp;T257)),IF(C257="","",INDIRECT("'"&amp;$D$2&amp;"'"&amp;"!ak"&amp;T257)))</f>
        <v/>
      </c>
      <c r="G257" t="str" cm="1">
        <f t="array" aca="1" ref="G257" ca="1">IFERROR(INDIRECT($D$2&amp;"!h"&amp;T257),INDIRECT("'"&amp;$D$2&amp;"'"&amp;"!h"&amp;T257))</f>
        <v/>
      </c>
      <c r="H257" s="125" t="str" cm="1">
        <f t="array" aca="1" ref="H257" ca="1">IFERROR(INDIRECT($D$2&amp;"!i"&amp;T257),INDIRECT("'"&amp;$D$2&amp;"'"&amp;"!i"&amp;T257))</f>
        <v/>
      </c>
      <c r="I257" s="113" t="str" cm="1">
        <f t="array" aca="1" ref="I257" ca="1">IFERROR(IF($C257="","",INDIRECT($D$2&amp;"!j"&amp;$T257)+INDIRECT($D$2&amp;"!n"&amp;$T257)),IF($C257="","",INDIRECT("'"&amp;$D$2&amp;"'"&amp;"!j"&amp;$T257)+INDIRECT("'"&amp;$D$2&amp;"'"&amp;"!n"&amp;$T257)))</f>
        <v/>
      </c>
      <c r="J257" s="113" t="str">
        <f t="shared" ca="1" si="12"/>
        <v/>
      </c>
      <c r="K257" s="113" t="str" cm="1">
        <f t="array" aca="1" ref="K257" ca="1">IFERROR(IF($C257="","",INDIRECT($D$2&amp;"!l"&amp;$T257)+INDIRECT($D$2&amp;"!p"&amp;$T257)),IF($C257="","",INDIRECT("'"&amp;$D$2&amp;"'"&amp;"!l"&amp;$T257)+INDIRECT("'"&amp;$D$2&amp;"'"&amp;"!p"&amp;$T257)))</f>
        <v/>
      </c>
      <c r="M257" s="113" t="str" cm="1">
        <f t="array" aca="1" ref="M257" ca="1">IFERROR(IF($C257="","",INDIRECT($D$2&amp;"!r"&amp;T257)),IF($C257="","",INDIRECT("'"&amp;$D$2&amp;"'"&amp;"!r"&amp;T257)))</f>
        <v/>
      </c>
      <c r="N257" s="113" t="str">
        <f t="shared" ca="1" si="13"/>
        <v/>
      </c>
      <c r="O257" s="113" t="str" cm="1">
        <f t="array" aca="1" ref="O257" ca="1">IFERROR(IF($C257="","",INDIRECT($D$2&amp;"!t"&amp;T257)),IF($C257="","",INDIRECT("'"&amp;$D$2&amp;"'"&amp;"!t"&amp;T257)))</f>
        <v/>
      </c>
      <c r="Q257" s="113" t="str" cm="1">
        <f t="array" aca="1" ref="Q257" ca="1">IFERROR(IF($C257="","",INDIRECT($D$2&amp;"!v"&amp;T257)),IF($C257="","",INDIRECT("'"&amp;$D$2&amp;"'"&amp;"!v"&amp;T257)))</f>
        <v/>
      </c>
      <c r="R257" s="113" t="str">
        <f t="shared" ca="1" si="14"/>
        <v/>
      </c>
      <c r="S257" s="113" t="str" cm="1">
        <f t="array" aca="1" ref="S257" ca="1">IFERROR(IF($C257="","",INDIRECT($D$2&amp;"!x"&amp;T257)),IF($C257="","",INDIRECT("'"&amp;$D$2&amp;"'"&amp;"!x"&amp;T257)))</f>
        <v/>
      </c>
      <c r="T257" s="35">
        <v>245</v>
      </c>
      <c r="U257" s="113"/>
      <c r="V257" s="35">
        <v>245</v>
      </c>
    </row>
    <row r="258" spans="3:22" x14ac:dyDescent="0.25">
      <c r="C258" t="str" cm="1">
        <f t="array" aca="1" ref="C258" ca="1">IFERROR(IF(INDIRECT($D$2&amp;"!B"&amp;T258)="","",INDIRECT("'"&amp;$D$2&amp;"'"&amp;"!B"&amp;T258)),IF(INDIRECT("'"&amp;$D$2&amp;"'"&amp;"!B"&amp;T258)="","",INDIRECT("'"&amp;$D$2&amp;"'"&amp;"!B"&amp;T258)))</f>
        <v/>
      </c>
      <c r="D258" t="str" cm="1">
        <f t="array" aca="1" ref="D258" ca="1">IFERROR(_xlfn.IFS(C258="","",C258&lt;&gt;"",INDEX(SF_Output!I:I,MATCH(C258,SF_Output!M:M,0))),IFERROR(INDEX(INDIRECT($D$2&amp;"!G:G"),MATCH(C258,INDIRECT($D$2&amp;"!B:B"),0)),INDEX(INDIRECT("'"&amp;$D$2&amp;"'!G:G"),MATCH(C258,INDIRECT("'"&amp;$D$2&amp;"'!B:B"),0))))</f>
        <v/>
      </c>
      <c r="E258" t="str" cm="1">
        <f t="array" aca="1" ref="E258" ca="1">IFERROR(IF(C258="","",INDIRECT($D$2&amp;"!F"&amp;T258)),IF(C258="","",INDIRECT("'"&amp;$D$2&amp;"'"&amp;"!F"&amp;T258)))</f>
        <v/>
      </c>
      <c r="F258" t="str" cm="1">
        <f t="array" aca="1" ref="F258" ca="1">IFERROR(IF(C258="","",INDIRECT($D$2&amp;"!ak"&amp;T258)),IF(C258="","",INDIRECT("'"&amp;$D$2&amp;"'"&amp;"!ak"&amp;T258)))</f>
        <v/>
      </c>
      <c r="G258" t="str" cm="1">
        <f t="array" aca="1" ref="G258" ca="1">IFERROR(INDIRECT($D$2&amp;"!h"&amp;T258),INDIRECT("'"&amp;$D$2&amp;"'"&amp;"!h"&amp;T258))</f>
        <v/>
      </c>
      <c r="H258" s="125" t="str" cm="1">
        <f t="array" aca="1" ref="H258" ca="1">IFERROR(INDIRECT($D$2&amp;"!i"&amp;T258),INDIRECT("'"&amp;$D$2&amp;"'"&amp;"!i"&amp;T258))</f>
        <v/>
      </c>
      <c r="I258" s="113" t="str" cm="1">
        <f t="array" aca="1" ref="I258" ca="1">IFERROR(IF($C258="","",INDIRECT($D$2&amp;"!j"&amp;$T258)+INDIRECT($D$2&amp;"!n"&amp;$T258)),IF($C258="","",INDIRECT("'"&amp;$D$2&amp;"'"&amp;"!j"&amp;$T258)+INDIRECT("'"&amp;$D$2&amp;"'"&amp;"!n"&amp;$T258)))</f>
        <v/>
      </c>
      <c r="J258" s="113" t="str">
        <f t="shared" ca="1" si="12"/>
        <v/>
      </c>
      <c r="K258" s="113" t="str" cm="1">
        <f t="array" aca="1" ref="K258" ca="1">IFERROR(IF($C258="","",INDIRECT($D$2&amp;"!l"&amp;$T258)+INDIRECT($D$2&amp;"!p"&amp;$T258)),IF($C258="","",INDIRECT("'"&amp;$D$2&amp;"'"&amp;"!l"&amp;$T258)+INDIRECT("'"&amp;$D$2&amp;"'"&amp;"!p"&amp;$T258)))</f>
        <v/>
      </c>
      <c r="M258" s="113" t="str" cm="1">
        <f t="array" aca="1" ref="M258" ca="1">IFERROR(IF($C258="","",INDIRECT($D$2&amp;"!r"&amp;T258)),IF($C258="","",INDIRECT("'"&amp;$D$2&amp;"'"&amp;"!r"&amp;T258)))</f>
        <v/>
      </c>
      <c r="N258" s="113" t="str">
        <f t="shared" ca="1" si="13"/>
        <v/>
      </c>
      <c r="O258" s="113" t="str" cm="1">
        <f t="array" aca="1" ref="O258" ca="1">IFERROR(IF($C258="","",INDIRECT($D$2&amp;"!t"&amp;T258)),IF($C258="","",INDIRECT("'"&amp;$D$2&amp;"'"&amp;"!t"&amp;T258)))</f>
        <v/>
      </c>
      <c r="Q258" s="113" t="str" cm="1">
        <f t="array" aca="1" ref="Q258" ca="1">IFERROR(IF($C258="","",INDIRECT($D$2&amp;"!v"&amp;T258)),IF($C258="","",INDIRECT("'"&amp;$D$2&amp;"'"&amp;"!v"&amp;T258)))</f>
        <v/>
      </c>
      <c r="R258" s="113" t="str">
        <f t="shared" ca="1" si="14"/>
        <v/>
      </c>
      <c r="S258" s="113" t="str" cm="1">
        <f t="array" aca="1" ref="S258" ca="1">IFERROR(IF($C258="","",INDIRECT($D$2&amp;"!x"&amp;T258)),IF($C258="","",INDIRECT("'"&amp;$D$2&amp;"'"&amp;"!x"&amp;T258)))</f>
        <v/>
      </c>
      <c r="T258" s="35">
        <v>246</v>
      </c>
      <c r="U258" s="113"/>
      <c r="V258" s="35">
        <v>246</v>
      </c>
    </row>
    <row r="259" spans="3:22" x14ac:dyDescent="0.25">
      <c r="C259" t="str" cm="1">
        <f t="array" aca="1" ref="C259" ca="1">IFERROR(IF(INDIRECT($D$2&amp;"!B"&amp;T259)="","",INDIRECT("'"&amp;$D$2&amp;"'"&amp;"!B"&amp;T259)),IF(INDIRECT("'"&amp;$D$2&amp;"'"&amp;"!B"&amp;T259)="","",INDIRECT("'"&amp;$D$2&amp;"'"&amp;"!B"&amp;T259)))</f>
        <v/>
      </c>
      <c r="D259" t="str" cm="1">
        <f t="array" aca="1" ref="D259" ca="1">IFERROR(_xlfn.IFS(C259="","",C259&lt;&gt;"",INDEX(SF_Output!I:I,MATCH(C259,SF_Output!M:M,0))),IFERROR(INDEX(INDIRECT($D$2&amp;"!G:G"),MATCH(C259,INDIRECT($D$2&amp;"!B:B"),0)),INDEX(INDIRECT("'"&amp;$D$2&amp;"'!G:G"),MATCH(C259,INDIRECT("'"&amp;$D$2&amp;"'!B:B"),0))))</f>
        <v/>
      </c>
      <c r="E259" t="str" cm="1">
        <f t="array" aca="1" ref="E259" ca="1">IFERROR(IF(C259="","",INDIRECT($D$2&amp;"!F"&amp;T259)),IF(C259="","",INDIRECT("'"&amp;$D$2&amp;"'"&amp;"!F"&amp;T259)))</f>
        <v/>
      </c>
      <c r="F259" t="str" cm="1">
        <f t="array" aca="1" ref="F259" ca="1">IFERROR(IF(C259="","",INDIRECT($D$2&amp;"!ak"&amp;T259)),IF(C259="","",INDIRECT("'"&amp;$D$2&amp;"'"&amp;"!ak"&amp;T259)))</f>
        <v/>
      </c>
      <c r="G259" t="str" cm="1">
        <f t="array" aca="1" ref="G259" ca="1">IFERROR(INDIRECT($D$2&amp;"!h"&amp;T259),INDIRECT("'"&amp;$D$2&amp;"'"&amp;"!h"&amp;T259))</f>
        <v/>
      </c>
      <c r="H259" s="125" t="str" cm="1">
        <f t="array" aca="1" ref="H259" ca="1">IFERROR(INDIRECT($D$2&amp;"!i"&amp;T259),INDIRECT("'"&amp;$D$2&amp;"'"&amp;"!i"&amp;T259))</f>
        <v/>
      </c>
      <c r="I259" s="113" t="str" cm="1">
        <f t="array" aca="1" ref="I259" ca="1">IFERROR(IF($C259="","",INDIRECT($D$2&amp;"!j"&amp;$T259)+INDIRECT($D$2&amp;"!n"&amp;$T259)),IF($C259="","",INDIRECT("'"&amp;$D$2&amp;"'"&amp;"!j"&amp;$T259)+INDIRECT("'"&amp;$D$2&amp;"'"&amp;"!n"&amp;$T259)))</f>
        <v/>
      </c>
      <c r="J259" s="113" t="str">
        <f t="shared" ca="1" si="12"/>
        <v/>
      </c>
      <c r="K259" s="113" t="str" cm="1">
        <f t="array" aca="1" ref="K259" ca="1">IFERROR(IF($C259="","",INDIRECT($D$2&amp;"!l"&amp;$T259)+INDIRECT($D$2&amp;"!p"&amp;$T259)),IF($C259="","",INDIRECT("'"&amp;$D$2&amp;"'"&amp;"!l"&amp;$T259)+INDIRECT("'"&amp;$D$2&amp;"'"&amp;"!p"&amp;$T259)))</f>
        <v/>
      </c>
      <c r="M259" s="113" t="str" cm="1">
        <f t="array" aca="1" ref="M259" ca="1">IFERROR(IF($C259="","",INDIRECT($D$2&amp;"!r"&amp;T259)),IF($C259="","",INDIRECT("'"&amp;$D$2&amp;"'"&amp;"!r"&amp;T259)))</f>
        <v/>
      </c>
      <c r="N259" s="113" t="str">
        <f t="shared" ca="1" si="13"/>
        <v/>
      </c>
      <c r="O259" s="113" t="str" cm="1">
        <f t="array" aca="1" ref="O259" ca="1">IFERROR(IF($C259="","",INDIRECT($D$2&amp;"!t"&amp;T259)),IF($C259="","",INDIRECT("'"&amp;$D$2&amp;"'"&amp;"!t"&amp;T259)))</f>
        <v/>
      </c>
      <c r="Q259" s="113" t="str" cm="1">
        <f t="array" aca="1" ref="Q259" ca="1">IFERROR(IF($C259="","",INDIRECT($D$2&amp;"!v"&amp;T259)),IF($C259="","",INDIRECT("'"&amp;$D$2&amp;"'"&amp;"!v"&amp;T259)))</f>
        <v/>
      </c>
      <c r="R259" s="113" t="str">
        <f t="shared" ca="1" si="14"/>
        <v/>
      </c>
      <c r="S259" s="113" t="str" cm="1">
        <f t="array" aca="1" ref="S259" ca="1">IFERROR(IF($C259="","",INDIRECT($D$2&amp;"!x"&amp;T259)),IF($C259="","",INDIRECT("'"&amp;$D$2&amp;"'"&amp;"!x"&amp;T259)))</f>
        <v/>
      </c>
      <c r="T259" s="35">
        <v>247</v>
      </c>
      <c r="U259" s="113"/>
      <c r="V259" s="35">
        <v>247</v>
      </c>
    </row>
    <row r="260" spans="3:22" x14ac:dyDescent="0.25">
      <c r="C260" t="str" cm="1">
        <f t="array" aca="1" ref="C260" ca="1">IFERROR(IF(INDIRECT($D$2&amp;"!B"&amp;T260)="","",INDIRECT("'"&amp;$D$2&amp;"'"&amp;"!B"&amp;T260)),IF(INDIRECT("'"&amp;$D$2&amp;"'"&amp;"!B"&amp;T260)="","",INDIRECT("'"&amp;$D$2&amp;"'"&amp;"!B"&amp;T260)))</f>
        <v/>
      </c>
      <c r="D260" t="str" cm="1">
        <f t="array" aca="1" ref="D260" ca="1">IFERROR(_xlfn.IFS(C260="","",C260&lt;&gt;"",INDEX(SF_Output!I:I,MATCH(C260,SF_Output!M:M,0))),IFERROR(INDEX(INDIRECT($D$2&amp;"!G:G"),MATCH(C260,INDIRECT($D$2&amp;"!B:B"),0)),INDEX(INDIRECT("'"&amp;$D$2&amp;"'!G:G"),MATCH(C260,INDIRECT("'"&amp;$D$2&amp;"'!B:B"),0))))</f>
        <v/>
      </c>
      <c r="E260" t="str" cm="1">
        <f t="array" aca="1" ref="E260" ca="1">IFERROR(IF(C260="","",INDIRECT($D$2&amp;"!F"&amp;T260)),IF(C260="","",INDIRECT("'"&amp;$D$2&amp;"'"&amp;"!F"&amp;T260)))</f>
        <v/>
      </c>
      <c r="F260" t="str" cm="1">
        <f t="array" aca="1" ref="F260" ca="1">IFERROR(IF(C260="","",INDIRECT($D$2&amp;"!ak"&amp;T260)),IF(C260="","",INDIRECT("'"&amp;$D$2&amp;"'"&amp;"!ak"&amp;T260)))</f>
        <v/>
      </c>
      <c r="G260" t="str" cm="1">
        <f t="array" aca="1" ref="G260" ca="1">IFERROR(INDIRECT($D$2&amp;"!h"&amp;T260),INDIRECT("'"&amp;$D$2&amp;"'"&amp;"!h"&amp;T260))</f>
        <v/>
      </c>
      <c r="H260" s="125" t="str" cm="1">
        <f t="array" aca="1" ref="H260" ca="1">IFERROR(INDIRECT($D$2&amp;"!i"&amp;T260),INDIRECT("'"&amp;$D$2&amp;"'"&amp;"!i"&amp;T260))</f>
        <v/>
      </c>
      <c r="I260" s="113" t="str" cm="1">
        <f t="array" aca="1" ref="I260" ca="1">IFERROR(IF($C260="","",INDIRECT($D$2&amp;"!j"&amp;$T260)+INDIRECT($D$2&amp;"!n"&amp;$T260)),IF($C260="","",INDIRECT("'"&amp;$D$2&amp;"'"&amp;"!j"&amp;$T260)+INDIRECT("'"&amp;$D$2&amp;"'"&amp;"!n"&amp;$T260)))</f>
        <v/>
      </c>
      <c r="J260" s="113" t="str">
        <f t="shared" ca="1" si="12"/>
        <v/>
      </c>
      <c r="K260" s="113" t="str" cm="1">
        <f t="array" aca="1" ref="K260" ca="1">IFERROR(IF($C260="","",INDIRECT($D$2&amp;"!l"&amp;$T260)+INDIRECT($D$2&amp;"!p"&amp;$T260)),IF($C260="","",INDIRECT("'"&amp;$D$2&amp;"'"&amp;"!l"&amp;$T260)+INDIRECT("'"&amp;$D$2&amp;"'"&amp;"!p"&amp;$T260)))</f>
        <v/>
      </c>
      <c r="M260" s="113" t="str" cm="1">
        <f t="array" aca="1" ref="M260" ca="1">IFERROR(IF($C260="","",INDIRECT($D$2&amp;"!r"&amp;T260)),IF($C260="","",INDIRECT("'"&amp;$D$2&amp;"'"&amp;"!r"&amp;T260)))</f>
        <v/>
      </c>
      <c r="N260" s="113" t="str">
        <f t="shared" ca="1" si="13"/>
        <v/>
      </c>
      <c r="O260" s="113" t="str" cm="1">
        <f t="array" aca="1" ref="O260" ca="1">IFERROR(IF($C260="","",INDIRECT($D$2&amp;"!t"&amp;T260)),IF($C260="","",INDIRECT("'"&amp;$D$2&amp;"'"&amp;"!t"&amp;T260)))</f>
        <v/>
      </c>
      <c r="Q260" s="113" t="str" cm="1">
        <f t="array" aca="1" ref="Q260" ca="1">IFERROR(IF($C260="","",INDIRECT($D$2&amp;"!v"&amp;T260)),IF($C260="","",INDIRECT("'"&amp;$D$2&amp;"'"&amp;"!v"&amp;T260)))</f>
        <v/>
      </c>
      <c r="R260" s="113" t="str">
        <f t="shared" ca="1" si="14"/>
        <v/>
      </c>
      <c r="S260" s="113" t="str" cm="1">
        <f t="array" aca="1" ref="S260" ca="1">IFERROR(IF($C260="","",INDIRECT($D$2&amp;"!x"&amp;T260)),IF($C260="","",INDIRECT("'"&amp;$D$2&amp;"'"&amp;"!x"&amp;T260)))</f>
        <v/>
      </c>
      <c r="T260" s="35">
        <v>248</v>
      </c>
      <c r="U260" s="113"/>
      <c r="V260" s="35">
        <v>248</v>
      </c>
    </row>
    <row r="261" spans="3:22" x14ac:dyDescent="0.25">
      <c r="C261" t="str" cm="1">
        <f t="array" aca="1" ref="C261" ca="1">IFERROR(IF(INDIRECT($D$2&amp;"!B"&amp;T261)="","",INDIRECT("'"&amp;$D$2&amp;"'"&amp;"!B"&amp;T261)),IF(INDIRECT("'"&amp;$D$2&amp;"'"&amp;"!B"&amp;T261)="","",INDIRECT("'"&amp;$D$2&amp;"'"&amp;"!B"&amp;T261)))</f>
        <v/>
      </c>
      <c r="D261" t="str" cm="1">
        <f t="array" aca="1" ref="D261" ca="1">IFERROR(_xlfn.IFS(C261="","",C261&lt;&gt;"",INDEX(SF_Output!I:I,MATCH(C261,SF_Output!M:M,0))),IFERROR(INDEX(INDIRECT($D$2&amp;"!G:G"),MATCH(C261,INDIRECT($D$2&amp;"!B:B"),0)),INDEX(INDIRECT("'"&amp;$D$2&amp;"'!G:G"),MATCH(C261,INDIRECT("'"&amp;$D$2&amp;"'!B:B"),0))))</f>
        <v/>
      </c>
      <c r="E261" t="str" cm="1">
        <f t="array" aca="1" ref="E261" ca="1">IFERROR(IF(C261="","",INDIRECT($D$2&amp;"!F"&amp;T261)),IF(C261="","",INDIRECT("'"&amp;$D$2&amp;"'"&amp;"!F"&amp;T261)))</f>
        <v/>
      </c>
      <c r="F261" t="str" cm="1">
        <f t="array" aca="1" ref="F261" ca="1">IFERROR(IF(C261="","",INDIRECT($D$2&amp;"!ak"&amp;T261)),IF(C261="","",INDIRECT("'"&amp;$D$2&amp;"'"&amp;"!ak"&amp;T261)))</f>
        <v/>
      </c>
      <c r="G261" t="str" cm="1">
        <f t="array" aca="1" ref="G261" ca="1">IFERROR(INDIRECT($D$2&amp;"!h"&amp;T261),INDIRECT("'"&amp;$D$2&amp;"'"&amp;"!h"&amp;T261))</f>
        <v/>
      </c>
      <c r="H261" s="125" t="str" cm="1">
        <f t="array" aca="1" ref="H261" ca="1">IFERROR(INDIRECT($D$2&amp;"!i"&amp;T261),INDIRECT("'"&amp;$D$2&amp;"'"&amp;"!i"&amp;T261))</f>
        <v/>
      </c>
      <c r="I261" s="113" t="str" cm="1">
        <f t="array" aca="1" ref="I261" ca="1">IFERROR(IF($C261="","",INDIRECT($D$2&amp;"!j"&amp;$T261)+INDIRECT($D$2&amp;"!n"&amp;$T261)),IF($C261="","",INDIRECT("'"&amp;$D$2&amp;"'"&amp;"!j"&amp;$T261)+INDIRECT("'"&amp;$D$2&amp;"'"&amp;"!n"&amp;$T261)))</f>
        <v/>
      </c>
      <c r="J261" s="113" t="str">
        <f t="shared" ca="1" si="12"/>
        <v/>
      </c>
      <c r="K261" s="113" t="str" cm="1">
        <f t="array" aca="1" ref="K261" ca="1">IFERROR(IF($C261="","",INDIRECT($D$2&amp;"!l"&amp;$T261)+INDIRECT($D$2&amp;"!p"&amp;$T261)),IF($C261="","",INDIRECT("'"&amp;$D$2&amp;"'"&amp;"!l"&amp;$T261)+INDIRECT("'"&amp;$D$2&amp;"'"&amp;"!p"&amp;$T261)))</f>
        <v/>
      </c>
      <c r="M261" s="113" t="str" cm="1">
        <f t="array" aca="1" ref="M261" ca="1">IFERROR(IF($C261="","",INDIRECT($D$2&amp;"!r"&amp;T261)),IF($C261="","",INDIRECT("'"&amp;$D$2&amp;"'"&amp;"!r"&amp;T261)))</f>
        <v/>
      </c>
      <c r="N261" s="113" t="str">
        <f t="shared" ca="1" si="13"/>
        <v/>
      </c>
      <c r="O261" s="113" t="str" cm="1">
        <f t="array" aca="1" ref="O261" ca="1">IFERROR(IF($C261="","",INDIRECT($D$2&amp;"!t"&amp;T261)),IF($C261="","",INDIRECT("'"&amp;$D$2&amp;"'"&amp;"!t"&amp;T261)))</f>
        <v/>
      </c>
      <c r="Q261" s="113" t="str" cm="1">
        <f t="array" aca="1" ref="Q261" ca="1">IFERROR(IF($C261="","",INDIRECT($D$2&amp;"!v"&amp;T261)),IF($C261="","",INDIRECT("'"&amp;$D$2&amp;"'"&amp;"!v"&amp;T261)))</f>
        <v/>
      </c>
      <c r="R261" s="113" t="str">
        <f t="shared" ca="1" si="14"/>
        <v/>
      </c>
      <c r="S261" s="113" t="str" cm="1">
        <f t="array" aca="1" ref="S261" ca="1">IFERROR(IF($C261="","",INDIRECT($D$2&amp;"!x"&amp;T261)),IF($C261="","",INDIRECT("'"&amp;$D$2&amp;"'"&amp;"!x"&amp;T261)))</f>
        <v/>
      </c>
      <c r="T261" s="35">
        <v>249</v>
      </c>
      <c r="U261" s="113"/>
      <c r="V261" s="35">
        <v>249</v>
      </c>
    </row>
    <row r="262" spans="3:22" x14ac:dyDescent="0.25">
      <c r="C262" t="str" cm="1">
        <f t="array" aca="1" ref="C262" ca="1">IFERROR(IF(INDIRECT($D$2&amp;"!B"&amp;T262)="","",INDIRECT("'"&amp;$D$2&amp;"'"&amp;"!B"&amp;T262)),IF(INDIRECT("'"&amp;$D$2&amp;"'"&amp;"!B"&amp;T262)="","",INDIRECT("'"&amp;$D$2&amp;"'"&amp;"!B"&amp;T262)))</f>
        <v/>
      </c>
      <c r="D262" t="str" cm="1">
        <f t="array" aca="1" ref="D262" ca="1">IFERROR(_xlfn.IFS(C262="","",C262&lt;&gt;"",INDEX(SF_Output!I:I,MATCH(C262,SF_Output!M:M,0))),IFERROR(INDEX(INDIRECT($D$2&amp;"!G:G"),MATCH(C262,INDIRECT($D$2&amp;"!B:B"),0)),INDEX(INDIRECT("'"&amp;$D$2&amp;"'!G:G"),MATCH(C262,INDIRECT("'"&amp;$D$2&amp;"'!B:B"),0))))</f>
        <v/>
      </c>
      <c r="E262" t="str" cm="1">
        <f t="array" aca="1" ref="E262" ca="1">IFERROR(IF(C262="","",INDIRECT($D$2&amp;"!F"&amp;T262)),IF(C262="","",INDIRECT("'"&amp;$D$2&amp;"'"&amp;"!F"&amp;T262)))</f>
        <v/>
      </c>
      <c r="F262" t="str" cm="1">
        <f t="array" aca="1" ref="F262" ca="1">IFERROR(IF(C262="","",INDIRECT($D$2&amp;"!ak"&amp;T262)),IF(C262="","",INDIRECT("'"&amp;$D$2&amp;"'"&amp;"!ak"&amp;T262)))</f>
        <v/>
      </c>
      <c r="G262" t="str" cm="1">
        <f t="array" aca="1" ref="G262" ca="1">IFERROR(INDIRECT($D$2&amp;"!h"&amp;T262),INDIRECT("'"&amp;$D$2&amp;"'"&amp;"!h"&amp;T262))</f>
        <v/>
      </c>
      <c r="H262" s="125" t="str" cm="1">
        <f t="array" aca="1" ref="H262" ca="1">IFERROR(INDIRECT($D$2&amp;"!i"&amp;T262),INDIRECT("'"&amp;$D$2&amp;"'"&amp;"!i"&amp;T262))</f>
        <v/>
      </c>
      <c r="I262" s="113" t="str" cm="1">
        <f t="array" aca="1" ref="I262" ca="1">IFERROR(IF($C262="","",INDIRECT($D$2&amp;"!j"&amp;$T262)+INDIRECT($D$2&amp;"!n"&amp;$T262)),IF($C262="","",INDIRECT("'"&amp;$D$2&amp;"'"&amp;"!j"&amp;$T262)+INDIRECT("'"&amp;$D$2&amp;"'"&amp;"!n"&amp;$T262)))</f>
        <v/>
      </c>
      <c r="J262" s="113" t="str">
        <f t="shared" ca="1" si="12"/>
        <v/>
      </c>
      <c r="K262" s="113" t="str" cm="1">
        <f t="array" aca="1" ref="K262" ca="1">IFERROR(IF($C262="","",INDIRECT($D$2&amp;"!l"&amp;$T262)+INDIRECT($D$2&amp;"!p"&amp;$T262)),IF($C262="","",INDIRECT("'"&amp;$D$2&amp;"'"&amp;"!l"&amp;$T262)+INDIRECT("'"&amp;$D$2&amp;"'"&amp;"!p"&amp;$T262)))</f>
        <v/>
      </c>
      <c r="M262" s="113" t="str" cm="1">
        <f t="array" aca="1" ref="M262" ca="1">IFERROR(IF($C262="","",INDIRECT($D$2&amp;"!r"&amp;T262)),IF($C262="","",INDIRECT("'"&amp;$D$2&amp;"'"&amp;"!r"&amp;T262)))</f>
        <v/>
      </c>
      <c r="N262" s="113" t="str">
        <f t="shared" ca="1" si="13"/>
        <v/>
      </c>
      <c r="O262" s="113" t="str" cm="1">
        <f t="array" aca="1" ref="O262" ca="1">IFERROR(IF($C262="","",INDIRECT($D$2&amp;"!t"&amp;T262)),IF($C262="","",INDIRECT("'"&amp;$D$2&amp;"'"&amp;"!t"&amp;T262)))</f>
        <v/>
      </c>
      <c r="Q262" s="113" t="str" cm="1">
        <f t="array" aca="1" ref="Q262" ca="1">IFERROR(IF($C262="","",INDIRECT($D$2&amp;"!v"&amp;T262)),IF($C262="","",INDIRECT("'"&amp;$D$2&amp;"'"&amp;"!v"&amp;T262)))</f>
        <v/>
      </c>
      <c r="R262" s="113" t="str">
        <f t="shared" ca="1" si="14"/>
        <v/>
      </c>
      <c r="S262" s="113" t="str" cm="1">
        <f t="array" aca="1" ref="S262" ca="1">IFERROR(IF($C262="","",INDIRECT($D$2&amp;"!x"&amp;T262)),IF($C262="","",INDIRECT("'"&amp;$D$2&amp;"'"&amp;"!x"&amp;T262)))</f>
        <v/>
      </c>
      <c r="T262" s="35">
        <v>250</v>
      </c>
      <c r="U262" s="113"/>
      <c r="V262" s="35">
        <v>250</v>
      </c>
    </row>
  </sheetData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E88E02C-D1A9-44D4-81E3-2B44CB35B94C}">
          <x14:formula1>
            <xm:f>H_Tables!$K$2:$K$4</xm:f>
          </x14:formula1>
          <xm:sqref>D2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958F4-4073-45B8-B33F-C75A99878F08}">
  <sheetPr codeName="Sheet9"/>
  <dimension ref="B1:X300"/>
  <sheetViews>
    <sheetView workbookViewId="0">
      <selection sqref="A1:X1048576"/>
    </sheetView>
  </sheetViews>
  <sheetFormatPr defaultRowHeight="15" x14ac:dyDescent="0.25"/>
  <cols>
    <col min="1" max="1" width="3.42578125" customWidth="1"/>
    <col min="2" max="2" width="50.140625" customWidth="1"/>
    <col min="3" max="3" width="15.5703125" customWidth="1"/>
    <col min="4" max="4" width="27.140625" hidden="1" customWidth="1"/>
    <col min="5" max="5" width="11.85546875" hidden="1" customWidth="1"/>
    <col min="6" max="6" width="11.85546875" style="116" customWidth="1"/>
    <col min="7" max="7" width="32.42578125" customWidth="1"/>
    <col min="8" max="8" width="10.7109375" customWidth="1"/>
    <col min="9" max="9" width="11.7109375" style="122" customWidth="1"/>
    <col min="10" max="10" width="15.7109375" style="6" customWidth="1"/>
    <col min="11" max="11" width="15.7109375" style="4" customWidth="1"/>
    <col min="12" max="12" width="15.7109375" style="6" customWidth="1"/>
    <col min="13" max="13" width="3.28515625" style="6" customWidth="1"/>
    <col min="14" max="14" width="15.7109375" style="6" customWidth="1"/>
    <col min="15" max="15" width="15.7109375" style="4" customWidth="1"/>
    <col min="16" max="16" width="15.7109375" style="6" customWidth="1"/>
    <col min="17" max="17" width="3.28515625" style="6" customWidth="1"/>
    <col min="18" max="18" width="15.7109375" style="6" customWidth="1"/>
    <col min="19" max="19" width="15.7109375" style="4" customWidth="1"/>
    <col min="20" max="20" width="15.7109375" style="6" customWidth="1"/>
    <col min="21" max="21" width="3.28515625" style="6" customWidth="1"/>
    <col min="22" max="22" width="18.5703125" style="6" customWidth="1"/>
    <col min="23" max="23" width="15.7109375" style="4" customWidth="1"/>
    <col min="24" max="24" width="18.5703125" style="6" customWidth="1"/>
  </cols>
  <sheetData>
    <row r="1" spans="2:24" x14ac:dyDescent="0.25">
      <c r="H1" t="str" cm="1">
        <f t="array" aca="1" ref="H1" ca="1">MID(CELL("filename",A1),FIND("]",CELL("filename",A1))+1,255)</f>
        <v>Current Monthly</v>
      </c>
      <c r="J1"/>
      <c r="K1" s="6"/>
      <c r="L1" s="4"/>
      <c r="M1" s="4"/>
      <c r="O1" s="6"/>
      <c r="P1" s="4"/>
      <c r="Q1" s="4"/>
      <c r="S1" s="6"/>
      <c r="T1" s="4"/>
      <c r="U1" s="4"/>
      <c r="W1" s="6"/>
      <c r="X1" s="4"/>
    </row>
    <row r="2" spans="2:24" x14ac:dyDescent="0.25">
      <c r="B2" s="9"/>
      <c r="C2" s="9"/>
      <c r="D2" s="9"/>
      <c r="E2" s="9"/>
      <c r="F2" s="117"/>
      <c r="G2" s="9"/>
      <c r="H2" s="9"/>
      <c r="I2" s="123"/>
      <c r="J2" s="9" t="s">
        <v>20</v>
      </c>
      <c r="K2" s="10" t="s">
        <v>21</v>
      </c>
      <c r="L2" s="9" t="s">
        <v>22</v>
      </c>
      <c r="M2" s="9"/>
      <c r="N2" s="9" t="s">
        <v>23</v>
      </c>
      <c r="O2" s="10" t="s">
        <v>21</v>
      </c>
      <c r="P2" s="9" t="s">
        <v>24</v>
      </c>
      <c r="Q2" s="9"/>
      <c r="R2" s="9" t="s">
        <v>25</v>
      </c>
      <c r="S2" s="10" t="s">
        <v>21</v>
      </c>
      <c r="T2" s="9" t="s">
        <v>26</v>
      </c>
      <c r="U2" s="9"/>
      <c r="V2" s="9" t="s">
        <v>27</v>
      </c>
      <c r="W2" s="10" t="s">
        <v>21</v>
      </c>
      <c r="X2" s="9" t="s">
        <v>28</v>
      </c>
    </row>
    <row r="3" spans="2:24" x14ac:dyDescent="0.25">
      <c r="B3" t="s">
        <v>32</v>
      </c>
      <c r="C3" s="11">
        <v>45896</v>
      </c>
      <c r="H3" s="12"/>
      <c r="I3" s="124" t="s">
        <v>33</v>
      </c>
      <c r="J3" s="6">
        <f>SUMIFS(J$14:J$350,$F$14:$F$350,"Included")+SUMIFS(J$14:J$350,$F$14:$F$350,"Add")-J6</f>
        <v>16545</v>
      </c>
      <c r="K3" s="6">
        <f>L3-J3</f>
        <v>0</v>
      </c>
      <c r="L3" s="6">
        <f>SUMIFS(L$14:L$350,$F$14:$F$350,"Included")+SUMIFS(L$14:L$350,$F$14:$F$350,"Add")-L6</f>
        <v>16545</v>
      </c>
      <c r="N3" s="6">
        <f>SUMIFS(N$14:N$350,$F$14:$F$350,"Included")+SUMIFS(N$14:N$350,$F$14:$F$350,"Add")</f>
        <v>733815</v>
      </c>
      <c r="O3" s="6">
        <f>P3-N3</f>
        <v>-585072.5</v>
      </c>
      <c r="P3" s="6">
        <f>SUMIFS(P$14:P$350,$F$14:$F$350,"Included")+SUMIFS(P$14:P$350,$F$14:$F$350,"Add")</f>
        <v>148742.5</v>
      </c>
      <c r="R3" s="6">
        <f>SUMIFS(R$14:R$350,$F$14:$F$350,"Included")+SUMIFS(R$14:R$350,$F$14:$F$350,"Add")</f>
        <v>17759</v>
      </c>
      <c r="S3" s="6">
        <f>T3-R3</f>
        <v>0</v>
      </c>
      <c r="T3" s="6">
        <f>SUMIFS(T$14:T$350,$F$14:$F$350,"Included")+SUMIFS(T$14:T$350,$F$14:$F$350,"Add")</f>
        <v>17759</v>
      </c>
      <c r="V3" s="6">
        <f>SUMIFS(V$14:V$350,$F$14:$F$350,"Included")+SUMIFS(V$14:V$350,$F$14:$F$350,"Add")</f>
        <v>41756.400000000001</v>
      </c>
      <c r="W3" s="6">
        <f>X3-V3</f>
        <v>-5396.1500000000015</v>
      </c>
      <c r="X3" s="6">
        <f>SUMIFS(X$14:X$350,$F$14:$F$350,"Included")+SUMIFS(X$14:X$350,$F$14:$F$350,"Add")</f>
        <v>36360.25</v>
      </c>
    </row>
    <row r="4" spans="2:24" x14ac:dyDescent="0.25">
      <c r="B4" t="s">
        <v>34</v>
      </c>
      <c r="C4" s="139" t="s">
        <v>2117</v>
      </c>
      <c r="H4" s="12"/>
      <c r="I4" s="124" t="s">
        <v>35</v>
      </c>
      <c r="J4" s="6">
        <f>SUMIFS(J$14:J$350,$F$14:$F$350,"Optional")-J7</f>
        <v>0</v>
      </c>
      <c r="K4" s="6">
        <f>L4-J4</f>
        <v>0</v>
      </c>
      <c r="L4" s="6">
        <f>SUMIFS(L$14:L$350,$F$14:$F$350,"Optional")-L7</f>
        <v>0</v>
      </c>
      <c r="N4" s="6">
        <f>SUMIFS(N$14:N$350,$F$14:$F$350,"Optional")</f>
        <v>173320</v>
      </c>
      <c r="O4" s="6">
        <f>P4-N4</f>
        <v>-98620</v>
      </c>
      <c r="P4" s="6">
        <f>SUMIFS(P$14:P$350,$F$14:$F$350,"Optional")</f>
        <v>74700</v>
      </c>
      <c r="R4" s="6">
        <f>SUMIFS(R$14:R$350,$F$14:$F$350,"Optional")</f>
        <v>3500</v>
      </c>
      <c r="S4" s="6">
        <f>T4-R4</f>
        <v>0</v>
      </c>
      <c r="T4" s="6">
        <f>SUMIFS(T$14:T$350,$F$14:$F$350,"Optional")</f>
        <v>3500</v>
      </c>
      <c r="V4" s="6">
        <f>SUMIFS(V$14:V$350,$F$14:$F$350,"Optional")</f>
        <v>9255</v>
      </c>
      <c r="W4" s="6">
        <f>X4-V4</f>
        <v>-1155.5</v>
      </c>
      <c r="X4" s="6">
        <f>SUMIFS(X$14:X$350,$F$14:$F$350,"Optional")</f>
        <v>8099.5</v>
      </c>
    </row>
    <row r="5" spans="2:24" x14ac:dyDescent="0.25">
      <c r="C5" s="13" t="s">
        <v>2120</v>
      </c>
      <c r="H5" s="12"/>
      <c r="I5" s="124" t="s">
        <v>36</v>
      </c>
      <c r="J5" s="6">
        <f>SUMIFS(J$14:J$350,$F$14:$F$350,"Replaced")</f>
        <v>0</v>
      </c>
      <c r="K5" s="6">
        <f>L5-J5</f>
        <v>0</v>
      </c>
      <c r="L5" s="6">
        <f>SUMIFS(L$14:L$350,$F$14:$F$350,"Replaced")</f>
        <v>0</v>
      </c>
      <c r="N5" s="6">
        <f>SUMIFS(N$14:N$350,$F$14:$F$350,"Replaced")</f>
        <v>0</v>
      </c>
      <c r="O5" s="6">
        <f>P5-N5</f>
        <v>0</v>
      </c>
      <c r="P5" s="6">
        <f>SUMIFS(P$14:P$350,$F$14:$F$350,"Replaced")</f>
        <v>0</v>
      </c>
      <c r="R5" s="6">
        <f>SUMIFS(R$14:R$350,$F$14:$F$350,"Replaced")</f>
        <v>0</v>
      </c>
      <c r="S5" s="6">
        <f>T5-R5</f>
        <v>0</v>
      </c>
      <c r="T5" s="6">
        <f>SUMIFS(T$14:T$350,$F$14:$F$350,"Replaced")</f>
        <v>0</v>
      </c>
      <c r="V5" s="6">
        <f>SUMIFS(V$14:V$350,$F$14:$F$350,"Replaced")</f>
        <v>0</v>
      </c>
      <c r="W5" s="6">
        <f>X5-V5</f>
        <v>0</v>
      </c>
      <c r="X5" s="6">
        <f>SUMIFS(X$14:X$350,$F$14:$F$350,"Replaced")</f>
        <v>0</v>
      </c>
    </row>
    <row r="6" spans="2:24" x14ac:dyDescent="0.25">
      <c r="H6" s="12"/>
      <c r="I6" s="124" t="s">
        <v>37</v>
      </c>
      <c r="J6" s="6">
        <f>SUMIFS($J$14:$J$350,$C$14:$C$350,"",$F$14:$F$350,"Included")</f>
        <v>0</v>
      </c>
      <c r="K6" s="6">
        <f>L6-J6</f>
        <v>0</v>
      </c>
      <c r="L6" s="6">
        <f>SUMIFS($L$14:$L$350,$C$14:$C$350,"",$F$14:$F$350,"Included")</f>
        <v>0</v>
      </c>
      <c r="W6" s="114"/>
    </row>
    <row r="7" spans="2:24" x14ac:dyDescent="0.25">
      <c r="B7" s="12" t="s">
        <v>38</v>
      </c>
      <c r="C7" s="135">
        <v>116592</v>
      </c>
      <c r="H7" s="12"/>
      <c r="I7" s="124" t="s">
        <v>39</v>
      </c>
      <c r="J7" s="6">
        <f>SUMIFS($J$14:$J$350,$C$14:$C$350,"",$F$14:$F$350,"Optional")</f>
        <v>0</v>
      </c>
      <c r="K7" s="6">
        <f>L7-J7</f>
        <v>0</v>
      </c>
      <c r="L7" s="6">
        <f>SUMIFS($L$14:$L$350,$C$14:$C$350,"",$F$14:$F$350,"Optional")</f>
        <v>0</v>
      </c>
      <c r="V7" s="118" t="str">
        <f>IF(SUM(SF_Output!F:F)&gt;0,"PAP Discount (%)","")</f>
        <v>PAP Discount (%)</v>
      </c>
      <c r="W7" s="137">
        <v>0</v>
      </c>
      <c r="X7" s="131"/>
    </row>
    <row r="8" spans="2:24" x14ac:dyDescent="0.25">
      <c r="B8" s="12" t="s">
        <v>40</v>
      </c>
      <c r="C8" s="7">
        <v>0</v>
      </c>
      <c r="X8" s="118"/>
    </row>
    <row r="9" spans="2:24" x14ac:dyDescent="0.25">
      <c r="B9" s="12" t="s">
        <v>41</v>
      </c>
      <c r="C9" t="s">
        <v>2118</v>
      </c>
      <c r="J9" s="118" t="s">
        <v>42</v>
      </c>
      <c r="K9" s="5">
        <v>0</v>
      </c>
      <c r="N9" s="118" t="s">
        <v>42</v>
      </c>
      <c r="O9" s="5">
        <v>0</v>
      </c>
      <c r="R9" s="118" t="s">
        <v>42</v>
      </c>
      <c r="S9" s="5">
        <v>0</v>
      </c>
      <c r="V9" s="118" t="str">
        <f>IF(SUM(SF_Output!F:F)&gt;0,"","Global Discount")</f>
        <v/>
      </c>
      <c r="W9" s="132">
        <v>0</v>
      </c>
    </row>
    <row r="10" spans="2:24" x14ac:dyDescent="0.25">
      <c r="B10" s="12" t="s">
        <v>43</v>
      </c>
      <c r="C10" t="s">
        <v>2119</v>
      </c>
    </row>
    <row r="11" spans="2:24" x14ac:dyDescent="0.25">
      <c r="B11" t="s">
        <v>44</v>
      </c>
      <c r="C11" s="111">
        <v>72</v>
      </c>
      <c r="J11" s="9"/>
      <c r="K11" s="10" t="s">
        <v>45</v>
      </c>
      <c r="L11" s="9"/>
      <c r="N11" s="9"/>
      <c r="O11" s="10" t="s">
        <v>46</v>
      </c>
      <c r="P11" s="9"/>
      <c r="R11" s="9"/>
      <c r="S11" s="10" t="s">
        <v>47</v>
      </c>
      <c r="T11" s="9"/>
      <c r="V11" s="9"/>
      <c r="W11" s="10" t="s">
        <v>48</v>
      </c>
      <c r="X11" s="9"/>
    </row>
    <row r="12" spans="2:24" x14ac:dyDescent="0.25">
      <c r="C12" s="35">
        <v>5000</v>
      </c>
      <c r="J12"/>
      <c r="K12" s="6"/>
      <c r="L12" s="4"/>
      <c r="M12" s="4"/>
      <c r="O12" s="6"/>
      <c r="P12" s="4"/>
      <c r="Q12" s="4"/>
      <c r="S12" s="6"/>
      <c r="T12" s="4"/>
      <c r="U12" s="4"/>
      <c r="W12" s="6"/>
      <c r="X12" s="4"/>
    </row>
    <row r="13" spans="2:24" x14ac:dyDescent="0.25">
      <c r="B13" s="8" t="s">
        <v>50</v>
      </c>
      <c r="C13" s="8" t="s">
        <v>51</v>
      </c>
      <c r="D13" s="8" t="s">
        <v>52</v>
      </c>
      <c r="E13" s="8" t="s">
        <v>53</v>
      </c>
      <c r="F13" s="115" t="s">
        <v>54</v>
      </c>
      <c r="G13" s="8" t="s">
        <v>55</v>
      </c>
      <c r="H13" s="120" t="s">
        <v>56</v>
      </c>
      <c r="I13" s="123" t="s">
        <v>57</v>
      </c>
      <c r="J13" s="9" t="str">
        <f>J2</f>
        <v>License List</v>
      </c>
      <c r="K13" s="10" t="s">
        <v>21</v>
      </c>
      <c r="L13" s="9" t="str">
        <f>L2</f>
        <v>License Net</v>
      </c>
      <c r="M13" s="9"/>
      <c r="N13" s="9" t="str">
        <f>N2</f>
        <v>Install List</v>
      </c>
      <c r="O13" s="10" t="s">
        <v>21</v>
      </c>
      <c r="P13" s="9" t="str">
        <f>P2</f>
        <v>Install Net</v>
      </c>
      <c r="Q13" s="9"/>
      <c r="R13" s="9" t="str">
        <f>R2</f>
        <v>Maintenance List</v>
      </c>
      <c r="S13" s="10" t="s">
        <v>21</v>
      </c>
      <c r="T13" s="9" t="str">
        <f>T2</f>
        <v>Maintenance Net</v>
      </c>
      <c r="U13" s="9"/>
      <c r="V13" s="9" t="str">
        <f>V2</f>
        <v>New Monthly List</v>
      </c>
      <c r="W13" s="10" t="s">
        <v>21</v>
      </c>
      <c r="X13" s="9" t="str">
        <f>X2</f>
        <v>New Monthly Net</v>
      </c>
    </row>
    <row r="14" spans="2:24" x14ac:dyDescent="0.25">
      <c r="B14" t="s">
        <v>1794</v>
      </c>
      <c r="C14" t="s">
        <v>2122</v>
      </c>
      <c r="D14" t="s">
        <v>2123</v>
      </c>
      <c r="E14" t="s">
        <v>2124</v>
      </c>
      <c r="F14" s="116" t="str">
        <f t="shared" ref="F14:F77" si="0">IF(B14="","",IF(E14*1=0,"Included","Optional"))</f>
        <v>Included</v>
      </c>
      <c r="G14" t="str">
        <f>IF(B14="","",INDEX(SF_Output!$K$1:$K$400,MATCH(B14,SF_Output!$M$1:$M$400,0)))</f>
        <v>SilverLake</v>
      </c>
      <c r="H14" cm="1">
        <f t="array" ref="H14">_xlfn.IFS(B14="","",(SUMIFS(SF_Output!$F$1:$F$400,SF_Output!$AC$1:$AC$400,_xlfn.TEXTJOIN(",",TRUE,B14:E14))+SUMIFS(SF_Output!$G$1:$G$400,SF_Output!$AC$1:$AC$400,_xlfn.TEXTJOIN(",",TRUE,B14:E14)))&lt;&gt;0,SF_Output!$Y$2,INDEX(SF_Output!$F$1:$F$400,MATCH(_xlfn.TEXTJOIN(",",TRUE,B14:E14),SF_Output!$AC$1:$AC$400,0))=0,INDEX(SF_Output!$R$1:$R$400,MATCH(_xlfn.TEXTJOIN(",",TRUE,B14:E14),SF_Output!$AC$1:$AC$400,0)))</f>
        <v>5000</v>
      </c>
      <c r="I14" s="125">
        <f>IFERROR(IF(AND(H14&gt;1,H14&lt;&gt;""),ROUND(SUMIFS(SF_Output!$S$1:$S$400,SF_Output!$AC$1:$AC$400,_xlfn.TEXTJOIN(",",TRUE,B14:E14),SF_Output!$Q$1:$Q$400,"monthly")*(1-W14)/H14,4),""),"")</f>
        <v>1.2181</v>
      </c>
      <c r="J14" s="6">
        <f>IF(B14="","",SUMIFS(SF_Output!$S$1:$S$400,SF_Output!$AC$1:$AC$400,_xlfn.TEXTJOIN(",",TRUE,B14:E14),SF_Output!$Q$1:$Q$400,"One Time",SF_Output!$L$1:$L$400,"license fee")+SUMIFS(SF_Output!$S$1:$S$400,SF_Output!$AC$1:$AC$400,_xlfn.TEXTJOIN(",",TRUE,B14:E14),SF_Output!$Q$1:$Q$400,"One Time",SF_Output!$L$1:$L$400,"software license")+SUMIFS(SF_Output!$S$1:$S$400,SF_Output!$AC$1:$AC$400,_xlfn.TEXTJOIN(",",TRUE,B14:E14),SF_Output!$Q$1:$Q$400,"One Time",SF_Output!$L$1:$L$400,"hardware"))</f>
        <v>0</v>
      </c>
      <c r="K14" s="112" t="str">
        <f>IF(OR(B14=0,B14="",G14="hardware",J14=0),"",IF(AF14&lt;&gt;"exclusion",MAX(K$9,-((SUMIFS(SF_Output!$T$1:$T$400,SF_Output!$AC$1:$AC$400,_xlfn.TEXTJOIN(",",TRUE,$B14:$E14),SF_Output!$Q$1:$Q$400,"One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license"))/J14)))</f>
        <v/>
      </c>
      <c r="L14" s="6">
        <f t="shared" ref="L14:L77" si="1">IF(K14="",J14,J14*(1-K14))</f>
        <v>0</v>
      </c>
      <c r="N14" s="6">
        <f>IF(B14="","",SUMIFS(SF_Output!$S$1:$S$400,SF_Output!$AC$1:$AC$400,_xlfn.TEXTJOIN(",",TRUE,B14:E14),SF_Output!$Q$1:$Q$400,"One Time",SF_Output!$L$1:$L$400,"professional service"))</f>
        <v>78700</v>
      </c>
      <c r="O14" s="112">
        <f>IF(OR(B14=0,B14="",N14=0),"",IF(AF14&lt;&gt;"exclusion",MAX(O$9,-(SUMIFS(SF_Output!$T$1:$T$400,SF_Output!$AC$1:$AC$400,_xlfn.TEXTJOIN(",",TRUE,$B14:$E14),SF_Output!$Q$1:$Q$400,"One Time",SF_Output!$L$1:$L$400,"professional service"))/N14),-((SUMIFS(SF_Output!$T$1:$T$400,SF_Output!$AC$1:$AC$400,_xlfn.TEXTJOIN(",",TRUE,$B14:$E14),SF_Output!$Q$1:$Q$400,"One Time",SF_Output!$L$1:$L$400,"professional service")/N14))))</f>
        <v>1</v>
      </c>
      <c r="P14" s="6">
        <f t="shared" ref="P14:P77" si="2">IF(O14="",N14,N14*(1-O14))</f>
        <v>0</v>
      </c>
      <c r="R14" s="6">
        <f>IF(B14="","",SUMIFS(SF_Output!$S$1:$S$400,SF_Output!$AC$1:$AC$400,_xlfn.TEXTJOIN(",",TRUE,B14:E14),SF_Output!$Q$1:$Q$400,"yearly")+SUMIFS(SF_Output!$S$1:$S$400,SF_Output!$AC$1:$AC$400,_xlfn.TEXTJOIN(",",TRUE,B14:E14),SF_Output!$Q$1:$Q$400,"quarterly")*4)</f>
        <v>0</v>
      </c>
      <c r="S14" s="112" t="str">
        <f>IF(OR(B14=0,B14="",G14="hardware",R14=0),"",IF(AF14&lt;&gt;"exclusion",MAX(S$9,-(SUMIFS(SF_Output!$T$1:$T$400,SF_Output!$AC$1:$AC$400,_xlfn.TEXTJOIN(",",TRUE,$B14:$E14),SF_Output!$Q$1:$Q$400,"yearly"))/R14),-((SUMIFS(SF_Output!$T$1:$T$400,SF_Output!$AC$1:$AC$400,_xlfn.TEXTJOIN(",",TRUE,$B14:$E14),SF_Output!$Q$1:$Q$400,"yearly")/R14))))</f>
        <v/>
      </c>
      <c r="T14" s="6">
        <f t="shared" ref="T14:T77" si="3">IF(S14="",R14,R14*(1-S14))</f>
        <v>0</v>
      </c>
      <c r="V14" s="6" cm="1">
        <f t="array" ref="V14">_xlfn.IFS(B14="","",AND(B14&lt;&gt;"",H14=SF_Output!$Y$2,SUMIFS(SF_Output!$T$1:$T$400,SF_Output!$AC$1:$AC$400,_xlfn.TEXTJOIN(",",TRUE,B14:E14),SF_Output!$Q$1:$Q$400,"monthly")=0),(SUMIFS(SF_Output!$F$1:$F$400,SF_Output!$AC$1:$AC$400,_xlfn.TEXTJOIN(",",TRUE,B14:E14),SF_Output!$Q$1:$Q$400,"monthly")+SUMIFS(SF_Output!$G$1:$G$400,SF_Output!$AC$1:$AC$400,_xlfn.TEXTJOIN(",",TRUE,B14:E14),SF_Output!$Q$1:$Q$400,"monthly"))*H14,AND(B14&lt;&gt;"",H14=SF_Output!$Y$2,SUMIFS(SF_Output!$T$1:$T$400,SF_Output!$AC$1:$AC$400,_xlfn.TEXTJOIN(",",TRUE,B14:E14),SF_Output!$Q$1:$Q$400,"monthly")&lt;&gt;0),SUMIFS(SF_Output!$S$1:$S$400,SF_Output!$AC$1:$AC$400,_xlfn.TEXTJOIN(",",TRUE,B14:E14),SF_Output!$Q$1:$Q$400,"monthly"),AND(B14&lt;&gt;"",H14&lt;&gt;SF_Output!$Y$2),SUMIFS(SF_Output!$S$1:$S$400,SF_Output!$AC$1:$AC$400,_xlfn.TEXTJOIN(",",TRUE,B14:E14),SF_Output!$Q$1:$Q$400,"monthly"))</f>
        <v>6921.15</v>
      </c>
      <c r="W14" s="112" cm="1">
        <f t="array" ref="W14">_xlfn.IFS(OR(B14=0,B14="",V14=0),"",AF14&lt;&gt;"exclusion",MAX($W$9,$W$7,(-(SUMIFS(SF_Output!$T$1:$T$400,SF_Output!$AC$1:$AC$400,_xlfn.TEXTJOIN(",",TRUE,$B14:$E14),SF_Output!$Q$1:$Q$400,"monthly"))/V14)),AF14="exclusion",-(SUMIFS(SF_Output!$T$1:$T$400,SF_Output!$AC$1:$AC$400,_xlfn.TEXTJOIN(",",TRUE,$B14:$E14),SF_Output!$Q$1:$Q$400,"monthly"))/V14)</f>
        <v>0.12000028896931868</v>
      </c>
      <c r="X14" s="6" cm="1">
        <f t="array" ref="X14">IFERROR(_xlfn.IFS(V14=0,0,V14="","",W14=0,V14,OR(V14&lt;&gt;0,V14&lt;&gt;""),H14*I14),V14*(1-W14))</f>
        <v>6090.5</v>
      </c>
    </row>
    <row r="15" spans="2:24" x14ac:dyDescent="0.25">
      <c r="B15" t="s">
        <v>2143</v>
      </c>
      <c r="C15" t="s">
        <v>2122</v>
      </c>
      <c r="D15" t="s">
        <v>2123</v>
      </c>
      <c r="E15" t="s">
        <v>2124</v>
      </c>
      <c r="F15" s="116" t="str">
        <f t="shared" si="0"/>
        <v>Included</v>
      </c>
      <c r="G15" t="str">
        <f>IF(B15="","",INDEX(SF_Output!$K$1:$K$400,MATCH(B15,SF_Output!$M$1:$M$400,0)))</f>
        <v>SilverLake</v>
      </c>
      <c r="H15" cm="1">
        <f t="array" ref="H15">_xlfn.IFS(B15="","",(SUMIFS(SF_Output!$F$1:$F$400,SF_Output!$AC$1:$AC$400,_xlfn.TEXTJOIN(",",TRUE,B15:E15))+SUMIFS(SF_Output!$G$1:$G$400,SF_Output!$AC$1:$AC$400,_xlfn.TEXTJOIN(",",TRUE,B15:E15)))&lt;&gt;0,SF_Output!$Y$2,INDEX(SF_Output!$F$1:$F$400,MATCH(_xlfn.TEXTJOIN(",",TRUE,B15:E15),SF_Output!$AC$1:$AC$400,0))=0,INDEX(SF_Output!$R$1:$R$400,MATCH(_xlfn.TEXTJOIN(",",TRUE,B15:E15),SF_Output!$AC$1:$AC$400,0)))</f>
        <v>1</v>
      </c>
      <c r="I15" s="125" t="str">
        <f>IFERROR(IF(AND(H15&gt;1,H15&lt;&gt;""),ROUND(SUMIFS(SF_Output!$S$1:$S$400,SF_Output!$AC$1:$AC$400,_xlfn.TEXTJOIN(",",TRUE,B15:E15),SF_Output!$Q$1:$Q$400,"monthly")*(1-W15)/H15,4),""),"")</f>
        <v/>
      </c>
      <c r="J15" s="6">
        <f>IF(B15="","",SUMIFS(SF_Output!$S$1:$S$400,SF_Output!$AC$1:$AC$400,_xlfn.TEXTJOIN(",",TRUE,B15:E15),SF_Output!$Q$1:$Q$400,"One Time",SF_Output!$L$1:$L$400,"license fee")+SUMIFS(SF_Output!$S$1:$S$400,SF_Output!$AC$1:$AC$400,_xlfn.TEXTJOIN(",",TRUE,B15:E15),SF_Output!$Q$1:$Q$400,"One Time",SF_Output!$L$1:$L$400,"software license")+SUMIFS(SF_Output!$S$1:$S$400,SF_Output!$AC$1:$AC$400,_xlfn.TEXTJOIN(",",TRUE,B15:E15),SF_Output!$Q$1:$Q$400,"One Time",SF_Output!$L$1:$L$400,"hardware"))</f>
        <v>0</v>
      </c>
      <c r="K15" s="112" t="str">
        <f>IF(OR(B15=0,B15="",G15="hardware",J15=0),"",IF(AF15&lt;&gt;"exclusion",MAX(K$9,-((SUMIFS(SF_Output!$T$1:$T$400,SF_Output!$AC$1:$AC$400,_xlfn.TEXTJOIN(",",TRUE,$B15:$E15),SF_Output!$Q$1:$Q$400,"One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license"))/J15)))</f>
        <v/>
      </c>
      <c r="L15" s="6">
        <f t="shared" si="1"/>
        <v>0</v>
      </c>
      <c r="N15" s="6">
        <f>IF(B15="","",SUMIFS(SF_Output!$S$1:$S$400,SF_Output!$AC$1:$AC$400,_xlfn.TEXTJOIN(",",TRUE,B15:E15),SF_Output!$Q$1:$Q$400,"One Time",SF_Output!$L$1:$L$400,"professional service"))</f>
        <v>125405</v>
      </c>
      <c r="O15" s="112">
        <f>IF(OR(B15=0,B15="",N15=0),"",IF(AF15&lt;&gt;"exclusion",MAX(O$9,-(SUMIFS(SF_Output!$T$1:$T$400,SF_Output!$AC$1:$AC$400,_xlfn.TEXTJOIN(",",TRUE,$B15:$E15),SF_Output!$Q$1:$Q$400,"One Time",SF_Output!$L$1:$L$400,"professional service"))/N15),-((SUMIFS(SF_Output!$T$1:$T$400,SF_Output!$AC$1:$AC$400,_xlfn.TEXTJOIN(",",TRUE,$B15:$E15),SF_Output!$Q$1:$Q$400,"One Time",SF_Output!$L$1:$L$400,"professional service")/N15))))</f>
        <v>1</v>
      </c>
      <c r="P15" s="6">
        <f t="shared" si="2"/>
        <v>0</v>
      </c>
      <c r="R15" s="6">
        <f>IF(B15="","",SUMIFS(SF_Output!$S$1:$S$400,SF_Output!$AC$1:$AC$400,_xlfn.TEXTJOIN(",",TRUE,B15:E15),SF_Output!$Q$1:$Q$400,"yearly")+SUMIFS(SF_Output!$S$1:$S$400,SF_Output!$AC$1:$AC$400,_xlfn.TEXTJOIN(",",TRUE,B15:E15),SF_Output!$Q$1:$Q$400,"quarterly")*4)</f>
        <v>0</v>
      </c>
      <c r="S15" s="112" t="str">
        <f>IF(OR(B15=0,B15="",G15="hardware",R15=0),"",IF(AF15&lt;&gt;"exclusion",MAX(S$9,-(SUMIFS(SF_Output!$T$1:$T$400,SF_Output!$AC$1:$AC$400,_xlfn.TEXTJOIN(",",TRUE,$B15:$E15),SF_Output!$Q$1:$Q$400,"yearly"))/R15),-((SUMIFS(SF_Output!$T$1:$T$400,SF_Output!$AC$1:$AC$400,_xlfn.TEXTJOIN(",",TRUE,$B15:$E15),SF_Output!$Q$1:$Q$400,"yearly")/R15))))</f>
        <v/>
      </c>
      <c r="T15" s="6">
        <f t="shared" si="3"/>
        <v>0</v>
      </c>
      <c r="V15" s="6" cm="1">
        <f t="array" ref="V15">_xlfn.IFS(B15="","",AND(B15&lt;&gt;"",H15=SF_Output!$Y$2,SUMIFS(SF_Output!$T$1:$T$400,SF_Output!$AC$1:$AC$400,_xlfn.TEXTJOIN(",",TRUE,B15:E15),SF_Output!$Q$1:$Q$400,"monthly")=0),(SUMIFS(SF_Output!$F$1:$F$400,SF_Output!$AC$1:$AC$400,_xlfn.TEXTJOIN(",",TRUE,B15:E15),SF_Output!$Q$1:$Q$400,"monthly")+SUMIFS(SF_Output!$G$1:$G$400,SF_Output!$AC$1:$AC$400,_xlfn.TEXTJOIN(",",TRUE,B15:E15),SF_Output!$Q$1:$Q$400,"monthly"))*H15,AND(B15&lt;&gt;"",H15=SF_Output!$Y$2,SUMIFS(SF_Output!$T$1:$T$400,SF_Output!$AC$1:$AC$400,_xlfn.TEXTJOIN(",",TRUE,B15:E15),SF_Output!$Q$1:$Q$400,"monthly")&lt;&gt;0),SUMIFS(SF_Output!$S$1:$S$400,SF_Output!$AC$1:$AC$400,_xlfn.TEXTJOIN(",",TRUE,B15:E15),SF_Output!$Q$1:$Q$400,"monthly"),AND(B15&lt;&gt;"",H15&lt;&gt;SF_Output!$Y$2),SUMIFS(SF_Output!$S$1:$S$400,SF_Output!$AC$1:$AC$400,_xlfn.TEXTJOIN(",",TRUE,B15:E15),SF_Output!$Q$1:$Q$400,"monthly"))</f>
        <v>0</v>
      </c>
      <c r="W15" s="112" t="str" cm="1">
        <f t="array" ref="W15">_xlfn.IFS(OR(B15=0,B15="",V15=0),"",AF15&lt;&gt;"exclusion",MAX($W$9,$W$7,(-(SUMIFS(SF_Output!$T$1:$T$400,SF_Output!$AC$1:$AC$400,_xlfn.TEXTJOIN(",",TRUE,$B15:$E15),SF_Output!$Q$1:$Q$400,"monthly"))/V15)),AF15="exclusion",-(SUMIFS(SF_Output!$T$1:$T$400,SF_Output!$AC$1:$AC$400,_xlfn.TEXTJOIN(",",TRUE,$B15:$E15),SF_Output!$Q$1:$Q$400,"monthly"))/V15)</f>
        <v/>
      </c>
      <c r="X15" s="6" cm="1">
        <f t="array" ref="X15">IFERROR(_xlfn.IFS(V15=0,0,V15="","",W15=0,V15,OR(V15&lt;&gt;0,V15&lt;&gt;""),H15*I15),V15*(1-W15))</f>
        <v>0</v>
      </c>
    </row>
    <row r="16" spans="2:24" x14ac:dyDescent="0.25">
      <c r="B16" t="s">
        <v>1774</v>
      </c>
      <c r="C16" t="s">
        <v>2122</v>
      </c>
      <c r="D16" t="s">
        <v>2123</v>
      </c>
      <c r="E16" t="s">
        <v>2124</v>
      </c>
      <c r="F16" s="116" t="str">
        <f t="shared" si="0"/>
        <v>Included</v>
      </c>
      <c r="G16" t="str">
        <f>IF(B16="","",INDEX(SF_Output!$K$1:$K$400,MATCH(B16,SF_Output!$M$1:$M$400,0)))</f>
        <v>SilverLake</v>
      </c>
      <c r="H16" cm="1">
        <f t="array" ref="H16">_xlfn.IFS(B16="","",(SUMIFS(SF_Output!$F$1:$F$400,SF_Output!$AC$1:$AC$400,_xlfn.TEXTJOIN(",",TRUE,B16:E16))+SUMIFS(SF_Output!$G$1:$G$400,SF_Output!$AC$1:$AC$400,_xlfn.TEXTJOIN(",",TRUE,B16:E16)))&lt;&gt;0,SF_Output!$Y$2,INDEX(SF_Output!$F$1:$F$400,MATCH(_xlfn.TEXTJOIN(",",TRUE,B16:E16),SF_Output!$AC$1:$AC$400,0))=0,INDEX(SF_Output!$R$1:$R$400,MATCH(_xlfn.TEXTJOIN(",",TRUE,B16:E16),SF_Output!$AC$1:$AC$400,0)))</f>
        <v>1</v>
      </c>
      <c r="I16" s="125" t="str">
        <f>IFERROR(IF(AND(H16&gt;1,H16&lt;&gt;""),ROUND(SUMIFS(SF_Output!$S$1:$S$400,SF_Output!$AC$1:$AC$400,_xlfn.TEXTJOIN(",",TRUE,B16:E16),SF_Output!$Q$1:$Q$400,"monthly")*(1-W16)/H16,4),""),"")</f>
        <v/>
      </c>
      <c r="J16" s="6">
        <f>IF(B16="","",SUMIFS(SF_Output!$S$1:$S$400,SF_Output!$AC$1:$AC$400,_xlfn.TEXTJOIN(",",TRUE,B16:E16),SF_Output!$Q$1:$Q$400,"One Time",SF_Output!$L$1:$L$400,"license fee")+SUMIFS(SF_Output!$S$1:$S$400,SF_Output!$AC$1:$AC$400,_xlfn.TEXTJOIN(",",TRUE,B16:E16),SF_Output!$Q$1:$Q$400,"One Time",SF_Output!$L$1:$L$400,"software license")+SUMIFS(SF_Output!$S$1:$S$400,SF_Output!$AC$1:$AC$400,_xlfn.TEXTJOIN(",",TRUE,B16:E16),SF_Output!$Q$1:$Q$400,"One Time",SF_Output!$L$1:$L$400,"hardware"))</f>
        <v>0</v>
      </c>
      <c r="K16" s="112" t="str">
        <f>IF(OR(B16=0,B16="",G16="hardware",J16=0),"",IF(AF16&lt;&gt;"exclusion",MAX(K$9,-((SUMIFS(SF_Output!$T$1:$T$400,SF_Output!$AC$1:$AC$400,_xlfn.TEXTJOIN(",",TRUE,$B16:$E16),SF_Output!$Q$1:$Q$400,"One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license"))/J16)))</f>
        <v/>
      </c>
      <c r="L16" s="6">
        <f t="shared" si="1"/>
        <v>0</v>
      </c>
      <c r="N16" s="6">
        <f>IF(B16="","",SUMIFS(SF_Output!$S$1:$S$400,SF_Output!$AC$1:$AC$400,_xlfn.TEXTJOIN(",",TRUE,B16:E16),SF_Output!$Q$1:$Q$400,"One Time",SF_Output!$L$1:$L$400,"professional service"))</f>
        <v>0</v>
      </c>
      <c r="O16" s="112" t="str">
        <f>IF(OR(B16=0,B16="",N16=0),"",IF(AF16&lt;&gt;"exclusion",MAX(O$9,-(SUMIFS(SF_Output!$T$1:$T$400,SF_Output!$AC$1:$AC$400,_xlfn.TEXTJOIN(",",TRUE,$B16:$E16),SF_Output!$Q$1:$Q$400,"One Time",SF_Output!$L$1:$L$400,"professional service"))/N16),-((SUMIFS(SF_Output!$T$1:$T$400,SF_Output!$AC$1:$AC$400,_xlfn.TEXTJOIN(",",TRUE,$B16:$E16),SF_Output!$Q$1:$Q$400,"One Time",SF_Output!$L$1:$L$400,"professional service")/N16))))</f>
        <v/>
      </c>
      <c r="P16" s="6">
        <f t="shared" si="2"/>
        <v>0</v>
      </c>
      <c r="R16" s="6">
        <f>IF(B16="","",SUMIFS(SF_Output!$S$1:$S$400,SF_Output!$AC$1:$AC$400,_xlfn.TEXTJOIN(",",TRUE,B16:E16),SF_Output!$Q$1:$Q$400,"yearly")+SUMIFS(SF_Output!$S$1:$S$400,SF_Output!$AC$1:$AC$400,_xlfn.TEXTJOIN(",",TRUE,B16:E16),SF_Output!$Q$1:$Q$400,"quarterly")*4)</f>
        <v>0</v>
      </c>
      <c r="S16" s="112" t="str">
        <f>IF(OR(B16=0,B16="",G16="hardware",R16=0),"",IF(AF16&lt;&gt;"exclusion",MAX(S$9,-(SUMIFS(SF_Output!$T$1:$T$400,SF_Output!$AC$1:$AC$400,_xlfn.TEXTJOIN(",",TRUE,$B16:$E16),SF_Output!$Q$1:$Q$400,"yearly"))/R16),-((SUMIFS(SF_Output!$T$1:$T$400,SF_Output!$AC$1:$AC$400,_xlfn.TEXTJOIN(",",TRUE,$B16:$E16),SF_Output!$Q$1:$Q$400,"yearly")/R16))))</f>
        <v/>
      </c>
      <c r="T16" s="6">
        <f t="shared" si="3"/>
        <v>0</v>
      </c>
      <c r="V16" s="6" cm="1">
        <f t="array" ref="V16">_xlfn.IFS(B16="","",AND(B16&lt;&gt;"",H16=SF_Output!$Y$2,SUMIFS(SF_Output!$T$1:$T$400,SF_Output!$AC$1:$AC$400,_xlfn.TEXTJOIN(",",TRUE,B16:E16),SF_Output!$Q$1:$Q$400,"monthly")=0),(SUMIFS(SF_Output!$F$1:$F$400,SF_Output!$AC$1:$AC$400,_xlfn.TEXTJOIN(",",TRUE,B16:E16),SF_Output!$Q$1:$Q$400,"monthly")+SUMIFS(SF_Output!$G$1:$G$400,SF_Output!$AC$1:$AC$400,_xlfn.TEXTJOIN(",",TRUE,B16:E16),SF_Output!$Q$1:$Q$400,"monthly"))*H16,AND(B16&lt;&gt;"",H16=SF_Output!$Y$2,SUMIFS(SF_Output!$T$1:$T$400,SF_Output!$AC$1:$AC$400,_xlfn.TEXTJOIN(",",TRUE,B16:E16),SF_Output!$Q$1:$Q$400,"monthly")&lt;&gt;0),SUMIFS(SF_Output!$S$1:$S$400,SF_Output!$AC$1:$AC$400,_xlfn.TEXTJOIN(",",TRUE,B16:E16),SF_Output!$Q$1:$Q$400,"monthly"),AND(B16&lt;&gt;"",H16&lt;&gt;SF_Output!$Y$2),SUMIFS(SF_Output!$S$1:$S$400,SF_Output!$AC$1:$AC$400,_xlfn.TEXTJOIN(",",TRUE,B16:E16),SF_Output!$Q$1:$Q$400,"monthly"))</f>
        <v>0.25</v>
      </c>
      <c r="W16" s="112" cm="1">
        <f t="array" ref="W16">_xlfn.IFS(OR(B16=0,B16="",V16=0),"",AF16&lt;&gt;"exclusion",MAX($W$9,$W$7,(-(SUMIFS(SF_Output!$T$1:$T$400,SF_Output!$AC$1:$AC$400,_xlfn.TEXTJOIN(",",TRUE,$B16:$E16),SF_Output!$Q$1:$Q$400,"monthly"))/V16)),AF16="exclusion",-(SUMIFS(SF_Output!$T$1:$T$400,SF_Output!$AC$1:$AC$400,_xlfn.TEXTJOIN(",",TRUE,$B16:$E16),SF_Output!$Q$1:$Q$400,"monthly"))/V16)</f>
        <v>0</v>
      </c>
      <c r="X16" s="6" cm="1">
        <f t="array" ref="X16">IFERROR(_xlfn.IFS(V16=0,0,V16="","",W16=0,V16,OR(V16&lt;&gt;0,V16&lt;&gt;""),H16*I16),V16*(1-W16))</f>
        <v>0.25</v>
      </c>
    </row>
    <row r="17" spans="2:24" x14ac:dyDescent="0.25">
      <c r="B17" t="s">
        <v>2149</v>
      </c>
      <c r="C17" t="s">
        <v>2122</v>
      </c>
      <c r="D17" t="s">
        <v>2123</v>
      </c>
      <c r="E17" t="s">
        <v>2150</v>
      </c>
      <c r="F17" s="116" t="str">
        <f t="shared" si="0"/>
        <v>Optional</v>
      </c>
      <c r="G17" t="str">
        <f>IF(B17="","",INDEX(SF_Output!$K$1:$K$400,MATCH(B17,SF_Output!$M$1:$M$400,0)))</f>
        <v>SilverLake</v>
      </c>
      <c r="H17" cm="1">
        <f t="array" ref="H17">_xlfn.IFS(B17="","",(SUMIFS(SF_Output!$F$1:$F$400,SF_Output!$AC$1:$AC$400,_xlfn.TEXTJOIN(",",TRUE,B17:E17))+SUMIFS(SF_Output!$G$1:$G$400,SF_Output!$AC$1:$AC$400,_xlfn.TEXTJOIN(",",TRUE,B17:E17)))&lt;&gt;0,SF_Output!$Y$2,INDEX(SF_Output!$F$1:$F$400,MATCH(_xlfn.TEXTJOIN(",",TRUE,B17:E17),SF_Output!$AC$1:$AC$400,0))=0,INDEX(SF_Output!$R$1:$R$400,MATCH(_xlfn.TEXTJOIN(",",TRUE,B17:E17),SF_Output!$AC$1:$AC$400,0)))</f>
        <v>1</v>
      </c>
      <c r="I17" s="125" t="str">
        <f>IFERROR(IF(AND(H17&gt;1,H17&lt;&gt;""),ROUND(SUMIFS(SF_Output!$S$1:$S$400,SF_Output!$AC$1:$AC$400,_xlfn.TEXTJOIN(",",TRUE,B17:E17),SF_Output!$Q$1:$Q$400,"monthly")*(1-W17)/H17,4),""),"")</f>
        <v/>
      </c>
      <c r="J17" s="6">
        <f>IF(B17="","",SUMIFS(SF_Output!$S$1:$S$400,SF_Output!$AC$1:$AC$400,_xlfn.TEXTJOIN(",",TRUE,B17:E17),SF_Output!$Q$1:$Q$400,"One Time",SF_Output!$L$1:$L$400,"license fee")+SUMIFS(SF_Output!$S$1:$S$400,SF_Output!$AC$1:$AC$400,_xlfn.TEXTJOIN(",",TRUE,B17:E17),SF_Output!$Q$1:$Q$400,"One Time",SF_Output!$L$1:$L$400,"software license")+SUMIFS(SF_Output!$S$1:$S$400,SF_Output!$AC$1:$AC$400,_xlfn.TEXTJOIN(",",TRUE,B17:E17),SF_Output!$Q$1:$Q$400,"One Time",SF_Output!$L$1:$L$400,"hardware"))</f>
        <v>0</v>
      </c>
      <c r="K17" s="112" t="str">
        <f>IF(OR(B17=0,B17="",G17="hardware",J17=0),"",IF(AF17&lt;&gt;"exclusion",MAX(K$9,-((SUMIFS(SF_Output!$T$1:$T$400,SF_Output!$AC$1:$AC$400,_xlfn.TEXTJOIN(",",TRUE,$B17:$E17),SF_Output!$Q$1:$Q$400,"One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license"))/J17)))</f>
        <v/>
      </c>
      <c r="L17" s="6">
        <f t="shared" si="1"/>
        <v>0</v>
      </c>
      <c r="N17" s="6">
        <f>IF(B17="","",SUMIFS(SF_Output!$S$1:$S$400,SF_Output!$AC$1:$AC$400,_xlfn.TEXTJOIN(",",TRUE,B17:E17),SF_Output!$Q$1:$Q$400,"One Time",SF_Output!$L$1:$L$400,"professional service"))</f>
        <v>6000</v>
      </c>
      <c r="O17" s="112">
        <f>IF(OR(B17=0,B17="",N17=0),"",IF(AF17&lt;&gt;"exclusion",MAX(O$9,-(SUMIFS(SF_Output!$T$1:$T$400,SF_Output!$AC$1:$AC$400,_xlfn.TEXTJOIN(",",TRUE,$B17:$E17),SF_Output!$Q$1:$Q$400,"One Time",SF_Output!$L$1:$L$400,"professional service"))/N17),-((SUMIFS(SF_Output!$T$1:$T$400,SF_Output!$AC$1:$AC$400,_xlfn.TEXTJOIN(",",TRUE,$B17:$E17),SF_Output!$Q$1:$Q$400,"One Time",SF_Output!$L$1:$L$400,"professional service")/N17))))</f>
        <v>1</v>
      </c>
      <c r="P17" s="6">
        <f t="shared" si="2"/>
        <v>0</v>
      </c>
      <c r="R17" s="6">
        <f>IF(B17="","",SUMIFS(SF_Output!$S$1:$S$400,SF_Output!$AC$1:$AC$400,_xlfn.TEXTJOIN(",",TRUE,B17:E17),SF_Output!$Q$1:$Q$400,"yearly")+SUMIFS(SF_Output!$S$1:$S$400,SF_Output!$AC$1:$AC$400,_xlfn.TEXTJOIN(",",TRUE,B17:E17),SF_Output!$Q$1:$Q$400,"quarterly")*4)</f>
        <v>0</v>
      </c>
      <c r="S17" s="112" t="str">
        <f>IF(OR(B17=0,B17="",G17="hardware",R17=0),"",IF(AF17&lt;&gt;"exclusion",MAX(S$9,-(SUMIFS(SF_Output!$T$1:$T$400,SF_Output!$AC$1:$AC$400,_xlfn.TEXTJOIN(",",TRUE,$B17:$E17),SF_Output!$Q$1:$Q$400,"yearly"))/R17),-((SUMIFS(SF_Output!$T$1:$T$400,SF_Output!$AC$1:$AC$400,_xlfn.TEXTJOIN(",",TRUE,$B17:$E17),SF_Output!$Q$1:$Q$400,"yearly")/R17))))</f>
        <v/>
      </c>
      <c r="T17" s="6">
        <f t="shared" si="3"/>
        <v>0</v>
      </c>
      <c r="V17" s="6" cm="1">
        <f t="array" ref="V17">_xlfn.IFS(B17="","",AND(B17&lt;&gt;"",H17=SF_Output!$Y$2,SUMIFS(SF_Output!$T$1:$T$400,SF_Output!$AC$1:$AC$400,_xlfn.TEXTJOIN(",",TRUE,B17:E17),SF_Output!$Q$1:$Q$400,"monthly")=0),(SUMIFS(SF_Output!$F$1:$F$400,SF_Output!$AC$1:$AC$400,_xlfn.TEXTJOIN(",",TRUE,B17:E17),SF_Output!$Q$1:$Q$400,"monthly")+SUMIFS(SF_Output!$G$1:$G$400,SF_Output!$AC$1:$AC$400,_xlfn.TEXTJOIN(",",TRUE,B17:E17),SF_Output!$Q$1:$Q$400,"monthly"))*H17,AND(B17&lt;&gt;"",H17=SF_Output!$Y$2,SUMIFS(SF_Output!$T$1:$T$400,SF_Output!$AC$1:$AC$400,_xlfn.TEXTJOIN(",",TRUE,B17:E17),SF_Output!$Q$1:$Q$400,"monthly")&lt;&gt;0),SUMIFS(SF_Output!$S$1:$S$400,SF_Output!$AC$1:$AC$400,_xlfn.TEXTJOIN(",",TRUE,B17:E17),SF_Output!$Q$1:$Q$400,"monthly"),AND(B17&lt;&gt;"",H17&lt;&gt;SF_Output!$Y$2),SUMIFS(SF_Output!$S$1:$S$400,SF_Output!$AC$1:$AC$400,_xlfn.TEXTJOIN(",",TRUE,B17:E17),SF_Output!$Q$1:$Q$400,"monthly"))</f>
        <v>530</v>
      </c>
      <c r="W17" s="112" cm="1">
        <f t="array" ref="W17">_xlfn.IFS(OR(B17=0,B17="",V17=0),"",AF17&lt;&gt;"exclusion",MAX($W$9,$W$7,(-(SUMIFS(SF_Output!$T$1:$T$400,SF_Output!$AC$1:$AC$400,_xlfn.TEXTJOIN(",",TRUE,$B17:$E17),SF_Output!$Q$1:$Q$400,"monthly"))/V17)),AF17="exclusion",-(SUMIFS(SF_Output!$T$1:$T$400,SF_Output!$AC$1:$AC$400,_xlfn.TEXTJOIN(",",TRUE,$B17:$E17),SF_Output!$Q$1:$Q$400,"monthly"))/V17)</f>
        <v>0.25</v>
      </c>
      <c r="X17" s="6" cm="1">
        <f t="array" ref="X17">IFERROR(_xlfn.IFS(V17=0,0,V17="","",W17=0,V17,OR(V17&lt;&gt;0,V17&lt;&gt;""),H17*I17),V17*(1-W17))</f>
        <v>397.5</v>
      </c>
    </row>
    <row r="18" spans="2:24" x14ac:dyDescent="0.25">
      <c r="B18" t="s">
        <v>2156</v>
      </c>
      <c r="C18" t="s">
        <v>2122</v>
      </c>
      <c r="D18" t="s">
        <v>2123</v>
      </c>
      <c r="E18" t="s">
        <v>2150</v>
      </c>
      <c r="F18" s="116" t="str">
        <f t="shared" si="0"/>
        <v>Optional</v>
      </c>
      <c r="G18" t="str">
        <f>IF(B18="","",INDEX(SF_Output!$K$1:$K$400,MATCH(B18,SF_Output!$M$1:$M$400,0)))</f>
        <v>SilverLake</v>
      </c>
      <c r="H18" cm="1">
        <f t="array" ref="H18">_xlfn.IFS(B18="","",(SUMIFS(SF_Output!$F$1:$F$400,SF_Output!$AC$1:$AC$400,_xlfn.TEXTJOIN(",",TRUE,B18:E18))+SUMIFS(SF_Output!$G$1:$G$400,SF_Output!$AC$1:$AC$400,_xlfn.TEXTJOIN(",",TRUE,B18:E18)))&lt;&gt;0,SF_Output!$Y$2,INDEX(SF_Output!$F$1:$F$400,MATCH(_xlfn.TEXTJOIN(",",TRUE,B18:E18),SF_Output!$AC$1:$AC$400,0))=0,INDEX(SF_Output!$R$1:$R$400,MATCH(_xlfn.TEXTJOIN(",",TRUE,B18:E18),SF_Output!$AC$1:$AC$400,0)))</f>
        <v>1</v>
      </c>
      <c r="I18" s="125" t="str">
        <f>IFERROR(IF(AND(H18&gt;1,H18&lt;&gt;""),ROUND(SUMIFS(SF_Output!$S$1:$S$400,SF_Output!$AC$1:$AC$400,_xlfn.TEXTJOIN(",",TRUE,B18:E18),SF_Output!$Q$1:$Q$400,"monthly")*(1-W18)/H18,4),""),"")</f>
        <v/>
      </c>
      <c r="J18" s="6">
        <f>IF(B18="","",SUMIFS(SF_Output!$S$1:$S$400,SF_Output!$AC$1:$AC$400,_xlfn.TEXTJOIN(",",TRUE,B18:E18),SF_Output!$Q$1:$Q$400,"One Time",SF_Output!$L$1:$L$400,"license fee")+SUMIFS(SF_Output!$S$1:$S$400,SF_Output!$AC$1:$AC$400,_xlfn.TEXTJOIN(",",TRUE,B18:E18),SF_Output!$Q$1:$Q$400,"One Time",SF_Output!$L$1:$L$400,"software license")+SUMIFS(SF_Output!$S$1:$S$400,SF_Output!$AC$1:$AC$400,_xlfn.TEXTJOIN(",",TRUE,B18:E18),SF_Output!$Q$1:$Q$400,"One Time",SF_Output!$L$1:$L$400,"hardware"))</f>
        <v>0</v>
      </c>
      <c r="K18" s="112" t="str">
        <f>IF(OR(B18=0,B18="",G18="hardware",J18=0),"",IF(AF18&lt;&gt;"exclusion",MAX(K$9,-((SUMIFS(SF_Output!$T$1:$T$400,SF_Output!$AC$1:$AC$400,_xlfn.TEXTJOIN(",",TRUE,$B18:$E18),SF_Output!$Q$1:$Q$400,"One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license"))/J18)))</f>
        <v/>
      </c>
      <c r="L18" s="6">
        <f t="shared" si="1"/>
        <v>0</v>
      </c>
      <c r="N18" s="6">
        <f>IF(B18="","",SUMIFS(SF_Output!$S$1:$S$400,SF_Output!$AC$1:$AC$400,_xlfn.TEXTJOIN(",",TRUE,B18:E18),SF_Output!$Q$1:$Q$400,"One Time",SF_Output!$L$1:$L$400,"professional service"))</f>
        <v>2340</v>
      </c>
      <c r="O18" s="112">
        <f>IF(OR(B18=0,B18="",N18=0),"",IF(AF18&lt;&gt;"exclusion",MAX(O$9,-(SUMIFS(SF_Output!$T$1:$T$400,SF_Output!$AC$1:$AC$400,_xlfn.TEXTJOIN(",",TRUE,$B18:$E18),SF_Output!$Q$1:$Q$400,"One Time",SF_Output!$L$1:$L$400,"professional service"))/N18),-((SUMIFS(SF_Output!$T$1:$T$400,SF_Output!$AC$1:$AC$400,_xlfn.TEXTJOIN(",",TRUE,$B18:$E18),SF_Output!$Q$1:$Q$400,"One Time",SF_Output!$L$1:$L$400,"professional service")/N18))))</f>
        <v>1</v>
      </c>
      <c r="P18" s="6">
        <f t="shared" si="2"/>
        <v>0</v>
      </c>
      <c r="R18" s="6">
        <f>IF(B18="","",SUMIFS(SF_Output!$S$1:$S$400,SF_Output!$AC$1:$AC$400,_xlfn.TEXTJOIN(",",TRUE,B18:E18),SF_Output!$Q$1:$Q$400,"yearly")+SUMIFS(SF_Output!$S$1:$S$400,SF_Output!$AC$1:$AC$400,_xlfn.TEXTJOIN(",",TRUE,B18:E18),SF_Output!$Q$1:$Q$400,"quarterly")*4)</f>
        <v>0</v>
      </c>
      <c r="S18" s="112" t="str">
        <f>IF(OR(B18=0,B18="",G18="hardware",R18=0),"",IF(AF18&lt;&gt;"exclusion",MAX(S$9,-(SUMIFS(SF_Output!$T$1:$T$400,SF_Output!$AC$1:$AC$400,_xlfn.TEXTJOIN(",",TRUE,$B18:$E18),SF_Output!$Q$1:$Q$400,"yearly"))/R18),-((SUMIFS(SF_Output!$T$1:$T$400,SF_Output!$AC$1:$AC$400,_xlfn.TEXTJOIN(",",TRUE,$B18:$E18),SF_Output!$Q$1:$Q$400,"yearly")/R18))))</f>
        <v/>
      </c>
      <c r="T18" s="6">
        <f t="shared" si="3"/>
        <v>0</v>
      </c>
      <c r="V18" s="6" cm="1">
        <f t="array" ref="V18">_xlfn.IFS(B18="","",AND(B18&lt;&gt;"",H18=SF_Output!$Y$2,SUMIFS(SF_Output!$T$1:$T$400,SF_Output!$AC$1:$AC$400,_xlfn.TEXTJOIN(",",TRUE,B18:E18),SF_Output!$Q$1:$Q$400,"monthly")=0),(SUMIFS(SF_Output!$F$1:$F$400,SF_Output!$AC$1:$AC$400,_xlfn.TEXTJOIN(",",TRUE,B18:E18),SF_Output!$Q$1:$Q$400,"monthly")+SUMIFS(SF_Output!$G$1:$G$400,SF_Output!$AC$1:$AC$400,_xlfn.TEXTJOIN(",",TRUE,B18:E18),SF_Output!$Q$1:$Q$400,"monthly"))*H18,AND(B18&lt;&gt;"",H18=SF_Output!$Y$2,SUMIFS(SF_Output!$T$1:$T$400,SF_Output!$AC$1:$AC$400,_xlfn.TEXTJOIN(",",TRUE,B18:E18),SF_Output!$Q$1:$Q$400,"monthly")&lt;&gt;0),SUMIFS(SF_Output!$S$1:$S$400,SF_Output!$AC$1:$AC$400,_xlfn.TEXTJOIN(",",TRUE,B18:E18),SF_Output!$Q$1:$Q$400,"monthly"),AND(B18&lt;&gt;"",H18&lt;&gt;SF_Output!$Y$2),SUMIFS(SF_Output!$S$1:$S$400,SF_Output!$AC$1:$AC$400,_xlfn.TEXTJOIN(",",TRUE,B18:E18),SF_Output!$Q$1:$Q$400,"monthly"))</f>
        <v>220</v>
      </c>
      <c r="W18" s="112" cm="1">
        <f t="array" ref="W18">_xlfn.IFS(OR(B18=0,B18="",V18=0),"",AF18&lt;&gt;"exclusion",MAX($W$9,$W$7,(-(SUMIFS(SF_Output!$T$1:$T$400,SF_Output!$AC$1:$AC$400,_xlfn.TEXTJOIN(",",TRUE,$B18:$E18),SF_Output!$Q$1:$Q$400,"monthly"))/V18)),AF18="exclusion",-(SUMIFS(SF_Output!$T$1:$T$400,SF_Output!$AC$1:$AC$400,_xlfn.TEXTJOIN(",",TRUE,$B18:$E18),SF_Output!$Q$1:$Q$400,"monthly"))/V18)</f>
        <v>0.25</v>
      </c>
      <c r="X18" s="6" cm="1">
        <f t="array" ref="X18">IFERROR(_xlfn.IFS(V18=0,0,V18="","",W18=0,V18,OR(V18&lt;&gt;0,V18&lt;&gt;""),H18*I18),V18*(1-W18))</f>
        <v>165</v>
      </c>
    </row>
    <row r="19" spans="2:24" x14ac:dyDescent="0.25">
      <c r="B19" t="s">
        <v>2160</v>
      </c>
      <c r="C19" t="s">
        <v>2122</v>
      </c>
      <c r="D19" t="s">
        <v>2123</v>
      </c>
      <c r="E19" t="s">
        <v>2124</v>
      </c>
      <c r="F19" s="116" t="str">
        <f t="shared" si="0"/>
        <v>Included</v>
      </c>
      <c r="G19" t="str">
        <f>IF(B19="","",INDEX(SF_Output!$K$1:$K$400,MATCH(B19,SF_Output!$M$1:$M$400,0)))</f>
        <v>SilverLake</v>
      </c>
      <c r="H19" cm="1">
        <f t="array" ref="H19">_xlfn.IFS(B19="","",(SUMIFS(SF_Output!$F$1:$F$400,SF_Output!$AC$1:$AC$400,_xlfn.TEXTJOIN(",",TRUE,B19:E19))+SUMIFS(SF_Output!$G$1:$G$400,SF_Output!$AC$1:$AC$400,_xlfn.TEXTJOIN(",",TRUE,B19:E19)))&lt;&gt;0,SF_Output!$Y$2,INDEX(SF_Output!$F$1:$F$400,MATCH(_xlfn.TEXTJOIN(",",TRUE,B19:E19),SF_Output!$AC$1:$AC$400,0))=0,INDEX(SF_Output!$R$1:$R$400,MATCH(_xlfn.TEXTJOIN(",",TRUE,B19:E19),SF_Output!$AC$1:$AC$400,0)))</f>
        <v>1</v>
      </c>
      <c r="I19" s="125" t="str">
        <f>IFERROR(IF(AND(H19&gt;1,H19&lt;&gt;""),ROUND(SUMIFS(SF_Output!$S$1:$S$400,SF_Output!$AC$1:$AC$400,_xlfn.TEXTJOIN(",",TRUE,B19:E19),SF_Output!$Q$1:$Q$400,"monthly")*(1-W19)/H19,4),""),"")</f>
        <v/>
      </c>
      <c r="J19" s="6">
        <f>IF(B19="","",SUMIFS(SF_Output!$S$1:$S$400,SF_Output!$AC$1:$AC$400,_xlfn.TEXTJOIN(",",TRUE,B19:E19),SF_Output!$Q$1:$Q$400,"One Time",SF_Output!$L$1:$L$400,"license fee")+SUMIFS(SF_Output!$S$1:$S$400,SF_Output!$AC$1:$AC$400,_xlfn.TEXTJOIN(",",TRUE,B19:E19),SF_Output!$Q$1:$Q$400,"One Time",SF_Output!$L$1:$L$400,"software license")+SUMIFS(SF_Output!$S$1:$S$400,SF_Output!$AC$1:$AC$400,_xlfn.TEXTJOIN(",",TRUE,B19:E19),SF_Output!$Q$1:$Q$400,"One Time",SF_Output!$L$1:$L$400,"hardware"))</f>
        <v>0</v>
      </c>
      <c r="K19" s="112" t="str">
        <f>IF(OR(B19=0,B19="",G19="hardware",J19=0),"",IF(AF19&lt;&gt;"exclusion",MAX(K$9,-((SUMIFS(SF_Output!$T$1:$T$400,SF_Output!$AC$1:$AC$400,_xlfn.TEXTJOIN(",",TRUE,$B19:$E19),SF_Output!$Q$1:$Q$400,"One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license"))/J19)))</f>
        <v/>
      </c>
      <c r="L19" s="6">
        <f t="shared" si="1"/>
        <v>0</v>
      </c>
      <c r="N19" s="6">
        <f>IF(B19="","",SUMIFS(SF_Output!$S$1:$S$400,SF_Output!$AC$1:$AC$400,_xlfn.TEXTJOIN(",",TRUE,B19:E19),SF_Output!$Q$1:$Q$400,"One Time",SF_Output!$L$1:$L$400,"professional service"))</f>
        <v>0</v>
      </c>
      <c r="O19" s="112" t="str">
        <f>IF(OR(B19=0,B19="",N19=0),"",IF(AF19&lt;&gt;"exclusion",MAX(O$9,-(SUMIFS(SF_Output!$T$1:$T$400,SF_Output!$AC$1:$AC$400,_xlfn.TEXTJOIN(",",TRUE,$B19:$E19),SF_Output!$Q$1:$Q$400,"One Time",SF_Output!$L$1:$L$400,"professional service"))/N19),-((SUMIFS(SF_Output!$T$1:$T$400,SF_Output!$AC$1:$AC$400,_xlfn.TEXTJOIN(",",TRUE,$B19:$E19),SF_Output!$Q$1:$Q$400,"One Time",SF_Output!$L$1:$L$400,"professional service")/N19))))</f>
        <v/>
      </c>
      <c r="P19" s="6">
        <f t="shared" si="2"/>
        <v>0</v>
      </c>
      <c r="R19" s="6">
        <f>IF(B19="","",SUMIFS(SF_Output!$S$1:$S$400,SF_Output!$AC$1:$AC$400,_xlfn.TEXTJOIN(",",TRUE,B19:E19),SF_Output!$Q$1:$Q$400,"yearly")+SUMIFS(SF_Output!$S$1:$S$400,SF_Output!$AC$1:$AC$400,_xlfn.TEXTJOIN(",",TRUE,B19:E19),SF_Output!$Q$1:$Q$400,"quarterly")*4)</f>
        <v>0</v>
      </c>
      <c r="S19" s="112" t="str">
        <f>IF(OR(B19=0,B19="",G19="hardware",R19=0),"",IF(AF19&lt;&gt;"exclusion",MAX(S$9,-(SUMIFS(SF_Output!$T$1:$T$400,SF_Output!$AC$1:$AC$400,_xlfn.TEXTJOIN(",",TRUE,$B19:$E19),SF_Output!$Q$1:$Q$400,"yearly"))/R19),-((SUMIFS(SF_Output!$T$1:$T$400,SF_Output!$AC$1:$AC$400,_xlfn.TEXTJOIN(",",TRUE,$B19:$E19),SF_Output!$Q$1:$Q$400,"yearly")/R19))))</f>
        <v/>
      </c>
      <c r="T19" s="6">
        <f t="shared" si="3"/>
        <v>0</v>
      </c>
      <c r="V19" s="6" cm="1">
        <f t="array" ref="V19">_xlfn.IFS(B19="","",AND(B19&lt;&gt;"",H19=SF_Output!$Y$2,SUMIFS(SF_Output!$T$1:$T$400,SF_Output!$AC$1:$AC$400,_xlfn.TEXTJOIN(",",TRUE,B19:E19),SF_Output!$Q$1:$Q$400,"monthly")=0),(SUMIFS(SF_Output!$F$1:$F$400,SF_Output!$AC$1:$AC$400,_xlfn.TEXTJOIN(",",TRUE,B19:E19),SF_Output!$Q$1:$Q$400,"monthly")+SUMIFS(SF_Output!$G$1:$G$400,SF_Output!$AC$1:$AC$400,_xlfn.TEXTJOIN(",",TRUE,B19:E19),SF_Output!$Q$1:$Q$400,"monthly"))*H19,AND(B19&lt;&gt;"",H19=SF_Output!$Y$2,SUMIFS(SF_Output!$T$1:$T$400,SF_Output!$AC$1:$AC$400,_xlfn.TEXTJOIN(",",TRUE,B19:E19),SF_Output!$Q$1:$Q$400,"monthly")&lt;&gt;0),SUMIFS(SF_Output!$S$1:$S$400,SF_Output!$AC$1:$AC$400,_xlfn.TEXTJOIN(",",TRUE,B19:E19),SF_Output!$Q$1:$Q$400,"monthly"),AND(B19&lt;&gt;"",H19&lt;&gt;SF_Output!$Y$2),SUMIFS(SF_Output!$S$1:$S$400,SF_Output!$AC$1:$AC$400,_xlfn.TEXTJOIN(",",TRUE,B19:E19),SF_Output!$Q$1:$Q$400,"monthly"))</f>
        <v>0</v>
      </c>
      <c r="W19" s="112" t="str" cm="1">
        <f t="array" ref="W19">_xlfn.IFS(OR(B19=0,B19="",V19=0),"",AF19&lt;&gt;"exclusion",MAX($W$9,$W$7,(-(SUMIFS(SF_Output!$T$1:$T$400,SF_Output!$AC$1:$AC$400,_xlfn.TEXTJOIN(",",TRUE,$B19:$E19),SF_Output!$Q$1:$Q$400,"monthly"))/V19)),AF19="exclusion",-(SUMIFS(SF_Output!$T$1:$T$400,SF_Output!$AC$1:$AC$400,_xlfn.TEXTJOIN(",",TRUE,$B19:$E19),SF_Output!$Q$1:$Q$400,"monthly"))/V19)</f>
        <v/>
      </c>
      <c r="X19" s="6" cm="1">
        <f t="array" ref="X19">IFERROR(_xlfn.IFS(V19=0,0,V19="","",W19=0,V19,OR(V19&lt;&gt;0,V19&lt;&gt;""),H19*I19),V19*(1-W19))</f>
        <v>0</v>
      </c>
    </row>
    <row r="20" spans="2:24" x14ac:dyDescent="0.25">
      <c r="B20" t="s">
        <v>2163</v>
      </c>
      <c r="C20" t="s">
        <v>2122</v>
      </c>
      <c r="D20" t="s">
        <v>2164</v>
      </c>
      <c r="E20" t="s">
        <v>2124</v>
      </c>
      <c r="F20" s="116" t="str">
        <f t="shared" si="0"/>
        <v>Included</v>
      </c>
      <c r="G20" t="str">
        <f>IF(B20="","",INDEX(SF_Output!$K$1:$K$400,MATCH(B20,SF_Output!$M$1:$M$400,0)))</f>
        <v>SilverLake</v>
      </c>
      <c r="H20" cm="1">
        <f t="array" ref="H20">_xlfn.IFS(B20="","",(SUMIFS(SF_Output!$F$1:$F$400,SF_Output!$AC$1:$AC$400,_xlfn.TEXTJOIN(",",TRUE,B20:E20))+SUMIFS(SF_Output!$G$1:$G$400,SF_Output!$AC$1:$AC$400,_xlfn.TEXTJOIN(",",TRUE,B20:E20)))&lt;&gt;0,SF_Output!$Y$2,INDEX(SF_Output!$F$1:$F$400,MATCH(_xlfn.TEXTJOIN(",",TRUE,B20:E20),SF_Output!$AC$1:$AC$400,0))=0,INDEX(SF_Output!$R$1:$R$400,MATCH(_xlfn.TEXTJOIN(",",TRUE,B20:E20),SF_Output!$AC$1:$AC$400,0)))</f>
        <v>1</v>
      </c>
      <c r="I20" s="125" t="str">
        <f>IFERROR(IF(AND(H20&gt;1,H20&lt;&gt;""),ROUND(SUMIFS(SF_Output!$S$1:$S$400,SF_Output!$AC$1:$AC$400,_xlfn.TEXTJOIN(",",TRUE,B20:E20),SF_Output!$Q$1:$Q$400,"monthly")*(1-W20)/H20,4),""),"")</f>
        <v/>
      </c>
      <c r="J20" s="6">
        <f>IF(B20="","",SUMIFS(SF_Output!$S$1:$S$400,SF_Output!$AC$1:$AC$400,_xlfn.TEXTJOIN(",",TRUE,B20:E20),SF_Output!$Q$1:$Q$400,"One Time",SF_Output!$L$1:$L$400,"license fee")+SUMIFS(SF_Output!$S$1:$S$400,SF_Output!$AC$1:$AC$400,_xlfn.TEXTJOIN(",",TRUE,B20:E20),SF_Output!$Q$1:$Q$400,"One Time",SF_Output!$L$1:$L$400,"software license")+SUMIFS(SF_Output!$S$1:$S$400,SF_Output!$AC$1:$AC$400,_xlfn.TEXTJOIN(",",TRUE,B20:E20),SF_Output!$Q$1:$Q$400,"One Time",SF_Output!$L$1:$L$400,"hardware"))</f>
        <v>9000</v>
      </c>
      <c r="K20" s="112">
        <f>IF(OR(B20=0,B20="",G20="hardware",J20=0),"",IF(AF20&lt;&gt;"exclusion",MAX(K$9,-((SUMIFS(SF_Output!$T$1:$T$400,SF_Output!$AC$1:$AC$400,_xlfn.TEXTJOIN(",",TRUE,$B20:$E20),SF_Output!$Q$1:$Q$400,"One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license"))/J20)))</f>
        <v>0</v>
      </c>
      <c r="L20" s="6">
        <f t="shared" si="1"/>
        <v>9000</v>
      </c>
      <c r="N20" s="6">
        <f>IF(B20="","",SUMIFS(SF_Output!$S$1:$S$400,SF_Output!$AC$1:$AC$400,_xlfn.TEXTJOIN(",",TRUE,B20:E20),SF_Output!$Q$1:$Q$400,"One Time",SF_Output!$L$1:$L$400,"professional service"))</f>
        <v>0</v>
      </c>
      <c r="O20" s="112" t="str">
        <f>IF(OR(B20=0,B20="",N20=0),"",IF(AF20&lt;&gt;"exclusion",MAX(O$9,-(SUMIFS(SF_Output!$T$1:$T$400,SF_Output!$AC$1:$AC$400,_xlfn.TEXTJOIN(",",TRUE,$B20:$E20),SF_Output!$Q$1:$Q$400,"One Time",SF_Output!$L$1:$L$400,"professional service"))/N20),-((SUMIFS(SF_Output!$T$1:$T$400,SF_Output!$AC$1:$AC$400,_xlfn.TEXTJOIN(",",TRUE,$B20:$E20),SF_Output!$Q$1:$Q$400,"One Time",SF_Output!$L$1:$L$400,"professional service")/N20))))</f>
        <v/>
      </c>
      <c r="P20" s="6">
        <f t="shared" si="2"/>
        <v>0</v>
      </c>
      <c r="R20" s="6">
        <f>IF(B20="","",SUMIFS(SF_Output!$S$1:$S$400,SF_Output!$AC$1:$AC$400,_xlfn.TEXTJOIN(",",TRUE,B20:E20),SF_Output!$Q$1:$Q$400,"yearly")+SUMIFS(SF_Output!$S$1:$S$400,SF_Output!$AC$1:$AC$400,_xlfn.TEXTJOIN(",",TRUE,B20:E20),SF_Output!$Q$1:$Q$400,"quarterly")*4)</f>
        <v>0</v>
      </c>
      <c r="S20" s="112" t="str">
        <f>IF(OR(B20=0,B20="",G20="hardware",R20=0),"",IF(AF20&lt;&gt;"exclusion",MAX(S$9,-(SUMIFS(SF_Output!$T$1:$T$400,SF_Output!$AC$1:$AC$400,_xlfn.TEXTJOIN(",",TRUE,$B20:$E20),SF_Output!$Q$1:$Q$400,"yearly"))/R20),-((SUMIFS(SF_Output!$T$1:$T$400,SF_Output!$AC$1:$AC$400,_xlfn.TEXTJOIN(",",TRUE,$B20:$E20),SF_Output!$Q$1:$Q$400,"yearly")/R20))))</f>
        <v/>
      </c>
      <c r="T20" s="6">
        <f t="shared" si="3"/>
        <v>0</v>
      </c>
      <c r="V20" s="6" cm="1">
        <f t="array" ref="V20">_xlfn.IFS(B20="","",AND(B20&lt;&gt;"",H20=SF_Output!$Y$2,SUMIFS(SF_Output!$T$1:$T$400,SF_Output!$AC$1:$AC$400,_xlfn.TEXTJOIN(",",TRUE,B20:E20),SF_Output!$Q$1:$Q$400,"monthly")=0),(SUMIFS(SF_Output!$F$1:$F$400,SF_Output!$AC$1:$AC$400,_xlfn.TEXTJOIN(",",TRUE,B20:E20),SF_Output!$Q$1:$Q$400,"monthly")+SUMIFS(SF_Output!$G$1:$G$400,SF_Output!$AC$1:$AC$400,_xlfn.TEXTJOIN(",",TRUE,B20:E20),SF_Output!$Q$1:$Q$400,"monthly"))*H20,AND(B20&lt;&gt;"",H20=SF_Output!$Y$2,SUMIFS(SF_Output!$T$1:$T$400,SF_Output!$AC$1:$AC$400,_xlfn.TEXTJOIN(",",TRUE,B20:E20),SF_Output!$Q$1:$Q$400,"monthly")&lt;&gt;0),SUMIFS(SF_Output!$S$1:$S$400,SF_Output!$AC$1:$AC$400,_xlfn.TEXTJOIN(",",TRUE,B20:E20),SF_Output!$Q$1:$Q$400,"monthly"),AND(B20&lt;&gt;"",H20&lt;&gt;SF_Output!$Y$2),SUMIFS(SF_Output!$S$1:$S$400,SF_Output!$AC$1:$AC$400,_xlfn.TEXTJOIN(",",TRUE,B20:E20),SF_Output!$Q$1:$Q$400,"monthly"))</f>
        <v>0</v>
      </c>
      <c r="W20" s="112" t="str" cm="1">
        <f t="array" ref="W20">_xlfn.IFS(OR(B20=0,B20="",V20=0),"",AF20&lt;&gt;"exclusion",MAX($W$9,$W$7,(-(SUMIFS(SF_Output!$T$1:$T$400,SF_Output!$AC$1:$AC$400,_xlfn.TEXTJOIN(",",TRUE,$B20:$E20),SF_Output!$Q$1:$Q$400,"monthly"))/V20)),AF20="exclusion",-(SUMIFS(SF_Output!$T$1:$T$400,SF_Output!$AC$1:$AC$400,_xlfn.TEXTJOIN(",",TRUE,$B20:$E20),SF_Output!$Q$1:$Q$400,"monthly"))/V20)</f>
        <v/>
      </c>
      <c r="X20" s="6" cm="1">
        <f t="array" ref="X20">IFERROR(_xlfn.IFS(V20=0,0,V20="","",W20=0,V20,OR(V20&lt;&gt;0,V20&lt;&gt;""),H20*I20),V20*(1-W20))</f>
        <v>0</v>
      </c>
    </row>
    <row r="21" spans="2:24" x14ac:dyDescent="0.25">
      <c r="B21" t="s">
        <v>2170</v>
      </c>
      <c r="C21" t="s">
        <v>2122</v>
      </c>
      <c r="D21" t="s">
        <v>2123</v>
      </c>
      <c r="E21" t="s">
        <v>2124</v>
      </c>
      <c r="F21" s="116" t="str">
        <f t="shared" si="0"/>
        <v>Included</v>
      </c>
      <c r="G21" t="str">
        <f>IF(B21="","",INDEX(SF_Output!$K$1:$K$400,MATCH(B21,SF_Output!$M$1:$M$400,0)))</f>
        <v>SilverLake</v>
      </c>
      <c r="H21" cm="1">
        <f t="array" ref="H21">_xlfn.IFS(B21="","",(SUMIFS(SF_Output!$F$1:$F$400,SF_Output!$AC$1:$AC$400,_xlfn.TEXTJOIN(",",TRUE,B21:E21))+SUMIFS(SF_Output!$G$1:$G$400,SF_Output!$AC$1:$AC$400,_xlfn.TEXTJOIN(",",TRUE,B21:E21)))&lt;&gt;0,SF_Output!$Y$2,INDEX(SF_Output!$F$1:$F$400,MATCH(_xlfn.TEXTJOIN(",",TRUE,B21:E21),SF_Output!$AC$1:$AC$400,0))=0,INDEX(SF_Output!$R$1:$R$400,MATCH(_xlfn.TEXTJOIN(",",TRUE,B21:E21),SF_Output!$AC$1:$AC$400,0)))</f>
        <v>1</v>
      </c>
      <c r="I21" s="125" t="str">
        <f>IFERROR(IF(AND(H21&gt;1,H21&lt;&gt;""),ROUND(SUMIFS(SF_Output!$S$1:$S$400,SF_Output!$AC$1:$AC$400,_xlfn.TEXTJOIN(",",TRUE,B21:E21),SF_Output!$Q$1:$Q$400,"monthly")*(1-W21)/H21,4),""),"")</f>
        <v/>
      </c>
      <c r="J21" s="6">
        <f>IF(B21="","",SUMIFS(SF_Output!$S$1:$S$400,SF_Output!$AC$1:$AC$400,_xlfn.TEXTJOIN(",",TRUE,B21:E21),SF_Output!$Q$1:$Q$400,"One Time",SF_Output!$L$1:$L$400,"license fee")+SUMIFS(SF_Output!$S$1:$S$400,SF_Output!$AC$1:$AC$400,_xlfn.TEXTJOIN(",",TRUE,B21:E21),SF_Output!$Q$1:$Q$400,"One Time",SF_Output!$L$1:$L$400,"software license")+SUMIFS(SF_Output!$S$1:$S$400,SF_Output!$AC$1:$AC$400,_xlfn.TEXTJOIN(",",TRUE,B21:E21),SF_Output!$Q$1:$Q$400,"One Time",SF_Output!$L$1:$L$400,"hardware"))</f>
        <v>0</v>
      </c>
      <c r="K21" s="112" t="str">
        <f>IF(OR(B21=0,B21="",G21="hardware",J21=0),"",IF(AF21&lt;&gt;"exclusion",MAX(K$9,-((SUMIFS(SF_Output!$T$1:$T$400,SF_Output!$AC$1:$AC$400,_xlfn.TEXTJOIN(",",TRUE,$B21:$E21),SF_Output!$Q$1:$Q$400,"One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license"))/J21)))</f>
        <v/>
      </c>
      <c r="L21" s="6">
        <f t="shared" si="1"/>
        <v>0</v>
      </c>
      <c r="N21" s="6">
        <f>IF(B21="","",SUMIFS(SF_Output!$S$1:$S$400,SF_Output!$AC$1:$AC$400,_xlfn.TEXTJOIN(",",TRUE,B21:E21),SF_Output!$Q$1:$Q$400,"One Time",SF_Output!$L$1:$L$400,"professional service"))</f>
        <v>2500</v>
      </c>
      <c r="O21" s="112">
        <f>IF(OR(B21=0,B21="",N21=0),"",IF(AF21&lt;&gt;"exclusion",MAX(O$9,-(SUMIFS(SF_Output!$T$1:$T$400,SF_Output!$AC$1:$AC$400,_xlfn.TEXTJOIN(",",TRUE,$B21:$E21),SF_Output!$Q$1:$Q$400,"One Time",SF_Output!$L$1:$L$400,"professional service"))/N21),-((SUMIFS(SF_Output!$T$1:$T$400,SF_Output!$AC$1:$AC$400,_xlfn.TEXTJOIN(",",TRUE,$B21:$E21),SF_Output!$Q$1:$Q$400,"One Time",SF_Output!$L$1:$L$400,"professional service")/N21))))</f>
        <v>1</v>
      </c>
      <c r="P21" s="6">
        <f t="shared" si="2"/>
        <v>0</v>
      </c>
      <c r="R21" s="6">
        <f>IF(B21="","",SUMIFS(SF_Output!$S$1:$S$400,SF_Output!$AC$1:$AC$400,_xlfn.TEXTJOIN(",",TRUE,B21:E21),SF_Output!$Q$1:$Q$400,"yearly")+SUMIFS(SF_Output!$S$1:$S$400,SF_Output!$AC$1:$AC$400,_xlfn.TEXTJOIN(",",TRUE,B21:E21),SF_Output!$Q$1:$Q$400,"quarterly")*4)</f>
        <v>0</v>
      </c>
      <c r="S21" s="112" t="str">
        <f>IF(OR(B21=0,B21="",G21="hardware",R21=0),"",IF(AF21&lt;&gt;"exclusion",MAX(S$9,-(SUMIFS(SF_Output!$T$1:$T$400,SF_Output!$AC$1:$AC$400,_xlfn.TEXTJOIN(",",TRUE,$B21:$E21),SF_Output!$Q$1:$Q$400,"yearly"))/R21),-((SUMIFS(SF_Output!$T$1:$T$400,SF_Output!$AC$1:$AC$400,_xlfn.TEXTJOIN(",",TRUE,$B21:$E21),SF_Output!$Q$1:$Q$400,"yearly")/R21))))</f>
        <v/>
      </c>
      <c r="T21" s="6">
        <f t="shared" si="3"/>
        <v>0</v>
      </c>
      <c r="V21" s="6" cm="1">
        <f t="array" ref="V21">_xlfn.IFS(B21="","",AND(B21&lt;&gt;"",H21=SF_Output!$Y$2,SUMIFS(SF_Output!$T$1:$T$400,SF_Output!$AC$1:$AC$400,_xlfn.TEXTJOIN(",",TRUE,B21:E21),SF_Output!$Q$1:$Q$400,"monthly")=0),(SUMIFS(SF_Output!$F$1:$F$400,SF_Output!$AC$1:$AC$400,_xlfn.TEXTJOIN(",",TRUE,B21:E21),SF_Output!$Q$1:$Q$400,"monthly")+SUMIFS(SF_Output!$G$1:$G$400,SF_Output!$AC$1:$AC$400,_xlfn.TEXTJOIN(",",TRUE,B21:E21),SF_Output!$Q$1:$Q$400,"monthly"))*H21,AND(B21&lt;&gt;"",H21=SF_Output!$Y$2,SUMIFS(SF_Output!$T$1:$T$400,SF_Output!$AC$1:$AC$400,_xlfn.TEXTJOIN(",",TRUE,B21:E21),SF_Output!$Q$1:$Q$400,"monthly")&lt;&gt;0),SUMIFS(SF_Output!$S$1:$S$400,SF_Output!$AC$1:$AC$400,_xlfn.TEXTJOIN(",",TRUE,B21:E21),SF_Output!$Q$1:$Q$400,"monthly"),AND(B21&lt;&gt;"",H21&lt;&gt;SF_Output!$Y$2),SUMIFS(SF_Output!$S$1:$S$400,SF_Output!$AC$1:$AC$400,_xlfn.TEXTJOIN(",",TRUE,B21:E21),SF_Output!$Q$1:$Q$400,"monthly"))</f>
        <v>300</v>
      </c>
      <c r="W21" s="112" cm="1">
        <f t="array" ref="W21">_xlfn.IFS(OR(B21=0,B21="",V21=0),"",AF21&lt;&gt;"exclusion",MAX($W$9,$W$7,(-(SUMIFS(SF_Output!$T$1:$T$400,SF_Output!$AC$1:$AC$400,_xlfn.TEXTJOIN(",",TRUE,$B21:$E21),SF_Output!$Q$1:$Q$400,"monthly"))/V21)),AF21="exclusion",-(SUMIFS(SF_Output!$T$1:$T$400,SF_Output!$AC$1:$AC$400,_xlfn.TEXTJOIN(",",TRUE,$B21:$E21),SF_Output!$Q$1:$Q$400,"monthly"))/V21)</f>
        <v>0.25</v>
      </c>
      <c r="X21" s="6" cm="1">
        <f t="array" ref="X21">IFERROR(_xlfn.IFS(V21=0,0,V21="","",W21=0,V21,OR(V21&lt;&gt;0,V21&lt;&gt;""),H21*I21),V21*(1-W21))</f>
        <v>225</v>
      </c>
    </row>
    <row r="22" spans="2:24" x14ac:dyDescent="0.25">
      <c r="B22" t="s">
        <v>2322</v>
      </c>
      <c r="C22" t="s">
        <v>2122</v>
      </c>
      <c r="D22" t="s">
        <v>2123</v>
      </c>
      <c r="E22" t="s">
        <v>2124</v>
      </c>
      <c r="F22" s="116" t="str">
        <f t="shared" si="0"/>
        <v>Included</v>
      </c>
      <c r="G22" t="str">
        <f>IF(B22="","",INDEX(SF_Output!$K$1:$K$400,MATCH(B22,SF_Output!$M$1:$M$400,0)))</f>
        <v>Xperience</v>
      </c>
      <c r="H22" cm="1">
        <f t="array" ref="H22">_xlfn.IFS(B22="","",(SUMIFS(SF_Output!$F$1:$F$400,SF_Output!$AC$1:$AC$400,_xlfn.TEXTJOIN(",",TRUE,B22:E22))+SUMIFS(SF_Output!$G$1:$G$400,SF_Output!$AC$1:$AC$400,_xlfn.TEXTJOIN(",",TRUE,B22:E22)))&lt;&gt;0,SF_Output!$Y$2,INDEX(SF_Output!$F$1:$F$400,MATCH(_xlfn.TEXTJOIN(",",TRUE,B22:E22),SF_Output!$AC$1:$AC$400,0))=0,INDEX(SF_Output!$R$1:$R$400,MATCH(_xlfn.TEXTJOIN(",",TRUE,B22:E22),SF_Output!$AC$1:$AC$400,0)))</f>
        <v>5000</v>
      </c>
      <c r="I22" s="125">
        <f>IFERROR(IF(AND(H22&gt;1,H22&lt;&gt;""),ROUND(SUMIFS(SF_Output!$S$1:$S$400,SF_Output!$AC$1:$AC$400,_xlfn.TEXTJOIN(",",TRUE,B22:E22),SF_Output!$Q$1:$Q$400,"monthly")*(1-W22)/H22,4),""),"")</f>
        <v>2.2499999999999999E-2</v>
      </c>
      <c r="J22" s="6">
        <f>IF(B22="","",SUMIFS(SF_Output!$S$1:$S$400,SF_Output!$AC$1:$AC$400,_xlfn.TEXTJOIN(",",TRUE,B22:E22),SF_Output!$Q$1:$Q$400,"One Time",SF_Output!$L$1:$L$400,"license fee")+SUMIFS(SF_Output!$S$1:$S$400,SF_Output!$AC$1:$AC$400,_xlfn.TEXTJOIN(",",TRUE,B22:E22),SF_Output!$Q$1:$Q$400,"One Time",SF_Output!$L$1:$L$400,"software license")+SUMIFS(SF_Output!$S$1:$S$400,SF_Output!$AC$1:$AC$400,_xlfn.TEXTJOIN(",",TRUE,B22:E22),SF_Output!$Q$1:$Q$400,"One Time",SF_Output!$L$1:$L$400,"hardware"))</f>
        <v>0</v>
      </c>
      <c r="K22" s="112" t="str">
        <f>IF(OR(B22=0,B22="",G22="hardware",J22=0),"",IF(AF22&lt;&gt;"exclusion",MAX(K$9,-((SUMIFS(SF_Output!$T$1:$T$400,SF_Output!$AC$1:$AC$400,_xlfn.TEXTJOIN(",",TRUE,$B22:$E22),SF_Output!$Q$1:$Q$400,"One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license"))/J22)))</f>
        <v/>
      </c>
      <c r="L22" s="6">
        <f t="shared" si="1"/>
        <v>0</v>
      </c>
      <c r="N22" s="6">
        <f>IF(B22="","",SUMIFS(SF_Output!$S$1:$S$400,SF_Output!$AC$1:$AC$400,_xlfn.TEXTJOIN(",",TRUE,B22:E22),SF_Output!$Q$1:$Q$400,"One Time",SF_Output!$L$1:$L$400,"professional service"))</f>
        <v>0</v>
      </c>
      <c r="O22" s="112" t="str">
        <f>IF(OR(B22=0,B22="",N22=0),"",IF(AF22&lt;&gt;"exclusion",MAX(O$9,-(SUMIFS(SF_Output!$T$1:$T$400,SF_Output!$AC$1:$AC$400,_xlfn.TEXTJOIN(",",TRUE,$B22:$E22),SF_Output!$Q$1:$Q$400,"One Time",SF_Output!$L$1:$L$400,"professional service"))/N22),-((SUMIFS(SF_Output!$T$1:$T$400,SF_Output!$AC$1:$AC$400,_xlfn.TEXTJOIN(",",TRUE,$B22:$E22),SF_Output!$Q$1:$Q$400,"One Time",SF_Output!$L$1:$L$400,"professional service")/N22))))</f>
        <v/>
      </c>
      <c r="P22" s="6">
        <f t="shared" si="2"/>
        <v>0</v>
      </c>
      <c r="R22" s="6">
        <f>IF(B22="","",SUMIFS(SF_Output!$S$1:$S$400,SF_Output!$AC$1:$AC$400,_xlfn.TEXTJOIN(",",TRUE,B22:E22),SF_Output!$Q$1:$Q$400,"yearly")+SUMIFS(SF_Output!$S$1:$S$400,SF_Output!$AC$1:$AC$400,_xlfn.TEXTJOIN(",",TRUE,B22:E22),SF_Output!$Q$1:$Q$400,"quarterly")*4)</f>
        <v>0</v>
      </c>
      <c r="S22" s="112" t="str">
        <f>IF(OR(B22=0,B22="",G22="hardware",R22=0),"",IF(AF22&lt;&gt;"exclusion",MAX(S$9,-(SUMIFS(SF_Output!$T$1:$T$400,SF_Output!$AC$1:$AC$400,_xlfn.TEXTJOIN(",",TRUE,$B22:$E22),SF_Output!$Q$1:$Q$400,"yearly"))/R22),-((SUMIFS(SF_Output!$T$1:$T$400,SF_Output!$AC$1:$AC$400,_xlfn.TEXTJOIN(",",TRUE,$B22:$E22),SF_Output!$Q$1:$Q$400,"yearly")/R22))))</f>
        <v/>
      </c>
      <c r="T22" s="6">
        <f t="shared" si="3"/>
        <v>0</v>
      </c>
      <c r="V22" s="6" cm="1">
        <f t="array" ref="V22">_xlfn.IFS(B22="","",AND(B22&lt;&gt;"",H22=SF_Output!$Y$2,SUMIFS(SF_Output!$T$1:$T$400,SF_Output!$AC$1:$AC$400,_xlfn.TEXTJOIN(",",TRUE,B22:E22),SF_Output!$Q$1:$Q$400,"monthly")=0),(SUMIFS(SF_Output!$F$1:$F$400,SF_Output!$AC$1:$AC$400,_xlfn.TEXTJOIN(",",TRUE,B22:E22),SF_Output!$Q$1:$Q$400,"monthly")+SUMIFS(SF_Output!$G$1:$G$400,SF_Output!$AC$1:$AC$400,_xlfn.TEXTJOIN(",",TRUE,B22:E22),SF_Output!$Q$1:$Q$400,"monthly"))*H22,AND(B22&lt;&gt;"",H22=SF_Output!$Y$2,SUMIFS(SF_Output!$T$1:$T$400,SF_Output!$AC$1:$AC$400,_xlfn.TEXTJOIN(",",TRUE,B22:E22),SF_Output!$Q$1:$Q$400,"monthly")&lt;&gt;0),SUMIFS(SF_Output!$S$1:$S$400,SF_Output!$AC$1:$AC$400,_xlfn.TEXTJOIN(",",TRUE,B22:E22),SF_Output!$Q$1:$Q$400,"monthly"),AND(B22&lt;&gt;"",H22&lt;&gt;SF_Output!$Y$2),SUMIFS(SF_Output!$S$1:$S$400,SF_Output!$AC$1:$AC$400,_xlfn.TEXTJOIN(",",TRUE,B22:E22),SF_Output!$Q$1:$Q$400,"monthly"))</f>
        <v>150</v>
      </c>
      <c r="W22" s="112" cm="1">
        <f t="array" ref="W22">_xlfn.IFS(OR(B22=0,B22="",V22=0),"",AF22&lt;&gt;"exclusion",MAX($W$9,$W$7,(-(SUMIFS(SF_Output!$T$1:$T$400,SF_Output!$AC$1:$AC$400,_xlfn.TEXTJOIN(",",TRUE,$B22:$E22),SF_Output!$Q$1:$Q$400,"monthly"))/V22)),AF22="exclusion",-(SUMIFS(SF_Output!$T$1:$T$400,SF_Output!$AC$1:$AC$400,_xlfn.TEXTJOIN(",",TRUE,$B22:$E22),SF_Output!$Q$1:$Q$400,"monthly"))/V22)</f>
        <v>0.25</v>
      </c>
      <c r="X22" s="6" cm="1">
        <f t="array" ref="X22">IFERROR(_xlfn.IFS(V22=0,0,V22="","",W22=0,V22,OR(V22&lt;&gt;0,V22&lt;&gt;""),H22*I22),V22*(1-W22))</f>
        <v>112.5</v>
      </c>
    </row>
    <row r="23" spans="2:24" x14ac:dyDescent="0.25">
      <c r="B23" t="s">
        <v>2153</v>
      </c>
      <c r="C23" t="s">
        <v>2122</v>
      </c>
      <c r="D23" t="s">
        <v>2123</v>
      </c>
      <c r="E23" t="s">
        <v>2150</v>
      </c>
      <c r="F23" s="116" t="str">
        <f t="shared" si="0"/>
        <v>Optional</v>
      </c>
      <c r="G23" t="str">
        <f>IF(B23="","",INDEX(SF_Output!$K$1:$K$400,MATCH(B23,SF_Output!$M$1:$M$400,0)))</f>
        <v>SilverLake</v>
      </c>
      <c r="H23" cm="1">
        <f t="array" ref="H23">_xlfn.IFS(B23="","",(SUMIFS(SF_Output!$F$1:$F$400,SF_Output!$AC$1:$AC$400,_xlfn.TEXTJOIN(",",TRUE,B23:E23))+SUMIFS(SF_Output!$G$1:$G$400,SF_Output!$AC$1:$AC$400,_xlfn.TEXTJOIN(",",TRUE,B23:E23)))&lt;&gt;0,SF_Output!$Y$2,INDEX(SF_Output!$F$1:$F$400,MATCH(_xlfn.TEXTJOIN(",",TRUE,B23:E23),SF_Output!$AC$1:$AC$400,0))=0,INDEX(SF_Output!$R$1:$R$400,MATCH(_xlfn.TEXTJOIN(",",TRUE,B23:E23),SF_Output!$AC$1:$AC$400,0)))</f>
        <v>1</v>
      </c>
      <c r="I23" s="125" t="str">
        <f>IFERROR(IF(AND(H23&gt;1,H23&lt;&gt;""),ROUND(SUMIFS(SF_Output!$S$1:$S$400,SF_Output!$AC$1:$AC$400,_xlfn.TEXTJOIN(",",TRUE,B23:E23),SF_Output!$Q$1:$Q$400,"monthly")*(1-W23)/H23,4),""),"")</f>
        <v/>
      </c>
      <c r="J23" s="6">
        <f>IF(B23="","",SUMIFS(SF_Output!$S$1:$S$400,SF_Output!$AC$1:$AC$400,_xlfn.TEXTJOIN(",",TRUE,B23:E23),SF_Output!$Q$1:$Q$400,"One Time",SF_Output!$L$1:$L$400,"license fee")+SUMIFS(SF_Output!$S$1:$S$400,SF_Output!$AC$1:$AC$400,_xlfn.TEXTJOIN(",",TRUE,B23:E23),SF_Output!$Q$1:$Q$400,"One Time",SF_Output!$L$1:$L$400,"software license")+SUMIFS(SF_Output!$S$1:$S$400,SF_Output!$AC$1:$AC$400,_xlfn.TEXTJOIN(",",TRUE,B23:E23),SF_Output!$Q$1:$Q$400,"One Time",SF_Output!$L$1:$L$400,"hardware"))</f>
        <v>0</v>
      </c>
      <c r="K23" s="112" t="str">
        <f>IF(OR(B23=0,B23="",G23="hardware",J23=0),"",IF(AF23&lt;&gt;"exclusion",MAX(K$9,-((SUMIFS(SF_Output!$T$1:$T$400,SF_Output!$AC$1:$AC$400,_xlfn.TEXTJOIN(",",TRUE,$B23:$E23),SF_Output!$Q$1:$Q$400,"One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license"))/J23)))</f>
        <v/>
      </c>
      <c r="L23" s="6">
        <f t="shared" si="1"/>
        <v>0</v>
      </c>
      <c r="N23" s="6">
        <f>IF(B23="","",SUMIFS(SF_Output!$S$1:$S$400,SF_Output!$AC$1:$AC$400,_xlfn.TEXTJOIN(",",TRUE,B23:E23),SF_Output!$Q$1:$Q$400,"One Time",SF_Output!$L$1:$L$400,"professional service"))</f>
        <v>5000</v>
      </c>
      <c r="O23" s="112">
        <f>IF(OR(B23=0,B23="",N23=0),"",IF(AF23&lt;&gt;"exclusion",MAX(O$9,-(SUMIFS(SF_Output!$T$1:$T$400,SF_Output!$AC$1:$AC$400,_xlfn.TEXTJOIN(",",TRUE,$B23:$E23),SF_Output!$Q$1:$Q$400,"One Time",SF_Output!$L$1:$L$400,"professional service"))/N23),-((SUMIFS(SF_Output!$T$1:$T$400,SF_Output!$AC$1:$AC$400,_xlfn.TEXTJOIN(",",TRUE,$B23:$E23),SF_Output!$Q$1:$Q$400,"One Time",SF_Output!$L$1:$L$400,"professional service")/N23))))</f>
        <v>1</v>
      </c>
      <c r="P23" s="6">
        <f t="shared" si="2"/>
        <v>0</v>
      </c>
      <c r="R23" s="6">
        <f>IF(B23="","",SUMIFS(SF_Output!$S$1:$S$400,SF_Output!$AC$1:$AC$400,_xlfn.TEXTJOIN(",",TRUE,B23:E23),SF_Output!$Q$1:$Q$400,"yearly")+SUMIFS(SF_Output!$S$1:$S$400,SF_Output!$AC$1:$AC$400,_xlfn.TEXTJOIN(",",TRUE,B23:E23),SF_Output!$Q$1:$Q$400,"quarterly")*4)</f>
        <v>0</v>
      </c>
      <c r="S23" s="112" t="str">
        <f>IF(OR(B23=0,B23="",G23="hardware",R23=0),"",IF(AF23&lt;&gt;"exclusion",MAX(S$9,-(SUMIFS(SF_Output!$T$1:$T$400,SF_Output!$AC$1:$AC$400,_xlfn.TEXTJOIN(",",TRUE,$B23:$E23),SF_Output!$Q$1:$Q$400,"yearly"))/R23),-((SUMIFS(SF_Output!$T$1:$T$400,SF_Output!$AC$1:$AC$400,_xlfn.TEXTJOIN(",",TRUE,$B23:$E23),SF_Output!$Q$1:$Q$400,"yearly")/R23))))</f>
        <v/>
      </c>
      <c r="T23" s="6">
        <f t="shared" si="3"/>
        <v>0</v>
      </c>
      <c r="V23" s="6" cm="1">
        <f t="array" ref="V23">_xlfn.IFS(B23="","",AND(B23&lt;&gt;"",H23=SF_Output!$Y$2,SUMIFS(SF_Output!$T$1:$T$400,SF_Output!$AC$1:$AC$400,_xlfn.TEXTJOIN(",",TRUE,B23:E23),SF_Output!$Q$1:$Q$400,"monthly")=0),(SUMIFS(SF_Output!$F$1:$F$400,SF_Output!$AC$1:$AC$400,_xlfn.TEXTJOIN(",",TRUE,B23:E23),SF_Output!$Q$1:$Q$400,"monthly")+SUMIFS(SF_Output!$G$1:$G$400,SF_Output!$AC$1:$AC$400,_xlfn.TEXTJOIN(",",TRUE,B23:E23),SF_Output!$Q$1:$Q$400,"monthly"))*H23,AND(B23&lt;&gt;"",H23=SF_Output!$Y$2,SUMIFS(SF_Output!$T$1:$T$400,SF_Output!$AC$1:$AC$400,_xlfn.TEXTJOIN(",",TRUE,B23:E23),SF_Output!$Q$1:$Q$400,"monthly")&lt;&gt;0),SUMIFS(SF_Output!$S$1:$S$400,SF_Output!$AC$1:$AC$400,_xlfn.TEXTJOIN(",",TRUE,B23:E23),SF_Output!$Q$1:$Q$400,"monthly"),AND(B23&lt;&gt;"",H23&lt;&gt;SF_Output!$Y$2),SUMIFS(SF_Output!$S$1:$S$400,SF_Output!$AC$1:$AC$400,_xlfn.TEXTJOIN(",",TRUE,B23:E23),SF_Output!$Q$1:$Q$400,"monthly"))</f>
        <v>220</v>
      </c>
      <c r="W23" s="112" cm="1">
        <f t="array" ref="W23">_xlfn.IFS(OR(B23=0,B23="",V23=0),"",AF23&lt;&gt;"exclusion",MAX($W$9,$W$7,(-(SUMIFS(SF_Output!$T$1:$T$400,SF_Output!$AC$1:$AC$400,_xlfn.TEXTJOIN(",",TRUE,$B23:$E23),SF_Output!$Q$1:$Q$400,"monthly"))/V23)),AF23="exclusion",-(SUMIFS(SF_Output!$T$1:$T$400,SF_Output!$AC$1:$AC$400,_xlfn.TEXTJOIN(",",TRUE,$B23:$E23),SF_Output!$Q$1:$Q$400,"monthly"))/V23)</f>
        <v>0.25</v>
      </c>
      <c r="X23" s="6" cm="1">
        <f t="array" ref="X23">IFERROR(_xlfn.IFS(V23=0,0,V23="","",W23=0,V23,OR(V23&lt;&gt;0,V23&lt;&gt;""),H23*I23),V23*(1-W23))</f>
        <v>165</v>
      </c>
    </row>
    <row r="24" spans="2:24" x14ac:dyDescent="0.25">
      <c r="B24" t="s">
        <v>2177</v>
      </c>
      <c r="C24" t="s">
        <v>2122</v>
      </c>
      <c r="D24" t="s">
        <v>2123</v>
      </c>
      <c r="E24" t="s">
        <v>2124</v>
      </c>
      <c r="F24" s="116" t="str">
        <f t="shared" si="0"/>
        <v>Included</v>
      </c>
      <c r="G24" t="str">
        <f>IF(B24="","",INDEX(SF_Output!$K$1:$K$400,MATCH(B24,SF_Output!$M$1:$M$400,0)))</f>
        <v>OnBoard</v>
      </c>
      <c r="H24" cm="1">
        <f t="array" ref="H24">_xlfn.IFS(B24="","",(SUMIFS(SF_Output!$F$1:$F$400,SF_Output!$AC$1:$AC$400,_xlfn.TEXTJOIN(",",TRUE,B24:E24))+SUMIFS(SF_Output!$G$1:$G$400,SF_Output!$AC$1:$AC$400,_xlfn.TEXTJOIN(",",TRUE,B24:E24)))&lt;&gt;0,SF_Output!$Y$2,INDEX(SF_Output!$F$1:$F$400,MATCH(_xlfn.TEXTJOIN(",",TRUE,B24:E24),SF_Output!$AC$1:$AC$400,0))=0,INDEX(SF_Output!$R$1:$R$400,MATCH(_xlfn.TEXTJOIN(",",TRUE,B24:E24),SF_Output!$AC$1:$AC$400,0)))</f>
        <v>5000</v>
      </c>
      <c r="I24" s="125">
        <f>IFERROR(IF(AND(H24&gt;1,H24&lt;&gt;""),ROUND(SUMIFS(SF_Output!$S$1:$S$400,SF_Output!$AC$1:$AC$400,_xlfn.TEXTJOIN(",",TRUE,B24:E24),SF_Output!$Q$1:$Q$400,"monthly")*(1-W24)/H24,4),""),"")</f>
        <v>0.17030000000000001</v>
      </c>
      <c r="J24" s="6">
        <f>IF(B24="","",SUMIFS(SF_Output!$S$1:$S$400,SF_Output!$AC$1:$AC$400,_xlfn.TEXTJOIN(",",TRUE,B24:E24),SF_Output!$Q$1:$Q$400,"One Time",SF_Output!$L$1:$L$400,"license fee")+SUMIFS(SF_Output!$S$1:$S$400,SF_Output!$AC$1:$AC$400,_xlfn.TEXTJOIN(",",TRUE,B24:E24),SF_Output!$Q$1:$Q$400,"One Time",SF_Output!$L$1:$L$400,"software license")+SUMIFS(SF_Output!$S$1:$S$400,SF_Output!$AC$1:$AC$400,_xlfn.TEXTJOIN(",",TRUE,B24:E24),SF_Output!$Q$1:$Q$400,"One Time",SF_Output!$L$1:$L$400,"hardware"))</f>
        <v>0</v>
      </c>
      <c r="K24" s="112" t="str">
        <f>IF(OR(B24=0,B24="",G24="hardware",J24=0),"",IF(AF24&lt;&gt;"exclusion",MAX(K$9,-((SUMIFS(SF_Output!$T$1:$T$400,SF_Output!$AC$1:$AC$400,_xlfn.TEXTJOIN(",",TRUE,$B24:$E24),SF_Output!$Q$1:$Q$400,"One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license"))/J24)))</f>
        <v/>
      </c>
      <c r="L24" s="6">
        <f t="shared" si="1"/>
        <v>0</v>
      </c>
      <c r="N24" s="6">
        <f>IF(B24="","",SUMIFS(SF_Output!$S$1:$S$400,SF_Output!$AC$1:$AC$400,_xlfn.TEXTJOIN(",",TRUE,B24:E24),SF_Output!$Q$1:$Q$400,"One Time",SF_Output!$L$1:$L$400,"professional service"))</f>
        <v>23180</v>
      </c>
      <c r="O24" s="112">
        <f>IF(OR(B24=0,B24="",N24=0),"",IF(AF24&lt;&gt;"exclusion",MAX(O$9,-(SUMIFS(SF_Output!$T$1:$T$400,SF_Output!$AC$1:$AC$400,_xlfn.TEXTJOIN(",",TRUE,$B24:$E24),SF_Output!$Q$1:$Q$400,"One Time",SF_Output!$L$1:$L$400,"professional service"))/N24),-((SUMIFS(SF_Output!$T$1:$T$400,SF_Output!$AC$1:$AC$400,_xlfn.TEXTJOIN(",",TRUE,$B24:$E24),SF_Output!$Q$1:$Q$400,"One Time",SF_Output!$L$1:$L$400,"professional service")/N24))))</f>
        <v>1</v>
      </c>
      <c r="P24" s="6">
        <f t="shared" si="2"/>
        <v>0</v>
      </c>
      <c r="R24" s="6">
        <f>IF(B24="","",SUMIFS(SF_Output!$S$1:$S$400,SF_Output!$AC$1:$AC$400,_xlfn.TEXTJOIN(",",TRUE,B24:E24),SF_Output!$Q$1:$Q$400,"yearly")+SUMIFS(SF_Output!$S$1:$S$400,SF_Output!$AC$1:$AC$400,_xlfn.TEXTJOIN(",",TRUE,B24:E24),SF_Output!$Q$1:$Q$400,"quarterly")*4)</f>
        <v>0</v>
      </c>
      <c r="S24" s="112" t="str">
        <f>IF(OR(B24=0,B24="",G24="hardware",R24=0),"",IF(AF24&lt;&gt;"exclusion",MAX(S$9,-(SUMIFS(SF_Output!$T$1:$T$400,SF_Output!$AC$1:$AC$400,_xlfn.TEXTJOIN(",",TRUE,$B24:$E24),SF_Output!$Q$1:$Q$400,"yearly"))/R24),-((SUMIFS(SF_Output!$T$1:$T$400,SF_Output!$AC$1:$AC$400,_xlfn.TEXTJOIN(",",TRUE,$B24:$E24),SF_Output!$Q$1:$Q$400,"yearly")/R24))))</f>
        <v/>
      </c>
      <c r="T24" s="6">
        <f t="shared" si="3"/>
        <v>0</v>
      </c>
      <c r="V24" s="6" cm="1">
        <f t="array" ref="V24">_xlfn.IFS(B24="","",AND(B24&lt;&gt;"",H24=SF_Output!$Y$2,SUMIFS(SF_Output!$T$1:$T$400,SF_Output!$AC$1:$AC$400,_xlfn.TEXTJOIN(",",TRUE,B24:E24),SF_Output!$Q$1:$Q$400,"monthly")=0),(SUMIFS(SF_Output!$F$1:$F$400,SF_Output!$AC$1:$AC$400,_xlfn.TEXTJOIN(",",TRUE,B24:E24),SF_Output!$Q$1:$Q$400,"monthly")+SUMIFS(SF_Output!$G$1:$G$400,SF_Output!$AC$1:$AC$400,_xlfn.TEXTJOIN(",",TRUE,B24:E24),SF_Output!$Q$1:$Q$400,"monthly"))*H24,AND(B24&lt;&gt;"",H24=SF_Output!$Y$2,SUMIFS(SF_Output!$T$1:$T$400,SF_Output!$AC$1:$AC$400,_xlfn.TEXTJOIN(",",TRUE,B24:E24),SF_Output!$Q$1:$Q$400,"monthly")&lt;&gt;0),SUMIFS(SF_Output!$S$1:$S$400,SF_Output!$AC$1:$AC$400,_xlfn.TEXTJOIN(",",TRUE,B24:E24),SF_Output!$Q$1:$Q$400,"monthly"),AND(B24&lt;&gt;"",H24&lt;&gt;SF_Output!$Y$2),SUMIFS(SF_Output!$S$1:$S$400,SF_Output!$AC$1:$AC$400,_xlfn.TEXTJOIN(",",TRUE,B24:E24),SF_Output!$Q$1:$Q$400,"monthly"))</f>
        <v>1135</v>
      </c>
      <c r="W24" s="112" cm="1">
        <f t="array" ref="W24">_xlfn.IFS(OR(B24=0,B24="",V24=0),"",AF24&lt;&gt;"exclusion",MAX($W$9,$W$7,(-(SUMIFS(SF_Output!$T$1:$T$400,SF_Output!$AC$1:$AC$400,_xlfn.TEXTJOIN(",",TRUE,$B24:$E24),SF_Output!$Q$1:$Q$400,"monthly"))/V24)),AF24="exclusion",-(SUMIFS(SF_Output!$T$1:$T$400,SF_Output!$AC$1:$AC$400,_xlfn.TEXTJOIN(",",TRUE,$B24:$E24),SF_Output!$Q$1:$Q$400,"monthly"))/V24)</f>
        <v>0.25</v>
      </c>
      <c r="X24" s="6" cm="1">
        <f t="array" ref="X24">IFERROR(_xlfn.IFS(V24=0,0,V24="","",W24=0,V24,OR(V24&lt;&gt;0,V24&lt;&gt;""),H24*I24),V24*(1-W24))</f>
        <v>851.5</v>
      </c>
    </row>
    <row r="25" spans="2:24" x14ac:dyDescent="0.25">
      <c r="B25" t="s">
        <v>2180</v>
      </c>
      <c r="C25" t="s">
        <v>2122</v>
      </c>
      <c r="D25" t="s">
        <v>2123</v>
      </c>
      <c r="E25" t="s">
        <v>2150</v>
      </c>
      <c r="F25" s="116" t="str">
        <f t="shared" si="0"/>
        <v>Optional</v>
      </c>
      <c r="G25" t="str">
        <f>IF(B25="","",INDEX(SF_Output!$K$1:$K$400,MATCH(B25,SF_Output!$M$1:$M$400,0)))</f>
        <v>OnBoard</v>
      </c>
      <c r="H25" cm="1">
        <f t="array" ref="H25">_xlfn.IFS(B25="","",(SUMIFS(SF_Output!$F$1:$F$400,SF_Output!$AC$1:$AC$400,_xlfn.TEXTJOIN(",",TRUE,B25:E25))+SUMIFS(SF_Output!$G$1:$G$400,SF_Output!$AC$1:$AC$400,_xlfn.TEXTJOIN(",",TRUE,B25:E25)))&lt;&gt;0,SF_Output!$Y$2,INDEX(SF_Output!$F$1:$F$400,MATCH(_xlfn.TEXTJOIN(",",TRUE,B25:E25),SF_Output!$AC$1:$AC$400,0))=0,INDEX(SF_Output!$R$1:$R$400,MATCH(_xlfn.TEXTJOIN(",",TRUE,B25:E25),SF_Output!$AC$1:$AC$400,0)))</f>
        <v>5000</v>
      </c>
      <c r="I25" s="125">
        <f>IFERROR(IF(AND(H25&gt;1,H25&lt;&gt;""),ROUND(SUMIFS(SF_Output!$S$1:$S$400,SF_Output!$AC$1:$AC$400,_xlfn.TEXTJOIN(",",TRUE,B25:E25),SF_Output!$Q$1:$Q$400,"monthly")*(1-W25)/H25,4),""),"")</f>
        <v>0.2273</v>
      </c>
      <c r="J25" s="6">
        <f>IF(B25="","",SUMIFS(SF_Output!$S$1:$S$400,SF_Output!$AC$1:$AC$400,_xlfn.TEXTJOIN(",",TRUE,B25:E25),SF_Output!$Q$1:$Q$400,"One Time",SF_Output!$L$1:$L$400,"license fee")+SUMIFS(SF_Output!$S$1:$S$400,SF_Output!$AC$1:$AC$400,_xlfn.TEXTJOIN(",",TRUE,B25:E25),SF_Output!$Q$1:$Q$400,"One Time",SF_Output!$L$1:$L$400,"software license")+SUMIFS(SF_Output!$S$1:$S$400,SF_Output!$AC$1:$AC$400,_xlfn.TEXTJOIN(",",TRUE,B25:E25),SF_Output!$Q$1:$Q$400,"One Time",SF_Output!$L$1:$L$400,"hardware"))</f>
        <v>0</v>
      </c>
      <c r="K25" s="112" t="str">
        <f>IF(OR(B25=0,B25="",G25="hardware",J25=0),"",IF(AF25&lt;&gt;"exclusion",MAX(K$9,-((SUMIFS(SF_Output!$T$1:$T$400,SF_Output!$AC$1:$AC$400,_xlfn.TEXTJOIN(",",TRUE,$B25:$E25),SF_Output!$Q$1:$Q$400,"One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license"))/J25)))</f>
        <v/>
      </c>
      <c r="L25" s="6">
        <f t="shared" si="1"/>
        <v>0</v>
      </c>
      <c r="N25" s="6">
        <f>IF(B25="","",SUMIFS(SF_Output!$S$1:$S$400,SF_Output!$AC$1:$AC$400,_xlfn.TEXTJOIN(",",TRUE,B25:E25),SF_Output!$Q$1:$Q$400,"One Time",SF_Output!$L$1:$L$400,"professional service"))</f>
        <v>42480</v>
      </c>
      <c r="O25" s="112">
        <f>IF(OR(B25=0,B25="",N25=0),"",IF(AF25&lt;&gt;"exclusion",MAX(O$9,-(SUMIFS(SF_Output!$T$1:$T$400,SF_Output!$AC$1:$AC$400,_xlfn.TEXTJOIN(",",TRUE,$B25:$E25),SF_Output!$Q$1:$Q$400,"One Time",SF_Output!$L$1:$L$400,"professional service"))/N25),-((SUMIFS(SF_Output!$T$1:$T$400,SF_Output!$AC$1:$AC$400,_xlfn.TEXTJOIN(",",TRUE,$B25:$E25),SF_Output!$Q$1:$Q$400,"One Time",SF_Output!$L$1:$L$400,"professional service")/N25))))</f>
        <v>1</v>
      </c>
      <c r="P25" s="6">
        <f t="shared" si="2"/>
        <v>0</v>
      </c>
      <c r="R25" s="6">
        <f>IF(B25="","",SUMIFS(SF_Output!$S$1:$S$400,SF_Output!$AC$1:$AC$400,_xlfn.TEXTJOIN(",",TRUE,B25:E25),SF_Output!$Q$1:$Q$400,"yearly")+SUMIFS(SF_Output!$S$1:$S$400,SF_Output!$AC$1:$AC$400,_xlfn.TEXTJOIN(",",TRUE,B25:E25),SF_Output!$Q$1:$Q$400,"quarterly")*4)</f>
        <v>0</v>
      </c>
      <c r="S25" s="112" t="str">
        <f>IF(OR(B25=0,B25="",G25="hardware",R25=0),"",IF(AF25&lt;&gt;"exclusion",MAX(S$9,-(SUMIFS(SF_Output!$T$1:$T$400,SF_Output!$AC$1:$AC$400,_xlfn.TEXTJOIN(",",TRUE,$B25:$E25),SF_Output!$Q$1:$Q$400,"yearly"))/R25),-((SUMIFS(SF_Output!$T$1:$T$400,SF_Output!$AC$1:$AC$400,_xlfn.TEXTJOIN(",",TRUE,$B25:$E25),SF_Output!$Q$1:$Q$400,"yearly")/R25))))</f>
        <v/>
      </c>
      <c r="T25" s="6">
        <f t="shared" si="3"/>
        <v>0</v>
      </c>
      <c r="V25" s="6" cm="1">
        <f t="array" ref="V25">_xlfn.IFS(B25="","",AND(B25&lt;&gt;"",H25=SF_Output!$Y$2,SUMIFS(SF_Output!$T$1:$T$400,SF_Output!$AC$1:$AC$400,_xlfn.TEXTJOIN(",",TRUE,B25:E25),SF_Output!$Q$1:$Q$400,"monthly")=0),(SUMIFS(SF_Output!$F$1:$F$400,SF_Output!$AC$1:$AC$400,_xlfn.TEXTJOIN(",",TRUE,B25:E25),SF_Output!$Q$1:$Q$400,"monthly")+SUMIFS(SF_Output!$G$1:$G$400,SF_Output!$AC$1:$AC$400,_xlfn.TEXTJOIN(",",TRUE,B25:E25),SF_Output!$Q$1:$Q$400,"monthly"))*H25,AND(B25&lt;&gt;"",H25=SF_Output!$Y$2,SUMIFS(SF_Output!$T$1:$T$400,SF_Output!$AC$1:$AC$400,_xlfn.TEXTJOIN(",",TRUE,B25:E25),SF_Output!$Q$1:$Q$400,"monthly")&lt;&gt;0),SUMIFS(SF_Output!$S$1:$S$400,SF_Output!$AC$1:$AC$400,_xlfn.TEXTJOIN(",",TRUE,B25:E25),SF_Output!$Q$1:$Q$400,"monthly"),AND(B25&lt;&gt;"",H25&lt;&gt;SF_Output!$Y$2),SUMIFS(SF_Output!$S$1:$S$400,SF_Output!$AC$1:$AC$400,_xlfn.TEXTJOIN(",",TRUE,B25:E25),SF_Output!$Q$1:$Q$400,"monthly"))</f>
        <v>1515</v>
      </c>
      <c r="W25" s="112" cm="1">
        <f t="array" ref="W25">_xlfn.IFS(OR(B25=0,B25="",V25=0),"",AF25&lt;&gt;"exclusion",MAX($W$9,$W$7,(-(SUMIFS(SF_Output!$T$1:$T$400,SF_Output!$AC$1:$AC$400,_xlfn.TEXTJOIN(",",TRUE,$B25:$E25),SF_Output!$Q$1:$Q$400,"monthly"))/V25)),AF25="exclusion",-(SUMIFS(SF_Output!$T$1:$T$400,SF_Output!$AC$1:$AC$400,_xlfn.TEXTJOIN(",",TRUE,$B25:$E25),SF_Output!$Q$1:$Q$400,"monthly"))/V25)</f>
        <v>0.25</v>
      </c>
      <c r="X25" s="6" cm="1">
        <f t="array" ref="X25">IFERROR(_xlfn.IFS(V25=0,0,V25="","",W25=0,V25,OR(V25&lt;&gt;0,V25&lt;&gt;""),H25*I25),V25*(1-W25))</f>
        <v>1136.5</v>
      </c>
    </row>
    <row r="26" spans="2:24" x14ac:dyDescent="0.25">
      <c r="B26" t="s">
        <v>1436</v>
      </c>
      <c r="C26" t="s">
        <v>2122</v>
      </c>
      <c r="D26" t="s">
        <v>2123</v>
      </c>
      <c r="E26" t="s">
        <v>2150</v>
      </c>
      <c r="F26" s="116" t="str">
        <f t="shared" si="0"/>
        <v>Optional</v>
      </c>
      <c r="G26" t="str">
        <f>IF(B26="","",INDEX(SF_Output!$K$1:$K$400,MATCH(B26,SF_Output!$M$1:$M$400,0)))</f>
        <v>OnBoard</v>
      </c>
      <c r="H26" cm="1">
        <f t="array" ref="H26">_xlfn.IFS(B26="","",(SUMIFS(SF_Output!$F$1:$F$400,SF_Output!$AC$1:$AC$400,_xlfn.TEXTJOIN(",",TRUE,B26:E26))+SUMIFS(SF_Output!$G$1:$G$400,SF_Output!$AC$1:$AC$400,_xlfn.TEXTJOIN(",",TRUE,B26:E26)))&lt;&gt;0,SF_Output!$Y$2,INDEX(SF_Output!$F$1:$F$400,MATCH(_xlfn.TEXTJOIN(",",TRUE,B26:E26),SF_Output!$AC$1:$AC$400,0))=0,INDEX(SF_Output!$R$1:$R$400,MATCH(_xlfn.TEXTJOIN(",",TRUE,B26:E26),SF_Output!$AC$1:$AC$400,0)))</f>
        <v>1</v>
      </c>
      <c r="I26" s="125" t="str">
        <f>IFERROR(IF(AND(H26&gt;1,H26&lt;&gt;""),ROUND(SUMIFS(SF_Output!$S$1:$S$400,SF_Output!$AC$1:$AC$400,_xlfn.TEXTJOIN(",",TRUE,B26:E26),SF_Output!$Q$1:$Q$400,"monthly")*(1-W26)/H26,4),""),"")</f>
        <v/>
      </c>
      <c r="J26" s="6">
        <f>IF(B26="","",SUMIFS(SF_Output!$S$1:$S$400,SF_Output!$AC$1:$AC$400,_xlfn.TEXTJOIN(",",TRUE,B26:E26),SF_Output!$Q$1:$Q$400,"One Time",SF_Output!$L$1:$L$400,"license fee")+SUMIFS(SF_Output!$S$1:$S$400,SF_Output!$AC$1:$AC$400,_xlfn.TEXTJOIN(",",TRUE,B26:E26),SF_Output!$Q$1:$Q$400,"One Time",SF_Output!$L$1:$L$400,"software license")+SUMIFS(SF_Output!$S$1:$S$400,SF_Output!$AC$1:$AC$400,_xlfn.TEXTJOIN(",",TRUE,B26:E26),SF_Output!$Q$1:$Q$400,"One Time",SF_Output!$L$1:$L$400,"hardware"))</f>
        <v>0</v>
      </c>
      <c r="K26" s="112" t="str">
        <f>IF(OR(B26=0,B26="",G26="hardware",J26=0),"",IF(AF26&lt;&gt;"exclusion",MAX(K$9,-((SUMIFS(SF_Output!$T$1:$T$400,SF_Output!$AC$1:$AC$400,_xlfn.TEXTJOIN(",",TRUE,$B26:$E26),SF_Output!$Q$1:$Q$400,"One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license"))/J26)))</f>
        <v/>
      </c>
      <c r="L26" s="6">
        <f t="shared" si="1"/>
        <v>0</v>
      </c>
      <c r="N26" s="6">
        <f>IF(B26="","",SUMIFS(SF_Output!$S$1:$S$400,SF_Output!$AC$1:$AC$400,_xlfn.TEXTJOIN(",",TRUE,B26:E26),SF_Output!$Q$1:$Q$400,"One Time",SF_Output!$L$1:$L$400,"professional service"))</f>
        <v>1500</v>
      </c>
      <c r="O26" s="112">
        <f>IF(OR(B26=0,B26="",N26=0),"",IF(AF26&lt;&gt;"exclusion",MAX(O$9,-(SUMIFS(SF_Output!$T$1:$T$400,SF_Output!$AC$1:$AC$400,_xlfn.TEXTJOIN(",",TRUE,$B26:$E26),SF_Output!$Q$1:$Q$400,"One Time",SF_Output!$L$1:$L$400,"professional service"))/N26),-((SUMIFS(SF_Output!$T$1:$T$400,SF_Output!$AC$1:$AC$400,_xlfn.TEXTJOIN(",",TRUE,$B26:$E26),SF_Output!$Q$1:$Q$400,"One Time",SF_Output!$L$1:$L$400,"professional service")/N26))))</f>
        <v>0</v>
      </c>
      <c r="P26" s="6">
        <f t="shared" si="2"/>
        <v>1500</v>
      </c>
      <c r="R26" s="6">
        <f>IF(B26="","",SUMIFS(SF_Output!$S$1:$S$400,SF_Output!$AC$1:$AC$400,_xlfn.TEXTJOIN(",",TRUE,B26:E26),SF_Output!$Q$1:$Q$400,"yearly")+SUMIFS(SF_Output!$S$1:$S$400,SF_Output!$AC$1:$AC$400,_xlfn.TEXTJOIN(",",TRUE,B26:E26),SF_Output!$Q$1:$Q$400,"quarterly")*4)</f>
        <v>0</v>
      </c>
      <c r="S26" s="112" t="str">
        <f>IF(OR(B26=0,B26="",G26="hardware",R26=0),"",IF(AF26&lt;&gt;"exclusion",MAX(S$9,-(SUMIFS(SF_Output!$T$1:$T$400,SF_Output!$AC$1:$AC$400,_xlfn.TEXTJOIN(",",TRUE,$B26:$E26),SF_Output!$Q$1:$Q$400,"yearly"))/R26),-((SUMIFS(SF_Output!$T$1:$T$400,SF_Output!$AC$1:$AC$400,_xlfn.TEXTJOIN(",",TRUE,$B26:$E26),SF_Output!$Q$1:$Q$400,"yearly")/R26))))</f>
        <v/>
      </c>
      <c r="T26" s="6">
        <f t="shared" si="3"/>
        <v>0</v>
      </c>
      <c r="V26" s="6" cm="1">
        <f t="array" ref="V26">_xlfn.IFS(B26="","",AND(B26&lt;&gt;"",H26=SF_Output!$Y$2,SUMIFS(SF_Output!$T$1:$T$400,SF_Output!$AC$1:$AC$400,_xlfn.TEXTJOIN(",",TRUE,B26:E26),SF_Output!$Q$1:$Q$400,"monthly")=0),(SUMIFS(SF_Output!$F$1:$F$400,SF_Output!$AC$1:$AC$400,_xlfn.TEXTJOIN(",",TRUE,B26:E26),SF_Output!$Q$1:$Q$400,"monthly")+SUMIFS(SF_Output!$G$1:$G$400,SF_Output!$AC$1:$AC$400,_xlfn.TEXTJOIN(",",TRUE,B26:E26),SF_Output!$Q$1:$Q$400,"monthly"))*H26,AND(B26&lt;&gt;"",H26=SF_Output!$Y$2,SUMIFS(SF_Output!$T$1:$T$400,SF_Output!$AC$1:$AC$400,_xlfn.TEXTJOIN(",",TRUE,B26:E26),SF_Output!$Q$1:$Q$400,"monthly")&lt;&gt;0),SUMIFS(SF_Output!$S$1:$S$400,SF_Output!$AC$1:$AC$400,_xlfn.TEXTJOIN(",",TRUE,B26:E26),SF_Output!$Q$1:$Q$400,"monthly"),AND(B26&lt;&gt;"",H26&lt;&gt;SF_Output!$Y$2),SUMIFS(SF_Output!$S$1:$S$400,SF_Output!$AC$1:$AC$400,_xlfn.TEXTJOIN(",",TRUE,B26:E26),SF_Output!$Q$1:$Q$400,"monthly"))</f>
        <v>0</v>
      </c>
      <c r="W26" s="112" t="str" cm="1">
        <f t="array" ref="W26">_xlfn.IFS(OR(B26=0,B26="",V26=0),"",AF26&lt;&gt;"exclusion",MAX($W$9,$W$7,(-(SUMIFS(SF_Output!$T$1:$T$400,SF_Output!$AC$1:$AC$400,_xlfn.TEXTJOIN(",",TRUE,$B26:$E26),SF_Output!$Q$1:$Q$400,"monthly"))/V26)),AF26="exclusion",-(SUMIFS(SF_Output!$T$1:$T$400,SF_Output!$AC$1:$AC$400,_xlfn.TEXTJOIN(",",TRUE,$B26:$E26),SF_Output!$Q$1:$Q$400,"monthly"))/V26)</f>
        <v/>
      </c>
      <c r="X26" s="6" cm="1">
        <f t="array" ref="X26">IFERROR(_xlfn.IFS(V26=0,0,V26="","",W26=0,V26,OR(V26&lt;&gt;0,V26&lt;&gt;""),H26*I26),V26*(1-W26))</f>
        <v>0</v>
      </c>
    </row>
    <row r="27" spans="2:24" x14ac:dyDescent="0.25">
      <c r="B27" t="s">
        <v>2192</v>
      </c>
      <c r="C27" t="s">
        <v>2122</v>
      </c>
      <c r="D27" t="s">
        <v>2123</v>
      </c>
      <c r="E27" t="s">
        <v>2124</v>
      </c>
      <c r="F27" s="116" t="str">
        <f t="shared" si="0"/>
        <v>Included</v>
      </c>
      <c r="G27" t="str">
        <f>IF(B27="","",INDEX(SF_Output!$K$1:$K$400,MATCH(B27,SF_Output!$M$1:$M$400,0)))</f>
        <v>Teller</v>
      </c>
      <c r="H27" cm="1">
        <f t="array" ref="H27">_xlfn.IFS(B27="","",(SUMIFS(SF_Output!$F$1:$F$400,SF_Output!$AC$1:$AC$400,_xlfn.TEXTJOIN(",",TRUE,B27:E27))+SUMIFS(SF_Output!$G$1:$G$400,SF_Output!$AC$1:$AC$400,_xlfn.TEXTJOIN(",",TRUE,B27:E27)))&lt;&gt;0,SF_Output!$Y$2,INDEX(SF_Output!$F$1:$F$400,MATCH(_xlfn.TEXTJOIN(",",TRUE,B27:E27),SF_Output!$AC$1:$AC$400,0))=0,INDEX(SF_Output!$R$1:$R$400,MATCH(_xlfn.TEXTJOIN(",",TRUE,B27:E27),SF_Output!$AC$1:$AC$400,0)))</f>
        <v>5000</v>
      </c>
      <c r="I27" s="125">
        <f>IFERROR(IF(AND(H27&gt;1,H27&lt;&gt;""),ROUND(SUMIFS(SF_Output!$S$1:$S$400,SF_Output!$AC$1:$AC$400,_xlfn.TEXTJOIN(",",TRUE,B27:E27),SF_Output!$Q$1:$Q$400,"monthly")*(1-W27)/H27,4),""),"")</f>
        <v>0.03</v>
      </c>
      <c r="J27" s="6">
        <f>IF(B27="","",SUMIFS(SF_Output!$S$1:$S$400,SF_Output!$AC$1:$AC$400,_xlfn.TEXTJOIN(",",TRUE,B27:E27),SF_Output!$Q$1:$Q$400,"One Time",SF_Output!$L$1:$L$400,"license fee")+SUMIFS(SF_Output!$S$1:$S$400,SF_Output!$AC$1:$AC$400,_xlfn.TEXTJOIN(",",TRUE,B27:E27),SF_Output!$Q$1:$Q$400,"One Time",SF_Output!$L$1:$L$400,"software license")+SUMIFS(SF_Output!$S$1:$S$400,SF_Output!$AC$1:$AC$400,_xlfn.TEXTJOIN(",",TRUE,B27:E27),SF_Output!$Q$1:$Q$400,"One Time",SF_Output!$L$1:$L$400,"hardware"))</f>
        <v>0</v>
      </c>
      <c r="K27" s="112" t="str">
        <f>IF(OR(B27=0,B27="",G27="hardware",J27=0),"",IF(AF27&lt;&gt;"exclusion",MAX(K$9,-((SUMIFS(SF_Output!$T$1:$T$400,SF_Output!$AC$1:$AC$400,_xlfn.TEXTJOIN(",",TRUE,$B27:$E27),SF_Output!$Q$1:$Q$400,"One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license"))/J27)))</f>
        <v/>
      </c>
      <c r="L27" s="6">
        <f t="shared" si="1"/>
        <v>0</v>
      </c>
      <c r="N27" s="6">
        <f>IF(B27="","",SUMIFS(SF_Output!$S$1:$S$400,SF_Output!$AC$1:$AC$400,_xlfn.TEXTJOIN(",",TRUE,B27:E27),SF_Output!$Q$1:$Q$400,"One Time",SF_Output!$L$1:$L$400,"professional service"))</f>
        <v>855</v>
      </c>
      <c r="O27" s="112">
        <f>IF(OR(B27=0,B27="",N27=0),"",IF(AF27&lt;&gt;"exclusion",MAX(O$9,-(SUMIFS(SF_Output!$T$1:$T$400,SF_Output!$AC$1:$AC$400,_xlfn.TEXTJOIN(",",TRUE,$B27:$E27),SF_Output!$Q$1:$Q$400,"One Time",SF_Output!$L$1:$L$400,"professional service"))/N27),-((SUMIFS(SF_Output!$T$1:$T$400,SF_Output!$AC$1:$AC$400,_xlfn.TEXTJOIN(",",TRUE,$B27:$E27),SF_Output!$Q$1:$Q$400,"One Time",SF_Output!$L$1:$L$400,"professional service")/N27))))</f>
        <v>1</v>
      </c>
      <c r="P27" s="6">
        <f t="shared" si="2"/>
        <v>0</v>
      </c>
      <c r="R27" s="6">
        <f>IF(B27="","",SUMIFS(SF_Output!$S$1:$S$400,SF_Output!$AC$1:$AC$400,_xlfn.TEXTJOIN(",",TRUE,B27:E27),SF_Output!$Q$1:$Q$400,"yearly")+SUMIFS(SF_Output!$S$1:$S$400,SF_Output!$AC$1:$AC$400,_xlfn.TEXTJOIN(",",TRUE,B27:E27),SF_Output!$Q$1:$Q$400,"quarterly")*4)</f>
        <v>0</v>
      </c>
      <c r="S27" s="112" t="str">
        <f>IF(OR(B27=0,B27="",G27="hardware",R27=0),"",IF(AF27&lt;&gt;"exclusion",MAX(S$9,-(SUMIFS(SF_Output!$T$1:$T$400,SF_Output!$AC$1:$AC$400,_xlfn.TEXTJOIN(",",TRUE,$B27:$E27),SF_Output!$Q$1:$Q$400,"yearly"))/R27),-((SUMIFS(SF_Output!$T$1:$T$400,SF_Output!$AC$1:$AC$400,_xlfn.TEXTJOIN(",",TRUE,$B27:$E27),SF_Output!$Q$1:$Q$400,"yearly")/R27))))</f>
        <v/>
      </c>
      <c r="T27" s="6">
        <f t="shared" si="3"/>
        <v>0</v>
      </c>
      <c r="V27" s="6" cm="1">
        <f t="array" ref="V27">_xlfn.IFS(B27="","",AND(B27&lt;&gt;"",H27=SF_Output!$Y$2,SUMIFS(SF_Output!$T$1:$T$400,SF_Output!$AC$1:$AC$400,_xlfn.TEXTJOIN(",",TRUE,B27:E27),SF_Output!$Q$1:$Q$400,"monthly")=0),(SUMIFS(SF_Output!$F$1:$F$400,SF_Output!$AC$1:$AC$400,_xlfn.TEXTJOIN(",",TRUE,B27:E27),SF_Output!$Q$1:$Q$400,"monthly")+SUMIFS(SF_Output!$G$1:$G$400,SF_Output!$AC$1:$AC$400,_xlfn.TEXTJOIN(",",TRUE,B27:E27),SF_Output!$Q$1:$Q$400,"monthly"))*H27,AND(B27&lt;&gt;"",H27=SF_Output!$Y$2,SUMIFS(SF_Output!$T$1:$T$400,SF_Output!$AC$1:$AC$400,_xlfn.TEXTJOIN(",",TRUE,B27:E27),SF_Output!$Q$1:$Q$400,"monthly")&lt;&gt;0),SUMIFS(SF_Output!$S$1:$S$400,SF_Output!$AC$1:$AC$400,_xlfn.TEXTJOIN(",",TRUE,B27:E27),SF_Output!$Q$1:$Q$400,"monthly"),AND(B27&lt;&gt;"",H27&lt;&gt;SF_Output!$Y$2),SUMIFS(SF_Output!$S$1:$S$400,SF_Output!$AC$1:$AC$400,_xlfn.TEXTJOIN(",",TRUE,B27:E27),SF_Output!$Q$1:$Q$400,"monthly"))</f>
        <v>200</v>
      </c>
      <c r="W27" s="112" cm="1">
        <f t="array" ref="W27">_xlfn.IFS(OR(B27=0,B27="",V27=0),"",AF27&lt;&gt;"exclusion",MAX($W$9,$W$7,(-(SUMIFS(SF_Output!$T$1:$T$400,SF_Output!$AC$1:$AC$400,_xlfn.TEXTJOIN(",",TRUE,$B27:$E27),SF_Output!$Q$1:$Q$400,"monthly"))/V27)),AF27="exclusion",-(SUMIFS(SF_Output!$T$1:$T$400,SF_Output!$AC$1:$AC$400,_xlfn.TEXTJOIN(",",TRUE,$B27:$E27),SF_Output!$Q$1:$Q$400,"monthly"))/V27)</f>
        <v>0.25</v>
      </c>
      <c r="X27" s="6" cm="1">
        <f t="array" ref="X27">IFERROR(_xlfn.IFS(V27=0,0,V27="","",W27=0,V27,OR(V27&lt;&gt;0,V27&lt;&gt;""),H27*I27),V27*(1-W27))</f>
        <v>150</v>
      </c>
    </row>
    <row r="28" spans="2:24" x14ac:dyDescent="0.25">
      <c r="B28" t="s">
        <v>2195</v>
      </c>
      <c r="C28" t="s">
        <v>2122</v>
      </c>
      <c r="D28" t="s">
        <v>2123</v>
      </c>
      <c r="E28" t="s">
        <v>2124</v>
      </c>
      <c r="F28" s="116" t="str">
        <f t="shared" si="0"/>
        <v>Included</v>
      </c>
      <c r="G28" t="str">
        <f>IF(B28="","",INDEX(SF_Output!$K$1:$K$400,MATCH(B28,SF_Output!$M$1:$M$400,0)))</f>
        <v>Teller</v>
      </c>
      <c r="H28" cm="1">
        <f t="array" ref="H28">_xlfn.IFS(B28="","",(SUMIFS(SF_Output!$F$1:$F$400,SF_Output!$AC$1:$AC$400,_xlfn.TEXTJOIN(",",TRUE,B28:E28))+SUMIFS(SF_Output!$G$1:$G$400,SF_Output!$AC$1:$AC$400,_xlfn.TEXTJOIN(",",TRUE,B28:E28)))&lt;&gt;0,SF_Output!$Y$2,INDEX(SF_Output!$F$1:$F$400,MATCH(_xlfn.TEXTJOIN(",",TRUE,B28:E28),SF_Output!$AC$1:$AC$400,0))=0,INDEX(SF_Output!$R$1:$R$400,MATCH(_xlfn.TEXTJOIN(",",TRUE,B28:E28),SF_Output!$AC$1:$AC$400,0)))</f>
        <v>5000</v>
      </c>
      <c r="I28" s="125">
        <f>IFERROR(IF(AND(H28&gt;1,H28&lt;&gt;""),ROUND(SUMIFS(SF_Output!$S$1:$S$400,SF_Output!$AC$1:$AC$400,_xlfn.TEXTJOIN(",",TRUE,B28:E28),SF_Output!$Q$1:$Q$400,"monthly")*(1-W28)/H28,4),""),"")</f>
        <v>1.35E-2</v>
      </c>
      <c r="J28" s="6">
        <f>IF(B28="","",SUMIFS(SF_Output!$S$1:$S$400,SF_Output!$AC$1:$AC$400,_xlfn.TEXTJOIN(",",TRUE,B28:E28),SF_Output!$Q$1:$Q$400,"One Time",SF_Output!$L$1:$L$400,"license fee")+SUMIFS(SF_Output!$S$1:$S$400,SF_Output!$AC$1:$AC$400,_xlfn.TEXTJOIN(",",TRUE,B28:E28),SF_Output!$Q$1:$Q$400,"One Time",SF_Output!$L$1:$L$400,"software license")+SUMIFS(SF_Output!$S$1:$S$400,SF_Output!$AC$1:$AC$400,_xlfn.TEXTJOIN(",",TRUE,B28:E28),SF_Output!$Q$1:$Q$400,"One Time",SF_Output!$L$1:$L$400,"hardware"))</f>
        <v>0</v>
      </c>
      <c r="K28" s="112" t="str">
        <f>IF(OR(B28=0,B28="",G28="hardware",J28=0),"",IF(AF28&lt;&gt;"exclusion",MAX(K$9,-((SUMIFS(SF_Output!$T$1:$T$400,SF_Output!$AC$1:$AC$400,_xlfn.TEXTJOIN(",",TRUE,$B28:$E28),SF_Output!$Q$1:$Q$400,"One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license"))/J28)))</f>
        <v/>
      </c>
      <c r="L28" s="6">
        <f t="shared" si="1"/>
        <v>0</v>
      </c>
      <c r="N28" s="6">
        <f>IF(B28="","",SUMIFS(SF_Output!$S$1:$S$400,SF_Output!$AC$1:$AC$400,_xlfn.TEXTJOIN(",",TRUE,B28:E28),SF_Output!$Q$1:$Q$400,"One Time",SF_Output!$L$1:$L$400,"professional service"))</f>
        <v>390</v>
      </c>
      <c r="O28" s="112">
        <f>IF(OR(B28=0,B28="",N28=0),"",IF(AF28&lt;&gt;"exclusion",MAX(O$9,-(SUMIFS(SF_Output!$T$1:$T$400,SF_Output!$AC$1:$AC$400,_xlfn.TEXTJOIN(",",TRUE,$B28:$E28),SF_Output!$Q$1:$Q$400,"One Time",SF_Output!$L$1:$L$400,"professional service"))/N28),-((SUMIFS(SF_Output!$T$1:$T$400,SF_Output!$AC$1:$AC$400,_xlfn.TEXTJOIN(",",TRUE,$B28:$E28),SF_Output!$Q$1:$Q$400,"One Time",SF_Output!$L$1:$L$400,"professional service")/N28))))</f>
        <v>1</v>
      </c>
      <c r="P28" s="6">
        <f t="shared" si="2"/>
        <v>0</v>
      </c>
      <c r="R28" s="6">
        <f>IF(B28="","",SUMIFS(SF_Output!$S$1:$S$400,SF_Output!$AC$1:$AC$400,_xlfn.TEXTJOIN(",",TRUE,B28:E28),SF_Output!$Q$1:$Q$400,"yearly")+SUMIFS(SF_Output!$S$1:$S$400,SF_Output!$AC$1:$AC$400,_xlfn.TEXTJOIN(",",TRUE,B28:E28),SF_Output!$Q$1:$Q$400,"quarterly")*4)</f>
        <v>0</v>
      </c>
      <c r="S28" s="112" t="str">
        <f>IF(OR(B28=0,B28="",G28="hardware",R28=0),"",IF(AF28&lt;&gt;"exclusion",MAX(S$9,-(SUMIFS(SF_Output!$T$1:$T$400,SF_Output!$AC$1:$AC$400,_xlfn.TEXTJOIN(",",TRUE,$B28:$E28),SF_Output!$Q$1:$Q$400,"yearly"))/R28),-((SUMIFS(SF_Output!$T$1:$T$400,SF_Output!$AC$1:$AC$400,_xlfn.TEXTJOIN(",",TRUE,$B28:$E28),SF_Output!$Q$1:$Q$400,"yearly")/R28))))</f>
        <v/>
      </c>
      <c r="T28" s="6">
        <f t="shared" si="3"/>
        <v>0</v>
      </c>
      <c r="V28" s="6" cm="1">
        <f t="array" ref="V28">_xlfn.IFS(B28="","",AND(B28&lt;&gt;"",H28=SF_Output!$Y$2,SUMIFS(SF_Output!$T$1:$T$400,SF_Output!$AC$1:$AC$400,_xlfn.TEXTJOIN(",",TRUE,B28:E28),SF_Output!$Q$1:$Q$400,"monthly")=0),(SUMIFS(SF_Output!$F$1:$F$400,SF_Output!$AC$1:$AC$400,_xlfn.TEXTJOIN(",",TRUE,B28:E28),SF_Output!$Q$1:$Q$400,"monthly")+SUMIFS(SF_Output!$G$1:$G$400,SF_Output!$AC$1:$AC$400,_xlfn.TEXTJOIN(",",TRUE,B28:E28),SF_Output!$Q$1:$Q$400,"monthly"))*H28,AND(B28&lt;&gt;"",H28=SF_Output!$Y$2,SUMIFS(SF_Output!$T$1:$T$400,SF_Output!$AC$1:$AC$400,_xlfn.TEXTJOIN(",",TRUE,B28:E28),SF_Output!$Q$1:$Q$400,"monthly")&lt;&gt;0),SUMIFS(SF_Output!$S$1:$S$400,SF_Output!$AC$1:$AC$400,_xlfn.TEXTJOIN(",",TRUE,B28:E28),SF_Output!$Q$1:$Q$400,"monthly"),AND(B28&lt;&gt;"",H28&lt;&gt;SF_Output!$Y$2),SUMIFS(SF_Output!$S$1:$S$400,SF_Output!$AC$1:$AC$400,_xlfn.TEXTJOIN(",",TRUE,B28:E28),SF_Output!$Q$1:$Q$400,"monthly"))</f>
        <v>90</v>
      </c>
      <c r="W28" s="112" cm="1">
        <f t="array" ref="W28">_xlfn.IFS(OR(B28=0,B28="",V28=0),"",AF28&lt;&gt;"exclusion",MAX($W$9,$W$7,(-(SUMIFS(SF_Output!$T$1:$T$400,SF_Output!$AC$1:$AC$400,_xlfn.TEXTJOIN(",",TRUE,$B28:$E28),SF_Output!$Q$1:$Q$400,"monthly"))/V28)),AF28="exclusion",-(SUMIFS(SF_Output!$T$1:$T$400,SF_Output!$AC$1:$AC$400,_xlfn.TEXTJOIN(",",TRUE,$B28:$E28),SF_Output!$Q$1:$Q$400,"monthly"))/V28)</f>
        <v>0.25</v>
      </c>
      <c r="X28" s="6" cm="1">
        <f t="array" ref="X28">IFERROR(_xlfn.IFS(V28=0,0,V28="","",W28=0,V28,OR(V28&lt;&gt;0,V28&lt;&gt;""),H28*I28),V28*(1-W28))</f>
        <v>67.5</v>
      </c>
    </row>
    <row r="29" spans="2:24" x14ac:dyDescent="0.25">
      <c r="B29" t="s">
        <v>2199</v>
      </c>
      <c r="C29" t="s">
        <v>2122</v>
      </c>
      <c r="D29" t="s">
        <v>2123</v>
      </c>
      <c r="E29" t="s">
        <v>2124</v>
      </c>
      <c r="F29" s="116" t="str">
        <f t="shared" si="0"/>
        <v>Included</v>
      </c>
      <c r="G29" t="str">
        <f>IF(B29="","",INDEX(SF_Output!$K$1:$K$400,MATCH(B29,SF_Output!$M$1:$M$400,0)))</f>
        <v>Teller</v>
      </c>
      <c r="H29" cm="1">
        <f t="array" ref="H29">_xlfn.IFS(B29="","",(SUMIFS(SF_Output!$F$1:$F$400,SF_Output!$AC$1:$AC$400,_xlfn.TEXTJOIN(",",TRUE,B29:E29))+SUMIFS(SF_Output!$G$1:$G$400,SF_Output!$AC$1:$AC$400,_xlfn.TEXTJOIN(",",TRUE,B29:E29)))&lt;&gt;0,SF_Output!$Y$2,INDEX(SF_Output!$F$1:$F$400,MATCH(_xlfn.TEXTJOIN(",",TRUE,B29:E29),SF_Output!$AC$1:$AC$400,0))=0,INDEX(SF_Output!$R$1:$R$400,MATCH(_xlfn.TEXTJOIN(",",TRUE,B29:E29),SF_Output!$AC$1:$AC$400,0)))</f>
        <v>1</v>
      </c>
      <c r="I29" s="125" t="str">
        <f>IFERROR(IF(AND(H29&gt;1,H29&lt;&gt;""),ROUND(SUMIFS(SF_Output!$S$1:$S$400,SF_Output!$AC$1:$AC$400,_xlfn.TEXTJOIN(",",TRUE,B29:E29),SF_Output!$Q$1:$Q$400,"monthly")*(1-W29)/H29,4),""),"")</f>
        <v/>
      </c>
      <c r="J29" s="6">
        <f>IF(B29="","",SUMIFS(SF_Output!$S$1:$S$400,SF_Output!$AC$1:$AC$400,_xlfn.TEXTJOIN(",",TRUE,B29:E29),SF_Output!$Q$1:$Q$400,"One Time",SF_Output!$L$1:$L$400,"license fee")+SUMIFS(SF_Output!$S$1:$S$400,SF_Output!$AC$1:$AC$400,_xlfn.TEXTJOIN(",",TRUE,B29:E29),SF_Output!$Q$1:$Q$400,"One Time",SF_Output!$L$1:$L$400,"software license")+SUMIFS(SF_Output!$S$1:$S$400,SF_Output!$AC$1:$AC$400,_xlfn.TEXTJOIN(",",TRUE,B29:E29),SF_Output!$Q$1:$Q$400,"One Time",SF_Output!$L$1:$L$400,"hardware"))</f>
        <v>0</v>
      </c>
      <c r="K29" s="112" t="str">
        <f>IF(OR(B29=0,B29="",G29="hardware",J29=0),"",IF(AF29&lt;&gt;"exclusion",MAX(K$9,-((SUMIFS(SF_Output!$T$1:$T$400,SF_Output!$AC$1:$AC$400,_xlfn.TEXTJOIN(",",TRUE,$B29:$E29),SF_Output!$Q$1:$Q$400,"One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license"))/J29)))</f>
        <v/>
      </c>
      <c r="L29" s="6">
        <f t="shared" si="1"/>
        <v>0</v>
      </c>
      <c r="N29" s="6">
        <f>IF(B29="","",SUMIFS(SF_Output!$S$1:$S$400,SF_Output!$AC$1:$AC$400,_xlfn.TEXTJOIN(",",TRUE,B29:E29),SF_Output!$Q$1:$Q$400,"One Time",SF_Output!$L$1:$L$400,"professional service"))</f>
        <v>3750</v>
      </c>
      <c r="O29" s="112">
        <f>IF(OR(B29=0,B29="",N29=0),"",IF(AF29&lt;&gt;"exclusion",MAX(O$9,-(SUMIFS(SF_Output!$T$1:$T$400,SF_Output!$AC$1:$AC$400,_xlfn.TEXTJOIN(",",TRUE,$B29:$E29),SF_Output!$Q$1:$Q$400,"One Time",SF_Output!$L$1:$L$400,"professional service"))/N29),-((SUMIFS(SF_Output!$T$1:$T$400,SF_Output!$AC$1:$AC$400,_xlfn.TEXTJOIN(",",TRUE,$B29:$E29),SF_Output!$Q$1:$Q$400,"One Time",SF_Output!$L$1:$L$400,"professional service")/N29))))</f>
        <v>1</v>
      </c>
      <c r="P29" s="6">
        <f t="shared" si="2"/>
        <v>0</v>
      </c>
      <c r="R29" s="6">
        <f>IF(B29="","",SUMIFS(SF_Output!$S$1:$S$400,SF_Output!$AC$1:$AC$400,_xlfn.TEXTJOIN(",",TRUE,B29:E29),SF_Output!$Q$1:$Q$400,"yearly")+SUMIFS(SF_Output!$S$1:$S$400,SF_Output!$AC$1:$AC$400,_xlfn.TEXTJOIN(",",TRUE,B29:E29),SF_Output!$Q$1:$Q$400,"quarterly")*4)</f>
        <v>0</v>
      </c>
      <c r="S29" s="112" t="str">
        <f>IF(OR(B29=0,B29="",G29="hardware",R29=0),"",IF(AF29&lt;&gt;"exclusion",MAX(S$9,-(SUMIFS(SF_Output!$T$1:$T$400,SF_Output!$AC$1:$AC$400,_xlfn.TEXTJOIN(",",TRUE,$B29:$E29),SF_Output!$Q$1:$Q$400,"yearly"))/R29),-((SUMIFS(SF_Output!$T$1:$T$400,SF_Output!$AC$1:$AC$400,_xlfn.TEXTJOIN(",",TRUE,$B29:$E29),SF_Output!$Q$1:$Q$400,"yearly")/R29))))</f>
        <v/>
      </c>
      <c r="T29" s="6">
        <f t="shared" si="3"/>
        <v>0</v>
      </c>
      <c r="V29" s="6" cm="1">
        <f t="array" ref="V29">_xlfn.IFS(B29="","",AND(B29&lt;&gt;"",H29=SF_Output!$Y$2,SUMIFS(SF_Output!$T$1:$T$400,SF_Output!$AC$1:$AC$400,_xlfn.TEXTJOIN(",",TRUE,B29:E29),SF_Output!$Q$1:$Q$400,"monthly")=0),(SUMIFS(SF_Output!$F$1:$F$400,SF_Output!$AC$1:$AC$400,_xlfn.TEXTJOIN(",",TRUE,B29:E29),SF_Output!$Q$1:$Q$400,"monthly")+SUMIFS(SF_Output!$G$1:$G$400,SF_Output!$AC$1:$AC$400,_xlfn.TEXTJOIN(",",TRUE,B29:E29),SF_Output!$Q$1:$Q$400,"monthly"))*H29,AND(B29&lt;&gt;"",H29=SF_Output!$Y$2,SUMIFS(SF_Output!$T$1:$T$400,SF_Output!$AC$1:$AC$400,_xlfn.TEXTJOIN(",",TRUE,B29:E29),SF_Output!$Q$1:$Q$400,"monthly")&lt;&gt;0),SUMIFS(SF_Output!$S$1:$S$400,SF_Output!$AC$1:$AC$400,_xlfn.TEXTJOIN(",",TRUE,B29:E29),SF_Output!$Q$1:$Q$400,"monthly"),AND(B29&lt;&gt;"",H29&lt;&gt;SF_Output!$Y$2),SUMIFS(SF_Output!$S$1:$S$400,SF_Output!$AC$1:$AC$400,_xlfn.TEXTJOIN(",",TRUE,B29:E29),SF_Output!$Q$1:$Q$400,"monthly"))</f>
        <v>0</v>
      </c>
      <c r="W29" s="112" t="str" cm="1">
        <f t="array" ref="W29">_xlfn.IFS(OR(B29=0,B29="",V29=0),"",AF29&lt;&gt;"exclusion",MAX($W$9,$W$7,(-(SUMIFS(SF_Output!$T$1:$T$400,SF_Output!$AC$1:$AC$400,_xlfn.TEXTJOIN(",",TRUE,$B29:$E29),SF_Output!$Q$1:$Q$400,"monthly"))/V29)),AF29="exclusion",-(SUMIFS(SF_Output!$T$1:$T$400,SF_Output!$AC$1:$AC$400,_xlfn.TEXTJOIN(",",TRUE,$B29:$E29),SF_Output!$Q$1:$Q$400,"monthly"))/V29)</f>
        <v/>
      </c>
      <c r="X29" s="6" cm="1">
        <f t="array" ref="X29">IFERROR(_xlfn.IFS(V29=0,0,V29="","",W29=0,V29,OR(V29&lt;&gt;0,V29&lt;&gt;""),H29*I29),V29*(1-W29))</f>
        <v>0</v>
      </c>
    </row>
    <row r="30" spans="2:24" x14ac:dyDescent="0.25">
      <c r="B30" t="s">
        <v>2201</v>
      </c>
      <c r="C30" t="s">
        <v>2122</v>
      </c>
      <c r="D30" t="s">
        <v>2164</v>
      </c>
      <c r="E30" t="s">
        <v>2124</v>
      </c>
      <c r="F30" s="116" t="str">
        <f t="shared" si="0"/>
        <v>Included</v>
      </c>
      <c r="G30" t="str">
        <f>IF(B30="","",INDEX(SF_Output!$K$1:$K$400,MATCH(B30,SF_Output!$M$1:$M$400,0)))</f>
        <v>Teller</v>
      </c>
      <c r="H30" cm="1">
        <f t="array" ref="H30">_xlfn.IFS(B30="","",(SUMIFS(SF_Output!$F$1:$F$400,SF_Output!$AC$1:$AC$400,_xlfn.TEXTJOIN(",",TRUE,B30:E30))+SUMIFS(SF_Output!$G$1:$G$400,SF_Output!$AC$1:$AC$400,_xlfn.TEXTJOIN(",",TRUE,B30:E30)))&lt;&gt;0,SF_Output!$Y$2,INDEX(SF_Output!$F$1:$F$400,MATCH(_xlfn.TEXTJOIN(",",TRUE,B30:E30),SF_Output!$AC$1:$AC$400,0))=0,INDEX(SF_Output!$R$1:$R$400,MATCH(_xlfn.TEXTJOIN(",",TRUE,B30:E30),SF_Output!$AC$1:$AC$400,0)))</f>
        <v>1</v>
      </c>
      <c r="I30" s="125" t="str">
        <f>IFERROR(IF(AND(H30&gt;1,H30&lt;&gt;""),ROUND(SUMIFS(SF_Output!$S$1:$S$400,SF_Output!$AC$1:$AC$400,_xlfn.TEXTJOIN(",",TRUE,B30:E30),SF_Output!$Q$1:$Q$400,"monthly")*(1-W30)/H30,4),""),"")</f>
        <v/>
      </c>
      <c r="J30" s="6">
        <f>IF(B30="","",SUMIFS(SF_Output!$S$1:$S$400,SF_Output!$AC$1:$AC$400,_xlfn.TEXTJOIN(",",TRUE,B30:E30),SF_Output!$Q$1:$Q$400,"One Time",SF_Output!$L$1:$L$400,"license fee")+SUMIFS(SF_Output!$S$1:$S$400,SF_Output!$AC$1:$AC$400,_xlfn.TEXTJOIN(",",TRUE,B30:E30),SF_Output!$Q$1:$Q$400,"One Time",SF_Output!$L$1:$L$400,"software license")+SUMIFS(SF_Output!$S$1:$S$400,SF_Output!$AC$1:$AC$400,_xlfn.TEXTJOIN(",",TRUE,B30:E30),SF_Output!$Q$1:$Q$400,"One Time",SF_Output!$L$1:$L$400,"hardware"))</f>
        <v>4909</v>
      </c>
      <c r="K30" s="112">
        <f>IF(OR(B30=0,B30="",G30="hardware",J30=0),"",IF(AF30&lt;&gt;"exclusion",MAX(K$9,-((SUMIFS(SF_Output!$T$1:$T$400,SF_Output!$AC$1:$AC$400,_xlfn.TEXTJOIN(",",TRUE,$B30:$E30),SF_Output!$Q$1:$Q$400,"One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license"))/J30)))</f>
        <v>0</v>
      </c>
      <c r="L30" s="6">
        <f t="shared" si="1"/>
        <v>4909</v>
      </c>
      <c r="N30" s="6">
        <f>IF(B30="","",SUMIFS(SF_Output!$S$1:$S$400,SF_Output!$AC$1:$AC$400,_xlfn.TEXTJOIN(",",TRUE,B30:E30),SF_Output!$Q$1:$Q$400,"One Time",SF_Output!$L$1:$L$400,"professional service"))</f>
        <v>0</v>
      </c>
      <c r="O30" s="112" t="str">
        <f>IF(OR(B30=0,B30="",N30=0),"",IF(AF30&lt;&gt;"exclusion",MAX(O$9,-(SUMIFS(SF_Output!$T$1:$T$400,SF_Output!$AC$1:$AC$400,_xlfn.TEXTJOIN(",",TRUE,$B30:$E30),SF_Output!$Q$1:$Q$400,"One Time",SF_Output!$L$1:$L$400,"professional service"))/N30),-((SUMIFS(SF_Output!$T$1:$T$400,SF_Output!$AC$1:$AC$400,_xlfn.TEXTJOIN(",",TRUE,$B30:$E30),SF_Output!$Q$1:$Q$400,"One Time",SF_Output!$L$1:$L$400,"professional service")/N30))))</f>
        <v/>
      </c>
      <c r="P30" s="6">
        <f t="shared" si="2"/>
        <v>0</v>
      </c>
      <c r="R30" s="6">
        <f>IF(B30="","",SUMIFS(SF_Output!$S$1:$S$400,SF_Output!$AC$1:$AC$400,_xlfn.TEXTJOIN(",",TRUE,B30:E30),SF_Output!$Q$1:$Q$400,"yearly")+SUMIFS(SF_Output!$S$1:$S$400,SF_Output!$AC$1:$AC$400,_xlfn.TEXTJOIN(",",TRUE,B30:E30),SF_Output!$Q$1:$Q$400,"quarterly")*4)</f>
        <v>982</v>
      </c>
      <c r="S30" s="112">
        <f>IF(OR(B30=0,B30="",G30="hardware",R30=0),"",IF(AF30&lt;&gt;"exclusion",MAX(S$9,-(SUMIFS(SF_Output!$T$1:$T$400,SF_Output!$AC$1:$AC$400,_xlfn.TEXTJOIN(",",TRUE,$B30:$E30),SF_Output!$Q$1:$Q$400,"yearly"))/R30),-((SUMIFS(SF_Output!$T$1:$T$400,SF_Output!$AC$1:$AC$400,_xlfn.TEXTJOIN(",",TRUE,$B30:$E30),SF_Output!$Q$1:$Q$400,"yearly")/R30))))</f>
        <v>0</v>
      </c>
      <c r="T30" s="6">
        <f t="shared" si="3"/>
        <v>982</v>
      </c>
      <c r="V30" s="6" cm="1">
        <f t="array" ref="V30">_xlfn.IFS(B30="","",AND(B30&lt;&gt;"",H30=SF_Output!$Y$2,SUMIFS(SF_Output!$T$1:$T$400,SF_Output!$AC$1:$AC$400,_xlfn.TEXTJOIN(",",TRUE,B30:E30),SF_Output!$Q$1:$Q$400,"monthly")=0),(SUMIFS(SF_Output!$F$1:$F$400,SF_Output!$AC$1:$AC$400,_xlfn.TEXTJOIN(",",TRUE,B30:E30),SF_Output!$Q$1:$Q$400,"monthly")+SUMIFS(SF_Output!$G$1:$G$400,SF_Output!$AC$1:$AC$400,_xlfn.TEXTJOIN(",",TRUE,B30:E30),SF_Output!$Q$1:$Q$400,"monthly"))*H30,AND(B30&lt;&gt;"",H30=SF_Output!$Y$2,SUMIFS(SF_Output!$T$1:$T$400,SF_Output!$AC$1:$AC$400,_xlfn.TEXTJOIN(",",TRUE,B30:E30),SF_Output!$Q$1:$Q$400,"monthly")&lt;&gt;0),SUMIFS(SF_Output!$S$1:$S$400,SF_Output!$AC$1:$AC$400,_xlfn.TEXTJOIN(",",TRUE,B30:E30),SF_Output!$Q$1:$Q$400,"monthly"),AND(B30&lt;&gt;"",H30&lt;&gt;SF_Output!$Y$2),SUMIFS(SF_Output!$S$1:$S$400,SF_Output!$AC$1:$AC$400,_xlfn.TEXTJOIN(",",TRUE,B30:E30),SF_Output!$Q$1:$Q$400,"monthly"))</f>
        <v>0</v>
      </c>
      <c r="W30" s="112" t="str" cm="1">
        <f t="array" ref="W30">_xlfn.IFS(OR(B30=0,B30="",V30=0),"",AF30&lt;&gt;"exclusion",MAX($W$9,$W$7,(-(SUMIFS(SF_Output!$T$1:$T$400,SF_Output!$AC$1:$AC$400,_xlfn.TEXTJOIN(",",TRUE,$B30:$E30),SF_Output!$Q$1:$Q$400,"monthly"))/V30)),AF30="exclusion",-(SUMIFS(SF_Output!$T$1:$T$400,SF_Output!$AC$1:$AC$400,_xlfn.TEXTJOIN(",",TRUE,$B30:$E30),SF_Output!$Q$1:$Q$400,"monthly"))/V30)</f>
        <v/>
      </c>
      <c r="X30" s="6" cm="1">
        <f t="array" ref="X30">IFERROR(_xlfn.IFS(V30=0,0,V30="","",W30=0,V30,OR(V30&lt;&gt;0,V30&lt;&gt;""),H30*I30),V30*(1-W30))</f>
        <v>0</v>
      </c>
    </row>
    <row r="31" spans="2:24" x14ac:dyDescent="0.25">
      <c r="B31" t="s">
        <v>2204</v>
      </c>
      <c r="C31" t="s">
        <v>2122</v>
      </c>
      <c r="D31" t="s">
        <v>2164</v>
      </c>
      <c r="E31" t="s">
        <v>2124</v>
      </c>
      <c r="F31" s="116" t="str">
        <f t="shared" si="0"/>
        <v>Included</v>
      </c>
      <c r="G31" t="str">
        <f>IF(B31="","",INDEX(SF_Output!$K$1:$K$400,MATCH(B31,SF_Output!$M$1:$M$400,0)))</f>
        <v>Teller</v>
      </c>
      <c r="H31" cm="1">
        <f t="array" ref="H31">_xlfn.IFS(B31="","",(SUMIFS(SF_Output!$F$1:$F$400,SF_Output!$AC$1:$AC$400,_xlfn.TEXTJOIN(",",TRUE,B31:E31))+SUMIFS(SF_Output!$G$1:$G$400,SF_Output!$AC$1:$AC$400,_xlfn.TEXTJOIN(",",TRUE,B31:E31)))&lt;&gt;0,SF_Output!$Y$2,INDEX(SF_Output!$F$1:$F$400,MATCH(_xlfn.TEXTJOIN(",",TRUE,B31:E31),SF_Output!$AC$1:$AC$400,0))=0,INDEX(SF_Output!$R$1:$R$400,MATCH(_xlfn.TEXTJOIN(",",TRUE,B31:E31),SF_Output!$AC$1:$AC$400,0)))</f>
        <v>1</v>
      </c>
      <c r="I31" s="125" t="str">
        <f>IFERROR(IF(AND(H31&gt;1,H31&lt;&gt;""),ROUND(SUMIFS(SF_Output!$S$1:$S$400,SF_Output!$AC$1:$AC$400,_xlfn.TEXTJOIN(",",TRUE,B31:E31),SF_Output!$Q$1:$Q$400,"monthly")*(1-W31)/H31,4),""),"")</f>
        <v/>
      </c>
      <c r="J31" s="6">
        <f>IF(B31="","",SUMIFS(SF_Output!$S$1:$S$400,SF_Output!$AC$1:$AC$400,_xlfn.TEXTJOIN(",",TRUE,B31:E31),SF_Output!$Q$1:$Q$400,"One Time",SF_Output!$L$1:$L$400,"license fee")+SUMIFS(SF_Output!$S$1:$S$400,SF_Output!$AC$1:$AC$400,_xlfn.TEXTJOIN(",",TRUE,B31:E31),SF_Output!$Q$1:$Q$400,"One Time",SF_Output!$L$1:$L$400,"software license")+SUMIFS(SF_Output!$S$1:$S$400,SF_Output!$AC$1:$AC$400,_xlfn.TEXTJOIN(",",TRUE,B31:E31),SF_Output!$Q$1:$Q$400,"One Time",SF_Output!$L$1:$L$400,"hardware"))</f>
        <v>1636</v>
      </c>
      <c r="K31" s="112">
        <f>IF(OR(B31=0,B31="",G31="hardware",J31=0),"",IF(AF31&lt;&gt;"exclusion",MAX(K$9,-((SUMIFS(SF_Output!$T$1:$T$400,SF_Output!$AC$1:$AC$400,_xlfn.TEXTJOIN(",",TRUE,$B31:$E31),SF_Output!$Q$1:$Q$400,"One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license"))/J31)))</f>
        <v>0</v>
      </c>
      <c r="L31" s="6">
        <f t="shared" si="1"/>
        <v>1636</v>
      </c>
      <c r="N31" s="6">
        <f>IF(B31="","",SUMIFS(SF_Output!$S$1:$S$400,SF_Output!$AC$1:$AC$400,_xlfn.TEXTJOIN(",",TRUE,B31:E31),SF_Output!$Q$1:$Q$400,"One Time",SF_Output!$L$1:$L$400,"professional service"))</f>
        <v>0</v>
      </c>
      <c r="O31" s="112" t="str">
        <f>IF(OR(B31=0,B31="",N31=0),"",IF(AF31&lt;&gt;"exclusion",MAX(O$9,-(SUMIFS(SF_Output!$T$1:$T$400,SF_Output!$AC$1:$AC$400,_xlfn.TEXTJOIN(",",TRUE,$B31:$E31),SF_Output!$Q$1:$Q$400,"One Time",SF_Output!$L$1:$L$400,"professional service"))/N31),-((SUMIFS(SF_Output!$T$1:$T$400,SF_Output!$AC$1:$AC$400,_xlfn.TEXTJOIN(",",TRUE,$B31:$E31),SF_Output!$Q$1:$Q$400,"One Time",SF_Output!$L$1:$L$400,"professional service")/N31))))</f>
        <v/>
      </c>
      <c r="P31" s="6">
        <f t="shared" si="2"/>
        <v>0</v>
      </c>
      <c r="R31" s="6">
        <f>IF(B31="","",SUMIFS(SF_Output!$S$1:$S$400,SF_Output!$AC$1:$AC$400,_xlfn.TEXTJOIN(",",TRUE,B31:E31),SF_Output!$Q$1:$Q$400,"yearly")+SUMIFS(SF_Output!$S$1:$S$400,SF_Output!$AC$1:$AC$400,_xlfn.TEXTJOIN(",",TRUE,B31:E31),SF_Output!$Q$1:$Q$400,"quarterly")*4)</f>
        <v>327</v>
      </c>
      <c r="S31" s="112">
        <f>IF(OR(B31=0,B31="",G31="hardware",R31=0),"",IF(AF31&lt;&gt;"exclusion",MAX(S$9,-(SUMIFS(SF_Output!$T$1:$T$400,SF_Output!$AC$1:$AC$400,_xlfn.TEXTJOIN(",",TRUE,$B31:$E31),SF_Output!$Q$1:$Q$400,"yearly"))/R31),-((SUMIFS(SF_Output!$T$1:$T$400,SF_Output!$AC$1:$AC$400,_xlfn.TEXTJOIN(",",TRUE,$B31:$E31),SF_Output!$Q$1:$Q$400,"yearly")/R31))))</f>
        <v>0</v>
      </c>
      <c r="T31" s="6">
        <f t="shared" si="3"/>
        <v>327</v>
      </c>
      <c r="V31" s="6" cm="1">
        <f t="array" ref="V31">_xlfn.IFS(B31="","",AND(B31&lt;&gt;"",H31=SF_Output!$Y$2,SUMIFS(SF_Output!$T$1:$T$400,SF_Output!$AC$1:$AC$400,_xlfn.TEXTJOIN(",",TRUE,B31:E31),SF_Output!$Q$1:$Q$400,"monthly")=0),(SUMIFS(SF_Output!$F$1:$F$400,SF_Output!$AC$1:$AC$400,_xlfn.TEXTJOIN(",",TRUE,B31:E31),SF_Output!$Q$1:$Q$400,"monthly")+SUMIFS(SF_Output!$G$1:$G$400,SF_Output!$AC$1:$AC$400,_xlfn.TEXTJOIN(",",TRUE,B31:E31),SF_Output!$Q$1:$Q$400,"monthly"))*H31,AND(B31&lt;&gt;"",H31=SF_Output!$Y$2,SUMIFS(SF_Output!$T$1:$T$400,SF_Output!$AC$1:$AC$400,_xlfn.TEXTJOIN(",",TRUE,B31:E31),SF_Output!$Q$1:$Q$400,"monthly")&lt;&gt;0),SUMIFS(SF_Output!$S$1:$S$400,SF_Output!$AC$1:$AC$400,_xlfn.TEXTJOIN(",",TRUE,B31:E31),SF_Output!$Q$1:$Q$400,"monthly"),AND(B31&lt;&gt;"",H31&lt;&gt;SF_Output!$Y$2),SUMIFS(SF_Output!$S$1:$S$400,SF_Output!$AC$1:$AC$400,_xlfn.TEXTJOIN(",",TRUE,B31:E31),SF_Output!$Q$1:$Q$400,"monthly"))</f>
        <v>0</v>
      </c>
      <c r="W31" s="112" t="str" cm="1">
        <f t="array" ref="W31">_xlfn.IFS(OR(B31=0,B31="",V31=0),"",AF31&lt;&gt;"exclusion",MAX($W$9,$W$7,(-(SUMIFS(SF_Output!$T$1:$T$400,SF_Output!$AC$1:$AC$400,_xlfn.TEXTJOIN(",",TRUE,$B31:$E31),SF_Output!$Q$1:$Q$400,"monthly"))/V31)),AF31="exclusion",-(SUMIFS(SF_Output!$T$1:$T$400,SF_Output!$AC$1:$AC$400,_xlfn.TEXTJOIN(",",TRUE,$B31:$E31),SF_Output!$Q$1:$Q$400,"monthly"))/V31)</f>
        <v/>
      </c>
      <c r="X31" s="6" cm="1">
        <f t="array" ref="X31">IFERROR(_xlfn.IFS(V31=0,0,V31="","",W31=0,V31,OR(V31&lt;&gt;0,V31&lt;&gt;""),H31*I31),V31*(1-W31))</f>
        <v>0</v>
      </c>
    </row>
    <row r="32" spans="2:24" x14ac:dyDescent="0.25">
      <c r="B32" t="s">
        <v>1687</v>
      </c>
      <c r="C32" t="s">
        <v>2122</v>
      </c>
      <c r="D32" t="s">
        <v>2123</v>
      </c>
      <c r="E32" t="s">
        <v>2150</v>
      </c>
      <c r="F32" s="116" t="str">
        <f t="shared" si="0"/>
        <v>Optional</v>
      </c>
      <c r="G32" t="str">
        <f>IF(B32="","",INDEX(SF_Output!$K$1:$K$400,MATCH(B32,SF_Output!$M$1:$M$400,0)))</f>
        <v>AlertCenter</v>
      </c>
      <c r="H32" cm="1">
        <f t="array" ref="H32">_xlfn.IFS(B32="","",(SUMIFS(SF_Output!$F$1:$F$400,SF_Output!$AC$1:$AC$400,_xlfn.TEXTJOIN(",",TRUE,B32:E32))+SUMIFS(SF_Output!$G$1:$G$400,SF_Output!$AC$1:$AC$400,_xlfn.TEXTJOIN(",",TRUE,B32:E32)))&lt;&gt;0,SF_Output!$Y$2,INDEX(SF_Output!$F$1:$F$400,MATCH(_xlfn.TEXTJOIN(",",TRUE,B32:E32),SF_Output!$AC$1:$AC$400,0))=0,INDEX(SF_Output!$R$1:$R$400,MATCH(_xlfn.TEXTJOIN(",",TRUE,B32:E32),SF_Output!$AC$1:$AC$400,0)))</f>
        <v>1</v>
      </c>
      <c r="I32" s="125" t="str">
        <f>IFERROR(IF(AND(H32&gt;1,H32&lt;&gt;""),ROUND(SUMIFS(SF_Output!$S$1:$S$400,SF_Output!$AC$1:$AC$400,_xlfn.TEXTJOIN(",",TRUE,B32:E32),SF_Output!$Q$1:$Q$400,"monthly")*(1-W32)/H32,4),""),"")</f>
        <v/>
      </c>
      <c r="J32" s="6">
        <f>IF(B32="","",SUMIFS(SF_Output!$S$1:$S$400,SF_Output!$AC$1:$AC$400,_xlfn.TEXTJOIN(",",TRUE,B32:E32),SF_Output!$Q$1:$Q$400,"One Time",SF_Output!$L$1:$L$400,"license fee")+SUMIFS(SF_Output!$S$1:$S$400,SF_Output!$AC$1:$AC$400,_xlfn.TEXTJOIN(",",TRUE,B32:E32),SF_Output!$Q$1:$Q$400,"One Time",SF_Output!$L$1:$L$400,"software license")+SUMIFS(SF_Output!$S$1:$S$400,SF_Output!$AC$1:$AC$400,_xlfn.TEXTJOIN(",",TRUE,B32:E32),SF_Output!$Q$1:$Q$400,"One Time",SF_Output!$L$1:$L$400,"hardware"))</f>
        <v>0</v>
      </c>
      <c r="K32" s="112" t="str">
        <f>IF(OR(B32=0,B32="",G32="hardware",J32=0),"",IF(AF32&lt;&gt;"exclusion",MAX(K$9,-((SUMIFS(SF_Output!$T$1:$T$400,SF_Output!$AC$1:$AC$400,_xlfn.TEXTJOIN(",",TRUE,$B32:$E32),SF_Output!$Q$1:$Q$400,"One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license"))/J32)))</f>
        <v/>
      </c>
      <c r="L32" s="6">
        <f t="shared" si="1"/>
        <v>0</v>
      </c>
      <c r="N32" s="6">
        <f>IF(B32="","",SUMIFS(SF_Output!$S$1:$S$400,SF_Output!$AC$1:$AC$400,_xlfn.TEXTJOIN(",",TRUE,B32:E32),SF_Output!$Q$1:$Q$400,"One Time",SF_Output!$L$1:$L$400,"professional service"))</f>
        <v>3750</v>
      </c>
      <c r="O32" s="112">
        <f>IF(OR(B32=0,B32="",N32=0),"",IF(AF32&lt;&gt;"exclusion",MAX(O$9,-(SUMIFS(SF_Output!$T$1:$T$400,SF_Output!$AC$1:$AC$400,_xlfn.TEXTJOIN(",",TRUE,$B32:$E32),SF_Output!$Q$1:$Q$400,"One Time",SF_Output!$L$1:$L$400,"professional service"))/N32),-((SUMIFS(SF_Output!$T$1:$T$400,SF_Output!$AC$1:$AC$400,_xlfn.TEXTJOIN(",",TRUE,$B32:$E32),SF_Output!$Q$1:$Q$400,"One Time",SF_Output!$L$1:$L$400,"professional service")/N32))))</f>
        <v>1</v>
      </c>
      <c r="P32" s="6">
        <f t="shared" si="2"/>
        <v>0</v>
      </c>
      <c r="R32" s="6">
        <f>IF(B32="","",SUMIFS(SF_Output!$S$1:$S$400,SF_Output!$AC$1:$AC$400,_xlfn.TEXTJOIN(",",TRUE,B32:E32),SF_Output!$Q$1:$Q$400,"yearly")+SUMIFS(SF_Output!$S$1:$S$400,SF_Output!$AC$1:$AC$400,_xlfn.TEXTJOIN(",",TRUE,B32:E32),SF_Output!$Q$1:$Q$400,"quarterly")*4)</f>
        <v>0</v>
      </c>
      <c r="S32" s="112" t="str">
        <f>IF(OR(B32=0,B32="",G32="hardware",R32=0),"",IF(AF32&lt;&gt;"exclusion",MAX(S$9,-(SUMIFS(SF_Output!$T$1:$T$400,SF_Output!$AC$1:$AC$400,_xlfn.TEXTJOIN(",",TRUE,$B32:$E32),SF_Output!$Q$1:$Q$400,"yearly"))/R32),-((SUMIFS(SF_Output!$T$1:$T$400,SF_Output!$AC$1:$AC$400,_xlfn.TEXTJOIN(",",TRUE,$B32:$E32),SF_Output!$Q$1:$Q$400,"yearly")/R32))))</f>
        <v/>
      </c>
      <c r="T32" s="6">
        <f t="shared" si="3"/>
        <v>0</v>
      </c>
      <c r="V32" s="6" cm="1">
        <f t="array" ref="V32">_xlfn.IFS(B32="","",AND(B32&lt;&gt;"",H32=SF_Output!$Y$2,SUMIFS(SF_Output!$T$1:$T$400,SF_Output!$AC$1:$AC$400,_xlfn.TEXTJOIN(",",TRUE,B32:E32),SF_Output!$Q$1:$Q$400,"monthly")=0),(SUMIFS(SF_Output!$F$1:$F$400,SF_Output!$AC$1:$AC$400,_xlfn.TEXTJOIN(",",TRUE,B32:E32),SF_Output!$Q$1:$Q$400,"monthly")+SUMIFS(SF_Output!$G$1:$G$400,SF_Output!$AC$1:$AC$400,_xlfn.TEXTJOIN(",",TRUE,B32:E32),SF_Output!$Q$1:$Q$400,"monthly"))*H32,AND(B32&lt;&gt;"",H32=SF_Output!$Y$2,SUMIFS(SF_Output!$T$1:$T$400,SF_Output!$AC$1:$AC$400,_xlfn.TEXTJOIN(",",TRUE,B32:E32),SF_Output!$Q$1:$Q$400,"monthly")&lt;&gt;0),SUMIFS(SF_Output!$S$1:$S$400,SF_Output!$AC$1:$AC$400,_xlfn.TEXTJOIN(",",TRUE,B32:E32),SF_Output!$Q$1:$Q$400,"monthly"),AND(B32&lt;&gt;"",H32&lt;&gt;SF_Output!$Y$2),SUMIFS(SF_Output!$S$1:$S$400,SF_Output!$AC$1:$AC$400,_xlfn.TEXTJOIN(",",TRUE,B32:E32),SF_Output!$Q$1:$Q$400,"monthly"))</f>
        <v>0</v>
      </c>
      <c r="W32" s="112" t="str" cm="1">
        <f t="array" ref="W32">_xlfn.IFS(OR(B32=0,B32="",V32=0),"",AF32&lt;&gt;"exclusion",MAX($W$9,$W$7,(-(SUMIFS(SF_Output!$T$1:$T$400,SF_Output!$AC$1:$AC$400,_xlfn.TEXTJOIN(",",TRUE,$B32:$E32),SF_Output!$Q$1:$Q$400,"monthly"))/V32)),AF32="exclusion",-(SUMIFS(SF_Output!$T$1:$T$400,SF_Output!$AC$1:$AC$400,_xlfn.TEXTJOIN(",",TRUE,$B32:$E32),SF_Output!$Q$1:$Q$400,"monthly"))/V32)</f>
        <v/>
      </c>
      <c r="X32" s="6" cm="1">
        <f t="array" ref="X32">IFERROR(_xlfn.IFS(V32=0,0,V32="","",W32=0,V32,OR(V32&lt;&gt;0,V32&lt;&gt;""),H32*I32),V32*(1-W32))</f>
        <v>0</v>
      </c>
    </row>
    <row r="33" spans="2:24" x14ac:dyDescent="0.25">
      <c r="B33" t="s">
        <v>2284</v>
      </c>
      <c r="C33" t="s">
        <v>2122</v>
      </c>
      <c r="D33" t="s">
        <v>2123</v>
      </c>
      <c r="E33" t="s">
        <v>2124</v>
      </c>
      <c r="F33" s="116" t="str">
        <f t="shared" si="0"/>
        <v>Included</v>
      </c>
      <c r="G33" t="str">
        <f>IF(B33="","",INDEX(SF_Output!$K$1:$K$400,MATCH(B33,SF_Output!$M$1:$M$400,0)))</f>
        <v>Synapsys</v>
      </c>
      <c r="H33" cm="1">
        <f t="array" ref="H33">_xlfn.IFS(B33="","",(SUMIFS(SF_Output!$F$1:$F$400,SF_Output!$AC$1:$AC$400,_xlfn.TEXTJOIN(",",TRUE,B33:E33))+SUMIFS(SF_Output!$G$1:$G$400,SF_Output!$AC$1:$AC$400,_xlfn.TEXTJOIN(",",TRUE,B33:E33)))&lt;&gt;0,SF_Output!$Y$2,INDEX(SF_Output!$F$1:$F$400,MATCH(_xlfn.TEXTJOIN(",",TRUE,B33:E33),SF_Output!$AC$1:$AC$400,0))=0,INDEX(SF_Output!$R$1:$R$400,MATCH(_xlfn.TEXTJOIN(",",TRUE,B33:E33),SF_Output!$AC$1:$AC$400,0)))</f>
        <v>5000</v>
      </c>
      <c r="I33" s="125">
        <f>IFERROR(IF(AND(H33&gt;1,H33&lt;&gt;""),ROUND(SUMIFS(SF_Output!$S$1:$S$400,SF_Output!$AC$1:$AC$400,_xlfn.TEXTJOIN(",",TRUE,B33:E33),SF_Output!$Q$1:$Q$400,"monthly")*(1-W33)/H33,4),""),"")</f>
        <v>0.1643</v>
      </c>
      <c r="J33" s="6">
        <f>IF(B33="","",SUMIFS(SF_Output!$S$1:$S$400,SF_Output!$AC$1:$AC$400,_xlfn.TEXTJOIN(",",TRUE,B33:E33),SF_Output!$Q$1:$Q$400,"One Time",SF_Output!$L$1:$L$400,"license fee")+SUMIFS(SF_Output!$S$1:$S$400,SF_Output!$AC$1:$AC$400,_xlfn.TEXTJOIN(",",TRUE,B33:E33),SF_Output!$Q$1:$Q$400,"One Time",SF_Output!$L$1:$L$400,"software license")+SUMIFS(SF_Output!$S$1:$S$400,SF_Output!$AC$1:$AC$400,_xlfn.TEXTJOIN(",",TRUE,B33:E33),SF_Output!$Q$1:$Q$400,"One Time",SF_Output!$L$1:$L$400,"hardware"))</f>
        <v>0</v>
      </c>
      <c r="K33" s="112" t="str">
        <f>IF(OR(B33=0,B33="",G33="hardware",J33=0),"",IF(AF33&lt;&gt;"exclusion",MAX(K$9,-((SUMIFS(SF_Output!$T$1:$T$400,SF_Output!$AC$1:$AC$400,_xlfn.TEXTJOIN(",",TRUE,$B33:$E33),SF_Output!$Q$1:$Q$400,"One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license"))/J33)))</f>
        <v/>
      </c>
      <c r="L33" s="6">
        <f t="shared" si="1"/>
        <v>0</v>
      </c>
      <c r="N33" s="6">
        <f>IF(B33="","",SUMIFS(SF_Output!$S$1:$S$400,SF_Output!$AC$1:$AC$400,_xlfn.TEXTJOIN(",",TRUE,B33:E33),SF_Output!$Q$1:$Q$400,"One Time",SF_Output!$L$1:$L$400,"professional service"))</f>
        <v>8500</v>
      </c>
      <c r="O33" s="112">
        <f>IF(OR(B33=0,B33="",N33=0),"",IF(AF33&lt;&gt;"exclusion",MAX(O$9,-(SUMIFS(SF_Output!$T$1:$T$400,SF_Output!$AC$1:$AC$400,_xlfn.TEXTJOIN(",",TRUE,$B33:$E33),SF_Output!$Q$1:$Q$400,"One Time",SF_Output!$L$1:$L$400,"professional service"))/N33),-((SUMIFS(SF_Output!$T$1:$T$400,SF_Output!$AC$1:$AC$400,_xlfn.TEXTJOIN(",",TRUE,$B33:$E33),SF_Output!$Q$1:$Q$400,"One Time",SF_Output!$L$1:$L$400,"professional service")/N33))))</f>
        <v>1</v>
      </c>
      <c r="P33" s="6">
        <f t="shared" si="2"/>
        <v>0</v>
      </c>
      <c r="R33" s="6">
        <f>IF(B33="","",SUMIFS(SF_Output!$S$1:$S$400,SF_Output!$AC$1:$AC$400,_xlfn.TEXTJOIN(",",TRUE,B33:E33),SF_Output!$Q$1:$Q$400,"yearly")+SUMIFS(SF_Output!$S$1:$S$400,SF_Output!$AC$1:$AC$400,_xlfn.TEXTJOIN(",",TRUE,B33:E33),SF_Output!$Q$1:$Q$400,"quarterly")*4)</f>
        <v>0</v>
      </c>
      <c r="S33" s="112" t="str">
        <f>IF(OR(B33=0,B33="",G33="hardware",R33=0),"",IF(AF33&lt;&gt;"exclusion",MAX(S$9,-(SUMIFS(SF_Output!$T$1:$T$400,SF_Output!$AC$1:$AC$400,_xlfn.TEXTJOIN(",",TRUE,$B33:$E33),SF_Output!$Q$1:$Q$400,"yearly"))/R33),-((SUMIFS(SF_Output!$T$1:$T$400,SF_Output!$AC$1:$AC$400,_xlfn.TEXTJOIN(",",TRUE,$B33:$E33),SF_Output!$Q$1:$Q$400,"yearly")/R33))))</f>
        <v/>
      </c>
      <c r="T33" s="6">
        <f t="shared" si="3"/>
        <v>0</v>
      </c>
      <c r="V33" s="6" cm="1">
        <f t="array" ref="V33">_xlfn.IFS(B33="","",AND(B33&lt;&gt;"",H33=SF_Output!$Y$2,SUMIFS(SF_Output!$T$1:$T$400,SF_Output!$AC$1:$AC$400,_xlfn.TEXTJOIN(",",TRUE,B33:E33),SF_Output!$Q$1:$Q$400,"monthly")=0),(SUMIFS(SF_Output!$F$1:$F$400,SF_Output!$AC$1:$AC$400,_xlfn.TEXTJOIN(",",TRUE,B33:E33),SF_Output!$Q$1:$Q$400,"monthly")+SUMIFS(SF_Output!$G$1:$G$400,SF_Output!$AC$1:$AC$400,_xlfn.TEXTJOIN(",",TRUE,B33:E33),SF_Output!$Q$1:$Q$400,"monthly"))*H33,AND(B33&lt;&gt;"",H33=SF_Output!$Y$2,SUMIFS(SF_Output!$T$1:$T$400,SF_Output!$AC$1:$AC$400,_xlfn.TEXTJOIN(",",TRUE,B33:E33),SF_Output!$Q$1:$Q$400,"monthly")&lt;&gt;0),SUMIFS(SF_Output!$S$1:$S$400,SF_Output!$AC$1:$AC$400,_xlfn.TEXTJOIN(",",TRUE,B33:E33),SF_Output!$Q$1:$Q$400,"monthly"),AND(B33&lt;&gt;"",H33&lt;&gt;SF_Output!$Y$2),SUMIFS(SF_Output!$S$1:$S$400,SF_Output!$AC$1:$AC$400,_xlfn.TEXTJOIN(",",TRUE,B33:E33),SF_Output!$Q$1:$Q$400,"monthly"))</f>
        <v>1095</v>
      </c>
      <c r="W33" s="112" cm="1">
        <f t="array" ref="W33">_xlfn.IFS(OR(B33=0,B33="",V33=0),"",AF33&lt;&gt;"exclusion",MAX($W$9,$W$7,(-(SUMIFS(SF_Output!$T$1:$T$400,SF_Output!$AC$1:$AC$400,_xlfn.TEXTJOIN(",",TRUE,$B33:$E33),SF_Output!$Q$1:$Q$400,"monthly"))/V33)),AF33="exclusion",-(SUMIFS(SF_Output!$T$1:$T$400,SF_Output!$AC$1:$AC$400,_xlfn.TEXTJOIN(",",TRUE,$B33:$E33),SF_Output!$Q$1:$Q$400,"monthly"))/V33)</f>
        <v>0.25</v>
      </c>
      <c r="X33" s="6" cm="1">
        <f t="array" ref="X33">IFERROR(_xlfn.IFS(V33=0,0,V33="","",W33=0,V33,OR(V33&lt;&gt;0,V33&lt;&gt;""),H33*I33),V33*(1-W33))</f>
        <v>821.5</v>
      </c>
    </row>
    <row r="34" spans="2:24" x14ac:dyDescent="0.25">
      <c r="B34" t="s">
        <v>1531</v>
      </c>
      <c r="C34" t="s">
        <v>2122</v>
      </c>
      <c r="D34" t="s">
        <v>2123</v>
      </c>
      <c r="E34" t="s">
        <v>2124</v>
      </c>
      <c r="F34" s="116" t="str">
        <f t="shared" si="0"/>
        <v>Included</v>
      </c>
      <c r="G34" t="str">
        <f>IF(B34="","",INDEX(SF_Output!$K$1:$K$400,MATCH(B34,SF_Output!$M$1:$M$400,0)))</f>
        <v>Synapsys</v>
      </c>
      <c r="H34" cm="1">
        <f t="array" ref="H34">_xlfn.IFS(B34="","",(SUMIFS(SF_Output!$F$1:$F$400,SF_Output!$AC$1:$AC$400,_xlfn.TEXTJOIN(",",TRUE,B34:E34))+SUMIFS(SF_Output!$G$1:$G$400,SF_Output!$AC$1:$AC$400,_xlfn.TEXTJOIN(",",TRUE,B34:E34)))&lt;&gt;0,SF_Output!$Y$2,INDEX(SF_Output!$F$1:$F$400,MATCH(_xlfn.TEXTJOIN(",",TRUE,B34:E34),SF_Output!$AC$1:$AC$400,0))=0,INDEX(SF_Output!$R$1:$R$400,MATCH(_xlfn.TEXTJOIN(",",TRUE,B34:E34),SF_Output!$AC$1:$AC$400,0)))</f>
        <v>1</v>
      </c>
      <c r="I34" s="125" t="str">
        <f>IFERROR(IF(AND(H34&gt;1,H34&lt;&gt;""),ROUND(SUMIFS(SF_Output!$S$1:$S$400,SF_Output!$AC$1:$AC$400,_xlfn.TEXTJOIN(",",TRUE,B34:E34),SF_Output!$Q$1:$Q$400,"monthly")*(1-W34)/H34,4),""),"")</f>
        <v/>
      </c>
      <c r="J34" s="6">
        <f>IF(B34="","",SUMIFS(SF_Output!$S$1:$S$400,SF_Output!$AC$1:$AC$400,_xlfn.TEXTJOIN(",",TRUE,B34:E34),SF_Output!$Q$1:$Q$400,"One Time",SF_Output!$L$1:$L$400,"license fee")+SUMIFS(SF_Output!$S$1:$S$400,SF_Output!$AC$1:$AC$400,_xlfn.TEXTJOIN(",",TRUE,B34:E34),SF_Output!$Q$1:$Q$400,"One Time",SF_Output!$L$1:$L$400,"software license")+SUMIFS(SF_Output!$S$1:$S$400,SF_Output!$AC$1:$AC$400,_xlfn.TEXTJOIN(",",TRUE,B34:E34),SF_Output!$Q$1:$Q$400,"One Time",SF_Output!$L$1:$L$400,"hardware"))</f>
        <v>0</v>
      </c>
      <c r="K34" s="112" t="str">
        <f>IF(OR(B34=0,B34="",G34="hardware",J34=0),"",IF(AF34&lt;&gt;"exclusion",MAX(K$9,-((SUMIFS(SF_Output!$T$1:$T$400,SF_Output!$AC$1:$AC$400,_xlfn.TEXTJOIN(",",TRUE,$B34:$E34),SF_Output!$Q$1:$Q$400,"One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license"))/J34)))</f>
        <v/>
      </c>
      <c r="L34" s="6">
        <f t="shared" si="1"/>
        <v>0</v>
      </c>
      <c r="N34" s="6">
        <f>IF(B34="","",SUMIFS(SF_Output!$S$1:$S$400,SF_Output!$AC$1:$AC$400,_xlfn.TEXTJOIN(",",TRUE,B34:E34),SF_Output!$Q$1:$Q$400,"One Time",SF_Output!$L$1:$L$400,"professional service"))</f>
        <v>0</v>
      </c>
      <c r="O34" s="112" t="str">
        <f>IF(OR(B34=0,B34="",N34=0),"",IF(AF34&lt;&gt;"exclusion",MAX(O$9,-(SUMIFS(SF_Output!$T$1:$T$400,SF_Output!$AC$1:$AC$400,_xlfn.TEXTJOIN(",",TRUE,$B34:$E34),SF_Output!$Q$1:$Q$400,"One Time",SF_Output!$L$1:$L$400,"professional service"))/N34),-((SUMIFS(SF_Output!$T$1:$T$400,SF_Output!$AC$1:$AC$400,_xlfn.TEXTJOIN(",",TRUE,$B34:$E34),SF_Output!$Q$1:$Q$400,"One Time",SF_Output!$L$1:$L$400,"professional service")/N34))))</f>
        <v/>
      </c>
      <c r="P34" s="6">
        <f t="shared" si="2"/>
        <v>0</v>
      </c>
      <c r="R34" s="6">
        <f>IF(B34="","",SUMIFS(SF_Output!$S$1:$S$400,SF_Output!$AC$1:$AC$400,_xlfn.TEXTJOIN(",",TRUE,B34:E34),SF_Output!$Q$1:$Q$400,"yearly")+SUMIFS(SF_Output!$S$1:$S$400,SF_Output!$AC$1:$AC$400,_xlfn.TEXTJOIN(",",TRUE,B34:E34),SF_Output!$Q$1:$Q$400,"quarterly")*4)</f>
        <v>5000</v>
      </c>
      <c r="S34" s="112">
        <f>IF(OR(B34=0,B34="",G34="hardware",R34=0),"",IF(AF34&lt;&gt;"exclusion",MAX(S$9,-(SUMIFS(SF_Output!$T$1:$T$400,SF_Output!$AC$1:$AC$400,_xlfn.TEXTJOIN(",",TRUE,$B34:$E34),SF_Output!$Q$1:$Q$400,"yearly"))/R34),-((SUMIFS(SF_Output!$T$1:$T$400,SF_Output!$AC$1:$AC$400,_xlfn.TEXTJOIN(",",TRUE,$B34:$E34),SF_Output!$Q$1:$Q$400,"yearly")/R34))))</f>
        <v>0</v>
      </c>
      <c r="T34" s="6">
        <f t="shared" si="3"/>
        <v>5000</v>
      </c>
      <c r="V34" s="6" cm="1">
        <f t="array" ref="V34">_xlfn.IFS(B34="","",AND(B34&lt;&gt;"",H34=SF_Output!$Y$2,SUMIFS(SF_Output!$T$1:$T$400,SF_Output!$AC$1:$AC$400,_xlfn.TEXTJOIN(",",TRUE,B34:E34),SF_Output!$Q$1:$Q$400,"monthly")=0),(SUMIFS(SF_Output!$F$1:$F$400,SF_Output!$AC$1:$AC$400,_xlfn.TEXTJOIN(",",TRUE,B34:E34),SF_Output!$Q$1:$Q$400,"monthly")+SUMIFS(SF_Output!$G$1:$G$400,SF_Output!$AC$1:$AC$400,_xlfn.TEXTJOIN(",",TRUE,B34:E34),SF_Output!$Q$1:$Q$400,"monthly"))*H34,AND(B34&lt;&gt;"",H34=SF_Output!$Y$2,SUMIFS(SF_Output!$T$1:$T$400,SF_Output!$AC$1:$AC$400,_xlfn.TEXTJOIN(",",TRUE,B34:E34),SF_Output!$Q$1:$Q$400,"monthly")&lt;&gt;0),SUMIFS(SF_Output!$S$1:$S$400,SF_Output!$AC$1:$AC$400,_xlfn.TEXTJOIN(",",TRUE,B34:E34),SF_Output!$Q$1:$Q$400,"monthly"),AND(B34&lt;&gt;"",H34&lt;&gt;SF_Output!$Y$2),SUMIFS(SF_Output!$S$1:$S$400,SF_Output!$AC$1:$AC$400,_xlfn.TEXTJOIN(",",TRUE,B34:E34),SF_Output!$Q$1:$Q$400,"monthly"))</f>
        <v>0</v>
      </c>
      <c r="W34" s="112" t="str" cm="1">
        <f t="array" ref="W34">_xlfn.IFS(OR(B34=0,B34="",V34=0),"",AF34&lt;&gt;"exclusion",MAX($W$9,$W$7,(-(SUMIFS(SF_Output!$T$1:$T$400,SF_Output!$AC$1:$AC$400,_xlfn.TEXTJOIN(",",TRUE,$B34:$E34),SF_Output!$Q$1:$Q$400,"monthly"))/V34)),AF34="exclusion",-(SUMIFS(SF_Output!$T$1:$T$400,SF_Output!$AC$1:$AC$400,_xlfn.TEXTJOIN(",",TRUE,$B34:$E34),SF_Output!$Q$1:$Q$400,"monthly"))/V34)</f>
        <v/>
      </c>
      <c r="X34" s="6" cm="1">
        <f t="array" ref="X34">IFERROR(_xlfn.IFS(V34=0,0,V34="","",W34=0,V34,OR(V34&lt;&gt;0,V34&lt;&gt;""),H34*I34),V34*(1-W34))</f>
        <v>0</v>
      </c>
    </row>
    <row r="35" spans="2:24" x14ac:dyDescent="0.25">
      <c r="B35" t="s">
        <v>614</v>
      </c>
      <c r="C35" t="s">
        <v>2122</v>
      </c>
      <c r="D35" t="s">
        <v>2123</v>
      </c>
      <c r="E35" t="s">
        <v>2124</v>
      </c>
      <c r="F35" s="116" t="str">
        <f t="shared" si="0"/>
        <v>Included</v>
      </c>
      <c r="G35" t="str">
        <f>IF(B35="","",INDEX(SF_Output!$K$1:$K$400,MATCH(B35,SF_Output!$M$1:$M$400,0)))</f>
        <v>JHA OpenAnywhere</v>
      </c>
      <c r="H35" cm="1">
        <f t="array" ref="H35">_xlfn.IFS(B35="","",(SUMIFS(SF_Output!$F$1:$F$400,SF_Output!$AC$1:$AC$400,_xlfn.TEXTJOIN(",",TRUE,B35:E35))+SUMIFS(SF_Output!$G$1:$G$400,SF_Output!$AC$1:$AC$400,_xlfn.TEXTJOIN(",",TRUE,B35:E35)))&lt;&gt;0,SF_Output!$Y$2,INDEX(SF_Output!$F$1:$F$400,MATCH(_xlfn.TEXTJOIN(",",TRUE,B35:E35),SF_Output!$AC$1:$AC$400,0))=0,INDEX(SF_Output!$R$1:$R$400,MATCH(_xlfn.TEXTJOIN(",",TRUE,B35:E35),SF_Output!$AC$1:$AC$400,0)))</f>
        <v>5000</v>
      </c>
      <c r="I35" s="125">
        <f>IFERROR(IF(AND(H35&gt;1,H35&lt;&gt;""),ROUND(SUMIFS(SF_Output!$S$1:$S$400,SF_Output!$AC$1:$AC$400,_xlfn.TEXTJOIN(",",TRUE,B35:E35),SF_Output!$Q$1:$Q$400,"monthly")*(1-W35)/H35,4),""),"")</f>
        <v>0.33229999999999998</v>
      </c>
      <c r="J35" s="6">
        <f>IF(B35="","",SUMIFS(SF_Output!$S$1:$S$400,SF_Output!$AC$1:$AC$400,_xlfn.TEXTJOIN(",",TRUE,B35:E35),SF_Output!$Q$1:$Q$400,"One Time",SF_Output!$L$1:$L$400,"license fee")+SUMIFS(SF_Output!$S$1:$S$400,SF_Output!$AC$1:$AC$400,_xlfn.TEXTJOIN(",",TRUE,B35:E35),SF_Output!$Q$1:$Q$400,"One Time",SF_Output!$L$1:$L$400,"software license")+SUMIFS(SF_Output!$S$1:$S$400,SF_Output!$AC$1:$AC$400,_xlfn.TEXTJOIN(",",TRUE,B35:E35),SF_Output!$Q$1:$Q$400,"One Time",SF_Output!$L$1:$L$400,"hardware"))</f>
        <v>0</v>
      </c>
      <c r="K35" s="112" t="str">
        <f>IF(OR(B35=0,B35="",G35="hardware",J35=0),"",IF(AF35&lt;&gt;"exclusion",MAX(K$9,-((SUMIFS(SF_Output!$T$1:$T$400,SF_Output!$AC$1:$AC$400,_xlfn.TEXTJOIN(",",TRUE,$B35:$E35),SF_Output!$Q$1:$Q$400,"One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license"))/J35)))</f>
        <v/>
      </c>
      <c r="L35" s="6">
        <f t="shared" si="1"/>
        <v>0</v>
      </c>
      <c r="N35" s="6">
        <f>IF(B35="","",SUMIFS(SF_Output!$S$1:$S$400,SF_Output!$AC$1:$AC$400,_xlfn.TEXTJOIN(",",TRUE,B35:E35),SF_Output!$Q$1:$Q$400,"One Time",SF_Output!$L$1:$L$400,"professional service"))</f>
        <v>20800</v>
      </c>
      <c r="O35" s="112">
        <f>IF(OR(B35=0,B35="",N35=0),"",IF(AF35&lt;&gt;"exclusion",MAX(O$9,-(SUMIFS(SF_Output!$T$1:$T$400,SF_Output!$AC$1:$AC$400,_xlfn.TEXTJOIN(",",TRUE,$B35:$E35),SF_Output!$Q$1:$Q$400,"One Time",SF_Output!$L$1:$L$400,"professional service"))/N35),-((SUMIFS(SF_Output!$T$1:$T$400,SF_Output!$AC$1:$AC$400,_xlfn.TEXTJOIN(",",TRUE,$B35:$E35),SF_Output!$Q$1:$Q$400,"One Time",SF_Output!$L$1:$L$400,"professional service")/N35))))</f>
        <v>1</v>
      </c>
      <c r="P35" s="6">
        <f t="shared" si="2"/>
        <v>0</v>
      </c>
      <c r="R35" s="6">
        <f>IF(B35="","",SUMIFS(SF_Output!$S$1:$S$400,SF_Output!$AC$1:$AC$400,_xlfn.TEXTJOIN(",",TRUE,B35:E35),SF_Output!$Q$1:$Q$400,"yearly")+SUMIFS(SF_Output!$S$1:$S$400,SF_Output!$AC$1:$AC$400,_xlfn.TEXTJOIN(",",TRUE,B35:E35),SF_Output!$Q$1:$Q$400,"quarterly")*4)</f>
        <v>0</v>
      </c>
      <c r="S35" s="112" t="str">
        <f>IF(OR(B35=0,B35="",G35="hardware",R35=0),"",IF(AF35&lt;&gt;"exclusion",MAX(S$9,-(SUMIFS(SF_Output!$T$1:$T$400,SF_Output!$AC$1:$AC$400,_xlfn.TEXTJOIN(",",TRUE,$B35:$E35),SF_Output!$Q$1:$Q$400,"yearly"))/R35),-((SUMIFS(SF_Output!$T$1:$T$400,SF_Output!$AC$1:$AC$400,_xlfn.TEXTJOIN(",",TRUE,$B35:$E35),SF_Output!$Q$1:$Q$400,"yearly")/R35))))</f>
        <v/>
      </c>
      <c r="T35" s="6">
        <f t="shared" si="3"/>
        <v>0</v>
      </c>
      <c r="V35" s="6" cm="1">
        <f t="array" ref="V35">_xlfn.IFS(B35="","",AND(B35&lt;&gt;"",H35=SF_Output!$Y$2,SUMIFS(SF_Output!$T$1:$T$400,SF_Output!$AC$1:$AC$400,_xlfn.TEXTJOIN(",",TRUE,B35:E35),SF_Output!$Q$1:$Q$400,"monthly")=0),(SUMIFS(SF_Output!$F$1:$F$400,SF_Output!$AC$1:$AC$400,_xlfn.TEXTJOIN(",",TRUE,B35:E35),SF_Output!$Q$1:$Q$400,"monthly")+SUMIFS(SF_Output!$G$1:$G$400,SF_Output!$AC$1:$AC$400,_xlfn.TEXTJOIN(",",TRUE,B35:E35),SF_Output!$Q$1:$Q$400,"monthly"))*H35,AND(B35&lt;&gt;"",H35=SF_Output!$Y$2,SUMIFS(SF_Output!$T$1:$T$400,SF_Output!$AC$1:$AC$400,_xlfn.TEXTJOIN(",",TRUE,B35:E35),SF_Output!$Q$1:$Q$400,"monthly")&lt;&gt;0),SUMIFS(SF_Output!$S$1:$S$400,SF_Output!$AC$1:$AC$400,_xlfn.TEXTJOIN(",",TRUE,B35:E35),SF_Output!$Q$1:$Q$400,"monthly"),AND(B35&lt;&gt;"",H35&lt;&gt;SF_Output!$Y$2),SUMIFS(SF_Output!$S$1:$S$400,SF_Output!$AC$1:$AC$400,_xlfn.TEXTJOIN(",",TRUE,B35:E35),SF_Output!$Q$1:$Q$400,"monthly"))</f>
        <v>2215</v>
      </c>
      <c r="W35" s="112" cm="1">
        <f t="array" ref="W35">_xlfn.IFS(OR(B35=0,B35="",V35=0),"",AF35&lt;&gt;"exclusion",MAX($W$9,$W$7,(-(SUMIFS(SF_Output!$T$1:$T$400,SF_Output!$AC$1:$AC$400,_xlfn.TEXTJOIN(",",TRUE,$B35:$E35),SF_Output!$Q$1:$Q$400,"monthly"))/V35)),AF35="exclusion",-(SUMIFS(SF_Output!$T$1:$T$400,SF_Output!$AC$1:$AC$400,_xlfn.TEXTJOIN(",",TRUE,$B35:$E35),SF_Output!$Q$1:$Q$400,"monthly"))/V35)</f>
        <v>0.25</v>
      </c>
      <c r="X35" s="6" cm="1">
        <f t="array" ref="X35">IFERROR(_xlfn.IFS(V35=0,0,V35="","",W35=0,V35,OR(V35&lt;&gt;0,V35&lt;&gt;""),H35*I35),V35*(1-W35))</f>
        <v>1661.5</v>
      </c>
    </row>
    <row r="36" spans="2:24" x14ac:dyDescent="0.25">
      <c r="B36" t="s">
        <v>1822</v>
      </c>
      <c r="C36" t="s">
        <v>2122</v>
      </c>
      <c r="D36" t="s">
        <v>2123</v>
      </c>
      <c r="E36" t="s">
        <v>2124</v>
      </c>
      <c r="F36" s="116" t="str">
        <f t="shared" si="0"/>
        <v>Included</v>
      </c>
      <c r="G36" t="str">
        <f>IF(B36="","",INDEX(SF_Output!$K$1:$K$400,MATCH(B36,SF_Output!$M$1:$M$400,0)))</f>
        <v>JHA OpenAnywhere</v>
      </c>
      <c r="H36" cm="1">
        <f t="array" ref="H36">_xlfn.IFS(B36="","",(SUMIFS(SF_Output!$F$1:$F$400,SF_Output!$AC$1:$AC$400,_xlfn.TEXTJOIN(",",TRUE,B36:E36))+SUMIFS(SF_Output!$G$1:$G$400,SF_Output!$AC$1:$AC$400,_xlfn.TEXTJOIN(",",TRUE,B36:E36)))&lt;&gt;0,SF_Output!$Y$2,INDEX(SF_Output!$F$1:$F$400,MATCH(_xlfn.TEXTJOIN(",",TRUE,B36:E36),SF_Output!$AC$1:$AC$400,0))=0,INDEX(SF_Output!$R$1:$R$400,MATCH(_xlfn.TEXTJOIN(",",TRUE,B36:E36),SF_Output!$AC$1:$AC$400,0)))</f>
        <v>1</v>
      </c>
      <c r="I36" s="125" t="str">
        <f>IFERROR(IF(AND(H36&gt;1,H36&lt;&gt;""),ROUND(SUMIFS(SF_Output!$S$1:$S$400,SF_Output!$AC$1:$AC$400,_xlfn.TEXTJOIN(",",TRUE,B36:E36),SF_Output!$Q$1:$Q$400,"monthly")*(1-W36)/H36,4),""),"")</f>
        <v/>
      </c>
      <c r="J36" s="6">
        <f>IF(B36="","",SUMIFS(SF_Output!$S$1:$S$400,SF_Output!$AC$1:$AC$400,_xlfn.TEXTJOIN(",",TRUE,B36:E36),SF_Output!$Q$1:$Q$400,"One Time",SF_Output!$L$1:$L$400,"license fee")+SUMIFS(SF_Output!$S$1:$S$400,SF_Output!$AC$1:$AC$400,_xlfn.TEXTJOIN(",",TRUE,B36:E36),SF_Output!$Q$1:$Q$400,"One Time",SF_Output!$L$1:$L$400,"software license")+SUMIFS(SF_Output!$S$1:$S$400,SF_Output!$AC$1:$AC$400,_xlfn.TEXTJOIN(",",TRUE,B36:E36),SF_Output!$Q$1:$Q$400,"One Time",SF_Output!$L$1:$L$400,"hardware"))</f>
        <v>0</v>
      </c>
      <c r="K36" s="112" t="str">
        <f>IF(OR(B36=0,B36="",G36="hardware",J36=0),"",IF(AF36&lt;&gt;"exclusion",MAX(K$9,-((SUMIFS(SF_Output!$T$1:$T$400,SF_Output!$AC$1:$AC$400,_xlfn.TEXTJOIN(",",TRUE,$B36:$E36),SF_Output!$Q$1:$Q$400,"One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license"))/J36)))</f>
        <v/>
      </c>
      <c r="L36" s="6">
        <f t="shared" si="1"/>
        <v>0</v>
      </c>
      <c r="N36" s="6">
        <f>IF(B36="","",SUMIFS(SF_Output!$S$1:$S$400,SF_Output!$AC$1:$AC$400,_xlfn.TEXTJOIN(",",TRUE,B36:E36),SF_Output!$Q$1:$Q$400,"One Time",SF_Output!$L$1:$L$400,"professional service"))</f>
        <v>2500</v>
      </c>
      <c r="O36" s="112">
        <f>IF(OR(B36=0,B36="",N36=0),"",IF(AF36&lt;&gt;"exclusion",MAX(O$9,-(SUMIFS(SF_Output!$T$1:$T$400,SF_Output!$AC$1:$AC$400,_xlfn.TEXTJOIN(",",TRUE,$B36:$E36),SF_Output!$Q$1:$Q$400,"One Time",SF_Output!$L$1:$L$400,"professional service"))/N36),-((SUMIFS(SF_Output!$T$1:$T$400,SF_Output!$AC$1:$AC$400,_xlfn.TEXTJOIN(",",TRUE,$B36:$E36),SF_Output!$Q$1:$Q$400,"One Time",SF_Output!$L$1:$L$400,"professional service")/N36))))</f>
        <v>1</v>
      </c>
      <c r="P36" s="6">
        <f t="shared" si="2"/>
        <v>0</v>
      </c>
      <c r="R36" s="6">
        <f>IF(B36="","",SUMIFS(SF_Output!$S$1:$S$400,SF_Output!$AC$1:$AC$400,_xlfn.TEXTJOIN(",",TRUE,B36:E36),SF_Output!$Q$1:$Q$400,"yearly")+SUMIFS(SF_Output!$S$1:$S$400,SF_Output!$AC$1:$AC$400,_xlfn.TEXTJOIN(",",TRUE,B36:E36),SF_Output!$Q$1:$Q$400,"quarterly")*4)</f>
        <v>0</v>
      </c>
      <c r="S36" s="112" t="str">
        <f>IF(OR(B36=0,B36="",G36="hardware",R36=0),"",IF(AF36&lt;&gt;"exclusion",MAX(S$9,-(SUMIFS(SF_Output!$T$1:$T$400,SF_Output!$AC$1:$AC$400,_xlfn.TEXTJOIN(",",TRUE,$B36:$E36),SF_Output!$Q$1:$Q$400,"yearly"))/R36),-((SUMIFS(SF_Output!$T$1:$T$400,SF_Output!$AC$1:$AC$400,_xlfn.TEXTJOIN(",",TRUE,$B36:$E36),SF_Output!$Q$1:$Q$400,"yearly")/R36))))</f>
        <v/>
      </c>
      <c r="T36" s="6">
        <f t="shared" si="3"/>
        <v>0</v>
      </c>
      <c r="V36" s="6" cm="1">
        <f t="array" ref="V36">_xlfn.IFS(B36="","",AND(B36&lt;&gt;"",H36=SF_Output!$Y$2,SUMIFS(SF_Output!$T$1:$T$400,SF_Output!$AC$1:$AC$400,_xlfn.TEXTJOIN(",",TRUE,B36:E36),SF_Output!$Q$1:$Q$400,"monthly")=0),(SUMIFS(SF_Output!$F$1:$F$400,SF_Output!$AC$1:$AC$400,_xlfn.TEXTJOIN(",",TRUE,B36:E36),SF_Output!$Q$1:$Q$400,"monthly")+SUMIFS(SF_Output!$G$1:$G$400,SF_Output!$AC$1:$AC$400,_xlfn.TEXTJOIN(",",TRUE,B36:E36),SF_Output!$Q$1:$Q$400,"monthly"))*H36,AND(B36&lt;&gt;"",H36=SF_Output!$Y$2,SUMIFS(SF_Output!$T$1:$T$400,SF_Output!$AC$1:$AC$400,_xlfn.TEXTJOIN(",",TRUE,B36:E36),SF_Output!$Q$1:$Q$400,"monthly")&lt;&gt;0),SUMIFS(SF_Output!$S$1:$S$400,SF_Output!$AC$1:$AC$400,_xlfn.TEXTJOIN(",",TRUE,B36:E36),SF_Output!$Q$1:$Q$400,"monthly"),AND(B36&lt;&gt;"",H36&lt;&gt;SF_Output!$Y$2),SUMIFS(SF_Output!$S$1:$S$400,SF_Output!$AC$1:$AC$400,_xlfn.TEXTJOIN(",",TRUE,B36:E36),SF_Output!$Q$1:$Q$400,"monthly"))</f>
        <v>0</v>
      </c>
      <c r="W36" s="112" t="str" cm="1">
        <f t="array" ref="W36">_xlfn.IFS(OR(B36=0,B36="",V36=0),"",AF36&lt;&gt;"exclusion",MAX($W$9,$W$7,(-(SUMIFS(SF_Output!$T$1:$T$400,SF_Output!$AC$1:$AC$400,_xlfn.TEXTJOIN(",",TRUE,$B36:$E36),SF_Output!$Q$1:$Q$400,"monthly"))/V36)),AF36="exclusion",-(SUMIFS(SF_Output!$T$1:$T$400,SF_Output!$AC$1:$AC$400,_xlfn.TEXTJOIN(",",TRUE,$B36:$E36),SF_Output!$Q$1:$Q$400,"monthly"))/V36)</f>
        <v/>
      </c>
      <c r="X36" s="6" cm="1">
        <f t="array" ref="X36">IFERROR(_xlfn.IFS(V36=0,0,V36="","",W36=0,V36,OR(V36&lt;&gt;0,V36&lt;&gt;""),H36*I36),V36*(1-W36))</f>
        <v>0</v>
      </c>
    </row>
    <row r="37" spans="2:24" x14ac:dyDescent="0.25">
      <c r="B37" t="s">
        <v>1441</v>
      </c>
      <c r="C37" t="s">
        <v>2122</v>
      </c>
      <c r="D37" t="s">
        <v>2123</v>
      </c>
      <c r="E37" t="s">
        <v>2150</v>
      </c>
      <c r="F37" s="116" t="str">
        <f t="shared" si="0"/>
        <v>Optional</v>
      </c>
      <c r="G37" t="str">
        <f>IF(B37="","",INDEX(SF_Output!$K$1:$K$400,MATCH(B37,SF_Output!$M$1:$M$400,0)))</f>
        <v>JHA OpenAnywhere</v>
      </c>
      <c r="H37" cm="1">
        <f t="array" ref="H37">_xlfn.IFS(B37="","",(SUMIFS(SF_Output!$F$1:$F$400,SF_Output!$AC$1:$AC$400,_xlfn.TEXTJOIN(",",TRUE,B37:E37))+SUMIFS(SF_Output!$G$1:$G$400,SF_Output!$AC$1:$AC$400,_xlfn.TEXTJOIN(",",TRUE,B37:E37)))&lt;&gt;0,SF_Output!$Y$2,INDEX(SF_Output!$F$1:$F$400,MATCH(_xlfn.TEXTJOIN(",",TRUE,B37:E37),SF_Output!$AC$1:$AC$400,0))=0,INDEX(SF_Output!$R$1:$R$400,MATCH(_xlfn.TEXTJOIN(",",TRUE,B37:E37),SF_Output!$AC$1:$AC$400,0)))</f>
        <v>1</v>
      </c>
      <c r="I37" s="125" t="str">
        <f>IFERROR(IF(AND(H37&gt;1,H37&lt;&gt;""),ROUND(SUMIFS(SF_Output!$S$1:$S$400,SF_Output!$AC$1:$AC$400,_xlfn.TEXTJOIN(",",TRUE,B37:E37),SF_Output!$Q$1:$Q$400,"monthly")*(1-W37)/H37,4),""),"")</f>
        <v/>
      </c>
      <c r="J37" s="6">
        <f>IF(B37="","",SUMIFS(SF_Output!$S$1:$S$400,SF_Output!$AC$1:$AC$400,_xlfn.TEXTJOIN(",",TRUE,B37:E37),SF_Output!$Q$1:$Q$400,"One Time",SF_Output!$L$1:$L$400,"license fee")+SUMIFS(SF_Output!$S$1:$S$400,SF_Output!$AC$1:$AC$400,_xlfn.TEXTJOIN(",",TRUE,B37:E37),SF_Output!$Q$1:$Q$400,"One Time",SF_Output!$L$1:$L$400,"software license")+SUMIFS(SF_Output!$S$1:$S$400,SF_Output!$AC$1:$AC$400,_xlfn.TEXTJOIN(",",TRUE,B37:E37),SF_Output!$Q$1:$Q$400,"One Time",SF_Output!$L$1:$L$400,"hardware"))</f>
        <v>0</v>
      </c>
      <c r="K37" s="112" t="str">
        <f>IF(OR(B37=0,B37="",G37="hardware",J37=0),"",IF(AF37&lt;&gt;"exclusion",MAX(K$9,-((SUMIFS(SF_Output!$T$1:$T$400,SF_Output!$AC$1:$AC$400,_xlfn.TEXTJOIN(",",TRUE,$B37:$E37),SF_Output!$Q$1:$Q$400,"One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license"))/J37)))</f>
        <v/>
      </c>
      <c r="L37" s="6">
        <f t="shared" si="1"/>
        <v>0</v>
      </c>
      <c r="N37" s="6">
        <f>IF(B37="","",SUMIFS(SF_Output!$S$1:$S$400,SF_Output!$AC$1:$AC$400,_xlfn.TEXTJOIN(",",TRUE,B37:E37),SF_Output!$Q$1:$Q$400,"One Time",SF_Output!$L$1:$L$400,"professional service"))</f>
        <v>0</v>
      </c>
      <c r="O37" s="112" t="str">
        <f>IF(OR(B37=0,B37="",N37=0),"",IF(AF37&lt;&gt;"exclusion",MAX(O$9,-(SUMIFS(SF_Output!$T$1:$T$400,SF_Output!$AC$1:$AC$400,_xlfn.TEXTJOIN(",",TRUE,$B37:$E37),SF_Output!$Q$1:$Q$400,"One Time",SF_Output!$L$1:$L$400,"professional service"))/N37),-((SUMIFS(SF_Output!$T$1:$T$400,SF_Output!$AC$1:$AC$400,_xlfn.TEXTJOIN(",",TRUE,$B37:$E37),SF_Output!$Q$1:$Q$400,"One Time",SF_Output!$L$1:$L$400,"professional service")/N37))))</f>
        <v/>
      </c>
      <c r="P37" s="6">
        <f t="shared" si="2"/>
        <v>0</v>
      </c>
      <c r="R37" s="6">
        <f>IF(B37="","",SUMIFS(SF_Output!$S$1:$S$400,SF_Output!$AC$1:$AC$400,_xlfn.TEXTJOIN(",",TRUE,B37:E37),SF_Output!$Q$1:$Q$400,"yearly")+SUMIFS(SF_Output!$S$1:$S$400,SF_Output!$AC$1:$AC$400,_xlfn.TEXTJOIN(",",TRUE,B37:E37),SF_Output!$Q$1:$Q$400,"quarterly")*4)</f>
        <v>0</v>
      </c>
      <c r="S37" s="112" t="str">
        <f>IF(OR(B37=0,B37="",G37="hardware",R37=0),"",IF(AF37&lt;&gt;"exclusion",MAX(S$9,-(SUMIFS(SF_Output!$T$1:$T$400,SF_Output!$AC$1:$AC$400,_xlfn.TEXTJOIN(",",TRUE,$B37:$E37),SF_Output!$Q$1:$Q$400,"yearly"))/R37),-((SUMIFS(SF_Output!$T$1:$T$400,SF_Output!$AC$1:$AC$400,_xlfn.TEXTJOIN(",",TRUE,$B37:$E37),SF_Output!$Q$1:$Q$400,"yearly")/R37))))</f>
        <v/>
      </c>
      <c r="T37" s="6">
        <f t="shared" si="3"/>
        <v>0</v>
      </c>
      <c r="V37" s="6" cm="1">
        <f t="array" ref="V37">_xlfn.IFS(B37="","",AND(B37&lt;&gt;"",H37=SF_Output!$Y$2,SUMIFS(SF_Output!$T$1:$T$400,SF_Output!$AC$1:$AC$400,_xlfn.TEXTJOIN(",",TRUE,B37:E37),SF_Output!$Q$1:$Q$400,"monthly")=0),(SUMIFS(SF_Output!$F$1:$F$400,SF_Output!$AC$1:$AC$400,_xlfn.TEXTJOIN(",",TRUE,B37:E37),SF_Output!$Q$1:$Q$400,"monthly")+SUMIFS(SF_Output!$G$1:$G$400,SF_Output!$AC$1:$AC$400,_xlfn.TEXTJOIN(",",TRUE,B37:E37),SF_Output!$Q$1:$Q$400,"monthly"))*H37,AND(B37&lt;&gt;"",H37=SF_Output!$Y$2,SUMIFS(SF_Output!$T$1:$T$400,SF_Output!$AC$1:$AC$400,_xlfn.TEXTJOIN(",",TRUE,B37:E37),SF_Output!$Q$1:$Q$400,"monthly")&lt;&gt;0),SUMIFS(SF_Output!$S$1:$S$400,SF_Output!$AC$1:$AC$400,_xlfn.TEXTJOIN(",",TRUE,B37:E37),SF_Output!$Q$1:$Q$400,"monthly"),AND(B37&lt;&gt;"",H37&lt;&gt;SF_Output!$Y$2),SUMIFS(SF_Output!$S$1:$S$400,SF_Output!$AC$1:$AC$400,_xlfn.TEXTJOIN(",",TRUE,B37:E37),SF_Output!$Q$1:$Q$400,"monthly"))</f>
        <v>375</v>
      </c>
      <c r="W37" s="112" cm="1">
        <f t="array" ref="W37">_xlfn.IFS(OR(B37=0,B37="",V37=0),"",AF37&lt;&gt;"exclusion",MAX($W$9,$W$7,(-(SUMIFS(SF_Output!$T$1:$T$400,SF_Output!$AC$1:$AC$400,_xlfn.TEXTJOIN(",",TRUE,$B37:$E37),SF_Output!$Q$1:$Q$400,"monthly"))/V37)),AF37="exclusion",-(SUMIFS(SF_Output!$T$1:$T$400,SF_Output!$AC$1:$AC$400,_xlfn.TEXTJOIN(",",TRUE,$B37:$E37),SF_Output!$Q$1:$Q$400,"monthly"))/V37)</f>
        <v>0</v>
      </c>
      <c r="X37" s="6" cm="1">
        <f t="array" ref="X37">IFERROR(_xlfn.IFS(V37=0,0,V37="","",W37=0,V37,OR(V37&lt;&gt;0,V37&lt;&gt;""),H37*I37),V37*(1-W37))</f>
        <v>375</v>
      </c>
    </row>
    <row r="38" spans="2:24" x14ac:dyDescent="0.25">
      <c r="B38" t="s">
        <v>1443</v>
      </c>
      <c r="C38" t="s">
        <v>2122</v>
      </c>
      <c r="D38" t="s">
        <v>2123</v>
      </c>
      <c r="E38" t="s">
        <v>2124</v>
      </c>
      <c r="F38" s="116" t="str">
        <f t="shared" si="0"/>
        <v>Included</v>
      </c>
      <c r="G38" t="str">
        <f>IF(B38="","",INDEX(SF_Output!$K$1:$K$400,MATCH(B38,SF_Output!$M$1:$M$400,0)))</f>
        <v>JHA OpenAnywhere</v>
      </c>
      <c r="H38" cm="1">
        <f t="array" ref="H38">_xlfn.IFS(B38="","",(SUMIFS(SF_Output!$F$1:$F$400,SF_Output!$AC$1:$AC$400,_xlfn.TEXTJOIN(",",TRUE,B38:E38))+SUMIFS(SF_Output!$G$1:$G$400,SF_Output!$AC$1:$AC$400,_xlfn.TEXTJOIN(",",TRUE,B38:E38)))&lt;&gt;0,SF_Output!$Y$2,INDEX(SF_Output!$F$1:$F$400,MATCH(_xlfn.TEXTJOIN(",",TRUE,B38:E38),SF_Output!$AC$1:$AC$400,0))=0,INDEX(SF_Output!$R$1:$R$400,MATCH(_xlfn.TEXTJOIN(",",TRUE,B38:E38),SF_Output!$AC$1:$AC$400,0)))</f>
        <v>1</v>
      </c>
      <c r="I38" s="125" t="str">
        <f>IFERROR(IF(AND(H38&gt;1,H38&lt;&gt;""),ROUND(SUMIFS(SF_Output!$S$1:$S$400,SF_Output!$AC$1:$AC$400,_xlfn.TEXTJOIN(",",TRUE,B38:E38),SF_Output!$Q$1:$Q$400,"monthly")*(1-W38)/H38,4),""),"")</f>
        <v/>
      </c>
      <c r="J38" s="6">
        <f>IF(B38="","",SUMIFS(SF_Output!$S$1:$S$400,SF_Output!$AC$1:$AC$400,_xlfn.TEXTJOIN(",",TRUE,B38:E38),SF_Output!$Q$1:$Q$400,"One Time",SF_Output!$L$1:$L$400,"license fee")+SUMIFS(SF_Output!$S$1:$S$400,SF_Output!$AC$1:$AC$400,_xlfn.TEXTJOIN(",",TRUE,B38:E38),SF_Output!$Q$1:$Q$400,"One Time",SF_Output!$L$1:$L$400,"software license")+SUMIFS(SF_Output!$S$1:$S$400,SF_Output!$AC$1:$AC$400,_xlfn.TEXTJOIN(",",TRUE,B38:E38),SF_Output!$Q$1:$Q$400,"One Time",SF_Output!$L$1:$L$400,"hardware"))</f>
        <v>0</v>
      </c>
      <c r="K38" s="112" t="str">
        <f>IF(OR(B38=0,B38="",G38="hardware",J38=0),"",IF(AF38&lt;&gt;"exclusion",MAX(K$9,-((SUMIFS(SF_Output!$T$1:$T$400,SF_Output!$AC$1:$AC$400,_xlfn.TEXTJOIN(",",TRUE,$B38:$E38),SF_Output!$Q$1:$Q$400,"One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license"))/J38)))</f>
        <v/>
      </c>
      <c r="L38" s="6">
        <f t="shared" si="1"/>
        <v>0</v>
      </c>
      <c r="N38" s="6">
        <f>IF(B38="","",SUMIFS(SF_Output!$S$1:$S$400,SF_Output!$AC$1:$AC$400,_xlfn.TEXTJOIN(",",TRUE,B38:E38),SF_Output!$Q$1:$Q$400,"One Time",SF_Output!$L$1:$L$400,"professional service"))</f>
        <v>0</v>
      </c>
      <c r="O38" s="112" t="str">
        <f>IF(OR(B38=0,B38="",N38=0),"",IF(AF38&lt;&gt;"exclusion",MAX(O$9,-(SUMIFS(SF_Output!$T$1:$T$400,SF_Output!$AC$1:$AC$400,_xlfn.TEXTJOIN(",",TRUE,$B38:$E38),SF_Output!$Q$1:$Q$400,"One Time",SF_Output!$L$1:$L$400,"professional service"))/N38),-((SUMIFS(SF_Output!$T$1:$T$400,SF_Output!$AC$1:$AC$400,_xlfn.TEXTJOIN(",",TRUE,$B38:$E38),SF_Output!$Q$1:$Q$400,"One Time",SF_Output!$L$1:$L$400,"professional service")/N38))))</f>
        <v/>
      </c>
      <c r="P38" s="6">
        <f t="shared" si="2"/>
        <v>0</v>
      </c>
      <c r="R38" s="6">
        <f>IF(B38="","",SUMIFS(SF_Output!$S$1:$S$400,SF_Output!$AC$1:$AC$400,_xlfn.TEXTJOIN(",",TRUE,B38:E38),SF_Output!$Q$1:$Q$400,"yearly")+SUMIFS(SF_Output!$S$1:$S$400,SF_Output!$AC$1:$AC$400,_xlfn.TEXTJOIN(",",TRUE,B38:E38),SF_Output!$Q$1:$Q$400,"quarterly")*4)</f>
        <v>0</v>
      </c>
      <c r="S38" s="112" t="str">
        <f>IF(OR(B38=0,B38="",G38="hardware",R38=0),"",IF(AF38&lt;&gt;"exclusion",MAX(S$9,-(SUMIFS(SF_Output!$T$1:$T$400,SF_Output!$AC$1:$AC$400,_xlfn.TEXTJOIN(",",TRUE,$B38:$E38),SF_Output!$Q$1:$Q$400,"yearly"))/R38),-((SUMIFS(SF_Output!$T$1:$T$400,SF_Output!$AC$1:$AC$400,_xlfn.TEXTJOIN(",",TRUE,$B38:$E38),SF_Output!$Q$1:$Q$400,"yearly")/R38))))</f>
        <v/>
      </c>
      <c r="T38" s="6">
        <f t="shared" si="3"/>
        <v>0</v>
      </c>
      <c r="V38" s="6" cm="1">
        <f t="array" ref="V38">_xlfn.IFS(B38="","",AND(B38&lt;&gt;"",H38=SF_Output!$Y$2,SUMIFS(SF_Output!$T$1:$T$400,SF_Output!$AC$1:$AC$400,_xlfn.TEXTJOIN(",",TRUE,B38:E38),SF_Output!$Q$1:$Q$400,"monthly")=0),(SUMIFS(SF_Output!$F$1:$F$400,SF_Output!$AC$1:$AC$400,_xlfn.TEXTJOIN(",",TRUE,B38:E38),SF_Output!$Q$1:$Q$400,"monthly")+SUMIFS(SF_Output!$G$1:$G$400,SF_Output!$AC$1:$AC$400,_xlfn.TEXTJOIN(",",TRUE,B38:E38),SF_Output!$Q$1:$Q$400,"monthly"))*H38,AND(B38&lt;&gt;"",H38=SF_Output!$Y$2,SUMIFS(SF_Output!$T$1:$T$400,SF_Output!$AC$1:$AC$400,_xlfn.TEXTJOIN(",",TRUE,B38:E38),SF_Output!$Q$1:$Q$400,"monthly")&lt;&gt;0),SUMIFS(SF_Output!$S$1:$S$400,SF_Output!$AC$1:$AC$400,_xlfn.TEXTJOIN(",",TRUE,B38:E38),SF_Output!$Q$1:$Q$400,"monthly"),AND(B38&lt;&gt;"",H38&lt;&gt;SF_Output!$Y$2),SUMIFS(SF_Output!$S$1:$S$400,SF_Output!$AC$1:$AC$400,_xlfn.TEXTJOIN(",",TRUE,B38:E38),SF_Output!$Q$1:$Q$400,"monthly"))</f>
        <v>400</v>
      </c>
      <c r="W38" s="112" cm="1">
        <f t="array" ref="W38">_xlfn.IFS(OR(B38=0,B38="",V38=0),"",AF38&lt;&gt;"exclusion",MAX($W$9,$W$7,(-(SUMIFS(SF_Output!$T$1:$T$400,SF_Output!$AC$1:$AC$400,_xlfn.TEXTJOIN(",",TRUE,$B38:$E38),SF_Output!$Q$1:$Q$400,"monthly"))/V38)),AF38="exclusion",-(SUMIFS(SF_Output!$T$1:$T$400,SF_Output!$AC$1:$AC$400,_xlfn.TEXTJOIN(",",TRUE,$B38:$E38),SF_Output!$Q$1:$Q$400,"monthly"))/V38)</f>
        <v>0</v>
      </c>
      <c r="X38" s="6" cm="1">
        <f t="array" ref="X38">IFERROR(_xlfn.IFS(V38=0,0,V38="","",W38=0,V38,OR(V38&lt;&gt;0,V38&lt;&gt;""),H38*I38),V38*(1-W38))</f>
        <v>400</v>
      </c>
    </row>
    <row r="39" spans="2:24" x14ac:dyDescent="0.25">
      <c r="B39" t="s">
        <v>1447</v>
      </c>
      <c r="C39" t="s">
        <v>2122</v>
      </c>
      <c r="D39" t="s">
        <v>2123</v>
      </c>
      <c r="E39" t="s">
        <v>2150</v>
      </c>
      <c r="F39" s="116" t="str">
        <f t="shared" si="0"/>
        <v>Optional</v>
      </c>
      <c r="G39" t="str">
        <f>IF(B39="","",INDEX(SF_Output!$K$1:$K$400,MATCH(B39,SF_Output!$M$1:$M$400,0)))</f>
        <v>JHA OpenAnywhere</v>
      </c>
      <c r="H39" cm="1">
        <f t="array" ref="H39">_xlfn.IFS(B39="","",(SUMIFS(SF_Output!$F$1:$F$400,SF_Output!$AC$1:$AC$400,_xlfn.TEXTJOIN(",",TRUE,B39:E39))+SUMIFS(SF_Output!$G$1:$G$400,SF_Output!$AC$1:$AC$400,_xlfn.TEXTJOIN(",",TRUE,B39:E39)))&lt;&gt;0,SF_Output!$Y$2,INDEX(SF_Output!$F$1:$F$400,MATCH(_xlfn.TEXTJOIN(",",TRUE,B39:E39),SF_Output!$AC$1:$AC$400,0))=0,INDEX(SF_Output!$R$1:$R$400,MATCH(_xlfn.TEXTJOIN(",",TRUE,B39:E39),SF_Output!$AC$1:$AC$400,0)))</f>
        <v>1</v>
      </c>
      <c r="I39" s="125" t="str">
        <f>IFERROR(IF(AND(H39&gt;1,H39&lt;&gt;""),ROUND(SUMIFS(SF_Output!$S$1:$S$400,SF_Output!$AC$1:$AC$400,_xlfn.TEXTJOIN(",",TRUE,B39:E39),SF_Output!$Q$1:$Q$400,"monthly")*(1-W39)/H39,4),""),"")</f>
        <v/>
      </c>
      <c r="J39" s="6">
        <f>IF(B39="","",SUMIFS(SF_Output!$S$1:$S$400,SF_Output!$AC$1:$AC$400,_xlfn.TEXTJOIN(",",TRUE,B39:E39),SF_Output!$Q$1:$Q$400,"One Time",SF_Output!$L$1:$L$400,"license fee")+SUMIFS(SF_Output!$S$1:$S$400,SF_Output!$AC$1:$AC$400,_xlfn.TEXTJOIN(",",TRUE,B39:E39),SF_Output!$Q$1:$Q$400,"One Time",SF_Output!$L$1:$L$400,"software license")+SUMIFS(SF_Output!$S$1:$S$400,SF_Output!$AC$1:$AC$400,_xlfn.TEXTJOIN(",",TRUE,B39:E39),SF_Output!$Q$1:$Q$400,"One Time",SF_Output!$L$1:$L$400,"hardware"))</f>
        <v>0</v>
      </c>
      <c r="K39" s="112" t="str">
        <f>IF(OR(B39=0,B39="",G39="hardware",J39=0),"",IF(AF39&lt;&gt;"exclusion",MAX(K$9,-((SUMIFS(SF_Output!$T$1:$T$400,SF_Output!$AC$1:$AC$400,_xlfn.TEXTJOIN(",",TRUE,$B39:$E39),SF_Output!$Q$1:$Q$400,"One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license"))/J39)))</f>
        <v/>
      </c>
      <c r="L39" s="6">
        <f t="shared" si="1"/>
        <v>0</v>
      </c>
      <c r="N39" s="6">
        <f>IF(B39="","",SUMIFS(SF_Output!$S$1:$S$400,SF_Output!$AC$1:$AC$400,_xlfn.TEXTJOIN(",",TRUE,B39:E39),SF_Output!$Q$1:$Q$400,"One Time",SF_Output!$L$1:$L$400,"professional service"))</f>
        <v>3500</v>
      </c>
      <c r="O39" s="112">
        <f>IF(OR(B39=0,B39="",N39=0),"",IF(AF39&lt;&gt;"exclusion",MAX(O$9,-(SUMIFS(SF_Output!$T$1:$T$400,SF_Output!$AC$1:$AC$400,_xlfn.TEXTJOIN(",",TRUE,$B39:$E39),SF_Output!$Q$1:$Q$400,"One Time",SF_Output!$L$1:$L$400,"professional service"))/N39),-((SUMIFS(SF_Output!$T$1:$T$400,SF_Output!$AC$1:$AC$400,_xlfn.TEXTJOIN(",",TRUE,$B39:$E39),SF_Output!$Q$1:$Q$400,"One Time",SF_Output!$L$1:$L$400,"professional service")/N39))))</f>
        <v>0</v>
      </c>
      <c r="P39" s="6">
        <f t="shared" si="2"/>
        <v>3500</v>
      </c>
      <c r="R39" s="6">
        <f>IF(B39="","",SUMIFS(SF_Output!$S$1:$S$400,SF_Output!$AC$1:$AC$400,_xlfn.TEXTJOIN(",",TRUE,B39:E39),SF_Output!$Q$1:$Q$400,"yearly")+SUMIFS(SF_Output!$S$1:$S$400,SF_Output!$AC$1:$AC$400,_xlfn.TEXTJOIN(",",TRUE,B39:E39),SF_Output!$Q$1:$Q$400,"quarterly")*4)</f>
        <v>0</v>
      </c>
      <c r="S39" s="112" t="str">
        <f>IF(OR(B39=0,B39="",G39="hardware",R39=0),"",IF(AF39&lt;&gt;"exclusion",MAX(S$9,-(SUMIFS(SF_Output!$T$1:$T$400,SF_Output!$AC$1:$AC$400,_xlfn.TEXTJOIN(",",TRUE,$B39:$E39),SF_Output!$Q$1:$Q$400,"yearly"))/R39),-((SUMIFS(SF_Output!$T$1:$T$400,SF_Output!$AC$1:$AC$400,_xlfn.TEXTJOIN(",",TRUE,$B39:$E39),SF_Output!$Q$1:$Q$400,"yearly")/R39))))</f>
        <v/>
      </c>
      <c r="T39" s="6">
        <f t="shared" si="3"/>
        <v>0</v>
      </c>
      <c r="V39" s="6" cm="1">
        <f t="array" ref="V39">_xlfn.IFS(B39="","",AND(B39&lt;&gt;"",H39=SF_Output!$Y$2,SUMIFS(SF_Output!$T$1:$T$400,SF_Output!$AC$1:$AC$400,_xlfn.TEXTJOIN(",",TRUE,B39:E39),SF_Output!$Q$1:$Q$400,"monthly")=0),(SUMIFS(SF_Output!$F$1:$F$400,SF_Output!$AC$1:$AC$400,_xlfn.TEXTJOIN(",",TRUE,B39:E39),SF_Output!$Q$1:$Q$400,"monthly")+SUMIFS(SF_Output!$G$1:$G$400,SF_Output!$AC$1:$AC$400,_xlfn.TEXTJOIN(",",TRUE,B39:E39),SF_Output!$Q$1:$Q$400,"monthly"))*H39,AND(B39&lt;&gt;"",H39=SF_Output!$Y$2,SUMIFS(SF_Output!$T$1:$T$400,SF_Output!$AC$1:$AC$400,_xlfn.TEXTJOIN(",",TRUE,B39:E39),SF_Output!$Q$1:$Q$400,"monthly")&lt;&gt;0),SUMIFS(SF_Output!$S$1:$S$400,SF_Output!$AC$1:$AC$400,_xlfn.TEXTJOIN(",",TRUE,B39:E39),SF_Output!$Q$1:$Q$400,"monthly"),AND(B39&lt;&gt;"",H39&lt;&gt;SF_Output!$Y$2),SUMIFS(SF_Output!$S$1:$S$400,SF_Output!$AC$1:$AC$400,_xlfn.TEXTJOIN(",",TRUE,B39:E39),SF_Output!$Q$1:$Q$400,"monthly"))</f>
        <v>2000</v>
      </c>
      <c r="W39" s="112" cm="1">
        <f t="array" ref="W39">_xlfn.IFS(OR(B39=0,B39="",V39=0),"",AF39&lt;&gt;"exclusion",MAX($W$9,$W$7,(-(SUMIFS(SF_Output!$T$1:$T$400,SF_Output!$AC$1:$AC$400,_xlfn.TEXTJOIN(",",TRUE,$B39:$E39),SF_Output!$Q$1:$Q$400,"monthly"))/V39)),AF39="exclusion",-(SUMIFS(SF_Output!$T$1:$T$400,SF_Output!$AC$1:$AC$400,_xlfn.TEXTJOIN(",",TRUE,$B39:$E39),SF_Output!$Q$1:$Q$400,"monthly"))/V39)</f>
        <v>0</v>
      </c>
      <c r="X39" s="6" cm="1">
        <f t="array" ref="X39">IFERROR(_xlfn.IFS(V39=0,0,V39="","",W39=0,V39,OR(V39&lt;&gt;0,V39&lt;&gt;""),H39*I39),V39*(1-W39))</f>
        <v>2000</v>
      </c>
    </row>
    <row r="40" spans="2:24" x14ac:dyDescent="0.25">
      <c r="B40" t="s">
        <v>1818</v>
      </c>
      <c r="C40" t="s">
        <v>2122</v>
      </c>
      <c r="D40" t="s">
        <v>2123</v>
      </c>
      <c r="E40" t="s">
        <v>2124</v>
      </c>
      <c r="F40" s="116" t="str">
        <f t="shared" si="0"/>
        <v>Included</v>
      </c>
      <c r="G40" t="str">
        <f>IF(B40="","",INDEX(SF_Output!$K$1:$K$400,MATCH(B40,SF_Output!$M$1:$M$400,0)))</f>
        <v>JHA OpenAnywhere</v>
      </c>
      <c r="H40" cm="1">
        <f t="array" ref="H40">_xlfn.IFS(B40="","",(SUMIFS(SF_Output!$F$1:$F$400,SF_Output!$AC$1:$AC$400,_xlfn.TEXTJOIN(",",TRUE,B40:E40))+SUMIFS(SF_Output!$G$1:$G$400,SF_Output!$AC$1:$AC$400,_xlfn.TEXTJOIN(",",TRUE,B40:E40)))&lt;&gt;0,SF_Output!$Y$2,INDEX(SF_Output!$F$1:$F$400,MATCH(_xlfn.TEXTJOIN(",",TRUE,B40:E40),SF_Output!$AC$1:$AC$400,0))=0,INDEX(SF_Output!$R$1:$R$400,MATCH(_xlfn.TEXTJOIN(",",TRUE,B40:E40),SF_Output!$AC$1:$AC$400,0)))</f>
        <v>1</v>
      </c>
      <c r="I40" s="125" t="str">
        <f>IFERROR(IF(AND(H40&gt;1,H40&lt;&gt;""),ROUND(SUMIFS(SF_Output!$S$1:$S$400,SF_Output!$AC$1:$AC$400,_xlfn.TEXTJOIN(",",TRUE,B40:E40),SF_Output!$Q$1:$Q$400,"monthly")*(1-W40)/H40,4),""),"")</f>
        <v/>
      </c>
      <c r="J40" s="6">
        <f>IF(B40="","",SUMIFS(SF_Output!$S$1:$S$400,SF_Output!$AC$1:$AC$400,_xlfn.TEXTJOIN(",",TRUE,B40:E40),SF_Output!$Q$1:$Q$400,"One Time",SF_Output!$L$1:$L$400,"license fee")+SUMIFS(SF_Output!$S$1:$S$400,SF_Output!$AC$1:$AC$400,_xlfn.TEXTJOIN(",",TRUE,B40:E40),SF_Output!$Q$1:$Q$400,"One Time",SF_Output!$L$1:$L$400,"software license")+SUMIFS(SF_Output!$S$1:$S$400,SF_Output!$AC$1:$AC$400,_xlfn.TEXTJOIN(",",TRUE,B40:E40),SF_Output!$Q$1:$Q$400,"One Time",SF_Output!$L$1:$L$400,"hardware"))</f>
        <v>0</v>
      </c>
      <c r="K40" s="112" t="str">
        <f>IF(OR(B40=0,B40="",G40="hardware",J40=0),"",IF(AF40&lt;&gt;"exclusion",MAX(K$9,-((SUMIFS(SF_Output!$T$1:$T$400,SF_Output!$AC$1:$AC$400,_xlfn.TEXTJOIN(",",TRUE,$B40:$E40),SF_Output!$Q$1:$Q$400,"One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license"))/J40)))</f>
        <v/>
      </c>
      <c r="L40" s="6">
        <f t="shared" si="1"/>
        <v>0</v>
      </c>
      <c r="N40" s="6">
        <f>IF(B40="","",SUMIFS(SF_Output!$S$1:$S$400,SF_Output!$AC$1:$AC$400,_xlfn.TEXTJOIN(",",TRUE,B40:E40),SF_Output!$Q$1:$Q$400,"One Time",SF_Output!$L$1:$L$400,"professional service"))</f>
        <v>0</v>
      </c>
      <c r="O40" s="112" t="str">
        <f>IF(OR(B40=0,B40="",N40=0),"",IF(AF40&lt;&gt;"exclusion",MAX(O$9,-(SUMIFS(SF_Output!$T$1:$T$400,SF_Output!$AC$1:$AC$400,_xlfn.TEXTJOIN(",",TRUE,$B40:$E40),SF_Output!$Q$1:$Q$400,"One Time",SF_Output!$L$1:$L$400,"professional service"))/N40),-((SUMIFS(SF_Output!$T$1:$T$400,SF_Output!$AC$1:$AC$400,_xlfn.TEXTJOIN(",",TRUE,$B40:$E40),SF_Output!$Q$1:$Q$400,"One Time",SF_Output!$L$1:$L$400,"professional service")/N40))))</f>
        <v/>
      </c>
      <c r="P40" s="6">
        <f t="shared" si="2"/>
        <v>0</v>
      </c>
      <c r="R40" s="6">
        <f>IF(B40="","",SUMIFS(SF_Output!$S$1:$S$400,SF_Output!$AC$1:$AC$400,_xlfn.TEXTJOIN(",",TRUE,B40:E40),SF_Output!$Q$1:$Q$400,"yearly")+SUMIFS(SF_Output!$S$1:$S$400,SF_Output!$AC$1:$AC$400,_xlfn.TEXTJOIN(",",TRUE,B40:E40),SF_Output!$Q$1:$Q$400,"quarterly")*4)</f>
        <v>0</v>
      </c>
      <c r="S40" s="112" t="str">
        <f>IF(OR(B40=0,B40="",G40="hardware",R40=0),"",IF(AF40&lt;&gt;"exclusion",MAX(S$9,-(SUMIFS(SF_Output!$T$1:$T$400,SF_Output!$AC$1:$AC$400,_xlfn.TEXTJOIN(",",TRUE,$B40:$E40),SF_Output!$Q$1:$Q$400,"yearly"))/R40),-((SUMIFS(SF_Output!$T$1:$T$400,SF_Output!$AC$1:$AC$400,_xlfn.TEXTJOIN(",",TRUE,$B40:$E40),SF_Output!$Q$1:$Q$400,"yearly")/R40))))</f>
        <v/>
      </c>
      <c r="T40" s="6">
        <f t="shared" si="3"/>
        <v>0</v>
      </c>
      <c r="V40" s="6" cm="1">
        <f t="array" ref="V40">_xlfn.IFS(B40="","",AND(B40&lt;&gt;"",H40=SF_Output!$Y$2,SUMIFS(SF_Output!$T$1:$T$400,SF_Output!$AC$1:$AC$400,_xlfn.TEXTJOIN(",",TRUE,B40:E40),SF_Output!$Q$1:$Q$400,"monthly")=0),(SUMIFS(SF_Output!$F$1:$F$400,SF_Output!$AC$1:$AC$400,_xlfn.TEXTJOIN(",",TRUE,B40:E40),SF_Output!$Q$1:$Q$400,"monthly")+SUMIFS(SF_Output!$G$1:$G$400,SF_Output!$AC$1:$AC$400,_xlfn.TEXTJOIN(",",TRUE,B40:E40),SF_Output!$Q$1:$Q$400,"monthly"))*H40,AND(B40&lt;&gt;"",H40=SF_Output!$Y$2,SUMIFS(SF_Output!$T$1:$T$400,SF_Output!$AC$1:$AC$400,_xlfn.TEXTJOIN(",",TRUE,B40:E40),SF_Output!$Q$1:$Q$400,"monthly")&lt;&gt;0),SUMIFS(SF_Output!$S$1:$S$400,SF_Output!$AC$1:$AC$400,_xlfn.TEXTJOIN(",",TRUE,B40:E40),SF_Output!$Q$1:$Q$400,"monthly"),AND(B40&lt;&gt;"",H40&lt;&gt;SF_Output!$Y$2),SUMIFS(SF_Output!$S$1:$S$400,SF_Output!$AC$1:$AC$400,_xlfn.TEXTJOIN(",",TRUE,B40:E40),SF_Output!$Q$1:$Q$400,"monthly"))</f>
        <v>200</v>
      </c>
      <c r="W40" s="112" cm="1">
        <f t="array" ref="W40">_xlfn.IFS(OR(B40=0,B40="",V40=0),"",AF40&lt;&gt;"exclusion",MAX($W$9,$W$7,(-(SUMIFS(SF_Output!$T$1:$T$400,SF_Output!$AC$1:$AC$400,_xlfn.TEXTJOIN(",",TRUE,$B40:$E40),SF_Output!$Q$1:$Q$400,"monthly"))/V40)),AF40="exclusion",-(SUMIFS(SF_Output!$T$1:$T$400,SF_Output!$AC$1:$AC$400,_xlfn.TEXTJOIN(",",TRUE,$B40:$E40),SF_Output!$Q$1:$Q$400,"monthly"))/V40)</f>
        <v>0</v>
      </c>
      <c r="X40" s="6" cm="1">
        <f t="array" ref="X40">IFERROR(_xlfn.IFS(V40=0,0,V40="","",W40=0,V40,OR(V40&lt;&gt;0,V40&lt;&gt;""),H40*I40),V40*(1-W40))</f>
        <v>200</v>
      </c>
    </row>
    <row r="41" spans="2:24" x14ac:dyDescent="0.25">
      <c r="B41" t="s">
        <v>561</v>
      </c>
      <c r="C41" t="s">
        <v>2122</v>
      </c>
      <c r="D41" t="s">
        <v>2123</v>
      </c>
      <c r="E41" t="s">
        <v>2124</v>
      </c>
      <c r="F41" s="116" t="str">
        <f t="shared" si="0"/>
        <v>Included</v>
      </c>
      <c r="G41" t="str">
        <f>IF(B41="","",INDEX(SF_Output!$K$1:$K$400,MATCH(B41,SF_Output!$M$1:$M$400,0)))</f>
        <v>Banno</v>
      </c>
      <c r="H41" cm="1">
        <f t="array" ref="H41">_xlfn.IFS(B41="","",(SUMIFS(SF_Output!$F$1:$F$400,SF_Output!$AC$1:$AC$400,_xlfn.TEXTJOIN(",",TRUE,B41:E41))+SUMIFS(SF_Output!$G$1:$G$400,SF_Output!$AC$1:$AC$400,_xlfn.TEXTJOIN(",",TRUE,B41:E41)))&lt;&gt;0,SF_Output!$Y$2,INDEX(SF_Output!$F$1:$F$400,MATCH(_xlfn.TEXTJOIN(",",TRUE,B41:E41),SF_Output!$AC$1:$AC$400,0))=0,INDEX(SF_Output!$R$1:$R$400,MATCH(_xlfn.TEXTJOIN(",",TRUE,B41:E41),SF_Output!$AC$1:$AC$400,0)))</f>
        <v>1</v>
      </c>
      <c r="I41" s="125" t="str">
        <f>IFERROR(IF(AND(H41&gt;1,H41&lt;&gt;""),ROUND(SUMIFS(SF_Output!$S$1:$S$400,SF_Output!$AC$1:$AC$400,_xlfn.TEXTJOIN(",",TRUE,B41:E41),SF_Output!$Q$1:$Q$400,"monthly")*(1-W41)/H41,4),""),"")</f>
        <v/>
      </c>
      <c r="J41" s="6">
        <f>IF(B41="","",SUMIFS(SF_Output!$S$1:$S$400,SF_Output!$AC$1:$AC$400,_xlfn.TEXTJOIN(",",TRUE,B41:E41),SF_Output!$Q$1:$Q$400,"One Time",SF_Output!$L$1:$L$400,"license fee")+SUMIFS(SF_Output!$S$1:$S$400,SF_Output!$AC$1:$AC$400,_xlfn.TEXTJOIN(",",TRUE,B41:E41),SF_Output!$Q$1:$Q$400,"One Time",SF_Output!$L$1:$L$400,"software license")+SUMIFS(SF_Output!$S$1:$S$400,SF_Output!$AC$1:$AC$400,_xlfn.TEXTJOIN(",",TRUE,B41:E41),SF_Output!$Q$1:$Q$400,"One Time",SF_Output!$L$1:$L$400,"hardware"))</f>
        <v>0</v>
      </c>
      <c r="K41" s="112" t="str">
        <f>IF(OR(B41=0,B41="",G41="hardware",J41=0),"",IF(AF41&lt;&gt;"exclusion",MAX(K$9,-((SUMIFS(SF_Output!$T$1:$T$400,SF_Output!$AC$1:$AC$400,_xlfn.TEXTJOIN(",",TRUE,$B41:$E41),SF_Output!$Q$1:$Q$400,"One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license"))/J41)))</f>
        <v/>
      </c>
      <c r="L41" s="6">
        <f t="shared" si="1"/>
        <v>0</v>
      </c>
      <c r="N41" s="6">
        <f>IF(B41="","",SUMIFS(SF_Output!$S$1:$S$400,SF_Output!$AC$1:$AC$400,_xlfn.TEXTJOIN(",",TRUE,B41:E41),SF_Output!$Q$1:$Q$400,"One Time",SF_Output!$L$1:$L$400,"professional service"))</f>
        <v>65000</v>
      </c>
      <c r="O41" s="112">
        <f>IF(OR(B41=0,B41="",N41=0),"",IF(AF41&lt;&gt;"exclusion",MAX(O$9,-(SUMIFS(SF_Output!$T$1:$T$400,SF_Output!$AC$1:$AC$400,_xlfn.TEXTJOIN(",",TRUE,$B41:$E41),SF_Output!$Q$1:$Q$400,"One Time",SF_Output!$L$1:$L$400,"professional service"))/N41),-((SUMIFS(SF_Output!$T$1:$T$400,SF_Output!$AC$1:$AC$400,_xlfn.TEXTJOIN(",",TRUE,$B41:$E41),SF_Output!$Q$1:$Q$400,"One Time",SF_Output!$L$1:$L$400,"professional service")/N41))))</f>
        <v>1</v>
      </c>
      <c r="P41" s="6">
        <f t="shared" si="2"/>
        <v>0</v>
      </c>
      <c r="R41" s="6">
        <f>IF(B41="","",SUMIFS(SF_Output!$S$1:$S$400,SF_Output!$AC$1:$AC$400,_xlfn.TEXTJOIN(",",TRUE,B41:E41),SF_Output!$Q$1:$Q$400,"yearly")+SUMIFS(SF_Output!$S$1:$S$400,SF_Output!$AC$1:$AC$400,_xlfn.TEXTJOIN(",",TRUE,B41:E41),SF_Output!$Q$1:$Q$400,"quarterly")*4)</f>
        <v>0</v>
      </c>
      <c r="S41" s="112" t="str">
        <f>IF(OR(B41=0,B41="",G41="hardware",R41=0),"",IF(AF41&lt;&gt;"exclusion",MAX(S$9,-(SUMIFS(SF_Output!$T$1:$T$400,SF_Output!$AC$1:$AC$400,_xlfn.TEXTJOIN(",",TRUE,$B41:$E41),SF_Output!$Q$1:$Q$400,"yearly"))/R41),-((SUMIFS(SF_Output!$T$1:$T$400,SF_Output!$AC$1:$AC$400,_xlfn.TEXTJOIN(",",TRUE,$B41:$E41),SF_Output!$Q$1:$Q$400,"yearly")/R41))))</f>
        <v/>
      </c>
      <c r="T41" s="6">
        <f t="shared" si="3"/>
        <v>0</v>
      </c>
      <c r="V41" s="6" cm="1">
        <f t="array" ref="V41">_xlfn.IFS(B41="","",AND(B41&lt;&gt;"",H41=SF_Output!$Y$2,SUMIFS(SF_Output!$T$1:$T$400,SF_Output!$AC$1:$AC$400,_xlfn.TEXTJOIN(",",TRUE,B41:E41),SF_Output!$Q$1:$Q$400,"monthly")=0),(SUMIFS(SF_Output!$F$1:$F$400,SF_Output!$AC$1:$AC$400,_xlfn.TEXTJOIN(",",TRUE,B41:E41),SF_Output!$Q$1:$Q$400,"monthly")+SUMIFS(SF_Output!$G$1:$G$400,SF_Output!$AC$1:$AC$400,_xlfn.TEXTJOIN(",",TRUE,B41:E41),SF_Output!$Q$1:$Q$400,"monthly"))*H41,AND(B41&lt;&gt;"",H41=SF_Output!$Y$2,SUMIFS(SF_Output!$T$1:$T$400,SF_Output!$AC$1:$AC$400,_xlfn.TEXTJOIN(",",TRUE,B41:E41),SF_Output!$Q$1:$Q$400,"monthly")&lt;&gt;0),SUMIFS(SF_Output!$S$1:$S$400,SF_Output!$AC$1:$AC$400,_xlfn.TEXTJOIN(",",TRUE,B41:E41),SF_Output!$Q$1:$Q$400,"monthly"),AND(B41&lt;&gt;"",H41&lt;&gt;SF_Output!$Y$2),SUMIFS(SF_Output!$S$1:$S$400,SF_Output!$AC$1:$AC$400,_xlfn.TEXTJOIN(",",TRUE,B41:E41),SF_Output!$Q$1:$Q$400,"monthly"))</f>
        <v>500</v>
      </c>
      <c r="W41" s="112" cm="1">
        <f t="array" ref="W41">_xlfn.IFS(OR(B41=0,B41="",V41=0),"",AF41&lt;&gt;"exclusion",MAX($W$9,$W$7,(-(SUMIFS(SF_Output!$T$1:$T$400,SF_Output!$AC$1:$AC$400,_xlfn.TEXTJOIN(",",TRUE,$B41:$E41),SF_Output!$Q$1:$Q$400,"monthly"))/V41)),AF41="exclusion",-(SUMIFS(SF_Output!$T$1:$T$400,SF_Output!$AC$1:$AC$400,_xlfn.TEXTJOIN(",",TRUE,$B41:$E41),SF_Output!$Q$1:$Q$400,"monthly"))/V41)</f>
        <v>0</v>
      </c>
      <c r="X41" s="6" cm="1">
        <f t="array" ref="X41">IFERROR(_xlfn.IFS(V41=0,0,V41="","",W41=0,V41,OR(V41&lt;&gt;0,V41&lt;&gt;""),H41*I41),V41*(1-W41))</f>
        <v>500</v>
      </c>
    </row>
    <row r="42" spans="2:24" x14ac:dyDescent="0.25">
      <c r="B42" t="s">
        <v>600</v>
      </c>
      <c r="C42" t="s">
        <v>2122</v>
      </c>
      <c r="D42" t="s">
        <v>2123</v>
      </c>
      <c r="E42" t="s">
        <v>2124</v>
      </c>
      <c r="F42" s="116" t="str">
        <f t="shared" si="0"/>
        <v>Included</v>
      </c>
      <c r="G42" t="str">
        <f>IF(B42="","",INDEX(SF_Output!$K$1:$K$400,MATCH(B42,SF_Output!$M$1:$M$400,0)))</f>
        <v>Banno</v>
      </c>
      <c r="H42" cm="1">
        <f t="array" ref="H42">_xlfn.IFS(B42="","",(SUMIFS(SF_Output!$F$1:$F$400,SF_Output!$AC$1:$AC$400,_xlfn.TEXTJOIN(",",TRUE,B42:E42))+SUMIFS(SF_Output!$G$1:$G$400,SF_Output!$AC$1:$AC$400,_xlfn.TEXTJOIN(",",TRUE,B42:E42)))&lt;&gt;0,SF_Output!$Y$2,INDEX(SF_Output!$F$1:$F$400,MATCH(_xlfn.TEXTJOIN(",",TRUE,B42:E42),SF_Output!$AC$1:$AC$400,0))=0,INDEX(SF_Output!$R$1:$R$400,MATCH(_xlfn.TEXTJOIN(",",TRUE,B42:E42),SF_Output!$AC$1:$AC$400,0)))</f>
        <v>1</v>
      </c>
      <c r="I42" s="125" t="str">
        <f>IFERROR(IF(AND(H42&gt;1,H42&lt;&gt;""),ROUND(SUMIFS(SF_Output!$S$1:$S$400,SF_Output!$AC$1:$AC$400,_xlfn.TEXTJOIN(",",TRUE,B42:E42),SF_Output!$Q$1:$Q$400,"monthly")*(1-W42)/H42,4),""),"")</f>
        <v/>
      </c>
      <c r="J42" s="6">
        <f>IF(B42="","",SUMIFS(SF_Output!$S$1:$S$400,SF_Output!$AC$1:$AC$400,_xlfn.TEXTJOIN(",",TRUE,B42:E42),SF_Output!$Q$1:$Q$400,"One Time",SF_Output!$L$1:$L$400,"license fee")+SUMIFS(SF_Output!$S$1:$S$400,SF_Output!$AC$1:$AC$400,_xlfn.TEXTJOIN(",",TRUE,B42:E42),SF_Output!$Q$1:$Q$400,"One Time",SF_Output!$L$1:$L$400,"software license")+SUMIFS(SF_Output!$S$1:$S$400,SF_Output!$AC$1:$AC$400,_xlfn.TEXTJOIN(",",TRUE,B42:E42),SF_Output!$Q$1:$Q$400,"One Time",SF_Output!$L$1:$L$400,"hardware"))</f>
        <v>0</v>
      </c>
      <c r="K42" s="112" t="str">
        <f>IF(OR(B42=0,B42="",G42="hardware",J42=0),"",IF(AF42&lt;&gt;"exclusion",MAX(K$9,-((SUMIFS(SF_Output!$T$1:$T$400,SF_Output!$AC$1:$AC$400,_xlfn.TEXTJOIN(",",TRUE,$B42:$E42),SF_Output!$Q$1:$Q$400,"One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license"))/J42)))</f>
        <v/>
      </c>
      <c r="L42" s="6">
        <f t="shared" si="1"/>
        <v>0</v>
      </c>
      <c r="N42" s="6">
        <f>IF(B42="","",SUMIFS(SF_Output!$S$1:$S$400,SF_Output!$AC$1:$AC$400,_xlfn.TEXTJOIN(",",TRUE,B42:E42),SF_Output!$Q$1:$Q$400,"One Time",SF_Output!$L$1:$L$400,"professional service"))</f>
        <v>20000</v>
      </c>
      <c r="O42" s="112">
        <f>IF(OR(B42=0,B42="",N42=0),"",IF(AF42&lt;&gt;"exclusion",MAX(O$9,-(SUMIFS(SF_Output!$T$1:$T$400,SF_Output!$AC$1:$AC$400,_xlfn.TEXTJOIN(",",TRUE,$B42:$E42),SF_Output!$Q$1:$Q$400,"One Time",SF_Output!$L$1:$L$400,"professional service"))/N42),-((SUMIFS(SF_Output!$T$1:$T$400,SF_Output!$AC$1:$AC$400,_xlfn.TEXTJOIN(",",TRUE,$B42:$E42),SF_Output!$Q$1:$Q$400,"One Time",SF_Output!$L$1:$L$400,"professional service")/N42))))</f>
        <v>1</v>
      </c>
      <c r="P42" s="6">
        <f t="shared" si="2"/>
        <v>0</v>
      </c>
      <c r="R42" s="6">
        <f>IF(B42="","",SUMIFS(SF_Output!$S$1:$S$400,SF_Output!$AC$1:$AC$400,_xlfn.TEXTJOIN(",",TRUE,B42:E42),SF_Output!$Q$1:$Q$400,"yearly")+SUMIFS(SF_Output!$S$1:$S$400,SF_Output!$AC$1:$AC$400,_xlfn.TEXTJOIN(",",TRUE,B42:E42),SF_Output!$Q$1:$Q$400,"quarterly")*4)</f>
        <v>0</v>
      </c>
      <c r="S42" s="112" t="str">
        <f>IF(OR(B42=0,B42="",G42="hardware",R42=0),"",IF(AF42&lt;&gt;"exclusion",MAX(S$9,-(SUMIFS(SF_Output!$T$1:$T$400,SF_Output!$AC$1:$AC$400,_xlfn.TEXTJOIN(",",TRUE,$B42:$E42),SF_Output!$Q$1:$Q$400,"yearly"))/R42),-((SUMIFS(SF_Output!$T$1:$T$400,SF_Output!$AC$1:$AC$400,_xlfn.TEXTJOIN(",",TRUE,$B42:$E42),SF_Output!$Q$1:$Q$400,"yearly")/R42))))</f>
        <v/>
      </c>
      <c r="T42" s="6">
        <f t="shared" si="3"/>
        <v>0</v>
      </c>
      <c r="V42" s="6" cm="1">
        <f t="array" ref="V42">_xlfn.IFS(B42="","",AND(B42&lt;&gt;"",H42=SF_Output!$Y$2,SUMIFS(SF_Output!$T$1:$T$400,SF_Output!$AC$1:$AC$400,_xlfn.TEXTJOIN(",",TRUE,B42:E42),SF_Output!$Q$1:$Q$400,"monthly")=0),(SUMIFS(SF_Output!$F$1:$F$400,SF_Output!$AC$1:$AC$400,_xlfn.TEXTJOIN(",",TRUE,B42:E42),SF_Output!$Q$1:$Q$400,"monthly")+SUMIFS(SF_Output!$G$1:$G$400,SF_Output!$AC$1:$AC$400,_xlfn.TEXTJOIN(",",TRUE,B42:E42),SF_Output!$Q$1:$Q$400,"monthly"))*H42,AND(B42&lt;&gt;"",H42=SF_Output!$Y$2,SUMIFS(SF_Output!$T$1:$T$400,SF_Output!$AC$1:$AC$400,_xlfn.TEXTJOIN(",",TRUE,B42:E42),SF_Output!$Q$1:$Q$400,"monthly")&lt;&gt;0),SUMIFS(SF_Output!$S$1:$S$400,SF_Output!$AC$1:$AC$400,_xlfn.TEXTJOIN(",",TRUE,B42:E42),SF_Output!$Q$1:$Q$400,"monthly"),AND(B42&lt;&gt;"",H42&lt;&gt;SF_Output!$Y$2),SUMIFS(SF_Output!$S$1:$S$400,SF_Output!$AC$1:$AC$400,_xlfn.TEXTJOIN(",",TRUE,B42:E42),SF_Output!$Q$1:$Q$400,"monthly"))</f>
        <v>0</v>
      </c>
      <c r="W42" s="112" t="str" cm="1">
        <f t="array" ref="W42">_xlfn.IFS(OR(B42=0,B42="",V42=0),"",AF42&lt;&gt;"exclusion",MAX($W$9,$W$7,(-(SUMIFS(SF_Output!$T$1:$T$400,SF_Output!$AC$1:$AC$400,_xlfn.TEXTJOIN(",",TRUE,$B42:$E42),SF_Output!$Q$1:$Q$400,"monthly"))/V42)),AF42="exclusion",-(SUMIFS(SF_Output!$T$1:$T$400,SF_Output!$AC$1:$AC$400,_xlfn.TEXTJOIN(",",TRUE,$B42:$E42),SF_Output!$Q$1:$Q$400,"monthly"))/V42)</f>
        <v/>
      </c>
      <c r="X42" s="6" cm="1">
        <f t="array" ref="X42">IFERROR(_xlfn.IFS(V42=0,0,V42="","",W42=0,V42,OR(V42&lt;&gt;0,V42&lt;&gt;""),H42*I42),V42*(1-W42))</f>
        <v>0</v>
      </c>
    </row>
    <row r="43" spans="2:24" x14ac:dyDescent="0.25">
      <c r="B43" t="s">
        <v>1804</v>
      </c>
      <c r="C43" t="s">
        <v>2122</v>
      </c>
      <c r="D43" t="s">
        <v>2123</v>
      </c>
      <c r="E43" t="s">
        <v>2150</v>
      </c>
      <c r="F43" s="116" t="str">
        <f t="shared" si="0"/>
        <v>Optional</v>
      </c>
      <c r="G43" t="str">
        <f>IF(B43="","",INDEX(SF_Output!$K$1:$K$400,MATCH(B43,SF_Output!$M$1:$M$400,0)))</f>
        <v>Banno</v>
      </c>
      <c r="H43" cm="1">
        <f t="array" ref="H43">_xlfn.IFS(B43="","",(SUMIFS(SF_Output!$F$1:$F$400,SF_Output!$AC$1:$AC$400,_xlfn.TEXTJOIN(",",TRUE,B43:E43))+SUMIFS(SF_Output!$G$1:$G$400,SF_Output!$AC$1:$AC$400,_xlfn.TEXTJOIN(",",TRUE,B43:E43)))&lt;&gt;0,SF_Output!$Y$2,INDEX(SF_Output!$F$1:$F$400,MATCH(_xlfn.TEXTJOIN(",",TRUE,B43:E43),SF_Output!$AC$1:$AC$400,0))=0,INDEX(SF_Output!$R$1:$R$400,MATCH(_xlfn.TEXTJOIN(",",TRUE,B43:E43),SF_Output!$AC$1:$AC$400,0)))</f>
        <v>1</v>
      </c>
      <c r="I43" s="125" t="str">
        <f>IFERROR(IF(AND(H43&gt;1,H43&lt;&gt;""),ROUND(SUMIFS(SF_Output!$S$1:$S$400,SF_Output!$AC$1:$AC$400,_xlfn.TEXTJOIN(",",TRUE,B43:E43),SF_Output!$Q$1:$Q$400,"monthly")*(1-W43)/H43,4),""),"")</f>
        <v/>
      </c>
      <c r="J43" s="6">
        <f>IF(B43="","",SUMIFS(SF_Output!$S$1:$S$400,SF_Output!$AC$1:$AC$400,_xlfn.TEXTJOIN(",",TRUE,B43:E43),SF_Output!$Q$1:$Q$400,"One Time",SF_Output!$L$1:$L$400,"license fee")+SUMIFS(SF_Output!$S$1:$S$400,SF_Output!$AC$1:$AC$400,_xlfn.TEXTJOIN(",",TRUE,B43:E43),SF_Output!$Q$1:$Q$400,"One Time",SF_Output!$L$1:$L$400,"software license")+SUMIFS(SF_Output!$S$1:$S$400,SF_Output!$AC$1:$AC$400,_xlfn.TEXTJOIN(",",TRUE,B43:E43),SF_Output!$Q$1:$Q$400,"One Time",SF_Output!$L$1:$L$400,"hardware"))</f>
        <v>0</v>
      </c>
      <c r="K43" s="112" t="str">
        <f>IF(OR(B43=0,B43="",G43="hardware",J43=0),"",IF(AF43&lt;&gt;"exclusion",MAX(K$9,-((SUMIFS(SF_Output!$T$1:$T$400,SF_Output!$AC$1:$AC$400,_xlfn.TEXTJOIN(",",TRUE,$B43:$E43),SF_Output!$Q$1:$Q$400,"One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license"))/J43)))</f>
        <v/>
      </c>
      <c r="L43" s="6">
        <f t="shared" si="1"/>
        <v>0</v>
      </c>
      <c r="N43" s="6">
        <f>IF(B43="","",SUMIFS(SF_Output!$S$1:$S$400,SF_Output!$AC$1:$AC$400,_xlfn.TEXTJOIN(",",TRUE,B43:E43),SF_Output!$Q$1:$Q$400,"One Time",SF_Output!$L$1:$L$400,"professional service"))</f>
        <v>5000</v>
      </c>
      <c r="O43" s="112">
        <f>IF(OR(B43=0,B43="",N43=0),"",IF(AF43&lt;&gt;"exclusion",MAX(O$9,-(SUMIFS(SF_Output!$T$1:$T$400,SF_Output!$AC$1:$AC$400,_xlfn.TEXTJOIN(",",TRUE,$B43:$E43),SF_Output!$Q$1:$Q$400,"One Time",SF_Output!$L$1:$L$400,"professional service"))/N43),-((SUMIFS(SF_Output!$T$1:$T$400,SF_Output!$AC$1:$AC$400,_xlfn.TEXTJOIN(",",TRUE,$B43:$E43),SF_Output!$Q$1:$Q$400,"One Time",SF_Output!$L$1:$L$400,"professional service")/N43))))</f>
        <v>1</v>
      </c>
      <c r="P43" s="6">
        <f t="shared" si="2"/>
        <v>0</v>
      </c>
      <c r="R43" s="6">
        <f>IF(B43="","",SUMIFS(SF_Output!$S$1:$S$400,SF_Output!$AC$1:$AC$400,_xlfn.TEXTJOIN(",",TRUE,B43:E43),SF_Output!$Q$1:$Q$400,"yearly")+SUMIFS(SF_Output!$S$1:$S$400,SF_Output!$AC$1:$AC$400,_xlfn.TEXTJOIN(",",TRUE,B43:E43),SF_Output!$Q$1:$Q$400,"quarterly")*4)</f>
        <v>0</v>
      </c>
      <c r="S43" s="112" t="str">
        <f>IF(OR(B43=0,B43="",G43="hardware",R43=0),"",IF(AF43&lt;&gt;"exclusion",MAX(S$9,-(SUMIFS(SF_Output!$T$1:$T$400,SF_Output!$AC$1:$AC$400,_xlfn.TEXTJOIN(",",TRUE,$B43:$E43),SF_Output!$Q$1:$Q$400,"yearly"))/R43),-((SUMIFS(SF_Output!$T$1:$T$400,SF_Output!$AC$1:$AC$400,_xlfn.TEXTJOIN(",",TRUE,$B43:$E43),SF_Output!$Q$1:$Q$400,"yearly")/R43))))</f>
        <v/>
      </c>
      <c r="T43" s="6">
        <f t="shared" si="3"/>
        <v>0</v>
      </c>
      <c r="V43" s="6" cm="1">
        <f t="array" ref="V43">_xlfn.IFS(B43="","",AND(B43&lt;&gt;"",H43=SF_Output!$Y$2,SUMIFS(SF_Output!$T$1:$T$400,SF_Output!$AC$1:$AC$400,_xlfn.TEXTJOIN(",",TRUE,B43:E43),SF_Output!$Q$1:$Q$400,"monthly")=0),(SUMIFS(SF_Output!$F$1:$F$400,SF_Output!$AC$1:$AC$400,_xlfn.TEXTJOIN(",",TRUE,B43:E43),SF_Output!$Q$1:$Q$400,"monthly")+SUMIFS(SF_Output!$G$1:$G$400,SF_Output!$AC$1:$AC$400,_xlfn.TEXTJOIN(",",TRUE,B43:E43),SF_Output!$Q$1:$Q$400,"monthly"))*H43,AND(B43&lt;&gt;"",H43=SF_Output!$Y$2,SUMIFS(SF_Output!$T$1:$T$400,SF_Output!$AC$1:$AC$400,_xlfn.TEXTJOIN(",",TRUE,B43:E43),SF_Output!$Q$1:$Q$400,"monthly")&lt;&gt;0),SUMIFS(SF_Output!$S$1:$S$400,SF_Output!$AC$1:$AC$400,_xlfn.TEXTJOIN(",",TRUE,B43:E43),SF_Output!$Q$1:$Q$400,"monthly"),AND(B43&lt;&gt;"",H43&lt;&gt;SF_Output!$Y$2),SUMIFS(SF_Output!$S$1:$S$400,SF_Output!$AC$1:$AC$400,_xlfn.TEXTJOIN(",",TRUE,B43:E43),SF_Output!$Q$1:$Q$400,"monthly"))</f>
        <v>0</v>
      </c>
      <c r="W43" s="112" t="str" cm="1">
        <f t="array" ref="W43">_xlfn.IFS(OR(B43=0,B43="",V43=0),"",AF43&lt;&gt;"exclusion",MAX($W$9,$W$7,(-(SUMIFS(SF_Output!$T$1:$T$400,SF_Output!$AC$1:$AC$400,_xlfn.TEXTJOIN(",",TRUE,$B43:$E43),SF_Output!$Q$1:$Q$400,"monthly"))/V43)),AF43="exclusion",-(SUMIFS(SF_Output!$T$1:$T$400,SF_Output!$AC$1:$AC$400,_xlfn.TEXTJOIN(",",TRUE,$B43:$E43),SF_Output!$Q$1:$Q$400,"monthly"))/V43)</f>
        <v/>
      </c>
      <c r="X43" s="6" cm="1">
        <f t="array" ref="X43">IFERROR(_xlfn.IFS(V43=0,0,V43="","",W43=0,V43,OR(V43&lt;&gt;0,V43&lt;&gt;""),H43*I43),V43*(1-W43))</f>
        <v>0</v>
      </c>
    </row>
    <row r="44" spans="2:24" x14ac:dyDescent="0.25">
      <c r="B44" t="s">
        <v>1806</v>
      </c>
      <c r="C44" t="s">
        <v>2122</v>
      </c>
      <c r="D44" t="s">
        <v>2123</v>
      </c>
      <c r="E44" t="s">
        <v>2150</v>
      </c>
      <c r="F44" s="116" t="str">
        <f t="shared" si="0"/>
        <v>Optional</v>
      </c>
      <c r="G44" t="str">
        <f>IF(B44="","",INDEX(SF_Output!$K$1:$K$400,MATCH(B44,SF_Output!$M$1:$M$400,0)))</f>
        <v>Banno</v>
      </c>
      <c r="H44" cm="1">
        <f t="array" ref="H44">_xlfn.IFS(B44="","",(SUMIFS(SF_Output!$F$1:$F$400,SF_Output!$AC$1:$AC$400,_xlfn.TEXTJOIN(",",TRUE,B44:E44))+SUMIFS(SF_Output!$G$1:$G$400,SF_Output!$AC$1:$AC$400,_xlfn.TEXTJOIN(",",TRUE,B44:E44)))&lt;&gt;0,SF_Output!$Y$2,INDEX(SF_Output!$F$1:$F$400,MATCH(_xlfn.TEXTJOIN(",",TRUE,B44:E44),SF_Output!$AC$1:$AC$400,0))=0,INDEX(SF_Output!$R$1:$R$400,MATCH(_xlfn.TEXTJOIN(",",TRUE,B44:E44),SF_Output!$AC$1:$AC$400,0)))</f>
        <v>1</v>
      </c>
      <c r="I44" s="125" t="str">
        <f>IFERROR(IF(AND(H44&gt;1,H44&lt;&gt;""),ROUND(SUMIFS(SF_Output!$S$1:$S$400,SF_Output!$AC$1:$AC$400,_xlfn.TEXTJOIN(",",TRUE,B44:E44),SF_Output!$Q$1:$Q$400,"monthly")*(1-W44)/H44,4),""),"")</f>
        <v/>
      </c>
      <c r="J44" s="6">
        <f>IF(B44="","",SUMIFS(SF_Output!$S$1:$S$400,SF_Output!$AC$1:$AC$400,_xlfn.TEXTJOIN(",",TRUE,B44:E44),SF_Output!$Q$1:$Q$400,"One Time",SF_Output!$L$1:$L$400,"license fee")+SUMIFS(SF_Output!$S$1:$S$400,SF_Output!$AC$1:$AC$400,_xlfn.TEXTJOIN(",",TRUE,B44:E44),SF_Output!$Q$1:$Q$400,"One Time",SF_Output!$L$1:$L$400,"software license")+SUMIFS(SF_Output!$S$1:$S$400,SF_Output!$AC$1:$AC$400,_xlfn.TEXTJOIN(",",TRUE,B44:E44),SF_Output!$Q$1:$Q$400,"One Time",SF_Output!$L$1:$L$400,"hardware"))</f>
        <v>0</v>
      </c>
      <c r="K44" s="112" t="str">
        <f>IF(OR(B44=0,B44="",G44="hardware",J44=0),"",IF(AF44&lt;&gt;"exclusion",MAX(K$9,-((SUMIFS(SF_Output!$T$1:$T$400,SF_Output!$AC$1:$AC$400,_xlfn.TEXTJOIN(",",TRUE,$B44:$E44),SF_Output!$Q$1:$Q$400,"One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license"))/J44)))</f>
        <v/>
      </c>
      <c r="L44" s="6">
        <f t="shared" si="1"/>
        <v>0</v>
      </c>
      <c r="N44" s="6">
        <f>IF(B44="","",SUMIFS(SF_Output!$S$1:$S$400,SF_Output!$AC$1:$AC$400,_xlfn.TEXTJOIN(",",TRUE,B44:E44),SF_Output!$Q$1:$Q$400,"One Time",SF_Output!$L$1:$L$400,"professional service"))</f>
        <v>10000</v>
      </c>
      <c r="O44" s="112">
        <f>IF(OR(B44=0,B44="",N44=0),"",IF(AF44&lt;&gt;"exclusion",MAX(O$9,-(SUMIFS(SF_Output!$T$1:$T$400,SF_Output!$AC$1:$AC$400,_xlfn.TEXTJOIN(",",TRUE,$B44:$E44),SF_Output!$Q$1:$Q$400,"One Time",SF_Output!$L$1:$L$400,"professional service"))/N44),-((SUMIFS(SF_Output!$T$1:$T$400,SF_Output!$AC$1:$AC$400,_xlfn.TEXTJOIN(",",TRUE,$B44:$E44),SF_Output!$Q$1:$Q$400,"One Time",SF_Output!$L$1:$L$400,"professional service")/N44))))</f>
        <v>1</v>
      </c>
      <c r="P44" s="6">
        <f t="shared" si="2"/>
        <v>0</v>
      </c>
      <c r="R44" s="6">
        <f>IF(B44="","",SUMIFS(SF_Output!$S$1:$S$400,SF_Output!$AC$1:$AC$400,_xlfn.TEXTJOIN(",",TRUE,B44:E44),SF_Output!$Q$1:$Q$400,"yearly")+SUMIFS(SF_Output!$S$1:$S$400,SF_Output!$AC$1:$AC$400,_xlfn.TEXTJOIN(",",TRUE,B44:E44),SF_Output!$Q$1:$Q$400,"quarterly")*4)</f>
        <v>0</v>
      </c>
      <c r="S44" s="112" t="str">
        <f>IF(OR(B44=0,B44="",G44="hardware",R44=0),"",IF(AF44&lt;&gt;"exclusion",MAX(S$9,-(SUMIFS(SF_Output!$T$1:$T$400,SF_Output!$AC$1:$AC$400,_xlfn.TEXTJOIN(",",TRUE,$B44:$E44),SF_Output!$Q$1:$Q$400,"yearly"))/R44),-((SUMIFS(SF_Output!$T$1:$T$400,SF_Output!$AC$1:$AC$400,_xlfn.TEXTJOIN(",",TRUE,$B44:$E44),SF_Output!$Q$1:$Q$400,"yearly")/R44))))</f>
        <v/>
      </c>
      <c r="T44" s="6">
        <f t="shared" si="3"/>
        <v>0</v>
      </c>
      <c r="V44" s="6" cm="1">
        <f t="array" ref="V44">_xlfn.IFS(B44="","",AND(B44&lt;&gt;"",H44=SF_Output!$Y$2,SUMIFS(SF_Output!$T$1:$T$400,SF_Output!$AC$1:$AC$400,_xlfn.TEXTJOIN(",",TRUE,B44:E44),SF_Output!$Q$1:$Q$400,"monthly")=0),(SUMIFS(SF_Output!$F$1:$F$400,SF_Output!$AC$1:$AC$400,_xlfn.TEXTJOIN(",",TRUE,B44:E44),SF_Output!$Q$1:$Q$400,"monthly")+SUMIFS(SF_Output!$G$1:$G$400,SF_Output!$AC$1:$AC$400,_xlfn.TEXTJOIN(",",TRUE,B44:E44),SF_Output!$Q$1:$Q$400,"monthly"))*H44,AND(B44&lt;&gt;"",H44=SF_Output!$Y$2,SUMIFS(SF_Output!$T$1:$T$400,SF_Output!$AC$1:$AC$400,_xlfn.TEXTJOIN(",",TRUE,B44:E44),SF_Output!$Q$1:$Q$400,"monthly")&lt;&gt;0),SUMIFS(SF_Output!$S$1:$S$400,SF_Output!$AC$1:$AC$400,_xlfn.TEXTJOIN(",",TRUE,B44:E44),SF_Output!$Q$1:$Q$400,"monthly"),AND(B44&lt;&gt;"",H44&lt;&gt;SF_Output!$Y$2),SUMIFS(SF_Output!$S$1:$S$400,SF_Output!$AC$1:$AC$400,_xlfn.TEXTJOIN(",",TRUE,B44:E44),SF_Output!$Q$1:$Q$400,"monthly"))</f>
        <v>500</v>
      </c>
      <c r="W44" s="112" cm="1">
        <f t="array" ref="W44">_xlfn.IFS(OR(B44=0,B44="",V44=0),"",AF44&lt;&gt;"exclusion",MAX($W$9,$W$7,(-(SUMIFS(SF_Output!$T$1:$T$400,SF_Output!$AC$1:$AC$400,_xlfn.TEXTJOIN(",",TRUE,$B44:$E44),SF_Output!$Q$1:$Q$400,"monthly"))/V44)),AF44="exclusion",-(SUMIFS(SF_Output!$T$1:$T$400,SF_Output!$AC$1:$AC$400,_xlfn.TEXTJOIN(",",TRUE,$B44:$E44),SF_Output!$Q$1:$Q$400,"monthly"))/V44)</f>
        <v>0</v>
      </c>
      <c r="X44" s="6" cm="1">
        <f t="array" ref="X44">IFERROR(_xlfn.IFS(V44=0,0,V44="","",W44=0,V44,OR(V44&lt;&gt;0,V44&lt;&gt;""),H44*I44),V44*(1-W44))</f>
        <v>500</v>
      </c>
    </row>
    <row r="45" spans="2:24" x14ac:dyDescent="0.25">
      <c r="B45" t="s">
        <v>2226</v>
      </c>
      <c r="C45" t="s">
        <v>2122</v>
      </c>
      <c r="D45" t="s">
        <v>2207</v>
      </c>
      <c r="E45" t="s">
        <v>2124</v>
      </c>
      <c r="F45" s="116" t="str">
        <f t="shared" si="0"/>
        <v>Included</v>
      </c>
      <c r="G45" t="str">
        <f>IF(B45="","",INDEX(SF_Output!$K$1:$K$400,MATCH(B45,SF_Output!$M$1:$M$400,0)))</f>
        <v>Banno</v>
      </c>
      <c r="H45" cm="1">
        <f t="array" ref="H45">_xlfn.IFS(B45="","",(SUMIFS(SF_Output!$F$1:$F$400,SF_Output!$AC$1:$AC$400,_xlfn.TEXTJOIN(",",TRUE,B45:E45))+SUMIFS(SF_Output!$G$1:$G$400,SF_Output!$AC$1:$AC$400,_xlfn.TEXTJOIN(",",TRUE,B45:E45)))&lt;&gt;0,SF_Output!$Y$2,INDEX(SF_Output!$F$1:$F$400,MATCH(_xlfn.TEXTJOIN(",",TRUE,B45:E45),SF_Output!$AC$1:$AC$400,0))=0,INDEX(SF_Output!$R$1:$R$400,MATCH(_xlfn.TEXTJOIN(",",TRUE,B45:E45),SF_Output!$AC$1:$AC$400,0)))</f>
        <v>1</v>
      </c>
      <c r="I45" s="125" t="str">
        <f>IFERROR(IF(AND(H45&gt;1,H45&lt;&gt;""),ROUND(SUMIFS(SF_Output!$S$1:$S$400,SF_Output!$AC$1:$AC$400,_xlfn.TEXTJOIN(",",TRUE,B45:E45),SF_Output!$Q$1:$Q$400,"monthly")*(1-W45)/H45,4),""),"")</f>
        <v/>
      </c>
      <c r="J45" s="6">
        <f>IF(B45="","",SUMIFS(SF_Output!$S$1:$S$400,SF_Output!$AC$1:$AC$400,_xlfn.TEXTJOIN(",",TRUE,B45:E45),SF_Output!$Q$1:$Q$400,"One Time",SF_Output!$L$1:$L$400,"license fee")+SUMIFS(SF_Output!$S$1:$S$400,SF_Output!$AC$1:$AC$400,_xlfn.TEXTJOIN(",",TRUE,B45:E45),SF_Output!$Q$1:$Q$400,"One Time",SF_Output!$L$1:$L$400,"software license")+SUMIFS(SF_Output!$S$1:$S$400,SF_Output!$AC$1:$AC$400,_xlfn.TEXTJOIN(",",TRUE,B45:E45),SF_Output!$Q$1:$Q$400,"One Time",SF_Output!$L$1:$L$400,"hardware"))</f>
        <v>0</v>
      </c>
      <c r="K45" s="112" t="str">
        <f>IF(OR(B45=0,B45="",G45="hardware",J45=0),"",IF(AF45&lt;&gt;"exclusion",MAX(K$9,-((SUMIFS(SF_Output!$T$1:$T$400,SF_Output!$AC$1:$AC$400,_xlfn.TEXTJOIN(",",TRUE,$B45:$E45),SF_Output!$Q$1:$Q$400,"One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license"))/J45)))</f>
        <v/>
      </c>
      <c r="L45" s="6">
        <f t="shared" si="1"/>
        <v>0</v>
      </c>
      <c r="N45" s="6">
        <f>IF(B45="","",SUMIFS(SF_Output!$S$1:$S$400,SF_Output!$AC$1:$AC$400,_xlfn.TEXTJOIN(",",TRUE,B45:E45),SF_Output!$Q$1:$Q$400,"One Time",SF_Output!$L$1:$L$400,"professional service"))</f>
        <v>2000</v>
      </c>
      <c r="O45" s="112">
        <f>IF(OR(B45=0,B45="",N45=0),"",IF(AF45&lt;&gt;"exclusion",MAX(O$9,-(SUMIFS(SF_Output!$T$1:$T$400,SF_Output!$AC$1:$AC$400,_xlfn.TEXTJOIN(",",TRUE,$B45:$E45),SF_Output!$Q$1:$Q$400,"One Time",SF_Output!$L$1:$L$400,"professional service"))/N45),-((SUMIFS(SF_Output!$T$1:$T$400,SF_Output!$AC$1:$AC$400,_xlfn.TEXTJOIN(",",TRUE,$B45:$E45),SF_Output!$Q$1:$Q$400,"One Time",SF_Output!$L$1:$L$400,"professional service")/N45))))</f>
        <v>1</v>
      </c>
      <c r="P45" s="6">
        <f t="shared" si="2"/>
        <v>0</v>
      </c>
      <c r="R45" s="6">
        <f>IF(B45="","",SUMIFS(SF_Output!$S$1:$S$400,SF_Output!$AC$1:$AC$400,_xlfn.TEXTJOIN(",",TRUE,B45:E45),SF_Output!$Q$1:$Q$400,"yearly")+SUMIFS(SF_Output!$S$1:$S$400,SF_Output!$AC$1:$AC$400,_xlfn.TEXTJOIN(",",TRUE,B45:E45),SF_Output!$Q$1:$Q$400,"quarterly")*4)</f>
        <v>0</v>
      </c>
      <c r="S45" s="112" t="str">
        <f>IF(OR(B45=0,B45="",G45="hardware",R45=0),"",IF(AF45&lt;&gt;"exclusion",MAX(S$9,-(SUMIFS(SF_Output!$T$1:$T$400,SF_Output!$AC$1:$AC$400,_xlfn.TEXTJOIN(",",TRUE,$B45:$E45),SF_Output!$Q$1:$Q$400,"yearly"))/R45),-((SUMIFS(SF_Output!$T$1:$T$400,SF_Output!$AC$1:$AC$400,_xlfn.TEXTJOIN(",",TRUE,$B45:$E45),SF_Output!$Q$1:$Q$400,"yearly")/R45))))</f>
        <v/>
      </c>
      <c r="T45" s="6">
        <f t="shared" si="3"/>
        <v>0</v>
      </c>
      <c r="V45" s="6" cm="1">
        <f t="array" ref="V45">_xlfn.IFS(B45="","",AND(B45&lt;&gt;"",H45=SF_Output!$Y$2,SUMIFS(SF_Output!$T$1:$T$400,SF_Output!$AC$1:$AC$400,_xlfn.TEXTJOIN(",",TRUE,B45:E45),SF_Output!$Q$1:$Q$400,"monthly")=0),(SUMIFS(SF_Output!$F$1:$F$400,SF_Output!$AC$1:$AC$400,_xlfn.TEXTJOIN(",",TRUE,B45:E45),SF_Output!$Q$1:$Q$400,"monthly")+SUMIFS(SF_Output!$G$1:$G$400,SF_Output!$AC$1:$AC$400,_xlfn.TEXTJOIN(",",TRUE,B45:E45),SF_Output!$Q$1:$Q$400,"monthly"))*H45,AND(B45&lt;&gt;"",H45=SF_Output!$Y$2,SUMIFS(SF_Output!$T$1:$T$400,SF_Output!$AC$1:$AC$400,_xlfn.TEXTJOIN(",",TRUE,B45:E45),SF_Output!$Q$1:$Q$400,"monthly")&lt;&gt;0),SUMIFS(SF_Output!$S$1:$S$400,SF_Output!$AC$1:$AC$400,_xlfn.TEXTJOIN(",",TRUE,B45:E45),SF_Output!$Q$1:$Q$400,"monthly"),AND(B45&lt;&gt;"",H45&lt;&gt;SF_Output!$Y$2),SUMIFS(SF_Output!$S$1:$S$400,SF_Output!$AC$1:$AC$400,_xlfn.TEXTJOIN(",",TRUE,B45:E45),SF_Output!$Q$1:$Q$400,"monthly"))</f>
        <v>50</v>
      </c>
      <c r="W45" s="112" cm="1">
        <f t="array" ref="W45">_xlfn.IFS(OR(B45=0,B45="",V45=0),"",AF45&lt;&gt;"exclusion",MAX($W$9,$W$7,(-(SUMIFS(SF_Output!$T$1:$T$400,SF_Output!$AC$1:$AC$400,_xlfn.TEXTJOIN(",",TRUE,$B45:$E45),SF_Output!$Q$1:$Q$400,"monthly"))/V45)),AF45="exclusion",-(SUMIFS(SF_Output!$T$1:$T$400,SF_Output!$AC$1:$AC$400,_xlfn.TEXTJOIN(",",TRUE,$B45:$E45),SF_Output!$Q$1:$Q$400,"monthly"))/V45)</f>
        <v>0</v>
      </c>
      <c r="X45" s="6" cm="1">
        <f t="array" ref="X45">IFERROR(_xlfn.IFS(V45=0,0,V45="","",W45=0,V45,OR(V45&lt;&gt;0,V45&lt;&gt;""),H45*I45),V45*(1-W45))</f>
        <v>50</v>
      </c>
    </row>
    <row r="46" spans="2:24" x14ac:dyDescent="0.25">
      <c r="B46" t="s">
        <v>589</v>
      </c>
      <c r="C46" t="s">
        <v>2122</v>
      </c>
      <c r="D46" t="s">
        <v>2123</v>
      </c>
      <c r="E46" t="s">
        <v>2150</v>
      </c>
      <c r="F46" s="116" t="str">
        <f t="shared" si="0"/>
        <v>Optional</v>
      </c>
      <c r="G46" t="str">
        <f>IF(B46="","",INDEX(SF_Output!$K$1:$K$400,MATCH(B46,SF_Output!$M$1:$M$400,0)))</f>
        <v>Banno</v>
      </c>
      <c r="H46" cm="1">
        <f t="array" ref="H46">_xlfn.IFS(B46="","",(SUMIFS(SF_Output!$F$1:$F$400,SF_Output!$AC$1:$AC$400,_xlfn.TEXTJOIN(",",TRUE,B46:E46))+SUMIFS(SF_Output!$G$1:$G$400,SF_Output!$AC$1:$AC$400,_xlfn.TEXTJOIN(",",TRUE,B46:E46)))&lt;&gt;0,SF_Output!$Y$2,INDEX(SF_Output!$F$1:$F$400,MATCH(_xlfn.TEXTJOIN(",",TRUE,B46:E46),SF_Output!$AC$1:$AC$400,0))=0,INDEX(SF_Output!$R$1:$R$400,MATCH(_xlfn.TEXTJOIN(",",TRUE,B46:E46),SF_Output!$AC$1:$AC$400,0)))</f>
        <v>1</v>
      </c>
      <c r="I46" s="125" t="str">
        <f>IFERROR(IF(AND(H46&gt;1,H46&lt;&gt;""),ROUND(SUMIFS(SF_Output!$S$1:$S$400,SF_Output!$AC$1:$AC$400,_xlfn.TEXTJOIN(",",TRUE,B46:E46),SF_Output!$Q$1:$Q$400,"monthly")*(1-W46)/H46,4),""),"")</f>
        <v/>
      </c>
      <c r="J46" s="6">
        <f>IF(B46="","",SUMIFS(SF_Output!$S$1:$S$400,SF_Output!$AC$1:$AC$400,_xlfn.TEXTJOIN(",",TRUE,B46:E46),SF_Output!$Q$1:$Q$400,"One Time",SF_Output!$L$1:$L$400,"license fee")+SUMIFS(SF_Output!$S$1:$S$400,SF_Output!$AC$1:$AC$400,_xlfn.TEXTJOIN(",",TRUE,B46:E46),SF_Output!$Q$1:$Q$400,"One Time",SF_Output!$L$1:$L$400,"software license")+SUMIFS(SF_Output!$S$1:$S$400,SF_Output!$AC$1:$AC$400,_xlfn.TEXTJOIN(",",TRUE,B46:E46),SF_Output!$Q$1:$Q$400,"One Time",SF_Output!$L$1:$L$400,"hardware"))</f>
        <v>0</v>
      </c>
      <c r="K46" s="112" t="str">
        <f>IF(OR(B46=0,B46="",G46="hardware",J46=0),"",IF(AF46&lt;&gt;"exclusion",MAX(K$9,-((SUMIFS(SF_Output!$T$1:$T$400,SF_Output!$AC$1:$AC$400,_xlfn.TEXTJOIN(",",TRUE,$B46:$E46),SF_Output!$Q$1:$Q$400,"One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license"))/J46)))</f>
        <v/>
      </c>
      <c r="L46" s="6">
        <f t="shared" si="1"/>
        <v>0</v>
      </c>
      <c r="N46" s="6">
        <f>IF(B46="","",SUMIFS(SF_Output!$S$1:$S$400,SF_Output!$AC$1:$AC$400,_xlfn.TEXTJOIN(",",TRUE,B46:E46),SF_Output!$Q$1:$Q$400,"One Time",SF_Output!$L$1:$L$400,"professional service"))</f>
        <v>5000</v>
      </c>
      <c r="O46" s="112">
        <f>IF(OR(B46=0,B46="",N46=0),"",IF(AF46&lt;&gt;"exclusion",MAX(O$9,-(SUMIFS(SF_Output!$T$1:$T$400,SF_Output!$AC$1:$AC$400,_xlfn.TEXTJOIN(",",TRUE,$B46:$E46),SF_Output!$Q$1:$Q$400,"One Time",SF_Output!$L$1:$L$400,"professional service"))/N46),-((SUMIFS(SF_Output!$T$1:$T$400,SF_Output!$AC$1:$AC$400,_xlfn.TEXTJOIN(",",TRUE,$B46:$E46),SF_Output!$Q$1:$Q$400,"One Time",SF_Output!$L$1:$L$400,"professional service")/N46))))</f>
        <v>1</v>
      </c>
      <c r="P46" s="6">
        <f t="shared" si="2"/>
        <v>0</v>
      </c>
      <c r="R46" s="6">
        <f>IF(B46="","",SUMIFS(SF_Output!$S$1:$S$400,SF_Output!$AC$1:$AC$400,_xlfn.TEXTJOIN(",",TRUE,B46:E46),SF_Output!$Q$1:$Q$400,"yearly")+SUMIFS(SF_Output!$S$1:$S$400,SF_Output!$AC$1:$AC$400,_xlfn.TEXTJOIN(",",TRUE,B46:E46),SF_Output!$Q$1:$Q$400,"quarterly")*4)</f>
        <v>0</v>
      </c>
      <c r="S46" s="112" t="str">
        <f>IF(OR(B46=0,B46="",G46="hardware",R46=0),"",IF(AF46&lt;&gt;"exclusion",MAX(S$9,-(SUMIFS(SF_Output!$T$1:$T$400,SF_Output!$AC$1:$AC$400,_xlfn.TEXTJOIN(",",TRUE,$B46:$E46),SF_Output!$Q$1:$Q$400,"yearly"))/R46),-((SUMIFS(SF_Output!$T$1:$T$400,SF_Output!$AC$1:$AC$400,_xlfn.TEXTJOIN(",",TRUE,$B46:$E46),SF_Output!$Q$1:$Q$400,"yearly")/R46))))</f>
        <v/>
      </c>
      <c r="T46" s="6">
        <f t="shared" si="3"/>
        <v>0</v>
      </c>
      <c r="V46" s="6" cm="1">
        <f t="array" ref="V46">_xlfn.IFS(B46="","",AND(B46&lt;&gt;"",H46=SF_Output!$Y$2,SUMIFS(SF_Output!$T$1:$T$400,SF_Output!$AC$1:$AC$400,_xlfn.TEXTJOIN(",",TRUE,B46:E46),SF_Output!$Q$1:$Q$400,"monthly")=0),(SUMIFS(SF_Output!$F$1:$F$400,SF_Output!$AC$1:$AC$400,_xlfn.TEXTJOIN(",",TRUE,B46:E46),SF_Output!$Q$1:$Q$400,"monthly")+SUMIFS(SF_Output!$G$1:$G$400,SF_Output!$AC$1:$AC$400,_xlfn.TEXTJOIN(",",TRUE,B46:E46),SF_Output!$Q$1:$Q$400,"monthly"))*H46,AND(B46&lt;&gt;"",H46=SF_Output!$Y$2,SUMIFS(SF_Output!$T$1:$T$400,SF_Output!$AC$1:$AC$400,_xlfn.TEXTJOIN(",",TRUE,B46:E46),SF_Output!$Q$1:$Q$400,"monthly")&lt;&gt;0),SUMIFS(SF_Output!$S$1:$S$400,SF_Output!$AC$1:$AC$400,_xlfn.TEXTJOIN(",",TRUE,B46:E46),SF_Output!$Q$1:$Q$400,"monthly"),AND(B46&lt;&gt;"",H46&lt;&gt;SF_Output!$Y$2),SUMIFS(SF_Output!$S$1:$S$400,SF_Output!$AC$1:$AC$400,_xlfn.TEXTJOIN(",",TRUE,B46:E46),SF_Output!$Q$1:$Q$400,"monthly"))</f>
        <v>0</v>
      </c>
      <c r="W46" s="112" t="str" cm="1">
        <f t="array" ref="W46">_xlfn.IFS(OR(B46=0,B46="",V46=0),"",AF46&lt;&gt;"exclusion",MAX($W$9,$W$7,(-(SUMIFS(SF_Output!$T$1:$T$400,SF_Output!$AC$1:$AC$400,_xlfn.TEXTJOIN(",",TRUE,$B46:$E46),SF_Output!$Q$1:$Q$400,"monthly"))/V46)),AF46="exclusion",-(SUMIFS(SF_Output!$T$1:$T$400,SF_Output!$AC$1:$AC$400,_xlfn.TEXTJOIN(",",TRUE,$B46:$E46),SF_Output!$Q$1:$Q$400,"monthly"))/V46)</f>
        <v/>
      </c>
      <c r="X46" s="6" cm="1">
        <f t="array" ref="X46">IFERROR(_xlfn.IFS(V46=0,0,V46="","",W46=0,V46,OR(V46&lt;&gt;0,V46&lt;&gt;""),H46*I46),V46*(1-W46))</f>
        <v>0</v>
      </c>
    </row>
    <row r="47" spans="2:24" x14ac:dyDescent="0.25">
      <c r="B47" t="s">
        <v>604</v>
      </c>
      <c r="C47" t="s">
        <v>2122</v>
      </c>
      <c r="D47" t="s">
        <v>2123</v>
      </c>
      <c r="E47" t="s">
        <v>2124</v>
      </c>
      <c r="F47" s="116" t="str">
        <f t="shared" si="0"/>
        <v>Included</v>
      </c>
      <c r="G47" t="str">
        <f>IF(B47="","",INDEX(SF_Output!$K$1:$K$400,MATCH(B47,SF_Output!$M$1:$M$400,0)))</f>
        <v>Electronic Statements Interactive(ESI)</v>
      </c>
      <c r="H47" cm="1">
        <f t="array" ref="H47">_xlfn.IFS(B47="","",(SUMIFS(SF_Output!$F$1:$F$400,SF_Output!$AC$1:$AC$400,_xlfn.TEXTJOIN(",",TRUE,B47:E47))+SUMIFS(SF_Output!$G$1:$G$400,SF_Output!$AC$1:$AC$400,_xlfn.TEXTJOIN(",",TRUE,B47:E47)))&lt;&gt;0,SF_Output!$Y$2,INDEX(SF_Output!$F$1:$F$400,MATCH(_xlfn.TEXTJOIN(",",TRUE,B47:E47),SF_Output!$AC$1:$AC$400,0))=0,INDEX(SF_Output!$R$1:$R$400,MATCH(_xlfn.TEXTJOIN(",",TRUE,B47:E47),SF_Output!$AC$1:$AC$400,0)))</f>
        <v>5000</v>
      </c>
      <c r="I47" s="125">
        <f>IFERROR(IF(AND(H47&gt;1,H47&lt;&gt;""),ROUND(SUMIFS(SF_Output!$S$1:$S$400,SF_Output!$AC$1:$AC$400,_xlfn.TEXTJOIN(",",TRUE,B47:E47),SF_Output!$Q$1:$Q$400,"monthly")*(1-W47)/H47,4),""),"")</f>
        <v>2.1000000000000001E-2</v>
      </c>
      <c r="J47" s="6">
        <f>IF(B47="","",SUMIFS(SF_Output!$S$1:$S$400,SF_Output!$AC$1:$AC$400,_xlfn.TEXTJOIN(",",TRUE,B47:E47),SF_Output!$Q$1:$Q$400,"One Time",SF_Output!$L$1:$L$400,"license fee")+SUMIFS(SF_Output!$S$1:$S$400,SF_Output!$AC$1:$AC$400,_xlfn.TEXTJOIN(",",TRUE,B47:E47),SF_Output!$Q$1:$Q$400,"One Time",SF_Output!$L$1:$L$400,"software license")+SUMIFS(SF_Output!$S$1:$S$400,SF_Output!$AC$1:$AC$400,_xlfn.TEXTJOIN(",",TRUE,B47:E47),SF_Output!$Q$1:$Q$400,"One Time",SF_Output!$L$1:$L$400,"hardware"))</f>
        <v>0</v>
      </c>
      <c r="K47" s="112" t="str">
        <f>IF(OR(B47=0,B47="",G47="hardware",J47=0),"",IF(AF47&lt;&gt;"exclusion",MAX(K$9,-((SUMIFS(SF_Output!$T$1:$T$400,SF_Output!$AC$1:$AC$400,_xlfn.TEXTJOIN(",",TRUE,$B47:$E47),SF_Output!$Q$1:$Q$400,"One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license"))/J47)))</f>
        <v/>
      </c>
      <c r="L47" s="6">
        <f t="shared" si="1"/>
        <v>0</v>
      </c>
      <c r="N47" s="6">
        <f>IF(B47="","",SUMIFS(SF_Output!$S$1:$S$400,SF_Output!$AC$1:$AC$400,_xlfn.TEXTJOIN(",",TRUE,B47:E47),SF_Output!$Q$1:$Q$400,"One Time",SF_Output!$L$1:$L$400,"professional service"))</f>
        <v>1750</v>
      </c>
      <c r="O47" s="112">
        <f>IF(OR(B47=0,B47="",N47=0),"",IF(AF47&lt;&gt;"exclusion",MAX(O$9,-(SUMIFS(SF_Output!$T$1:$T$400,SF_Output!$AC$1:$AC$400,_xlfn.TEXTJOIN(",",TRUE,$B47:$E47),SF_Output!$Q$1:$Q$400,"One Time",SF_Output!$L$1:$L$400,"professional service"))/N47),-((SUMIFS(SF_Output!$T$1:$T$400,SF_Output!$AC$1:$AC$400,_xlfn.TEXTJOIN(",",TRUE,$B47:$E47),SF_Output!$Q$1:$Q$400,"One Time",SF_Output!$L$1:$L$400,"professional service")/N47))))</f>
        <v>1</v>
      </c>
      <c r="P47" s="6">
        <f t="shared" si="2"/>
        <v>0</v>
      </c>
      <c r="R47" s="6">
        <f>IF(B47="","",SUMIFS(SF_Output!$S$1:$S$400,SF_Output!$AC$1:$AC$400,_xlfn.TEXTJOIN(",",TRUE,B47:E47),SF_Output!$Q$1:$Q$400,"yearly")+SUMIFS(SF_Output!$S$1:$S$400,SF_Output!$AC$1:$AC$400,_xlfn.TEXTJOIN(",",TRUE,B47:E47),SF_Output!$Q$1:$Q$400,"quarterly")*4)</f>
        <v>0</v>
      </c>
      <c r="S47" s="112" t="str">
        <f>IF(OR(B47=0,B47="",G47="hardware",R47=0),"",IF(AF47&lt;&gt;"exclusion",MAX(S$9,-(SUMIFS(SF_Output!$T$1:$T$400,SF_Output!$AC$1:$AC$400,_xlfn.TEXTJOIN(",",TRUE,$B47:$E47),SF_Output!$Q$1:$Q$400,"yearly"))/R47),-((SUMIFS(SF_Output!$T$1:$T$400,SF_Output!$AC$1:$AC$400,_xlfn.TEXTJOIN(",",TRUE,$B47:$E47),SF_Output!$Q$1:$Q$400,"yearly")/R47))))</f>
        <v/>
      </c>
      <c r="T47" s="6">
        <f t="shared" si="3"/>
        <v>0</v>
      </c>
      <c r="V47" s="6" cm="1">
        <f t="array" ref="V47">_xlfn.IFS(B47="","",AND(B47&lt;&gt;"",H47=SF_Output!$Y$2,SUMIFS(SF_Output!$T$1:$T$400,SF_Output!$AC$1:$AC$400,_xlfn.TEXTJOIN(",",TRUE,B47:E47),SF_Output!$Q$1:$Q$400,"monthly")=0),(SUMIFS(SF_Output!$F$1:$F$400,SF_Output!$AC$1:$AC$400,_xlfn.TEXTJOIN(",",TRUE,B47:E47),SF_Output!$Q$1:$Q$400,"monthly")+SUMIFS(SF_Output!$G$1:$G$400,SF_Output!$AC$1:$AC$400,_xlfn.TEXTJOIN(",",TRUE,B47:E47),SF_Output!$Q$1:$Q$400,"monthly"))*H47,AND(B47&lt;&gt;"",H47=SF_Output!$Y$2,SUMIFS(SF_Output!$T$1:$T$400,SF_Output!$AC$1:$AC$400,_xlfn.TEXTJOIN(",",TRUE,B47:E47),SF_Output!$Q$1:$Q$400,"monthly")&lt;&gt;0),SUMIFS(SF_Output!$S$1:$S$400,SF_Output!$AC$1:$AC$400,_xlfn.TEXTJOIN(",",TRUE,B47:E47),SF_Output!$Q$1:$Q$400,"monthly"),AND(B47&lt;&gt;"",H47&lt;&gt;SF_Output!$Y$2),SUMIFS(SF_Output!$S$1:$S$400,SF_Output!$AC$1:$AC$400,_xlfn.TEXTJOIN(",",TRUE,B47:E47),SF_Output!$Q$1:$Q$400,"monthly"))</f>
        <v>140</v>
      </c>
      <c r="W47" s="112" cm="1">
        <f t="array" ref="W47">_xlfn.IFS(OR(B47=0,B47="",V47=0),"",AF47&lt;&gt;"exclusion",MAX($W$9,$W$7,(-(SUMIFS(SF_Output!$T$1:$T$400,SF_Output!$AC$1:$AC$400,_xlfn.TEXTJOIN(",",TRUE,$B47:$E47),SF_Output!$Q$1:$Q$400,"monthly"))/V47)),AF47="exclusion",-(SUMIFS(SF_Output!$T$1:$T$400,SF_Output!$AC$1:$AC$400,_xlfn.TEXTJOIN(",",TRUE,$B47:$E47),SF_Output!$Q$1:$Q$400,"monthly"))/V47)</f>
        <v>0.25</v>
      </c>
      <c r="X47" s="6" cm="1">
        <f t="array" ref="X47">IFERROR(_xlfn.IFS(V47=0,0,V47="","",W47=0,V47,OR(V47&lt;&gt;0,V47&lt;&gt;""),H47*I47),V47*(1-W47))</f>
        <v>105</v>
      </c>
    </row>
    <row r="48" spans="2:24" x14ac:dyDescent="0.25">
      <c r="B48" t="s">
        <v>1150</v>
      </c>
      <c r="C48" t="s">
        <v>2122</v>
      </c>
      <c r="D48" t="s">
        <v>2164</v>
      </c>
      <c r="E48" t="s">
        <v>2124</v>
      </c>
      <c r="F48" s="116" t="str">
        <f t="shared" si="0"/>
        <v>Included</v>
      </c>
      <c r="G48" t="str">
        <f>IF(B48="","",INDEX(SF_Output!$K$1:$K$400,MATCH(B48,SF_Output!$M$1:$M$400,0)))</f>
        <v>Intuit</v>
      </c>
      <c r="H48" cm="1">
        <f t="array" ref="H48">_xlfn.IFS(B48="","",(SUMIFS(SF_Output!$F$1:$F$400,SF_Output!$AC$1:$AC$400,_xlfn.TEXTJOIN(",",TRUE,B48:E48))+SUMIFS(SF_Output!$G$1:$G$400,SF_Output!$AC$1:$AC$400,_xlfn.TEXTJOIN(",",TRUE,B48:E48)))&lt;&gt;0,SF_Output!$Y$2,INDEX(SF_Output!$F$1:$F$400,MATCH(_xlfn.TEXTJOIN(",",TRUE,B48:E48),SF_Output!$AC$1:$AC$400,0))=0,INDEX(SF_Output!$R$1:$R$400,MATCH(_xlfn.TEXTJOIN(",",TRUE,B48:E48),SF_Output!$AC$1:$AC$400,0)))</f>
        <v>1</v>
      </c>
      <c r="I48" s="125" t="str">
        <f>IFERROR(IF(AND(H48&gt;1,H48&lt;&gt;""),ROUND(SUMIFS(SF_Output!$S$1:$S$400,SF_Output!$AC$1:$AC$400,_xlfn.TEXTJOIN(",",TRUE,B48:E48),SF_Output!$Q$1:$Q$400,"monthly")*(1-W48)/H48,4),""),"")</f>
        <v/>
      </c>
      <c r="J48" s="6">
        <f>IF(B48="","",SUMIFS(SF_Output!$S$1:$S$400,SF_Output!$AC$1:$AC$400,_xlfn.TEXTJOIN(",",TRUE,B48:E48),SF_Output!$Q$1:$Q$400,"One Time",SF_Output!$L$1:$L$400,"license fee")+SUMIFS(SF_Output!$S$1:$S$400,SF_Output!$AC$1:$AC$400,_xlfn.TEXTJOIN(",",TRUE,B48:E48),SF_Output!$Q$1:$Q$400,"One Time",SF_Output!$L$1:$L$400,"software license")+SUMIFS(SF_Output!$S$1:$S$400,SF_Output!$AC$1:$AC$400,_xlfn.TEXTJOIN(",",TRUE,B48:E48),SF_Output!$Q$1:$Q$400,"One Time",SF_Output!$L$1:$L$400,"hardware"))</f>
        <v>0</v>
      </c>
      <c r="K48" s="112" t="str">
        <f>IF(OR(B48=0,B48="",G48="hardware",J48=0),"",IF(AF48&lt;&gt;"exclusion",MAX(K$9,-((SUMIFS(SF_Output!$T$1:$T$400,SF_Output!$AC$1:$AC$400,_xlfn.TEXTJOIN(",",TRUE,$B48:$E48),SF_Output!$Q$1:$Q$400,"One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license"))/J48)))</f>
        <v/>
      </c>
      <c r="L48" s="6">
        <f t="shared" si="1"/>
        <v>0</v>
      </c>
      <c r="N48" s="6">
        <f>IF(B48="","",SUMIFS(SF_Output!$S$1:$S$400,SF_Output!$AC$1:$AC$400,_xlfn.TEXTJOIN(",",TRUE,B48:E48),SF_Output!$Q$1:$Q$400,"One Time",SF_Output!$L$1:$L$400,"professional service"))</f>
        <v>0</v>
      </c>
      <c r="O48" s="112" t="str">
        <f>IF(OR(B48=0,B48="",N48=0),"",IF(AF48&lt;&gt;"exclusion",MAX(O$9,-(SUMIFS(SF_Output!$T$1:$T$400,SF_Output!$AC$1:$AC$400,_xlfn.TEXTJOIN(",",TRUE,$B48:$E48),SF_Output!$Q$1:$Q$400,"One Time",SF_Output!$L$1:$L$400,"professional service"))/N48),-((SUMIFS(SF_Output!$T$1:$T$400,SF_Output!$AC$1:$AC$400,_xlfn.TEXTJOIN(",",TRUE,$B48:$E48),SF_Output!$Q$1:$Q$400,"One Time",SF_Output!$L$1:$L$400,"professional service")/N48))))</f>
        <v/>
      </c>
      <c r="P48" s="6">
        <f t="shared" si="2"/>
        <v>0</v>
      </c>
      <c r="R48" s="6">
        <f>IF(B48="","",SUMIFS(SF_Output!$S$1:$S$400,SF_Output!$AC$1:$AC$400,_xlfn.TEXTJOIN(",",TRUE,B48:E48),SF_Output!$Q$1:$Q$400,"yearly")+SUMIFS(SF_Output!$S$1:$S$400,SF_Output!$AC$1:$AC$400,_xlfn.TEXTJOIN(",",TRUE,B48:E48),SF_Output!$Q$1:$Q$400,"quarterly")*4)</f>
        <v>0</v>
      </c>
      <c r="S48" s="112" t="str">
        <f>IF(OR(B48=0,B48="",G48="hardware",R48=0),"",IF(AF48&lt;&gt;"exclusion",MAX(S$9,-(SUMIFS(SF_Output!$T$1:$T$400,SF_Output!$AC$1:$AC$400,_xlfn.TEXTJOIN(",",TRUE,$B48:$E48),SF_Output!$Q$1:$Q$400,"yearly"))/R48),-((SUMIFS(SF_Output!$T$1:$T$400,SF_Output!$AC$1:$AC$400,_xlfn.TEXTJOIN(",",TRUE,$B48:$E48),SF_Output!$Q$1:$Q$400,"yearly")/R48))))</f>
        <v/>
      </c>
      <c r="T48" s="6">
        <f t="shared" si="3"/>
        <v>0</v>
      </c>
      <c r="V48" s="6" cm="1">
        <f t="array" ref="V48">_xlfn.IFS(B48="","",AND(B48&lt;&gt;"",H48=SF_Output!$Y$2,SUMIFS(SF_Output!$T$1:$T$400,SF_Output!$AC$1:$AC$400,_xlfn.TEXTJOIN(",",TRUE,B48:E48),SF_Output!$Q$1:$Q$400,"monthly")=0),(SUMIFS(SF_Output!$F$1:$F$400,SF_Output!$AC$1:$AC$400,_xlfn.TEXTJOIN(",",TRUE,B48:E48),SF_Output!$Q$1:$Q$400,"monthly")+SUMIFS(SF_Output!$G$1:$G$400,SF_Output!$AC$1:$AC$400,_xlfn.TEXTJOIN(",",TRUE,B48:E48),SF_Output!$Q$1:$Q$400,"monthly"))*H48,AND(B48&lt;&gt;"",H48=SF_Output!$Y$2,SUMIFS(SF_Output!$T$1:$T$400,SF_Output!$AC$1:$AC$400,_xlfn.TEXTJOIN(",",TRUE,B48:E48),SF_Output!$Q$1:$Q$400,"monthly")&lt;&gt;0),SUMIFS(SF_Output!$S$1:$S$400,SF_Output!$AC$1:$AC$400,_xlfn.TEXTJOIN(",",TRUE,B48:E48),SF_Output!$Q$1:$Q$400,"monthly"),AND(B48&lt;&gt;"",H48&lt;&gt;SF_Output!$Y$2),SUMIFS(SF_Output!$S$1:$S$400,SF_Output!$AC$1:$AC$400,_xlfn.TEXTJOIN(",",TRUE,B48:E48),SF_Output!$Q$1:$Q$400,"monthly"))</f>
        <v>0</v>
      </c>
      <c r="W48" s="112" t="str" cm="1">
        <f t="array" ref="W48">_xlfn.IFS(OR(B48=0,B48="",V48=0),"",AF48&lt;&gt;"exclusion",MAX($W$9,$W$7,(-(SUMIFS(SF_Output!$T$1:$T$400,SF_Output!$AC$1:$AC$400,_xlfn.TEXTJOIN(",",TRUE,$B48:$E48),SF_Output!$Q$1:$Q$400,"monthly"))/V48)),AF48="exclusion",-(SUMIFS(SF_Output!$T$1:$T$400,SF_Output!$AC$1:$AC$400,_xlfn.TEXTJOIN(",",TRUE,$B48:$E48),SF_Output!$Q$1:$Q$400,"monthly"))/V48)</f>
        <v/>
      </c>
      <c r="X48" s="6" cm="1">
        <f t="array" ref="X48">IFERROR(_xlfn.IFS(V48=0,0,V48="","",W48=0,V48,OR(V48&lt;&gt;0,V48&lt;&gt;""),H48*I48),V48*(1-W48))</f>
        <v>0</v>
      </c>
    </row>
    <row r="49" spans="2:24" x14ac:dyDescent="0.25">
      <c r="B49" t="s">
        <v>1154</v>
      </c>
      <c r="C49" t="s">
        <v>2122</v>
      </c>
      <c r="D49" t="s">
        <v>2164</v>
      </c>
      <c r="E49" t="s">
        <v>2124</v>
      </c>
      <c r="F49" s="116" t="str">
        <f t="shared" si="0"/>
        <v>Included</v>
      </c>
      <c r="G49" t="str">
        <f>IF(B49="","",INDEX(SF_Output!$K$1:$K$400,MATCH(B49,SF_Output!$M$1:$M$400,0)))</f>
        <v>Intuit</v>
      </c>
      <c r="H49" cm="1">
        <f t="array" ref="H49">_xlfn.IFS(B49="","",(SUMIFS(SF_Output!$F$1:$F$400,SF_Output!$AC$1:$AC$400,_xlfn.TEXTJOIN(",",TRUE,B49:E49))+SUMIFS(SF_Output!$G$1:$G$400,SF_Output!$AC$1:$AC$400,_xlfn.TEXTJOIN(",",TRUE,B49:E49)))&lt;&gt;0,SF_Output!$Y$2,INDEX(SF_Output!$F$1:$F$400,MATCH(_xlfn.TEXTJOIN(",",TRUE,B49:E49),SF_Output!$AC$1:$AC$400,0))=0,INDEX(SF_Output!$R$1:$R$400,MATCH(_xlfn.TEXTJOIN(",",TRUE,B49:E49),SF_Output!$AC$1:$AC$400,0)))</f>
        <v>1</v>
      </c>
      <c r="I49" s="125" t="str">
        <f>IFERROR(IF(AND(H49&gt;1,H49&lt;&gt;""),ROUND(SUMIFS(SF_Output!$S$1:$S$400,SF_Output!$AC$1:$AC$400,_xlfn.TEXTJOIN(",",TRUE,B49:E49),SF_Output!$Q$1:$Q$400,"monthly")*(1-W49)/H49,4),""),"")</f>
        <v/>
      </c>
      <c r="J49" s="6">
        <f>IF(B49="","",SUMIFS(SF_Output!$S$1:$S$400,SF_Output!$AC$1:$AC$400,_xlfn.TEXTJOIN(",",TRUE,B49:E49),SF_Output!$Q$1:$Q$400,"One Time",SF_Output!$L$1:$L$400,"license fee")+SUMIFS(SF_Output!$S$1:$S$400,SF_Output!$AC$1:$AC$400,_xlfn.TEXTJOIN(",",TRUE,B49:E49),SF_Output!$Q$1:$Q$400,"One Time",SF_Output!$L$1:$L$400,"software license")+SUMIFS(SF_Output!$S$1:$S$400,SF_Output!$AC$1:$AC$400,_xlfn.TEXTJOIN(",",TRUE,B49:E49),SF_Output!$Q$1:$Q$400,"One Time",SF_Output!$L$1:$L$400,"hardware"))</f>
        <v>0</v>
      </c>
      <c r="K49" s="112" t="str">
        <f>IF(OR(B49=0,B49="",G49="hardware",J49=0),"",IF(AF49&lt;&gt;"exclusion",MAX(K$9,-((SUMIFS(SF_Output!$T$1:$T$400,SF_Output!$AC$1:$AC$400,_xlfn.TEXTJOIN(",",TRUE,$B49:$E49),SF_Output!$Q$1:$Q$400,"One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license"))/J49)))</f>
        <v/>
      </c>
      <c r="L49" s="6">
        <f t="shared" si="1"/>
        <v>0</v>
      </c>
      <c r="N49" s="6">
        <f>IF(B49="","",SUMIFS(SF_Output!$S$1:$S$400,SF_Output!$AC$1:$AC$400,_xlfn.TEXTJOIN(",",TRUE,B49:E49),SF_Output!$Q$1:$Q$400,"One Time",SF_Output!$L$1:$L$400,"professional service"))</f>
        <v>0</v>
      </c>
      <c r="O49" s="112" t="str">
        <f>IF(OR(B49=0,B49="",N49=0),"",IF(AF49&lt;&gt;"exclusion",MAX(O$9,-(SUMIFS(SF_Output!$T$1:$T$400,SF_Output!$AC$1:$AC$400,_xlfn.TEXTJOIN(",",TRUE,$B49:$E49),SF_Output!$Q$1:$Q$400,"One Time",SF_Output!$L$1:$L$400,"professional service"))/N49),-((SUMIFS(SF_Output!$T$1:$T$400,SF_Output!$AC$1:$AC$400,_xlfn.TEXTJOIN(",",TRUE,$B49:$E49),SF_Output!$Q$1:$Q$400,"One Time",SF_Output!$L$1:$L$400,"professional service")/N49))))</f>
        <v/>
      </c>
      <c r="P49" s="6">
        <f t="shared" si="2"/>
        <v>0</v>
      </c>
      <c r="R49" s="6">
        <f>IF(B49="","",SUMIFS(SF_Output!$S$1:$S$400,SF_Output!$AC$1:$AC$400,_xlfn.TEXTJOIN(",",TRUE,B49:E49),SF_Output!$Q$1:$Q$400,"yearly")+SUMIFS(SF_Output!$S$1:$S$400,SF_Output!$AC$1:$AC$400,_xlfn.TEXTJOIN(",",TRUE,B49:E49),SF_Output!$Q$1:$Q$400,"quarterly")*4)</f>
        <v>500</v>
      </c>
      <c r="S49" s="112">
        <f>IF(OR(B49=0,B49="",G49="hardware",R49=0),"",IF(AF49&lt;&gt;"exclusion",MAX(S$9,-(SUMIFS(SF_Output!$T$1:$T$400,SF_Output!$AC$1:$AC$400,_xlfn.TEXTJOIN(",",TRUE,$B49:$E49),SF_Output!$Q$1:$Q$400,"yearly"))/R49),-((SUMIFS(SF_Output!$T$1:$T$400,SF_Output!$AC$1:$AC$400,_xlfn.TEXTJOIN(",",TRUE,$B49:$E49),SF_Output!$Q$1:$Q$400,"yearly")/R49))))</f>
        <v>0</v>
      </c>
      <c r="T49" s="6">
        <f t="shared" si="3"/>
        <v>500</v>
      </c>
      <c r="V49" s="6" cm="1">
        <f t="array" ref="V49">_xlfn.IFS(B49="","",AND(B49&lt;&gt;"",H49=SF_Output!$Y$2,SUMIFS(SF_Output!$T$1:$T$400,SF_Output!$AC$1:$AC$400,_xlfn.TEXTJOIN(",",TRUE,B49:E49),SF_Output!$Q$1:$Q$400,"monthly")=0),(SUMIFS(SF_Output!$F$1:$F$400,SF_Output!$AC$1:$AC$400,_xlfn.TEXTJOIN(",",TRUE,B49:E49),SF_Output!$Q$1:$Q$400,"monthly")+SUMIFS(SF_Output!$G$1:$G$400,SF_Output!$AC$1:$AC$400,_xlfn.TEXTJOIN(",",TRUE,B49:E49),SF_Output!$Q$1:$Q$400,"monthly"))*H49,AND(B49&lt;&gt;"",H49=SF_Output!$Y$2,SUMIFS(SF_Output!$T$1:$T$400,SF_Output!$AC$1:$AC$400,_xlfn.TEXTJOIN(",",TRUE,B49:E49),SF_Output!$Q$1:$Q$400,"monthly")&lt;&gt;0),SUMIFS(SF_Output!$S$1:$S$400,SF_Output!$AC$1:$AC$400,_xlfn.TEXTJOIN(",",TRUE,B49:E49),SF_Output!$Q$1:$Q$400,"monthly"),AND(B49&lt;&gt;"",H49&lt;&gt;SF_Output!$Y$2),SUMIFS(SF_Output!$S$1:$S$400,SF_Output!$AC$1:$AC$400,_xlfn.TEXTJOIN(",",TRUE,B49:E49),SF_Output!$Q$1:$Q$400,"monthly"))</f>
        <v>0</v>
      </c>
      <c r="W49" s="112" t="str" cm="1">
        <f t="array" ref="W49">_xlfn.IFS(OR(B49=0,B49="",V49=0),"",AF49&lt;&gt;"exclusion",MAX($W$9,$W$7,(-(SUMIFS(SF_Output!$T$1:$T$400,SF_Output!$AC$1:$AC$400,_xlfn.TEXTJOIN(",",TRUE,$B49:$E49),SF_Output!$Q$1:$Q$400,"monthly"))/V49)),AF49="exclusion",-(SUMIFS(SF_Output!$T$1:$T$400,SF_Output!$AC$1:$AC$400,_xlfn.TEXTJOIN(",",TRUE,$B49:$E49),SF_Output!$Q$1:$Q$400,"monthly"))/V49)</f>
        <v/>
      </c>
      <c r="X49" s="6" cm="1">
        <f t="array" ref="X49">IFERROR(_xlfn.IFS(V49=0,0,V49="","",W49=0,V49,OR(V49&lt;&gt;0,V49&lt;&gt;""),H49*I49),V49*(1-W49))</f>
        <v>0</v>
      </c>
    </row>
    <row r="50" spans="2:24" x14ac:dyDescent="0.25">
      <c r="B50" t="s">
        <v>1152</v>
      </c>
      <c r="C50" t="s">
        <v>2122</v>
      </c>
      <c r="D50" t="s">
        <v>2164</v>
      </c>
      <c r="E50" t="s">
        <v>2124</v>
      </c>
      <c r="F50" s="116" t="str">
        <f t="shared" si="0"/>
        <v>Included</v>
      </c>
      <c r="G50" t="str">
        <f>IF(B50="","",INDEX(SF_Output!$K$1:$K$400,MATCH(B50,SF_Output!$M$1:$M$400,0)))</f>
        <v>Intuit</v>
      </c>
      <c r="H50" cm="1">
        <f t="array" ref="H50">_xlfn.IFS(B50="","",(SUMIFS(SF_Output!$F$1:$F$400,SF_Output!$AC$1:$AC$400,_xlfn.TEXTJOIN(",",TRUE,B50:E50))+SUMIFS(SF_Output!$G$1:$G$400,SF_Output!$AC$1:$AC$400,_xlfn.TEXTJOIN(",",TRUE,B50:E50)))&lt;&gt;0,SF_Output!$Y$2,INDEX(SF_Output!$F$1:$F$400,MATCH(_xlfn.TEXTJOIN(",",TRUE,B50:E50),SF_Output!$AC$1:$AC$400,0))=0,INDEX(SF_Output!$R$1:$R$400,MATCH(_xlfn.TEXTJOIN(",",TRUE,B50:E50),SF_Output!$AC$1:$AC$400,0)))</f>
        <v>1</v>
      </c>
      <c r="I50" s="125" t="str">
        <f>IFERROR(IF(AND(H50&gt;1,H50&lt;&gt;""),ROUND(SUMIFS(SF_Output!$S$1:$S$400,SF_Output!$AC$1:$AC$400,_xlfn.TEXTJOIN(",",TRUE,B50:E50),SF_Output!$Q$1:$Q$400,"monthly")*(1-W50)/H50,4),""),"")</f>
        <v/>
      </c>
      <c r="J50" s="6">
        <f>IF(B50="","",SUMIFS(SF_Output!$S$1:$S$400,SF_Output!$AC$1:$AC$400,_xlfn.TEXTJOIN(",",TRUE,B50:E50),SF_Output!$Q$1:$Q$400,"One Time",SF_Output!$L$1:$L$400,"license fee")+SUMIFS(SF_Output!$S$1:$S$400,SF_Output!$AC$1:$AC$400,_xlfn.TEXTJOIN(",",TRUE,B50:E50),SF_Output!$Q$1:$Q$400,"One Time",SF_Output!$L$1:$L$400,"software license")+SUMIFS(SF_Output!$S$1:$S$400,SF_Output!$AC$1:$AC$400,_xlfn.TEXTJOIN(",",TRUE,B50:E50),SF_Output!$Q$1:$Q$400,"One Time",SF_Output!$L$1:$L$400,"hardware"))</f>
        <v>0</v>
      </c>
      <c r="K50" s="112" t="str">
        <f>IF(OR(B50=0,B50="",G50="hardware",J50=0),"",IF(AF50&lt;&gt;"exclusion",MAX(K$9,-((SUMIFS(SF_Output!$T$1:$T$400,SF_Output!$AC$1:$AC$400,_xlfn.TEXTJOIN(",",TRUE,$B50:$E50),SF_Output!$Q$1:$Q$400,"One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license"))/J50)))</f>
        <v/>
      </c>
      <c r="L50" s="6">
        <f t="shared" si="1"/>
        <v>0</v>
      </c>
      <c r="N50" s="6">
        <f>IF(B50="","",SUMIFS(SF_Output!$S$1:$S$400,SF_Output!$AC$1:$AC$400,_xlfn.TEXTJOIN(",",TRUE,B50:E50),SF_Output!$Q$1:$Q$400,"One Time",SF_Output!$L$1:$L$400,"professional service"))</f>
        <v>0</v>
      </c>
      <c r="O50" s="112" t="str">
        <f>IF(OR(B50=0,B50="",N50=0),"",IF(AF50&lt;&gt;"exclusion",MAX(O$9,-(SUMIFS(SF_Output!$T$1:$T$400,SF_Output!$AC$1:$AC$400,_xlfn.TEXTJOIN(",",TRUE,$B50:$E50),SF_Output!$Q$1:$Q$400,"One Time",SF_Output!$L$1:$L$400,"professional service"))/N50),-((SUMIFS(SF_Output!$T$1:$T$400,SF_Output!$AC$1:$AC$400,_xlfn.TEXTJOIN(",",TRUE,$B50:$E50),SF_Output!$Q$1:$Q$400,"One Time",SF_Output!$L$1:$L$400,"professional service")/N50))))</f>
        <v/>
      </c>
      <c r="P50" s="6">
        <f t="shared" si="2"/>
        <v>0</v>
      </c>
      <c r="R50" s="6">
        <f>IF(B50="","",SUMIFS(SF_Output!$S$1:$S$400,SF_Output!$AC$1:$AC$400,_xlfn.TEXTJOIN(",",TRUE,B50:E50),SF_Output!$Q$1:$Q$400,"yearly")+SUMIFS(SF_Output!$S$1:$S$400,SF_Output!$AC$1:$AC$400,_xlfn.TEXTJOIN(",",TRUE,B50:E50),SF_Output!$Q$1:$Q$400,"quarterly")*4)</f>
        <v>0</v>
      </c>
      <c r="S50" s="112" t="str">
        <f>IF(OR(B50=0,B50="",G50="hardware",R50=0),"",IF(AF50&lt;&gt;"exclusion",MAX(S$9,-(SUMIFS(SF_Output!$T$1:$T$400,SF_Output!$AC$1:$AC$400,_xlfn.TEXTJOIN(",",TRUE,$B50:$E50),SF_Output!$Q$1:$Q$400,"yearly"))/R50),-((SUMIFS(SF_Output!$T$1:$T$400,SF_Output!$AC$1:$AC$400,_xlfn.TEXTJOIN(",",TRUE,$B50:$E50),SF_Output!$Q$1:$Q$400,"yearly")/R50))))</f>
        <v/>
      </c>
      <c r="T50" s="6">
        <f t="shared" si="3"/>
        <v>0</v>
      </c>
      <c r="V50" s="6" cm="1">
        <f t="array" ref="V50">_xlfn.IFS(B50="","",AND(B50&lt;&gt;"",H50=SF_Output!$Y$2,SUMIFS(SF_Output!$T$1:$T$400,SF_Output!$AC$1:$AC$400,_xlfn.TEXTJOIN(",",TRUE,B50:E50),SF_Output!$Q$1:$Q$400,"monthly")=0),(SUMIFS(SF_Output!$F$1:$F$400,SF_Output!$AC$1:$AC$400,_xlfn.TEXTJOIN(",",TRUE,B50:E50),SF_Output!$Q$1:$Q$400,"monthly")+SUMIFS(SF_Output!$G$1:$G$400,SF_Output!$AC$1:$AC$400,_xlfn.TEXTJOIN(",",TRUE,B50:E50),SF_Output!$Q$1:$Q$400,"monthly"))*H50,AND(B50&lt;&gt;"",H50=SF_Output!$Y$2,SUMIFS(SF_Output!$T$1:$T$400,SF_Output!$AC$1:$AC$400,_xlfn.TEXTJOIN(",",TRUE,B50:E50),SF_Output!$Q$1:$Q$400,"monthly")&lt;&gt;0),SUMIFS(SF_Output!$S$1:$S$400,SF_Output!$AC$1:$AC$400,_xlfn.TEXTJOIN(",",TRUE,B50:E50),SF_Output!$Q$1:$Q$400,"monthly"),AND(B50&lt;&gt;"",H50&lt;&gt;SF_Output!$Y$2),SUMIFS(SF_Output!$S$1:$S$400,SF_Output!$AC$1:$AC$400,_xlfn.TEXTJOIN(",",TRUE,B50:E50),SF_Output!$Q$1:$Q$400,"monthly"))</f>
        <v>0</v>
      </c>
      <c r="W50" s="112" t="str" cm="1">
        <f t="array" ref="W50">_xlfn.IFS(OR(B50=0,B50="",V50=0),"",AF50&lt;&gt;"exclusion",MAX($W$9,$W$7,(-(SUMIFS(SF_Output!$T$1:$T$400,SF_Output!$AC$1:$AC$400,_xlfn.TEXTJOIN(",",TRUE,$B50:$E50),SF_Output!$Q$1:$Q$400,"monthly"))/V50)),AF50="exclusion",-(SUMIFS(SF_Output!$T$1:$T$400,SF_Output!$AC$1:$AC$400,_xlfn.TEXTJOIN(",",TRUE,$B50:$E50),SF_Output!$Q$1:$Q$400,"monthly"))/V50)</f>
        <v/>
      </c>
      <c r="X50" s="6" cm="1">
        <f t="array" ref="X50">IFERROR(_xlfn.IFS(V50=0,0,V50="","",W50=0,V50,OR(V50&lt;&gt;0,V50&lt;&gt;""),H50*I50),V50*(1-W50))</f>
        <v>0</v>
      </c>
    </row>
    <row r="51" spans="2:24" x14ac:dyDescent="0.25">
      <c r="B51" t="s">
        <v>2247</v>
      </c>
      <c r="C51" t="s">
        <v>2122</v>
      </c>
      <c r="D51" t="s">
        <v>2123</v>
      </c>
      <c r="E51" t="s">
        <v>2150</v>
      </c>
      <c r="F51" s="116" t="str">
        <f t="shared" si="0"/>
        <v>Optional</v>
      </c>
      <c r="G51" t="str">
        <f>IF(B51="","",INDEX(SF_Output!$K$1:$K$400,MATCH(B51,SF_Output!$M$1:$M$400,0)))</f>
        <v>Intuit</v>
      </c>
      <c r="H51" cm="1">
        <f t="array" ref="H51">_xlfn.IFS(B51="","",(SUMIFS(SF_Output!$F$1:$F$400,SF_Output!$AC$1:$AC$400,_xlfn.TEXTJOIN(",",TRUE,B51:E51))+SUMIFS(SF_Output!$G$1:$G$400,SF_Output!$AC$1:$AC$400,_xlfn.TEXTJOIN(",",TRUE,B51:E51)))&lt;&gt;0,SF_Output!$Y$2,INDEX(SF_Output!$F$1:$F$400,MATCH(_xlfn.TEXTJOIN(",",TRUE,B51:E51),SF_Output!$AC$1:$AC$400,0))=0,INDEX(SF_Output!$R$1:$R$400,MATCH(_xlfn.TEXTJOIN(",",TRUE,B51:E51),SF_Output!$AC$1:$AC$400,0)))</f>
        <v>5000</v>
      </c>
      <c r="I51" s="125">
        <f>IFERROR(IF(AND(H51&gt;1,H51&lt;&gt;""),ROUND(SUMIFS(SF_Output!$S$1:$S$400,SF_Output!$AC$1:$AC$400,_xlfn.TEXTJOIN(",",TRUE,B51:E51),SF_Output!$Q$1:$Q$400,"monthly")*(1-W51)/H51,4),""),"")</f>
        <v>4.0500000000000001E-2</v>
      </c>
      <c r="J51" s="6">
        <f>IF(B51="","",SUMIFS(SF_Output!$S$1:$S$400,SF_Output!$AC$1:$AC$400,_xlfn.TEXTJOIN(",",TRUE,B51:E51),SF_Output!$Q$1:$Q$400,"One Time",SF_Output!$L$1:$L$400,"license fee")+SUMIFS(SF_Output!$S$1:$S$400,SF_Output!$AC$1:$AC$400,_xlfn.TEXTJOIN(",",TRUE,B51:E51),SF_Output!$Q$1:$Q$400,"One Time",SF_Output!$L$1:$L$400,"software license")+SUMIFS(SF_Output!$S$1:$S$400,SF_Output!$AC$1:$AC$400,_xlfn.TEXTJOIN(",",TRUE,B51:E51),SF_Output!$Q$1:$Q$400,"One Time",SF_Output!$L$1:$L$400,"hardware"))</f>
        <v>0</v>
      </c>
      <c r="K51" s="112" t="str">
        <f>IF(OR(B51=0,B51="",G51="hardware",J51=0),"",IF(AF51&lt;&gt;"exclusion",MAX(K$9,-((SUMIFS(SF_Output!$T$1:$T$400,SF_Output!$AC$1:$AC$400,_xlfn.TEXTJOIN(",",TRUE,$B51:$E51),SF_Output!$Q$1:$Q$400,"One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license"))/J51)))</f>
        <v/>
      </c>
      <c r="L51" s="6">
        <f t="shared" si="1"/>
        <v>0</v>
      </c>
      <c r="N51" s="6">
        <f>IF(B51="","",SUMIFS(SF_Output!$S$1:$S$400,SF_Output!$AC$1:$AC$400,_xlfn.TEXTJOIN(",",TRUE,B51:E51),SF_Output!$Q$1:$Q$400,"One Time",SF_Output!$L$1:$L$400,"professional service"))</f>
        <v>2500</v>
      </c>
      <c r="O51" s="112">
        <f>IF(OR(B51=0,B51="",N51=0),"",IF(AF51&lt;&gt;"exclusion",MAX(O$9,-(SUMIFS(SF_Output!$T$1:$T$400,SF_Output!$AC$1:$AC$400,_xlfn.TEXTJOIN(",",TRUE,$B51:$E51),SF_Output!$Q$1:$Q$400,"One Time",SF_Output!$L$1:$L$400,"professional service"))/N51),-((SUMIFS(SF_Output!$T$1:$T$400,SF_Output!$AC$1:$AC$400,_xlfn.TEXTJOIN(",",TRUE,$B51:$E51),SF_Output!$Q$1:$Q$400,"One Time",SF_Output!$L$1:$L$400,"professional service")/N51))))</f>
        <v>1</v>
      </c>
      <c r="P51" s="6">
        <f t="shared" si="2"/>
        <v>0</v>
      </c>
      <c r="R51" s="6">
        <f>IF(B51="","",SUMIFS(SF_Output!$S$1:$S$400,SF_Output!$AC$1:$AC$400,_xlfn.TEXTJOIN(",",TRUE,B51:E51),SF_Output!$Q$1:$Q$400,"yearly")+SUMIFS(SF_Output!$S$1:$S$400,SF_Output!$AC$1:$AC$400,_xlfn.TEXTJOIN(",",TRUE,B51:E51),SF_Output!$Q$1:$Q$400,"quarterly")*4)</f>
        <v>0</v>
      </c>
      <c r="S51" s="112" t="str">
        <f>IF(OR(B51=0,B51="",G51="hardware",R51=0),"",IF(AF51&lt;&gt;"exclusion",MAX(S$9,-(SUMIFS(SF_Output!$T$1:$T$400,SF_Output!$AC$1:$AC$400,_xlfn.TEXTJOIN(",",TRUE,$B51:$E51),SF_Output!$Q$1:$Q$400,"yearly"))/R51),-((SUMIFS(SF_Output!$T$1:$T$400,SF_Output!$AC$1:$AC$400,_xlfn.TEXTJOIN(",",TRUE,$B51:$E51),SF_Output!$Q$1:$Q$400,"yearly")/R51))))</f>
        <v/>
      </c>
      <c r="T51" s="6">
        <f t="shared" si="3"/>
        <v>0</v>
      </c>
      <c r="V51" s="6" cm="1">
        <f t="array" ref="V51">_xlfn.IFS(B51="","",AND(B51&lt;&gt;"",H51=SF_Output!$Y$2,SUMIFS(SF_Output!$T$1:$T$400,SF_Output!$AC$1:$AC$400,_xlfn.TEXTJOIN(",",TRUE,B51:E51),SF_Output!$Q$1:$Q$400,"monthly")=0),(SUMIFS(SF_Output!$F$1:$F$400,SF_Output!$AC$1:$AC$400,_xlfn.TEXTJOIN(",",TRUE,B51:E51),SF_Output!$Q$1:$Q$400,"monthly")+SUMIFS(SF_Output!$G$1:$G$400,SF_Output!$AC$1:$AC$400,_xlfn.TEXTJOIN(",",TRUE,B51:E51),SF_Output!$Q$1:$Q$400,"monthly"))*H51,AND(B51&lt;&gt;"",H51=SF_Output!$Y$2,SUMIFS(SF_Output!$T$1:$T$400,SF_Output!$AC$1:$AC$400,_xlfn.TEXTJOIN(",",TRUE,B51:E51),SF_Output!$Q$1:$Q$400,"monthly")&lt;&gt;0),SUMIFS(SF_Output!$S$1:$S$400,SF_Output!$AC$1:$AC$400,_xlfn.TEXTJOIN(",",TRUE,B51:E51),SF_Output!$Q$1:$Q$400,"monthly"),AND(B51&lt;&gt;"",H51&lt;&gt;SF_Output!$Y$2),SUMIFS(SF_Output!$S$1:$S$400,SF_Output!$AC$1:$AC$400,_xlfn.TEXTJOIN(",",TRUE,B51:E51),SF_Output!$Q$1:$Q$400,"monthly"))</f>
        <v>270</v>
      </c>
      <c r="W51" s="112" cm="1">
        <f t="array" ref="W51">_xlfn.IFS(OR(B51=0,B51="",V51=0),"",AF51&lt;&gt;"exclusion",MAX($W$9,$W$7,(-(SUMIFS(SF_Output!$T$1:$T$400,SF_Output!$AC$1:$AC$400,_xlfn.TEXTJOIN(",",TRUE,$B51:$E51),SF_Output!$Q$1:$Q$400,"monthly"))/V51)),AF51="exclusion",-(SUMIFS(SF_Output!$T$1:$T$400,SF_Output!$AC$1:$AC$400,_xlfn.TEXTJOIN(",",TRUE,$B51:$E51),SF_Output!$Q$1:$Q$400,"monthly"))/V51)</f>
        <v>0.25</v>
      </c>
      <c r="X51" s="6" cm="1">
        <f t="array" ref="X51">IFERROR(_xlfn.IFS(V51=0,0,V51="","",W51=0,V51,OR(V51&lt;&gt;0,V51&lt;&gt;""),H51*I51),V51*(1-W51))</f>
        <v>202.5</v>
      </c>
    </row>
    <row r="52" spans="2:24" x14ac:dyDescent="0.25">
      <c r="B52" t="s">
        <v>2250</v>
      </c>
      <c r="C52" t="s">
        <v>2122</v>
      </c>
      <c r="D52" t="s">
        <v>2123</v>
      </c>
      <c r="E52" t="s">
        <v>2150</v>
      </c>
      <c r="F52" s="116" t="str">
        <f t="shared" si="0"/>
        <v>Optional</v>
      </c>
      <c r="G52" t="str">
        <f>IF(B52="","",INDEX(SF_Output!$K$1:$K$400,MATCH(B52,SF_Output!$M$1:$M$400,0)))</f>
        <v>Intuit</v>
      </c>
      <c r="H52" cm="1">
        <f t="array" ref="H52">_xlfn.IFS(B52="","",(SUMIFS(SF_Output!$F$1:$F$400,SF_Output!$AC$1:$AC$400,_xlfn.TEXTJOIN(",",TRUE,B52:E52))+SUMIFS(SF_Output!$G$1:$G$400,SF_Output!$AC$1:$AC$400,_xlfn.TEXTJOIN(",",TRUE,B52:E52)))&lt;&gt;0,SF_Output!$Y$2,INDEX(SF_Output!$F$1:$F$400,MATCH(_xlfn.TEXTJOIN(",",TRUE,B52:E52),SF_Output!$AC$1:$AC$400,0))=0,INDEX(SF_Output!$R$1:$R$400,MATCH(_xlfn.TEXTJOIN(",",TRUE,B52:E52),SF_Output!$AC$1:$AC$400,0)))</f>
        <v>5000</v>
      </c>
      <c r="I52" s="125">
        <f>IFERROR(IF(AND(H52&gt;1,H52&lt;&gt;""),ROUND(SUMIFS(SF_Output!$S$1:$S$400,SF_Output!$AC$1:$AC$400,_xlfn.TEXTJOIN(",",TRUE,B52:E52),SF_Output!$Q$1:$Q$400,"monthly")*(1-W52)/H52,4),""),"")</f>
        <v>3.0800000000000001E-2</v>
      </c>
      <c r="J52" s="6">
        <f>IF(B52="","",SUMIFS(SF_Output!$S$1:$S$400,SF_Output!$AC$1:$AC$400,_xlfn.TEXTJOIN(",",TRUE,B52:E52),SF_Output!$Q$1:$Q$400,"One Time",SF_Output!$L$1:$L$400,"license fee")+SUMIFS(SF_Output!$S$1:$S$400,SF_Output!$AC$1:$AC$400,_xlfn.TEXTJOIN(",",TRUE,B52:E52),SF_Output!$Q$1:$Q$400,"One Time",SF_Output!$L$1:$L$400,"software license")+SUMIFS(SF_Output!$S$1:$S$400,SF_Output!$AC$1:$AC$400,_xlfn.TEXTJOIN(",",TRUE,B52:E52),SF_Output!$Q$1:$Q$400,"One Time",SF_Output!$L$1:$L$400,"hardware"))</f>
        <v>0</v>
      </c>
      <c r="K52" s="112" t="str">
        <f>IF(OR(B52=0,B52="",G52="hardware",J52=0),"",IF(AF52&lt;&gt;"exclusion",MAX(K$9,-((SUMIFS(SF_Output!$T$1:$T$400,SF_Output!$AC$1:$AC$400,_xlfn.TEXTJOIN(",",TRUE,$B52:$E52),SF_Output!$Q$1:$Q$400,"One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license"))/J52)))</f>
        <v/>
      </c>
      <c r="L52" s="6">
        <f t="shared" si="1"/>
        <v>0</v>
      </c>
      <c r="N52" s="6">
        <f>IF(B52="","",SUMIFS(SF_Output!$S$1:$S$400,SF_Output!$AC$1:$AC$400,_xlfn.TEXTJOIN(",",TRUE,B52:E52),SF_Output!$Q$1:$Q$400,"One Time",SF_Output!$L$1:$L$400,"professional service"))</f>
        <v>2500</v>
      </c>
      <c r="O52" s="112">
        <f>IF(OR(B52=0,B52="",N52=0),"",IF(AF52&lt;&gt;"exclusion",MAX(O$9,-(SUMIFS(SF_Output!$T$1:$T$400,SF_Output!$AC$1:$AC$400,_xlfn.TEXTJOIN(",",TRUE,$B52:$E52),SF_Output!$Q$1:$Q$400,"One Time",SF_Output!$L$1:$L$400,"professional service"))/N52),-((SUMIFS(SF_Output!$T$1:$T$400,SF_Output!$AC$1:$AC$400,_xlfn.TEXTJOIN(",",TRUE,$B52:$E52),SF_Output!$Q$1:$Q$400,"One Time",SF_Output!$L$1:$L$400,"professional service")/N52))))</f>
        <v>1</v>
      </c>
      <c r="P52" s="6">
        <f t="shared" si="2"/>
        <v>0</v>
      </c>
      <c r="R52" s="6">
        <f>IF(B52="","",SUMIFS(SF_Output!$S$1:$S$400,SF_Output!$AC$1:$AC$400,_xlfn.TEXTJOIN(",",TRUE,B52:E52),SF_Output!$Q$1:$Q$400,"yearly")+SUMIFS(SF_Output!$S$1:$S$400,SF_Output!$AC$1:$AC$400,_xlfn.TEXTJOIN(",",TRUE,B52:E52),SF_Output!$Q$1:$Q$400,"quarterly")*4)</f>
        <v>0</v>
      </c>
      <c r="S52" s="112" t="str">
        <f>IF(OR(B52=0,B52="",G52="hardware",R52=0),"",IF(AF52&lt;&gt;"exclusion",MAX(S$9,-(SUMIFS(SF_Output!$T$1:$T$400,SF_Output!$AC$1:$AC$400,_xlfn.TEXTJOIN(",",TRUE,$B52:$E52),SF_Output!$Q$1:$Q$400,"yearly"))/R52),-((SUMIFS(SF_Output!$T$1:$T$400,SF_Output!$AC$1:$AC$400,_xlfn.TEXTJOIN(",",TRUE,$B52:$E52),SF_Output!$Q$1:$Q$400,"yearly")/R52))))</f>
        <v/>
      </c>
      <c r="T52" s="6">
        <f t="shared" si="3"/>
        <v>0</v>
      </c>
      <c r="V52" s="6" cm="1">
        <f t="array" ref="V52">_xlfn.IFS(B52="","",AND(B52&lt;&gt;"",H52=SF_Output!$Y$2,SUMIFS(SF_Output!$T$1:$T$400,SF_Output!$AC$1:$AC$400,_xlfn.TEXTJOIN(",",TRUE,B52:E52),SF_Output!$Q$1:$Q$400,"monthly")=0),(SUMIFS(SF_Output!$F$1:$F$400,SF_Output!$AC$1:$AC$400,_xlfn.TEXTJOIN(",",TRUE,B52:E52),SF_Output!$Q$1:$Q$400,"monthly")+SUMIFS(SF_Output!$G$1:$G$400,SF_Output!$AC$1:$AC$400,_xlfn.TEXTJOIN(",",TRUE,B52:E52),SF_Output!$Q$1:$Q$400,"monthly"))*H52,AND(B52&lt;&gt;"",H52=SF_Output!$Y$2,SUMIFS(SF_Output!$T$1:$T$400,SF_Output!$AC$1:$AC$400,_xlfn.TEXTJOIN(",",TRUE,B52:E52),SF_Output!$Q$1:$Q$400,"monthly")&lt;&gt;0),SUMIFS(SF_Output!$S$1:$S$400,SF_Output!$AC$1:$AC$400,_xlfn.TEXTJOIN(",",TRUE,B52:E52),SF_Output!$Q$1:$Q$400,"monthly"),AND(B52&lt;&gt;"",H52&lt;&gt;SF_Output!$Y$2),SUMIFS(SF_Output!$S$1:$S$400,SF_Output!$AC$1:$AC$400,_xlfn.TEXTJOIN(",",TRUE,B52:E52),SF_Output!$Q$1:$Q$400,"monthly"))</f>
        <v>205</v>
      </c>
      <c r="W52" s="112" cm="1">
        <f t="array" ref="W52">_xlfn.IFS(OR(B52=0,B52="",V52=0),"",AF52&lt;&gt;"exclusion",MAX($W$9,$W$7,(-(SUMIFS(SF_Output!$T$1:$T$400,SF_Output!$AC$1:$AC$400,_xlfn.TEXTJOIN(",",TRUE,$B52:$E52),SF_Output!$Q$1:$Q$400,"monthly"))/V52)),AF52="exclusion",-(SUMIFS(SF_Output!$T$1:$T$400,SF_Output!$AC$1:$AC$400,_xlfn.TEXTJOIN(",",TRUE,$B52:$E52),SF_Output!$Q$1:$Q$400,"monthly"))/V52)</f>
        <v>0.25</v>
      </c>
      <c r="X52" s="6" cm="1">
        <f t="array" ref="X52">IFERROR(_xlfn.IFS(V52=0,0,V52="","",W52=0,V52,OR(V52&lt;&gt;0,V52&lt;&gt;""),H52*I52),V52*(1-W52))</f>
        <v>154</v>
      </c>
    </row>
    <row r="53" spans="2:24" x14ac:dyDescent="0.25">
      <c r="B53" t="s">
        <v>2253</v>
      </c>
      <c r="C53" t="s">
        <v>2122</v>
      </c>
      <c r="D53" t="s">
        <v>2123</v>
      </c>
      <c r="E53" t="s">
        <v>2150</v>
      </c>
      <c r="F53" s="116" t="str">
        <f t="shared" si="0"/>
        <v>Optional</v>
      </c>
      <c r="G53" t="str">
        <f>IF(B53="","",INDEX(SF_Output!$K$1:$K$400,MATCH(B53,SF_Output!$M$1:$M$400,0)))</f>
        <v>OutLink Item Processing</v>
      </c>
      <c r="H53" cm="1">
        <f t="array" ref="H53">_xlfn.IFS(B53="","",(SUMIFS(SF_Output!$F$1:$F$400,SF_Output!$AC$1:$AC$400,_xlfn.TEXTJOIN(",",TRUE,B53:E53))+SUMIFS(SF_Output!$G$1:$G$400,SF_Output!$AC$1:$AC$400,_xlfn.TEXTJOIN(",",TRUE,B53:E53)))&lt;&gt;0,SF_Output!$Y$2,INDEX(SF_Output!$F$1:$F$400,MATCH(_xlfn.TEXTJOIN(",",TRUE,B53:E53),SF_Output!$AC$1:$AC$400,0))=0,INDEX(SF_Output!$R$1:$R$400,MATCH(_xlfn.TEXTJOIN(",",TRUE,B53:E53),SF_Output!$AC$1:$AC$400,0)))</f>
        <v>1</v>
      </c>
      <c r="I53" s="125" t="str">
        <f>IFERROR(IF(AND(H53&gt;1,H53&lt;&gt;""),ROUND(SUMIFS(SF_Output!$S$1:$S$400,SF_Output!$AC$1:$AC$400,_xlfn.TEXTJOIN(",",TRUE,B53:E53),SF_Output!$Q$1:$Q$400,"monthly")*(1-W53)/H53,4),""),"")</f>
        <v/>
      </c>
      <c r="J53" s="6">
        <f>IF(B53="","",SUMIFS(SF_Output!$S$1:$S$400,SF_Output!$AC$1:$AC$400,_xlfn.TEXTJOIN(",",TRUE,B53:E53),SF_Output!$Q$1:$Q$400,"One Time",SF_Output!$L$1:$L$400,"license fee")+SUMIFS(SF_Output!$S$1:$S$400,SF_Output!$AC$1:$AC$400,_xlfn.TEXTJOIN(",",TRUE,B53:E53),SF_Output!$Q$1:$Q$400,"One Time",SF_Output!$L$1:$L$400,"software license")+SUMIFS(SF_Output!$S$1:$S$400,SF_Output!$AC$1:$AC$400,_xlfn.TEXTJOIN(",",TRUE,B53:E53),SF_Output!$Q$1:$Q$400,"One Time",SF_Output!$L$1:$L$400,"hardware"))</f>
        <v>0</v>
      </c>
      <c r="K53" s="112" t="str">
        <f>IF(OR(B53=0,B53="",G53="hardware",J53=0),"",IF(AF53&lt;&gt;"exclusion",MAX(K$9,-((SUMIFS(SF_Output!$T$1:$T$400,SF_Output!$AC$1:$AC$400,_xlfn.TEXTJOIN(",",TRUE,$B53:$E53),SF_Output!$Q$1:$Q$400,"One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license"))/J53)))</f>
        <v/>
      </c>
      <c r="L53" s="6">
        <f t="shared" si="1"/>
        <v>0</v>
      </c>
      <c r="N53" s="6">
        <f>IF(B53="","",SUMIFS(SF_Output!$S$1:$S$400,SF_Output!$AC$1:$AC$400,_xlfn.TEXTJOIN(",",TRUE,B53:E53),SF_Output!$Q$1:$Q$400,"One Time",SF_Output!$L$1:$L$400,"professional service"))</f>
        <v>7425</v>
      </c>
      <c r="O53" s="112">
        <f>IF(OR(B53=0,B53="",N53=0),"",IF(AF53&lt;&gt;"exclusion",MAX(O$9,-(SUMIFS(SF_Output!$T$1:$T$400,SF_Output!$AC$1:$AC$400,_xlfn.TEXTJOIN(",",TRUE,$B53:$E53),SF_Output!$Q$1:$Q$400,"One Time",SF_Output!$L$1:$L$400,"professional service"))/N53),-((SUMIFS(SF_Output!$T$1:$T$400,SF_Output!$AC$1:$AC$400,_xlfn.TEXTJOIN(",",TRUE,$B53:$E53),SF_Output!$Q$1:$Q$400,"One Time",SF_Output!$L$1:$L$400,"professional service")/N53))))</f>
        <v>0</v>
      </c>
      <c r="P53" s="6">
        <f t="shared" si="2"/>
        <v>7425</v>
      </c>
      <c r="R53" s="6">
        <f>IF(B53="","",SUMIFS(SF_Output!$S$1:$S$400,SF_Output!$AC$1:$AC$400,_xlfn.TEXTJOIN(",",TRUE,B53:E53),SF_Output!$Q$1:$Q$400,"yearly")+SUMIFS(SF_Output!$S$1:$S$400,SF_Output!$AC$1:$AC$400,_xlfn.TEXTJOIN(",",TRUE,B53:E53),SF_Output!$Q$1:$Q$400,"quarterly")*4)</f>
        <v>0</v>
      </c>
      <c r="S53" s="112" t="str">
        <f>IF(OR(B53=0,B53="",G53="hardware",R53=0),"",IF(AF53&lt;&gt;"exclusion",MAX(S$9,-(SUMIFS(SF_Output!$T$1:$T$400,SF_Output!$AC$1:$AC$400,_xlfn.TEXTJOIN(",",TRUE,$B53:$E53),SF_Output!$Q$1:$Q$400,"yearly"))/R53),-((SUMIFS(SF_Output!$T$1:$T$400,SF_Output!$AC$1:$AC$400,_xlfn.TEXTJOIN(",",TRUE,$B53:$E53),SF_Output!$Q$1:$Q$400,"yearly")/R53))))</f>
        <v/>
      </c>
      <c r="T53" s="6">
        <f t="shared" si="3"/>
        <v>0</v>
      </c>
      <c r="V53" s="6" cm="1">
        <f t="array" ref="V53">_xlfn.IFS(B53="","",AND(B53&lt;&gt;"",H53=SF_Output!$Y$2,SUMIFS(SF_Output!$T$1:$T$400,SF_Output!$AC$1:$AC$400,_xlfn.TEXTJOIN(",",TRUE,B53:E53),SF_Output!$Q$1:$Q$400,"monthly")=0),(SUMIFS(SF_Output!$F$1:$F$400,SF_Output!$AC$1:$AC$400,_xlfn.TEXTJOIN(",",TRUE,B53:E53),SF_Output!$Q$1:$Q$400,"monthly")+SUMIFS(SF_Output!$G$1:$G$400,SF_Output!$AC$1:$AC$400,_xlfn.TEXTJOIN(",",TRUE,B53:E53),SF_Output!$Q$1:$Q$400,"monthly"))*H53,AND(B53&lt;&gt;"",H53=SF_Output!$Y$2,SUMIFS(SF_Output!$T$1:$T$400,SF_Output!$AC$1:$AC$400,_xlfn.TEXTJOIN(",",TRUE,B53:E53),SF_Output!$Q$1:$Q$400,"monthly")&lt;&gt;0),SUMIFS(SF_Output!$S$1:$S$400,SF_Output!$AC$1:$AC$400,_xlfn.TEXTJOIN(",",TRUE,B53:E53),SF_Output!$Q$1:$Q$400,"monthly"),AND(B53&lt;&gt;"",H53&lt;&gt;SF_Output!$Y$2),SUMIFS(SF_Output!$S$1:$S$400,SF_Output!$AC$1:$AC$400,_xlfn.TEXTJOIN(",",TRUE,B53:E53),SF_Output!$Q$1:$Q$400,"monthly"))</f>
        <v>760</v>
      </c>
      <c r="W53" s="112" cm="1">
        <f t="array" ref="W53">_xlfn.IFS(OR(B53=0,B53="",V53=0),"",AF53&lt;&gt;"exclusion",MAX($W$9,$W$7,(-(SUMIFS(SF_Output!$T$1:$T$400,SF_Output!$AC$1:$AC$400,_xlfn.TEXTJOIN(",",TRUE,$B53:$E53),SF_Output!$Q$1:$Q$400,"monthly"))/V53)),AF53="exclusion",-(SUMIFS(SF_Output!$T$1:$T$400,SF_Output!$AC$1:$AC$400,_xlfn.TEXTJOIN(",",TRUE,$B53:$E53),SF_Output!$Q$1:$Q$400,"monthly"))/V53)</f>
        <v>0</v>
      </c>
      <c r="X53" s="6" cm="1">
        <f t="array" ref="X53">IFERROR(_xlfn.IFS(V53=0,0,V53="","",W53=0,V53,OR(V53&lt;&gt;0,V53&lt;&gt;""),H53*I53),V53*(1-W53))</f>
        <v>760</v>
      </c>
    </row>
    <row r="54" spans="2:24" x14ac:dyDescent="0.25">
      <c r="B54" t="s">
        <v>2081</v>
      </c>
      <c r="C54" t="s">
        <v>2122</v>
      </c>
      <c r="D54" t="s">
        <v>2123</v>
      </c>
      <c r="E54" t="s">
        <v>2124</v>
      </c>
      <c r="F54" s="116" t="str">
        <f t="shared" si="0"/>
        <v>Included</v>
      </c>
      <c r="G54" t="str">
        <f>IF(B54="","",INDEX(SF_Output!$K$1:$K$400,MATCH(B54,SF_Output!$M$1:$M$400,0)))</f>
        <v>OutLink Item Processing</v>
      </c>
      <c r="H54" cm="1">
        <f t="array" ref="H54">_xlfn.IFS(B54="","",(SUMIFS(SF_Output!$F$1:$F$400,SF_Output!$AC$1:$AC$400,_xlfn.TEXTJOIN(",",TRUE,B54:E54))+SUMIFS(SF_Output!$G$1:$G$400,SF_Output!$AC$1:$AC$400,_xlfn.TEXTJOIN(",",TRUE,B54:E54)))&lt;&gt;0,SF_Output!$Y$2,INDEX(SF_Output!$F$1:$F$400,MATCH(_xlfn.TEXTJOIN(",",TRUE,B54:E54),SF_Output!$AC$1:$AC$400,0))=0,INDEX(SF_Output!$R$1:$R$400,MATCH(_xlfn.TEXTJOIN(",",TRUE,B54:E54),SF_Output!$AC$1:$AC$400,0)))</f>
        <v>5000</v>
      </c>
      <c r="I54" s="125">
        <f>IFERROR(IF(AND(H54&gt;1,H54&lt;&gt;""),ROUND(SUMIFS(SF_Output!$S$1:$S$400,SF_Output!$AC$1:$AC$400,_xlfn.TEXTJOIN(",",TRUE,B54:E54),SF_Output!$Q$1:$Q$400,"monthly")*(1-W54)/H54,4),""),"")</f>
        <v>0.33379999999999999</v>
      </c>
      <c r="J54" s="6">
        <f>IF(B54="","",SUMIFS(SF_Output!$S$1:$S$400,SF_Output!$AC$1:$AC$400,_xlfn.TEXTJOIN(",",TRUE,B54:E54),SF_Output!$Q$1:$Q$400,"One Time",SF_Output!$L$1:$L$400,"license fee")+SUMIFS(SF_Output!$S$1:$S$400,SF_Output!$AC$1:$AC$400,_xlfn.TEXTJOIN(",",TRUE,B54:E54),SF_Output!$Q$1:$Q$400,"One Time",SF_Output!$L$1:$L$400,"software license")+SUMIFS(SF_Output!$S$1:$S$400,SF_Output!$AC$1:$AC$400,_xlfn.TEXTJOIN(",",TRUE,B54:E54),SF_Output!$Q$1:$Q$400,"One Time",SF_Output!$L$1:$L$400,"hardware"))</f>
        <v>0</v>
      </c>
      <c r="K54" s="112" t="str">
        <f>IF(OR(B54=0,B54="",G54="hardware",J54=0),"",IF(AF54&lt;&gt;"exclusion",MAX(K$9,-((SUMIFS(SF_Output!$T$1:$T$400,SF_Output!$AC$1:$AC$400,_xlfn.TEXTJOIN(",",TRUE,$B54:$E54),SF_Output!$Q$1:$Q$400,"One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license"))/J54)))</f>
        <v/>
      </c>
      <c r="L54" s="6">
        <f t="shared" si="1"/>
        <v>0</v>
      </c>
      <c r="N54" s="6">
        <f>IF(B54="","",SUMIFS(SF_Output!$S$1:$S$400,SF_Output!$AC$1:$AC$400,_xlfn.TEXTJOIN(",",TRUE,B54:E54),SF_Output!$Q$1:$Q$400,"One Time",SF_Output!$L$1:$L$400,"professional service"))</f>
        <v>33900</v>
      </c>
      <c r="O54" s="112">
        <f>IF(OR(B54=0,B54="",N54=0),"",IF(AF54&lt;&gt;"exclusion",MAX(O$9,-(SUMIFS(SF_Output!$T$1:$T$400,SF_Output!$AC$1:$AC$400,_xlfn.TEXTJOIN(",",TRUE,$B54:$E54),SF_Output!$Q$1:$Q$400,"One Time",SF_Output!$L$1:$L$400,"professional service"))/N54),-((SUMIFS(SF_Output!$T$1:$T$400,SF_Output!$AC$1:$AC$400,_xlfn.TEXTJOIN(",",TRUE,$B54:$E54),SF_Output!$Q$1:$Q$400,"One Time",SF_Output!$L$1:$L$400,"professional service")/N54))))</f>
        <v>1</v>
      </c>
      <c r="P54" s="6">
        <f t="shared" si="2"/>
        <v>0</v>
      </c>
      <c r="R54" s="6">
        <f>IF(B54="","",SUMIFS(SF_Output!$S$1:$S$400,SF_Output!$AC$1:$AC$400,_xlfn.TEXTJOIN(",",TRUE,B54:E54),SF_Output!$Q$1:$Q$400,"yearly")+SUMIFS(SF_Output!$S$1:$S$400,SF_Output!$AC$1:$AC$400,_xlfn.TEXTJOIN(",",TRUE,B54:E54),SF_Output!$Q$1:$Q$400,"quarterly")*4)</f>
        <v>0</v>
      </c>
      <c r="S54" s="112" t="str">
        <f>IF(OR(B54=0,B54="",G54="hardware",R54=0),"",IF(AF54&lt;&gt;"exclusion",MAX(S$9,-(SUMIFS(SF_Output!$T$1:$T$400,SF_Output!$AC$1:$AC$400,_xlfn.TEXTJOIN(",",TRUE,$B54:$E54),SF_Output!$Q$1:$Q$400,"yearly"))/R54),-((SUMIFS(SF_Output!$T$1:$T$400,SF_Output!$AC$1:$AC$400,_xlfn.TEXTJOIN(",",TRUE,$B54:$E54),SF_Output!$Q$1:$Q$400,"yearly")/R54))))</f>
        <v/>
      </c>
      <c r="T54" s="6">
        <f t="shared" si="3"/>
        <v>0</v>
      </c>
      <c r="V54" s="6" cm="1">
        <f t="array" ref="V54">_xlfn.IFS(B54="","",AND(B54&lt;&gt;"",H54=SF_Output!$Y$2,SUMIFS(SF_Output!$T$1:$T$400,SF_Output!$AC$1:$AC$400,_xlfn.TEXTJOIN(",",TRUE,B54:E54),SF_Output!$Q$1:$Q$400,"monthly")=0),(SUMIFS(SF_Output!$F$1:$F$400,SF_Output!$AC$1:$AC$400,_xlfn.TEXTJOIN(",",TRUE,B54:E54),SF_Output!$Q$1:$Q$400,"monthly")+SUMIFS(SF_Output!$G$1:$G$400,SF_Output!$AC$1:$AC$400,_xlfn.TEXTJOIN(",",TRUE,B54:E54),SF_Output!$Q$1:$Q$400,"monthly"))*H54,AND(B54&lt;&gt;"",H54=SF_Output!$Y$2,SUMIFS(SF_Output!$T$1:$T$400,SF_Output!$AC$1:$AC$400,_xlfn.TEXTJOIN(",",TRUE,B54:E54),SF_Output!$Q$1:$Q$400,"monthly")&lt;&gt;0),SUMIFS(SF_Output!$S$1:$S$400,SF_Output!$AC$1:$AC$400,_xlfn.TEXTJOIN(",",TRUE,B54:E54),SF_Output!$Q$1:$Q$400,"monthly"),AND(B54&lt;&gt;"",H54&lt;&gt;SF_Output!$Y$2),SUMIFS(SF_Output!$S$1:$S$400,SF_Output!$AC$1:$AC$400,_xlfn.TEXTJOIN(",",TRUE,B54:E54),SF_Output!$Q$1:$Q$400,"monthly"))</f>
        <v>2225</v>
      </c>
      <c r="W54" s="112" cm="1">
        <f t="array" ref="W54">_xlfn.IFS(OR(B54=0,B54="",V54=0),"",AF54&lt;&gt;"exclusion",MAX($W$9,$W$7,(-(SUMIFS(SF_Output!$T$1:$T$400,SF_Output!$AC$1:$AC$400,_xlfn.TEXTJOIN(",",TRUE,$B54:$E54),SF_Output!$Q$1:$Q$400,"monthly"))/V54)),AF54="exclusion",-(SUMIFS(SF_Output!$T$1:$T$400,SF_Output!$AC$1:$AC$400,_xlfn.TEXTJOIN(",",TRUE,$B54:$E54),SF_Output!$Q$1:$Q$400,"monthly"))/V54)</f>
        <v>0.25</v>
      </c>
      <c r="X54" s="6" cm="1">
        <f t="array" ref="X54">IFERROR(_xlfn.IFS(V54=0,0,V54="","",W54=0,V54,OR(V54&lt;&gt;0,V54&lt;&gt;""),H54*I54),V54*(1-W54))</f>
        <v>1669</v>
      </c>
    </row>
    <row r="55" spans="2:24" x14ac:dyDescent="0.25">
      <c r="B55" t="s">
        <v>1354</v>
      </c>
      <c r="C55" t="s">
        <v>2122</v>
      </c>
      <c r="D55" t="s">
        <v>2123</v>
      </c>
      <c r="E55" t="s">
        <v>2124</v>
      </c>
      <c r="F55" s="116" t="str">
        <f t="shared" si="0"/>
        <v>Included</v>
      </c>
      <c r="G55" t="str">
        <f>IF(B55="","",INDEX(SF_Output!$K$1:$K$400,MATCH(B55,SF_Output!$M$1:$M$400,0)))</f>
        <v>OutLink Item Processing</v>
      </c>
      <c r="H55" cm="1">
        <f t="array" ref="H55">_xlfn.IFS(B55="","",(SUMIFS(SF_Output!$F$1:$F$400,SF_Output!$AC$1:$AC$400,_xlfn.TEXTJOIN(",",TRUE,B55:E55))+SUMIFS(SF_Output!$G$1:$G$400,SF_Output!$AC$1:$AC$400,_xlfn.TEXTJOIN(",",TRUE,B55:E55)))&lt;&gt;0,SF_Output!$Y$2,INDEX(SF_Output!$F$1:$F$400,MATCH(_xlfn.TEXTJOIN(",",TRUE,B55:E55),SF_Output!$AC$1:$AC$400,0))=0,INDEX(SF_Output!$R$1:$R$400,MATCH(_xlfn.TEXTJOIN(",",TRUE,B55:E55),SF_Output!$AC$1:$AC$400,0)))</f>
        <v>1</v>
      </c>
      <c r="I55" s="125" t="str">
        <f>IFERROR(IF(AND(H55&gt;1,H55&lt;&gt;""),ROUND(SUMIFS(SF_Output!$S$1:$S$400,SF_Output!$AC$1:$AC$400,_xlfn.TEXTJOIN(",",TRUE,B55:E55),SF_Output!$Q$1:$Q$400,"monthly")*(1-W55)/H55,4),""),"")</f>
        <v/>
      </c>
      <c r="J55" s="6">
        <f>IF(B55="","",SUMIFS(SF_Output!$S$1:$S$400,SF_Output!$AC$1:$AC$400,_xlfn.TEXTJOIN(",",TRUE,B55:E55),SF_Output!$Q$1:$Q$400,"One Time",SF_Output!$L$1:$L$400,"license fee")+SUMIFS(SF_Output!$S$1:$S$400,SF_Output!$AC$1:$AC$400,_xlfn.TEXTJOIN(",",TRUE,B55:E55),SF_Output!$Q$1:$Q$400,"One Time",SF_Output!$L$1:$L$400,"software license")+SUMIFS(SF_Output!$S$1:$S$400,SF_Output!$AC$1:$AC$400,_xlfn.TEXTJOIN(",",TRUE,B55:E55),SF_Output!$Q$1:$Q$400,"One Time",SF_Output!$L$1:$L$400,"hardware"))</f>
        <v>0</v>
      </c>
      <c r="K55" s="112" t="str">
        <f>IF(OR(B55=0,B55="",G55="hardware",J55=0),"",IF(AF55&lt;&gt;"exclusion",MAX(K$9,-((SUMIFS(SF_Output!$T$1:$T$400,SF_Output!$AC$1:$AC$400,_xlfn.TEXTJOIN(",",TRUE,$B55:$E55),SF_Output!$Q$1:$Q$400,"One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license"))/J55)))</f>
        <v/>
      </c>
      <c r="L55" s="6">
        <f t="shared" si="1"/>
        <v>0</v>
      </c>
      <c r="N55" s="6">
        <f>IF(B55="","",SUMIFS(SF_Output!$S$1:$S$400,SF_Output!$AC$1:$AC$400,_xlfn.TEXTJOIN(",",TRUE,B55:E55),SF_Output!$Q$1:$Q$400,"One Time",SF_Output!$L$1:$L$400,"professional service"))</f>
        <v>1125</v>
      </c>
      <c r="O55" s="112">
        <f>IF(OR(B55=0,B55="",N55=0),"",IF(AF55&lt;&gt;"exclusion",MAX(O$9,-(SUMIFS(SF_Output!$T$1:$T$400,SF_Output!$AC$1:$AC$400,_xlfn.TEXTJOIN(",",TRUE,$B55:$E55),SF_Output!$Q$1:$Q$400,"One Time",SF_Output!$L$1:$L$400,"professional service"))/N55),-((SUMIFS(SF_Output!$T$1:$T$400,SF_Output!$AC$1:$AC$400,_xlfn.TEXTJOIN(",",TRUE,$B55:$E55),SF_Output!$Q$1:$Q$400,"One Time",SF_Output!$L$1:$L$400,"professional service")/N55))))</f>
        <v>0</v>
      </c>
      <c r="P55" s="6">
        <f t="shared" si="2"/>
        <v>1125</v>
      </c>
      <c r="R55" s="6">
        <f>IF(B55="","",SUMIFS(SF_Output!$S$1:$S$400,SF_Output!$AC$1:$AC$400,_xlfn.TEXTJOIN(",",TRUE,B55:E55),SF_Output!$Q$1:$Q$400,"yearly")+SUMIFS(SF_Output!$S$1:$S$400,SF_Output!$AC$1:$AC$400,_xlfn.TEXTJOIN(",",TRUE,B55:E55),SF_Output!$Q$1:$Q$400,"quarterly")*4)</f>
        <v>0</v>
      </c>
      <c r="S55" s="112" t="str">
        <f>IF(OR(B55=0,B55="",G55="hardware",R55=0),"",IF(AF55&lt;&gt;"exclusion",MAX(S$9,-(SUMIFS(SF_Output!$T$1:$T$400,SF_Output!$AC$1:$AC$400,_xlfn.TEXTJOIN(",",TRUE,$B55:$E55),SF_Output!$Q$1:$Q$400,"yearly"))/R55),-((SUMIFS(SF_Output!$T$1:$T$400,SF_Output!$AC$1:$AC$400,_xlfn.TEXTJOIN(",",TRUE,$B55:$E55),SF_Output!$Q$1:$Q$400,"yearly")/R55))))</f>
        <v/>
      </c>
      <c r="T55" s="6">
        <f t="shared" si="3"/>
        <v>0</v>
      </c>
      <c r="V55" s="6" cm="1">
        <f t="array" ref="V55">_xlfn.IFS(B55="","",AND(B55&lt;&gt;"",H55=SF_Output!$Y$2,SUMIFS(SF_Output!$T$1:$T$400,SF_Output!$AC$1:$AC$400,_xlfn.TEXTJOIN(",",TRUE,B55:E55),SF_Output!$Q$1:$Q$400,"monthly")=0),(SUMIFS(SF_Output!$F$1:$F$400,SF_Output!$AC$1:$AC$400,_xlfn.TEXTJOIN(",",TRUE,B55:E55),SF_Output!$Q$1:$Q$400,"monthly")+SUMIFS(SF_Output!$G$1:$G$400,SF_Output!$AC$1:$AC$400,_xlfn.TEXTJOIN(",",TRUE,B55:E55),SF_Output!$Q$1:$Q$400,"monthly"))*H55,AND(B55&lt;&gt;"",H55=SF_Output!$Y$2,SUMIFS(SF_Output!$T$1:$T$400,SF_Output!$AC$1:$AC$400,_xlfn.TEXTJOIN(",",TRUE,B55:E55),SF_Output!$Q$1:$Q$400,"monthly")&lt;&gt;0),SUMIFS(SF_Output!$S$1:$S$400,SF_Output!$AC$1:$AC$400,_xlfn.TEXTJOIN(",",TRUE,B55:E55),SF_Output!$Q$1:$Q$400,"monthly"),AND(B55&lt;&gt;"",H55&lt;&gt;SF_Output!$Y$2),SUMIFS(SF_Output!$S$1:$S$400,SF_Output!$AC$1:$AC$400,_xlfn.TEXTJOIN(",",TRUE,B55:E55),SF_Output!$Q$1:$Q$400,"monthly"))</f>
        <v>0</v>
      </c>
      <c r="W55" s="112" t="str" cm="1">
        <f t="array" ref="W55">_xlfn.IFS(OR(B55=0,B55="",V55=0),"",AF55&lt;&gt;"exclusion",MAX($W$9,$W$7,(-(SUMIFS(SF_Output!$T$1:$T$400,SF_Output!$AC$1:$AC$400,_xlfn.TEXTJOIN(",",TRUE,$B55:$E55),SF_Output!$Q$1:$Q$400,"monthly"))/V55)),AF55="exclusion",-(SUMIFS(SF_Output!$T$1:$T$400,SF_Output!$AC$1:$AC$400,_xlfn.TEXTJOIN(",",TRUE,$B55:$E55),SF_Output!$Q$1:$Q$400,"monthly"))/V55)</f>
        <v/>
      </c>
      <c r="X55" s="6" cm="1">
        <f t="array" ref="X55">IFERROR(_xlfn.IFS(V55=0,0,V55="","",W55=0,V55,OR(V55&lt;&gt;0,V55&lt;&gt;""),H55*I55),V55*(1-W55))</f>
        <v>0</v>
      </c>
    </row>
    <row r="56" spans="2:24" x14ac:dyDescent="0.25">
      <c r="B56" t="s">
        <v>2259</v>
      </c>
      <c r="C56" t="s">
        <v>2122</v>
      </c>
      <c r="D56" t="s">
        <v>2123</v>
      </c>
      <c r="E56" t="s">
        <v>2124</v>
      </c>
      <c r="F56" s="116" t="str">
        <f t="shared" si="0"/>
        <v>Included</v>
      </c>
      <c r="G56" t="str">
        <f>IF(B56="","",INDEX(SF_Output!$K$1:$K$400,MATCH(B56,SF_Output!$M$1:$M$400,0)))</f>
        <v>OutLink Item Processing</v>
      </c>
      <c r="H56" cm="1">
        <f t="array" ref="H56">_xlfn.IFS(B56="","",(SUMIFS(SF_Output!$F$1:$F$400,SF_Output!$AC$1:$AC$400,_xlfn.TEXTJOIN(",",TRUE,B56:E56))+SUMIFS(SF_Output!$G$1:$G$400,SF_Output!$AC$1:$AC$400,_xlfn.TEXTJOIN(",",TRUE,B56:E56)))&lt;&gt;0,SF_Output!$Y$2,INDEX(SF_Output!$F$1:$F$400,MATCH(_xlfn.TEXTJOIN(",",TRUE,B56:E56),SF_Output!$AC$1:$AC$400,0))=0,INDEX(SF_Output!$R$1:$R$400,MATCH(_xlfn.TEXTJOIN(",",TRUE,B56:E56),SF_Output!$AC$1:$AC$400,0)))</f>
        <v>1</v>
      </c>
      <c r="I56" s="125" t="str">
        <f>IFERROR(IF(AND(H56&gt;1,H56&lt;&gt;""),ROUND(SUMIFS(SF_Output!$S$1:$S$400,SF_Output!$AC$1:$AC$400,_xlfn.TEXTJOIN(",",TRUE,B56:E56),SF_Output!$Q$1:$Q$400,"monthly")*(1-W56)/H56,4),""),"")</f>
        <v/>
      </c>
      <c r="J56" s="6">
        <f>IF(B56="","",SUMIFS(SF_Output!$S$1:$S$400,SF_Output!$AC$1:$AC$400,_xlfn.TEXTJOIN(",",TRUE,B56:E56),SF_Output!$Q$1:$Q$400,"One Time",SF_Output!$L$1:$L$400,"license fee")+SUMIFS(SF_Output!$S$1:$S$400,SF_Output!$AC$1:$AC$400,_xlfn.TEXTJOIN(",",TRUE,B56:E56),SF_Output!$Q$1:$Q$400,"One Time",SF_Output!$L$1:$L$400,"software license")+SUMIFS(SF_Output!$S$1:$S$400,SF_Output!$AC$1:$AC$400,_xlfn.TEXTJOIN(",",TRUE,B56:E56),SF_Output!$Q$1:$Q$400,"One Time",SF_Output!$L$1:$L$400,"hardware"))</f>
        <v>0</v>
      </c>
      <c r="K56" s="112" t="str">
        <f>IF(OR(B56=0,B56="",G56="hardware",J56=0),"",IF(AF56&lt;&gt;"exclusion",MAX(K$9,-((SUMIFS(SF_Output!$T$1:$T$400,SF_Output!$AC$1:$AC$400,_xlfn.TEXTJOIN(",",TRUE,$B56:$E56),SF_Output!$Q$1:$Q$400,"One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license"))/J56)))</f>
        <v/>
      </c>
      <c r="L56" s="6">
        <f t="shared" si="1"/>
        <v>0</v>
      </c>
      <c r="N56" s="6">
        <f>IF(B56="","",SUMIFS(SF_Output!$S$1:$S$400,SF_Output!$AC$1:$AC$400,_xlfn.TEXTJOIN(",",TRUE,B56:E56),SF_Output!$Q$1:$Q$400,"One Time",SF_Output!$L$1:$L$400,"professional service"))</f>
        <v>0</v>
      </c>
      <c r="O56" s="112" t="str">
        <f>IF(OR(B56=0,B56="",N56=0),"",IF(AF56&lt;&gt;"exclusion",MAX(O$9,-(SUMIFS(SF_Output!$T$1:$T$400,SF_Output!$AC$1:$AC$400,_xlfn.TEXTJOIN(",",TRUE,$B56:$E56),SF_Output!$Q$1:$Q$400,"One Time",SF_Output!$L$1:$L$400,"professional service"))/N56),-((SUMIFS(SF_Output!$T$1:$T$400,SF_Output!$AC$1:$AC$400,_xlfn.TEXTJOIN(",",TRUE,$B56:$E56),SF_Output!$Q$1:$Q$400,"One Time",SF_Output!$L$1:$L$400,"professional service")/N56))))</f>
        <v/>
      </c>
      <c r="P56" s="6">
        <f t="shared" si="2"/>
        <v>0</v>
      </c>
      <c r="R56" s="6">
        <f>IF(B56="","",SUMIFS(SF_Output!$S$1:$S$400,SF_Output!$AC$1:$AC$400,_xlfn.TEXTJOIN(",",TRUE,B56:E56),SF_Output!$Q$1:$Q$400,"yearly")+SUMIFS(SF_Output!$S$1:$S$400,SF_Output!$AC$1:$AC$400,_xlfn.TEXTJOIN(",",TRUE,B56:E56),SF_Output!$Q$1:$Q$400,"quarterly")*4)</f>
        <v>0</v>
      </c>
      <c r="S56" s="112" t="str">
        <f>IF(OR(B56=0,B56="",G56="hardware",R56=0),"",IF(AF56&lt;&gt;"exclusion",MAX(S$9,-(SUMIFS(SF_Output!$T$1:$T$400,SF_Output!$AC$1:$AC$400,_xlfn.TEXTJOIN(",",TRUE,$B56:$E56),SF_Output!$Q$1:$Q$400,"yearly"))/R56),-((SUMIFS(SF_Output!$T$1:$T$400,SF_Output!$AC$1:$AC$400,_xlfn.TEXTJOIN(",",TRUE,$B56:$E56),SF_Output!$Q$1:$Q$400,"yearly")/R56))))</f>
        <v/>
      </c>
      <c r="T56" s="6">
        <f t="shared" si="3"/>
        <v>0</v>
      </c>
      <c r="V56" s="6" cm="1">
        <f t="array" ref="V56">_xlfn.IFS(B56="","",AND(B56&lt;&gt;"",H56=SF_Output!$Y$2,SUMIFS(SF_Output!$T$1:$T$400,SF_Output!$AC$1:$AC$400,_xlfn.TEXTJOIN(",",TRUE,B56:E56),SF_Output!$Q$1:$Q$400,"monthly")=0),(SUMIFS(SF_Output!$F$1:$F$400,SF_Output!$AC$1:$AC$400,_xlfn.TEXTJOIN(",",TRUE,B56:E56),SF_Output!$Q$1:$Q$400,"monthly")+SUMIFS(SF_Output!$G$1:$G$400,SF_Output!$AC$1:$AC$400,_xlfn.TEXTJOIN(",",TRUE,B56:E56),SF_Output!$Q$1:$Q$400,"monthly"))*H56,AND(B56&lt;&gt;"",H56=SF_Output!$Y$2,SUMIFS(SF_Output!$T$1:$T$400,SF_Output!$AC$1:$AC$400,_xlfn.TEXTJOIN(",",TRUE,B56:E56),SF_Output!$Q$1:$Q$400,"monthly")&lt;&gt;0),SUMIFS(SF_Output!$S$1:$S$400,SF_Output!$AC$1:$AC$400,_xlfn.TEXTJOIN(",",TRUE,B56:E56),SF_Output!$Q$1:$Q$400,"monthly"),AND(B56&lt;&gt;"",H56&lt;&gt;SF_Output!$Y$2),SUMIFS(SF_Output!$S$1:$S$400,SF_Output!$AC$1:$AC$400,_xlfn.TEXTJOIN(",",TRUE,B56:E56),SF_Output!$Q$1:$Q$400,"monthly"))</f>
        <v>900</v>
      </c>
      <c r="W56" s="112" cm="1">
        <f t="array" ref="W56">_xlfn.IFS(OR(B56=0,B56="",V56=0),"",AF56&lt;&gt;"exclusion",MAX($W$9,$W$7,(-(SUMIFS(SF_Output!$T$1:$T$400,SF_Output!$AC$1:$AC$400,_xlfn.TEXTJOIN(",",TRUE,$B56:$E56),SF_Output!$Q$1:$Q$400,"monthly"))/V56)),AF56="exclusion",-(SUMIFS(SF_Output!$T$1:$T$400,SF_Output!$AC$1:$AC$400,_xlfn.TEXTJOIN(",",TRUE,$B56:$E56),SF_Output!$Q$1:$Q$400,"monthly"))/V56)</f>
        <v>0</v>
      </c>
      <c r="X56" s="6" cm="1">
        <f t="array" ref="X56">IFERROR(_xlfn.IFS(V56=0,0,V56="","",W56=0,V56,OR(V56&lt;&gt;0,V56&lt;&gt;""),H56*I56),V56*(1-W56))</f>
        <v>900</v>
      </c>
    </row>
    <row r="57" spans="2:24" x14ac:dyDescent="0.25">
      <c r="B57" t="s">
        <v>1378</v>
      </c>
      <c r="C57" t="s">
        <v>2122</v>
      </c>
      <c r="D57" t="s">
        <v>2123</v>
      </c>
      <c r="E57" t="s">
        <v>2124</v>
      </c>
      <c r="F57" s="116" t="str">
        <f t="shared" si="0"/>
        <v>Included</v>
      </c>
      <c r="G57" t="str">
        <f>IF(B57="","",INDEX(SF_Output!$K$1:$K$400,MATCH(B57,SF_Output!$M$1:$M$400,0)))</f>
        <v>OutLink Item Processing</v>
      </c>
      <c r="H57" cm="1">
        <f t="array" ref="H57">_xlfn.IFS(B57="","",(SUMIFS(SF_Output!$F$1:$F$400,SF_Output!$AC$1:$AC$400,_xlfn.TEXTJOIN(",",TRUE,B57:E57))+SUMIFS(SF_Output!$G$1:$G$400,SF_Output!$AC$1:$AC$400,_xlfn.TEXTJOIN(",",TRUE,B57:E57)))&lt;&gt;0,SF_Output!$Y$2,INDEX(SF_Output!$F$1:$F$400,MATCH(_xlfn.TEXTJOIN(",",TRUE,B57:E57),SF_Output!$AC$1:$AC$400,0))=0,INDEX(SF_Output!$R$1:$R$400,MATCH(_xlfn.TEXTJOIN(",",TRUE,B57:E57),SF_Output!$AC$1:$AC$400,0)))</f>
        <v>1</v>
      </c>
      <c r="I57" s="125" t="str">
        <f>IFERROR(IF(AND(H57&gt;1,H57&lt;&gt;""),ROUND(SUMIFS(SF_Output!$S$1:$S$400,SF_Output!$AC$1:$AC$400,_xlfn.TEXTJOIN(",",TRUE,B57:E57),SF_Output!$Q$1:$Q$400,"monthly")*(1-W57)/H57,4),""),"")</f>
        <v/>
      </c>
      <c r="J57" s="6">
        <f>IF(B57="","",SUMIFS(SF_Output!$S$1:$S$400,SF_Output!$AC$1:$AC$400,_xlfn.TEXTJOIN(",",TRUE,B57:E57),SF_Output!$Q$1:$Q$400,"One Time",SF_Output!$L$1:$L$400,"license fee")+SUMIFS(SF_Output!$S$1:$S$400,SF_Output!$AC$1:$AC$400,_xlfn.TEXTJOIN(",",TRUE,B57:E57),SF_Output!$Q$1:$Q$400,"One Time",SF_Output!$L$1:$L$400,"software license")+SUMIFS(SF_Output!$S$1:$S$400,SF_Output!$AC$1:$AC$400,_xlfn.TEXTJOIN(",",TRUE,B57:E57),SF_Output!$Q$1:$Q$400,"One Time",SF_Output!$L$1:$L$400,"hardware"))</f>
        <v>0</v>
      </c>
      <c r="K57" s="112" t="str">
        <f>IF(OR(B57=0,B57="",G57="hardware",J57=0),"",IF(AF57&lt;&gt;"exclusion",MAX(K$9,-((SUMIFS(SF_Output!$T$1:$T$400,SF_Output!$AC$1:$AC$400,_xlfn.TEXTJOIN(",",TRUE,$B57:$E57),SF_Output!$Q$1:$Q$400,"One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license"))/J57)))</f>
        <v/>
      </c>
      <c r="L57" s="6">
        <f t="shared" si="1"/>
        <v>0</v>
      </c>
      <c r="N57" s="6">
        <f>IF(B57="","",SUMIFS(SF_Output!$S$1:$S$400,SF_Output!$AC$1:$AC$400,_xlfn.TEXTJOIN(",",TRUE,B57:E57),SF_Output!$Q$1:$Q$400,"One Time",SF_Output!$L$1:$L$400,"professional service"))</f>
        <v>500</v>
      </c>
      <c r="O57" s="112">
        <f>IF(OR(B57=0,B57="",N57=0),"",IF(AF57&lt;&gt;"exclusion",MAX(O$9,-(SUMIFS(SF_Output!$T$1:$T$400,SF_Output!$AC$1:$AC$400,_xlfn.TEXTJOIN(",",TRUE,$B57:$E57),SF_Output!$Q$1:$Q$400,"One Time",SF_Output!$L$1:$L$400,"professional service"))/N57),-((SUMIFS(SF_Output!$T$1:$T$400,SF_Output!$AC$1:$AC$400,_xlfn.TEXTJOIN(",",TRUE,$B57:$E57),SF_Output!$Q$1:$Q$400,"One Time",SF_Output!$L$1:$L$400,"professional service")/N57))))</f>
        <v>1</v>
      </c>
      <c r="P57" s="6">
        <f t="shared" si="2"/>
        <v>0</v>
      </c>
      <c r="R57" s="6">
        <f>IF(B57="","",SUMIFS(SF_Output!$S$1:$S$400,SF_Output!$AC$1:$AC$400,_xlfn.TEXTJOIN(",",TRUE,B57:E57),SF_Output!$Q$1:$Q$400,"yearly")+SUMIFS(SF_Output!$S$1:$S$400,SF_Output!$AC$1:$AC$400,_xlfn.TEXTJOIN(",",TRUE,B57:E57),SF_Output!$Q$1:$Q$400,"quarterly")*4)</f>
        <v>0</v>
      </c>
      <c r="S57" s="112" t="str">
        <f>IF(OR(B57=0,B57="",G57="hardware",R57=0),"",IF(AF57&lt;&gt;"exclusion",MAX(S$9,-(SUMIFS(SF_Output!$T$1:$T$400,SF_Output!$AC$1:$AC$400,_xlfn.TEXTJOIN(",",TRUE,$B57:$E57),SF_Output!$Q$1:$Q$400,"yearly"))/R57),-((SUMIFS(SF_Output!$T$1:$T$400,SF_Output!$AC$1:$AC$400,_xlfn.TEXTJOIN(",",TRUE,$B57:$E57),SF_Output!$Q$1:$Q$400,"yearly")/R57))))</f>
        <v/>
      </c>
      <c r="T57" s="6">
        <f t="shared" si="3"/>
        <v>0</v>
      </c>
      <c r="V57" s="6" cm="1">
        <f t="array" ref="V57">_xlfn.IFS(B57="","",AND(B57&lt;&gt;"",H57=SF_Output!$Y$2,SUMIFS(SF_Output!$T$1:$T$400,SF_Output!$AC$1:$AC$400,_xlfn.TEXTJOIN(",",TRUE,B57:E57),SF_Output!$Q$1:$Q$400,"monthly")=0),(SUMIFS(SF_Output!$F$1:$F$400,SF_Output!$AC$1:$AC$400,_xlfn.TEXTJOIN(",",TRUE,B57:E57),SF_Output!$Q$1:$Q$400,"monthly")+SUMIFS(SF_Output!$G$1:$G$400,SF_Output!$AC$1:$AC$400,_xlfn.TEXTJOIN(",",TRUE,B57:E57),SF_Output!$Q$1:$Q$400,"monthly"))*H57,AND(B57&lt;&gt;"",H57=SF_Output!$Y$2,SUMIFS(SF_Output!$T$1:$T$400,SF_Output!$AC$1:$AC$400,_xlfn.TEXTJOIN(",",TRUE,B57:E57),SF_Output!$Q$1:$Q$400,"monthly")&lt;&gt;0),SUMIFS(SF_Output!$S$1:$S$400,SF_Output!$AC$1:$AC$400,_xlfn.TEXTJOIN(",",TRUE,B57:E57),SF_Output!$Q$1:$Q$400,"monthly"),AND(B57&lt;&gt;"",H57&lt;&gt;SF_Output!$Y$2),SUMIFS(SF_Output!$S$1:$S$400,SF_Output!$AC$1:$AC$400,_xlfn.TEXTJOIN(",",TRUE,B57:E57),SF_Output!$Q$1:$Q$400,"monthly"))</f>
        <v>0</v>
      </c>
      <c r="W57" s="112" t="str" cm="1">
        <f t="array" ref="W57">_xlfn.IFS(OR(B57=0,B57="",V57=0),"",AF57&lt;&gt;"exclusion",MAX($W$9,$W$7,(-(SUMIFS(SF_Output!$T$1:$T$400,SF_Output!$AC$1:$AC$400,_xlfn.TEXTJOIN(",",TRUE,$B57:$E57),SF_Output!$Q$1:$Q$400,"monthly"))/V57)),AF57="exclusion",-(SUMIFS(SF_Output!$T$1:$T$400,SF_Output!$AC$1:$AC$400,_xlfn.TEXTJOIN(",",TRUE,$B57:$E57),SF_Output!$Q$1:$Q$400,"monthly"))/V57)</f>
        <v/>
      </c>
      <c r="X57" s="6" cm="1">
        <f t="array" ref="X57">IFERROR(_xlfn.IFS(V57=0,0,V57="","",W57=0,V57,OR(V57&lt;&gt;0,V57&lt;&gt;""),H57*I57),V57*(1-W57))</f>
        <v>0</v>
      </c>
    </row>
    <row r="58" spans="2:24" x14ac:dyDescent="0.25">
      <c r="B58" t="s">
        <v>1407</v>
      </c>
      <c r="C58" t="s">
        <v>2122</v>
      </c>
      <c r="D58" t="s">
        <v>2207</v>
      </c>
      <c r="E58" t="s">
        <v>2150</v>
      </c>
      <c r="F58" s="116" t="str">
        <f t="shared" si="0"/>
        <v>Optional</v>
      </c>
      <c r="G58" t="str">
        <f>IF(B58="","",INDEX(SF_Output!$K$1:$K$400,MATCH(B58,SF_Output!$M$1:$M$400,0)))</f>
        <v>AlertCenter</v>
      </c>
      <c r="H58" cm="1">
        <f t="array" ref="H58">_xlfn.IFS(B58="","",(SUMIFS(SF_Output!$F$1:$F$400,SF_Output!$AC$1:$AC$400,_xlfn.TEXTJOIN(",",TRUE,B58:E58))+SUMIFS(SF_Output!$G$1:$G$400,SF_Output!$AC$1:$AC$400,_xlfn.TEXTJOIN(",",TRUE,B58:E58)))&lt;&gt;0,SF_Output!$Y$2,INDEX(SF_Output!$F$1:$F$400,MATCH(_xlfn.TEXTJOIN(",",TRUE,B58:E58),SF_Output!$AC$1:$AC$400,0))=0,INDEX(SF_Output!$R$1:$R$400,MATCH(_xlfn.TEXTJOIN(",",TRUE,B58:E58),SF_Output!$AC$1:$AC$400,0)))</f>
        <v>1</v>
      </c>
      <c r="I58" s="125" t="str">
        <f>IFERROR(IF(AND(H58&gt;1,H58&lt;&gt;""),ROUND(SUMIFS(SF_Output!$S$1:$S$400,SF_Output!$AC$1:$AC$400,_xlfn.TEXTJOIN(",",TRUE,B58:E58),SF_Output!$Q$1:$Q$400,"monthly")*(1-W58)/H58,4),""),"")</f>
        <v/>
      </c>
      <c r="J58" s="6">
        <f>IF(B58="","",SUMIFS(SF_Output!$S$1:$S$400,SF_Output!$AC$1:$AC$400,_xlfn.TEXTJOIN(",",TRUE,B58:E58),SF_Output!$Q$1:$Q$400,"One Time",SF_Output!$L$1:$L$400,"license fee")+SUMIFS(SF_Output!$S$1:$S$400,SF_Output!$AC$1:$AC$400,_xlfn.TEXTJOIN(",",TRUE,B58:E58),SF_Output!$Q$1:$Q$400,"One Time",SF_Output!$L$1:$L$400,"software license")+SUMIFS(SF_Output!$S$1:$S$400,SF_Output!$AC$1:$AC$400,_xlfn.TEXTJOIN(",",TRUE,B58:E58),SF_Output!$Q$1:$Q$400,"One Time",SF_Output!$L$1:$L$400,"hardware"))</f>
        <v>0</v>
      </c>
      <c r="K58" s="112" t="str">
        <f>IF(OR(B58=0,B58="",G58="hardware",J58=0),"",IF(AF58&lt;&gt;"exclusion",MAX(K$9,-((SUMIFS(SF_Output!$T$1:$T$400,SF_Output!$AC$1:$AC$400,_xlfn.TEXTJOIN(",",TRUE,$B58:$E58),SF_Output!$Q$1:$Q$400,"One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license"))/J58)))</f>
        <v/>
      </c>
      <c r="L58" s="6">
        <f t="shared" si="1"/>
        <v>0</v>
      </c>
      <c r="N58" s="6">
        <f>IF(B58="","",SUMIFS(SF_Output!$S$1:$S$400,SF_Output!$AC$1:$AC$400,_xlfn.TEXTJOIN(",",TRUE,B58:E58),SF_Output!$Q$1:$Q$400,"One Time",SF_Output!$L$1:$L$400,"professional service"))</f>
        <v>0</v>
      </c>
      <c r="O58" s="112" t="str">
        <f>IF(OR(B58=0,B58="",N58=0),"",IF(AF58&lt;&gt;"exclusion",MAX(O$9,-(SUMIFS(SF_Output!$T$1:$T$400,SF_Output!$AC$1:$AC$400,_xlfn.TEXTJOIN(",",TRUE,$B58:$E58),SF_Output!$Q$1:$Q$400,"One Time",SF_Output!$L$1:$L$400,"professional service"))/N58),-((SUMIFS(SF_Output!$T$1:$T$400,SF_Output!$AC$1:$AC$400,_xlfn.TEXTJOIN(",",TRUE,$B58:$E58),SF_Output!$Q$1:$Q$400,"One Time",SF_Output!$L$1:$L$400,"professional service")/N58))))</f>
        <v/>
      </c>
      <c r="P58" s="6">
        <f t="shared" si="2"/>
        <v>0</v>
      </c>
      <c r="R58" s="6">
        <f>IF(B58="","",SUMIFS(SF_Output!$S$1:$S$400,SF_Output!$AC$1:$AC$400,_xlfn.TEXTJOIN(",",TRUE,B58:E58),SF_Output!$Q$1:$Q$400,"yearly")+SUMIFS(SF_Output!$S$1:$S$400,SF_Output!$AC$1:$AC$400,_xlfn.TEXTJOIN(",",TRUE,B58:E58),SF_Output!$Q$1:$Q$400,"quarterly")*4)</f>
        <v>0</v>
      </c>
      <c r="S58" s="112" t="str">
        <f>IF(OR(B58=0,B58="",G58="hardware",R58=0),"",IF(AF58&lt;&gt;"exclusion",MAX(S$9,-(SUMIFS(SF_Output!$T$1:$T$400,SF_Output!$AC$1:$AC$400,_xlfn.TEXTJOIN(",",TRUE,$B58:$E58),SF_Output!$Q$1:$Q$400,"yearly"))/R58),-((SUMIFS(SF_Output!$T$1:$T$400,SF_Output!$AC$1:$AC$400,_xlfn.TEXTJOIN(",",TRUE,$B58:$E58),SF_Output!$Q$1:$Q$400,"yearly")/R58))))</f>
        <v/>
      </c>
      <c r="T58" s="6">
        <f t="shared" si="3"/>
        <v>0</v>
      </c>
      <c r="V58" s="6" cm="1">
        <f t="array" ref="V58">_xlfn.IFS(B58="","",AND(B58&lt;&gt;"",H58=SF_Output!$Y$2,SUMIFS(SF_Output!$T$1:$T$400,SF_Output!$AC$1:$AC$400,_xlfn.TEXTJOIN(",",TRUE,B58:E58),SF_Output!$Q$1:$Q$400,"monthly")=0),(SUMIFS(SF_Output!$F$1:$F$400,SF_Output!$AC$1:$AC$400,_xlfn.TEXTJOIN(",",TRUE,B58:E58),SF_Output!$Q$1:$Q$400,"monthly")+SUMIFS(SF_Output!$G$1:$G$400,SF_Output!$AC$1:$AC$400,_xlfn.TEXTJOIN(",",TRUE,B58:E58),SF_Output!$Q$1:$Q$400,"monthly"))*H58,AND(B58&lt;&gt;"",H58=SF_Output!$Y$2,SUMIFS(SF_Output!$T$1:$T$400,SF_Output!$AC$1:$AC$400,_xlfn.TEXTJOIN(",",TRUE,B58:E58),SF_Output!$Q$1:$Q$400,"monthly")&lt;&gt;0),SUMIFS(SF_Output!$S$1:$S$400,SF_Output!$AC$1:$AC$400,_xlfn.TEXTJOIN(",",TRUE,B58:E58),SF_Output!$Q$1:$Q$400,"monthly"),AND(B58&lt;&gt;"",H58&lt;&gt;SF_Output!$Y$2),SUMIFS(SF_Output!$S$1:$S$400,SF_Output!$AC$1:$AC$400,_xlfn.TEXTJOIN(",",TRUE,B58:E58),SF_Output!$Q$1:$Q$400,"monthly"))</f>
        <v>420</v>
      </c>
      <c r="W58" s="112" cm="1">
        <f t="array" ref="W58">_xlfn.IFS(OR(B58=0,B58="",V58=0),"",AF58&lt;&gt;"exclusion",MAX($W$9,$W$7,(-(SUMIFS(SF_Output!$T$1:$T$400,SF_Output!$AC$1:$AC$400,_xlfn.TEXTJOIN(",",TRUE,$B58:$E58),SF_Output!$Q$1:$Q$400,"monthly"))/V58)),AF58="exclusion",-(SUMIFS(SF_Output!$T$1:$T$400,SF_Output!$AC$1:$AC$400,_xlfn.TEXTJOIN(",",TRUE,$B58:$E58),SF_Output!$Q$1:$Q$400,"monthly"))/V58)</f>
        <v>0</v>
      </c>
      <c r="X58" s="6" cm="1">
        <f t="array" ref="X58">IFERROR(_xlfn.IFS(V58=0,0,V58="","",W58=0,V58,OR(V58&lt;&gt;0,V58&lt;&gt;""),H58*I58),V58*(1-W58))</f>
        <v>420</v>
      </c>
    </row>
    <row r="59" spans="2:24" x14ac:dyDescent="0.25">
      <c r="B59" t="s">
        <v>1409</v>
      </c>
      <c r="C59" t="s">
        <v>2122</v>
      </c>
      <c r="D59" t="s">
        <v>2207</v>
      </c>
      <c r="E59" t="s">
        <v>2150</v>
      </c>
      <c r="F59" s="116" t="str">
        <f t="shared" si="0"/>
        <v>Optional</v>
      </c>
      <c r="G59" t="str">
        <f>IF(B59="","",INDEX(SF_Output!$K$1:$K$400,MATCH(B59,SF_Output!$M$1:$M$400,0)))</f>
        <v>AlertCenter</v>
      </c>
      <c r="H59" cm="1">
        <f t="array" ref="H59">_xlfn.IFS(B59="","",(SUMIFS(SF_Output!$F$1:$F$400,SF_Output!$AC$1:$AC$400,_xlfn.TEXTJOIN(",",TRUE,B59:E59))+SUMIFS(SF_Output!$G$1:$G$400,SF_Output!$AC$1:$AC$400,_xlfn.TEXTJOIN(",",TRUE,B59:E59)))&lt;&gt;0,SF_Output!$Y$2,INDEX(SF_Output!$F$1:$F$400,MATCH(_xlfn.TEXTJOIN(",",TRUE,B59:E59),SF_Output!$AC$1:$AC$400,0))=0,INDEX(SF_Output!$R$1:$R$400,MATCH(_xlfn.TEXTJOIN(",",TRUE,B59:E59),SF_Output!$AC$1:$AC$400,0)))</f>
        <v>1</v>
      </c>
      <c r="I59" s="125" t="str">
        <f>IFERROR(IF(AND(H59&gt;1,H59&lt;&gt;""),ROUND(SUMIFS(SF_Output!$S$1:$S$400,SF_Output!$AC$1:$AC$400,_xlfn.TEXTJOIN(",",TRUE,B59:E59),SF_Output!$Q$1:$Q$400,"monthly")*(1-W59)/H59,4),""),"")</f>
        <v/>
      </c>
      <c r="J59" s="6">
        <f>IF(B59="","",SUMIFS(SF_Output!$S$1:$S$400,SF_Output!$AC$1:$AC$400,_xlfn.TEXTJOIN(",",TRUE,B59:E59),SF_Output!$Q$1:$Q$400,"One Time",SF_Output!$L$1:$L$400,"license fee")+SUMIFS(SF_Output!$S$1:$S$400,SF_Output!$AC$1:$AC$400,_xlfn.TEXTJOIN(",",TRUE,B59:E59),SF_Output!$Q$1:$Q$400,"One Time",SF_Output!$L$1:$L$400,"software license")+SUMIFS(SF_Output!$S$1:$S$400,SF_Output!$AC$1:$AC$400,_xlfn.TEXTJOIN(",",TRUE,B59:E59),SF_Output!$Q$1:$Q$400,"One Time",SF_Output!$L$1:$L$400,"hardware"))</f>
        <v>0</v>
      </c>
      <c r="K59" s="112" t="str">
        <f>IF(OR(B59=0,B59="",G59="hardware",J59=0),"",IF(AF59&lt;&gt;"exclusion",MAX(K$9,-((SUMIFS(SF_Output!$T$1:$T$400,SF_Output!$AC$1:$AC$400,_xlfn.TEXTJOIN(",",TRUE,$B59:$E59),SF_Output!$Q$1:$Q$400,"One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license"))/J59)))</f>
        <v/>
      </c>
      <c r="L59" s="6">
        <f t="shared" si="1"/>
        <v>0</v>
      </c>
      <c r="N59" s="6">
        <f>IF(B59="","",SUMIFS(SF_Output!$S$1:$S$400,SF_Output!$AC$1:$AC$400,_xlfn.TEXTJOIN(",",TRUE,B59:E59),SF_Output!$Q$1:$Q$400,"One Time",SF_Output!$L$1:$L$400,"professional service"))</f>
        <v>825</v>
      </c>
      <c r="O59" s="112">
        <f>IF(OR(B59=0,B59="",N59=0),"",IF(AF59&lt;&gt;"exclusion",MAX(O$9,-(SUMIFS(SF_Output!$T$1:$T$400,SF_Output!$AC$1:$AC$400,_xlfn.TEXTJOIN(",",TRUE,$B59:$E59),SF_Output!$Q$1:$Q$400,"One Time",SF_Output!$L$1:$L$400,"professional service"))/N59),-((SUMIFS(SF_Output!$T$1:$T$400,SF_Output!$AC$1:$AC$400,_xlfn.TEXTJOIN(",",TRUE,$B59:$E59),SF_Output!$Q$1:$Q$400,"One Time",SF_Output!$L$1:$L$400,"professional service")/N59))))</f>
        <v>0</v>
      </c>
      <c r="P59" s="6">
        <f t="shared" si="2"/>
        <v>825</v>
      </c>
      <c r="R59" s="6">
        <f>IF(B59="","",SUMIFS(SF_Output!$S$1:$S$400,SF_Output!$AC$1:$AC$400,_xlfn.TEXTJOIN(",",TRUE,B59:E59),SF_Output!$Q$1:$Q$400,"yearly")+SUMIFS(SF_Output!$S$1:$S$400,SF_Output!$AC$1:$AC$400,_xlfn.TEXTJOIN(",",TRUE,B59:E59),SF_Output!$Q$1:$Q$400,"quarterly")*4)</f>
        <v>0</v>
      </c>
      <c r="S59" s="112" t="str">
        <f>IF(OR(B59=0,B59="",G59="hardware",R59=0),"",IF(AF59&lt;&gt;"exclusion",MAX(S$9,-(SUMIFS(SF_Output!$T$1:$T$400,SF_Output!$AC$1:$AC$400,_xlfn.TEXTJOIN(",",TRUE,$B59:$E59),SF_Output!$Q$1:$Q$400,"yearly"))/R59),-((SUMIFS(SF_Output!$T$1:$T$400,SF_Output!$AC$1:$AC$400,_xlfn.TEXTJOIN(",",TRUE,$B59:$E59),SF_Output!$Q$1:$Q$400,"yearly")/R59))))</f>
        <v/>
      </c>
      <c r="T59" s="6">
        <f t="shared" si="3"/>
        <v>0</v>
      </c>
      <c r="V59" s="6" cm="1">
        <f t="array" ref="V59">_xlfn.IFS(B59="","",AND(B59&lt;&gt;"",H59=SF_Output!$Y$2,SUMIFS(SF_Output!$T$1:$T$400,SF_Output!$AC$1:$AC$400,_xlfn.TEXTJOIN(",",TRUE,B59:E59),SF_Output!$Q$1:$Q$400,"monthly")=0),(SUMIFS(SF_Output!$F$1:$F$400,SF_Output!$AC$1:$AC$400,_xlfn.TEXTJOIN(",",TRUE,B59:E59),SF_Output!$Q$1:$Q$400,"monthly")+SUMIFS(SF_Output!$G$1:$G$400,SF_Output!$AC$1:$AC$400,_xlfn.TEXTJOIN(",",TRUE,B59:E59),SF_Output!$Q$1:$Q$400,"monthly"))*H59,AND(B59&lt;&gt;"",H59=SF_Output!$Y$2,SUMIFS(SF_Output!$T$1:$T$400,SF_Output!$AC$1:$AC$400,_xlfn.TEXTJOIN(",",TRUE,B59:E59),SF_Output!$Q$1:$Q$400,"monthly")&lt;&gt;0),SUMIFS(SF_Output!$S$1:$S$400,SF_Output!$AC$1:$AC$400,_xlfn.TEXTJOIN(",",TRUE,B59:E59),SF_Output!$Q$1:$Q$400,"monthly"),AND(B59&lt;&gt;"",H59&lt;&gt;SF_Output!$Y$2),SUMIFS(SF_Output!$S$1:$S$400,SF_Output!$AC$1:$AC$400,_xlfn.TEXTJOIN(",",TRUE,B59:E59),SF_Output!$Q$1:$Q$400,"monthly"))</f>
        <v>0</v>
      </c>
      <c r="W59" s="112" t="str" cm="1">
        <f t="array" ref="W59">_xlfn.IFS(OR(B59=0,B59="",V59=0),"",AF59&lt;&gt;"exclusion",MAX($W$9,$W$7,(-(SUMIFS(SF_Output!$T$1:$T$400,SF_Output!$AC$1:$AC$400,_xlfn.TEXTJOIN(",",TRUE,$B59:$E59),SF_Output!$Q$1:$Q$400,"monthly"))/V59)),AF59="exclusion",-(SUMIFS(SF_Output!$T$1:$T$400,SF_Output!$AC$1:$AC$400,_xlfn.TEXTJOIN(",",TRUE,$B59:$E59),SF_Output!$Q$1:$Q$400,"monthly"))/V59)</f>
        <v/>
      </c>
      <c r="X59" s="6" cm="1">
        <f t="array" ref="X59">IFERROR(_xlfn.IFS(V59=0,0,V59="","",W59=0,V59,OR(V59&lt;&gt;0,V59&lt;&gt;""),H59*I59),V59*(1-W59))</f>
        <v>0</v>
      </c>
    </row>
    <row r="60" spans="2:24" x14ac:dyDescent="0.25">
      <c r="B60" t="s">
        <v>1411</v>
      </c>
      <c r="C60" t="s">
        <v>2122</v>
      </c>
      <c r="D60" t="s">
        <v>2207</v>
      </c>
      <c r="E60" t="s">
        <v>2150</v>
      </c>
      <c r="F60" s="116" t="str">
        <f t="shared" si="0"/>
        <v>Optional</v>
      </c>
      <c r="G60" t="str">
        <f>IF(B60="","",INDEX(SF_Output!$K$1:$K$400,MATCH(B60,SF_Output!$M$1:$M$400,0)))</f>
        <v>AlertCenter</v>
      </c>
      <c r="H60" cm="1">
        <f t="array" ref="H60">_xlfn.IFS(B60="","",(SUMIFS(SF_Output!$F$1:$F$400,SF_Output!$AC$1:$AC$400,_xlfn.TEXTJOIN(",",TRUE,B60:E60))+SUMIFS(SF_Output!$G$1:$G$400,SF_Output!$AC$1:$AC$400,_xlfn.TEXTJOIN(",",TRUE,B60:E60)))&lt;&gt;0,SF_Output!$Y$2,INDEX(SF_Output!$F$1:$F$400,MATCH(_xlfn.TEXTJOIN(",",TRUE,B60:E60),SF_Output!$AC$1:$AC$400,0))=0,INDEX(SF_Output!$R$1:$R$400,MATCH(_xlfn.TEXTJOIN(",",TRUE,B60:E60),SF_Output!$AC$1:$AC$400,0)))</f>
        <v>1</v>
      </c>
      <c r="I60" s="125" t="str">
        <f>IFERROR(IF(AND(H60&gt;1,H60&lt;&gt;""),ROUND(SUMIFS(SF_Output!$S$1:$S$400,SF_Output!$AC$1:$AC$400,_xlfn.TEXTJOIN(",",TRUE,B60:E60),SF_Output!$Q$1:$Q$400,"monthly")*(1-W60)/H60,4),""),"")</f>
        <v/>
      </c>
      <c r="J60" s="6">
        <f>IF(B60="","",SUMIFS(SF_Output!$S$1:$S$400,SF_Output!$AC$1:$AC$400,_xlfn.TEXTJOIN(",",TRUE,B60:E60),SF_Output!$Q$1:$Q$400,"One Time",SF_Output!$L$1:$L$400,"license fee")+SUMIFS(SF_Output!$S$1:$S$400,SF_Output!$AC$1:$AC$400,_xlfn.TEXTJOIN(",",TRUE,B60:E60),SF_Output!$Q$1:$Q$400,"One Time",SF_Output!$L$1:$L$400,"software license")+SUMIFS(SF_Output!$S$1:$S$400,SF_Output!$AC$1:$AC$400,_xlfn.TEXTJOIN(",",TRUE,B60:E60),SF_Output!$Q$1:$Q$400,"One Time",SF_Output!$L$1:$L$400,"hardware"))</f>
        <v>0</v>
      </c>
      <c r="K60" s="112" t="str">
        <f>IF(OR(B60=0,B60="",G60="hardware",J60=0),"",IF(AF60&lt;&gt;"exclusion",MAX(K$9,-((SUMIFS(SF_Output!$T$1:$T$400,SF_Output!$AC$1:$AC$400,_xlfn.TEXTJOIN(",",TRUE,$B60:$E60),SF_Output!$Q$1:$Q$400,"One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license"))/J60)))</f>
        <v/>
      </c>
      <c r="L60" s="6">
        <f t="shared" si="1"/>
        <v>0</v>
      </c>
      <c r="N60" s="6">
        <f>IF(B60="","",SUMIFS(SF_Output!$S$1:$S$400,SF_Output!$AC$1:$AC$400,_xlfn.TEXTJOIN(",",TRUE,B60:E60),SF_Output!$Q$1:$Q$400,"One Time",SF_Output!$L$1:$L$400,"professional service"))</f>
        <v>0</v>
      </c>
      <c r="O60" s="112" t="str">
        <f>IF(OR(B60=0,B60="",N60=0),"",IF(AF60&lt;&gt;"exclusion",MAX(O$9,-(SUMIFS(SF_Output!$T$1:$T$400,SF_Output!$AC$1:$AC$400,_xlfn.TEXTJOIN(",",TRUE,$B60:$E60),SF_Output!$Q$1:$Q$400,"One Time",SF_Output!$L$1:$L$400,"professional service"))/N60),-((SUMIFS(SF_Output!$T$1:$T$400,SF_Output!$AC$1:$AC$400,_xlfn.TEXTJOIN(",",TRUE,$B60:$E60),SF_Output!$Q$1:$Q$400,"One Time",SF_Output!$L$1:$L$400,"professional service")/N60))))</f>
        <v/>
      </c>
      <c r="P60" s="6">
        <f t="shared" si="2"/>
        <v>0</v>
      </c>
      <c r="R60" s="6">
        <f>IF(B60="","",SUMIFS(SF_Output!$S$1:$S$400,SF_Output!$AC$1:$AC$400,_xlfn.TEXTJOIN(",",TRUE,B60:E60),SF_Output!$Q$1:$Q$400,"yearly")+SUMIFS(SF_Output!$S$1:$S$400,SF_Output!$AC$1:$AC$400,_xlfn.TEXTJOIN(",",TRUE,B60:E60),SF_Output!$Q$1:$Q$400,"quarterly")*4)</f>
        <v>0</v>
      </c>
      <c r="S60" s="112" t="str">
        <f>IF(OR(B60=0,B60="",G60="hardware",R60=0),"",IF(AF60&lt;&gt;"exclusion",MAX(S$9,-(SUMIFS(SF_Output!$T$1:$T$400,SF_Output!$AC$1:$AC$400,_xlfn.TEXTJOIN(",",TRUE,$B60:$E60),SF_Output!$Q$1:$Q$400,"yearly"))/R60),-((SUMIFS(SF_Output!$T$1:$T$400,SF_Output!$AC$1:$AC$400,_xlfn.TEXTJOIN(",",TRUE,$B60:$E60),SF_Output!$Q$1:$Q$400,"yearly")/R60))))</f>
        <v/>
      </c>
      <c r="T60" s="6">
        <f t="shared" si="3"/>
        <v>0</v>
      </c>
      <c r="V60" s="6" cm="1">
        <f t="array" ref="V60">_xlfn.IFS(B60="","",AND(B60&lt;&gt;"",H60=SF_Output!$Y$2,SUMIFS(SF_Output!$T$1:$T$400,SF_Output!$AC$1:$AC$400,_xlfn.TEXTJOIN(",",TRUE,B60:E60),SF_Output!$Q$1:$Q$400,"monthly")=0),(SUMIFS(SF_Output!$F$1:$F$400,SF_Output!$AC$1:$AC$400,_xlfn.TEXTJOIN(",",TRUE,B60:E60),SF_Output!$Q$1:$Q$400,"monthly")+SUMIFS(SF_Output!$G$1:$G$400,SF_Output!$AC$1:$AC$400,_xlfn.TEXTJOIN(",",TRUE,B60:E60),SF_Output!$Q$1:$Q$400,"monthly"))*H60,AND(B60&lt;&gt;"",H60=SF_Output!$Y$2,SUMIFS(SF_Output!$T$1:$T$400,SF_Output!$AC$1:$AC$400,_xlfn.TEXTJOIN(",",TRUE,B60:E60),SF_Output!$Q$1:$Q$400,"monthly")&lt;&gt;0),SUMIFS(SF_Output!$S$1:$S$400,SF_Output!$AC$1:$AC$400,_xlfn.TEXTJOIN(",",TRUE,B60:E60),SF_Output!$Q$1:$Q$400,"monthly"),AND(B60&lt;&gt;"",H60&lt;&gt;SF_Output!$Y$2),SUMIFS(SF_Output!$S$1:$S$400,SF_Output!$AC$1:$AC$400,_xlfn.TEXTJOIN(",",TRUE,B60:E60),SF_Output!$Q$1:$Q$400,"monthly"))</f>
        <v>75</v>
      </c>
      <c r="W60" s="112" cm="1">
        <f t="array" ref="W60">_xlfn.IFS(OR(B60=0,B60="",V60=0),"",AF60&lt;&gt;"exclusion",MAX($W$9,$W$7,(-(SUMIFS(SF_Output!$T$1:$T$400,SF_Output!$AC$1:$AC$400,_xlfn.TEXTJOIN(",",TRUE,$B60:$E60),SF_Output!$Q$1:$Q$400,"monthly"))/V60)),AF60="exclusion",-(SUMIFS(SF_Output!$T$1:$T$400,SF_Output!$AC$1:$AC$400,_xlfn.TEXTJOIN(",",TRUE,$B60:$E60),SF_Output!$Q$1:$Q$400,"monthly"))/V60)</f>
        <v>0</v>
      </c>
      <c r="X60" s="6" cm="1">
        <f t="array" ref="X60">IFERROR(_xlfn.IFS(V60=0,0,V60="","",W60=0,V60,OR(V60&lt;&gt;0,V60&lt;&gt;""),H60*I60),V60*(1-W60))</f>
        <v>75</v>
      </c>
    </row>
    <row r="61" spans="2:24" x14ac:dyDescent="0.25">
      <c r="B61" t="s">
        <v>1413</v>
      </c>
      <c r="C61" t="s">
        <v>2122</v>
      </c>
      <c r="D61" t="s">
        <v>2123</v>
      </c>
      <c r="E61" t="s">
        <v>2150</v>
      </c>
      <c r="F61" s="116" t="str">
        <f t="shared" si="0"/>
        <v>Optional</v>
      </c>
      <c r="G61" t="str">
        <f>IF(B61="","",INDEX(SF_Output!$K$1:$K$400,MATCH(B61,SF_Output!$M$1:$M$400,0)))</f>
        <v>AlertCenter</v>
      </c>
      <c r="H61" cm="1">
        <f t="array" ref="H61">_xlfn.IFS(B61="","",(SUMIFS(SF_Output!$F$1:$F$400,SF_Output!$AC$1:$AC$400,_xlfn.TEXTJOIN(",",TRUE,B61:E61))+SUMIFS(SF_Output!$G$1:$G$400,SF_Output!$AC$1:$AC$400,_xlfn.TEXTJOIN(",",TRUE,B61:E61)))&lt;&gt;0,SF_Output!$Y$2,INDEX(SF_Output!$F$1:$F$400,MATCH(_xlfn.TEXTJOIN(",",TRUE,B61:E61),SF_Output!$AC$1:$AC$400,0))=0,INDEX(SF_Output!$R$1:$R$400,MATCH(_xlfn.TEXTJOIN(",",TRUE,B61:E61),SF_Output!$AC$1:$AC$400,0)))</f>
        <v>1</v>
      </c>
      <c r="I61" s="125" t="str">
        <f>IFERROR(IF(AND(H61&gt;1,H61&lt;&gt;""),ROUND(SUMIFS(SF_Output!$S$1:$S$400,SF_Output!$AC$1:$AC$400,_xlfn.TEXTJOIN(",",TRUE,B61:E61),SF_Output!$Q$1:$Q$400,"monthly")*(1-W61)/H61,4),""),"")</f>
        <v/>
      </c>
      <c r="J61" s="6">
        <f>IF(B61="","",SUMIFS(SF_Output!$S$1:$S$400,SF_Output!$AC$1:$AC$400,_xlfn.TEXTJOIN(",",TRUE,B61:E61),SF_Output!$Q$1:$Q$400,"One Time",SF_Output!$L$1:$L$400,"license fee")+SUMIFS(SF_Output!$S$1:$S$400,SF_Output!$AC$1:$AC$400,_xlfn.TEXTJOIN(",",TRUE,B61:E61),SF_Output!$Q$1:$Q$400,"One Time",SF_Output!$L$1:$L$400,"software license")+SUMIFS(SF_Output!$S$1:$S$400,SF_Output!$AC$1:$AC$400,_xlfn.TEXTJOIN(",",TRUE,B61:E61),SF_Output!$Q$1:$Q$400,"One Time",SF_Output!$L$1:$L$400,"hardware"))</f>
        <v>0</v>
      </c>
      <c r="K61" s="112" t="str">
        <f>IF(OR(B61=0,B61="",G61="hardware",J61=0),"",IF(AF61&lt;&gt;"exclusion",MAX(K$9,-((SUMIFS(SF_Output!$T$1:$T$400,SF_Output!$AC$1:$AC$400,_xlfn.TEXTJOIN(",",TRUE,$B61:$E61),SF_Output!$Q$1:$Q$400,"One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license"))/J61)))</f>
        <v/>
      </c>
      <c r="L61" s="6">
        <f t="shared" si="1"/>
        <v>0</v>
      </c>
      <c r="N61" s="6">
        <f>IF(B61="","",SUMIFS(SF_Output!$S$1:$S$400,SF_Output!$AC$1:$AC$400,_xlfn.TEXTJOIN(",",TRUE,B61:E61),SF_Output!$Q$1:$Q$400,"One Time",SF_Output!$L$1:$L$400,"professional service"))</f>
        <v>3750</v>
      </c>
      <c r="O61" s="112">
        <f>IF(OR(B61=0,B61="",N61=0),"",IF(AF61&lt;&gt;"exclusion",MAX(O$9,-(SUMIFS(SF_Output!$T$1:$T$400,SF_Output!$AC$1:$AC$400,_xlfn.TEXTJOIN(",",TRUE,$B61:$E61),SF_Output!$Q$1:$Q$400,"One Time",SF_Output!$L$1:$L$400,"professional service"))/N61),-((SUMIFS(SF_Output!$T$1:$T$400,SF_Output!$AC$1:$AC$400,_xlfn.TEXTJOIN(",",TRUE,$B61:$E61),SF_Output!$Q$1:$Q$400,"One Time",SF_Output!$L$1:$L$400,"professional service")/N61))))</f>
        <v>1</v>
      </c>
      <c r="P61" s="6">
        <f t="shared" si="2"/>
        <v>0</v>
      </c>
      <c r="R61" s="6">
        <f>IF(B61="","",SUMIFS(SF_Output!$S$1:$S$400,SF_Output!$AC$1:$AC$400,_xlfn.TEXTJOIN(",",TRUE,B61:E61),SF_Output!$Q$1:$Q$400,"yearly")+SUMIFS(SF_Output!$S$1:$S$400,SF_Output!$AC$1:$AC$400,_xlfn.TEXTJOIN(",",TRUE,B61:E61),SF_Output!$Q$1:$Q$400,"quarterly")*4)</f>
        <v>0</v>
      </c>
      <c r="S61" s="112" t="str">
        <f>IF(OR(B61=0,B61="",G61="hardware",R61=0),"",IF(AF61&lt;&gt;"exclusion",MAX(S$9,-(SUMIFS(SF_Output!$T$1:$T$400,SF_Output!$AC$1:$AC$400,_xlfn.TEXTJOIN(",",TRUE,$B61:$E61),SF_Output!$Q$1:$Q$400,"yearly"))/R61),-((SUMIFS(SF_Output!$T$1:$T$400,SF_Output!$AC$1:$AC$400,_xlfn.TEXTJOIN(",",TRUE,$B61:$E61),SF_Output!$Q$1:$Q$400,"yearly")/R61))))</f>
        <v/>
      </c>
      <c r="T61" s="6">
        <f t="shared" si="3"/>
        <v>0</v>
      </c>
      <c r="V61" s="6" cm="1">
        <f t="array" ref="V61">_xlfn.IFS(B61="","",AND(B61&lt;&gt;"",H61=SF_Output!$Y$2,SUMIFS(SF_Output!$T$1:$T$400,SF_Output!$AC$1:$AC$400,_xlfn.TEXTJOIN(",",TRUE,B61:E61),SF_Output!$Q$1:$Q$400,"monthly")=0),(SUMIFS(SF_Output!$F$1:$F$400,SF_Output!$AC$1:$AC$400,_xlfn.TEXTJOIN(",",TRUE,B61:E61),SF_Output!$Q$1:$Q$400,"monthly")+SUMIFS(SF_Output!$G$1:$G$400,SF_Output!$AC$1:$AC$400,_xlfn.TEXTJOIN(",",TRUE,B61:E61),SF_Output!$Q$1:$Q$400,"monthly"))*H61,AND(B61&lt;&gt;"",H61=SF_Output!$Y$2,SUMIFS(SF_Output!$T$1:$T$400,SF_Output!$AC$1:$AC$400,_xlfn.TEXTJOIN(",",TRUE,B61:E61),SF_Output!$Q$1:$Q$400,"monthly")&lt;&gt;0),SUMIFS(SF_Output!$S$1:$S$400,SF_Output!$AC$1:$AC$400,_xlfn.TEXTJOIN(",",TRUE,B61:E61),SF_Output!$Q$1:$Q$400,"monthly"),AND(B61&lt;&gt;"",H61&lt;&gt;SF_Output!$Y$2),SUMIFS(SF_Output!$S$1:$S$400,SF_Output!$AC$1:$AC$400,_xlfn.TEXTJOIN(",",TRUE,B61:E61),SF_Output!$Q$1:$Q$400,"monthly"))</f>
        <v>0</v>
      </c>
      <c r="W61" s="112" t="str" cm="1">
        <f t="array" ref="W61">_xlfn.IFS(OR(B61=0,B61="",V61=0),"",AF61&lt;&gt;"exclusion",MAX($W$9,$W$7,(-(SUMIFS(SF_Output!$T$1:$T$400,SF_Output!$AC$1:$AC$400,_xlfn.TEXTJOIN(",",TRUE,$B61:$E61),SF_Output!$Q$1:$Q$400,"monthly"))/V61)),AF61="exclusion",-(SUMIFS(SF_Output!$T$1:$T$400,SF_Output!$AC$1:$AC$400,_xlfn.TEXTJOIN(",",TRUE,$B61:$E61),SF_Output!$Q$1:$Q$400,"monthly"))/V61)</f>
        <v/>
      </c>
      <c r="X61" s="6" cm="1">
        <f t="array" ref="X61">IFERROR(_xlfn.IFS(V61=0,0,V61="","",W61=0,V61,OR(V61&lt;&gt;0,V61&lt;&gt;""),H61*I61),V61*(1-W61))</f>
        <v>0</v>
      </c>
    </row>
    <row r="62" spans="2:24" x14ac:dyDescent="0.25">
      <c r="B62" t="s">
        <v>2267</v>
      </c>
      <c r="C62" t="s">
        <v>2122</v>
      </c>
      <c r="D62" t="s">
        <v>2123</v>
      </c>
      <c r="E62" t="s">
        <v>2124</v>
      </c>
      <c r="F62" s="116" t="str">
        <f t="shared" si="0"/>
        <v>Included</v>
      </c>
      <c r="G62" t="str">
        <f>IF(B62="","",INDEX(SF_Output!$K$1:$K$400,MATCH(B62,SF_Output!$M$1:$M$400,0)))</f>
        <v>Synergy</v>
      </c>
      <c r="H62" cm="1">
        <f t="array" ref="H62">_xlfn.IFS(B62="","",(SUMIFS(SF_Output!$F$1:$F$400,SF_Output!$AC$1:$AC$400,_xlfn.TEXTJOIN(",",TRUE,B62:E62))+SUMIFS(SF_Output!$G$1:$G$400,SF_Output!$AC$1:$AC$400,_xlfn.TEXTJOIN(",",TRUE,B62:E62)))&lt;&gt;0,SF_Output!$Y$2,INDEX(SF_Output!$F$1:$F$400,MATCH(_xlfn.TEXTJOIN(",",TRUE,B62:E62),SF_Output!$AC$1:$AC$400,0))=0,INDEX(SF_Output!$R$1:$R$400,MATCH(_xlfn.TEXTJOIN(",",TRUE,B62:E62),SF_Output!$AC$1:$AC$400,0)))</f>
        <v>5000</v>
      </c>
      <c r="I62" s="125">
        <f>IFERROR(IF(AND(H62&gt;1,H62&lt;&gt;""),ROUND(SUMIFS(SF_Output!$S$1:$S$400,SF_Output!$AC$1:$AC$400,_xlfn.TEXTJOIN(",",TRUE,B62:E62),SF_Output!$Q$1:$Q$400,"monthly")*(1-W62)/H62,4),""),"")</f>
        <v>0.20549999999999999</v>
      </c>
      <c r="J62" s="6">
        <f>IF(B62="","",SUMIFS(SF_Output!$S$1:$S$400,SF_Output!$AC$1:$AC$400,_xlfn.TEXTJOIN(",",TRUE,B62:E62),SF_Output!$Q$1:$Q$400,"One Time",SF_Output!$L$1:$L$400,"license fee")+SUMIFS(SF_Output!$S$1:$S$400,SF_Output!$AC$1:$AC$400,_xlfn.TEXTJOIN(",",TRUE,B62:E62),SF_Output!$Q$1:$Q$400,"One Time",SF_Output!$L$1:$L$400,"software license")+SUMIFS(SF_Output!$S$1:$S$400,SF_Output!$AC$1:$AC$400,_xlfn.TEXTJOIN(",",TRUE,B62:E62),SF_Output!$Q$1:$Q$400,"One Time",SF_Output!$L$1:$L$400,"hardware"))</f>
        <v>0</v>
      </c>
      <c r="K62" s="112" t="str">
        <f>IF(OR(B62=0,B62="",G62="hardware",J62=0),"",IF(AF62&lt;&gt;"exclusion",MAX(K$9,-((SUMIFS(SF_Output!$T$1:$T$400,SF_Output!$AC$1:$AC$400,_xlfn.TEXTJOIN(",",TRUE,$B62:$E62),SF_Output!$Q$1:$Q$400,"One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license"))/J62)))</f>
        <v/>
      </c>
      <c r="L62" s="6">
        <f t="shared" si="1"/>
        <v>0</v>
      </c>
      <c r="N62" s="6">
        <f>IF(B62="","",SUMIFS(SF_Output!$S$1:$S$400,SF_Output!$AC$1:$AC$400,_xlfn.TEXTJOIN(",",TRUE,B62:E62),SF_Output!$Q$1:$Q$400,"One Time",SF_Output!$L$1:$L$400,"professional service"))</f>
        <v>19150</v>
      </c>
      <c r="O62" s="112">
        <f>IF(OR(B62=0,B62="",N62=0),"",IF(AF62&lt;&gt;"exclusion",MAX(O$9,-(SUMIFS(SF_Output!$T$1:$T$400,SF_Output!$AC$1:$AC$400,_xlfn.TEXTJOIN(",",TRUE,$B62:$E62),SF_Output!$Q$1:$Q$400,"One Time",SF_Output!$L$1:$L$400,"professional service"))/N62),-((SUMIFS(SF_Output!$T$1:$T$400,SF_Output!$AC$1:$AC$400,_xlfn.TEXTJOIN(",",TRUE,$B62:$E62),SF_Output!$Q$1:$Q$400,"One Time",SF_Output!$L$1:$L$400,"professional service")/N62))))</f>
        <v>1</v>
      </c>
      <c r="P62" s="6">
        <f t="shared" si="2"/>
        <v>0</v>
      </c>
      <c r="R62" s="6">
        <f>IF(B62="","",SUMIFS(SF_Output!$S$1:$S$400,SF_Output!$AC$1:$AC$400,_xlfn.TEXTJOIN(",",TRUE,B62:E62),SF_Output!$Q$1:$Q$400,"yearly")+SUMIFS(SF_Output!$S$1:$S$400,SF_Output!$AC$1:$AC$400,_xlfn.TEXTJOIN(",",TRUE,B62:E62),SF_Output!$Q$1:$Q$400,"quarterly")*4)</f>
        <v>0</v>
      </c>
      <c r="S62" s="112" t="str">
        <f>IF(OR(B62=0,B62="",G62="hardware",R62=0),"",IF(AF62&lt;&gt;"exclusion",MAX(S$9,-(SUMIFS(SF_Output!$T$1:$T$400,SF_Output!$AC$1:$AC$400,_xlfn.TEXTJOIN(",",TRUE,$B62:$E62),SF_Output!$Q$1:$Q$400,"yearly"))/R62),-((SUMIFS(SF_Output!$T$1:$T$400,SF_Output!$AC$1:$AC$400,_xlfn.TEXTJOIN(",",TRUE,$B62:$E62),SF_Output!$Q$1:$Q$400,"yearly")/R62))))</f>
        <v/>
      </c>
      <c r="T62" s="6">
        <f t="shared" si="3"/>
        <v>0</v>
      </c>
      <c r="V62" s="6" cm="1">
        <f t="array" ref="V62">_xlfn.IFS(B62="","",AND(B62&lt;&gt;"",H62=SF_Output!$Y$2,SUMIFS(SF_Output!$T$1:$T$400,SF_Output!$AC$1:$AC$400,_xlfn.TEXTJOIN(",",TRUE,B62:E62),SF_Output!$Q$1:$Q$400,"monthly")=0),(SUMIFS(SF_Output!$F$1:$F$400,SF_Output!$AC$1:$AC$400,_xlfn.TEXTJOIN(",",TRUE,B62:E62),SF_Output!$Q$1:$Q$400,"monthly")+SUMIFS(SF_Output!$G$1:$G$400,SF_Output!$AC$1:$AC$400,_xlfn.TEXTJOIN(",",TRUE,B62:E62),SF_Output!$Q$1:$Q$400,"monthly"))*H62,AND(B62&lt;&gt;"",H62=SF_Output!$Y$2,SUMIFS(SF_Output!$T$1:$T$400,SF_Output!$AC$1:$AC$400,_xlfn.TEXTJOIN(",",TRUE,B62:E62),SF_Output!$Q$1:$Q$400,"monthly")&lt;&gt;0),SUMIFS(SF_Output!$S$1:$S$400,SF_Output!$AC$1:$AC$400,_xlfn.TEXTJOIN(",",TRUE,B62:E62),SF_Output!$Q$1:$Q$400,"monthly"),AND(B62&lt;&gt;"",H62&lt;&gt;SF_Output!$Y$2),SUMIFS(SF_Output!$S$1:$S$400,SF_Output!$AC$1:$AC$400,_xlfn.TEXTJOIN(",",TRUE,B62:E62),SF_Output!$Q$1:$Q$400,"monthly"))</f>
        <v>1370</v>
      </c>
      <c r="W62" s="112" cm="1">
        <f t="array" ref="W62">_xlfn.IFS(OR(B62=0,B62="",V62=0),"",AF62&lt;&gt;"exclusion",MAX($W$9,$W$7,(-(SUMIFS(SF_Output!$T$1:$T$400,SF_Output!$AC$1:$AC$400,_xlfn.TEXTJOIN(",",TRUE,$B62:$E62),SF_Output!$Q$1:$Q$400,"monthly"))/V62)),AF62="exclusion",-(SUMIFS(SF_Output!$T$1:$T$400,SF_Output!$AC$1:$AC$400,_xlfn.TEXTJOIN(",",TRUE,$B62:$E62),SF_Output!$Q$1:$Q$400,"monthly"))/V62)</f>
        <v>0.25</v>
      </c>
      <c r="X62" s="6" cm="1">
        <f t="array" ref="X62">IFERROR(_xlfn.IFS(V62=0,0,V62="","",W62=0,V62,OR(V62&lt;&gt;0,V62&lt;&gt;""),H62*I62),V62*(1-W62))</f>
        <v>1027.5</v>
      </c>
    </row>
    <row r="63" spans="2:24" x14ac:dyDescent="0.25">
      <c r="B63" t="s">
        <v>2270</v>
      </c>
      <c r="C63" t="s">
        <v>2122</v>
      </c>
      <c r="D63" t="s">
        <v>2123</v>
      </c>
      <c r="E63" t="s">
        <v>2124</v>
      </c>
      <c r="F63" s="116" t="str">
        <f t="shared" si="0"/>
        <v>Included</v>
      </c>
      <c r="G63" t="str">
        <f>IF(B63="","",INDEX(SF_Output!$K$1:$K$400,MATCH(B63,SF_Output!$M$1:$M$400,0)))</f>
        <v>Synergy</v>
      </c>
      <c r="H63" cm="1">
        <f t="array" ref="H63">_xlfn.IFS(B63="","",(SUMIFS(SF_Output!$F$1:$F$400,SF_Output!$AC$1:$AC$400,_xlfn.TEXTJOIN(",",TRUE,B63:E63))+SUMIFS(SF_Output!$G$1:$G$400,SF_Output!$AC$1:$AC$400,_xlfn.TEXTJOIN(",",TRUE,B63:E63)))&lt;&gt;0,SF_Output!$Y$2,INDEX(SF_Output!$F$1:$F$400,MATCH(_xlfn.TEXTJOIN(",",TRUE,B63:E63),SF_Output!$AC$1:$AC$400,0))=0,INDEX(SF_Output!$R$1:$R$400,MATCH(_xlfn.TEXTJOIN(",",TRUE,B63:E63),SF_Output!$AC$1:$AC$400,0)))</f>
        <v>5000</v>
      </c>
      <c r="I63" s="125">
        <f>IFERROR(IF(AND(H63&gt;1,H63&lt;&gt;""),ROUND(SUMIFS(SF_Output!$S$1:$S$400,SF_Output!$AC$1:$AC$400,_xlfn.TEXTJOIN(",",TRUE,B63:E63),SF_Output!$Q$1:$Q$400,"monthly")*(1-W63)/H63,4),""),"")</f>
        <v>7.6499999999999999E-2</v>
      </c>
      <c r="J63" s="6">
        <f>IF(B63="","",SUMIFS(SF_Output!$S$1:$S$400,SF_Output!$AC$1:$AC$400,_xlfn.TEXTJOIN(",",TRUE,B63:E63),SF_Output!$Q$1:$Q$400,"One Time",SF_Output!$L$1:$L$400,"license fee")+SUMIFS(SF_Output!$S$1:$S$400,SF_Output!$AC$1:$AC$400,_xlfn.TEXTJOIN(",",TRUE,B63:E63),SF_Output!$Q$1:$Q$400,"One Time",SF_Output!$L$1:$L$400,"software license")+SUMIFS(SF_Output!$S$1:$S$400,SF_Output!$AC$1:$AC$400,_xlfn.TEXTJOIN(",",TRUE,B63:E63),SF_Output!$Q$1:$Q$400,"One Time",SF_Output!$L$1:$L$400,"hardware"))</f>
        <v>0</v>
      </c>
      <c r="K63" s="112" t="str">
        <f>IF(OR(B63=0,B63="",G63="hardware",J63=0),"",IF(AF63&lt;&gt;"exclusion",MAX(K$9,-((SUMIFS(SF_Output!$T$1:$T$400,SF_Output!$AC$1:$AC$400,_xlfn.TEXTJOIN(",",TRUE,$B63:$E63),SF_Output!$Q$1:$Q$400,"One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license"))/J63)))</f>
        <v/>
      </c>
      <c r="L63" s="6">
        <f t="shared" si="1"/>
        <v>0</v>
      </c>
      <c r="N63" s="6">
        <f>IF(B63="","",SUMIFS(SF_Output!$S$1:$S$400,SF_Output!$AC$1:$AC$400,_xlfn.TEXTJOIN(",",TRUE,B63:E63),SF_Output!$Q$1:$Q$400,"One Time",SF_Output!$L$1:$L$400,"professional service"))</f>
        <v>4800</v>
      </c>
      <c r="O63" s="112">
        <f>IF(OR(B63=0,B63="",N63=0),"",IF(AF63&lt;&gt;"exclusion",MAX(O$9,-(SUMIFS(SF_Output!$T$1:$T$400,SF_Output!$AC$1:$AC$400,_xlfn.TEXTJOIN(",",TRUE,$B63:$E63),SF_Output!$Q$1:$Q$400,"One Time",SF_Output!$L$1:$L$400,"professional service"))/N63),-((SUMIFS(SF_Output!$T$1:$T$400,SF_Output!$AC$1:$AC$400,_xlfn.TEXTJOIN(",",TRUE,$B63:$E63),SF_Output!$Q$1:$Q$400,"One Time",SF_Output!$L$1:$L$400,"professional service")/N63))))</f>
        <v>1</v>
      </c>
      <c r="P63" s="6">
        <f t="shared" si="2"/>
        <v>0</v>
      </c>
      <c r="R63" s="6">
        <f>IF(B63="","",SUMIFS(SF_Output!$S$1:$S$400,SF_Output!$AC$1:$AC$400,_xlfn.TEXTJOIN(",",TRUE,B63:E63),SF_Output!$Q$1:$Q$400,"yearly")+SUMIFS(SF_Output!$S$1:$S$400,SF_Output!$AC$1:$AC$400,_xlfn.TEXTJOIN(",",TRUE,B63:E63),SF_Output!$Q$1:$Q$400,"quarterly")*4)</f>
        <v>0</v>
      </c>
      <c r="S63" s="112" t="str">
        <f>IF(OR(B63=0,B63="",G63="hardware",R63=0),"",IF(AF63&lt;&gt;"exclusion",MAX(S$9,-(SUMIFS(SF_Output!$T$1:$T$400,SF_Output!$AC$1:$AC$400,_xlfn.TEXTJOIN(",",TRUE,$B63:$E63),SF_Output!$Q$1:$Q$400,"yearly"))/R63),-((SUMIFS(SF_Output!$T$1:$T$400,SF_Output!$AC$1:$AC$400,_xlfn.TEXTJOIN(",",TRUE,$B63:$E63),SF_Output!$Q$1:$Q$400,"yearly")/R63))))</f>
        <v/>
      </c>
      <c r="T63" s="6">
        <f t="shared" si="3"/>
        <v>0</v>
      </c>
      <c r="V63" s="6" cm="1">
        <f t="array" ref="V63">_xlfn.IFS(B63="","",AND(B63&lt;&gt;"",H63=SF_Output!$Y$2,SUMIFS(SF_Output!$T$1:$T$400,SF_Output!$AC$1:$AC$400,_xlfn.TEXTJOIN(",",TRUE,B63:E63),SF_Output!$Q$1:$Q$400,"monthly")=0),(SUMIFS(SF_Output!$F$1:$F$400,SF_Output!$AC$1:$AC$400,_xlfn.TEXTJOIN(",",TRUE,B63:E63),SF_Output!$Q$1:$Q$400,"monthly")+SUMIFS(SF_Output!$G$1:$G$400,SF_Output!$AC$1:$AC$400,_xlfn.TEXTJOIN(",",TRUE,B63:E63),SF_Output!$Q$1:$Q$400,"monthly"))*H63,AND(B63&lt;&gt;"",H63=SF_Output!$Y$2,SUMIFS(SF_Output!$T$1:$T$400,SF_Output!$AC$1:$AC$400,_xlfn.TEXTJOIN(",",TRUE,B63:E63),SF_Output!$Q$1:$Q$400,"monthly")&lt;&gt;0),SUMIFS(SF_Output!$S$1:$S$400,SF_Output!$AC$1:$AC$400,_xlfn.TEXTJOIN(",",TRUE,B63:E63),SF_Output!$Q$1:$Q$400,"monthly"),AND(B63&lt;&gt;"",H63&lt;&gt;SF_Output!$Y$2),SUMIFS(SF_Output!$S$1:$S$400,SF_Output!$AC$1:$AC$400,_xlfn.TEXTJOIN(",",TRUE,B63:E63),SF_Output!$Q$1:$Q$400,"monthly"))</f>
        <v>510</v>
      </c>
      <c r="W63" s="112" cm="1">
        <f t="array" ref="W63">_xlfn.IFS(OR(B63=0,B63="",V63=0),"",AF63&lt;&gt;"exclusion",MAX($W$9,$W$7,(-(SUMIFS(SF_Output!$T$1:$T$400,SF_Output!$AC$1:$AC$400,_xlfn.TEXTJOIN(",",TRUE,$B63:$E63),SF_Output!$Q$1:$Q$400,"monthly"))/V63)),AF63="exclusion",-(SUMIFS(SF_Output!$T$1:$T$400,SF_Output!$AC$1:$AC$400,_xlfn.TEXTJOIN(",",TRUE,$B63:$E63),SF_Output!$Q$1:$Q$400,"monthly"))/V63)</f>
        <v>0.25</v>
      </c>
      <c r="X63" s="6" cm="1">
        <f t="array" ref="X63">IFERROR(_xlfn.IFS(V63=0,0,V63="","",W63=0,V63,OR(V63&lt;&gt;0,V63&lt;&gt;""),H63*I63),V63*(1-W63))</f>
        <v>382.5</v>
      </c>
    </row>
    <row r="64" spans="2:24" x14ac:dyDescent="0.25">
      <c r="B64" t="s">
        <v>1598</v>
      </c>
      <c r="C64" t="s">
        <v>2122</v>
      </c>
      <c r="D64" t="s">
        <v>2164</v>
      </c>
      <c r="E64" t="s">
        <v>2124</v>
      </c>
      <c r="F64" s="116" t="str">
        <f t="shared" si="0"/>
        <v>Included</v>
      </c>
      <c r="G64" t="str">
        <f>IF(B64="","",INDEX(SF_Output!$K$1:$K$400,MATCH(B64,SF_Output!$M$1:$M$400,0)))</f>
        <v>Synergy</v>
      </c>
      <c r="H64" cm="1">
        <f t="array" ref="H64">_xlfn.IFS(B64="","",(SUMIFS(SF_Output!$F$1:$F$400,SF_Output!$AC$1:$AC$400,_xlfn.TEXTJOIN(",",TRUE,B64:E64))+SUMIFS(SF_Output!$G$1:$G$400,SF_Output!$AC$1:$AC$400,_xlfn.TEXTJOIN(",",TRUE,B64:E64)))&lt;&gt;0,SF_Output!$Y$2,INDEX(SF_Output!$F$1:$F$400,MATCH(_xlfn.TEXTJOIN(",",TRUE,B64:E64),SF_Output!$AC$1:$AC$400,0))=0,INDEX(SF_Output!$R$1:$R$400,MATCH(_xlfn.TEXTJOIN(",",TRUE,B64:E64),SF_Output!$AC$1:$AC$400,0)))</f>
        <v>2</v>
      </c>
      <c r="I64" s="125" t="str">
        <f>IFERROR(IF(AND(H64&gt;1,H64&lt;&gt;""),ROUND(SUMIFS(SF_Output!$S$1:$S$400,SF_Output!$AC$1:$AC$400,_xlfn.TEXTJOIN(",",TRUE,B64:E64),SF_Output!$Q$1:$Q$400,"monthly")*(1-W64)/H64,4),""),"")</f>
        <v/>
      </c>
      <c r="J64" s="6">
        <f>IF(B64="","",SUMIFS(SF_Output!$S$1:$S$400,SF_Output!$AC$1:$AC$400,_xlfn.TEXTJOIN(",",TRUE,B64:E64),SF_Output!$Q$1:$Q$400,"One Time",SF_Output!$L$1:$L$400,"license fee")+SUMIFS(SF_Output!$S$1:$S$400,SF_Output!$AC$1:$AC$400,_xlfn.TEXTJOIN(",",TRUE,B64:E64),SF_Output!$Q$1:$Q$400,"One Time",SF_Output!$L$1:$L$400,"software license")+SUMIFS(SF_Output!$S$1:$S$400,SF_Output!$AC$1:$AC$400,_xlfn.TEXTJOIN(",",TRUE,B64:E64),SF_Output!$Q$1:$Q$400,"One Time",SF_Output!$L$1:$L$400,"hardware"))</f>
        <v>1000</v>
      </c>
      <c r="K64" s="112">
        <f>IF(OR(B64=0,B64="",G64="hardware",J64=0),"",IF(AF64&lt;&gt;"exclusion",MAX(K$9,-((SUMIFS(SF_Output!$T$1:$T$400,SF_Output!$AC$1:$AC$400,_xlfn.TEXTJOIN(",",TRUE,$B64:$E64),SF_Output!$Q$1:$Q$400,"One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license"))/J64)))</f>
        <v>0</v>
      </c>
      <c r="L64" s="6">
        <f t="shared" si="1"/>
        <v>1000</v>
      </c>
      <c r="N64" s="6">
        <f>IF(B64="","",SUMIFS(SF_Output!$S$1:$S$400,SF_Output!$AC$1:$AC$400,_xlfn.TEXTJOIN(",",TRUE,B64:E64),SF_Output!$Q$1:$Q$400,"One Time",SF_Output!$L$1:$L$400,"professional service"))</f>
        <v>0</v>
      </c>
      <c r="O64" s="112" t="str">
        <f>IF(OR(B64=0,B64="",N64=0),"",IF(AF64&lt;&gt;"exclusion",MAX(O$9,-(SUMIFS(SF_Output!$T$1:$T$400,SF_Output!$AC$1:$AC$400,_xlfn.TEXTJOIN(",",TRUE,$B64:$E64),SF_Output!$Q$1:$Q$400,"One Time",SF_Output!$L$1:$L$400,"professional service"))/N64),-((SUMIFS(SF_Output!$T$1:$T$400,SF_Output!$AC$1:$AC$400,_xlfn.TEXTJOIN(",",TRUE,$B64:$E64),SF_Output!$Q$1:$Q$400,"One Time",SF_Output!$L$1:$L$400,"professional service")/N64))))</f>
        <v/>
      </c>
      <c r="P64" s="6">
        <f t="shared" si="2"/>
        <v>0</v>
      </c>
      <c r="R64" s="6">
        <f>IF(B64="","",SUMIFS(SF_Output!$S$1:$S$400,SF_Output!$AC$1:$AC$400,_xlfn.TEXTJOIN(",",TRUE,B64:E64),SF_Output!$Q$1:$Q$400,"yearly")+SUMIFS(SF_Output!$S$1:$S$400,SF_Output!$AC$1:$AC$400,_xlfn.TEXTJOIN(",",TRUE,B64:E64),SF_Output!$Q$1:$Q$400,"quarterly")*4)</f>
        <v>0</v>
      </c>
      <c r="S64" s="112" t="str">
        <f>IF(OR(B64=0,B64="",G64="hardware",R64=0),"",IF(AF64&lt;&gt;"exclusion",MAX(S$9,-(SUMIFS(SF_Output!$T$1:$T$400,SF_Output!$AC$1:$AC$400,_xlfn.TEXTJOIN(",",TRUE,$B64:$E64),SF_Output!$Q$1:$Q$400,"yearly"))/R64),-((SUMIFS(SF_Output!$T$1:$T$400,SF_Output!$AC$1:$AC$400,_xlfn.TEXTJOIN(",",TRUE,$B64:$E64),SF_Output!$Q$1:$Q$400,"yearly")/R64))))</f>
        <v/>
      </c>
      <c r="T64" s="6">
        <f t="shared" si="3"/>
        <v>0</v>
      </c>
      <c r="V64" s="6" cm="1">
        <f t="array" ref="V64">_xlfn.IFS(B64="","",AND(B64&lt;&gt;"",H64=SF_Output!$Y$2,SUMIFS(SF_Output!$T$1:$T$400,SF_Output!$AC$1:$AC$400,_xlfn.TEXTJOIN(",",TRUE,B64:E64),SF_Output!$Q$1:$Q$400,"monthly")=0),(SUMIFS(SF_Output!$F$1:$F$400,SF_Output!$AC$1:$AC$400,_xlfn.TEXTJOIN(",",TRUE,B64:E64),SF_Output!$Q$1:$Q$400,"monthly")+SUMIFS(SF_Output!$G$1:$G$400,SF_Output!$AC$1:$AC$400,_xlfn.TEXTJOIN(",",TRUE,B64:E64),SF_Output!$Q$1:$Q$400,"monthly"))*H64,AND(B64&lt;&gt;"",H64=SF_Output!$Y$2,SUMIFS(SF_Output!$T$1:$T$400,SF_Output!$AC$1:$AC$400,_xlfn.TEXTJOIN(",",TRUE,B64:E64),SF_Output!$Q$1:$Q$400,"monthly")&lt;&gt;0),SUMIFS(SF_Output!$S$1:$S$400,SF_Output!$AC$1:$AC$400,_xlfn.TEXTJOIN(",",TRUE,B64:E64),SF_Output!$Q$1:$Q$400,"monthly"),AND(B64&lt;&gt;"",H64&lt;&gt;SF_Output!$Y$2),SUMIFS(SF_Output!$S$1:$S$400,SF_Output!$AC$1:$AC$400,_xlfn.TEXTJOIN(",",TRUE,B64:E64),SF_Output!$Q$1:$Q$400,"monthly"))</f>
        <v>0</v>
      </c>
      <c r="W64" s="112" t="str" cm="1">
        <f t="array" ref="W64">_xlfn.IFS(OR(B64=0,B64="",V64=0),"",AF64&lt;&gt;"exclusion",MAX($W$9,$W$7,(-(SUMIFS(SF_Output!$T$1:$T$400,SF_Output!$AC$1:$AC$400,_xlfn.TEXTJOIN(",",TRUE,$B64:$E64),SF_Output!$Q$1:$Q$400,"monthly"))/V64)),AF64="exclusion",-(SUMIFS(SF_Output!$T$1:$T$400,SF_Output!$AC$1:$AC$400,_xlfn.TEXTJOIN(",",TRUE,$B64:$E64),SF_Output!$Q$1:$Q$400,"monthly"))/V64)</f>
        <v/>
      </c>
      <c r="X64" s="6" cm="1">
        <f t="array" ref="X64">IFERROR(_xlfn.IFS(V64=0,0,V64="","",W64=0,V64,OR(V64&lt;&gt;0,V64&lt;&gt;""),H64*I64),V64*(1-W64))</f>
        <v>0</v>
      </c>
    </row>
    <row r="65" spans="2:24" x14ac:dyDescent="0.25">
      <c r="B65" t="s">
        <v>1572</v>
      </c>
      <c r="C65" t="s">
        <v>2122</v>
      </c>
      <c r="D65" t="s">
        <v>2123</v>
      </c>
      <c r="E65" t="s">
        <v>2150</v>
      </c>
      <c r="F65" s="116" t="str">
        <f t="shared" si="0"/>
        <v>Optional</v>
      </c>
      <c r="G65" t="str">
        <f>IF(B65="","",INDEX(SF_Output!$K$1:$K$400,MATCH(B65,SF_Output!$M$1:$M$400,0)))</f>
        <v>Synergy</v>
      </c>
      <c r="H65" cm="1">
        <f t="array" ref="H65">_xlfn.IFS(B65="","",(SUMIFS(SF_Output!$F$1:$F$400,SF_Output!$AC$1:$AC$400,_xlfn.TEXTJOIN(",",TRUE,B65:E65))+SUMIFS(SF_Output!$G$1:$G$400,SF_Output!$AC$1:$AC$400,_xlfn.TEXTJOIN(",",TRUE,B65:E65)))&lt;&gt;0,SF_Output!$Y$2,INDEX(SF_Output!$F$1:$F$400,MATCH(_xlfn.TEXTJOIN(",",TRUE,B65:E65),SF_Output!$AC$1:$AC$400,0))=0,INDEX(SF_Output!$R$1:$R$400,MATCH(_xlfn.TEXTJOIN(",",TRUE,B65:E65),SF_Output!$AC$1:$AC$400,0)))</f>
        <v>5000</v>
      </c>
      <c r="I65" s="125">
        <f>IFERROR(IF(AND(H65&gt;1,H65&lt;&gt;""),ROUND(SUMIFS(SF_Output!$S$1:$S$400,SF_Output!$AC$1:$AC$400,_xlfn.TEXTJOIN(",",TRUE,B65:E65),SF_Output!$Q$1:$Q$400,"monthly")*(1-W65)/H65,4),""),"")</f>
        <v>0.08</v>
      </c>
      <c r="J65" s="6">
        <f>IF(B65="","",SUMIFS(SF_Output!$S$1:$S$400,SF_Output!$AC$1:$AC$400,_xlfn.TEXTJOIN(",",TRUE,B65:E65),SF_Output!$Q$1:$Q$400,"One Time",SF_Output!$L$1:$L$400,"license fee")+SUMIFS(SF_Output!$S$1:$S$400,SF_Output!$AC$1:$AC$400,_xlfn.TEXTJOIN(",",TRUE,B65:E65),SF_Output!$Q$1:$Q$400,"One Time",SF_Output!$L$1:$L$400,"software license")+SUMIFS(SF_Output!$S$1:$S$400,SF_Output!$AC$1:$AC$400,_xlfn.TEXTJOIN(",",TRUE,B65:E65),SF_Output!$Q$1:$Q$400,"One Time",SF_Output!$L$1:$L$400,"hardware"))</f>
        <v>0</v>
      </c>
      <c r="K65" s="112" t="str">
        <f>IF(OR(B65=0,B65="",G65="hardware",J65=0),"",IF(AF65&lt;&gt;"exclusion",MAX(K$9,-((SUMIFS(SF_Output!$T$1:$T$400,SF_Output!$AC$1:$AC$400,_xlfn.TEXTJOIN(",",TRUE,$B65:$E65),SF_Output!$Q$1:$Q$400,"One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license"))/J65)))</f>
        <v/>
      </c>
      <c r="L65" s="6">
        <f t="shared" si="1"/>
        <v>0</v>
      </c>
      <c r="N65" s="6">
        <f>IF(B65="","",SUMIFS(SF_Output!$S$1:$S$400,SF_Output!$AC$1:$AC$400,_xlfn.TEXTJOIN(",",TRUE,B65:E65),SF_Output!$Q$1:$Q$400,"One Time",SF_Output!$L$1:$L$400,"professional service"))</f>
        <v>2800</v>
      </c>
      <c r="O65" s="112">
        <f>IF(OR(B65=0,B65="",N65=0),"",IF(AF65&lt;&gt;"exclusion",MAX(O$9,-(SUMIFS(SF_Output!$T$1:$T$400,SF_Output!$AC$1:$AC$400,_xlfn.TEXTJOIN(",",TRUE,$B65:$E65),SF_Output!$Q$1:$Q$400,"One Time",SF_Output!$L$1:$L$400,"professional service"))/N65),-((SUMIFS(SF_Output!$T$1:$T$400,SF_Output!$AC$1:$AC$400,_xlfn.TEXTJOIN(",",TRUE,$B65:$E65),SF_Output!$Q$1:$Q$400,"One Time",SF_Output!$L$1:$L$400,"professional service")/N65))))</f>
        <v>1</v>
      </c>
      <c r="P65" s="6">
        <f t="shared" si="2"/>
        <v>0</v>
      </c>
      <c r="R65" s="6">
        <f>IF(B65="","",SUMIFS(SF_Output!$S$1:$S$400,SF_Output!$AC$1:$AC$400,_xlfn.TEXTJOIN(",",TRUE,B65:E65),SF_Output!$Q$1:$Q$400,"yearly")+SUMIFS(SF_Output!$S$1:$S$400,SF_Output!$AC$1:$AC$400,_xlfn.TEXTJOIN(",",TRUE,B65:E65),SF_Output!$Q$1:$Q$400,"quarterly")*4)</f>
        <v>0</v>
      </c>
      <c r="S65" s="112" t="str">
        <f>IF(OR(B65=0,B65="",G65="hardware",R65=0),"",IF(AF65&lt;&gt;"exclusion",MAX(S$9,-(SUMIFS(SF_Output!$T$1:$T$400,SF_Output!$AC$1:$AC$400,_xlfn.TEXTJOIN(",",TRUE,$B65:$E65),SF_Output!$Q$1:$Q$400,"yearly"))/R65),-((SUMIFS(SF_Output!$T$1:$T$400,SF_Output!$AC$1:$AC$400,_xlfn.TEXTJOIN(",",TRUE,$B65:$E65),SF_Output!$Q$1:$Q$400,"yearly")/R65))))</f>
        <v/>
      </c>
      <c r="T65" s="6">
        <f t="shared" si="3"/>
        <v>0</v>
      </c>
      <c r="V65" s="6" cm="1">
        <f t="array" ref="V65">_xlfn.IFS(B65="","",AND(B65&lt;&gt;"",H65=SF_Output!$Y$2,SUMIFS(SF_Output!$T$1:$T$400,SF_Output!$AC$1:$AC$400,_xlfn.TEXTJOIN(",",TRUE,B65:E65),SF_Output!$Q$1:$Q$400,"monthly")=0),(SUMIFS(SF_Output!$F$1:$F$400,SF_Output!$AC$1:$AC$400,_xlfn.TEXTJOIN(",",TRUE,B65:E65),SF_Output!$Q$1:$Q$400,"monthly")+SUMIFS(SF_Output!$G$1:$G$400,SF_Output!$AC$1:$AC$400,_xlfn.TEXTJOIN(",",TRUE,B65:E65),SF_Output!$Q$1:$Q$400,"monthly"))*H65,AND(B65&lt;&gt;"",H65=SF_Output!$Y$2,SUMIFS(SF_Output!$T$1:$T$400,SF_Output!$AC$1:$AC$400,_xlfn.TEXTJOIN(",",TRUE,B65:E65),SF_Output!$Q$1:$Q$400,"monthly")&lt;&gt;0),SUMIFS(SF_Output!$S$1:$S$400,SF_Output!$AC$1:$AC$400,_xlfn.TEXTJOIN(",",TRUE,B65:E65),SF_Output!$Q$1:$Q$400,"monthly"),AND(B65&lt;&gt;"",H65&lt;&gt;SF_Output!$Y$2),SUMIFS(SF_Output!$S$1:$S$400,SF_Output!$AC$1:$AC$400,_xlfn.TEXTJOIN(",",TRUE,B65:E65),SF_Output!$Q$1:$Q$400,"monthly"))</f>
        <v>400</v>
      </c>
      <c r="W65" s="112" cm="1">
        <f t="array" ref="W65">_xlfn.IFS(OR(B65=0,B65="",V65=0),"",AF65&lt;&gt;"exclusion",MAX($W$9,$W$7,(-(SUMIFS(SF_Output!$T$1:$T$400,SF_Output!$AC$1:$AC$400,_xlfn.TEXTJOIN(",",TRUE,$B65:$E65),SF_Output!$Q$1:$Q$400,"monthly"))/V65)),AF65="exclusion",-(SUMIFS(SF_Output!$T$1:$T$400,SF_Output!$AC$1:$AC$400,_xlfn.TEXTJOIN(",",TRUE,$B65:$E65),SF_Output!$Q$1:$Q$400,"monthly"))/V65)</f>
        <v>0</v>
      </c>
      <c r="X65" s="6" cm="1">
        <f t="array" ref="X65">IFERROR(_xlfn.IFS(V65=0,0,V65="","",W65=0,V65,OR(V65&lt;&gt;0,V65&lt;&gt;""),H65*I65),V65*(1-W65))</f>
        <v>400</v>
      </c>
    </row>
    <row r="66" spans="2:24" x14ac:dyDescent="0.25">
      <c r="B66" t="s">
        <v>877</v>
      </c>
      <c r="C66" t="s">
        <v>2122</v>
      </c>
      <c r="D66" t="s">
        <v>2123</v>
      </c>
      <c r="E66" t="s">
        <v>2124</v>
      </c>
      <c r="F66" s="116" t="str">
        <f t="shared" si="0"/>
        <v>Included</v>
      </c>
      <c r="G66" t="str">
        <f>IF(B66="","",INDEX(SF_Output!$K$1:$K$400,MATCH(B66,SF_Output!$M$1:$M$400,0)))</f>
        <v>Synergy</v>
      </c>
      <c r="H66" cm="1">
        <f t="array" ref="H66">_xlfn.IFS(B66="","",(SUMIFS(SF_Output!$F$1:$F$400,SF_Output!$AC$1:$AC$400,_xlfn.TEXTJOIN(",",TRUE,B66:E66))+SUMIFS(SF_Output!$G$1:$G$400,SF_Output!$AC$1:$AC$400,_xlfn.TEXTJOIN(",",TRUE,B66:E66)))&lt;&gt;0,SF_Output!$Y$2,INDEX(SF_Output!$F$1:$F$400,MATCH(_xlfn.TEXTJOIN(",",TRUE,B66:E66),SF_Output!$AC$1:$AC$400,0))=0,INDEX(SF_Output!$R$1:$R$400,MATCH(_xlfn.TEXTJOIN(",",TRUE,B66:E66),SF_Output!$AC$1:$AC$400,0)))</f>
        <v>5000</v>
      </c>
      <c r="I66" s="125">
        <f>IFERROR(IF(AND(H66&gt;1,H66&lt;&gt;""),ROUND(SUMIFS(SF_Output!$S$1:$S$400,SF_Output!$AC$1:$AC$400,_xlfn.TEXTJOIN(",",TRUE,B66:E66),SF_Output!$Q$1:$Q$400,"monthly")*(1-W66)/H66,4),""),"")</f>
        <v>0.184</v>
      </c>
      <c r="J66" s="6">
        <f>IF(B66="","",SUMIFS(SF_Output!$S$1:$S$400,SF_Output!$AC$1:$AC$400,_xlfn.TEXTJOIN(",",TRUE,B66:E66),SF_Output!$Q$1:$Q$400,"One Time",SF_Output!$L$1:$L$400,"license fee")+SUMIFS(SF_Output!$S$1:$S$400,SF_Output!$AC$1:$AC$400,_xlfn.TEXTJOIN(",",TRUE,B66:E66),SF_Output!$Q$1:$Q$400,"One Time",SF_Output!$L$1:$L$400,"software license")+SUMIFS(SF_Output!$S$1:$S$400,SF_Output!$AC$1:$AC$400,_xlfn.TEXTJOIN(",",TRUE,B66:E66),SF_Output!$Q$1:$Q$400,"One Time",SF_Output!$L$1:$L$400,"hardware"))</f>
        <v>0</v>
      </c>
      <c r="K66" s="112" t="str">
        <f>IF(OR(B66=0,B66="",G66="hardware",J66=0),"",IF(AF66&lt;&gt;"exclusion",MAX(K$9,-((SUMIFS(SF_Output!$T$1:$T$400,SF_Output!$AC$1:$AC$400,_xlfn.TEXTJOIN(",",TRUE,$B66:$E66),SF_Output!$Q$1:$Q$400,"One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license"))/J66)))</f>
        <v/>
      </c>
      <c r="L66" s="6">
        <f t="shared" si="1"/>
        <v>0</v>
      </c>
      <c r="N66" s="6">
        <f>IF(B66="","",SUMIFS(SF_Output!$S$1:$S$400,SF_Output!$AC$1:$AC$400,_xlfn.TEXTJOIN(",",TRUE,B66:E66),SF_Output!$Q$1:$Q$400,"One Time",SF_Output!$L$1:$L$400,"professional service"))</f>
        <v>15750</v>
      </c>
      <c r="O66" s="112">
        <f>IF(OR(B66=0,B66="",N66=0),"",IF(AF66&lt;&gt;"exclusion",MAX(O$9,-(SUMIFS(SF_Output!$T$1:$T$400,SF_Output!$AC$1:$AC$400,_xlfn.TEXTJOIN(",",TRUE,$B66:$E66),SF_Output!$Q$1:$Q$400,"One Time",SF_Output!$L$1:$L$400,"professional service"))/N66),-((SUMIFS(SF_Output!$T$1:$T$400,SF_Output!$AC$1:$AC$400,_xlfn.TEXTJOIN(",",TRUE,$B66:$E66),SF_Output!$Q$1:$Q$400,"One Time",SF_Output!$L$1:$L$400,"professional service")/N66))))</f>
        <v>0</v>
      </c>
      <c r="P66" s="6">
        <f t="shared" si="2"/>
        <v>15750</v>
      </c>
      <c r="R66" s="6">
        <f>IF(B66="","",SUMIFS(SF_Output!$S$1:$S$400,SF_Output!$AC$1:$AC$400,_xlfn.TEXTJOIN(",",TRUE,B66:E66),SF_Output!$Q$1:$Q$400,"yearly")+SUMIFS(SF_Output!$S$1:$S$400,SF_Output!$AC$1:$AC$400,_xlfn.TEXTJOIN(",",TRUE,B66:E66),SF_Output!$Q$1:$Q$400,"quarterly")*4)</f>
        <v>0</v>
      </c>
      <c r="S66" s="112" t="str">
        <f>IF(OR(B66=0,B66="",G66="hardware",R66=0),"",IF(AF66&lt;&gt;"exclusion",MAX(S$9,-(SUMIFS(SF_Output!$T$1:$T$400,SF_Output!$AC$1:$AC$400,_xlfn.TEXTJOIN(",",TRUE,$B66:$E66),SF_Output!$Q$1:$Q$400,"yearly"))/R66),-((SUMIFS(SF_Output!$T$1:$T$400,SF_Output!$AC$1:$AC$400,_xlfn.TEXTJOIN(",",TRUE,$B66:$E66),SF_Output!$Q$1:$Q$400,"yearly")/R66))))</f>
        <v/>
      </c>
      <c r="T66" s="6">
        <f t="shared" si="3"/>
        <v>0</v>
      </c>
      <c r="V66" s="6" cm="1">
        <f t="array" ref="V66">_xlfn.IFS(B66="","",AND(B66&lt;&gt;"",H66=SF_Output!$Y$2,SUMIFS(SF_Output!$T$1:$T$400,SF_Output!$AC$1:$AC$400,_xlfn.TEXTJOIN(",",TRUE,B66:E66),SF_Output!$Q$1:$Q$400,"monthly")=0),(SUMIFS(SF_Output!$F$1:$F$400,SF_Output!$AC$1:$AC$400,_xlfn.TEXTJOIN(",",TRUE,B66:E66),SF_Output!$Q$1:$Q$400,"monthly")+SUMIFS(SF_Output!$G$1:$G$400,SF_Output!$AC$1:$AC$400,_xlfn.TEXTJOIN(",",TRUE,B66:E66),SF_Output!$Q$1:$Q$400,"monthly"))*H66,AND(B66&lt;&gt;"",H66=SF_Output!$Y$2,SUMIFS(SF_Output!$T$1:$T$400,SF_Output!$AC$1:$AC$400,_xlfn.TEXTJOIN(",",TRUE,B66:E66),SF_Output!$Q$1:$Q$400,"monthly")&lt;&gt;0),SUMIFS(SF_Output!$S$1:$S$400,SF_Output!$AC$1:$AC$400,_xlfn.TEXTJOIN(",",TRUE,B66:E66),SF_Output!$Q$1:$Q$400,"monthly"),AND(B66&lt;&gt;"",H66&lt;&gt;SF_Output!$Y$2),SUMIFS(SF_Output!$S$1:$S$400,SF_Output!$AC$1:$AC$400,_xlfn.TEXTJOIN(",",TRUE,B66:E66),SF_Output!$Q$1:$Q$400,"monthly"))</f>
        <v>920</v>
      </c>
      <c r="W66" s="112" cm="1">
        <f t="array" ref="W66">_xlfn.IFS(OR(B66=0,B66="",V66=0),"",AF66&lt;&gt;"exclusion",MAX($W$9,$W$7,(-(SUMIFS(SF_Output!$T$1:$T$400,SF_Output!$AC$1:$AC$400,_xlfn.TEXTJOIN(",",TRUE,$B66:$E66),SF_Output!$Q$1:$Q$400,"monthly"))/V66)),AF66="exclusion",-(SUMIFS(SF_Output!$T$1:$T$400,SF_Output!$AC$1:$AC$400,_xlfn.TEXTJOIN(",",TRUE,$B66:$E66),SF_Output!$Q$1:$Q$400,"monthly"))/V66)</f>
        <v>0</v>
      </c>
      <c r="X66" s="6" cm="1">
        <f t="array" ref="X66">IFERROR(_xlfn.IFS(V66=0,0,V66="","",W66=0,V66,OR(V66&lt;&gt;0,V66&lt;&gt;""),H66*I66),V66*(1-W66))</f>
        <v>920</v>
      </c>
    </row>
    <row r="67" spans="2:24" x14ac:dyDescent="0.25">
      <c r="B67" t="s">
        <v>1496</v>
      </c>
      <c r="C67" t="s">
        <v>2122</v>
      </c>
      <c r="D67" t="s">
        <v>2123</v>
      </c>
      <c r="E67" t="s">
        <v>2124</v>
      </c>
      <c r="F67" s="116" t="str">
        <f t="shared" si="0"/>
        <v>Included</v>
      </c>
      <c r="G67" t="str">
        <f>IF(B67="","",INDEX(SF_Output!$K$1:$K$400,MATCH(B67,SF_Output!$M$1:$M$400,0)))</f>
        <v>Synergy</v>
      </c>
      <c r="H67" cm="1">
        <f t="array" ref="H67">_xlfn.IFS(B67="","",(SUMIFS(SF_Output!$F$1:$F$400,SF_Output!$AC$1:$AC$400,_xlfn.TEXTJOIN(",",TRUE,B67:E67))+SUMIFS(SF_Output!$G$1:$G$400,SF_Output!$AC$1:$AC$400,_xlfn.TEXTJOIN(",",TRUE,B67:E67)))&lt;&gt;0,SF_Output!$Y$2,INDEX(SF_Output!$F$1:$F$400,MATCH(_xlfn.TEXTJOIN(",",TRUE,B67:E67),SF_Output!$AC$1:$AC$400,0))=0,INDEX(SF_Output!$R$1:$R$400,MATCH(_xlfn.TEXTJOIN(",",TRUE,B67:E67),SF_Output!$AC$1:$AC$400,0)))</f>
        <v>1</v>
      </c>
      <c r="I67" s="125" t="str">
        <f>IFERROR(IF(AND(H67&gt;1,H67&lt;&gt;""),ROUND(SUMIFS(SF_Output!$S$1:$S$400,SF_Output!$AC$1:$AC$400,_xlfn.TEXTJOIN(",",TRUE,B67:E67),SF_Output!$Q$1:$Q$400,"monthly")*(1-W67)/H67,4),""),"")</f>
        <v/>
      </c>
      <c r="J67" s="6">
        <f>IF(B67="","",SUMIFS(SF_Output!$S$1:$S$400,SF_Output!$AC$1:$AC$400,_xlfn.TEXTJOIN(",",TRUE,B67:E67),SF_Output!$Q$1:$Q$400,"One Time",SF_Output!$L$1:$L$400,"license fee")+SUMIFS(SF_Output!$S$1:$S$400,SF_Output!$AC$1:$AC$400,_xlfn.TEXTJOIN(",",TRUE,B67:E67),SF_Output!$Q$1:$Q$400,"One Time",SF_Output!$L$1:$L$400,"software license")+SUMIFS(SF_Output!$S$1:$S$400,SF_Output!$AC$1:$AC$400,_xlfn.TEXTJOIN(",",TRUE,B67:E67),SF_Output!$Q$1:$Q$400,"One Time",SF_Output!$L$1:$L$400,"hardware"))</f>
        <v>0</v>
      </c>
      <c r="K67" s="112" t="str">
        <f>IF(OR(B67=0,B67="",G67="hardware",J67=0),"",IF(AF67&lt;&gt;"exclusion",MAX(K$9,-((SUMIFS(SF_Output!$T$1:$T$400,SF_Output!$AC$1:$AC$400,_xlfn.TEXTJOIN(",",TRUE,$B67:$E67),SF_Output!$Q$1:$Q$400,"One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license"))/J67)))</f>
        <v/>
      </c>
      <c r="L67" s="6">
        <f t="shared" si="1"/>
        <v>0</v>
      </c>
      <c r="N67" s="6">
        <f>IF(B67="","",SUMIFS(SF_Output!$S$1:$S$400,SF_Output!$AC$1:$AC$400,_xlfn.TEXTJOIN(",",TRUE,B67:E67),SF_Output!$Q$1:$Q$400,"One Time",SF_Output!$L$1:$L$400,"professional service"))</f>
        <v>2600</v>
      </c>
      <c r="O67" s="112">
        <f>IF(OR(B67=0,B67="",N67=0),"",IF(AF67&lt;&gt;"exclusion",MAX(O$9,-(SUMIFS(SF_Output!$T$1:$T$400,SF_Output!$AC$1:$AC$400,_xlfn.TEXTJOIN(",",TRUE,$B67:$E67),SF_Output!$Q$1:$Q$400,"One Time",SF_Output!$L$1:$L$400,"professional service"))/N67),-((SUMIFS(SF_Output!$T$1:$T$400,SF_Output!$AC$1:$AC$400,_xlfn.TEXTJOIN(",",TRUE,$B67:$E67),SF_Output!$Q$1:$Q$400,"One Time",SF_Output!$L$1:$L$400,"professional service")/N67))))</f>
        <v>0</v>
      </c>
      <c r="P67" s="6">
        <f t="shared" si="2"/>
        <v>2600</v>
      </c>
      <c r="R67" s="6">
        <f>IF(B67="","",SUMIFS(SF_Output!$S$1:$S$400,SF_Output!$AC$1:$AC$400,_xlfn.TEXTJOIN(",",TRUE,B67:E67),SF_Output!$Q$1:$Q$400,"yearly")+SUMIFS(SF_Output!$S$1:$S$400,SF_Output!$AC$1:$AC$400,_xlfn.TEXTJOIN(",",TRUE,B67:E67),SF_Output!$Q$1:$Q$400,"quarterly")*4)</f>
        <v>0</v>
      </c>
      <c r="S67" s="112" t="str">
        <f>IF(OR(B67=0,B67="",G67="hardware",R67=0),"",IF(AF67&lt;&gt;"exclusion",MAX(S$9,-(SUMIFS(SF_Output!$T$1:$T$400,SF_Output!$AC$1:$AC$400,_xlfn.TEXTJOIN(",",TRUE,$B67:$E67),SF_Output!$Q$1:$Q$400,"yearly"))/R67),-((SUMIFS(SF_Output!$T$1:$T$400,SF_Output!$AC$1:$AC$400,_xlfn.TEXTJOIN(",",TRUE,$B67:$E67),SF_Output!$Q$1:$Q$400,"yearly")/R67))))</f>
        <v/>
      </c>
      <c r="T67" s="6">
        <f t="shared" si="3"/>
        <v>0</v>
      </c>
      <c r="V67" s="6" cm="1">
        <f t="array" ref="V67">_xlfn.IFS(B67="","",AND(B67&lt;&gt;"",H67=SF_Output!$Y$2,SUMIFS(SF_Output!$T$1:$T$400,SF_Output!$AC$1:$AC$400,_xlfn.TEXTJOIN(",",TRUE,B67:E67),SF_Output!$Q$1:$Q$400,"monthly")=0),(SUMIFS(SF_Output!$F$1:$F$400,SF_Output!$AC$1:$AC$400,_xlfn.TEXTJOIN(",",TRUE,B67:E67),SF_Output!$Q$1:$Q$400,"monthly")+SUMIFS(SF_Output!$G$1:$G$400,SF_Output!$AC$1:$AC$400,_xlfn.TEXTJOIN(",",TRUE,B67:E67),SF_Output!$Q$1:$Q$400,"monthly"))*H67,AND(B67&lt;&gt;"",H67=SF_Output!$Y$2,SUMIFS(SF_Output!$T$1:$T$400,SF_Output!$AC$1:$AC$400,_xlfn.TEXTJOIN(",",TRUE,B67:E67),SF_Output!$Q$1:$Q$400,"monthly")&lt;&gt;0),SUMIFS(SF_Output!$S$1:$S$400,SF_Output!$AC$1:$AC$400,_xlfn.TEXTJOIN(",",TRUE,B67:E67),SF_Output!$Q$1:$Q$400,"monthly"),AND(B67&lt;&gt;"",H67&lt;&gt;SF_Output!$Y$2),SUMIFS(SF_Output!$S$1:$S$400,SF_Output!$AC$1:$AC$400,_xlfn.TEXTJOIN(",",TRUE,B67:E67),SF_Output!$Q$1:$Q$400,"monthly"))</f>
        <v>0</v>
      </c>
      <c r="W67" s="112" t="str" cm="1">
        <f t="array" ref="W67">_xlfn.IFS(OR(B67=0,B67="",V67=0),"",AF67&lt;&gt;"exclusion",MAX($W$9,$W$7,(-(SUMIFS(SF_Output!$T$1:$T$400,SF_Output!$AC$1:$AC$400,_xlfn.TEXTJOIN(",",TRUE,$B67:$E67),SF_Output!$Q$1:$Q$400,"monthly"))/V67)),AF67="exclusion",-(SUMIFS(SF_Output!$T$1:$T$400,SF_Output!$AC$1:$AC$400,_xlfn.TEXTJOIN(",",TRUE,$B67:$E67),SF_Output!$Q$1:$Q$400,"monthly"))/V67)</f>
        <v/>
      </c>
      <c r="X67" s="6" cm="1">
        <f t="array" ref="X67">IFERROR(_xlfn.IFS(V67=0,0,V67="","",W67=0,V67,OR(V67&lt;&gt;0,V67&lt;&gt;""),H67*I67),V67*(1-W67))</f>
        <v>0</v>
      </c>
    </row>
    <row r="68" spans="2:24" x14ac:dyDescent="0.25">
      <c r="B68" t="s">
        <v>1500</v>
      </c>
      <c r="C68" t="s">
        <v>2122</v>
      </c>
      <c r="D68" t="s">
        <v>2123</v>
      </c>
      <c r="E68" t="s">
        <v>2124</v>
      </c>
      <c r="F68" s="116" t="str">
        <f t="shared" si="0"/>
        <v>Included</v>
      </c>
      <c r="G68" t="str">
        <f>IF(B68="","",INDEX(SF_Output!$K$1:$K$400,MATCH(B68,SF_Output!$M$1:$M$400,0)))</f>
        <v>Synergy</v>
      </c>
      <c r="H68" cm="1">
        <f t="array" ref="H68">_xlfn.IFS(B68="","",(SUMIFS(SF_Output!$F$1:$F$400,SF_Output!$AC$1:$AC$400,_xlfn.TEXTJOIN(",",TRUE,B68:E68))+SUMIFS(SF_Output!$G$1:$G$400,SF_Output!$AC$1:$AC$400,_xlfn.TEXTJOIN(",",TRUE,B68:E68)))&lt;&gt;0,SF_Output!$Y$2,INDEX(SF_Output!$F$1:$F$400,MATCH(_xlfn.TEXTJOIN(",",TRUE,B68:E68),SF_Output!$AC$1:$AC$400,0))=0,INDEX(SF_Output!$R$1:$R$400,MATCH(_xlfn.TEXTJOIN(",",TRUE,B68:E68),SF_Output!$AC$1:$AC$400,0)))</f>
        <v>1</v>
      </c>
      <c r="I68" s="125" t="str">
        <f>IFERROR(IF(AND(H68&gt;1,H68&lt;&gt;""),ROUND(SUMIFS(SF_Output!$S$1:$S$400,SF_Output!$AC$1:$AC$400,_xlfn.TEXTJOIN(",",TRUE,B68:E68),SF_Output!$Q$1:$Q$400,"monthly")*(1-W68)/H68,4),""),"")</f>
        <v/>
      </c>
      <c r="J68" s="6">
        <f>IF(B68="","",SUMIFS(SF_Output!$S$1:$S$400,SF_Output!$AC$1:$AC$400,_xlfn.TEXTJOIN(",",TRUE,B68:E68),SF_Output!$Q$1:$Q$400,"One Time",SF_Output!$L$1:$L$400,"license fee")+SUMIFS(SF_Output!$S$1:$S$400,SF_Output!$AC$1:$AC$400,_xlfn.TEXTJOIN(",",TRUE,B68:E68),SF_Output!$Q$1:$Q$400,"One Time",SF_Output!$L$1:$L$400,"software license")+SUMIFS(SF_Output!$S$1:$S$400,SF_Output!$AC$1:$AC$400,_xlfn.TEXTJOIN(",",TRUE,B68:E68),SF_Output!$Q$1:$Q$400,"One Time",SF_Output!$L$1:$L$400,"hardware"))</f>
        <v>0</v>
      </c>
      <c r="K68" s="112" t="str">
        <f>IF(OR(B68=0,B68="",G68="hardware",J68=0),"",IF(AF68&lt;&gt;"exclusion",MAX(K$9,-((SUMIFS(SF_Output!$T$1:$T$400,SF_Output!$AC$1:$AC$400,_xlfn.TEXTJOIN(",",TRUE,$B68:$E68),SF_Output!$Q$1:$Q$400,"One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license"))/J68)))</f>
        <v/>
      </c>
      <c r="L68" s="6">
        <f t="shared" si="1"/>
        <v>0</v>
      </c>
      <c r="N68" s="6">
        <f>IF(B68="","",SUMIFS(SF_Output!$S$1:$S$400,SF_Output!$AC$1:$AC$400,_xlfn.TEXTJOIN(",",TRUE,B68:E68),SF_Output!$Q$1:$Q$400,"One Time",SF_Output!$L$1:$L$400,"professional service"))</f>
        <v>3250</v>
      </c>
      <c r="O68" s="112">
        <f>IF(OR(B68=0,B68="",N68=0),"",IF(AF68&lt;&gt;"exclusion",MAX(O$9,-(SUMIFS(SF_Output!$T$1:$T$400,SF_Output!$AC$1:$AC$400,_xlfn.TEXTJOIN(",",TRUE,$B68:$E68),SF_Output!$Q$1:$Q$400,"One Time",SF_Output!$L$1:$L$400,"professional service"))/N68),-((SUMIFS(SF_Output!$T$1:$T$400,SF_Output!$AC$1:$AC$400,_xlfn.TEXTJOIN(",",TRUE,$B68:$E68),SF_Output!$Q$1:$Q$400,"One Time",SF_Output!$L$1:$L$400,"professional service")/N68))))</f>
        <v>0</v>
      </c>
      <c r="P68" s="6">
        <f t="shared" si="2"/>
        <v>3250</v>
      </c>
      <c r="R68" s="6">
        <f>IF(B68="","",SUMIFS(SF_Output!$S$1:$S$400,SF_Output!$AC$1:$AC$400,_xlfn.TEXTJOIN(",",TRUE,B68:E68),SF_Output!$Q$1:$Q$400,"yearly")+SUMIFS(SF_Output!$S$1:$S$400,SF_Output!$AC$1:$AC$400,_xlfn.TEXTJOIN(",",TRUE,B68:E68),SF_Output!$Q$1:$Q$400,"quarterly")*4)</f>
        <v>0</v>
      </c>
      <c r="S68" s="112" t="str">
        <f>IF(OR(B68=0,B68="",G68="hardware",R68=0),"",IF(AF68&lt;&gt;"exclusion",MAX(S$9,-(SUMIFS(SF_Output!$T$1:$T$400,SF_Output!$AC$1:$AC$400,_xlfn.TEXTJOIN(",",TRUE,$B68:$E68),SF_Output!$Q$1:$Q$400,"yearly"))/R68),-((SUMIFS(SF_Output!$T$1:$T$400,SF_Output!$AC$1:$AC$400,_xlfn.TEXTJOIN(",",TRUE,$B68:$E68),SF_Output!$Q$1:$Q$400,"yearly")/R68))))</f>
        <v/>
      </c>
      <c r="T68" s="6">
        <f t="shared" si="3"/>
        <v>0</v>
      </c>
      <c r="V68" s="6" cm="1">
        <f t="array" ref="V68">_xlfn.IFS(B68="","",AND(B68&lt;&gt;"",H68=SF_Output!$Y$2,SUMIFS(SF_Output!$T$1:$T$400,SF_Output!$AC$1:$AC$400,_xlfn.TEXTJOIN(",",TRUE,B68:E68),SF_Output!$Q$1:$Q$400,"monthly")=0),(SUMIFS(SF_Output!$F$1:$F$400,SF_Output!$AC$1:$AC$400,_xlfn.TEXTJOIN(",",TRUE,B68:E68),SF_Output!$Q$1:$Q$400,"monthly")+SUMIFS(SF_Output!$G$1:$G$400,SF_Output!$AC$1:$AC$400,_xlfn.TEXTJOIN(",",TRUE,B68:E68),SF_Output!$Q$1:$Q$400,"monthly"))*H68,AND(B68&lt;&gt;"",H68=SF_Output!$Y$2,SUMIFS(SF_Output!$T$1:$T$400,SF_Output!$AC$1:$AC$400,_xlfn.TEXTJOIN(",",TRUE,B68:E68),SF_Output!$Q$1:$Q$400,"monthly")&lt;&gt;0),SUMIFS(SF_Output!$S$1:$S$400,SF_Output!$AC$1:$AC$400,_xlfn.TEXTJOIN(",",TRUE,B68:E68),SF_Output!$Q$1:$Q$400,"monthly"),AND(B68&lt;&gt;"",H68&lt;&gt;SF_Output!$Y$2),SUMIFS(SF_Output!$S$1:$S$400,SF_Output!$AC$1:$AC$400,_xlfn.TEXTJOIN(",",TRUE,B68:E68),SF_Output!$Q$1:$Q$400,"monthly"))</f>
        <v>0</v>
      </c>
      <c r="W68" s="112" t="str" cm="1">
        <f t="array" ref="W68">_xlfn.IFS(OR(B68=0,B68="",V68=0),"",AF68&lt;&gt;"exclusion",MAX($W$9,$W$7,(-(SUMIFS(SF_Output!$T$1:$T$400,SF_Output!$AC$1:$AC$400,_xlfn.TEXTJOIN(",",TRUE,$B68:$E68),SF_Output!$Q$1:$Q$400,"monthly"))/V68)),AF68="exclusion",-(SUMIFS(SF_Output!$T$1:$T$400,SF_Output!$AC$1:$AC$400,_xlfn.TEXTJOIN(",",TRUE,$B68:$E68),SF_Output!$Q$1:$Q$400,"monthly"))/V68)</f>
        <v/>
      </c>
      <c r="X68" s="6" cm="1">
        <f t="array" ref="X68">IFERROR(_xlfn.IFS(V68=0,0,V68="","",W68=0,V68,OR(V68&lt;&gt;0,V68&lt;&gt;""),H68*I68),V68*(1-W68))</f>
        <v>0</v>
      </c>
    </row>
    <row r="69" spans="2:24" x14ac:dyDescent="0.25">
      <c r="B69" t="s">
        <v>1506</v>
      </c>
      <c r="C69" t="s">
        <v>2122</v>
      </c>
      <c r="D69" t="s">
        <v>2123</v>
      </c>
      <c r="E69" t="s">
        <v>2124</v>
      </c>
      <c r="F69" s="116" t="str">
        <f t="shared" si="0"/>
        <v>Included</v>
      </c>
      <c r="G69" t="str">
        <f>IF(B69="","",INDEX(SF_Output!$K$1:$K$400,MATCH(B69,SF_Output!$M$1:$M$400,0)))</f>
        <v>Synergy</v>
      </c>
      <c r="H69" cm="1">
        <f t="array" ref="H69">_xlfn.IFS(B69="","",(SUMIFS(SF_Output!$F$1:$F$400,SF_Output!$AC$1:$AC$400,_xlfn.TEXTJOIN(",",TRUE,B69:E69))+SUMIFS(SF_Output!$G$1:$G$400,SF_Output!$AC$1:$AC$400,_xlfn.TEXTJOIN(",",TRUE,B69:E69)))&lt;&gt;0,SF_Output!$Y$2,INDEX(SF_Output!$F$1:$F$400,MATCH(_xlfn.TEXTJOIN(",",TRUE,B69:E69),SF_Output!$AC$1:$AC$400,0))=0,INDEX(SF_Output!$R$1:$R$400,MATCH(_xlfn.TEXTJOIN(",",TRUE,B69:E69),SF_Output!$AC$1:$AC$400,0)))</f>
        <v>1</v>
      </c>
      <c r="I69" s="125" t="str">
        <f>IFERROR(IF(AND(H69&gt;1,H69&lt;&gt;""),ROUND(SUMIFS(SF_Output!$S$1:$S$400,SF_Output!$AC$1:$AC$400,_xlfn.TEXTJOIN(",",TRUE,B69:E69),SF_Output!$Q$1:$Q$400,"monthly")*(1-W69)/H69,4),""),"")</f>
        <v/>
      </c>
      <c r="J69" s="6">
        <f>IF(B69="","",SUMIFS(SF_Output!$S$1:$S$400,SF_Output!$AC$1:$AC$400,_xlfn.TEXTJOIN(",",TRUE,B69:E69),SF_Output!$Q$1:$Q$400,"One Time",SF_Output!$L$1:$L$400,"license fee")+SUMIFS(SF_Output!$S$1:$S$400,SF_Output!$AC$1:$AC$400,_xlfn.TEXTJOIN(",",TRUE,B69:E69),SF_Output!$Q$1:$Q$400,"One Time",SF_Output!$L$1:$L$400,"software license")+SUMIFS(SF_Output!$S$1:$S$400,SF_Output!$AC$1:$AC$400,_xlfn.TEXTJOIN(",",TRUE,B69:E69),SF_Output!$Q$1:$Q$400,"One Time",SF_Output!$L$1:$L$400,"hardware"))</f>
        <v>0</v>
      </c>
      <c r="K69" s="112" t="str">
        <f>IF(OR(B69=0,B69="",G69="hardware",J69=0),"",IF(AF69&lt;&gt;"exclusion",MAX(K$9,-((SUMIFS(SF_Output!$T$1:$T$400,SF_Output!$AC$1:$AC$400,_xlfn.TEXTJOIN(",",TRUE,$B69:$E69),SF_Output!$Q$1:$Q$400,"One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license"))/J69)))</f>
        <v/>
      </c>
      <c r="L69" s="6">
        <f t="shared" si="1"/>
        <v>0</v>
      </c>
      <c r="N69" s="6">
        <f>IF(B69="","",SUMIFS(SF_Output!$S$1:$S$400,SF_Output!$AC$1:$AC$400,_xlfn.TEXTJOIN(",",TRUE,B69:E69),SF_Output!$Q$1:$Q$400,"One Time",SF_Output!$L$1:$L$400,"professional service"))</f>
        <v>1150</v>
      </c>
      <c r="O69" s="112">
        <f>IF(OR(B69=0,B69="",N69=0),"",IF(AF69&lt;&gt;"exclusion",MAX(O$9,-(SUMIFS(SF_Output!$T$1:$T$400,SF_Output!$AC$1:$AC$400,_xlfn.TEXTJOIN(",",TRUE,$B69:$E69),SF_Output!$Q$1:$Q$400,"One Time",SF_Output!$L$1:$L$400,"professional service"))/N69),-((SUMIFS(SF_Output!$T$1:$T$400,SF_Output!$AC$1:$AC$400,_xlfn.TEXTJOIN(",",TRUE,$B69:$E69),SF_Output!$Q$1:$Q$400,"One Time",SF_Output!$L$1:$L$400,"professional service")/N69))))</f>
        <v>0</v>
      </c>
      <c r="P69" s="6">
        <f t="shared" si="2"/>
        <v>1150</v>
      </c>
      <c r="R69" s="6">
        <f>IF(B69="","",SUMIFS(SF_Output!$S$1:$S$400,SF_Output!$AC$1:$AC$400,_xlfn.TEXTJOIN(",",TRUE,B69:E69),SF_Output!$Q$1:$Q$400,"yearly")+SUMIFS(SF_Output!$S$1:$S$400,SF_Output!$AC$1:$AC$400,_xlfn.TEXTJOIN(",",TRUE,B69:E69),SF_Output!$Q$1:$Q$400,"quarterly")*4)</f>
        <v>0</v>
      </c>
      <c r="S69" s="112" t="str">
        <f>IF(OR(B69=0,B69="",G69="hardware",R69=0),"",IF(AF69&lt;&gt;"exclusion",MAX(S$9,-(SUMIFS(SF_Output!$T$1:$T$400,SF_Output!$AC$1:$AC$400,_xlfn.TEXTJOIN(",",TRUE,$B69:$E69),SF_Output!$Q$1:$Q$400,"yearly"))/R69),-((SUMIFS(SF_Output!$T$1:$T$400,SF_Output!$AC$1:$AC$400,_xlfn.TEXTJOIN(",",TRUE,$B69:$E69),SF_Output!$Q$1:$Q$400,"yearly")/R69))))</f>
        <v/>
      </c>
      <c r="T69" s="6">
        <f t="shared" si="3"/>
        <v>0</v>
      </c>
      <c r="V69" s="6" cm="1">
        <f t="array" ref="V69">_xlfn.IFS(B69="","",AND(B69&lt;&gt;"",H69=SF_Output!$Y$2,SUMIFS(SF_Output!$T$1:$T$400,SF_Output!$AC$1:$AC$400,_xlfn.TEXTJOIN(",",TRUE,B69:E69),SF_Output!$Q$1:$Q$400,"monthly")=0),(SUMIFS(SF_Output!$F$1:$F$400,SF_Output!$AC$1:$AC$400,_xlfn.TEXTJOIN(",",TRUE,B69:E69),SF_Output!$Q$1:$Q$400,"monthly")+SUMIFS(SF_Output!$G$1:$G$400,SF_Output!$AC$1:$AC$400,_xlfn.TEXTJOIN(",",TRUE,B69:E69),SF_Output!$Q$1:$Q$400,"monthly"))*H69,AND(B69&lt;&gt;"",H69=SF_Output!$Y$2,SUMIFS(SF_Output!$T$1:$T$400,SF_Output!$AC$1:$AC$400,_xlfn.TEXTJOIN(",",TRUE,B69:E69),SF_Output!$Q$1:$Q$400,"monthly")&lt;&gt;0),SUMIFS(SF_Output!$S$1:$S$400,SF_Output!$AC$1:$AC$400,_xlfn.TEXTJOIN(",",TRUE,B69:E69),SF_Output!$Q$1:$Q$400,"monthly"),AND(B69&lt;&gt;"",H69&lt;&gt;SF_Output!$Y$2),SUMIFS(SF_Output!$S$1:$S$400,SF_Output!$AC$1:$AC$400,_xlfn.TEXTJOIN(",",TRUE,B69:E69),SF_Output!$Q$1:$Q$400,"monthly"))</f>
        <v>0</v>
      </c>
      <c r="W69" s="112" t="str" cm="1">
        <f t="array" ref="W69">_xlfn.IFS(OR(B69=0,B69="",V69=0),"",AF69&lt;&gt;"exclusion",MAX($W$9,$W$7,(-(SUMIFS(SF_Output!$T$1:$T$400,SF_Output!$AC$1:$AC$400,_xlfn.TEXTJOIN(",",TRUE,$B69:$E69),SF_Output!$Q$1:$Q$400,"monthly"))/V69)),AF69="exclusion",-(SUMIFS(SF_Output!$T$1:$T$400,SF_Output!$AC$1:$AC$400,_xlfn.TEXTJOIN(",",TRUE,$B69:$E69),SF_Output!$Q$1:$Q$400,"monthly"))/V69)</f>
        <v/>
      </c>
      <c r="X69" s="6" cm="1">
        <f t="array" ref="X69">IFERROR(_xlfn.IFS(V69=0,0,V69="","",W69=0,V69,OR(V69&lt;&gt;0,V69&lt;&gt;""),H69*I69),V69*(1-W69))</f>
        <v>0</v>
      </c>
    </row>
    <row r="70" spans="2:24" x14ac:dyDescent="0.25">
      <c r="B70" t="s">
        <v>1510</v>
      </c>
      <c r="C70" t="s">
        <v>2122</v>
      </c>
      <c r="D70" t="s">
        <v>2123</v>
      </c>
      <c r="E70" t="s">
        <v>2150</v>
      </c>
      <c r="F70" s="116" t="str">
        <f t="shared" si="0"/>
        <v>Optional</v>
      </c>
      <c r="G70" t="str">
        <f>IF(B70="","",INDEX(SF_Output!$K$1:$K$400,MATCH(B70,SF_Output!$M$1:$M$400,0)))</f>
        <v>Synergy</v>
      </c>
      <c r="H70" cm="1">
        <f t="array" ref="H70">_xlfn.IFS(B70="","",(SUMIFS(SF_Output!$F$1:$F$400,SF_Output!$AC$1:$AC$400,_xlfn.TEXTJOIN(",",TRUE,B70:E70))+SUMIFS(SF_Output!$G$1:$G$400,SF_Output!$AC$1:$AC$400,_xlfn.TEXTJOIN(",",TRUE,B70:E70)))&lt;&gt;0,SF_Output!$Y$2,INDEX(SF_Output!$F$1:$F$400,MATCH(_xlfn.TEXTJOIN(",",TRUE,B70:E70),SF_Output!$AC$1:$AC$400,0))=0,INDEX(SF_Output!$R$1:$R$400,MATCH(_xlfn.TEXTJOIN(",",TRUE,B70:E70),SF_Output!$AC$1:$AC$400,0)))</f>
        <v>1</v>
      </c>
      <c r="I70" s="125" t="str">
        <f>IFERROR(IF(AND(H70&gt;1,H70&lt;&gt;""),ROUND(SUMIFS(SF_Output!$S$1:$S$400,SF_Output!$AC$1:$AC$400,_xlfn.TEXTJOIN(",",TRUE,B70:E70),SF_Output!$Q$1:$Q$400,"monthly")*(1-W70)/H70,4),""),"")</f>
        <v/>
      </c>
      <c r="J70" s="6">
        <f>IF(B70="","",SUMIFS(SF_Output!$S$1:$S$400,SF_Output!$AC$1:$AC$400,_xlfn.TEXTJOIN(",",TRUE,B70:E70),SF_Output!$Q$1:$Q$400,"One Time",SF_Output!$L$1:$L$400,"license fee")+SUMIFS(SF_Output!$S$1:$S$400,SF_Output!$AC$1:$AC$400,_xlfn.TEXTJOIN(",",TRUE,B70:E70),SF_Output!$Q$1:$Q$400,"One Time",SF_Output!$L$1:$L$400,"software license")+SUMIFS(SF_Output!$S$1:$S$400,SF_Output!$AC$1:$AC$400,_xlfn.TEXTJOIN(",",TRUE,B70:E70),SF_Output!$Q$1:$Q$400,"One Time",SF_Output!$L$1:$L$400,"hardware"))</f>
        <v>0</v>
      </c>
      <c r="K70" s="112" t="str">
        <f>IF(OR(B70=0,B70="",G70="hardware",J70=0),"",IF(AF70&lt;&gt;"exclusion",MAX(K$9,-((SUMIFS(SF_Output!$T$1:$T$400,SF_Output!$AC$1:$AC$400,_xlfn.TEXTJOIN(",",TRUE,$B70:$E70),SF_Output!$Q$1:$Q$400,"One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license"))/J70)))</f>
        <v/>
      </c>
      <c r="L70" s="6">
        <f t="shared" si="1"/>
        <v>0</v>
      </c>
      <c r="N70" s="6">
        <f>IF(B70="","",SUMIFS(SF_Output!$S$1:$S$400,SF_Output!$AC$1:$AC$400,_xlfn.TEXTJOIN(",",TRUE,B70:E70),SF_Output!$Q$1:$Q$400,"One Time",SF_Output!$L$1:$L$400,"professional service"))</f>
        <v>450</v>
      </c>
      <c r="O70" s="112">
        <f>IF(OR(B70=0,B70="",N70=0),"",IF(AF70&lt;&gt;"exclusion",MAX(O$9,-(SUMIFS(SF_Output!$T$1:$T$400,SF_Output!$AC$1:$AC$400,_xlfn.TEXTJOIN(",",TRUE,$B70:$E70),SF_Output!$Q$1:$Q$400,"One Time",SF_Output!$L$1:$L$400,"professional service"))/N70),-((SUMIFS(SF_Output!$T$1:$T$400,SF_Output!$AC$1:$AC$400,_xlfn.TEXTJOIN(",",TRUE,$B70:$E70),SF_Output!$Q$1:$Q$400,"One Time",SF_Output!$L$1:$L$400,"professional service")/N70))))</f>
        <v>0</v>
      </c>
      <c r="P70" s="6">
        <f t="shared" si="2"/>
        <v>450</v>
      </c>
      <c r="R70" s="6">
        <f>IF(B70="","",SUMIFS(SF_Output!$S$1:$S$400,SF_Output!$AC$1:$AC$400,_xlfn.TEXTJOIN(",",TRUE,B70:E70),SF_Output!$Q$1:$Q$400,"yearly")+SUMIFS(SF_Output!$S$1:$S$400,SF_Output!$AC$1:$AC$400,_xlfn.TEXTJOIN(",",TRUE,B70:E70),SF_Output!$Q$1:$Q$400,"quarterly")*4)</f>
        <v>0</v>
      </c>
      <c r="S70" s="112" t="str">
        <f>IF(OR(B70=0,B70="",G70="hardware",R70=0),"",IF(AF70&lt;&gt;"exclusion",MAX(S$9,-(SUMIFS(SF_Output!$T$1:$T$400,SF_Output!$AC$1:$AC$400,_xlfn.TEXTJOIN(",",TRUE,$B70:$E70),SF_Output!$Q$1:$Q$400,"yearly"))/R70),-((SUMIFS(SF_Output!$T$1:$T$400,SF_Output!$AC$1:$AC$400,_xlfn.TEXTJOIN(",",TRUE,$B70:$E70),SF_Output!$Q$1:$Q$400,"yearly")/R70))))</f>
        <v/>
      </c>
      <c r="T70" s="6">
        <f t="shared" si="3"/>
        <v>0</v>
      </c>
      <c r="V70" s="6" cm="1">
        <f t="array" ref="V70">_xlfn.IFS(B70="","",AND(B70&lt;&gt;"",H70=SF_Output!$Y$2,SUMIFS(SF_Output!$T$1:$T$400,SF_Output!$AC$1:$AC$400,_xlfn.TEXTJOIN(",",TRUE,B70:E70),SF_Output!$Q$1:$Q$400,"monthly")=0),(SUMIFS(SF_Output!$F$1:$F$400,SF_Output!$AC$1:$AC$400,_xlfn.TEXTJOIN(",",TRUE,B70:E70),SF_Output!$Q$1:$Q$400,"monthly")+SUMIFS(SF_Output!$G$1:$G$400,SF_Output!$AC$1:$AC$400,_xlfn.TEXTJOIN(",",TRUE,B70:E70),SF_Output!$Q$1:$Q$400,"monthly"))*H70,AND(B70&lt;&gt;"",H70=SF_Output!$Y$2,SUMIFS(SF_Output!$T$1:$T$400,SF_Output!$AC$1:$AC$400,_xlfn.TEXTJOIN(",",TRUE,B70:E70),SF_Output!$Q$1:$Q$400,"monthly")&lt;&gt;0),SUMIFS(SF_Output!$S$1:$S$400,SF_Output!$AC$1:$AC$400,_xlfn.TEXTJOIN(",",TRUE,B70:E70),SF_Output!$Q$1:$Q$400,"monthly"),AND(B70&lt;&gt;"",H70&lt;&gt;SF_Output!$Y$2),SUMIFS(SF_Output!$S$1:$S$400,SF_Output!$AC$1:$AC$400,_xlfn.TEXTJOIN(",",TRUE,B70:E70),SF_Output!$Q$1:$Q$400,"monthly"))</f>
        <v>0</v>
      </c>
      <c r="W70" s="112" t="str" cm="1">
        <f t="array" ref="W70">_xlfn.IFS(OR(B70=0,B70="",V70=0),"",AF70&lt;&gt;"exclusion",MAX($W$9,$W$7,(-(SUMIFS(SF_Output!$T$1:$T$400,SF_Output!$AC$1:$AC$400,_xlfn.TEXTJOIN(",",TRUE,$B70:$E70),SF_Output!$Q$1:$Q$400,"monthly"))/V70)),AF70="exclusion",-(SUMIFS(SF_Output!$T$1:$T$400,SF_Output!$AC$1:$AC$400,_xlfn.TEXTJOIN(",",TRUE,$B70:$E70),SF_Output!$Q$1:$Q$400,"monthly"))/V70)</f>
        <v/>
      </c>
      <c r="X70" s="6" cm="1">
        <f t="array" ref="X70">IFERROR(_xlfn.IFS(V70=0,0,V70="","",W70=0,V70,OR(V70&lt;&gt;0,V70&lt;&gt;""),H70*I70),V70*(1-W70))</f>
        <v>0</v>
      </c>
    </row>
    <row r="71" spans="2:24" x14ac:dyDescent="0.25">
      <c r="B71" t="s">
        <v>1516</v>
      </c>
      <c r="C71" t="s">
        <v>2122</v>
      </c>
      <c r="D71" t="s">
        <v>2123</v>
      </c>
      <c r="E71" t="s">
        <v>2124</v>
      </c>
      <c r="F71" s="116" t="str">
        <f t="shared" si="0"/>
        <v>Included</v>
      </c>
      <c r="G71" t="str">
        <f>IF(B71="","",INDEX(SF_Output!$K$1:$K$400,MATCH(B71,SF_Output!$M$1:$M$400,0)))</f>
        <v>Synergy</v>
      </c>
      <c r="H71" cm="1">
        <f t="array" ref="H71">_xlfn.IFS(B71="","",(SUMIFS(SF_Output!$F$1:$F$400,SF_Output!$AC$1:$AC$400,_xlfn.TEXTJOIN(",",TRUE,B71:E71))+SUMIFS(SF_Output!$G$1:$G$400,SF_Output!$AC$1:$AC$400,_xlfn.TEXTJOIN(",",TRUE,B71:E71)))&lt;&gt;0,SF_Output!$Y$2,INDEX(SF_Output!$F$1:$F$400,MATCH(_xlfn.TEXTJOIN(",",TRUE,B71:E71),SF_Output!$AC$1:$AC$400,0))=0,INDEX(SF_Output!$R$1:$R$400,MATCH(_xlfn.TEXTJOIN(",",TRUE,B71:E71),SF_Output!$AC$1:$AC$400,0)))</f>
        <v>1</v>
      </c>
      <c r="I71" s="125" t="str">
        <f>IFERROR(IF(AND(H71&gt;1,H71&lt;&gt;""),ROUND(SUMIFS(SF_Output!$S$1:$S$400,SF_Output!$AC$1:$AC$400,_xlfn.TEXTJOIN(",",TRUE,B71:E71),SF_Output!$Q$1:$Q$400,"monthly")*(1-W71)/H71,4),""),"")</f>
        <v/>
      </c>
      <c r="J71" s="6">
        <f>IF(B71="","",SUMIFS(SF_Output!$S$1:$S$400,SF_Output!$AC$1:$AC$400,_xlfn.TEXTJOIN(",",TRUE,B71:E71),SF_Output!$Q$1:$Q$400,"One Time",SF_Output!$L$1:$L$400,"license fee")+SUMIFS(SF_Output!$S$1:$S$400,SF_Output!$AC$1:$AC$400,_xlfn.TEXTJOIN(",",TRUE,B71:E71),SF_Output!$Q$1:$Q$400,"One Time",SF_Output!$L$1:$L$400,"software license")+SUMIFS(SF_Output!$S$1:$S$400,SF_Output!$AC$1:$AC$400,_xlfn.TEXTJOIN(",",TRUE,B71:E71),SF_Output!$Q$1:$Q$400,"One Time",SF_Output!$L$1:$L$400,"hardware"))</f>
        <v>0</v>
      </c>
      <c r="K71" s="112" t="str">
        <f>IF(OR(B71=0,B71="",G71="hardware",J71=0),"",IF(AF71&lt;&gt;"exclusion",MAX(K$9,-((SUMIFS(SF_Output!$T$1:$T$400,SF_Output!$AC$1:$AC$400,_xlfn.TEXTJOIN(",",TRUE,$B71:$E71),SF_Output!$Q$1:$Q$400,"One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license"))/J71)))</f>
        <v/>
      </c>
      <c r="L71" s="6">
        <f t="shared" si="1"/>
        <v>0</v>
      </c>
      <c r="N71" s="6">
        <f>IF(B71="","",SUMIFS(SF_Output!$S$1:$S$400,SF_Output!$AC$1:$AC$400,_xlfn.TEXTJOIN(",",TRUE,B71:E71),SF_Output!$Q$1:$Q$400,"One Time",SF_Output!$L$1:$L$400,"professional service"))</f>
        <v>1900</v>
      </c>
      <c r="O71" s="112">
        <f>IF(OR(B71=0,B71="",N71=0),"",IF(AF71&lt;&gt;"exclusion",MAX(O$9,-(SUMIFS(SF_Output!$T$1:$T$400,SF_Output!$AC$1:$AC$400,_xlfn.TEXTJOIN(",",TRUE,$B71:$E71),SF_Output!$Q$1:$Q$400,"One Time",SF_Output!$L$1:$L$400,"professional service"))/N71),-((SUMIFS(SF_Output!$T$1:$T$400,SF_Output!$AC$1:$AC$400,_xlfn.TEXTJOIN(",",TRUE,$B71:$E71),SF_Output!$Q$1:$Q$400,"One Time",SF_Output!$L$1:$L$400,"professional service")/N71))))</f>
        <v>0</v>
      </c>
      <c r="P71" s="6">
        <f t="shared" si="2"/>
        <v>1900</v>
      </c>
      <c r="R71" s="6">
        <f>IF(B71="","",SUMIFS(SF_Output!$S$1:$S$400,SF_Output!$AC$1:$AC$400,_xlfn.TEXTJOIN(",",TRUE,B71:E71),SF_Output!$Q$1:$Q$400,"yearly")+SUMIFS(SF_Output!$S$1:$S$400,SF_Output!$AC$1:$AC$400,_xlfn.TEXTJOIN(",",TRUE,B71:E71),SF_Output!$Q$1:$Q$400,"quarterly")*4)</f>
        <v>0</v>
      </c>
      <c r="S71" s="112" t="str">
        <f>IF(OR(B71=0,B71="",G71="hardware",R71=0),"",IF(AF71&lt;&gt;"exclusion",MAX(S$9,-(SUMIFS(SF_Output!$T$1:$T$400,SF_Output!$AC$1:$AC$400,_xlfn.TEXTJOIN(",",TRUE,$B71:$E71),SF_Output!$Q$1:$Q$400,"yearly"))/R71),-((SUMIFS(SF_Output!$T$1:$T$400,SF_Output!$AC$1:$AC$400,_xlfn.TEXTJOIN(",",TRUE,$B71:$E71),SF_Output!$Q$1:$Q$400,"yearly")/R71))))</f>
        <v/>
      </c>
      <c r="T71" s="6">
        <f t="shared" si="3"/>
        <v>0</v>
      </c>
      <c r="V71" s="6" cm="1">
        <f t="array" ref="V71">_xlfn.IFS(B71="","",AND(B71&lt;&gt;"",H71=SF_Output!$Y$2,SUMIFS(SF_Output!$T$1:$T$400,SF_Output!$AC$1:$AC$400,_xlfn.TEXTJOIN(",",TRUE,B71:E71),SF_Output!$Q$1:$Q$400,"monthly")=0),(SUMIFS(SF_Output!$F$1:$F$400,SF_Output!$AC$1:$AC$400,_xlfn.TEXTJOIN(",",TRUE,B71:E71),SF_Output!$Q$1:$Q$400,"monthly")+SUMIFS(SF_Output!$G$1:$G$400,SF_Output!$AC$1:$AC$400,_xlfn.TEXTJOIN(",",TRUE,B71:E71),SF_Output!$Q$1:$Q$400,"monthly"))*H71,AND(B71&lt;&gt;"",H71=SF_Output!$Y$2,SUMIFS(SF_Output!$T$1:$T$400,SF_Output!$AC$1:$AC$400,_xlfn.TEXTJOIN(",",TRUE,B71:E71),SF_Output!$Q$1:$Q$400,"monthly")&lt;&gt;0),SUMIFS(SF_Output!$S$1:$S$400,SF_Output!$AC$1:$AC$400,_xlfn.TEXTJOIN(",",TRUE,B71:E71),SF_Output!$Q$1:$Q$400,"monthly"),AND(B71&lt;&gt;"",H71&lt;&gt;SF_Output!$Y$2),SUMIFS(SF_Output!$S$1:$S$400,SF_Output!$AC$1:$AC$400,_xlfn.TEXTJOIN(",",TRUE,B71:E71),SF_Output!$Q$1:$Q$400,"monthly"))</f>
        <v>0</v>
      </c>
      <c r="W71" s="112" t="str" cm="1">
        <f t="array" ref="W71">_xlfn.IFS(OR(B71=0,B71="",V71=0),"",AF71&lt;&gt;"exclusion",MAX($W$9,$W$7,(-(SUMIFS(SF_Output!$T$1:$T$400,SF_Output!$AC$1:$AC$400,_xlfn.TEXTJOIN(",",TRUE,$B71:$E71),SF_Output!$Q$1:$Q$400,"monthly"))/V71)),AF71="exclusion",-(SUMIFS(SF_Output!$T$1:$T$400,SF_Output!$AC$1:$AC$400,_xlfn.TEXTJOIN(",",TRUE,$B71:$E71),SF_Output!$Q$1:$Q$400,"monthly"))/V71)</f>
        <v/>
      </c>
      <c r="X71" s="6" cm="1">
        <f t="array" ref="X71">IFERROR(_xlfn.IFS(V71=0,0,V71="","",W71=0,V71,OR(V71&lt;&gt;0,V71&lt;&gt;""),H71*I71),V71*(1-W71))</f>
        <v>0</v>
      </c>
    </row>
    <row r="72" spans="2:24" x14ac:dyDescent="0.25">
      <c r="B72" t="s">
        <v>1853</v>
      </c>
      <c r="C72" t="s">
        <v>2122</v>
      </c>
      <c r="D72" t="s">
        <v>2123</v>
      </c>
      <c r="E72" t="s">
        <v>2124</v>
      </c>
      <c r="F72" s="116" t="str">
        <f t="shared" si="0"/>
        <v>Included</v>
      </c>
      <c r="G72" t="str">
        <f>IF(B72="","",INDEX(SF_Output!$K$1:$K$400,MATCH(B72,SF_Output!$M$1:$M$400,0)))</f>
        <v>Synergy</v>
      </c>
      <c r="H72" cm="1">
        <f t="array" ref="H72">_xlfn.IFS(B72="","",(SUMIFS(SF_Output!$F$1:$F$400,SF_Output!$AC$1:$AC$400,_xlfn.TEXTJOIN(",",TRUE,B72:E72))+SUMIFS(SF_Output!$G$1:$G$400,SF_Output!$AC$1:$AC$400,_xlfn.TEXTJOIN(",",TRUE,B72:E72)))&lt;&gt;0,SF_Output!$Y$2,INDEX(SF_Output!$F$1:$F$400,MATCH(_xlfn.TEXTJOIN(",",TRUE,B72:E72),SF_Output!$AC$1:$AC$400,0))=0,INDEX(SF_Output!$R$1:$R$400,MATCH(_xlfn.TEXTJOIN(",",TRUE,B72:E72),SF_Output!$AC$1:$AC$400,0)))</f>
        <v>1</v>
      </c>
      <c r="I72" s="125" t="str">
        <f>IFERROR(IF(AND(H72&gt;1,H72&lt;&gt;""),ROUND(SUMIFS(SF_Output!$S$1:$S$400,SF_Output!$AC$1:$AC$400,_xlfn.TEXTJOIN(",",TRUE,B72:E72),SF_Output!$Q$1:$Q$400,"monthly")*(1-W72)/H72,4),""),"")</f>
        <v/>
      </c>
      <c r="J72" s="6">
        <f>IF(B72="","",SUMIFS(SF_Output!$S$1:$S$400,SF_Output!$AC$1:$AC$400,_xlfn.TEXTJOIN(",",TRUE,B72:E72),SF_Output!$Q$1:$Q$400,"One Time",SF_Output!$L$1:$L$400,"license fee")+SUMIFS(SF_Output!$S$1:$S$400,SF_Output!$AC$1:$AC$400,_xlfn.TEXTJOIN(",",TRUE,B72:E72),SF_Output!$Q$1:$Q$400,"One Time",SF_Output!$L$1:$L$400,"software license")+SUMIFS(SF_Output!$S$1:$S$400,SF_Output!$AC$1:$AC$400,_xlfn.TEXTJOIN(",",TRUE,B72:E72),SF_Output!$Q$1:$Q$400,"One Time",SF_Output!$L$1:$L$400,"hardware"))</f>
        <v>0</v>
      </c>
      <c r="K72" s="112" t="str">
        <f>IF(OR(B72=0,B72="",G72="hardware",J72=0),"",IF(AF72&lt;&gt;"exclusion",MAX(K$9,-((SUMIFS(SF_Output!$T$1:$T$400,SF_Output!$AC$1:$AC$400,_xlfn.TEXTJOIN(",",TRUE,$B72:$E72),SF_Output!$Q$1:$Q$400,"One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license"))/J72)))</f>
        <v/>
      </c>
      <c r="L72" s="6">
        <f t="shared" si="1"/>
        <v>0</v>
      </c>
      <c r="N72" s="6">
        <f>IF(B72="","",SUMIFS(SF_Output!$S$1:$S$400,SF_Output!$AC$1:$AC$400,_xlfn.TEXTJOIN(",",TRUE,B72:E72),SF_Output!$Q$1:$Q$400,"One Time",SF_Output!$L$1:$L$400,"professional service"))</f>
        <v>5200</v>
      </c>
      <c r="O72" s="112">
        <f>IF(OR(B72=0,B72="",N72=0),"",IF(AF72&lt;&gt;"exclusion",MAX(O$9,-(SUMIFS(SF_Output!$T$1:$T$400,SF_Output!$AC$1:$AC$400,_xlfn.TEXTJOIN(",",TRUE,$B72:$E72),SF_Output!$Q$1:$Q$400,"One Time",SF_Output!$L$1:$L$400,"professional service"))/N72),-((SUMIFS(SF_Output!$T$1:$T$400,SF_Output!$AC$1:$AC$400,_xlfn.TEXTJOIN(",",TRUE,$B72:$E72),SF_Output!$Q$1:$Q$400,"One Time",SF_Output!$L$1:$L$400,"professional service")/N72))))</f>
        <v>0</v>
      </c>
      <c r="P72" s="6">
        <f t="shared" si="2"/>
        <v>5200</v>
      </c>
      <c r="R72" s="6">
        <f>IF(B72="","",SUMIFS(SF_Output!$S$1:$S$400,SF_Output!$AC$1:$AC$400,_xlfn.TEXTJOIN(",",TRUE,B72:E72),SF_Output!$Q$1:$Q$400,"yearly")+SUMIFS(SF_Output!$S$1:$S$400,SF_Output!$AC$1:$AC$400,_xlfn.TEXTJOIN(",",TRUE,B72:E72),SF_Output!$Q$1:$Q$400,"quarterly")*4)</f>
        <v>0</v>
      </c>
      <c r="S72" s="112" t="str">
        <f>IF(OR(B72=0,B72="",G72="hardware",R72=0),"",IF(AF72&lt;&gt;"exclusion",MAX(S$9,-(SUMIFS(SF_Output!$T$1:$T$400,SF_Output!$AC$1:$AC$400,_xlfn.TEXTJOIN(",",TRUE,$B72:$E72),SF_Output!$Q$1:$Q$400,"yearly"))/R72),-((SUMIFS(SF_Output!$T$1:$T$400,SF_Output!$AC$1:$AC$400,_xlfn.TEXTJOIN(",",TRUE,$B72:$E72),SF_Output!$Q$1:$Q$400,"yearly")/R72))))</f>
        <v/>
      </c>
      <c r="T72" s="6">
        <f t="shared" si="3"/>
        <v>0</v>
      </c>
      <c r="V72" s="6" cm="1">
        <f t="array" ref="V72">_xlfn.IFS(B72="","",AND(B72&lt;&gt;"",H72=SF_Output!$Y$2,SUMIFS(SF_Output!$T$1:$T$400,SF_Output!$AC$1:$AC$400,_xlfn.TEXTJOIN(",",TRUE,B72:E72),SF_Output!$Q$1:$Q$400,"monthly")=0),(SUMIFS(SF_Output!$F$1:$F$400,SF_Output!$AC$1:$AC$400,_xlfn.TEXTJOIN(",",TRUE,B72:E72),SF_Output!$Q$1:$Q$400,"monthly")+SUMIFS(SF_Output!$G$1:$G$400,SF_Output!$AC$1:$AC$400,_xlfn.TEXTJOIN(",",TRUE,B72:E72),SF_Output!$Q$1:$Q$400,"monthly"))*H72,AND(B72&lt;&gt;"",H72=SF_Output!$Y$2,SUMIFS(SF_Output!$T$1:$T$400,SF_Output!$AC$1:$AC$400,_xlfn.TEXTJOIN(",",TRUE,B72:E72),SF_Output!$Q$1:$Q$400,"monthly")&lt;&gt;0),SUMIFS(SF_Output!$S$1:$S$400,SF_Output!$AC$1:$AC$400,_xlfn.TEXTJOIN(",",TRUE,B72:E72),SF_Output!$Q$1:$Q$400,"monthly"),AND(B72&lt;&gt;"",H72&lt;&gt;SF_Output!$Y$2),SUMIFS(SF_Output!$S$1:$S$400,SF_Output!$AC$1:$AC$400,_xlfn.TEXTJOIN(",",TRUE,B72:E72),SF_Output!$Q$1:$Q$400,"monthly"))</f>
        <v>0</v>
      </c>
      <c r="W72" s="112" t="str" cm="1">
        <f t="array" ref="W72">_xlfn.IFS(OR(B72=0,B72="",V72=0),"",AF72&lt;&gt;"exclusion",MAX($W$9,$W$7,(-(SUMIFS(SF_Output!$T$1:$T$400,SF_Output!$AC$1:$AC$400,_xlfn.TEXTJOIN(",",TRUE,$B72:$E72),SF_Output!$Q$1:$Q$400,"monthly"))/V72)),AF72="exclusion",-(SUMIFS(SF_Output!$T$1:$T$400,SF_Output!$AC$1:$AC$400,_xlfn.TEXTJOIN(",",TRUE,$B72:$E72),SF_Output!$Q$1:$Q$400,"monthly"))/V72)</f>
        <v/>
      </c>
      <c r="X72" s="6" cm="1">
        <f t="array" ref="X72">IFERROR(_xlfn.IFS(V72=0,0,V72="","",W72=0,V72,OR(V72&lt;&gt;0,V72&lt;&gt;""),H72*I72),V72*(1-W72))</f>
        <v>0</v>
      </c>
    </row>
    <row r="73" spans="2:24" x14ac:dyDescent="0.25">
      <c r="B73" t="s">
        <v>2130</v>
      </c>
      <c r="C73" t="s">
        <v>2122</v>
      </c>
      <c r="D73" t="s">
        <v>2123</v>
      </c>
      <c r="E73" t="s">
        <v>2124</v>
      </c>
      <c r="F73" s="116" t="str">
        <f t="shared" si="0"/>
        <v>Included</v>
      </c>
      <c r="G73" t="str">
        <f>IF(B73="","",INDEX(SF_Output!$K$1:$K$400,MATCH(B73,SF_Output!$M$1:$M$400,0)))</f>
        <v>iPay</v>
      </c>
      <c r="H73" cm="1">
        <f t="array" ref="H73">_xlfn.IFS(B73="","",(SUMIFS(SF_Output!$F$1:$F$400,SF_Output!$AC$1:$AC$400,_xlfn.TEXTJOIN(",",TRUE,B73:E73))+SUMIFS(SF_Output!$G$1:$G$400,SF_Output!$AC$1:$AC$400,_xlfn.TEXTJOIN(",",TRUE,B73:E73)))&lt;&gt;0,SF_Output!$Y$2,INDEX(SF_Output!$F$1:$F$400,MATCH(_xlfn.TEXTJOIN(",",TRUE,B73:E73),SF_Output!$AC$1:$AC$400,0))=0,INDEX(SF_Output!$R$1:$R$400,MATCH(_xlfn.TEXTJOIN(",",TRUE,B73:E73),SF_Output!$AC$1:$AC$400,0)))</f>
        <v>1</v>
      </c>
      <c r="I73" s="125" t="str">
        <f>IFERROR(IF(AND(H73&gt;1,H73&lt;&gt;""),ROUND(SUMIFS(SF_Output!$S$1:$S$400,SF_Output!$AC$1:$AC$400,_xlfn.TEXTJOIN(",",TRUE,B73:E73),SF_Output!$Q$1:$Q$400,"monthly")*(1-W73)/H73,4),""),"")</f>
        <v/>
      </c>
      <c r="J73" s="6">
        <f>IF(B73="","",SUMIFS(SF_Output!$S$1:$S$400,SF_Output!$AC$1:$AC$400,_xlfn.TEXTJOIN(",",TRUE,B73:E73),SF_Output!$Q$1:$Q$400,"One Time",SF_Output!$L$1:$L$400,"license fee")+SUMIFS(SF_Output!$S$1:$S$400,SF_Output!$AC$1:$AC$400,_xlfn.TEXTJOIN(",",TRUE,B73:E73),SF_Output!$Q$1:$Q$400,"One Time",SF_Output!$L$1:$L$400,"software license")+SUMIFS(SF_Output!$S$1:$S$400,SF_Output!$AC$1:$AC$400,_xlfn.TEXTJOIN(",",TRUE,B73:E73),SF_Output!$Q$1:$Q$400,"One Time",SF_Output!$L$1:$L$400,"hardware"))</f>
        <v>0</v>
      </c>
      <c r="K73" s="112" t="str">
        <f>IF(OR(B73=0,B73="",G73="hardware",J73=0),"",IF(AF73&lt;&gt;"exclusion",MAX(K$9,-((SUMIFS(SF_Output!$T$1:$T$400,SF_Output!$AC$1:$AC$400,_xlfn.TEXTJOIN(",",TRUE,$B73:$E73),SF_Output!$Q$1:$Q$400,"One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license"))/J73)))</f>
        <v/>
      </c>
      <c r="L73" s="6">
        <f t="shared" si="1"/>
        <v>0</v>
      </c>
      <c r="N73" s="6">
        <f>IF(B73="","",SUMIFS(SF_Output!$S$1:$S$400,SF_Output!$AC$1:$AC$400,_xlfn.TEXTJOIN(",",TRUE,B73:E73),SF_Output!$Q$1:$Q$400,"One Time",SF_Output!$L$1:$L$400,"professional service"))</f>
        <v>2500</v>
      </c>
      <c r="O73" s="112">
        <f>IF(OR(B73=0,B73="",N73=0),"",IF(AF73&lt;&gt;"exclusion",MAX(O$9,-(SUMIFS(SF_Output!$T$1:$T$400,SF_Output!$AC$1:$AC$400,_xlfn.TEXTJOIN(",",TRUE,$B73:$E73),SF_Output!$Q$1:$Q$400,"One Time",SF_Output!$L$1:$L$400,"professional service"))/N73),-((SUMIFS(SF_Output!$T$1:$T$400,SF_Output!$AC$1:$AC$400,_xlfn.TEXTJOIN(",",TRUE,$B73:$E73),SF_Output!$Q$1:$Q$400,"One Time",SF_Output!$L$1:$L$400,"professional service")/N73))))</f>
        <v>1</v>
      </c>
      <c r="P73" s="6">
        <f t="shared" si="2"/>
        <v>0</v>
      </c>
      <c r="R73" s="6">
        <f>IF(B73="","",SUMIFS(SF_Output!$S$1:$S$400,SF_Output!$AC$1:$AC$400,_xlfn.TEXTJOIN(",",TRUE,B73:E73),SF_Output!$Q$1:$Q$400,"yearly")+SUMIFS(SF_Output!$S$1:$S$400,SF_Output!$AC$1:$AC$400,_xlfn.TEXTJOIN(",",TRUE,B73:E73),SF_Output!$Q$1:$Q$400,"quarterly")*4)</f>
        <v>0</v>
      </c>
      <c r="S73" s="112" t="str">
        <f>IF(OR(B73=0,B73="",G73="hardware",R73=0),"",IF(AF73&lt;&gt;"exclusion",MAX(S$9,-(SUMIFS(SF_Output!$T$1:$T$400,SF_Output!$AC$1:$AC$400,_xlfn.TEXTJOIN(",",TRUE,$B73:$E73),SF_Output!$Q$1:$Q$400,"yearly"))/R73),-((SUMIFS(SF_Output!$T$1:$T$400,SF_Output!$AC$1:$AC$400,_xlfn.TEXTJOIN(",",TRUE,$B73:$E73),SF_Output!$Q$1:$Q$400,"yearly")/R73))))</f>
        <v/>
      </c>
      <c r="T73" s="6">
        <f t="shared" si="3"/>
        <v>0</v>
      </c>
      <c r="V73" s="6" cm="1">
        <f t="array" ref="V73">_xlfn.IFS(B73="","",AND(B73&lt;&gt;"",H73=SF_Output!$Y$2,SUMIFS(SF_Output!$T$1:$T$400,SF_Output!$AC$1:$AC$400,_xlfn.TEXTJOIN(",",TRUE,B73:E73),SF_Output!$Q$1:$Q$400,"monthly")=0),(SUMIFS(SF_Output!$F$1:$F$400,SF_Output!$AC$1:$AC$400,_xlfn.TEXTJOIN(",",TRUE,B73:E73),SF_Output!$Q$1:$Q$400,"monthly")+SUMIFS(SF_Output!$G$1:$G$400,SF_Output!$AC$1:$AC$400,_xlfn.TEXTJOIN(",",TRUE,B73:E73),SF_Output!$Q$1:$Q$400,"monthly"))*H73,AND(B73&lt;&gt;"",H73=SF_Output!$Y$2,SUMIFS(SF_Output!$T$1:$T$400,SF_Output!$AC$1:$AC$400,_xlfn.TEXTJOIN(",",TRUE,B73:E73),SF_Output!$Q$1:$Q$400,"monthly")&lt;&gt;0),SUMIFS(SF_Output!$S$1:$S$400,SF_Output!$AC$1:$AC$400,_xlfn.TEXTJOIN(",",TRUE,B73:E73),SF_Output!$Q$1:$Q$400,"monthly"),AND(B73&lt;&gt;"",H73&lt;&gt;SF_Output!$Y$2),SUMIFS(SF_Output!$S$1:$S$400,SF_Output!$AC$1:$AC$400,_xlfn.TEXTJOIN(",",TRUE,B73:E73),SF_Output!$Q$1:$Q$400,"monthly"))</f>
        <v>400</v>
      </c>
      <c r="W73" s="112" cm="1">
        <f t="array" ref="W73">_xlfn.IFS(OR(B73=0,B73="",V73=0),"",AF73&lt;&gt;"exclusion",MAX($W$9,$W$7,(-(SUMIFS(SF_Output!$T$1:$T$400,SF_Output!$AC$1:$AC$400,_xlfn.TEXTJOIN(",",TRUE,$B73:$E73),SF_Output!$Q$1:$Q$400,"monthly"))/V73)),AF73="exclusion",-(SUMIFS(SF_Output!$T$1:$T$400,SF_Output!$AC$1:$AC$400,_xlfn.TEXTJOIN(",",TRUE,$B73:$E73),SF_Output!$Q$1:$Q$400,"monthly"))/V73)</f>
        <v>0</v>
      </c>
      <c r="X73" s="6" cm="1">
        <f t="array" ref="X73">IFERROR(_xlfn.IFS(V73=0,0,V73="","",W73=0,V73,OR(V73&lt;&gt;0,V73&lt;&gt;""),H73*I73),V73*(1-W73))</f>
        <v>400</v>
      </c>
    </row>
    <row r="74" spans="2:24" x14ac:dyDescent="0.25">
      <c r="B74" t="s">
        <v>2134</v>
      </c>
      <c r="C74" t="s">
        <v>2122</v>
      </c>
      <c r="D74" t="s">
        <v>2123</v>
      </c>
      <c r="E74" t="s">
        <v>2124</v>
      </c>
      <c r="F74" s="116" t="str">
        <f t="shared" si="0"/>
        <v>Included</v>
      </c>
      <c r="G74" t="str">
        <f>IF(B74="","",INDEX(SF_Output!$K$1:$K$400,MATCH(B74,SF_Output!$M$1:$M$400,0)))</f>
        <v>iPay</v>
      </c>
      <c r="H74" cm="1">
        <f t="array" ref="H74">_xlfn.IFS(B74="","",(SUMIFS(SF_Output!$F$1:$F$400,SF_Output!$AC$1:$AC$400,_xlfn.TEXTJOIN(",",TRUE,B74:E74))+SUMIFS(SF_Output!$G$1:$G$400,SF_Output!$AC$1:$AC$400,_xlfn.TEXTJOIN(",",TRUE,B74:E74)))&lt;&gt;0,SF_Output!$Y$2,INDEX(SF_Output!$F$1:$F$400,MATCH(_xlfn.TEXTJOIN(",",TRUE,B74:E74),SF_Output!$AC$1:$AC$400,0))=0,INDEX(SF_Output!$R$1:$R$400,MATCH(_xlfn.TEXTJOIN(",",TRUE,B74:E74),SF_Output!$AC$1:$AC$400,0)))</f>
        <v>1</v>
      </c>
      <c r="I74" s="125" t="str">
        <f>IFERROR(IF(AND(H74&gt;1,H74&lt;&gt;""),ROUND(SUMIFS(SF_Output!$S$1:$S$400,SF_Output!$AC$1:$AC$400,_xlfn.TEXTJOIN(",",TRUE,B74:E74),SF_Output!$Q$1:$Q$400,"monthly")*(1-W74)/H74,4),""),"")</f>
        <v/>
      </c>
      <c r="J74" s="6">
        <f>IF(B74="","",SUMIFS(SF_Output!$S$1:$S$400,SF_Output!$AC$1:$AC$400,_xlfn.TEXTJOIN(",",TRUE,B74:E74),SF_Output!$Q$1:$Q$400,"One Time",SF_Output!$L$1:$L$400,"license fee")+SUMIFS(SF_Output!$S$1:$S$400,SF_Output!$AC$1:$AC$400,_xlfn.TEXTJOIN(",",TRUE,B74:E74),SF_Output!$Q$1:$Q$400,"One Time",SF_Output!$L$1:$L$400,"software license")+SUMIFS(SF_Output!$S$1:$S$400,SF_Output!$AC$1:$AC$400,_xlfn.TEXTJOIN(",",TRUE,B74:E74),SF_Output!$Q$1:$Q$400,"One Time",SF_Output!$L$1:$L$400,"hardware"))</f>
        <v>0</v>
      </c>
      <c r="K74" s="112" t="str">
        <f>IF(OR(B74=0,B74="",G74="hardware",J74=0),"",IF(AF74&lt;&gt;"exclusion",MAX(K$9,-((SUMIFS(SF_Output!$T$1:$T$400,SF_Output!$AC$1:$AC$400,_xlfn.TEXTJOIN(",",TRUE,$B74:$E74),SF_Output!$Q$1:$Q$400,"One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license"))/J74)))</f>
        <v/>
      </c>
      <c r="L74" s="6">
        <f t="shared" si="1"/>
        <v>0</v>
      </c>
      <c r="N74" s="6">
        <f>IF(B74="","",SUMIFS(SF_Output!$S$1:$S$400,SF_Output!$AC$1:$AC$400,_xlfn.TEXTJOIN(",",TRUE,B74:E74),SF_Output!$Q$1:$Q$400,"One Time",SF_Output!$L$1:$L$400,"professional service"))</f>
        <v>0</v>
      </c>
      <c r="O74" s="112" t="str">
        <f>IF(OR(B74=0,B74="",N74=0),"",IF(AF74&lt;&gt;"exclusion",MAX(O$9,-(SUMIFS(SF_Output!$T$1:$T$400,SF_Output!$AC$1:$AC$400,_xlfn.TEXTJOIN(",",TRUE,$B74:$E74),SF_Output!$Q$1:$Q$400,"One Time",SF_Output!$L$1:$L$400,"professional service"))/N74),-((SUMIFS(SF_Output!$T$1:$T$400,SF_Output!$AC$1:$AC$400,_xlfn.TEXTJOIN(",",TRUE,$B74:$E74),SF_Output!$Q$1:$Q$400,"One Time",SF_Output!$L$1:$L$400,"professional service")/N74))))</f>
        <v/>
      </c>
      <c r="P74" s="6">
        <f t="shared" si="2"/>
        <v>0</v>
      </c>
      <c r="R74" s="6">
        <f>IF(B74="","",SUMIFS(SF_Output!$S$1:$S$400,SF_Output!$AC$1:$AC$400,_xlfn.TEXTJOIN(",",TRUE,B74:E74),SF_Output!$Q$1:$Q$400,"yearly")+SUMIFS(SF_Output!$S$1:$S$400,SF_Output!$AC$1:$AC$400,_xlfn.TEXTJOIN(",",TRUE,B74:E74),SF_Output!$Q$1:$Q$400,"quarterly")*4)</f>
        <v>630</v>
      </c>
      <c r="S74" s="112">
        <f>IF(OR(B74=0,B74="",G74="hardware",R74=0),"",IF(AF74&lt;&gt;"exclusion",MAX(S$9,-(SUMIFS(SF_Output!$T$1:$T$400,SF_Output!$AC$1:$AC$400,_xlfn.TEXTJOIN(",",TRUE,$B74:$E74),SF_Output!$Q$1:$Q$400,"yearly"))/R74),-((SUMIFS(SF_Output!$T$1:$T$400,SF_Output!$AC$1:$AC$400,_xlfn.TEXTJOIN(",",TRUE,$B74:$E74),SF_Output!$Q$1:$Q$400,"yearly")/R74))))</f>
        <v>0</v>
      </c>
      <c r="T74" s="6">
        <f t="shared" si="3"/>
        <v>630</v>
      </c>
      <c r="V74" s="6" cm="1">
        <f t="array" ref="V74">_xlfn.IFS(B74="","",AND(B74&lt;&gt;"",H74=SF_Output!$Y$2,SUMIFS(SF_Output!$T$1:$T$400,SF_Output!$AC$1:$AC$400,_xlfn.TEXTJOIN(",",TRUE,B74:E74),SF_Output!$Q$1:$Q$400,"monthly")=0),(SUMIFS(SF_Output!$F$1:$F$400,SF_Output!$AC$1:$AC$400,_xlfn.TEXTJOIN(",",TRUE,B74:E74),SF_Output!$Q$1:$Q$400,"monthly")+SUMIFS(SF_Output!$G$1:$G$400,SF_Output!$AC$1:$AC$400,_xlfn.TEXTJOIN(",",TRUE,B74:E74),SF_Output!$Q$1:$Q$400,"monthly"))*H74,AND(B74&lt;&gt;"",H74=SF_Output!$Y$2,SUMIFS(SF_Output!$T$1:$T$400,SF_Output!$AC$1:$AC$400,_xlfn.TEXTJOIN(",",TRUE,B74:E74),SF_Output!$Q$1:$Q$400,"monthly")&lt;&gt;0),SUMIFS(SF_Output!$S$1:$S$400,SF_Output!$AC$1:$AC$400,_xlfn.TEXTJOIN(",",TRUE,B74:E74),SF_Output!$Q$1:$Q$400,"monthly"),AND(B74&lt;&gt;"",H74&lt;&gt;SF_Output!$Y$2),SUMIFS(SF_Output!$S$1:$S$400,SF_Output!$AC$1:$AC$400,_xlfn.TEXTJOIN(",",TRUE,B74:E74),SF_Output!$Q$1:$Q$400,"monthly"))</f>
        <v>0</v>
      </c>
      <c r="W74" s="112" t="str" cm="1">
        <f t="array" ref="W74">_xlfn.IFS(OR(B74=0,B74="",V74=0),"",AF74&lt;&gt;"exclusion",MAX($W$9,$W$7,(-(SUMIFS(SF_Output!$T$1:$T$400,SF_Output!$AC$1:$AC$400,_xlfn.TEXTJOIN(",",TRUE,$B74:$E74),SF_Output!$Q$1:$Q$400,"monthly"))/V74)),AF74="exclusion",-(SUMIFS(SF_Output!$T$1:$T$400,SF_Output!$AC$1:$AC$400,_xlfn.TEXTJOIN(",",TRUE,$B74:$E74),SF_Output!$Q$1:$Q$400,"monthly"))/V74)</f>
        <v/>
      </c>
      <c r="X74" s="6" cm="1">
        <f t="array" ref="X74">IFERROR(_xlfn.IFS(V74=0,0,V74="","",W74=0,V74,OR(V74&lt;&gt;0,V74&lt;&gt;""),H74*I74),V74*(1-W74))</f>
        <v>0</v>
      </c>
    </row>
    <row r="75" spans="2:24" x14ac:dyDescent="0.25">
      <c r="B75" t="s">
        <v>1161</v>
      </c>
      <c r="C75" t="s">
        <v>2122</v>
      </c>
      <c r="D75" t="s">
        <v>2123</v>
      </c>
      <c r="E75" t="s">
        <v>2124</v>
      </c>
      <c r="F75" s="116" t="str">
        <f t="shared" si="0"/>
        <v>Included</v>
      </c>
      <c r="G75" t="str">
        <f>IF(B75="","",INDEX(SF_Output!$K$1:$K$400,MATCH(B75,SF_Output!$M$1:$M$400,0)))</f>
        <v>iPay</v>
      </c>
      <c r="H75" cm="1">
        <f t="array" ref="H75">_xlfn.IFS(B75="","",(SUMIFS(SF_Output!$F$1:$F$400,SF_Output!$AC$1:$AC$400,_xlfn.TEXTJOIN(",",TRUE,B75:E75))+SUMIFS(SF_Output!$G$1:$G$400,SF_Output!$AC$1:$AC$400,_xlfn.TEXTJOIN(",",TRUE,B75:E75)))&lt;&gt;0,SF_Output!$Y$2,INDEX(SF_Output!$F$1:$F$400,MATCH(_xlfn.TEXTJOIN(",",TRUE,B75:E75),SF_Output!$AC$1:$AC$400,0))=0,INDEX(SF_Output!$R$1:$R$400,MATCH(_xlfn.TEXTJOIN(",",TRUE,B75:E75),SF_Output!$AC$1:$AC$400,0)))</f>
        <v>1</v>
      </c>
      <c r="I75" s="125" t="str">
        <f>IFERROR(IF(AND(H75&gt;1,H75&lt;&gt;""),ROUND(SUMIFS(SF_Output!$S$1:$S$400,SF_Output!$AC$1:$AC$400,_xlfn.TEXTJOIN(",",TRUE,B75:E75),SF_Output!$Q$1:$Q$400,"monthly")*(1-W75)/H75,4),""),"")</f>
        <v/>
      </c>
      <c r="J75" s="6">
        <f>IF(B75="","",SUMIFS(SF_Output!$S$1:$S$400,SF_Output!$AC$1:$AC$400,_xlfn.TEXTJOIN(",",TRUE,B75:E75),SF_Output!$Q$1:$Q$400,"One Time",SF_Output!$L$1:$L$400,"license fee")+SUMIFS(SF_Output!$S$1:$S$400,SF_Output!$AC$1:$AC$400,_xlfn.TEXTJOIN(",",TRUE,B75:E75),SF_Output!$Q$1:$Q$400,"One Time",SF_Output!$L$1:$L$400,"software license")+SUMIFS(SF_Output!$S$1:$S$400,SF_Output!$AC$1:$AC$400,_xlfn.TEXTJOIN(",",TRUE,B75:E75),SF_Output!$Q$1:$Q$400,"One Time",SF_Output!$L$1:$L$400,"hardware"))</f>
        <v>0</v>
      </c>
      <c r="K75" s="112" t="str">
        <f>IF(OR(B75=0,B75="",G75="hardware",J75=0),"",IF(AF75&lt;&gt;"exclusion",MAX(K$9,-((SUMIFS(SF_Output!$T$1:$T$400,SF_Output!$AC$1:$AC$400,_xlfn.TEXTJOIN(",",TRUE,$B75:$E75),SF_Output!$Q$1:$Q$400,"One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license"))/J75)))</f>
        <v/>
      </c>
      <c r="L75" s="6">
        <f t="shared" si="1"/>
        <v>0</v>
      </c>
      <c r="N75" s="6">
        <f>IF(B75="","",SUMIFS(SF_Output!$S$1:$S$400,SF_Output!$AC$1:$AC$400,_xlfn.TEXTJOIN(",",TRUE,B75:E75),SF_Output!$Q$1:$Q$400,"One Time",SF_Output!$L$1:$L$400,"professional service"))</f>
        <v>0</v>
      </c>
      <c r="O75" s="112" t="str">
        <f>IF(OR(B75=0,B75="",N75=0),"",IF(AF75&lt;&gt;"exclusion",MAX(O$9,-(SUMIFS(SF_Output!$T$1:$T$400,SF_Output!$AC$1:$AC$400,_xlfn.TEXTJOIN(",",TRUE,$B75:$E75),SF_Output!$Q$1:$Q$400,"One Time",SF_Output!$L$1:$L$400,"professional service"))/N75),-((SUMIFS(SF_Output!$T$1:$T$400,SF_Output!$AC$1:$AC$400,_xlfn.TEXTJOIN(",",TRUE,$B75:$E75),SF_Output!$Q$1:$Q$400,"One Time",SF_Output!$L$1:$L$400,"professional service")/N75))))</f>
        <v/>
      </c>
      <c r="P75" s="6">
        <f t="shared" si="2"/>
        <v>0</v>
      </c>
      <c r="R75" s="6">
        <f>IF(B75="","",SUMIFS(SF_Output!$S$1:$S$400,SF_Output!$AC$1:$AC$400,_xlfn.TEXTJOIN(",",TRUE,B75:E75),SF_Output!$Q$1:$Q$400,"yearly")+SUMIFS(SF_Output!$S$1:$S$400,SF_Output!$AC$1:$AC$400,_xlfn.TEXTJOIN(",",TRUE,B75:E75),SF_Output!$Q$1:$Q$400,"quarterly")*4)</f>
        <v>0</v>
      </c>
      <c r="S75" s="112" t="str">
        <f>IF(OR(B75=0,B75="",G75="hardware",R75=0),"",IF(AF75&lt;&gt;"exclusion",MAX(S$9,-(SUMIFS(SF_Output!$T$1:$T$400,SF_Output!$AC$1:$AC$400,_xlfn.TEXTJOIN(",",TRUE,$B75:$E75),SF_Output!$Q$1:$Q$400,"yearly"))/R75),-((SUMIFS(SF_Output!$T$1:$T$400,SF_Output!$AC$1:$AC$400,_xlfn.TEXTJOIN(",",TRUE,$B75:$E75),SF_Output!$Q$1:$Q$400,"yearly")/R75))))</f>
        <v/>
      </c>
      <c r="T75" s="6">
        <f t="shared" si="3"/>
        <v>0</v>
      </c>
      <c r="V75" s="6" cm="1">
        <f t="array" ref="V75">_xlfn.IFS(B75="","",AND(B75&lt;&gt;"",H75=SF_Output!$Y$2,SUMIFS(SF_Output!$T$1:$T$400,SF_Output!$AC$1:$AC$400,_xlfn.TEXTJOIN(",",TRUE,B75:E75),SF_Output!$Q$1:$Q$400,"monthly")=0),(SUMIFS(SF_Output!$F$1:$F$400,SF_Output!$AC$1:$AC$400,_xlfn.TEXTJOIN(",",TRUE,B75:E75),SF_Output!$Q$1:$Q$400,"monthly")+SUMIFS(SF_Output!$G$1:$G$400,SF_Output!$AC$1:$AC$400,_xlfn.TEXTJOIN(",",TRUE,B75:E75),SF_Output!$Q$1:$Q$400,"monthly"))*H75,AND(B75&lt;&gt;"",H75=SF_Output!$Y$2,SUMIFS(SF_Output!$T$1:$T$400,SF_Output!$AC$1:$AC$400,_xlfn.TEXTJOIN(",",TRUE,B75:E75),SF_Output!$Q$1:$Q$400,"monthly")&lt;&gt;0),SUMIFS(SF_Output!$S$1:$S$400,SF_Output!$AC$1:$AC$400,_xlfn.TEXTJOIN(",",TRUE,B75:E75),SF_Output!$Q$1:$Q$400,"monthly"),AND(B75&lt;&gt;"",H75&lt;&gt;SF_Output!$Y$2),SUMIFS(SF_Output!$S$1:$S$400,SF_Output!$AC$1:$AC$400,_xlfn.TEXTJOIN(",",TRUE,B75:E75),SF_Output!$Q$1:$Q$400,"monthly"))</f>
        <v>0</v>
      </c>
      <c r="W75" s="112" t="str" cm="1">
        <f t="array" ref="W75">_xlfn.IFS(OR(B75=0,B75="",V75=0),"",AF75&lt;&gt;"exclusion",MAX($W$9,$W$7,(-(SUMIFS(SF_Output!$T$1:$T$400,SF_Output!$AC$1:$AC$400,_xlfn.TEXTJOIN(",",TRUE,$B75:$E75),SF_Output!$Q$1:$Q$400,"monthly"))/V75)),AF75="exclusion",-(SUMIFS(SF_Output!$T$1:$T$400,SF_Output!$AC$1:$AC$400,_xlfn.TEXTJOIN(",",TRUE,$B75:$E75),SF_Output!$Q$1:$Q$400,"monthly"))/V75)</f>
        <v/>
      </c>
      <c r="X75" s="6" cm="1">
        <f t="array" ref="X75">IFERROR(_xlfn.IFS(V75=0,0,V75="","",W75=0,V75,OR(V75&lt;&gt;0,V75&lt;&gt;""),H75*I75),V75*(1-W75))</f>
        <v>0</v>
      </c>
    </row>
    <row r="76" spans="2:24" x14ac:dyDescent="0.25">
      <c r="B76" t="s">
        <v>2138</v>
      </c>
      <c r="C76" t="s">
        <v>2122</v>
      </c>
      <c r="D76" t="s">
        <v>2123</v>
      </c>
      <c r="E76" t="s">
        <v>2124</v>
      </c>
      <c r="F76" s="116" t="str">
        <f t="shared" si="0"/>
        <v>Included</v>
      </c>
      <c r="G76" t="str">
        <f>IF(B76="","",INDEX(SF_Output!$K$1:$K$400,MATCH(B76,SF_Output!$M$1:$M$400,0)))</f>
        <v>iPay</v>
      </c>
      <c r="H76" cm="1">
        <f t="array" ref="H76">_xlfn.IFS(B76="","",(SUMIFS(SF_Output!$F$1:$F$400,SF_Output!$AC$1:$AC$400,_xlfn.TEXTJOIN(",",TRUE,B76:E76))+SUMIFS(SF_Output!$G$1:$G$400,SF_Output!$AC$1:$AC$400,_xlfn.TEXTJOIN(",",TRUE,B76:E76)))&lt;&gt;0,SF_Output!$Y$2,INDEX(SF_Output!$F$1:$F$400,MATCH(_xlfn.TEXTJOIN(",",TRUE,B76:E76),SF_Output!$AC$1:$AC$400,0))=0,INDEX(SF_Output!$R$1:$R$400,MATCH(_xlfn.TEXTJOIN(",",TRUE,B76:E76),SF_Output!$AC$1:$AC$400,0)))</f>
        <v>1</v>
      </c>
      <c r="I76" s="125" t="str">
        <f>IFERROR(IF(AND(H76&gt;1,H76&lt;&gt;""),ROUND(SUMIFS(SF_Output!$S$1:$S$400,SF_Output!$AC$1:$AC$400,_xlfn.TEXTJOIN(",",TRUE,B76:E76),SF_Output!$Q$1:$Q$400,"monthly")*(1-W76)/H76,4),""),"")</f>
        <v/>
      </c>
      <c r="J76" s="6">
        <f>IF(B76="","",SUMIFS(SF_Output!$S$1:$S$400,SF_Output!$AC$1:$AC$400,_xlfn.TEXTJOIN(",",TRUE,B76:E76),SF_Output!$Q$1:$Q$400,"One Time",SF_Output!$L$1:$L$400,"license fee")+SUMIFS(SF_Output!$S$1:$S$400,SF_Output!$AC$1:$AC$400,_xlfn.TEXTJOIN(",",TRUE,B76:E76),SF_Output!$Q$1:$Q$400,"One Time",SF_Output!$L$1:$L$400,"software license")+SUMIFS(SF_Output!$S$1:$S$400,SF_Output!$AC$1:$AC$400,_xlfn.TEXTJOIN(",",TRUE,B76:E76),SF_Output!$Q$1:$Q$400,"One Time",SF_Output!$L$1:$L$400,"hardware"))</f>
        <v>0</v>
      </c>
      <c r="K76" s="112" t="str">
        <f>IF(OR(B76=0,B76="",G76="hardware",J76=0),"",IF(AF76&lt;&gt;"exclusion",MAX(K$9,-((SUMIFS(SF_Output!$T$1:$T$400,SF_Output!$AC$1:$AC$400,_xlfn.TEXTJOIN(",",TRUE,$B76:$E76),SF_Output!$Q$1:$Q$400,"One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license"))/J76)))</f>
        <v/>
      </c>
      <c r="L76" s="6">
        <f t="shared" si="1"/>
        <v>0</v>
      </c>
      <c r="N76" s="6">
        <f>IF(B76="","",SUMIFS(SF_Output!$S$1:$S$400,SF_Output!$AC$1:$AC$400,_xlfn.TEXTJOIN(",",TRUE,B76:E76),SF_Output!$Q$1:$Q$400,"One Time",SF_Output!$L$1:$L$400,"professional service"))</f>
        <v>10000</v>
      </c>
      <c r="O76" s="112">
        <f>IF(OR(B76=0,B76="",N76=0),"",IF(AF76&lt;&gt;"exclusion",MAX(O$9,-(SUMIFS(SF_Output!$T$1:$T$400,SF_Output!$AC$1:$AC$400,_xlfn.TEXTJOIN(",",TRUE,$B76:$E76),SF_Output!$Q$1:$Q$400,"One Time",SF_Output!$L$1:$L$400,"professional service"))/N76),-((SUMIFS(SF_Output!$T$1:$T$400,SF_Output!$AC$1:$AC$400,_xlfn.TEXTJOIN(",",TRUE,$B76:$E76),SF_Output!$Q$1:$Q$400,"One Time",SF_Output!$L$1:$L$400,"professional service")/N76))))</f>
        <v>1</v>
      </c>
      <c r="P76" s="6">
        <f t="shared" si="2"/>
        <v>0</v>
      </c>
      <c r="R76" s="6">
        <f>IF(B76="","",SUMIFS(SF_Output!$S$1:$S$400,SF_Output!$AC$1:$AC$400,_xlfn.TEXTJOIN(",",TRUE,B76:E76),SF_Output!$Q$1:$Q$400,"yearly")+SUMIFS(SF_Output!$S$1:$S$400,SF_Output!$AC$1:$AC$400,_xlfn.TEXTJOIN(",",TRUE,B76:E76),SF_Output!$Q$1:$Q$400,"quarterly")*4)</f>
        <v>0</v>
      </c>
      <c r="S76" s="112" t="str">
        <f>IF(OR(B76=0,B76="",G76="hardware",R76=0),"",IF(AF76&lt;&gt;"exclusion",MAX(S$9,-(SUMIFS(SF_Output!$T$1:$T$400,SF_Output!$AC$1:$AC$400,_xlfn.TEXTJOIN(",",TRUE,$B76:$E76),SF_Output!$Q$1:$Q$400,"yearly"))/R76),-((SUMIFS(SF_Output!$T$1:$T$400,SF_Output!$AC$1:$AC$400,_xlfn.TEXTJOIN(",",TRUE,$B76:$E76),SF_Output!$Q$1:$Q$400,"yearly")/R76))))</f>
        <v/>
      </c>
      <c r="T76" s="6">
        <f t="shared" si="3"/>
        <v>0</v>
      </c>
      <c r="V76" s="6" cm="1">
        <f t="array" ref="V76">_xlfn.IFS(B76="","",AND(B76&lt;&gt;"",H76=SF_Output!$Y$2,SUMIFS(SF_Output!$T$1:$T$400,SF_Output!$AC$1:$AC$400,_xlfn.TEXTJOIN(",",TRUE,B76:E76),SF_Output!$Q$1:$Q$400,"monthly")=0),(SUMIFS(SF_Output!$F$1:$F$400,SF_Output!$AC$1:$AC$400,_xlfn.TEXTJOIN(",",TRUE,B76:E76),SF_Output!$Q$1:$Q$400,"monthly")+SUMIFS(SF_Output!$G$1:$G$400,SF_Output!$AC$1:$AC$400,_xlfn.TEXTJOIN(",",TRUE,B76:E76),SF_Output!$Q$1:$Q$400,"monthly"))*H76,AND(B76&lt;&gt;"",H76=SF_Output!$Y$2,SUMIFS(SF_Output!$T$1:$T$400,SF_Output!$AC$1:$AC$400,_xlfn.TEXTJOIN(",",TRUE,B76:E76),SF_Output!$Q$1:$Q$400,"monthly")&lt;&gt;0),SUMIFS(SF_Output!$S$1:$S$400,SF_Output!$AC$1:$AC$400,_xlfn.TEXTJOIN(",",TRUE,B76:E76),SF_Output!$Q$1:$Q$400,"monthly"),AND(B76&lt;&gt;"",H76&lt;&gt;SF_Output!$Y$2),SUMIFS(SF_Output!$S$1:$S$400,SF_Output!$AC$1:$AC$400,_xlfn.TEXTJOIN(",",TRUE,B76:E76),SF_Output!$Q$1:$Q$400,"monthly"))</f>
        <v>0</v>
      </c>
      <c r="W76" s="112" t="str" cm="1">
        <f t="array" ref="W76">_xlfn.IFS(OR(B76=0,B76="",V76=0),"",AF76&lt;&gt;"exclusion",MAX($W$9,$W$7,(-(SUMIFS(SF_Output!$T$1:$T$400,SF_Output!$AC$1:$AC$400,_xlfn.TEXTJOIN(",",TRUE,$B76:$E76),SF_Output!$Q$1:$Q$400,"monthly"))/V76)),AF76="exclusion",-(SUMIFS(SF_Output!$T$1:$T$400,SF_Output!$AC$1:$AC$400,_xlfn.TEXTJOIN(",",TRUE,$B76:$E76),SF_Output!$Q$1:$Q$400,"monthly"))/V76)</f>
        <v/>
      </c>
      <c r="X76" s="6" cm="1">
        <f t="array" ref="X76">IFERROR(_xlfn.IFS(V76=0,0,V76="","",W76=0,V76,OR(V76&lt;&gt;0,V76&lt;&gt;""),H76*I76),V76*(1-W76))</f>
        <v>0</v>
      </c>
    </row>
    <row r="77" spans="2:24" x14ac:dyDescent="0.25">
      <c r="B77" t="s">
        <v>1001</v>
      </c>
      <c r="C77" t="s">
        <v>2122</v>
      </c>
      <c r="D77" t="s">
        <v>2123</v>
      </c>
      <c r="E77" t="s">
        <v>2124</v>
      </c>
      <c r="F77" s="116" t="str">
        <f t="shared" si="0"/>
        <v>Included</v>
      </c>
      <c r="G77" t="str">
        <f>IF(B77="","",INDEX(SF_Output!$K$1:$K$400,MATCH(B77,SF_Output!$M$1:$M$400,0)))</f>
        <v>DirectLine</v>
      </c>
      <c r="H77" cm="1">
        <f t="array" ref="H77">_xlfn.IFS(B77="","",(SUMIFS(SF_Output!$F$1:$F$400,SF_Output!$AC$1:$AC$400,_xlfn.TEXTJOIN(",",TRUE,B77:E77))+SUMIFS(SF_Output!$G$1:$G$400,SF_Output!$AC$1:$AC$400,_xlfn.TEXTJOIN(",",TRUE,B77:E77)))&lt;&gt;0,SF_Output!$Y$2,INDEX(SF_Output!$F$1:$F$400,MATCH(_xlfn.TEXTJOIN(",",TRUE,B77:E77),SF_Output!$AC$1:$AC$400,0))=0,INDEX(SF_Output!$R$1:$R$400,MATCH(_xlfn.TEXTJOIN(",",TRUE,B77:E77),SF_Output!$AC$1:$AC$400,0)))</f>
        <v>1</v>
      </c>
      <c r="I77" s="125" t="str">
        <f>IFERROR(IF(AND(H77&gt;1,H77&lt;&gt;""),ROUND(SUMIFS(SF_Output!$S$1:$S$400,SF_Output!$AC$1:$AC$400,_xlfn.TEXTJOIN(",",TRUE,B77:E77),SF_Output!$Q$1:$Q$400,"monthly")*(1-W77)/H77,4),""),"")</f>
        <v/>
      </c>
      <c r="J77" s="6">
        <f>IF(B77="","",SUMIFS(SF_Output!$S$1:$S$400,SF_Output!$AC$1:$AC$400,_xlfn.TEXTJOIN(",",TRUE,B77:E77),SF_Output!$Q$1:$Q$400,"One Time",SF_Output!$L$1:$L$400,"license fee")+SUMIFS(SF_Output!$S$1:$S$400,SF_Output!$AC$1:$AC$400,_xlfn.TEXTJOIN(",",TRUE,B77:E77),SF_Output!$Q$1:$Q$400,"One Time",SF_Output!$L$1:$L$400,"software license")+SUMIFS(SF_Output!$S$1:$S$400,SF_Output!$AC$1:$AC$400,_xlfn.TEXTJOIN(",",TRUE,B77:E77),SF_Output!$Q$1:$Q$400,"One Time",SF_Output!$L$1:$L$400,"hardware"))</f>
        <v>0</v>
      </c>
      <c r="K77" s="112" t="str">
        <f>IF(OR(B77=0,B77="",G77="hardware",J77=0),"",IF(AF77&lt;&gt;"exclusion",MAX(K$9,-((SUMIFS(SF_Output!$T$1:$T$400,SF_Output!$AC$1:$AC$400,_xlfn.TEXTJOIN(",",TRUE,$B77:$E77),SF_Output!$Q$1:$Q$400,"One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license"))/J77)))</f>
        <v/>
      </c>
      <c r="L77" s="6">
        <f t="shared" si="1"/>
        <v>0</v>
      </c>
      <c r="N77" s="6">
        <f>IF(B77="","",SUMIFS(SF_Output!$S$1:$S$400,SF_Output!$AC$1:$AC$400,_xlfn.TEXTJOIN(",",TRUE,B77:E77),SF_Output!$Q$1:$Q$400,"One Time",SF_Output!$L$1:$L$400,"professional service"))</f>
        <v>7500</v>
      </c>
      <c r="O77" s="112">
        <f>IF(OR(B77=0,B77="",N77=0),"",IF(AF77&lt;&gt;"exclusion",MAX(O$9,-(SUMIFS(SF_Output!$T$1:$T$400,SF_Output!$AC$1:$AC$400,_xlfn.TEXTJOIN(",",TRUE,$B77:$E77),SF_Output!$Q$1:$Q$400,"One Time",SF_Output!$L$1:$L$400,"professional service"))/N77),-((SUMIFS(SF_Output!$T$1:$T$400,SF_Output!$AC$1:$AC$400,_xlfn.TEXTJOIN(",",TRUE,$B77:$E77),SF_Output!$Q$1:$Q$400,"One Time",SF_Output!$L$1:$L$400,"professional service")/N77))))</f>
        <v>1</v>
      </c>
      <c r="P77" s="6">
        <f t="shared" si="2"/>
        <v>0</v>
      </c>
      <c r="R77" s="6">
        <f>IF(B77="","",SUMIFS(SF_Output!$S$1:$S$400,SF_Output!$AC$1:$AC$400,_xlfn.TEXTJOIN(",",TRUE,B77:E77),SF_Output!$Q$1:$Q$400,"yearly")+SUMIFS(SF_Output!$S$1:$S$400,SF_Output!$AC$1:$AC$400,_xlfn.TEXTJOIN(",",TRUE,B77:E77),SF_Output!$Q$1:$Q$400,"quarterly")*4)</f>
        <v>0</v>
      </c>
      <c r="S77" s="112" t="str">
        <f>IF(OR(B77=0,B77="",G77="hardware",R77=0),"",IF(AF77&lt;&gt;"exclusion",MAX(S$9,-(SUMIFS(SF_Output!$T$1:$T$400,SF_Output!$AC$1:$AC$400,_xlfn.TEXTJOIN(",",TRUE,$B77:$E77),SF_Output!$Q$1:$Q$400,"yearly"))/R77),-((SUMIFS(SF_Output!$T$1:$T$400,SF_Output!$AC$1:$AC$400,_xlfn.TEXTJOIN(",",TRUE,$B77:$E77),SF_Output!$Q$1:$Q$400,"yearly")/R77))))</f>
        <v/>
      </c>
      <c r="T77" s="6">
        <f t="shared" si="3"/>
        <v>0</v>
      </c>
      <c r="V77" s="6" cm="1">
        <f t="array" ref="V77">_xlfn.IFS(B77="","",AND(B77&lt;&gt;"",H77=SF_Output!$Y$2,SUMIFS(SF_Output!$T$1:$T$400,SF_Output!$AC$1:$AC$400,_xlfn.TEXTJOIN(",",TRUE,B77:E77),SF_Output!$Q$1:$Q$400,"monthly")=0),(SUMIFS(SF_Output!$F$1:$F$400,SF_Output!$AC$1:$AC$400,_xlfn.TEXTJOIN(",",TRUE,B77:E77),SF_Output!$Q$1:$Q$400,"monthly")+SUMIFS(SF_Output!$G$1:$G$400,SF_Output!$AC$1:$AC$400,_xlfn.TEXTJOIN(",",TRUE,B77:E77),SF_Output!$Q$1:$Q$400,"monthly"))*H77,AND(B77&lt;&gt;"",H77=SF_Output!$Y$2,SUMIFS(SF_Output!$T$1:$T$400,SF_Output!$AC$1:$AC$400,_xlfn.TEXTJOIN(",",TRUE,B77:E77),SF_Output!$Q$1:$Q$400,"monthly")&lt;&gt;0),SUMIFS(SF_Output!$S$1:$S$400,SF_Output!$AC$1:$AC$400,_xlfn.TEXTJOIN(",",TRUE,B77:E77),SF_Output!$Q$1:$Q$400,"monthly"),AND(B77&lt;&gt;"",H77&lt;&gt;SF_Output!$Y$2),SUMIFS(SF_Output!$S$1:$S$400,SF_Output!$AC$1:$AC$400,_xlfn.TEXTJOIN(",",TRUE,B77:E77),SF_Output!$Q$1:$Q$400,"monthly"))</f>
        <v>450</v>
      </c>
      <c r="W77" s="112" cm="1">
        <f t="array" ref="W77">_xlfn.IFS(OR(B77=0,B77="",V77=0),"",AF77&lt;&gt;"exclusion",MAX($W$9,$W$7,(-(SUMIFS(SF_Output!$T$1:$T$400,SF_Output!$AC$1:$AC$400,_xlfn.TEXTJOIN(",",TRUE,$B77:$E77),SF_Output!$Q$1:$Q$400,"monthly"))/V77)),AF77="exclusion",-(SUMIFS(SF_Output!$T$1:$T$400,SF_Output!$AC$1:$AC$400,_xlfn.TEXTJOIN(",",TRUE,$B77:$E77),SF_Output!$Q$1:$Q$400,"monthly"))/V77)</f>
        <v>0</v>
      </c>
      <c r="X77" s="6" cm="1">
        <f t="array" ref="X77">IFERROR(_xlfn.IFS(V77=0,0,V77="","",W77=0,V77,OR(V77&lt;&gt;0,V77&lt;&gt;""),H77*I77),V77*(1-W77))</f>
        <v>450</v>
      </c>
    </row>
    <row r="78" spans="2:24" x14ac:dyDescent="0.25">
      <c r="B78" t="s">
        <v>1837</v>
      </c>
      <c r="C78" t="s">
        <v>2122</v>
      </c>
      <c r="D78" t="s">
        <v>2123</v>
      </c>
      <c r="E78" t="s">
        <v>2124</v>
      </c>
      <c r="F78" s="116" t="str">
        <f t="shared" ref="F78:F141" si="4">IF(B78="","",IF(E78*1=0,"Included","Optional"))</f>
        <v>Included</v>
      </c>
      <c r="G78" t="str">
        <f>IF(B78="","",INDEX(SF_Output!$K$1:$K$400,MATCH(B78,SF_Output!$M$1:$M$400,0)))</f>
        <v>DirectLine</v>
      </c>
      <c r="H78" cm="1">
        <f t="array" ref="H78">_xlfn.IFS(B78="","",(SUMIFS(SF_Output!$F$1:$F$400,SF_Output!$AC$1:$AC$400,_xlfn.TEXTJOIN(",",TRUE,B78:E78))+SUMIFS(SF_Output!$G$1:$G$400,SF_Output!$AC$1:$AC$400,_xlfn.TEXTJOIN(",",TRUE,B78:E78)))&lt;&gt;0,SF_Output!$Y$2,INDEX(SF_Output!$F$1:$F$400,MATCH(_xlfn.TEXTJOIN(",",TRUE,B78:E78),SF_Output!$AC$1:$AC$400,0))=0,INDEX(SF_Output!$R$1:$R$400,MATCH(_xlfn.TEXTJOIN(",",TRUE,B78:E78),SF_Output!$AC$1:$AC$400,0)))</f>
        <v>1</v>
      </c>
      <c r="I78" s="125" t="str">
        <f>IFERROR(IF(AND(H78&gt;1,H78&lt;&gt;""),ROUND(SUMIFS(SF_Output!$S$1:$S$400,SF_Output!$AC$1:$AC$400,_xlfn.TEXTJOIN(",",TRUE,B78:E78),SF_Output!$Q$1:$Q$400,"monthly")*(1-W78)/H78,4),""),"")</f>
        <v/>
      </c>
      <c r="J78" s="6">
        <f>IF(B78="","",SUMIFS(SF_Output!$S$1:$S$400,SF_Output!$AC$1:$AC$400,_xlfn.TEXTJOIN(",",TRUE,B78:E78),SF_Output!$Q$1:$Q$400,"One Time",SF_Output!$L$1:$L$400,"license fee")+SUMIFS(SF_Output!$S$1:$S$400,SF_Output!$AC$1:$AC$400,_xlfn.TEXTJOIN(",",TRUE,B78:E78),SF_Output!$Q$1:$Q$400,"One Time",SF_Output!$L$1:$L$400,"software license")+SUMIFS(SF_Output!$S$1:$S$400,SF_Output!$AC$1:$AC$400,_xlfn.TEXTJOIN(",",TRUE,B78:E78),SF_Output!$Q$1:$Q$400,"One Time",SF_Output!$L$1:$L$400,"hardware"))</f>
        <v>0</v>
      </c>
      <c r="K78" s="112" t="str">
        <f>IF(OR(B78=0,B78="",G78="hardware",J78=0),"",IF(AF78&lt;&gt;"exclusion",MAX(K$9,-((SUMIFS(SF_Output!$T$1:$T$400,SF_Output!$AC$1:$AC$400,_xlfn.TEXTJOIN(",",TRUE,$B78:$E78),SF_Output!$Q$1:$Q$400,"One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license"))/J78)))</f>
        <v/>
      </c>
      <c r="L78" s="6">
        <f t="shared" ref="L78:L141" si="5">IF(K78="",J78,J78*(1-K78))</f>
        <v>0</v>
      </c>
      <c r="N78" s="6">
        <f>IF(B78="","",SUMIFS(SF_Output!$S$1:$S$400,SF_Output!$AC$1:$AC$400,_xlfn.TEXTJOIN(",",TRUE,B78:E78),SF_Output!$Q$1:$Q$400,"One Time",SF_Output!$L$1:$L$400,"professional service"))</f>
        <v>2500</v>
      </c>
      <c r="O78" s="112">
        <f>IF(OR(B78=0,B78="",N78=0),"",IF(AF78&lt;&gt;"exclusion",MAX(O$9,-(SUMIFS(SF_Output!$T$1:$T$400,SF_Output!$AC$1:$AC$400,_xlfn.TEXTJOIN(",",TRUE,$B78:$E78),SF_Output!$Q$1:$Q$400,"One Time",SF_Output!$L$1:$L$400,"professional service"))/N78),-((SUMIFS(SF_Output!$T$1:$T$400,SF_Output!$AC$1:$AC$400,_xlfn.TEXTJOIN(",",TRUE,$B78:$E78),SF_Output!$Q$1:$Q$400,"One Time",SF_Output!$L$1:$L$400,"professional service")/N78))))</f>
        <v>0</v>
      </c>
      <c r="P78" s="6">
        <f t="shared" ref="P78:P141" si="6">IF(O78="",N78,N78*(1-O78))</f>
        <v>2500</v>
      </c>
      <c r="R78" s="6">
        <f>IF(B78="","",SUMIFS(SF_Output!$S$1:$S$400,SF_Output!$AC$1:$AC$400,_xlfn.TEXTJOIN(",",TRUE,B78:E78),SF_Output!$Q$1:$Q$400,"yearly")+SUMIFS(SF_Output!$S$1:$S$400,SF_Output!$AC$1:$AC$400,_xlfn.TEXTJOIN(",",TRUE,B78:E78),SF_Output!$Q$1:$Q$400,"quarterly")*4)</f>
        <v>0</v>
      </c>
      <c r="S78" s="112" t="str">
        <f>IF(OR(B78=0,B78="",G78="hardware",R78=0),"",IF(AF78&lt;&gt;"exclusion",MAX(S$9,-(SUMIFS(SF_Output!$T$1:$T$400,SF_Output!$AC$1:$AC$400,_xlfn.TEXTJOIN(",",TRUE,$B78:$E78),SF_Output!$Q$1:$Q$400,"yearly"))/R78),-((SUMIFS(SF_Output!$T$1:$T$400,SF_Output!$AC$1:$AC$400,_xlfn.TEXTJOIN(",",TRUE,$B78:$E78),SF_Output!$Q$1:$Q$400,"yearly")/R78))))</f>
        <v/>
      </c>
      <c r="T78" s="6">
        <f t="shared" ref="T78:T141" si="7">IF(S78="",R78,R78*(1-S78))</f>
        <v>0</v>
      </c>
      <c r="V78" s="6" cm="1">
        <f t="array" ref="V78">_xlfn.IFS(B78="","",AND(B78&lt;&gt;"",H78=SF_Output!$Y$2,SUMIFS(SF_Output!$T$1:$T$400,SF_Output!$AC$1:$AC$400,_xlfn.TEXTJOIN(",",TRUE,B78:E78),SF_Output!$Q$1:$Q$400,"monthly")=0),(SUMIFS(SF_Output!$F$1:$F$400,SF_Output!$AC$1:$AC$400,_xlfn.TEXTJOIN(",",TRUE,B78:E78),SF_Output!$Q$1:$Q$400,"monthly")+SUMIFS(SF_Output!$G$1:$G$400,SF_Output!$AC$1:$AC$400,_xlfn.TEXTJOIN(",",TRUE,B78:E78),SF_Output!$Q$1:$Q$400,"monthly"))*H78,AND(B78&lt;&gt;"",H78=SF_Output!$Y$2,SUMIFS(SF_Output!$T$1:$T$400,SF_Output!$AC$1:$AC$400,_xlfn.TEXTJOIN(",",TRUE,B78:E78),SF_Output!$Q$1:$Q$400,"monthly")&lt;&gt;0),SUMIFS(SF_Output!$S$1:$S$400,SF_Output!$AC$1:$AC$400,_xlfn.TEXTJOIN(",",TRUE,B78:E78),SF_Output!$Q$1:$Q$400,"monthly"),AND(B78&lt;&gt;"",H78&lt;&gt;SF_Output!$Y$2),SUMIFS(SF_Output!$S$1:$S$400,SF_Output!$AC$1:$AC$400,_xlfn.TEXTJOIN(",",TRUE,B78:E78),SF_Output!$Q$1:$Q$400,"monthly"))</f>
        <v>300</v>
      </c>
      <c r="W78" s="112" cm="1">
        <f t="array" ref="W78">_xlfn.IFS(OR(B78=0,B78="",V78=0),"",AF78&lt;&gt;"exclusion",MAX($W$9,$W$7,(-(SUMIFS(SF_Output!$T$1:$T$400,SF_Output!$AC$1:$AC$400,_xlfn.TEXTJOIN(",",TRUE,$B78:$E78),SF_Output!$Q$1:$Q$400,"monthly"))/V78)),AF78="exclusion",-(SUMIFS(SF_Output!$T$1:$T$400,SF_Output!$AC$1:$AC$400,_xlfn.TEXTJOIN(",",TRUE,$B78:$E78),SF_Output!$Q$1:$Q$400,"monthly"))/V78)</f>
        <v>0</v>
      </c>
      <c r="X78" s="6" cm="1">
        <f t="array" ref="X78">IFERROR(_xlfn.IFS(V78=0,0,V78="","",W78=0,V78,OR(V78&lt;&gt;0,V78&lt;&gt;""),H78*I78),V78*(1-W78))</f>
        <v>300</v>
      </c>
    </row>
    <row r="79" spans="2:24" x14ac:dyDescent="0.25">
      <c r="B79" t="s">
        <v>2231</v>
      </c>
      <c r="C79" t="s">
        <v>2122</v>
      </c>
      <c r="D79" t="s">
        <v>2123</v>
      </c>
      <c r="E79" t="s">
        <v>2124</v>
      </c>
      <c r="F79" s="116" t="str">
        <f t="shared" si="4"/>
        <v>Included</v>
      </c>
      <c r="G79" t="str">
        <f>IF(B79="","",INDEX(SF_Output!$K$1:$K$400,MATCH(B79,SF_Output!$M$1:$M$400,0)))</f>
        <v>JHA Payment Center</v>
      </c>
      <c r="H79" cm="1">
        <f t="array" ref="H79">_xlfn.IFS(B79="","",(SUMIFS(SF_Output!$F$1:$F$400,SF_Output!$AC$1:$AC$400,_xlfn.TEXTJOIN(",",TRUE,B79:E79))+SUMIFS(SF_Output!$G$1:$G$400,SF_Output!$AC$1:$AC$400,_xlfn.TEXTJOIN(",",TRUE,B79:E79)))&lt;&gt;0,SF_Output!$Y$2,INDEX(SF_Output!$F$1:$F$400,MATCH(_xlfn.TEXTJOIN(",",TRUE,B79:E79),SF_Output!$AC$1:$AC$400,0))=0,INDEX(SF_Output!$R$1:$R$400,MATCH(_xlfn.TEXTJOIN(",",TRUE,B79:E79),SF_Output!$AC$1:$AC$400,0)))</f>
        <v>1</v>
      </c>
      <c r="I79" s="125" t="str">
        <f>IFERROR(IF(AND(H79&gt;1,H79&lt;&gt;""),ROUND(SUMIFS(SF_Output!$S$1:$S$400,SF_Output!$AC$1:$AC$400,_xlfn.TEXTJOIN(",",TRUE,B79:E79),SF_Output!$Q$1:$Q$400,"monthly")*(1-W79)/H79,4),""),"")</f>
        <v/>
      </c>
      <c r="J79" s="6">
        <f>IF(B79="","",SUMIFS(SF_Output!$S$1:$S$400,SF_Output!$AC$1:$AC$400,_xlfn.TEXTJOIN(",",TRUE,B79:E79),SF_Output!$Q$1:$Q$400,"One Time",SF_Output!$L$1:$L$400,"license fee")+SUMIFS(SF_Output!$S$1:$S$400,SF_Output!$AC$1:$AC$400,_xlfn.TEXTJOIN(",",TRUE,B79:E79),SF_Output!$Q$1:$Q$400,"One Time",SF_Output!$L$1:$L$400,"software license")+SUMIFS(SF_Output!$S$1:$S$400,SF_Output!$AC$1:$AC$400,_xlfn.TEXTJOIN(",",TRUE,B79:E79),SF_Output!$Q$1:$Q$400,"One Time",SF_Output!$L$1:$L$400,"hardware"))</f>
        <v>0</v>
      </c>
      <c r="K79" s="112" t="str">
        <f>IF(OR(B79=0,B79="",G79="hardware",J79=0),"",IF(AF79&lt;&gt;"exclusion",MAX(K$9,-((SUMIFS(SF_Output!$T$1:$T$400,SF_Output!$AC$1:$AC$400,_xlfn.TEXTJOIN(",",TRUE,$B79:$E79),SF_Output!$Q$1:$Q$400,"One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license"))/J79)))</f>
        <v/>
      </c>
      <c r="L79" s="6">
        <f t="shared" si="5"/>
        <v>0</v>
      </c>
      <c r="N79" s="6">
        <f>IF(B79="","",SUMIFS(SF_Output!$S$1:$S$400,SF_Output!$AC$1:$AC$400,_xlfn.TEXTJOIN(",",TRUE,B79:E79),SF_Output!$Q$1:$Q$400,"One Time",SF_Output!$L$1:$L$400,"professional service"))</f>
        <v>5000</v>
      </c>
      <c r="O79" s="112">
        <f>IF(OR(B79=0,B79="",N79=0),"",IF(AF79&lt;&gt;"exclusion",MAX(O$9,-(SUMIFS(SF_Output!$T$1:$T$400,SF_Output!$AC$1:$AC$400,_xlfn.TEXTJOIN(",",TRUE,$B79:$E79),SF_Output!$Q$1:$Q$400,"One Time",SF_Output!$L$1:$L$400,"professional service"))/N79),-((SUMIFS(SF_Output!$T$1:$T$400,SF_Output!$AC$1:$AC$400,_xlfn.TEXTJOIN(",",TRUE,$B79:$E79),SF_Output!$Q$1:$Q$400,"One Time",SF_Output!$L$1:$L$400,"professional service")/N79))))</f>
        <v>1</v>
      </c>
      <c r="P79" s="6">
        <f t="shared" si="6"/>
        <v>0</v>
      </c>
      <c r="R79" s="6">
        <f>IF(B79="","",SUMIFS(SF_Output!$S$1:$S$400,SF_Output!$AC$1:$AC$400,_xlfn.TEXTJOIN(",",TRUE,B79:E79),SF_Output!$Q$1:$Q$400,"yearly")+SUMIFS(SF_Output!$S$1:$S$400,SF_Output!$AC$1:$AC$400,_xlfn.TEXTJOIN(",",TRUE,B79:E79),SF_Output!$Q$1:$Q$400,"quarterly")*4)</f>
        <v>0</v>
      </c>
      <c r="S79" s="112" t="str">
        <f>IF(OR(B79=0,B79="",G79="hardware",R79=0),"",IF(AF79&lt;&gt;"exclusion",MAX(S$9,-(SUMIFS(SF_Output!$T$1:$T$400,SF_Output!$AC$1:$AC$400,_xlfn.TEXTJOIN(",",TRUE,$B79:$E79),SF_Output!$Q$1:$Q$400,"yearly"))/R79),-((SUMIFS(SF_Output!$T$1:$T$400,SF_Output!$AC$1:$AC$400,_xlfn.TEXTJOIN(",",TRUE,$B79:$E79),SF_Output!$Q$1:$Q$400,"yearly")/R79))))</f>
        <v/>
      </c>
      <c r="T79" s="6">
        <f t="shared" si="7"/>
        <v>0</v>
      </c>
      <c r="V79" s="6" cm="1">
        <f t="array" ref="V79">_xlfn.IFS(B79="","",AND(B79&lt;&gt;"",H79=SF_Output!$Y$2,SUMIFS(SF_Output!$T$1:$T$400,SF_Output!$AC$1:$AC$400,_xlfn.TEXTJOIN(",",TRUE,B79:E79),SF_Output!$Q$1:$Q$400,"monthly")=0),(SUMIFS(SF_Output!$F$1:$F$400,SF_Output!$AC$1:$AC$400,_xlfn.TEXTJOIN(",",TRUE,B79:E79),SF_Output!$Q$1:$Q$400,"monthly")+SUMIFS(SF_Output!$G$1:$G$400,SF_Output!$AC$1:$AC$400,_xlfn.TEXTJOIN(",",TRUE,B79:E79),SF_Output!$Q$1:$Q$400,"monthly"))*H79,AND(B79&lt;&gt;"",H79=SF_Output!$Y$2,SUMIFS(SF_Output!$T$1:$T$400,SF_Output!$AC$1:$AC$400,_xlfn.TEXTJOIN(",",TRUE,B79:E79),SF_Output!$Q$1:$Q$400,"monthly")&lt;&gt;0),SUMIFS(SF_Output!$S$1:$S$400,SF_Output!$AC$1:$AC$400,_xlfn.TEXTJOIN(",",TRUE,B79:E79),SF_Output!$Q$1:$Q$400,"monthly"),AND(B79&lt;&gt;"",H79&lt;&gt;SF_Output!$Y$2),SUMIFS(SF_Output!$S$1:$S$400,SF_Output!$AC$1:$AC$400,_xlfn.TEXTJOIN(",",TRUE,B79:E79),SF_Output!$Q$1:$Q$400,"monthly"))</f>
        <v>0</v>
      </c>
      <c r="W79" s="112" t="str" cm="1">
        <f t="array" ref="W79">_xlfn.IFS(OR(B79=0,B79="",V79=0),"",AF79&lt;&gt;"exclusion",MAX($W$9,$W$7,(-(SUMIFS(SF_Output!$T$1:$T$400,SF_Output!$AC$1:$AC$400,_xlfn.TEXTJOIN(",",TRUE,$B79:$E79),SF_Output!$Q$1:$Q$400,"monthly"))/V79)),AF79="exclusion",-(SUMIFS(SF_Output!$T$1:$T$400,SF_Output!$AC$1:$AC$400,_xlfn.TEXTJOIN(",",TRUE,$B79:$E79),SF_Output!$Q$1:$Q$400,"monthly"))/V79)</f>
        <v/>
      </c>
      <c r="X79" s="6" cm="1">
        <f t="array" ref="X79">IFERROR(_xlfn.IFS(V79=0,0,V79="","",W79=0,V79,OR(V79&lt;&gt;0,V79&lt;&gt;""),H79*I79),V79*(1-W79))</f>
        <v>0</v>
      </c>
    </row>
    <row r="80" spans="2:24" x14ac:dyDescent="0.25">
      <c r="B80" t="s">
        <v>1322</v>
      </c>
      <c r="C80" t="s">
        <v>2122</v>
      </c>
      <c r="D80" t="s">
        <v>2123</v>
      </c>
      <c r="E80" t="s">
        <v>2124</v>
      </c>
      <c r="F80" s="116" t="str">
        <f t="shared" si="4"/>
        <v>Included</v>
      </c>
      <c r="G80" t="str">
        <f>IF(B80="","",INDEX(SF_Output!$K$1:$K$400,MATCH(B80,SF_Output!$M$1:$M$400,0)))</f>
        <v>JHA Payment Center</v>
      </c>
      <c r="H80" cm="1">
        <f t="array" ref="H80">_xlfn.IFS(B80="","",(SUMIFS(SF_Output!$F$1:$F$400,SF_Output!$AC$1:$AC$400,_xlfn.TEXTJOIN(",",TRUE,B80:E80))+SUMIFS(SF_Output!$G$1:$G$400,SF_Output!$AC$1:$AC$400,_xlfn.TEXTJOIN(",",TRUE,B80:E80)))&lt;&gt;0,SF_Output!$Y$2,INDEX(SF_Output!$F$1:$F$400,MATCH(_xlfn.TEXTJOIN(",",TRUE,B80:E80),SF_Output!$AC$1:$AC$400,0))=0,INDEX(SF_Output!$R$1:$R$400,MATCH(_xlfn.TEXTJOIN(",",TRUE,B80:E80),SF_Output!$AC$1:$AC$400,0)))</f>
        <v>1</v>
      </c>
      <c r="I80" s="125" t="str">
        <f>IFERROR(IF(AND(H80&gt;1,H80&lt;&gt;""),ROUND(SUMIFS(SF_Output!$S$1:$S$400,SF_Output!$AC$1:$AC$400,_xlfn.TEXTJOIN(",",TRUE,B80:E80),SF_Output!$Q$1:$Q$400,"monthly")*(1-W80)/H80,4),""),"")</f>
        <v/>
      </c>
      <c r="J80" s="6">
        <f>IF(B80="","",SUMIFS(SF_Output!$S$1:$S$400,SF_Output!$AC$1:$AC$400,_xlfn.TEXTJOIN(",",TRUE,B80:E80),SF_Output!$Q$1:$Q$400,"One Time",SF_Output!$L$1:$L$400,"license fee")+SUMIFS(SF_Output!$S$1:$S$400,SF_Output!$AC$1:$AC$400,_xlfn.TEXTJOIN(",",TRUE,B80:E80),SF_Output!$Q$1:$Q$400,"One Time",SF_Output!$L$1:$L$400,"software license")+SUMIFS(SF_Output!$S$1:$S$400,SF_Output!$AC$1:$AC$400,_xlfn.TEXTJOIN(",",TRUE,B80:E80),SF_Output!$Q$1:$Q$400,"One Time",SF_Output!$L$1:$L$400,"hardware"))</f>
        <v>0</v>
      </c>
      <c r="K80" s="112" t="str">
        <f>IF(OR(B80=0,B80="",G80="hardware",J80=0),"",IF(AF80&lt;&gt;"exclusion",MAX(K$9,-((SUMIFS(SF_Output!$T$1:$T$400,SF_Output!$AC$1:$AC$400,_xlfn.TEXTJOIN(",",TRUE,$B80:$E80),SF_Output!$Q$1:$Q$400,"One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license"))/J80)))</f>
        <v/>
      </c>
      <c r="L80" s="6">
        <f t="shared" si="5"/>
        <v>0</v>
      </c>
      <c r="N80" s="6">
        <f>IF(B80="","",SUMIFS(SF_Output!$S$1:$S$400,SF_Output!$AC$1:$AC$400,_xlfn.TEXTJOIN(",",TRUE,B80:E80),SF_Output!$Q$1:$Q$400,"One Time",SF_Output!$L$1:$L$400,"professional service"))</f>
        <v>3000</v>
      </c>
      <c r="O80" s="112">
        <f>IF(OR(B80=0,B80="",N80=0),"",IF(AF80&lt;&gt;"exclusion",MAX(O$9,-(SUMIFS(SF_Output!$T$1:$T$400,SF_Output!$AC$1:$AC$400,_xlfn.TEXTJOIN(",",TRUE,$B80:$E80),SF_Output!$Q$1:$Q$400,"One Time",SF_Output!$L$1:$L$400,"professional service"))/N80),-((SUMIFS(SF_Output!$T$1:$T$400,SF_Output!$AC$1:$AC$400,_xlfn.TEXTJOIN(",",TRUE,$B80:$E80),SF_Output!$Q$1:$Q$400,"One Time",SF_Output!$L$1:$L$400,"professional service")/N80))))</f>
        <v>1</v>
      </c>
      <c r="P80" s="6">
        <f t="shared" si="6"/>
        <v>0</v>
      </c>
      <c r="R80" s="6">
        <f>IF(B80="","",SUMIFS(SF_Output!$S$1:$S$400,SF_Output!$AC$1:$AC$400,_xlfn.TEXTJOIN(",",TRUE,B80:E80),SF_Output!$Q$1:$Q$400,"yearly")+SUMIFS(SF_Output!$S$1:$S$400,SF_Output!$AC$1:$AC$400,_xlfn.TEXTJOIN(",",TRUE,B80:E80),SF_Output!$Q$1:$Q$400,"quarterly")*4)</f>
        <v>0</v>
      </c>
      <c r="S80" s="112" t="str">
        <f>IF(OR(B80=0,B80="",G80="hardware",R80=0),"",IF(AF80&lt;&gt;"exclusion",MAX(S$9,-(SUMIFS(SF_Output!$T$1:$T$400,SF_Output!$AC$1:$AC$400,_xlfn.TEXTJOIN(",",TRUE,$B80:$E80),SF_Output!$Q$1:$Q$400,"yearly"))/R80),-((SUMIFS(SF_Output!$T$1:$T$400,SF_Output!$AC$1:$AC$400,_xlfn.TEXTJOIN(",",TRUE,$B80:$E80),SF_Output!$Q$1:$Q$400,"yearly")/R80))))</f>
        <v/>
      </c>
      <c r="T80" s="6">
        <f t="shared" si="7"/>
        <v>0</v>
      </c>
      <c r="V80" s="6" cm="1">
        <f t="array" ref="V80">_xlfn.IFS(B80="","",AND(B80&lt;&gt;"",H80=SF_Output!$Y$2,SUMIFS(SF_Output!$T$1:$T$400,SF_Output!$AC$1:$AC$400,_xlfn.TEXTJOIN(",",TRUE,B80:E80),SF_Output!$Q$1:$Q$400,"monthly")=0),(SUMIFS(SF_Output!$F$1:$F$400,SF_Output!$AC$1:$AC$400,_xlfn.TEXTJOIN(",",TRUE,B80:E80),SF_Output!$Q$1:$Q$400,"monthly")+SUMIFS(SF_Output!$G$1:$G$400,SF_Output!$AC$1:$AC$400,_xlfn.TEXTJOIN(",",TRUE,B80:E80),SF_Output!$Q$1:$Q$400,"monthly"))*H80,AND(B80&lt;&gt;"",H80=SF_Output!$Y$2,SUMIFS(SF_Output!$T$1:$T$400,SF_Output!$AC$1:$AC$400,_xlfn.TEXTJOIN(",",TRUE,B80:E80),SF_Output!$Q$1:$Q$400,"monthly")&lt;&gt;0),SUMIFS(SF_Output!$S$1:$S$400,SF_Output!$AC$1:$AC$400,_xlfn.TEXTJOIN(",",TRUE,B80:E80),SF_Output!$Q$1:$Q$400,"monthly"),AND(B80&lt;&gt;"",H80&lt;&gt;SF_Output!$Y$2),SUMIFS(SF_Output!$S$1:$S$400,SF_Output!$AC$1:$AC$400,_xlfn.TEXTJOIN(",",TRUE,B80:E80),SF_Output!$Q$1:$Q$400,"monthly"))</f>
        <v>600</v>
      </c>
      <c r="W80" s="112" cm="1">
        <f t="array" ref="W80">_xlfn.IFS(OR(B80=0,B80="",V80=0),"",AF80&lt;&gt;"exclusion",MAX($W$9,$W$7,(-(SUMIFS(SF_Output!$T$1:$T$400,SF_Output!$AC$1:$AC$400,_xlfn.TEXTJOIN(",",TRUE,$B80:$E80),SF_Output!$Q$1:$Q$400,"monthly"))/V80)),AF80="exclusion",-(SUMIFS(SF_Output!$T$1:$T$400,SF_Output!$AC$1:$AC$400,_xlfn.TEXTJOIN(",",TRUE,$B80:$E80),SF_Output!$Q$1:$Q$400,"monthly"))/V80)</f>
        <v>0</v>
      </c>
      <c r="X80" s="6" cm="1">
        <f t="array" ref="X80">IFERROR(_xlfn.IFS(V80=0,0,V80="","",W80=0,V80,OR(V80&lt;&gt;0,V80&lt;&gt;""),H80*I80),V80*(1-W80))</f>
        <v>600</v>
      </c>
    </row>
    <row r="81" spans="2:24" x14ac:dyDescent="0.25">
      <c r="B81" t="s">
        <v>2235</v>
      </c>
      <c r="C81" t="s">
        <v>2122</v>
      </c>
      <c r="D81" t="s">
        <v>2123</v>
      </c>
      <c r="E81" t="s">
        <v>2124</v>
      </c>
      <c r="F81" s="116" t="str">
        <f t="shared" si="4"/>
        <v>Included</v>
      </c>
      <c r="G81" t="str">
        <f>IF(B81="","",INDEX(SF_Output!$K$1:$K$400,MATCH(B81,SF_Output!$M$1:$M$400,0)))</f>
        <v>JHA Payment Center</v>
      </c>
      <c r="H81" cm="1">
        <f t="array" ref="H81">_xlfn.IFS(B81="","",(SUMIFS(SF_Output!$F$1:$F$400,SF_Output!$AC$1:$AC$400,_xlfn.TEXTJOIN(",",TRUE,B81:E81))+SUMIFS(SF_Output!$G$1:$G$400,SF_Output!$AC$1:$AC$400,_xlfn.TEXTJOIN(",",TRUE,B81:E81)))&lt;&gt;0,SF_Output!$Y$2,INDEX(SF_Output!$F$1:$F$400,MATCH(_xlfn.TEXTJOIN(",",TRUE,B81:E81),SF_Output!$AC$1:$AC$400,0))=0,INDEX(SF_Output!$R$1:$R$400,MATCH(_xlfn.TEXTJOIN(",",TRUE,B81:E81),SF_Output!$AC$1:$AC$400,0)))</f>
        <v>1</v>
      </c>
      <c r="I81" s="125" t="str">
        <f>IFERROR(IF(AND(H81&gt;1,H81&lt;&gt;""),ROUND(SUMIFS(SF_Output!$S$1:$S$400,SF_Output!$AC$1:$AC$400,_xlfn.TEXTJOIN(",",TRUE,B81:E81),SF_Output!$Q$1:$Q$400,"monthly")*(1-W81)/H81,4),""),"")</f>
        <v/>
      </c>
      <c r="J81" s="6">
        <f>IF(B81="","",SUMIFS(SF_Output!$S$1:$S$400,SF_Output!$AC$1:$AC$400,_xlfn.TEXTJOIN(",",TRUE,B81:E81),SF_Output!$Q$1:$Q$400,"One Time",SF_Output!$L$1:$L$400,"license fee")+SUMIFS(SF_Output!$S$1:$S$400,SF_Output!$AC$1:$AC$400,_xlfn.TEXTJOIN(",",TRUE,B81:E81),SF_Output!$Q$1:$Q$400,"One Time",SF_Output!$L$1:$L$400,"software license")+SUMIFS(SF_Output!$S$1:$S$400,SF_Output!$AC$1:$AC$400,_xlfn.TEXTJOIN(",",TRUE,B81:E81),SF_Output!$Q$1:$Q$400,"One Time",SF_Output!$L$1:$L$400,"hardware"))</f>
        <v>0</v>
      </c>
      <c r="K81" s="112" t="str">
        <f>IF(OR(B81=0,B81="",G81="hardware",J81=0),"",IF(AF81&lt;&gt;"exclusion",MAX(K$9,-((SUMIFS(SF_Output!$T$1:$T$400,SF_Output!$AC$1:$AC$400,_xlfn.TEXTJOIN(",",TRUE,$B81:$E81),SF_Output!$Q$1:$Q$400,"One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license"))/J81)))</f>
        <v/>
      </c>
      <c r="L81" s="6">
        <f t="shared" si="5"/>
        <v>0</v>
      </c>
      <c r="N81" s="6">
        <f>IF(B81="","",SUMIFS(SF_Output!$S$1:$S$400,SF_Output!$AC$1:$AC$400,_xlfn.TEXTJOIN(",",TRUE,B81:E81),SF_Output!$Q$1:$Q$400,"One Time",SF_Output!$L$1:$L$400,"professional service"))</f>
        <v>1000</v>
      </c>
      <c r="O81" s="112">
        <f>IF(OR(B81=0,B81="",N81=0),"",IF(AF81&lt;&gt;"exclusion",MAX(O$9,-(SUMIFS(SF_Output!$T$1:$T$400,SF_Output!$AC$1:$AC$400,_xlfn.TEXTJOIN(",",TRUE,$B81:$E81),SF_Output!$Q$1:$Q$400,"One Time",SF_Output!$L$1:$L$400,"professional service"))/N81),-((SUMIFS(SF_Output!$T$1:$T$400,SF_Output!$AC$1:$AC$400,_xlfn.TEXTJOIN(",",TRUE,$B81:$E81),SF_Output!$Q$1:$Q$400,"One Time",SF_Output!$L$1:$L$400,"professional service")/N81))))</f>
        <v>1</v>
      </c>
      <c r="P81" s="6">
        <f t="shared" si="6"/>
        <v>0</v>
      </c>
      <c r="R81" s="6">
        <f>IF(B81="","",SUMIFS(SF_Output!$S$1:$S$400,SF_Output!$AC$1:$AC$400,_xlfn.TEXTJOIN(",",TRUE,B81:E81),SF_Output!$Q$1:$Q$400,"yearly")+SUMIFS(SF_Output!$S$1:$S$400,SF_Output!$AC$1:$AC$400,_xlfn.TEXTJOIN(",",TRUE,B81:E81),SF_Output!$Q$1:$Q$400,"quarterly")*4)</f>
        <v>0</v>
      </c>
      <c r="S81" s="112" t="str">
        <f>IF(OR(B81=0,B81="",G81="hardware",R81=0),"",IF(AF81&lt;&gt;"exclusion",MAX(S$9,-(SUMIFS(SF_Output!$T$1:$T$400,SF_Output!$AC$1:$AC$400,_xlfn.TEXTJOIN(",",TRUE,$B81:$E81),SF_Output!$Q$1:$Q$400,"yearly"))/R81),-((SUMIFS(SF_Output!$T$1:$T$400,SF_Output!$AC$1:$AC$400,_xlfn.TEXTJOIN(",",TRUE,$B81:$E81),SF_Output!$Q$1:$Q$400,"yearly")/R81))))</f>
        <v/>
      </c>
      <c r="T81" s="6">
        <f t="shared" si="7"/>
        <v>0</v>
      </c>
      <c r="V81" s="6" cm="1">
        <f t="array" ref="V81">_xlfn.IFS(B81="","",AND(B81&lt;&gt;"",H81=SF_Output!$Y$2,SUMIFS(SF_Output!$T$1:$T$400,SF_Output!$AC$1:$AC$400,_xlfn.TEXTJOIN(",",TRUE,B81:E81),SF_Output!$Q$1:$Q$400,"monthly")=0),(SUMIFS(SF_Output!$F$1:$F$400,SF_Output!$AC$1:$AC$400,_xlfn.TEXTJOIN(",",TRUE,B81:E81),SF_Output!$Q$1:$Q$400,"monthly")+SUMIFS(SF_Output!$G$1:$G$400,SF_Output!$AC$1:$AC$400,_xlfn.TEXTJOIN(",",TRUE,B81:E81),SF_Output!$Q$1:$Q$400,"monthly"))*H81,AND(B81&lt;&gt;"",H81=SF_Output!$Y$2,SUMIFS(SF_Output!$T$1:$T$400,SF_Output!$AC$1:$AC$400,_xlfn.TEXTJOIN(",",TRUE,B81:E81),SF_Output!$Q$1:$Q$400,"monthly")&lt;&gt;0),SUMIFS(SF_Output!$S$1:$S$400,SF_Output!$AC$1:$AC$400,_xlfn.TEXTJOIN(",",TRUE,B81:E81),SF_Output!$Q$1:$Q$400,"monthly"),AND(B81&lt;&gt;"",H81&lt;&gt;SF_Output!$Y$2),SUMIFS(SF_Output!$S$1:$S$400,SF_Output!$AC$1:$AC$400,_xlfn.TEXTJOIN(",",TRUE,B81:E81),SF_Output!$Q$1:$Q$400,"monthly"))</f>
        <v>400</v>
      </c>
      <c r="W81" s="112" cm="1">
        <f t="array" ref="W81">_xlfn.IFS(OR(B81=0,B81="",V81=0),"",AF81&lt;&gt;"exclusion",MAX($W$9,$W$7,(-(SUMIFS(SF_Output!$T$1:$T$400,SF_Output!$AC$1:$AC$400,_xlfn.TEXTJOIN(",",TRUE,$B81:$E81),SF_Output!$Q$1:$Q$400,"monthly"))/V81)),AF81="exclusion",-(SUMIFS(SF_Output!$T$1:$T$400,SF_Output!$AC$1:$AC$400,_xlfn.TEXTJOIN(",",TRUE,$B81:$E81),SF_Output!$Q$1:$Q$400,"monthly"))/V81)</f>
        <v>0</v>
      </c>
      <c r="X81" s="6" cm="1">
        <f t="array" ref="X81">IFERROR(_xlfn.IFS(V81=0,0,V81="","",W81=0,V81,OR(V81&lt;&gt;0,V81&lt;&gt;""),H81*I81),V81*(1-W81))</f>
        <v>400</v>
      </c>
    </row>
    <row r="82" spans="2:24" x14ac:dyDescent="0.25">
      <c r="B82" t="s">
        <v>2238</v>
      </c>
      <c r="C82" t="s">
        <v>2122</v>
      </c>
      <c r="D82" t="s">
        <v>2123</v>
      </c>
      <c r="E82" t="s">
        <v>2124</v>
      </c>
      <c r="F82" s="116" t="str">
        <f t="shared" si="4"/>
        <v>Included</v>
      </c>
      <c r="G82" t="str">
        <f>IF(B82="","",INDEX(SF_Output!$K$1:$K$400,MATCH(B82,SF_Output!$M$1:$M$400,0)))</f>
        <v>JHA Payment Center</v>
      </c>
      <c r="H82" cm="1">
        <f t="array" ref="H82">_xlfn.IFS(B82="","",(SUMIFS(SF_Output!$F$1:$F$400,SF_Output!$AC$1:$AC$400,_xlfn.TEXTJOIN(",",TRUE,B82:E82))+SUMIFS(SF_Output!$G$1:$G$400,SF_Output!$AC$1:$AC$400,_xlfn.TEXTJOIN(",",TRUE,B82:E82)))&lt;&gt;0,SF_Output!$Y$2,INDEX(SF_Output!$F$1:$F$400,MATCH(_xlfn.TEXTJOIN(",",TRUE,B82:E82),SF_Output!$AC$1:$AC$400,0))=0,INDEX(SF_Output!$R$1:$R$400,MATCH(_xlfn.TEXTJOIN(",",TRUE,B82:E82),SF_Output!$AC$1:$AC$400,0)))</f>
        <v>1</v>
      </c>
      <c r="I82" s="125" t="str">
        <f>IFERROR(IF(AND(H82&gt;1,H82&lt;&gt;""),ROUND(SUMIFS(SF_Output!$S$1:$S$400,SF_Output!$AC$1:$AC$400,_xlfn.TEXTJOIN(",",TRUE,B82:E82),SF_Output!$Q$1:$Q$400,"monthly")*(1-W82)/H82,4),""),"")</f>
        <v/>
      </c>
      <c r="J82" s="6">
        <f>IF(B82="","",SUMIFS(SF_Output!$S$1:$S$400,SF_Output!$AC$1:$AC$400,_xlfn.TEXTJOIN(",",TRUE,B82:E82),SF_Output!$Q$1:$Q$400,"One Time",SF_Output!$L$1:$L$400,"license fee")+SUMIFS(SF_Output!$S$1:$S$400,SF_Output!$AC$1:$AC$400,_xlfn.TEXTJOIN(",",TRUE,B82:E82),SF_Output!$Q$1:$Q$400,"One Time",SF_Output!$L$1:$L$400,"software license")+SUMIFS(SF_Output!$S$1:$S$400,SF_Output!$AC$1:$AC$400,_xlfn.TEXTJOIN(",",TRUE,B82:E82),SF_Output!$Q$1:$Q$400,"One Time",SF_Output!$L$1:$L$400,"hardware"))</f>
        <v>0</v>
      </c>
      <c r="K82" s="112" t="str">
        <f>IF(OR(B82=0,B82="",G82="hardware",J82=0),"",IF(AF82&lt;&gt;"exclusion",MAX(K$9,-((SUMIFS(SF_Output!$T$1:$T$400,SF_Output!$AC$1:$AC$400,_xlfn.TEXTJOIN(",",TRUE,$B82:$E82),SF_Output!$Q$1:$Q$400,"One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license"))/J82)))</f>
        <v/>
      </c>
      <c r="L82" s="6">
        <f t="shared" si="5"/>
        <v>0</v>
      </c>
      <c r="N82" s="6">
        <f>IF(B82="","",SUMIFS(SF_Output!$S$1:$S$400,SF_Output!$AC$1:$AC$400,_xlfn.TEXTJOIN(",",TRUE,B82:E82),SF_Output!$Q$1:$Q$400,"One Time",SF_Output!$L$1:$L$400,"professional service"))</f>
        <v>1000</v>
      </c>
      <c r="O82" s="112">
        <f>IF(OR(B82=0,B82="",N82=0),"",IF(AF82&lt;&gt;"exclusion",MAX(O$9,-(SUMIFS(SF_Output!$T$1:$T$400,SF_Output!$AC$1:$AC$400,_xlfn.TEXTJOIN(",",TRUE,$B82:$E82),SF_Output!$Q$1:$Q$400,"One Time",SF_Output!$L$1:$L$400,"professional service"))/N82),-((SUMIFS(SF_Output!$T$1:$T$400,SF_Output!$AC$1:$AC$400,_xlfn.TEXTJOIN(",",TRUE,$B82:$E82),SF_Output!$Q$1:$Q$400,"One Time",SF_Output!$L$1:$L$400,"professional service")/N82))))</f>
        <v>1</v>
      </c>
      <c r="P82" s="6">
        <f t="shared" si="6"/>
        <v>0</v>
      </c>
      <c r="R82" s="6">
        <f>IF(B82="","",SUMIFS(SF_Output!$S$1:$S$400,SF_Output!$AC$1:$AC$400,_xlfn.TEXTJOIN(",",TRUE,B82:E82),SF_Output!$Q$1:$Q$400,"yearly")+SUMIFS(SF_Output!$S$1:$S$400,SF_Output!$AC$1:$AC$400,_xlfn.TEXTJOIN(",",TRUE,B82:E82),SF_Output!$Q$1:$Q$400,"quarterly")*4)</f>
        <v>0</v>
      </c>
      <c r="S82" s="112" t="str">
        <f>IF(OR(B82=0,B82="",G82="hardware",R82=0),"",IF(AF82&lt;&gt;"exclusion",MAX(S$9,-(SUMIFS(SF_Output!$T$1:$T$400,SF_Output!$AC$1:$AC$400,_xlfn.TEXTJOIN(",",TRUE,$B82:$E82),SF_Output!$Q$1:$Q$400,"yearly"))/R82),-((SUMIFS(SF_Output!$T$1:$T$400,SF_Output!$AC$1:$AC$400,_xlfn.TEXTJOIN(",",TRUE,$B82:$E82),SF_Output!$Q$1:$Q$400,"yearly")/R82))))</f>
        <v/>
      </c>
      <c r="T82" s="6">
        <f t="shared" si="7"/>
        <v>0</v>
      </c>
      <c r="V82" s="6" cm="1">
        <f t="array" ref="V82">_xlfn.IFS(B82="","",AND(B82&lt;&gt;"",H82=SF_Output!$Y$2,SUMIFS(SF_Output!$T$1:$T$400,SF_Output!$AC$1:$AC$400,_xlfn.TEXTJOIN(",",TRUE,B82:E82),SF_Output!$Q$1:$Q$400,"monthly")=0),(SUMIFS(SF_Output!$F$1:$F$400,SF_Output!$AC$1:$AC$400,_xlfn.TEXTJOIN(",",TRUE,B82:E82),SF_Output!$Q$1:$Q$400,"monthly")+SUMIFS(SF_Output!$G$1:$G$400,SF_Output!$AC$1:$AC$400,_xlfn.TEXTJOIN(",",TRUE,B82:E82),SF_Output!$Q$1:$Q$400,"monthly"))*H82,AND(B82&lt;&gt;"",H82=SF_Output!$Y$2,SUMIFS(SF_Output!$T$1:$T$400,SF_Output!$AC$1:$AC$400,_xlfn.TEXTJOIN(",",TRUE,B82:E82),SF_Output!$Q$1:$Q$400,"monthly")&lt;&gt;0),SUMIFS(SF_Output!$S$1:$S$400,SF_Output!$AC$1:$AC$400,_xlfn.TEXTJOIN(",",TRUE,B82:E82),SF_Output!$Q$1:$Q$400,"monthly"),AND(B82&lt;&gt;"",H82&lt;&gt;SF_Output!$Y$2),SUMIFS(SF_Output!$S$1:$S$400,SF_Output!$AC$1:$AC$400,_xlfn.TEXTJOIN(",",TRUE,B82:E82),SF_Output!$Q$1:$Q$400,"monthly"))</f>
        <v>400</v>
      </c>
      <c r="W82" s="112" cm="1">
        <f t="array" ref="W82">_xlfn.IFS(OR(B82=0,B82="",V82=0),"",AF82&lt;&gt;"exclusion",MAX($W$9,$W$7,(-(SUMIFS(SF_Output!$T$1:$T$400,SF_Output!$AC$1:$AC$400,_xlfn.TEXTJOIN(",",TRUE,$B82:$E82),SF_Output!$Q$1:$Q$400,"monthly"))/V82)),AF82="exclusion",-(SUMIFS(SF_Output!$T$1:$T$400,SF_Output!$AC$1:$AC$400,_xlfn.TEXTJOIN(",",TRUE,$B82:$E82),SF_Output!$Q$1:$Q$400,"monthly"))/V82)</f>
        <v>0</v>
      </c>
      <c r="X82" s="6" cm="1">
        <f t="array" ref="X82">IFERROR(_xlfn.IFS(V82=0,0,V82="","",W82=0,V82,OR(V82&lt;&gt;0,V82&lt;&gt;""),H82*I82),V82*(1-W82))</f>
        <v>400</v>
      </c>
    </row>
    <row r="83" spans="2:24" x14ac:dyDescent="0.25">
      <c r="B83" t="s">
        <v>1122</v>
      </c>
      <c r="C83" t="s">
        <v>2122</v>
      </c>
      <c r="D83" t="s">
        <v>2123</v>
      </c>
      <c r="E83" t="s">
        <v>2124</v>
      </c>
      <c r="F83" s="116" t="str">
        <f t="shared" si="4"/>
        <v>Included</v>
      </c>
      <c r="G83" t="str">
        <f>IF(B83="","",INDEX(SF_Output!$K$1:$K$400,MATCH(B83,SF_Output!$M$1:$M$400,0)))</f>
        <v>Enterprise Payment Solutions (EPS)</v>
      </c>
      <c r="H83" cm="1">
        <f t="array" ref="H83">_xlfn.IFS(B83="","",(SUMIFS(SF_Output!$F$1:$F$400,SF_Output!$AC$1:$AC$400,_xlfn.TEXTJOIN(",",TRUE,B83:E83))+SUMIFS(SF_Output!$G$1:$G$400,SF_Output!$AC$1:$AC$400,_xlfn.TEXTJOIN(",",TRUE,B83:E83)))&lt;&gt;0,SF_Output!$Y$2,INDEX(SF_Output!$F$1:$F$400,MATCH(_xlfn.TEXTJOIN(",",TRUE,B83:E83),SF_Output!$AC$1:$AC$400,0))=0,INDEX(SF_Output!$R$1:$R$400,MATCH(_xlfn.TEXTJOIN(",",TRUE,B83:E83),SF_Output!$AC$1:$AC$400,0)))</f>
        <v>1</v>
      </c>
      <c r="I83" s="125" t="str">
        <f>IFERROR(IF(AND(H83&gt;1,H83&lt;&gt;""),ROUND(SUMIFS(SF_Output!$S$1:$S$400,SF_Output!$AC$1:$AC$400,_xlfn.TEXTJOIN(",",TRUE,B83:E83),SF_Output!$Q$1:$Q$400,"monthly")*(1-W83)/H83,4),""),"")</f>
        <v/>
      </c>
      <c r="J83" s="6">
        <f>IF(B83="","",SUMIFS(SF_Output!$S$1:$S$400,SF_Output!$AC$1:$AC$400,_xlfn.TEXTJOIN(",",TRUE,B83:E83),SF_Output!$Q$1:$Q$400,"One Time",SF_Output!$L$1:$L$400,"license fee")+SUMIFS(SF_Output!$S$1:$S$400,SF_Output!$AC$1:$AC$400,_xlfn.TEXTJOIN(",",TRUE,B83:E83),SF_Output!$Q$1:$Q$400,"One Time",SF_Output!$L$1:$L$400,"software license")+SUMIFS(SF_Output!$S$1:$S$400,SF_Output!$AC$1:$AC$400,_xlfn.TEXTJOIN(",",TRUE,B83:E83),SF_Output!$Q$1:$Q$400,"One Time",SF_Output!$L$1:$L$400,"hardware"))</f>
        <v>0</v>
      </c>
      <c r="K83" s="112" t="str">
        <f>IF(OR(B83=0,B83="",G83="hardware",J83=0),"",IF(AF83&lt;&gt;"exclusion",MAX(K$9,-((SUMIFS(SF_Output!$T$1:$T$400,SF_Output!$AC$1:$AC$400,_xlfn.TEXTJOIN(",",TRUE,$B83:$E83),SF_Output!$Q$1:$Q$400,"One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license"))/J83)))</f>
        <v/>
      </c>
      <c r="L83" s="6">
        <f t="shared" si="5"/>
        <v>0</v>
      </c>
      <c r="N83" s="6">
        <f>IF(B83="","",SUMIFS(SF_Output!$S$1:$S$400,SF_Output!$AC$1:$AC$400,_xlfn.TEXTJOIN(",",TRUE,B83:E83),SF_Output!$Q$1:$Q$400,"One Time",SF_Output!$L$1:$L$400,"professional service"))</f>
        <v>2500</v>
      </c>
      <c r="O83" s="112">
        <f>IF(OR(B83=0,B83="",N83=0),"",IF(AF83&lt;&gt;"exclusion",MAX(O$9,-(SUMIFS(SF_Output!$T$1:$T$400,SF_Output!$AC$1:$AC$400,_xlfn.TEXTJOIN(",",TRUE,$B83:$E83),SF_Output!$Q$1:$Q$400,"One Time",SF_Output!$L$1:$L$400,"professional service"))/N83),-((SUMIFS(SF_Output!$T$1:$T$400,SF_Output!$AC$1:$AC$400,_xlfn.TEXTJOIN(",",TRUE,$B83:$E83),SF_Output!$Q$1:$Q$400,"One Time",SF_Output!$L$1:$L$400,"professional service")/N83))))</f>
        <v>1</v>
      </c>
      <c r="P83" s="6">
        <f t="shared" si="6"/>
        <v>0</v>
      </c>
      <c r="R83" s="6">
        <f>IF(B83="","",SUMIFS(SF_Output!$S$1:$S$400,SF_Output!$AC$1:$AC$400,_xlfn.TEXTJOIN(",",TRUE,B83:E83),SF_Output!$Q$1:$Q$400,"yearly")+SUMIFS(SF_Output!$S$1:$S$400,SF_Output!$AC$1:$AC$400,_xlfn.TEXTJOIN(",",TRUE,B83:E83),SF_Output!$Q$1:$Q$400,"quarterly")*4)</f>
        <v>0</v>
      </c>
      <c r="S83" s="112" t="str">
        <f>IF(OR(B83=0,B83="",G83="hardware",R83=0),"",IF(AF83&lt;&gt;"exclusion",MAX(S$9,-(SUMIFS(SF_Output!$T$1:$T$400,SF_Output!$AC$1:$AC$400,_xlfn.TEXTJOIN(",",TRUE,$B83:$E83),SF_Output!$Q$1:$Q$400,"yearly"))/R83),-((SUMIFS(SF_Output!$T$1:$T$400,SF_Output!$AC$1:$AC$400,_xlfn.TEXTJOIN(",",TRUE,$B83:$E83),SF_Output!$Q$1:$Q$400,"yearly")/R83))))</f>
        <v/>
      </c>
      <c r="T83" s="6">
        <f t="shared" si="7"/>
        <v>0</v>
      </c>
      <c r="V83" s="6" cm="1">
        <f t="array" ref="V83">_xlfn.IFS(B83="","",AND(B83&lt;&gt;"",H83=SF_Output!$Y$2,SUMIFS(SF_Output!$T$1:$T$400,SF_Output!$AC$1:$AC$400,_xlfn.TEXTJOIN(",",TRUE,B83:E83),SF_Output!$Q$1:$Q$400,"monthly")=0),(SUMIFS(SF_Output!$F$1:$F$400,SF_Output!$AC$1:$AC$400,_xlfn.TEXTJOIN(",",TRUE,B83:E83),SF_Output!$Q$1:$Q$400,"monthly")+SUMIFS(SF_Output!$G$1:$G$400,SF_Output!$AC$1:$AC$400,_xlfn.TEXTJOIN(",",TRUE,B83:E83),SF_Output!$Q$1:$Q$400,"monthly"))*H83,AND(B83&lt;&gt;"",H83=SF_Output!$Y$2,SUMIFS(SF_Output!$T$1:$T$400,SF_Output!$AC$1:$AC$400,_xlfn.TEXTJOIN(",",TRUE,B83:E83),SF_Output!$Q$1:$Q$400,"monthly")&lt;&gt;0),SUMIFS(SF_Output!$S$1:$S$400,SF_Output!$AC$1:$AC$400,_xlfn.TEXTJOIN(",",TRUE,B83:E83),SF_Output!$Q$1:$Q$400,"monthly"),AND(B83&lt;&gt;"",H83&lt;&gt;SF_Output!$Y$2),SUMIFS(SF_Output!$S$1:$S$400,SF_Output!$AC$1:$AC$400,_xlfn.TEXTJOIN(",",TRUE,B83:E83),SF_Output!$Q$1:$Q$400,"monthly"))</f>
        <v>0</v>
      </c>
      <c r="W83" s="112" t="str" cm="1">
        <f t="array" ref="W83">_xlfn.IFS(OR(B83=0,B83="",V83=0),"",AF83&lt;&gt;"exclusion",MAX($W$9,$W$7,(-(SUMIFS(SF_Output!$T$1:$T$400,SF_Output!$AC$1:$AC$400,_xlfn.TEXTJOIN(",",TRUE,$B83:$E83),SF_Output!$Q$1:$Q$400,"monthly"))/V83)),AF83="exclusion",-(SUMIFS(SF_Output!$T$1:$T$400,SF_Output!$AC$1:$AC$400,_xlfn.TEXTJOIN(",",TRUE,$B83:$E83),SF_Output!$Q$1:$Q$400,"monthly"))/V83)</f>
        <v/>
      </c>
      <c r="X83" s="6" cm="1">
        <f t="array" ref="X83">IFERROR(_xlfn.IFS(V83=0,0,V83="","",W83=0,V83,OR(V83&lt;&gt;0,V83&lt;&gt;""),H83*I83),V83*(1-W83))</f>
        <v>0</v>
      </c>
    </row>
    <row r="84" spans="2:24" x14ac:dyDescent="0.25">
      <c r="B84" t="s">
        <v>1479</v>
      </c>
      <c r="C84" t="s">
        <v>2122</v>
      </c>
      <c r="D84" t="s">
        <v>2123</v>
      </c>
      <c r="E84" t="s">
        <v>2124</v>
      </c>
      <c r="F84" s="116" t="str">
        <f t="shared" si="4"/>
        <v>Included</v>
      </c>
      <c r="G84" t="str">
        <f>IF(B84="","",INDEX(SF_Output!$K$1:$K$400,MATCH(B84,SF_Output!$M$1:$M$400,0)))</f>
        <v>Enterprise Payment Solutions (EPS)</v>
      </c>
      <c r="H84" cm="1">
        <f t="array" ref="H84">_xlfn.IFS(B84="","",(SUMIFS(SF_Output!$F$1:$F$400,SF_Output!$AC$1:$AC$400,_xlfn.TEXTJOIN(",",TRUE,B84:E84))+SUMIFS(SF_Output!$G$1:$G$400,SF_Output!$AC$1:$AC$400,_xlfn.TEXTJOIN(",",TRUE,B84:E84)))&lt;&gt;0,SF_Output!$Y$2,INDEX(SF_Output!$F$1:$F$400,MATCH(_xlfn.TEXTJOIN(",",TRUE,B84:E84),SF_Output!$AC$1:$AC$400,0))=0,INDEX(SF_Output!$R$1:$R$400,MATCH(_xlfn.TEXTJOIN(",",TRUE,B84:E84),SF_Output!$AC$1:$AC$400,0)))</f>
        <v>1</v>
      </c>
      <c r="I84" s="125" t="str">
        <f>IFERROR(IF(AND(H84&gt;1,H84&lt;&gt;""),ROUND(SUMIFS(SF_Output!$S$1:$S$400,SF_Output!$AC$1:$AC$400,_xlfn.TEXTJOIN(",",TRUE,B84:E84),SF_Output!$Q$1:$Q$400,"monthly")*(1-W84)/H84,4),""),"")</f>
        <v/>
      </c>
      <c r="J84" s="6">
        <f>IF(B84="","",SUMIFS(SF_Output!$S$1:$S$400,SF_Output!$AC$1:$AC$400,_xlfn.TEXTJOIN(",",TRUE,B84:E84),SF_Output!$Q$1:$Q$400,"One Time",SF_Output!$L$1:$L$400,"license fee")+SUMIFS(SF_Output!$S$1:$S$400,SF_Output!$AC$1:$AC$400,_xlfn.TEXTJOIN(",",TRUE,B84:E84),SF_Output!$Q$1:$Q$400,"One Time",SF_Output!$L$1:$L$400,"software license")+SUMIFS(SF_Output!$S$1:$S$400,SF_Output!$AC$1:$AC$400,_xlfn.TEXTJOIN(",",TRUE,B84:E84),SF_Output!$Q$1:$Q$400,"One Time",SF_Output!$L$1:$L$400,"hardware"))</f>
        <v>0</v>
      </c>
      <c r="K84" s="112" t="str">
        <f>IF(OR(B84=0,B84="",G84="hardware",J84=0),"",IF(AF84&lt;&gt;"exclusion",MAX(K$9,-((SUMIFS(SF_Output!$T$1:$T$400,SF_Output!$AC$1:$AC$400,_xlfn.TEXTJOIN(",",TRUE,$B84:$E84),SF_Output!$Q$1:$Q$400,"One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license"))/J84)))</f>
        <v/>
      </c>
      <c r="L84" s="6">
        <f t="shared" si="5"/>
        <v>0</v>
      </c>
      <c r="N84" s="6">
        <f>IF(B84="","",SUMIFS(SF_Output!$S$1:$S$400,SF_Output!$AC$1:$AC$400,_xlfn.TEXTJOIN(",",TRUE,B84:E84),SF_Output!$Q$1:$Q$400,"One Time",SF_Output!$L$1:$L$400,"professional service"))</f>
        <v>1000</v>
      </c>
      <c r="O84" s="112">
        <f>IF(OR(B84=0,B84="",N84=0),"",IF(AF84&lt;&gt;"exclusion",MAX(O$9,-(SUMIFS(SF_Output!$T$1:$T$400,SF_Output!$AC$1:$AC$400,_xlfn.TEXTJOIN(",",TRUE,$B84:$E84),SF_Output!$Q$1:$Q$400,"One Time",SF_Output!$L$1:$L$400,"professional service"))/N84),-((SUMIFS(SF_Output!$T$1:$T$400,SF_Output!$AC$1:$AC$400,_xlfn.TEXTJOIN(",",TRUE,$B84:$E84),SF_Output!$Q$1:$Q$400,"One Time",SF_Output!$L$1:$L$400,"professional service")/N84))))</f>
        <v>1</v>
      </c>
      <c r="P84" s="6">
        <f t="shared" si="6"/>
        <v>0</v>
      </c>
      <c r="R84" s="6">
        <f>IF(B84="","",SUMIFS(SF_Output!$S$1:$S$400,SF_Output!$AC$1:$AC$400,_xlfn.TEXTJOIN(",",TRUE,B84:E84),SF_Output!$Q$1:$Q$400,"yearly")+SUMIFS(SF_Output!$S$1:$S$400,SF_Output!$AC$1:$AC$400,_xlfn.TEXTJOIN(",",TRUE,B84:E84),SF_Output!$Q$1:$Q$400,"quarterly")*4)</f>
        <v>0</v>
      </c>
      <c r="S84" s="112" t="str">
        <f>IF(OR(B84=0,B84="",G84="hardware",R84=0),"",IF(AF84&lt;&gt;"exclusion",MAX(S$9,-(SUMIFS(SF_Output!$T$1:$T$400,SF_Output!$AC$1:$AC$400,_xlfn.TEXTJOIN(",",TRUE,$B84:$E84),SF_Output!$Q$1:$Q$400,"yearly"))/R84),-((SUMIFS(SF_Output!$T$1:$T$400,SF_Output!$AC$1:$AC$400,_xlfn.TEXTJOIN(",",TRUE,$B84:$E84),SF_Output!$Q$1:$Q$400,"yearly")/R84))))</f>
        <v/>
      </c>
      <c r="T84" s="6">
        <f t="shared" si="7"/>
        <v>0</v>
      </c>
      <c r="V84" s="6" cm="1">
        <f t="array" ref="V84">_xlfn.IFS(B84="","",AND(B84&lt;&gt;"",H84=SF_Output!$Y$2,SUMIFS(SF_Output!$T$1:$T$400,SF_Output!$AC$1:$AC$400,_xlfn.TEXTJOIN(",",TRUE,B84:E84),SF_Output!$Q$1:$Q$400,"monthly")=0),(SUMIFS(SF_Output!$F$1:$F$400,SF_Output!$AC$1:$AC$400,_xlfn.TEXTJOIN(",",TRUE,B84:E84),SF_Output!$Q$1:$Q$400,"monthly")+SUMIFS(SF_Output!$G$1:$G$400,SF_Output!$AC$1:$AC$400,_xlfn.TEXTJOIN(",",TRUE,B84:E84),SF_Output!$Q$1:$Q$400,"monthly"))*H84,AND(B84&lt;&gt;"",H84=SF_Output!$Y$2,SUMIFS(SF_Output!$T$1:$T$400,SF_Output!$AC$1:$AC$400,_xlfn.TEXTJOIN(",",TRUE,B84:E84),SF_Output!$Q$1:$Q$400,"monthly")&lt;&gt;0),SUMIFS(SF_Output!$S$1:$S$400,SF_Output!$AC$1:$AC$400,_xlfn.TEXTJOIN(",",TRUE,B84:E84),SF_Output!$Q$1:$Q$400,"monthly"),AND(B84&lt;&gt;"",H84&lt;&gt;SF_Output!$Y$2),SUMIFS(SF_Output!$S$1:$S$400,SF_Output!$AC$1:$AC$400,_xlfn.TEXTJOIN(",",TRUE,B84:E84),SF_Output!$Q$1:$Q$400,"monthly"))</f>
        <v>350</v>
      </c>
      <c r="W84" s="112" cm="1">
        <f t="array" ref="W84">_xlfn.IFS(OR(B84=0,B84="",V84=0),"",AF84&lt;&gt;"exclusion",MAX($W$9,$W$7,(-(SUMIFS(SF_Output!$T$1:$T$400,SF_Output!$AC$1:$AC$400,_xlfn.TEXTJOIN(",",TRUE,$B84:$E84),SF_Output!$Q$1:$Q$400,"monthly"))/V84)),AF84="exclusion",-(SUMIFS(SF_Output!$T$1:$T$400,SF_Output!$AC$1:$AC$400,_xlfn.TEXTJOIN(",",TRUE,$B84:$E84),SF_Output!$Q$1:$Q$400,"monthly"))/V84)</f>
        <v>0</v>
      </c>
      <c r="X84" s="6" cm="1">
        <f t="array" ref="X84">IFERROR(_xlfn.IFS(V84=0,0,V84="","",W84=0,V84,OR(V84&lt;&gt;0,V84&lt;&gt;""),H84*I84),V84*(1-W84))</f>
        <v>350</v>
      </c>
    </row>
    <row r="85" spans="2:24" x14ac:dyDescent="0.25">
      <c r="B85" t="s">
        <v>1476</v>
      </c>
      <c r="C85" t="s">
        <v>2122</v>
      </c>
      <c r="D85" t="s">
        <v>2123</v>
      </c>
      <c r="E85" t="s">
        <v>2124</v>
      </c>
      <c r="F85" s="116" t="str">
        <f t="shared" si="4"/>
        <v>Included</v>
      </c>
      <c r="G85" t="str">
        <f>IF(B85="","",INDEX(SF_Output!$K$1:$K$400,MATCH(B85,SF_Output!$M$1:$M$400,0)))</f>
        <v>Enterprise Payment Solutions (EPS)</v>
      </c>
      <c r="H85" cm="1">
        <f t="array" ref="H85">_xlfn.IFS(B85="","",(SUMIFS(SF_Output!$F$1:$F$400,SF_Output!$AC$1:$AC$400,_xlfn.TEXTJOIN(",",TRUE,B85:E85))+SUMIFS(SF_Output!$G$1:$G$400,SF_Output!$AC$1:$AC$400,_xlfn.TEXTJOIN(",",TRUE,B85:E85)))&lt;&gt;0,SF_Output!$Y$2,INDEX(SF_Output!$F$1:$F$400,MATCH(_xlfn.TEXTJOIN(",",TRUE,B85:E85),SF_Output!$AC$1:$AC$400,0))=0,INDEX(SF_Output!$R$1:$R$400,MATCH(_xlfn.TEXTJOIN(",",TRUE,B85:E85),SF_Output!$AC$1:$AC$400,0)))</f>
        <v>1</v>
      </c>
      <c r="I85" s="125" t="str">
        <f>IFERROR(IF(AND(H85&gt;1,H85&lt;&gt;""),ROUND(SUMIFS(SF_Output!$S$1:$S$400,SF_Output!$AC$1:$AC$400,_xlfn.TEXTJOIN(",",TRUE,B85:E85),SF_Output!$Q$1:$Q$400,"monthly")*(1-W85)/H85,4),""),"")</f>
        <v/>
      </c>
      <c r="J85" s="6">
        <f>IF(B85="","",SUMIFS(SF_Output!$S$1:$S$400,SF_Output!$AC$1:$AC$400,_xlfn.TEXTJOIN(",",TRUE,B85:E85),SF_Output!$Q$1:$Q$400,"One Time",SF_Output!$L$1:$L$400,"license fee")+SUMIFS(SF_Output!$S$1:$S$400,SF_Output!$AC$1:$AC$400,_xlfn.TEXTJOIN(",",TRUE,B85:E85),SF_Output!$Q$1:$Q$400,"One Time",SF_Output!$L$1:$L$400,"software license")+SUMIFS(SF_Output!$S$1:$S$400,SF_Output!$AC$1:$AC$400,_xlfn.TEXTJOIN(",",TRUE,B85:E85),SF_Output!$Q$1:$Q$400,"One Time",SF_Output!$L$1:$L$400,"hardware"))</f>
        <v>0</v>
      </c>
      <c r="K85" s="112" t="str">
        <f>IF(OR(B85=0,B85="",G85="hardware",J85=0),"",IF(AF85&lt;&gt;"exclusion",MAX(K$9,-((SUMIFS(SF_Output!$T$1:$T$400,SF_Output!$AC$1:$AC$400,_xlfn.TEXTJOIN(",",TRUE,$B85:$E85),SF_Output!$Q$1:$Q$400,"One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license"))/J85)))</f>
        <v/>
      </c>
      <c r="L85" s="6">
        <f t="shared" si="5"/>
        <v>0</v>
      </c>
      <c r="N85" s="6">
        <f>IF(B85="","",SUMIFS(SF_Output!$S$1:$S$400,SF_Output!$AC$1:$AC$400,_xlfn.TEXTJOIN(",",TRUE,B85:E85),SF_Output!$Q$1:$Q$400,"One Time",SF_Output!$L$1:$L$400,"professional service"))</f>
        <v>2500</v>
      </c>
      <c r="O85" s="112">
        <f>IF(OR(B85=0,B85="",N85=0),"",IF(AF85&lt;&gt;"exclusion",MAX(O$9,-(SUMIFS(SF_Output!$T$1:$T$400,SF_Output!$AC$1:$AC$400,_xlfn.TEXTJOIN(",",TRUE,$B85:$E85),SF_Output!$Q$1:$Q$400,"One Time",SF_Output!$L$1:$L$400,"professional service"))/N85),-((SUMIFS(SF_Output!$T$1:$T$400,SF_Output!$AC$1:$AC$400,_xlfn.TEXTJOIN(",",TRUE,$B85:$E85),SF_Output!$Q$1:$Q$400,"One Time",SF_Output!$L$1:$L$400,"professional service")/N85))))</f>
        <v>1</v>
      </c>
      <c r="P85" s="6">
        <f t="shared" si="6"/>
        <v>0</v>
      </c>
      <c r="R85" s="6">
        <f>IF(B85="","",SUMIFS(SF_Output!$S$1:$S$400,SF_Output!$AC$1:$AC$400,_xlfn.TEXTJOIN(",",TRUE,B85:E85),SF_Output!$Q$1:$Q$400,"yearly")+SUMIFS(SF_Output!$S$1:$S$400,SF_Output!$AC$1:$AC$400,_xlfn.TEXTJOIN(",",TRUE,B85:E85),SF_Output!$Q$1:$Q$400,"quarterly")*4)</f>
        <v>0</v>
      </c>
      <c r="S85" s="112" t="str">
        <f>IF(OR(B85=0,B85="",G85="hardware",R85=0),"",IF(AF85&lt;&gt;"exclusion",MAX(S$9,-(SUMIFS(SF_Output!$T$1:$T$400,SF_Output!$AC$1:$AC$400,_xlfn.TEXTJOIN(",",TRUE,$B85:$E85),SF_Output!$Q$1:$Q$400,"yearly"))/R85),-((SUMIFS(SF_Output!$T$1:$T$400,SF_Output!$AC$1:$AC$400,_xlfn.TEXTJOIN(",",TRUE,$B85:$E85),SF_Output!$Q$1:$Q$400,"yearly")/R85))))</f>
        <v/>
      </c>
      <c r="T85" s="6">
        <f t="shared" si="7"/>
        <v>0</v>
      </c>
      <c r="V85" s="6" cm="1">
        <f t="array" ref="V85">_xlfn.IFS(B85="","",AND(B85&lt;&gt;"",H85=SF_Output!$Y$2,SUMIFS(SF_Output!$T$1:$T$400,SF_Output!$AC$1:$AC$400,_xlfn.TEXTJOIN(",",TRUE,B85:E85),SF_Output!$Q$1:$Q$400,"monthly")=0),(SUMIFS(SF_Output!$F$1:$F$400,SF_Output!$AC$1:$AC$400,_xlfn.TEXTJOIN(",",TRUE,B85:E85),SF_Output!$Q$1:$Q$400,"monthly")+SUMIFS(SF_Output!$G$1:$G$400,SF_Output!$AC$1:$AC$400,_xlfn.TEXTJOIN(",",TRUE,B85:E85),SF_Output!$Q$1:$Q$400,"monthly"))*H85,AND(B85&lt;&gt;"",H85=SF_Output!$Y$2,SUMIFS(SF_Output!$T$1:$T$400,SF_Output!$AC$1:$AC$400,_xlfn.TEXTJOIN(",",TRUE,B85:E85),SF_Output!$Q$1:$Q$400,"monthly")&lt;&gt;0),SUMIFS(SF_Output!$S$1:$S$400,SF_Output!$AC$1:$AC$400,_xlfn.TEXTJOIN(",",TRUE,B85:E85),SF_Output!$Q$1:$Q$400,"monthly"),AND(B85&lt;&gt;"",H85&lt;&gt;SF_Output!$Y$2),SUMIFS(SF_Output!$S$1:$S$400,SF_Output!$AC$1:$AC$400,_xlfn.TEXTJOIN(",",TRUE,B85:E85),SF_Output!$Q$1:$Q$400,"monthly"))</f>
        <v>500</v>
      </c>
      <c r="W85" s="112" cm="1">
        <f t="array" ref="W85">_xlfn.IFS(OR(B85=0,B85="",V85=0),"",AF85&lt;&gt;"exclusion",MAX($W$9,$W$7,(-(SUMIFS(SF_Output!$T$1:$T$400,SF_Output!$AC$1:$AC$400,_xlfn.TEXTJOIN(",",TRUE,$B85:$E85),SF_Output!$Q$1:$Q$400,"monthly"))/V85)),AF85="exclusion",-(SUMIFS(SF_Output!$T$1:$T$400,SF_Output!$AC$1:$AC$400,_xlfn.TEXTJOIN(",",TRUE,$B85:$E85),SF_Output!$Q$1:$Q$400,"monthly"))/V85)</f>
        <v>0</v>
      </c>
      <c r="X85" s="6" cm="1">
        <f t="array" ref="X85">IFERROR(_xlfn.IFS(V85=0,0,V85="","",W85=0,V85,OR(V85&lt;&gt;0,V85&lt;&gt;""),H85*I85),V85*(1-W85))</f>
        <v>500</v>
      </c>
    </row>
    <row r="86" spans="2:24" x14ac:dyDescent="0.25">
      <c r="B86" t="s">
        <v>1306</v>
      </c>
      <c r="C86" t="s">
        <v>2122</v>
      </c>
      <c r="D86" t="s">
        <v>2123</v>
      </c>
      <c r="E86" t="s">
        <v>2124</v>
      </c>
      <c r="F86" s="116" t="str">
        <f t="shared" si="4"/>
        <v>Included</v>
      </c>
      <c r="G86" t="str">
        <f>IF(B86="","",INDEX(SF_Output!$K$1:$K$400,MATCH(B86,SF_Output!$M$1:$M$400,0)))</f>
        <v>Enterprise Payment Solutions (EPS)</v>
      </c>
      <c r="H86" cm="1">
        <f t="array" ref="H86">_xlfn.IFS(B86="","",(SUMIFS(SF_Output!$F$1:$F$400,SF_Output!$AC$1:$AC$400,_xlfn.TEXTJOIN(",",TRUE,B86:E86))+SUMIFS(SF_Output!$G$1:$G$400,SF_Output!$AC$1:$AC$400,_xlfn.TEXTJOIN(",",TRUE,B86:E86)))&lt;&gt;0,SF_Output!$Y$2,INDEX(SF_Output!$F$1:$F$400,MATCH(_xlfn.TEXTJOIN(",",TRUE,B86:E86),SF_Output!$AC$1:$AC$400,0))=0,INDEX(SF_Output!$R$1:$R$400,MATCH(_xlfn.TEXTJOIN(",",TRUE,B86:E86),SF_Output!$AC$1:$AC$400,0)))</f>
        <v>1</v>
      </c>
      <c r="I86" s="125" t="str">
        <f>IFERROR(IF(AND(H86&gt;1,H86&lt;&gt;""),ROUND(SUMIFS(SF_Output!$S$1:$S$400,SF_Output!$AC$1:$AC$400,_xlfn.TEXTJOIN(",",TRUE,B86:E86),SF_Output!$Q$1:$Q$400,"monthly")*(1-W86)/H86,4),""),"")</f>
        <v/>
      </c>
      <c r="J86" s="6">
        <f>IF(B86="","",SUMIFS(SF_Output!$S$1:$S$400,SF_Output!$AC$1:$AC$400,_xlfn.TEXTJOIN(",",TRUE,B86:E86),SF_Output!$Q$1:$Q$400,"One Time",SF_Output!$L$1:$L$400,"license fee")+SUMIFS(SF_Output!$S$1:$S$400,SF_Output!$AC$1:$AC$400,_xlfn.TEXTJOIN(",",TRUE,B86:E86),SF_Output!$Q$1:$Q$400,"One Time",SF_Output!$L$1:$L$400,"software license")+SUMIFS(SF_Output!$S$1:$S$400,SF_Output!$AC$1:$AC$400,_xlfn.TEXTJOIN(",",TRUE,B86:E86),SF_Output!$Q$1:$Q$400,"One Time",SF_Output!$L$1:$L$400,"hardware"))</f>
        <v>0</v>
      </c>
      <c r="K86" s="112" t="str">
        <f>IF(OR(B86=0,B86="",G86="hardware",J86=0),"",IF(AF86&lt;&gt;"exclusion",MAX(K$9,-((SUMIFS(SF_Output!$T$1:$T$400,SF_Output!$AC$1:$AC$400,_xlfn.TEXTJOIN(",",TRUE,$B86:$E86),SF_Output!$Q$1:$Q$400,"One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license"))/J86)))</f>
        <v/>
      </c>
      <c r="L86" s="6">
        <f t="shared" si="5"/>
        <v>0</v>
      </c>
      <c r="N86" s="6">
        <f>IF(B86="","",SUMIFS(SF_Output!$S$1:$S$400,SF_Output!$AC$1:$AC$400,_xlfn.TEXTJOIN(",",TRUE,B86:E86),SF_Output!$Q$1:$Q$400,"One Time",SF_Output!$L$1:$L$400,"professional service"))</f>
        <v>1000</v>
      </c>
      <c r="O86" s="112">
        <f>IF(OR(B86=0,B86="",N86=0),"",IF(AF86&lt;&gt;"exclusion",MAX(O$9,-(SUMIFS(SF_Output!$T$1:$T$400,SF_Output!$AC$1:$AC$400,_xlfn.TEXTJOIN(",",TRUE,$B86:$E86),SF_Output!$Q$1:$Q$400,"One Time",SF_Output!$L$1:$L$400,"professional service"))/N86),-((SUMIFS(SF_Output!$T$1:$T$400,SF_Output!$AC$1:$AC$400,_xlfn.TEXTJOIN(",",TRUE,$B86:$E86),SF_Output!$Q$1:$Q$400,"One Time",SF_Output!$L$1:$L$400,"professional service")/N86))))</f>
        <v>1</v>
      </c>
      <c r="P86" s="6">
        <f t="shared" si="6"/>
        <v>0</v>
      </c>
      <c r="R86" s="6">
        <f>IF(B86="","",SUMIFS(SF_Output!$S$1:$S$400,SF_Output!$AC$1:$AC$400,_xlfn.TEXTJOIN(",",TRUE,B86:E86),SF_Output!$Q$1:$Q$400,"yearly")+SUMIFS(SF_Output!$S$1:$S$400,SF_Output!$AC$1:$AC$400,_xlfn.TEXTJOIN(",",TRUE,B86:E86),SF_Output!$Q$1:$Q$400,"quarterly")*4)</f>
        <v>0</v>
      </c>
      <c r="S86" s="112" t="str">
        <f>IF(OR(B86=0,B86="",G86="hardware",R86=0),"",IF(AF86&lt;&gt;"exclusion",MAX(S$9,-(SUMIFS(SF_Output!$T$1:$T$400,SF_Output!$AC$1:$AC$400,_xlfn.TEXTJOIN(",",TRUE,$B86:$E86),SF_Output!$Q$1:$Q$400,"yearly"))/R86),-((SUMIFS(SF_Output!$T$1:$T$400,SF_Output!$AC$1:$AC$400,_xlfn.TEXTJOIN(",",TRUE,$B86:$E86),SF_Output!$Q$1:$Q$400,"yearly")/R86))))</f>
        <v/>
      </c>
      <c r="T86" s="6">
        <f t="shared" si="7"/>
        <v>0</v>
      </c>
      <c r="V86" s="6" cm="1">
        <f t="array" ref="V86">_xlfn.IFS(B86="","",AND(B86&lt;&gt;"",H86=SF_Output!$Y$2,SUMIFS(SF_Output!$T$1:$T$400,SF_Output!$AC$1:$AC$400,_xlfn.TEXTJOIN(",",TRUE,B86:E86),SF_Output!$Q$1:$Q$400,"monthly")=0),(SUMIFS(SF_Output!$F$1:$F$400,SF_Output!$AC$1:$AC$400,_xlfn.TEXTJOIN(",",TRUE,B86:E86),SF_Output!$Q$1:$Q$400,"monthly")+SUMIFS(SF_Output!$G$1:$G$400,SF_Output!$AC$1:$AC$400,_xlfn.TEXTJOIN(",",TRUE,B86:E86),SF_Output!$Q$1:$Q$400,"monthly"))*H86,AND(B86&lt;&gt;"",H86=SF_Output!$Y$2,SUMIFS(SF_Output!$T$1:$T$400,SF_Output!$AC$1:$AC$400,_xlfn.TEXTJOIN(",",TRUE,B86:E86),SF_Output!$Q$1:$Q$400,"monthly")&lt;&gt;0),SUMIFS(SF_Output!$S$1:$S$400,SF_Output!$AC$1:$AC$400,_xlfn.TEXTJOIN(",",TRUE,B86:E86),SF_Output!$Q$1:$Q$400,"monthly"),AND(B86&lt;&gt;"",H86&lt;&gt;SF_Output!$Y$2),SUMIFS(SF_Output!$S$1:$S$400,SF_Output!$AC$1:$AC$400,_xlfn.TEXTJOIN(",",TRUE,B86:E86),SF_Output!$Q$1:$Q$400,"monthly"))</f>
        <v>350</v>
      </c>
      <c r="W86" s="112" cm="1">
        <f t="array" ref="W86">_xlfn.IFS(OR(B86=0,B86="",V86=0),"",AF86&lt;&gt;"exclusion",MAX($W$9,$W$7,(-(SUMIFS(SF_Output!$T$1:$T$400,SF_Output!$AC$1:$AC$400,_xlfn.TEXTJOIN(",",TRUE,$B86:$E86),SF_Output!$Q$1:$Q$400,"monthly"))/V86)),AF86="exclusion",-(SUMIFS(SF_Output!$T$1:$T$400,SF_Output!$AC$1:$AC$400,_xlfn.TEXTJOIN(",",TRUE,$B86:$E86),SF_Output!$Q$1:$Q$400,"monthly"))/V86)</f>
        <v>0.5</v>
      </c>
      <c r="X86" s="6" cm="1">
        <f t="array" ref="X86">IFERROR(_xlfn.IFS(V86=0,0,V86="","",W86=0,V86,OR(V86&lt;&gt;0,V86&lt;&gt;""),H86*I86),V86*(1-W86))</f>
        <v>175</v>
      </c>
    </row>
    <row r="87" spans="2:24" x14ac:dyDescent="0.25">
      <c r="B87" t="s">
        <v>1109</v>
      </c>
      <c r="C87" t="s">
        <v>2122</v>
      </c>
      <c r="D87" t="s">
        <v>2123</v>
      </c>
      <c r="E87" t="s">
        <v>2124</v>
      </c>
      <c r="F87" s="116" t="str">
        <f t="shared" si="4"/>
        <v>Included</v>
      </c>
      <c r="G87" t="str">
        <f>IF(B87="","",INDEX(SF_Output!$K$1:$K$400,MATCH(B87,SF_Output!$M$1:$M$400,0)))</f>
        <v>Enterprise Payment Solutions (EPS)</v>
      </c>
      <c r="H87" cm="1">
        <f t="array" ref="H87">_xlfn.IFS(B87="","",(SUMIFS(SF_Output!$F$1:$F$400,SF_Output!$AC$1:$AC$400,_xlfn.TEXTJOIN(",",TRUE,B87:E87))+SUMIFS(SF_Output!$G$1:$G$400,SF_Output!$AC$1:$AC$400,_xlfn.TEXTJOIN(",",TRUE,B87:E87)))&lt;&gt;0,SF_Output!$Y$2,INDEX(SF_Output!$F$1:$F$400,MATCH(_xlfn.TEXTJOIN(",",TRUE,B87:E87),SF_Output!$AC$1:$AC$400,0))=0,INDEX(SF_Output!$R$1:$R$400,MATCH(_xlfn.TEXTJOIN(",",TRUE,B87:E87),SF_Output!$AC$1:$AC$400,0)))</f>
        <v>1</v>
      </c>
      <c r="I87" s="125" t="str">
        <f>IFERROR(IF(AND(H87&gt;1,H87&lt;&gt;""),ROUND(SUMIFS(SF_Output!$S$1:$S$400,SF_Output!$AC$1:$AC$400,_xlfn.TEXTJOIN(",",TRUE,B87:E87),SF_Output!$Q$1:$Q$400,"monthly")*(1-W87)/H87,4),""),"")</f>
        <v/>
      </c>
      <c r="J87" s="6">
        <f>IF(B87="","",SUMIFS(SF_Output!$S$1:$S$400,SF_Output!$AC$1:$AC$400,_xlfn.TEXTJOIN(",",TRUE,B87:E87),SF_Output!$Q$1:$Q$400,"One Time",SF_Output!$L$1:$L$400,"license fee")+SUMIFS(SF_Output!$S$1:$S$400,SF_Output!$AC$1:$AC$400,_xlfn.TEXTJOIN(",",TRUE,B87:E87),SF_Output!$Q$1:$Q$400,"One Time",SF_Output!$L$1:$L$400,"software license")+SUMIFS(SF_Output!$S$1:$S$400,SF_Output!$AC$1:$AC$400,_xlfn.TEXTJOIN(",",TRUE,B87:E87),SF_Output!$Q$1:$Q$400,"One Time",SF_Output!$L$1:$L$400,"hardware"))</f>
        <v>0</v>
      </c>
      <c r="K87" s="112" t="str">
        <f>IF(OR(B87=0,B87="",G87="hardware",J87=0),"",IF(AF87&lt;&gt;"exclusion",MAX(K$9,-((SUMIFS(SF_Output!$T$1:$T$400,SF_Output!$AC$1:$AC$400,_xlfn.TEXTJOIN(",",TRUE,$B87:$E87),SF_Output!$Q$1:$Q$400,"One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license"))/J87)))</f>
        <v/>
      </c>
      <c r="L87" s="6">
        <f t="shared" si="5"/>
        <v>0</v>
      </c>
      <c r="N87" s="6">
        <f>IF(B87="","",SUMIFS(SF_Output!$S$1:$S$400,SF_Output!$AC$1:$AC$400,_xlfn.TEXTJOIN(",",TRUE,B87:E87),SF_Output!$Q$1:$Q$400,"One Time",SF_Output!$L$1:$L$400,"professional service"))</f>
        <v>1500</v>
      </c>
      <c r="O87" s="112">
        <f>IF(OR(B87=0,B87="",N87=0),"",IF(AF87&lt;&gt;"exclusion",MAX(O$9,-(SUMIFS(SF_Output!$T$1:$T$400,SF_Output!$AC$1:$AC$400,_xlfn.TEXTJOIN(",",TRUE,$B87:$E87),SF_Output!$Q$1:$Q$400,"One Time",SF_Output!$L$1:$L$400,"professional service"))/N87),-((SUMIFS(SF_Output!$T$1:$T$400,SF_Output!$AC$1:$AC$400,_xlfn.TEXTJOIN(",",TRUE,$B87:$E87),SF_Output!$Q$1:$Q$400,"One Time",SF_Output!$L$1:$L$400,"professional service")/N87))))</f>
        <v>1</v>
      </c>
      <c r="P87" s="6">
        <f t="shared" si="6"/>
        <v>0</v>
      </c>
      <c r="R87" s="6">
        <f>IF(B87="","",SUMIFS(SF_Output!$S$1:$S$400,SF_Output!$AC$1:$AC$400,_xlfn.TEXTJOIN(",",TRUE,B87:E87),SF_Output!$Q$1:$Q$400,"yearly")+SUMIFS(SF_Output!$S$1:$S$400,SF_Output!$AC$1:$AC$400,_xlfn.TEXTJOIN(",",TRUE,B87:E87),SF_Output!$Q$1:$Q$400,"quarterly")*4)</f>
        <v>0</v>
      </c>
      <c r="S87" s="112" t="str">
        <f>IF(OR(B87=0,B87="",G87="hardware",R87=0),"",IF(AF87&lt;&gt;"exclusion",MAX(S$9,-(SUMIFS(SF_Output!$T$1:$T$400,SF_Output!$AC$1:$AC$400,_xlfn.TEXTJOIN(",",TRUE,$B87:$E87),SF_Output!$Q$1:$Q$400,"yearly"))/R87),-((SUMIFS(SF_Output!$T$1:$T$400,SF_Output!$AC$1:$AC$400,_xlfn.TEXTJOIN(",",TRUE,$B87:$E87),SF_Output!$Q$1:$Q$400,"yearly")/R87))))</f>
        <v/>
      </c>
      <c r="T87" s="6">
        <f t="shared" si="7"/>
        <v>0</v>
      </c>
      <c r="V87" s="6" cm="1">
        <f t="array" ref="V87">_xlfn.IFS(B87="","",AND(B87&lt;&gt;"",H87=SF_Output!$Y$2,SUMIFS(SF_Output!$T$1:$T$400,SF_Output!$AC$1:$AC$400,_xlfn.TEXTJOIN(",",TRUE,B87:E87),SF_Output!$Q$1:$Q$400,"monthly")=0),(SUMIFS(SF_Output!$F$1:$F$400,SF_Output!$AC$1:$AC$400,_xlfn.TEXTJOIN(",",TRUE,B87:E87),SF_Output!$Q$1:$Q$400,"monthly")+SUMIFS(SF_Output!$G$1:$G$400,SF_Output!$AC$1:$AC$400,_xlfn.TEXTJOIN(",",TRUE,B87:E87),SF_Output!$Q$1:$Q$400,"monthly"))*H87,AND(B87&lt;&gt;"",H87=SF_Output!$Y$2,SUMIFS(SF_Output!$T$1:$T$400,SF_Output!$AC$1:$AC$400,_xlfn.TEXTJOIN(",",TRUE,B87:E87),SF_Output!$Q$1:$Q$400,"monthly")&lt;&gt;0),SUMIFS(SF_Output!$S$1:$S$400,SF_Output!$AC$1:$AC$400,_xlfn.TEXTJOIN(",",TRUE,B87:E87),SF_Output!$Q$1:$Q$400,"monthly"),AND(B87&lt;&gt;"",H87&lt;&gt;SF_Output!$Y$2),SUMIFS(SF_Output!$S$1:$S$400,SF_Output!$AC$1:$AC$400,_xlfn.TEXTJOIN(",",TRUE,B87:E87),SF_Output!$Q$1:$Q$400,"monthly"))</f>
        <v>300</v>
      </c>
      <c r="W87" s="112" cm="1">
        <f t="array" ref="W87">_xlfn.IFS(OR(B87=0,B87="",V87=0),"",AF87&lt;&gt;"exclusion",MAX($W$9,$W$7,(-(SUMIFS(SF_Output!$T$1:$T$400,SF_Output!$AC$1:$AC$400,_xlfn.TEXTJOIN(",",TRUE,$B87:$E87),SF_Output!$Q$1:$Q$400,"monthly"))/V87)),AF87="exclusion",-(SUMIFS(SF_Output!$T$1:$T$400,SF_Output!$AC$1:$AC$400,_xlfn.TEXTJOIN(",",TRUE,$B87:$E87),SF_Output!$Q$1:$Q$400,"monthly"))/V87)</f>
        <v>0</v>
      </c>
      <c r="X87" s="6" cm="1">
        <f t="array" ref="X87">IFERROR(_xlfn.IFS(V87=0,0,V87="","",W87=0,V87,OR(V87&lt;&gt;0,V87&lt;&gt;""),H87*I87),V87*(1-W87))</f>
        <v>300</v>
      </c>
    </row>
    <row r="88" spans="2:24" x14ac:dyDescent="0.25">
      <c r="B88" t="s">
        <v>1451</v>
      </c>
      <c r="C88" t="s">
        <v>2122</v>
      </c>
      <c r="D88" t="s">
        <v>2123</v>
      </c>
      <c r="E88" t="s">
        <v>2124</v>
      </c>
      <c r="F88" s="116" t="str">
        <f t="shared" si="4"/>
        <v>Included</v>
      </c>
      <c r="G88" t="str">
        <f>IF(B88="","",INDEX(SF_Output!$K$1:$K$400,MATCH(B88,SF_Output!$M$1:$M$400,0)))</f>
        <v>Enterprise Payment Solutions (EPS)</v>
      </c>
      <c r="H88" cm="1">
        <f t="array" ref="H88">_xlfn.IFS(B88="","",(SUMIFS(SF_Output!$F$1:$F$400,SF_Output!$AC$1:$AC$400,_xlfn.TEXTJOIN(",",TRUE,B88:E88))+SUMIFS(SF_Output!$G$1:$G$400,SF_Output!$AC$1:$AC$400,_xlfn.TEXTJOIN(",",TRUE,B88:E88)))&lt;&gt;0,SF_Output!$Y$2,INDEX(SF_Output!$F$1:$F$400,MATCH(_xlfn.TEXTJOIN(",",TRUE,B88:E88),SF_Output!$AC$1:$AC$400,0))=0,INDEX(SF_Output!$R$1:$R$400,MATCH(_xlfn.TEXTJOIN(",",TRUE,B88:E88),SF_Output!$AC$1:$AC$400,0)))</f>
        <v>1</v>
      </c>
      <c r="I88" s="125" t="str">
        <f>IFERROR(IF(AND(H88&gt;1,H88&lt;&gt;""),ROUND(SUMIFS(SF_Output!$S$1:$S$400,SF_Output!$AC$1:$AC$400,_xlfn.TEXTJOIN(",",TRUE,B88:E88),SF_Output!$Q$1:$Q$400,"monthly")*(1-W88)/H88,4),""),"")</f>
        <v/>
      </c>
      <c r="J88" s="6">
        <f>IF(B88="","",SUMIFS(SF_Output!$S$1:$S$400,SF_Output!$AC$1:$AC$400,_xlfn.TEXTJOIN(",",TRUE,B88:E88),SF_Output!$Q$1:$Q$400,"One Time",SF_Output!$L$1:$L$400,"license fee")+SUMIFS(SF_Output!$S$1:$S$400,SF_Output!$AC$1:$AC$400,_xlfn.TEXTJOIN(",",TRUE,B88:E88),SF_Output!$Q$1:$Q$400,"One Time",SF_Output!$L$1:$L$400,"software license")+SUMIFS(SF_Output!$S$1:$S$400,SF_Output!$AC$1:$AC$400,_xlfn.TEXTJOIN(",",TRUE,B88:E88),SF_Output!$Q$1:$Q$400,"One Time",SF_Output!$L$1:$L$400,"hardware"))</f>
        <v>0</v>
      </c>
      <c r="K88" s="112" t="str">
        <f>IF(OR(B88=0,B88="",G88="hardware",J88=0),"",IF(AF88&lt;&gt;"exclusion",MAX(K$9,-((SUMIFS(SF_Output!$T$1:$T$400,SF_Output!$AC$1:$AC$400,_xlfn.TEXTJOIN(",",TRUE,$B88:$E88),SF_Output!$Q$1:$Q$400,"One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license"))/J88)))</f>
        <v/>
      </c>
      <c r="L88" s="6">
        <f t="shared" si="5"/>
        <v>0</v>
      </c>
      <c r="N88" s="6">
        <f>IF(B88="","",SUMIFS(SF_Output!$S$1:$S$400,SF_Output!$AC$1:$AC$400,_xlfn.TEXTJOIN(",",TRUE,B88:E88),SF_Output!$Q$1:$Q$400,"One Time",SF_Output!$L$1:$L$400,"professional service"))</f>
        <v>0</v>
      </c>
      <c r="O88" s="112" t="str">
        <f>IF(OR(B88=0,B88="",N88=0),"",IF(AF88&lt;&gt;"exclusion",MAX(O$9,-(SUMIFS(SF_Output!$T$1:$T$400,SF_Output!$AC$1:$AC$400,_xlfn.TEXTJOIN(",",TRUE,$B88:$E88),SF_Output!$Q$1:$Q$400,"One Time",SF_Output!$L$1:$L$400,"professional service"))/N88),-((SUMIFS(SF_Output!$T$1:$T$400,SF_Output!$AC$1:$AC$400,_xlfn.TEXTJOIN(",",TRUE,$B88:$E88),SF_Output!$Q$1:$Q$400,"One Time",SF_Output!$L$1:$L$400,"professional service")/N88))))</f>
        <v/>
      </c>
      <c r="P88" s="6">
        <f t="shared" si="6"/>
        <v>0</v>
      </c>
      <c r="R88" s="6">
        <f>IF(B88="","",SUMIFS(SF_Output!$S$1:$S$400,SF_Output!$AC$1:$AC$400,_xlfn.TEXTJOIN(",",TRUE,B88:E88),SF_Output!$Q$1:$Q$400,"yearly")+SUMIFS(SF_Output!$S$1:$S$400,SF_Output!$AC$1:$AC$400,_xlfn.TEXTJOIN(",",TRUE,B88:E88),SF_Output!$Q$1:$Q$400,"quarterly")*4)</f>
        <v>0</v>
      </c>
      <c r="S88" s="112" t="str">
        <f>IF(OR(B88=0,B88="",G88="hardware",R88=0),"",IF(AF88&lt;&gt;"exclusion",MAX(S$9,-(SUMIFS(SF_Output!$T$1:$T$400,SF_Output!$AC$1:$AC$400,_xlfn.TEXTJOIN(",",TRUE,$B88:$E88),SF_Output!$Q$1:$Q$400,"yearly"))/R88),-((SUMIFS(SF_Output!$T$1:$T$400,SF_Output!$AC$1:$AC$400,_xlfn.TEXTJOIN(",",TRUE,$B88:$E88),SF_Output!$Q$1:$Q$400,"yearly")/R88))))</f>
        <v/>
      </c>
      <c r="T88" s="6">
        <f t="shared" si="7"/>
        <v>0</v>
      </c>
      <c r="V88" s="6" cm="1">
        <f t="array" ref="V88">_xlfn.IFS(B88="","",AND(B88&lt;&gt;"",H88=SF_Output!$Y$2,SUMIFS(SF_Output!$T$1:$T$400,SF_Output!$AC$1:$AC$400,_xlfn.TEXTJOIN(",",TRUE,B88:E88),SF_Output!$Q$1:$Q$400,"monthly")=0),(SUMIFS(SF_Output!$F$1:$F$400,SF_Output!$AC$1:$AC$400,_xlfn.TEXTJOIN(",",TRUE,B88:E88),SF_Output!$Q$1:$Q$400,"monthly")+SUMIFS(SF_Output!$G$1:$G$400,SF_Output!$AC$1:$AC$400,_xlfn.TEXTJOIN(",",TRUE,B88:E88),SF_Output!$Q$1:$Q$400,"monthly"))*H88,AND(B88&lt;&gt;"",H88=SF_Output!$Y$2,SUMIFS(SF_Output!$T$1:$T$400,SF_Output!$AC$1:$AC$400,_xlfn.TEXTJOIN(",",TRUE,B88:E88),SF_Output!$Q$1:$Q$400,"monthly")&lt;&gt;0),SUMIFS(SF_Output!$S$1:$S$400,SF_Output!$AC$1:$AC$400,_xlfn.TEXTJOIN(",",TRUE,B88:E88),SF_Output!$Q$1:$Q$400,"monthly"),AND(B88&lt;&gt;"",H88&lt;&gt;SF_Output!$Y$2),SUMIFS(SF_Output!$S$1:$S$400,SF_Output!$AC$1:$AC$400,_xlfn.TEXTJOIN(",",TRUE,B88:E88),SF_Output!$Q$1:$Q$400,"monthly"))</f>
        <v>100</v>
      </c>
      <c r="W88" s="112" cm="1">
        <f t="array" ref="W88">_xlfn.IFS(OR(B88=0,B88="",V88=0),"",AF88&lt;&gt;"exclusion",MAX($W$9,$W$7,(-(SUMIFS(SF_Output!$T$1:$T$400,SF_Output!$AC$1:$AC$400,_xlfn.TEXTJOIN(",",TRUE,$B88:$E88),SF_Output!$Q$1:$Q$400,"monthly"))/V88)),AF88="exclusion",-(SUMIFS(SF_Output!$T$1:$T$400,SF_Output!$AC$1:$AC$400,_xlfn.TEXTJOIN(",",TRUE,$B88:$E88),SF_Output!$Q$1:$Q$400,"monthly"))/V88)</f>
        <v>0</v>
      </c>
      <c r="X88" s="6" cm="1">
        <f t="array" ref="X88">IFERROR(_xlfn.IFS(V88=0,0,V88="","",W88=0,V88,OR(V88&lt;&gt;0,V88&lt;&gt;""),H88*I88),V88*(1-W88))</f>
        <v>100</v>
      </c>
    </row>
    <row r="89" spans="2:24" x14ac:dyDescent="0.25">
      <c r="B89" t="s">
        <v>673</v>
      </c>
      <c r="C89" t="s">
        <v>2122</v>
      </c>
      <c r="D89" t="s">
        <v>2207</v>
      </c>
      <c r="E89" t="s">
        <v>2124</v>
      </c>
      <c r="F89" s="116" t="str">
        <f t="shared" si="4"/>
        <v>Included</v>
      </c>
      <c r="G89" t="str">
        <f>IF(B89="","",INDEX(SF_Output!$K$1:$K$400,MATCH(B89,SF_Output!$M$1:$M$400,0)))</f>
        <v>Card Processing Solutions (CPS)</v>
      </c>
      <c r="H89" cm="1">
        <f t="array" ref="H89">_xlfn.IFS(B89="","",(SUMIFS(SF_Output!$F$1:$F$400,SF_Output!$AC$1:$AC$400,_xlfn.TEXTJOIN(",",TRUE,B89:E89))+SUMIFS(SF_Output!$G$1:$G$400,SF_Output!$AC$1:$AC$400,_xlfn.TEXTJOIN(",",TRUE,B89:E89)))&lt;&gt;0,SF_Output!$Y$2,INDEX(SF_Output!$F$1:$F$400,MATCH(_xlfn.TEXTJOIN(",",TRUE,B89:E89),SF_Output!$AC$1:$AC$400,0))=0,INDEX(SF_Output!$R$1:$R$400,MATCH(_xlfn.TEXTJOIN(",",TRUE,B89:E89),SF_Output!$AC$1:$AC$400,0)))</f>
        <v>1</v>
      </c>
      <c r="I89" s="125" t="str">
        <f>IFERROR(IF(AND(H89&gt;1,H89&lt;&gt;""),ROUND(SUMIFS(SF_Output!$S$1:$S$400,SF_Output!$AC$1:$AC$400,_xlfn.TEXTJOIN(",",TRUE,B89:E89),SF_Output!$Q$1:$Q$400,"monthly")*(1-W89)/H89,4),""),"")</f>
        <v/>
      </c>
      <c r="J89" s="6">
        <f>IF(B89="","",SUMIFS(SF_Output!$S$1:$S$400,SF_Output!$AC$1:$AC$400,_xlfn.TEXTJOIN(",",TRUE,B89:E89),SF_Output!$Q$1:$Q$400,"One Time",SF_Output!$L$1:$L$400,"license fee")+SUMIFS(SF_Output!$S$1:$S$400,SF_Output!$AC$1:$AC$400,_xlfn.TEXTJOIN(",",TRUE,B89:E89),SF_Output!$Q$1:$Q$400,"One Time",SF_Output!$L$1:$L$400,"software license")+SUMIFS(SF_Output!$S$1:$S$400,SF_Output!$AC$1:$AC$400,_xlfn.TEXTJOIN(",",TRUE,B89:E89),SF_Output!$Q$1:$Q$400,"One Time",SF_Output!$L$1:$L$400,"hardware"))</f>
        <v>0</v>
      </c>
      <c r="K89" s="112" t="str">
        <f>IF(OR(B89=0,B89="",G89="hardware",J89=0),"",IF(AF89&lt;&gt;"exclusion",MAX(K$9,-((SUMIFS(SF_Output!$T$1:$T$400,SF_Output!$AC$1:$AC$400,_xlfn.TEXTJOIN(",",TRUE,$B89:$E89),SF_Output!$Q$1:$Q$400,"One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license"))/J89)))</f>
        <v/>
      </c>
      <c r="L89" s="6">
        <f t="shared" si="5"/>
        <v>0</v>
      </c>
      <c r="N89" s="6">
        <f>IF(B89="","",SUMIFS(SF_Output!$S$1:$S$400,SF_Output!$AC$1:$AC$400,_xlfn.TEXTJOIN(",",TRUE,B89:E89),SF_Output!$Q$1:$Q$400,"One Time",SF_Output!$L$1:$L$400,"professional service"))</f>
        <v>12500</v>
      </c>
      <c r="O89" s="112">
        <f>IF(OR(B89=0,B89="",N89=0),"",IF(AF89&lt;&gt;"exclusion",MAX(O$9,-(SUMIFS(SF_Output!$T$1:$T$400,SF_Output!$AC$1:$AC$400,_xlfn.TEXTJOIN(",",TRUE,$B89:$E89),SF_Output!$Q$1:$Q$400,"One Time",SF_Output!$L$1:$L$400,"professional service"))/N89),-((SUMIFS(SF_Output!$T$1:$T$400,SF_Output!$AC$1:$AC$400,_xlfn.TEXTJOIN(",",TRUE,$B89:$E89),SF_Output!$Q$1:$Q$400,"One Time",SF_Output!$L$1:$L$400,"professional service")/N89))))</f>
        <v>1</v>
      </c>
      <c r="P89" s="6">
        <f t="shared" si="6"/>
        <v>0</v>
      </c>
      <c r="R89" s="6">
        <f>IF(B89="","",SUMIFS(SF_Output!$S$1:$S$400,SF_Output!$AC$1:$AC$400,_xlfn.TEXTJOIN(",",TRUE,B89:E89),SF_Output!$Q$1:$Q$400,"yearly")+SUMIFS(SF_Output!$S$1:$S$400,SF_Output!$AC$1:$AC$400,_xlfn.TEXTJOIN(",",TRUE,B89:E89),SF_Output!$Q$1:$Q$400,"quarterly")*4)</f>
        <v>0</v>
      </c>
      <c r="S89" s="112" t="str">
        <f>IF(OR(B89=0,B89="",G89="hardware",R89=0),"",IF(AF89&lt;&gt;"exclusion",MAX(S$9,-(SUMIFS(SF_Output!$T$1:$T$400,SF_Output!$AC$1:$AC$400,_xlfn.TEXTJOIN(",",TRUE,$B89:$E89),SF_Output!$Q$1:$Q$400,"yearly"))/R89),-((SUMIFS(SF_Output!$T$1:$T$400,SF_Output!$AC$1:$AC$400,_xlfn.TEXTJOIN(",",TRUE,$B89:$E89),SF_Output!$Q$1:$Q$400,"yearly")/R89))))</f>
        <v/>
      </c>
      <c r="T89" s="6">
        <f t="shared" si="7"/>
        <v>0</v>
      </c>
      <c r="V89" s="6" cm="1">
        <f t="array" ref="V89">_xlfn.IFS(B89="","",AND(B89&lt;&gt;"",H89=SF_Output!$Y$2,SUMIFS(SF_Output!$T$1:$T$400,SF_Output!$AC$1:$AC$400,_xlfn.TEXTJOIN(",",TRUE,B89:E89),SF_Output!$Q$1:$Q$400,"monthly")=0),(SUMIFS(SF_Output!$F$1:$F$400,SF_Output!$AC$1:$AC$400,_xlfn.TEXTJOIN(",",TRUE,B89:E89),SF_Output!$Q$1:$Q$400,"monthly")+SUMIFS(SF_Output!$G$1:$G$400,SF_Output!$AC$1:$AC$400,_xlfn.TEXTJOIN(",",TRUE,B89:E89),SF_Output!$Q$1:$Q$400,"monthly"))*H89,AND(B89&lt;&gt;"",H89=SF_Output!$Y$2,SUMIFS(SF_Output!$T$1:$T$400,SF_Output!$AC$1:$AC$400,_xlfn.TEXTJOIN(",",TRUE,B89:E89),SF_Output!$Q$1:$Q$400,"monthly")&lt;&gt;0),SUMIFS(SF_Output!$S$1:$S$400,SF_Output!$AC$1:$AC$400,_xlfn.TEXTJOIN(",",TRUE,B89:E89),SF_Output!$Q$1:$Q$400,"monthly"),AND(B89&lt;&gt;"",H89&lt;&gt;SF_Output!$Y$2),SUMIFS(SF_Output!$S$1:$S$400,SF_Output!$AC$1:$AC$400,_xlfn.TEXTJOIN(",",TRUE,B89:E89),SF_Output!$Q$1:$Q$400,"monthly"))</f>
        <v>650</v>
      </c>
      <c r="W89" s="112" cm="1">
        <f t="array" ref="W89">_xlfn.IFS(OR(B89=0,B89="",V89=0),"",AF89&lt;&gt;"exclusion",MAX($W$9,$W$7,(-(SUMIFS(SF_Output!$T$1:$T$400,SF_Output!$AC$1:$AC$400,_xlfn.TEXTJOIN(",",TRUE,$B89:$E89),SF_Output!$Q$1:$Q$400,"monthly"))/V89)),AF89="exclusion",-(SUMIFS(SF_Output!$T$1:$T$400,SF_Output!$AC$1:$AC$400,_xlfn.TEXTJOIN(",",TRUE,$B89:$E89),SF_Output!$Q$1:$Q$400,"monthly"))/V89)</f>
        <v>0</v>
      </c>
      <c r="X89" s="6" cm="1">
        <f t="array" ref="X89">IFERROR(_xlfn.IFS(V89=0,0,V89="","",W89=0,V89,OR(V89&lt;&gt;0,V89&lt;&gt;""),H89*I89),V89*(1-W89))</f>
        <v>650</v>
      </c>
    </row>
    <row r="90" spans="2:24" x14ac:dyDescent="0.25">
      <c r="B90" t="s">
        <v>2343</v>
      </c>
      <c r="C90" t="s">
        <v>2122</v>
      </c>
      <c r="D90" t="s">
        <v>2207</v>
      </c>
      <c r="E90" t="s">
        <v>2124</v>
      </c>
      <c r="F90" s="116" t="str">
        <f t="shared" si="4"/>
        <v>Included</v>
      </c>
      <c r="G90" t="str">
        <f>IF(B90="","",INDEX(SF_Output!$K$1:$K$400,MATCH(B90,SF_Output!$M$1:$M$400,0)))</f>
        <v>Card Processing Solutions (CPS)</v>
      </c>
      <c r="H90" cm="1">
        <f t="array" ref="H90">_xlfn.IFS(B90="","",(SUMIFS(SF_Output!$F$1:$F$400,SF_Output!$AC$1:$AC$400,_xlfn.TEXTJOIN(",",TRUE,B90:E90))+SUMIFS(SF_Output!$G$1:$G$400,SF_Output!$AC$1:$AC$400,_xlfn.TEXTJOIN(",",TRUE,B90:E90)))&lt;&gt;0,SF_Output!$Y$2,INDEX(SF_Output!$F$1:$F$400,MATCH(_xlfn.TEXTJOIN(",",TRUE,B90:E90),SF_Output!$AC$1:$AC$400,0))=0,INDEX(SF_Output!$R$1:$R$400,MATCH(_xlfn.TEXTJOIN(",",TRUE,B90:E90),SF_Output!$AC$1:$AC$400,0)))</f>
        <v>1</v>
      </c>
      <c r="I90" s="125" t="str">
        <f>IFERROR(IF(AND(H90&gt;1,H90&lt;&gt;""),ROUND(SUMIFS(SF_Output!$S$1:$S$400,SF_Output!$AC$1:$AC$400,_xlfn.TEXTJOIN(",",TRUE,B90:E90),SF_Output!$Q$1:$Q$400,"monthly")*(1-W90)/H90,4),""),"")</f>
        <v/>
      </c>
      <c r="J90" s="6">
        <f>IF(B90="","",SUMIFS(SF_Output!$S$1:$S$400,SF_Output!$AC$1:$AC$400,_xlfn.TEXTJOIN(",",TRUE,B90:E90),SF_Output!$Q$1:$Q$400,"One Time",SF_Output!$L$1:$L$400,"license fee")+SUMIFS(SF_Output!$S$1:$S$400,SF_Output!$AC$1:$AC$400,_xlfn.TEXTJOIN(",",TRUE,B90:E90),SF_Output!$Q$1:$Q$400,"One Time",SF_Output!$L$1:$L$400,"software license")+SUMIFS(SF_Output!$S$1:$S$400,SF_Output!$AC$1:$AC$400,_xlfn.TEXTJOIN(",",TRUE,B90:E90),SF_Output!$Q$1:$Q$400,"One Time",SF_Output!$L$1:$L$400,"hardware"))</f>
        <v>0</v>
      </c>
      <c r="K90" s="112" t="str">
        <f>IF(OR(B90=0,B90="",G90="hardware",J90=0),"",IF(AF90&lt;&gt;"exclusion",MAX(K$9,-((SUMIFS(SF_Output!$T$1:$T$400,SF_Output!$AC$1:$AC$400,_xlfn.TEXTJOIN(",",TRUE,$B90:$E90),SF_Output!$Q$1:$Q$400,"One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license"))/J90)))</f>
        <v/>
      </c>
      <c r="L90" s="6">
        <f t="shared" si="5"/>
        <v>0</v>
      </c>
      <c r="N90" s="6">
        <f>IF(B90="","",SUMIFS(SF_Output!$S$1:$S$400,SF_Output!$AC$1:$AC$400,_xlfn.TEXTJOIN(",",TRUE,B90:E90),SF_Output!$Q$1:$Q$400,"One Time",SF_Output!$L$1:$L$400,"professional service"))</f>
        <v>0</v>
      </c>
      <c r="O90" s="112" t="str">
        <f>IF(OR(B90=0,B90="",N90=0),"",IF(AF90&lt;&gt;"exclusion",MAX(O$9,-(SUMIFS(SF_Output!$T$1:$T$400,SF_Output!$AC$1:$AC$400,_xlfn.TEXTJOIN(",",TRUE,$B90:$E90),SF_Output!$Q$1:$Q$400,"One Time",SF_Output!$L$1:$L$400,"professional service"))/N90),-((SUMIFS(SF_Output!$T$1:$T$400,SF_Output!$AC$1:$AC$400,_xlfn.TEXTJOIN(",",TRUE,$B90:$E90),SF_Output!$Q$1:$Q$400,"One Time",SF_Output!$L$1:$L$400,"professional service")/N90))))</f>
        <v/>
      </c>
      <c r="P90" s="6">
        <f t="shared" si="6"/>
        <v>0</v>
      </c>
      <c r="R90" s="6">
        <f>IF(B90="","",SUMIFS(SF_Output!$S$1:$S$400,SF_Output!$AC$1:$AC$400,_xlfn.TEXTJOIN(",",TRUE,B90:E90),SF_Output!$Q$1:$Q$400,"yearly")+SUMIFS(SF_Output!$S$1:$S$400,SF_Output!$AC$1:$AC$400,_xlfn.TEXTJOIN(",",TRUE,B90:E90),SF_Output!$Q$1:$Q$400,"quarterly")*4)</f>
        <v>0</v>
      </c>
      <c r="S90" s="112" t="str">
        <f>IF(OR(B90=0,B90="",G90="hardware",R90=0),"",IF(AF90&lt;&gt;"exclusion",MAX(S$9,-(SUMIFS(SF_Output!$T$1:$T$400,SF_Output!$AC$1:$AC$400,_xlfn.TEXTJOIN(",",TRUE,$B90:$E90),SF_Output!$Q$1:$Q$400,"yearly"))/R90),-((SUMIFS(SF_Output!$T$1:$T$400,SF_Output!$AC$1:$AC$400,_xlfn.TEXTJOIN(",",TRUE,$B90:$E90),SF_Output!$Q$1:$Q$400,"yearly")/R90))))</f>
        <v/>
      </c>
      <c r="T90" s="6">
        <f t="shared" si="7"/>
        <v>0</v>
      </c>
      <c r="V90" s="6" cm="1">
        <f t="array" ref="V90">_xlfn.IFS(B90="","",AND(B90&lt;&gt;"",H90=SF_Output!$Y$2,SUMIFS(SF_Output!$T$1:$T$400,SF_Output!$AC$1:$AC$400,_xlfn.TEXTJOIN(",",TRUE,B90:E90),SF_Output!$Q$1:$Q$400,"monthly")=0),(SUMIFS(SF_Output!$F$1:$F$400,SF_Output!$AC$1:$AC$400,_xlfn.TEXTJOIN(",",TRUE,B90:E90),SF_Output!$Q$1:$Q$400,"monthly")+SUMIFS(SF_Output!$G$1:$G$400,SF_Output!$AC$1:$AC$400,_xlfn.TEXTJOIN(",",TRUE,B90:E90),SF_Output!$Q$1:$Q$400,"monthly"))*H90,AND(B90&lt;&gt;"",H90=SF_Output!$Y$2,SUMIFS(SF_Output!$T$1:$T$400,SF_Output!$AC$1:$AC$400,_xlfn.TEXTJOIN(",",TRUE,B90:E90),SF_Output!$Q$1:$Q$400,"monthly")&lt;&gt;0),SUMIFS(SF_Output!$S$1:$S$400,SF_Output!$AC$1:$AC$400,_xlfn.TEXTJOIN(",",TRUE,B90:E90),SF_Output!$Q$1:$Q$400,"monthly"),AND(B90&lt;&gt;"",H90&lt;&gt;SF_Output!$Y$2),SUMIFS(SF_Output!$S$1:$S$400,SF_Output!$AC$1:$AC$400,_xlfn.TEXTJOIN(",",TRUE,B90:E90),SF_Output!$Q$1:$Q$400,"monthly"))</f>
        <v>250</v>
      </c>
      <c r="W90" s="112" cm="1">
        <f t="array" ref="W90">_xlfn.IFS(OR(B90=0,B90="",V90=0),"",AF90&lt;&gt;"exclusion",MAX($W$9,$W$7,(-(SUMIFS(SF_Output!$T$1:$T$400,SF_Output!$AC$1:$AC$400,_xlfn.TEXTJOIN(",",TRUE,$B90:$E90),SF_Output!$Q$1:$Q$400,"monthly"))/V90)),AF90="exclusion",-(SUMIFS(SF_Output!$T$1:$T$400,SF_Output!$AC$1:$AC$400,_xlfn.TEXTJOIN(",",TRUE,$B90:$E90),SF_Output!$Q$1:$Q$400,"monthly"))/V90)</f>
        <v>0</v>
      </c>
      <c r="X90" s="6" cm="1">
        <f t="array" ref="X90">IFERROR(_xlfn.IFS(V90=0,0,V90="","",W90=0,V90,OR(V90&lt;&gt;0,V90&lt;&gt;""),H90*I90),V90*(1-W90))</f>
        <v>250</v>
      </c>
    </row>
    <row r="91" spans="2:24" x14ac:dyDescent="0.25">
      <c r="B91" t="s">
        <v>679</v>
      </c>
      <c r="C91" t="s">
        <v>2122</v>
      </c>
      <c r="D91" t="s">
        <v>2207</v>
      </c>
      <c r="E91" t="s">
        <v>2124</v>
      </c>
      <c r="F91" s="116" t="str">
        <f t="shared" si="4"/>
        <v>Included</v>
      </c>
      <c r="G91" t="str">
        <f>IF(B91="","",INDEX(SF_Output!$K$1:$K$400,MATCH(B91,SF_Output!$M$1:$M$400,0)))</f>
        <v>Card Processing Solutions (CPS)</v>
      </c>
      <c r="H91" cm="1">
        <f t="array" ref="H91">_xlfn.IFS(B91="","",(SUMIFS(SF_Output!$F$1:$F$400,SF_Output!$AC$1:$AC$400,_xlfn.TEXTJOIN(",",TRUE,B91:E91))+SUMIFS(SF_Output!$G$1:$G$400,SF_Output!$AC$1:$AC$400,_xlfn.TEXTJOIN(",",TRUE,B91:E91)))&lt;&gt;0,SF_Output!$Y$2,INDEX(SF_Output!$F$1:$F$400,MATCH(_xlfn.TEXTJOIN(",",TRUE,B91:E91),SF_Output!$AC$1:$AC$400,0))=0,INDEX(SF_Output!$R$1:$R$400,MATCH(_xlfn.TEXTJOIN(",",TRUE,B91:E91),SF_Output!$AC$1:$AC$400,0)))</f>
        <v>0</v>
      </c>
      <c r="I91" s="125" t="str">
        <f>IFERROR(IF(AND(H91&gt;1,H91&lt;&gt;""),ROUND(SUMIFS(SF_Output!$S$1:$S$400,SF_Output!$AC$1:$AC$400,_xlfn.TEXTJOIN(",",TRUE,B91:E91),SF_Output!$Q$1:$Q$400,"monthly")*(1-W91)/H91,4),""),"")</f>
        <v/>
      </c>
      <c r="J91" s="6">
        <f>IF(B91="","",SUMIFS(SF_Output!$S$1:$S$400,SF_Output!$AC$1:$AC$400,_xlfn.TEXTJOIN(",",TRUE,B91:E91),SF_Output!$Q$1:$Q$400,"One Time",SF_Output!$L$1:$L$400,"license fee")+SUMIFS(SF_Output!$S$1:$S$400,SF_Output!$AC$1:$AC$400,_xlfn.TEXTJOIN(",",TRUE,B91:E91),SF_Output!$Q$1:$Q$400,"One Time",SF_Output!$L$1:$L$400,"software license")+SUMIFS(SF_Output!$S$1:$S$400,SF_Output!$AC$1:$AC$400,_xlfn.TEXTJOIN(",",TRUE,B91:E91),SF_Output!$Q$1:$Q$400,"One Time",SF_Output!$L$1:$L$400,"hardware"))</f>
        <v>0</v>
      </c>
      <c r="K91" s="112" t="str">
        <f>IF(OR(B91=0,B91="",G91="hardware",J91=0),"",IF(AF91&lt;&gt;"exclusion",MAX(K$9,-((SUMIFS(SF_Output!$T$1:$T$400,SF_Output!$AC$1:$AC$400,_xlfn.TEXTJOIN(",",TRUE,$B91:$E91),SF_Output!$Q$1:$Q$400,"One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license"))/J91)))</f>
        <v/>
      </c>
      <c r="L91" s="6">
        <f t="shared" si="5"/>
        <v>0</v>
      </c>
      <c r="N91" s="6">
        <f>IF(B91="","",SUMIFS(SF_Output!$S$1:$S$400,SF_Output!$AC$1:$AC$400,_xlfn.TEXTJOIN(",",TRUE,B91:E91),SF_Output!$Q$1:$Q$400,"One Time",SF_Output!$L$1:$L$400,"professional service"))</f>
        <v>0</v>
      </c>
      <c r="O91" s="112" t="str">
        <f>IF(OR(B91=0,B91="",N91=0),"",IF(AF91&lt;&gt;"exclusion",MAX(O$9,-(SUMIFS(SF_Output!$T$1:$T$400,SF_Output!$AC$1:$AC$400,_xlfn.TEXTJOIN(",",TRUE,$B91:$E91),SF_Output!$Q$1:$Q$400,"One Time",SF_Output!$L$1:$L$400,"professional service"))/N91),-((SUMIFS(SF_Output!$T$1:$T$400,SF_Output!$AC$1:$AC$400,_xlfn.TEXTJOIN(",",TRUE,$B91:$E91),SF_Output!$Q$1:$Q$400,"One Time",SF_Output!$L$1:$L$400,"professional service")/N91))))</f>
        <v/>
      </c>
      <c r="P91" s="6">
        <f t="shared" si="6"/>
        <v>0</v>
      </c>
      <c r="R91" s="6">
        <f>IF(B91="","",SUMIFS(SF_Output!$S$1:$S$400,SF_Output!$AC$1:$AC$400,_xlfn.TEXTJOIN(",",TRUE,B91:E91),SF_Output!$Q$1:$Q$400,"yearly")+SUMIFS(SF_Output!$S$1:$S$400,SF_Output!$AC$1:$AC$400,_xlfn.TEXTJOIN(",",TRUE,B91:E91),SF_Output!$Q$1:$Q$400,"quarterly")*4)</f>
        <v>0</v>
      </c>
      <c r="S91" s="112" t="str">
        <f>IF(OR(B91=0,B91="",G91="hardware",R91=0),"",IF(AF91&lt;&gt;"exclusion",MAX(S$9,-(SUMIFS(SF_Output!$T$1:$T$400,SF_Output!$AC$1:$AC$400,_xlfn.TEXTJOIN(",",TRUE,$B91:$E91),SF_Output!$Q$1:$Q$400,"yearly"))/R91),-((SUMIFS(SF_Output!$T$1:$T$400,SF_Output!$AC$1:$AC$400,_xlfn.TEXTJOIN(",",TRUE,$B91:$E91),SF_Output!$Q$1:$Q$400,"yearly")/R91))))</f>
        <v/>
      </c>
      <c r="T91" s="6">
        <f t="shared" si="7"/>
        <v>0</v>
      </c>
      <c r="V91" s="6" cm="1">
        <f t="array" ref="V91">_xlfn.IFS(B91="","",AND(B91&lt;&gt;"",H91=SF_Output!$Y$2,SUMIFS(SF_Output!$T$1:$T$400,SF_Output!$AC$1:$AC$400,_xlfn.TEXTJOIN(",",TRUE,B91:E91),SF_Output!$Q$1:$Q$400,"monthly")=0),(SUMIFS(SF_Output!$F$1:$F$400,SF_Output!$AC$1:$AC$400,_xlfn.TEXTJOIN(",",TRUE,B91:E91),SF_Output!$Q$1:$Q$400,"monthly")+SUMIFS(SF_Output!$G$1:$G$400,SF_Output!$AC$1:$AC$400,_xlfn.TEXTJOIN(",",TRUE,B91:E91),SF_Output!$Q$1:$Q$400,"monthly"))*H91,AND(B91&lt;&gt;"",H91=SF_Output!$Y$2,SUMIFS(SF_Output!$T$1:$T$400,SF_Output!$AC$1:$AC$400,_xlfn.TEXTJOIN(",",TRUE,B91:E91),SF_Output!$Q$1:$Q$400,"monthly")&lt;&gt;0),SUMIFS(SF_Output!$S$1:$S$400,SF_Output!$AC$1:$AC$400,_xlfn.TEXTJOIN(",",TRUE,B91:E91),SF_Output!$Q$1:$Q$400,"monthly"),AND(B91&lt;&gt;"",H91&lt;&gt;SF_Output!$Y$2),SUMIFS(SF_Output!$S$1:$S$400,SF_Output!$AC$1:$AC$400,_xlfn.TEXTJOIN(",",TRUE,B91:E91),SF_Output!$Q$1:$Q$400,"monthly"))</f>
        <v>0</v>
      </c>
      <c r="W91" s="112" t="str" cm="1">
        <f t="array" ref="W91">_xlfn.IFS(OR(B91=0,B91="",V91=0),"",AF91&lt;&gt;"exclusion",MAX($W$9,$W$7,(-(SUMIFS(SF_Output!$T$1:$T$400,SF_Output!$AC$1:$AC$400,_xlfn.TEXTJOIN(",",TRUE,$B91:$E91),SF_Output!$Q$1:$Q$400,"monthly"))/V91)),AF91="exclusion",-(SUMIFS(SF_Output!$T$1:$T$400,SF_Output!$AC$1:$AC$400,_xlfn.TEXTJOIN(",",TRUE,$B91:$E91),SF_Output!$Q$1:$Q$400,"monthly"))/V91)</f>
        <v/>
      </c>
      <c r="X91" s="6" cm="1">
        <f t="array" ref="X91">IFERROR(_xlfn.IFS(V91=0,0,V91="","",W91=0,V91,OR(V91&lt;&gt;0,V91&lt;&gt;""),H91*I91),V91*(1-W91))</f>
        <v>0</v>
      </c>
    </row>
    <row r="92" spans="2:24" x14ac:dyDescent="0.25">
      <c r="B92" t="s">
        <v>681</v>
      </c>
      <c r="C92" t="s">
        <v>2122</v>
      </c>
      <c r="D92" t="s">
        <v>2207</v>
      </c>
      <c r="E92" t="s">
        <v>2124</v>
      </c>
      <c r="F92" s="116" t="str">
        <f t="shared" si="4"/>
        <v>Included</v>
      </c>
      <c r="G92" t="str">
        <f>IF(B92="","",INDEX(SF_Output!$K$1:$K$400,MATCH(B92,SF_Output!$M$1:$M$400,0)))</f>
        <v>Card Processing Solutions (CPS)</v>
      </c>
      <c r="H92" cm="1">
        <f t="array" ref="H92">_xlfn.IFS(B92="","",(SUMIFS(SF_Output!$F$1:$F$400,SF_Output!$AC$1:$AC$400,_xlfn.TEXTJOIN(",",TRUE,B92:E92))+SUMIFS(SF_Output!$G$1:$G$400,SF_Output!$AC$1:$AC$400,_xlfn.TEXTJOIN(",",TRUE,B92:E92)))&lt;&gt;0,SF_Output!$Y$2,INDEX(SF_Output!$F$1:$F$400,MATCH(_xlfn.TEXTJOIN(",",TRUE,B92:E92),SF_Output!$AC$1:$AC$400,0))=0,INDEX(SF_Output!$R$1:$R$400,MATCH(_xlfn.TEXTJOIN(",",TRUE,B92:E92),SF_Output!$AC$1:$AC$400,0)))</f>
        <v>0</v>
      </c>
      <c r="I92" s="125" t="str">
        <f>IFERROR(IF(AND(H92&gt;1,H92&lt;&gt;""),ROUND(SUMIFS(SF_Output!$S$1:$S$400,SF_Output!$AC$1:$AC$400,_xlfn.TEXTJOIN(",",TRUE,B92:E92),SF_Output!$Q$1:$Q$400,"monthly")*(1-W92)/H92,4),""),"")</f>
        <v/>
      </c>
      <c r="J92" s="6">
        <f>IF(B92="","",SUMIFS(SF_Output!$S$1:$S$400,SF_Output!$AC$1:$AC$400,_xlfn.TEXTJOIN(",",TRUE,B92:E92),SF_Output!$Q$1:$Q$400,"One Time",SF_Output!$L$1:$L$400,"license fee")+SUMIFS(SF_Output!$S$1:$S$400,SF_Output!$AC$1:$AC$400,_xlfn.TEXTJOIN(",",TRUE,B92:E92),SF_Output!$Q$1:$Q$400,"One Time",SF_Output!$L$1:$L$400,"software license")+SUMIFS(SF_Output!$S$1:$S$400,SF_Output!$AC$1:$AC$400,_xlfn.TEXTJOIN(",",TRUE,B92:E92),SF_Output!$Q$1:$Q$400,"One Time",SF_Output!$L$1:$L$400,"hardware"))</f>
        <v>0</v>
      </c>
      <c r="K92" s="112" t="str">
        <f>IF(OR(B92=0,B92="",G92="hardware",J92=0),"",IF(AF92&lt;&gt;"exclusion",MAX(K$9,-((SUMIFS(SF_Output!$T$1:$T$400,SF_Output!$AC$1:$AC$400,_xlfn.TEXTJOIN(",",TRUE,$B92:$E92),SF_Output!$Q$1:$Q$400,"One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license"))/J92)))</f>
        <v/>
      </c>
      <c r="L92" s="6">
        <f t="shared" si="5"/>
        <v>0</v>
      </c>
      <c r="N92" s="6">
        <f>IF(B92="","",SUMIFS(SF_Output!$S$1:$S$400,SF_Output!$AC$1:$AC$400,_xlfn.TEXTJOIN(",",TRUE,B92:E92),SF_Output!$Q$1:$Q$400,"One Time",SF_Output!$L$1:$L$400,"professional service"))</f>
        <v>0</v>
      </c>
      <c r="O92" s="112" t="str">
        <f>IF(OR(B92=0,B92="",N92=0),"",IF(AF92&lt;&gt;"exclusion",MAX(O$9,-(SUMIFS(SF_Output!$T$1:$T$400,SF_Output!$AC$1:$AC$400,_xlfn.TEXTJOIN(",",TRUE,$B92:$E92),SF_Output!$Q$1:$Q$400,"One Time",SF_Output!$L$1:$L$400,"professional service"))/N92),-((SUMIFS(SF_Output!$T$1:$T$400,SF_Output!$AC$1:$AC$400,_xlfn.TEXTJOIN(",",TRUE,$B92:$E92),SF_Output!$Q$1:$Q$400,"One Time",SF_Output!$L$1:$L$400,"professional service")/N92))))</f>
        <v/>
      </c>
      <c r="P92" s="6">
        <f t="shared" si="6"/>
        <v>0</v>
      </c>
      <c r="R92" s="6">
        <f>IF(B92="","",SUMIFS(SF_Output!$S$1:$S$400,SF_Output!$AC$1:$AC$400,_xlfn.TEXTJOIN(",",TRUE,B92:E92),SF_Output!$Q$1:$Q$400,"yearly")+SUMIFS(SF_Output!$S$1:$S$400,SF_Output!$AC$1:$AC$400,_xlfn.TEXTJOIN(",",TRUE,B92:E92),SF_Output!$Q$1:$Q$400,"quarterly")*4)</f>
        <v>0</v>
      </c>
      <c r="S92" s="112" t="str">
        <f>IF(OR(B92=0,B92="",G92="hardware",R92=0),"",IF(AF92&lt;&gt;"exclusion",MAX(S$9,-(SUMIFS(SF_Output!$T$1:$T$400,SF_Output!$AC$1:$AC$400,_xlfn.TEXTJOIN(",",TRUE,$B92:$E92),SF_Output!$Q$1:$Q$400,"yearly"))/R92),-((SUMIFS(SF_Output!$T$1:$T$400,SF_Output!$AC$1:$AC$400,_xlfn.TEXTJOIN(",",TRUE,$B92:$E92),SF_Output!$Q$1:$Q$400,"yearly")/R92))))</f>
        <v/>
      </c>
      <c r="T92" s="6">
        <f t="shared" si="7"/>
        <v>0</v>
      </c>
      <c r="V92" s="6" cm="1">
        <f t="array" ref="V92">_xlfn.IFS(B92="","",AND(B92&lt;&gt;"",H92=SF_Output!$Y$2,SUMIFS(SF_Output!$T$1:$T$400,SF_Output!$AC$1:$AC$400,_xlfn.TEXTJOIN(",",TRUE,B92:E92),SF_Output!$Q$1:$Q$400,"monthly")=0),(SUMIFS(SF_Output!$F$1:$F$400,SF_Output!$AC$1:$AC$400,_xlfn.TEXTJOIN(",",TRUE,B92:E92),SF_Output!$Q$1:$Q$400,"monthly")+SUMIFS(SF_Output!$G$1:$G$400,SF_Output!$AC$1:$AC$400,_xlfn.TEXTJOIN(",",TRUE,B92:E92),SF_Output!$Q$1:$Q$400,"monthly"))*H92,AND(B92&lt;&gt;"",H92=SF_Output!$Y$2,SUMIFS(SF_Output!$T$1:$T$400,SF_Output!$AC$1:$AC$400,_xlfn.TEXTJOIN(",",TRUE,B92:E92),SF_Output!$Q$1:$Q$400,"monthly")&lt;&gt;0),SUMIFS(SF_Output!$S$1:$S$400,SF_Output!$AC$1:$AC$400,_xlfn.TEXTJOIN(",",TRUE,B92:E92),SF_Output!$Q$1:$Q$400,"monthly"),AND(B92&lt;&gt;"",H92&lt;&gt;SF_Output!$Y$2),SUMIFS(SF_Output!$S$1:$S$400,SF_Output!$AC$1:$AC$400,_xlfn.TEXTJOIN(",",TRUE,B92:E92),SF_Output!$Q$1:$Q$400,"monthly"))</f>
        <v>0</v>
      </c>
      <c r="W92" s="112" t="str" cm="1">
        <f t="array" ref="W92">_xlfn.IFS(OR(B92=0,B92="",V92=0),"",AF92&lt;&gt;"exclusion",MAX($W$9,$W$7,(-(SUMIFS(SF_Output!$T$1:$T$400,SF_Output!$AC$1:$AC$400,_xlfn.TEXTJOIN(",",TRUE,$B92:$E92),SF_Output!$Q$1:$Q$400,"monthly"))/V92)),AF92="exclusion",-(SUMIFS(SF_Output!$T$1:$T$400,SF_Output!$AC$1:$AC$400,_xlfn.TEXTJOIN(",",TRUE,$B92:$E92),SF_Output!$Q$1:$Q$400,"monthly"))/V92)</f>
        <v/>
      </c>
      <c r="X92" s="6" cm="1">
        <f t="array" ref="X92">IFERROR(_xlfn.IFS(V92=0,0,V92="","",W92=0,V92,OR(V92&lt;&gt;0,V92&lt;&gt;""),H92*I92),V92*(1-W92))</f>
        <v>0</v>
      </c>
    </row>
    <row r="93" spans="2:24" x14ac:dyDescent="0.25">
      <c r="B93" t="s">
        <v>2347</v>
      </c>
      <c r="C93" t="s">
        <v>2122</v>
      </c>
      <c r="D93" t="s">
        <v>2207</v>
      </c>
      <c r="E93" t="s">
        <v>2124</v>
      </c>
      <c r="F93" s="116" t="str">
        <f t="shared" si="4"/>
        <v>Included</v>
      </c>
      <c r="G93" t="str">
        <f>IF(B93="","",INDEX(SF_Output!$K$1:$K$400,MATCH(B93,SF_Output!$M$1:$M$400,0)))</f>
        <v>Card Processing Solutions (CPS)</v>
      </c>
      <c r="H93" cm="1">
        <f t="array" ref="H93">_xlfn.IFS(B93="","",(SUMIFS(SF_Output!$F$1:$F$400,SF_Output!$AC$1:$AC$400,_xlfn.TEXTJOIN(",",TRUE,B93:E93))+SUMIFS(SF_Output!$G$1:$G$400,SF_Output!$AC$1:$AC$400,_xlfn.TEXTJOIN(",",TRUE,B93:E93)))&lt;&gt;0,SF_Output!$Y$2,INDEX(SF_Output!$F$1:$F$400,MATCH(_xlfn.TEXTJOIN(",",TRUE,B93:E93),SF_Output!$AC$1:$AC$400,0))=0,INDEX(SF_Output!$R$1:$R$400,MATCH(_xlfn.TEXTJOIN(",",TRUE,B93:E93),SF_Output!$AC$1:$AC$400,0)))</f>
        <v>0</v>
      </c>
      <c r="I93" s="125" t="str">
        <f>IFERROR(IF(AND(H93&gt;1,H93&lt;&gt;""),ROUND(SUMIFS(SF_Output!$S$1:$S$400,SF_Output!$AC$1:$AC$400,_xlfn.TEXTJOIN(",",TRUE,B93:E93),SF_Output!$Q$1:$Q$400,"monthly")*(1-W93)/H93,4),""),"")</f>
        <v/>
      </c>
      <c r="J93" s="6">
        <f>IF(B93="","",SUMIFS(SF_Output!$S$1:$S$400,SF_Output!$AC$1:$AC$400,_xlfn.TEXTJOIN(",",TRUE,B93:E93),SF_Output!$Q$1:$Q$400,"One Time",SF_Output!$L$1:$L$400,"license fee")+SUMIFS(SF_Output!$S$1:$S$400,SF_Output!$AC$1:$AC$400,_xlfn.TEXTJOIN(",",TRUE,B93:E93),SF_Output!$Q$1:$Q$400,"One Time",SF_Output!$L$1:$L$400,"software license")+SUMIFS(SF_Output!$S$1:$S$400,SF_Output!$AC$1:$AC$400,_xlfn.TEXTJOIN(",",TRUE,B93:E93),SF_Output!$Q$1:$Q$400,"One Time",SF_Output!$L$1:$L$400,"hardware"))</f>
        <v>0</v>
      </c>
      <c r="K93" s="112" t="str">
        <f>IF(OR(B93=0,B93="",G93="hardware",J93=0),"",IF(AF93&lt;&gt;"exclusion",MAX(K$9,-((SUMIFS(SF_Output!$T$1:$T$400,SF_Output!$AC$1:$AC$400,_xlfn.TEXTJOIN(",",TRUE,$B93:$E93),SF_Output!$Q$1:$Q$400,"One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license"))/J93)))</f>
        <v/>
      </c>
      <c r="L93" s="6">
        <f t="shared" si="5"/>
        <v>0</v>
      </c>
      <c r="N93" s="6">
        <f>IF(B93="","",SUMIFS(SF_Output!$S$1:$S$400,SF_Output!$AC$1:$AC$400,_xlfn.TEXTJOIN(",",TRUE,B93:E93),SF_Output!$Q$1:$Q$400,"One Time",SF_Output!$L$1:$L$400,"professional service"))</f>
        <v>0</v>
      </c>
      <c r="O93" s="112" t="str">
        <f>IF(OR(B93=0,B93="",N93=0),"",IF(AF93&lt;&gt;"exclusion",MAX(O$9,-(SUMIFS(SF_Output!$T$1:$T$400,SF_Output!$AC$1:$AC$400,_xlfn.TEXTJOIN(",",TRUE,$B93:$E93),SF_Output!$Q$1:$Q$400,"One Time",SF_Output!$L$1:$L$400,"professional service"))/N93),-((SUMIFS(SF_Output!$T$1:$T$400,SF_Output!$AC$1:$AC$400,_xlfn.TEXTJOIN(",",TRUE,$B93:$E93),SF_Output!$Q$1:$Q$400,"One Time",SF_Output!$L$1:$L$400,"professional service")/N93))))</f>
        <v/>
      </c>
      <c r="P93" s="6">
        <f t="shared" si="6"/>
        <v>0</v>
      </c>
      <c r="R93" s="6">
        <f>IF(B93="","",SUMIFS(SF_Output!$S$1:$S$400,SF_Output!$AC$1:$AC$400,_xlfn.TEXTJOIN(",",TRUE,B93:E93),SF_Output!$Q$1:$Q$400,"yearly")+SUMIFS(SF_Output!$S$1:$S$400,SF_Output!$AC$1:$AC$400,_xlfn.TEXTJOIN(",",TRUE,B93:E93),SF_Output!$Q$1:$Q$400,"quarterly")*4)</f>
        <v>0</v>
      </c>
      <c r="S93" s="112" t="str">
        <f>IF(OR(B93=0,B93="",G93="hardware",R93=0),"",IF(AF93&lt;&gt;"exclusion",MAX(S$9,-(SUMIFS(SF_Output!$T$1:$T$400,SF_Output!$AC$1:$AC$400,_xlfn.TEXTJOIN(",",TRUE,$B93:$E93),SF_Output!$Q$1:$Q$400,"yearly"))/R93),-((SUMIFS(SF_Output!$T$1:$T$400,SF_Output!$AC$1:$AC$400,_xlfn.TEXTJOIN(",",TRUE,$B93:$E93),SF_Output!$Q$1:$Q$400,"yearly")/R93))))</f>
        <v/>
      </c>
      <c r="T93" s="6">
        <f t="shared" si="7"/>
        <v>0</v>
      </c>
      <c r="V93" s="6" cm="1">
        <f t="array" ref="V93">_xlfn.IFS(B93="","",AND(B93&lt;&gt;"",H93=SF_Output!$Y$2,SUMIFS(SF_Output!$T$1:$T$400,SF_Output!$AC$1:$AC$400,_xlfn.TEXTJOIN(",",TRUE,B93:E93),SF_Output!$Q$1:$Q$400,"monthly")=0),(SUMIFS(SF_Output!$F$1:$F$400,SF_Output!$AC$1:$AC$400,_xlfn.TEXTJOIN(",",TRUE,B93:E93),SF_Output!$Q$1:$Q$400,"monthly")+SUMIFS(SF_Output!$G$1:$G$400,SF_Output!$AC$1:$AC$400,_xlfn.TEXTJOIN(",",TRUE,B93:E93),SF_Output!$Q$1:$Q$400,"monthly"))*H93,AND(B93&lt;&gt;"",H93=SF_Output!$Y$2,SUMIFS(SF_Output!$T$1:$T$400,SF_Output!$AC$1:$AC$400,_xlfn.TEXTJOIN(",",TRUE,B93:E93),SF_Output!$Q$1:$Q$400,"monthly")&lt;&gt;0),SUMIFS(SF_Output!$S$1:$S$400,SF_Output!$AC$1:$AC$400,_xlfn.TEXTJOIN(",",TRUE,B93:E93),SF_Output!$Q$1:$Q$400,"monthly"),AND(B93&lt;&gt;"",H93&lt;&gt;SF_Output!$Y$2),SUMIFS(SF_Output!$S$1:$S$400,SF_Output!$AC$1:$AC$400,_xlfn.TEXTJOIN(",",TRUE,B93:E93),SF_Output!$Q$1:$Q$400,"monthly"))</f>
        <v>0</v>
      </c>
      <c r="W93" s="112" t="str" cm="1">
        <f t="array" ref="W93">_xlfn.IFS(OR(B93=0,B93="",V93=0),"",AF93&lt;&gt;"exclusion",MAX($W$9,$W$7,(-(SUMIFS(SF_Output!$T$1:$T$400,SF_Output!$AC$1:$AC$400,_xlfn.TEXTJOIN(",",TRUE,$B93:$E93),SF_Output!$Q$1:$Q$400,"monthly"))/V93)),AF93="exclusion",-(SUMIFS(SF_Output!$T$1:$T$400,SF_Output!$AC$1:$AC$400,_xlfn.TEXTJOIN(",",TRUE,$B93:$E93),SF_Output!$Q$1:$Q$400,"monthly"))/V93)</f>
        <v/>
      </c>
      <c r="X93" s="6" cm="1">
        <f t="array" ref="X93">IFERROR(_xlfn.IFS(V93=0,0,V93="","",W93=0,V93,OR(V93&lt;&gt;0,V93&lt;&gt;""),H93*I93),V93*(1-W93))</f>
        <v>0</v>
      </c>
    </row>
    <row r="94" spans="2:24" x14ac:dyDescent="0.25">
      <c r="B94" t="s">
        <v>686</v>
      </c>
      <c r="C94" t="s">
        <v>2122</v>
      </c>
      <c r="D94" t="s">
        <v>2207</v>
      </c>
      <c r="E94" t="s">
        <v>2124</v>
      </c>
      <c r="F94" s="116" t="str">
        <f t="shared" si="4"/>
        <v>Included</v>
      </c>
      <c r="G94" t="str">
        <f>IF(B94="","",INDEX(SF_Output!$K$1:$K$400,MATCH(B94,SF_Output!$M$1:$M$400,0)))</f>
        <v>Card Processing Solutions (CPS)</v>
      </c>
      <c r="H94" cm="1">
        <f t="array" ref="H94">_xlfn.IFS(B94="","",(SUMIFS(SF_Output!$F$1:$F$400,SF_Output!$AC$1:$AC$400,_xlfn.TEXTJOIN(",",TRUE,B94:E94))+SUMIFS(SF_Output!$G$1:$G$400,SF_Output!$AC$1:$AC$400,_xlfn.TEXTJOIN(",",TRUE,B94:E94)))&lt;&gt;0,SF_Output!$Y$2,INDEX(SF_Output!$F$1:$F$400,MATCH(_xlfn.TEXTJOIN(",",TRUE,B94:E94),SF_Output!$AC$1:$AC$400,0))=0,INDEX(SF_Output!$R$1:$R$400,MATCH(_xlfn.TEXTJOIN(",",TRUE,B94:E94),SF_Output!$AC$1:$AC$400,0)))</f>
        <v>0</v>
      </c>
      <c r="I94" s="125" t="str">
        <f>IFERROR(IF(AND(H94&gt;1,H94&lt;&gt;""),ROUND(SUMIFS(SF_Output!$S$1:$S$400,SF_Output!$AC$1:$AC$400,_xlfn.TEXTJOIN(",",TRUE,B94:E94),SF_Output!$Q$1:$Q$400,"monthly")*(1-W94)/H94,4),""),"")</f>
        <v/>
      </c>
      <c r="J94" s="6">
        <f>IF(B94="","",SUMIFS(SF_Output!$S$1:$S$400,SF_Output!$AC$1:$AC$400,_xlfn.TEXTJOIN(",",TRUE,B94:E94),SF_Output!$Q$1:$Q$400,"One Time",SF_Output!$L$1:$L$400,"license fee")+SUMIFS(SF_Output!$S$1:$S$400,SF_Output!$AC$1:$AC$400,_xlfn.TEXTJOIN(",",TRUE,B94:E94),SF_Output!$Q$1:$Q$400,"One Time",SF_Output!$L$1:$L$400,"software license")+SUMIFS(SF_Output!$S$1:$S$400,SF_Output!$AC$1:$AC$400,_xlfn.TEXTJOIN(",",TRUE,B94:E94),SF_Output!$Q$1:$Q$400,"One Time",SF_Output!$L$1:$L$400,"hardware"))</f>
        <v>0</v>
      </c>
      <c r="K94" s="112" t="str">
        <f>IF(OR(B94=0,B94="",G94="hardware",J94=0),"",IF(AF94&lt;&gt;"exclusion",MAX(K$9,-((SUMIFS(SF_Output!$T$1:$T$400,SF_Output!$AC$1:$AC$400,_xlfn.TEXTJOIN(",",TRUE,$B94:$E94),SF_Output!$Q$1:$Q$400,"One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license"))/J94)))</f>
        <v/>
      </c>
      <c r="L94" s="6">
        <f t="shared" si="5"/>
        <v>0</v>
      </c>
      <c r="N94" s="6">
        <f>IF(B94="","",SUMIFS(SF_Output!$S$1:$S$400,SF_Output!$AC$1:$AC$400,_xlfn.TEXTJOIN(",",TRUE,B94:E94),SF_Output!$Q$1:$Q$400,"One Time",SF_Output!$L$1:$L$400,"professional service"))</f>
        <v>0</v>
      </c>
      <c r="O94" s="112" t="str">
        <f>IF(OR(B94=0,B94="",N94=0),"",IF(AF94&lt;&gt;"exclusion",MAX(O$9,-(SUMIFS(SF_Output!$T$1:$T$400,SF_Output!$AC$1:$AC$400,_xlfn.TEXTJOIN(",",TRUE,$B94:$E94),SF_Output!$Q$1:$Q$400,"One Time",SF_Output!$L$1:$L$400,"professional service"))/N94),-((SUMIFS(SF_Output!$T$1:$T$400,SF_Output!$AC$1:$AC$400,_xlfn.TEXTJOIN(",",TRUE,$B94:$E94),SF_Output!$Q$1:$Q$400,"One Time",SF_Output!$L$1:$L$400,"professional service")/N94))))</f>
        <v/>
      </c>
      <c r="P94" s="6">
        <f t="shared" si="6"/>
        <v>0</v>
      </c>
      <c r="R94" s="6">
        <f>IF(B94="","",SUMIFS(SF_Output!$S$1:$S$400,SF_Output!$AC$1:$AC$400,_xlfn.TEXTJOIN(",",TRUE,B94:E94),SF_Output!$Q$1:$Q$400,"yearly")+SUMIFS(SF_Output!$S$1:$S$400,SF_Output!$AC$1:$AC$400,_xlfn.TEXTJOIN(",",TRUE,B94:E94),SF_Output!$Q$1:$Q$400,"quarterly")*4)</f>
        <v>0</v>
      </c>
      <c r="S94" s="112" t="str">
        <f>IF(OR(B94=0,B94="",G94="hardware",R94=0),"",IF(AF94&lt;&gt;"exclusion",MAX(S$9,-(SUMIFS(SF_Output!$T$1:$T$400,SF_Output!$AC$1:$AC$400,_xlfn.TEXTJOIN(",",TRUE,$B94:$E94),SF_Output!$Q$1:$Q$400,"yearly"))/R94),-((SUMIFS(SF_Output!$T$1:$T$400,SF_Output!$AC$1:$AC$400,_xlfn.TEXTJOIN(",",TRUE,$B94:$E94),SF_Output!$Q$1:$Q$400,"yearly")/R94))))</f>
        <v/>
      </c>
      <c r="T94" s="6">
        <f t="shared" si="7"/>
        <v>0</v>
      </c>
      <c r="V94" s="6" cm="1">
        <f t="array" ref="V94">_xlfn.IFS(B94="","",AND(B94&lt;&gt;"",H94=SF_Output!$Y$2,SUMIFS(SF_Output!$T$1:$T$400,SF_Output!$AC$1:$AC$400,_xlfn.TEXTJOIN(",",TRUE,B94:E94),SF_Output!$Q$1:$Q$400,"monthly")=0),(SUMIFS(SF_Output!$F$1:$F$400,SF_Output!$AC$1:$AC$400,_xlfn.TEXTJOIN(",",TRUE,B94:E94),SF_Output!$Q$1:$Q$400,"monthly")+SUMIFS(SF_Output!$G$1:$G$400,SF_Output!$AC$1:$AC$400,_xlfn.TEXTJOIN(",",TRUE,B94:E94),SF_Output!$Q$1:$Q$400,"monthly"))*H94,AND(B94&lt;&gt;"",H94=SF_Output!$Y$2,SUMIFS(SF_Output!$T$1:$T$400,SF_Output!$AC$1:$AC$400,_xlfn.TEXTJOIN(",",TRUE,B94:E94),SF_Output!$Q$1:$Q$400,"monthly")&lt;&gt;0),SUMIFS(SF_Output!$S$1:$S$400,SF_Output!$AC$1:$AC$400,_xlfn.TEXTJOIN(",",TRUE,B94:E94),SF_Output!$Q$1:$Q$400,"monthly"),AND(B94&lt;&gt;"",H94&lt;&gt;SF_Output!$Y$2),SUMIFS(SF_Output!$S$1:$S$400,SF_Output!$AC$1:$AC$400,_xlfn.TEXTJOIN(",",TRUE,B94:E94),SF_Output!$Q$1:$Q$400,"monthly"))</f>
        <v>0</v>
      </c>
      <c r="W94" s="112" t="str" cm="1">
        <f t="array" ref="W94">_xlfn.IFS(OR(B94=0,B94="",V94=0),"",AF94&lt;&gt;"exclusion",MAX($W$9,$W$7,(-(SUMIFS(SF_Output!$T$1:$T$400,SF_Output!$AC$1:$AC$400,_xlfn.TEXTJOIN(",",TRUE,$B94:$E94),SF_Output!$Q$1:$Q$400,"monthly"))/V94)),AF94="exclusion",-(SUMIFS(SF_Output!$T$1:$T$400,SF_Output!$AC$1:$AC$400,_xlfn.TEXTJOIN(",",TRUE,$B94:$E94),SF_Output!$Q$1:$Q$400,"monthly"))/V94)</f>
        <v/>
      </c>
      <c r="X94" s="6" cm="1">
        <f t="array" ref="X94">IFERROR(_xlfn.IFS(V94=0,0,V94="","",W94=0,V94,OR(V94&lt;&gt;0,V94&lt;&gt;""),H94*I94),V94*(1-W94))</f>
        <v>0</v>
      </c>
    </row>
    <row r="95" spans="2:24" x14ac:dyDescent="0.25">
      <c r="B95" t="s">
        <v>1729</v>
      </c>
      <c r="C95" t="s">
        <v>2122</v>
      </c>
      <c r="D95" t="s">
        <v>2207</v>
      </c>
      <c r="E95" t="s">
        <v>2124</v>
      </c>
      <c r="F95" s="116" t="str">
        <f t="shared" si="4"/>
        <v>Included</v>
      </c>
      <c r="G95" t="str">
        <f>IF(B95="","",INDEX(SF_Output!$K$1:$K$400,MATCH(B95,SF_Output!$M$1:$M$400,0)))</f>
        <v>Card Processing Solutions (CPS)</v>
      </c>
      <c r="H95" cm="1">
        <f t="array" ref="H95">_xlfn.IFS(B95="","",(SUMIFS(SF_Output!$F$1:$F$400,SF_Output!$AC$1:$AC$400,_xlfn.TEXTJOIN(",",TRUE,B95:E95))+SUMIFS(SF_Output!$G$1:$G$400,SF_Output!$AC$1:$AC$400,_xlfn.TEXTJOIN(",",TRUE,B95:E95)))&lt;&gt;0,SF_Output!$Y$2,INDEX(SF_Output!$F$1:$F$400,MATCH(_xlfn.TEXTJOIN(",",TRUE,B95:E95),SF_Output!$AC$1:$AC$400,0))=0,INDEX(SF_Output!$R$1:$R$400,MATCH(_xlfn.TEXTJOIN(",",TRUE,B95:E95),SF_Output!$AC$1:$AC$400,0)))</f>
        <v>0</v>
      </c>
      <c r="I95" s="125" t="str">
        <f>IFERROR(IF(AND(H95&gt;1,H95&lt;&gt;""),ROUND(SUMIFS(SF_Output!$S$1:$S$400,SF_Output!$AC$1:$AC$400,_xlfn.TEXTJOIN(",",TRUE,B95:E95),SF_Output!$Q$1:$Q$400,"monthly")*(1-W95)/H95,4),""),"")</f>
        <v/>
      </c>
      <c r="J95" s="6">
        <f>IF(B95="","",SUMIFS(SF_Output!$S$1:$S$400,SF_Output!$AC$1:$AC$400,_xlfn.TEXTJOIN(",",TRUE,B95:E95),SF_Output!$Q$1:$Q$400,"One Time",SF_Output!$L$1:$L$400,"license fee")+SUMIFS(SF_Output!$S$1:$S$400,SF_Output!$AC$1:$AC$400,_xlfn.TEXTJOIN(",",TRUE,B95:E95),SF_Output!$Q$1:$Q$400,"One Time",SF_Output!$L$1:$L$400,"software license")+SUMIFS(SF_Output!$S$1:$S$400,SF_Output!$AC$1:$AC$400,_xlfn.TEXTJOIN(",",TRUE,B95:E95),SF_Output!$Q$1:$Q$400,"One Time",SF_Output!$L$1:$L$400,"hardware"))</f>
        <v>0</v>
      </c>
      <c r="K95" s="112" t="str">
        <f>IF(OR(B95=0,B95="",G95="hardware",J95=0),"",IF(AF95&lt;&gt;"exclusion",MAX(K$9,-((SUMIFS(SF_Output!$T$1:$T$400,SF_Output!$AC$1:$AC$400,_xlfn.TEXTJOIN(",",TRUE,$B95:$E95),SF_Output!$Q$1:$Q$400,"One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license"))/J95)))</f>
        <v/>
      </c>
      <c r="L95" s="6">
        <f t="shared" si="5"/>
        <v>0</v>
      </c>
      <c r="N95" s="6">
        <f>IF(B95="","",SUMIFS(SF_Output!$S$1:$S$400,SF_Output!$AC$1:$AC$400,_xlfn.TEXTJOIN(",",TRUE,B95:E95),SF_Output!$Q$1:$Q$400,"One Time",SF_Output!$L$1:$L$400,"professional service"))</f>
        <v>0</v>
      </c>
      <c r="O95" s="112" t="str">
        <f>IF(OR(B95=0,B95="",N95=0),"",IF(AF95&lt;&gt;"exclusion",MAX(O$9,-(SUMIFS(SF_Output!$T$1:$T$400,SF_Output!$AC$1:$AC$400,_xlfn.TEXTJOIN(",",TRUE,$B95:$E95),SF_Output!$Q$1:$Q$400,"One Time",SF_Output!$L$1:$L$400,"professional service"))/N95),-((SUMIFS(SF_Output!$T$1:$T$400,SF_Output!$AC$1:$AC$400,_xlfn.TEXTJOIN(",",TRUE,$B95:$E95),SF_Output!$Q$1:$Q$400,"One Time",SF_Output!$L$1:$L$400,"professional service")/N95))))</f>
        <v/>
      </c>
      <c r="P95" s="6">
        <f t="shared" si="6"/>
        <v>0</v>
      </c>
      <c r="R95" s="6">
        <f>IF(B95="","",SUMIFS(SF_Output!$S$1:$S$400,SF_Output!$AC$1:$AC$400,_xlfn.TEXTJOIN(",",TRUE,B95:E95),SF_Output!$Q$1:$Q$400,"yearly")+SUMIFS(SF_Output!$S$1:$S$400,SF_Output!$AC$1:$AC$400,_xlfn.TEXTJOIN(",",TRUE,B95:E95),SF_Output!$Q$1:$Q$400,"quarterly")*4)</f>
        <v>0</v>
      </c>
      <c r="S95" s="112" t="str">
        <f>IF(OR(B95=0,B95="",G95="hardware",R95=0),"",IF(AF95&lt;&gt;"exclusion",MAX(S$9,-(SUMIFS(SF_Output!$T$1:$T$400,SF_Output!$AC$1:$AC$400,_xlfn.TEXTJOIN(",",TRUE,$B95:$E95),SF_Output!$Q$1:$Q$400,"yearly"))/R95),-((SUMIFS(SF_Output!$T$1:$T$400,SF_Output!$AC$1:$AC$400,_xlfn.TEXTJOIN(",",TRUE,$B95:$E95),SF_Output!$Q$1:$Q$400,"yearly")/R95))))</f>
        <v/>
      </c>
      <c r="T95" s="6">
        <f t="shared" si="7"/>
        <v>0</v>
      </c>
      <c r="V95" s="6" cm="1">
        <f t="array" ref="V95">_xlfn.IFS(B95="","",AND(B95&lt;&gt;"",H95=SF_Output!$Y$2,SUMIFS(SF_Output!$T$1:$T$400,SF_Output!$AC$1:$AC$400,_xlfn.TEXTJOIN(",",TRUE,B95:E95),SF_Output!$Q$1:$Q$400,"monthly")=0),(SUMIFS(SF_Output!$F$1:$F$400,SF_Output!$AC$1:$AC$400,_xlfn.TEXTJOIN(",",TRUE,B95:E95),SF_Output!$Q$1:$Q$400,"monthly")+SUMIFS(SF_Output!$G$1:$G$400,SF_Output!$AC$1:$AC$400,_xlfn.TEXTJOIN(",",TRUE,B95:E95),SF_Output!$Q$1:$Q$400,"monthly"))*H95,AND(B95&lt;&gt;"",H95=SF_Output!$Y$2,SUMIFS(SF_Output!$T$1:$T$400,SF_Output!$AC$1:$AC$400,_xlfn.TEXTJOIN(",",TRUE,B95:E95),SF_Output!$Q$1:$Q$400,"monthly")&lt;&gt;0),SUMIFS(SF_Output!$S$1:$S$400,SF_Output!$AC$1:$AC$400,_xlfn.TEXTJOIN(",",TRUE,B95:E95),SF_Output!$Q$1:$Q$400,"monthly"),AND(B95&lt;&gt;"",H95&lt;&gt;SF_Output!$Y$2),SUMIFS(SF_Output!$S$1:$S$400,SF_Output!$AC$1:$AC$400,_xlfn.TEXTJOIN(",",TRUE,B95:E95),SF_Output!$Q$1:$Q$400,"monthly"))</f>
        <v>0</v>
      </c>
      <c r="W95" s="112" t="str" cm="1">
        <f t="array" ref="W95">_xlfn.IFS(OR(B95=0,B95="",V95=0),"",AF95&lt;&gt;"exclusion",MAX($W$9,$W$7,(-(SUMIFS(SF_Output!$T$1:$T$400,SF_Output!$AC$1:$AC$400,_xlfn.TEXTJOIN(",",TRUE,$B95:$E95),SF_Output!$Q$1:$Q$400,"monthly"))/V95)),AF95="exclusion",-(SUMIFS(SF_Output!$T$1:$T$400,SF_Output!$AC$1:$AC$400,_xlfn.TEXTJOIN(",",TRUE,$B95:$E95),SF_Output!$Q$1:$Q$400,"monthly"))/V95)</f>
        <v/>
      </c>
      <c r="X95" s="6" cm="1">
        <f t="array" ref="X95">IFERROR(_xlfn.IFS(V95=0,0,V95="","",W95=0,V95,OR(V95&lt;&gt;0,V95&lt;&gt;""),H95*I95),V95*(1-W95))</f>
        <v>0</v>
      </c>
    </row>
    <row r="96" spans="2:24" x14ac:dyDescent="0.25">
      <c r="B96" t="s">
        <v>708</v>
      </c>
      <c r="C96" t="s">
        <v>2122</v>
      </c>
      <c r="D96" t="s">
        <v>2207</v>
      </c>
      <c r="E96" t="s">
        <v>2124</v>
      </c>
      <c r="F96" s="116" t="str">
        <f t="shared" si="4"/>
        <v>Included</v>
      </c>
      <c r="G96" t="str">
        <f>IF(B96="","",INDEX(SF_Output!$K$1:$K$400,MATCH(B96,SF_Output!$M$1:$M$400,0)))</f>
        <v>Card Processing Solutions (CPS)</v>
      </c>
      <c r="H96" cm="1">
        <f t="array" ref="H96">_xlfn.IFS(B96="","",(SUMIFS(SF_Output!$F$1:$F$400,SF_Output!$AC$1:$AC$400,_xlfn.TEXTJOIN(",",TRUE,B96:E96))+SUMIFS(SF_Output!$G$1:$G$400,SF_Output!$AC$1:$AC$400,_xlfn.TEXTJOIN(",",TRUE,B96:E96)))&lt;&gt;0,SF_Output!$Y$2,INDEX(SF_Output!$F$1:$F$400,MATCH(_xlfn.TEXTJOIN(",",TRUE,B96:E96),SF_Output!$AC$1:$AC$400,0))=0,INDEX(SF_Output!$R$1:$R$400,MATCH(_xlfn.TEXTJOIN(",",TRUE,B96:E96),SF_Output!$AC$1:$AC$400,0)))</f>
        <v>1</v>
      </c>
      <c r="I96" s="125" t="str">
        <f>IFERROR(IF(AND(H96&gt;1,H96&lt;&gt;""),ROUND(SUMIFS(SF_Output!$S$1:$S$400,SF_Output!$AC$1:$AC$400,_xlfn.TEXTJOIN(",",TRUE,B96:E96),SF_Output!$Q$1:$Q$400,"monthly")*(1-W96)/H96,4),""),"")</f>
        <v/>
      </c>
      <c r="J96" s="6">
        <f>IF(B96="","",SUMIFS(SF_Output!$S$1:$S$400,SF_Output!$AC$1:$AC$400,_xlfn.TEXTJOIN(",",TRUE,B96:E96),SF_Output!$Q$1:$Q$400,"One Time",SF_Output!$L$1:$L$400,"license fee")+SUMIFS(SF_Output!$S$1:$S$400,SF_Output!$AC$1:$AC$400,_xlfn.TEXTJOIN(",",TRUE,B96:E96),SF_Output!$Q$1:$Q$400,"One Time",SF_Output!$L$1:$L$400,"software license")+SUMIFS(SF_Output!$S$1:$S$400,SF_Output!$AC$1:$AC$400,_xlfn.TEXTJOIN(",",TRUE,B96:E96),SF_Output!$Q$1:$Q$400,"One Time",SF_Output!$L$1:$L$400,"hardware"))</f>
        <v>0</v>
      </c>
      <c r="K96" s="112" t="str">
        <f>IF(OR(B96=0,B96="",G96="hardware",J96=0),"",IF(AF96&lt;&gt;"exclusion",MAX(K$9,-((SUMIFS(SF_Output!$T$1:$T$400,SF_Output!$AC$1:$AC$400,_xlfn.TEXTJOIN(",",TRUE,$B96:$E96),SF_Output!$Q$1:$Q$400,"One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license"))/J96)))</f>
        <v/>
      </c>
      <c r="L96" s="6">
        <f t="shared" si="5"/>
        <v>0</v>
      </c>
      <c r="N96" s="6">
        <f>IF(B96="","",SUMIFS(SF_Output!$S$1:$S$400,SF_Output!$AC$1:$AC$400,_xlfn.TEXTJOIN(",",TRUE,B96:E96),SF_Output!$Q$1:$Q$400,"One Time",SF_Output!$L$1:$L$400,"professional service"))</f>
        <v>3000</v>
      </c>
      <c r="O96" s="112">
        <f>IF(OR(B96=0,B96="",N96=0),"",IF(AF96&lt;&gt;"exclusion",MAX(O$9,-(SUMIFS(SF_Output!$T$1:$T$400,SF_Output!$AC$1:$AC$400,_xlfn.TEXTJOIN(",",TRUE,$B96:$E96),SF_Output!$Q$1:$Q$400,"One Time",SF_Output!$L$1:$L$400,"professional service"))/N96),-((SUMIFS(SF_Output!$T$1:$T$400,SF_Output!$AC$1:$AC$400,_xlfn.TEXTJOIN(",",TRUE,$B96:$E96),SF_Output!$Q$1:$Q$400,"One Time",SF_Output!$L$1:$L$400,"professional service")/N96))))</f>
        <v>1</v>
      </c>
      <c r="P96" s="6">
        <f t="shared" si="6"/>
        <v>0</v>
      </c>
      <c r="R96" s="6">
        <f>IF(B96="","",SUMIFS(SF_Output!$S$1:$S$400,SF_Output!$AC$1:$AC$400,_xlfn.TEXTJOIN(",",TRUE,B96:E96),SF_Output!$Q$1:$Q$400,"yearly")+SUMIFS(SF_Output!$S$1:$S$400,SF_Output!$AC$1:$AC$400,_xlfn.TEXTJOIN(",",TRUE,B96:E96),SF_Output!$Q$1:$Q$400,"quarterly")*4)</f>
        <v>0</v>
      </c>
      <c r="S96" s="112" t="str">
        <f>IF(OR(B96=0,B96="",G96="hardware",R96=0),"",IF(AF96&lt;&gt;"exclusion",MAX(S$9,-(SUMIFS(SF_Output!$T$1:$T$400,SF_Output!$AC$1:$AC$400,_xlfn.TEXTJOIN(",",TRUE,$B96:$E96),SF_Output!$Q$1:$Q$400,"yearly"))/R96),-((SUMIFS(SF_Output!$T$1:$T$400,SF_Output!$AC$1:$AC$400,_xlfn.TEXTJOIN(",",TRUE,$B96:$E96),SF_Output!$Q$1:$Q$400,"yearly")/R96))))</f>
        <v/>
      </c>
      <c r="T96" s="6">
        <f t="shared" si="7"/>
        <v>0</v>
      </c>
      <c r="V96" s="6" cm="1">
        <f t="array" ref="V96">_xlfn.IFS(B96="","",AND(B96&lt;&gt;"",H96=SF_Output!$Y$2,SUMIFS(SF_Output!$T$1:$T$400,SF_Output!$AC$1:$AC$400,_xlfn.TEXTJOIN(",",TRUE,B96:E96),SF_Output!$Q$1:$Q$400,"monthly")=0),(SUMIFS(SF_Output!$F$1:$F$400,SF_Output!$AC$1:$AC$400,_xlfn.TEXTJOIN(",",TRUE,B96:E96),SF_Output!$Q$1:$Q$400,"monthly")+SUMIFS(SF_Output!$G$1:$G$400,SF_Output!$AC$1:$AC$400,_xlfn.TEXTJOIN(",",TRUE,B96:E96),SF_Output!$Q$1:$Q$400,"monthly"))*H96,AND(B96&lt;&gt;"",H96=SF_Output!$Y$2,SUMIFS(SF_Output!$T$1:$T$400,SF_Output!$AC$1:$AC$400,_xlfn.TEXTJOIN(",",TRUE,B96:E96),SF_Output!$Q$1:$Q$400,"monthly")&lt;&gt;0),SUMIFS(SF_Output!$S$1:$S$400,SF_Output!$AC$1:$AC$400,_xlfn.TEXTJOIN(",",TRUE,B96:E96),SF_Output!$Q$1:$Q$400,"monthly"),AND(B96&lt;&gt;"",H96&lt;&gt;SF_Output!$Y$2),SUMIFS(SF_Output!$S$1:$S$400,SF_Output!$AC$1:$AC$400,_xlfn.TEXTJOIN(",",TRUE,B96:E96),SF_Output!$Q$1:$Q$400,"monthly"))</f>
        <v>500</v>
      </c>
      <c r="W96" s="112" cm="1">
        <f t="array" ref="W96">_xlfn.IFS(OR(B96=0,B96="",V96=0),"",AF96&lt;&gt;"exclusion",MAX($W$9,$W$7,(-(SUMIFS(SF_Output!$T$1:$T$400,SF_Output!$AC$1:$AC$400,_xlfn.TEXTJOIN(",",TRUE,$B96:$E96),SF_Output!$Q$1:$Q$400,"monthly"))/V96)),AF96="exclusion",-(SUMIFS(SF_Output!$T$1:$T$400,SF_Output!$AC$1:$AC$400,_xlfn.TEXTJOIN(",",TRUE,$B96:$E96),SF_Output!$Q$1:$Q$400,"monthly"))/V96)</f>
        <v>0</v>
      </c>
      <c r="X96" s="6" cm="1">
        <f t="array" ref="X96">IFERROR(_xlfn.IFS(V96=0,0,V96="","",W96=0,V96,OR(V96&lt;&gt;0,V96&lt;&gt;""),H96*I96),V96*(1-W96))</f>
        <v>500</v>
      </c>
    </row>
    <row r="97" spans="2:24" x14ac:dyDescent="0.25">
      <c r="B97" t="s">
        <v>2353</v>
      </c>
      <c r="C97" t="s">
        <v>2122</v>
      </c>
      <c r="D97" t="s">
        <v>2207</v>
      </c>
      <c r="E97" t="s">
        <v>2124</v>
      </c>
      <c r="F97" s="116" t="str">
        <f t="shared" si="4"/>
        <v>Included</v>
      </c>
      <c r="G97" t="str">
        <f>IF(B97="","",INDEX(SF_Output!$K$1:$K$400,MATCH(B97,SF_Output!$M$1:$M$400,0)))</f>
        <v>Card Processing Solutions (CPS)</v>
      </c>
      <c r="H97" cm="1">
        <f t="array" ref="H97">_xlfn.IFS(B97="","",(SUMIFS(SF_Output!$F$1:$F$400,SF_Output!$AC$1:$AC$400,_xlfn.TEXTJOIN(",",TRUE,B97:E97))+SUMIFS(SF_Output!$G$1:$G$400,SF_Output!$AC$1:$AC$400,_xlfn.TEXTJOIN(",",TRUE,B97:E97)))&lt;&gt;0,SF_Output!$Y$2,INDEX(SF_Output!$F$1:$F$400,MATCH(_xlfn.TEXTJOIN(",",TRUE,B97:E97),SF_Output!$AC$1:$AC$400,0))=0,INDEX(SF_Output!$R$1:$R$400,MATCH(_xlfn.TEXTJOIN(",",TRUE,B97:E97),SF_Output!$AC$1:$AC$400,0)))</f>
        <v>1</v>
      </c>
      <c r="I97" s="125" t="str">
        <f>IFERROR(IF(AND(H97&gt;1,H97&lt;&gt;""),ROUND(SUMIFS(SF_Output!$S$1:$S$400,SF_Output!$AC$1:$AC$400,_xlfn.TEXTJOIN(",",TRUE,B97:E97),SF_Output!$Q$1:$Q$400,"monthly")*(1-W97)/H97,4),""),"")</f>
        <v/>
      </c>
      <c r="J97" s="6">
        <f>IF(B97="","",SUMIFS(SF_Output!$S$1:$S$400,SF_Output!$AC$1:$AC$400,_xlfn.TEXTJOIN(",",TRUE,B97:E97),SF_Output!$Q$1:$Q$400,"One Time",SF_Output!$L$1:$L$400,"license fee")+SUMIFS(SF_Output!$S$1:$S$400,SF_Output!$AC$1:$AC$400,_xlfn.TEXTJOIN(",",TRUE,B97:E97),SF_Output!$Q$1:$Q$400,"One Time",SF_Output!$L$1:$L$400,"software license")+SUMIFS(SF_Output!$S$1:$S$400,SF_Output!$AC$1:$AC$400,_xlfn.TEXTJOIN(",",TRUE,B97:E97),SF_Output!$Q$1:$Q$400,"One Time",SF_Output!$L$1:$L$400,"hardware"))</f>
        <v>0</v>
      </c>
      <c r="K97" s="112" t="str">
        <f>IF(OR(B97=0,B97="",G97="hardware",J97=0),"",IF(AF97&lt;&gt;"exclusion",MAX(K$9,-((SUMIFS(SF_Output!$T$1:$T$400,SF_Output!$AC$1:$AC$400,_xlfn.TEXTJOIN(",",TRUE,$B97:$E97),SF_Output!$Q$1:$Q$400,"One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license"))/J97)))</f>
        <v/>
      </c>
      <c r="L97" s="6">
        <f t="shared" si="5"/>
        <v>0</v>
      </c>
      <c r="N97" s="6">
        <f>IF(B97="","",SUMIFS(SF_Output!$S$1:$S$400,SF_Output!$AC$1:$AC$400,_xlfn.TEXTJOIN(",",TRUE,B97:E97),SF_Output!$Q$1:$Q$400,"One Time",SF_Output!$L$1:$L$400,"professional service"))</f>
        <v>0</v>
      </c>
      <c r="O97" s="112" t="str">
        <f>IF(OR(B97=0,B97="",N97=0),"",IF(AF97&lt;&gt;"exclusion",MAX(O$9,-(SUMIFS(SF_Output!$T$1:$T$400,SF_Output!$AC$1:$AC$400,_xlfn.TEXTJOIN(",",TRUE,$B97:$E97),SF_Output!$Q$1:$Q$400,"One Time",SF_Output!$L$1:$L$400,"professional service"))/N97),-((SUMIFS(SF_Output!$T$1:$T$400,SF_Output!$AC$1:$AC$400,_xlfn.TEXTJOIN(",",TRUE,$B97:$E97),SF_Output!$Q$1:$Q$400,"One Time",SF_Output!$L$1:$L$400,"professional service")/N97))))</f>
        <v/>
      </c>
      <c r="P97" s="6">
        <f t="shared" si="6"/>
        <v>0</v>
      </c>
      <c r="R97" s="6">
        <f>IF(B97="","",SUMIFS(SF_Output!$S$1:$S$400,SF_Output!$AC$1:$AC$400,_xlfn.TEXTJOIN(",",TRUE,B97:E97),SF_Output!$Q$1:$Q$400,"yearly")+SUMIFS(SF_Output!$S$1:$S$400,SF_Output!$AC$1:$AC$400,_xlfn.TEXTJOIN(",",TRUE,B97:E97),SF_Output!$Q$1:$Q$400,"quarterly")*4)</f>
        <v>0</v>
      </c>
      <c r="S97" s="112" t="str">
        <f>IF(OR(B97=0,B97="",G97="hardware",R97=0),"",IF(AF97&lt;&gt;"exclusion",MAX(S$9,-(SUMIFS(SF_Output!$T$1:$T$400,SF_Output!$AC$1:$AC$400,_xlfn.TEXTJOIN(",",TRUE,$B97:$E97),SF_Output!$Q$1:$Q$400,"yearly"))/R97),-((SUMIFS(SF_Output!$T$1:$T$400,SF_Output!$AC$1:$AC$400,_xlfn.TEXTJOIN(",",TRUE,$B97:$E97),SF_Output!$Q$1:$Q$400,"yearly")/R97))))</f>
        <v/>
      </c>
      <c r="T97" s="6">
        <f t="shared" si="7"/>
        <v>0</v>
      </c>
      <c r="V97" s="6" cm="1">
        <f t="array" ref="V97">_xlfn.IFS(B97="","",AND(B97&lt;&gt;"",H97=SF_Output!$Y$2,SUMIFS(SF_Output!$T$1:$T$400,SF_Output!$AC$1:$AC$400,_xlfn.TEXTJOIN(",",TRUE,B97:E97),SF_Output!$Q$1:$Q$400,"monthly")=0),(SUMIFS(SF_Output!$F$1:$F$400,SF_Output!$AC$1:$AC$400,_xlfn.TEXTJOIN(",",TRUE,B97:E97),SF_Output!$Q$1:$Q$400,"monthly")+SUMIFS(SF_Output!$G$1:$G$400,SF_Output!$AC$1:$AC$400,_xlfn.TEXTJOIN(",",TRUE,B97:E97),SF_Output!$Q$1:$Q$400,"monthly"))*H97,AND(B97&lt;&gt;"",H97=SF_Output!$Y$2,SUMIFS(SF_Output!$T$1:$T$400,SF_Output!$AC$1:$AC$400,_xlfn.TEXTJOIN(",",TRUE,B97:E97),SF_Output!$Q$1:$Q$400,"monthly")&lt;&gt;0),SUMIFS(SF_Output!$S$1:$S$400,SF_Output!$AC$1:$AC$400,_xlfn.TEXTJOIN(",",TRUE,B97:E97),SF_Output!$Q$1:$Q$400,"monthly"),AND(B97&lt;&gt;"",H97&lt;&gt;SF_Output!$Y$2),SUMIFS(SF_Output!$S$1:$S$400,SF_Output!$AC$1:$AC$400,_xlfn.TEXTJOIN(",",TRUE,B97:E97),SF_Output!$Q$1:$Q$400,"monthly"))</f>
        <v>250</v>
      </c>
      <c r="W97" s="112" cm="1">
        <f t="array" ref="W97">_xlfn.IFS(OR(B97=0,B97="",V97=0),"",AF97&lt;&gt;"exclusion",MAX($W$9,$W$7,(-(SUMIFS(SF_Output!$T$1:$T$400,SF_Output!$AC$1:$AC$400,_xlfn.TEXTJOIN(",",TRUE,$B97:$E97),SF_Output!$Q$1:$Q$400,"monthly"))/V97)),AF97="exclusion",-(SUMIFS(SF_Output!$T$1:$T$400,SF_Output!$AC$1:$AC$400,_xlfn.TEXTJOIN(",",TRUE,$B97:$E97),SF_Output!$Q$1:$Q$400,"monthly"))/V97)</f>
        <v>0</v>
      </c>
      <c r="X97" s="6" cm="1">
        <f t="array" ref="X97">IFERROR(_xlfn.IFS(V97=0,0,V97="","",W97=0,V97,OR(V97&lt;&gt;0,V97&lt;&gt;""),H97*I97),V97*(1-W97))</f>
        <v>250</v>
      </c>
    </row>
    <row r="98" spans="2:24" x14ac:dyDescent="0.25">
      <c r="B98" t="s">
        <v>687</v>
      </c>
      <c r="C98" t="s">
        <v>2122</v>
      </c>
      <c r="D98" t="s">
        <v>2207</v>
      </c>
      <c r="E98" t="s">
        <v>2124</v>
      </c>
      <c r="F98" s="116" t="str">
        <f t="shared" si="4"/>
        <v>Included</v>
      </c>
      <c r="G98" t="str">
        <f>IF(B98="","",INDEX(SF_Output!$K$1:$K$400,MATCH(B98,SF_Output!$M$1:$M$400,0)))</f>
        <v>Card Processing Solutions (CPS)</v>
      </c>
      <c r="H98" cm="1">
        <f t="array" ref="H98">_xlfn.IFS(B98="","",(SUMIFS(SF_Output!$F$1:$F$400,SF_Output!$AC$1:$AC$400,_xlfn.TEXTJOIN(",",TRUE,B98:E98))+SUMIFS(SF_Output!$G$1:$G$400,SF_Output!$AC$1:$AC$400,_xlfn.TEXTJOIN(",",TRUE,B98:E98)))&lt;&gt;0,SF_Output!$Y$2,INDEX(SF_Output!$F$1:$F$400,MATCH(_xlfn.TEXTJOIN(",",TRUE,B98:E98),SF_Output!$AC$1:$AC$400,0))=0,INDEX(SF_Output!$R$1:$R$400,MATCH(_xlfn.TEXTJOIN(",",TRUE,B98:E98),SF_Output!$AC$1:$AC$400,0)))</f>
        <v>0</v>
      </c>
      <c r="I98" s="125" t="str">
        <f>IFERROR(IF(AND(H98&gt;1,H98&lt;&gt;""),ROUND(SUMIFS(SF_Output!$S$1:$S$400,SF_Output!$AC$1:$AC$400,_xlfn.TEXTJOIN(",",TRUE,B98:E98),SF_Output!$Q$1:$Q$400,"monthly")*(1-W98)/H98,4),""),"")</f>
        <v/>
      </c>
      <c r="J98" s="6">
        <f>IF(B98="","",SUMIFS(SF_Output!$S$1:$S$400,SF_Output!$AC$1:$AC$400,_xlfn.TEXTJOIN(",",TRUE,B98:E98),SF_Output!$Q$1:$Q$400,"One Time",SF_Output!$L$1:$L$400,"license fee")+SUMIFS(SF_Output!$S$1:$S$400,SF_Output!$AC$1:$AC$400,_xlfn.TEXTJOIN(",",TRUE,B98:E98),SF_Output!$Q$1:$Q$400,"One Time",SF_Output!$L$1:$L$400,"software license")+SUMIFS(SF_Output!$S$1:$S$400,SF_Output!$AC$1:$AC$400,_xlfn.TEXTJOIN(",",TRUE,B98:E98),SF_Output!$Q$1:$Q$400,"One Time",SF_Output!$L$1:$L$400,"hardware"))</f>
        <v>0</v>
      </c>
      <c r="K98" s="112" t="str">
        <f>IF(OR(B98=0,B98="",G98="hardware",J98=0),"",IF(AF98&lt;&gt;"exclusion",MAX(K$9,-((SUMIFS(SF_Output!$T$1:$T$400,SF_Output!$AC$1:$AC$400,_xlfn.TEXTJOIN(",",TRUE,$B98:$E98),SF_Output!$Q$1:$Q$400,"One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license"))/J98)))</f>
        <v/>
      </c>
      <c r="L98" s="6">
        <f t="shared" si="5"/>
        <v>0</v>
      </c>
      <c r="N98" s="6">
        <f>IF(B98="","",SUMIFS(SF_Output!$S$1:$S$400,SF_Output!$AC$1:$AC$400,_xlfn.TEXTJOIN(",",TRUE,B98:E98),SF_Output!$Q$1:$Q$400,"One Time",SF_Output!$L$1:$L$400,"professional service"))</f>
        <v>0</v>
      </c>
      <c r="O98" s="112" t="str">
        <f>IF(OR(B98=0,B98="",N98=0),"",IF(AF98&lt;&gt;"exclusion",MAX(O$9,-(SUMIFS(SF_Output!$T$1:$T$400,SF_Output!$AC$1:$AC$400,_xlfn.TEXTJOIN(",",TRUE,$B98:$E98),SF_Output!$Q$1:$Q$400,"One Time",SF_Output!$L$1:$L$400,"professional service"))/N98),-((SUMIFS(SF_Output!$T$1:$T$400,SF_Output!$AC$1:$AC$400,_xlfn.TEXTJOIN(",",TRUE,$B98:$E98),SF_Output!$Q$1:$Q$400,"One Time",SF_Output!$L$1:$L$400,"professional service")/N98))))</f>
        <v/>
      </c>
      <c r="P98" s="6">
        <f t="shared" si="6"/>
        <v>0</v>
      </c>
      <c r="R98" s="6">
        <f>IF(B98="","",SUMIFS(SF_Output!$S$1:$S$400,SF_Output!$AC$1:$AC$400,_xlfn.TEXTJOIN(",",TRUE,B98:E98),SF_Output!$Q$1:$Q$400,"yearly")+SUMIFS(SF_Output!$S$1:$S$400,SF_Output!$AC$1:$AC$400,_xlfn.TEXTJOIN(",",TRUE,B98:E98),SF_Output!$Q$1:$Q$400,"quarterly")*4)</f>
        <v>0</v>
      </c>
      <c r="S98" s="112" t="str">
        <f>IF(OR(B98=0,B98="",G98="hardware",R98=0),"",IF(AF98&lt;&gt;"exclusion",MAX(S$9,-(SUMIFS(SF_Output!$T$1:$T$400,SF_Output!$AC$1:$AC$400,_xlfn.TEXTJOIN(",",TRUE,$B98:$E98),SF_Output!$Q$1:$Q$400,"yearly"))/R98),-((SUMIFS(SF_Output!$T$1:$T$400,SF_Output!$AC$1:$AC$400,_xlfn.TEXTJOIN(",",TRUE,$B98:$E98),SF_Output!$Q$1:$Q$400,"yearly")/R98))))</f>
        <v/>
      </c>
      <c r="T98" s="6">
        <f t="shared" si="7"/>
        <v>0</v>
      </c>
      <c r="V98" s="6" cm="1">
        <f t="array" ref="V98">_xlfn.IFS(B98="","",AND(B98&lt;&gt;"",H98=SF_Output!$Y$2,SUMIFS(SF_Output!$T$1:$T$400,SF_Output!$AC$1:$AC$400,_xlfn.TEXTJOIN(",",TRUE,B98:E98),SF_Output!$Q$1:$Q$400,"monthly")=0),(SUMIFS(SF_Output!$F$1:$F$400,SF_Output!$AC$1:$AC$400,_xlfn.TEXTJOIN(",",TRUE,B98:E98),SF_Output!$Q$1:$Q$400,"monthly")+SUMIFS(SF_Output!$G$1:$G$400,SF_Output!$AC$1:$AC$400,_xlfn.TEXTJOIN(",",TRUE,B98:E98),SF_Output!$Q$1:$Q$400,"monthly"))*H98,AND(B98&lt;&gt;"",H98=SF_Output!$Y$2,SUMIFS(SF_Output!$T$1:$T$400,SF_Output!$AC$1:$AC$400,_xlfn.TEXTJOIN(",",TRUE,B98:E98),SF_Output!$Q$1:$Q$400,"monthly")&lt;&gt;0),SUMIFS(SF_Output!$S$1:$S$400,SF_Output!$AC$1:$AC$400,_xlfn.TEXTJOIN(",",TRUE,B98:E98),SF_Output!$Q$1:$Q$400,"monthly"),AND(B98&lt;&gt;"",H98&lt;&gt;SF_Output!$Y$2),SUMIFS(SF_Output!$S$1:$S$400,SF_Output!$AC$1:$AC$400,_xlfn.TEXTJOIN(",",TRUE,B98:E98),SF_Output!$Q$1:$Q$400,"monthly"))</f>
        <v>0</v>
      </c>
      <c r="W98" s="112" t="str" cm="1">
        <f t="array" ref="W98">_xlfn.IFS(OR(B98=0,B98="",V98=0),"",AF98&lt;&gt;"exclusion",MAX($W$9,$W$7,(-(SUMIFS(SF_Output!$T$1:$T$400,SF_Output!$AC$1:$AC$400,_xlfn.TEXTJOIN(",",TRUE,$B98:$E98),SF_Output!$Q$1:$Q$400,"monthly"))/V98)),AF98="exclusion",-(SUMIFS(SF_Output!$T$1:$T$400,SF_Output!$AC$1:$AC$400,_xlfn.TEXTJOIN(",",TRUE,$B98:$E98),SF_Output!$Q$1:$Q$400,"monthly"))/V98)</f>
        <v/>
      </c>
      <c r="X98" s="6" cm="1">
        <f t="array" ref="X98">IFERROR(_xlfn.IFS(V98=0,0,V98="","",W98=0,V98,OR(V98&lt;&gt;0,V98&lt;&gt;""),H98*I98),V98*(1-W98))</f>
        <v>0</v>
      </c>
    </row>
    <row r="99" spans="2:24" x14ac:dyDescent="0.25">
      <c r="B99" t="s">
        <v>694</v>
      </c>
      <c r="C99" t="s">
        <v>2122</v>
      </c>
      <c r="D99" t="s">
        <v>2207</v>
      </c>
      <c r="E99" t="s">
        <v>2124</v>
      </c>
      <c r="F99" s="116" t="str">
        <f t="shared" si="4"/>
        <v>Included</v>
      </c>
      <c r="G99" t="str">
        <f>IF(B99="","",INDEX(SF_Output!$K$1:$K$400,MATCH(B99,SF_Output!$M$1:$M$400,0)))</f>
        <v>Card Processing Solutions (CPS)</v>
      </c>
      <c r="H99" cm="1">
        <f t="array" ref="H99">_xlfn.IFS(B99="","",(SUMIFS(SF_Output!$F$1:$F$400,SF_Output!$AC$1:$AC$400,_xlfn.TEXTJOIN(",",TRUE,B99:E99))+SUMIFS(SF_Output!$G$1:$G$400,SF_Output!$AC$1:$AC$400,_xlfn.TEXTJOIN(",",TRUE,B99:E99)))&lt;&gt;0,SF_Output!$Y$2,INDEX(SF_Output!$F$1:$F$400,MATCH(_xlfn.TEXTJOIN(",",TRUE,B99:E99),SF_Output!$AC$1:$AC$400,0))=0,INDEX(SF_Output!$R$1:$R$400,MATCH(_xlfn.TEXTJOIN(",",TRUE,B99:E99),SF_Output!$AC$1:$AC$400,0)))</f>
        <v>1</v>
      </c>
      <c r="I99" s="125" t="str">
        <f>IFERROR(IF(AND(H99&gt;1,H99&lt;&gt;""),ROUND(SUMIFS(SF_Output!$S$1:$S$400,SF_Output!$AC$1:$AC$400,_xlfn.TEXTJOIN(",",TRUE,B99:E99),SF_Output!$Q$1:$Q$400,"monthly")*(1-W99)/H99,4),""),"")</f>
        <v/>
      </c>
      <c r="J99" s="6">
        <f>IF(B99="","",SUMIFS(SF_Output!$S$1:$S$400,SF_Output!$AC$1:$AC$400,_xlfn.TEXTJOIN(",",TRUE,B99:E99),SF_Output!$Q$1:$Q$400,"One Time",SF_Output!$L$1:$L$400,"license fee")+SUMIFS(SF_Output!$S$1:$S$400,SF_Output!$AC$1:$AC$400,_xlfn.TEXTJOIN(",",TRUE,B99:E99),SF_Output!$Q$1:$Q$400,"One Time",SF_Output!$L$1:$L$400,"software license")+SUMIFS(SF_Output!$S$1:$S$400,SF_Output!$AC$1:$AC$400,_xlfn.TEXTJOIN(",",TRUE,B99:E99),SF_Output!$Q$1:$Q$400,"One Time",SF_Output!$L$1:$L$400,"hardware"))</f>
        <v>0</v>
      </c>
      <c r="K99" s="112" t="str">
        <f>IF(OR(B99=0,B99="",G99="hardware",J99=0),"",IF(AF99&lt;&gt;"exclusion",MAX(K$9,-((SUMIFS(SF_Output!$T$1:$T$400,SF_Output!$AC$1:$AC$400,_xlfn.TEXTJOIN(",",TRUE,$B99:$E99),SF_Output!$Q$1:$Q$400,"One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license"))/J99)))</f>
        <v/>
      </c>
      <c r="L99" s="6">
        <f t="shared" si="5"/>
        <v>0</v>
      </c>
      <c r="N99" s="6">
        <f>IF(B99="","",SUMIFS(SF_Output!$S$1:$S$400,SF_Output!$AC$1:$AC$400,_xlfn.TEXTJOIN(",",TRUE,B99:E99),SF_Output!$Q$1:$Q$400,"One Time",SF_Output!$L$1:$L$400,"professional service"))</f>
        <v>145</v>
      </c>
      <c r="O99" s="112">
        <f>IF(OR(B99=0,B99="",N99=0),"",IF(AF99&lt;&gt;"exclusion",MAX(O$9,-(SUMIFS(SF_Output!$T$1:$T$400,SF_Output!$AC$1:$AC$400,_xlfn.TEXTJOIN(",",TRUE,$B99:$E99),SF_Output!$Q$1:$Q$400,"One Time",SF_Output!$L$1:$L$400,"professional service"))/N99),-((SUMIFS(SF_Output!$T$1:$T$400,SF_Output!$AC$1:$AC$400,_xlfn.TEXTJOIN(",",TRUE,$B99:$E99),SF_Output!$Q$1:$Q$400,"One Time",SF_Output!$L$1:$L$400,"professional service")/N99))))</f>
        <v>1</v>
      </c>
      <c r="P99" s="6">
        <f t="shared" si="6"/>
        <v>0</v>
      </c>
      <c r="R99" s="6">
        <f>IF(B99="","",SUMIFS(SF_Output!$S$1:$S$400,SF_Output!$AC$1:$AC$400,_xlfn.TEXTJOIN(",",TRUE,B99:E99),SF_Output!$Q$1:$Q$400,"yearly")+SUMIFS(SF_Output!$S$1:$S$400,SF_Output!$AC$1:$AC$400,_xlfn.TEXTJOIN(",",TRUE,B99:E99),SF_Output!$Q$1:$Q$400,"quarterly")*4)</f>
        <v>0</v>
      </c>
      <c r="S99" s="112" t="str">
        <f>IF(OR(B99=0,B99="",G99="hardware",R99=0),"",IF(AF99&lt;&gt;"exclusion",MAX(S$9,-(SUMIFS(SF_Output!$T$1:$T$400,SF_Output!$AC$1:$AC$400,_xlfn.TEXTJOIN(",",TRUE,$B99:$E99),SF_Output!$Q$1:$Q$400,"yearly"))/R99),-((SUMIFS(SF_Output!$T$1:$T$400,SF_Output!$AC$1:$AC$400,_xlfn.TEXTJOIN(",",TRUE,$B99:$E99),SF_Output!$Q$1:$Q$400,"yearly")/R99))))</f>
        <v/>
      </c>
      <c r="T99" s="6">
        <f t="shared" si="7"/>
        <v>0</v>
      </c>
      <c r="V99" s="6" cm="1">
        <f t="array" ref="V99">_xlfn.IFS(B99="","",AND(B99&lt;&gt;"",H99=SF_Output!$Y$2,SUMIFS(SF_Output!$T$1:$T$400,SF_Output!$AC$1:$AC$400,_xlfn.TEXTJOIN(",",TRUE,B99:E99),SF_Output!$Q$1:$Q$400,"monthly")=0),(SUMIFS(SF_Output!$F$1:$F$400,SF_Output!$AC$1:$AC$400,_xlfn.TEXTJOIN(",",TRUE,B99:E99),SF_Output!$Q$1:$Q$400,"monthly")+SUMIFS(SF_Output!$G$1:$G$400,SF_Output!$AC$1:$AC$400,_xlfn.TEXTJOIN(",",TRUE,B99:E99),SF_Output!$Q$1:$Q$400,"monthly"))*H99,AND(B99&lt;&gt;"",H99=SF_Output!$Y$2,SUMIFS(SF_Output!$T$1:$T$400,SF_Output!$AC$1:$AC$400,_xlfn.TEXTJOIN(",",TRUE,B99:E99),SF_Output!$Q$1:$Q$400,"monthly")&lt;&gt;0),SUMIFS(SF_Output!$S$1:$S$400,SF_Output!$AC$1:$AC$400,_xlfn.TEXTJOIN(",",TRUE,B99:E99),SF_Output!$Q$1:$Q$400,"monthly"),AND(B99&lt;&gt;"",H99&lt;&gt;SF_Output!$Y$2),SUMIFS(SF_Output!$S$1:$S$400,SF_Output!$AC$1:$AC$400,_xlfn.TEXTJOIN(",",TRUE,B99:E99),SF_Output!$Q$1:$Q$400,"monthly"))</f>
        <v>0</v>
      </c>
      <c r="W99" s="112" t="str" cm="1">
        <f t="array" ref="W99">_xlfn.IFS(OR(B99=0,B99="",V99=0),"",AF99&lt;&gt;"exclusion",MAX($W$9,$W$7,(-(SUMIFS(SF_Output!$T$1:$T$400,SF_Output!$AC$1:$AC$400,_xlfn.TEXTJOIN(",",TRUE,$B99:$E99),SF_Output!$Q$1:$Q$400,"monthly"))/V99)),AF99="exclusion",-(SUMIFS(SF_Output!$T$1:$T$400,SF_Output!$AC$1:$AC$400,_xlfn.TEXTJOIN(",",TRUE,$B99:$E99),SF_Output!$Q$1:$Q$400,"monthly"))/V99)</f>
        <v/>
      </c>
      <c r="X99" s="6" cm="1">
        <f t="array" ref="X99">IFERROR(_xlfn.IFS(V99=0,0,V99="","",W99=0,V99,OR(V99&lt;&gt;0,V99&lt;&gt;""),H99*I99),V99*(1-W99))</f>
        <v>0</v>
      </c>
    </row>
    <row r="100" spans="2:24" x14ac:dyDescent="0.25">
      <c r="B100" t="s">
        <v>2357</v>
      </c>
      <c r="C100" t="s">
        <v>2122</v>
      </c>
      <c r="D100" t="s">
        <v>2207</v>
      </c>
      <c r="E100" t="s">
        <v>2124</v>
      </c>
      <c r="F100" s="116" t="str">
        <f t="shared" si="4"/>
        <v>Included</v>
      </c>
      <c r="G100" t="str">
        <f>IF(B100="","",INDEX(SF_Output!$K$1:$K$400,MATCH(B100,SF_Output!$M$1:$M$400,0)))</f>
        <v>Card Processing Solutions (CPS)</v>
      </c>
      <c r="H100" cm="1">
        <f t="array" ref="H100">_xlfn.IFS(B100="","",(SUMIFS(SF_Output!$F$1:$F$400,SF_Output!$AC$1:$AC$400,_xlfn.TEXTJOIN(",",TRUE,B100:E100))+SUMIFS(SF_Output!$G$1:$G$400,SF_Output!$AC$1:$AC$400,_xlfn.TEXTJOIN(",",TRUE,B100:E100)))&lt;&gt;0,SF_Output!$Y$2,INDEX(SF_Output!$F$1:$F$400,MATCH(_xlfn.TEXTJOIN(",",TRUE,B100:E100),SF_Output!$AC$1:$AC$400,0))=0,INDEX(SF_Output!$R$1:$R$400,MATCH(_xlfn.TEXTJOIN(",",TRUE,B100:E100),SF_Output!$AC$1:$AC$400,0)))</f>
        <v>1</v>
      </c>
      <c r="I100" s="125" t="str">
        <f>IFERROR(IF(AND(H100&gt;1,H100&lt;&gt;""),ROUND(SUMIFS(SF_Output!$S$1:$S$400,SF_Output!$AC$1:$AC$400,_xlfn.TEXTJOIN(",",TRUE,B100:E100),SF_Output!$Q$1:$Q$400,"monthly")*(1-W100)/H100,4),""),"")</f>
        <v/>
      </c>
      <c r="J100" s="6">
        <f>IF(B100="","",SUMIFS(SF_Output!$S$1:$S$400,SF_Output!$AC$1:$AC$400,_xlfn.TEXTJOIN(",",TRUE,B100:E100),SF_Output!$Q$1:$Q$400,"One Time",SF_Output!$L$1:$L$400,"license fee")+SUMIFS(SF_Output!$S$1:$S$400,SF_Output!$AC$1:$AC$400,_xlfn.TEXTJOIN(",",TRUE,B100:E100),SF_Output!$Q$1:$Q$400,"One Time",SF_Output!$L$1:$L$400,"software license")+SUMIFS(SF_Output!$S$1:$S$400,SF_Output!$AC$1:$AC$400,_xlfn.TEXTJOIN(",",TRUE,B100:E100),SF_Output!$Q$1:$Q$400,"One Time",SF_Output!$L$1:$L$400,"hardware"))</f>
        <v>0</v>
      </c>
      <c r="K100" s="112" t="str">
        <f>IF(OR(B100=0,B100="",G100="hardware",J100=0),"",IF(AF100&lt;&gt;"exclusion",MAX(K$9,-((SUMIFS(SF_Output!$T$1:$T$400,SF_Output!$AC$1:$AC$400,_xlfn.TEXTJOIN(",",TRUE,$B100:$E100),SF_Output!$Q$1:$Q$400,"One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license"))/J100)))</f>
        <v/>
      </c>
      <c r="L100" s="6">
        <f t="shared" si="5"/>
        <v>0</v>
      </c>
      <c r="N100" s="6">
        <f>IF(B100="","",SUMIFS(SF_Output!$S$1:$S$400,SF_Output!$AC$1:$AC$400,_xlfn.TEXTJOIN(",",TRUE,B100:E100),SF_Output!$Q$1:$Q$400,"One Time",SF_Output!$L$1:$L$400,"professional service"))</f>
        <v>0</v>
      </c>
      <c r="O100" s="112" t="str">
        <f>IF(OR(B100=0,B100="",N100=0),"",IF(AF100&lt;&gt;"exclusion",MAX(O$9,-(SUMIFS(SF_Output!$T$1:$T$400,SF_Output!$AC$1:$AC$400,_xlfn.TEXTJOIN(",",TRUE,$B100:$E100),SF_Output!$Q$1:$Q$400,"One Time",SF_Output!$L$1:$L$400,"professional service"))/N100),-((SUMIFS(SF_Output!$T$1:$T$400,SF_Output!$AC$1:$AC$400,_xlfn.TEXTJOIN(",",TRUE,$B100:$E100),SF_Output!$Q$1:$Q$400,"One Time",SF_Output!$L$1:$L$400,"professional service")/N100))))</f>
        <v/>
      </c>
      <c r="P100" s="6">
        <f t="shared" si="6"/>
        <v>0</v>
      </c>
      <c r="R100" s="6">
        <f>IF(B100="","",SUMIFS(SF_Output!$S$1:$S$400,SF_Output!$AC$1:$AC$400,_xlfn.TEXTJOIN(",",TRUE,B100:E100),SF_Output!$Q$1:$Q$400,"yearly")+SUMIFS(SF_Output!$S$1:$S$400,SF_Output!$AC$1:$AC$400,_xlfn.TEXTJOIN(",",TRUE,B100:E100),SF_Output!$Q$1:$Q$400,"quarterly")*4)</f>
        <v>0</v>
      </c>
      <c r="S100" s="112" t="str">
        <f>IF(OR(B100=0,B100="",G100="hardware",R100=0),"",IF(AF100&lt;&gt;"exclusion",MAX(S$9,-(SUMIFS(SF_Output!$T$1:$T$400,SF_Output!$AC$1:$AC$400,_xlfn.TEXTJOIN(",",TRUE,$B100:$E100),SF_Output!$Q$1:$Q$400,"yearly"))/R100),-((SUMIFS(SF_Output!$T$1:$T$400,SF_Output!$AC$1:$AC$400,_xlfn.TEXTJOIN(",",TRUE,$B100:$E100),SF_Output!$Q$1:$Q$400,"yearly")/R100))))</f>
        <v/>
      </c>
      <c r="T100" s="6">
        <f t="shared" si="7"/>
        <v>0</v>
      </c>
      <c r="V100" s="6" cm="1">
        <f t="array" ref="V100">_xlfn.IFS(B100="","",AND(B100&lt;&gt;"",H100=SF_Output!$Y$2,SUMIFS(SF_Output!$T$1:$T$400,SF_Output!$AC$1:$AC$400,_xlfn.TEXTJOIN(",",TRUE,B100:E100),SF_Output!$Q$1:$Q$400,"monthly")=0),(SUMIFS(SF_Output!$F$1:$F$400,SF_Output!$AC$1:$AC$400,_xlfn.TEXTJOIN(",",TRUE,B100:E100),SF_Output!$Q$1:$Q$400,"monthly")+SUMIFS(SF_Output!$G$1:$G$400,SF_Output!$AC$1:$AC$400,_xlfn.TEXTJOIN(",",TRUE,B100:E100),SF_Output!$Q$1:$Q$400,"monthly"))*H100,AND(B100&lt;&gt;"",H100=SF_Output!$Y$2,SUMIFS(SF_Output!$T$1:$T$400,SF_Output!$AC$1:$AC$400,_xlfn.TEXTJOIN(",",TRUE,B100:E100),SF_Output!$Q$1:$Q$400,"monthly")&lt;&gt;0),SUMIFS(SF_Output!$S$1:$S$400,SF_Output!$AC$1:$AC$400,_xlfn.TEXTJOIN(",",TRUE,B100:E100),SF_Output!$Q$1:$Q$400,"monthly"),AND(B100&lt;&gt;"",H100&lt;&gt;SF_Output!$Y$2),SUMIFS(SF_Output!$S$1:$S$400,SF_Output!$AC$1:$AC$400,_xlfn.TEXTJOIN(",",TRUE,B100:E100),SF_Output!$Q$1:$Q$400,"monthly"))</f>
        <v>100</v>
      </c>
      <c r="W100" s="112" cm="1">
        <f t="array" ref="W100">_xlfn.IFS(OR(B100=0,B100="",V100=0),"",AF100&lt;&gt;"exclusion",MAX($W$9,$W$7,(-(SUMIFS(SF_Output!$T$1:$T$400,SF_Output!$AC$1:$AC$400,_xlfn.TEXTJOIN(",",TRUE,$B100:$E100),SF_Output!$Q$1:$Q$400,"monthly"))/V100)),AF100="exclusion",-(SUMIFS(SF_Output!$T$1:$T$400,SF_Output!$AC$1:$AC$400,_xlfn.TEXTJOIN(",",TRUE,$B100:$E100),SF_Output!$Q$1:$Q$400,"monthly"))/V100)</f>
        <v>0</v>
      </c>
      <c r="X100" s="6" cm="1">
        <f t="array" ref="X100">IFERROR(_xlfn.IFS(V100=0,0,V100="","",W100=0,V100,OR(V100&lt;&gt;0,V100&lt;&gt;""),H100*I100),V100*(1-W100))</f>
        <v>100</v>
      </c>
    </row>
    <row r="101" spans="2:24" x14ac:dyDescent="0.25">
      <c r="B101" t="s">
        <v>715</v>
      </c>
      <c r="C101" t="s">
        <v>2122</v>
      </c>
      <c r="D101" t="s">
        <v>2207</v>
      </c>
      <c r="E101" t="s">
        <v>2124</v>
      </c>
      <c r="F101" s="116" t="str">
        <f t="shared" si="4"/>
        <v>Included</v>
      </c>
      <c r="G101" t="str">
        <f>IF(B101="","",INDEX(SF_Output!$K$1:$K$400,MATCH(B101,SF_Output!$M$1:$M$400,0)))</f>
        <v>Card Processing Solutions (CPS)</v>
      </c>
      <c r="H101" cm="1">
        <f t="array" ref="H101">_xlfn.IFS(B101="","",(SUMIFS(SF_Output!$F$1:$F$400,SF_Output!$AC$1:$AC$400,_xlfn.TEXTJOIN(",",TRUE,B101:E101))+SUMIFS(SF_Output!$G$1:$G$400,SF_Output!$AC$1:$AC$400,_xlfn.TEXTJOIN(",",TRUE,B101:E101)))&lt;&gt;0,SF_Output!$Y$2,INDEX(SF_Output!$F$1:$F$400,MATCH(_xlfn.TEXTJOIN(",",TRUE,B101:E101),SF_Output!$AC$1:$AC$400,0))=0,INDEX(SF_Output!$R$1:$R$400,MATCH(_xlfn.TEXTJOIN(",",TRUE,B101:E101),SF_Output!$AC$1:$AC$400,0)))</f>
        <v>1</v>
      </c>
      <c r="I101" s="125" t="str">
        <f>IFERROR(IF(AND(H101&gt;1,H101&lt;&gt;""),ROUND(SUMIFS(SF_Output!$S$1:$S$400,SF_Output!$AC$1:$AC$400,_xlfn.TEXTJOIN(",",TRUE,B101:E101),SF_Output!$Q$1:$Q$400,"monthly")*(1-W101)/H101,4),""),"")</f>
        <v/>
      </c>
      <c r="J101" s="6">
        <f>IF(B101="","",SUMIFS(SF_Output!$S$1:$S$400,SF_Output!$AC$1:$AC$400,_xlfn.TEXTJOIN(",",TRUE,B101:E101),SF_Output!$Q$1:$Q$400,"One Time",SF_Output!$L$1:$L$400,"license fee")+SUMIFS(SF_Output!$S$1:$S$400,SF_Output!$AC$1:$AC$400,_xlfn.TEXTJOIN(",",TRUE,B101:E101),SF_Output!$Q$1:$Q$400,"One Time",SF_Output!$L$1:$L$400,"software license")+SUMIFS(SF_Output!$S$1:$S$400,SF_Output!$AC$1:$AC$400,_xlfn.TEXTJOIN(",",TRUE,B101:E101),SF_Output!$Q$1:$Q$400,"One Time",SF_Output!$L$1:$L$400,"hardware"))</f>
        <v>0</v>
      </c>
      <c r="K101" s="112" t="str">
        <f>IF(OR(B101=0,B101="",G101="hardware",J101=0),"",IF(AF101&lt;&gt;"exclusion",MAX(K$9,-((SUMIFS(SF_Output!$T$1:$T$400,SF_Output!$AC$1:$AC$400,_xlfn.TEXTJOIN(",",TRUE,$B101:$E101),SF_Output!$Q$1:$Q$400,"One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license"))/J101)))</f>
        <v/>
      </c>
      <c r="L101" s="6">
        <f t="shared" si="5"/>
        <v>0</v>
      </c>
      <c r="N101" s="6">
        <f>IF(B101="","",SUMIFS(SF_Output!$S$1:$S$400,SF_Output!$AC$1:$AC$400,_xlfn.TEXTJOIN(",",TRUE,B101:E101),SF_Output!$Q$1:$Q$400,"One Time",SF_Output!$L$1:$L$400,"professional service"))</f>
        <v>500</v>
      </c>
      <c r="O101" s="112">
        <f>IF(OR(B101=0,B101="",N101=0),"",IF(AF101&lt;&gt;"exclusion",MAX(O$9,-(SUMIFS(SF_Output!$T$1:$T$400,SF_Output!$AC$1:$AC$400,_xlfn.TEXTJOIN(",",TRUE,$B101:$E101),SF_Output!$Q$1:$Q$400,"One Time",SF_Output!$L$1:$L$400,"professional service"))/N101),-((SUMIFS(SF_Output!$T$1:$T$400,SF_Output!$AC$1:$AC$400,_xlfn.TEXTJOIN(",",TRUE,$B101:$E101),SF_Output!$Q$1:$Q$400,"One Time",SF_Output!$L$1:$L$400,"professional service")/N101))))</f>
        <v>1</v>
      </c>
      <c r="P101" s="6">
        <f t="shared" si="6"/>
        <v>0</v>
      </c>
      <c r="R101" s="6">
        <f>IF(B101="","",SUMIFS(SF_Output!$S$1:$S$400,SF_Output!$AC$1:$AC$400,_xlfn.TEXTJOIN(",",TRUE,B101:E101),SF_Output!$Q$1:$Q$400,"yearly")+SUMIFS(SF_Output!$S$1:$S$400,SF_Output!$AC$1:$AC$400,_xlfn.TEXTJOIN(",",TRUE,B101:E101),SF_Output!$Q$1:$Q$400,"quarterly")*4)</f>
        <v>0</v>
      </c>
      <c r="S101" s="112" t="str">
        <f>IF(OR(B101=0,B101="",G101="hardware",R101=0),"",IF(AF101&lt;&gt;"exclusion",MAX(S$9,-(SUMIFS(SF_Output!$T$1:$T$400,SF_Output!$AC$1:$AC$400,_xlfn.TEXTJOIN(",",TRUE,$B101:$E101),SF_Output!$Q$1:$Q$400,"yearly"))/R101),-((SUMIFS(SF_Output!$T$1:$T$400,SF_Output!$AC$1:$AC$400,_xlfn.TEXTJOIN(",",TRUE,$B101:$E101),SF_Output!$Q$1:$Q$400,"yearly")/R101))))</f>
        <v/>
      </c>
      <c r="T101" s="6">
        <f t="shared" si="7"/>
        <v>0</v>
      </c>
      <c r="V101" s="6" cm="1">
        <f t="array" ref="V101">_xlfn.IFS(B101="","",AND(B101&lt;&gt;"",H101=SF_Output!$Y$2,SUMIFS(SF_Output!$T$1:$T$400,SF_Output!$AC$1:$AC$400,_xlfn.TEXTJOIN(",",TRUE,B101:E101),SF_Output!$Q$1:$Q$400,"monthly")=0),(SUMIFS(SF_Output!$F$1:$F$400,SF_Output!$AC$1:$AC$400,_xlfn.TEXTJOIN(",",TRUE,B101:E101),SF_Output!$Q$1:$Q$400,"monthly")+SUMIFS(SF_Output!$G$1:$G$400,SF_Output!$AC$1:$AC$400,_xlfn.TEXTJOIN(",",TRUE,B101:E101),SF_Output!$Q$1:$Q$400,"monthly"))*H101,AND(B101&lt;&gt;"",H101=SF_Output!$Y$2,SUMIFS(SF_Output!$T$1:$T$400,SF_Output!$AC$1:$AC$400,_xlfn.TEXTJOIN(",",TRUE,B101:E101),SF_Output!$Q$1:$Q$400,"monthly")&lt;&gt;0),SUMIFS(SF_Output!$S$1:$S$400,SF_Output!$AC$1:$AC$400,_xlfn.TEXTJOIN(",",TRUE,B101:E101),SF_Output!$Q$1:$Q$400,"monthly"),AND(B101&lt;&gt;"",H101&lt;&gt;SF_Output!$Y$2),SUMIFS(SF_Output!$S$1:$S$400,SF_Output!$AC$1:$AC$400,_xlfn.TEXTJOIN(",",TRUE,B101:E101),SF_Output!$Q$1:$Q$400,"monthly"))</f>
        <v>75</v>
      </c>
      <c r="W101" s="112" cm="1">
        <f t="array" ref="W101">_xlfn.IFS(OR(B101=0,B101="",V101=0),"",AF101&lt;&gt;"exclusion",MAX($W$9,$W$7,(-(SUMIFS(SF_Output!$T$1:$T$400,SF_Output!$AC$1:$AC$400,_xlfn.TEXTJOIN(",",TRUE,$B101:$E101),SF_Output!$Q$1:$Q$400,"monthly"))/V101)),AF101="exclusion",-(SUMIFS(SF_Output!$T$1:$T$400,SF_Output!$AC$1:$AC$400,_xlfn.TEXTJOIN(",",TRUE,$B101:$E101),SF_Output!$Q$1:$Q$400,"monthly"))/V101)</f>
        <v>0</v>
      </c>
      <c r="X101" s="6" cm="1">
        <f t="array" ref="X101">IFERROR(_xlfn.IFS(V101=0,0,V101="","",W101=0,V101,OR(V101&lt;&gt;0,V101&lt;&gt;""),H101*I101),V101*(1-W101))</f>
        <v>75</v>
      </c>
    </row>
    <row r="102" spans="2:24" x14ac:dyDescent="0.25">
      <c r="B102" t="s">
        <v>716</v>
      </c>
      <c r="C102" t="s">
        <v>2122</v>
      </c>
      <c r="D102" t="s">
        <v>2207</v>
      </c>
      <c r="E102" t="s">
        <v>2124</v>
      </c>
      <c r="F102" s="116" t="str">
        <f t="shared" si="4"/>
        <v>Included</v>
      </c>
      <c r="G102" t="str">
        <f>IF(B102="","",INDEX(SF_Output!$K$1:$K$400,MATCH(B102,SF_Output!$M$1:$M$400,0)))</f>
        <v>Card Processing Solutions (CPS)</v>
      </c>
      <c r="H102" cm="1">
        <f t="array" ref="H102">_xlfn.IFS(B102="","",(SUMIFS(SF_Output!$F$1:$F$400,SF_Output!$AC$1:$AC$400,_xlfn.TEXTJOIN(",",TRUE,B102:E102))+SUMIFS(SF_Output!$G$1:$G$400,SF_Output!$AC$1:$AC$400,_xlfn.TEXTJOIN(",",TRUE,B102:E102)))&lt;&gt;0,SF_Output!$Y$2,INDEX(SF_Output!$F$1:$F$400,MATCH(_xlfn.TEXTJOIN(",",TRUE,B102:E102),SF_Output!$AC$1:$AC$400,0))=0,INDEX(SF_Output!$R$1:$R$400,MATCH(_xlfn.TEXTJOIN(",",TRUE,B102:E102),SF_Output!$AC$1:$AC$400,0)))</f>
        <v>3</v>
      </c>
      <c r="I102" s="125">
        <f>IFERROR(IF(AND(H102&gt;1,H102&lt;&gt;""),ROUND(SUMIFS(SF_Output!$S$1:$S$400,SF_Output!$AC$1:$AC$400,_xlfn.TEXTJOIN(",",TRUE,B102:E102),SF_Output!$Q$1:$Q$400,"monthly")*(1-W102)/H102,4),""),"")</f>
        <v>75</v>
      </c>
      <c r="J102" s="6">
        <f>IF(B102="","",SUMIFS(SF_Output!$S$1:$S$400,SF_Output!$AC$1:$AC$400,_xlfn.TEXTJOIN(",",TRUE,B102:E102),SF_Output!$Q$1:$Q$400,"One Time",SF_Output!$L$1:$L$400,"license fee")+SUMIFS(SF_Output!$S$1:$S$400,SF_Output!$AC$1:$AC$400,_xlfn.TEXTJOIN(",",TRUE,B102:E102),SF_Output!$Q$1:$Q$400,"One Time",SF_Output!$L$1:$L$400,"software license")+SUMIFS(SF_Output!$S$1:$S$400,SF_Output!$AC$1:$AC$400,_xlfn.TEXTJOIN(",",TRUE,B102:E102),SF_Output!$Q$1:$Q$400,"One Time",SF_Output!$L$1:$L$400,"hardware"))</f>
        <v>0</v>
      </c>
      <c r="K102" s="112" t="str">
        <f>IF(OR(B102=0,B102="",G102="hardware",J102=0),"",IF(AF102&lt;&gt;"exclusion",MAX(K$9,-((SUMIFS(SF_Output!$T$1:$T$400,SF_Output!$AC$1:$AC$400,_xlfn.TEXTJOIN(",",TRUE,$B102:$E102),SF_Output!$Q$1:$Q$400,"One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license"))/J102)))</f>
        <v/>
      </c>
      <c r="L102" s="6">
        <f t="shared" si="5"/>
        <v>0</v>
      </c>
      <c r="N102" s="6">
        <f>IF(B102="","",SUMIFS(SF_Output!$S$1:$S$400,SF_Output!$AC$1:$AC$400,_xlfn.TEXTJOIN(",",TRUE,B102:E102),SF_Output!$Q$1:$Q$400,"One Time",SF_Output!$L$1:$L$400,"professional service"))</f>
        <v>1500</v>
      </c>
      <c r="O102" s="112">
        <f>IF(OR(B102=0,B102="",N102=0),"",IF(AF102&lt;&gt;"exclusion",MAX(O$9,-(SUMIFS(SF_Output!$T$1:$T$400,SF_Output!$AC$1:$AC$400,_xlfn.TEXTJOIN(",",TRUE,$B102:$E102),SF_Output!$Q$1:$Q$400,"One Time",SF_Output!$L$1:$L$400,"professional service"))/N102),-((SUMIFS(SF_Output!$T$1:$T$400,SF_Output!$AC$1:$AC$400,_xlfn.TEXTJOIN(",",TRUE,$B102:$E102),SF_Output!$Q$1:$Q$400,"One Time",SF_Output!$L$1:$L$400,"professional service")/N102))))</f>
        <v>1</v>
      </c>
      <c r="P102" s="6">
        <f t="shared" si="6"/>
        <v>0</v>
      </c>
      <c r="R102" s="6">
        <f>IF(B102="","",SUMIFS(SF_Output!$S$1:$S$400,SF_Output!$AC$1:$AC$400,_xlfn.TEXTJOIN(",",TRUE,B102:E102),SF_Output!$Q$1:$Q$400,"yearly")+SUMIFS(SF_Output!$S$1:$S$400,SF_Output!$AC$1:$AC$400,_xlfn.TEXTJOIN(",",TRUE,B102:E102),SF_Output!$Q$1:$Q$400,"quarterly")*4)</f>
        <v>0</v>
      </c>
      <c r="S102" s="112" t="str">
        <f>IF(OR(B102=0,B102="",G102="hardware",R102=0),"",IF(AF102&lt;&gt;"exclusion",MAX(S$9,-(SUMIFS(SF_Output!$T$1:$T$400,SF_Output!$AC$1:$AC$400,_xlfn.TEXTJOIN(",",TRUE,$B102:$E102),SF_Output!$Q$1:$Q$400,"yearly"))/R102),-((SUMIFS(SF_Output!$T$1:$T$400,SF_Output!$AC$1:$AC$400,_xlfn.TEXTJOIN(",",TRUE,$B102:$E102),SF_Output!$Q$1:$Q$400,"yearly")/R102))))</f>
        <v/>
      </c>
      <c r="T102" s="6">
        <f t="shared" si="7"/>
        <v>0</v>
      </c>
      <c r="V102" s="6" cm="1">
        <f t="array" ref="V102">_xlfn.IFS(B102="","",AND(B102&lt;&gt;"",H102=SF_Output!$Y$2,SUMIFS(SF_Output!$T$1:$T$400,SF_Output!$AC$1:$AC$400,_xlfn.TEXTJOIN(",",TRUE,B102:E102),SF_Output!$Q$1:$Q$400,"monthly")=0),(SUMIFS(SF_Output!$F$1:$F$400,SF_Output!$AC$1:$AC$400,_xlfn.TEXTJOIN(",",TRUE,B102:E102),SF_Output!$Q$1:$Q$400,"monthly")+SUMIFS(SF_Output!$G$1:$G$400,SF_Output!$AC$1:$AC$400,_xlfn.TEXTJOIN(",",TRUE,B102:E102),SF_Output!$Q$1:$Q$400,"monthly"))*H102,AND(B102&lt;&gt;"",H102=SF_Output!$Y$2,SUMIFS(SF_Output!$T$1:$T$400,SF_Output!$AC$1:$AC$400,_xlfn.TEXTJOIN(",",TRUE,B102:E102),SF_Output!$Q$1:$Q$400,"monthly")&lt;&gt;0),SUMIFS(SF_Output!$S$1:$S$400,SF_Output!$AC$1:$AC$400,_xlfn.TEXTJOIN(",",TRUE,B102:E102),SF_Output!$Q$1:$Q$400,"monthly"),AND(B102&lt;&gt;"",H102&lt;&gt;SF_Output!$Y$2),SUMIFS(SF_Output!$S$1:$S$400,SF_Output!$AC$1:$AC$400,_xlfn.TEXTJOIN(",",TRUE,B102:E102),SF_Output!$Q$1:$Q$400,"monthly"))</f>
        <v>225</v>
      </c>
      <c r="W102" s="112" cm="1">
        <f t="array" ref="W102">_xlfn.IFS(OR(B102=0,B102="",V102=0),"",AF102&lt;&gt;"exclusion",MAX($W$9,$W$7,(-(SUMIFS(SF_Output!$T$1:$T$400,SF_Output!$AC$1:$AC$400,_xlfn.TEXTJOIN(",",TRUE,$B102:$E102),SF_Output!$Q$1:$Q$400,"monthly"))/V102)),AF102="exclusion",-(SUMIFS(SF_Output!$T$1:$T$400,SF_Output!$AC$1:$AC$400,_xlfn.TEXTJOIN(",",TRUE,$B102:$E102),SF_Output!$Q$1:$Q$400,"monthly"))/V102)</f>
        <v>0</v>
      </c>
      <c r="X102" s="6" cm="1">
        <f t="array" ref="X102">IFERROR(_xlfn.IFS(V102=0,0,V102="","",W102=0,V102,OR(V102&lt;&gt;0,V102&lt;&gt;""),H102*I102),V102*(1-W102))</f>
        <v>225</v>
      </c>
    </row>
    <row r="103" spans="2:24" x14ac:dyDescent="0.25">
      <c r="B103" t="s">
        <v>2363</v>
      </c>
      <c r="C103" t="s">
        <v>2122</v>
      </c>
      <c r="D103" t="s">
        <v>2207</v>
      </c>
      <c r="E103" t="s">
        <v>2124</v>
      </c>
      <c r="F103" s="116" t="str">
        <f t="shared" si="4"/>
        <v>Included</v>
      </c>
      <c r="G103" t="str">
        <f>IF(B103="","",INDEX(SF_Output!$K$1:$K$400,MATCH(B103,SF_Output!$M$1:$M$400,0)))</f>
        <v>Card Processing Solutions (CPS)</v>
      </c>
      <c r="H103" cm="1">
        <f t="array" ref="H103">_xlfn.IFS(B103="","",(SUMIFS(SF_Output!$F$1:$F$400,SF_Output!$AC$1:$AC$400,_xlfn.TEXTJOIN(",",TRUE,B103:E103))+SUMIFS(SF_Output!$G$1:$G$400,SF_Output!$AC$1:$AC$400,_xlfn.TEXTJOIN(",",TRUE,B103:E103)))&lt;&gt;0,SF_Output!$Y$2,INDEX(SF_Output!$F$1:$F$400,MATCH(_xlfn.TEXTJOIN(",",TRUE,B103:E103),SF_Output!$AC$1:$AC$400,0))=0,INDEX(SF_Output!$R$1:$R$400,MATCH(_xlfn.TEXTJOIN(",",TRUE,B103:E103),SF_Output!$AC$1:$AC$400,0)))</f>
        <v>0</v>
      </c>
      <c r="I103" s="125" t="str">
        <f>IFERROR(IF(AND(H103&gt;1,H103&lt;&gt;""),ROUND(SUMIFS(SF_Output!$S$1:$S$400,SF_Output!$AC$1:$AC$400,_xlfn.TEXTJOIN(",",TRUE,B103:E103),SF_Output!$Q$1:$Q$400,"monthly")*(1-W103)/H103,4),""),"")</f>
        <v/>
      </c>
      <c r="J103" s="6">
        <f>IF(B103="","",SUMIFS(SF_Output!$S$1:$S$400,SF_Output!$AC$1:$AC$400,_xlfn.TEXTJOIN(",",TRUE,B103:E103),SF_Output!$Q$1:$Q$400,"One Time",SF_Output!$L$1:$L$400,"license fee")+SUMIFS(SF_Output!$S$1:$S$400,SF_Output!$AC$1:$AC$400,_xlfn.TEXTJOIN(",",TRUE,B103:E103),SF_Output!$Q$1:$Q$400,"One Time",SF_Output!$L$1:$L$400,"software license")+SUMIFS(SF_Output!$S$1:$S$400,SF_Output!$AC$1:$AC$400,_xlfn.TEXTJOIN(",",TRUE,B103:E103),SF_Output!$Q$1:$Q$400,"One Time",SF_Output!$L$1:$L$400,"hardware"))</f>
        <v>0</v>
      </c>
      <c r="K103" s="112" t="str">
        <f>IF(OR(B103=0,B103="",G103="hardware",J103=0),"",IF(AF103&lt;&gt;"exclusion",MAX(K$9,-((SUMIFS(SF_Output!$T$1:$T$400,SF_Output!$AC$1:$AC$400,_xlfn.TEXTJOIN(",",TRUE,$B103:$E103),SF_Output!$Q$1:$Q$400,"One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license"))/J103)))</f>
        <v/>
      </c>
      <c r="L103" s="6">
        <f t="shared" si="5"/>
        <v>0</v>
      </c>
      <c r="N103" s="6">
        <f>IF(B103="","",SUMIFS(SF_Output!$S$1:$S$400,SF_Output!$AC$1:$AC$400,_xlfn.TEXTJOIN(",",TRUE,B103:E103),SF_Output!$Q$1:$Q$400,"One Time",SF_Output!$L$1:$L$400,"professional service"))</f>
        <v>200</v>
      </c>
      <c r="O103" s="112">
        <f>IF(OR(B103=0,B103="",N103=0),"",IF(AF103&lt;&gt;"exclusion",MAX(O$9,-(SUMIFS(SF_Output!$T$1:$T$400,SF_Output!$AC$1:$AC$400,_xlfn.TEXTJOIN(",",TRUE,$B103:$E103),SF_Output!$Q$1:$Q$400,"One Time",SF_Output!$L$1:$L$400,"professional service"))/N103),-((SUMIFS(SF_Output!$T$1:$T$400,SF_Output!$AC$1:$AC$400,_xlfn.TEXTJOIN(",",TRUE,$B103:$E103),SF_Output!$Q$1:$Q$400,"One Time",SF_Output!$L$1:$L$400,"professional service")/N103))))</f>
        <v>1</v>
      </c>
      <c r="P103" s="6">
        <f t="shared" si="6"/>
        <v>0</v>
      </c>
      <c r="R103" s="6">
        <f>IF(B103="","",SUMIFS(SF_Output!$S$1:$S$400,SF_Output!$AC$1:$AC$400,_xlfn.TEXTJOIN(",",TRUE,B103:E103),SF_Output!$Q$1:$Q$400,"yearly")+SUMIFS(SF_Output!$S$1:$S$400,SF_Output!$AC$1:$AC$400,_xlfn.TEXTJOIN(",",TRUE,B103:E103),SF_Output!$Q$1:$Q$400,"quarterly")*4)</f>
        <v>0</v>
      </c>
      <c r="S103" s="112" t="str">
        <f>IF(OR(B103=0,B103="",G103="hardware",R103=0),"",IF(AF103&lt;&gt;"exclusion",MAX(S$9,-(SUMIFS(SF_Output!$T$1:$T$400,SF_Output!$AC$1:$AC$400,_xlfn.TEXTJOIN(",",TRUE,$B103:$E103),SF_Output!$Q$1:$Q$400,"yearly"))/R103),-((SUMIFS(SF_Output!$T$1:$T$400,SF_Output!$AC$1:$AC$400,_xlfn.TEXTJOIN(",",TRUE,$B103:$E103),SF_Output!$Q$1:$Q$400,"yearly")/R103))))</f>
        <v/>
      </c>
      <c r="T103" s="6">
        <f t="shared" si="7"/>
        <v>0</v>
      </c>
      <c r="V103" s="6" cm="1">
        <f t="array" ref="V103">_xlfn.IFS(B103="","",AND(B103&lt;&gt;"",H103=SF_Output!$Y$2,SUMIFS(SF_Output!$T$1:$T$400,SF_Output!$AC$1:$AC$400,_xlfn.TEXTJOIN(",",TRUE,B103:E103),SF_Output!$Q$1:$Q$400,"monthly")=0),(SUMIFS(SF_Output!$F$1:$F$400,SF_Output!$AC$1:$AC$400,_xlfn.TEXTJOIN(",",TRUE,B103:E103),SF_Output!$Q$1:$Q$400,"monthly")+SUMIFS(SF_Output!$G$1:$G$400,SF_Output!$AC$1:$AC$400,_xlfn.TEXTJOIN(",",TRUE,B103:E103),SF_Output!$Q$1:$Q$400,"monthly"))*H103,AND(B103&lt;&gt;"",H103=SF_Output!$Y$2,SUMIFS(SF_Output!$T$1:$T$400,SF_Output!$AC$1:$AC$400,_xlfn.TEXTJOIN(",",TRUE,B103:E103),SF_Output!$Q$1:$Q$400,"monthly")&lt;&gt;0),SUMIFS(SF_Output!$S$1:$S$400,SF_Output!$AC$1:$AC$400,_xlfn.TEXTJOIN(",",TRUE,B103:E103),SF_Output!$Q$1:$Q$400,"monthly"),AND(B103&lt;&gt;"",H103&lt;&gt;SF_Output!$Y$2),SUMIFS(SF_Output!$S$1:$S$400,SF_Output!$AC$1:$AC$400,_xlfn.TEXTJOIN(",",TRUE,B103:E103),SF_Output!$Q$1:$Q$400,"monthly"))</f>
        <v>0</v>
      </c>
      <c r="W103" s="112" t="str" cm="1">
        <f t="array" ref="W103">_xlfn.IFS(OR(B103=0,B103="",V103=0),"",AF103&lt;&gt;"exclusion",MAX($W$9,$W$7,(-(SUMIFS(SF_Output!$T$1:$T$400,SF_Output!$AC$1:$AC$400,_xlfn.TEXTJOIN(",",TRUE,$B103:$E103),SF_Output!$Q$1:$Q$400,"monthly"))/V103)),AF103="exclusion",-(SUMIFS(SF_Output!$T$1:$T$400,SF_Output!$AC$1:$AC$400,_xlfn.TEXTJOIN(",",TRUE,$B103:$E103),SF_Output!$Q$1:$Q$400,"monthly"))/V103)</f>
        <v/>
      </c>
      <c r="X103" s="6" cm="1">
        <f t="array" ref="X103">IFERROR(_xlfn.IFS(V103=0,0,V103="","",W103=0,V103,OR(V103&lt;&gt;0,V103&lt;&gt;""),H103*I103),V103*(1-W103))</f>
        <v>0</v>
      </c>
    </row>
    <row r="104" spans="2:24" x14ac:dyDescent="0.25">
      <c r="B104" t="s">
        <v>1730</v>
      </c>
      <c r="C104" t="s">
        <v>2122</v>
      </c>
      <c r="D104" t="s">
        <v>2207</v>
      </c>
      <c r="E104" t="s">
        <v>2124</v>
      </c>
      <c r="F104" s="116" t="str">
        <f t="shared" si="4"/>
        <v>Included</v>
      </c>
      <c r="G104" t="str">
        <f>IF(B104="","",INDEX(SF_Output!$K$1:$K$400,MATCH(B104,SF_Output!$M$1:$M$400,0)))</f>
        <v>Card Processing Solutions (CPS)</v>
      </c>
      <c r="H104" cm="1">
        <f t="array" ref="H104">_xlfn.IFS(B104="","",(SUMIFS(SF_Output!$F$1:$F$400,SF_Output!$AC$1:$AC$400,_xlfn.TEXTJOIN(",",TRUE,B104:E104))+SUMIFS(SF_Output!$G$1:$G$400,SF_Output!$AC$1:$AC$400,_xlfn.TEXTJOIN(",",TRUE,B104:E104)))&lt;&gt;0,SF_Output!$Y$2,INDEX(SF_Output!$F$1:$F$400,MATCH(_xlfn.TEXTJOIN(",",TRUE,B104:E104),SF_Output!$AC$1:$AC$400,0))=0,INDEX(SF_Output!$R$1:$R$400,MATCH(_xlfn.TEXTJOIN(",",TRUE,B104:E104),SF_Output!$AC$1:$AC$400,0)))</f>
        <v>0</v>
      </c>
      <c r="I104" s="125" t="str">
        <f>IFERROR(IF(AND(H104&gt;1,H104&lt;&gt;""),ROUND(SUMIFS(SF_Output!$S$1:$S$400,SF_Output!$AC$1:$AC$400,_xlfn.TEXTJOIN(",",TRUE,B104:E104),SF_Output!$Q$1:$Q$400,"monthly")*(1-W104)/H104,4),""),"")</f>
        <v/>
      </c>
      <c r="J104" s="6">
        <f>IF(B104="","",SUMIFS(SF_Output!$S$1:$S$400,SF_Output!$AC$1:$AC$400,_xlfn.TEXTJOIN(",",TRUE,B104:E104),SF_Output!$Q$1:$Q$400,"One Time",SF_Output!$L$1:$L$400,"license fee")+SUMIFS(SF_Output!$S$1:$S$400,SF_Output!$AC$1:$AC$400,_xlfn.TEXTJOIN(",",TRUE,B104:E104),SF_Output!$Q$1:$Q$400,"One Time",SF_Output!$L$1:$L$400,"software license")+SUMIFS(SF_Output!$S$1:$S$400,SF_Output!$AC$1:$AC$400,_xlfn.TEXTJOIN(",",TRUE,B104:E104),SF_Output!$Q$1:$Q$400,"One Time",SF_Output!$L$1:$L$400,"hardware"))</f>
        <v>0</v>
      </c>
      <c r="K104" s="112" t="str">
        <f>IF(OR(B104=0,B104="",G104="hardware",J104=0),"",IF(AF104&lt;&gt;"exclusion",MAX(K$9,-((SUMIFS(SF_Output!$T$1:$T$400,SF_Output!$AC$1:$AC$400,_xlfn.TEXTJOIN(",",TRUE,$B104:$E104),SF_Output!$Q$1:$Q$400,"One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license"))/J104)))</f>
        <v/>
      </c>
      <c r="L104" s="6">
        <f t="shared" si="5"/>
        <v>0</v>
      </c>
      <c r="N104" s="6">
        <f>IF(B104="","",SUMIFS(SF_Output!$S$1:$S$400,SF_Output!$AC$1:$AC$400,_xlfn.TEXTJOIN(",",TRUE,B104:E104),SF_Output!$Q$1:$Q$400,"One Time",SF_Output!$L$1:$L$400,"professional service"))</f>
        <v>0</v>
      </c>
      <c r="O104" s="112" t="str">
        <f>IF(OR(B104=0,B104="",N104=0),"",IF(AF104&lt;&gt;"exclusion",MAX(O$9,-(SUMIFS(SF_Output!$T$1:$T$400,SF_Output!$AC$1:$AC$400,_xlfn.TEXTJOIN(",",TRUE,$B104:$E104),SF_Output!$Q$1:$Q$400,"One Time",SF_Output!$L$1:$L$400,"professional service"))/N104),-((SUMIFS(SF_Output!$T$1:$T$400,SF_Output!$AC$1:$AC$400,_xlfn.TEXTJOIN(",",TRUE,$B104:$E104),SF_Output!$Q$1:$Q$400,"One Time",SF_Output!$L$1:$L$400,"professional service")/N104))))</f>
        <v/>
      </c>
      <c r="P104" s="6">
        <f t="shared" si="6"/>
        <v>0</v>
      </c>
      <c r="R104" s="6">
        <f>IF(B104="","",SUMIFS(SF_Output!$S$1:$S$400,SF_Output!$AC$1:$AC$400,_xlfn.TEXTJOIN(",",TRUE,B104:E104),SF_Output!$Q$1:$Q$400,"yearly")+SUMIFS(SF_Output!$S$1:$S$400,SF_Output!$AC$1:$AC$400,_xlfn.TEXTJOIN(",",TRUE,B104:E104),SF_Output!$Q$1:$Q$400,"quarterly")*4)</f>
        <v>0</v>
      </c>
      <c r="S104" s="112" t="str">
        <f>IF(OR(B104=0,B104="",G104="hardware",R104=0),"",IF(AF104&lt;&gt;"exclusion",MAX(S$9,-(SUMIFS(SF_Output!$T$1:$T$400,SF_Output!$AC$1:$AC$400,_xlfn.TEXTJOIN(",",TRUE,$B104:$E104),SF_Output!$Q$1:$Q$400,"yearly"))/R104),-((SUMIFS(SF_Output!$T$1:$T$400,SF_Output!$AC$1:$AC$400,_xlfn.TEXTJOIN(",",TRUE,$B104:$E104),SF_Output!$Q$1:$Q$400,"yearly")/R104))))</f>
        <v/>
      </c>
      <c r="T104" s="6">
        <f t="shared" si="7"/>
        <v>0</v>
      </c>
      <c r="V104" s="6" cm="1">
        <f t="array" ref="V104">_xlfn.IFS(B104="","",AND(B104&lt;&gt;"",H104=SF_Output!$Y$2,SUMIFS(SF_Output!$T$1:$T$400,SF_Output!$AC$1:$AC$400,_xlfn.TEXTJOIN(",",TRUE,B104:E104),SF_Output!$Q$1:$Q$400,"monthly")=0),(SUMIFS(SF_Output!$F$1:$F$400,SF_Output!$AC$1:$AC$400,_xlfn.TEXTJOIN(",",TRUE,B104:E104),SF_Output!$Q$1:$Q$400,"monthly")+SUMIFS(SF_Output!$G$1:$G$400,SF_Output!$AC$1:$AC$400,_xlfn.TEXTJOIN(",",TRUE,B104:E104),SF_Output!$Q$1:$Q$400,"monthly"))*H104,AND(B104&lt;&gt;"",H104=SF_Output!$Y$2,SUMIFS(SF_Output!$T$1:$T$400,SF_Output!$AC$1:$AC$400,_xlfn.TEXTJOIN(",",TRUE,B104:E104),SF_Output!$Q$1:$Q$400,"monthly")&lt;&gt;0),SUMIFS(SF_Output!$S$1:$S$400,SF_Output!$AC$1:$AC$400,_xlfn.TEXTJOIN(",",TRUE,B104:E104),SF_Output!$Q$1:$Q$400,"monthly"),AND(B104&lt;&gt;"",H104&lt;&gt;SF_Output!$Y$2),SUMIFS(SF_Output!$S$1:$S$400,SF_Output!$AC$1:$AC$400,_xlfn.TEXTJOIN(",",TRUE,B104:E104),SF_Output!$Q$1:$Q$400,"monthly"))</f>
        <v>0</v>
      </c>
      <c r="W104" s="112" t="str" cm="1">
        <f t="array" ref="W104">_xlfn.IFS(OR(B104=0,B104="",V104=0),"",AF104&lt;&gt;"exclusion",MAX($W$9,$W$7,(-(SUMIFS(SF_Output!$T$1:$T$400,SF_Output!$AC$1:$AC$400,_xlfn.TEXTJOIN(",",TRUE,$B104:$E104),SF_Output!$Q$1:$Q$400,"monthly"))/V104)),AF104="exclusion",-(SUMIFS(SF_Output!$T$1:$T$400,SF_Output!$AC$1:$AC$400,_xlfn.TEXTJOIN(",",TRUE,$B104:$E104),SF_Output!$Q$1:$Q$400,"monthly"))/V104)</f>
        <v/>
      </c>
      <c r="X104" s="6" cm="1">
        <f t="array" ref="X104">IFERROR(_xlfn.IFS(V104=0,0,V104="","",W104=0,V104,OR(V104&lt;&gt;0,V104&lt;&gt;""),H104*I104),V104*(1-W104))</f>
        <v>0</v>
      </c>
    </row>
    <row r="105" spans="2:24" x14ac:dyDescent="0.25">
      <c r="B105" t="s">
        <v>2367</v>
      </c>
      <c r="C105" t="s">
        <v>2122</v>
      </c>
      <c r="D105" t="s">
        <v>2207</v>
      </c>
      <c r="E105" t="s">
        <v>2124</v>
      </c>
      <c r="F105" s="116" t="str">
        <f t="shared" si="4"/>
        <v>Included</v>
      </c>
      <c r="G105" t="str">
        <f>IF(B105="","",INDEX(SF_Output!$K$1:$K$400,MATCH(B105,SF_Output!$M$1:$M$400,0)))</f>
        <v>Card Processing Solutions (CPS)</v>
      </c>
      <c r="H105" cm="1">
        <f t="array" ref="H105">_xlfn.IFS(B105="","",(SUMIFS(SF_Output!$F$1:$F$400,SF_Output!$AC$1:$AC$400,_xlfn.TEXTJOIN(",",TRUE,B105:E105))+SUMIFS(SF_Output!$G$1:$G$400,SF_Output!$AC$1:$AC$400,_xlfn.TEXTJOIN(",",TRUE,B105:E105)))&lt;&gt;0,SF_Output!$Y$2,INDEX(SF_Output!$F$1:$F$400,MATCH(_xlfn.TEXTJOIN(",",TRUE,B105:E105),SF_Output!$AC$1:$AC$400,0))=0,INDEX(SF_Output!$R$1:$R$400,MATCH(_xlfn.TEXTJOIN(",",TRUE,B105:E105),SF_Output!$AC$1:$AC$400,0)))</f>
        <v>1</v>
      </c>
      <c r="I105" s="125" t="str">
        <f>IFERROR(IF(AND(H105&gt;1,H105&lt;&gt;""),ROUND(SUMIFS(SF_Output!$S$1:$S$400,SF_Output!$AC$1:$AC$400,_xlfn.TEXTJOIN(",",TRUE,B105:E105),SF_Output!$Q$1:$Q$400,"monthly")*(1-W105)/H105,4),""),"")</f>
        <v/>
      </c>
      <c r="J105" s="6">
        <f>IF(B105="","",SUMIFS(SF_Output!$S$1:$S$400,SF_Output!$AC$1:$AC$400,_xlfn.TEXTJOIN(",",TRUE,B105:E105),SF_Output!$Q$1:$Q$400,"One Time",SF_Output!$L$1:$L$400,"license fee")+SUMIFS(SF_Output!$S$1:$S$400,SF_Output!$AC$1:$AC$400,_xlfn.TEXTJOIN(",",TRUE,B105:E105),SF_Output!$Q$1:$Q$400,"One Time",SF_Output!$L$1:$L$400,"software license")+SUMIFS(SF_Output!$S$1:$S$400,SF_Output!$AC$1:$AC$400,_xlfn.TEXTJOIN(",",TRUE,B105:E105),SF_Output!$Q$1:$Q$400,"One Time",SF_Output!$L$1:$L$400,"hardware"))</f>
        <v>0</v>
      </c>
      <c r="K105" s="112" t="str">
        <f>IF(OR(B105=0,B105="",G105="hardware",J105=0),"",IF(AF105&lt;&gt;"exclusion",MAX(K$9,-((SUMIFS(SF_Output!$T$1:$T$400,SF_Output!$AC$1:$AC$400,_xlfn.TEXTJOIN(",",TRUE,$B105:$E105),SF_Output!$Q$1:$Q$400,"One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license"))/J105)))</f>
        <v/>
      </c>
      <c r="L105" s="6">
        <f t="shared" si="5"/>
        <v>0</v>
      </c>
      <c r="N105" s="6">
        <f>IF(B105="","",SUMIFS(SF_Output!$S$1:$S$400,SF_Output!$AC$1:$AC$400,_xlfn.TEXTJOIN(",",TRUE,B105:E105),SF_Output!$Q$1:$Q$400,"One Time",SF_Output!$L$1:$L$400,"professional service"))</f>
        <v>4000</v>
      </c>
      <c r="O105" s="112">
        <f>IF(OR(B105=0,B105="",N105=0),"",IF(AF105&lt;&gt;"exclusion",MAX(O$9,-(SUMIFS(SF_Output!$T$1:$T$400,SF_Output!$AC$1:$AC$400,_xlfn.TEXTJOIN(",",TRUE,$B105:$E105),SF_Output!$Q$1:$Q$400,"One Time",SF_Output!$L$1:$L$400,"professional service"))/N105),-((SUMIFS(SF_Output!$T$1:$T$400,SF_Output!$AC$1:$AC$400,_xlfn.TEXTJOIN(",",TRUE,$B105:$E105),SF_Output!$Q$1:$Q$400,"One Time",SF_Output!$L$1:$L$400,"professional service")/N105))))</f>
        <v>1</v>
      </c>
      <c r="P105" s="6">
        <f t="shared" si="6"/>
        <v>0</v>
      </c>
      <c r="R105" s="6">
        <f>IF(B105="","",SUMIFS(SF_Output!$S$1:$S$400,SF_Output!$AC$1:$AC$400,_xlfn.TEXTJOIN(",",TRUE,B105:E105),SF_Output!$Q$1:$Q$400,"yearly")+SUMIFS(SF_Output!$S$1:$S$400,SF_Output!$AC$1:$AC$400,_xlfn.TEXTJOIN(",",TRUE,B105:E105),SF_Output!$Q$1:$Q$400,"quarterly")*4)</f>
        <v>0</v>
      </c>
      <c r="S105" s="112" t="str">
        <f>IF(OR(B105=0,B105="",G105="hardware",R105=0),"",IF(AF105&lt;&gt;"exclusion",MAX(S$9,-(SUMIFS(SF_Output!$T$1:$T$400,SF_Output!$AC$1:$AC$400,_xlfn.TEXTJOIN(",",TRUE,$B105:$E105),SF_Output!$Q$1:$Q$400,"yearly"))/R105),-((SUMIFS(SF_Output!$T$1:$T$400,SF_Output!$AC$1:$AC$400,_xlfn.TEXTJOIN(",",TRUE,$B105:$E105),SF_Output!$Q$1:$Q$400,"yearly")/R105))))</f>
        <v/>
      </c>
      <c r="T105" s="6">
        <f t="shared" si="7"/>
        <v>0</v>
      </c>
      <c r="V105" s="6" cm="1">
        <f t="array" ref="V105">_xlfn.IFS(B105="","",AND(B105&lt;&gt;"",H105=SF_Output!$Y$2,SUMIFS(SF_Output!$T$1:$T$400,SF_Output!$AC$1:$AC$400,_xlfn.TEXTJOIN(",",TRUE,B105:E105),SF_Output!$Q$1:$Q$400,"monthly")=0),(SUMIFS(SF_Output!$F$1:$F$400,SF_Output!$AC$1:$AC$400,_xlfn.TEXTJOIN(",",TRUE,B105:E105),SF_Output!$Q$1:$Q$400,"monthly")+SUMIFS(SF_Output!$G$1:$G$400,SF_Output!$AC$1:$AC$400,_xlfn.TEXTJOIN(",",TRUE,B105:E105),SF_Output!$Q$1:$Q$400,"monthly"))*H105,AND(B105&lt;&gt;"",H105=SF_Output!$Y$2,SUMIFS(SF_Output!$T$1:$T$400,SF_Output!$AC$1:$AC$400,_xlfn.TEXTJOIN(",",TRUE,B105:E105),SF_Output!$Q$1:$Q$400,"monthly")&lt;&gt;0),SUMIFS(SF_Output!$S$1:$S$400,SF_Output!$AC$1:$AC$400,_xlfn.TEXTJOIN(",",TRUE,B105:E105),SF_Output!$Q$1:$Q$400,"monthly"),AND(B105&lt;&gt;"",H105&lt;&gt;SF_Output!$Y$2),SUMIFS(SF_Output!$S$1:$S$400,SF_Output!$AC$1:$AC$400,_xlfn.TEXTJOIN(",",TRUE,B105:E105),SF_Output!$Q$1:$Q$400,"monthly"))</f>
        <v>0</v>
      </c>
      <c r="W105" s="112" t="str" cm="1">
        <f t="array" ref="W105">_xlfn.IFS(OR(B105=0,B105="",V105=0),"",AF105&lt;&gt;"exclusion",MAX($W$9,$W$7,(-(SUMIFS(SF_Output!$T$1:$T$400,SF_Output!$AC$1:$AC$400,_xlfn.TEXTJOIN(",",TRUE,$B105:$E105),SF_Output!$Q$1:$Q$400,"monthly"))/V105)),AF105="exclusion",-(SUMIFS(SF_Output!$T$1:$T$400,SF_Output!$AC$1:$AC$400,_xlfn.TEXTJOIN(",",TRUE,$B105:$E105),SF_Output!$Q$1:$Q$400,"monthly"))/V105)</f>
        <v/>
      </c>
      <c r="X105" s="6" cm="1">
        <f t="array" ref="X105">IFERROR(_xlfn.IFS(V105=0,0,V105="","",W105=0,V105,OR(V105&lt;&gt;0,V105&lt;&gt;""),H105*I105),V105*(1-W105))</f>
        <v>0</v>
      </c>
    </row>
    <row r="106" spans="2:24" x14ac:dyDescent="0.25">
      <c r="B106" t="s">
        <v>2369</v>
      </c>
      <c r="C106" t="s">
        <v>2122</v>
      </c>
      <c r="D106" t="s">
        <v>2207</v>
      </c>
      <c r="E106" t="s">
        <v>2124</v>
      </c>
      <c r="F106" s="116" t="str">
        <f t="shared" si="4"/>
        <v>Included</v>
      </c>
      <c r="G106" t="str">
        <f>IF(B106="","",INDEX(SF_Output!$K$1:$K$400,MATCH(B106,SF_Output!$M$1:$M$400,0)))</f>
        <v>Card Processing Solutions (CPS)</v>
      </c>
      <c r="H106" cm="1">
        <f t="array" ref="H106">_xlfn.IFS(B106="","",(SUMIFS(SF_Output!$F$1:$F$400,SF_Output!$AC$1:$AC$400,_xlfn.TEXTJOIN(",",TRUE,B106:E106))+SUMIFS(SF_Output!$G$1:$G$400,SF_Output!$AC$1:$AC$400,_xlfn.TEXTJOIN(",",TRUE,B106:E106)))&lt;&gt;0,SF_Output!$Y$2,INDEX(SF_Output!$F$1:$F$400,MATCH(_xlfn.TEXTJOIN(",",TRUE,B106:E106),SF_Output!$AC$1:$AC$400,0))=0,INDEX(SF_Output!$R$1:$R$400,MATCH(_xlfn.TEXTJOIN(",",TRUE,B106:E106),SF_Output!$AC$1:$AC$400,0)))</f>
        <v>1</v>
      </c>
      <c r="I106" s="125" t="str">
        <f>IFERROR(IF(AND(H106&gt;1,H106&lt;&gt;""),ROUND(SUMIFS(SF_Output!$S$1:$S$400,SF_Output!$AC$1:$AC$400,_xlfn.TEXTJOIN(",",TRUE,B106:E106),SF_Output!$Q$1:$Q$400,"monthly")*(1-W106)/H106,4),""),"")</f>
        <v/>
      </c>
      <c r="J106" s="6">
        <f>IF(B106="","",SUMIFS(SF_Output!$S$1:$S$400,SF_Output!$AC$1:$AC$400,_xlfn.TEXTJOIN(",",TRUE,B106:E106),SF_Output!$Q$1:$Q$400,"One Time",SF_Output!$L$1:$L$400,"license fee")+SUMIFS(SF_Output!$S$1:$S$400,SF_Output!$AC$1:$AC$400,_xlfn.TEXTJOIN(",",TRUE,B106:E106),SF_Output!$Q$1:$Q$400,"One Time",SF_Output!$L$1:$L$400,"software license")+SUMIFS(SF_Output!$S$1:$S$400,SF_Output!$AC$1:$AC$400,_xlfn.TEXTJOIN(",",TRUE,B106:E106),SF_Output!$Q$1:$Q$400,"One Time",SF_Output!$L$1:$L$400,"hardware"))</f>
        <v>0</v>
      </c>
      <c r="K106" s="112" t="str">
        <f>IF(OR(B106=0,B106="",G106="hardware",J106=0),"",IF(AF106&lt;&gt;"exclusion",MAX(K$9,-((SUMIFS(SF_Output!$T$1:$T$400,SF_Output!$AC$1:$AC$400,_xlfn.TEXTJOIN(",",TRUE,$B106:$E106),SF_Output!$Q$1:$Q$400,"One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license"))/J106)))</f>
        <v/>
      </c>
      <c r="L106" s="6">
        <f t="shared" si="5"/>
        <v>0</v>
      </c>
      <c r="N106" s="6">
        <f>IF(B106="","",SUMIFS(SF_Output!$S$1:$S$400,SF_Output!$AC$1:$AC$400,_xlfn.TEXTJOIN(",",TRUE,B106:E106),SF_Output!$Q$1:$Q$400,"One Time",SF_Output!$L$1:$L$400,"professional service"))</f>
        <v>2000</v>
      </c>
      <c r="O106" s="112">
        <f>IF(OR(B106=0,B106="",N106=0),"",IF(AF106&lt;&gt;"exclusion",MAX(O$9,-(SUMIFS(SF_Output!$T$1:$T$400,SF_Output!$AC$1:$AC$400,_xlfn.TEXTJOIN(",",TRUE,$B106:$E106),SF_Output!$Q$1:$Q$400,"One Time",SF_Output!$L$1:$L$400,"professional service"))/N106),-((SUMIFS(SF_Output!$T$1:$T$400,SF_Output!$AC$1:$AC$400,_xlfn.TEXTJOIN(",",TRUE,$B106:$E106),SF_Output!$Q$1:$Q$400,"One Time",SF_Output!$L$1:$L$400,"professional service")/N106))))</f>
        <v>1</v>
      </c>
      <c r="P106" s="6">
        <f t="shared" si="6"/>
        <v>0</v>
      </c>
      <c r="R106" s="6">
        <f>IF(B106="","",SUMIFS(SF_Output!$S$1:$S$400,SF_Output!$AC$1:$AC$400,_xlfn.TEXTJOIN(",",TRUE,B106:E106),SF_Output!$Q$1:$Q$400,"yearly")+SUMIFS(SF_Output!$S$1:$S$400,SF_Output!$AC$1:$AC$400,_xlfn.TEXTJOIN(",",TRUE,B106:E106),SF_Output!$Q$1:$Q$400,"quarterly")*4)</f>
        <v>0</v>
      </c>
      <c r="S106" s="112" t="str">
        <f>IF(OR(B106=0,B106="",G106="hardware",R106=0),"",IF(AF106&lt;&gt;"exclusion",MAX(S$9,-(SUMIFS(SF_Output!$T$1:$T$400,SF_Output!$AC$1:$AC$400,_xlfn.TEXTJOIN(",",TRUE,$B106:$E106),SF_Output!$Q$1:$Q$400,"yearly"))/R106),-((SUMIFS(SF_Output!$T$1:$T$400,SF_Output!$AC$1:$AC$400,_xlfn.TEXTJOIN(",",TRUE,$B106:$E106),SF_Output!$Q$1:$Q$400,"yearly")/R106))))</f>
        <v/>
      </c>
      <c r="T106" s="6">
        <f t="shared" si="7"/>
        <v>0</v>
      </c>
      <c r="V106" s="6" cm="1">
        <f t="array" ref="V106">_xlfn.IFS(B106="","",AND(B106&lt;&gt;"",H106=SF_Output!$Y$2,SUMIFS(SF_Output!$T$1:$T$400,SF_Output!$AC$1:$AC$400,_xlfn.TEXTJOIN(",",TRUE,B106:E106),SF_Output!$Q$1:$Q$400,"monthly")=0),(SUMIFS(SF_Output!$F$1:$F$400,SF_Output!$AC$1:$AC$400,_xlfn.TEXTJOIN(",",TRUE,B106:E106),SF_Output!$Q$1:$Q$400,"monthly")+SUMIFS(SF_Output!$G$1:$G$400,SF_Output!$AC$1:$AC$400,_xlfn.TEXTJOIN(",",TRUE,B106:E106),SF_Output!$Q$1:$Q$400,"monthly"))*H106,AND(B106&lt;&gt;"",H106=SF_Output!$Y$2,SUMIFS(SF_Output!$T$1:$T$400,SF_Output!$AC$1:$AC$400,_xlfn.TEXTJOIN(",",TRUE,B106:E106),SF_Output!$Q$1:$Q$400,"monthly")&lt;&gt;0),SUMIFS(SF_Output!$S$1:$S$400,SF_Output!$AC$1:$AC$400,_xlfn.TEXTJOIN(",",TRUE,B106:E106),SF_Output!$Q$1:$Q$400,"monthly"),AND(B106&lt;&gt;"",H106&lt;&gt;SF_Output!$Y$2),SUMIFS(SF_Output!$S$1:$S$400,SF_Output!$AC$1:$AC$400,_xlfn.TEXTJOIN(",",TRUE,B106:E106),SF_Output!$Q$1:$Q$400,"monthly"))</f>
        <v>0</v>
      </c>
      <c r="W106" s="112" t="str" cm="1">
        <f t="array" ref="W106">_xlfn.IFS(OR(B106=0,B106="",V106=0),"",AF106&lt;&gt;"exclusion",MAX($W$9,$W$7,(-(SUMIFS(SF_Output!$T$1:$T$400,SF_Output!$AC$1:$AC$400,_xlfn.TEXTJOIN(",",TRUE,$B106:$E106),SF_Output!$Q$1:$Q$400,"monthly"))/V106)),AF106="exclusion",-(SUMIFS(SF_Output!$T$1:$T$400,SF_Output!$AC$1:$AC$400,_xlfn.TEXTJOIN(",",TRUE,$B106:$E106),SF_Output!$Q$1:$Q$400,"monthly"))/V106)</f>
        <v/>
      </c>
      <c r="X106" s="6" cm="1">
        <f t="array" ref="X106">IFERROR(_xlfn.IFS(V106=0,0,V106="","",W106=0,V106,OR(V106&lt;&gt;0,V106&lt;&gt;""),H106*I106),V106*(1-W106))</f>
        <v>0</v>
      </c>
    </row>
    <row r="107" spans="2:24" x14ac:dyDescent="0.25">
      <c r="B107" t="s">
        <v>2472</v>
      </c>
      <c r="C107" t="s">
        <v>2122</v>
      </c>
      <c r="D107" t="s">
        <v>2207</v>
      </c>
      <c r="E107" t="s">
        <v>2124</v>
      </c>
      <c r="F107" s="116" t="str">
        <f t="shared" si="4"/>
        <v>Included</v>
      </c>
      <c r="G107" t="str">
        <f>IF(B107="","",INDEX(SF_Output!$K$1:$K$400,MATCH(B107,SF_Output!$M$1:$M$400,0)))</f>
        <v>Card Processing Solutions (CPS)</v>
      </c>
      <c r="H107" cm="1">
        <f t="array" ref="H107">_xlfn.IFS(B107="","",(SUMIFS(SF_Output!$F$1:$F$400,SF_Output!$AC$1:$AC$400,_xlfn.TEXTJOIN(",",TRUE,B107:E107))+SUMIFS(SF_Output!$G$1:$G$400,SF_Output!$AC$1:$AC$400,_xlfn.TEXTJOIN(",",TRUE,B107:E107)))&lt;&gt;0,SF_Output!$Y$2,INDEX(SF_Output!$F$1:$F$400,MATCH(_xlfn.TEXTJOIN(",",TRUE,B107:E107),SF_Output!$AC$1:$AC$400,0))=0,INDEX(SF_Output!$R$1:$R$400,MATCH(_xlfn.TEXTJOIN(",",TRUE,B107:E107),SF_Output!$AC$1:$AC$400,0)))</f>
        <v>1</v>
      </c>
      <c r="I107" s="125" t="str">
        <f>IFERROR(IF(AND(H107&gt;1,H107&lt;&gt;""),ROUND(SUMIFS(SF_Output!$S$1:$S$400,SF_Output!$AC$1:$AC$400,_xlfn.TEXTJOIN(",",TRUE,B107:E107),SF_Output!$Q$1:$Q$400,"monthly")*(1-W107)/H107,4),""),"")</f>
        <v/>
      </c>
      <c r="J107" s="6">
        <f>IF(B107="","",SUMIFS(SF_Output!$S$1:$S$400,SF_Output!$AC$1:$AC$400,_xlfn.TEXTJOIN(",",TRUE,B107:E107),SF_Output!$Q$1:$Q$400,"One Time",SF_Output!$L$1:$L$400,"license fee")+SUMIFS(SF_Output!$S$1:$S$400,SF_Output!$AC$1:$AC$400,_xlfn.TEXTJOIN(",",TRUE,B107:E107),SF_Output!$Q$1:$Q$400,"One Time",SF_Output!$L$1:$L$400,"software license")+SUMIFS(SF_Output!$S$1:$S$400,SF_Output!$AC$1:$AC$400,_xlfn.TEXTJOIN(",",TRUE,B107:E107),SF_Output!$Q$1:$Q$400,"One Time",SF_Output!$L$1:$L$400,"hardware"))</f>
        <v>0</v>
      </c>
      <c r="K107" s="112" t="str">
        <f>IF(OR(B107=0,B107="",G107="hardware",J107=0),"",IF(AF107&lt;&gt;"exclusion",MAX(K$9,-((SUMIFS(SF_Output!$T$1:$T$400,SF_Output!$AC$1:$AC$400,_xlfn.TEXTJOIN(",",TRUE,$B107:$E107),SF_Output!$Q$1:$Q$400,"One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license"))/J107)))</f>
        <v/>
      </c>
      <c r="L107" s="6">
        <f t="shared" si="5"/>
        <v>0</v>
      </c>
      <c r="N107" s="6">
        <f>IF(B107="","",SUMIFS(SF_Output!$S$1:$S$400,SF_Output!$AC$1:$AC$400,_xlfn.TEXTJOIN(",",TRUE,B107:E107),SF_Output!$Q$1:$Q$400,"One Time",SF_Output!$L$1:$L$400,"professional service"))</f>
        <v>250</v>
      </c>
      <c r="O107" s="112">
        <f>IF(OR(B107=0,B107="",N107=0),"",IF(AF107&lt;&gt;"exclusion",MAX(O$9,-(SUMIFS(SF_Output!$T$1:$T$400,SF_Output!$AC$1:$AC$400,_xlfn.TEXTJOIN(",",TRUE,$B107:$E107),SF_Output!$Q$1:$Q$400,"One Time",SF_Output!$L$1:$L$400,"professional service"))/N107),-((SUMIFS(SF_Output!$T$1:$T$400,SF_Output!$AC$1:$AC$400,_xlfn.TEXTJOIN(",",TRUE,$B107:$E107),SF_Output!$Q$1:$Q$400,"One Time",SF_Output!$L$1:$L$400,"professional service")/N107))))</f>
        <v>1</v>
      </c>
      <c r="P107" s="6">
        <f t="shared" si="6"/>
        <v>0</v>
      </c>
      <c r="R107" s="6">
        <f>IF(B107="","",SUMIFS(SF_Output!$S$1:$S$400,SF_Output!$AC$1:$AC$400,_xlfn.TEXTJOIN(",",TRUE,B107:E107),SF_Output!$Q$1:$Q$400,"yearly")+SUMIFS(SF_Output!$S$1:$S$400,SF_Output!$AC$1:$AC$400,_xlfn.TEXTJOIN(",",TRUE,B107:E107),SF_Output!$Q$1:$Q$400,"quarterly")*4)</f>
        <v>0</v>
      </c>
      <c r="S107" s="112" t="str">
        <f>IF(OR(B107=0,B107="",G107="hardware",R107=0),"",IF(AF107&lt;&gt;"exclusion",MAX(S$9,-(SUMIFS(SF_Output!$T$1:$T$400,SF_Output!$AC$1:$AC$400,_xlfn.TEXTJOIN(",",TRUE,$B107:$E107),SF_Output!$Q$1:$Q$400,"yearly"))/R107),-((SUMIFS(SF_Output!$T$1:$T$400,SF_Output!$AC$1:$AC$400,_xlfn.TEXTJOIN(",",TRUE,$B107:$E107),SF_Output!$Q$1:$Q$400,"yearly")/R107))))</f>
        <v/>
      </c>
      <c r="T107" s="6">
        <f t="shared" si="7"/>
        <v>0</v>
      </c>
      <c r="V107" s="6" cm="1">
        <f t="array" ref="V107">_xlfn.IFS(B107="","",AND(B107&lt;&gt;"",H107=SF_Output!$Y$2,SUMIFS(SF_Output!$T$1:$T$400,SF_Output!$AC$1:$AC$400,_xlfn.TEXTJOIN(",",TRUE,B107:E107),SF_Output!$Q$1:$Q$400,"monthly")=0),(SUMIFS(SF_Output!$F$1:$F$400,SF_Output!$AC$1:$AC$400,_xlfn.TEXTJOIN(",",TRUE,B107:E107),SF_Output!$Q$1:$Q$400,"monthly")+SUMIFS(SF_Output!$G$1:$G$400,SF_Output!$AC$1:$AC$400,_xlfn.TEXTJOIN(",",TRUE,B107:E107),SF_Output!$Q$1:$Q$400,"monthly"))*H107,AND(B107&lt;&gt;"",H107=SF_Output!$Y$2,SUMIFS(SF_Output!$T$1:$T$400,SF_Output!$AC$1:$AC$400,_xlfn.TEXTJOIN(",",TRUE,B107:E107),SF_Output!$Q$1:$Q$400,"monthly")&lt;&gt;0),SUMIFS(SF_Output!$S$1:$S$400,SF_Output!$AC$1:$AC$400,_xlfn.TEXTJOIN(",",TRUE,B107:E107),SF_Output!$Q$1:$Q$400,"monthly"),AND(B107&lt;&gt;"",H107&lt;&gt;SF_Output!$Y$2),SUMIFS(SF_Output!$S$1:$S$400,SF_Output!$AC$1:$AC$400,_xlfn.TEXTJOIN(",",TRUE,B107:E107),SF_Output!$Q$1:$Q$400,"monthly"))</f>
        <v>0</v>
      </c>
      <c r="W107" s="112" t="str" cm="1">
        <f t="array" ref="W107">_xlfn.IFS(OR(B107=0,B107="",V107=0),"",AF107&lt;&gt;"exclusion",MAX($W$9,$W$7,(-(SUMIFS(SF_Output!$T$1:$T$400,SF_Output!$AC$1:$AC$400,_xlfn.TEXTJOIN(",",TRUE,$B107:$E107),SF_Output!$Q$1:$Q$400,"monthly"))/V107)),AF107="exclusion",-(SUMIFS(SF_Output!$T$1:$T$400,SF_Output!$AC$1:$AC$400,_xlfn.TEXTJOIN(",",TRUE,$B107:$E107),SF_Output!$Q$1:$Q$400,"monthly"))/V107)</f>
        <v/>
      </c>
      <c r="X107" s="6" cm="1">
        <f t="array" ref="X107">IFERROR(_xlfn.IFS(V107=0,0,V107="","",W107=0,V107,OR(V107&lt;&gt;0,V107&lt;&gt;""),H107*I107),V107*(1-W107))</f>
        <v>0</v>
      </c>
    </row>
    <row r="108" spans="2:24" x14ac:dyDescent="0.25">
      <c r="B108" t="s">
        <v>1823</v>
      </c>
      <c r="C108" t="s">
        <v>2122</v>
      </c>
      <c r="D108" t="s">
        <v>2207</v>
      </c>
      <c r="E108" t="s">
        <v>2124</v>
      </c>
      <c r="F108" s="116" t="str">
        <f t="shared" si="4"/>
        <v>Included</v>
      </c>
      <c r="G108" t="str">
        <f>IF(B108="","",INDEX(SF_Output!$K$1:$K$400,MATCH(B108,SF_Output!$M$1:$M$400,0)))</f>
        <v>Card Processing Solutions (CPS)</v>
      </c>
      <c r="H108" cm="1">
        <f t="array" ref="H108">_xlfn.IFS(B108="","",(SUMIFS(SF_Output!$F$1:$F$400,SF_Output!$AC$1:$AC$400,_xlfn.TEXTJOIN(",",TRUE,B108:E108))+SUMIFS(SF_Output!$G$1:$G$400,SF_Output!$AC$1:$AC$400,_xlfn.TEXTJOIN(",",TRUE,B108:E108)))&lt;&gt;0,SF_Output!$Y$2,INDEX(SF_Output!$F$1:$F$400,MATCH(_xlfn.TEXTJOIN(",",TRUE,B108:E108),SF_Output!$AC$1:$AC$400,0))=0,INDEX(SF_Output!$R$1:$R$400,MATCH(_xlfn.TEXTJOIN(",",TRUE,B108:E108),SF_Output!$AC$1:$AC$400,0)))</f>
        <v>0</v>
      </c>
      <c r="I108" s="125" t="str">
        <f>IFERROR(IF(AND(H108&gt;1,H108&lt;&gt;""),ROUND(SUMIFS(SF_Output!$S$1:$S$400,SF_Output!$AC$1:$AC$400,_xlfn.TEXTJOIN(",",TRUE,B108:E108),SF_Output!$Q$1:$Q$400,"monthly")*(1-W108)/H108,4),""),"")</f>
        <v/>
      </c>
      <c r="J108" s="6">
        <f>IF(B108="","",SUMIFS(SF_Output!$S$1:$S$400,SF_Output!$AC$1:$AC$400,_xlfn.TEXTJOIN(",",TRUE,B108:E108),SF_Output!$Q$1:$Q$400,"One Time",SF_Output!$L$1:$L$400,"license fee")+SUMIFS(SF_Output!$S$1:$S$400,SF_Output!$AC$1:$AC$400,_xlfn.TEXTJOIN(",",TRUE,B108:E108),SF_Output!$Q$1:$Q$400,"One Time",SF_Output!$L$1:$L$400,"software license")+SUMIFS(SF_Output!$S$1:$S$400,SF_Output!$AC$1:$AC$400,_xlfn.TEXTJOIN(",",TRUE,B108:E108),SF_Output!$Q$1:$Q$400,"One Time",SF_Output!$L$1:$L$400,"hardware"))</f>
        <v>0</v>
      </c>
      <c r="K108" s="112" t="str">
        <f>IF(OR(B108=0,B108="",G108="hardware",J108=0),"",IF(AF108&lt;&gt;"exclusion",MAX(K$9,-((SUMIFS(SF_Output!$T$1:$T$400,SF_Output!$AC$1:$AC$400,_xlfn.TEXTJOIN(",",TRUE,$B108:$E108),SF_Output!$Q$1:$Q$400,"One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license"))/J108)))</f>
        <v/>
      </c>
      <c r="L108" s="6">
        <f t="shared" si="5"/>
        <v>0</v>
      </c>
      <c r="N108" s="6">
        <f>IF(B108="","",SUMIFS(SF_Output!$S$1:$S$400,SF_Output!$AC$1:$AC$400,_xlfn.TEXTJOIN(",",TRUE,B108:E108),SF_Output!$Q$1:$Q$400,"One Time",SF_Output!$L$1:$L$400,"professional service"))</f>
        <v>0</v>
      </c>
      <c r="O108" s="112" t="str">
        <f>IF(OR(B108=0,B108="",N108=0),"",IF(AF108&lt;&gt;"exclusion",MAX(O$9,-(SUMIFS(SF_Output!$T$1:$T$400,SF_Output!$AC$1:$AC$400,_xlfn.TEXTJOIN(",",TRUE,$B108:$E108),SF_Output!$Q$1:$Q$400,"One Time",SF_Output!$L$1:$L$400,"professional service"))/N108),-((SUMIFS(SF_Output!$T$1:$T$400,SF_Output!$AC$1:$AC$400,_xlfn.TEXTJOIN(",",TRUE,$B108:$E108),SF_Output!$Q$1:$Q$400,"One Time",SF_Output!$L$1:$L$400,"professional service")/N108))))</f>
        <v/>
      </c>
      <c r="P108" s="6">
        <f t="shared" si="6"/>
        <v>0</v>
      </c>
      <c r="R108" s="6">
        <f>IF(B108="","",SUMIFS(SF_Output!$S$1:$S$400,SF_Output!$AC$1:$AC$400,_xlfn.TEXTJOIN(",",TRUE,B108:E108),SF_Output!$Q$1:$Q$400,"yearly")+SUMIFS(SF_Output!$S$1:$S$400,SF_Output!$AC$1:$AC$400,_xlfn.TEXTJOIN(",",TRUE,B108:E108),SF_Output!$Q$1:$Q$400,"quarterly")*4)</f>
        <v>0</v>
      </c>
      <c r="S108" s="112" t="str">
        <f>IF(OR(B108=0,B108="",G108="hardware",R108=0),"",IF(AF108&lt;&gt;"exclusion",MAX(S$9,-(SUMIFS(SF_Output!$T$1:$T$400,SF_Output!$AC$1:$AC$400,_xlfn.TEXTJOIN(",",TRUE,$B108:$E108),SF_Output!$Q$1:$Q$400,"yearly"))/R108),-((SUMIFS(SF_Output!$T$1:$T$400,SF_Output!$AC$1:$AC$400,_xlfn.TEXTJOIN(",",TRUE,$B108:$E108),SF_Output!$Q$1:$Q$400,"yearly")/R108))))</f>
        <v/>
      </c>
      <c r="T108" s="6">
        <f t="shared" si="7"/>
        <v>0</v>
      </c>
      <c r="V108" s="6" cm="1">
        <f t="array" ref="V108">_xlfn.IFS(B108="","",AND(B108&lt;&gt;"",H108=SF_Output!$Y$2,SUMIFS(SF_Output!$T$1:$T$400,SF_Output!$AC$1:$AC$400,_xlfn.TEXTJOIN(",",TRUE,B108:E108),SF_Output!$Q$1:$Q$400,"monthly")=0),(SUMIFS(SF_Output!$F$1:$F$400,SF_Output!$AC$1:$AC$400,_xlfn.TEXTJOIN(",",TRUE,B108:E108),SF_Output!$Q$1:$Q$400,"monthly")+SUMIFS(SF_Output!$G$1:$G$400,SF_Output!$AC$1:$AC$400,_xlfn.TEXTJOIN(",",TRUE,B108:E108),SF_Output!$Q$1:$Q$400,"monthly"))*H108,AND(B108&lt;&gt;"",H108=SF_Output!$Y$2,SUMIFS(SF_Output!$T$1:$T$400,SF_Output!$AC$1:$AC$400,_xlfn.TEXTJOIN(",",TRUE,B108:E108),SF_Output!$Q$1:$Q$400,"monthly")&lt;&gt;0),SUMIFS(SF_Output!$S$1:$S$400,SF_Output!$AC$1:$AC$400,_xlfn.TEXTJOIN(",",TRUE,B108:E108),SF_Output!$Q$1:$Q$400,"monthly"),AND(B108&lt;&gt;"",H108&lt;&gt;SF_Output!$Y$2),SUMIFS(SF_Output!$S$1:$S$400,SF_Output!$AC$1:$AC$400,_xlfn.TEXTJOIN(",",TRUE,B108:E108),SF_Output!$Q$1:$Q$400,"monthly"))</f>
        <v>0</v>
      </c>
      <c r="W108" s="112" t="str" cm="1">
        <f t="array" ref="W108">_xlfn.IFS(OR(B108=0,B108="",V108=0),"",AF108&lt;&gt;"exclusion",MAX($W$9,$W$7,(-(SUMIFS(SF_Output!$T$1:$T$400,SF_Output!$AC$1:$AC$400,_xlfn.TEXTJOIN(",",TRUE,$B108:$E108),SF_Output!$Q$1:$Q$400,"monthly"))/V108)),AF108="exclusion",-(SUMIFS(SF_Output!$T$1:$T$400,SF_Output!$AC$1:$AC$400,_xlfn.TEXTJOIN(",",TRUE,$B108:$E108),SF_Output!$Q$1:$Q$400,"monthly"))/V108)</f>
        <v/>
      </c>
      <c r="X108" s="6" cm="1">
        <f t="array" ref="X108">IFERROR(_xlfn.IFS(V108=0,0,V108="","",W108=0,V108,OR(V108&lt;&gt;0,V108&lt;&gt;""),H108*I108),V108*(1-W108))</f>
        <v>0</v>
      </c>
    </row>
    <row r="109" spans="2:24" x14ac:dyDescent="0.25">
      <c r="B109" t="s">
        <v>2373</v>
      </c>
      <c r="C109" t="s">
        <v>2122</v>
      </c>
      <c r="D109" t="s">
        <v>2207</v>
      </c>
      <c r="E109" t="s">
        <v>2124</v>
      </c>
      <c r="F109" s="116" t="str">
        <f t="shared" si="4"/>
        <v>Included</v>
      </c>
      <c r="G109" t="str">
        <f>IF(B109="","",INDEX(SF_Output!$K$1:$K$400,MATCH(B109,SF_Output!$M$1:$M$400,0)))</f>
        <v>Card Processing Solutions (CPS)</v>
      </c>
      <c r="H109" cm="1">
        <f t="array" ref="H109">_xlfn.IFS(B109="","",(SUMIFS(SF_Output!$F$1:$F$400,SF_Output!$AC$1:$AC$400,_xlfn.TEXTJOIN(",",TRUE,B109:E109))+SUMIFS(SF_Output!$G$1:$G$400,SF_Output!$AC$1:$AC$400,_xlfn.TEXTJOIN(",",TRUE,B109:E109)))&lt;&gt;0,SF_Output!$Y$2,INDEX(SF_Output!$F$1:$F$400,MATCH(_xlfn.TEXTJOIN(",",TRUE,B109:E109),SF_Output!$AC$1:$AC$400,0))=0,INDEX(SF_Output!$R$1:$R$400,MATCH(_xlfn.TEXTJOIN(",",TRUE,B109:E109),SF_Output!$AC$1:$AC$400,0)))</f>
        <v>0</v>
      </c>
      <c r="I109" s="125" t="str">
        <f>IFERROR(IF(AND(H109&gt;1,H109&lt;&gt;""),ROUND(SUMIFS(SF_Output!$S$1:$S$400,SF_Output!$AC$1:$AC$400,_xlfn.TEXTJOIN(",",TRUE,B109:E109),SF_Output!$Q$1:$Q$400,"monthly")*(1-W109)/H109,4),""),"")</f>
        <v/>
      </c>
      <c r="J109" s="6">
        <f>IF(B109="","",SUMIFS(SF_Output!$S$1:$S$400,SF_Output!$AC$1:$AC$400,_xlfn.TEXTJOIN(",",TRUE,B109:E109),SF_Output!$Q$1:$Q$400,"One Time",SF_Output!$L$1:$L$400,"license fee")+SUMIFS(SF_Output!$S$1:$S$400,SF_Output!$AC$1:$AC$400,_xlfn.TEXTJOIN(",",TRUE,B109:E109),SF_Output!$Q$1:$Q$400,"One Time",SF_Output!$L$1:$L$400,"software license")+SUMIFS(SF_Output!$S$1:$S$400,SF_Output!$AC$1:$AC$400,_xlfn.TEXTJOIN(",",TRUE,B109:E109),SF_Output!$Q$1:$Q$400,"One Time",SF_Output!$L$1:$L$400,"hardware"))</f>
        <v>0</v>
      </c>
      <c r="K109" s="112" t="str">
        <f>IF(OR(B109=0,B109="",G109="hardware",J109=0),"",IF(AF109&lt;&gt;"exclusion",MAX(K$9,-((SUMIFS(SF_Output!$T$1:$T$400,SF_Output!$AC$1:$AC$400,_xlfn.TEXTJOIN(",",TRUE,$B109:$E109),SF_Output!$Q$1:$Q$400,"One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license"))/J109)))</f>
        <v/>
      </c>
      <c r="L109" s="6">
        <f t="shared" si="5"/>
        <v>0</v>
      </c>
      <c r="N109" s="6">
        <f>IF(B109="","",SUMIFS(SF_Output!$S$1:$S$400,SF_Output!$AC$1:$AC$400,_xlfn.TEXTJOIN(",",TRUE,B109:E109),SF_Output!$Q$1:$Q$400,"One Time",SF_Output!$L$1:$L$400,"professional service"))</f>
        <v>0</v>
      </c>
      <c r="O109" s="112" t="str">
        <f>IF(OR(B109=0,B109="",N109=0),"",IF(AF109&lt;&gt;"exclusion",MAX(O$9,-(SUMIFS(SF_Output!$T$1:$T$400,SF_Output!$AC$1:$AC$400,_xlfn.TEXTJOIN(",",TRUE,$B109:$E109),SF_Output!$Q$1:$Q$400,"One Time",SF_Output!$L$1:$L$400,"professional service"))/N109),-((SUMIFS(SF_Output!$T$1:$T$400,SF_Output!$AC$1:$AC$400,_xlfn.TEXTJOIN(",",TRUE,$B109:$E109),SF_Output!$Q$1:$Q$400,"One Time",SF_Output!$L$1:$L$400,"professional service")/N109))))</f>
        <v/>
      </c>
      <c r="P109" s="6">
        <f t="shared" si="6"/>
        <v>0</v>
      </c>
      <c r="R109" s="6">
        <f>IF(B109="","",SUMIFS(SF_Output!$S$1:$S$400,SF_Output!$AC$1:$AC$400,_xlfn.TEXTJOIN(",",TRUE,B109:E109),SF_Output!$Q$1:$Q$400,"yearly")+SUMIFS(SF_Output!$S$1:$S$400,SF_Output!$AC$1:$AC$400,_xlfn.TEXTJOIN(",",TRUE,B109:E109),SF_Output!$Q$1:$Q$400,"quarterly")*4)</f>
        <v>0</v>
      </c>
      <c r="S109" s="112" t="str">
        <f>IF(OR(B109=0,B109="",G109="hardware",R109=0),"",IF(AF109&lt;&gt;"exclusion",MAX(S$9,-(SUMIFS(SF_Output!$T$1:$T$400,SF_Output!$AC$1:$AC$400,_xlfn.TEXTJOIN(",",TRUE,$B109:$E109),SF_Output!$Q$1:$Q$400,"yearly"))/R109),-((SUMIFS(SF_Output!$T$1:$T$400,SF_Output!$AC$1:$AC$400,_xlfn.TEXTJOIN(",",TRUE,$B109:$E109),SF_Output!$Q$1:$Q$400,"yearly")/R109))))</f>
        <v/>
      </c>
      <c r="T109" s="6">
        <f t="shared" si="7"/>
        <v>0</v>
      </c>
      <c r="V109" s="6" cm="1">
        <f t="array" ref="V109">_xlfn.IFS(B109="","",AND(B109&lt;&gt;"",H109=SF_Output!$Y$2,SUMIFS(SF_Output!$T$1:$T$400,SF_Output!$AC$1:$AC$400,_xlfn.TEXTJOIN(",",TRUE,B109:E109),SF_Output!$Q$1:$Q$400,"monthly")=0),(SUMIFS(SF_Output!$F$1:$F$400,SF_Output!$AC$1:$AC$400,_xlfn.TEXTJOIN(",",TRUE,B109:E109),SF_Output!$Q$1:$Q$400,"monthly")+SUMIFS(SF_Output!$G$1:$G$400,SF_Output!$AC$1:$AC$400,_xlfn.TEXTJOIN(",",TRUE,B109:E109),SF_Output!$Q$1:$Q$400,"monthly"))*H109,AND(B109&lt;&gt;"",H109=SF_Output!$Y$2,SUMIFS(SF_Output!$T$1:$T$400,SF_Output!$AC$1:$AC$400,_xlfn.TEXTJOIN(",",TRUE,B109:E109),SF_Output!$Q$1:$Q$400,"monthly")&lt;&gt;0),SUMIFS(SF_Output!$S$1:$S$400,SF_Output!$AC$1:$AC$400,_xlfn.TEXTJOIN(",",TRUE,B109:E109),SF_Output!$Q$1:$Q$400,"monthly"),AND(B109&lt;&gt;"",H109&lt;&gt;SF_Output!$Y$2),SUMIFS(SF_Output!$S$1:$S$400,SF_Output!$AC$1:$AC$400,_xlfn.TEXTJOIN(",",TRUE,B109:E109),SF_Output!$Q$1:$Q$400,"monthly"))</f>
        <v>0</v>
      </c>
      <c r="W109" s="112" t="str" cm="1">
        <f t="array" ref="W109">_xlfn.IFS(OR(B109=0,B109="",V109=0),"",AF109&lt;&gt;"exclusion",MAX($W$9,$W$7,(-(SUMIFS(SF_Output!$T$1:$T$400,SF_Output!$AC$1:$AC$400,_xlfn.TEXTJOIN(",",TRUE,$B109:$E109),SF_Output!$Q$1:$Q$400,"monthly"))/V109)),AF109="exclusion",-(SUMIFS(SF_Output!$T$1:$T$400,SF_Output!$AC$1:$AC$400,_xlfn.TEXTJOIN(",",TRUE,$B109:$E109),SF_Output!$Q$1:$Q$400,"monthly"))/V109)</f>
        <v/>
      </c>
      <c r="X109" s="6" cm="1">
        <f t="array" ref="X109">IFERROR(_xlfn.IFS(V109=0,0,V109="","",W109=0,V109,OR(V109&lt;&gt;0,V109&lt;&gt;""),H109*I109),V109*(1-W109))</f>
        <v>0</v>
      </c>
    </row>
    <row r="110" spans="2:24" x14ac:dyDescent="0.25">
      <c r="B110" t="s">
        <v>2375</v>
      </c>
      <c r="C110" t="s">
        <v>2122</v>
      </c>
      <c r="D110" t="s">
        <v>2207</v>
      </c>
      <c r="E110" t="s">
        <v>2124</v>
      </c>
      <c r="F110" s="116" t="str">
        <f t="shared" si="4"/>
        <v>Included</v>
      </c>
      <c r="G110" t="str">
        <f>IF(B110="","",INDEX(SF_Output!$K$1:$K$400,MATCH(B110,SF_Output!$M$1:$M$400,0)))</f>
        <v>Card Processing Solutions (CPS)</v>
      </c>
      <c r="H110" cm="1">
        <f t="array" ref="H110">_xlfn.IFS(B110="","",(SUMIFS(SF_Output!$F$1:$F$400,SF_Output!$AC$1:$AC$400,_xlfn.TEXTJOIN(",",TRUE,B110:E110))+SUMIFS(SF_Output!$G$1:$G$400,SF_Output!$AC$1:$AC$400,_xlfn.TEXTJOIN(",",TRUE,B110:E110)))&lt;&gt;0,SF_Output!$Y$2,INDEX(SF_Output!$F$1:$F$400,MATCH(_xlfn.TEXTJOIN(",",TRUE,B110:E110),SF_Output!$AC$1:$AC$400,0))=0,INDEX(SF_Output!$R$1:$R$400,MATCH(_xlfn.TEXTJOIN(",",TRUE,B110:E110),SF_Output!$AC$1:$AC$400,0)))</f>
        <v>1</v>
      </c>
      <c r="I110" s="125" t="str">
        <f>IFERROR(IF(AND(H110&gt;1,H110&lt;&gt;""),ROUND(SUMIFS(SF_Output!$S$1:$S$400,SF_Output!$AC$1:$AC$400,_xlfn.TEXTJOIN(",",TRUE,B110:E110),SF_Output!$Q$1:$Q$400,"monthly")*(1-W110)/H110,4),""),"")</f>
        <v/>
      </c>
      <c r="J110" s="6">
        <f>IF(B110="","",SUMIFS(SF_Output!$S$1:$S$400,SF_Output!$AC$1:$AC$400,_xlfn.TEXTJOIN(",",TRUE,B110:E110),SF_Output!$Q$1:$Q$400,"One Time",SF_Output!$L$1:$L$400,"license fee")+SUMIFS(SF_Output!$S$1:$S$400,SF_Output!$AC$1:$AC$400,_xlfn.TEXTJOIN(",",TRUE,B110:E110),SF_Output!$Q$1:$Q$400,"One Time",SF_Output!$L$1:$L$400,"software license")+SUMIFS(SF_Output!$S$1:$S$400,SF_Output!$AC$1:$AC$400,_xlfn.TEXTJOIN(",",TRUE,B110:E110),SF_Output!$Q$1:$Q$400,"One Time",SF_Output!$L$1:$L$400,"hardware"))</f>
        <v>0</v>
      </c>
      <c r="K110" s="112" t="str">
        <f>IF(OR(B110=0,B110="",G110="hardware",J110=0),"",IF(AF110&lt;&gt;"exclusion",MAX(K$9,-((SUMIFS(SF_Output!$T$1:$T$400,SF_Output!$AC$1:$AC$400,_xlfn.TEXTJOIN(",",TRUE,$B110:$E110),SF_Output!$Q$1:$Q$400,"One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license"))/J110)))</f>
        <v/>
      </c>
      <c r="L110" s="6">
        <f t="shared" si="5"/>
        <v>0</v>
      </c>
      <c r="N110" s="6">
        <f>IF(B110="","",SUMIFS(SF_Output!$S$1:$S$400,SF_Output!$AC$1:$AC$400,_xlfn.TEXTJOIN(",",TRUE,B110:E110),SF_Output!$Q$1:$Q$400,"One Time",SF_Output!$L$1:$L$400,"professional service"))</f>
        <v>1900</v>
      </c>
      <c r="O110" s="112">
        <f>IF(OR(B110=0,B110="",N110=0),"",IF(AF110&lt;&gt;"exclusion",MAX(O$9,-(SUMIFS(SF_Output!$T$1:$T$400,SF_Output!$AC$1:$AC$400,_xlfn.TEXTJOIN(",",TRUE,$B110:$E110),SF_Output!$Q$1:$Q$400,"One Time",SF_Output!$L$1:$L$400,"professional service"))/N110),-((SUMIFS(SF_Output!$T$1:$T$400,SF_Output!$AC$1:$AC$400,_xlfn.TEXTJOIN(",",TRUE,$B110:$E110),SF_Output!$Q$1:$Q$400,"One Time",SF_Output!$L$1:$L$400,"professional service")/N110))))</f>
        <v>1</v>
      </c>
      <c r="P110" s="6">
        <f t="shared" si="6"/>
        <v>0</v>
      </c>
      <c r="R110" s="6">
        <f>IF(B110="","",SUMIFS(SF_Output!$S$1:$S$400,SF_Output!$AC$1:$AC$400,_xlfn.TEXTJOIN(",",TRUE,B110:E110),SF_Output!$Q$1:$Q$400,"yearly")+SUMIFS(SF_Output!$S$1:$S$400,SF_Output!$AC$1:$AC$400,_xlfn.TEXTJOIN(",",TRUE,B110:E110),SF_Output!$Q$1:$Q$400,"quarterly")*4)</f>
        <v>0</v>
      </c>
      <c r="S110" s="112" t="str">
        <f>IF(OR(B110=0,B110="",G110="hardware",R110=0),"",IF(AF110&lt;&gt;"exclusion",MAX(S$9,-(SUMIFS(SF_Output!$T$1:$T$400,SF_Output!$AC$1:$AC$400,_xlfn.TEXTJOIN(",",TRUE,$B110:$E110),SF_Output!$Q$1:$Q$400,"yearly"))/R110),-((SUMIFS(SF_Output!$T$1:$T$400,SF_Output!$AC$1:$AC$400,_xlfn.TEXTJOIN(",",TRUE,$B110:$E110),SF_Output!$Q$1:$Q$400,"yearly")/R110))))</f>
        <v/>
      </c>
      <c r="T110" s="6">
        <f t="shared" si="7"/>
        <v>0</v>
      </c>
      <c r="V110" s="6" cm="1">
        <f t="array" ref="V110">_xlfn.IFS(B110="","",AND(B110&lt;&gt;"",H110=SF_Output!$Y$2,SUMIFS(SF_Output!$T$1:$T$400,SF_Output!$AC$1:$AC$400,_xlfn.TEXTJOIN(",",TRUE,B110:E110),SF_Output!$Q$1:$Q$400,"monthly")=0),(SUMIFS(SF_Output!$F$1:$F$400,SF_Output!$AC$1:$AC$400,_xlfn.TEXTJOIN(",",TRUE,B110:E110),SF_Output!$Q$1:$Q$400,"monthly")+SUMIFS(SF_Output!$G$1:$G$400,SF_Output!$AC$1:$AC$400,_xlfn.TEXTJOIN(",",TRUE,B110:E110),SF_Output!$Q$1:$Q$400,"monthly"))*H110,AND(B110&lt;&gt;"",H110=SF_Output!$Y$2,SUMIFS(SF_Output!$T$1:$T$400,SF_Output!$AC$1:$AC$400,_xlfn.TEXTJOIN(",",TRUE,B110:E110),SF_Output!$Q$1:$Q$400,"monthly")&lt;&gt;0),SUMIFS(SF_Output!$S$1:$S$400,SF_Output!$AC$1:$AC$400,_xlfn.TEXTJOIN(",",TRUE,B110:E110),SF_Output!$Q$1:$Q$400,"monthly"),AND(B110&lt;&gt;"",H110&lt;&gt;SF_Output!$Y$2),SUMIFS(SF_Output!$S$1:$S$400,SF_Output!$AC$1:$AC$400,_xlfn.TEXTJOIN(",",TRUE,B110:E110),SF_Output!$Q$1:$Q$400,"monthly"))</f>
        <v>0</v>
      </c>
      <c r="W110" s="112" t="str" cm="1">
        <f t="array" ref="W110">_xlfn.IFS(OR(B110=0,B110="",V110=0),"",AF110&lt;&gt;"exclusion",MAX($W$9,$W$7,(-(SUMIFS(SF_Output!$T$1:$T$400,SF_Output!$AC$1:$AC$400,_xlfn.TEXTJOIN(",",TRUE,$B110:$E110),SF_Output!$Q$1:$Q$400,"monthly"))/V110)),AF110="exclusion",-(SUMIFS(SF_Output!$T$1:$T$400,SF_Output!$AC$1:$AC$400,_xlfn.TEXTJOIN(",",TRUE,$B110:$E110),SF_Output!$Q$1:$Q$400,"monthly"))/V110)</f>
        <v/>
      </c>
      <c r="X110" s="6" cm="1">
        <f t="array" ref="X110">IFERROR(_xlfn.IFS(V110=0,0,V110="","",W110=0,V110,OR(V110&lt;&gt;0,V110&lt;&gt;""),H110*I110),V110*(1-W110))</f>
        <v>0</v>
      </c>
    </row>
    <row r="111" spans="2:24" x14ac:dyDescent="0.25">
      <c r="B111" t="s">
        <v>2377</v>
      </c>
      <c r="C111" t="s">
        <v>2122</v>
      </c>
      <c r="D111" t="s">
        <v>2207</v>
      </c>
      <c r="E111" t="s">
        <v>2124</v>
      </c>
      <c r="F111" s="116" t="str">
        <f t="shared" si="4"/>
        <v>Included</v>
      </c>
      <c r="G111" t="str">
        <f>IF(B111="","",INDEX(SF_Output!$K$1:$K$400,MATCH(B111,SF_Output!$M$1:$M$400,0)))</f>
        <v>Card Processing Solutions (CPS)</v>
      </c>
      <c r="H111" cm="1">
        <f t="array" ref="H111">_xlfn.IFS(B111="","",(SUMIFS(SF_Output!$F$1:$F$400,SF_Output!$AC$1:$AC$400,_xlfn.TEXTJOIN(",",TRUE,B111:E111))+SUMIFS(SF_Output!$G$1:$G$400,SF_Output!$AC$1:$AC$400,_xlfn.TEXTJOIN(",",TRUE,B111:E111)))&lt;&gt;0,SF_Output!$Y$2,INDEX(SF_Output!$F$1:$F$400,MATCH(_xlfn.TEXTJOIN(",",TRUE,B111:E111),SF_Output!$AC$1:$AC$400,0))=0,INDEX(SF_Output!$R$1:$R$400,MATCH(_xlfn.TEXTJOIN(",",TRUE,B111:E111),SF_Output!$AC$1:$AC$400,0)))</f>
        <v>1</v>
      </c>
      <c r="I111" s="125" t="str">
        <f>IFERROR(IF(AND(H111&gt;1,H111&lt;&gt;""),ROUND(SUMIFS(SF_Output!$S$1:$S$400,SF_Output!$AC$1:$AC$400,_xlfn.TEXTJOIN(",",TRUE,B111:E111),SF_Output!$Q$1:$Q$400,"monthly")*(1-W111)/H111,4),""),"")</f>
        <v/>
      </c>
      <c r="J111" s="6">
        <f>IF(B111="","",SUMIFS(SF_Output!$S$1:$S$400,SF_Output!$AC$1:$AC$400,_xlfn.TEXTJOIN(",",TRUE,B111:E111),SF_Output!$Q$1:$Q$400,"One Time",SF_Output!$L$1:$L$400,"license fee")+SUMIFS(SF_Output!$S$1:$S$400,SF_Output!$AC$1:$AC$400,_xlfn.TEXTJOIN(",",TRUE,B111:E111),SF_Output!$Q$1:$Q$400,"One Time",SF_Output!$L$1:$L$400,"software license")+SUMIFS(SF_Output!$S$1:$S$400,SF_Output!$AC$1:$AC$400,_xlfn.TEXTJOIN(",",TRUE,B111:E111),SF_Output!$Q$1:$Q$400,"One Time",SF_Output!$L$1:$L$400,"hardware"))</f>
        <v>0</v>
      </c>
      <c r="K111" s="112" t="str">
        <f>IF(OR(B111=0,B111="",G111="hardware",J111=0),"",IF(AF111&lt;&gt;"exclusion",MAX(K$9,-((SUMIFS(SF_Output!$T$1:$T$400,SF_Output!$AC$1:$AC$400,_xlfn.TEXTJOIN(",",TRUE,$B111:$E111),SF_Output!$Q$1:$Q$400,"One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license"))/J111)))</f>
        <v/>
      </c>
      <c r="L111" s="6">
        <f t="shared" si="5"/>
        <v>0</v>
      </c>
      <c r="N111" s="6">
        <f>IF(B111="","",SUMIFS(SF_Output!$S$1:$S$400,SF_Output!$AC$1:$AC$400,_xlfn.TEXTJOIN(",",TRUE,B111:E111),SF_Output!$Q$1:$Q$400,"One Time",SF_Output!$L$1:$L$400,"professional service"))</f>
        <v>0</v>
      </c>
      <c r="O111" s="112" t="str">
        <f>IF(OR(B111=0,B111="",N111=0),"",IF(AF111&lt;&gt;"exclusion",MAX(O$9,-(SUMIFS(SF_Output!$T$1:$T$400,SF_Output!$AC$1:$AC$400,_xlfn.TEXTJOIN(",",TRUE,$B111:$E111),SF_Output!$Q$1:$Q$400,"One Time",SF_Output!$L$1:$L$400,"professional service"))/N111),-((SUMIFS(SF_Output!$T$1:$T$400,SF_Output!$AC$1:$AC$400,_xlfn.TEXTJOIN(",",TRUE,$B111:$E111),SF_Output!$Q$1:$Q$400,"One Time",SF_Output!$L$1:$L$400,"professional service")/N111))))</f>
        <v/>
      </c>
      <c r="P111" s="6">
        <f t="shared" si="6"/>
        <v>0</v>
      </c>
      <c r="R111" s="6">
        <f>IF(B111="","",SUMIFS(SF_Output!$S$1:$S$400,SF_Output!$AC$1:$AC$400,_xlfn.TEXTJOIN(",",TRUE,B111:E111),SF_Output!$Q$1:$Q$400,"yearly")+SUMIFS(SF_Output!$S$1:$S$400,SF_Output!$AC$1:$AC$400,_xlfn.TEXTJOIN(",",TRUE,B111:E111),SF_Output!$Q$1:$Q$400,"quarterly")*4)</f>
        <v>0</v>
      </c>
      <c r="S111" s="112" t="str">
        <f>IF(OR(B111=0,B111="",G111="hardware",R111=0),"",IF(AF111&lt;&gt;"exclusion",MAX(S$9,-(SUMIFS(SF_Output!$T$1:$T$400,SF_Output!$AC$1:$AC$400,_xlfn.TEXTJOIN(",",TRUE,$B111:$E111),SF_Output!$Q$1:$Q$400,"yearly"))/R111),-((SUMIFS(SF_Output!$T$1:$T$400,SF_Output!$AC$1:$AC$400,_xlfn.TEXTJOIN(",",TRUE,$B111:$E111),SF_Output!$Q$1:$Q$400,"yearly")/R111))))</f>
        <v/>
      </c>
      <c r="T111" s="6">
        <f t="shared" si="7"/>
        <v>0</v>
      </c>
      <c r="V111" s="6" cm="1">
        <f t="array" ref="V111">_xlfn.IFS(B111="","",AND(B111&lt;&gt;"",H111=SF_Output!$Y$2,SUMIFS(SF_Output!$T$1:$T$400,SF_Output!$AC$1:$AC$400,_xlfn.TEXTJOIN(",",TRUE,B111:E111),SF_Output!$Q$1:$Q$400,"monthly")=0),(SUMIFS(SF_Output!$F$1:$F$400,SF_Output!$AC$1:$AC$400,_xlfn.TEXTJOIN(",",TRUE,B111:E111),SF_Output!$Q$1:$Q$400,"monthly")+SUMIFS(SF_Output!$G$1:$G$400,SF_Output!$AC$1:$AC$400,_xlfn.TEXTJOIN(",",TRUE,B111:E111),SF_Output!$Q$1:$Q$400,"monthly"))*H111,AND(B111&lt;&gt;"",H111=SF_Output!$Y$2,SUMIFS(SF_Output!$T$1:$T$400,SF_Output!$AC$1:$AC$400,_xlfn.TEXTJOIN(",",TRUE,B111:E111),SF_Output!$Q$1:$Q$400,"monthly")&lt;&gt;0),SUMIFS(SF_Output!$S$1:$S$400,SF_Output!$AC$1:$AC$400,_xlfn.TEXTJOIN(",",TRUE,B111:E111),SF_Output!$Q$1:$Q$400,"monthly"),AND(B111&lt;&gt;"",H111&lt;&gt;SF_Output!$Y$2),SUMIFS(SF_Output!$S$1:$S$400,SF_Output!$AC$1:$AC$400,_xlfn.TEXTJOIN(",",TRUE,B111:E111),SF_Output!$Q$1:$Q$400,"monthly"))</f>
        <v>350</v>
      </c>
      <c r="W111" s="112" cm="1">
        <f t="array" ref="W111">_xlfn.IFS(OR(B111=0,B111="",V111=0),"",AF111&lt;&gt;"exclusion",MAX($W$9,$W$7,(-(SUMIFS(SF_Output!$T$1:$T$400,SF_Output!$AC$1:$AC$400,_xlfn.TEXTJOIN(",",TRUE,$B111:$E111),SF_Output!$Q$1:$Q$400,"monthly"))/V111)),AF111="exclusion",-(SUMIFS(SF_Output!$T$1:$T$400,SF_Output!$AC$1:$AC$400,_xlfn.TEXTJOIN(",",TRUE,$B111:$E111),SF_Output!$Q$1:$Q$400,"monthly"))/V111)</f>
        <v>0</v>
      </c>
      <c r="X111" s="6" cm="1">
        <f t="array" ref="X111">IFERROR(_xlfn.IFS(V111=0,0,V111="","",W111=0,V111,OR(V111&lt;&gt;0,V111&lt;&gt;""),H111*I111),V111*(1-W111))</f>
        <v>350</v>
      </c>
    </row>
    <row r="112" spans="2:24" x14ac:dyDescent="0.25">
      <c r="B112" t="s">
        <v>2379</v>
      </c>
      <c r="C112" t="s">
        <v>2122</v>
      </c>
      <c r="D112" t="s">
        <v>2207</v>
      </c>
      <c r="E112" t="s">
        <v>2124</v>
      </c>
      <c r="F112" s="116" t="str">
        <f t="shared" si="4"/>
        <v>Included</v>
      </c>
      <c r="G112" t="str">
        <f>IF(B112="","",INDEX(SF_Output!$K$1:$K$400,MATCH(B112,SF_Output!$M$1:$M$400,0)))</f>
        <v>Card Processing Solutions (CPS)</v>
      </c>
      <c r="H112" cm="1">
        <f t="array" ref="H112">_xlfn.IFS(B112="","",(SUMIFS(SF_Output!$F$1:$F$400,SF_Output!$AC$1:$AC$400,_xlfn.TEXTJOIN(",",TRUE,B112:E112))+SUMIFS(SF_Output!$G$1:$G$400,SF_Output!$AC$1:$AC$400,_xlfn.TEXTJOIN(",",TRUE,B112:E112)))&lt;&gt;0,SF_Output!$Y$2,INDEX(SF_Output!$F$1:$F$400,MATCH(_xlfn.TEXTJOIN(",",TRUE,B112:E112),SF_Output!$AC$1:$AC$400,0))=0,INDEX(SF_Output!$R$1:$R$400,MATCH(_xlfn.TEXTJOIN(",",TRUE,B112:E112),SF_Output!$AC$1:$AC$400,0)))</f>
        <v>1</v>
      </c>
      <c r="I112" s="125" t="str">
        <f>IFERROR(IF(AND(H112&gt;1,H112&lt;&gt;""),ROUND(SUMIFS(SF_Output!$S$1:$S$400,SF_Output!$AC$1:$AC$400,_xlfn.TEXTJOIN(",",TRUE,B112:E112),SF_Output!$Q$1:$Q$400,"monthly")*(1-W112)/H112,4),""),"")</f>
        <v/>
      </c>
      <c r="J112" s="6">
        <f>IF(B112="","",SUMIFS(SF_Output!$S$1:$S$400,SF_Output!$AC$1:$AC$400,_xlfn.TEXTJOIN(",",TRUE,B112:E112),SF_Output!$Q$1:$Q$400,"One Time",SF_Output!$L$1:$L$400,"license fee")+SUMIFS(SF_Output!$S$1:$S$400,SF_Output!$AC$1:$AC$400,_xlfn.TEXTJOIN(",",TRUE,B112:E112),SF_Output!$Q$1:$Q$400,"One Time",SF_Output!$L$1:$L$400,"software license")+SUMIFS(SF_Output!$S$1:$S$400,SF_Output!$AC$1:$AC$400,_xlfn.TEXTJOIN(",",TRUE,B112:E112),SF_Output!$Q$1:$Q$400,"One Time",SF_Output!$L$1:$L$400,"hardware"))</f>
        <v>0</v>
      </c>
      <c r="K112" s="112" t="str">
        <f>IF(OR(B112=0,B112="",G112="hardware",J112=0),"",IF(AF112&lt;&gt;"exclusion",MAX(K$9,-((SUMIFS(SF_Output!$T$1:$T$400,SF_Output!$AC$1:$AC$400,_xlfn.TEXTJOIN(",",TRUE,$B112:$E112),SF_Output!$Q$1:$Q$400,"One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license"))/J112)))</f>
        <v/>
      </c>
      <c r="L112" s="6">
        <f t="shared" si="5"/>
        <v>0</v>
      </c>
      <c r="N112" s="6">
        <f>IF(B112="","",SUMIFS(SF_Output!$S$1:$S$400,SF_Output!$AC$1:$AC$400,_xlfn.TEXTJOIN(",",TRUE,B112:E112),SF_Output!$Q$1:$Q$400,"One Time",SF_Output!$L$1:$L$400,"professional service"))</f>
        <v>1500</v>
      </c>
      <c r="O112" s="112">
        <f>IF(OR(B112=0,B112="",N112=0),"",IF(AF112&lt;&gt;"exclusion",MAX(O$9,-(SUMIFS(SF_Output!$T$1:$T$400,SF_Output!$AC$1:$AC$400,_xlfn.TEXTJOIN(",",TRUE,$B112:$E112),SF_Output!$Q$1:$Q$400,"One Time",SF_Output!$L$1:$L$400,"professional service"))/N112),-((SUMIFS(SF_Output!$T$1:$T$400,SF_Output!$AC$1:$AC$400,_xlfn.TEXTJOIN(",",TRUE,$B112:$E112),SF_Output!$Q$1:$Q$400,"One Time",SF_Output!$L$1:$L$400,"professional service")/N112))))</f>
        <v>1</v>
      </c>
      <c r="P112" s="6">
        <f t="shared" si="6"/>
        <v>0</v>
      </c>
      <c r="R112" s="6">
        <f>IF(B112="","",SUMIFS(SF_Output!$S$1:$S$400,SF_Output!$AC$1:$AC$400,_xlfn.TEXTJOIN(",",TRUE,B112:E112),SF_Output!$Q$1:$Q$400,"yearly")+SUMIFS(SF_Output!$S$1:$S$400,SF_Output!$AC$1:$AC$400,_xlfn.TEXTJOIN(",",TRUE,B112:E112),SF_Output!$Q$1:$Q$400,"quarterly")*4)</f>
        <v>0</v>
      </c>
      <c r="S112" s="112" t="str">
        <f>IF(OR(B112=0,B112="",G112="hardware",R112=0),"",IF(AF112&lt;&gt;"exclusion",MAX(S$9,-(SUMIFS(SF_Output!$T$1:$T$400,SF_Output!$AC$1:$AC$400,_xlfn.TEXTJOIN(",",TRUE,$B112:$E112),SF_Output!$Q$1:$Q$400,"yearly"))/R112),-((SUMIFS(SF_Output!$T$1:$T$400,SF_Output!$AC$1:$AC$400,_xlfn.TEXTJOIN(",",TRUE,$B112:$E112),SF_Output!$Q$1:$Q$400,"yearly")/R112))))</f>
        <v/>
      </c>
      <c r="T112" s="6">
        <f t="shared" si="7"/>
        <v>0</v>
      </c>
      <c r="V112" s="6" cm="1">
        <f t="array" ref="V112">_xlfn.IFS(B112="","",AND(B112&lt;&gt;"",H112=SF_Output!$Y$2,SUMIFS(SF_Output!$T$1:$T$400,SF_Output!$AC$1:$AC$400,_xlfn.TEXTJOIN(",",TRUE,B112:E112),SF_Output!$Q$1:$Q$400,"monthly")=0),(SUMIFS(SF_Output!$F$1:$F$400,SF_Output!$AC$1:$AC$400,_xlfn.TEXTJOIN(",",TRUE,B112:E112),SF_Output!$Q$1:$Q$400,"monthly")+SUMIFS(SF_Output!$G$1:$G$400,SF_Output!$AC$1:$AC$400,_xlfn.TEXTJOIN(",",TRUE,B112:E112),SF_Output!$Q$1:$Q$400,"monthly"))*H112,AND(B112&lt;&gt;"",H112=SF_Output!$Y$2,SUMIFS(SF_Output!$T$1:$T$400,SF_Output!$AC$1:$AC$400,_xlfn.TEXTJOIN(",",TRUE,B112:E112),SF_Output!$Q$1:$Q$400,"monthly")&lt;&gt;0),SUMIFS(SF_Output!$S$1:$S$400,SF_Output!$AC$1:$AC$400,_xlfn.TEXTJOIN(",",TRUE,B112:E112),SF_Output!$Q$1:$Q$400,"monthly"),AND(B112&lt;&gt;"",H112&lt;&gt;SF_Output!$Y$2),SUMIFS(SF_Output!$S$1:$S$400,SF_Output!$AC$1:$AC$400,_xlfn.TEXTJOIN(",",TRUE,B112:E112),SF_Output!$Q$1:$Q$400,"monthly"))</f>
        <v>350</v>
      </c>
      <c r="W112" s="112" cm="1">
        <f t="array" ref="W112">_xlfn.IFS(OR(B112=0,B112="",V112=0),"",AF112&lt;&gt;"exclusion",MAX($W$9,$W$7,(-(SUMIFS(SF_Output!$T$1:$T$400,SF_Output!$AC$1:$AC$400,_xlfn.TEXTJOIN(",",TRUE,$B112:$E112),SF_Output!$Q$1:$Q$400,"monthly"))/V112)),AF112="exclusion",-(SUMIFS(SF_Output!$T$1:$T$400,SF_Output!$AC$1:$AC$400,_xlfn.TEXTJOIN(",",TRUE,$B112:$E112),SF_Output!$Q$1:$Q$400,"monthly"))/V112)</f>
        <v>0</v>
      </c>
      <c r="X112" s="6" cm="1">
        <f t="array" ref="X112">IFERROR(_xlfn.IFS(V112=0,0,V112="","",W112=0,V112,OR(V112&lt;&gt;0,V112&lt;&gt;""),H112*I112),V112*(1-W112))</f>
        <v>350</v>
      </c>
    </row>
    <row r="113" spans="2:24" x14ac:dyDescent="0.25">
      <c r="B113" t="s">
        <v>2382</v>
      </c>
      <c r="C113" t="s">
        <v>2122</v>
      </c>
      <c r="D113" t="s">
        <v>2207</v>
      </c>
      <c r="E113" t="s">
        <v>2124</v>
      </c>
      <c r="F113" s="116" t="str">
        <f t="shared" si="4"/>
        <v>Included</v>
      </c>
      <c r="G113" t="str">
        <f>IF(B113="","",INDEX(SF_Output!$K$1:$K$400,MATCH(B113,SF_Output!$M$1:$M$400,0)))</f>
        <v>Card Processing Solutions (CPS)</v>
      </c>
      <c r="H113" cm="1">
        <f t="array" ref="H113">_xlfn.IFS(B113="","",(SUMIFS(SF_Output!$F$1:$F$400,SF_Output!$AC$1:$AC$400,_xlfn.TEXTJOIN(",",TRUE,B113:E113))+SUMIFS(SF_Output!$G$1:$G$400,SF_Output!$AC$1:$AC$400,_xlfn.TEXTJOIN(",",TRUE,B113:E113)))&lt;&gt;0,SF_Output!$Y$2,INDEX(SF_Output!$F$1:$F$400,MATCH(_xlfn.TEXTJOIN(",",TRUE,B113:E113),SF_Output!$AC$1:$AC$400,0))=0,INDEX(SF_Output!$R$1:$R$400,MATCH(_xlfn.TEXTJOIN(",",TRUE,B113:E113),SF_Output!$AC$1:$AC$400,0)))</f>
        <v>1</v>
      </c>
      <c r="I113" s="125" t="str">
        <f>IFERROR(IF(AND(H113&gt;1,H113&lt;&gt;""),ROUND(SUMIFS(SF_Output!$S$1:$S$400,SF_Output!$AC$1:$AC$400,_xlfn.TEXTJOIN(",",TRUE,B113:E113),SF_Output!$Q$1:$Q$400,"monthly")*(1-W113)/H113,4),""),"")</f>
        <v/>
      </c>
      <c r="J113" s="6">
        <f>IF(B113="","",SUMIFS(SF_Output!$S$1:$S$400,SF_Output!$AC$1:$AC$400,_xlfn.TEXTJOIN(",",TRUE,B113:E113),SF_Output!$Q$1:$Q$400,"One Time",SF_Output!$L$1:$L$400,"license fee")+SUMIFS(SF_Output!$S$1:$S$400,SF_Output!$AC$1:$AC$400,_xlfn.TEXTJOIN(",",TRUE,B113:E113),SF_Output!$Q$1:$Q$400,"One Time",SF_Output!$L$1:$L$400,"software license")+SUMIFS(SF_Output!$S$1:$S$400,SF_Output!$AC$1:$AC$400,_xlfn.TEXTJOIN(",",TRUE,B113:E113),SF_Output!$Q$1:$Q$400,"One Time",SF_Output!$L$1:$L$400,"hardware"))</f>
        <v>0</v>
      </c>
      <c r="K113" s="112" t="str">
        <f>IF(OR(B113=0,B113="",G113="hardware",J113=0),"",IF(AF113&lt;&gt;"exclusion",MAX(K$9,-((SUMIFS(SF_Output!$T$1:$T$400,SF_Output!$AC$1:$AC$400,_xlfn.TEXTJOIN(",",TRUE,$B113:$E113),SF_Output!$Q$1:$Q$400,"One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license"))/J113)))</f>
        <v/>
      </c>
      <c r="L113" s="6">
        <f t="shared" si="5"/>
        <v>0</v>
      </c>
      <c r="N113" s="6">
        <f>IF(B113="","",SUMIFS(SF_Output!$S$1:$S$400,SF_Output!$AC$1:$AC$400,_xlfn.TEXTJOIN(",",TRUE,B113:E113),SF_Output!$Q$1:$Q$400,"One Time",SF_Output!$L$1:$L$400,"professional service"))</f>
        <v>0</v>
      </c>
      <c r="O113" s="112" t="str">
        <f>IF(OR(B113=0,B113="",N113=0),"",IF(AF113&lt;&gt;"exclusion",MAX(O$9,-(SUMIFS(SF_Output!$T$1:$T$400,SF_Output!$AC$1:$AC$400,_xlfn.TEXTJOIN(",",TRUE,$B113:$E113),SF_Output!$Q$1:$Q$400,"One Time",SF_Output!$L$1:$L$400,"professional service"))/N113),-((SUMIFS(SF_Output!$T$1:$T$400,SF_Output!$AC$1:$AC$400,_xlfn.TEXTJOIN(",",TRUE,$B113:$E113),SF_Output!$Q$1:$Q$400,"One Time",SF_Output!$L$1:$L$400,"professional service")/N113))))</f>
        <v/>
      </c>
      <c r="P113" s="6">
        <f t="shared" si="6"/>
        <v>0</v>
      </c>
      <c r="R113" s="6">
        <f>IF(B113="","",SUMIFS(SF_Output!$S$1:$S$400,SF_Output!$AC$1:$AC$400,_xlfn.TEXTJOIN(",",TRUE,B113:E113),SF_Output!$Q$1:$Q$400,"yearly")+SUMIFS(SF_Output!$S$1:$S$400,SF_Output!$AC$1:$AC$400,_xlfn.TEXTJOIN(",",TRUE,B113:E113),SF_Output!$Q$1:$Q$400,"quarterly")*4)</f>
        <v>0</v>
      </c>
      <c r="S113" s="112" t="str">
        <f>IF(OR(B113=0,B113="",G113="hardware",R113=0),"",IF(AF113&lt;&gt;"exclusion",MAX(S$9,-(SUMIFS(SF_Output!$T$1:$T$400,SF_Output!$AC$1:$AC$400,_xlfn.TEXTJOIN(",",TRUE,$B113:$E113),SF_Output!$Q$1:$Q$400,"yearly"))/R113),-((SUMIFS(SF_Output!$T$1:$T$400,SF_Output!$AC$1:$AC$400,_xlfn.TEXTJOIN(",",TRUE,$B113:$E113),SF_Output!$Q$1:$Q$400,"yearly")/R113))))</f>
        <v/>
      </c>
      <c r="T113" s="6">
        <f t="shared" si="7"/>
        <v>0</v>
      </c>
      <c r="V113" s="6" cm="1">
        <f t="array" ref="V113">_xlfn.IFS(B113="","",AND(B113&lt;&gt;"",H113=SF_Output!$Y$2,SUMIFS(SF_Output!$T$1:$T$400,SF_Output!$AC$1:$AC$400,_xlfn.TEXTJOIN(",",TRUE,B113:E113),SF_Output!$Q$1:$Q$400,"monthly")=0),(SUMIFS(SF_Output!$F$1:$F$400,SF_Output!$AC$1:$AC$400,_xlfn.TEXTJOIN(",",TRUE,B113:E113),SF_Output!$Q$1:$Q$400,"monthly")+SUMIFS(SF_Output!$G$1:$G$400,SF_Output!$AC$1:$AC$400,_xlfn.TEXTJOIN(",",TRUE,B113:E113),SF_Output!$Q$1:$Q$400,"monthly"))*H113,AND(B113&lt;&gt;"",H113=SF_Output!$Y$2,SUMIFS(SF_Output!$T$1:$T$400,SF_Output!$AC$1:$AC$400,_xlfn.TEXTJOIN(",",TRUE,B113:E113),SF_Output!$Q$1:$Q$400,"monthly")&lt;&gt;0),SUMIFS(SF_Output!$S$1:$S$400,SF_Output!$AC$1:$AC$400,_xlfn.TEXTJOIN(",",TRUE,B113:E113),SF_Output!$Q$1:$Q$400,"monthly"),AND(B113&lt;&gt;"",H113&lt;&gt;SF_Output!$Y$2),SUMIFS(SF_Output!$S$1:$S$400,SF_Output!$AC$1:$AC$400,_xlfn.TEXTJOIN(",",TRUE,B113:E113),SF_Output!$Q$1:$Q$400,"monthly"))</f>
        <v>150</v>
      </c>
      <c r="W113" s="112" cm="1">
        <f t="array" ref="W113">_xlfn.IFS(OR(B113=0,B113="",V113=0),"",AF113&lt;&gt;"exclusion",MAX($W$9,$W$7,(-(SUMIFS(SF_Output!$T$1:$T$400,SF_Output!$AC$1:$AC$400,_xlfn.TEXTJOIN(",",TRUE,$B113:$E113),SF_Output!$Q$1:$Q$400,"monthly"))/V113)),AF113="exclusion",-(SUMIFS(SF_Output!$T$1:$T$400,SF_Output!$AC$1:$AC$400,_xlfn.TEXTJOIN(",",TRUE,$B113:$E113),SF_Output!$Q$1:$Q$400,"monthly"))/V113)</f>
        <v>0</v>
      </c>
      <c r="X113" s="6" cm="1">
        <f t="array" ref="X113">IFERROR(_xlfn.IFS(V113=0,0,V113="","",W113=0,V113,OR(V113&lt;&gt;0,V113&lt;&gt;""),H113*I113),V113*(1-W113))</f>
        <v>150</v>
      </c>
    </row>
    <row r="114" spans="2:24" x14ac:dyDescent="0.25">
      <c r="B114" t="s">
        <v>2384</v>
      </c>
      <c r="C114" t="s">
        <v>2122</v>
      </c>
      <c r="D114" t="s">
        <v>2207</v>
      </c>
      <c r="E114" t="s">
        <v>2124</v>
      </c>
      <c r="F114" s="116" t="str">
        <f t="shared" si="4"/>
        <v>Included</v>
      </c>
      <c r="G114" t="str">
        <f>IF(B114="","",INDEX(SF_Output!$K$1:$K$400,MATCH(B114,SF_Output!$M$1:$M$400,0)))</f>
        <v>Card Processing Solutions (CPS)</v>
      </c>
      <c r="H114" cm="1">
        <f t="array" ref="H114">_xlfn.IFS(B114="","",(SUMIFS(SF_Output!$F$1:$F$400,SF_Output!$AC$1:$AC$400,_xlfn.TEXTJOIN(",",TRUE,B114:E114))+SUMIFS(SF_Output!$G$1:$G$400,SF_Output!$AC$1:$AC$400,_xlfn.TEXTJOIN(",",TRUE,B114:E114)))&lt;&gt;0,SF_Output!$Y$2,INDEX(SF_Output!$F$1:$F$400,MATCH(_xlfn.TEXTJOIN(",",TRUE,B114:E114),SF_Output!$AC$1:$AC$400,0))=0,INDEX(SF_Output!$R$1:$R$400,MATCH(_xlfn.TEXTJOIN(",",TRUE,B114:E114),SF_Output!$AC$1:$AC$400,0)))</f>
        <v>0</v>
      </c>
      <c r="I114" s="125" t="str">
        <f>IFERROR(IF(AND(H114&gt;1,H114&lt;&gt;""),ROUND(SUMIFS(SF_Output!$S$1:$S$400,SF_Output!$AC$1:$AC$400,_xlfn.TEXTJOIN(",",TRUE,B114:E114),SF_Output!$Q$1:$Q$400,"monthly")*(1-W114)/H114,4),""),"")</f>
        <v/>
      </c>
      <c r="J114" s="6">
        <f>IF(B114="","",SUMIFS(SF_Output!$S$1:$S$400,SF_Output!$AC$1:$AC$400,_xlfn.TEXTJOIN(",",TRUE,B114:E114),SF_Output!$Q$1:$Q$400,"One Time",SF_Output!$L$1:$L$400,"license fee")+SUMIFS(SF_Output!$S$1:$S$400,SF_Output!$AC$1:$AC$400,_xlfn.TEXTJOIN(",",TRUE,B114:E114),SF_Output!$Q$1:$Q$400,"One Time",SF_Output!$L$1:$L$400,"software license")+SUMIFS(SF_Output!$S$1:$S$400,SF_Output!$AC$1:$AC$400,_xlfn.TEXTJOIN(",",TRUE,B114:E114),SF_Output!$Q$1:$Q$400,"One Time",SF_Output!$L$1:$L$400,"hardware"))</f>
        <v>0</v>
      </c>
      <c r="K114" s="112" t="str">
        <f>IF(OR(B114=0,B114="",G114="hardware",J114=0),"",IF(AF114&lt;&gt;"exclusion",MAX(K$9,-((SUMIFS(SF_Output!$T$1:$T$400,SF_Output!$AC$1:$AC$400,_xlfn.TEXTJOIN(",",TRUE,$B114:$E114),SF_Output!$Q$1:$Q$400,"One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license"))/J114)))</f>
        <v/>
      </c>
      <c r="L114" s="6">
        <f t="shared" si="5"/>
        <v>0</v>
      </c>
      <c r="N114" s="6">
        <f>IF(B114="","",SUMIFS(SF_Output!$S$1:$S$400,SF_Output!$AC$1:$AC$400,_xlfn.TEXTJOIN(",",TRUE,B114:E114),SF_Output!$Q$1:$Q$400,"One Time",SF_Output!$L$1:$L$400,"professional service"))</f>
        <v>0</v>
      </c>
      <c r="O114" s="112" t="str">
        <f>IF(OR(B114=0,B114="",N114=0),"",IF(AF114&lt;&gt;"exclusion",MAX(O$9,-(SUMIFS(SF_Output!$T$1:$T$400,SF_Output!$AC$1:$AC$400,_xlfn.TEXTJOIN(",",TRUE,$B114:$E114),SF_Output!$Q$1:$Q$400,"One Time",SF_Output!$L$1:$L$400,"professional service"))/N114),-((SUMIFS(SF_Output!$T$1:$T$400,SF_Output!$AC$1:$AC$400,_xlfn.TEXTJOIN(",",TRUE,$B114:$E114),SF_Output!$Q$1:$Q$400,"One Time",SF_Output!$L$1:$L$400,"professional service")/N114))))</f>
        <v/>
      </c>
      <c r="P114" s="6">
        <f t="shared" si="6"/>
        <v>0</v>
      </c>
      <c r="R114" s="6">
        <f>IF(B114="","",SUMIFS(SF_Output!$S$1:$S$400,SF_Output!$AC$1:$AC$400,_xlfn.TEXTJOIN(",",TRUE,B114:E114),SF_Output!$Q$1:$Q$400,"yearly")+SUMIFS(SF_Output!$S$1:$S$400,SF_Output!$AC$1:$AC$400,_xlfn.TEXTJOIN(",",TRUE,B114:E114),SF_Output!$Q$1:$Q$400,"quarterly")*4)</f>
        <v>0</v>
      </c>
      <c r="S114" s="112" t="str">
        <f>IF(OR(B114=0,B114="",G114="hardware",R114=0),"",IF(AF114&lt;&gt;"exclusion",MAX(S$9,-(SUMIFS(SF_Output!$T$1:$T$400,SF_Output!$AC$1:$AC$400,_xlfn.TEXTJOIN(",",TRUE,$B114:$E114),SF_Output!$Q$1:$Q$400,"yearly"))/R114),-((SUMIFS(SF_Output!$T$1:$T$400,SF_Output!$AC$1:$AC$400,_xlfn.TEXTJOIN(",",TRUE,$B114:$E114),SF_Output!$Q$1:$Q$400,"yearly")/R114))))</f>
        <v/>
      </c>
      <c r="T114" s="6">
        <f t="shared" si="7"/>
        <v>0</v>
      </c>
      <c r="V114" s="6" cm="1">
        <f t="array" ref="V114">_xlfn.IFS(B114="","",AND(B114&lt;&gt;"",H114=SF_Output!$Y$2,SUMIFS(SF_Output!$T$1:$T$400,SF_Output!$AC$1:$AC$400,_xlfn.TEXTJOIN(",",TRUE,B114:E114),SF_Output!$Q$1:$Q$400,"monthly")=0),(SUMIFS(SF_Output!$F$1:$F$400,SF_Output!$AC$1:$AC$400,_xlfn.TEXTJOIN(",",TRUE,B114:E114),SF_Output!$Q$1:$Q$400,"monthly")+SUMIFS(SF_Output!$G$1:$G$400,SF_Output!$AC$1:$AC$400,_xlfn.TEXTJOIN(",",TRUE,B114:E114),SF_Output!$Q$1:$Q$400,"monthly"))*H114,AND(B114&lt;&gt;"",H114=SF_Output!$Y$2,SUMIFS(SF_Output!$T$1:$T$400,SF_Output!$AC$1:$AC$400,_xlfn.TEXTJOIN(",",TRUE,B114:E114),SF_Output!$Q$1:$Q$400,"monthly")&lt;&gt;0),SUMIFS(SF_Output!$S$1:$S$400,SF_Output!$AC$1:$AC$400,_xlfn.TEXTJOIN(",",TRUE,B114:E114),SF_Output!$Q$1:$Q$400,"monthly"),AND(B114&lt;&gt;"",H114&lt;&gt;SF_Output!$Y$2),SUMIFS(SF_Output!$S$1:$S$400,SF_Output!$AC$1:$AC$400,_xlfn.TEXTJOIN(",",TRUE,B114:E114),SF_Output!$Q$1:$Q$400,"monthly"))</f>
        <v>0</v>
      </c>
      <c r="W114" s="112" t="str" cm="1">
        <f t="array" ref="W114">_xlfn.IFS(OR(B114=0,B114="",V114=0),"",AF114&lt;&gt;"exclusion",MAX($W$9,$W$7,(-(SUMIFS(SF_Output!$T$1:$T$400,SF_Output!$AC$1:$AC$400,_xlfn.TEXTJOIN(",",TRUE,$B114:$E114),SF_Output!$Q$1:$Q$400,"monthly"))/V114)),AF114="exclusion",-(SUMIFS(SF_Output!$T$1:$T$400,SF_Output!$AC$1:$AC$400,_xlfn.TEXTJOIN(",",TRUE,$B114:$E114),SF_Output!$Q$1:$Q$400,"monthly"))/V114)</f>
        <v/>
      </c>
      <c r="X114" s="6" cm="1">
        <f t="array" ref="X114">IFERROR(_xlfn.IFS(V114=0,0,V114="","",W114=0,V114,OR(V114&lt;&gt;0,V114&lt;&gt;""),H114*I114),V114*(1-W114))</f>
        <v>0</v>
      </c>
    </row>
    <row r="115" spans="2:24" x14ac:dyDescent="0.25">
      <c r="B115" t="s">
        <v>2386</v>
      </c>
      <c r="C115" t="s">
        <v>2122</v>
      </c>
      <c r="D115" t="s">
        <v>2207</v>
      </c>
      <c r="E115" t="s">
        <v>2124</v>
      </c>
      <c r="F115" s="116" t="str">
        <f t="shared" si="4"/>
        <v>Included</v>
      </c>
      <c r="G115" t="str">
        <f>IF(B115="","",INDEX(SF_Output!$K$1:$K$400,MATCH(B115,SF_Output!$M$1:$M$400,0)))</f>
        <v>Card Processing Solutions (CPS)</v>
      </c>
      <c r="H115" cm="1">
        <f t="array" ref="H115">_xlfn.IFS(B115="","",(SUMIFS(SF_Output!$F$1:$F$400,SF_Output!$AC$1:$AC$400,_xlfn.TEXTJOIN(",",TRUE,B115:E115))+SUMIFS(SF_Output!$G$1:$G$400,SF_Output!$AC$1:$AC$400,_xlfn.TEXTJOIN(",",TRUE,B115:E115)))&lt;&gt;0,SF_Output!$Y$2,INDEX(SF_Output!$F$1:$F$400,MATCH(_xlfn.TEXTJOIN(",",TRUE,B115:E115),SF_Output!$AC$1:$AC$400,0))=0,INDEX(SF_Output!$R$1:$R$400,MATCH(_xlfn.TEXTJOIN(",",TRUE,B115:E115),SF_Output!$AC$1:$AC$400,0)))</f>
        <v>1</v>
      </c>
      <c r="I115" s="125" t="str">
        <f>IFERROR(IF(AND(H115&gt;1,H115&lt;&gt;""),ROUND(SUMIFS(SF_Output!$S$1:$S$400,SF_Output!$AC$1:$AC$400,_xlfn.TEXTJOIN(",",TRUE,B115:E115),SF_Output!$Q$1:$Q$400,"monthly")*(1-W115)/H115,4),""),"")</f>
        <v/>
      </c>
      <c r="J115" s="6">
        <f>IF(B115="","",SUMIFS(SF_Output!$S$1:$S$400,SF_Output!$AC$1:$AC$400,_xlfn.TEXTJOIN(",",TRUE,B115:E115),SF_Output!$Q$1:$Q$400,"One Time",SF_Output!$L$1:$L$400,"license fee")+SUMIFS(SF_Output!$S$1:$S$400,SF_Output!$AC$1:$AC$400,_xlfn.TEXTJOIN(",",TRUE,B115:E115),SF_Output!$Q$1:$Q$400,"One Time",SF_Output!$L$1:$L$400,"software license")+SUMIFS(SF_Output!$S$1:$S$400,SF_Output!$AC$1:$AC$400,_xlfn.TEXTJOIN(",",TRUE,B115:E115),SF_Output!$Q$1:$Q$400,"One Time",SF_Output!$L$1:$L$400,"hardware"))</f>
        <v>0</v>
      </c>
      <c r="K115" s="112" t="str">
        <f>IF(OR(B115=0,B115="",G115="hardware",J115=0),"",IF(AF115&lt;&gt;"exclusion",MAX(K$9,-((SUMIFS(SF_Output!$T$1:$T$400,SF_Output!$AC$1:$AC$400,_xlfn.TEXTJOIN(",",TRUE,$B115:$E115),SF_Output!$Q$1:$Q$400,"One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license"))/J115)))</f>
        <v/>
      </c>
      <c r="L115" s="6">
        <f t="shared" si="5"/>
        <v>0</v>
      </c>
      <c r="N115" s="6">
        <f>IF(B115="","",SUMIFS(SF_Output!$S$1:$S$400,SF_Output!$AC$1:$AC$400,_xlfn.TEXTJOIN(",",TRUE,B115:E115),SF_Output!$Q$1:$Q$400,"One Time",SF_Output!$L$1:$L$400,"professional service"))</f>
        <v>3000</v>
      </c>
      <c r="O115" s="112">
        <f>IF(OR(B115=0,B115="",N115=0),"",IF(AF115&lt;&gt;"exclusion",MAX(O$9,-(SUMIFS(SF_Output!$T$1:$T$400,SF_Output!$AC$1:$AC$400,_xlfn.TEXTJOIN(",",TRUE,$B115:$E115),SF_Output!$Q$1:$Q$400,"One Time",SF_Output!$L$1:$L$400,"professional service"))/N115),-((SUMIFS(SF_Output!$T$1:$T$400,SF_Output!$AC$1:$AC$400,_xlfn.TEXTJOIN(",",TRUE,$B115:$E115),SF_Output!$Q$1:$Q$400,"One Time",SF_Output!$L$1:$L$400,"professional service")/N115))))</f>
        <v>1</v>
      </c>
      <c r="P115" s="6">
        <f t="shared" si="6"/>
        <v>0</v>
      </c>
      <c r="R115" s="6">
        <f>IF(B115="","",SUMIFS(SF_Output!$S$1:$S$400,SF_Output!$AC$1:$AC$400,_xlfn.TEXTJOIN(",",TRUE,B115:E115),SF_Output!$Q$1:$Q$400,"yearly")+SUMIFS(SF_Output!$S$1:$S$400,SF_Output!$AC$1:$AC$400,_xlfn.TEXTJOIN(",",TRUE,B115:E115),SF_Output!$Q$1:$Q$400,"quarterly")*4)</f>
        <v>0</v>
      </c>
      <c r="S115" s="112" t="str">
        <f>IF(OR(B115=0,B115="",G115="hardware",R115=0),"",IF(AF115&lt;&gt;"exclusion",MAX(S$9,-(SUMIFS(SF_Output!$T$1:$T$400,SF_Output!$AC$1:$AC$400,_xlfn.TEXTJOIN(",",TRUE,$B115:$E115),SF_Output!$Q$1:$Q$400,"yearly"))/R115),-((SUMIFS(SF_Output!$T$1:$T$400,SF_Output!$AC$1:$AC$400,_xlfn.TEXTJOIN(",",TRUE,$B115:$E115),SF_Output!$Q$1:$Q$400,"yearly")/R115))))</f>
        <v/>
      </c>
      <c r="T115" s="6">
        <f t="shared" si="7"/>
        <v>0</v>
      </c>
      <c r="V115" s="6" cm="1">
        <f t="array" ref="V115">_xlfn.IFS(B115="","",AND(B115&lt;&gt;"",H115=SF_Output!$Y$2,SUMIFS(SF_Output!$T$1:$T$400,SF_Output!$AC$1:$AC$400,_xlfn.TEXTJOIN(",",TRUE,B115:E115),SF_Output!$Q$1:$Q$400,"monthly")=0),(SUMIFS(SF_Output!$F$1:$F$400,SF_Output!$AC$1:$AC$400,_xlfn.TEXTJOIN(",",TRUE,B115:E115),SF_Output!$Q$1:$Q$400,"monthly")+SUMIFS(SF_Output!$G$1:$G$400,SF_Output!$AC$1:$AC$400,_xlfn.TEXTJOIN(",",TRUE,B115:E115),SF_Output!$Q$1:$Q$400,"monthly"))*H115,AND(B115&lt;&gt;"",H115=SF_Output!$Y$2,SUMIFS(SF_Output!$T$1:$T$400,SF_Output!$AC$1:$AC$400,_xlfn.TEXTJOIN(",",TRUE,B115:E115),SF_Output!$Q$1:$Q$400,"monthly")&lt;&gt;0),SUMIFS(SF_Output!$S$1:$S$400,SF_Output!$AC$1:$AC$400,_xlfn.TEXTJOIN(",",TRUE,B115:E115),SF_Output!$Q$1:$Q$400,"monthly"),AND(B115&lt;&gt;"",H115&lt;&gt;SF_Output!$Y$2),SUMIFS(SF_Output!$S$1:$S$400,SF_Output!$AC$1:$AC$400,_xlfn.TEXTJOIN(",",TRUE,B115:E115),SF_Output!$Q$1:$Q$400,"monthly"))</f>
        <v>250</v>
      </c>
      <c r="W115" s="112" cm="1">
        <f t="array" ref="W115">_xlfn.IFS(OR(B115=0,B115="",V115=0),"",AF115&lt;&gt;"exclusion",MAX($W$9,$W$7,(-(SUMIFS(SF_Output!$T$1:$T$400,SF_Output!$AC$1:$AC$400,_xlfn.TEXTJOIN(",",TRUE,$B115:$E115),SF_Output!$Q$1:$Q$400,"monthly"))/V115)),AF115="exclusion",-(SUMIFS(SF_Output!$T$1:$T$400,SF_Output!$AC$1:$AC$400,_xlfn.TEXTJOIN(",",TRUE,$B115:$E115),SF_Output!$Q$1:$Q$400,"monthly"))/V115)</f>
        <v>0</v>
      </c>
      <c r="X115" s="6" cm="1">
        <f t="array" ref="X115">IFERROR(_xlfn.IFS(V115=0,0,V115="","",W115=0,V115,OR(V115&lt;&gt;0,V115&lt;&gt;""),H115*I115),V115*(1-W115))</f>
        <v>250</v>
      </c>
    </row>
    <row r="116" spans="2:24" x14ac:dyDescent="0.25">
      <c r="B116" t="s">
        <v>2389</v>
      </c>
      <c r="C116" t="s">
        <v>2122</v>
      </c>
      <c r="D116" t="s">
        <v>2207</v>
      </c>
      <c r="E116" t="s">
        <v>2124</v>
      </c>
      <c r="F116" s="116" t="str">
        <f t="shared" si="4"/>
        <v>Included</v>
      </c>
      <c r="G116" t="str">
        <f>IF(B116="","",INDEX(SF_Output!$K$1:$K$400,MATCH(B116,SF_Output!$M$1:$M$400,0)))</f>
        <v>Card Processing Solutions (CPS)</v>
      </c>
      <c r="H116" cm="1">
        <f t="array" ref="H116">_xlfn.IFS(B116="","",(SUMIFS(SF_Output!$F$1:$F$400,SF_Output!$AC$1:$AC$400,_xlfn.TEXTJOIN(",",TRUE,B116:E116))+SUMIFS(SF_Output!$G$1:$G$400,SF_Output!$AC$1:$AC$400,_xlfn.TEXTJOIN(",",TRUE,B116:E116)))&lt;&gt;0,SF_Output!$Y$2,INDEX(SF_Output!$F$1:$F$400,MATCH(_xlfn.TEXTJOIN(",",TRUE,B116:E116),SF_Output!$AC$1:$AC$400,0))=0,INDEX(SF_Output!$R$1:$R$400,MATCH(_xlfn.TEXTJOIN(",",TRUE,B116:E116),SF_Output!$AC$1:$AC$400,0)))</f>
        <v>0</v>
      </c>
      <c r="I116" s="125" t="str">
        <f>IFERROR(IF(AND(H116&gt;1,H116&lt;&gt;""),ROUND(SUMIFS(SF_Output!$S$1:$S$400,SF_Output!$AC$1:$AC$400,_xlfn.TEXTJOIN(",",TRUE,B116:E116),SF_Output!$Q$1:$Q$400,"monthly")*(1-W116)/H116,4),""),"")</f>
        <v/>
      </c>
      <c r="J116" s="6">
        <f>IF(B116="","",SUMIFS(SF_Output!$S$1:$S$400,SF_Output!$AC$1:$AC$400,_xlfn.TEXTJOIN(",",TRUE,B116:E116),SF_Output!$Q$1:$Q$400,"One Time",SF_Output!$L$1:$L$400,"license fee")+SUMIFS(SF_Output!$S$1:$S$400,SF_Output!$AC$1:$AC$400,_xlfn.TEXTJOIN(",",TRUE,B116:E116),SF_Output!$Q$1:$Q$400,"One Time",SF_Output!$L$1:$L$400,"software license")+SUMIFS(SF_Output!$S$1:$S$400,SF_Output!$AC$1:$AC$400,_xlfn.TEXTJOIN(",",TRUE,B116:E116),SF_Output!$Q$1:$Q$400,"One Time",SF_Output!$L$1:$L$400,"hardware"))</f>
        <v>0</v>
      </c>
      <c r="K116" s="112" t="str">
        <f>IF(OR(B116=0,B116="",G116="hardware",J116=0),"",IF(AF116&lt;&gt;"exclusion",MAX(K$9,-((SUMIFS(SF_Output!$T$1:$T$400,SF_Output!$AC$1:$AC$400,_xlfn.TEXTJOIN(",",TRUE,$B116:$E116),SF_Output!$Q$1:$Q$400,"One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license"))/J116)))</f>
        <v/>
      </c>
      <c r="L116" s="6">
        <f t="shared" si="5"/>
        <v>0</v>
      </c>
      <c r="N116" s="6">
        <f>IF(B116="","",SUMIFS(SF_Output!$S$1:$S$400,SF_Output!$AC$1:$AC$400,_xlfn.TEXTJOIN(",",TRUE,B116:E116),SF_Output!$Q$1:$Q$400,"One Time",SF_Output!$L$1:$L$400,"professional service"))</f>
        <v>0</v>
      </c>
      <c r="O116" s="112" t="str">
        <f>IF(OR(B116=0,B116="",N116=0),"",IF(AF116&lt;&gt;"exclusion",MAX(O$9,-(SUMIFS(SF_Output!$T$1:$T$400,SF_Output!$AC$1:$AC$400,_xlfn.TEXTJOIN(",",TRUE,$B116:$E116),SF_Output!$Q$1:$Q$400,"One Time",SF_Output!$L$1:$L$400,"professional service"))/N116),-((SUMIFS(SF_Output!$T$1:$T$400,SF_Output!$AC$1:$AC$400,_xlfn.TEXTJOIN(",",TRUE,$B116:$E116),SF_Output!$Q$1:$Q$400,"One Time",SF_Output!$L$1:$L$400,"professional service")/N116))))</f>
        <v/>
      </c>
      <c r="P116" s="6">
        <f t="shared" si="6"/>
        <v>0</v>
      </c>
      <c r="R116" s="6">
        <f>IF(B116="","",SUMIFS(SF_Output!$S$1:$S$400,SF_Output!$AC$1:$AC$400,_xlfn.TEXTJOIN(",",TRUE,B116:E116),SF_Output!$Q$1:$Q$400,"yearly")+SUMIFS(SF_Output!$S$1:$S$400,SF_Output!$AC$1:$AC$400,_xlfn.TEXTJOIN(",",TRUE,B116:E116),SF_Output!$Q$1:$Q$400,"quarterly")*4)</f>
        <v>0</v>
      </c>
      <c r="S116" s="112" t="str">
        <f>IF(OR(B116=0,B116="",G116="hardware",R116=0),"",IF(AF116&lt;&gt;"exclusion",MAX(S$9,-(SUMIFS(SF_Output!$T$1:$T$400,SF_Output!$AC$1:$AC$400,_xlfn.TEXTJOIN(",",TRUE,$B116:$E116),SF_Output!$Q$1:$Q$400,"yearly"))/R116),-((SUMIFS(SF_Output!$T$1:$T$400,SF_Output!$AC$1:$AC$400,_xlfn.TEXTJOIN(",",TRUE,$B116:$E116),SF_Output!$Q$1:$Q$400,"yearly")/R116))))</f>
        <v/>
      </c>
      <c r="T116" s="6">
        <f t="shared" si="7"/>
        <v>0</v>
      </c>
      <c r="V116" s="6" cm="1">
        <f t="array" ref="V116">_xlfn.IFS(B116="","",AND(B116&lt;&gt;"",H116=SF_Output!$Y$2,SUMIFS(SF_Output!$T$1:$T$400,SF_Output!$AC$1:$AC$400,_xlfn.TEXTJOIN(",",TRUE,B116:E116),SF_Output!$Q$1:$Q$400,"monthly")=0),(SUMIFS(SF_Output!$F$1:$F$400,SF_Output!$AC$1:$AC$400,_xlfn.TEXTJOIN(",",TRUE,B116:E116),SF_Output!$Q$1:$Q$400,"monthly")+SUMIFS(SF_Output!$G$1:$G$400,SF_Output!$AC$1:$AC$400,_xlfn.TEXTJOIN(",",TRUE,B116:E116),SF_Output!$Q$1:$Q$400,"monthly"))*H116,AND(B116&lt;&gt;"",H116=SF_Output!$Y$2,SUMIFS(SF_Output!$T$1:$T$400,SF_Output!$AC$1:$AC$400,_xlfn.TEXTJOIN(",",TRUE,B116:E116),SF_Output!$Q$1:$Q$400,"monthly")&lt;&gt;0),SUMIFS(SF_Output!$S$1:$S$400,SF_Output!$AC$1:$AC$400,_xlfn.TEXTJOIN(",",TRUE,B116:E116),SF_Output!$Q$1:$Q$400,"monthly"),AND(B116&lt;&gt;"",H116&lt;&gt;SF_Output!$Y$2),SUMIFS(SF_Output!$S$1:$S$400,SF_Output!$AC$1:$AC$400,_xlfn.TEXTJOIN(",",TRUE,B116:E116),SF_Output!$Q$1:$Q$400,"monthly"))</f>
        <v>0</v>
      </c>
      <c r="W116" s="112" t="str" cm="1">
        <f t="array" ref="W116">_xlfn.IFS(OR(B116=0,B116="",V116=0),"",AF116&lt;&gt;"exclusion",MAX($W$9,$W$7,(-(SUMIFS(SF_Output!$T$1:$T$400,SF_Output!$AC$1:$AC$400,_xlfn.TEXTJOIN(",",TRUE,$B116:$E116),SF_Output!$Q$1:$Q$400,"monthly"))/V116)),AF116="exclusion",-(SUMIFS(SF_Output!$T$1:$T$400,SF_Output!$AC$1:$AC$400,_xlfn.TEXTJOIN(",",TRUE,$B116:$E116),SF_Output!$Q$1:$Q$400,"monthly"))/V116)</f>
        <v/>
      </c>
      <c r="X116" s="6" cm="1">
        <f t="array" ref="X116">IFERROR(_xlfn.IFS(V116=0,0,V116="","",W116=0,V116,OR(V116&lt;&gt;0,V116&lt;&gt;""),H116*I116),V116*(1-W116))</f>
        <v>0</v>
      </c>
    </row>
    <row r="117" spans="2:24" x14ac:dyDescent="0.25">
      <c r="B117" t="s">
        <v>2391</v>
      </c>
      <c r="C117" t="s">
        <v>2122</v>
      </c>
      <c r="D117" t="s">
        <v>2207</v>
      </c>
      <c r="E117" t="s">
        <v>2124</v>
      </c>
      <c r="F117" s="116" t="str">
        <f t="shared" si="4"/>
        <v>Included</v>
      </c>
      <c r="G117" t="str">
        <f>IF(B117="","",INDEX(SF_Output!$K$1:$K$400,MATCH(B117,SF_Output!$M$1:$M$400,0)))</f>
        <v>Card Processing Solutions (CPS)</v>
      </c>
      <c r="H117" cm="1">
        <f t="array" ref="H117">_xlfn.IFS(B117="","",(SUMIFS(SF_Output!$F$1:$F$400,SF_Output!$AC$1:$AC$400,_xlfn.TEXTJOIN(",",TRUE,B117:E117))+SUMIFS(SF_Output!$G$1:$G$400,SF_Output!$AC$1:$AC$400,_xlfn.TEXTJOIN(",",TRUE,B117:E117)))&lt;&gt;0,SF_Output!$Y$2,INDEX(SF_Output!$F$1:$F$400,MATCH(_xlfn.TEXTJOIN(",",TRUE,B117:E117),SF_Output!$AC$1:$AC$400,0))=0,INDEX(SF_Output!$R$1:$R$400,MATCH(_xlfn.TEXTJOIN(",",TRUE,B117:E117),SF_Output!$AC$1:$AC$400,0)))</f>
        <v>1</v>
      </c>
      <c r="I117" s="125" t="str">
        <f>IFERROR(IF(AND(H117&gt;1,H117&lt;&gt;""),ROUND(SUMIFS(SF_Output!$S$1:$S$400,SF_Output!$AC$1:$AC$400,_xlfn.TEXTJOIN(",",TRUE,B117:E117),SF_Output!$Q$1:$Q$400,"monthly")*(1-W117)/H117,4),""),"")</f>
        <v/>
      </c>
      <c r="J117" s="6">
        <f>IF(B117="","",SUMIFS(SF_Output!$S$1:$S$400,SF_Output!$AC$1:$AC$400,_xlfn.TEXTJOIN(",",TRUE,B117:E117),SF_Output!$Q$1:$Q$400,"One Time",SF_Output!$L$1:$L$400,"license fee")+SUMIFS(SF_Output!$S$1:$S$400,SF_Output!$AC$1:$AC$400,_xlfn.TEXTJOIN(",",TRUE,B117:E117),SF_Output!$Q$1:$Q$400,"One Time",SF_Output!$L$1:$L$400,"software license")+SUMIFS(SF_Output!$S$1:$S$400,SF_Output!$AC$1:$AC$400,_xlfn.TEXTJOIN(",",TRUE,B117:E117),SF_Output!$Q$1:$Q$400,"One Time",SF_Output!$L$1:$L$400,"hardware"))</f>
        <v>0</v>
      </c>
      <c r="K117" s="112" t="str">
        <f>IF(OR(B117=0,B117="",G117="hardware",J117=0),"",IF(AF117&lt;&gt;"exclusion",MAX(K$9,-((SUMIFS(SF_Output!$T$1:$T$400,SF_Output!$AC$1:$AC$400,_xlfn.TEXTJOIN(",",TRUE,$B117:$E117),SF_Output!$Q$1:$Q$400,"One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license"))/J117)))</f>
        <v/>
      </c>
      <c r="L117" s="6">
        <f t="shared" si="5"/>
        <v>0</v>
      </c>
      <c r="N117" s="6">
        <f>IF(B117="","",SUMIFS(SF_Output!$S$1:$S$400,SF_Output!$AC$1:$AC$400,_xlfn.TEXTJOIN(",",TRUE,B117:E117),SF_Output!$Q$1:$Q$400,"One Time",SF_Output!$L$1:$L$400,"professional service"))</f>
        <v>4500</v>
      </c>
      <c r="O117" s="112">
        <f>IF(OR(B117=0,B117="",N117=0),"",IF(AF117&lt;&gt;"exclusion",MAX(O$9,-(SUMIFS(SF_Output!$T$1:$T$400,SF_Output!$AC$1:$AC$400,_xlfn.TEXTJOIN(",",TRUE,$B117:$E117),SF_Output!$Q$1:$Q$400,"One Time",SF_Output!$L$1:$L$400,"professional service"))/N117),-((SUMIFS(SF_Output!$T$1:$T$400,SF_Output!$AC$1:$AC$400,_xlfn.TEXTJOIN(",",TRUE,$B117:$E117),SF_Output!$Q$1:$Q$400,"One Time",SF_Output!$L$1:$L$400,"professional service")/N117))))</f>
        <v>1</v>
      </c>
      <c r="P117" s="6">
        <f t="shared" si="6"/>
        <v>0</v>
      </c>
      <c r="R117" s="6">
        <f>IF(B117="","",SUMIFS(SF_Output!$S$1:$S$400,SF_Output!$AC$1:$AC$400,_xlfn.TEXTJOIN(",",TRUE,B117:E117),SF_Output!$Q$1:$Q$400,"yearly")+SUMIFS(SF_Output!$S$1:$S$400,SF_Output!$AC$1:$AC$400,_xlfn.TEXTJOIN(",",TRUE,B117:E117),SF_Output!$Q$1:$Q$400,"quarterly")*4)</f>
        <v>0</v>
      </c>
      <c r="S117" s="112" t="str">
        <f>IF(OR(B117=0,B117="",G117="hardware",R117=0),"",IF(AF117&lt;&gt;"exclusion",MAX(S$9,-(SUMIFS(SF_Output!$T$1:$T$400,SF_Output!$AC$1:$AC$400,_xlfn.TEXTJOIN(",",TRUE,$B117:$E117),SF_Output!$Q$1:$Q$400,"yearly"))/R117),-((SUMIFS(SF_Output!$T$1:$T$400,SF_Output!$AC$1:$AC$400,_xlfn.TEXTJOIN(",",TRUE,$B117:$E117),SF_Output!$Q$1:$Q$400,"yearly")/R117))))</f>
        <v/>
      </c>
      <c r="T117" s="6">
        <f t="shared" si="7"/>
        <v>0</v>
      </c>
      <c r="V117" s="6" cm="1">
        <f t="array" ref="V117">_xlfn.IFS(B117="","",AND(B117&lt;&gt;"",H117=SF_Output!$Y$2,SUMIFS(SF_Output!$T$1:$T$400,SF_Output!$AC$1:$AC$400,_xlfn.TEXTJOIN(",",TRUE,B117:E117),SF_Output!$Q$1:$Q$400,"monthly")=0),(SUMIFS(SF_Output!$F$1:$F$400,SF_Output!$AC$1:$AC$400,_xlfn.TEXTJOIN(",",TRUE,B117:E117),SF_Output!$Q$1:$Q$400,"monthly")+SUMIFS(SF_Output!$G$1:$G$400,SF_Output!$AC$1:$AC$400,_xlfn.TEXTJOIN(",",TRUE,B117:E117),SF_Output!$Q$1:$Q$400,"monthly"))*H117,AND(B117&lt;&gt;"",H117=SF_Output!$Y$2,SUMIFS(SF_Output!$T$1:$T$400,SF_Output!$AC$1:$AC$400,_xlfn.TEXTJOIN(",",TRUE,B117:E117),SF_Output!$Q$1:$Q$400,"monthly")&lt;&gt;0),SUMIFS(SF_Output!$S$1:$S$400,SF_Output!$AC$1:$AC$400,_xlfn.TEXTJOIN(",",TRUE,B117:E117),SF_Output!$Q$1:$Q$400,"monthly"),AND(B117&lt;&gt;"",H117&lt;&gt;SF_Output!$Y$2),SUMIFS(SF_Output!$S$1:$S$400,SF_Output!$AC$1:$AC$400,_xlfn.TEXTJOIN(",",TRUE,B117:E117),SF_Output!$Q$1:$Q$400,"monthly"))</f>
        <v>75</v>
      </c>
      <c r="W117" s="112" cm="1">
        <f t="array" ref="W117">_xlfn.IFS(OR(B117=0,B117="",V117=0),"",AF117&lt;&gt;"exclusion",MAX($W$9,$W$7,(-(SUMIFS(SF_Output!$T$1:$T$400,SF_Output!$AC$1:$AC$400,_xlfn.TEXTJOIN(",",TRUE,$B117:$E117),SF_Output!$Q$1:$Q$400,"monthly"))/V117)),AF117="exclusion",-(SUMIFS(SF_Output!$T$1:$T$400,SF_Output!$AC$1:$AC$400,_xlfn.TEXTJOIN(",",TRUE,$B117:$E117),SF_Output!$Q$1:$Q$400,"monthly"))/V117)</f>
        <v>0</v>
      </c>
      <c r="X117" s="6" cm="1">
        <f t="array" ref="X117">IFERROR(_xlfn.IFS(V117=0,0,V117="","",W117=0,V117,OR(V117&lt;&gt;0,V117&lt;&gt;""),H117*I117),V117*(1-W117))</f>
        <v>75</v>
      </c>
    </row>
    <row r="118" spans="2:24" x14ac:dyDescent="0.25">
      <c r="B118" t="s">
        <v>2394</v>
      </c>
      <c r="C118" t="s">
        <v>2122</v>
      </c>
      <c r="D118" t="s">
        <v>2207</v>
      </c>
      <c r="E118" t="s">
        <v>2124</v>
      </c>
      <c r="F118" s="116" t="str">
        <f t="shared" si="4"/>
        <v>Included</v>
      </c>
      <c r="G118" t="str">
        <f>IF(B118="","",INDEX(SF_Output!$K$1:$K$400,MATCH(B118,SF_Output!$M$1:$M$400,0)))</f>
        <v>Card Processing Solutions (CPS)</v>
      </c>
      <c r="H118" cm="1">
        <f t="array" ref="H118">_xlfn.IFS(B118="","",(SUMIFS(SF_Output!$F$1:$F$400,SF_Output!$AC$1:$AC$400,_xlfn.TEXTJOIN(",",TRUE,B118:E118))+SUMIFS(SF_Output!$G$1:$G$400,SF_Output!$AC$1:$AC$400,_xlfn.TEXTJOIN(",",TRUE,B118:E118)))&lt;&gt;0,SF_Output!$Y$2,INDEX(SF_Output!$F$1:$F$400,MATCH(_xlfn.TEXTJOIN(",",TRUE,B118:E118),SF_Output!$AC$1:$AC$400,0))=0,INDEX(SF_Output!$R$1:$R$400,MATCH(_xlfn.TEXTJOIN(",",TRUE,B118:E118),SF_Output!$AC$1:$AC$400,0)))</f>
        <v>0</v>
      </c>
      <c r="I118" s="125" t="str">
        <f>IFERROR(IF(AND(H118&gt;1,H118&lt;&gt;""),ROUND(SUMIFS(SF_Output!$S$1:$S$400,SF_Output!$AC$1:$AC$400,_xlfn.TEXTJOIN(",",TRUE,B118:E118),SF_Output!$Q$1:$Q$400,"monthly")*(1-W118)/H118,4),""),"")</f>
        <v/>
      </c>
      <c r="J118" s="6">
        <f>IF(B118="","",SUMIFS(SF_Output!$S$1:$S$400,SF_Output!$AC$1:$AC$400,_xlfn.TEXTJOIN(",",TRUE,B118:E118),SF_Output!$Q$1:$Q$400,"One Time",SF_Output!$L$1:$L$400,"license fee")+SUMIFS(SF_Output!$S$1:$S$400,SF_Output!$AC$1:$AC$400,_xlfn.TEXTJOIN(",",TRUE,B118:E118),SF_Output!$Q$1:$Q$400,"One Time",SF_Output!$L$1:$L$400,"software license")+SUMIFS(SF_Output!$S$1:$S$400,SF_Output!$AC$1:$AC$400,_xlfn.TEXTJOIN(",",TRUE,B118:E118),SF_Output!$Q$1:$Q$400,"One Time",SF_Output!$L$1:$L$400,"hardware"))</f>
        <v>0</v>
      </c>
      <c r="K118" s="112" t="str">
        <f>IF(OR(B118=0,B118="",G118="hardware",J118=0),"",IF(AF118&lt;&gt;"exclusion",MAX(K$9,-((SUMIFS(SF_Output!$T$1:$T$400,SF_Output!$AC$1:$AC$400,_xlfn.TEXTJOIN(",",TRUE,$B118:$E118),SF_Output!$Q$1:$Q$400,"One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license"))/J118)))</f>
        <v/>
      </c>
      <c r="L118" s="6">
        <f t="shared" si="5"/>
        <v>0</v>
      </c>
      <c r="N118" s="6">
        <f>IF(B118="","",SUMIFS(SF_Output!$S$1:$S$400,SF_Output!$AC$1:$AC$400,_xlfn.TEXTJOIN(",",TRUE,B118:E118),SF_Output!$Q$1:$Q$400,"One Time",SF_Output!$L$1:$L$400,"professional service"))</f>
        <v>0</v>
      </c>
      <c r="O118" s="112" t="str">
        <f>IF(OR(B118=0,B118="",N118=0),"",IF(AF118&lt;&gt;"exclusion",MAX(O$9,-(SUMIFS(SF_Output!$T$1:$T$400,SF_Output!$AC$1:$AC$400,_xlfn.TEXTJOIN(",",TRUE,$B118:$E118),SF_Output!$Q$1:$Q$400,"One Time",SF_Output!$L$1:$L$400,"professional service"))/N118),-((SUMIFS(SF_Output!$T$1:$T$400,SF_Output!$AC$1:$AC$400,_xlfn.TEXTJOIN(",",TRUE,$B118:$E118),SF_Output!$Q$1:$Q$400,"One Time",SF_Output!$L$1:$L$400,"professional service")/N118))))</f>
        <v/>
      </c>
      <c r="P118" s="6">
        <f t="shared" si="6"/>
        <v>0</v>
      </c>
      <c r="R118" s="6">
        <f>IF(B118="","",SUMIFS(SF_Output!$S$1:$S$400,SF_Output!$AC$1:$AC$400,_xlfn.TEXTJOIN(",",TRUE,B118:E118),SF_Output!$Q$1:$Q$400,"yearly")+SUMIFS(SF_Output!$S$1:$S$400,SF_Output!$AC$1:$AC$400,_xlfn.TEXTJOIN(",",TRUE,B118:E118),SF_Output!$Q$1:$Q$400,"quarterly")*4)</f>
        <v>0</v>
      </c>
      <c r="S118" s="112" t="str">
        <f>IF(OR(B118=0,B118="",G118="hardware",R118=0),"",IF(AF118&lt;&gt;"exclusion",MAX(S$9,-(SUMIFS(SF_Output!$T$1:$T$400,SF_Output!$AC$1:$AC$400,_xlfn.TEXTJOIN(",",TRUE,$B118:$E118),SF_Output!$Q$1:$Q$400,"yearly"))/R118),-((SUMIFS(SF_Output!$T$1:$T$400,SF_Output!$AC$1:$AC$400,_xlfn.TEXTJOIN(",",TRUE,$B118:$E118),SF_Output!$Q$1:$Q$400,"yearly")/R118))))</f>
        <v/>
      </c>
      <c r="T118" s="6">
        <f t="shared" si="7"/>
        <v>0</v>
      </c>
      <c r="V118" s="6" cm="1">
        <f t="array" ref="V118">_xlfn.IFS(B118="","",AND(B118&lt;&gt;"",H118=SF_Output!$Y$2,SUMIFS(SF_Output!$T$1:$T$400,SF_Output!$AC$1:$AC$400,_xlfn.TEXTJOIN(",",TRUE,B118:E118),SF_Output!$Q$1:$Q$400,"monthly")=0),(SUMIFS(SF_Output!$F$1:$F$400,SF_Output!$AC$1:$AC$400,_xlfn.TEXTJOIN(",",TRUE,B118:E118),SF_Output!$Q$1:$Q$400,"monthly")+SUMIFS(SF_Output!$G$1:$G$400,SF_Output!$AC$1:$AC$400,_xlfn.TEXTJOIN(",",TRUE,B118:E118),SF_Output!$Q$1:$Q$400,"monthly"))*H118,AND(B118&lt;&gt;"",H118=SF_Output!$Y$2,SUMIFS(SF_Output!$T$1:$T$400,SF_Output!$AC$1:$AC$400,_xlfn.TEXTJOIN(",",TRUE,B118:E118),SF_Output!$Q$1:$Q$400,"monthly")&lt;&gt;0),SUMIFS(SF_Output!$S$1:$S$400,SF_Output!$AC$1:$AC$400,_xlfn.TEXTJOIN(",",TRUE,B118:E118),SF_Output!$Q$1:$Q$400,"monthly"),AND(B118&lt;&gt;"",H118&lt;&gt;SF_Output!$Y$2),SUMIFS(SF_Output!$S$1:$S$400,SF_Output!$AC$1:$AC$400,_xlfn.TEXTJOIN(",",TRUE,B118:E118),SF_Output!$Q$1:$Q$400,"monthly"))</f>
        <v>0</v>
      </c>
      <c r="W118" s="112" t="str" cm="1">
        <f t="array" ref="W118">_xlfn.IFS(OR(B118=0,B118="",V118=0),"",AF118&lt;&gt;"exclusion",MAX($W$9,$W$7,(-(SUMIFS(SF_Output!$T$1:$T$400,SF_Output!$AC$1:$AC$400,_xlfn.TEXTJOIN(",",TRUE,$B118:$E118),SF_Output!$Q$1:$Q$400,"monthly"))/V118)),AF118="exclusion",-(SUMIFS(SF_Output!$T$1:$T$400,SF_Output!$AC$1:$AC$400,_xlfn.TEXTJOIN(",",TRUE,$B118:$E118),SF_Output!$Q$1:$Q$400,"monthly"))/V118)</f>
        <v/>
      </c>
      <c r="X118" s="6" cm="1">
        <f t="array" ref="X118">IFERROR(_xlfn.IFS(V118=0,0,V118="","",W118=0,V118,OR(V118&lt;&gt;0,V118&lt;&gt;""),H118*I118),V118*(1-W118))</f>
        <v>0</v>
      </c>
    </row>
    <row r="119" spans="2:24" x14ac:dyDescent="0.25">
      <c r="B119" t="s">
        <v>2396</v>
      </c>
      <c r="C119" t="s">
        <v>2122</v>
      </c>
      <c r="D119" t="s">
        <v>2207</v>
      </c>
      <c r="E119" t="s">
        <v>2124</v>
      </c>
      <c r="F119" s="116" t="str">
        <f t="shared" si="4"/>
        <v>Included</v>
      </c>
      <c r="G119" t="str">
        <f>IF(B119="","",INDEX(SF_Output!$K$1:$K$400,MATCH(B119,SF_Output!$M$1:$M$400,0)))</f>
        <v>Card Processing Solutions (CPS)</v>
      </c>
      <c r="H119" cm="1">
        <f t="array" ref="H119">_xlfn.IFS(B119="","",(SUMIFS(SF_Output!$F$1:$F$400,SF_Output!$AC$1:$AC$400,_xlfn.TEXTJOIN(",",TRUE,B119:E119))+SUMIFS(SF_Output!$G$1:$G$400,SF_Output!$AC$1:$AC$400,_xlfn.TEXTJOIN(",",TRUE,B119:E119)))&lt;&gt;0,SF_Output!$Y$2,INDEX(SF_Output!$F$1:$F$400,MATCH(_xlfn.TEXTJOIN(",",TRUE,B119:E119),SF_Output!$AC$1:$AC$400,0))=0,INDEX(SF_Output!$R$1:$R$400,MATCH(_xlfn.TEXTJOIN(",",TRUE,B119:E119),SF_Output!$AC$1:$AC$400,0)))</f>
        <v>0</v>
      </c>
      <c r="I119" s="125" t="str">
        <f>IFERROR(IF(AND(H119&gt;1,H119&lt;&gt;""),ROUND(SUMIFS(SF_Output!$S$1:$S$400,SF_Output!$AC$1:$AC$400,_xlfn.TEXTJOIN(",",TRUE,B119:E119),SF_Output!$Q$1:$Q$400,"monthly")*(1-W119)/H119,4),""),"")</f>
        <v/>
      </c>
      <c r="J119" s="6">
        <f>IF(B119="","",SUMIFS(SF_Output!$S$1:$S$400,SF_Output!$AC$1:$AC$400,_xlfn.TEXTJOIN(",",TRUE,B119:E119),SF_Output!$Q$1:$Q$400,"One Time",SF_Output!$L$1:$L$400,"license fee")+SUMIFS(SF_Output!$S$1:$S$400,SF_Output!$AC$1:$AC$400,_xlfn.TEXTJOIN(",",TRUE,B119:E119),SF_Output!$Q$1:$Q$400,"One Time",SF_Output!$L$1:$L$400,"software license")+SUMIFS(SF_Output!$S$1:$S$400,SF_Output!$AC$1:$AC$400,_xlfn.TEXTJOIN(",",TRUE,B119:E119),SF_Output!$Q$1:$Q$400,"One Time",SF_Output!$L$1:$L$400,"hardware"))</f>
        <v>0</v>
      </c>
      <c r="K119" s="112" t="str">
        <f>IF(OR(B119=0,B119="",G119="hardware",J119=0),"",IF(AF119&lt;&gt;"exclusion",MAX(K$9,-((SUMIFS(SF_Output!$T$1:$T$400,SF_Output!$AC$1:$AC$400,_xlfn.TEXTJOIN(",",TRUE,$B119:$E119),SF_Output!$Q$1:$Q$400,"One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license"))/J119)))</f>
        <v/>
      </c>
      <c r="L119" s="6">
        <f t="shared" si="5"/>
        <v>0</v>
      </c>
      <c r="N119" s="6">
        <f>IF(B119="","",SUMIFS(SF_Output!$S$1:$S$400,SF_Output!$AC$1:$AC$400,_xlfn.TEXTJOIN(",",TRUE,B119:E119),SF_Output!$Q$1:$Q$400,"One Time",SF_Output!$L$1:$L$400,"professional service"))</f>
        <v>0</v>
      </c>
      <c r="O119" s="112" t="str">
        <f>IF(OR(B119=0,B119="",N119=0),"",IF(AF119&lt;&gt;"exclusion",MAX(O$9,-(SUMIFS(SF_Output!$T$1:$T$400,SF_Output!$AC$1:$AC$400,_xlfn.TEXTJOIN(",",TRUE,$B119:$E119),SF_Output!$Q$1:$Q$400,"One Time",SF_Output!$L$1:$L$400,"professional service"))/N119),-((SUMIFS(SF_Output!$T$1:$T$400,SF_Output!$AC$1:$AC$400,_xlfn.TEXTJOIN(",",TRUE,$B119:$E119),SF_Output!$Q$1:$Q$400,"One Time",SF_Output!$L$1:$L$400,"professional service")/N119))))</f>
        <v/>
      </c>
      <c r="P119" s="6">
        <f t="shared" si="6"/>
        <v>0</v>
      </c>
      <c r="R119" s="6">
        <f>IF(B119="","",SUMIFS(SF_Output!$S$1:$S$400,SF_Output!$AC$1:$AC$400,_xlfn.TEXTJOIN(",",TRUE,B119:E119),SF_Output!$Q$1:$Q$400,"yearly")+SUMIFS(SF_Output!$S$1:$S$400,SF_Output!$AC$1:$AC$400,_xlfn.TEXTJOIN(",",TRUE,B119:E119),SF_Output!$Q$1:$Q$400,"quarterly")*4)</f>
        <v>0</v>
      </c>
      <c r="S119" s="112" t="str">
        <f>IF(OR(B119=0,B119="",G119="hardware",R119=0),"",IF(AF119&lt;&gt;"exclusion",MAX(S$9,-(SUMIFS(SF_Output!$T$1:$T$400,SF_Output!$AC$1:$AC$400,_xlfn.TEXTJOIN(",",TRUE,$B119:$E119),SF_Output!$Q$1:$Q$400,"yearly"))/R119),-((SUMIFS(SF_Output!$T$1:$T$400,SF_Output!$AC$1:$AC$400,_xlfn.TEXTJOIN(",",TRUE,$B119:$E119),SF_Output!$Q$1:$Q$400,"yearly")/R119))))</f>
        <v/>
      </c>
      <c r="T119" s="6">
        <f t="shared" si="7"/>
        <v>0</v>
      </c>
      <c r="V119" s="6" cm="1">
        <f t="array" ref="V119">_xlfn.IFS(B119="","",AND(B119&lt;&gt;"",H119=SF_Output!$Y$2,SUMIFS(SF_Output!$T$1:$T$400,SF_Output!$AC$1:$AC$400,_xlfn.TEXTJOIN(",",TRUE,B119:E119),SF_Output!$Q$1:$Q$400,"monthly")=0),(SUMIFS(SF_Output!$F$1:$F$400,SF_Output!$AC$1:$AC$400,_xlfn.TEXTJOIN(",",TRUE,B119:E119),SF_Output!$Q$1:$Q$400,"monthly")+SUMIFS(SF_Output!$G$1:$G$400,SF_Output!$AC$1:$AC$400,_xlfn.TEXTJOIN(",",TRUE,B119:E119),SF_Output!$Q$1:$Q$400,"monthly"))*H119,AND(B119&lt;&gt;"",H119=SF_Output!$Y$2,SUMIFS(SF_Output!$T$1:$T$400,SF_Output!$AC$1:$AC$400,_xlfn.TEXTJOIN(",",TRUE,B119:E119),SF_Output!$Q$1:$Q$400,"monthly")&lt;&gt;0),SUMIFS(SF_Output!$S$1:$S$400,SF_Output!$AC$1:$AC$400,_xlfn.TEXTJOIN(",",TRUE,B119:E119),SF_Output!$Q$1:$Q$400,"monthly"),AND(B119&lt;&gt;"",H119&lt;&gt;SF_Output!$Y$2),SUMIFS(SF_Output!$S$1:$S$400,SF_Output!$AC$1:$AC$400,_xlfn.TEXTJOIN(",",TRUE,B119:E119),SF_Output!$Q$1:$Q$400,"monthly"))</f>
        <v>0</v>
      </c>
      <c r="W119" s="112" t="str" cm="1">
        <f t="array" ref="W119">_xlfn.IFS(OR(B119=0,B119="",V119=0),"",AF119&lt;&gt;"exclusion",MAX($W$9,$W$7,(-(SUMIFS(SF_Output!$T$1:$T$400,SF_Output!$AC$1:$AC$400,_xlfn.TEXTJOIN(",",TRUE,$B119:$E119),SF_Output!$Q$1:$Q$400,"monthly"))/V119)),AF119="exclusion",-(SUMIFS(SF_Output!$T$1:$T$400,SF_Output!$AC$1:$AC$400,_xlfn.TEXTJOIN(",",TRUE,$B119:$E119),SF_Output!$Q$1:$Q$400,"monthly"))/V119)</f>
        <v/>
      </c>
      <c r="X119" s="6" cm="1">
        <f t="array" ref="X119">IFERROR(_xlfn.IFS(V119=0,0,V119="","",W119=0,V119,OR(V119&lt;&gt;0,V119&lt;&gt;""),H119*I119),V119*(1-W119))</f>
        <v>0</v>
      </c>
    </row>
    <row r="120" spans="2:24" x14ac:dyDescent="0.25">
      <c r="B120" t="s">
        <v>2398</v>
      </c>
      <c r="C120" t="s">
        <v>2122</v>
      </c>
      <c r="D120" t="s">
        <v>2207</v>
      </c>
      <c r="E120" t="s">
        <v>2124</v>
      </c>
      <c r="F120" s="116" t="str">
        <f t="shared" si="4"/>
        <v>Included</v>
      </c>
      <c r="G120" t="str">
        <f>IF(B120="","",INDEX(SF_Output!$K$1:$K$400,MATCH(B120,SF_Output!$M$1:$M$400,0)))</f>
        <v>Card Processing Solutions (CPS)</v>
      </c>
      <c r="H120" cm="1">
        <f t="array" ref="H120">_xlfn.IFS(B120="","",(SUMIFS(SF_Output!$F$1:$F$400,SF_Output!$AC$1:$AC$400,_xlfn.TEXTJOIN(",",TRUE,B120:E120))+SUMIFS(SF_Output!$G$1:$G$400,SF_Output!$AC$1:$AC$400,_xlfn.TEXTJOIN(",",TRUE,B120:E120)))&lt;&gt;0,SF_Output!$Y$2,INDEX(SF_Output!$F$1:$F$400,MATCH(_xlfn.TEXTJOIN(",",TRUE,B120:E120),SF_Output!$AC$1:$AC$400,0))=0,INDEX(SF_Output!$R$1:$R$400,MATCH(_xlfn.TEXTJOIN(",",TRUE,B120:E120),SF_Output!$AC$1:$AC$400,0)))</f>
        <v>0</v>
      </c>
      <c r="I120" s="125" t="str">
        <f>IFERROR(IF(AND(H120&gt;1,H120&lt;&gt;""),ROUND(SUMIFS(SF_Output!$S$1:$S$400,SF_Output!$AC$1:$AC$400,_xlfn.TEXTJOIN(",",TRUE,B120:E120),SF_Output!$Q$1:$Q$400,"monthly")*(1-W120)/H120,4),""),"")</f>
        <v/>
      </c>
      <c r="J120" s="6">
        <f>IF(B120="","",SUMIFS(SF_Output!$S$1:$S$400,SF_Output!$AC$1:$AC$400,_xlfn.TEXTJOIN(",",TRUE,B120:E120),SF_Output!$Q$1:$Q$400,"One Time",SF_Output!$L$1:$L$400,"license fee")+SUMIFS(SF_Output!$S$1:$S$400,SF_Output!$AC$1:$AC$400,_xlfn.TEXTJOIN(",",TRUE,B120:E120),SF_Output!$Q$1:$Q$400,"One Time",SF_Output!$L$1:$L$400,"software license")+SUMIFS(SF_Output!$S$1:$S$400,SF_Output!$AC$1:$AC$400,_xlfn.TEXTJOIN(",",TRUE,B120:E120),SF_Output!$Q$1:$Q$400,"One Time",SF_Output!$L$1:$L$400,"hardware"))</f>
        <v>0</v>
      </c>
      <c r="K120" s="112" t="str">
        <f>IF(OR(B120=0,B120="",G120="hardware",J120=0),"",IF(AF120&lt;&gt;"exclusion",MAX(K$9,-((SUMIFS(SF_Output!$T$1:$T$400,SF_Output!$AC$1:$AC$400,_xlfn.TEXTJOIN(",",TRUE,$B120:$E120),SF_Output!$Q$1:$Q$400,"One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license"))/J120)))</f>
        <v/>
      </c>
      <c r="L120" s="6">
        <f t="shared" si="5"/>
        <v>0</v>
      </c>
      <c r="N120" s="6">
        <f>IF(B120="","",SUMIFS(SF_Output!$S$1:$S$400,SF_Output!$AC$1:$AC$400,_xlfn.TEXTJOIN(",",TRUE,B120:E120),SF_Output!$Q$1:$Q$400,"One Time",SF_Output!$L$1:$L$400,"professional service"))</f>
        <v>0</v>
      </c>
      <c r="O120" s="112" t="str">
        <f>IF(OR(B120=0,B120="",N120=0),"",IF(AF120&lt;&gt;"exclusion",MAX(O$9,-(SUMIFS(SF_Output!$T$1:$T$400,SF_Output!$AC$1:$AC$400,_xlfn.TEXTJOIN(",",TRUE,$B120:$E120),SF_Output!$Q$1:$Q$400,"One Time",SF_Output!$L$1:$L$400,"professional service"))/N120),-((SUMIFS(SF_Output!$T$1:$T$400,SF_Output!$AC$1:$AC$400,_xlfn.TEXTJOIN(",",TRUE,$B120:$E120),SF_Output!$Q$1:$Q$400,"One Time",SF_Output!$L$1:$L$400,"professional service")/N120))))</f>
        <v/>
      </c>
      <c r="P120" s="6">
        <f t="shared" si="6"/>
        <v>0</v>
      </c>
      <c r="R120" s="6">
        <f>IF(B120="","",SUMIFS(SF_Output!$S$1:$S$400,SF_Output!$AC$1:$AC$400,_xlfn.TEXTJOIN(",",TRUE,B120:E120),SF_Output!$Q$1:$Q$400,"yearly")+SUMIFS(SF_Output!$S$1:$S$400,SF_Output!$AC$1:$AC$400,_xlfn.TEXTJOIN(",",TRUE,B120:E120),SF_Output!$Q$1:$Q$400,"quarterly")*4)</f>
        <v>0</v>
      </c>
      <c r="S120" s="112" t="str">
        <f>IF(OR(B120=0,B120="",G120="hardware",R120=0),"",IF(AF120&lt;&gt;"exclusion",MAX(S$9,-(SUMIFS(SF_Output!$T$1:$T$400,SF_Output!$AC$1:$AC$400,_xlfn.TEXTJOIN(",",TRUE,$B120:$E120),SF_Output!$Q$1:$Q$400,"yearly"))/R120),-((SUMIFS(SF_Output!$T$1:$T$400,SF_Output!$AC$1:$AC$400,_xlfn.TEXTJOIN(",",TRUE,$B120:$E120),SF_Output!$Q$1:$Q$400,"yearly")/R120))))</f>
        <v/>
      </c>
      <c r="T120" s="6">
        <f t="shared" si="7"/>
        <v>0</v>
      </c>
      <c r="V120" s="6" cm="1">
        <f t="array" ref="V120">_xlfn.IFS(B120="","",AND(B120&lt;&gt;"",H120=SF_Output!$Y$2,SUMIFS(SF_Output!$T$1:$T$400,SF_Output!$AC$1:$AC$400,_xlfn.TEXTJOIN(",",TRUE,B120:E120),SF_Output!$Q$1:$Q$400,"monthly")=0),(SUMIFS(SF_Output!$F$1:$F$400,SF_Output!$AC$1:$AC$400,_xlfn.TEXTJOIN(",",TRUE,B120:E120),SF_Output!$Q$1:$Q$400,"monthly")+SUMIFS(SF_Output!$G$1:$G$400,SF_Output!$AC$1:$AC$400,_xlfn.TEXTJOIN(",",TRUE,B120:E120),SF_Output!$Q$1:$Q$400,"monthly"))*H120,AND(B120&lt;&gt;"",H120=SF_Output!$Y$2,SUMIFS(SF_Output!$T$1:$T$400,SF_Output!$AC$1:$AC$400,_xlfn.TEXTJOIN(",",TRUE,B120:E120),SF_Output!$Q$1:$Q$400,"monthly")&lt;&gt;0),SUMIFS(SF_Output!$S$1:$S$400,SF_Output!$AC$1:$AC$400,_xlfn.TEXTJOIN(",",TRUE,B120:E120),SF_Output!$Q$1:$Q$400,"monthly"),AND(B120&lt;&gt;"",H120&lt;&gt;SF_Output!$Y$2),SUMIFS(SF_Output!$S$1:$S$400,SF_Output!$AC$1:$AC$400,_xlfn.TEXTJOIN(",",TRUE,B120:E120),SF_Output!$Q$1:$Q$400,"monthly"))</f>
        <v>0</v>
      </c>
      <c r="W120" s="112" t="str" cm="1">
        <f t="array" ref="W120">_xlfn.IFS(OR(B120=0,B120="",V120=0),"",AF120&lt;&gt;"exclusion",MAX($W$9,$W$7,(-(SUMIFS(SF_Output!$T$1:$T$400,SF_Output!$AC$1:$AC$400,_xlfn.TEXTJOIN(",",TRUE,$B120:$E120),SF_Output!$Q$1:$Q$400,"monthly"))/V120)),AF120="exclusion",-(SUMIFS(SF_Output!$T$1:$T$400,SF_Output!$AC$1:$AC$400,_xlfn.TEXTJOIN(",",TRUE,$B120:$E120),SF_Output!$Q$1:$Q$400,"monthly"))/V120)</f>
        <v/>
      </c>
      <c r="X120" s="6" cm="1">
        <f t="array" ref="X120">IFERROR(_xlfn.IFS(V120=0,0,V120="","",W120=0,V120,OR(V120&lt;&gt;0,V120&lt;&gt;""),H120*I120),V120*(1-W120))</f>
        <v>0</v>
      </c>
    </row>
    <row r="121" spans="2:24" x14ac:dyDescent="0.25">
      <c r="B121" t="s">
        <v>2400</v>
      </c>
      <c r="C121" t="s">
        <v>2122</v>
      </c>
      <c r="D121" t="s">
        <v>2207</v>
      </c>
      <c r="E121" t="s">
        <v>2124</v>
      </c>
      <c r="F121" s="116" t="str">
        <f t="shared" si="4"/>
        <v>Included</v>
      </c>
      <c r="G121" t="str">
        <f>IF(B121="","",INDEX(SF_Output!$K$1:$K$400,MATCH(B121,SF_Output!$M$1:$M$400,0)))</f>
        <v>Card Processing Solutions (CPS)</v>
      </c>
      <c r="H121" cm="1">
        <f t="array" ref="H121">_xlfn.IFS(B121="","",(SUMIFS(SF_Output!$F$1:$F$400,SF_Output!$AC$1:$AC$400,_xlfn.TEXTJOIN(",",TRUE,B121:E121))+SUMIFS(SF_Output!$G$1:$G$400,SF_Output!$AC$1:$AC$400,_xlfn.TEXTJOIN(",",TRUE,B121:E121)))&lt;&gt;0,SF_Output!$Y$2,INDEX(SF_Output!$F$1:$F$400,MATCH(_xlfn.TEXTJOIN(",",TRUE,B121:E121),SF_Output!$AC$1:$AC$400,0))=0,INDEX(SF_Output!$R$1:$R$400,MATCH(_xlfn.TEXTJOIN(",",TRUE,B121:E121),SF_Output!$AC$1:$AC$400,0)))</f>
        <v>1</v>
      </c>
      <c r="I121" s="125" t="str">
        <f>IFERROR(IF(AND(H121&gt;1,H121&lt;&gt;""),ROUND(SUMIFS(SF_Output!$S$1:$S$400,SF_Output!$AC$1:$AC$400,_xlfn.TEXTJOIN(",",TRUE,B121:E121),SF_Output!$Q$1:$Q$400,"monthly")*(1-W121)/H121,4),""),"")</f>
        <v/>
      </c>
      <c r="J121" s="6">
        <f>IF(B121="","",SUMIFS(SF_Output!$S$1:$S$400,SF_Output!$AC$1:$AC$400,_xlfn.TEXTJOIN(",",TRUE,B121:E121),SF_Output!$Q$1:$Q$400,"One Time",SF_Output!$L$1:$L$400,"license fee")+SUMIFS(SF_Output!$S$1:$S$400,SF_Output!$AC$1:$AC$400,_xlfn.TEXTJOIN(",",TRUE,B121:E121),SF_Output!$Q$1:$Q$400,"One Time",SF_Output!$L$1:$L$400,"software license")+SUMIFS(SF_Output!$S$1:$S$400,SF_Output!$AC$1:$AC$400,_xlfn.TEXTJOIN(",",TRUE,B121:E121),SF_Output!$Q$1:$Q$400,"One Time",SF_Output!$L$1:$L$400,"hardware"))</f>
        <v>0</v>
      </c>
      <c r="K121" s="112" t="str">
        <f>IF(OR(B121=0,B121="",G121="hardware",J121=0),"",IF(AF121&lt;&gt;"exclusion",MAX(K$9,-((SUMIFS(SF_Output!$T$1:$T$400,SF_Output!$AC$1:$AC$400,_xlfn.TEXTJOIN(",",TRUE,$B121:$E121),SF_Output!$Q$1:$Q$400,"One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license"))/J121)))</f>
        <v/>
      </c>
      <c r="L121" s="6">
        <f t="shared" si="5"/>
        <v>0</v>
      </c>
      <c r="N121" s="6">
        <f>IF(B121="","",SUMIFS(SF_Output!$S$1:$S$400,SF_Output!$AC$1:$AC$400,_xlfn.TEXTJOIN(",",TRUE,B121:E121),SF_Output!$Q$1:$Q$400,"One Time",SF_Output!$L$1:$L$400,"professional service"))</f>
        <v>16000</v>
      </c>
      <c r="O121" s="112">
        <f>IF(OR(B121=0,B121="",N121=0),"",IF(AF121&lt;&gt;"exclusion",MAX(O$9,-(SUMIFS(SF_Output!$T$1:$T$400,SF_Output!$AC$1:$AC$400,_xlfn.TEXTJOIN(",",TRUE,$B121:$E121),SF_Output!$Q$1:$Q$400,"One Time",SF_Output!$L$1:$L$400,"professional service"))/N121),-((SUMIFS(SF_Output!$T$1:$T$400,SF_Output!$AC$1:$AC$400,_xlfn.TEXTJOIN(",",TRUE,$B121:$E121),SF_Output!$Q$1:$Q$400,"One Time",SF_Output!$L$1:$L$400,"professional service")/N121))))</f>
        <v>1</v>
      </c>
      <c r="P121" s="6">
        <f t="shared" si="6"/>
        <v>0</v>
      </c>
      <c r="R121" s="6">
        <f>IF(B121="","",SUMIFS(SF_Output!$S$1:$S$400,SF_Output!$AC$1:$AC$400,_xlfn.TEXTJOIN(",",TRUE,B121:E121),SF_Output!$Q$1:$Q$400,"yearly")+SUMIFS(SF_Output!$S$1:$S$400,SF_Output!$AC$1:$AC$400,_xlfn.TEXTJOIN(",",TRUE,B121:E121),SF_Output!$Q$1:$Q$400,"quarterly")*4)</f>
        <v>0</v>
      </c>
      <c r="S121" s="112" t="str">
        <f>IF(OR(B121=0,B121="",G121="hardware",R121=0),"",IF(AF121&lt;&gt;"exclusion",MAX(S$9,-(SUMIFS(SF_Output!$T$1:$T$400,SF_Output!$AC$1:$AC$400,_xlfn.TEXTJOIN(",",TRUE,$B121:$E121),SF_Output!$Q$1:$Q$400,"yearly"))/R121),-((SUMIFS(SF_Output!$T$1:$T$400,SF_Output!$AC$1:$AC$400,_xlfn.TEXTJOIN(",",TRUE,$B121:$E121),SF_Output!$Q$1:$Q$400,"yearly")/R121))))</f>
        <v/>
      </c>
      <c r="T121" s="6">
        <f t="shared" si="7"/>
        <v>0</v>
      </c>
      <c r="V121" s="6" cm="1">
        <f t="array" ref="V121">_xlfn.IFS(B121="","",AND(B121&lt;&gt;"",H121=SF_Output!$Y$2,SUMIFS(SF_Output!$T$1:$T$400,SF_Output!$AC$1:$AC$400,_xlfn.TEXTJOIN(",",TRUE,B121:E121),SF_Output!$Q$1:$Q$400,"monthly")=0),(SUMIFS(SF_Output!$F$1:$F$400,SF_Output!$AC$1:$AC$400,_xlfn.TEXTJOIN(",",TRUE,B121:E121),SF_Output!$Q$1:$Q$400,"monthly")+SUMIFS(SF_Output!$G$1:$G$400,SF_Output!$AC$1:$AC$400,_xlfn.TEXTJOIN(",",TRUE,B121:E121),SF_Output!$Q$1:$Q$400,"monthly"))*H121,AND(B121&lt;&gt;"",H121=SF_Output!$Y$2,SUMIFS(SF_Output!$T$1:$T$400,SF_Output!$AC$1:$AC$400,_xlfn.TEXTJOIN(",",TRUE,B121:E121),SF_Output!$Q$1:$Q$400,"monthly")&lt;&gt;0),SUMIFS(SF_Output!$S$1:$S$400,SF_Output!$AC$1:$AC$400,_xlfn.TEXTJOIN(",",TRUE,B121:E121),SF_Output!$Q$1:$Q$400,"monthly"),AND(B121&lt;&gt;"",H121&lt;&gt;SF_Output!$Y$2),SUMIFS(SF_Output!$S$1:$S$400,SF_Output!$AC$1:$AC$400,_xlfn.TEXTJOIN(",",TRUE,B121:E121),SF_Output!$Q$1:$Q$400,"monthly"))</f>
        <v>0</v>
      </c>
      <c r="W121" s="112" t="str" cm="1">
        <f t="array" ref="W121">_xlfn.IFS(OR(B121=0,B121="",V121=0),"",AF121&lt;&gt;"exclusion",MAX($W$9,$W$7,(-(SUMIFS(SF_Output!$T$1:$T$400,SF_Output!$AC$1:$AC$400,_xlfn.TEXTJOIN(",",TRUE,$B121:$E121),SF_Output!$Q$1:$Q$400,"monthly"))/V121)),AF121="exclusion",-(SUMIFS(SF_Output!$T$1:$T$400,SF_Output!$AC$1:$AC$400,_xlfn.TEXTJOIN(",",TRUE,$B121:$E121),SF_Output!$Q$1:$Q$400,"monthly"))/V121)</f>
        <v/>
      </c>
      <c r="X121" s="6" cm="1">
        <f t="array" ref="X121">IFERROR(_xlfn.IFS(V121=0,0,V121="","",W121=0,V121,OR(V121&lt;&gt;0,V121&lt;&gt;""),H121*I121),V121*(1-W121))</f>
        <v>0</v>
      </c>
    </row>
    <row r="122" spans="2:24" x14ac:dyDescent="0.25">
      <c r="B122" t="s">
        <v>2402</v>
      </c>
      <c r="C122" t="s">
        <v>2122</v>
      </c>
      <c r="D122" t="s">
        <v>2207</v>
      </c>
      <c r="E122" t="s">
        <v>2124</v>
      </c>
      <c r="F122" s="116" t="str">
        <f t="shared" si="4"/>
        <v>Included</v>
      </c>
      <c r="G122" t="str">
        <f>IF(B122="","",INDEX(SF_Output!$K$1:$K$400,MATCH(B122,SF_Output!$M$1:$M$400,0)))</f>
        <v>Card Processing Solutions (CPS)</v>
      </c>
      <c r="H122" cm="1">
        <f t="array" ref="H122">_xlfn.IFS(B122="","",(SUMIFS(SF_Output!$F$1:$F$400,SF_Output!$AC$1:$AC$400,_xlfn.TEXTJOIN(",",TRUE,B122:E122))+SUMIFS(SF_Output!$G$1:$G$400,SF_Output!$AC$1:$AC$400,_xlfn.TEXTJOIN(",",TRUE,B122:E122)))&lt;&gt;0,SF_Output!$Y$2,INDEX(SF_Output!$F$1:$F$400,MATCH(_xlfn.TEXTJOIN(",",TRUE,B122:E122),SF_Output!$AC$1:$AC$400,0))=0,INDEX(SF_Output!$R$1:$R$400,MATCH(_xlfn.TEXTJOIN(",",TRUE,B122:E122),SF_Output!$AC$1:$AC$400,0)))</f>
        <v>2</v>
      </c>
      <c r="I122" s="125" t="str">
        <f>IFERROR(IF(AND(H122&gt;1,H122&lt;&gt;""),ROUND(SUMIFS(SF_Output!$S$1:$S$400,SF_Output!$AC$1:$AC$400,_xlfn.TEXTJOIN(",",TRUE,B122:E122),SF_Output!$Q$1:$Q$400,"monthly")*(1-W122)/H122,4),""),"")</f>
        <v/>
      </c>
      <c r="J122" s="6">
        <f>IF(B122="","",SUMIFS(SF_Output!$S$1:$S$400,SF_Output!$AC$1:$AC$400,_xlfn.TEXTJOIN(",",TRUE,B122:E122),SF_Output!$Q$1:$Q$400,"One Time",SF_Output!$L$1:$L$400,"license fee")+SUMIFS(SF_Output!$S$1:$S$400,SF_Output!$AC$1:$AC$400,_xlfn.TEXTJOIN(",",TRUE,B122:E122),SF_Output!$Q$1:$Q$400,"One Time",SF_Output!$L$1:$L$400,"software license")+SUMIFS(SF_Output!$S$1:$S$400,SF_Output!$AC$1:$AC$400,_xlfn.TEXTJOIN(",",TRUE,B122:E122),SF_Output!$Q$1:$Q$400,"One Time",SF_Output!$L$1:$L$400,"hardware"))</f>
        <v>0</v>
      </c>
      <c r="K122" s="112" t="str">
        <f>IF(OR(B122=0,B122="",G122="hardware",J122=0),"",IF(AF122&lt;&gt;"exclusion",MAX(K$9,-((SUMIFS(SF_Output!$T$1:$T$400,SF_Output!$AC$1:$AC$400,_xlfn.TEXTJOIN(",",TRUE,$B122:$E122),SF_Output!$Q$1:$Q$400,"One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license"))/J122)))</f>
        <v/>
      </c>
      <c r="L122" s="6">
        <f t="shared" si="5"/>
        <v>0</v>
      </c>
      <c r="N122" s="6">
        <f>IF(B122="","",SUMIFS(SF_Output!$S$1:$S$400,SF_Output!$AC$1:$AC$400,_xlfn.TEXTJOIN(",",TRUE,B122:E122),SF_Output!$Q$1:$Q$400,"One Time",SF_Output!$L$1:$L$400,"professional service"))</f>
        <v>3000</v>
      </c>
      <c r="O122" s="112">
        <f>IF(OR(B122=0,B122="",N122=0),"",IF(AF122&lt;&gt;"exclusion",MAX(O$9,-(SUMIFS(SF_Output!$T$1:$T$400,SF_Output!$AC$1:$AC$400,_xlfn.TEXTJOIN(",",TRUE,$B122:$E122),SF_Output!$Q$1:$Q$400,"One Time",SF_Output!$L$1:$L$400,"professional service"))/N122),-((SUMIFS(SF_Output!$T$1:$T$400,SF_Output!$AC$1:$AC$400,_xlfn.TEXTJOIN(",",TRUE,$B122:$E122),SF_Output!$Q$1:$Q$400,"One Time",SF_Output!$L$1:$L$400,"professional service")/N122))))</f>
        <v>1</v>
      </c>
      <c r="P122" s="6">
        <f t="shared" si="6"/>
        <v>0</v>
      </c>
      <c r="R122" s="6">
        <f>IF(B122="","",SUMIFS(SF_Output!$S$1:$S$400,SF_Output!$AC$1:$AC$400,_xlfn.TEXTJOIN(",",TRUE,B122:E122),SF_Output!$Q$1:$Q$400,"yearly")+SUMIFS(SF_Output!$S$1:$S$400,SF_Output!$AC$1:$AC$400,_xlfn.TEXTJOIN(",",TRUE,B122:E122),SF_Output!$Q$1:$Q$400,"quarterly")*4)</f>
        <v>0</v>
      </c>
      <c r="S122" s="112" t="str">
        <f>IF(OR(B122=0,B122="",G122="hardware",R122=0),"",IF(AF122&lt;&gt;"exclusion",MAX(S$9,-(SUMIFS(SF_Output!$T$1:$T$400,SF_Output!$AC$1:$AC$400,_xlfn.TEXTJOIN(",",TRUE,$B122:$E122),SF_Output!$Q$1:$Q$400,"yearly"))/R122),-((SUMIFS(SF_Output!$T$1:$T$400,SF_Output!$AC$1:$AC$400,_xlfn.TEXTJOIN(",",TRUE,$B122:$E122),SF_Output!$Q$1:$Q$400,"yearly")/R122))))</f>
        <v/>
      </c>
      <c r="T122" s="6">
        <f t="shared" si="7"/>
        <v>0</v>
      </c>
      <c r="V122" s="6" cm="1">
        <f t="array" ref="V122">_xlfn.IFS(B122="","",AND(B122&lt;&gt;"",H122=SF_Output!$Y$2,SUMIFS(SF_Output!$T$1:$T$400,SF_Output!$AC$1:$AC$400,_xlfn.TEXTJOIN(",",TRUE,B122:E122),SF_Output!$Q$1:$Q$400,"monthly")=0),(SUMIFS(SF_Output!$F$1:$F$400,SF_Output!$AC$1:$AC$400,_xlfn.TEXTJOIN(",",TRUE,B122:E122),SF_Output!$Q$1:$Q$400,"monthly")+SUMIFS(SF_Output!$G$1:$G$400,SF_Output!$AC$1:$AC$400,_xlfn.TEXTJOIN(",",TRUE,B122:E122),SF_Output!$Q$1:$Q$400,"monthly"))*H122,AND(B122&lt;&gt;"",H122=SF_Output!$Y$2,SUMIFS(SF_Output!$T$1:$T$400,SF_Output!$AC$1:$AC$400,_xlfn.TEXTJOIN(",",TRUE,B122:E122),SF_Output!$Q$1:$Q$400,"monthly")&lt;&gt;0),SUMIFS(SF_Output!$S$1:$S$400,SF_Output!$AC$1:$AC$400,_xlfn.TEXTJOIN(",",TRUE,B122:E122),SF_Output!$Q$1:$Q$400,"monthly"),AND(B122&lt;&gt;"",H122&lt;&gt;SF_Output!$Y$2),SUMIFS(SF_Output!$S$1:$S$400,SF_Output!$AC$1:$AC$400,_xlfn.TEXTJOIN(",",TRUE,B122:E122),SF_Output!$Q$1:$Q$400,"monthly"))</f>
        <v>0</v>
      </c>
      <c r="W122" s="112" t="str" cm="1">
        <f t="array" ref="W122">_xlfn.IFS(OR(B122=0,B122="",V122=0),"",AF122&lt;&gt;"exclusion",MAX($W$9,$W$7,(-(SUMIFS(SF_Output!$T$1:$T$400,SF_Output!$AC$1:$AC$400,_xlfn.TEXTJOIN(",",TRUE,$B122:$E122),SF_Output!$Q$1:$Q$400,"monthly"))/V122)),AF122="exclusion",-(SUMIFS(SF_Output!$T$1:$T$400,SF_Output!$AC$1:$AC$400,_xlfn.TEXTJOIN(",",TRUE,$B122:$E122),SF_Output!$Q$1:$Q$400,"monthly"))/V122)</f>
        <v/>
      </c>
      <c r="X122" s="6" cm="1">
        <f t="array" ref="X122">IFERROR(_xlfn.IFS(V122=0,0,V122="","",W122=0,V122,OR(V122&lt;&gt;0,V122&lt;&gt;""),H122*I122),V122*(1-W122))</f>
        <v>0</v>
      </c>
    </row>
    <row r="123" spans="2:24" x14ac:dyDescent="0.25">
      <c r="B123" t="s">
        <v>2473</v>
      </c>
      <c r="C123" t="s">
        <v>2122</v>
      </c>
      <c r="D123" t="s">
        <v>2207</v>
      </c>
      <c r="E123" t="s">
        <v>2124</v>
      </c>
      <c r="F123" s="116" t="str">
        <f t="shared" si="4"/>
        <v>Included</v>
      </c>
      <c r="G123" t="str">
        <f>IF(B123="","",INDEX(SF_Output!$K$1:$K$400,MATCH(B123,SF_Output!$M$1:$M$400,0)))</f>
        <v>Card Processing Solutions (CPS)</v>
      </c>
      <c r="H123" cm="1">
        <f t="array" ref="H123">_xlfn.IFS(B123="","",(SUMIFS(SF_Output!$F$1:$F$400,SF_Output!$AC$1:$AC$400,_xlfn.TEXTJOIN(",",TRUE,B123:E123))+SUMIFS(SF_Output!$G$1:$G$400,SF_Output!$AC$1:$AC$400,_xlfn.TEXTJOIN(",",TRUE,B123:E123)))&lt;&gt;0,SF_Output!$Y$2,INDEX(SF_Output!$F$1:$F$400,MATCH(_xlfn.TEXTJOIN(",",TRUE,B123:E123),SF_Output!$AC$1:$AC$400,0))=0,INDEX(SF_Output!$R$1:$R$400,MATCH(_xlfn.TEXTJOIN(",",TRUE,B123:E123),SF_Output!$AC$1:$AC$400,0)))</f>
        <v>1</v>
      </c>
      <c r="I123" s="125" t="str">
        <f>IFERROR(IF(AND(H123&gt;1,H123&lt;&gt;""),ROUND(SUMIFS(SF_Output!$S$1:$S$400,SF_Output!$AC$1:$AC$400,_xlfn.TEXTJOIN(",",TRUE,B123:E123),SF_Output!$Q$1:$Q$400,"monthly")*(1-W123)/H123,4),""),"")</f>
        <v/>
      </c>
      <c r="J123" s="6">
        <f>IF(B123="","",SUMIFS(SF_Output!$S$1:$S$400,SF_Output!$AC$1:$AC$400,_xlfn.TEXTJOIN(",",TRUE,B123:E123),SF_Output!$Q$1:$Q$400,"One Time",SF_Output!$L$1:$L$400,"license fee")+SUMIFS(SF_Output!$S$1:$S$400,SF_Output!$AC$1:$AC$400,_xlfn.TEXTJOIN(",",TRUE,B123:E123),SF_Output!$Q$1:$Q$400,"One Time",SF_Output!$L$1:$L$400,"software license")+SUMIFS(SF_Output!$S$1:$S$400,SF_Output!$AC$1:$AC$400,_xlfn.TEXTJOIN(",",TRUE,B123:E123),SF_Output!$Q$1:$Q$400,"One Time",SF_Output!$L$1:$L$400,"hardware"))</f>
        <v>0</v>
      </c>
      <c r="K123" s="112" t="str">
        <f>IF(OR(B123=0,B123="",G123="hardware",J123=0),"",IF(AF123&lt;&gt;"exclusion",MAX(K$9,-((SUMIFS(SF_Output!$T$1:$T$400,SF_Output!$AC$1:$AC$400,_xlfn.TEXTJOIN(",",TRUE,$B123:$E123),SF_Output!$Q$1:$Q$400,"One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license"))/J123)))</f>
        <v/>
      </c>
      <c r="L123" s="6">
        <f t="shared" si="5"/>
        <v>0</v>
      </c>
      <c r="N123" s="6">
        <f>IF(B123="","",SUMIFS(SF_Output!$S$1:$S$400,SF_Output!$AC$1:$AC$400,_xlfn.TEXTJOIN(",",TRUE,B123:E123),SF_Output!$Q$1:$Q$400,"One Time",SF_Output!$L$1:$L$400,"professional service"))</f>
        <v>5500</v>
      </c>
      <c r="O123" s="112">
        <f>IF(OR(B123=0,B123="",N123=0),"",IF(AF123&lt;&gt;"exclusion",MAX(O$9,-(SUMIFS(SF_Output!$T$1:$T$400,SF_Output!$AC$1:$AC$400,_xlfn.TEXTJOIN(",",TRUE,$B123:$E123),SF_Output!$Q$1:$Q$400,"One Time",SF_Output!$L$1:$L$400,"professional service"))/N123),-((SUMIFS(SF_Output!$T$1:$T$400,SF_Output!$AC$1:$AC$400,_xlfn.TEXTJOIN(",",TRUE,$B123:$E123),SF_Output!$Q$1:$Q$400,"One Time",SF_Output!$L$1:$L$400,"professional service")/N123))))</f>
        <v>1</v>
      </c>
      <c r="P123" s="6">
        <f t="shared" si="6"/>
        <v>0</v>
      </c>
      <c r="R123" s="6">
        <f>IF(B123="","",SUMIFS(SF_Output!$S$1:$S$400,SF_Output!$AC$1:$AC$400,_xlfn.TEXTJOIN(",",TRUE,B123:E123),SF_Output!$Q$1:$Q$400,"yearly")+SUMIFS(SF_Output!$S$1:$S$400,SF_Output!$AC$1:$AC$400,_xlfn.TEXTJOIN(",",TRUE,B123:E123),SF_Output!$Q$1:$Q$400,"quarterly")*4)</f>
        <v>0</v>
      </c>
      <c r="S123" s="112" t="str">
        <f>IF(OR(B123=0,B123="",G123="hardware",R123=0),"",IF(AF123&lt;&gt;"exclusion",MAX(S$9,-(SUMIFS(SF_Output!$T$1:$T$400,SF_Output!$AC$1:$AC$400,_xlfn.TEXTJOIN(",",TRUE,$B123:$E123),SF_Output!$Q$1:$Q$400,"yearly"))/R123),-((SUMIFS(SF_Output!$T$1:$T$400,SF_Output!$AC$1:$AC$400,_xlfn.TEXTJOIN(",",TRUE,$B123:$E123),SF_Output!$Q$1:$Q$400,"yearly")/R123))))</f>
        <v/>
      </c>
      <c r="T123" s="6">
        <f t="shared" si="7"/>
        <v>0</v>
      </c>
      <c r="V123" s="6" cm="1">
        <f t="array" ref="V123">_xlfn.IFS(B123="","",AND(B123&lt;&gt;"",H123=SF_Output!$Y$2,SUMIFS(SF_Output!$T$1:$T$400,SF_Output!$AC$1:$AC$400,_xlfn.TEXTJOIN(",",TRUE,B123:E123),SF_Output!$Q$1:$Q$400,"monthly")=0),(SUMIFS(SF_Output!$F$1:$F$400,SF_Output!$AC$1:$AC$400,_xlfn.TEXTJOIN(",",TRUE,B123:E123),SF_Output!$Q$1:$Q$400,"monthly")+SUMIFS(SF_Output!$G$1:$G$400,SF_Output!$AC$1:$AC$400,_xlfn.TEXTJOIN(",",TRUE,B123:E123),SF_Output!$Q$1:$Q$400,"monthly"))*H123,AND(B123&lt;&gt;"",H123=SF_Output!$Y$2,SUMIFS(SF_Output!$T$1:$T$400,SF_Output!$AC$1:$AC$400,_xlfn.TEXTJOIN(",",TRUE,B123:E123),SF_Output!$Q$1:$Q$400,"monthly")&lt;&gt;0),SUMIFS(SF_Output!$S$1:$S$400,SF_Output!$AC$1:$AC$400,_xlfn.TEXTJOIN(",",TRUE,B123:E123),SF_Output!$Q$1:$Q$400,"monthly"),AND(B123&lt;&gt;"",H123&lt;&gt;SF_Output!$Y$2),SUMIFS(SF_Output!$S$1:$S$400,SF_Output!$AC$1:$AC$400,_xlfn.TEXTJOIN(",",TRUE,B123:E123),SF_Output!$Q$1:$Q$400,"monthly"))</f>
        <v>405</v>
      </c>
      <c r="W123" s="112" cm="1">
        <f t="array" ref="W123">_xlfn.IFS(OR(B123=0,B123="",V123=0),"",AF123&lt;&gt;"exclusion",MAX($W$9,$W$7,(-(SUMIFS(SF_Output!$T$1:$T$400,SF_Output!$AC$1:$AC$400,_xlfn.TEXTJOIN(",",TRUE,$B123:$E123),SF_Output!$Q$1:$Q$400,"monthly"))/V123)),AF123="exclusion",-(SUMIFS(SF_Output!$T$1:$T$400,SF_Output!$AC$1:$AC$400,_xlfn.TEXTJOIN(",",TRUE,$B123:$E123),SF_Output!$Q$1:$Q$400,"monthly"))/V123)</f>
        <v>0</v>
      </c>
      <c r="X123" s="6" cm="1">
        <f t="array" ref="X123">IFERROR(_xlfn.IFS(V123=0,0,V123="","",W123=0,V123,OR(V123&lt;&gt;0,V123&lt;&gt;""),H123*I123),V123*(1-W123))</f>
        <v>405</v>
      </c>
    </row>
    <row r="124" spans="2:24" x14ac:dyDescent="0.25">
      <c r="B124" t="s">
        <v>2406</v>
      </c>
      <c r="C124" t="s">
        <v>2122</v>
      </c>
      <c r="D124" t="s">
        <v>2207</v>
      </c>
      <c r="E124" t="s">
        <v>2124</v>
      </c>
      <c r="F124" s="116" t="str">
        <f t="shared" si="4"/>
        <v>Included</v>
      </c>
      <c r="G124" t="str">
        <f>IF(B124="","",INDEX(SF_Output!$K$1:$K$400,MATCH(B124,SF_Output!$M$1:$M$400,0)))</f>
        <v>Card Processing Solutions (CPS)</v>
      </c>
      <c r="H124" cm="1">
        <f t="array" ref="H124">_xlfn.IFS(B124="","",(SUMIFS(SF_Output!$F$1:$F$400,SF_Output!$AC$1:$AC$400,_xlfn.TEXTJOIN(",",TRUE,B124:E124))+SUMIFS(SF_Output!$G$1:$G$400,SF_Output!$AC$1:$AC$400,_xlfn.TEXTJOIN(",",TRUE,B124:E124)))&lt;&gt;0,SF_Output!$Y$2,INDEX(SF_Output!$F$1:$F$400,MATCH(_xlfn.TEXTJOIN(",",TRUE,B124:E124),SF_Output!$AC$1:$AC$400,0))=0,INDEX(SF_Output!$R$1:$R$400,MATCH(_xlfn.TEXTJOIN(",",TRUE,B124:E124),SF_Output!$AC$1:$AC$400,0)))</f>
        <v>0</v>
      </c>
      <c r="I124" s="125" t="str">
        <f>IFERROR(IF(AND(H124&gt;1,H124&lt;&gt;""),ROUND(SUMIFS(SF_Output!$S$1:$S$400,SF_Output!$AC$1:$AC$400,_xlfn.TEXTJOIN(",",TRUE,B124:E124),SF_Output!$Q$1:$Q$400,"monthly")*(1-W124)/H124,4),""),"")</f>
        <v/>
      </c>
      <c r="J124" s="6">
        <f>IF(B124="","",SUMIFS(SF_Output!$S$1:$S$400,SF_Output!$AC$1:$AC$400,_xlfn.TEXTJOIN(",",TRUE,B124:E124),SF_Output!$Q$1:$Q$400,"One Time",SF_Output!$L$1:$L$400,"license fee")+SUMIFS(SF_Output!$S$1:$S$400,SF_Output!$AC$1:$AC$400,_xlfn.TEXTJOIN(",",TRUE,B124:E124),SF_Output!$Q$1:$Q$400,"One Time",SF_Output!$L$1:$L$400,"software license")+SUMIFS(SF_Output!$S$1:$S$400,SF_Output!$AC$1:$AC$400,_xlfn.TEXTJOIN(",",TRUE,B124:E124),SF_Output!$Q$1:$Q$400,"One Time",SF_Output!$L$1:$L$400,"hardware"))</f>
        <v>0</v>
      </c>
      <c r="K124" s="112" t="str">
        <f>IF(OR(B124=0,B124="",G124="hardware",J124=0),"",IF(AF124&lt;&gt;"exclusion",MAX(K$9,-((SUMIFS(SF_Output!$T$1:$T$400,SF_Output!$AC$1:$AC$400,_xlfn.TEXTJOIN(",",TRUE,$B124:$E124),SF_Output!$Q$1:$Q$400,"One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license"))/J124)))</f>
        <v/>
      </c>
      <c r="L124" s="6">
        <f t="shared" si="5"/>
        <v>0</v>
      </c>
      <c r="N124" s="6">
        <f>IF(B124="","",SUMIFS(SF_Output!$S$1:$S$400,SF_Output!$AC$1:$AC$400,_xlfn.TEXTJOIN(",",TRUE,B124:E124),SF_Output!$Q$1:$Q$400,"One Time",SF_Output!$L$1:$L$400,"professional service"))</f>
        <v>0</v>
      </c>
      <c r="O124" s="112" t="str">
        <f>IF(OR(B124=0,B124="",N124=0),"",IF(AF124&lt;&gt;"exclusion",MAX(O$9,-(SUMIFS(SF_Output!$T$1:$T$400,SF_Output!$AC$1:$AC$400,_xlfn.TEXTJOIN(",",TRUE,$B124:$E124),SF_Output!$Q$1:$Q$400,"One Time",SF_Output!$L$1:$L$400,"professional service"))/N124),-((SUMIFS(SF_Output!$T$1:$T$400,SF_Output!$AC$1:$AC$400,_xlfn.TEXTJOIN(",",TRUE,$B124:$E124),SF_Output!$Q$1:$Q$400,"One Time",SF_Output!$L$1:$L$400,"professional service")/N124))))</f>
        <v/>
      </c>
      <c r="P124" s="6">
        <f t="shared" si="6"/>
        <v>0</v>
      </c>
      <c r="R124" s="6">
        <f>IF(B124="","",SUMIFS(SF_Output!$S$1:$S$400,SF_Output!$AC$1:$AC$400,_xlfn.TEXTJOIN(",",TRUE,B124:E124),SF_Output!$Q$1:$Q$400,"yearly")+SUMIFS(SF_Output!$S$1:$S$400,SF_Output!$AC$1:$AC$400,_xlfn.TEXTJOIN(",",TRUE,B124:E124),SF_Output!$Q$1:$Q$400,"quarterly")*4)</f>
        <v>0</v>
      </c>
      <c r="S124" s="112" t="str">
        <f>IF(OR(B124=0,B124="",G124="hardware",R124=0),"",IF(AF124&lt;&gt;"exclusion",MAX(S$9,-(SUMIFS(SF_Output!$T$1:$T$400,SF_Output!$AC$1:$AC$400,_xlfn.TEXTJOIN(",",TRUE,$B124:$E124),SF_Output!$Q$1:$Q$400,"yearly"))/R124),-((SUMIFS(SF_Output!$T$1:$T$400,SF_Output!$AC$1:$AC$400,_xlfn.TEXTJOIN(",",TRUE,$B124:$E124),SF_Output!$Q$1:$Q$400,"yearly")/R124))))</f>
        <v/>
      </c>
      <c r="T124" s="6">
        <f t="shared" si="7"/>
        <v>0</v>
      </c>
      <c r="V124" s="6" cm="1">
        <f t="array" ref="V124">_xlfn.IFS(B124="","",AND(B124&lt;&gt;"",H124=SF_Output!$Y$2,SUMIFS(SF_Output!$T$1:$T$400,SF_Output!$AC$1:$AC$400,_xlfn.TEXTJOIN(",",TRUE,B124:E124),SF_Output!$Q$1:$Q$400,"monthly")=0),(SUMIFS(SF_Output!$F$1:$F$400,SF_Output!$AC$1:$AC$400,_xlfn.TEXTJOIN(",",TRUE,B124:E124),SF_Output!$Q$1:$Q$400,"monthly")+SUMIFS(SF_Output!$G$1:$G$400,SF_Output!$AC$1:$AC$400,_xlfn.TEXTJOIN(",",TRUE,B124:E124),SF_Output!$Q$1:$Q$400,"monthly"))*H124,AND(B124&lt;&gt;"",H124=SF_Output!$Y$2,SUMIFS(SF_Output!$T$1:$T$400,SF_Output!$AC$1:$AC$400,_xlfn.TEXTJOIN(",",TRUE,B124:E124),SF_Output!$Q$1:$Q$400,"monthly")&lt;&gt;0),SUMIFS(SF_Output!$S$1:$S$400,SF_Output!$AC$1:$AC$400,_xlfn.TEXTJOIN(",",TRUE,B124:E124),SF_Output!$Q$1:$Q$400,"monthly"),AND(B124&lt;&gt;"",H124&lt;&gt;SF_Output!$Y$2),SUMIFS(SF_Output!$S$1:$S$400,SF_Output!$AC$1:$AC$400,_xlfn.TEXTJOIN(",",TRUE,B124:E124),SF_Output!$Q$1:$Q$400,"monthly"))</f>
        <v>0</v>
      </c>
      <c r="W124" s="112" t="str" cm="1">
        <f t="array" ref="W124">_xlfn.IFS(OR(B124=0,B124="",V124=0),"",AF124&lt;&gt;"exclusion",MAX($W$9,$W$7,(-(SUMIFS(SF_Output!$T$1:$T$400,SF_Output!$AC$1:$AC$400,_xlfn.TEXTJOIN(",",TRUE,$B124:$E124),SF_Output!$Q$1:$Q$400,"monthly"))/V124)),AF124="exclusion",-(SUMIFS(SF_Output!$T$1:$T$400,SF_Output!$AC$1:$AC$400,_xlfn.TEXTJOIN(",",TRUE,$B124:$E124),SF_Output!$Q$1:$Q$400,"monthly"))/V124)</f>
        <v/>
      </c>
      <c r="X124" s="6" cm="1">
        <f t="array" ref="X124">IFERROR(_xlfn.IFS(V124=0,0,V124="","",W124=0,V124,OR(V124&lt;&gt;0,V124&lt;&gt;""),H124*I124),V124*(1-W124))</f>
        <v>0</v>
      </c>
    </row>
    <row r="125" spans="2:24" x14ac:dyDescent="0.25">
      <c r="B125" t="s">
        <v>2408</v>
      </c>
      <c r="C125" t="s">
        <v>2122</v>
      </c>
      <c r="D125" t="s">
        <v>2207</v>
      </c>
      <c r="E125" t="s">
        <v>2124</v>
      </c>
      <c r="F125" s="116" t="str">
        <f t="shared" si="4"/>
        <v>Included</v>
      </c>
      <c r="G125" t="str">
        <f>IF(B125="","",INDEX(SF_Output!$K$1:$K$400,MATCH(B125,SF_Output!$M$1:$M$400,0)))</f>
        <v>Card Processing Solutions (CPS)</v>
      </c>
      <c r="H125" cm="1">
        <f t="array" ref="H125">_xlfn.IFS(B125="","",(SUMIFS(SF_Output!$F$1:$F$400,SF_Output!$AC$1:$AC$400,_xlfn.TEXTJOIN(",",TRUE,B125:E125))+SUMIFS(SF_Output!$G$1:$G$400,SF_Output!$AC$1:$AC$400,_xlfn.TEXTJOIN(",",TRUE,B125:E125)))&lt;&gt;0,SF_Output!$Y$2,INDEX(SF_Output!$F$1:$F$400,MATCH(_xlfn.TEXTJOIN(",",TRUE,B125:E125),SF_Output!$AC$1:$AC$400,0))=0,INDEX(SF_Output!$R$1:$R$400,MATCH(_xlfn.TEXTJOIN(",",TRUE,B125:E125),SF_Output!$AC$1:$AC$400,0)))</f>
        <v>0</v>
      </c>
      <c r="I125" s="125" t="str">
        <f>IFERROR(IF(AND(H125&gt;1,H125&lt;&gt;""),ROUND(SUMIFS(SF_Output!$S$1:$S$400,SF_Output!$AC$1:$AC$400,_xlfn.TEXTJOIN(",",TRUE,B125:E125),SF_Output!$Q$1:$Q$400,"monthly")*(1-W125)/H125,4),""),"")</f>
        <v/>
      </c>
      <c r="J125" s="6">
        <f>IF(B125="","",SUMIFS(SF_Output!$S$1:$S$400,SF_Output!$AC$1:$AC$400,_xlfn.TEXTJOIN(",",TRUE,B125:E125),SF_Output!$Q$1:$Q$400,"One Time",SF_Output!$L$1:$L$400,"license fee")+SUMIFS(SF_Output!$S$1:$S$400,SF_Output!$AC$1:$AC$400,_xlfn.TEXTJOIN(",",TRUE,B125:E125),SF_Output!$Q$1:$Q$400,"One Time",SF_Output!$L$1:$L$400,"software license")+SUMIFS(SF_Output!$S$1:$S$400,SF_Output!$AC$1:$AC$400,_xlfn.TEXTJOIN(",",TRUE,B125:E125),SF_Output!$Q$1:$Q$400,"One Time",SF_Output!$L$1:$L$400,"hardware"))</f>
        <v>0</v>
      </c>
      <c r="K125" s="112" t="str">
        <f>IF(OR(B125=0,B125="",G125="hardware",J125=0),"",IF(AF125&lt;&gt;"exclusion",MAX(K$9,-((SUMIFS(SF_Output!$T$1:$T$400,SF_Output!$AC$1:$AC$400,_xlfn.TEXTJOIN(",",TRUE,$B125:$E125),SF_Output!$Q$1:$Q$400,"One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license"))/J125)))</f>
        <v/>
      </c>
      <c r="L125" s="6">
        <f t="shared" si="5"/>
        <v>0</v>
      </c>
      <c r="N125" s="6">
        <f>IF(B125="","",SUMIFS(SF_Output!$S$1:$S$400,SF_Output!$AC$1:$AC$400,_xlfn.TEXTJOIN(",",TRUE,B125:E125),SF_Output!$Q$1:$Q$400,"One Time",SF_Output!$L$1:$L$400,"professional service"))</f>
        <v>0</v>
      </c>
      <c r="O125" s="112" t="str">
        <f>IF(OR(B125=0,B125="",N125=0),"",IF(AF125&lt;&gt;"exclusion",MAX(O$9,-(SUMIFS(SF_Output!$T$1:$T$400,SF_Output!$AC$1:$AC$400,_xlfn.TEXTJOIN(",",TRUE,$B125:$E125),SF_Output!$Q$1:$Q$400,"One Time",SF_Output!$L$1:$L$400,"professional service"))/N125),-((SUMIFS(SF_Output!$T$1:$T$400,SF_Output!$AC$1:$AC$400,_xlfn.TEXTJOIN(",",TRUE,$B125:$E125),SF_Output!$Q$1:$Q$400,"One Time",SF_Output!$L$1:$L$400,"professional service")/N125))))</f>
        <v/>
      </c>
      <c r="P125" s="6">
        <f t="shared" si="6"/>
        <v>0</v>
      </c>
      <c r="R125" s="6">
        <f>IF(B125="","",SUMIFS(SF_Output!$S$1:$S$400,SF_Output!$AC$1:$AC$400,_xlfn.TEXTJOIN(",",TRUE,B125:E125),SF_Output!$Q$1:$Q$400,"yearly")+SUMIFS(SF_Output!$S$1:$S$400,SF_Output!$AC$1:$AC$400,_xlfn.TEXTJOIN(",",TRUE,B125:E125),SF_Output!$Q$1:$Q$400,"quarterly")*4)</f>
        <v>0</v>
      </c>
      <c r="S125" s="112" t="str">
        <f>IF(OR(B125=0,B125="",G125="hardware",R125=0),"",IF(AF125&lt;&gt;"exclusion",MAX(S$9,-(SUMIFS(SF_Output!$T$1:$T$400,SF_Output!$AC$1:$AC$400,_xlfn.TEXTJOIN(",",TRUE,$B125:$E125),SF_Output!$Q$1:$Q$400,"yearly"))/R125),-((SUMIFS(SF_Output!$T$1:$T$400,SF_Output!$AC$1:$AC$400,_xlfn.TEXTJOIN(",",TRUE,$B125:$E125),SF_Output!$Q$1:$Q$400,"yearly")/R125))))</f>
        <v/>
      </c>
      <c r="T125" s="6">
        <f t="shared" si="7"/>
        <v>0</v>
      </c>
      <c r="V125" s="6" cm="1">
        <f t="array" ref="V125">_xlfn.IFS(B125="","",AND(B125&lt;&gt;"",H125=SF_Output!$Y$2,SUMIFS(SF_Output!$T$1:$T$400,SF_Output!$AC$1:$AC$400,_xlfn.TEXTJOIN(",",TRUE,B125:E125),SF_Output!$Q$1:$Q$400,"monthly")=0),(SUMIFS(SF_Output!$F$1:$F$400,SF_Output!$AC$1:$AC$400,_xlfn.TEXTJOIN(",",TRUE,B125:E125),SF_Output!$Q$1:$Q$400,"monthly")+SUMIFS(SF_Output!$G$1:$G$400,SF_Output!$AC$1:$AC$400,_xlfn.TEXTJOIN(",",TRUE,B125:E125),SF_Output!$Q$1:$Q$400,"monthly"))*H125,AND(B125&lt;&gt;"",H125=SF_Output!$Y$2,SUMIFS(SF_Output!$T$1:$T$400,SF_Output!$AC$1:$AC$400,_xlfn.TEXTJOIN(",",TRUE,B125:E125),SF_Output!$Q$1:$Q$400,"monthly")&lt;&gt;0),SUMIFS(SF_Output!$S$1:$S$400,SF_Output!$AC$1:$AC$400,_xlfn.TEXTJOIN(",",TRUE,B125:E125),SF_Output!$Q$1:$Q$400,"monthly"),AND(B125&lt;&gt;"",H125&lt;&gt;SF_Output!$Y$2),SUMIFS(SF_Output!$S$1:$S$400,SF_Output!$AC$1:$AC$400,_xlfn.TEXTJOIN(",",TRUE,B125:E125),SF_Output!$Q$1:$Q$400,"monthly"))</f>
        <v>0</v>
      </c>
      <c r="W125" s="112" t="str" cm="1">
        <f t="array" ref="W125">_xlfn.IFS(OR(B125=0,B125="",V125=0),"",AF125&lt;&gt;"exclusion",MAX($W$9,$W$7,(-(SUMIFS(SF_Output!$T$1:$T$400,SF_Output!$AC$1:$AC$400,_xlfn.TEXTJOIN(",",TRUE,$B125:$E125),SF_Output!$Q$1:$Q$400,"monthly"))/V125)),AF125="exclusion",-(SUMIFS(SF_Output!$T$1:$T$400,SF_Output!$AC$1:$AC$400,_xlfn.TEXTJOIN(",",TRUE,$B125:$E125),SF_Output!$Q$1:$Q$400,"monthly"))/V125)</f>
        <v/>
      </c>
      <c r="X125" s="6" cm="1">
        <f t="array" ref="X125">IFERROR(_xlfn.IFS(V125=0,0,V125="","",W125=0,V125,OR(V125&lt;&gt;0,V125&lt;&gt;""),H125*I125),V125*(1-W125))</f>
        <v>0</v>
      </c>
    </row>
    <row r="126" spans="2:24" x14ac:dyDescent="0.25">
      <c r="B126" t="s">
        <v>2410</v>
      </c>
      <c r="C126" t="s">
        <v>2122</v>
      </c>
      <c r="D126" t="s">
        <v>2207</v>
      </c>
      <c r="E126" t="s">
        <v>2124</v>
      </c>
      <c r="F126" s="116" t="str">
        <f t="shared" si="4"/>
        <v>Included</v>
      </c>
      <c r="G126" t="str">
        <f>IF(B126="","",INDEX(SF_Output!$K$1:$K$400,MATCH(B126,SF_Output!$M$1:$M$400,0)))</f>
        <v>Card Processing Solutions (CPS)</v>
      </c>
      <c r="H126" cm="1">
        <f t="array" ref="H126">_xlfn.IFS(B126="","",(SUMIFS(SF_Output!$F$1:$F$400,SF_Output!$AC$1:$AC$400,_xlfn.TEXTJOIN(",",TRUE,B126:E126))+SUMIFS(SF_Output!$G$1:$G$400,SF_Output!$AC$1:$AC$400,_xlfn.TEXTJOIN(",",TRUE,B126:E126)))&lt;&gt;0,SF_Output!$Y$2,INDEX(SF_Output!$F$1:$F$400,MATCH(_xlfn.TEXTJOIN(",",TRUE,B126:E126),SF_Output!$AC$1:$AC$400,0))=0,INDEX(SF_Output!$R$1:$R$400,MATCH(_xlfn.TEXTJOIN(",",TRUE,B126:E126),SF_Output!$AC$1:$AC$400,0)))</f>
        <v>1</v>
      </c>
      <c r="I126" s="125" t="str">
        <f>IFERROR(IF(AND(H126&gt;1,H126&lt;&gt;""),ROUND(SUMIFS(SF_Output!$S$1:$S$400,SF_Output!$AC$1:$AC$400,_xlfn.TEXTJOIN(",",TRUE,B126:E126),SF_Output!$Q$1:$Q$400,"monthly")*(1-W126)/H126,4),""),"")</f>
        <v/>
      </c>
      <c r="J126" s="6">
        <f>IF(B126="","",SUMIFS(SF_Output!$S$1:$S$400,SF_Output!$AC$1:$AC$400,_xlfn.TEXTJOIN(",",TRUE,B126:E126),SF_Output!$Q$1:$Q$400,"One Time",SF_Output!$L$1:$L$400,"license fee")+SUMIFS(SF_Output!$S$1:$S$400,SF_Output!$AC$1:$AC$400,_xlfn.TEXTJOIN(",",TRUE,B126:E126),SF_Output!$Q$1:$Q$400,"One Time",SF_Output!$L$1:$L$400,"software license")+SUMIFS(SF_Output!$S$1:$S$400,SF_Output!$AC$1:$AC$400,_xlfn.TEXTJOIN(",",TRUE,B126:E126),SF_Output!$Q$1:$Q$400,"One Time",SF_Output!$L$1:$L$400,"hardware"))</f>
        <v>0</v>
      </c>
      <c r="K126" s="112" t="str">
        <f>IF(OR(B126=0,B126="",G126="hardware",J126=0),"",IF(AF126&lt;&gt;"exclusion",MAX(K$9,-((SUMIFS(SF_Output!$T$1:$T$400,SF_Output!$AC$1:$AC$400,_xlfn.TEXTJOIN(",",TRUE,$B126:$E126),SF_Output!$Q$1:$Q$400,"One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license"))/J126)))</f>
        <v/>
      </c>
      <c r="L126" s="6">
        <f t="shared" si="5"/>
        <v>0</v>
      </c>
      <c r="N126" s="6">
        <f>IF(B126="","",SUMIFS(SF_Output!$S$1:$S$400,SF_Output!$AC$1:$AC$400,_xlfn.TEXTJOIN(",",TRUE,B126:E126),SF_Output!$Q$1:$Q$400,"One Time",SF_Output!$L$1:$L$400,"professional service"))</f>
        <v>1500</v>
      </c>
      <c r="O126" s="112">
        <f>IF(OR(B126=0,B126="",N126=0),"",IF(AF126&lt;&gt;"exclusion",MAX(O$9,-(SUMIFS(SF_Output!$T$1:$T$400,SF_Output!$AC$1:$AC$400,_xlfn.TEXTJOIN(",",TRUE,$B126:$E126),SF_Output!$Q$1:$Q$400,"One Time",SF_Output!$L$1:$L$400,"professional service"))/N126),-((SUMIFS(SF_Output!$T$1:$T$400,SF_Output!$AC$1:$AC$400,_xlfn.TEXTJOIN(",",TRUE,$B126:$E126),SF_Output!$Q$1:$Q$400,"One Time",SF_Output!$L$1:$L$400,"professional service")/N126))))</f>
        <v>1</v>
      </c>
      <c r="P126" s="6">
        <f t="shared" si="6"/>
        <v>0</v>
      </c>
      <c r="R126" s="6">
        <f>IF(B126="","",SUMIFS(SF_Output!$S$1:$S$400,SF_Output!$AC$1:$AC$400,_xlfn.TEXTJOIN(",",TRUE,B126:E126),SF_Output!$Q$1:$Q$400,"yearly")+SUMIFS(SF_Output!$S$1:$S$400,SF_Output!$AC$1:$AC$400,_xlfn.TEXTJOIN(",",TRUE,B126:E126),SF_Output!$Q$1:$Q$400,"quarterly")*4)</f>
        <v>0</v>
      </c>
      <c r="S126" s="112" t="str">
        <f>IF(OR(B126=0,B126="",G126="hardware",R126=0),"",IF(AF126&lt;&gt;"exclusion",MAX(S$9,-(SUMIFS(SF_Output!$T$1:$T$400,SF_Output!$AC$1:$AC$400,_xlfn.TEXTJOIN(",",TRUE,$B126:$E126),SF_Output!$Q$1:$Q$400,"yearly"))/R126),-((SUMIFS(SF_Output!$T$1:$T$400,SF_Output!$AC$1:$AC$400,_xlfn.TEXTJOIN(",",TRUE,$B126:$E126),SF_Output!$Q$1:$Q$400,"yearly")/R126))))</f>
        <v/>
      </c>
      <c r="T126" s="6">
        <f t="shared" si="7"/>
        <v>0</v>
      </c>
      <c r="V126" s="6" cm="1">
        <f t="array" ref="V126">_xlfn.IFS(B126="","",AND(B126&lt;&gt;"",H126=SF_Output!$Y$2,SUMIFS(SF_Output!$T$1:$T$400,SF_Output!$AC$1:$AC$400,_xlfn.TEXTJOIN(",",TRUE,B126:E126),SF_Output!$Q$1:$Q$400,"monthly")=0),(SUMIFS(SF_Output!$F$1:$F$400,SF_Output!$AC$1:$AC$400,_xlfn.TEXTJOIN(",",TRUE,B126:E126),SF_Output!$Q$1:$Q$400,"monthly")+SUMIFS(SF_Output!$G$1:$G$400,SF_Output!$AC$1:$AC$400,_xlfn.TEXTJOIN(",",TRUE,B126:E126),SF_Output!$Q$1:$Q$400,"monthly"))*H126,AND(B126&lt;&gt;"",H126=SF_Output!$Y$2,SUMIFS(SF_Output!$T$1:$T$400,SF_Output!$AC$1:$AC$400,_xlfn.TEXTJOIN(",",TRUE,B126:E126),SF_Output!$Q$1:$Q$400,"monthly")&lt;&gt;0),SUMIFS(SF_Output!$S$1:$S$400,SF_Output!$AC$1:$AC$400,_xlfn.TEXTJOIN(",",TRUE,B126:E126),SF_Output!$Q$1:$Q$400,"monthly"),AND(B126&lt;&gt;"",H126&lt;&gt;SF_Output!$Y$2),SUMIFS(SF_Output!$S$1:$S$400,SF_Output!$AC$1:$AC$400,_xlfn.TEXTJOIN(",",TRUE,B126:E126),SF_Output!$Q$1:$Q$400,"monthly"))</f>
        <v>150</v>
      </c>
      <c r="W126" s="112" cm="1">
        <f t="array" ref="W126">_xlfn.IFS(OR(B126=0,B126="",V126=0),"",AF126&lt;&gt;"exclusion",MAX($W$9,$W$7,(-(SUMIFS(SF_Output!$T$1:$T$400,SF_Output!$AC$1:$AC$400,_xlfn.TEXTJOIN(",",TRUE,$B126:$E126),SF_Output!$Q$1:$Q$400,"monthly"))/V126)),AF126="exclusion",-(SUMIFS(SF_Output!$T$1:$T$400,SF_Output!$AC$1:$AC$400,_xlfn.TEXTJOIN(",",TRUE,$B126:$E126),SF_Output!$Q$1:$Q$400,"monthly"))/V126)</f>
        <v>1</v>
      </c>
      <c r="X126" s="6" cm="1">
        <f t="array" ref="X126">IFERROR(_xlfn.IFS(V126=0,0,V126="","",W126=0,V126,OR(V126&lt;&gt;0,V126&lt;&gt;""),H126*I126),V126*(1-W126))</f>
        <v>0</v>
      </c>
    </row>
    <row r="127" spans="2:24" x14ac:dyDescent="0.25">
      <c r="B127" t="s">
        <v>2413</v>
      </c>
      <c r="C127" t="s">
        <v>2122</v>
      </c>
      <c r="D127" t="s">
        <v>2207</v>
      </c>
      <c r="E127" t="s">
        <v>2124</v>
      </c>
      <c r="F127" s="116" t="str">
        <f t="shared" si="4"/>
        <v>Included</v>
      </c>
      <c r="G127" t="str">
        <f>IF(B127="","",INDEX(SF_Output!$K$1:$K$400,MATCH(B127,SF_Output!$M$1:$M$400,0)))</f>
        <v>Card Processing Solutions (CPS)</v>
      </c>
      <c r="H127" cm="1">
        <f t="array" ref="H127">_xlfn.IFS(B127="","",(SUMIFS(SF_Output!$F$1:$F$400,SF_Output!$AC$1:$AC$400,_xlfn.TEXTJOIN(",",TRUE,B127:E127))+SUMIFS(SF_Output!$G$1:$G$400,SF_Output!$AC$1:$AC$400,_xlfn.TEXTJOIN(",",TRUE,B127:E127)))&lt;&gt;0,SF_Output!$Y$2,INDEX(SF_Output!$F$1:$F$400,MATCH(_xlfn.TEXTJOIN(",",TRUE,B127:E127),SF_Output!$AC$1:$AC$400,0))=0,INDEX(SF_Output!$R$1:$R$400,MATCH(_xlfn.TEXTJOIN(",",TRUE,B127:E127),SF_Output!$AC$1:$AC$400,0)))</f>
        <v>0</v>
      </c>
      <c r="I127" s="125" t="str">
        <f>IFERROR(IF(AND(H127&gt;1,H127&lt;&gt;""),ROUND(SUMIFS(SF_Output!$S$1:$S$400,SF_Output!$AC$1:$AC$400,_xlfn.TEXTJOIN(",",TRUE,B127:E127),SF_Output!$Q$1:$Q$400,"monthly")*(1-W127)/H127,4),""),"")</f>
        <v/>
      </c>
      <c r="J127" s="6">
        <f>IF(B127="","",SUMIFS(SF_Output!$S$1:$S$400,SF_Output!$AC$1:$AC$400,_xlfn.TEXTJOIN(",",TRUE,B127:E127),SF_Output!$Q$1:$Q$400,"One Time",SF_Output!$L$1:$L$400,"license fee")+SUMIFS(SF_Output!$S$1:$S$400,SF_Output!$AC$1:$AC$400,_xlfn.TEXTJOIN(",",TRUE,B127:E127),SF_Output!$Q$1:$Q$400,"One Time",SF_Output!$L$1:$L$400,"software license")+SUMIFS(SF_Output!$S$1:$S$400,SF_Output!$AC$1:$AC$400,_xlfn.TEXTJOIN(",",TRUE,B127:E127),SF_Output!$Q$1:$Q$400,"One Time",SF_Output!$L$1:$L$400,"hardware"))</f>
        <v>0</v>
      </c>
      <c r="K127" s="112" t="str">
        <f>IF(OR(B127=0,B127="",G127="hardware",J127=0),"",IF(AF127&lt;&gt;"exclusion",MAX(K$9,-((SUMIFS(SF_Output!$T$1:$T$400,SF_Output!$AC$1:$AC$400,_xlfn.TEXTJOIN(",",TRUE,$B127:$E127),SF_Output!$Q$1:$Q$400,"One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license"))/J127)))</f>
        <v/>
      </c>
      <c r="L127" s="6">
        <f t="shared" si="5"/>
        <v>0</v>
      </c>
      <c r="N127" s="6">
        <f>IF(B127="","",SUMIFS(SF_Output!$S$1:$S$400,SF_Output!$AC$1:$AC$400,_xlfn.TEXTJOIN(",",TRUE,B127:E127),SF_Output!$Q$1:$Q$400,"One Time",SF_Output!$L$1:$L$400,"professional service"))</f>
        <v>0</v>
      </c>
      <c r="O127" s="112" t="str">
        <f>IF(OR(B127=0,B127="",N127=0),"",IF(AF127&lt;&gt;"exclusion",MAX(O$9,-(SUMIFS(SF_Output!$T$1:$T$400,SF_Output!$AC$1:$AC$400,_xlfn.TEXTJOIN(",",TRUE,$B127:$E127),SF_Output!$Q$1:$Q$400,"One Time",SF_Output!$L$1:$L$400,"professional service"))/N127),-((SUMIFS(SF_Output!$T$1:$T$400,SF_Output!$AC$1:$AC$400,_xlfn.TEXTJOIN(",",TRUE,$B127:$E127),SF_Output!$Q$1:$Q$400,"One Time",SF_Output!$L$1:$L$400,"professional service")/N127))))</f>
        <v/>
      </c>
      <c r="P127" s="6">
        <f t="shared" si="6"/>
        <v>0</v>
      </c>
      <c r="R127" s="6">
        <f>IF(B127="","",SUMIFS(SF_Output!$S$1:$S$400,SF_Output!$AC$1:$AC$400,_xlfn.TEXTJOIN(",",TRUE,B127:E127),SF_Output!$Q$1:$Q$400,"yearly")+SUMIFS(SF_Output!$S$1:$S$400,SF_Output!$AC$1:$AC$400,_xlfn.TEXTJOIN(",",TRUE,B127:E127),SF_Output!$Q$1:$Q$400,"quarterly")*4)</f>
        <v>0</v>
      </c>
      <c r="S127" s="112" t="str">
        <f>IF(OR(B127=0,B127="",G127="hardware",R127=0),"",IF(AF127&lt;&gt;"exclusion",MAX(S$9,-(SUMIFS(SF_Output!$T$1:$T$400,SF_Output!$AC$1:$AC$400,_xlfn.TEXTJOIN(",",TRUE,$B127:$E127),SF_Output!$Q$1:$Q$400,"yearly"))/R127),-((SUMIFS(SF_Output!$T$1:$T$400,SF_Output!$AC$1:$AC$400,_xlfn.TEXTJOIN(",",TRUE,$B127:$E127),SF_Output!$Q$1:$Q$400,"yearly")/R127))))</f>
        <v/>
      </c>
      <c r="T127" s="6">
        <f t="shared" si="7"/>
        <v>0</v>
      </c>
      <c r="V127" s="6" cm="1">
        <f t="array" ref="V127">_xlfn.IFS(B127="","",AND(B127&lt;&gt;"",H127=SF_Output!$Y$2,SUMIFS(SF_Output!$T$1:$T$400,SF_Output!$AC$1:$AC$400,_xlfn.TEXTJOIN(",",TRUE,B127:E127),SF_Output!$Q$1:$Q$400,"monthly")=0),(SUMIFS(SF_Output!$F$1:$F$400,SF_Output!$AC$1:$AC$400,_xlfn.TEXTJOIN(",",TRUE,B127:E127),SF_Output!$Q$1:$Q$400,"monthly")+SUMIFS(SF_Output!$G$1:$G$400,SF_Output!$AC$1:$AC$400,_xlfn.TEXTJOIN(",",TRUE,B127:E127),SF_Output!$Q$1:$Q$400,"monthly"))*H127,AND(B127&lt;&gt;"",H127=SF_Output!$Y$2,SUMIFS(SF_Output!$T$1:$T$400,SF_Output!$AC$1:$AC$400,_xlfn.TEXTJOIN(",",TRUE,B127:E127),SF_Output!$Q$1:$Q$400,"monthly")&lt;&gt;0),SUMIFS(SF_Output!$S$1:$S$400,SF_Output!$AC$1:$AC$400,_xlfn.TEXTJOIN(",",TRUE,B127:E127),SF_Output!$Q$1:$Q$400,"monthly"),AND(B127&lt;&gt;"",H127&lt;&gt;SF_Output!$Y$2),SUMIFS(SF_Output!$S$1:$S$400,SF_Output!$AC$1:$AC$400,_xlfn.TEXTJOIN(",",TRUE,B127:E127),SF_Output!$Q$1:$Q$400,"monthly"))</f>
        <v>0</v>
      </c>
      <c r="W127" s="112" t="str" cm="1">
        <f t="array" ref="W127">_xlfn.IFS(OR(B127=0,B127="",V127=0),"",AF127&lt;&gt;"exclusion",MAX($W$9,$W$7,(-(SUMIFS(SF_Output!$T$1:$T$400,SF_Output!$AC$1:$AC$400,_xlfn.TEXTJOIN(",",TRUE,$B127:$E127),SF_Output!$Q$1:$Q$400,"monthly"))/V127)),AF127="exclusion",-(SUMIFS(SF_Output!$T$1:$T$400,SF_Output!$AC$1:$AC$400,_xlfn.TEXTJOIN(",",TRUE,$B127:$E127),SF_Output!$Q$1:$Q$400,"monthly"))/V127)</f>
        <v/>
      </c>
      <c r="X127" s="6" cm="1">
        <f t="array" ref="X127">IFERROR(_xlfn.IFS(V127=0,0,V127="","",W127=0,V127,OR(V127&lt;&gt;0,V127&lt;&gt;""),H127*I127),V127*(1-W127))</f>
        <v>0</v>
      </c>
    </row>
    <row r="128" spans="2:24" x14ac:dyDescent="0.25">
      <c r="B128" t="s">
        <v>2415</v>
      </c>
      <c r="C128" t="s">
        <v>2122</v>
      </c>
      <c r="D128" t="s">
        <v>2207</v>
      </c>
      <c r="E128" t="s">
        <v>2124</v>
      </c>
      <c r="F128" s="116" t="str">
        <f t="shared" si="4"/>
        <v>Included</v>
      </c>
      <c r="G128" t="str">
        <f>IF(B128="","",INDEX(SF_Output!$K$1:$K$400,MATCH(B128,SF_Output!$M$1:$M$400,0)))</f>
        <v>Card Processing Solutions (CPS)</v>
      </c>
      <c r="H128" cm="1">
        <f t="array" ref="H128">_xlfn.IFS(B128="","",(SUMIFS(SF_Output!$F$1:$F$400,SF_Output!$AC$1:$AC$400,_xlfn.TEXTJOIN(",",TRUE,B128:E128))+SUMIFS(SF_Output!$G$1:$G$400,SF_Output!$AC$1:$AC$400,_xlfn.TEXTJOIN(",",TRUE,B128:E128)))&lt;&gt;0,SF_Output!$Y$2,INDEX(SF_Output!$F$1:$F$400,MATCH(_xlfn.TEXTJOIN(",",TRUE,B128:E128),SF_Output!$AC$1:$AC$400,0))=0,INDEX(SF_Output!$R$1:$R$400,MATCH(_xlfn.TEXTJOIN(",",TRUE,B128:E128),SF_Output!$AC$1:$AC$400,0)))</f>
        <v>1</v>
      </c>
      <c r="I128" s="125" t="str">
        <f>IFERROR(IF(AND(H128&gt;1,H128&lt;&gt;""),ROUND(SUMIFS(SF_Output!$S$1:$S$400,SF_Output!$AC$1:$AC$400,_xlfn.TEXTJOIN(",",TRUE,B128:E128),SF_Output!$Q$1:$Q$400,"monthly")*(1-W128)/H128,4),""),"")</f>
        <v/>
      </c>
      <c r="J128" s="6">
        <f>IF(B128="","",SUMIFS(SF_Output!$S$1:$S$400,SF_Output!$AC$1:$AC$400,_xlfn.TEXTJOIN(",",TRUE,B128:E128),SF_Output!$Q$1:$Q$400,"One Time",SF_Output!$L$1:$L$400,"license fee")+SUMIFS(SF_Output!$S$1:$S$400,SF_Output!$AC$1:$AC$400,_xlfn.TEXTJOIN(",",TRUE,B128:E128),SF_Output!$Q$1:$Q$400,"One Time",SF_Output!$L$1:$L$400,"software license")+SUMIFS(SF_Output!$S$1:$S$400,SF_Output!$AC$1:$AC$400,_xlfn.TEXTJOIN(",",TRUE,B128:E128),SF_Output!$Q$1:$Q$400,"One Time",SF_Output!$L$1:$L$400,"hardware"))</f>
        <v>0</v>
      </c>
      <c r="K128" s="112" t="str">
        <f>IF(OR(B128=0,B128="",G128="hardware",J128=0),"",IF(AF128&lt;&gt;"exclusion",MAX(K$9,-((SUMIFS(SF_Output!$T$1:$T$400,SF_Output!$AC$1:$AC$400,_xlfn.TEXTJOIN(",",TRUE,$B128:$E128),SF_Output!$Q$1:$Q$400,"One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license"))/J128)))</f>
        <v/>
      </c>
      <c r="L128" s="6">
        <f t="shared" si="5"/>
        <v>0</v>
      </c>
      <c r="N128" s="6">
        <f>IF(B128="","",SUMIFS(SF_Output!$S$1:$S$400,SF_Output!$AC$1:$AC$400,_xlfn.TEXTJOIN(",",TRUE,B128:E128),SF_Output!$Q$1:$Q$400,"One Time",SF_Output!$L$1:$L$400,"professional service"))</f>
        <v>1500</v>
      </c>
      <c r="O128" s="112">
        <f>IF(OR(B128=0,B128="",N128=0),"",IF(AF128&lt;&gt;"exclusion",MAX(O$9,-(SUMIFS(SF_Output!$T$1:$T$400,SF_Output!$AC$1:$AC$400,_xlfn.TEXTJOIN(",",TRUE,$B128:$E128),SF_Output!$Q$1:$Q$400,"One Time",SF_Output!$L$1:$L$400,"professional service"))/N128),-((SUMIFS(SF_Output!$T$1:$T$400,SF_Output!$AC$1:$AC$400,_xlfn.TEXTJOIN(",",TRUE,$B128:$E128),SF_Output!$Q$1:$Q$400,"One Time",SF_Output!$L$1:$L$400,"professional service")/N128))))</f>
        <v>1</v>
      </c>
      <c r="P128" s="6">
        <f t="shared" si="6"/>
        <v>0</v>
      </c>
      <c r="R128" s="6">
        <f>IF(B128="","",SUMIFS(SF_Output!$S$1:$S$400,SF_Output!$AC$1:$AC$400,_xlfn.TEXTJOIN(",",TRUE,B128:E128),SF_Output!$Q$1:$Q$400,"yearly")+SUMIFS(SF_Output!$S$1:$S$400,SF_Output!$AC$1:$AC$400,_xlfn.TEXTJOIN(",",TRUE,B128:E128),SF_Output!$Q$1:$Q$400,"quarterly")*4)</f>
        <v>0</v>
      </c>
      <c r="S128" s="112" t="str">
        <f>IF(OR(B128=0,B128="",G128="hardware",R128=0),"",IF(AF128&lt;&gt;"exclusion",MAX(S$9,-(SUMIFS(SF_Output!$T$1:$T$400,SF_Output!$AC$1:$AC$400,_xlfn.TEXTJOIN(",",TRUE,$B128:$E128),SF_Output!$Q$1:$Q$400,"yearly"))/R128),-((SUMIFS(SF_Output!$T$1:$T$400,SF_Output!$AC$1:$AC$400,_xlfn.TEXTJOIN(",",TRUE,$B128:$E128),SF_Output!$Q$1:$Q$400,"yearly")/R128))))</f>
        <v/>
      </c>
      <c r="T128" s="6">
        <f t="shared" si="7"/>
        <v>0</v>
      </c>
      <c r="V128" s="6" cm="1">
        <f t="array" ref="V128">_xlfn.IFS(B128="","",AND(B128&lt;&gt;"",H128=SF_Output!$Y$2,SUMIFS(SF_Output!$T$1:$T$400,SF_Output!$AC$1:$AC$400,_xlfn.TEXTJOIN(",",TRUE,B128:E128),SF_Output!$Q$1:$Q$400,"monthly")=0),(SUMIFS(SF_Output!$F$1:$F$400,SF_Output!$AC$1:$AC$400,_xlfn.TEXTJOIN(",",TRUE,B128:E128),SF_Output!$Q$1:$Q$400,"monthly")+SUMIFS(SF_Output!$G$1:$G$400,SF_Output!$AC$1:$AC$400,_xlfn.TEXTJOIN(",",TRUE,B128:E128),SF_Output!$Q$1:$Q$400,"monthly"))*H128,AND(B128&lt;&gt;"",H128=SF_Output!$Y$2,SUMIFS(SF_Output!$T$1:$T$400,SF_Output!$AC$1:$AC$400,_xlfn.TEXTJOIN(",",TRUE,B128:E128),SF_Output!$Q$1:$Q$400,"monthly")&lt;&gt;0),SUMIFS(SF_Output!$S$1:$S$400,SF_Output!$AC$1:$AC$400,_xlfn.TEXTJOIN(",",TRUE,B128:E128),SF_Output!$Q$1:$Q$400,"monthly"),AND(B128&lt;&gt;"",H128&lt;&gt;SF_Output!$Y$2),SUMIFS(SF_Output!$S$1:$S$400,SF_Output!$AC$1:$AC$400,_xlfn.TEXTJOIN(",",TRUE,B128:E128),SF_Output!$Q$1:$Q$400,"monthly"))</f>
        <v>150</v>
      </c>
      <c r="W128" s="112" cm="1">
        <f t="array" ref="W128">_xlfn.IFS(OR(B128=0,B128="",V128=0),"",AF128&lt;&gt;"exclusion",MAX($W$9,$W$7,(-(SUMIFS(SF_Output!$T$1:$T$400,SF_Output!$AC$1:$AC$400,_xlfn.TEXTJOIN(",",TRUE,$B128:$E128),SF_Output!$Q$1:$Q$400,"monthly"))/V128)),AF128="exclusion",-(SUMIFS(SF_Output!$T$1:$T$400,SF_Output!$AC$1:$AC$400,_xlfn.TEXTJOIN(",",TRUE,$B128:$E128),SF_Output!$Q$1:$Q$400,"monthly"))/V128)</f>
        <v>0</v>
      </c>
      <c r="X128" s="6" cm="1">
        <f t="array" ref="X128">IFERROR(_xlfn.IFS(V128=0,0,V128="","",W128=0,V128,OR(V128&lt;&gt;0,V128&lt;&gt;""),H128*I128),V128*(1-W128))</f>
        <v>150</v>
      </c>
    </row>
    <row r="129" spans="2:24" x14ac:dyDescent="0.25">
      <c r="B129" t="s">
        <v>2418</v>
      </c>
      <c r="C129" t="s">
        <v>2122</v>
      </c>
      <c r="D129" t="s">
        <v>2207</v>
      </c>
      <c r="E129" t="s">
        <v>2124</v>
      </c>
      <c r="F129" s="116" t="str">
        <f t="shared" si="4"/>
        <v>Included</v>
      </c>
      <c r="G129" t="str">
        <f>IF(B129="","",INDEX(SF_Output!$K$1:$K$400,MATCH(B129,SF_Output!$M$1:$M$400,0)))</f>
        <v>Card Processing Solutions (CPS)</v>
      </c>
      <c r="H129" cm="1">
        <f t="array" ref="H129">_xlfn.IFS(B129="","",(SUMIFS(SF_Output!$F$1:$F$400,SF_Output!$AC$1:$AC$400,_xlfn.TEXTJOIN(",",TRUE,B129:E129))+SUMIFS(SF_Output!$G$1:$G$400,SF_Output!$AC$1:$AC$400,_xlfn.TEXTJOIN(",",TRUE,B129:E129)))&lt;&gt;0,SF_Output!$Y$2,INDEX(SF_Output!$F$1:$F$400,MATCH(_xlfn.TEXTJOIN(",",TRUE,B129:E129),SF_Output!$AC$1:$AC$400,0))=0,INDEX(SF_Output!$R$1:$R$400,MATCH(_xlfn.TEXTJOIN(",",TRUE,B129:E129),SF_Output!$AC$1:$AC$400,0)))</f>
        <v>0</v>
      </c>
      <c r="I129" s="125" t="str">
        <f>IFERROR(IF(AND(H129&gt;1,H129&lt;&gt;""),ROUND(SUMIFS(SF_Output!$S$1:$S$400,SF_Output!$AC$1:$AC$400,_xlfn.TEXTJOIN(",",TRUE,B129:E129),SF_Output!$Q$1:$Q$400,"monthly")*(1-W129)/H129,4),""),"")</f>
        <v/>
      </c>
      <c r="J129" s="6">
        <f>IF(B129="","",SUMIFS(SF_Output!$S$1:$S$400,SF_Output!$AC$1:$AC$400,_xlfn.TEXTJOIN(",",TRUE,B129:E129),SF_Output!$Q$1:$Q$400,"One Time",SF_Output!$L$1:$L$400,"license fee")+SUMIFS(SF_Output!$S$1:$S$400,SF_Output!$AC$1:$AC$400,_xlfn.TEXTJOIN(",",TRUE,B129:E129),SF_Output!$Q$1:$Q$400,"One Time",SF_Output!$L$1:$L$400,"software license")+SUMIFS(SF_Output!$S$1:$S$400,SF_Output!$AC$1:$AC$400,_xlfn.TEXTJOIN(",",TRUE,B129:E129),SF_Output!$Q$1:$Q$400,"One Time",SF_Output!$L$1:$L$400,"hardware"))</f>
        <v>0</v>
      </c>
      <c r="K129" s="112" t="str">
        <f>IF(OR(B129=0,B129="",G129="hardware",J129=0),"",IF(AF129&lt;&gt;"exclusion",MAX(K$9,-((SUMIFS(SF_Output!$T$1:$T$400,SF_Output!$AC$1:$AC$400,_xlfn.TEXTJOIN(",",TRUE,$B129:$E129),SF_Output!$Q$1:$Q$400,"One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license"))/J129)))</f>
        <v/>
      </c>
      <c r="L129" s="6">
        <f t="shared" si="5"/>
        <v>0</v>
      </c>
      <c r="N129" s="6">
        <f>IF(B129="","",SUMIFS(SF_Output!$S$1:$S$400,SF_Output!$AC$1:$AC$400,_xlfn.TEXTJOIN(",",TRUE,B129:E129),SF_Output!$Q$1:$Q$400,"One Time",SF_Output!$L$1:$L$400,"professional service"))</f>
        <v>0</v>
      </c>
      <c r="O129" s="112" t="str">
        <f>IF(OR(B129=0,B129="",N129=0),"",IF(AF129&lt;&gt;"exclusion",MAX(O$9,-(SUMIFS(SF_Output!$T$1:$T$400,SF_Output!$AC$1:$AC$400,_xlfn.TEXTJOIN(",",TRUE,$B129:$E129),SF_Output!$Q$1:$Q$400,"One Time",SF_Output!$L$1:$L$400,"professional service"))/N129),-((SUMIFS(SF_Output!$T$1:$T$400,SF_Output!$AC$1:$AC$400,_xlfn.TEXTJOIN(",",TRUE,$B129:$E129),SF_Output!$Q$1:$Q$400,"One Time",SF_Output!$L$1:$L$400,"professional service")/N129))))</f>
        <v/>
      </c>
      <c r="P129" s="6">
        <f t="shared" si="6"/>
        <v>0</v>
      </c>
      <c r="R129" s="6">
        <f>IF(B129="","",SUMIFS(SF_Output!$S$1:$S$400,SF_Output!$AC$1:$AC$400,_xlfn.TEXTJOIN(",",TRUE,B129:E129),SF_Output!$Q$1:$Q$400,"yearly")+SUMIFS(SF_Output!$S$1:$S$400,SF_Output!$AC$1:$AC$400,_xlfn.TEXTJOIN(",",TRUE,B129:E129),SF_Output!$Q$1:$Q$400,"quarterly")*4)</f>
        <v>0</v>
      </c>
      <c r="S129" s="112" t="str">
        <f>IF(OR(B129=0,B129="",G129="hardware",R129=0),"",IF(AF129&lt;&gt;"exclusion",MAX(S$9,-(SUMIFS(SF_Output!$T$1:$T$400,SF_Output!$AC$1:$AC$400,_xlfn.TEXTJOIN(",",TRUE,$B129:$E129),SF_Output!$Q$1:$Q$400,"yearly"))/R129),-((SUMIFS(SF_Output!$T$1:$T$400,SF_Output!$AC$1:$AC$400,_xlfn.TEXTJOIN(",",TRUE,$B129:$E129),SF_Output!$Q$1:$Q$400,"yearly")/R129))))</f>
        <v/>
      </c>
      <c r="T129" s="6">
        <f t="shared" si="7"/>
        <v>0</v>
      </c>
      <c r="V129" s="6" cm="1">
        <f t="array" ref="V129">_xlfn.IFS(B129="","",AND(B129&lt;&gt;"",H129=SF_Output!$Y$2,SUMIFS(SF_Output!$T$1:$T$400,SF_Output!$AC$1:$AC$400,_xlfn.TEXTJOIN(",",TRUE,B129:E129),SF_Output!$Q$1:$Q$400,"monthly")=0),(SUMIFS(SF_Output!$F$1:$F$400,SF_Output!$AC$1:$AC$400,_xlfn.TEXTJOIN(",",TRUE,B129:E129),SF_Output!$Q$1:$Q$400,"monthly")+SUMIFS(SF_Output!$G$1:$G$400,SF_Output!$AC$1:$AC$400,_xlfn.TEXTJOIN(",",TRUE,B129:E129),SF_Output!$Q$1:$Q$400,"monthly"))*H129,AND(B129&lt;&gt;"",H129=SF_Output!$Y$2,SUMIFS(SF_Output!$T$1:$T$400,SF_Output!$AC$1:$AC$400,_xlfn.TEXTJOIN(",",TRUE,B129:E129),SF_Output!$Q$1:$Q$400,"monthly")&lt;&gt;0),SUMIFS(SF_Output!$S$1:$S$400,SF_Output!$AC$1:$AC$400,_xlfn.TEXTJOIN(",",TRUE,B129:E129),SF_Output!$Q$1:$Q$400,"monthly"),AND(B129&lt;&gt;"",H129&lt;&gt;SF_Output!$Y$2),SUMIFS(SF_Output!$S$1:$S$400,SF_Output!$AC$1:$AC$400,_xlfn.TEXTJOIN(",",TRUE,B129:E129),SF_Output!$Q$1:$Q$400,"monthly"))</f>
        <v>0</v>
      </c>
      <c r="W129" s="112" t="str" cm="1">
        <f t="array" ref="W129">_xlfn.IFS(OR(B129=0,B129="",V129=0),"",AF129&lt;&gt;"exclusion",MAX($W$9,$W$7,(-(SUMIFS(SF_Output!$T$1:$T$400,SF_Output!$AC$1:$AC$400,_xlfn.TEXTJOIN(",",TRUE,$B129:$E129),SF_Output!$Q$1:$Q$400,"monthly"))/V129)),AF129="exclusion",-(SUMIFS(SF_Output!$T$1:$T$400,SF_Output!$AC$1:$AC$400,_xlfn.TEXTJOIN(",",TRUE,$B129:$E129),SF_Output!$Q$1:$Q$400,"monthly"))/V129)</f>
        <v/>
      </c>
      <c r="X129" s="6" cm="1">
        <f t="array" ref="X129">IFERROR(_xlfn.IFS(V129=0,0,V129="","",W129=0,V129,OR(V129&lt;&gt;0,V129&lt;&gt;""),H129*I129),V129*(1-W129))</f>
        <v>0</v>
      </c>
    </row>
    <row r="130" spans="2:24" x14ac:dyDescent="0.25">
      <c r="B130" t="s">
        <v>2420</v>
      </c>
      <c r="C130" t="s">
        <v>2122</v>
      </c>
      <c r="D130" t="s">
        <v>2207</v>
      </c>
      <c r="E130" t="s">
        <v>2124</v>
      </c>
      <c r="F130" s="116" t="str">
        <f t="shared" si="4"/>
        <v>Included</v>
      </c>
      <c r="G130" t="str">
        <f>IF(B130="","",INDEX(SF_Output!$K$1:$K$400,MATCH(B130,SF_Output!$M$1:$M$400,0)))</f>
        <v>Card Processing Solutions (CPS)</v>
      </c>
      <c r="H130" cm="1">
        <f t="array" ref="H130">_xlfn.IFS(B130="","",(SUMIFS(SF_Output!$F$1:$F$400,SF_Output!$AC$1:$AC$400,_xlfn.TEXTJOIN(",",TRUE,B130:E130))+SUMIFS(SF_Output!$G$1:$G$400,SF_Output!$AC$1:$AC$400,_xlfn.TEXTJOIN(",",TRUE,B130:E130)))&lt;&gt;0,SF_Output!$Y$2,INDEX(SF_Output!$F$1:$F$400,MATCH(_xlfn.TEXTJOIN(",",TRUE,B130:E130),SF_Output!$AC$1:$AC$400,0))=0,INDEX(SF_Output!$R$1:$R$400,MATCH(_xlfn.TEXTJOIN(",",TRUE,B130:E130),SF_Output!$AC$1:$AC$400,0)))</f>
        <v>0</v>
      </c>
      <c r="I130" s="125" t="str">
        <f>IFERROR(IF(AND(H130&gt;1,H130&lt;&gt;""),ROUND(SUMIFS(SF_Output!$S$1:$S$400,SF_Output!$AC$1:$AC$400,_xlfn.TEXTJOIN(",",TRUE,B130:E130),SF_Output!$Q$1:$Q$400,"monthly")*(1-W130)/H130,4),""),"")</f>
        <v/>
      </c>
      <c r="J130" s="6">
        <f>IF(B130="","",SUMIFS(SF_Output!$S$1:$S$400,SF_Output!$AC$1:$AC$400,_xlfn.TEXTJOIN(",",TRUE,B130:E130),SF_Output!$Q$1:$Q$400,"One Time",SF_Output!$L$1:$L$400,"license fee")+SUMIFS(SF_Output!$S$1:$S$400,SF_Output!$AC$1:$AC$400,_xlfn.TEXTJOIN(",",TRUE,B130:E130),SF_Output!$Q$1:$Q$400,"One Time",SF_Output!$L$1:$L$400,"software license")+SUMIFS(SF_Output!$S$1:$S$400,SF_Output!$AC$1:$AC$400,_xlfn.TEXTJOIN(",",TRUE,B130:E130),SF_Output!$Q$1:$Q$400,"One Time",SF_Output!$L$1:$L$400,"hardware"))</f>
        <v>0</v>
      </c>
      <c r="K130" s="112" t="str">
        <f>IF(OR(B130=0,B130="",G130="hardware",J130=0),"",IF(AF130&lt;&gt;"exclusion",MAX(K$9,-((SUMIFS(SF_Output!$T$1:$T$400,SF_Output!$AC$1:$AC$400,_xlfn.TEXTJOIN(",",TRUE,$B130:$E130),SF_Output!$Q$1:$Q$400,"One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license"))/J130)))</f>
        <v/>
      </c>
      <c r="L130" s="6">
        <f t="shared" si="5"/>
        <v>0</v>
      </c>
      <c r="N130" s="6">
        <f>IF(B130="","",SUMIFS(SF_Output!$S$1:$S$400,SF_Output!$AC$1:$AC$400,_xlfn.TEXTJOIN(",",TRUE,B130:E130),SF_Output!$Q$1:$Q$400,"One Time",SF_Output!$L$1:$L$400,"professional service"))</f>
        <v>1000</v>
      </c>
      <c r="O130" s="112">
        <f>IF(OR(B130=0,B130="",N130=0),"",IF(AF130&lt;&gt;"exclusion",MAX(O$9,-(SUMIFS(SF_Output!$T$1:$T$400,SF_Output!$AC$1:$AC$400,_xlfn.TEXTJOIN(",",TRUE,$B130:$E130),SF_Output!$Q$1:$Q$400,"One Time",SF_Output!$L$1:$L$400,"professional service"))/N130),-((SUMIFS(SF_Output!$T$1:$T$400,SF_Output!$AC$1:$AC$400,_xlfn.TEXTJOIN(",",TRUE,$B130:$E130),SF_Output!$Q$1:$Q$400,"One Time",SF_Output!$L$1:$L$400,"professional service")/N130))))</f>
        <v>1</v>
      </c>
      <c r="P130" s="6">
        <f t="shared" si="6"/>
        <v>0</v>
      </c>
      <c r="R130" s="6">
        <f>IF(B130="","",SUMIFS(SF_Output!$S$1:$S$400,SF_Output!$AC$1:$AC$400,_xlfn.TEXTJOIN(",",TRUE,B130:E130),SF_Output!$Q$1:$Q$400,"yearly")+SUMIFS(SF_Output!$S$1:$S$400,SF_Output!$AC$1:$AC$400,_xlfn.TEXTJOIN(",",TRUE,B130:E130),SF_Output!$Q$1:$Q$400,"quarterly")*4)</f>
        <v>0</v>
      </c>
      <c r="S130" s="112" t="str">
        <f>IF(OR(B130=0,B130="",G130="hardware",R130=0),"",IF(AF130&lt;&gt;"exclusion",MAX(S$9,-(SUMIFS(SF_Output!$T$1:$T$400,SF_Output!$AC$1:$AC$400,_xlfn.TEXTJOIN(",",TRUE,$B130:$E130),SF_Output!$Q$1:$Q$400,"yearly"))/R130),-((SUMIFS(SF_Output!$T$1:$T$400,SF_Output!$AC$1:$AC$400,_xlfn.TEXTJOIN(",",TRUE,$B130:$E130),SF_Output!$Q$1:$Q$400,"yearly")/R130))))</f>
        <v/>
      </c>
      <c r="T130" s="6">
        <f t="shared" si="7"/>
        <v>0</v>
      </c>
      <c r="V130" s="6" cm="1">
        <f t="array" ref="V130">_xlfn.IFS(B130="","",AND(B130&lt;&gt;"",H130=SF_Output!$Y$2,SUMIFS(SF_Output!$T$1:$T$400,SF_Output!$AC$1:$AC$400,_xlfn.TEXTJOIN(",",TRUE,B130:E130),SF_Output!$Q$1:$Q$400,"monthly")=0),(SUMIFS(SF_Output!$F$1:$F$400,SF_Output!$AC$1:$AC$400,_xlfn.TEXTJOIN(",",TRUE,B130:E130),SF_Output!$Q$1:$Q$400,"monthly")+SUMIFS(SF_Output!$G$1:$G$400,SF_Output!$AC$1:$AC$400,_xlfn.TEXTJOIN(",",TRUE,B130:E130),SF_Output!$Q$1:$Q$400,"monthly"))*H130,AND(B130&lt;&gt;"",H130=SF_Output!$Y$2,SUMIFS(SF_Output!$T$1:$T$400,SF_Output!$AC$1:$AC$400,_xlfn.TEXTJOIN(",",TRUE,B130:E130),SF_Output!$Q$1:$Q$400,"monthly")&lt;&gt;0),SUMIFS(SF_Output!$S$1:$S$400,SF_Output!$AC$1:$AC$400,_xlfn.TEXTJOIN(",",TRUE,B130:E130),SF_Output!$Q$1:$Q$400,"monthly"),AND(B130&lt;&gt;"",H130&lt;&gt;SF_Output!$Y$2),SUMIFS(SF_Output!$S$1:$S$400,SF_Output!$AC$1:$AC$400,_xlfn.TEXTJOIN(",",TRUE,B130:E130),SF_Output!$Q$1:$Q$400,"monthly"))</f>
        <v>0</v>
      </c>
      <c r="W130" s="112" t="str" cm="1">
        <f t="array" ref="W130">_xlfn.IFS(OR(B130=0,B130="",V130=0),"",AF130&lt;&gt;"exclusion",MAX($W$9,$W$7,(-(SUMIFS(SF_Output!$T$1:$T$400,SF_Output!$AC$1:$AC$400,_xlfn.TEXTJOIN(",",TRUE,$B130:$E130),SF_Output!$Q$1:$Q$400,"monthly"))/V130)),AF130="exclusion",-(SUMIFS(SF_Output!$T$1:$T$400,SF_Output!$AC$1:$AC$400,_xlfn.TEXTJOIN(",",TRUE,$B130:$E130),SF_Output!$Q$1:$Q$400,"monthly"))/V130)</f>
        <v/>
      </c>
      <c r="X130" s="6" cm="1">
        <f t="array" ref="X130">IFERROR(_xlfn.IFS(V130=0,0,V130="","",W130=0,V130,OR(V130&lt;&gt;0,V130&lt;&gt;""),H130*I130),V130*(1-W130))</f>
        <v>0</v>
      </c>
    </row>
    <row r="131" spans="2:24" x14ac:dyDescent="0.25">
      <c r="B131" t="s">
        <v>2423</v>
      </c>
      <c r="C131" t="s">
        <v>2122</v>
      </c>
      <c r="D131" t="s">
        <v>2207</v>
      </c>
      <c r="E131" t="s">
        <v>2124</v>
      </c>
      <c r="F131" s="116" t="str">
        <f t="shared" si="4"/>
        <v>Included</v>
      </c>
      <c r="G131" t="str">
        <f>IF(B131="","",INDEX(SF_Output!$K$1:$K$400,MATCH(B131,SF_Output!$M$1:$M$400,0)))</f>
        <v>Card Processing Solutions (CPS)</v>
      </c>
      <c r="H131" cm="1">
        <f t="array" ref="H131">_xlfn.IFS(B131="","",(SUMIFS(SF_Output!$F$1:$F$400,SF_Output!$AC$1:$AC$400,_xlfn.TEXTJOIN(",",TRUE,B131:E131))+SUMIFS(SF_Output!$G$1:$G$400,SF_Output!$AC$1:$AC$400,_xlfn.TEXTJOIN(",",TRUE,B131:E131)))&lt;&gt;0,SF_Output!$Y$2,INDEX(SF_Output!$F$1:$F$400,MATCH(_xlfn.TEXTJOIN(",",TRUE,B131:E131),SF_Output!$AC$1:$AC$400,0))=0,INDEX(SF_Output!$R$1:$R$400,MATCH(_xlfn.TEXTJOIN(",",TRUE,B131:E131),SF_Output!$AC$1:$AC$400,0)))</f>
        <v>0</v>
      </c>
      <c r="I131" s="125" t="str">
        <f>IFERROR(IF(AND(H131&gt;1,H131&lt;&gt;""),ROUND(SUMIFS(SF_Output!$S$1:$S$400,SF_Output!$AC$1:$AC$400,_xlfn.TEXTJOIN(",",TRUE,B131:E131),SF_Output!$Q$1:$Q$400,"monthly")*(1-W131)/H131,4),""),"")</f>
        <v/>
      </c>
      <c r="J131" s="6">
        <f>IF(B131="","",SUMIFS(SF_Output!$S$1:$S$400,SF_Output!$AC$1:$AC$400,_xlfn.TEXTJOIN(",",TRUE,B131:E131),SF_Output!$Q$1:$Q$400,"One Time",SF_Output!$L$1:$L$400,"license fee")+SUMIFS(SF_Output!$S$1:$S$400,SF_Output!$AC$1:$AC$400,_xlfn.TEXTJOIN(",",TRUE,B131:E131),SF_Output!$Q$1:$Q$400,"One Time",SF_Output!$L$1:$L$400,"software license")+SUMIFS(SF_Output!$S$1:$S$400,SF_Output!$AC$1:$AC$400,_xlfn.TEXTJOIN(",",TRUE,B131:E131),SF_Output!$Q$1:$Q$400,"One Time",SF_Output!$L$1:$L$400,"hardware"))</f>
        <v>0</v>
      </c>
      <c r="K131" s="112" t="str">
        <f>IF(OR(B131=0,B131="",G131="hardware",J131=0),"",IF(AF131&lt;&gt;"exclusion",MAX(K$9,-((SUMIFS(SF_Output!$T$1:$T$400,SF_Output!$AC$1:$AC$400,_xlfn.TEXTJOIN(",",TRUE,$B131:$E131),SF_Output!$Q$1:$Q$400,"One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license"))/J131)))</f>
        <v/>
      </c>
      <c r="L131" s="6">
        <f t="shared" si="5"/>
        <v>0</v>
      </c>
      <c r="N131" s="6">
        <f>IF(B131="","",SUMIFS(SF_Output!$S$1:$S$400,SF_Output!$AC$1:$AC$400,_xlfn.TEXTJOIN(",",TRUE,B131:E131),SF_Output!$Q$1:$Q$400,"One Time",SF_Output!$L$1:$L$400,"professional service"))</f>
        <v>0</v>
      </c>
      <c r="O131" s="112" t="str">
        <f>IF(OR(B131=0,B131="",N131=0),"",IF(AF131&lt;&gt;"exclusion",MAX(O$9,-(SUMIFS(SF_Output!$T$1:$T$400,SF_Output!$AC$1:$AC$400,_xlfn.TEXTJOIN(",",TRUE,$B131:$E131),SF_Output!$Q$1:$Q$400,"One Time",SF_Output!$L$1:$L$400,"professional service"))/N131),-((SUMIFS(SF_Output!$T$1:$T$400,SF_Output!$AC$1:$AC$400,_xlfn.TEXTJOIN(",",TRUE,$B131:$E131),SF_Output!$Q$1:$Q$400,"One Time",SF_Output!$L$1:$L$400,"professional service")/N131))))</f>
        <v/>
      </c>
      <c r="P131" s="6">
        <f t="shared" si="6"/>
        <v>0</v>
      </c>
      <c r="R131" s="6">
        <f>IF(B131="","",SUMIFS(SF_Output!$S$1:$S$400,SF_Output!$AC$1:$AC$400,_xlfn.TEXTJOIN(",",TRUE,B131:E131),SF_Output!$Q$1:$Q$400,"yearly")+SUMIFS(SF_Output!$S$1:$S$400,SF_Output!$AC$1:$AC$400,_xlfn.TEXTJOIN(",",TRUE,B131:E131),SF_Output!$Q$1:$Q$400,"quarterly")*4)</f>
        <v>0</v>
      </c>
      <c r="S131" s="112" t="str">
        <f>IF(OR(B131=0,B131="",G131="hardware",R131=0),"",IF(AF131&lt;&gt;"exclusion",MAX(S$9,-(SUMIFS(SF_Output!$T$1:$T$400,SF_Output!$AC$1:$AC$400,_xlfn.TEXTJOIN(",",TRUE,$B131:$E131),SF_Output!$Q$1:$Q$400,"yearly"))/R131),-((SUMIFS(SF_Output!$T$1:$T$400,SF_Output!$AC$1:$AC$400,_xlfn.TEXTJOIN(",",TRUE,$B131:$E131),SF_Output!$Q$1:$Q$400,"yearly")/R131))))</f>
        <v/>
      </c>
      <c r="T131" s="6">
        <f t="shared" si="7"/>
        <v>0</v>
      </c>
      <c r="V131" s="6" cm="1">
        <f t="array" ref="V131">_xlfn.IFS(B131="","",AND(B131&lt;&gt;"",H131=SF_Output!$Y$2,SUMIFS(SF_Output!$T$1:$T$400,SF_Output!$AC$1:$AC$400,_xlfn.TEXTJOIN(",",TRUE,B131:E131),SF_Output!$Q$1:$Q$400,"monthly")=0),(SUMIFS(SF_Output!$F$1:$F$400,SF_Output!$AC$1:$AC$400,_xlfn.TEXTJOIN(",",TRUE,B131:E131),SF_Output!$Q$1:$Q$400,"monthly")+SUMIFS(SF_Output!$G$1:$G$400,SF_Output!$AC$1:$AC$400,_xlfn.TEXTJOIN(",",TRUE,B131:E131),SF_Output!$Q$1:$Q$400,"monthly"))*H131,AND(B131&lt;&gt;"",H131=SF_Output!$Y$2,SUMIFS(SF_Output!$T$1:$T$400,SF_Output!$AC$1:$AC$400,_xlfn.TEXTJOIN(",",TRUE,B131:E131),SF_Output!$Q$1:$Q$400,"monthly")&lt;&gt;0),SUMIFS(SF_Output!$S$1:$S$400,SF_Output!$AC$1:$AC$400,_xlfn.TEXTJOIN(",",TRUE,B131:E131),SF_Output!$Q$1:$Q$400,"monthly"),AND(B131&lt;&gt;"",H131&lt;&gt;SF_Output!$Y$2),SUMIFS(SF_Output!$S$1:$S$400,SF_Output!$AC$1:$AC$400,_xlfn.TEXTJOIN(",",TRUE,B131:E131),SF_Output!$Q$1:$Q$400,"monthly"))</f>
        <v>0</v>
      </c>
      <c r="W131" s="112" t="str" cm="1">
        <f t="array" ref="W131">_xlfn.IFS(OR(B131=0,B131="",V131=0),"",AF131&lt;&gt;"exclusion",MAX($W$9,$W$7,(-(SUMIFS(SF_Output!$T$1:$T$400,SF_Output!$AC$1:$AC$400,_xlfn.TEXTJOIN(",",TRUE,$B131:$E131),SF_Output!$Q$1:$Q$400,"monthly"))/V131)),AF131="exclusion",-(SUMIFS(SF_Output!$T$1:$T$400,SF_Output!$AC$1:$AC$400,_xlfn.TEXTJOIN(",",TRUE,$B131:$E131),SF_Output!$Q$1:$Q$400,"monthly"))/V131)</f>
        <v/>
      </c>
      <c r="X131" s="6" cm="1">
        <f t="array" ref="X131">IFERROR(_xlfn.IFS(V131=0,0,V131="","",W131=0,V131,OR(V131&lt;&gt;0,V131&lt;&gt;""),H131*I131),V131*(1-W131))</f>
        <v>0</v>
      </c>
    </row>
    <row r="132" spans="2:24" x14ac:dyDescent="0.25">
      <c r="B132" t="s">
        <v>2425</v>
      </c>
      <c r="C132" t="s">
        <v>2122</v>
      </c>
      <c r="D132" t="s">
        <v>2207</v>
      </c>
      <c r="E132" t="s">
        <v>2124</v>
      </c>
      <c r="F132" s="116" t="str">
        <f t="shared" si="4"/>
        <v>Included</v>
      </c>
      <c r="G132" t="str">
        <f>IF(B132="","",INDEX(SF_Output!$K$1:$K$400,MATCH(B132,SF_Output!$M$1:$M$400,0)))</f>
        <v>Card Processing Solutions (CPS)</v>
      </c>
      <c r="H132" cm="1">
        <f t="array" ref="H132">_xlfn.IFS(B132="","",(SUMIFS(SF_Output!$F$1:$F$400,SF_Output!$AC$1:$AC$400,_xlfn.TEXTJOIN(",",TRUE,B132:E132))+SUMIFS(SF_Output!$G$1:$G$400,SF_Output!$AC$1:$AC$400,_xlfn.TEXTJOIN(",",TRUE,B132:E132)))&lt;&gt;0,SF_Output!$Y$2,INDEX(SF_Output!$F$1:$F$400,MATCH(_xlfn.TEXTJOIN(",",TRUE,B132:E132),SF_Output!$AC$1:$AC$400,0))=0,INDEX(SF_Output!$R$1:$R$400,MATCH(_xlfn.TEXTJOIN(",",TRUE,B132:E132),SF_Output!$AC$1:$AC$400,0)))</f>
        <v>0</v>
      </c>
      <c r="I132" s="125" t="str">
        <f>IFERROR(IF(AND(H132&gt;1,H132&lt;&gt;""),ROUND(SUMIFS(SF_Output!$S$1:$S$400,SF_Output!$AC$1:$AC$400,_xlfn.TEXTJOIN(",",TRUE,B132:E132),SF_Output!$Q$1:$Q$400,"monthly")*(1-W132)/H132,4),""),"")</f>
        <v/>
      </c>
      <c r="J132" s="6">
        <f>IF(B132="","",SUMIFS(SF_Output!$S$1:$S$400,SF_Output!$AC$1:$AC$400,_xlfn.TEXTJOIN(",",TRUE,B132:E132),SF_Output!$Q$1:$Q$400,"One Time",SF_Output!$L$1:$L$400,"license fee")+SUMIFS(SF_Output!$S$1:$S$400,SF_Output!$AC$1:$AC$400,_xlfn.TEXTJOIN(",",TRUE,B132:E132),SF_Output!$Q$1:$Q$400,"One Time",SF_Output!$L$1:$L$400,"software license")+SUMIFS(SF_Output!$S$1:$S$400,SF_Output!$AC$1:$AC$400,_xlfn.TEXTJOIN(",",TRUE,B132:E132),SF_Output!$Q$1:$Q$400,"One Time",SF_Output!$L$1:$L$400,"hardware"))</f>
        <v>0</v>
      </c>
      <c r="K132" s="112" t="str">
        <f>IF(OR(B132=0,B132="",G132="hardware",J132=0),"",IF(AF132&lt;&gt;"exclusion",MAX(K$9,-((SUMIFS(SF_Output!$T$1:$T$400,SF_Output!$AC$1:$AC$400,_xlfn.TEXTJOIN(",",TRUE,$B132:$E132),SF_Output!$Q$1:$Q$400,"One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license"))/J132)))</f>
        <v/>
      </c>
      <c r="L132" s="6">
        <f t="shared" si="5"/>
        <v>0</v>
      </c>
      <c r="N132" s="6">
        <f>IF(B132="","",SUMIFS(SF_Output!$S$1:$S$400,SF_Output!$AC$1:$AC$400,_xlfn.TEXTJOIN(",",TRUE,B132:E132),SF_Output!$Q$1:$Q$400,"One Time",SF_Output!$L$1:$L$400,"professional service"))</f>
        <v>0</v>
      </c>
      <c r="O132" s="112" t="str">
        <f>IF(OR(B132=0,B132="",N132=0),"",IF(AF132&lt;&gt;"exclusion",MAX(O$9,-(SUMIFS(SF_Output!$T$1:$T$400,SF_Output!$AC$1:$AC$400,_xlfn.TEXTJOIN(",",TRUE,$B132:$E132),SF_Output!$Q$1:$Q$400,"One Time",SF_Output!$L$1:$L$400,"professional service"))/N132),-((SUMIFS(SF_Output!$T$1:$T$400,SF_Output!$AC$1:$AC$400,_xlfn.TEXTJOIN(",",TRUE,$B132:$E132),SF_Output!$Q$1:$Q$400,"One Time",SF_Output!$L$1:$L$400,"professional service")/N132))))</f>
        <v/>
      </c>
      <c r="P132" s="6">
        <f t="shared" si="6"/>
        <v>0</v>
      </c>
      <c r="R132" s="6">
        <f>IF(B132="","",SUMIFS(SF_Output!$S$1:$S$400,SF_Output!$AC$1:$AC$400,_xlfn.TEXTJOIN(",",TRUE,B132:E132),SF_Output!$Q$1:$Q$400,"yearly")+SUMIFS(SF_Output!$S$1:$S$400,SF_Output!$AC$1:$AC$400,_xlfn.TEXTJOIN(",",TRUE,B132:E132),SF_Output!$Q$1:$Q$400,"quarterly")*4)</f>
        <v>0</v>
      </c>
      <c r="S132" s="112" t="str">
        <f>IF(OR(B132=0,B132="",G132="hardware",R132=0),"",IF(AF132&lt;&gt;"exclusion",MAX(S$9,-(SUMIFS(SF_Output!$T$1:$T$400,SF_Output!$AC$1:$AC$400,_xlfn.TEXTJOIN(",",TRUE,$B132:$E132),SF_Output!$Q$1:$Q$400,"yearly"))/R132),-((SUMIFS(SF_Output!$T$1:$T$400,SF_Output!$AC$1:$AC$400,_xlfn.TEXTJOIN(",",TRUE,$B132:$E132),SF_Output!$Q$1:$Q$400,"yearly")/R132))))</f>
        <v/>
      </c>
      <c r="T132" s="6">
        <f t="shared" si="7"/>
        <v>0</v>
      </c>
      <c r="V132" s="6" cm="1">
        <f t="array" ref="V132">_xlfn.IFS(B132="","",AND(B132&lt;&gt;"",H132=SF_Output!$Y$2,SUMIFS(SF_Output!$T$1:$T$400,SF_Output!$AC$1:$AC$400,_xlfn.TEXTJOIN(",",TRUE,B132:E132),SF_Output!$Q$1:$Q$400,"monthly")=0),(SUMIFS(SF_Output!$F$1:$F$400,SF_Output!$AC$1:$AC$400,_xlfn.TEXTJOIN(",",TRUE,B132:E132),SF_Output!$Q$1:$Q$400,"monthly")+SUMIFS(SF_Output!$G$1:$G$400,SF_Output!$AC$1:$AC$400,_xlfn.TEXTJOIN(",",TRUE,B132:E132),SF_Output!$Q$1:$Q$400,"monthly"))*H132,AND(B132&lt;&gt;"",H132=SF_Output!$Y$2,SUMIFS(SF_Output!$T$1:$T$400,SF_Output!$AC$1:$AC$400,_xlfn.TEXTJOIN(",",TRUE,B132:E132),SF_Output!$Q$1:$Q$400,"monthly")&lt;&gt;0),SUMIFS(SF_Output!$S$1:$S$400,SF_Output!$AC$1:$AC$400,_xlfn.TEXTJOIN(",",TRUE,B132:E132),SF_Output!$Q$1:$Q$400,"monthly"),AND(B132&lt;&gt;"",H132&lt;&gt;SF_Output!$Y$2),SUMIFS(SF_Output!$S$1:$S$400,SF_Output!$AC$1:$AC$400,_xlfn.TEXTJOIN(",",TRUE,B132:E132),SF_Output!$Q$1:$Q$400,"monthly"))</f>
        <v>0</v>
      </c>
      <c r="W132" s="112" t="str" cm="1">
        <f t="array" ref="W132">_xlfn.IFS(OR(B132=0,B132="",V132=0),"",AF132&lt;&gt;"exclusion",MAX($W$9,$W$7,(-(SUMIFS(SF_Output!$T$1:$T$400,SF_Output!$AC$1:$AC$400,_xlfn.TEXTJOIN(",",TRUE,$B132:$E132),SF_Output!$Q$1:$Q$400,"monthly"))/V132)),AF132="exclusion",-(SUMIFS(SF_Output!$T$1:$T$400,SF_Output!$AC$1:$AC$400,_xlfn.TEXTJOIN(",",TRUE,$B132:$E132),SF_Output!$Q$1:$Q$400,"monthly"))/V132)</f>
        <v/>
      </c>
      <c r="X132" s="6" cm="1">
        <f t="array" ref="X132">IFERROR(_xlfn.IFS(V132=0,0,V132="","",W132=0,V132,OR(V132&lt;&gt;0,V132&lt;&gt;""),H132*I132),V132*(1-W132))</f>
        <v>0</v>
      </c>
    </row>
    <row r="133" spans="2:24" x14ac:dyDescent="0.25">
      <c r="B133" t="s">
        <v>2427</v>
      </c>
      <c r="C133" t="s">
        <v>2122</v>
      </c>
      <c r="D133" t="s">
        <v>2207</v>
      </c>
      <c r="E133" t="s">
        <v>2124</v>
      </c>
      <c r="F133" s="116" t="str">
        <f t="shared" si="4"/>
        <v>Included</v>
      </c>
      <c r="G133" t="str">
        <f>IF(B133="","",INDEX(SF_Output!$K$1:$K$400,MATCH(B133,SF_Output!$M$1:$M$400,0)))</f>
        <v>Card Processing Solutions (CPS)</v>
      </c>
      <c r="H133" cm="1">
        <f t="array" ref="H133">_xlfn.IFS(B133="","",(SUMIFS(SF_Output!$F$1:$F$400,SF_Output!$AC$1:$AC$400,_xlfn.TEXTJOIN(",",TRUE,B133:E133))+SUMIFS(SF_Output!$G$1:$G$400,SF_Output!$AC$1:$AC$400,_xlfn.TEXTJOIN(",",TRUE,B133:E133)))&lt;&gt;0,SF_Output!$Y$2,INDEX(SF_Output!$F$1:$F$400,MATCH(_xlfn.TEXTJOIN(",",TRUE,B133:E133),SF_Output!$AC$1:$AC$400,0))=0,INDEX(SF_Output!$R$1:$R$400,MATCH(_xlfn.TEXTJOIN(",",TRUE,B133:E133),SF_Output!$AC$1:$AC$400,0)))</f>
        <v>1</v>
      </c>
      <c r="I133" s="125" t="str">
        <f>IFERROR(IF(AND(H133&gt;1,H133&lt;&gt;""),ROUND(SUMIFS(SF_Output!$S$1:$S$400,SF_Output!$AC$1:$AC$400,_xlfn.TEXTJOIN(",",TRUE,B133:E133),SF_Output!$Q$1:$Q$400,"monthly")*(1-W133)/H133,4),""),"")</f>
        <v/>
      </c>
      <c r="J133" s="6">
        <f>IF(B133="","",SUMIFS(SF_Output!$S$1:$S$400,SF_Output!$AC$1:$AC$400,_xlfn.TEXTJOIN(",",TRUE,B133:E133),SF_Output!$Q$1:$Q$400,"One Time",SF_Output!$L$1:$L$400,"license fee")+SUMIFS(SF_Output!$S$1:$S$400,SF_Output!$AC$1:$AC$400,_xlfn.TEXTJOIN(",",TRUE,B133:E133),SF_Output!$Q$1:$Q$400,"One Time",SF_Output!$L$1:$L$400,"software license")+SUMIFS(SF_Output!$S$1:$S$400,SF_Output!$AC$1:$AC$400,_xlfn.TEXTJOIN(",",TRUE,B133:E133),SF_Output!$Q$1:$Q$400,"One Time",SF_Output!$L$1:$L$400,"hardware"))</f>
        <v>0</v>
      </c>
      <c r="K133" s="112" t="str">
        <f>IF(OR(B133=0,B133="",G133="hardware",J133=0),"",IF(AF133&lt;&gt;"exclusion",MAX(K$9,-((SUMIFS(SF_Output!$T$1:$T$400,SF_Output!$AC$1:$AC$400,_xlfn.TEXTJOIN(",",TRUE,$B133:$E133),SF_Output!$Q$1:$Q$400,"One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license"))/J133)))</f>
        <v/>
      </c>
      <c r="L133" s="6">
        <f t="shared" si="5"/>
        <v>0</v>
      </c>
      <c r="N133" s="6">
        <f>IF(B133="","",SUMIFS(SF_Output!$S$1:$S$400,SF_Output!$AC$1:$AC$400,_xlfn.TEXTJOIN(",",TRUE,B133:E133),SF_Output!$Q$1:$Q$400,"One Time",SF_Output!$L$1:$L$400,"professional service"))</f>
        <v>600</v>
      </c>
      <c r="O133" s="112">
        <f>IF(OR(B133=0,B133="",N133=0),"",IF(AF133&lt;&gt;"exclusion",MAX(O$9,-(SUMIFS(SF_Output!$T$1:$T$400,SF_Output!$AC$1:$AC$400,_xlfn.TEXTJOIN(",",TRUE,$B133:$E133),SF_Output!$Q$1:$Q$400,"One Time",SF_Output!$L$1:$L$400,"professional service"))/N133),-((SUMIFS(SF_Output!$T$1:$T$400,SF_Output!$AC$1:$AC$400,_xlfn.TEXTJOIN(",",TRUE,$B133:$E133),SF_Output!$Q$1:$Q$400,"One Time",SF_Output!$L$1:$L$400,"professional service")/N133))))</f>
        <v>1</v>
      </c>
      <c r="P133" s="6">
        <f t="shared" si="6"/>
        <v>0</v>
      </c>
      <c r="R133" s="6">
        <f>IF(B133="","",SUMIFS(SF_Output!$S$1:$S$400,SF_Output!$AC$1:$AC$400,_xlfn.TEXTJOIN(",",TRUE,B133:E133),SF_Output!$Q$1:$Q$400,"yearly")+SUMIFS(SF_Output!$S$1:$S$400,SF_Output!$AC$1:$AC$400,_xlfn.TEXTJOIN(",",TRUE,B133:E133),SF_Output!$Q$1:$Q$400,"quarterly")*4)</f>
        <v>0</v>
      </c>
      <c r="S133" s="112" t="str">
        <f>IF(OR(B133=0,B133="",G133="hardware",R133=0),"",IF(AF133&lt;&gt;"exclusion",MAX(S$9,-(SUMIFS(SF_Output!$T$1:$T$400,SF_Output!$AC$1:$AC$400,_xlfn.TEXTJOIN(",",TRUE,$B133:$E133),SF_Output!$Q$1:$Q$400,"yearly"))/R133),-((SUMIFS(SF_Output!$T$1:$T$400,SF_Output!$AC$1:$AC$400,_xlfn.TEXTJOIN(",",TRUE,$B133:$E133),SF_Output!$Q$1:$Q$400,"yearly")/R133))))</f>
        <v/>
      </c>
      <c r="T133" s="6">
        <f t="shared" si="7"/>
        <v>0</v>
      </c>
      <c r="V133" s="6" cm="1">
        <f t="array" ref="V133">_xlfn.IFS(B133="","",AND(B133&lt;&gt;"",H133=SF_Output!$Y$2,SUMIFS(SF_Output!$T$1:$T$400,SF_Output!$AC$1:$AC$400,_xlfn.TEXTJOIN(",",TRUE,B133:E133),SF_Output!$Q$1:$Q$400,"monthly")=0),(SUMIFS(SF_Output!$F$1:$F$400,SF_Output!$AC$1:$AC$400,_xlfn.TEXTJOIN(",",TRUE,B133:E133),SF_Output!$Q$1:$Q$400,"monthly")+SUMIFS(SF_Output!$G$1:$G$400,SF_Output!$AC$1:$AC$400,_xlfn.TEXTJOIN(",",TRUE,B133:E133),SF_Output!$Q$1:$Q$400,"monthly"))*H133,AND(B133&lt;&gt;"",H133=SF_Output!$Y$2,SUMIFS(SF_Output!$T$1:$T$400,SF_Output!$AC$1:$AC$400,_xlfn.TEXTJOIN(",",TRUE,B133:E133),SF_Output!$Q$1:$Q$400,"monthly")&lt;&gt;0),SUMIFS(SF_Output!$S$1:$S$400,SF_Output!$AC$1:$AC$400,_xlfn.TEXTJOIN(",",TRUE,B133:E133),SF_Output!$Q$1:$Q$400,"monthly"),AND(B133&lt;&gt;"",H133&lt;&gt;SF_Output!$Y$2),SUMIFS(SF_Output!$S$1:$S$400,SF_Output!$AC$1:$AC$400,_xlfn.TEXTJOIN(",",TRUE,B133:E133),SF_Output!$Q$1:$Q$400,"monthly"))</f>
        <v>50</v>
      </c>
      <c r="W133" s="112" cm="1">
        <f t="array" ref="W133">_xlfn.IFS(OR(B133=0,B133="",V133=0),"",AF133&lt;&gt;"exclusion",MAX($W$9,$W$7,(-(SUMIFS(SF_Output!$T$1:$T$400,SF_Output!$AC$1:$AC$400,_xlfn.TEXTJOIN(",",TRUE,$B133:$E133),SF_Output!$Q$1:$Q$400,"monthly"))/V133)),AF133="exclusion",-(SUMIFS(SF_Output!$T$1:$T$400,SF_Output!$AC$1:$AC$400,_xlfn.TEXTJOIN(",",TRUE,$B133:$E133),SF_Output!$Q$1:$Q$400,"monthly"))/V133)</f>
        <v>0</v>
      </c>
      <c r="X133" s="6" cm="1">
        <f t="array" ref="X133">IFERROR(_xlfn.IFS(V133=0,0,V133="","",W133=0,V133,OR(V133&lt;&gt;0,V133&lt;&gt;""),H133*I133),V133*(1-W133))</f>
        <v>50</v>
      </c>
    </row>
    <row r="134" spans="2:24" x14ac:dyDescent="0.25">
      <c r="B134" t="s">
        <v>1825</v>
      </c>
      <c r="C134" t="s">
        <v>2122</v>
      </c>
      <c r="D134" t="s">
        <v>2207</v>
      </c>
      <c r="E134" t="s">
        <v>2124</v>
      </c>
      <c r="F134" s="116" t="str">
        <f t="shared" si="4"/>
        <v>Included</v>
      </c>
      <c r="G134" t="str">
        <f>IF(B134="","",INDEX(SF_Output!$K$1:$K$400,MATCH(B134,SF_Output!$M$1:$M$400,0)))</f>
        <v>Card Processing Solutions (CPS)</v>
      </c>
      <c r="H134" cm="1">
        <f t="array" ref="H134">_xlfn.IFS(B134="","",(SUMIFS(SF_Output!$F$1:$F$400,SF_Output!$AC$1:$AC$400,_xlfn.TEXTJOIN(",",TRUE,B134:E134))+SUMIFS(SF_Output!$G$1:$G$400,SF_Output!$AC$1:$AC$400,_xlfn.TEXTJOIN(",",TRUE,B134:E134)))&lt;&gt;0,SF_Output!$Y$2,INDEX(SF_Output!$F$1:$F$400,MATCH(_xlfn.TEXTJOIN(",",TRUE,B134:E134),SF_Output!$AC$1:$AC$400,0))=0,INDEX(SF_Output!$R$1:$R$400,MATCH(_xlfn.TEXTJOIN(",",TRUE,B134:E134),SF_Output!$AC$1:$AC$400,0)))</f>
        <v>1</v>
      </c>
      <c r="I134" s="125" t="str">
        <f>IFERROR(IF(AND(H134&gt;1,H134&lt;&gt;""),ROUND(SUMIFS(SF_Output!$S$1:$S$400,SF_Output!$AC$1:$AC$400,_xlfn.TEXTJOIN(",",TRUE,B134:E134),SF_Output!$Q$1:$Q$400,"monthly")*(1-W134)/H134,4),""),"")</f>
        <v/>
      </c>
      <c r="J134" s="6">
        <f>IF(B134="","",SUMIFS(SF_Output!$S$1:$S$400,SF_Output!$AC$1:$AC$400,_xlfn.TEXTJOIN(",",TRUE,B134:E134),SF_Output!$Q$1:$Q$400,"One Time",SF_Output!$L$1:$L$400,"license fee")+SUMIFS(SF_Output!$S$1:$S$400,SF_Output!$AC$1:$AC$400,_xlfn.TEXTJOIN(",",TRUE,B134:E134),SF_Output!$Q$1:$Q$400,"One Time",SF_Output!$L$1:$L$400,"software license")+SUMIFS(SF_Output!$S$1:$S$400,SF_Output!$AC$1:$AC$400,_xlfn.TEXTJOIN(",",TRUE,B134:E134),SF_Output!$Q$1:$Q$400,"One Time",SF_Output!$L$1:$L$400,"hardware"))</f>
        <v>0</v>
      </c>
      <c r="K134" s="112" t="str">
        <f>IF(OR(B134=0,B134="",G134="hardware",J134=0),"",IF(AF134&lt;&gt;"exclusion",MAX(K$9,-((SUMIFS(SF_Output!$T$1:$T$400,SF_Output!$AC$1:$AC$400,_xlfn.TEXTJOIN(",",TRUE,$B134:$E134),SF_Output!$Q$1:$Q$400,"One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license"))/J134)))</f>
        <v/>
      </c>
      <c r="L134" s="6">
        <f t="shared" si="5"/>
        <v>0</v>
      </c>
      <c r="N134" s="6">
        <f>IF(B134="","",SUMIFS(SF_Output!$S$1:$S$400,SF_Output!$AC$1:$AC$400,_xlfn.TEXTJOIN(",",TRUE,B134:E134),SF_Output!$Q$1:$Q$400,"One Time",SF_Output!$L$1:$L$400,"professional service"))</f>
        <v>1500</v>
      </c>
      <c r="O134" s="112">
        <f>IF(OR(B134=0,B134="",N134=0),"",IF(AF134&lt;&gt;"exclusion",MAX(O$9,-(SUMIFS(SF_Output!$T$1:$T$400,SF_Output!$AC$1:$AC$400,_xlfn.TEXTJOIN(",",TRUE,$B134:$E134),SF_Output!$Q$1:$Q$400,"One Time",SF_Output!$L$1:$L$400,"professional service"))/N134),-((SUMIFS(SF_Output!$T$1:$T$400,SF_Output!$AC$1:$AC$400,_xlfn.TEXTJOIN(",",TRUE,$B134:$E134),SF_Output!$Q$1:$Q$400,"One Time",SF_Output!$L$1:$L$400,"professional service")/N134))))</f>
        <v>1</v>
      </c>
      <c r="P134" s="6">
        <f t="shared" si="6"/>
        <v>0</v>
      </c>
      <c r="R134" s="6">
        <f>IF(B134="","",SUMIFS(SF_Output!$S$1:$S$400,SF_Output!$AC$1:$AC$400,_xlfn.TEXTJOIN(",",TRUE,B134:E134),SF_Output!$Q$1:$Q$400,"yearly")+SUMIFS(SF_Output!$S$1:$S$400,SF_Output!$AC$1:$AC$400,_xlfn.TEXTJOIN(",",TRUE,B134:E134),SF_Output!$Q$1:$Q$400,"quarterly")*4)</f>
        <v>0</v>
      </c>
      <c r="S134" s="112" t="str">
        <f>IF(OR(B134=0,B134="",G134="hardware",R134=0),"",IF(AF134&lt;&gt;"exclusion",MAX(S$9,-(SUMIFS(SF_Output!$T$1:$T$400,SF_Output!$AC$1:$AC$400,_xlfn.TEXTJOIN(",",TRUE,$B134:$E134),SF_Output!$Q$1:$Q$400,"yearly"))/R134),-((SUMIFS(SF_Output!$T$1:$T$400,SF_Output!$AC$1:$AC$400,_xlfn.TEXTJOIN(",",TRUE,$B134:$E134),SF_Output!$Q$1:$Q$400,"yearly")/R134))))</f>
        <v/>
      </c>
      <c r="T134" s="6">
        <f t="shared" si="7"/>
        <v>0</v>
      </c>
      <c r="V134" s="6" cm="1">
        <f t="array" ref="V134">_xlfn.IFS(B134="","",AND(B134&lt;&gt;"",H134=SF_Output!$Y$2,SUMIFS(SF_Output!$T$1:$T$400,SF_Output!$AC$1:$AC$400,_xlfn.TEXTJOIN(",",TRUE,B134:E134),SF_Output!$Q$1:$Q$400,"monthly")=0),(SUMIFS(SF_Output!$F$1:$F$400,SF_Output!$AC$1:$AC$400,_xlfn.TEXTJOIN(",",TRUE,B134:E134),SF_Output!$Q$1:$Q$400,"monthly")+SUMIFS(SF_Output!$G$1:$G$400,SF_Output!$AC$1:$AC$400,_xlfn.TEXTJOIN(",",TRUE,B134:E134),SF_Output!$Q$1:$Q$400,"monthly"))*H134,AND(B134&lt;&gt;"",H134=SF_Output!$Y$2,SUMIFS(SF_Output!$T$1:$T$400,SF_Output!$AC$1:$AC$400,_xlfn.TEXTJOIN(",",TRUE,B134:E134),SF_Output!$Q$1:$Q$400,"monthly")&lt;&gt;0),SUMIFS(SF_Output!$S$1:$S$400,SF_Output!$AC$1:$AC$400,_xlfn.TEXTJOIN(",",TRUE,B134:E134),SF_Output!$Q$1:$Q$400,"monthly"),AND(B134&lt;&gt;"",H134&lt;&gt;SF_Output!$Y$2),SUMIFS(SF_Output!$S$1:$S$400,SF_Output!$AC$1:$AC$400,_xlfn.TEXTJOIN(",",TRUE,B134:E134),SF_Output!$Q$1:$Q$400,"monthly"))</f>
        <v>150</v>
      </c>
      <c r="W134" s="112" cm="1">
        <f t="array" ref="W134">_xlfn.IFS(OR(B134=0,B134="",V134=0),"",AF134&lt;&gt;"exclusion",MAX($W$9,$W$7,(-(SUMIFS(SF_Output!$T$1:$T$400,SF_Output!$AC$1:$AC$400,_xlfn.TEXTJOIN(",",TRUE,$B134:$E134),SF_Output!$Q$1:$Q$400,"monthly"))/V134)),AF134="exclusion",-(SUMIFS(SF_Output!$T$1:$T$400,SF_Output!$AC$1:$AC$400,_xlfn.TEXTJOIN(",",TRUE,$B134:$E134),SF_Output!$Q$1:$Q$400,"monthly"))/V134)</f>
        <v>0</v>
      </c>
      <c r="X134" s="6" cm="1">
        <f t="array" ref="X134">IFERROR(_xlfn.IFS(V134=0,0,V134="","",W134=0,V134,OR(V134&lt;&gt;0,V134&lt;&gt;""),H134*I134),V134*(1-W134))</f>
        <v>150</v>
      </c>
    </row>
    <row r="135" spans="2:24" x14ac:dyDescent="0.25">
      <c r="B135" t="s">
        <v>2432</v>
      </c>
      <c r="C135" t="s">
        <v>2122</v>
      </c>
      <c r="D135" t="s">
        <v>2207</v>
      </c>
      <c r="E135" t="s">
        <v>2124</v>
      </c>
      <c r="F135" s="116" t="str">
        <f t="shared" si="4"/>
        <v>Included</v>
      </c>
      <c r="G135" t="str">
        <f>IF(B135="","",INDEX(SF_Output!$K$1:$K$400,MATCH(B135,SF_Output!$M$1:$M$400,0)))</f>
        <v>Card Processing Solutions (CPS)</v>
      </c>
      <c r="H135" cm="1">
        <f t="array" ref="H135">_xlfn.IFS(B135="","",(SUMIFS(SF_Output!$F$1:$F$400,SF_Output!$AC$1:$AC$400,_xlfn.TEXTJOIN(",",TRUE,B135:E135))+SUMIFS(SF_Output!$G$1:$G$400,SF_Output!$AC$1:$AC$400,_xlfn.TEXTJOIN(",",TRUE,B135:E135)))&lt;&gt;0,SF_Output!$Y$2,INDEX(SF_Output!$F$1:$F$400,MATCH(_xlfn.TEXTJOIN(",",TRUE,B135:E135),SF_Output!$AC$1:$AC$400,0))=0,INDEX(SF_Output!$R$1:$R$400,MATCH(_xlfn.TEXTJOIN(",",TRUE,B135:E135),SF_Output!$AC$1:$AC$400,0)))</f>
        <v>0</v>
      </c>
      <c r="I135" s="125" t="str">
        <f>IFERROR(IF(AND(H135&gt;1,H135&lt;&gt;""),ROUND(SUMIFS(SF_Output!$S$1:$S$400,SF_Output!$AC$1:$AC$400,_xlfn.TEXTJOIN(",",TRUE,B135:E135),SF_Output!$Q$1:$Q$400,"monthly")*(1-W135)/H135,4),""),"")</f>
        <v/>
      </c>
      <c r="J135" s="6">
        <f>IF(B135="","",SUMIFS(SF_Output!$S$1:$S$400,SF_Output!$AC$1:$AC$400,_xlfn.TEXTJOIN(",",TRUE,B135:E135),SF_Output!$Q$1:$Q$400,"One Time",SF_Output!$L$1:$L$400,"license fee")+SUMIFS(SF_Output!$S$1:$S$400,SF_Output!$AC$1:$AC$400,_xlfn.TEXTJOIN(",",TRUE,B135:E135),SF_Output!$Q$1:$Q$400,"One Time",SF_Output!$L$1:$L$400,"software license")+SUMIFS(SF_Output!$S$1:$S$400,SF_Output!$AC$1:$AC$400,_xlfn.TEXTJOIN(",",TRUE,B135:E135),SF_Output!$Q$1:$Q$400,"One Time",SF_Output!$L$1:$L$400,"hardware"))</f>
        <v>0</v>
      </c>
      <c r="K135" s="112" t="str">
        <f>IF(OR(B135=0,B135="",G135="hardware",J135=0),"",IF(AF135&lt;&gt;"exclusion",MAX(K$9,-((SUMIFS(SF_Output!$T$1:$T$400,SF_Output!$AC$1:$AC$400,_xlfn.TEXTJOIN(",",TRUE,$B135:$E135),SF_Output!$Q$1:$Q$400,"One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license"))/J135)))</f>
        <v/>
      </c>
      <c r="L135" s="6">
        <f t="shared" si="5"/>
        <v>0</v>
      </c>
      <c r="N135" s="6">
        <f>IF(B135="","",SUMIFS(SF_Output!$S$1:$S$400,SF_Output!$AC$1:$AC$400,_xlfn.TEXTJOIN(",",TRUE,B135:E135),SF_Output!$Q$1:$Q$400,"One Time",SF_Output!$L$1:$L$400,"professional service"))</f>
        <v>0</v>
      </c>
      <c r="O135" s="112" t="str">
        <f>IF(OR(B135=0,B135="",N135=0),"",IF(AF135&lt;&gt;"exclusion",MAX(O$9,-(SUMIFS(SF_Output!$T$1:$T$400,SF_Output!$AC$1:$AC$400,_xlfn.TEXTJOIN(",",TRUE,$B135:$E135),SF_Output!$Q$1:$Q$400,"One Time",SF_Output!$L$1:$L$400,"professional service"))/N135),-((SUMIFS(SF_Output!$T$1:$T$400,SF_Output!$AC$1:$AC$400,_xlfn.TEXTJOIN(",",TRUE,$B135:$E135),SF_Output!$Q$1:$Q$400,"One Time",SF_Output!$L$1:$L$400,"professional service")/N135))))</f>
        <v/>
      </c>
      <c r="P135" s="6">
        <f t="shared" si="6"/>
        <v>0</v>
      </c>
      <c r="R135" s="6">
        <f>IF(B135="","",SUMIFS(SF_Output!$S$1:$S$400,SF_Output!$AC$1:$AC$400,_xlfn.TEXTJOIN(",",TRUE,B135:E135),SF_Output!$Q$1:$Q$400,"yearly")+SUMIFS(SF_Output!$S$1:$S$400,SF_Output!$AC$1:$AC$400,_xlfn.TEXTJOIN(",",TRUE,B135:E135),SF_Output!$Q$1:$Q$400,"quarterly")*4)</f>
        <v>0</v>
      </c>
      <c r="S135" s="112" t="str">
        <f>IF(OR(B135=0,B135="",G135="hardware",R135=0),"",IF(AF135&lt;&gt;"exclusion",MAX(S$9,-(SUMIFS(SF_Output!$T$1:$T$400,SF_Output!$AC$1:$AC$400,_xlfn.TEXTJOIN(",",TRUE,$B135:$E135),SF_Output!$Q$1:$Q$400,"yearly"))/R135),-((SUMIFS(SF_Output!$T$1:$T$400,SF_Output!$AC$1:$AC$400,_xlfn.TEXTJOIN(",",TRUE,$B135:$E135),SF_Output!$Q$1:$Q$400,"yearly")/R135))))</f>
        <v/>
      </c>
      <c r="T135" s="6">
        <f t="shared" si="7"/>
        <v>0</v>
      </c>
      <c r="V135" s="6" cm="1">
        <f t="array" ref="V135">_xlfn.IFS(B135="","",AND(B135&lt;&gt;"",H135=SF_Output!$Y$2,SUMIFS(SF_Output!$T$1:$T$400,SF_Output!$AC$1:$AC$400,_xlfn.TEXTJOIN(",",TRUE,B135:E135),SF_Output!$Q$1:$Q$400,"monthly")=0),(SUMIFS(SF_Output!$F$1:$F$400,SF_Output!$AC$1:$AC$400,_xlfn.TEXTJOIN(",",TRUE,B135:E135),SF_Output!$Q$1:$Q$400,"monthly")+SUMIFS(SF_Output!$G$1:$G$400,SF_Output!$AC$1:$AC$400,_xlfn.TEXTJOIN(",",TRUE,B135:E135),SF_Output!$Q$1:$Q$400,"monthly"))*H135,AND(B135&lt;&gt;"",H135=SF_Output!$Y$2,SUMIFS(SF_Output!$T$1:$T$400,SF_Output!$AC$1:$AC$400,_xlfn.TEXTJOIN(",",TRUE,B135:E135),SF_Output!$Q$1:$Q$400,"monthly")&lt;&gt;0),SUMIFS(SF_Output!$S$1:$S$400,SF_Output!$AC$1:$AC$400,_xlfn.TEXTJOIN(",",TRUE,B135:E135),SF_Output!$Q$1:$Q$400,"monthly"),AND(B135&lt;&gt;"",H135&lt;&gt;SF_Output!$Y$2),SUMIFS(SF_Output!$S$1:$S$400,SF_Output!$AC$1:$AC$400,_xlfn.TEXTJOIN(",",TRUE,B135:E135),SF_Output!$Q$1:$Q$400,"monthly"))</f>
        <v>0</v>
      </c>
      <c r="W135" s="112" t="str" cm="1">
        <f t="array" ref="W135">_xlfn.IFS(OR(B135=0,B135="",V135=0),"",AF135&lt;&gt;"exclusion",MAX($W$9,$W$7,(-(SUMIFS(SF_Output!$T$1:$T$400,SF_Output!$AC$1:$AC$400,_xlfn.TEXTJOIN(",",TRUE,$B135:$E135),SF_Output!$Q$1:$Q$400,"monthly"))/V135)),AF135="exclusion",-(SUMIFS(SF_Output!$T$1:$T$400,SF_Output!$AC$1:$AC$400,_xlfn.TEXTJOIN(",",TRUE,$B135:$E135),SF_Output!$Q$1:$Q$400,"monthly"))/V135)</f>
        <v/>
      </c>
      <c r="X135" s="6" cm="1">
        <f t="array" ref="X135">IFERROR(_xlfn.IFS(V135=0,0,V135="","",W135=0,V135,OR(V135&lt;&gt;0,V135&lt;&gt;""),H135*I135),V135*(1-W135))</f>
        <v>0</v>
      </c>
    </row>
    <row r="136" spans="2:24" x14ac:dyDescent="0.25">
      <c r="B136" t="s">
        <v>2434</v>
      </c>
      <c r="C136" t="s">
        <v>2122</v>
      </c>
      <c r="D136" t="s">
        <v>2207</v>
      </c>
      <c r="E136" t="s">
        <v>2124</v>
      </c>
      <c r="F136" s="116" t="str">
        <f t="shared" si="4"/>
        <v>Included</v>
      </c>
      <c r="G136" t="str">
        <f>IF(B136="","",INDEX(SF_Output!$K$1:$K$400,MATCH(B136,SF_Output!$M$1:$M$400,0)))</f>
        <v>Card Processing Solutions (CPS)</v>
      </c>
      <c r="H136" cm="1">
        <f t="array" ref="H136">_xlfn.IFS(B136="","",(SUMIFS(SF_Output!$F$1:$F$400,SF_Output!$AC$1:$AC$400,_xlfn.TEXTJOIN(",",TRUE,B136:E136))+SUMIFS(SF_Output!$G$1:$G$400,SF_Output!$AC$1:$AC$400,_xlfn.TEXTJOIN(",",TRUE,B136:E136)))&lt;&gt;0,SF_Output!$Y$2,INDEX(SF_Output!$F$1:$F$400,MATCH(_xlfn.TEXTJOIN(",",TRUE,B136:E136),SF_Output!$AC$1:$AC$400,0))=0,INDEX(SF_Output!$R$1:$R$400,MATCH(_xlfn.TEXTJOIN(",",TRUE,B136:E136),SF_Output!$AC$1:$AC$400,0)))</f>
        <v>0</v>
      </c>
      <c r="I136" s="125" t="str">
        <f>IFERROR(IF(AND(H136&gt;1,H136&lt;&gt;""),ROUND(SUMIFS(SF_Output!$S$1:$S$400,SF_Output!$AC$1:$AC$400,_xlfn.TEXTJOIN(",",TRUE,B136:E136),SF_Output!$Q$1:$Q$400,"monthly")*(1-W136)/H136,4),""),"")</f>
        <v/>
      </c>
      <c r="J136" s="6">
        <f>IF(B136="","",SUMIFS(SF_Output!$S$1:$S$400,SF_Output!$AC$1:$AC$400,_xlfn.TEXTJOIN(",",TRUE,B136:E136),SF_Output!$Q$1:$Q$400,"One Time",SF_Output!$L$1:$L$400,"license fee")+SUMIFS(SF_Output!$S$1:$S$400,SF_Output!$AC$1:$AC$400,_xlfn.TEXTJOIN(",",TRUE,B136:E136),SF_Output!$Q$1:$Q$400,"One Time",SF_Output!$L$1:$L$400,"software license")+SUMIFS(SF_Output!$S$1:$S$400,SF_Output!$AC$1:$AC$400,_xlfn.TEXTJOIN(",",TRUE,B136:E136),SF_Output!$Q$1:$Q$400,"One Time",SF_Output!$L$1:$L$400,"hardware"))</f>
        <v>0</v>
      </c>
      <c r="K136" s="112" t="str">
        <f>IF(OR(B136=0,B136="",G136="hardware",J136=0),"",IF(AF136&lt;&gt;"exclusion",MAX(K$9,-((SUMIFS(SF_Output!$T$1:$T$400,SF_Output!$AC$1:$AC$400,_xlfn.TEXTJOIN(",",TRUE,$B136:$E136),SF_Output!$Q$1:$Q$400,"One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license"))/J136)))</f>
        <v/>
      </c>
      <c r="L136" s="6">
        <f t="shared" si="5"/>
        <v>0</v>
      </c>
      <c r="N136" s="6">
        <f>IF(B136="","",SUMIFS(SF_Output!$S$1:$S$400,SF_Output!$AC$1:$AC$400,_xlfn.TEXTJOIN(",",TRUE,B136:E136),SF_Output!$Q$1:$Q$400,"One Time",SF_Output!$L$1:$L$400,"professional service"))</f>
        <v>0</v>
      </c>
      <c r="O136" s="112" t="str">
        <f>IF(OR(B136=0,B136="",N136=0),"",IF(AF136&lt;&gt;"exclusion",MAX(O$9,-(SUMIFS(SF_Output!$T$1:$T$400,SF_Output!$AC$1:$AC$400,_xlfn.TEXTJOIN(",",TRUE,$B136:$E136),SF_Output!$Q$1:$Q$400,"One Time",SF_Output!$L$1:$L$400,"professional service"))/N136),-((SUMIFS(SF_Output!$T$1:$T$400,SF_Output!$AC$1:$AC$400,_xlfn.TEXTJOIN(",",TRUE,$B136:$E136),SF_Output!$Q$1:$Q$400,"One Time",SF_Output!$L$1:$L$400,"professional service")/N136))))</f>
        <v/>
      </c>
      <c r="P136" s="6">
        <f t="shared" si="6"/>
        <v>0</v>
      </c>
      <c r="R136" s="6">
        <f>IF(B136="","",SUMIFS(SF_Output!$S$1:$S$400,SF_Output!$AC$1:$AC$400,_xlfn.TEXTJOIN(",",TRUE,B136:E136),SF_Output!$Q$1:$Q$400,"yearly")+SUMIFS(SF_Output!$S$1:$S$400,SF_Output!$AC$1:$AC$400,_xlfn.TEXTJOIN(",",TRUE,B136:E136),SF_Output!$Q$1:$Q$400,"quarterly")*4)</f>
        <v>0</v>
      </c>
      <c r="S136" s="112" t="str">
        <f>IF(OR(B136=0,B136="",G136="hardware",R136=0),"",IF(AF136&lt;&gt;"exclusion",MAX(S$9,-(SUMIFS(SF_Output!$T$1:$T$400,SF_Output!$AC$1:$AC$400,_xlfn.TEXTJOIN(",",TRUE,$B136:$E136),SF_Output!$Q$1:$Q$400,"yearly"))/R136),-((SUMIFS(SF_Output!$T$1:$T$400,SF_Output!$AC$1:$AC$400,_xlfn.TEXTJOIN(",",TRUE,$B136:$E136),SF_Output!$Q$1:$Q$400,"yearly")/R136))))</f>
        <v/>
      </c>
      <c r="T136" s="6">
        <f t="shared" si="7"/>
        <v>0</v>
      </c>
      <c r="V136" s="6" cm="1">
        <f t="array" ref="V136">_xlfn.IFS(B136="","",AND(B136&lt;&gt;"",H136=SF_Output!$Y$2,SUMIFS(SF_Output!$T$1:$T$400,SF_Output!$AC$1:$AC$400,_xlfn.TEXTJOIN(",",TRUE,B136:E136),SF_Output!$Q$1:$Q$400,"monthly")=0),(SUMIFS(SF_Output!$F$1:$F$400,SF_Output!$AC$1:$AC$400,_xlfn.TEXTJOIN(",",TRUE,B136:E136),SF_Output!$Q$1:$Q$400,"monthly")+SUMIFS(SF_Output!$G$1:$G$400,SF_Output!$AC$1:$AC$400,_xlfn.TEXTJOIN(",",TRUE,B136:E136),SF_Output!$Q$1:$Q$400,"monthly"))*H136,AND(B136&lt;&gt;"",H136=SF_Output!$Y$2,SUMIFS(SF_Output!$T$1:$T$400,SF_Output!$AC$1:$AC$400,_xlfn.TEXTJOIN(",",TRUE,B136:E136),SF_Output!$Q$1:$Q$400,"monthly")&lt;&gt;0),SUMIFS(SF_Output!$S$1:$S$400,SF_Output!$AC$1:$AC$400,_xlfn.TEXTJOIN(",",TRUE,B136:E136),SF_Output!$Q$1:$Q$400,"monthly"),AND(B136&lt;&gt;"",H136&lt;&gt;SF_Output!$Y$2),SUMIFS(SF_Output!$S$1:$S$400,SF_Output!$AC$1:$AC$400,_xlfn.TEXTJOIN(",",TRUE,B136:E136),SF_Output!$Q$1:$Q$400,"monthly"))</f>
        <v>0</v>
      </c>
      <c r="W136" s="112" t="str" cm="1">
        <f t="array" ref="W136">_xlfn.IFS(OR(B136=0,B136="",V136=0),"",AF136&lt;&gt;"exclusion",MAX($W$9,$W$7,(-(SUMIFS(SF_Output!$T$1:$T$400,SF_Output!$AC$1:$AC$400,_xlfn.TEXTJOIN(",",TRUE,$B136:$E136),SF_Output!$Q$1:$Q$400,"monthly"))/V136)),AF136="exclusion",-(SUMIFS(SF_Output!$T$1:$T$400,SF_Output!$AC$1:$AC$400,_xlfn.TEXTJOIN(",",TRUE,$B136:$E136),SF_Output!$Q$1:$Q$400,"monthly"))/V136)</f>
        <v/>
      </c>
      <c r="X136" s="6" cm="1">
        <f t="array" ref="X136">IFERROR(_xlfn.IFS(V136=0,0,V136="","",W136=0,V136,OR(V136&lt;&gt;0,V136&lt;&gt;""),H136*I136),V136*(1-W136))</f>
        <v>0</v>
      </c>
    </row>
    <row r="137" spans="2:24" x14ac:dyDescent="0.25">
      <c r="B137" t="s">
        <v>2436</v>
      </c>
      <c r="C137" t="s">
        <v>2122</v>
      </c>
      <c r="D137" t="s">
        <v>2207</v>
      </c>
      <c r="E137" t="s">
        <v>2124</v>
      </c>
      <c r="F137" s="116" t="str">
        <f t="shared" si="4"/>
        <v>Included</v>
      </c>
      <c r="G137" t="str">
        <f>IF(B137="","",INDEX(SF_Output!$K$1:$K$400,MATCH(B137,SF_Output!$M$1:$M$400,0)))</f>
        <v>Card Processing Solutions (CPS)</v>
      </c>
      <c r="H137" cm="1">
        <f t="array" ref="H137">_xlfn.IFS(B137="","",(SUMIFS(SF_Output!$F$1:$F$400,SF_Output!$AC$1:$AC$400,_xlfn.TEXTJOIN(",",TRUE,B137:E137))+SUMIFS(SF_Output!$G$1:$G$400,SF_Output!$AC$1:$AC$400,_xlfn.TEXTJOIN(",",TRUE,B137:E137)))&lt;&gt;0,SF_Output!$Y$2,INDEX(SF_Output!$F$1:$F$400,MATCH(_xlfn.TEXTJOIN(",",TRUE,B137:E137),SF_Output!$AC$1:$AC$400,0))=0,INDEX(SF_Output!$R$1:$R$400,MATCH(_xlfn.TEXTJOIN(",",TRUE,B137:E137),SF_Output!$AC$1:$AC$400,0)))</f>
        <v>0</v>
      </c>
      <c r="I137" s="125" t="str">
        <f>IFERROR(IF(AND(H137&gt;1,H137&lt;&gt;""),ROUND(SUMIFS(SF_Output!$S$1:$S$400,SF_Output!$AC$1:$AC$400,_xlfn.TEXTJOIN(",",TRUE,B137:E137),SF_Output!$Q$1:$Q$400,"monthly")*(1-W137)/H137,4),""),"")</f>
        <v/>
      </c>
      <c r="J137" s="6">
        <f>IF(B137="","",SUMIFS(SF_Output!$S$1:$S$400,SF_Output!$AC$1:$AC$400,_xlfn.TEXTJOIN(",",TRUE,B137:E137),SF_Output!$Q$1:$Q$400,"One Time",SF_Output!$L$1:$L$400,"license fee")+SUMIFS(SF_Output!$S$1:$S$400,SF_Output!$AC$1:$AC$400,_xlfn.TEXTJOIN(",",TRUE,B137:E137),SF_Output!$Q$1:$Q$400,"One Time",SF_Output!$L$1:$L$400,"software license")+SUMIFS(SF_Output!$S$1:$S$400,SF_Output!$AC$1:$AC$400,_xlfn.TEXTJOIN(",",TRUE,B137:E137),SF_Output!$Q$1:$Q$400,"One Time",SF_Output!$L$1:$L$400,"hardware"))</f>
        <v>0</v>
      </c>
      <c r="K137" s="112" t="str">
        <f>IF(OR(B137=0,B137="",G137="hardware",J137=0),"",IF(AF137&lt;&gt;"exclusion",MAX(K$9,-((SUMIFS(SF_Output!$T$1:$T$400,SF_Output!$AC$1:$AC$400,_xlfn.TEXTJOIN(",",TRUE,$B137:$E137),SF_Output!$Q$1:$Q$400,"One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license"))/J137)))</f>
        <v/>
      </c>
      <c r="L137" s="6">
        <f t="shared" si="5"/>
        <v>0</v>
      </c>
      <c r="N137" s="6">
        <f>IF(B137="","",SUMIFS(SF_Output!$S$1:$S$400,SF_Output!$AC$1:$AC$400,_xlfn.TEXTJOIN(",",TRUE,B137:E137),SF_Output!$Q$1:$Q$400,"One Time",SF_Output!$L$1:$L$400,"professional service"))</f>
        <v>0</v>
      </c>
      <c r="O137" s="112" t="str">
        <f>IF(OR(B137=0,B137="",N137=0),"",IF(AF137&lt;&gt;"exclusion",MAX(O$9,-(SUMIFS(SF_Output!$T$1:$T$400,SF_Output!$AC$1:$AC$400,_xlfn.TEXTJOIN(",",TRUE,$B137:$E137),SF_Output!$Q$1:$Q$400,"One Time",SF_Output!$L$1:$L$400,"professional service"))/N137),-((SUMIFS(SF_Output!$T$1:$T$400,SF_Output!$AC$1:$AC$400,_xlfn.TEXTJOIN(",",TRUE,$B137:$E137),SF_Output!$Q$1:$Q$400,"One Time",SF_Output!$L$1:$L$400,"professional service")/N137))))</f>
        <v/>
      </c>
      <c r="P137" s="6">
        <f t="shared" si="6"/>
        <v>0</v>
      </c>
      <c r="R137" s="6">
        <f>IF(B137="","",SUMIFS(SF_Output!$S$1:$S$400,SF_Output!$AC$1:$AC$400,_xlfn.TEXTJOIN(",",TRUE,B137:E137),SF_Output!$Q$1:$Q$400,"yearly")+SUMIFS(SF_Output!$S$1:$S$400,SF_Output!$AC$1:$AC$400,_xlfn.TEXTJOIN(",",TRUE,B137:E137),SF_Output!$Q$1:$Q$400,"quarterly")*4)</f>
        <v>0</v>
      </c>
      <c r="S137" s="112" t="str">
        <f>IF(OR(B137=0,B137="",G137="hardware",R137=0),"",IF(AF137&lt;&gt;"exclusion",MAX(S$9,-(SUMIFS(SF_Output!$T$1:$T$400,SF_Output!$AC$1:$AC$400,_xlfn.TEXTJOIN(",",TRUE,$B137:$E137),SF_Output!$Q$1:$Q$400,"yearly"))/R137),-((SUMIFS(SF_Output!$T$1:$T$400,SF_Output!$AC$1:$AC$400,_xlfn.TEXTJOIN(",",TRUE,$B137:$E137),SF_Output!$Q$1:$Q$400,"yearly")/R137))))</f>
        <v/>
      </c>
      <c r="T137" s="6">
        <f t="shared" si="7"/>
        <v>0</v>
      </c>
      <c r="V137" s="6" cm="1">
        <f t="array" ref="V137">_xlfn.IFS(B137="","",AND(B137&lt;&gt;"",H137=SF_Output!$Y$2,SUMIFS(SF_Output!$T$1:$T$400,SF_Output!$AC$1:$AC$400,_xlfn.TEXTJOIN(",",TRUE,B137:E137),SF_Output!$Q$1:$Q$400,"monthly")=0),(SUMIFS(SF_Output!$F$1:$F$400,SF_Output!$AC$1:$AC$400,_xlfn.TEXTJOIN(",",TRUE,B137:E137),SF_Output!$Q$1:$Q$400,"monthly")+SUMIFS(SF_Output!$G$1:$G$400,SF_Output!$AC$1:$AC$400,_xlfn.TEXTJOIN(",",TRUE,B137:E137),SF_Output!$Q$1:$Q$400,"monthly"))*H137,AND(B137&lt;&gt;"",H137=SF_Output!$Y$2,SUMIFS(SF_Output!$T$1:$T$400,SF_Output!$AC$1:$AC$400,_xlfn.TEXTJOIN(",",TRUE,B137:E137),SF_Output!$Q$1:$Q$400,"monthly")&lt;&gt;0),SUMIFS(SF_Output!$S$1:$S$400,SF_Output!$AC$1:$AC$400,_xlfn.TEXTJOIN(",",TRUE,B137:E137),SF_Output!$Q$1:$Q$400,"monthly"),AND(B137&lt;&gt;"",H137&lt;&gt;SF_Output!$Y$2),SUMIFS(SF_Output!$S$1:$S$400,SF_Output!$AC$1:$AC$400,_xlfn.TEXTJOIN(",",TRUE,B137:E137),SF_Output!$Q$1:$Q$400,"monthly"))</f>
        <v>0</v>
      </c>
      <c r="W137" s="112" t="str" cm="1">
        <f t="array" ref="W137">_xlfn.IFS(OR(B137=0,B137="",V137=0),"",AF137&lt;&gt;"exclusion",MAX($W$9,$W$7,(-(SUMIFS(SF_Output!$T$1:$T$400,SF_Output!$AC$1:$AC$400,_xlfn.TEXTJOIN(",",TRUE,$B137:$E137),SF_Output!$Q$1:$Q$400,"monthly"))/V137)),AF137="exclusion",-(SUMIFS(SF_Output!$T$1:$T$400,SF_Output!$AC$1:$AC$400,_xlfn.TEXTJOIN(",",TRUE,$B137:$E137),SF_Output!$Q$1:$Q$400,"monthly"))/V137)</f>
        <v/>
      </c>
      <c r="X137" s="6" cm="1">
        <f t="array" ref="X137">IFERROR(_xlfn.IFS(V137=0,0,V137="","",W137=0,V137,OR(V137&lt;&gt;0,V137&lt;&gt;""),H137*I137),V137*(1-W137))</f>
        <v>0</v>
      </c>
    </row>
    <row r="138" spans="2:24" x14ac:dyDescent="0.25">
      <c r="B138" t="s">
        <v>2438</v>
      </c>
      <c r="C138" t="s">
        <v>2122</v>
      </c>
      <c r="D138" t="s">
        <v>2207</v>
      </c>
      <c r="E138" t="s">
        <v>2124</v>
      </c>
      <c r="F138" s="116" t="str">
        <f t="shared" si="4"/>
        <v>Included</v>
      </c>
      <c r="G138" t="str">
        <f>IF(B138="","",INDEX(SF_Output!$K$1:$K$400,MATCH(B138,SF_Output!$M$1:$M$400,0)))</f>
        <v>Card Processing Solutions (CPS)</v>
      </c>
      <c r="H138" cm="1">
        <f t="array" ref="H138">_xlfn.IFS(B138="","",(SUMIFS(SF_Output!$F$1:$F$400,SF_Output!$AC$1:$AC$400,_xlfn.TEXTJOIN(",",TRUE,B138:E138))+SUMIFS(SF_Output!$G$1:$G$400,SF_Output!$AC$1:$AC$400,_xlfn.TEXTJOIN(",",TRUE,B138:E138)))&lt;&gt;0,SF_Output!$Y$2,INDEX(SF_Output!$F$1:$F$400,MATCH(_xlfn.TEXTJOIN(",",TRUE,B138:E138),SF_Output!$AC$1:$AC$400,0))=0,INDEX(SF_Output!$R$1:$R$400,MATCH(_xlfn.TEXTJOIN(",",TRUE,B138:E138),SF_Output!$AC$1:$AC$400,0)))</f>
        <v>0</v>
      </c>
      <c r="I138" s="125" t="str">
        <f>IFERROR(IF(AND(H138&gt;1,H138&lt;&gt;""),ROUND(SUMIFS(SF_Output!$S$1:$S$400,SF_Output!$AC$1:$AC$400,_xlfn.TEXTJOIN(",",TRUE,B138:E138),SF_Output!$Q$1:$Q$400,"monthly")*(1-W138)/H138,4),""),"")</f>
        <v/>
      </c>
      <c r="J138" s="6">
        <f>IF(B138="","",SUMIFS(SF_Output!$S$1:$S$400,SF_Output!$AC$1:$AC$400,_xlfn.TEXTJOIN(",",TRUE,B138:E138),SF_Output!$Q$1:$Q$400,"One Time",SF_Output!$L$1:$L$400,"license fee")+SUMIFS(SF_Output!$S$1:$S$400,SF_Output!$AC$1:$AC$400,_xlfn.TEXTJOIN(",",TRUE,B138:E138),SF_Output!$Q$1:$Q$400,"One Time",SF_Output!$L$1:$L$400,"software license")+SUMIFS(SF_Output!$S$1:$S$400,SF_Output!$AC$1:$AC$400,_xlfn.TEXTJOIN(",",TRUE,B138:E138),SF_Output!$Q$1:$Q$400,"One Time",SF_Output!$L$1:$L$400,"hardware"))</f>
        <v>0</v>
      </c>
      <c r="K138" s="112" t="str">
        <f>IF(OR(B138=0,B138="",G138="hardware",J138=0),"",IF(AF138&lt;&gt;"exclusion",MAX(K$9,-((SUMIFS(SF_Output!$T$1:$T$400,SF_Output!$AC$1:$AC$400,_xlfn.TEXTJOIN(",",TRUE,$B138:$E138),SF_Output!$Q$1:$Q$400,"One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license"))/J138)))</f>
        <v/>
      </c>
      <c r="L138" s="6">
        <f t="shared" si="5"/>
        <v>0</v>
      </c>
      <c r="N138" s="6">
        <f>IF(B138="","",SUMIFS(SF_Output!$S$1:$S$400,SF_Output!$AC$1:$AC$400,_xlfn.TEXTJOIN(",",TRUE,B138:E138),SF_Output!$Q$1:$Q$400,"One Time",SF_Output!$L$1:$L$400,"professional service"))</f>
        <v>2500</v>
      </c>
      <c r="O138" s="112">
        <f>IF(OR(B138=0,B138="",N138=0),"",IF(AF138&lt;&gt;"exclusion",MAX(O$9,-(SUMIFS(SF_Output!$T$1:$T$400,SF_Output!$AC$1:$AC$400,_xlfn.TEXTJOIN(",",TRUE,$B138:$E138),SF_Output!$Q$1:$Q$400,"One Time",SF_Output!$L$1:$L$400,"professional service"))/N138),-((SUMIFS(SF_Output!$T$1:$T$400,SF_Output!$AC$1:$AC$400,_xlfn.TEXTJOIN(",",TRUE,$B138:$E138),SF_Output!$Q$1:$Q$400,"One Time",SF_Output!$L$1:$L$400,"professional service")/N138))))</f>
        <v>1</v>
      </c>
      <c r="P138" s="6">
        <f t="shared" si="6"/>
        <v>0</v>
      </c>
      <c r="R138" s="6">
        <f>IF(B138="","",SUMIFS(SF_Output!$S$1:$S$400,SF_Output!$AC$1:$AC$400,_xlfn.TEXTJOIN(",",TRUE,B138:E138),SF_Output!$Q$1:$Q$400,"yearly")+SUMIFS(SF_Output!$S$1:$S$400,SF_Output!$AC$1:$AC$400,_xlfn.TEXTJOIN(",",TRUE,B138:E138),SF_Output!$Q$1:$Q$400,"quarterly")*4)</f>
        <v>0</v>
      </c>
      <c r="S138" s="112" t="str">
        <f>IF(OR(B138=0,B138="",G138="hardware",R138=0),"",IF(AF138&lt;&gt;"exclusion",MAX(S$9,-(SUMIFS(SF_Output!$T$1:$T$400,SF_Output!$AC$1:$AC$400,_xlfn.TEXTJOIN(",",TRUE,$B138:$E138),SF_Output!$Q$1:$Q$400,"yearly"))/R138),-((SUMIFS(SF_Output!$T$1:$T$400,SF_Output!$AC$1:$AC$400,_xlfn.TEXTJOIN(",",TRUE,$B138:$E138),SF_Output!$Q$1:$Q$400,"yearly")/R138))))</f>
        <v/>
      </c>
      <c r="T138" s="6">
        <f t="shared" si="7"/>
        <v>0</v>
      </c>
      <c r="V138" s="6" cm="1">
        <f t="array" ref="V138">_xlfn.IFS(B138="","",AND(B138&lt;&gt;"",H138=SF_Output!$Y$2,SUMIFS(SF_Output!$T$1:$T$400,SF_Output!$AC$1:$AC$400,_xlfn.TEXTJOIN(",",TRUE,B138:E138),SF_Output!$Q$1:$Q$400,"monthly")=0),(SUMIFS(SF_Output!$F$1:$F$400,SF_Output!$AC$1:$AC$400,_xlfn.TEXTJOIN(",",TRUE,B138:E138),SF_Output!$Q$1:$Q$400,"monthly")+SUMIFS(SF_Output!$G$1:$G$400,SF_Output!$AC$1:$AC$400,_xlfn.TEXTJOIN(",",TRUE,B138:E138),SF_Output!$Q$1:$Q$400,"monthly"))*H138,AND(B138&lt;&gt;"",H138=SF_Output!$Y$2,SUMIFS(SF_Output!$T$1:$T$400,SF_Output!$AC$1:$AC$400,_xlfn.TEXTJOIN(",",TRUE,B138:E138),SF_Output!$Q$1:$Q$400,"monthly")&lt;&gt;0),SUMIFS(SF_Output!$S$1:$S$400,SF_Output!$AC$1:$AC$400,_xlfn.TEXTJOIN(",",TRUE,B138:E138),SF_Output!$Q$1:$Q$400,"monthly"),AND(B138&lt;&gt;"",H138&lt;&gt;SF_Output!$Y$2),SUMIFS(SF_Output!$S$1:$S$400,SF_Output!$AC$1:$AC$400,_xlfn.TEXTJOIN(",",TRUE,B138:E138),SF_Output!$Q$1:$Q$400,"monthly"))</f>
        <v>100</v>
      </c>
      <c r="W138" s="112" cm="1">
        <f t="array" ref="W138">_xlfn.IFS(OR(B138=0,B138="",V138=0),"",AF138&lt;&gt;"exclusion",MAX($W$9,$W$7,(-(SUMIFS(SF_Output!$T$1:$T$400,SF_Output!$AC$1:$AC$400,_xlfn.TEXTJOIN(",",TRUE,$B138:$E138),SF_Output!$Q$1:$Q$400,"monthly"))/V138)),AF138="exclusion",-(SUMIFS(SF_Output!$T$1:$T$400,SF_Output!$AC$1:$AC$400,_xlfn.TEXTJOIN(",",TRUE,$B138:$E138),SF_Output!$Q$1:$Q$400,"monthly"))/V138)</f>
        <v>0</v>
      </c>
      <c r="X138" s="6" cm="1">
        <f t="array" ref="X138">IFERROR(_xlfn.IFS(V138=0,0,V138="","",W138=0,V138,OR(V138&lt;&gt;0,V138&lt;&gt;""),H138*I138),V138*(1-W138))</f>
        <v>100</v>
      </c>
    </row>
    <row r="139" spans="2:24" x14ac:dyDescent="0.25">
      <c r="B139" t="s">
        <v>2441</v>
      </c>
      <c r="C139" t="s">
        <v>2122</v>
      </c>
      <c r="D139" t="s">
        <v>2207</v>
      </c>
      <c r="E139" t="s">
        <v>2124</v>
      </c>
      <c r="F139" s="116" t="str">
        <f t="shared" si="4"/>
        <v>Included</v>
      </c>
      <c r="G139" t="str">
        <f>IF(B139="","",INDEX(SF_Output!$K$1:$K$400,MATCH(B139,SF_Output!$M$1:$M$400,0)))</f>
        <v>Card Processing Solutions (CPS)</v>
      </c>
      <c r="H139" cm="1">
        <f t="array" ref="H139">_xlfn.IFS(B139="","",(SUMIFS(SF_Output!$F$1:$F$400,SF_Output!$AC$1:$AC$400,_xlfn.TEXTJOIN(",",TRUE,B139:E139))+SUMIFS(SF_Output!$G$1:$G$400,SF_Output!$AC$1:$AC$400,_xlfn.TEXTJOIN(",",TRUE,B139:E139)))&lt;&gt;0,SF_Output!$Y$2,INDEX(SF_Output!$F$1:$F$400,MATCH(_xlfn.TEXTJOIN(",",TRUE,B139:E139),SF_Output!$AC$1:$AC$400,0))=0,INDEX(SF_Output!$R$1:$R$400,MATCH(_xlfn.TEXTJOIN(",",TRUE,B139:E139),SF_Output!$AC$1:$AC$400,0)))</f>
        <v>1</v>
      </c>
      <c r="I139" s="125" t="str">
        <f>IFERROR(IF(AND(H139&gt;1,H139&lt;&gt;""),ROUND(SUMIFS(SF_Output!$S$1:$S$400,SF_Output!$AC$1:$AC$400,_xlfn.TEXTJOIN(",",TRUE,B139:E139),SF_Output!$Q$1:$Q$400,"monthly")*(1-W139)/H139,4),""),"")</f>
        <v/>
      </c>
      <c r="J139" s="6">
        <f>IF(B139="","",SUMIFS(SF_Output!$S$1:$S$400,SF_Output!$AC$1:$AC$400,_xlfn.TEXTJOIN(",",TRUE,B139:E139),SF_Output!$Q$1:$Q$400,"One Time",SF_Output!$L$1:$L$400,"license fee")+SUMIFS(SF_Output!$S$1:$S$400,SF_Output!$AC$1:$AC$400,_xlfn.TEXTJOIN(",",TRUE,B139:E139),SF_Output!$Q$1:$Q$400,"One Time",SF_Output!$L$1:$L$400,"software license")+SUMIFS(SF_Output!$S$1:$S$400,SF_Output!$AC$1:$AC$400,_xlfn.TEXTJOIN(",",TRUE,B139:E139),SF_Output!$Q$1:$Q$400,"One Time",SF_Output!$L$1:$L$400,"hardware"))</f>
        <v>0</v>
      </c>
      <c r="K139" s="112" t="str">
        <f>IF(OR(B139=0,B139="",G139="hardware",J139=0),"",IF(AF139&lt;&gt;"exclusion",MAX(K$9,-((SUMIFS(SF_Output!$T$1:$T$400,SF_Output!$AC$1:$AC$400,_xlfn.TEXTJOIN(",",TRUE,$B139:$E139),SF_Output!$Q$1:$Q$400,"One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license"))/J139)))</f>
        <v/>
      </c>
      <c r="L139" s="6">
        <f t="shared" si="5"/>
        <v>0</v>
      </c>
      <c r="N139" s="6">
        <f>IF(B139="","",SUMIFS(SF_Output!$S$1:$S$400,SF_Output!$AC$1:$AC$400,_xlfn.TEXTJOIN(",",TRUE,B139:E139),SF_Output!$Q$1:$Q$400,"One Time",SF_Output!$L$1:$L$400,"professional service"))</f>
        <v>500</v>
      </c>
      <c r="O139" s="112">
        <f>IF(OR(B139=0,B139="",N139=0),"",IF(AF139&lt;&gt;"exclusion",MAX(O$9,-(SUMIFS(SF_Output!$T$1:$T$400,SF_Output!$AC$1:$AC$400,_xlfn.TEXTJOIN(",",TRUE,$B139:$E139),SF_Output!$Q$1:$Q$400,"One Time",SF_Output!$L$1:$L$400,"professional service"))/N139),-((SUMIFS(SF_Output!$T$1:$T$400,SF_Output!$AC$1:$AC$400,_xlfn.TEXTJOIN(",",TRUE,$B139:$E139),SF_Output!$Q$1:$Q$400,"One Time",SF_Output!$L$1:$L$400,"professional service")/N139))))</f>
        <v>1</v>
      </c>
      <c r="P139" s="6">
        <f t="shared" si="6"/>
        <v>0</v>
      </c>
      <c r="R139" s="6">
        <f>IF(B139="","",SUMIFS(SF_Output!$S$1:$S$400,SF_Output!$AC$1:$AC$400,_xlfn.TEXTJOIN(",",TRUE,B139:E139),SF_Output!$Q$1:$Q$400,"yearly")+SUMIFS(SF_Output!$S$1:$S$400,SF_Output!$AC$1:$AC$400,_xlfn.TEXTJOIN(",",TRUE,B139:E139),SF_Output!$Q$1:$Q$400,"quarterly")*4)</f>
        <v>0</v>
      </c>
      <c r="S139" s="112" t="str">
        <f>IF(OR(B139=0,B139="",G139="hardware",R139=0),"",IF(AF139&lt;&gt;"exclusion",MAX(S$9,-(SUMIFS(SF_Output!$T$1:$T$400,SF_Output!$AC$1:$AC$400,_xlfn.TEXTJOIN(",",TRUE,$B139:$E139),SF_Output!$Q$1:$Q$400,"yearly"))/R139),-((SUMIFS(SF_Output!$T$1:$T$400,SF_Output!$AC$1:$AC$400,_xlfn.TEXTJOIN(",",TRUE,$B139:$E139),SF_Output!$Q$1:$Q$400,"yearly")/R139))))</f>
        <v/>
      </c>
      <c r="T139" s="6">
        <f t="shared" si="7"/>
        <v>0</v>
      </c>
      <c r="V139" s="6" cm="1">
        <f t="array" ref="V139">_xlfn.IFS(B139="","",AND(B139&lt;&gt;"",H139=SF_Output!$Y$2,SUMIFS(SF_Output!$T$1:$T$400,SF_Output!$AC$1:$AC$400,_xlfn.TEXTJOIN(",",TRUE,B139:E139),SF_Output!$Q$1:$Q$400,"monthly")=0),(SUMIFS(SF_Output!$F$1:$F$400,SF_Output!$AC$1:$AC$400,_xlfn.TEXTJOIN(",",TRUE,B139:E139),SF_Output!$Q$1:$Q$400,"monthly")+SUMIFS(SF_Output!$G$1:$G$400,SF_Output!$AC$1:$AC$400,_xlfn.TEXTJOIN(",",TRUE,B139:E139),SF_Output!$Q$1:$Q$400,"monthly"))*H139,AND(B139&lt;&gt;"",H139=SF_Output!$Y$2,SUMIFS(SF_Output!$T$1:$T$400,SF_Output!$AC$1:$AC$400,_xlfn.TEXTJOIN(",",TRUE,B139:E139),SF_Output!$Q$1:$Q$400,"monthly")&lt;&gt;0),SUMIFS(SF_Output!$S$1:$S$400,SF_Output!$AC$1:$AC$400,_xlfn.TEXTJOIN(",",TRUE,B139:E139),SF_Output!$Q$1:$Q$400,"monthly"),AND(B139&lt;&gt;"",H139&lt;&gt;SF_Output!$Y$2),SUMIFS(SF_Output!$S$1:$S$400,SF_Output!$AC$1:$AC$400,_xlfn.TEXTJOIN(",",TRUE,B139:E139),SF_Output!$Q$1:$Q$400,"monthly"))</f>
        <v>100</v>
      </c>
      <c r="W139" s="112" cm="1">
        <f t="array" ref="W139">_xlfn.IFS(OR(B139=0,B139="",V139=0),"",AF139&lt;&gt;"exclusion",MAX($W$9,$W$7,(-(SUMIFS(SF_Output!$T$1:$T$400,SF_Output!$AC$1:$AC$400,_xlfn.TEXTJOIN(",",TRUE,$B139:$E139),SF_Output!$Q$1:$Q$400,"monthly"))/V139)),AF139="exclusion",-(SUMIFS(SF_Output!$T$1:$T$400,SF_Output!$AC$1:$AC$400,_xlfn.TEXTJOIN(",",TRUE,$B139:$E139),SF_Output!$Q$1:$Q$400,"monthly"))/V139)</f>
        <v>0</v>
      </c>
      <c r="X139" s="6" cm="1">
        <f t="array" ref="X139">IFERROR(_xlfn.IFS(V139=0,0,V139="","",W139=0,V139,OR(V139&lt;&gt;0,V139&lt;&gt;""),H139*I139),V139*(1-W139))</f>
        <v>100</v>
      </c>
    </row>
    <row r="140" spans="2:24" x14ac:dyDescent="0.25">
      <c r="B140" t="s">
        <v>2444</v>
      </c>
      <c r="C140" t="s">
        <v>2122</v>
      </c>
      <c r="D140" t="s">
        <v>2207</v>
      </c>
      <c r="E140" t="s">
        <v>2124</v>
      </c>
      <c r="F140" s="116" t="str">
        <f t="shared" si="4"/>
        <v>Included</v>
      </c>
      <c r="G140" t="str">
        <f>IF(B140="","",INDEX(SF_Output!$K$1:$K$400,MATCH(B140,SF_Output!$M$1:$M$400,0)))</f>
        <v>Card Processing Solutions (CPS)</v>
      </c>
      <c r="H140" cm="1">
        <f t="array" ref="H140">_xlfn.IFS(B140="","",(SUMIFS(SF_Output!$F$1:$F$400,SF_Output!$AC$1:$AC$400,_xlfn.TEXTJOIN(",",TRUE,B140:E140))+SUMIFS(SF_Output!$G$1:$G$400,SF_Output!$AC$1:$AC$400,_xlfn.TEXTJOIN(",",TRUE,B140:E140)))&lt;&gt;0,SF_Output!$Y$2,INDEX(SF_Output!$F$1:$F$400,MATCH(_xlfn.TEXTJOIN(",",TRUE,B140:E140),SF_Output!$AC$1:$AC$400,0))=0,INDEX(SF_Output!$R$1:$R$400,MATCH(_xlfn.TEXTJOIN(",",TRUE,B140:E140),SF_Output!$AC$1:$AC$400,0)))</f>
        <v>0</v>
      </c>
      <c r="I140" s="125" t="str">
        <f>IFERROR(IF(AND(H140&gt;1,H140&lt;&gt;""),ROUND(SUMIFS(SF_Output!$S$1:$S$400,SF_Output!$AC$1:$AC$400,_xlfn.TEXTJOIN(",",TRUE,B140:E140),SF_Output!$Q$1:$Q$400,"monthly")*(1-W140)/H140,4),""),"")</f>
        <v/>
      </c>
      <c r="J140" s="6">
        <f>IF(B140="","",SUMIFS(SF_Output!$S$1:$S$400,SF_Output!$AC$1:$AC$400,_xlfn.TEXTJOIN(",",TRUE,B140:E140),SF_Output!$Q$1:$Q$400,"One Time",SF_Output!$L$1:$L$400,"license fee")+SUMIFS(SF_Output!$S$1:$S$400,SF_Output!$AC$1:$AC$400,_xlfn.TEXTJOIN(",",TRUE,B140:E140),SF_Output!$Q$1:$Q$400,"One Time",SF_Output!$L$1:$L$400,"software license")+SUMIFS(SF_Output!$S$1:$S$400,SF_Output!$AC$1:$AC$400,_xlfn.TEXTJOIN(",",TRUE,B140:E140),SF_Output!$Q$1:$Q$400,"One Time",SF_Output!$L$1:$L$400,"hardware"))</f>
        <v>0</v>
      </c>
      <c r="K140" s="112" t="str">
        <f>IF(OR(B140=0,B140="",G140="hardware",J140=0),"",IF(AF140&lt;&gt;"exclusion",MAX(K$9,-((SUMIFS(SF_Output!$T$1:$T$400,SF_Output!$AC$1:$AC$400,_xlfn.TEXTJOIN(",",TRUE,$B140:$E140),SF_Output!$Q$1:$Q$400,"One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license"))/J140)))</f>
        <v/>
      </c>
      <c r="L140" s="6">
        <f t="shared" si="5"/>
        <v>0</v>
      </c>
      <c r="N140" s="6">
        <f>IF(B140="","",SUMIFS(SF_Output!$S$1:$S$400,SF_Output!$AC$1:$AC$400,_xlfn.TEXTJOIN(",",TRUE,B140:E140),SF_Output!$Q$1:$Q$400,"One Time",SF_Output!$L$1:$L$400,"professional service"))</f>
        <v>0</v>
      </c>
      <c r="O140" s="112" t="str">
        <f>IF(OR(B140=0,B140="",N140=0),"",IF(AF140&lt;&gt;"exclusion",MAX(O$9,-(SUMIFS(SF_Output!$T$1:$T$400,SF_Output!$AC$1:$AC$400,_xlfn.TEXTJOIN(",",TRUE,$B140:$E140),SF_Output!$Q$1:$Q$400,"One Time",SF_Output!$L$1:$L$400,"professional service"))/N140),-((SUMIFS(SF_Output!$T$1:$T$400,SF_Output!$AC$1:$AC$400,_xlfn.TEXTJOIN(",",TRUE,$B140:$E140),SF_Output!$Q$1:$Q$400,"One Time",SF_Output!$L$1:$L$400,"professional service")/N140))))</f>
        <v/>
      </c>
      <c r="P140" s="6">
        <f t="shared" si="6"/>
        <v>0</v>
      </c>
      <c r="R140" s="6">
        <f>IF(B140="","",SUMIFS(SF_Output!$S$1:$S$400,SF_Output!$AC$1:$AC$400,_xlfn.TEXTJOIN(",",TRUE,B140:E140),SF_Output!$Q$1:$Q$400,"yearly")+SUMIFS(SF_Output!$S$1:$S$400,SF_Output!$AC$1:$AC$400,_xlfn.TEXTJOIN(",",TRUE,B140:E140),SF_Output!$Q$1:$Q$400,"quarterly")*4)</f>
        <v>0</v>
      </c>
      <c r="S140" s="112" t="str">
        <f>IF(OR(B140=0,B140="",G140="hardware",R140=0),"",IF(AF140&lt;&gt;"exclusion",MAX(S$9,-(SUMIFS(SF_Output!$T$1:$T$400,SF_Output!$AC$1:$AC$400,_xlfn.TEXTJOIN(",",TRUE,$B140:$E140),SF_Output!$Q$1:$Q$400,"yearly"))/R140),-((SUMIFS(SF_Output!$T$1:$T$400,SF_Output!$AC$1:$AC$400,_xlfn.TEXTJOIN(",",TRUE,$B140:$E140),SF_Output!$Q$1:$Q$400,"yearly")/R140))))</f>
        <v/>
      </c>
      <c r="T140" s="6">
        <f t="shared" si="7"/>
        <v>0</v>
      </c>
      <c r="V140" s="6" cm="1">
        <f t="array" ref="V140">_xlfn.IFS(B140="","",AND(B140&lt;&gt;"",H140=SF_Output!$Y$2,SUMIFS(SF_Output!$T$1:$T$400,SF_Output!$AC$1:$AC$400,_xlfn.TEXTJOIN(",",TRUE,B140:E140),SF_Output!$Q$1:$Q$400,"monthly")=0),(SUMIFS(SF_Output!$F$1:$F$400,SF_Output!$AC$1:$AC$400,_xlfn.TEXTJOIN(",",TRUE,B140:E140),SF_Output!$Q$1:$Q$400,"monthly")+SUMIFS(SF_Output!$G$1:$G$400,SF_Output!$AC$1:$AC$400,_xlfn.TEXTJOIN(",",TRUE,B140:E140),SF_Output!$Q$1:$Q$400,"monthly"))*H140,AND(B140&lt;&gt;"",H140=SF_Output!$Y$2,SUMIFS(SF_Output!$T$1:$T$400,SF_Output!$AC$1:$AC$400,_xlfn.TEXTJOIN(",",TRUE,B140:E140),SF_Output!$Q$1:$Q$400,"monthly")&lt;&gt;0),SUMIFS(SF_Output!$S$1:$S$400,SF_Output!$AC$1:$AC$400,_xlfn.TEXTJOIN(",",TRUE,B140:E140),SF_Output!$Q$1:$Q$400,"monthly"),AND(B140&lt;&gt;"",H140&lt;&gt;SF_Output!$Y$2),SUMIFS(SF_Output!$S$1:$S$400,SF_Output!$AC$1:$AC$400,_xlfn.TEXTJOIN(",",TRUE,B140:E140),SF_Output!$Q$1:$Q$400,"monthly"))</f>
        <v>0</v>
      </c>
      <c r="W140" s="112" t="str" cm="1">
        <f t="array" ref="W140">_xlfn.IFS(OR(B140=0,B140="",V140=0),"",AF140&lt;&gt;"exclusion",MAX($W$9,$W$7,(-(SUMIFS(SF_Output!$T$1:$T$400,SF_Output!$AC$1:$AC$400,_xlfn.TEXTJOIN(",",TRUE,$B140:$E140),SF_Output!$Q$1:$Q$400,"monthly"))/V140)),AF140="exclusion",-(SUMIFS(SF_Output!$T$1:$T$400,SF_Output!$AC$1:$AC$400,_xlfn.TEXTJOIN(",",TRUE,$B140:$E140),SF_Output!$Q$1:$Q$400,"monthly"))/V140)</f>
        <v/>
      </c>
      <c r="X140" s="6" cm="1">
        <f t="array" ref="X140">IFERROR(_xlfn.IFS(V140=0,0,V140="","",W140=0,V140,OR(V140&lt;&gt;0,V140&lt;&gt;""),H140*I140),V140*(1-W140))</f>
        <v>0</v>
      </c>
    </row>
    <row r="141" spans="2:24" x14ac:dyDescent="0.25">
      <c r="B141" t="s">
        <v>2446</v>
      </c>
      <c r="C141" t="s">
        <v>2122</v>
      </c>
      <c r="D141" t="s">
        <v>2207</v>
      </c>
      <c r="E141" t="s">
        <v>2124</v>
      </c>
      <c r="F141" s="116" t="str">
        <f t="shared" si="4"/>
        <v>Included</v>
      </c>
      <c r="G141" t="str">
        <f>IF(B141="","",INDEX(SF_Output!$K$1:$K$400,MATCH(B141,SF_Output!$M$1:$M$400,0)))</f>
        <v>Card Processing Solutions (CPS)</v>
      </c>
      <c r="H141" cm="1">
        <f t="array" ref="H141">_xlfn.IFS(B141="","",(SUMIFS(SF_Output!$F$1:$F$400,SF_Output!$AC$1:$AC$400,_xlfn.TEXTJOIN(",",TRUE,B141:E141))+SUMIFS(SF_Output!$G$1:$G$400,SF_Output!$AC$1:$AC$400,_xlfn.TEXTJOIN(",",TRUE,B141:E141)))&lt;&gt;0,SF_Output!$Y$2,INDEX(SF_Output!$F$1:$F$400,MATCH(_xlfn.TEXTJOIN(",",TRUE,B141:E141),SF_Output!$AC$1:$AC$400,0))=0,INDEX(SF_Output!$R$1:$R$400,MATCH(_xlfn.TEXTJOIN(",",TRUE,B141:E141),SF_Output!$AC$1:$AC$400,0)))</f>
        <v>0</v>
      </c>
      <c r="I141" s="125" t="str">
        <f>IFERROR(IF(AND(H141&gt;1,H141&lt;&gt;""),ROUND(SUMIFS(SF_Output!$S$1:$S$400,SF_Output!$AC$1:$AC$400,_xlfn.TEXTJOIN(",",TRUE,B141:E141),SF_Output!$Q$1:$Q$400,"monthly")*(1-W141)/H141,4),""),"")</f>
        <v/>
      </c>
      <c r="J141" s="6">
        <f>IF(B141="","",SUMIFS(SF_Output!$S$1:$S$400,SF_Output!$AC$1:$AC$400,_xlfn.TEXTJOIN(",",TRUE,B141:E141),SF_Output!$Q$1:$Q$400,"One Time",SF_Output!$L$1:$L$400,"license fee")+SUMIFS(SF_Output!$S$1:$S$400,SF_Output!$AC$1:$AC$400,_xlfn.TEXTJOIN(",",TRUE,B141:E141),SF_Output!$Q$1:$Q$400,"One Time",SF_Output!$L$1:$L$400,"software license")+SUMIFS(SF_Output!$S$1:$S$400,SF_Output!$AC$1:$AC$400,_xlfn.TEXTJOIN(",",TRUE,B141:E141),SF_Output!$Q$1:$Q$400,"One Time",SF_Output!$L$1:$L$400,"hardware"))</f>
        <v>0</v>
      </c>
      <c r="K141" s="112" t="str">
        <f>IF(OR(B141=0,B141="",G141="hardware",J141=0),"",IF(AF141&lt;&gt;"exclusion",MAX(K$9,-((SUMIFS(SF_Output!$T$1:$T$400,SF_Output!$AC$1:$AC$400,_xlfn.TEXTJOIN(",",TRUE,$B141:$E141),SF_Output!$Q$1:$Q$400,"One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license"))/J141)))</f>
        <v/>
      </c>
      <c r="L141" s="6">
        <f t="shared" si="5"/>
        <v>0</v>
      </c>
      <c r="N141" s="6">
        <f>IF(B141="","",SUMIFS(SF_Output!$S$1:$S$400,SF_Output!$AC$1:$AC$400,_xlfn.TEXTJOIN(",",TRUE,B141:E141),SF_Output!$Q$1:$Q$400,"One Time",SF_Output!$L$1:$L$400,"professional service"))</f>
        <v>4000</v>
      </c>
      <c r="O141" s="112">
        <f>IF(OR(B141=0,B141="",N141=0),"",IF(AF141&lt;&gt;"exclusion",MAX(O$9,-(SUMIFS(SF_Output!$T$1:$T$400,SF_Output!$AC$1:$AC$400,_xlfn.TEXTJOIN(",",TRUE,$B141:$E141),SF_Output!$Q$1:$Q$400,"One Time",SF_Output!$L$1:$L$400,"professional service"))/N141),-((SUMIFS(SF_Output!$T$1:$T$400,SF_Output!$AC$1:$AC$400,_xlfn.TEXTJOIN(",",TRUE,$B141:$E141),SF_Output!$Q$1:$Q$400,"One Time",SF_Output!$L$1:$L$400,"professional service")/N141))))</f>
        <v>1</v>
      </c>
      <c r="P141" s="6">
        <f t="shared" si="6"/>
        <v>0</v>
      </c>
      <c r="R141" s="6">
        <f>IF(B141="","",SUMIFS(SF_Output!$S$1:$S$400,SF_Output!$AC$1:$AC$400,_xlfn.TEXTJOIN(",",TRUE,B141:E141),SF_Output!$Q$1:$Q$400,"yearly")+SUMIFS(SF_Output!$S$1:$S$400,SF_Output!$AC$1:$AC$400,_xlfn.TEXTJOIN(",",TRUE,B141:E141),SF_Output!$Q$1:$Q$400,"quarterly")*4)</f>
        <v>0</v>
      </c>
      <c r="S141" s="112" t="str">
        <f>IF(OR(B141=0,B141="",G141="hardware",R141=0),"",IF(AF141&lt;&gt;"exclusion",MAX(S$9,-(SUMIFS(SF_Output!$T$1:$T$400,SF_Output!$AC$1:$AC$400,_xlfn.TEXTJOIN(",",TRUE,$B141:$E141),SF_Output!$Q$1:$Q$400,"yearly"))/R141),-((SUMIFS(SF_Output!$T$1:$T$400,SF_Output!$AC$1:$AC$400,_xlfn.TEXTJOIN(",",TRUE,$B141:$E141),SF_Output!$Q$1:$Q$400,"yearly")/R141))))</f>
        <v/>
      </c>
      <c r="T141" s="6">
        <f t="shared" si="7"/>
        <v>0</v>
      </c>
      <c r="V141" s="6" cm="1">
        <f t="array" ref="V141">_xlfn.IFS(B141="","",AND(B141&lt;&gt;"",H141=SF_Output!$Y$2,SUMIFS(SF_Output!$T$1:$T$400,SF_Output!$AC$1:$AC$400,_xlfn.TEXTJOIN(",",TRUE,B141:E141),SF_Output!$Q$1:$Q$400,"monthly")=0),(SUMIFS(SF_Output!$F$1:$F$400,SF_Output!$AC$1:$AC$400,_xlfn.TEXTJOIN(",",TRUE,B141:E141),SF_Output!$Q$1:$Q$400,"monthly")+SUMIFS(SF_Output!$G$1:$G$400,SF_Output!$AC$1:$AC$400,_xlfn.TEXTJOIN(",",TRUE,B141:E141),SF_Output!$Q$1:$Q$400,"monthly"))*H141,AND(B141&lt;&gt;"",H141=SF_Output!$Y$2,SUMIFS(SF_Output!$T$1:$T$400,SF_Output!$AC$1:$AC$400,_xlfn.TEXTJOIN(",",TRUE,B141:E141),SF_Output!$Q$1:$Q$400,"monthly")&lt;&gt;0),SUMIFS(SF_Output!$S$1:$S$400,SF_Output!$AC$1:$AC$400,_xlfn.TEXTJOIN(",",TRUE,B141:E141),SF_Output!$Q$1:$Q$400,"monthly"),AND(B141&lt;&gt;"",H141&lt;&gt;SF_Output!$Y$2),SUMIFS(SF_Output!$S$1:$S$400,SF_Output!$AC$1:$AC$400,_xlfn.TEXTJOIN(",",TRUE,B141:E141),SF_Output!$Q$1:$Q$400,"monthly"))</f>
        <v>0</v>
      </c>
      <c r="W141" s="112" t="str" cm="1">
        <f t="array" ref="W141">_xlfn.IFS(OR(B141=0,B141="",V141=0),"",AF141&lt;&gt;"exclusion",MAX($W$9,$W$7,(-(SUMIFS(SF_Output!$T$1:$T$400,SF_Output!$AC$1:$AC$400,_xlfn.TEXTJOIN(",",TRUE,$B141:$E141),SF_Output!$Q$1:$Q$400,"monthly"))/V141)),AF141="exclusion",-(SUMIFS(SF_Output!$T$1:$T$400,SF_Output!$AC$1:$AC$400,_xlfn.TEXTJOIN(",",TRUE,$B141:$E141),SF_Output!$Q$1:$Q$400,"monthly"))/V141)</f>
        <v/>
      </c>
      <c r="X141" s="6" cm="1">
        <f t="array" ref="X141">IFERROR(_xlfn.IFS(V141=0,0,V141="","",W141=0,V141,OR(V141&lt;&gt;0,V141&lt;&gt;""),H141*I141),V141*(1-W141))</f>
        <v>0</v>
      </c>
    </row>
    <row r="142" spans="2:24" x14ac:dyDescent="0.25">
      <c r="B142" t="s">
        <v>2449</v>
      </c>
      <c r="C142" t="s">
        <v>2122</v>
      </c>
      <c r="D142" t="s">
        <v>2207</v>
      </c>
      <c r="E142" t="s">
        <v>2124</v>
      </c>
      <c r="F142" s="116" t="str">
        <f t="shared" ref="F142:F205" si="8">IF(B142="","",IF(E142*1=0,"Included","Optional"))</f>
        <v>Included</v>
      </c>
      <c r="G142" t="str">
        <f>IF(B142="","",INDEX(SF_Output!$K$1:$K$400,MATCH(B142,SF_Output!$M$1:$M$400,0)))</f>
        <v>Card Processing Solutions (CPS)</v>
      </c>
      <c r="H142" cm="1">
        <f t="array" ref="H142">_xlfn.IFS(B142="","",(SUMIFS(SF_Output!$F$1:$F$400,SF_Output!$AC$1:$AC$400,_xlfn.TEXTJOIN(",",TRUE,B142:E142))+SUMIFS(SF_Output!$G$1:$G$400,SF_Output!$AC$1:$AC$400,_xlfn.TEXTJOIN(",",TRUE,B142:E142)))&lt;&gt;0,SF_Output!$Y$2,INDEX(SF_Output!$F$1:$F$400,MATCH(_xlfn.TEXTJOIN(",",TRUE,B142:E142),SF_Output!$AC$1:$AC$400,0))=0,INDEX(SF_Output!$R$1:$R$400,MATCH(_xlfn.TEXTJOIN(",",TRUE,B142:E142),SF_Output!$AC$1:$AC$400,0)))</f>
        <v>0</v>
      </c>
      <c r="I142" s="125" t="str">
        <f>IFERROR(IF(AND(H142&gt;1,H142&lt;&gt;""),ROUND(SUMIFS(SF_Output!$S$1:$S$400,SF_Output!$AC$1:$AC$400,_xlfn.TEXTJOIN(",",TRUE,B142:E142),SF_Output!$Q$1:$Q$400,"monthly")*(1-W142)/H142,4),""),"")</f>
        <v/>
      </c>
      <c r="J142" s="6">
        <f>IF(B142="","",SUMIFS(SF_Output!$S$1:$S$400,SF_Output!$AC$1:$AC$400,_xlfn.TEXTJOIN(",",TRUE,B142:E142),SF_Output!$Q$1:$Q$400,"One Time",SF_Output!$L$1:$L$400,"license fee")+SUMIFS(SF_Output!$S$1:$S$400,SF_Output!$AC$1:$AC$400,_xlfn.TEXTJOIN(",",TRUE,B142:E142),SF_Output!$Q$1:$Q$400,"One Time",SF_Output!$L$1:$L$400,"software license")+SUMIFS(SF_Output!$S$1:$S$400,SF_Output!$AC$1:$AC$400,_xlfn.TEXTJOIN(",",TRUE,B142:E142),SF_Output!$Q$1:$Q$400,"One Time",SF_Output!$L$1:$L$400,"hardware"))</f>
        <v>0</v>
      </c>
      <c r="K142" s="112" t="str">
        <f>IF(OR(B142=0,B142="",G142="hardware",J142=0),"",IF(AF142&lt;&gt;"exclusion",MAX(K$9,-((SUMIFS(SF_Output!$T$1:$T$400,SF_Output!$AC$1:$AC$400,_xlfn.TEXTJOIN(",",TRUE,$B142:$E142),SF_Output!$Q$1:$Q$400,"One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license"))/J142)))</f>
        <v/>
      </c>
      <c r="L142" s="6">
        <f t="shared" ref="L142:L205" si="9">IF(K142="",J142,J142*(1-K142))</f>
        <v>0</v>
      </c>
      <c r="N142" s="6">
        <f>IF(B142="","",SUMIFS(SF_Output!$S$1:$S$400,SF_Output!$AC$1:$AC$400,_xlfn.TEXTJOIN(",",TRUE,B142:E142),SF_Output!$Q$1:$Q$400,"One Time",SF_Output!$L$1:$L$400,"professional service"))</f>
        <v>0</v>
      </c>
      <c r="O142" s="112" t="str">
        <f>IF(OR(B142=0,B142="",N142=0),"",IF(AF142&lt;&gt;"exclusion",MAX(O$9,-(SUMIFS(SF_Output!$T$1:$T$400,SF_Output!$AC$1:$AC$400,_xlfn.TEXTJOIN(",",TRUE,$B142:$E142),SF_Output!$Q$1:$Q$400,"One Time",SF_Output!$L$1:$L$400,"professional service"))/N142),-((SUMIFS(SF_Output!$T$1:$T$400,SF_Output!$AC$1:$AC$400,_xlfn.TEXTJOIN(",",TRUE,$B142:$E142),SF_Output!$Q$1:$Q$400,"One Time",SF_Output!$L$1:$L$400,"professional service")/N142))))</f>
        <v/>
      </c>
      <c r="P142" s="6">
        <f t="shared" ref="P142:P205" si="10">IF(O142="",N142,N142*(1-O142))</f>
        <v>0</v>
      </c>
      <c r="R142" s="6">
        <f>IF(B142="","",SUMIFS(SF_Output!$S$1:$S$400,SF_Output!$AC$1:$AC$400,_xlfn.TEXTJOIN(",",TRUE,B142:E142),SF_Output!$Q$1:$Q$400,"yearly")+SUMIFS(SF_Output!$S$1:$S$400,SF_Output!$AC$1:$AC$400,_xlfn.TEXTJOIN(",",TRUE,B142:E142),SF_Output!$Q$1:$Q$400,"quarterly")*4)</f>
        <v>0</v>
      </c>
      <c r="S142" s="112" t="str">
        <f>IF(OR(B142=0,B142="",G142="hardware",R142=0),"",IF(AF142&lt;&gt;"exclusion",MAX(S$9,-(SUMIFS(SF_Output!$T$1:$T$400,SF_Output!$AC$1:$AC$400,_xlfn.TEXTJOIN(",",TRUE,$B142:$E142),SF_Output!$Q$1:$Q$400,"yearly"))/R142),-((SUMIFS(SF_Output!$T$1:$T$400,SF_Output!$AC$1:$AC$400,_xlfn.TEXTJOIN(",",TRUE,$B142:$E142),SF_Output!$Q$1:$Q$400,"yearly")/R142))))</f>
        <v/>
      </c>
      <c r="T142" s="6">
        <f t="shared" ref="T142:T205" si="11">IF(S142="",R142,R142*(1-S142))</f>
        <v>0</v>
      </c>
      <c r="V142" s="6" cm="1">
        <f t="array" ref="V142">_xlfn.IFS(B142="","",AND(B142&lt;&gt;"",H142=SF_Output!$Y$2,SUMIFS(SF_Output!$T$1:$T$400,SF_Output!$AC$1:$AC$400,_xlfn.TEXTJOIN(",",TRUE,B142:E142),SF_Output!$Q$1:$Q$400,"monthly")=0),(SUMIFS(SF_Output!$F$1:$F$400,SF_Output!$AC$1:$AC$400,_xlfn.TEXTJOIN(",",TRUE,B142:E142),SF_Output!$Q$1:$Q$400,"monthly")+SUMIFS(SF_Output!$G$1:$G$400,SF_Output!$AC$1:$AC$400,_xlfn.TEXTJOIN(",",TRUE,B142:E142),SF_Output!$Q$1:$Q$400,"monthly"))*H142,AND(B142&lt;&gt;"",H142=SF_Output!$Y$2,SUMIFS(SF_Output!$T$1:$T$400,SF_Output!$AC$1:$AC$400,_xlfn.TEXTJOIN(",",TRUE,B142:E142),SF_Output!$Q$1:$Q$400,"monthly")&lt;&gt;0),SUMIFS(SF_Output!$S$1:$S$400,SF_Output!$AC$1:$AC$400,_xlfn.TEXTJOIN(",",TRUE,B142:E142),SF_Output!$Q$1:$Q$400,"monthly"),AND(B142&lt;&gt;"",H142&lt;&gt;SF_Output!$Y$2),SUMIFS(SF_Output!$S$1:$S$400,SF_Output!$AC$1:$AC$400,_xlfn.TEXTJOIN(",",TRUE,B142:E142),SF_Output!$Q$1:$Q$400,"monthly"))</f>
        <v>0</v>
      </c>
      <c r="W142" s="112" t="str" cm="1">
        <f t="array" ref="W142">_xlfn.IFS(OR(B142=0,B142="",V142=0),"",AF142&lt;&gt;"exclusion",MAX($W$9,$W$7,(-(SUMIFS(SF_Output!$T$1:$T$400,SF_Output!$AC$1:$AC$400,_xlfn.TEXTJOIN(",",TRUE,$B142:$E142),SF_Output!$Q$1:$Q$400,"monthly"))/V142)),AF142="exclusion",-(SUMIFS(SF_Output!$T$1:$T$400,SF_Output!$AC$1:$AC$400,_xlfn.TEXTJOIN(",",TRUE,$B142:$E142),SF_Output!$Q$1:$Q$400,"monthly"))/V142)</f>
        <v/>
      </c>
      <c r="X142" s="6" cm="1">
        <f t="array" ref="X142">IFERROR(_xlfn.IFS(V142=0,0,V142="","",W142=0,V142,OR(V142&lt;&gt;0,V142&lt;&gt;""),H142*I142),V142*(1-W142))</f>
        <v>0</v>
      </c>
    </row>
    <row r="143" spans="2:24" x14ac:dyDescent="0.25">
      <c r="B143" t="s">
        <v>2451</v>
      </c>
      <c r="C143" t="s">
        <v>2122</v>
      </c>
      <c r="D143" t="s">
        <v>2207</v>
      </c>
      <c r="E143" t="s">
        <v>2124</v>
      </c>
      <c r="F143" s="116" t="str">
        <f t="shared" si="8"/>
        <v>Included</v>
      </c>
      <c r="G143" t="str">
        <f>IF(B143="","",INDEX(SF_Output!$K$1:$K$400,MATCH(B143,SF_Output!$M$1:$M$400,0)))</f>
        <v>Card Processing Solutions (CPS)</v>
      </c>
      <c r="H143" cm="1">
        <f t="array" ref="H143">_xlfn.IFS(B143="","",(SUMIFS(SF_Output!$F$1:$F$400,SF_Output!$AC$1:$AC$400,_xlfn.TEXTJOIN(",",TRUE,B143:E143))+SUMIFS(SF_Output!$G$1:$G$400,SF_Output!$AC$1:$AC$400,_xlfn.TEXTJOIN(",",TRUE,B143:E143)))&lt;&gt;0,SF_Output!$Y$2,INDEX(SF_Output!$F$1:$F$400,MATCH(_xlfn.TEXTJOIN(",",TRUE,B143:E143),SF_Output!$AC$1:$AC$400,0))=0,INDEX(SF_Output!$R$1:$R$400,MATCH(_xlfn.TEXTJOIN(",",TRUE,B143:E143),SF_Output!$AC$1:$AC$400,0)))</f>
        <v>0</v>
      </c>
      <c r="I143" s="125" t="str">
        <f>IFERROR(IF(AND(H143&gt;1,H143&lt;&gt;""),ROUND(SUMIFS(SF_Output!$S$1:$S$400,SF_Output!$AC$1:$AC$400,_xlfn.TEXTJOIN(",",TRUE,B143:E143),SF_Output!$Q$1:$Q$400,"monthly")*(1-W143)/H143,4),""),"")</f>
        <v/>
      </c>
      <c r="J143" s="6">
        <f>IF(B143="","",SUMIFS(SF_Output!$S$1:$S$400,SF_Output!$AC$1:$AC$400,_xlfn.TEXTJOIN(",",TRUE,B143:E143),SF_Output!$Q$1:$Q$400,"One Time",SF_Output!$L$1:$L$400,"license fee")+SUMIFS(SF_Output!$S$1:$S$400,SF_Output!$AC$1:$AC$400,_xlfn.TEXTJOIN(",",TRUE,B143:E143),SF_Output!$Q$1:$Q$400,"One Time",SF_Output!$L$1:$L$400,"software license")+SUMIFS(SF_Output!$S$1:$S$400,SF_Output!$AC$1:$AC$400,_xlfn.TEXTJOIN(",",TRUE,B143:E143),SF_Output!$Q$1:$Q$400,"One Time",SF_Output!$L$1:$L$400,"hardware"))</f>
        <v>0</v>
      </c>
      <c r="K143" s="112" t="str">
        <f>IF(OR(B143=0,B143="",G143="hardware",J143=0),"",IF(AF143&lt;&gt;"exclusion",MAX(K$9,-((SUMIFS(SF_Output!$T$1:$T$400,SF_Output!$AC$1:$AC$400,_xlfn.TEXTJOIN(",",TRUE,$B143:$E143),SF_Output!$Q$1:$Q$400,"One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license"))/J143)))</f>
        <v/>
      </c>
      <c r="L143" s="6">
        <f t="shared" si="9"/>
        <v>0</v>
      </c>
      <c r="N143" s="6">
        <f>IF(B143="","",SUMIFS(SF_Output!$S$1:$S$400,SF_Output!$AC$1:$AC$400,_xlfn.TEXTJOIN(",",TRUE,B143:E143),SF_Output!$Q$1:$Q$400,"One Time",SF_Output!$L$1:$L$400,"professional service"))</f>
        <v>0</v>
      </c>
      <c r="O143" s="112" t="str">
        <f>IF(OR(B143=0,B143="",N143=0),"",IF(AF143&lt;&gt;"exclusion",MAX(O$9,-(SUMIFS(SF_Output!$T$1:$T$400,SF_Output!$AC$1:$AC$400,_xlfn.TEXTJOIN(",",TRUE,$B143:$E143),SF_Output!$Q$1:$Q$400,"One Time",SF_Output!$L$1:$L$400,"professional service"))/N143),-((SUMIFS(SF_Output!$T$1:$T$400,SF_Output!$AC$1:$AC$400,_xlfn.TEXTJOIN(",",TRUE,$B143:$E143),SF_Output!$Q$1:$Q$400,"One Time",SF_Output!$L$1:$L$400,"professional service")/N143))))</f>
        <v/>
      </c>
      <c r="P143" s="6">
        <f t="shared" si="10"/>
        <v>0</v>
      </c>
      <c r="R143" s="6">
        <f>IF(B143="","",SUMIFS(SF_Output!$S$1:$S$400,SF_Output!$AC$1:$AC$400,_xlfn.TEXTJOIN(",",TRUE,B143:E143),SF_Output!$Q$1:$Q$400,"yearly")+SUMIFS(SF_Output!$S$1:$S$400,SF_Output!$AC$1:$AC$400,_xlfn.TEXTJOIN(",",TRUE,B143:E143),SF_Output!$Q$1:$Q$400,"quarterly")*4)</f>
        <v>0</v>
      </c>
      <c r="S143" s="112" t="str">
        <f>IF(OR(B143=0,B143="",G143="hardware",R143=0),"",IF(AF143&lt;&gt;"exclusion",MAX(S$9,-(SUMIFS(SF_Output!$T$1:$T$400,SF_Output!$AC$1:$AC$400,_xlfn.TEXTJOIN(",",TRUE,$B143:$E143),SF_Output!$Q$1:$Q$400,"yearly"))/R143),-((SUMIFS(SF_Output!$T$1:$T$400,SF_Output!$AC$1:$AC$400,_xlfn.TEXTJOIN(",",TRUE,$B143:$E143),SF_Output!$Q$1:$Q$400,"yearly")/R143))))</f>
        <v/>
      </c>
      <c r="T143" s="6">
        <f t="shared" si="11"/>
        <v>0</v>
      </c>
      <c r="V143" s="6" cm="1">
        <f t="array" ref="V143">_xlfn.IFS(B143="","",AND(B143&lt;&gt;"",H143=SF_Output!$Y$2,SUMIFS(SF_Output!$T$1:$T$400,SF_Output!$AC$1:$AC$400,_xlfn.TEXTJOIN(",",TRUE,B143:E143),SF_Output!$Q$1:$Q$400,"monthly")=0),(SUMIFS(SF_Output!$F$1:$F$400,SF_Output!$AC$1:$AC$400,_xlfn.TEXTJOIN(",",TRUE,B143:E143),SF_Output!$Q$1:$Q$400,"monthly")+SUMIFS(SF_Output!$G$1:$G$400,SF_Output!$AC$1:$AC$400,_xlfn.TEXTJOIN(",",TRUE,B143:E143),SF_Output!$Q$1:$Q$400,"monthly"))*H143,AND(B143&lt;&gt;"",H143=SF_Output!$Y$2,SUMIFS(SF_Output!$T$1:$T$400,SF_Output!$AC$1:$AC$400,_xlfn.TEXTJOIN(",",TRUE,B143:E143),SF_Output!$Q$1:$Q$400,"monthly")&lt;&gt;0),SUMIFS(SF_Output!$S$1:$S$400,SF_Output!$AC$1:$AC$400,_xlfn.TEXTJOIN(",",TRUE,B143:E143),SF_Output!$Q$1:$Q$400,"monthly"),AND(B143&lt;&gt;"",H143&lt;&gt;SF_Output!$Y$2),SUMIFS(SF_Output!$S$1:$S$400,SF_Output!$AC$1:$AC$400,_xlfn.TEXTJOIN(",",TRUE,B143:E143),SF_Output!$Q$1:$Q$400,"monthly"))</f>
        <v>0</v>
      </c>
      <c r="W143" s="112" t="str" cm="1">
        <f t="array" ref="W143">_xlfn.IFS(OR(B143=0,B143="",V143=0),"",AF143&lt;&gt;"exclusion",MAX($W$9,$W$7,(-(SUMIFS(SF_Output!$T$1:$T$400,SF_Output!$AC$1:$AC$400,_xlfn.TEXTJOIN(",",TRUE,$B143:$E143),SF_Output!$Q$1:$Q$400,"monthly"))/V143)),AF143="exclusion",-(SUMIFS(SF_Output!$T$1:$T$400,SF_Output!$AC$1:$AC$400,_xlfn.TEXTJOIN(",",TRUE,$B143:$E143),SF_Output!$Q$1:$Q$400,"monthly"))/V143)</f>
        <v/>
      </c>
      <c r="X143" s="6" cm="1">
        <f t="array" ref="X143">IFERROR(_xlfn.IFS(V143=0,0,V143="","",W143=0,V143,OR(V143&lt;&gt;0,V143&lt;&gt;""),H143*I143),V143*(1-W143))</f>
        <v>0</v>
      </c>
    </row>
    <row r="144" spans="2:24" x14ac:dyDescent="0.25">
      <c r="B144" t="s">
        <v>2453</v>
      </c>
      <c r="C144" t="s">
        <v>2122</v>
      </c>
      <c r="D144" t="s">
        <v>2207</v>
      </c>
      <c r="E144" t="s">
        <v>2124</v>
      </c>
      <c r="F144" s="116" t="str">
        <f t="shared" si="8"/>
        <v>Included</v>
      </c>
      <c r="G144" t="str">
        <f>IF(B144="","",INDEX(SF_Output!$K$1:$K$400,MATCH(B144,SF_Output!$M$1:$M$400,0)))</f>
        <v>Card Processing Solutions (CPS)</v>
      </c>
      <c r="H144" cm="1">
        <f t="array" ref="H144">_xlfn.IFS(B144="","",(SUMIFS(SF_Output!$F$1:$F$400,SF_Output!$AC$1:$AC$400,_xlfn.TEXTJOIN(",",TRUE,B144:E144))+SUMIFS(SF_Output!$G$1:$G$400,SF_Output!$AC$1:$AC$400,_xlfn.TEXTJOIN(",",TRUE,B144:E144)))&lt;&gt;0,SF_Output!$Y$2,INDEX(SF_Output!$F$1:$F$400,MATCH(_xlfn.TEXTJOIN(",",TRUE,B144:E144),SF_Output!$AC$1:$AC$400,0))=0,INDEX(SF_Output!$R$1:$R$400,MATCH(_xlfn.TEXTJOIN(",",TRUE,B144:E144),SF_Output!$AC$1:$AC$400,0)))</f>
        <v>0</v>
      </c>
      <c r="I144" s="125" t="str">
        <f>IFERROR(IF(AND(H144&gt;1,H144&lt;&gt;""),ROUND(SUMIFS(SF_Output!$S$1:$S$400,SF_Output!$AC$1:$AC$400,_xlfn.TEXTJOIN(",",TRUE,B144:E144),SF_Output!$Q$1:$Q$400,"monthly")*(1-W144)/H144,4),""),"")</f>
        <v/>
      </c>
      <c r="J144" s="6">
        <f>IF(B144="","",SUMIFS(SF_Output!$S$1:$S$400,SF_Output!$AC$1:$AC$400,_xlfn.TEXTJOIN(",",TRUE,B144:E144),SF_Output!$Q$1:$Q$400,"One Time",SF_Output!$L$1:$L$400,"license fee")+SUMIFS(SF_Output!$S$1:$S$400,SF_Output!$AC$1:$AC$400,_xlfn.TEXTJOIN(",",TRUE,B144:E144),SF_Output!$Q$1:$Q$400,"One Time",SF_Output!$L$1:$L$400,"software license")+SUMIFS(SF_Output!$S$1:$S$400,SF_Output!$AC$1:$AC$400,_xlfn.TEXTJOIN(",",TRUE,B144:E144),SF_Output!$Q$1:$Q$400,"One Time",SF_Output!$L$1:$L$400,"hardware"))</f>
        <v>0</v>
      </c>
      <c r="K144" s="112" t="str">
        <f>IF(OR(B144=0,B144="",G144="hardware",J144=0),"",IF(AF144&lt;&gt;"exclusion",MAX(K$9,-((SUMIFS(SF_Output!$T$1:$T$400,SF_Output!$AC$1:$AC$400,_xlfn.TEXTJOIN(",",TRUE,$B144:$E144),SF_Output!$Q$1:$Q$400,"One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license"))/J144)))</f>
        <v/>
      </c>
      <c r="L144" s="6">
        <f t="shared" si="9"/>
        <v>0</v>
      </c>
      <c r="N144" s="6">
        <f>IF(B144="","",SUMIFS(SF_Output!$S$1:$S$400,SF_Output!$AC$1:$AC$400,_xlfn.TEXTJOIN(",",TRUE,B144:E144),SF_Output!$Q$1:$Q$400,"One Time",SF_Output!$L$1:$L$400,"professional service"))</f>
        <v>1500</v>
      </c>
      <c r="O144" s="112">
        <f>IF(OR(B144=0,B144="",N144=0),"",IF(AF144&lt;&gt;"exclusion",MAX(O$9,-(SUMIFS(SF_Output!$T$1:$T$400,SF_Output!$AC$1:$AC$400,_xlfn.TEXTJOIN(",",TRUE,$B144:$E144),SF_Output!$Q$1:$Q$400,"One Time",SF_Output!$L$1:$L$400,"professional service"))/N144),-((SUMIFS(SF_Output!$T$1:$T$400,SF_Output!$AC$1:$AC$400,_xlfn.TEXTJOIN(",",TRUE,$B144:$E144),SF_Output!$Q$1:$Q$400,"One Time",SF_Output!$L$1:$L$400,"professional service")/N144))))</f>
        <v>1</v>
      </c>
      <c r="P144" s="6">
        <f t="shared" si="10"/>
        <v>0</v>
      </c>
      <c r="R144" s="6">
        <f>IF(B144="","",SUMIFS(SF_Output!$S$1:$S$400,SF_Output!$AC$1:$AC$400,_xlfn.TEXTJOIN(",",TRUE,B144:E144),SF_Output!$Q$1:$Q$400,"yearly")+SUMIFS(SF_Output!$S$1:$S$400,SF_Output!$AC$1:$AC$400,_xlfn.TEXTJOIN(",",TRUE,B144:E144),SF_Output!$Q$1:$Q$400,"quarterly")*4)</f>
        <v>0</v>
      </c>
      <c r="S144" s="112" t="str">
        <f>IF(OR(B144=0,B144="",G144="hardware",R144=0),"",IF(AF144&lt;&gt;"exclusion",MAX(S$9,-(SUMIFS(SF_Output!$T$1:$T$400,SF_Output!$AC$1:$AC$400,_xlfn.TEXTJOIN(",",TRUE,$B144:$E144),SF_Output!$Q$1:$Q$400,"yearly"))/R144),-((SUMIFS(SF_Output!$T$1:$T$400,SF_Output!$AC$1:$AC$400,_xlfn.TEXTJOIN(",",TRUE,$B144:$E144),SF_Output!$Q$1:$Q$400,"yearly")/R144))))</f>
        <v/>
      </c>
      <c r="T144" s="6">
        <f t="shared" si="11"/>
        <v>0</v>
      </c>
      <c r="V144" s="6" cm="1">
        <f t="array" ref="V144">_xlfn.IFS(B144="","",AND(B144&lt;&gt;"",H144=SF_Output!$Y$2,SUMIFS(SF_Output!$T$1:$T$400,SF_Output!$AC$1:$AC$400,_xlfn.TEXTJOIN(",",TRUE,B144:E144),SF_Output!$Q$1:$Q$400,"monthly")=0),(SUMIFS(SF_Output!$F$1:$F$400,SF_Output!$AC$1:$AC$400,_xlfn.TEXTJOIN(",",TRUE,B144:E144),SF_Output!$Q$1:$Q$400,"monthly")+SUMIFS(SF_Output!$G$1:$G$400,SF_Output!$AC$1:$AC$400,_xlfn.TEXTJOIN(",",TRUE,B144:E144),SF_Output!$Q$1:$Q$400,"monthly"))*H144,AND(B144&lt;&gt;"",H144=SF_Output!$Y$2,SUMIFS(SF_Output!$T$1:$T$400,SF_Output!$AC$1:$AC$400,_xlfn.TEXTJOIN(",",TRUE,B144:E144),SF_Output!$Q$1:$Q$400,"monthly")&lt;&gt;0),SUMIFS(SF_Output!$S$1:$S$400,SF_Output!$AC$1:$AC$400,_xlfn.TEXTJOIN(",",TRUE,B144:E144),SF_Output!$Q$1:$Q$400,"monthly"),AND(B144&lt;&gt;"",H144&lt;&gt;SF_Output!$Y$2),SUMIFS(SF_Output!$S$1:$S$400,SF_Output!$AC$1:$AC$400,_xlfn.TEXTJOIN(",",TRUE,B144:E144),SF_Output!$Q$1:$Q$400,"monthly"))</f>
        <v>250</v>
      </c>
      <c r="W144" s="112" cm="1">
        <f t="array" ref="W144">_xlfn.IFS(OR(B144=0,B144="",V144=0),"",AF144&lt;&gt;"exclusion",MAX($W$9,$W$7,(-(SUMIFS(SF_Output!$T$1:$T$400,SF_Output!$AC$1:$AC$400,_xlfn.TEXTJOIN(",",TRUE,$B144:$E144),SF_Output!$Q$1:$Q$400,"monthly"))/V144)),AF144="exclusion",-(SUMIFS(SF_Output!$T$1:$T$400,SF_Output!$AC$1:$AC$400,_xlfn.TEXTJOIN(",",TRUE,$B144:$E144),SF_Output!$Q$1:$Q$400,"monthly"))/V144)</f>
        <v>0</v>
      </c>
      <c r="X144" s="6" cm="1">
        <f t="array" ref="X144">IFERROR(_xlfn.IFS(V144=0,0,V144="","",W144=0,V144,OR(V144&lt;&gt;0,V144&lt;&gt;""),H144*I144),V144*(1-W144))</f>
        <v>250</v>
      </c>
    </row>
    <row r="145" spans="2:24" x14ac:dyDescent="0.25">
      <c r="B145" t="s">
        <v>2457</v>
      </c>
      <c r="C145" t="s">
        <v>2122</v>
      </c>
      <c r="D145" t="s">
        <v>2123</v>
      </c>
      <c r="E145" t="s">
        <v>2124</v>
      </c>
      <c r="F145" s="116" t="str">
        <f t="shared" si="8"/>
        <v>Included</v>
      </c>
      <c r="G145" t="str">
        <f>IF(B145="","",INDEX(SF_Output!$K$1:$K$400,MATCH(B145,SF_Output!$M$1:$M$400,0)))</f>
        <v>Payrailz</v>
      </c>
      <c r="H145" cm="1">
        <f t="array" ref="H145">_xlfn.IFS(B145="","",(SUMIFS(SF_Output!$F$1:$F$400,SF_Output!$AC$1:$AC$400,_xlfn.TEXTJOIN(",",TRUE,B145:E145))+SUMIFS(SF_Output!$G$1:$G$400,SF_Output!$AC$1:$AC$400,_xlfn.TEXTJOIN(",",TRUE,B145:E145)))&lt;&gt;0,SF_Output!$Y$2,INDEX(SF_Output!$F$1:$F$400,MATCH(_xlfn.TEXTJOIN(",",TRUE,B145:E145),SF_Output!$AC$1:$AC$400,0))=0,INDEX(SF_Output!$R$1:$R$400,MATCH(_xlfn.TEXTJOIN(",",TRUE,B145:E145),SF_Output!$AC$1:$AC$400,0)))</f>
        <v>1</v>
      </c>
      <c r="I145" s="125" t="str">
        <f>IFERROR(IF(AND(H145&gt;1,H145&lt;&gt;""),ROUND(SUMIFS(SF_Output!$S$1:$S$400,SF_Output!$AC$1:$AC$400,_xlfn.TEXTJOIN(",",TRUE,B145:E145),SF_Output!$Q$1:$Q$400,"monthly")*(1-W145)/H145,4),""),"")</f>
        <v/>
      </c>
      <c r="J145" s="6">
        <f>IF(B145="","",SUMIFS(SF_Output!$S$1:$S$400,SF_Output!$AC$1:$AC$400,_xlfn.TEXTJOIN(",",TRUE,B145:E145),SF_Output!$Q$1:$Q$400,"One Time",SF_Output!$L$1:$L$400,"license fee")+SUMIFS(SF_Output!$S$1:$S$400,SF_Output!$AC$1:$AC$400,_xlfn.TEXTJOIN(",",TRUE,B145:E145),SF_Output!$Q$1:$Q$400,"One Time",SF_Output!$L$1:$L$400,"software license")+SUMIFS(SF_Output!$S$1:$S$400,SF_Output!$AC$1:$AC$400,_xlfn.TEXTJOIN(",",TRUE,B145:E145),SF_Output!$Q$1:$Q$400,"One Time",SF_Output!$L$1:$L$400,"hardware"))</f>
        <v>0</v>
      </c>
      <c r="K145" s="112" t="str">
        <f>IF(OR(B145=0,B145="",G145="hardware",J145=0),"",IF(AF145&lt;&gt;"exclusion",MAX(K$9,-((SUMIFS(SF_Output!$T$1:$T$400,SF_Output!$AC$1:$AC$400,_xlfn.TEXTJOIN(",",TRUE,$B145:$E145),SF_Output!$Q$1:$Q$400,"One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license"))/J145)))</f>
        <v/>
      </c>
      <c r="L145" s="6">
        <f t="shared" si="9"/>
        <v>0</v>
      </c>
      <c r="N145" s="6">
        <f>IF(B145="","",SUMIFS(SF_Output!$S$1:$S$400,SF_Output!$AC$1:$AC$400,_xlfn.TEXTJOIN(",",TRUE,B145:E145),SF_Output!$Q$1:$Q$400,"One Time",SF_Output!$L$1:$L$400,"professional service"))</f>
        <v>5000</v>
      </c>
      <c r="O145" s="112">
        <f>IF(OR(B145=0,B145="",N145=0),"",IF(AF145&lt;&gt;"exclusion",MAX(O$9,-(SUMIFS(SF_Output!$T$1:$T$400,SF_Output!$AC$1:$AC$400,_xlfn.TEXTJOIN(",",TRUE,$B145:$E145),SF_Output!$Q$1:$Q$400,"One Time",SF_Output!$L$1:$L$400,"professional service"))/N145),-((SUMIFS(SF_Output!$T$1:$T$400,SF_Output!$AC$1:$AC$400,_xlfn.TEXTJOIN(",",TRUE,$B145:$E145),SF_Output!$Q$1:$Q$400,"One Time",SF_Output!$L$1:$L$400,"professional service")/N145))))</f>
        <v>1</v>
      </c>
      <c r="P145" s="6">
        <f t="shared" si="10"/>
        <v>0</v>
      </c>
      <c r="R145" s="6">
        <f>IF(B145="","",SUMIFS(SF_Output!$S$1:$S$400,SF_Output!$AC$1:$AC$400,_xlfn.TEXTJOIN(",",TRUE,B145:E145),SF_Output!$Q$1:$Q$400,"yearly")+SUMIFS(SF_Output!$S$1:$S$400,SF_Output!$AC$1:$AC$400,_xlfn.TEXTJOIN(",",TRUE,B145:E145),SF_Output!$Q$1:$Q$400,"quarterly")*4)</f>
        <v>0</v>
      </c>
      <c r="S145" s="112" t="str">
        <f>IF(OR(B145=0,B145="",G145="hardware",R145=0),"",IF(AF145&lt;&gt;"exclusion",MAX(S$9,-(SUMIFS(SF_Output!$T$1:$T$400,SF_Output!$AC$1:$AC$400,_xlfn.TEXTJOIN(",",TRUE,$B145:$E145),SF_Output!$Q$1:$Q$400,"yearly"))/R145),-((SUMIFS(SF_Output!$T$1:$T$400,SF_Output!$AC$1:$AC$400,_xlfn.TEXTJOIN(",",TRUE,$B145:$E145),SF_Output!$Q$1:$Q$400,"yearly")/R145))))</f>
        <v/>
      </c>
      <c r="T145" s="6">
        <f t="shared" si="11"/>
        <v>0</v>
      </c>
      <c r="V145" s="6" cm="1">
        <f t="array" ref="V145">_xlfn.IFS(B145="","",AND(B145&lt;&gt;"",H145=SF_Output!$Y$2,SUMIFS(SF_Output!$T$1:$T$400,SF_Output!$AC$1:$AC$400,_xlfn.TEXTJOIN(",",TRUE,B145:E145),SF_Output!$Q$1:$Q$400,"monthly")=0),(SUMIFS(SF_Output!$F$1:$F$400,SF_Output!$AC$1:$AC$400,_xlfn.TEXTJOIN(",",TRUE,B145:E145),SF_Output!$Q$1:$Q$400,"monthly")+SUMIFS(SF_Output!$G$1:$G$400,SF_Output!$AC$1:$AC$400,_xlfn.TEXTJOIN(",",TRUE,B145:E145),SF_Output!$Q$1:$Q$400,"monthly"))*H145,AND(B145&lt;&gt;"",H145=SF_Output!$Y$2,SUMIFS(SF_Output!$T$1:$T$400,SF_Output!$AC$1:$AC$400,_xlfn.TEXTJOIN(",",TRUE,B145:E145),SF_Output!$Q$1:$Q$400,"monthly")&lt;&gt;0),SUMIFS(SF_Output!$S$1:$S$400,SF_Output!$AC$1:$AC$400,_xlfn.TEXTJOIN(",",TRUE,B145:E145),SF_Output!$Q$1:$Q$400,"monthly"),AND(B145&lt;&gt;"",H145&lt;&gt;SF_Output!$Y$2),SUMIFS(SF_Output!$S$1:$S$400,SF_Output!$AC$1:$AC$400,_xlfn.TEXTJOIN(",",TRUE,B145:E145),SF_Output!$Q$1:$Q$400,"monthly"))</f>
        <v>350</v>
      </c>
      <c r="W145" s="112" cm="1">
        <f t="array" ref="W145">_xlfn.IFS(OR(B145=0,B145="",V145=0),"",AF145&lt;&gt;"exclusion",MAX($W$9,$W$7,(-(SUMIFS(SF_Output!$T$1:$T$400,SF_Output!$AC$1:$AC$400,_xlfn.TEXTJOIN(",",TRUE,$B145:$E145),SF_Output!$Q$1:$Q$400,"monthly"))/V145)),AF145="exclusion",-(SUMIFS(SF_Output!$T$1:$T$400,SF_Output!$AC$1:$AC$400,_xlfn.TEXTJOIN(",",TRUE,$B145:$E145),SF_Output!$Q$1:$Q$400,"monthly"))/V145)</f>
        <v>0</v>
      </c>
      <c r="X145" s="6" cm="1">
        <f t="array" ref="X145">IFERROR(_xlfn.IFS(V145=0,0,V145="","",W145=0,V145,OR(V145&lt;&gt;0,V145&lt;&gt;""),H145*I145),V145*(1-W145))</f>
        <v>350</v>
      </c>
    </row>
    <row r="146" spans="2:24" x14ac:dyDescent="0.25">
      <c r="B146" t="s">
        <v>2461</v>
      </c>
      <c r="C146" t="s">
        <v>2122</v>
      </c>
      <c r="D146" t="s">
        <v>2123</v>
      </c>
      <c r="E146" t="s">
        <v>2124</v>
      </c>
      <c r="F146" s="116" t="str">
        <f t="shared" si="8"/>
        <v>Included</v>
      </c>
      <c r="G146" t="str">
        <f>IF(B146="","",INDEX(SF_Output!$K$1:$K$400,MATCH(B146,SF_Output!$M$1:$M$400,0)))</f>
        <v>Payrailz</v>
      </c>
      <c r="H146" cm="1">
        <f t="array" ref="H146">_xlfn.IFS(B146="","",(SUMIFS(SF_Output!$F$1:$F$400,SF_Output!$AC$1:$AC$400,_xlfn.TEXTJOIN(",",TRUE,B146:E146))+SUMIFS(SF_Output!$G$1:$G$400,SF_Output!$AC$1:$AC$400,_xlfn.TEXTJOIN(",",TRUE,B146:E146)))&lt;&gt;0,SF_Output!$Y$2,INDEX(SF_Output!$F$1:$F$400,MATCH(_xlfn.TEXTJOIN(",",TRUE,B146:E146),SF_Output!$AC$1:$AC$400,0))=0,INDEX(SF_Output!$R$1:$R$400,MATCH(_xlfn.TEXTJOIN(",",TRUE,B146:E146),SF_Output!$AC$1:$AC$400,0)))</f>
        <v>500</v>
      </c>
      <c r="I146" s="125">
        <f>IFERROR(IF(AND(H146&gt;1,H146&lt;&gt;""),ROUND(SUMIFS(SF_Output!$S$1:$S$400,SF_Output!$AC$1:$AC$400,_xlfn.TEXTJOIN(",",TRUE,B146:E146),SF_Output!$Q$1:$Q$400,"monthly")*(1-W146)/H146,4),""),"")</f>
        <v>0.62</v>
      </c>
      <c r="J146" s="6">
        <f>IF(B146="","",SUMIFS(SF_Output!$S$1:$S$400,SF_Output!$AC$1:$AC$400,_xlfn.TEXTJOIN(",",TRUE,B146:E146),SF_Output!$Q$1:$Q$400,"One Time",SF_Output!$L$1:$L$400,"license fee")+SUMIFS(SF_Output!$S$1:$S$400,SF_Output!$AC$1:$AC$400,_xlfn.TEXTJOIN(",",TRUE,B146:E146),SF_Output!$Q$1:$Q$400,"One Time",SF_Output!$L$1:$L$400,"software license")+SUMIFS(SF_Output!$S$1:$S$400,SF_Output!$AC$1:$AC$400,_xlfn.TEXTJOIN(",",TRUE,B146:E146),SF_Output!$Q$1:$Q$400,"One Time",SF_Output!$L$1:$L$400,"hardware"))</f>
        <v>0</v>
      </c>
      <c r="K146" s="112" t="str">
        <f>IF(OR(B146=0,B146="",G146="hardware",J146=0),"",IF(AF146&lt;&gt;"exclusion",MAX(K$9,-((SUMIFS(SF_Output!$T$1:$T$400,SF_Output!$AC$1:$AC$400,_xlfn.TEXTJOIN(",",TRUE,$B146:$E146),SF_Output!$Q$1:$Q$400,"One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license"))/J146)))</f>
        <v/>
      </c>
      <c r="L146" s="6">
        <f t="shared" si="9"/>
        <v>0</v>
      </c>
      <c r="N146" s="6">
        <f>IF(B146="","",SUMIFS(SF_Output!$S$1:$S$400,SF_Output!$AC$1:$AC$400,_xlfn.TEXTJOIN(",",TRUE,B146:E146),SF_Output!$Q$1:$Q$400,"One Time",SF_Output!$L$1:$L$400,"professional service"))</f>
        <v>0</v>
      </c>
      <c r="O146" s="112" t="str">
        <f>IF(OR(B146=0,B146="",N146=0),"",IF(AF146&lt;&gt;"exclusion",MAX(O$9,-(SUMIFS(SF_Output!$T$1:$T$400,SF_Output!$AC$1:$AC$400,_xlfn.TEXTJOIN(",",TRUE,$B146:$E146),SF_Output!$Q$1:$Q$400,"One Time",SF_Output!$L$1:$L$400,"professional service"))/N146),-((SUMIFS(SF_Output!$T$1:$T$400,SF_Output!$AC$1:$AC$400,_xlfn.TEXTJOIN(",",TRUE,$B146:$E146),SF_Output!$Q$1:$Q$400,"One Time",SF_Output!$L$1:$L$400,"professional service")/N146))))</f>
        <v/>
      </c>
      <c r="P146" s="6">
        <f t="shared" si="10"/>
        <v>0</v>
      </c>
      <c r="R146" s="6">
        <f>IF(B146="","",SUMIFS(SF_Output!$S$1:$S$400,SF_Output!$AC$1:$AC$400,_xlfn.TEXTJOIN(",",TRUE,B146:E146),SF_Output!$Q$1:$Q$400,"yearly")+SUMIFS(SF_Output!$S$1:$S$400,SF_Output!$AC$1:$AC$400,_xlfn.TEXTJOIN(",",TRUE,B146:E146),SF_Output!$Q$1:$Q$400,"quarterly")*4)</f>
        <v>0</v>
      </c>
      <c r="S146" s="112" t="str">
        <f>IF(OR(B146=0,B146="",G146="hardware",R146=0),"",IF(AF146&lt;&gt;"exclusion",MAX(S$9,-(SUMIFS(SF_Output!$T$1:$T$400,SF_Output!$AC$1:$AC$400,_xlfn.TEXTJOIN(",",TRUE,$B146:$E146),SF_Output!$Q$1:$Q$400,"yearly"))/R146),-((SUMIFS(SF_Output!$T$1:$T$400,SF_Output!$AC$1:$AC$400,_xlfn.TEXTJOIN(",",TRUE,$B146:$E146),SF_Output!$Q$1:$Q$400,"yearly")/R146))))</f>
        <v/>
      </c>
      <c r="T146" s="6">
        <f t="shared" si="11"/>
        <v>0</v>
      </c>
      <c r="V146" s="6" cm="1">
        <f t="array" ref="V146">_xlfn.IFS(B146="","",AND(B146&lt;&gt;"",H146=SF_Output!$Y$2,SUMIFS(SF_Output!$T$1:$T$400,SF_Output!$AC$1:$AC$400,_xlfn.TEXTJOIN(",",TRUE,B146:E146),SF_Output!$Q$1:$Q$400,"monthly")=0),(SUMIFS(SF_Output!$F$1:$F$400,SF_Output!$AC$1:$AC$400,_xlfn.TEXTJOIN(",",TRUE,B146:E146),SF_Output!$Q$1:$Q$400,"monthly")+SUMIFS(SF_Output!$G$1:$G$400,SF_Output!$AC$1:$AC$400,_xlfn.TEXTJOIN(",",TRUE,B146:E146),SF_Output!$Q$1:$Q$400,"monthly"))*H146,AND(B146&lt;&gt;"",H146=SF_Output!$Y$2,SUMIFS(SF_Output!$T$1:$T$400,SF_Output!$AC$1:$AC$400,_xlfn.TEXTJOIN(",",TRUE,B146:E146),SF_Output!$Q$1:$Q$400,"monthly")&lt;&gt;0),SUMIFS(SF_Output!$S$1:$S$400,SF_Output!$AC$1:$AC$400,_xlfn.TEXTJOIN(",",TRUE,B146:E146),SF_Output!$Q$1:$Q$400,"monthly"),AND(B146&lt;&gt;"",H146&lt;&gt;SF_Output!$Y$2),SUMIFS(SF_Output!$S$1:$S$400,SF_Output!$AC$1:$AC$400,_xlfn.TEXTJOIN(",",TRUE,B146:E146),SF_Output!$Q$1:$Q$400,"monthly"))</f>
        <v>310</v>
      </c>
      <c r="W146" s="112" cm="1">
        <f t="array" ref="W146">_xlfn.IFS(OR(B146=0,B146="",V146=0),"",AF146&lt;&gt;"exclusion",MAX($W$9,$W$7,(-(SUMIFS(SF_Output!$T$1:$T$400,SF_Output!$AC$1:$AC$400,_xlfn.TEXTJOIN(",",TRUE,$B146:$E146),SF_Output!$Q$1:$Q$400,"monthly"))/V146)),AF146="exclusion",-(SUMIFS(SF_Output!$T$1:$T$400,SF_Output!$AC$1:$AC$400,_xlfn.TEXTJOIN(",",TRUE,$B146:$E146),SF_Output!$Q$1:$Q$400,"monthly"))/V146)</f>
        <v>0</v>
      </c>
      <c r="X146" s="6" cm="1">
        <f t="array" ref="X146">IFERROR(_xlfn.IFS(V146=0,0,V146="","",W146=0,V146,OR(V146&lt;&gt;0,V146&lt;&gt;""),H146*I146),V146*(1-W146))</f>
        <v>310</v>
      </c>
    </row>
    <row r="147" spans="2:24" x14ac:dyDescent="0.25">
      <c r="B147" t="s">
        <v>2465</v>
      </c>
      <c r="C147" t="s">
        <v>2122</v>
      </c>
      <c r="D147" t="s">
        <v>2123</v>
      </c>
      <c r="E147" t="s">
        <v>2124</v>
      </c>
      <c r="F147" s="116" t="str">
        <f t="shared" si="8"/>
        <v>Included</v>
      </c>
      <c r="G147" t="str">
        <f>IF(B147="","",INDEX(SF_Output!$K$1:$K$400,MATCH(B147,SF_Output!$M$1:$M$400,0)))</f>
        <v>Payrailz</v>
      </c>
      <c r="H147" cm="1">
        <f t="array" ref="H147">_xlfn.IFS(B147="","",(SUMIFS(SF_Output!$F$1:$F$400,SF_Output!$AC$1:$AC$400,_xlfn.TEXTJOIN(",",TRUE,B147:E147))+SUMIFS(SF_Output!$G$1:$G$400,SF_Output!$AC$1:$AC$400,_xlfn.TEXTJOIN(",",TRUE,B147:E147)))&lt;&gt;0,SF_Output!$Y$2,INDEX(SF_Output!$F$1:$F$400,MATCH(_xlfn.TEXTJOIN(",",TRUE,B147:E147),SF_Output!$AC$1:$AC$400,0))=0,INDEX(SF_Output!$R$1:$R$400,MATCH(_xlfn.TEXTJOIN(",",TRUE,B147:E147),SF_Output!$AC$1:$AC$400,0)))</f>
        <v>1</v>
      </c>
      <c r="I147" s="125" t="str">
        <f>IFERROR(IF(AND(H147&gt;1,H147&lt;&gt;""),ROUND(SUMIFS(SF_Output!$S$1:$S$400,SF_Output!$AC$1:$AC$400,_xlfn.TEXTJOIN(",",TRUE,B147:E147),SF_Output!$Q$1:$Q$400,"monthly")*(1-W147)/H147,4),""),"")</f>
        <v/>
      </c>
      <c r="J147" s="6">
        <f>IF(B147="","",SUMIFS(SF_Output!$S$1:$S$400,SF_Output!$AC$1:$AC$400,_xlfn.TEXTJOIN(",",TRUE,B147:E147),SF_Output!$Q$1:$Q$400,"One Time",SF_Output!$L$1:$L$400,"license fee")+SUMIFS(SF_Output!$S$1:$S$400,SF_Output!$AC$1:$AC$400,_xlfn.TEXTJOIN(",",TRUE,B147:E147),SF_Output!$Q$1:$Q$400,"One Time",SF_Output!$L$1:$L$400,"software license")+SUMIFS(SF_Output!$S$1:$S$400,SF_Output!$AC$1:$AC$400,_xlfn.TEXTJOIN(",",TRUE,B147:E147),SF_Output!$Q$1:$Q$400,"One Time",SF_Output!$L$1:$L$400,"hardware"))</f>
        <v>0</v>
      </c>
      <c r="K147" s="112" t="str">
        <f>IF(OR(B147=0,B147="",G147="hardware",J147=0),"",IF(AF147&lt;&gt;"exclusion",MAX(K$9,-((SUMIFS(SF_Output!$T$1:$T$400,SF_Output!$AC$1:$AC$400,_xlfn.TEXTJOIN(",",TRUE,$B147:$E147),SF_Output!$Q$1:$Q$400,"One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license"))/J147)))</f>
        <v/>
      </c>
      <c r="L147" s="6">
        <f t="shared" si="9"/>
        <v>0</v>
      </c>
      <c r="N147" s="6">
        <f>IF(B147="","",SUMIFS(SF_Output!$S$1:$S$400,SF_Output!$AC$1:$AC$400,_xlfn.TEXTJOIN(",",TRUE,B147:E147),SF_Output!$Q$1:$Q$400,"One Time",SF_Output!$L$1:$L$400,"professional service"))</f>
        <v>3000</v>
      </c>
      <c r="O147" s="112">
        <f>IF(OR(B147=0,B147="",N147=0),"",IF(AF147&lt;&gt;"exclusion",MAX(O$9,-(SUMIFS(SF_Output!$T$1:$T$400,SF_Output!$AC$1:$AC$400,_xlfn.TEXTJOIN(",",TRUE,$B147:$E147),SF_Output!$Q$1:$Q$400,"One Time",SF_Output!$L$1:$L$400,"professional service"))/N147),-((SUMIFS(SF_Output!$T$1:$T$400,SF_Output!$AC$1:$AC$400,_xlfn.TEXTJOIN(",",TRUE,$B147:$E147),SF_Output!$Q$1:$Q$400,"One Time",SF_Output!$L$1:$L$400,"professional service")/N147))))</f>
        <v>1</v>
      </c>
      <c r="P147" s="6">
        <f t="shared" si="10"/>
        <v>0</v>
      </c>
      <c r="R147" s="6">
        <f>IF(B147="","",SUMIFS(SF_Output!$S$1:$S$400,SF_Output!$AC$1:$AC$400,_xlfn.TEXTJOIN(",",TRUE,B147:E147),SF_Output!$Q$1:$Q$400,"yearly")+SUMIFS(SF_Output!$S$1:$S$400,SF_Output!$AC$1:$AC$400,_xlfn.TEXTJOIN(",",TRUE,B147:E147),SF_Output!$Q$1:$Q$400,"quarterly")*4)</f>
        <v>0</v>
      </c>
      <c r="S147" s="112" t="str">
        <f>IF(OR(B147=0,B147="",G147="hardware",R147=0),"",IF(AF147&lt;&gt;"exclusion",MAX(S$9,-(SUMIFS(SF_Output!$T$1:$T$400,SF_Output!$AC$1:$AC$400,_xlfn.TEXTJOIN(",",TRUE,$B147:$E147),SF_Output!$Q$1:$Q$400,"yearly"))/R147),-((SUMIFS(SF_Output!$T$1:$T$400,SF_Output!$AC$1:$AC$400,_xlfn.TEXTJOIN(",",TRUE,$B147:$E147),SF_Output!$Q$1:$Q$400,"yearly")/R147))))</f>
        <v/>
      </c>
      <c r="T147" s="6">
        <f t="shared" si="11"/>
        <v>0</v>
      </c>
      <c r="V147" s="6" cm="1">
        <f t="array" ref="V147">_xlfn.IFS(B147="","",AND(B147&lt;&gt;"",H147=SF_Output!$Y$2,SUMIFS(SF_Output!$T$1:$T$400,SF_Output!$AC$1:$AC$400,_xlfn.TEXTJOIN(",",TRUE,B147:E147),SF_Output!$Q$1:$Q$400,"monthly")=0),(SUMIFS(SF_Output!$F$1:$F$400,SF_Output!$AC$1:$AC$400,_xlfn.TEXTJOIN(",",TRUE,B147:E147),SF_Output!$Q$1:$Q$400,"monthly")+SUMIFS(SF_Output!$G$1:$G$400,SF_Output!$AC$1:$AC$400,_xlfn.TEXTJOIN(",",TRUE,B147:E147),SF_Output!$Q$1:$Q$400,"monthly"))*H147,AND(B147&lt;&gt;"",H147=SF_Output!$Y$2,SUMIFS(SF_Output!$T$1:$T$400,SF_Output!$AC$1:$AC$400,_xlfn.TEXTJOIN(",",TRUE,B147:E147),SF_Output!$Q$1:$Q$400,"monthly")&lt;&gt;0),SUMIFS(SF_Output!$S$1:$S$400,SF_Output!$AC$1:$AC$400,_xlfn.TEXTJOIN(",",TRUE,B147:E147),SF_Output!$Q$1:$Q$400,"monthly"),AND(B147&lt;&gt;"",H147&lt;&gt;SF_Output!$Y$2),SUMIFS(SF_Output!$S$1:$S$400,SF_Output!$AC$1:$AC$400,_xlfn.TEXTJOIN(",",TRUE,B147:E147),SF_Output!$Q$1:$Q$400,"monthly"))</f>
        <v>750</v>
      </c>
      <c r="W147" s="112" cm="1">
        <f t="array" ref="W147">_xlfn.IFS(OR(B147=0,B147="",V147=0),"",AF147&lt;&gt;"exclusion",MAX($W$9,$W$7,(-(SUMIFS(SF_Output!$T$1:$T$400,SF_Output!$AC$1:$AC$400,_xlfn.TEXTJOIN(",",TRUE,$B147:$E147),SF_Output!$Q$1:$Q$400,"monthly"))/V147)),AF147="exclusion",-(SUMIFS(SF_Output!$T$1:$T$400,SF_Output!$AC$1:$AC$400,_xlfn.TEXTJOIN(",",TRUE,$B147:$E147),SF_Output!$Q$1:$Q$400,"monthly"))/V147)</f>
        <v>1</v>
      </c>
      <c r="X147" s="6" cm="1">
        <f t="array" ref="X147">IFERROR(_xlfn.IFS(V147=0,0,V147="","",W147=0,V147,OR(V147&lt;&gt;0,V147&lt;&gt;""),H147*I147),V147*(1-W147))</f>
        <v>0</v>
      </c>
    </row>
    <row r="148" spans="2:24" x14ac:dyDescent="0.25">
      <c r="B148" t="s">
        <v>2469</v>
      </c>
      <c r="C148" t="s">
        <v>2122</v>
      </c>
      <c r="D148" t="s">
        <v>2123</v>
      </c>
      <c r="E148" t="s">
        <v>2150</v>
      </c>
      <c r="F148" s="116" t="str">
        <f t="shared" si="8"/>
        <v>Optional</v>
      </c>
      <c r="G148" t="str">
        <f>IF(B148="","",INDEX(SF_Output!$K$1:$K$400,MATCH(B148,SF_Output!$M$1:$M$400,0)))</f>
        <v>ProfitStars RemitPlus</v>
      </c>
      <c r="H148" cm="1">
        <f t="array" ref="H148">_xlfn.IFS(B148="","",(SUMIFS(SF_Output!$F$1:$F$400,SF_Output!$AC$1:$AC$400,_xlfn.TEXTJOIN(",",TRUE,B148:E148))+SUMIFS(SF_Output!$G$1:$G$400,SF_Output!$AC$1:$AC$400,_xlfn.TEXTJOIN(",",TRUE,B148:E148)))&lt;&gt;0,SF_Output!$Y$2,INDEX(SF_Output!$F$1:$F$400,MATCH(_xlfn.TEXTJOIN(",",TRUE,B148:E148),SF_Output!$AC$1:$AC$400,0))=0,INDEX(SF_Output!$R$1:$R$400,MATCH(_xlfn.TEXTJOIN(",",TRUE,B148:E148),SF_Output!$AC$1:$AC$400,0)))</f>
        <v>1</v>
      </c>
      <c r="I148" s="125" t="str">
        <f>IFERROR(IF(AND(H148&gt;1,H148&lt;&gt;""),ROUND(SUMIFS(SF_Output!$S$1:$S$400,SF_Output!$AC$1:$AC$400,_xlfn.TEXTJOIN(",",TRUE,B148:E148),SF_Output!$Q$1:$Q$400,"monthly")*(1-W148)/H148,4),""),"")</f>
        <v/>
      </c>
      <c r="J148" s="6">
        <f>IF(B148="","",SUMIFS(SF_Output!$S$1:$S$400,SF_Output!$AC$1:$AC$400,_xlfn.TEXTJOIN(",",TRUE,B148:E148),SF_Output!$Q$1:$Q$400,"One Time",SF_Output!$L$1:$L$400,"license fee")+SUMIFS(SF_Output!$S$1:$S$400,SF_Output!$AC$1:$AC$400,_xlfn.TEXTJOIN(",",TRUE,B148:E148),SF_Output!$Q$1:$Q$400,"One Time",SF_Output!$L$1:$L$400,"software license")+SUMIFS(SF_Output!$S$1:$S$400,SF_Output!$AC$1:$AC$400,_xlfn.TEXTJOIN(",",TRUE,B148:E148),SF_Output!$Q$1:$Q$400,"One Time",SF_Output!$L$1:$L$400,"hardware"))</f>
        <v>0</v>
      </c>
      <c r="K148" s="112" t="str">
        <f>IF(OR(B148=0,B148="",G148="hardware",J148=0),"",IF(AF148&lt;&gt;"exclusion",MAX(K$9,-((SUMIFS(SF_Output!$T$1:$T$400,SF_Output!$AC$1:$AC$400,_xlfn.TEXTJOIN(",",TRUE,$B148:$E148),SF_Output!$Q$1:$Q$400,"One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license"))/J148)))</f>
        <v/>
      </c>
      <c r="L148" s="6">
        <f t="shared" si="9"/>
        <v>0</v>
      </c>
      <c r="N148" s="6">
        <f>IF(B148="","",SUMIFS(SF_Output!$S$1:$S$400,SF_Output!$AC$1:$AC$400,_xlfn.TEXTJOIN(",",TRUE,B148:E148),SF_Output!$Q$1:$Q$400,"One Time",SF_Output!$L$1:$L$400,"professional service"))</f>
        <v>3000</v>
      </c>
      <c r="O148" s="112">
        <f>IF(OR(B148=0,B148="",N148=0),"",IF(AF148&lt;&gt;"exclusion",MAX(O$9,-(SUMIFS(SF_Output!$T$1:$T$400,SF_Output!$AC$1:$AC$400,_xlfn.TEXTJOIN(",",TRUE,$B148:$E148),SF_Output!$Q$1:$Q$400,"One Time",SF_Output!$L$1:$L$400,"professional service"))/N148),-((SUMIFS(SF_Output!$T$1:$T$400,SF_Output!$AC$1:$AC$400,_xlfn.TEXTJOIN(",",TRUE,$B148:$E148),SF_Output!$Q$1:$Q$400,"One Time",SF_Output!$L$1:$L$400,"professional service")/N148))))</f>
        <v>0</v>
      </c>
      <c r="P148" s="6">
        <f t="shared" si="10"/>
        <v>3000</v>
      </c>
      <c r="R148" s="6">
        <f>IF(B148="","",SUMIFS(SF_Output!$S$1:$S$400,SF_Output!$AC$1:$AC$400,_xlfn.TEXTJOIN(",",TRUE,B148:E148),SF_Output!$Q$1:$Q$400,"yearly")+SUMIFS(SF_Output!$S$1:$S$400,SF_Output!$AC$1:$AC$400,_xlfn.TEXTJOIN(",",TRUE,B148:E148),SF_Output!$Q$1:$Q$400,"quarterly")*4)</f>
        <v>0</v>
      </c>
      <c r="S148" s="112" t="str">
        <f>IF(OR(B148=0,B148="",G148="hardware",R148=0),"",IF(AF148&lt;&gt;"exclusion",MAX(S$9,-(SUMIFS(SF_Output!$T$1:$T$400,SF_Output!$AC$1:$AC$400,_xlfn.TEXTJOIN(",",TRUE,$B148:$E148),SF_Output!$Q$1:$Q$400,"yearly"))/R148),-((SUMIFS(SF_Output!$T$1:$T$400,SF_Output!$AC$1:$AC$400,_xlfn.TEXTJOIN(",",TRUE,$B148:$E148),SF_Output!$Q$1:$Q$400,"yearly")/R148))))</f>
        <v/>
      </c>
      <c r="T148" s="6">
        <f t="shared" si="11"/>
        <v>0</v>
      </c>
      <c r="V148" s="6" cm="1">
        <f t="array" ref="V148">_xlfn.IFS(B148="","",AND(B148&lt;&gt;"",H148=SF_Output!$Y$2,SUMIFS(SF_Output!$T$1:$T$400,SF_Output!$AC$1:$AC$400,_xlfn.TEXTJOIN(",",TRUE,B148:E148),SF_Output!$Q$1:$Q$400,"monthly")=0),(SUMIFS(SF_Output!$F$1:$F$400,SF_Output!$AC$1:$AC$400,_xlfn.TEXTJOIN(",",TRUE,B148:E148),SF_Output!$Q$1:$Q$400,"monthly")+SUMIFS(SF_Output!$G$1:$G$400,SF_Output!$AC$1:$AC$400,_xlfn.TEXTJOIN(",",TRUE,B148:E148),SF_Output!$Q$1:$Q$400,"monthly"))*H148,AND(B148&lt;&gt;"",H148=SF_Output!$Y$2,SUMIFS(SF_Output!$T$1:$T$400,SF_Output!$AC$1:$AC$400,_xlfn.TEXTJOIN(",",TRUE,B148:E148),SF_Output!$Q$1:$Q$400,"monthly")&lt;&gt;0),SUMIFS(SF_Output!$S$1:$S$400,SF_Output!$AC$1:$AC$400,_xlfn.TEXTJOIN(",",TRUE,B148:E148),SF_Output!$Q$1:$Q$400,"monthly"),AND(B148&lt;&gt;"",H148&lt;&gt;SF_Output!$Y$2),SUMIFS(SF_Output!$S$1:$S$400,SF_Output!$AC$1:$AC$400,_xlfn.TEXTJOIN(",",TRUE,B148:E148),SF_Output!$Q$1:$Q$400,"monthly"))</f>
        <v>100</v>
      </c>
      <c r="W148" s="112" cm="1">
        <f t="array" ref="W148">_xlfn.IFS(OR(B148=0,B148="",V148=0),"",AF148&lt;&gt;"exclusion",MAX($W$9,$W$7,(-(SUMIFS(SF_Output!$T$1:$T$400,SF_Output!$AC$1:$AC$400,_xlfn.TEXTJOIN(",",TRUE,$B148:$E148),SF_Output!$Q$1:$Q$400,"monthly"))/V148)),AF148="exclusion",-(SUMIFS(SF_Output!$T$1:$T$400,SF_Output!$AC$1:$AC$400,_xlfn.TEXTJOIN(",",TRUE,$B148:$E148),SF_Output!$Q$1:$Q$400,"monthly"))/V148)</f>
        <v>0</v>
      </c>
      <c r="X148" s="6" cm="1">
        <f t="array" ref="X148">IFERROR(_xlfn.IFS(V148=0,0,V148="","",W148=0,V148,OR(V148&lt;&gt;0,V148&lt;&gt;""),H148*I148),V148*(1-W148))</f>
        <v>100</v>
      </c>
    </row>
    <row r="149" spans="2:24" x14ac:dyDescent="0.25">
      <c r="B149" t="s">
        <v>870</v>
      </c>
      <c r="C149" t="s">
        <v>2122</v>
      </c>
      <c r="D149" t="s">
        <v>2123</v>
      </c>
      <c r="E149" t="s">
        <v>2124</v>
      </c>
      <c r="F149" s="116" t="str">
        <f t="shared" si="8"/>
        <v>Included</v>
      </c>
      <c r="G149" t="str">
        <f>IF(B149="","",INDEX(SF_Output!$K$1:$K$400,MATCH(B149,SF_Output!$M$1:$M$400,0)))</f>
        <v>Centurion</v>
      </c>
      <c r="H149" cm="1">
        <f t="array" ref="H149">_xlfn.IFS(B149="","",(SUMIFS(SF_Output!$F$1:$F$400,SF_Output!$AC$1:$AC$400,_xlfn.TEXTJOIN(",",TRUE,B149:E149))+SUMIFS(SF_Output!$G$1:$G$400,SF_Output!$AC$1:$AC$400,_xlfn.TEXTJOIN(",",TRUE,B149:E149)))&lt;&gt;0,SF_Output!$Y$2,INDEX(SF_Output!$F$1:$F$400,MATCH(_xlfn.TEXTJOIN(",",TRUE,B149:E149),SF_Output!$AC$1:$AC$400,0))=0,INDEX(SF_Output!$R$1:$R$400,MATCH(_xlfn.TEXTJOIN(",",TRUE,B149:E149),SF_Output!$AC$1:$AC$400,0)))</f>
        <v>1</v>
      </c>
      <c r="I149" s="125" t="str">
        <f>IFERROR(IF(AND(H149&gt;1,H149&lt;&gt;""),ROUND(SUMIFS(SF_Output!$S$1:$S$400,SF_Output!$AC$1:$AC$400,_xlfn.TEXTJOIN(",",TRUE,B149:E149),SF_Output!$Q$1:$Q$400,"monthly")*(1-W149)/H149,4),""),"")</f>
        <v/>
      </c>
      <c r="J149" s="6">
        <f>IF(B149="","",SUMIFS(SF_Output!$S$1:$S$400,SF_Output!$AC$1:$AC$400,_xlfn.TEXTJOIN(",",TRUE,B149:E149),SF_Output!$Q$1:$Q$400,"One Time",SF_Output!$L$1:$L$400,"license fee")+SUMIFS(SF_Output!$S$1:$S$400,SF_Output!$AC$1:$AC$400,_xlfn.TEXTJOIN(",",TRUE,B149:E149),SF_Output!$Q$1:$Q$400,"One Time",SF_Output!$L$1:$L$400,"software license")+SUMIFS(SF_Output!$S$1:$S$400,SF_Output!$AC$1:$AC$400,_xlfn.TEXTJOIN(",",TRUE,B149:E149),SF_Output!$Q$1:$Q$400,"One Time",SF_Output!$L$1:$L$400,"hardware"))</f>
        <v>0</v>
      </c>
      <c r="K149" s="112" t="str">
        <f>IF(OR(B149=0,B149="",G149="hardware",J149=0),"",IF(AF149&lt;&gt;"exclusion",MAX(K$9,-((SUMIFS(SF_Output!$T$1:$T$400,SF_Output!$AC$1:$AC$400,_xlfn.TEXTJOIN(",",TRUE,$B149:$E149),SF_Output!$Q$1:$Q$400,"One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license"))/J149)))</f>
        <v/>
      </c>
      <c r="L149" s="6">
        <f t="shared" si="9"/>
        <v>0</v>
      </c>
      <c r="N149" s="6">
        <f>IF(B149="","",SUMIFS(SF_Output!$S$1:$S$400,SF_Output!$AC$1:$AC$400,_xlfn.TEXTJOIN(",",TRUE,B149:E149),SF_Output!$Q$1:$Q$400,"One Time",SF_Output!$L$1:$L$400,"professional service"))</f>
        <v>0</v>
      </c>
      <c r="O149" s="112" t="str">
        <f>IF(OR(B149=0,B149="",N149=0),"",IF(AF149&lt;&gt;"exclusion",MAX(O$9,-(SUMIFS(SF_Output!$T$1:$T$400,SF_Output!$AC$1:$AC$400,_xlfn.TEXTJOIN(",",TRUE,$B149:$E149),SF_Output!$Q$1:$Q$400,"One Time",SF_Output!$L$1:$L$400,"professional service"))/N149),-((SUMIFS(SF_Output!$T$1:$T$400,SF_Output!$AC$1:$AC$400,_xlfn.TEXTJOIN(",",TRUE,$B149:$E149),SF_Output!$Q$1:$Q$400,"One Time",SF_Output!$L$1:$L$400,"professional service")/N149))))</f>
        <v/>
      </c>
      <c r="P149" s="6">
        <f t="shared" si="10"/>
        <v>0</v>
      </c>
      <c r="R149" s="6">
        <f>IF(B149="","",SUMIFS(SF_Output!$S$1:$S$400,SF_Output!$AC$1:$AC$400,_xlfn.TEXTJOIN(",",TRUE,B149:E149),SF_Output!$Q$1:$Q$400,"yearly")+SUMIFS(SF_Output!$S$1:$S$400,SF_Output!$AC$1:$AC$400,_xlfn.TEXTJOIN(",",TRUE,B149:E149),SF_Output!$Q$1:$Q$400,"quarterly")*4)</f>
        <v>1880</v>
      </c>
      <c r="S149" s="112">
        <f>IF(OR(B149=0,B149="",G149="hardware",R149=0),"",IF(AF149&lt;&gt;"exclusion",MAX(S$9,-(SUMIFS(SF_Output!$T$1:$T$400,SF_Output!$AC$1:$AC$400,_xlfn.TEXTJOIN(",",TRUE,$B149:$E149),SF_Output!$Q$1:$Q$400,"yearly"))/R149),-((SUMIFS(SF_Output!$T$1:$T$400,SF_Output!$AC$1:$AC$400,_xlfn.TEXTJOIN(",",TRUE,$B149:$E149),SF_Output!$Q$1:$Q$400,"yearly")/R149))))</f>
        <v>0</v>
      </c>
      <c r="T149" s="6">
        <f t="shared" si="11"/>
        <v>1880</v>
      </c>
      <c r="V149" s="6" cm="1">
        <f t="array" ref="V149">_xlfn.IFS(B149="","",AND(B149&lt;&gt;"",H149=SF_Output!$Y$2,SUMIFS(SF_Output!$T$1:$T$400,SF_Output!$AC$1:$AC$400,_xlfn.TEXTJOIN(",",TRUE,B149:E149),SF_Output!$Q$1:$Q$400,"monthly")=0),(SUMIFS(SF_Output!$F$1:$F$400,SF_Output!$AC$1:$AC$400,_xlfn.TEXTJOIN(",",TRUE,B149:E149),SF_Output!$Q$1:$Q$400,"monthly")+SUMIFS(SF_Output!$G$1:$G$400,SF_Output!$AC$1:$AC$400,_xlfn.TEXTJOIN(",",TRUE,B149:E149),SF_Output!$Q$1:$Q$400,"monthly"))*H149,AND(B149&lt;&gt;"",H149=SF_Output!$Y$2,SUMIFS(SF_Output!$T$1:$T$400,SF_Output!$AC$1:$AC$400,_xlfn.TEXTJOIN(",",TRUE,B149:E149),SF_Output!$Q$1:$Q$400,"monthly")&lt;&gt;0),SUMIFS(SF_Output!$S$1:$S$400,SF_Output!$AC$1:$AC$400,_xlfn.TEXTJOIN(",",TRUE,B149:E149),SF_Output!$Q$1:$Q$400,"monthly"),AND(B149&lt;&gt;"",H149&lt;&gt;SF_Output!$Y$2),SUMIFS(SF_Output!$S$1:$S$400,SF_Output!$AC$1:$AC$400,_xlfn.TEXTJOIN(",",TRUE,B149:E149),SF_Output!$Q$1:$Q$400,"monthly"))</f>
        <v>0</v>
      </c>
      <c r="W149" s="112" t="str" cm="1">
        <f t="array" ref="W149">_xlfn.IFS(OR(B149=0,B149="",V149=0),"",AF149&lt;&gt;"exclusion",MAX($W$9,$W$7,(-(SUMIFS(SF_Output!$T$1:$T$400,SF_Output!$AC$1:$AC$400,_xlfn.TEXTJOIN(",",TRUE,$B149:$E149),SF_Output!$Q$1:$Q$400,"monthly"))/V149)),AF149="exclusion",-(SUMIFS(SF_Output!$T$1:$T$400,SF_Output!$AC$1:$AC$400,_xlfn.TEXTJOIN(",",TRUE,$B149:$E149),SF_Output!$Q$1:$Q$400,"monthly"))/V149)</f>
        <v/>
      </c>
      <c r="X149" s="6" cm="1">
        <f t="array" ref="X149">IFERROR(_xlfn.IFS(V149=0,0,V149="","",W149=0,V149,OR(V149&lt;&gt;0,V149&lt;&gt;""),H149*I149),V149*(1-W149))</f>
        <v>0</v>
      </c>
    </row>
    <row r="150" spans="2:24" x14ac:dyDescent="0.25">
      <c r="B150" t="s">
        <v>1833</v>
      </c>
      <c r="C150" t="s">
        <v>2122</v>
      </c>
      <c r="D150" t="s">
        <v>2123</v>
      </c>
      <c r="E150" t="s">
        <v>2124</v>
      </c>
      <c r="F150" s="116" t="str">
        <f t="shared" si="8"/>
        <v>Included</v>
      </c>
      <c r="G150" t="str">
        <f>IF(B150="","",INDEX(SF_Output!$K$1:$K$400,MATCH(B150,SF_Output!$M$1:$M$400,0)))</f>
        <v>Centurion</v>
      </c>
      <c r="H150" cm="1">
        <f t="array" ref="H150">_xlfn.IFS(B150="","",(SUMIFS(SF_Output!$F$1:$F$400,SF_Output!$AC$1:$AC$400,_xlfn.TEXTJOIN(",",TRUE,B150:E150))+SUMIFS(SF_Output!$G$1:$G$400,SF_Output!$AC$1:$AC$400,_xlfn.TEXTJOIN(",",TRUE,B150:E150)))&lt;&gt;0,SF_Output!$Y$2,INDEX(SF_Output!$F$1:$F$400,MATCH(_xlfn.TEXTJOIN(",",TRUE,B150:E150),SF_Output!$AC$1:$AC$400,0))=0,INDEX(SF_Output!$R$1:$R$400,MATCH(_xlfn.TEXTJOIN(",",TRUE,B150:E150),SF_Output!$AC$1:$AC$400,0)))</f>
        <v>1</v>
      </c>
      <c r="I150" s="125" t="str">
        <f>IFERROR(IF(AND(H150&gt;1,H150&lt;&gt;""),ROUND(SUMIFS(SF_Output!$S$1:$S$400,SF_Output!$AC$1:$AC$400,_xlfn.TEXTJOIN(",",TRUE,B150:E150),SF_Output!$Q$1:$Q$400,"monthly")*(1-W150)/H150,4),""),"")</f>
        <v/>
      </c>
      <c r="J150" s="6">
        <f>IF(B150="","",SUMIFS(SF_Output!$S$1:$S$400,SF_Output!$AC$1:$AC$400,_xlfn.TEXTJOIN(",",TRUE,B150:E150),SF_Output!$Q$1:$Q$400,"One Time",SF_Output!$L$1:$L$400,"license fee")+SUMIFS(SF_Output!$S$1:$S$400,SF_Output!$AC$1:$AC$400,_xlfn.TEXTJOIN(",",TRUE,B150:E150),SF_Output!$Q$1:$Q$400,"One Time",SF_Output!$L$1:$L$400,"software license")+SUMIFS(SF_Output!$S$1:$S$400,SF_Output!$AC$1:$AC$400,_xlfn.TEXTJOIN(",",TRUE,B150:E150),SF_Output!$Q$1:$Q$400,"One Time",SF_Output!$L$1:$L$400,"hardware"))</f>
        <v>0</v>
      </c>
      <c r="K150" s="112" t="str">
        <f>IF(OR(B150=0,B150="",G150="hardware",J150=0),"",IF(AF150&lt;&gt;"exclusion",MAX(K$9,-((SUMIFS(SF_Output!$T$1:$T$400,SF_Output!$AC$1:$AC$400,_xlfn.TEXTJOIN(",",TRUE,$B150:$E150),SF_Output!$Q$1:$Q$400,"One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license"))/J150)))</f>
        <v/>
      </c>
      <c r="L150" s="6">
        <f t="shared" si="9"/>
        <v>0</v>
      </c>
      <c r="N150" s="6">
        <f>IF(B150="","",SUMIFS(SF_Output!$S$1:$S$400,SF_Output!$AC$1:$AC$400,_xlfn.TEXTJOIN(",",TRUE,B150:E150),SF_Output!$Q$1:$Q$400,"One Time",SF_Output!$L$1:$L$400,"professional service"))</f>
        <v>0</v>
      </c>
      <c r="O150" s="112" t="str">
        <f>IF(OR(B150=0,B150="",N150=0),"",IF(AF150&lt;&gt;"exclusion",MAX(O$9,-(SUMIFS(SF_Output!$T$1:$T$400,SF_Output!$AC$1:$AC$400,_xlfn.TEXTJOIN(",",TRUE,$B150:$E150),SF_Output!$Q$1:$Q$400,"One Time",SF_Output!$L$1:$L$400,"professional service"))/N150),-((SUMIFS(SF_Output!$T$1:$T$400,SF_Output!$AC$1:$AC$400,_xlfn.TEXTJOIN(",",TRUE,$B150:$E150),SF_Output!$Q$1:$Q$400,"One Time",SF_Output!$L$1:$L$400,"professional service")/N150))))</f>
        <v/>
      </c>
      <c r="P150" s="6">
        <f t="shared" si="10"/>
        <v>0</v>
      </c>
      <c r="R150" s="6">
        <f>IF(B150="","",SUMIFS(SF_Output!$S$1:$S$400,SF_Output!$AC$1:$AC$400,_xlfn.TEXTJOIN(",",TRUE,B150:E150),SF_Output!$Q$1:$Q$400,"yearly")+SUMIFS(SF_Output!$S$1:$S$400,SF_Output!$AC$1:$AC$400,_xlfn.TEXTJOIN(",",TRUE,B150:E150),SF_Output!$Q$1:$Q$400,"quarterly")*4)</f>
        <v>0</v>
      </c>
      <c r="S150" s="112" t="str">
        <f>IF(OR(B150=0,B150="",G150="hardware",R150=0),"",IF(AF150&lt;&gt;"exclusion",MAX(S$9,-(SUMIFS(SF_Output!$T$1:$T$400,SF_Output!$AC$1:$AC$400,_xlfn.TEXTJOIN(",",TRUE,$B150:$E150),SF_Output!$Q$1:$Q$400,"yearly"))/R150),-((SUMIFS(SF_Output!$T$1:$T$400,SF_Output!$AC$1:$AC$400,_xlfn.TEXTJOIN(",",TRUE,$B150:$E150),SF_Output!$Q$1:$Q$400,"yearly")/R150))))</f>
        <v/>
      </c>
      <c r="T150" s="6">
        <f t="shared" si="11"/>
        <v>0</v>
      </c>
      <c r="V150" s="6" cm="1">
        <f t="array" ref="V150">_xlfn.IFS(B150="","",AND(B150&lt;&gt;"",H150=SF_Output!$Y$2,SUMIFS(SF_Output!$T$1:$T$400,SF_Output!$AC$1:$AC$400,_xlfn.TEXTJOIN(",",TRUE,B150:E150),SF_Output!$Q$1:$Q$400,"monthly")=0),(SUMIFS(SF_Output!$F$1:$F$400,SF_Output!$AC$1:$AC$400,_xlfn.TEXTJOIN(",",TRUE,B150:E150),SF_Output!$Q$1:$Q$400,"monthly")+SUMIFS(SF_Output!$G$1:$G$400,SF_Output!$AC$1:$AC$400,_xlfn.TEXTJOIN(",",TRUE,B150:E150),SF_Output!$Q$1:$Q$400,"monthly"))*H150,AND(B150&lt;&gt;"",H150=SF_Output!$Y$2,SUMIFS(SF_Output!$T$1:$T$400,SF_Output!$AC$1:$AC$400,_xlfn.TEXTJOIN(",",TRUE,B150:E150),SF_Output!$Q$1:$Q$400,"monthly")&lt;&gt;0),SUMIFS(SF_Output!$S$1:$S$400,SF_Output!$AC$1:$AC$400,_xlfn.TEXTJOIN(",",TRUE,B150:E150),SF_Output!$Q$1:$Q$400,"monthly"),AND(B150&lt;&gt;"",H150&lt;&gt;SF_Output!$Y$2),SUMIFS(SF_Output!$S$1:$S$400,SF_Output!$AC$1:$AC$400,_xlfn.TEXTJOIN(",",TRUE,B150:E150),SF_Output!$Q$1:$Q$400,"monthly"))</f>
        <v>200</v>
      </c>
      <c r="W150" s="112" cm="1">
        <f t="array" ref="W150">_xlfn.IFS(OR(B150=0,B150="",V150=0),"",AF150&lt;&gt;"exclusion",MAX($W$9,$W$7,(-(SUMIFS(SF_Output!$T$1:$T$400,SF_Output!$AC$1:$AC$400,_xlfn.TEXTJOIN(",",TRUE,$B150:$E150),SF_Output!$Q$1:$Q$400,"monthly"))/V150)),AF150="exclusion",-(SUMIFS(SF_Output!$T$1:$T$400,SF_Output!$AC$1:$AC$400,_xlfn.TEXTJOIN(",",TRUE,$B150:$E150),SF_Output!$Q$1:$Q$400,"monthly"))/V150)</f>
        <v>0</v>
      </c>
      <c r="X150" s="6" cm="1">
        <f t="array" ref="X150">IFERROR(_xlfn.IFS(V150=0,0,V150="","",W150=0,V150,OR(V150&lt;&gt;0,V150&lt;&gt;""),H150*I150),V150*(1-W150))</f>
        <v>200</v>
      </c>
    </row>
    <row r="151" spans="2:24" x14ac:dyDescent="0.25">
      <c r="B151" t="s">
        <v>2289</v>
      </c>
      <c r="C151" t="s">
        <v>2122</v>
      </c>
      <c r="D151" t="s">
        <v>2123</v>
      </c>
      <c r="E151" t="s">
        <v>2124</v>
      </c>
      <c r="F151" s="116" t="str">
        <f t="shared" si="8"/>
        <v>Included</v>
      </c>
      <c r="G151" t="str">
        <f>IF(B151="","",INDEX(SF_Output!$K$1:$K$400,MATCH(B151,SF_Output!$M$1:$M$400,0)))</f>
        <v>Fraud</v>
      </c>
      <c r="H151" cm="1">
        <f t="array" ref="H151">_xlfn.IFS(B151="","",(SUMIFS(SF_Output!$F$1:$F$400,SF_Output!$AC$1:$AC$400,_xlfn.TEXTJOIN(",",TRUE,B151:E151))+SUMIFS(SF_Output!$G$1:$G$400,SF_Output!$AC$1:$AC$400,_xlfn.TEXTJOIN(",",TRUE,B151:E151)))&lt;&gt;0,SF_Output!$Y$2,INDEX(SF_Output!$F$1:$F$400,MATCH(_xlfn.TEXTJOIN(",",TRUE,B151:E151),SF_Output!$AC$1:$AC$400,0))=0,INDEX(SF_Output!$R$1:$R$400,MATCH(_xlfn.TEXTJOIN(",",TRUE,B151:E151),SF_Output!$AC$1:$AC$400,0)))</f>
        <v>5000</v>
      </c>
      <c r="I151" s="125">
        <f>IFERROR(IF(AND(H151&gt;1,H151&lt;&gt;""),ROUND(SUMIFS(SF_Output!$S$1:$S$400,SF_Output!$AC$1:$AC$400,_xlfn.TEXTJOIN(",",TRUE,B151:E151),SF_Output!$Q$1:$Q$400,"monthly")*(1-W151)/H151,4),""),"")</f>
        <v>0.71640000000000004</v>
      </c>
      <c r="J151" s="6">
        <f>IF(B151="","",SUMIFS(SF_Output!$S$1:$S$400,SF_Output!$AC$1:$AC$400,_xlfn.TEXTJOIN(",",TRUE,B151:E151),SF_Output!$Q$1:$Q$400,"One Time",SF_Output!$L$1:$L$400,"license fee")+SUMIFS(SF_Output!$S$1:$S$400,SF_Output!$AC$1:$AC$400,_xlfn.TEXTJOIN(",",TRUE,B151:E151),SF_Output!$Q$1:$Q$400,"One Time",SF_Output!$L$1:$L$400,"software license")+SUMIFS(SF_Output!$S$1:$S$400,SF_Output!$AC$1:$AC$400,_xlfn.TEXTJOIN(",",TRUE,B151:E151),SF_Output!$Q$1:$Q$400,"One Time",SF_Output!$L$1:$L$400,"hardware"))</f>
        <v>0</v>
      </c>
      <c r="K151" s="112" t="str">
        <f>IF(OR(B151=0,B151="",G151="hardware",J151=0),"",IF(AF151&lt;&gt;"exclusion",MAX(K$9,-((SUMIFS(SF_Output!$T$1:$T$400,SF_Output!$AC$1:$AC$400,_xlfn.TEXTJOIN(",",TRUE,$B151:$E151),SF_Output!$Q$1:$Q$400,"One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license"))/J151)))</f>
        <v/>
      </c>
      <c r="L151" s="6">
        <f t="shared" si="9"/>
        <v>0</v>
      </c>
      <c r="N151" s="6">
        <f>IF(B151="","",SUMIFS(SF_Output!$S$1:$S$400,SF_Output!$AC$1:$AC$400,_xlfn.TEXTJOIN(",",TRUE,B151:E151),SF_Output!$Q$1:$Q$400,"One Time",SF_Output!$L$1:$L$400,"professional service"))</f>
        <v>18890</v>
      </c>
      <c r="O151" s="112">
        <f>IF(OR(B151=0,B151="",N151=0),"",IF(AF151&lt;&gt;"exclusion",MAX(O$9,-(SUMIFS(SF_Output!$T$1:$T$400,SF_Output!$AC$1:$AC$400,_xlfn.TEXTJOIN(",",TRUE,$B151:$E151),SF_Output!$Q$1:$Q$400,"One Time",SF_Output!$L$1:$L$400,"professional service"))/N151),-((SUMIFS(SF_Output!$T$1:$T$400,SF_Output!$AC$1:$AC$400,_xlfn.TEXTJOIN(",",TRUE,$B151:$E151),SF_Output!$Q$1:$Q$400,"One Time",SF_Output!$L$1:$L$400,"professional service")/N151))))</f>
        <v>0.25</v>
      </c>
      <c r="P151" s="6">
        <f t="shared" si="10"/>
        <v>14167.5</v>
      </c>
      <c r="R151" s="6">
        <f>IF(B151="","",SUMIFS(SF_Output!$S$1:$S$400,SF_Output!$AC$1:$AC$400,_xlfn.TEXTJOIN(",",TRUE,B151:E151),SF_Output!$Q$1:$Q$400,"yearly")+SUMIFS(SF_Output!$S$1:$S$400,SF_Output!$AC$1:$AC$400,_xlfn.TEXTJOIN(",",TRUE,B151:E151),SF_Output!$Q$1:$Q$400,"quarterly")*4)</f>
        <v>0</v>
      </c>
      <c r="S151" s="112" t="str">
        <f>IF(OR(B151=0,B151="",G151="hardware",R151=0),"",IF(AF151&lt;&gt;"exclusion",MAX(S$9,-(SUMIFS(SF_Output!$T$1:$T$400,SF_Output!$AC$1:$AC$400,_xlfn.TEXTJOIN(",",TRUE,$B151:$E151),SF_Output!$Q$1:$Q$400,"yearly"))/R151),-((SUMIFS(SF_Output!$T$1:$T$400,SF_Output!$AC$1:$AC$400,_xlfn.TEXTJOIN(",",TRUE,$B151:$E151),SF_Output!$Q$1:$Q$400,"yearly")/R151))))</f>
        <v/>
      </c>
      <c r="T151" s="6">
        <f t="shared" si="11"/>
        <v>0</v>
      </c>
      <c r="V151" s="6" cm="1">
        <f t="array" ref="V151">_xlfn.IFS(B151="","",AND(B151&lt;&gt;"",H151=SF_Output!$Y$2,SUMIFS(SF_Output!$T$1:$T$400,SF_Output!$AC$1:$AC$400,_xlfn.TEXTJOIN(",",TRUE,B151:E151),SF_Output!$Q$1:$Q$400,"monthly")=0),(SUMIFS(SF_Output!$F$1:$F$400,SF_Output!$AC$1:$AC$400,_xlfn.TEXTJOIN(",",TRUE,B151:E151),SF_Output!$Q$1:$Q$400,"monthly")+SUMIFS(SF_Output!$G$1:$G$400,SF_Output!$AC$1:$AC$400,_xlfn.TEXTJOIN(",",TRUE,B151:E151),SF_Output!$Q$1:$Q$400,"monthly"))*H151,AND(B151&lt;&gt;"",H151=SF_Output!$Y$2,SUMIFS(SF_Output!$T$1:$T$400,SF_Output!$AC$1:$AC$400,_xlfn.TEXTJOIN(",",TRUE,B151:E151),SF_Output!$Q$1:$Q$400,"monthly")&lt;&gt;0),SUMIFS(SF_Output!$S$1:$S$400,SF_Output!$AC$1:$AC$400,_xlfn.TEXTJOIN(",",TRUE,B151:E151),SF_Output!$Q$1:$Q$400,"monthly"),AND(B151&lt;&gt;"",H151&lt;&gt;SF_Output!$Y$2),SUMIFS(SF_Output!$S$1:$S$400,SF_Output!$AC$1:$AC$400,_xlfn.TEXTJOIN(",",TRUE,B151:E151),SF_Output!$Q$1:$Q$400,"monthly"))</f>
        <v>3980</v>
      </c>
      <c r="W151" s="112" cm="1">
        <f t="array" ref="W151">_xlfn.IFS(OR(B151=0,B151="",V151=0),"",AF151&lt;&gt;"exclusion",MAX($W$9,$W$7,(-(SUMIFS(SF_Output!$T$1:$T$400,SF_Output!$AC$1:$AC$400,_xlfn.TEXTJOIN(",",TRUE,$B151:$E151),SF_Output!$Q$1:$Q$400,"monthly"))/V151)),AF151="exclusion",-(SUMIFS(SF_Output!$T$1:$T$400,SF_Output!$AC$1:$AC$400,_xlfn.TEXTJOIN(",",TRUE,$B151:$E151),SF_Output!$Q$1:$Q$400,"monthly"))/V151)</f>
        <v>0.1</v>
      </c>
      <c r="X151" s="6" cm="1">
        <f t="array" ref="X151">IFERROR(_xlfn.IFS(V151=0,0,V151="","",W151=0,V151,OR(V151&lt;&gt;0,V151&lt;&gt;""),H151*I151),V151*(1-W151))</f>
        <v>3582</v>
      </c>
    </row>
    <row r="152" spans="2:24" x14ac:dyDescent="0.25">
      <c r="B152" t="s">
        <v>2292</v>
      </c>
      <c r="C152" t="s">
        <v>2122</v>
      </c>
      <c r="D152" t="s">
        <v>2123</v>
      </c>
      <c r="E152" t="s">
        <v>2124</v>
      </c>
      <c r="F152" s="116" t="str">
        <f t="shared" si="8"/>
        <v>Included</v>
      </c>
      <c r="G152" t="str">
        <f>IF(B152="","",INDEX(SF_Output!$K$1:$K$400,MATCH(B152,SF_Output!$M$1:$M$400,0)))</f>
        <v>Fraud</v>
      </c>
      <c r="H152" cm="1">
        <f t="array" ref="H152">_xlfn.IFS(B152="","",(SUMIFS(SF_Output!$F$1:$F$400,SF_Output!$AC$1:$AC$400,_xlfn.TEXTJOIN(",",TRUE,B152:E152))+SUMIFS(SF_Output!$G$1:$G$400,SF_Output!$AC$1:$AC$400,_xlfn.TEXTJOIN(",",TRUE,B152:E152)))&lt;&gt;0,SF_Output!$Y$2,INDEX(SF_Output!$F$1:$F$400,MATCH(_xlfn.TEXTJOIN(",",TRUE,B152:E152),SF_Output!$AC$1:$AC$400,0))=0,INDEX(SF_Output!$R$1:$R$400,MATCH(_xlfn.TEXTJOIN(",",TRUE,B152:E152),SF_Output!$AC$1:$AC$400,0)))</f>
        <v>1</v>
      </c>
      <c r="I152" s="125" t="str">
        <f>IFERROR(IF(AND(H152&gt;1,H152&lt;&gt;""),ROUND(SUMIFS(SF_Output!$S$1:$S$400,SF_Output!$AC$1:$AC$400,_xlfn.TEXTJOIN(",",TRUE,B152:E152),SF_Output!$Q$1:$Q$400,"monthly")*(1-W152)/H152,4),""),"")</f>
        <v/>
      </c>
      <c r="J152" s="6">
        <f>IF(B152="","",SUMIFS(SF_Output!$S$1:$S$400,SF_Output!$AC$1:$AC$400,_xlfn.TEXTJOIN(",",TRUE,B152:E152),SF_Output!$Q$1:$Q$400,"One Time",SF_Output!$L$1:$L$400,"license fee")+SUMIFS(SF_Output!$S$1:$S$400,SF_Output!$AC$1:$AC$400,_xlfn.TEXTJOIN(",",TRUE,B152:E152),SF_Output!$Q$1:$Q$400,"One Time",SF_Output!$L$1:$L$400,"software license")+SUMIFS(SF_Output!$S$1:$S$400,SF_Output!$AC$1:$AC$400,_xlfn.TEXTJOIN(",",TRUE,B152:E152),SF_Output!$Q$1:$Q$400,"One Time",SF_Output!$L$1:$L$400,"hardware"))</f>
        <v>0</v>
      </c>
      <c r="K152" s="112" t="str">
        <f>IF(OR(B152=0,B152="",G152="hardware",J152=0),"",IF(AF152&lt;&gt;"exclusion",MAX(K$9,-((SUMIFS(SF_Output!$T$1:$T$400,SF_Output!$AC$1:$AC$400,_xlfn.TEXTJOIN(",",TRUE,$B152:$E152),SF_Output!$Q$1:$Q$400,"One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license"))/J152)))</f>
        <v/>
      </c>
      <c r="L152" s="6">
        <f t="shared" si="9"/>
        <v>0</v>
      </c>
      <c r="N152" s="6">
        <f>IF(B152="","",SUMIFS(SF_Output!$S$1:$S$400,SF_Output!$AC$1:$AC$400,_xlfn.TEXTJOIN(",",TRUE,B152:E152),SF_Output!$Q$1:$Q$400,"One Time",SF_Output!$L$1:$L$400,"professional service"))</f>
        <v>6000</v>
      </c>
      <c r="O152" s="112">
        <f>IF(OR(B152=0,B152="",N152=0),"",IF(AF152&lt;&gt;"exclusion",MAX(O$9,-(SUMIFS(SF_Output!$T$1:$T$400,SF_Output!$AC$1:$AC$400,_xlfn.TEXTJOIN(",",TRUE,$B152:$E152),SF_Output!$Q$1:$Q$400,"One Time",SF_Output!$L$1:$L$400,"professional service"))/N152),-((SUMIFS(SF_Output!$T$1:$T$400,SF_Output!$AC$1:$AC$400,_xlfn.TEXTJOIN(",",TRUE,$B152:$E152),SF_Output!$Q$1:$Q$400,"One Time",SF_Output!$L$1:$L$400,"professional service")/N152))))</f>
        <v>0</v>
      </c>
      <c r="P152" s="6">
        <f t="shared" si="10"/>
        <v>6000</v>
      </c>
      <c r="R152" s="6">
        <f>IF(B152="","",SUMIFS(SF_Output!$S$1:$S$400,SF_Output!$AC$1:$AC$400,_xlfn.TEXTJOIN(",",TRUE,B152:E152),SF_Output!$Q$1:$Q$400,"yearly")+SUMIFS(SF_Output!$S$1:$S$400,SF_Output!$AC$1:$AC$400,_xlfn.TEXTJOIN(",",TRUE,B152:E152),SF_Output!$Q$1:$Q$400,"quarterly")*4)</f>
        <v>0</v>
      </c>
      <c r="S152" s="112" t="str">
        <f>IF(OR(B152=0,B152="",G152="hardware",R152=0),"",IF(AF152&lt;&gt;"exclusion",MAX(S$9,-(SUMIFS(SF_Output!$T$1:$T$400,SF_Output!$AC$1:$AC$400,_xlfn.TEXTJOIN(",",TRUE,$B152:$E152),SF_Output!$Q$1:$Q$400,"yearly"))/R152),-((SUMIFS(SF_Output!$T$1:$T$400,SF_Output!$AC$1:$AC$400,_xlfn.TEXTJOIN(",",TRUE,$B152:$E152),SF_Output!$Q$1:$Q$400,"yearly")/R152))))</f>
        <v/>
      </c>
      <c r="T152" s="6">
        <f t="shared" si="11"/>
        <v>0</v>
      </c>
      <c r="V152" s="6" cm="1">
        <f t="array" ref="V152">_xlfn.IFS(B152="","",AND(B152&lt;&gt;"",H152=SF_Output!$Y$2,SUMIFS(SF_Output!$T$1:$T$400,SF_Output!$AC$1:$AC$400,_xlfn.TEXTJOIN(",",TRUE,B152:E152),SF_Output!$Q$1:$Q$400,"monthly")=0),(SUMIFS(SF_Output!$F$1:$F$400,SF_Output!$AC$1:$AC$400,_xlfn.TEXTJOIN(",",TRUE,B152:E152),SF_Output!$Q$1:$Q$400,"monthly")+SUMIFS(SF_Output!$G$1:$G$400,SF_Output!$AC$1:$AC$400,_xlfn.TEXTJOIN(",",TRUE,B152:E152),SF_Output!$Q$1:$Q$400,"monthly"))*H152,AND(B152&lt;&gt;"",H152=SF_Output!$Y$2,SUMIFS(SF_Output!$T$1:$T$400,SF_Output!$AC$1:$AC$400,_xlfn.TEXTJOIN(",",TRUE,B152:E152),SF_Output!$Q$1:$Q$400,"monthly")&lt;&gt;0),SUMIFS(SF_Output!$S$1:$S$400,SF_Output!$AC$1:$AC$400,_xlfn.TEXTJOIN(",",TRUE,B152:E152),SF_Output!$Q$1:$Q$400,"monthly"),AND(B152&lt;&gt;"",H152&lt;&gt;SF_Output!$Y$2),SUMIFS(SF_Output!$S$1:$S$400,SF_Output!$AC$1:$AC$400,_xlfn.TEXTJOIN(",",TRUE,B152:E152),SF_Output!$Q$1:$Q$400,"monthly"))</f>
        <v>2000</v>
      </c>
      <c r="W152" s="112" cm="1">
        <f t="array" ref="W152">_xlfn.IFS(OR(B152=0,B152="",V152=0),"",AF152&lt;&gt;"exclusion",MAX($W$9,$W$7,(-(SUMIFS(SF_Output!$T$1:$T$400,SF_Output!$AC$1:$AC$400,_xlfn.TEXTJOIN(",",TRUE,$B152:$E152),SF_Output!$Q$1:$Q$400,"monthly"))/V152)),AF152="exclusion",-(SUMIFS(SF_Output!$T$1:$T$400,SF_Output!$AC$1:$AC$400,_xlfn.TEXTJOIN(",",TRUE,$B152:$E152),SF_Output!$Q$1:$Q$400,"monthly"))/V152)</f>
        <v>0</v>
      </c>
      <c r="X152" s="6" cm="1">
        <f t="array" ref="X152">IFERROR(_xlfn.IFS(V152=0,0,V152="","",W152=0,V152,OR(V152&lt;&gt;0,V152&lt;&gt;""),H152*I152),V152*(1-W152))</f>
        <v>2000</v>
      </c>
    </row>
    <row r="153" spans="2:24" x14ac:dyDescent="0.25">
      <c r="B153" t="s">
        <v>1762</v>
      </c>
      <c r="C153" t="s">
        <v>2122</v>
      </c>
      <c r="D153" t="s">
        <v>2123</v>
      </c>
      <c r="E153" t="s">
        <v>2124</v>
      </c>
      <c r="F153" s="116" t="str">
        <f t="shared" si="8"/>
        <v>Included</v>
      </c>
      <c r="G153" t="str">
        <f>IF(B153="","",INDEX(SF_Output!$K$1:$K$400,MATCH(B153,SF_Output!$M$1:$M$400,0)))</f>
        <v>Fraud</v>
      </c>
      <c r="H153" cm="1">
        <f t="array" ref="H153">_xlfn.IFS(B153="","",(SUMIFS(SF_Output!$F$1:$F$400,SF_Output!$AC$1:$AC$400,_xlfn.TEXTJOIN(",",TRUE,B153:E153))+SUMIFS(SF_Output!$G$1:$G$400,SF_Output!$AC$1:$AC$400,_xlfn.TEXTJOIN(",",TRUE,B153:E153)))&lt;&gt;0,SF_Output!$Y$2,INDEX(SF_Output!$F$1:$F$400,MATCH(_xlfn.TEXTJOIN(",",TRUE,B153:E153),SF_Output!$AC$1:$AC$400,0))=0,INDEX(SF_Output!$R$1:$R$400,MATCH(_xlfn.TEXTJOIN(",",TRUE,B153:E153),SF_Output!$AC$1:$AC$400,0)))</f>
        <v>1</v>
      </c>
      <c r="I153" s="125" t="str">
        <f>IFERROR(IF(AND(H153&gt;1,H153&lt;&gt;""),ROUND(SUMIFS(SF_Output!$S$1:$S$400,SF_Output!$AC$1:$AC$400,_xlfn.TEXTJOIN(",",TRUE,B153:E153),SF_Output!$Q$1:$Q$400,"monthly")*(1-W153)/H153,4),""),"")</f>
        <v/>
      </c>
      <c r="J153" s="6">
        <f>IF(B153="","",SUMIFS(SF_Output!$S$1:$S$400,SF_Output!$AC$1:$AC$400,_xlfn.TEXTJOIN(",",TRUE,B153:E153),SF_Output!$Q$1:$Q$400,"One Time",SF_Output!$L$1:$L$400,"license fee")+SUMIFS(SF_Output!$S$1:$S$400,SF_Output!$AC$1:$AC$400,_xlfn.TEXTJOIN(",",TRUE,B153:E153),SF_Output!$Q$1:$Q$400,"One Time",SF_Output!$L$1:$L$400,"software license")+SUMIFS(SF_Output!$S$1:$S$400,SF_Output!$AC$1:$AC$400,_xlfn.TEXTJOIN(",",TRUE,B153:E153),SF_Output!$Q$1:$Q$400,"One Time",SF_Output!$L$1:$L$400,"hardware"))</f>
        <v>0</v>
      </c>
      <c r="K153" s="112" t="str">
        <f>IF(OR(B153=0,B153="",G153="hardware",J153=0),"",IF(AF153&lt;&gt;"exclusion",MAX(K$9,-((SUMIFS(SF_Output!$T$1:$T$400,SF_Output!$AC$1:$AC$400,_xlfn.TEXTJOIN(",",TRUE,$B153:$E153),SF_Output!$Q$1:$Q$400,"One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license"))/J153)))</f>
        <v/>
      </c>
      <c r="L153" s="6">
        <f t="shared" si="9"/>
        <v>0</v>
      </c>
      <c r="N153" s="6">
        <f>IF(B153="","",SUMIFS(SF_Output!$S$1:$S$400,SF_Output!$AC$1:$AC$400,_xlfn.TEXTJOIN(",",TRUE,B153:E153),SF_Output!$Q$1:$Q$400,"One Time",SF_Output!$L$1:$L$400,"professional service"))</f>
        <v>28500</v>
      </c>
      <c r="O153" s="112">
        <f>IF(OR(B153=0,B153="",N153=0),"",IF(AF153&lt;&gt;"exclusion",MAX(O$9,-(SUMIFS(SF_Output!$T$1:$T$400,SF_Output!$AC$1:$AC$400,_xlfn.TEXTJOIN(",",TRUE,$B153:$E153),SF_Output!$Q$1:$Q$400,"One Time",SF_Output!$L$1:$L$400,"professional service"))/N153),-((SUMIFS(SF_Output!$T$1:$T$400,SF_Output!$AC$1:$AC$400,_xlfn.TEXTJOIN(",",TRUE,$B153:$E153),SF_Output!$Q$1:$Q$400,"One Time",SF_Output!$L$1:$L$400,"professional service")/N153))))</f>
        <v>0</v>
      </c>
      <c r="P153" s="6">
        <f t="shared" si="10"/>
        <v>28500</v>
      </c>
      <c r="R153" s="6">
        <f>IF(B153="","",SUMIFS(SF_Output!$S$1:$S$400,SF_Output!$AC$1:$AC$400,_xlfn.TEXTJOIN(",",TRUE,B153:E153),SF_Output!$Q$1:$Q$400,"yearly")+SUMIFS(SF_Output!$S$1:$S$400,SF_Output!$AC$1:$AC$400,_xlfn.TEXTJOIN(",",TRUE,B153:E153),SF_Output!$Q$1:$Q$400,"quarterly")*4)</f>
        <v>0</v>
      </c>
      <c r="S153" s="112" t="str">
        <f>IF(OR(B153=0,B153="",G153="hardware",R153=0),"",IF(AF153&lt;&gt;"exclusion",MAX(S$9,-(SUMIFS(SF_Output!$T$1:$T$400,SF_Output!$AC$1:$AC$400,_xlfn.TEXTJOIN(",",TRUE,$B153:$E153),SF_Output!$Q$1:$Q$400,"yearly"))/R153),-((SUMIFS(SF_Output!$T$1:$T$400,SF_Output!$AC$1:$AC$400,_xlfn.TEXTJOIN(",",TRUE,$B153:$E153),SF_Output!$Q$1:$Q$400,"yearly")/R153))))</f>
        <v/>
      </c>
      <c r="T153" s="6">
        <f t="shared" si="11"/>
        <v>0</v>
      </c>
      <c r="V153" s="6" cm="1">
        <f t="array" ref="V153">_xlfn.IFS(B153="","",AND(B153&lt;&gt;"",H153=SF_Output!$Y$2,SUMIFS(SF_Output!$T$1:$T$400,SF_Output!$AC$1:$AC$400,_xlfn.TEXTJOIN(",",TRUE,B153:E153),SF_Output!$Q$1:$Q$400,"monthly")=0),(SUMIFS(SF_Output!$F$1:$F$400,SF_Output!$AC$1:$AC$400,_xlfn.TEXTJOIN(",",TRUE,B153:E153),SF_Output!$Q$1:$Q$400,"monthly")+SUMIFS(SF_Output!$G$1:$G$400,SF_Output!$AC$1:$AC$400,_xlfn.TEXTJOIN(",",TRUE,B153:E153),SF_Output!$Q$1:$Q$400,"monthly"))*H153,AND(B153&lt;&gt;"",H153=SF_Output!$Y$2,SUMIFS(SF_Output!$T$1:$T$400,SF_Output!$AC$1:$AC$400,_xlfn.TEXTJOIN(",",TRUE,B153:E153),SF_Output!$Q$1:$Q$400,"monthly")&lt;&gt;0),SUMIFS(SF_Output!$S$1:$S$400,SF_Output!$AC$1:$AC$400,_xlfn.TEXTJOIN(",",TRUE,B153:E153),SF_Output!$Q$1:$Q$400,"monthly"),AND(B153&lt;&gt;"",H153&lt;&gt;SF_Output!$Y$2),SUMIFS(SF_Output!$S$1:$S$400,SF_Output!$AC$1:$AC$400,_xlfn.TEXTJOIN(",",TRUE,B153:E153),SF_Output!$Q$1:$Q$400,"monthly"))</f>
        <v>0</v>
      </c>
      <c r="W153" s="112" t="str" cm="1">
        <f t="array" ref="W153">_xlfn.IFS(OR(B153=0,B153="",V153=0),"",AF153&lt;&gt;"exclusion",MAX($W$9,$W$7,(-(SUMIFS(SF_Output!$T$1:$T$400,SF_Output!$AC$1:$AC$400,_xlfn.TEXTJOIN(",",TRUE,$B153:$E153),SF_Output!$Q$1:$Q$400,"monthly"))/V153)),AF153="exclusion",-(SUMIFS(SF_Output!$T$1:$T$400,SF_Output!$AC$1:$AC$400,_xlfn.TEXTJOIN(",",TRUE,$B153:$E153),SF_Output!$Q$1:$Q$400,"monthly"))/V153)</f>
        <v/>
      </c>
      <c r="X153" s="6" cm="1">
        <f t="array" ref="X153">IFERROR(_xlfn.IFS(V153=0,0,V153="","",W153=0,V153,OR(V153&lt;&gt;0,V153&lt;&gt;""),H153*I153),V153*(1-W153))</f>
        <v>0</v>
      </c>
    </row>
    <row r="154" spans="2:24" x14ac:dyDescent="0.25">
      <c r="B154" t="s">
        <v>640</v>
      </c>
      <c r="C154" t="s">
        <v>2122</v>
      </c>
      <c r="D154" t="s">
        <v>2306</v>
      </c>
      <c r="E154" t="s">
        <v>2124</v>
      </c>
      <c r="F154" s="116" t="str">
        <f t="shared" si="8"/>
        <v>Included</v>
      </c>
      <c r="G154" t="str">
        <f>IF(B154="","",INDEX(SF_Output!$K$1:$K$400,MATCH(B154,SF_Output!$M$1:$M$400,0)))</f>
        <v>jhaEnterprise Workflow</v>
      </c>
      <c r="H154" cm="1">
        <f t="array" ref="H154">_xlfn.IFS(B154="","",(SUMIFS(SF_Output!$F$1:$F$400,SF_Output!$AC$1:$AC$400,_xlfn.TEXTJOIN(",",TRUE,B154:E154))+SUMIFS(SF_Output!$G$1:$G$400,SF_Output!$AC$1:$AC$400,_xlfn.TEXTJOIN(",",TRUE,B154:E154)))&lt;&gt;0,SF_Output!$Y$2,INDEX(SF_Output!$F$1:$F$400,MATCH(_xlfn.TEXTJOIN(",",TRUE,B154:E154),SF_Output!$AC$1:$AC$400,0))=0,INDEX(SF_Output!$R$1:$R$400,MATCH(_xlfn.TEXTJOIN(",",TRUE,B154:E154),SF_Output!$AC$1:$AC$400,0)))</f>
        <v>5000</v>
      </c>
      <c r="I154" s="125">
        <f>IFERROR(IF(AND(H154&gt;1,H154&lt;&gt;""),ROUND(SUMIFS(SF_Output!$S$1:$S$400,SF_Output!$AC$1:$AC$400,_xlfn.TEXTJOIN(",",TRUE,B154:E154),SF_Output!$Q$1:$Q$400,"monthly")*(1-W154)/H154,4),""),"")</f>
        <v>0.1605</v>
      </c>
      <c r="J154" s="6">
        <f>IF(B154="","",SUMIFS(SF_Output!$S$1:$S$400,SF_Output!$AC$1:$AC$400,_xlfn.TEXTJOIN(",",TRUE,B154:E154),SF_Output!$Q$1:$Q$400,"One Time",SF_Output!$L$1:$L$400,"license fee")+SUMIFS(SF_Output!$S$1:$S$400,SF_Output!$AC$1:$AC$400,_xlfn.TEXTJOIN(",",TRUE,B154:E154),SF_Output!$Q$1:$Q$400,"One Time",SF_Output!$L$1:$L$400,"software license")+SUMIFS(SF_Output!$S$1:$S$400,SF_Output!$AC$1:$AC$400,_xlfn.TEXTJOIN(",",TRUE,B154:E154),SF_Output!$Q$1:$Q$400,"One Time",SF_Output!$L$1:$L$400,"hardware"))</f>
        <v>0</v>
      </c>
      <c r="K154" s="112" t="str">
        <f>IF(OR(B154=0,B154="",G154="hardware",J154=0),"",IF(AF154&lt;&gt;"exclusion",MAX(K$9,-((SUMIFS(SF_Output!$T$1:$T$400,SF_Output!$AC$1:$AC$400,_xlfn.TEXTJOIN(",",TRUE,$B154:$E154),SF_Output!$Q$1:$Q$400,"One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license"))/J154)))</f>
        <v/>
      </c>
      <c r="L154" s="6">
        <f t="shared" si="9"/>
        <v>0</v>
      </c>
      <c r="N154" s="6">
        <f>IF(B154="","",SUMIFS(SF_Output!$S$1:$S$400,SF_Output!$AC$1:$AC$400,_xlfn.TEXTJOIN(",",TRUE,B154:E154),SF_Output!$Q$1:$Q$400,"One Time",SF_Output!$L$1:$L$400,"professional service"))</f>
        <v>10000</v>
      </c>
      <c r="O154" s="112">
        <f>IF(OR(B154=0,B154="",N154=0),"",IF(AF154&lt;&gt;"exclusion",MAX(O$9,-(SUMIFS(SF_Output!$T$1:$T$400,SF_Output!$AC$1:$AC$400,_xlfn.TEXTJOIN(",",TRUE,$B154:$E154),SF_Output!$Q$1:$Q$400,"One Time",SF_Output!$L$1:$L$400,"professional service"))/N154),-((SUMIFS(SF_Output!$T$1:$T$400,SF_Output!$AC$1:$AC$400,_xlfn.TEXTJOIN(",",TRUE,$B154:$E154),SF_Output!$Q$1:$Q$400,"One Time",SF_Output!$L$1:$L$400,"professional service")/N154))))</f>
        <v>1</v>
      </c>
      <c r="P154" s="6">
        <f t="shared" si="10"/>
        <v>0</v>
      </c>
      <c r="R154" s="6">
        <f>IF(B154="","",SUMIFS(SF_Output!$S$1:$S$400,SF_Output!$AC$1:$AC$400,_xlfn.TEXTJOIN(",",TRUE,B154:E154),SF_Output!$Q$1:$Q$400,"yearly")+SUMIFS(SF_Output!$S$1:$S$400,SF_Output!$AC$1:$AC$400,_xlfn.TEXTJOIN(",",TRUE,B154:E154),SF_Output!$Q$1:$Q$400,"quarterly")*4)</f>
        <v>0</v>
      </c>
      <c r="S154" s="112" t="str">
        <f>IF(OR(B154=0,B154="",G154="hardware",R154=0),"",IF(AF154&lt;&gt;"exclusion",MAX(S$9,-(SUMIFS(SF_Output!$T$1:$T$400,SF_Output!$AC$1:$AC$400,_xlfn.TEXTJOIN(",",TRUE,$B154:$E154),SF_Output!$Q$1:$Q$400,"yearly"))/R154),-((SUMIFS(SF_Output!$T$1:$T$400,SF_Output!$AC$1:$AC$400,_xlfn.TEXTJOIN(",",TRUE,$B154:$E154),SF_Output!$Q$1:$Q$400,"yearly")/R154))))</f>
        <v/>
      </c>
      <c r="T154" s="6">
        <f t="shared" si="11"/>
        <v>0</v>
      </c>
      <c r="V154" s="6" cm="1">
        <f t="array" ref="V154">_xlfn.IFS(B154="","",AND(B154&lt;&gt;"",H154=SF_Output!$Y$2,SUMIFS(SF_Output!$T$1:$T$400,SF_Output!$AC$1:$AC$400,_xlfn.TEXTJOIN(",",TRUE,B154:E154),SF_Output!$Q$1:$Q$400,"monthly")=0),(SUMIFS(SF_Output!$F$1:$F$400,SF_Output!$AC$1:$AC$400,_xlfn.TEXTJOIN(",",TRUE,B154:E154),SF_Output!$Q$1:$Q$400,"monthly")+SUMIFS(SF_Output!$G$1:$G$400,SF_Output!$AC$1:$AC$400,_xlfn.TEXTJOIN(",",TRUE,B154:E154),SF_Output!$Q$1:$Q$400,"monthly"))*H154,AND(B154&lt;&gt;"",H154=SF_Output!$Y$2,SUMIFS(SF_Output!$T$1:$T$400,SF_Output!$AC$1:$AC$400,_xlfn.TEXTJOIN(",",TRUE,B154:E154),SF_Output!$Q$1:$Q$400,"monthly")&lt;&gt;0),SUMIFS(SF_Output!$S$1:$S$400,SF_Output!$AC$1:$AC$400,_xlfn.TEXTJOIN(",",TRUE,B154:E154),SF_Output!$Q$1:$Q$400,"monthly"),AND(B154&lt;&gt;"",H154&lt;&gt;SF_Output!$Y$2),SUMIFS(SF_Output!$S$1:$S$400,SF_Output!$AC$1:$AC$400,_xlfn.TEXTJOIN(",",TRUE,B154:E154),SF_Output!$Q$1:$Q$400,"monthly"))</f>
        <v>1070</v>
      </c>
      <c r="W154" s="112" cm="1">
        <f t="array" ref="W154">_xlfn.IFS(OR(B154=0,B154="",V154=0),"",AF154&lt;&gt;"exclusion",MAX($W$9,$W$7,(-(SUMIFS(SF_Output!$T$1:$T$400,SF_Output!$AC$1:$AC$400,_xlfn.TEXTJOIN(",",TRUE,$B154:$E154),SF_Output!$Q$1:$Q$400,"monthly"))/V154)),AF154="exclusion",-(SUMIFS(SF_Output!$T$1:$T$400,SF_Output!$AC$1:$AC$400,_xlfn.TEXTJOIN(",",TRUE,$B154:$E154),SF_Output!$Q$1:$Q$400,"monthly"))/V154)</f>
        <v>0.25</v>
      </c>
      <c r="X154" s="6" cm="1">
        <f t="array" ref="X154">IFERROR(_xlfn.IFS(V154=0,0,V154="","",W154=0,V154,OR(V154&lt;&gt;0,V154&lt;&gt;""),H154*I154),V154*(1-W154))</f>
        <v>802.5</v>
      </c>
    </row>
    <row r="155" spans="2:24" x14ac:dyDescent="0.25">
      <c r="B155" t="s">
        <v>2310</v>
      </c>
      <c r="C155" t="s">
        <v>2122</v>
      </c>
      <c r="D155" t="s">
        <v>2306</v>
      </c>
      <c r="E155" t="s">
        <v>2124</v>
      </c>
      <c r="F155" s="116" t="str">
        <f t="shared" si="8"/>
        <v>Included</v>
      </c>
      <c r="G155" t="str">
        <f>IF(B155="","",INDEX(SF_Output!$K$1:$K$400,MATCH(B155,SF_Output!$M$1:$M$400,0)))</f>
        <v>jhaEnterprise Workflow</v>
      </c>
      <c r="H155" cm="1">
        <f t="array" ref="H155">_xlfn.IFS(B155="","",(SUMIFS(SF_Output!$F$1:$F$400,SF_Output!$AC$1:$AC$400,_xlfn.TEXTJOIN(",",TRUE,B155:E155))+SUMIFS(SF_Output!$G$1:$G$400,SF_Output!$AC$1:$AC$400,_xlfn.TEXTJOIN(",",TRUE,B155:E155)))&lt;&gt;0,SF_Output!$Y$2,INDEX(SF_Output!$F$1:$F$400,MATCH(_xlfn.TEXTJOIN(",",TRUE,B155:E155),SF_Output!$AC$1:$AC$400,0))=0,INDEX(SF_Output!$R$1:$R$400,MATCH(_xlfn.TEXTJOIN(",",TRUE,B155:E155),SF_Output!$AC$1:$AC$400,0)))</f>
        <v>5000</v>
      </c>
      <c r="I155" s="125">
        <f>IFERROR(IF(AND(H155&gt;1,H155&lt;&gt;""),ROUND(SUMIFS(SF_Output!$S$1:$S$400,SF_Output!$AC$1:$AC$400,_xlfn.TEXTJOIN(",",TRUE,B155:E155),SF_Output!$Q$1:$Q$400,"monthly")*(1-W155)/H155,4),""),"")</f>
        <v>0.1605</v>
      </c>
      <c r="J155" s="6">
        <f>IF(B155="","",SUMIFS(SF_Output!$S$1:$S$400,SF_Output!$AC$1:$AC$400,_xlfn.TEXTJOIN(",",TRUE,B155:E155),SF_Output!$Q$1:$Q$400,"One Time",SF_Output!$L$1:$L$400,"license fee")+SUMIFS(SF_Output!$S$1:$S$400,SF_Output!$AC$1:$AC$400,_xlfn.TEXTJOIN(",",TRUE,B155:E155),SF_Output!$Q$1:$Q$400,"One Time",SF_Output!$L$1:$L$400,"software license")+SUMIFS(SF_Output!$S$1:$S$400,SF_Output!$AC$1:$AC$400,_xlfn.TEXTJOIN(",",TRUE,B155:E155),SF_Output!$Q$1:$Q$400,"One Time",SF_Output!$L$1:$L$400,"hardware"))</f>
        <v>0</v>
      </c>
      <c r="K155" s="112" t="str">
        <f>IF(OR(B155=0,B155="",G155="hardware",J155=0),"",IF(AF155&lt;&gt;"exclusion",MAX(K$9,-((SUMIFS(SF_Output!$T$1:$T$400,SF_Output!$AC$1:$AC$400,_xlfn.TEXTJOIN(",",TRUE,$B155:$E155),SF_Output!$Q$1:$Q$400,"One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license"))/J155)))</f>
        <v/>
      </c>
      <c r="L155" s="6">
        <f t="shared" si="9"/>
        <v>0</v>
      </c>
      <c r="N155" s="6">
        <f>IF(B155="","",SUMIFS(SF_Output!$S$1:$S$400,SF_Output!$AC$1:$AC$400,_xlfn.TEXTJOIN(",",TRUE,B155:E155),SF_Output!$Q$1:$Q$400,"One Time",SF_Output!$L$1:$L$400,"professional service"))</f>
        <v>10000</v>
      </c>
      <c r="O155" s="112">
        <f>IF(OR(B155=0,B155="",N155=0),"",IF(AF155&lt;&gt;"exclusion",MAX(O$9,-(SUMIFS(SF_Output!$T$1:$T$400,SF_Output!$AC$1:$AC$400,_xlfn.TEXTJOIN(",",TRUE,$B155:$E155),SF_Output!$Q$1:$Q$400,"One Time",SF_Output!$L$1:$L$400,"professional service"))/N155),-((SUMIFS(SF_Output!$T$1:$T$400,SF_Output!$AC$1:$AC$400,_xlfn.TEXTJOIN(",",TRUE,$B155:$E155),SF_Output!$Q$1:$Q$400,"One Time",SF_Output!$L$1:$L$400,"professional service")/N155))))</f>
        <v>1</v>
      </c>
      <c r="P155" s="6">
        <f t="shared" si="10"/>
        <v>0</v>
      </c>
      <c r="R155" s="6">
        <f>IF(B155="","",SUMIFS(SF_Output!$S$1:$S$400,SF_Output!$AC$1:$AC$400,_xlfn.TEXTJOIN(",",TRUE,B155:E155),SF_Output!$Q$1:$Q$400,"yearly")+SUMIFS(SF_Output!$S$1:$S$400,SF_Output!$AC$1:$AC$400,_xlfn.TEXTJOIN(",",TRUE,B155:E155),SF_Output!$Q$1:$Q$400,"quarterly")*4)</f>
        <v>0</v>
      </c>
      <c r="S155" s="112" t="str">
        <f>IF(OR(B155=0,B155="",G155="hardware",R155=0),"",IF(AF155&lt;&gt;"exclusion",MAX(S$9,-(SUMIFS(SF_Output!$T$1:$T$400,SF_Output!$AC$1:$AC$400,_xlfn.TEXTJOIN(",",TRUE,$B155:$E155),SF_Output!$Q$1:$Q$400,"yearly"))/R155),-((SUMIFS(SF_Output!$T$1:$T$400,SF_Output!$AC$1:$AC$400,_xlfn.TEXTJOIN(",",TRUE,$B155:$E155),SF_Output!$Q$1:$Q$400,"yearly")/R155))))</f>
        <v/>
      </c>
      <c r="T155" s="6">
        <f t="shared" si="11"/>
        <v>0</v>
      </c>
      <c r="V155" s="6" cm="1">
        <f t="array" ref="V155">_xlfn.IFS(B155="","",AND(B155&lt;&gt;"",H155=SF_Output!$Y$2,SUMIFS(SF_Output!$T$1:$T$400,SF_Output!$AC$1:$AC$400,_xlfn.TEXTJOIN(",",TRUE,B155:E155),SF_Output!$Q$1:$Q$400,"monthly")=0),(SUMIFS(SF_Output!$F$1:$F$400,SF_Output!$AC$1:$AC$400,_xlfn.TEXTJOIN(",",TRUE,B155:E155),SF_Output!$Q$1:$Q$400,"monthly")+SUMIFS(SF_Output!$G$1:$G$400,SF_Output!$AC$1:$AC$400,_xlfn.TEXTJOIN(",",TRUE,B155:E155),SF_Output!$Q$1:$Q$400,"monthly"))*H155,AND(B155&lt;&gt;"",H155=SF_Output!$Y$2,SUMIFS(SF_Output!$T$1:$T$400,SF_Output!$AC$1:$AC$400,_xlfn.TEXTJOIN(",",TRUE,B155:E155),SF_Output!$Q$1:$Q$400,"monthly")&lt;&gt;0),SUMIFS(SF_Output!$S$1:$S$400,SF_Output!$AC$1:$AC$400,_xlfn.TEXTJOIN(",",TRUE,B155:E155),SF_Output!$Q$1:$Q$400,"monthly"),AND(B155&lt;&gt;"",H155&lt;&gt;SF_Output!$Y$2),SUMIFS(SF_Output!$S$1:$S$400,SF_Output!$AC$1:$AC$400,_xlfn.TEXTJOIN(",",TRUE,B155:E155),SF_Output!$Q$1:$Q$400,"monthly"))</f>
        <v>1070</v>
      </c>
      <c r="W155" s="112" cm="1">
        <f t="array" ref="W155">_xlfn.IFS(OR(B155=0,B155="",V155=0),"",AF155&lt;&gt;"exclusion",MAX($W$9,$W$7,(-(SUMIFS(SF_Output!$T$1:$T$400,SF_Output!$AC$1:$AC$400,_xlfn.TEXTJOIN(",",TRUE,$B155:$E155),SF_Output!$Q$1:$Q$400,"monthly"))/V155)),AF155="exclusion",-(SUMIFS(SF_Output!$T$1:$T$400,SF_Output!$AC$1:$AC$400,_xlfn.TEXTJOIN(",",TRUE,$B155:$E155),SF_Output!$Q$1:$Q$400,"monthly"))/V155)</f>
        <v>0.25</v>
      </c>
      <c r="X155" s="6" cm="1">
        <f t="array" ref="X155">IFERROR(_xlfn.IFS(V155=0,0,V155="","",W155=0,V155,OR(V155&lt;&gt;0,V155&lt;&gt;""),H155*I155),V155*(1-W155))</f>
        <v>802.5</v>
      </c>
    </row>
    <row r="156" spans="2:24" x14ac:dyDescent="0.25">
      <c r="B156" t="s">
        <v>1073</v>
      </c>
      <c r="C156" t="s">
        <v>2122</v>
      </c>
      <c r="D156" t="s">
        <v>2306</v>
      </c>
      <c r="E156" t="s">
        <v>2124</v>
      </c>
      <c r="F156" s="116" t="str">
        <f t="shared" si="8"/>
        <v>Included</v>
      </c>
      <c r="G156" t="str">
        <f>IF(B156="","",INDEX(SF_Output!$K$1:$K$400,MATCH(B156,SF_Output!$M$1:$M$400,0)))</f>
        <v>jhaEnterprise Workflow</v>
      </c>
      <c r="H156" cm="1">
        <f t="array" ref="H156">_xlfn.IFS(B156="","",(SUMIFS(SF_Output!$F$1:$F$400,SF_Output!$AC$1:$AC$400,_xlfn.TEXTJOIN(",",TRUE,B156:E156))+SUMIFS(SF_Output!$G$1:$G$400,SF_Output!$AC$1:$AC$400,_xlfn.TEXTJOIN(",",TRUE,B156:E156)))&lt;&gt;0,SF_Output!$Y$2,INDEX(SF_Output!$F$1:$F$400,MATCH(_xlfn.TEXTJOIN(",",TRUE,B156:E156),SF_Output!$AC$1:$AC$400,0))=0,INDEX(SF_Output!$R$1:$R$400,MATCH(_xlfn.TEXTJOIN(",",TRUE,B156:E156),SF_Output!$AC$1:$AC$400,0)))</f>
        <v>1</v>
      </c>
      <c r="I156" s="125" t="str">
        <f>IFERROR(IF(AND(H156&gt;1,H156&lt;&gt;""),ROUND(SUMIFS(SF_Output!$S$1:$S$400,SF_Output!$AC$1:$AC$400,_xlfn.TEXTJOIN(",",TRUE,B156:E156),SF_Output!$Q$1:$Q$400,"monthly")*(1-W156)/H156,4),""),"")</f>
        <v/>
      </c>
      <c r="J156" s="6">
        <f>IF(B156="","",SUMIFS(SF_Output!$S$1:$S$400,SF_Output!$AC$1:$AC$400,_xlfn.TEXTJOIN(",",TRUE,B156:E156),SF_Output!$Q$1:$Q$400,"One Time",SF_Output!$L$1:$L$400,"license fee")+SUMIFS(SF_Output!$S$1:$S$400,SF_Output!$AC$1:$AC$400,_xlfn.TEXTJOIN(",",TRUE,B156:E156),SF_Output!$Q$1:$Q$400,"One Time",SF_Output!$L$1:$L$400,"software license")+SUMIFS(SF_Output!$S$1:$S$400,SF_Output!$AC$1:$AC$400,_xlfn.TEXTJOIN(",",TRUE,B156:E156),SF_Output!$Q$1:$Q$400,"One Time",SF_Output!$L$1:$L$400,"hardware"))</f>
        <v>0</v>
      </c>
      <c r="K156" s="112" t="str">
        <f>IF(OR(B156=0,B156="",G156="hardware",J156=0),"",IF(AF156&lt;&gt;"exclusion",MAX(K$9,-((SUMIFS(SF_Output!$T$1:$T$400,SF_Output!$AC$1:$AC$400,_xlfn.TEXTJOIN(",",TRUE,$B156:$E156),SF_Output!$Q$1:$Q$400,"One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license"))/J156)))</f>
        <v/>
      </c>
      <c r="L156" s="6">
        <f t="shared" si="9"/>
        <v>0</v>
      </c>
      <c r="N156" s="6">
        <f>IF(B156="","",SUMIFS(SF_Output!$S$1:$S$400,SF_Output!$AC$1:$AC$400,_xlfn.TEXTJOIN(",",TRUE,B156:E156),SF_Output!$Q$1:$Q$400,"One Time",SF_Output!$L$1:$L$400,"professional service"))</f>
        <v>12500</v>
      </c>
      <c r="O156" s="112">
        <f>IF(OR(B156=0,B156="",N156=0),"",IF(AF156&lt;&gt;"exclusion",MAX(O$9,-(SUMIFS(SF_Output!$T$1:$T$400,SF_Output!$AC$1:$AC$400,_xlfn.TEXTJOIN(",",TRUE,$B156:$E156),SF_Output!$Q$1:$Q$400,"One Time",SF_Output!$L$1:$L$400,"professional service"))/N156),-((SUMIFS(SF_Output!$T$1:$T$400,SF_Output!$AC$1:$AC$400,_xlfn.TEXTJOIN(",",TRUE,$B156:$E156),SF_Output!$Q$1:$Q$400,"One Time",SF_Output!$L$1:$L$400,"professional service")/N156))))</f>
        <v>0</v>
      </c>
      <c r="P156" s="6">
        <f t="shared" si="10"/>
        <v>12500</v>
      </c>
      <c r="R156" s="6">
        <f>IF(B156="","",SUMIFS(SF_Output!$S$1:$S$400,SF_Output!$AC$1:$AC$400,_xlfn.TEXTJOIN(",",TRUE,B156:E156),SF_Output!$Q$1:$Q$400,"yearly")+SUMIFS(SF_Output!$S$1:$S$400,SF_Output!$AC$1:$AC$400,_xlfn.TEXTJOIN(",",TRUE,B156:E156),SF_Output!$Q$1:$Q$400,"quarterly")*4)</f>
        <v>0</v>
      </c>
      <c r="S156" s="112" t="str">
        <f>IF(OR(B156=0,B156="",G156="hardware",R156=0),"",IF(AF156&lt;&gt;"exclusion",MAX(S$9,-(SUMIFS(SF_Output!$T$1:$T$400,SF_Output!$AC$1:$AC$400,_xlfn.TEXTJOIN(",",TRUE,$B156:$E156),SF_Output!$Q$1:$Q$400,"yearly"))/R156),-((SUMIFS(SF_Output!$T$1:$T$400,SF_Output!$AC$1:$AC$400,_xlfn.TEXTJOIN(",",TRUE,$B156:$E156),SF_Output!$Q$1:$Q$400,"yearly")/R156))))</f>
        <v/>
      </c>
      <c r="T156" s="6">
        <f t="shared" si="11"/>
        <v>0</v>
      </c>
      <c r="V156" s="6" cm="1">
        <f t="array" ref="V156">_xlfn.IFS(B156="","",AND(B156&lt;&gt;"",H156=SF_Output!$Y$2,SUMIFS(SF_Output!$T$1:$T$400,SF_Output!$AC$1:$AC$400,_xlfn.TEXTJOIN(",",TRUE,B156:E156),SF_Output!$Q$1:$Q$400,"monthly")=0),(SUMIFS(SF_Output!$F$1:$F$400,SF_Output!$AC$1:$AC$400,_xlfn.TEXTJOIN(",",TRUE,B156:E156),SF_Output!$Q$1:$Q$400,"monthly")+SUMIFS(SF_Output!$G$1:$G$400,SF_Output!$AC$1:$AC$400,_xlfn.TEXTJOIN(",",TRUE,B156:E156),SF_Output!$Q$1:$Q$400,"monthly"))*H156,AND(B156&lt;&gt;"",H156=SF_Output!$Y$2,SUMIFS(SF_Output!$T$1:$T$400,SF_Output!$AC$1:$AC$400,_xlfn.TEXTJOIN(",",TRUE,B156:E156),SF_Output!$Q$1:$Q$400,"monthly")&lt;&gt;0),SUMIFS(SF_Output!$S$1:$S$400,SF_Output!$AC$1:$AC$400,_xlfn.TEXTJOIN(",",TRUE,B156:E156),SF_Output!$Q$1:$Q$400,"monthly"),AND(B156&lt;&gt;"",H156&lt;&gt;SF_Output!$Y$2),SUMIFS(SF_Output!$S$1:$S$400,SF_Output!$AC$1:$AC$400,_xlfn.TEXTJOIN(",",TRUE,B156:E156),SF_Output!$Q$1:$Q$400,"monthly"))</f>
        <v>0</v>
      </c>
      <c r="W156" s="112" t="str" cm="1">
        <f t="array" ref="W156">_xlfn.IFS(OR(B156=0,B156="",V156=0),"",AF156&lt;&gt;"exclusion",MAX($W$9,$W$7,(-(SUMIFS(SF_Output!$T$1:$T$400,SF_Output!$AC$1:$AC$400,_xlfn.TEXTJOIN(",",TRUE,$B156:$E156),SF_Output!$Q$1:$Q$400,"monthly"))/V156)),AF156="exclusion",-(SUMIFS(SF_Output!$T$1:$T$400,SF_Output!$AC$1:$AC$400,_xlfn.TEXTJOIN(",",TRUE,$B156:$E156),SF_Output!$Q$1:$Q$400,"monthly"))/V156)</f>
        <v/>
      </c>
      <c r="X156" s="6" cm="1">
        <f t="array" ref="X156">IFERROR(_xlfn.IFS(V156=0,0,V156="","",W156=0,V156,OR(V156&lt;&gt;0,V156&lt;&gt;""),H156*I156),V156*(1-W156))</f>
        <v>0</v>
      </c>
    </row>
    <row r="157" spans="2:24" x14ac:dyDescent="0.25">
      <c r="B157" t="s">
        <v>2312</v>
      </c>
      <c r="C157" t="s">
        <v>2122</v>
      </c>
      <c r="D157" t="s">
        <v>2306</v>
      </c>
      <c r="E157" t="s">
        <v>2124</v>
      </c>
      <c r="F157" s="116" t="str">
        <f t="shared" si="8"/>
        <v>Included</v>
      </c>
      <c r="G157" t="str">
        <f>IF(B157="","",INDEX(SF_Output!$K$1:$K$400,MATCH(B157,SF_Output!$M$1:$M$400,0)))</f>
        <v>jhaEnterprise Workflow</v>
      </c>
      <c r="H157" cm="1">
        <f t="array" ref="H157">_xlfn.IFS(B157="","",(SUMIFS(SF_Output!$F$1:$F$400,SF_Output!$AC$1:$AC$400,_xlfn.TEXTJOIN(",",TRUE,B157:E157))+SUMIFS(SF_Output!$G$1:$G$400,SF_Output!$AC$1:$AC$400,_xlfn.TEXTJOIN(",",TRUE,B157:E157)))&lt;&gt;0,SF_Output!$Y$2,INDEX(SF_Output!$F$1:$F$400,MATCH(_xlfn.TEXTJOIN(",",TRUE,B157:E157),SF_Output!$AC$1:$AC$400,0))=0,INDEX(SF_Output!$R$1:$R$400,MATCH(_xlfn.TEXTJOIN(",",TRUE,B157:E157),SF_Output!$AC$1:$AC$400,0)))</f>
        <v>2</v>
      </c>
      <c r="I157" s="125" t="str">
        <f>IFERROR(IF(AND(H157&gt;1,H157&lt;&gt;""),ROUND(SUMIFS(SF_Output!$S$1:$S$400,SF_Output!$AC$1:$AC$400,_xlfn.TEXTJOIN(",",TRUE,B157:E157),SF_Output!$Q$1:$Q$400,"monthly")*(1-W157)/H157,4),""),"")</f>
        <v/>
      </c>
      <c r="J157" s="6">
        <f>IF(B157="","",SUMIFS(SF_Output!$S$1:$S$400,SF_Output!$AC$1:$AC$400,_xlfn.TEXTJOIN(",",TRUE,B157:E157),SF_Output!$Q$1:$Q$400,"One Time",SF_Output!$L$1:$L$400,"license fee")+SUMIFS(SF_Output!$S$1:$S$400,SF_Output!$AC$1:$AC$400,_xlfn.TEXTJOIN(",",TRUE,B157:E157),SF_Output!$Q$1:$Q$400,"One Time",SF_Output!$L$1:$L$400,"software license")+SUMIFS(SF_Output!$S$1:$S$400,SF_Output!$AC$1:$AC$400,_xlfn.TEXTJOIN(",",TRUE,B157:E157),SF_Output!$Q$1:$Q$400,"One Time",SF_Output!$L$1:$L$400,"hardware"))</f>
        <v>0</v>
      </c>
      <c r="K157" s="112" t="str">
        <f>IF(OR(B157=0,B157="",G157="hardware",J157=0),"",IF(AF157&lt;&gt;"exclusion",MAX(K$9,-((SUMIFS(SF_Output!$T$1:$T$400,SF_Output!$AC$1:$AC$400,_xlfn.TEXTJOIN(",",TRUE,$B157:$E157),SF_Output!$Q$1:$Q$400,"One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license"))/J157)))</f>
        <v/>
      </c>
      <c r="L157" s="6">
        <f t="shared" si="9"/>
        <v>0</v>
      </c>
      <c r="N157" s="6">
        <f>IF(B157="","",SUMIFS(SF_Output!$S$1:$S$400,SF_Output!$AC$1:$AC$400,_xlfn.TEXTJOIN(",",TRUE,B157:E157),SF_Output!$Q$1:$Q$400,"One Time",SF_Output!$L$1:$L$400,"professional service"))</f>
        <v>3600</v>
      </c>
      <c r="O157" s="112">
        <f>IF(OR(B157=0,B157="",N157=0),"",IF(AF157&lt;&gt;"exclusion",MAX(O$9,-(SUMIFS(SF_Output!$T$1:$T$400,SF_Output!$AC$1:$AC$400,_xlfn.TEXTJOIN(",",TRUE,$B157:$E157),SF_Output!$Q$1:$Q$400,"One Time",SF_Output!$L$1:$L$400,"professional service"))/N157),-((SUMIFS(SF_Output!$T$1:$T$400,SF_Output!$AC$1:$AC$400,_xlfn.TEXTJOIN(",",TRUE,$B157:$E157),SF_Output!$Q$1:$Q$400,"One Time",SF_Output!$L$1:$L$400,"professional service")/N157))))</f>
        <v>0</v>
      </c>
      <c r="P157" s="6">
        <f t="shared" si="10"/>
        <v>3600</v>
      </c>
      <c r="R157" s="6">
        <f>IF(B157="","",SUMIFS(SF_Output!$S$1:$S$400,SF_Output!$AC$1:$AC$400,_xlfn.TEXTJOIN(",",TRUE,B157:E157),SF_Output!$Q$1:$Q$400,"yearly")+SUMIFS(SF_Output!$S$1:$S$400,SF_Output!$AC$1:$AC$400,_xlfn.TEXTJOIN(",",TRUE,B157:E157),SF_Output!$Q$1:$Q$400,"quarterly")*4)</f>
        <v>0</v>
      </c>
      <c r="S157" s="112" t="str">
        <f>IF(OR(B157=0,B157="",G157="hardware",R157=0),"",IF(AF157&lt;&gt;"exclusion",MAX(S$9,-(SUMIFS(SF_Output!$T$1:$T$400,SF_Output!$AC$1:$AC$400,_xlfn.TEXTJOIN(",",TRUE,$B157:$E157),SF_Output!$Q$1:$Q$400,"yearly"))/R157),-((SUMIFS(SF_Output!$T$1:$T$400,SF_Output!$AC$1:$AC$400,_xlfn.TEXTJOIN(",",TRUE,$B157:$E157),SF_Output!$Q$1:$Q$400,"yearly")/R157))))</f>
        <v/>
      </c>
      <c r="T157" s="6">
        <f t="shared" si="11"/>
        <v>0</v>
      </c>
      <c r="V157" s="6" cm="1">
        <f t="array" ref="V157">_xlfn.IFS(B157="","",AND(B157&lt;&gt;"",H157=SF_Output!$Y$2,SUMIFS(SF_Output!$T$1:$T$400,SF_Output!$AC$1:$AC$400,_xlfn.TEXTJOIN(",",TRUE,B157:E157),SF_Output!$Q$1:$Q$400,"monthly")=0),(SUMIFS(SF_Output!$F$1:$F$400,SF_Output!$AC$1:$AC$400,_xlfn.TEXTJOIN(",",TRUE,B157:E157),SF_Output!$Q$1:$Q$400,"monthly")+SUMIFS(SF_Output!$G$1:$G$400,SF_Output!$AC$1:$AC$400,_xlfn.TEXTJOIN(",",TRUE,B157:E157),SF_Output!$Q$1:$Q$400,"monthly"))*H157,AND(B157&lt;&gt;"",H157=SF_Output!$Y$2,SUMIFS(SF_Output!$T$1:$T$400,SF_Output!$AC$1:$AC$400,_xlfn.TEXTJOIN(",",TRUE,B157:E157),SF_Output!$Q$1:$Q$400,"monthly")&lt;&gt;0),SUMIFS(SF_Output!$S$1:$S$400,SF_Output!$AC$1:$AC$400,_xlfn.TEXTJOIN(",",TRUE,B157:E157),SF_Output!$Q$1:$Q$400,"monthly"),AND(B157&lt;&gt;"",H157&lt;&gt;SF_Output!$Y$2),SUMIFS(SF_Output!$S$1:$S$400,SF_Output!$AC$1:$AC$400,_xlfn.TEXTJOIN(",",TRUE,B157:E157),SF_Output!$Q$1:$Q$400,"monthly"))</f>
        <v>0</v>
      </c>
      <c r="W157" s="112" t="str" cm="1">
        <f t="array" ref="W157">_xlfn.IFS(OR(B157=0,B157="",V157=0),"",AF157&lt;&gt;"exclusion",MAX($W$9,$W$7,(-(SUMIFS(SF_Output!$T$1:$T$400,SF_Output!$AC$1:$AC$400,_xlfn.TEXTJOIN(",",TRUE,$B157:$E157),SF_Output!$Q$1:$Q$400,"monthly"))/V157)),AF157="exclusion",-(SUMIFS(SF_Output!$T$1:$T$400,SF_Output!$AC$1:$AC$400,_xlfn.TEXTJOIN(",",TRUE,$B157:$E157),SF_Output!$Q$1:$Q$400,"monthly"))/V157)</f>
        <v/>
      </c>
      <c r="X157" s="6" cm="1">
        <f t="array" ref="X157">IFERROR(_xlfn.IFS(V157=0,0,V157="","",W157=0,V157,OR(V157&lt;&gt;0,V157&lt;&gt;""),H157*I157),V157*(1-W157))</f>
        <v>0</v>
      </c>
    </row>
    <row r="158" spans="2:24" x14ac:dyDescent="0.25">
      <c r="B158" t="s">
        <v>626</v>
      </c>
      <c r="C158" t="s">
        <v>2122</v>
      </c>
      <c r="D158" t="s">
        <v>2123</v>
      </c>
      <c r="E158" t="s">
        <v>2124</v>
      </c>
      <c r="F158" s="116" t="str">
        <f t="shared" si="8"/>
        <v>Included</v>
      </c>
      <c r="G158" t="str">
        <f>IF(B158="","",INDEX(SF_Output!$K$1:$K$400,MATCH(B158,SF_Output!$M$1:$M$400,0)))</f>
        <v>jConnect</v>
      </c>
      <c r="H158" cm="1">
        <f t="array" ref="H158">_xlfn.IFS(B158="","",(SUMIFS(SF_Output!$F$1:$F$400,SF_Output!$AC$1:$AC$400,_xlfn.TEXTJOIN(",",TRUE,B158:E158))+SUMIFS(SF_Output!$G$1:$G$400,SF_Output!$AC$1:$AC$400,_xlfn.TEXTJOIN(",",TRUE,B158:E158)))&lt;&gt;0,SF_Output!$Y$2,INDEX(SF_Output!$F$1:$F$400,MATCH(_xlfn.TEXTJOIN(",",TRUE,B158:E158),SF_Output!$AC$1:$AC$400,0))=0,INDEX(SF_Output!$R$1:$R$400,MATCH(_xlfn.TEXTJOIN(",",TRUE,B158:E158),SF_Output!$AC$1:$AC$400,0)))</f>
        <v>1</v>
      </c>
      <c r="I158" s="125" t="str">
        <f>IFERROR(IF(AND(H158&gt;1,H158&lt;&gt;""),ROUND(SUMIFS(SF_Output!$S$1:$S$400,SF_Output!$AC$1:$AC$400,_xlfn.TEXTJOIN(",",TRUE,B158:E158),SF_Output!$Q$1:$Q$400,"monthly")*(1-W158)/H158,4),""),"")</f>
        <v/>
      </c>
      <c r="J158" s="6">
        <f>IF(B158="","",SUMIFS(SF_Output!$S$1:$S$400,SF_Output!$AC$1:$AC$400,_xlfn.TEXTJOIN(",",TRUE,B158:E158),SF_Output!$Q$1:$Q$400,"One Time",SF_Output!$L$1:$L$400,"license fee")+SUMIFS(SF_Output!$S$1:$S$400,SF_Output!$AC$1:$AC$400,_xlfn.TEXTJOIN(",",TRUE,B158:E158),SF_Output!$Q$1:$Q$400,"One Time",SF_Output!$L$1:$L$400,"software license")+SUMIFS(SF_Output!$S$1:$S$400,SF_Output!$AC$1:$AC$400,_xlfn.TEXTJOIN(",",TRUE,B158:E158),SF_Output!$Q$1:$Q$400,"One Time",SF_Output!$L$1:$L$400,"hardware"))</f>
        <v>0</v>
      </c>
      <c r="K158" s="112" t="str">
        <f>IF(OR(B158=0,B158="",G158="hardware",J158=0),"",IF(AF158&lt;&gt;"exclusion",MAX(K$9,-((SUMIFS(SF_Output!$T$1:$T$400,SF_Output!$AC$1:$AC$400,_xlfn.TEXTJOIN(",",TRUE,$B158:$E158),SF_Output!$Q$1:$Q$400,"One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license"))/J158)))</f>
        <v/>
      </c>
      <c r="L158" s="6">
        <f t="shared" si="9"/>
        <v>0</v>
      </c>
      <c r="N158" s="6">
        <f>IF(B158="","",SUMIFS(SF_Output!$S$1:$S$400,SF_Output!$AC$1:$AC$400,_xlfn.TEXTJOIN(",",TRUE,B158:E158),SF_Output!$Q$1:$Q$400,"One Time",SF_Output!$L$1:$L$400,"professional service"))</f>
        <v>0</v>
      </c>
      <c r="O158" s="112" t="str">
        <f>IF(OR(B158=0,B158="",N158=0),"",IF(AF158&lt;&gt;"exclusion",MAX(O$9,-(SUMIFS(SF_Output!$T$1:$T$400,SF_Output!$AC$1:$AC$400,_xlfn.TEXTJOIN(",",TRUE,$B158:$E158),SF_Output!$Q$1:$Q$400,"One Time",SF_Output!$L$1:$L$400,"professional service"))/N158),-((SUMIFS(SF_Output!$T$1:$T$400,SF_Output!$AC$1:$AC$400,_xlfn.TEXTJOIN(",",TRUE,$B158:$E158),SF_Output!$Q$1:$Q$400,"One Time",SF_Output!$L$1:$L$400,"professional service")/N158))))</f>
        <v/>
      </c>
      <c r="P158" s="6">
        <f t="shared" si="10"/>
        <v>0</v>
      </c>
      <c r="R158" s="6">
        <f>IF(B158="","",SUMIFS(SF_Output!$S$1:$S$400,SF_Output!$AC$1:$AC$400,_xlfn.TEXTJOIN(",",TRUE,B158:E158),SF_Output!$Q$1:$Q$400,"yearly")+SUMIFS(SF_Output!$S$1:$S$400,SF_Output!$AC$1:$AC$400,_xlfn.TEXTJOIN(",",TRUE,B158:E158),SF_Output!$Q$1:$Q$400,"quarterly")*4)</f>
        <v>0</v>
      </c>
      <c r="S158" s="112" t="str">
        <f>IF(OR(B158=0,B158="",G158="hardware",R158=0),"",IF(AF158&lt;&gt;"exclusion",MAX(S$9,-(SUMIFS(SF_Output!$T$1:$T$400,SF_Output!$AC$1:$AC$400,_xlfn.TEXTJOIN(",",TRUE,$B158:$E158),SF_Output!$Q$1:$Q$400,"yearly"))/R158),-((SUMIFS(SF_Output!$T$1:$T$400,SF_Output!$AC$1:$AC$400,_xlfn.TEXTJOIN(",",TRUE,$B158:$E158),SF_Output!$Q$1:$Q$400,"yearly")/R158))))</f>
        <v/>
      </c>
      <c r="T158" s="6">
        <f t="shared" si="11"/>
        <v>0</v>
      </c>
      <c r="V158" s="6" cm="1">
        <f t="array" ref="V158">_xlfn.IFS(B158="","",AND(B158&lt;&gt;"",H158=SF_Output!$Y$2,SUMIFS(SF_Output!$T$1:$T$400,SF_Output!$AC$1:$AC$400,_xlfn.TEXTJOIN(",",TRUE,B158:E158),SF_Output!$Q$1:$Q$400,"monthly")=0),(SUMIFS(SF_Output!$F$1:$F$400,SF_Output!$AC$1:$AC$400,_xlfn.TEXTJOIN(",",TRUE,B158:E158),SF_Output!$Q$1:$Q$400,"monthly")+SUMIFS(SF_Output!$G$1:$G$400,SF_Output!$AC$1:$AC$400,_xlfn.TEXTJOIN(",",TRUE,B158:E158),SF_Output!$Q$1:$Q$400,"monthly"))*H158,AND(B158&lt;&gt;"",H158=SF_Output!$Y$2,SUMIFS(SF_Output!$T$1:$T$400,SF_Output!$AC$1:$AC$400,_xlfn.TEXTJOIN(",",TRUE,B158:E158),SF_Output!$Q$1:$Q$400,"monthly")&lt;&gt;0),SUMIFS(SF_Output!$S$1:$S$400,SF_Output!$AC$1:$AC$400,_xlfn.TEXTJOIN(",",TRUE,B158:E158),SF_Output!$Q$1:$Q$400,"monthly"),AND(B158&lt;&gt;"",H158&lt;&gt;SF_Output!$Y$2),SUMIFS(SF_Output!$S$1:$S$400,SF_Output!$AC$1:$AC$400,_xlfn.TEXTJOIN(",",TRUE,B158:E158),SF_Output!$Q$1:$Q$400,"monthly"))</f>
        <v>1000</v>
      </c>
      <c r="W158" s="112" cm="1">
        <f t="array" ref="W158">_xlfn.IFS(OR(B158=0,B158="",V158=0),"",AF158&lt;&gt;"exclusion",MAX($W$9,$W$7,(-(SUMIFS(SF_Output!$T$1:$T$400,SF_Output!$AC$1:$AC$400,_xlfn.TEXTJOIN(",",TRUE,$B158:$E158),SF_Output!$Q$1:$Q$400,"monthly"))/V158)),AF158="exclusion",-(SUMIFS(SF_Output!$T$1:$T$400,SF_Output!$AC$1:$AC$400,_xlfn.TEXTJOIN(",",TRUE,$B158:$E158),SF_Output!$Q$1:$Q$400,"monthly"))/V158)</f>
        <v>0</v>
      </c>
      <c r="X158" s="6" cm="1">
        <f t="array" ref="X158">IFERROR(_xlfn.IFS(V158=0,0,V158="","",W158=0,V158,OR(V158&lt;&gt;0,V158&lt;&gt;""),H158*I158),V158*(1-W158))</f>
        <v>1000</v>
      </c>
    </row>
    <row r="159" spans="2:24" x14ac:dyDescent="0.25">
      <c r="B159" t="s">
        <v>1855</v>
      </c>
      <c r="C159" t="s">
        <v>2122</v>
      </c>
      <c r="D159" t="s">
        <v>2207</v>
      </c>
      <c r="E159" t="s">
        <v>2124</v>
      </c>
      <c r="F159" s="116" t="str">
        <f t="shared" si="8"/>
        <v>Included</v>
      </c>
      <c r="G159" t="str">
        <f>IF(B159="","",INDEX(SF_Output!$K$1:$K$400,MATCH(B159,SF_Output!$M$1:$M$400,0)))</f>
        <v>Core</v>
      </c>
      <c r="H159" cm="1">
        <f t="array" ref="H159">_xlfn.IFS(B159="","",(SUMIFS(SF_Output!$F$1:$F$400,SF_Output!$AC$1:$AC$400,_xlfn.TEXTJOIN(",",TRUE,B159:E159))+SUMIFS(SF_Output!$G$1:$G$400,SF_Output!$AC$1:$AC$400,_xlfn.TEXTJOIN(",",TRUE,B159:E159)))&lt;&gt;0,SF_Output!$Y$2,INDEX(SF_Output!$F$1:$F$400,MATCH(_xlfn.TEXTJOIN(",",TRUE,B159:E159),SF_Output!$AC$1:$AC$400,0))=0,INDEX(SF_Output!$R$1:$R$400,MATCH(_xlfn.TEXTJOIN(",",TRUE,B159:E159),SF_Output!$AC$1:$AC$400,0)))</f>
        <v>1</v>
      </c>
      <c r="I159" s="125" t="str">
        <f>IFERROR(IF(AND(H159&gt;1,H159&lt;&gt;""),ROUND(SUMIFS(SF_Output!$S$1:$S$400,SF_Output!$AC$1:$AC$400,_xlfn.TEXTJOIN(",",TRUE,B159:E159),SF_Output!$Q$1:$Q$400,"monthly")*(1-W159)/H159,4),""),"")</f>
        <v/>
      </c>
      <c r="J159" s="6">
        <f>IF(B159="","",SUMIFS(SF_Output!$S$1:$S$400,SF_Output!$AC$1:$AC$400,_xlfn.TEXTJOIN(",",TRUE,B159:E159),SF_Output!$Q$1:$Q$400,"One Time",SF_Output!$L$1:$L$400,"license fee")+SUMIFS(SF_Output!$S$1:$S$400,SF_Output!$AC$1:$AC$400,_xlfn.TEXTJOIN(",",TRUE,B159:E159),SF_Output!$Q$1:$Q$400,"One Time",SF_Output!$L$1:$L$400,"software license")+SUMIFS(SF_Output!$S$1:$S$400,SF_Output!$AC$1:$AC$400,_xlfn.TEXTJOIN(",",TRUE,B159:E159),SF_Output!$Q$1:$Q$400,"One Time",SF_Output!$L$1:$L$400,"hardware"))</f>
        <v>0</v>
      </c>
      <c r="K159" s="112" t="str">
        <f>IF(OR(B159=0,B159="",G159="hardware",J159=0),"",IF(AF159&lt;&gt;"exclusion",MAX(K$9,-((SUMIFS(SF_Output!$T$1:$T$400,SF_Output!$AC$1:$AC$400,_xlfn.TEXTJOIN(",",TRUE,$B159:$E159),SF_Output!$Q$1:$Q$400,"One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license"))/J159)))</f>
        <v/>
      </c>
      <c r="L159" s="6">
        <f t="shared" si="9"/>
        <v>0</v>
      </c>
      <c r="N159" s="6">
        <f>IF(B159="","",SUMIFS(SF_Output!$S$1:$S$400,SF_Output!$AC$1:$AC$400,_xlfn.TEXTJOIN(",",TRUE,B159:E159),SF_Output!$Q$1:$Q$400,"One Time",SF_Output!$L$1:$L$400,"professional service"))</f>
        <v>16625</v>
      </c>
      <c r="O159" s="112">
        <f>IF(OR(B159=0,B159="",N159=0),"",IF(AF159&lt;&gt;"exclusion",MAX(O$9,-(SUMIFS(SF_Output!$T$1:$T$400,SF_Output!$AC$1:$AC$400,_xlfn.TEXTJOIN(",",TRUE,$B159:$E159),SF_Output!$Q$1:$Q$400,"One Time",SF_Output!$L$1:$L$400,"professional service"))/N159),-((SUMIFS(SF_Output!$T$1:$T$400,SF_Output!$AC$1:$AC$400,_xlfn.TEXTJOIN(",",TRUE,$B159:$E159),SF_Output!$Q$1:$Q$400,"One Time",SF_Output!$L$1:$L$400,"professional service")/N159))))</f>
        <v>1</v>
      </c>
      <c r="P159" s="6">
        <f t="shared" si="10"/>
        <v>0</v>
      </c>
      <c r="R159" s="6">
        <f>IF(B159="","",SUMIFS(SF_Output!$S$1:$S$400,SF_Output!$AC$1:$AC$400,_xlfn.TEXTJOIN(",",TRUE,B159:E159),SF_Output!$Q$1:$Q$400,"yearly")+SUMIFS(SF_Output!$S$1:$S$400,SF_Output!$AC$1:$AC$400,_xlfn.TEXTJOIN(",",TRUE,B159:E159),SF_Output!$Q$1:$Q$400,"quarterly")*4)</f>
        <v>0</v>
      </c>
      <c r="S159" s="112" t="str">
        <f>IF(OR(B159=0,B159="",G159="hardware",R159=0),"",IF(AF159&lt;&gt;"exclusion",MAX(S$9,-(SUMIFS(SF_Output!$T$1:$T$400,SF_Output!$AC$1:$AC$400,_xlfn.TEXTJOIN(",",TRUE,$B159:$E159),SF_Output!$Q$1:$Q$400,"yearly"))/R159),-((SUMIFS(SF_Output!$T$1:$T$400,SF_Output!$AC$1:$AC$400,_xlfn.TEXTJOIN(",",TRUE,$B159:$E159),SF_Output!$Q$1:$Q$400,"yearly")/R159))))</f>
        <v/>
      </c>
      <c r="T159" s="6">
        <f t="shared" si="11"/>
        <v>0</v>
      </c>
      <c r="V159" s="6" cm="1">
        <f t="array" ref="V159">_xlfn.IFS(B159="","",AND(B159&lt;&gt;"",H159=SF_Output!$Y$2,SUMIFS(SF_Output!$T$1:$T$400,SF_Output!$AC$1:$AC$400,_xlfn.TEXTJOIN(",",TRUE,B159:E159),SF_Output!$Q$1:$Q$400,"monthly")=0),(SUMIFS(SF_Output!$F$1:$F$400,SF_Output!$AC$1:$AC$400,_xlfn.TEXTJOIN(",",TRUE,B159:E159),SF_Output!$Q$1:$Q$400,"monthly")+SUMIFS(SF_Output!$G$1:$G$400,SF_Output!$AC$1:$AC$400,_xlfn.TEXTJOIN(",",TRUE,B159:E159),SF_Output!$Q$1:$Q$400,"monthly"))*H159,AND(B159&lt;&gt;"",H159=SF_Output!$Y$2,SUMIFS(SF_Output!$T$1:$T$400,SF_Output!$AC$1:$AC$400,_xlfn.TEXTJOIN(",",TRUE,B159:E159),SF_Output!$Q$1:$Q$400,"monthly")&lt;&gt;0),SUMIFS(SF_Output!$S$1:$S$400,SF_Output!$AC$1:$AC$400,_xlfn.TEXTJOIN(",",TRUE,B159:E159),SF_Output!$Q$1:$Q$400,"monthly"),AND(B159&lt;&gt;"",H159&lt;&gt;SF_Output!$Y$2),SUMIFS(SF_Output!$S$1:$S$400,SF_Output!$AC$1:$AC$400,_xlfn.TEXTJOIN(",",TRUE,B159:E159),SF_Output!$Q$1:$Q$400,"monthly"))</f>
        <v>500</v>
      </c>
      <c r="W159" s="112" cm="1">
        <f t="array" ref="W159">_xlfn.IFS(OR(B159=0,B159="",V159=0),"",AF159&lt;&gt;"exclusion",MAX($W$9,$W$7,(-(SUMIFS(SF_Output!$T$1:$T$400,SF_Output!$AC$1:$AC$400,_xlfn.TEXTJOIN(",",TRUE,$B159:$E159),SF_Output!$Q$1:$Q$400,"monthly"))/V159)),AF159="exclusion",-(SUMIFS(SF_Output!$T$1:$T$400,SF_Output!$AC$1:$AC$400,_xlfn.TEXTJOIN(",",TRUE,$B159:$E159),SF_Output!$Q$1:$Q$400,"monthly"))/V159)</f>
        <v>0</v>
      </c>
      <c r="X159" s="6" cm="1">
        <f t="array" ref="X159">IFERROR(_xlfn.IFS(V159=0,0,V159="","",W159=0,V159,OR(V159&lt;&gt;0,V159&lt;&gt;""),H159*I159),V159*(1-W159))</f>
        <v>500</v>
      </c>
    </row>
    <row r="160" spans="2:24" x14ac:dyDescent="0.25">
      <c r="B160" t="s">
        <v>1857</v>
      </c>
      <c r="C160" t="s">
        <v>2122</v>
      </c>
      <c r="D160" t="s">
        <v>2207</v>
      </c>
      <c r="E160" t="s">
        <v>2124</v>
      </c>
      <c r="F160" s="116" t="str">
        <f t="shared" si="8"/>
        <v>Included</v>
      </c>
      <c r="G160" t="str">
        <f>IF(B160="","",INDEX(SF_Output!$K$1:$K$400,MATCH(B160,SF_Output!$M$1:$M$400,0)))</f>
        <v>Core</v>
      </c>
      <c r="H160" cm="1">
        <f t="array" ref="H160">_xlfn.IFS(B160="","",(SUMIFS(SF_Output!$F$1:$F$400,SF_Output!$AC$1:$AC$400,_xlfn.TEXTJOIN(",",TRUE,B160:E160))+SUMIFS(SF_Output!$G$1:$G$400,SF_Output!$AC$1:$AC$400,_xlfn.TEXTJOIN(",",TRUE,B160:E160)))&lt;&gt;0,SF_Output!$Y$2,INDEX(SF_Output!$F$1:$F$400,MATCH(_xlfn.TEXTJOIN(",",TRUE,B160:E160),SF_Output!$AC$1:$AC$400,0))=0,INDEX(SF_Output!$R$1:$R$400,MATCH(_xlfn.TEXTJOIN(",",TRUE,B160:E160),SF_Output!$AC$1:$AC$400,0)))</f>
        <v>1</v>
      </c>
      <c r="I160" s="125" t="str">
        <f>IFERROR(IF(AND(H160&gt;1,H160&lt;&gt;""),ROUND(SUMIFS(SF_Output!$S$1:$S$400,SF_Output!$AC$1:$AC$400,_xlfn.TEXTJOIN(",",TRUE,B160:E160),SF_Output!$Q$1:$Q$400,"monthly")*(1-W160)/H160,4),""),"")</f>
        <v/>
      </c>
      <c r="J160" s="6">
        <f>IF(B160="","",SUMIFS(SF_Output!$S$1:$S$400,SF_Output!$AC$1:$AC$400,_xlfn.TEXTJOIN(",",TRUE,B160:E160),SF_Output!$Q$1:$Q$400,"One Time",SF_Output!$L$1:$L$400,"license fee")+SUMIFS(SF_Output!$S$1:$S$400,SF_Output!$AC$1:$AC$400,_xlfn.TEXTJOIN(",",TRUE,B160:E160),SF_Output!$Q$1:$Q$400,"One Time",SF_Output!$L$1:$L$400,"software license")+SUMIFS(SF_Output!$S$1:$S$400,SF_Output!$AC$1:$AC$400,_xlfn.TEXTJOIN(",",TRUE,B160:E160),SF_Output!$Q$1:$Q$400,"One Time",SF_Output!$L$1:$L$400,"hardware"))</f>
        <v>0</v>
      </c>
      <c r="K160" s="112" t="str">
        <f>IF(OR(B160=0,B160="",G160="hardware",J160=0),"",IF(AF160&lt;&gt;"exclusion",MAX(K$9,-((SUMIFS(SF_Output!$T$1:$T$400,SF_Output!$AC$1:$AC$400,_xlfn.TEXTJOIN(",",TRUE,$B160:$E160),SF_Output!$Q$1:$Q$400,"One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license"))/J160)))</f>
        <v/>
      </c>
      <c r="L160" s="6">
        <f t="shared" si="9"/>
        <v>0</v>
      </c>
      <c r="N160" s="6">
        <f>IF(B160="","",SUMIFS(SF_Output!$S$1:$S$400,SF_Output!$AC$1:$AC$400,_xlfn.TEXTJOIN(",",TRUE,B160:E160),SF_Output!$Q$1:$Q$400,"One Time",SF_Output!$L$1:$L$400,"professional service"))</f>
        <v>0</v>
      </c>
      <c r="O160" s="112" t="str">
        <f>IF(OR(B160=0,B160="",N160=0),"",IF(AF160&lt;&gt;"exclusion",MAX(O$9,-(SUMIFS(SF_Output!$T$1:$T$400,SF_Output!$AC$1:$AC$400,_xlfn.TEXTJOIN(",",TRUE,$B160:$E160),SF_Output!$Q$1:$Q$400,"One Time",SF_Output!$L$1:$L$400,"professional service"))/N160),-((SUMIFS(SF_Output!$T$1:$T$400,SF_Output!$AC$1:$AC$400,_xlfn.TEXTJOIN(",",TRUE,$B160:$E160),SF_Output!$Q$1:$Q$400,"One Time",SF_Output!$L$1:$L$400,"professional service")/N160))))</f>
        <v/>
      </c>
      <c r="P160" s="6">
        <f t="shared" si="10"/>
        <v>0</v>
      </c>
      <c r="R160" s="6">
        <f>IF(B160="","",SUMIFS(SF_Output!$S$1:$S$400,SF_Output!$AC$1:$AC$400,_xlfn.TEXTJOIN(",",TRUE,B160:E160),SF_Output!$Q$1:$Q$400,"yearly")+SUMIFS(SF_Output!$S$1:$S$400,SF_Output!$AC$1:$AC$400,_xlfn.TEXTJOIN(",",TRUE,B160:E160),SF_Output!$Q$1:$Q$400,"quarterly")*4)</f>
        <v>0</v>
      </c>
      <c r="S160" s="112" t="str">
        <f>IF(OR(B160=0,B160="",G160="hardware",R160=0),"",IF(AF160&lt;&gt;"exclusion",MAX(S$9,-(SUMIFS(SF_Output!$T$1:$T$400,SF_Output!$AC$1:$AC$400,_xlfn.TEXTJOIN(",",TRUE,$B160:$E160),SF_Output!$Q$1:$Q$400,"yearly"))/R160),-((SUMIFS(SF_Output!$T$1:$T$400,SF_Output!$AC$1:$AC$400,_xlfn.TEXTJOIN(",",TRUE,$B160:$E160),SF_Output!$Q$1:$Q$400,"yearly")/R160))))</f>
        <v/>
      </c>
      <c r="T160" s="6">
        <f t="shared" si="11"/>
        <v>0</v>
      </c>
      <c r="V160" s="6" cm="1">
        <f t="array" ref="V160">_xlfn.IFS(B160="","",AND(B160&lt;&gt;"",H160=SF_Output!$Y$2,SUMIFS(SF_Output!$T$1:$T$400,SF_Output!$AC$1:$AC$400,_xlfn.TEXTJOIN(",",TRUE,B160:E160),SF_Output!$Q$1:$Q$400,"monthly")=0),(SUMIFS(SF_Output!$F$1:$F$400,SF_Output!$AC$1:$AC$400,_xlfn.TEXTJOIN(",",TRUE,B160:E160),SF_Output!$Q$1:$Q$400,"monthly")+SUMIFS(SF_Output!$G$1:$G$400,SF_Output!$AC$1:$AC$400,_xlfn.TEXTJOIN(",",TRUE,B160:E160),SF_Output!$Q$1:$Q$400,"monthly"))*H160,AND(B160&lt;&gt;"",H160=SF_Output!$Y$2,SUMIFS(SF_Output!$T$1:$T$400,SF_Output!$AC$1:$AC$400,_xlfn.TEXTJOIN(",",TRUE,B160:E160),SF_Output!$Q$1:$Q$400,"monthly")&lt;&gt;0),SUMIFS(SF_Output!$S$1:$S$400,SF_Output!$AC$1:$AC$400,_xlfn.TEXTJOIN(",",TRUE,B160:E160),SF_Output!$Q$1:$Q$400,"monthly"),AND(B160&lt;&gt;"",H160&lt;&gt;SF_Output!$Y$2),SUMIFS(SF_Output!$S$1:$S$400,SF_Output!$AC$1:$AC$400,_xlfn.TEXTJOIN(",",TRUE,B160:E160),SF_Output!$Q$1:$Q$400,"monthly"))</f>
        <v>1000</v>
      </c>
      <c r="W160" s="112" cm="1">
        <f t="array" ref="W160">_xlfn.IFS(OR(B160=0,B160="",V160=0),"",AF160&lt;&gt;"exclusion",MAX($W$9,$W$7,(-(SUMIFS(SF_Output!$T$1:$T$400,SF_Output!$AC$1:$AC$400,_xlfn.TEXTJOIN(",",TRUE,$B160:$E160),SF_Output!$Q$1:$Q$400,"monthly"))/V160)),AF160="exclusion",-(SUMIFS(SF_Output!$T$1:$T$400,SF_Output!$AC$1:$AC$400,_xlfn.TEXTJOIN(",",TRUE,$B160:$E160),SF_Output!$Q$1:$Q$400,"monthly"))/V160)</f>
        <v>0</v>
      </c>
      <c r="X160" s="6" cm="1">
        <f t="array" ref="X160">IFERROR(_xlfn.IFS(V160=0,0,V160="","",W160=0,V160,OR(V160&lt;&gt;0,V160&lt;&gt;""),H160*I160),V160*(1-W160))</f>
        <v>1000</v>
      </c>
    </row>
    <row r="161" spans="2:24" x14ac:dyDescent="0.25">
      <c r="B161" t="s">
        <v>1260</v>
      </c>
      <c r="C161" t="s">
        <v>2122</v>
      </c>
      <c r="D161" t="s">
        <v>2123</v>
      </c>
      <c r="E161" t="s">
        <v>2150</v>
      </c>
      <c r="F161" s="116" t="str">
        <f t="shared" si="8"/>
        <v>Optional</v>
      </c>
      <c r="G161" t="str">
        <f>IF(B161="","",INDEX(SF_Output!$K$1:$K$400,MATCH(B161,SF_Output!$M$1:$M$400,0)))</f>
        <v>jhaKnow</v>
      </c>
      <c r="H161" cm="1">
        <f t="array" ref="H161">_xlfn.IFS(B161="","",(SUMIFS(SF_Output!$F$1:$F$400,SF_Output!$AC$1:$AC$400,_xlfn.TEXTJOIN(",",TRUE,B161:E161))+SUMIFS(SF_Output!$G$1:$G$400,SF_Output!$AC$1:$AC$400,_xlfn.TEXTJOIN(",",TRUE,B161:E161)))&lt;&gt;0,SF_Output!$Y$2,INDEX(SF_Output!$F$1:$F$400,MATCH(_xlfn.TEXTJOIN(",",TRUE,B161:E161),SF_Output!$AC$1:$AC$400,0))=0,INDEX(SF_Output!$R$1:$R$400,MATCH(_xlfn.TEXTJOIN(",",TRUE,B161:E161),SF_Output!$AC$1:$AC$400,0)))</f>
        <v>5000</v>
      </c>
      <c r="I161" s="125">
        <f>IFERROR(IF(AND(H161&gt;1,H161&lt;&gt;""),ROUND(SUMIFS(SF_Output!$S$1:$S$400,SF_Output!$AC$1:$AC$400,_xlfn.TEXTJOIN(",",TRUE,B161:E161),SF_Output!$Q$1:$Q$400,"monthly")*(1-W161)/H161,4),""),"")</f>
        <v>0.24979999999999999</v>
      </c>
      <c r="J161" s="6">
        <f>IF(B161="","",SUMIFS(SF_Output!$S$1:$S$400,SF_Output!$AC$1:$AC$400,_xlfn.TEXTJOIN(",",TRUE,B161:E161),SF_Output!$Q$1:$Q$400,"One Time",SF_Output!$L$1:$L$400,"license fee")+SUMIFS(SF_Output!$S$1:$S$400,SF_Output!$AC$1:$AC$400,_xlfn.TEXTJOIN(",",TRUE,B161:E161),SF_Output!$Q$1:$Q$400,"One Time",SF_Output!$L$1:$L$400,"software license")+SUMIFS(SF_Output!$S$1:$S$400,SF_Output!$AC$1:$AC$400,_xlfn.TEXTJOIN(",",TRUE,B161:E161),SF_Output!$Q$1:$Q$400,"One Time",SF_Output!$L$1:$L$400,"hardware"))</f>
        <v>0</v>
      </c>
      <c r="K161" s="112" t="str">
        <f>IF(OR(B161=0,B161="",G161="hardware",J161=0),"",IF(AF161&lt;&gt;"exclusion",MAX(K$9,-((SUMIFS(SF_Output!$T$1:$T$400,SF_Output!$AC$1:$AC$400,_xlfn.TEXTJOIN(",",TRUE,$B161:$E161),SF_Output!$Q$1:$Q$400,"One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license"))/J161)))</f>
        <v/>
      </c>
      <c r="L161" s="6">
        <f t="shared" si="9"/>
        <v>0</v>
      </c>
      <c r="N161" s="6">
        <f>IF(B161="","",SUMIFS(SF_Output!$S$1:$S$400,SF_Output!$AC$1:$AC$400,_xlfn.TEXTJOIN(",",TRUE,B161:E161),SF_Output!$Q$1:$Q$400,"One Time",SF_Output!$L$1:$L$400,"professional service"))</f>
        <v>7500</v>
      </c>
      <c r="O161" s="112">
        <f>IF(OR(B161=0,B161="",N161=0),"",IF(AF161&lt;&gt;"exclusion",MAX(O$9,-(SUMIFS(SF_Output!$T$1:$T$400,SF_Output!$AC$1:$AC$400,_xlfn.TEXTJOIN(",",TRUE,$B161:$E161),SF_Output!$Q$1:$Q$400,"One Time",SF_Output!$L$1:$L$400,"professional service"))/N161),-((SUMIFS(SF_Output!$T$1:$T$400,SF_Output!$AC$1:$AC$400,_xlfn.TEXTJOIN(",",TRUE,$B161:$E161),SF_Output!$Q$1:$Q$400,"One Time",SF_Output!$L$1:$L$400,"professional service")/N161))))</f>
        <v>1</v>
      </c>
      <c r="P161" s="6">
        <f t="shared" si="10"/>
        <v>0</v>
      </c>
      <c r="R161" s="6">
        <f>IF(B161="","",SUMIFS(SF_Output!$S$1:$S$400,SF_Output!$AC$1:$AC$400,_xlfn.TEXTJOIN(",",TRUE,B161:E161),SF_Output!$Q$1:$Q$400,"yearly")+SUMIFS(SF_Output!$S$1:$S$400,SF_Output!$AC$1:$AC$400,_xlfn.TEXTJOIN(",",TRUE,B161:E161),SF_Output!$Q$1:$Q$400,"quarterly")*4)</f>
        <v>0</v>
      </c>
      <c r="S161" s="112" t="str">
        <f>IF(OR(B161=0,B161="",G161="hardware",R161=0),"",IF(AF161&lt;&gt;"exclusion",MAX(S$9,-(SUMIFS(SF_Output!$T$1:$T$400,SF_Output!$AC$1:$AC$400,_xlfn.TEXTJOIN(",",TRUE,$B161:$E161),SF_Output!$Q$1:$Q$400,"yearly"))/R161),-((SUMIFS(SF_Output!$T$1:$T$400,SF_Output!$AC$1:$AC$400,_xlfn.TEXTJOIN(",",TRUE,$B161:$E161),SF_Output!$Q$1:$Q$400,"yearly")/R161))))</f>
        <v/>
      </c>
      <c r="T161" s="6">
        <f t="shared" si="11"/>
        <v>0</v>
      </c>
      <c r="V161" s="6" cm="1">
        <f t="array" ref="V161">_xlfn.IFS(B161="","",AND(B161&lt;&gt;"",H161=SF_Output!$Y$2,SUMIFS(SF_Output!$T$1:$T$400,SF_Output!$AC$1:$AC$400,_xlfn.TEXTJOIN(",",TRUE,B161:E161),SF_Output!$Q$1:$Q$400,"monthly")=0),(SUMIFS(SF_Output!$F$1:$F$400,SF_Output!$AC$1:$AC$400,_xlfn.TEXTJOIN(",",TRUE,B161:E161),SF_Output!$Q$1:$Q$400,"monthly")+SUMIFS(SF_Output!$G$1:$G$400,SF_Output!$AC$1:$AC$400,_xlfn.TEXTJOIN(",",TRUE,B161:E161),SF_Output!$Q$1:$Q$400,"monthly"))*H161,AND(B161&lt;&gt;"",H161=SF_Output!$Y$2,SUMIFS(SF_Output!$T$1:$T$400,SF_Output!$AC$1:$AC$400,_xlfn.TEXTJOIN(",",TRUE,B161:E161),SF_Output!$Q$1:$Q$400,"monthly")&lt;&gt;0),SUMIFS(SF_Output!$S$1:$S$400,SF_Output!$AC$1:$AC$400,_xlfn.TEXTJOIN(",",TRUE,B161:E161),SF_Output!$Q$1:$Q$400,"monthly"),AND(B161&lt;&gt;"",H161&lt;&gt;SF_Output!$Y$2),SUMIFS(SF_Output!$S$1:$S$400,SF_Output!$AC$1:$AC$400,_xlfn.TEXTJOIN(",",TRUE,B161:E161),SF_Output!$Q$1:$Q$400,"monthly"))</f>
        <v>1665</v>
      </c>
      <c r="W161" s="112" cm="1">
        <f t="array" ref="W161">_xlfn.IFS(OR(B161=0,B161="",V161=0),"",AF161&lt;&gt;"exclusion",MAX($W$9,$W$7,(-(SUMIFS(SF_Output!$T$1:$T$400,SF_Output!$AC$1:$AC$400,_xlfn.TEXTJOIN(",",TRUE,$B161:$E161),SF_Output!$Q$1:$Q$400,"monthly"))/V161)),AF161="exclusion",-(SUMIFS(SF_Output!$T$1:$T$400,SF_Output!$AC$1:$AC$400,_xlfn.TEXTJOIN(",",TRUE,$B161:$E161),SF_Output!$Q$1:$Q$400,"monthly"))/V161)</f>
        <v>0.25</v>
      </c>
      <c r="X161" s="6" cm="1">
        <f t="array" ref="X161">IFERROR(_xlfn.IFS(V161=0,0,V161="","",W161=0,V161,OR(V161&lt;&gt;0,V161&lt;&gt;""),H161*I161),V161*(1-W161))</f>
        <v>1249</v>
      </c>
    </row>
    <row r="162" spans="2:24" x14ac:dyDescent="0.25">
      <c r="B162" t="s">
        <v>646</v>
      </c>
      <c r="C162" t="s">
        <v>2122</v>
      </c>
      <c r="D162" t="s">
        <v>2123</v>
      </c>
      <c r="E162" t="s">
        <v>2124</v>
      </c>
      <c r="F162" s="116" t="str">
        <f t="shared" si="8"/>
        <v>Included</v>
      </c>
      <c r="G162" t="str">
        <f>IF(B162="","",INDEX(SF_Output!$K$1:$K$400,MATCH(B162,SF_Output!$M$1:$M$400,0)))</f>
        <v>Cognos</v>
      </c>
      <c r="H162" cm="1">
        <f t="array" ref="H162">_xlfn.IFS(B162="","",(SUMIFS(SF_Output!$F$1:$F$400,SF_Output!$AC$1:$AC$400,_xlfn.TEXTJOIN(",",TRUE,B162:E162))+SUMIFS(SF_Output!$G$1:$G$400,SF_Output!$AC$1:$AC$400,_xlfn.TEXTJOIN(",",TRUE,B162:E162)))&lt;&gt;0,SF_Output!$Y$2,INDEX(SF_Output!$F$1:$F$400,MATCH(_xlfn.TEXTJOIN(",",TRUE,B162:E162),SF_Output!$AC$1:$AC$400,0))=0,INDEX(SF_Output!$R$1:$R$400,MATCH(_xlfn.TEXTJOIN(",",TRUE,B162:E162),SF_Output!$AC$1:$AC$400,0)))</f>
        <v>1</v>
      </c>
      <c r="I162" s="125" t="str">
        <f>IFERROR(IF(AND(H162&gt;1,H162&lt;&gt;""),ROUND(SUMIFS(SF_Output!$S$1:$S$400,SF_Output!$AC$1:$AC$400,_xlfn.TEXTJOIN(",",TRUE,B162:E162),SF_Output!$Q$1:$Q$400,"monthly")*(1-W162)/H162,4),""),"")</f>
        <v/>
      </c>
      <c r="J162" s="6">
        <f>IF(B162="","",SUMIFS(SF_Output!$S$1:$S$400,SF_Output!$AC$1:$AC$400,_xlfn.TEXTJOIN(",",TRUE,B162:E162),SF_Output!$Q$1:$Q$400,"One Time",SF_Output!$L$1:$L$400,"license fee")+SUMIFS(SF_Output!$S$1:$S$400,SF_Output!$AC$1:$AC$400,_xlfn.TEXTJOIN(",",TRUE,B162:E162),SF_Output!$Q$1:$Q$400,"One Time",SF_Output!$L$1:$L$400,"software license")+SUMIFS(SF_Output!$S$1:$S$400,SF_Output!$AC$1:$AC$400,_xlfn.TEXTJOIN(",",TRUE,B162:E162),SF_Output!$Q$1:$Q$400,"One Time",SF_Output!$L$1:$L$400,"hardware"))</f>
        <v>0</v>
      </c>
      <c r="K162" s="112" t="str">
        <f>IF(OR(B162=0,B162="",G162="hardware",J162=0),"",IF(AF162&lt;&gt;"exclusion",MAX(K$9,-((SUMIFS(SF_Output!$T$1:$T$400,SF_Output!$AC$1:$AC$400,_xlfn.TEXTJOIN(",",TRUE,$B162:$E162),SF_Output!$Q$1:$Q$400,"One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license"))/J162)))</f>
        <v/>
      </c>
      <c r="L162" s="6">
        <f t="shared" si="9"/>
        <v>0</v>
      </c>
      <c r="N162" s="6">
        <f>IF(B162="","",SUMIFS(SF_Output!$S$1:$S$400,SF_Output!$AC$1:$AC$400,_xlfn.TEXTJOIN(",",TRUE,B162:E162),SF_Output!$Q$1:$Q$400,"One Time",SF_Output!$L$1:$L$400,"professional service"))</f>
        <v>5500</v>
      </c>
      <c r="O162" s="112">
        <f>IF(OR(B162=0,B162="",N162=0),"",IF(AF162&lt;&gt;"exclusion",MAX(O$9,-(SUMIFS(SF_Output!$T$1:$T$400,SF_Output!$AC$1:$AC$400,_xlfn.TEXTJOIN(",",TRUE,$B162:$E162),SF_Output!$Q$1:$Q$400,"One Time",SF_Output!$L$1:$L$400,"professional service"))/N162),-((SUMIFS(SF_Output!$T$1:$T$400,SF_Output!$AC$1:$AC$400,_xlfn.TEXTJOIN(",",TRUE,$B162:$E162),SF_Output!$Q$1:$Q$400,"One Time",SF_Output!$L$1:$L$400,"professional service")/N162))))</f>
        <v>0</v>
      </c>
      <c r="P162" s="6">
        <f t="shared" si="10"/>
        <v>5500</v>
      </c>
      <c r="R162" s="6">
        <f>IF(B162="","",SUMIFS(SF_Output!$S$1:$S$400,SF_Output!$AC$1:$AC$400,_xlfn.TEXTJOIN(",",TRUE,B162:E162),SF_Output!$Q$1:$Q$400,"yearly")+SUMIFS(SF_Output!$S$1:$S$400,SF_Output!$AC$1:$AC$400,_xlfn.TEXTJOIN(",",TRUE,B162:E162),SF_Output!$Q$1:$Q$400,"quarterly")*4)</f>
        <v>0</v>
      </c>
      <c r="S162" s="112" t="str">
        <f>IF(OR(B162=0,B162="",G162="hardware",R162=0),"",IF(AF162&lt;&gt;"exclusion",MAX(S$9,-(SUMIFS(SF_Output!$T$1:$T$400,SF_Output!$AC$1:$AC$400,_xlfn.TEXTJOIN(",",TRUE,$B162:$E162),SF_Output!$Q$1:$Q$400,"yearly"))/R162),-((SUMIFS(SF_Output!$T$1:$T$400,SF_Output!$AC$1:$AC$400,_xlfn.TEXTJOIN(",",TRUE,$B162:$E162),SF_Output!$Q$1:$Q$400,"yearly")/R162))))</f>
        <v/>
      </c>
      <c r="T162" s="6">
        <f t="shared" si="11"/>
        <v>0</v>
      </c>
      <c r="V162" s="6" cm="1">
        <f t="array" ref="V162">_xlfn.IFS(B162="","",AND(B162&lt;&gt;"",H162=SF_Output!$Y$2,SUMIFS(SF_Output!$T$1:$T$400,SF_Output!$AC$1:$AC$400,_xlfn.TEXTJOIN(",",TRUE,B162:E162),SF_Output!$Q$1:$Q$400,"monthly")=0),(SUMIFS(SF_Output!$F$1:$F$400,SF_Output!$AC$1:$AC$400,_xlfn.TEXTJOIN(",",TRUE,B162:E162),SF_Output!$Q$1:$Q$400,"monthly")+SUMIFS(SF_Output!$G$1:$G$400,SF_Output!$AC$1:$AC$400,_xlfn.TEXTJOIN(",",TRUE,B162:E162),SF_Output!$Q$1:$Q$400,"monthly"))*H162,AND(B162&lt;&gt;"",H162=SF_Output!$Y$2,SUMIFS(SF_Output!$T$1:$T$400,SF_Output!$AC$1:$AC$400,_xlfn.TEXTJOIN(",",TRUE,B162:E162),SF_Output!$Q$1:$Q$400,"monthly")&lt;&gt;0),SUMIFS(SF_Output!$S$1:$S$400,SF_Output!$AC$1:$AC$400,_xlfn.TEXTJOIN(",",TRUE,B162:E162),SF_Output!$Q$1:$Q$400,"monthly"),AND(B162&lt;&gt;"",H162&lt;&gt;SF_Output!$Y$2),SUMIFS(SF_Output!$S$1:$S$400,SF_Output!$AC$1:$AC$400,_xlfn.TEXTJOIN(",",TRUE,B162:E162),SF_Output!$Q$1:$Q$400,"monthly"))</f>
        <v>665</v>
      </c>
      <c r="W162" s="112" cm="1">
        <f t="array" ref="W162">_xlfn.IFS(OR(B162=0,B162="",V162=0),"",AF162&lt;&gt;"exclusion",MAX($W$9,$W$7,(-(SUMIFS(SF_Output!$T$1:$T$400,SF_Output!$AC$1:$AC$400,_xlfn.TEXTJOIN(",",TRUE,$B162:$E162),SF_Output!$Q$1:$Q$400,"monthly"))/V162)),AF162="exclusion",-(SUMIFS(SF_Output!$T$1:$T$400,SF_Output!$AC$1:$AC$400,_xlfn.TEXTJOIN(",",TRUE,$B162:$E162),SF_Output!$Q$1:$Q$400,"monthly"))/V162)</f>
        <v>0</v>
      </c>
      <c r="X162" s="6" cm="1">
        <f t="array" ref="X162">IFERROR(_xlfn.IFS(V162=0,0,V162="","",W162=0,V162,OR(V162&lt;&gt;0,V162&lt;&gt;""),H162*I162),V162*(1-W162))</f>
        <v>665</v>
      </c>
    </row>
    <row r="163" spans="2:24" x14ac:dyDescent="0.25">
      <c r="B163" t="s">
        <v>2300</v>
      </c>
      <c r="C163" t="s">
        <v>2122</v>
      </c>
      <c r="D163" t="s">
        <v>2123</v>
      </c>
      <c r="E163" t="s">
        <v>2124</v>
      </c>
      <c r="F163" s="116" t="str">
        <f t="shared" si="8"/>
        <v>Included</v>
      </c>
      <c r="G163" t="str">
        <f>IF(B163="","",INDEX(SF_Output!$K$1:$K$400,MATCH(B163,SF_Output!$M$1:$M$400,0)))</f>
        <v>Cognos</v>
      </c>
      <c r="H163" cm="1">
        <f t="array" ref="H163">_xlfn.IFS(B163="","",(SUMIFS(SF_Output!$F$1:$F$400,SF_Output!$AC$1:$AC$400,_xlfn.TEXTJOIN(",",TRUE,B163:E163))+SUMIFS(SF_Output!$G$1:$G$400,SF_Output!$AC$1:$AC$400,_xlfn.TEXTJOIN(",",TRUE,B163:E163)))&lt;&gt;0,SF_Output!$Y$2,INDEX(SF_Output!$F$1:$F$400,MATCH(_xlfn.TEXTJOIN(",",TRUE,B163:E163),SF_Output!$AC$1:$AC$400,0))=0,INDEX(SF_Output!$R$1:$R$400,MATCH(_xlfn.TEXTJOIN(",",TRUE,B163:E163),SF_Output!$AC$1:$AC$400,0)))</f>
        <v>5000</v>
      </c>
      <c r="I163" s="125">
        <f>IFERROR(IF(AND(H163&gt;1,H163&lt;&gt;""),ROUND(SUMIFS(SF_Output!$S$1:$S$400,SF_Output!$AC$1:$AC$400,_xlfn.TEXTJOIN(",",TRUE,B163:E163),SF_Output!$Q$1:$Q$400,"monthly")*(1-W163)/H163,4),""),"")</f>
        <v>1.5800000000000002E-2</v>
      </c>
      <c r="J163" s="6">
        <f>IF(B163="","",SUMIFS(SF_Output!$S$1:$S$400,SF_Output!$AC$1:$AC$400,_xlfn.TEXTJOIN(",",TRUE,B163:E163),SF_Output!$Q$1:$Q$400,"One Time",SF_Output!$L$1:$L$400,"license fee")+SUMIFS(SF_Output!$S$1:$S$400,SF_Output!$AC$1:$AC$400,_xlfn.TEXTJOIN(",",TRUE,B163:E163),SF_Output!$Q$1:$Q$400,"One Time",SF_Output!$L$1:$L$400,"software license")+SUMIFS(SF_Output!$S$1:$S$400,SF_Output!$AC$1:$AC$400,_xlfn.TEXTJOIN(",",TRUE,B163:E163),SF_Output!$Q$1:$Q$400,"One Time",SF_Output!$L$1:$L$400,"hardware"))</f>
        <v>0</v>
      </c>
      <c r="K163" s="112" t="str">
        <f>IF(OR(B163=0,B163="",G163="hardware",J163=0),"",IF(AF163&lt;&gt;"exclusion",MAX(K$9,-((SUMIFS(SF_Output!$T$1:$T$400,SF_Output!$AC$1:$AC$400,_xlfn.TEXTJOIN(",",TRUE,$B163:$E163),SF_Output!$Q$1:$Q$400,"One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license"))/J163)))</f>
        <v/>
      </c>
      <c r="L163" s="6">
        <f t="shared" si="9"/>
        <v>0</v>
      </c>
      <c r="N163" s="6">
        <f>IF(B163="","",SUMIFS(SF_Output!$S$1:$S$400,SF_Output!$AC$1:$AC$400,_xlfn.TEXTJOIN(",",TRUE,B163:E163),SF_Output!$Q$1:$Q$400,"One Time",SF_Output!$L$1:$L$400,"professional service"))</f>
        <v>750</v>
      </c>
      <c r="O163" s="112">
        <f>IF(OR(B163=0,B163="",N163=0),"",IF(AF163&lt;&gt;"exclusion",MAX(O$9,-(SUMIFS(SF_Output!$T$1:$T$400,SF_Output!$AC$1:$AC$400,_xlfn.TEXTJOIN(",",TRUE,$B163:$E163),SF_Output!$Q$1:$Q$400,"One Time",SF_Output!$L$1:$L$400,"professional service"))/N163),-((SUMIFS(SF_Output!$T$1:$T$400,SF_Output!$AC$1:$AC$400,_xlfn.TEXTJOIN(",",TRUE,$B163:$E163),SF_Output!$Q$1:$Q$400,"One Time",SF_Output!$L$1:$L$400,"professional service")/N163))))</f>
        <v>1</v>
      </c>
      <c r="P163" s="6">
        <f t="shared" si="10"/>
        <v>0</v>
      </c>
      <c r="R163" s="6">
        <f>IF(B163="","",SUMIFS(SF_Output!$S$1:$S$400,SF_Output!$AC$1:$AC$400,_xlfn.TEXTJOIN(",",TRUE,B163:E163),SF_Output!$Q$1:$Q$400,"yearly")+SUMIFS(SF_Output!$S$1:$S$400,SF_Output!$AC$1:$AC$400,_xlfn.TEXTJOIN(",",TRUE,B163:E163),SF_Output!$Q$1:$Q$400,"quarterly")*4)</f>
        <v>0</v>
      </c>
      <c r="S163" s="112" t="str">
        <f>IF(OR(B163=0,B163="",G163="hardware",R163=0),"",IF(AF163&lt;&gt;"exclusion",MAX(S$9,-(SUMIFS(SF_Output!$T$1:$T$400,SF_Output!$AC$1:$AC$400,_xlfn.TEXTJOIN(",",TRUE,$B163:$E163),SF_Output!$Q$1:$Q$400,"yearly"))/R163),-((SUMIFS(SF_Output!$T$1:$T$400,SF_Output!$AC$1:$AC$400,_xlfn.TEXTJOIN(",",TRUE,$B163:$E163),SF_Output!$Q$1:$Q$400,"yearly")/R163))))</f>
        <v/>
      </c>
      <c r="T163" s="6">
        <f t="shared" si="11"/>
        <v>0</v>
      </c>
      <c r="V163" s="6" cm="1">
        <f t="array" ref="V163">_xlfn.IFS(B163="","",AND(B163&lt;&gt;"",H163=SF_Output!$Y$2,SUMIFS(SF_Output!$T$1:$T$400,SF_Output!$AC$1:$AC$400,_xlfn.TEXTJOIN(",",TRUE,B163:E163),SF_Output!$Q$1:$Q$400,"monthly")=0),(SUMIFS(SF_Output!$F$1:$F$400,SF_Output!$AC$1:$AC$400,_xlfn.TEXTJOIN(",",TRUE,B163:E163),SF_Output!$Q$1:$Q$400,"monthly")+SUMIFS(SF_Output!$G$1:$G$400,SF_Output!$AC$1:$AC$400,_xlfn.TEXTJOIN(",",TRUE,B163:E163),SF_Output!$Q$1:$Q$400,"monthly"))*H163,AND(B163&lt;&gt;"",H163=SF_Output!$Y$2,SUMIFS(SF_Output!$T$1:$T$400,SF_Output!$AC$1:$AC$400,_xlfn.TEXTJOIN(",",TRUE,B163:E163),SF_Output!$Q$1:$Q$400,"monthly")&lt;&gt;0),SUMIFS(SF_Output!$S$1:$S$400,SF_Output!$AC$1:$AC$400,_xlfn.TEXTJOIN(",",TRUE,B163:E163),SF_Output!$Q$1:$Q$400,"monthly"),AND(B163&lt;&gt;"",H163&lt;&gt;SF_Output!$Y$2),SUMIFS(SF_Output!$S$1:$S$400,SF_Output!$AC$1:$AC$400,_xlfn.TEXTJOIN(",",TRUE,B163:E163),SF_Output!$Q$1:$Q$400,"monthly"))</f>
        <v>105</v>
      </c>
      <c r="W163" s="112" cm="1">
        <f t="array" ref="W163">_xlfn.IFS(OR(B163=0,B163="",V163=0),"",AF163&lt;&gt;"exclusion",MAX($W$9,$W$7,(-(SUMIFS(SF_Output!$T$1:$T$400,SF_Output!$AC$1:$AC$400,_xlfn.TEXTJOIN(",",TRUE,$B163:$E163),SF_Output!$Q$1:$Q$400,"monthly"))/V163)),AF163="exclusion",-(SUMIFS(SF_Output!$T$1:$T$400,SF_Output!$AC$1:$AC$400,_xlfn.TEXTJOIN(",",TRUE,$B163:$E163),SF_Output!$Q$1:$Q$400,"monthly"))/V163)</f>
        <v>0.25</v>
      </c>
      <c r="X163" s="6" cm="1">
        <f t="array" ref="X163">IFERROR(_xlfn.IFS(V163=0,0,V163="","",W163=0,V163,OR(V163&lt;&gt;0,V163&lt;&gt;""),H163*I163),V163*(1-W163))</f>
        <v>79.000000000000014</v>
      </c>
    </row>
    <row r="164" spans="2:24" x14ac:dyDescent="0.25">
      <c r="B164" t="s">
        <v>2303</v>
      </c>
      <c r="C164" t="s">
        <v>2122</v>
      </c>
      <c r="D164" t="s">
        <v>2123</v>
      </c>
      <c r="E164" t="s">
        <v>2124</v>
      </c>
      <c r="F164" s="116" t="str">
        <f t="shared" si="8"/>
        <v>Included</v>
      </c>
      <c r="G164" t="str">
        <f>IF(B164="","",INDEX(SF_Output!$K$1:$K$400,MATCH(B164,SF_Output!$M$1:$M$400,0)))</f>
        <v>Cognos</v>
      </c>
      <c r="H164" cm="1">
        <f t="array" ref="H164">_xlfn.IFS(B164="","",(SUMIFS(SF_Output!$F$1:$F$400,SF_Output!$AC$1:$AC$400,_xlfn.TEXTJOIN(",",TRUE,B164:E164))+SUMIFS(SF_Output!$G$1:$G$400,SF_Output!$AC$1:$AC$400,_xlfn.TEXTJOIN(",",TRUE,B164:E164)))&lt;&gt;0,SF_Output!$Y$2,INDEX(SF_Output!$F$1:$F$400,MATCH(_xlfn.TEXTJOIN(",",TRUE,B164:E164),SF_Output!$AC$1:$AC$400,0))=0,INDEX(SF_Output!$R$1:$R$400,MATCH(_xlfn.TEXTJOIN(",",TRUE,B164:E164),SF_Output!$AC$1:$AC$400,0)))</f>
        <v>5000</v>
      </c>
      <c r="I164" s="125">
        <f>IFERROR(IF(AND(H164&gt;1,H164&lt;&gt;""),ROUND(SUMIFS(SF_Output!$S$1:$S$400,SF_Output!$AC$1:$AC$400,_xlfn.TEXTJOIN(",",TRUE,B164:E164),SF_Output!$Q$1:$Q$400,"monthly")*(1-W164)/H164,4),""),"")</f>
        <v>1.5800000000000002E-2</v>
      </c>
      <c r="J164" s="6">
        <f>IF(B164="","",SUMIFS(SF_Output!$S$1:$S$400,SF_Output!$AC$1:$AC$400,_xlfn.TEXTJOIN(",",TRUE,B164:E164),SF_Output!$Q$1:$Q$400,"One Time",SF_Output!$L$1:$L$400,"license fee")+SUMIFS(SF_Output!$S$1:$S$400,SF_Output!$AC$1:$AC$400,_xlfn.TEXTJOIN(",",TRUE,B164:E164),SF_Output!$Q$1:$Q$400,"One Time",SF_Output!$L$1:$L$400,"software license")+SUMIFS(SF_Output!$S$1:$S$400,SF_Output!$AC$1:$AC$400,_xlfn.TEXTJOIN(",",TRUE,B164:E164),SF_Output!$Q$1:$Q$400,"One Time",SF_Output!$L$1:$L$400,"hardware"))</f>
        <v>0</v>
      </c>
      <c r="K164" s="112" t="str">
        <f>IF(OR(B164=0,B164="",G164="hardware",J164=0),"",IF(AF164&lt;&gt;"exclusion",MAX(K$9,-((SUMIFS(SF_Output!$T$1:$T$400,SF_Output!$AC$1:$AC$400,_xlfn.TEXTJOIN(",",TRUE,$B164:$E164),SF_Output!$Q$1:$Q$400,"One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license"))/J164)))</f>
        <v/>
      </c>
      <c r="L164" s="6">
        <f t="shared" si="9"/>
        <v>0</v>
      </c>
      <c r="N164" s="6">
        <f>IF(B164="","",SUMIFS(SF_Output!$S$1:$S$400,SF_Output!$AC$1:$AC$400,_xlfn.TEXTJOIN(",",TRUE,B164:E164),SF_Output!$Q$1:$Q$400,"One Time",SF_Output!$L$1:$L$400,"professional service"))</f>
        <v>0</v>
      </c>
      <c r="O164" s="112" t="str">
        <f>IF(OR(B164=0,B164="",N164=0),"",IF(AF164&lt;&gt;"exclusion",MAX(O$9,-(SUMIFS(SF_Output!$T$1:$T$400,SF_Output!$AC$1:$AC$400,_xlfn.TEXTJOIN(",",TRUE,$B164:$E164),SF_Output!$Q$1:$Q$400,"One Time",SF_Output!$L$1:$L$400,"professional service"))/N164),-((SUMIFS(SF_Output!$T$1:$T$400,SF_Output!$AC$1:$AC$400,_xlfn.TEXTJOIN(",",TRUE,$B164:$E164),SF_Output!$Q$1:$Q$400,"One Time",SF_Output!$L$1:$L$400,"professional service")/N164))))</f>
        <v/>
      </c>
      <c r="P164" s="6">
        <f t="shared" si="10"/>
        <v>0</v>
      </c>
      <c r="R164" s="6">
        <f>IF(B164="","",SUMIFS(SF_Output!$S$1:$S$400,SF_Output!$AC$1:$AC$400,_xlfn.TEXTJOIN(",",TRUE,B164:E164),SF_Output!$Q$1:$Q$400,"yearly")+SUMIFS(SF_Output!$S$1:$S$400,SF_Output!$AC$1:$AC$400,_xlfn.TEXTJOIN(",",TRUE,B164:E164),SF_Output!$Q$1:$Q$400,"quarterly")*4)</f>
        <v>0</v>
      </c>
      <c r="S164" s="112" t="str">
        <f>IF(OR(B164=0,B164="",G164="hardware",R164=0),"",IF(AF164&lt;&gt;"exclusion",MAX(S$9,-(SUMIFS(SF_Output!$T$1:$T$400,SF_Output!$AC$1:$AC$400,_xlfn.TEXTJOIN(",",TRUE,$B164:$E164),SF_Output!$Q$1:$Q$400,"yearly"))/R164),-((SUMIFS(SF_Output!$T$1:$T$400,SF_Output!$AC$1:$AC$400,_xlfn.TEXTJOIN(",",TRUE,$B164:$E164),SF_Output!$Q$1:$Q$400,"yearly")/R164))))</f>
        <v/>
      </c>
      <c r="T164" s="6">
        <f t="shared" si="11"/>
        <v>0</v>
      </c>
      <c r="V164" s="6" cm="1">
        <f t="array" ref="V164">_xlfn.IFS(B164="","",AND(B164&lt;&gt;"",H164=SF_Output!$Y$2,SUMIFS(SF_Output!$T$1:$T$400,SF_Output!$AC$1:$AC$400,_xlfn.TEXTJOIN(",",TRUE,B164:E164),SF_Output!$Q$1:$Q$400,"monthly")=0),(SUMIFS(SF_Output!$F$1:$F$400,SF_Output!$AC$1:$AC$400,_xlfn.TEXTJOIN(",",TRUE,B164:E164),SF_Output!$Q$1:$Q$400,"monthly")+SUMIFS(SF_Output!$G$1:$G$400,SF_Output!$AC$1:$AC$400,_xlfn.TEXTJOIN(",",TRUE,B164:E164),SF_Output!$Q$1:$Q$400,"monthly"))*H164,AND(B164&lt;&gt;"",H164=SF_Output!$Y$2,SUMIFS(SF_Output!$T$1:$T$400,SF_Output!$AC$1:$AC$400,_xlfn.TEXTJOIN(",",TRUE,B164:E164),SF_Output!$Q$1:$Q$400,"monthly")&lt;&gt;0),SUMIFS(SF_Output!$S$1:$S$400,SF_Output!$AC$1:$AC$400,_xlfn.TEXTJOIN(",",TRUE,B164:E164),SF_Output!$Q$1:$Q$400,"monthly"),AND(B164&lt;&gt;"",H164&lt;&gt;SF_Output!$Y$2),SUMIFS(SF_Output!$S$1:$S$400,SF_Output!$AC$1:$AC$400,_xlfn.TEXTJOIN(",",TRUE,B164:E164),SF_Output!$Q$1:$Q$400,"monthly"))</f>
        <v>105</v>
      </c>
      <c r="W164" s="112" cm="1">
        <f t="array" ref="W164">_xlfn.IFS(OR(B164=0,B164="",V164=0),"",AF164&lt;&gt;"exclusion",MAX($W$9,$W$7,(-(SUMIFS(SF_Output!$T$1:$T$400,SF_Output!$AC$1:$AC$400,_xlfn.TEXTJOIN(",",TRUE,$B164:$E164),SF_Output!$Q$1:$Q$400,"monthly"))/V164)),AF164="exclusion",-(SUMIFS(SF_Output!$T$1:$T$400,SF_Output!$AC$1:$AC$400,_xlfn.TEXTJOIN(",",TRUE,$B164:$E164),SF_Output!$Q$1:$Q$400,"monthly"))/V164)</f>
        <v>0.25</v>
      </c>
      <c r="X164" s="6" cm="1">
        <f t="array" ref="X164">IFERROR(_xlfn.IFS(V164=0,0,V164="","",W164=0,V164,OR(V164&lt;&gt;0,V164&lt;&gt;""),H164*I164),V164*(1-W164))</f>
        <v>79.000000000000014</v>
      </c>
    </row>
    <row r="165" spans="2:24" x14ac:dyDescent="0.25">
      <c r="B165" t="s">
        <v>2304</v>
      </c>
      <c r="C165" t="s">
        <v>2122</v>
      </c>
      <c r="D165" t="s">
        <v>2123</v>
      </c>
      <c r="E165" t="s">
        <v>2124</v>
      </c>
      <c r="F165" s="116" t="str">
        <f t="shared" si="8"/>
        <v>Included</v>
      </c>
      <c r="G165" t="str">
        <f>IF(B165="","",INDEX(SF_Output!$K$1:$K$400,MATCH(B165,SF_Output!$M$1:$M$400,0)))</f>
        <v>Cognos</v>
      </c>
      <c r="H165" cm="1">
        <f t="array" ref="H165">_xlfn.IFS(B165="","",(SUMIFS(SF_Output!$F$1:$F$400,SF_Output!$AC$1:$AC$400,_xlfn.TEXTJOIN(",",TRUE,B165:E165))+SUMIFS(SF_Output!$G$1:$G$400,SF_Output!$AC$1:$AC$400,_xlfn.TEXTJOIN(",",TRUE,B165:E165)))&lt;&gt;0,SF_Output!$Y$2,INDEX(SF_Output!$F$1:$F$400,MATCH(_xlfn.TEXTJOIN(",",TRUE,B165:E165),SF_Output!$AC$1:$AC$400,0))=0,INDEX(SF_Output!$R$1:$R$400,MATCH(_xlfn.TEXTJOIN(",",TRUE,B165:E165),SF_Output!$AC$1:$AC$400,0)))</f>
        <v>5000</v>
      </c>
      <c r="I165" s="125">
        <f>IFERROR(IF(AND(H165&gt;1,H165&lt;&gt;""),ROUND(SUMIFS(SF_Output!$S$1:$S$400,SF_Output!$AC$1:$AC$400,_xlfn.TEXTJOIN(",",TRUE,B165:E165),SF_Output!$Q$1:$Q$400,"monthly")*(1-W165)/H165,4),""),"")</f>
        <v>1.5800000000000002E-2</v>
      </c>
      <c r="J165" s="6">
        <f>IF(B165="","",SUMIFS(SF_Output!$S$1:$S$400,SF_Output!$AC$1:$AC$400,_xlfn.TEXTJOIN(",",TRUE,B165:E165),SF_Output!$Q$1:$Q$400,"One Time",SF_Output!$L$1:$L$400,"license fee")+SUMIFS(SF_Output!$S$1:$S$400,SF_Output!$AC$1:$AC$400,_xlfn.TEXTJOIN(",",TRUE,B165:E165),SF_Output!$Q$1:$Q$400,"One Time",SF_Output!$L$1:$L$400,"software license")+SUMIFS(SF_Output!$S$1:$S$400,SF_Output!$AC$1:$AC$400,_xlfn.TEXTJOIN(",",TRUE,B165:E165),SF_Output!$Q$1:$Q$400,"One Time",SF_Output!$L$1:$L$400,"hardware"))</f>
        <v>0</v>
      </c>
      <c r="K165" s="112" t="str">
        <f>IF(OR(B165=0,B165="",G165="hardware",J165=0),"",IF(AF165&lt;&gt;"exclusion",MAX(K$9,-((SUMIFS(SF_Output!$T$1:$T$400,SF_Output!$AC$1:$AC$400,_xlfn.TEXTJOIN(",",TRUE,$B165:$E165),SF_Output!$Q$1:$Q$400,"One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license"))/J165)))</f>
        <v/>
      </c>
      <c r="L165" s="6">
        <f t="shared" si="9"/>
        <v>0</v>
      </c>
      <c r="N165" s="6">
        <f>IF(B165="","",SUMIFS(SF_Output!$S$1:$S$400,SF_Output!$AC$1:$AC$400,_xlfn.TEXTJOIN(",",TRUE,B165:E165),SF_Output!$Q$1:$Q$400,"One Time",SF_Output!$L$1:$L$400,"professional service"))</f>
        <v>1500</v>
      </c>
      <c r="O165" s="112">
        <f>IF(OR(B165=0,B165="",N165=0),"",IF(AF165&lt;&gt;"exclusion",MAX(O$9,-(SUMIFS(SF_Output!$T$1:$T$400,SF_Output!$AC$1:$AC$400,_xlfn.TEXTJOIN(",",TRUE,$B165:$E165),SF_Output!$Q$1:$Q$400,"One Time",SF_Output!$L$1:$L$400,"professional service"))/N165),-((SUMIFS(SF_Output!$T$1:$T$400,SF_Output!$AC$1:$AC$400,_xlfn.TEXTJOIN(",",TRUE,$B165:$E165),SF_Output!$Q$1:$Q$400,"One Time",SF_Output!$L$1:$L$400,"professional service")/N165))))</f>
        <v>1</v>
      </c>
      <c r="P165" s="6">
        <f t="shared" si="10"/>
        <v>0</v>
      </c>
      <c r="R165" s="6">
        <f>IF(B165="","",SUMIFS(SF_Output!$S$1:$S$400,SF_Output!$AC$1:$AC$400,_xlfn.TEXTJOIN(",",TRUE,B165:E165),SF_Output!$Q$1:$Q$400,"yearly")+SUMIFS(SF_Output!$S$1:$S$400,SF_Output!$AC$1:$AC$400,_xlfn.TEXTJOIN(",",TRUE,B165:E165),SF_Output!$Q$1:$Q$400,"quarterly")*4)</f>
        <v>0</v>
      </c>
      <c r="S165" s="112" t="str">
        <f>IF(OR(B165=0,B165="",G165="hardware",R165=0),"",IF(AF165&lt;&gt;"exclusion",MAX(S$9,-(SUMIFS(SF_Output!$T$1:$T$400,SF_Output!$AC$1:$AC$400,_xlfn.TEXTJOIN(",",TRUE,$B165:$E165),SF_Output!$Q$1:$Q$400,"yearly"))/R165),-((SUMIFS(SF_Output!$T$1:$T$400,SF_Output!$AC$1:$AC$400,_xlfn.TEXTJOIN(",",TRUE,$B165:$E165),SF_Output!$Q$1:$Q$400,"yearly")/R165))))</f>
        <v/>
      </c>
      <c r="T165" s="6">
        <f t="shared" si="11"/>
        <v>0</v>
      </c>
      <c r="V165" s="6" cm="1">
        <f t="array" ref="V165">_xlfn.IFS(B165="","",AND(B165&lt;&gt;"",H165=SF_Output!$Y$2,SUMIFS(SF_Output!$T$1:$T$400,SF_Output!$AC$1:$AC$400,_xlfn.TEXTJOIN(",",TRUE,B165:E165),SF_Output!$Q$1:$Q$400,"monthly")=0),(SUMIFS(SF_Output!$F$1:$F$400,SF_Output!$AC$1:$AC$400,_xlfn.TEXTJOIN(",",TRUE,B165:E165),SF_Output!$Q$1:$Q$400,"monthly")+SUMIFS(SF_Output!$G$1:$G$400,SF_Output!$AC$1:$AC$400,_xlfn.TEXTJOIN(",",TRUE,B165:E165),SF_Output!$Q$1:$Q$400,"monthly"))*H165,AND(B165&lt;&gt;"",H165=SF_Output!$Y$2,SUMIFS(SF_Output!$T$1:$T$400,SF_Output!$AC$1:$AC$400,_xlfn.TEXTJOIN(",",TRUE,B165:E165),SF_Output!$Q$1:$Q$400,"monthly")&lt;&gt;0),SUMIFS(SF_Output!$S$1:$S$400,SF_Output!$AC$1:$AC$400,_xlfn.TEXTJOIN(",",TRUE,B165:E165),SF_Output!$Q$1:$Q$400,"monthly"),AND(B165&lt;&gt;"",H165&lt;&gt;SF_Output!$Y$2),SUMIFS(SF_Output!$S$1:$S$400,SF_Output!$AC$1:$AC$400,_xlfn.TEXTJOIN(",",TRUE,B165:E165),SF_Output!$Q$1:$Q$400,"monthly"))</f>
        <v>105</v>
      </c>
      <c r="W165" s="112" cm="1">
        <f t="array" ref="W165">_xlfn.IFS(OR(B165=0,B165="",V165=0),"",AF165&lt;&gt;"exclusion",MAX($W$9,$W$7,(-(SUMIFS(SF_Output!$T$1:$T$400,SF_Output!$AC$1:$AC$400,_xlfn.TEXTJOIN(",",TRUE,$B165:$E165),SF_Output!$Q$1:$Q$400,"monthly"))/V165)),AF165="exclusion",-(SUMIFS(SF_Output!$T$1:$T$400,SF_Output!$AC$1:$AC$400,_xlfn.TEXTJOIN(",",TRUE,$B165:$E165),SF_Output!$Q$1:$Q$400,"monthly"))/V165)</f>
        <v>0.25</v>
      </c>
      <c r="X165" s="6" cm="1">
        <f t="array" ref="X165">IFERROR(_xlfn.IFS(V165=0,0,V165="","",W165=0,V165,OR(V165&lt;&gt;0,V165&lt;&gt;""),H165*I165),V165*(1-W165))</f>
        <v>79.000000000000014</v>
      </c>
    </row>
    <row r="166" spans="2:24" x14ac:dyDescent="0.25">
      <c r="B166" t="s">
        <v>2305</v>
      </c>
      <c r="C166" t="s">
        <v>2122</v>
      </c>
      <c r="D166" t="s">
        <v>2123</v>
      </c>
      <c r="E166" t="s">
        <v>2124</v>
      </c>
      <c r="F166" s="116" t="str">
        <f t="shared" si="8"/>
        <v>Included</v>
      </c>
      <c r="G166" t="str">
        <f>IF(B166="","",INDEX(SF_Output!$K$1:$K$400,MATCH(B166,SF_Output!$M$1:$M$400,0)))</f>
        <v>Cognos</v>
      </c>
      <c r="H166" cm="1">
        <f t="array" ref="H166">_xlfn.IFS(B166="","",(SUMIFS(SF_Output!$F$1:$F$400,SF_Output!$AC$1:$AC$400,_xlfn.TEXTJOIN(",",TRUE,B166:E166))+SUMIFS(SF_Output!$G$1:$G$400,SF_Output!$AC$1:$AC$400,_xlfn.TEXTJOIN(",",TRUE,B166:E166)))&lt;&gt;0,SF_Output!$Y$2,INDEX(SF_Output!$F$1:$F$400,MATCH(_xlfn.TEXTJOIN(",",TRUE,B166:E166),SF_Output!$AC$1:$AC$400,0))=0,INDEX(SF_Output!$R$1:$R$400,MATCH(_xlfn.TEXTJOIN(",",TRUE,B166:E166),SF_Output!$AC$1:$AC$400,0)))</f>
        <v>5000</v>
      </c>
      <c r="I166" s="125">
        <f>IFERROR(IF(AND(H166&gt;1,H166&lt;&gt;""),ROUND(SUMIFS(SF_Output!$S$1:$S$400,SF_Output!$AC$1:$AC$400,_xlfn.TEXTJOIN(",",TRUE,B166:E166),SF_Output!$Q$1:$Q$400,"monthly")*(1-W166)/H166,4),""),"")</f>
        <v>1.5800000000000002E-2</v>
      </c>
      <c r="J166" s="6">
        <f>IF(B166="","",SUMIFS(SF_Output!$S$1:$S$400,SF_Output!$AC$1:$AC$400,_xlfn.TEXTJOIN(",",TRUE,B166:E166),SF_Output!$Q$1:$Q$400,"One Time",SF_Output!$L$1:$L$400,"license fee")+SUMIFS(SF_Output!$S$1:$S$400,SF_Output!$AC$1:$AC$400,_xlfn.TEXTJOIN(",",TRUE,B166:E166),SF_Output!$Q$1:$Q$400,"One Time",SF_Output!$L$1:$L$400,"software license")+SUMIFS(SF_Output!$S$1:$S$400,SF_Output!$AC$1:$AC$400,_xlfn.TEXTJOIN(",",TRUE,B166:E166),SF_Output!$Q$1:$Q$400,"One Time",SF_Output!$L$1:$L$400,"hardware"))</f>
        <v>0</v>
      </c>
      <c r="K166" s="112" t="str">
        <f>IF(OR(B166=0,B166="",G166="hardware",J166=0),"",IF(AF166&lt;&gt;"exclusion",MAX(K$9,-((SUMIFS(SF_Output!$T$1:$T$400,SF_Output!$AC$1:$AC$400,_xlfn.TEXTJOIN(",",TRUE,$B166:$E166),SF_Output!$Q$1:$Q$400,"One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license"))/J166)))</f>
        <v/>
      </c>
      <c r="L166" s="6">
        <f t="shared" si="9"/>
        <v>0</v>
      </c>
      <c r="N166" s="6">
        <f>IF(B166="","",SUMIFS(SF_Output!$S$1:$S$400,SF_Output!$AC$1:$AC$400,_xlfn.TEXTJOIN(",",TRUE,B166:E166),SF_Output!$Q$1:$Q$400,"One Time",SF_Output!$L$1:$L$400,"professional service"))</f>
        <v>0</v>
      </c>
      <c r="O166" s="112" t="str">
        <f>IF(OR(B166=0,B166="",N166=0),"",IF(AF166&lt;&gt;"exclusion",MAX(O$9,-(SUMIFS(SF_Output!$T$1:$T$400,SF_Output!$AC$1:$AC$400,_xlfn.TEXTJOIN(",",TRUE,$B166:$E166),SF_Output!$Q$1:$Q$400,"One Time",SF_Output!$L$1:$L$400,"professional service"))/N166),-((SUMIFS(SF_Output!$T$1:$T$400,SF_Output!$AC$1:$AC$400,_xlfn.TEXTJOIN(",",TRUE,$B166:$E166),SF_Output!$Q$1:$Q$400,"One Time",SF_Output!$L$1:$L$400,"professional service")/N166))))</f>
        <v/>
      </c>
      <c r="P166" s="6">
        <f t="shared" si="10"/>
        <v>0</v>
      </c>
      <c r="R166" s="6">
        <f>IF(B166="","",SUMIFS(SF_Output!$S$1:$S$400,SF_Output!$AC$1:$AC$400,_xlfn.TEXTJOIN(",",TRUE,B166:E166),SF_Output!$Q$1:$Q$400,"yearly")+SUMIFS(SF_Output!$S$1:$S$400,SF_Output!$AC$1:$AC$400,_xlfn.TEXTJOIN(",",TRUE,B166:E166),SF_Output!$Q$1:$Q$400,"quarterly")*4)</f>
        <v>0</v>
      </c>
      <c r="S166" s="112" t="str">
        <f>IF(OR(B166=0,B166="",G166="hardware",R166=0),"",IF(AF166&lt;&gt;"exclusion",MAX(S$9,-(SUMIFS(SF_Output!$T$1:$T$400,SF_Output!$AC$1:$AC$400,_xlfn.TEXTJOIN(",",TRUE,$B166:$E166),SF_Output!$Q$1:$Q$400,"yearly"))/R166),-((SUMIFS(SF_Output!$T$1:$T$400,SF_Output!$AC$1:$AC$400,_xlfn.TEXTJOIN(",",TRUE,$B166:$E166),SF_Output!$Q$1:$Q$400,"yearly")/R166))))</f>
        <v/>
      </c>
      <c r="T166" s="6">
        <f t="shared" si="11"/>
        <v>0</v>
      </c>
      <c r="V166" s="6" cm="1">
        <f t="array" ref="V166">_xlfn.IFS(B166="","",AND(B166&lt;&gt;"",H166=SF_Output!$Y$2,SUMIFS(SF_Output!$T$1:$T$400,SF_Output!$AC$1:$AC$400,_xlfn.TEXTJOIN(",",TRUE,B166:E166),SF_Output!$Q$1:$Q$400,"monthly")=0),(SUMIFS(SF_Output!$F$1:$F$400,SF_Output!$AC$1:$AC$400,_xlfn.TEXTJOIN(",",TRUE,B166:E166),SF_Output!$Q$1:$Q$400,"monthly")+SUMIFS(SF_Output!$G$1:$G$400,SF_Output!$AC$1:$AC$400,_xlfn.TEXTJOIN(",",TRUE,B166:E166),SF_Output!$Q$1:$Q$400,"monthly"))*H166,AND(B166&lt;&gt;"",H166=SF_Output!$Y$2,SUMIFS(SF_Output!$T$1:$T$400,SF_Output!$AC$1:$AC$400,_xlfn.TEXTJOIN(",",TRUE,B166:E166),SF_Output!$Q$1:$Q$400,"monthly")&lt;&gt;0),SUMIFS(SF_Output!$S$1:$S$400,SF_Output!$AC$1:$AC$400,_xlfn.TEXTJOIN(",",TRUE,B166:E166),SF_Output!$Q$1:$Q$400,"monthly"),AND(B166&lt;&gt;"",H166&lt;&gt;SF_Output!$Y$2),SUMIFS(SF_Output!$S$1:$S$400,SF_Output!$AC$1:$AC$400,_xlfn.TEXTJOIN(",",TRUE,B166:E166),SF_Output!$Q$1:$Q$400,"monthly"))</f>
        <v>105</v>
      </c>
      <c r="W166" s="112" cm="1">
        <f t="array" ref="W166">_xlfn.IFS(OR(B166=0,B166="",V166=0),"",AF166&lt;&gt;"exclusion",MAX($W$9,$W$7,(-(SUMIFS(SF_Output!$T$1:$T$400,SF_Output!$AC$1:$AC$400,_xlfn.TEXTJOIN(",",TRUE,$B166:$E166),SF_Output!$Q$1:$Q$400,"monthly"))/V166)),AF166="exclusion",-(SUMIFS(SF_Output!$T$1:$T$400,SF_Output!$AC$1:$AC$400,_xlfn.TEXTJOIN(",",TRUE,$B166:$E166),SF_Output!$Q$1:$Q$400,"monthly"))/V166)</f>
        <v>0.25</v>
      </c>
      <c r="X166" s="6" cm="1">
        <f t="array" ref="X166">IFERROR(_xlfn.IFS(V166=0,0,V166="","",W166=0,V166,OR(V166&lt;&gt;0,V166&lt;&gt;""),H166*I166),V166*(1-W166))</f>
        <v>79.000000000000014</v>
      </c>
    </row>
    <row r="167" spans="2:24" x14ac:dyDescent="0.25">
      <c r="B167" t="s">
        <v>1457</v>
      </c>
      <c r="C167" t="s">
        <v>2122</v>
      </c>
      <c r="D167" t="s">
        <v>2207</v>
      </c>
      <c r="E167" t="s">
        <v>2124</v>
      </c>
      <c r="F167" s="116" t="str">
        <f t="shared" si="8"/>
        <v>Included</v>
      </c>
      <c r="G167" t="str">
        <f>IF(B167="","",INDEX(SF_Output!$K$1:$K$400,MATCH(B167,SF_Output!$M$1:$M$400,0)))</f>
        <v>ProfitStars Financial Performance</v>
      </c>
      <c r="H167" cm="1">
        <f t="array" ref="H167">_xlfn.IFS(B167="","",(SUMIFS(SF_Output!$F$1:$F$400,SF_Output!$AC$1:$AC$400,_xlfn.TEXTJOIN(",",TRUE,B167:E167))+SUMIFS(SF_Output!$G$1:$G$400,SF_Output!$AC$1:$AC$400,_xlfn.TEXTJOIN(",",TRUE,B167:E167)))&lt;&gt;0,SF_Output!$Y$2,INDEX(SF_Output!$F$1:$F$400,MATCH(_xlfn.TEXTJOIN(",",TRUE,B167:E167),SF_Output!$AC$1:$AC$400,0))=0,INDEX(SF_Output!$R$1:$R$400,MATCH(_xlfn.TEXTJOIN(",",TRUE,B167:E167),SF_Output!$AC$1:$AC$400,0)))</f>
        <v>5000</v>
      </c>
      <c r="I167" s="125">
        <f>IFERROR(IF(AND(H167&gt;1,H167&lt;&gt;""),ROUND(SUMIFS(SF_Output!$S$1:$S$400,SF_Output!$AC$1:$AC$400,_xlfn.TEXTJOIN(",",TRUE,B167:E167),SF_Output!$Q$1:$Q$400,"monthly")*(1-W167)/H167,4),""),"")</f>
        <v>2.7799999999999998E-2</v>
      </c>
      <c r="J167" s="6">
        <f>IF(B167="","",SUMIFS(SF_Output!$S$1:$S$400,SF_Output!$AC$1:$AC$400,_xlfn.TEXTJOIN(",",TRUE,B167:E167),SF_Output!$Q$1:$Q$400,"One Time",SF_Output!$L$1:$L$400,"license fee")+SUMIFS(SF_Output!$S$1:$S$400,SF_Output!$AC$1:$AC$400,_xlfn.TEXTJOIN(",",TRUE,B167:E167),SF_Output!$Q$1:$Q$400,"One Time",SF_Output!$L$1:$L$400,"software license")+SUMIFS(SF_Output!$S$1:$S$400,SF_Output!$AC$1:$AC$400,_xlfn.TEXTJOIN(",",TRUE,B167:E167),SF_Output!$Q$1:$Q$400,"One Time",SF_Output!$L$1:$L$400,"hardware"))</f>
        <v>0</v>
      </c>
      <c r="K167" s="112" t="str">
        <f>IF(OR(B167=0,B167="",G167="hardware",J167=0),"",IF(AF167&lt;&gt;"exclusion",MAX(K$9,-((SUMIFS(SF_Output!$T$1:$T$400,SF_Output!$AC$1:$AC$400,_xlfn.TEXTJOIN(",",TRUE,$B167:$E167),SF_Output!$Q$1:$Q$400,"One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license"))/J167)))</f>
        <v/>
      </c>
      <c r="L167" s="6">
        <f t="shared" si="9"/>
        <v>0</v>
      </c>
      <c r="N167" s="6">
        <f>IF(B167="","",SUMIFS(SF_Output!$S$1:$S$400,SF_Output!$AC$1:$AC$400,_xlfn.TEXTJOIN(",",TRUE,B167:E167),SF_Output!$Q$1:$Q$400,"One Time",SF_Output!$L$1:$L$400,"professional service"))</f>
        <v>0</v>
      </c>
      <c r="O167" s="112" t="str">
        <f>IF(OR(B167=0,B167="",N167=0),"",IF(AF167&lt;&gt;"exclusion",MAX(O$9,-(SUMIFS(SF_Output!$T$1:$T$400,SF_Output!$AC$1:$AC$400,_xlfn.TEXTJOIN(",",TRUE,$B167:$E167),SF_Output!$Q$1:$Q$400,"One Time",SF_Output!$L$1:$L$400,"professional service"))/N167),-((SUMIFS(SF_Output!$T$1:$T$400,SF_Output!$AC$1:$AC$400,_xlfn.TEXTJOIN(",",TRUE,$B167:$E167),SF_Output!$Q$1:$Q$400,"One Time",SF_Output!$L$1:$L$400,"professional service")/N167))))</f>
        <v/>
      </c>
      <c r="P167" s="6">
        <f t="shared" si="10"/>
        <v>0</v>
      </c>
      <c r="R167" s="6">
        <f>IF(B167="","",SUMIFS(SF_Output!$S$1:$S$400,SF_Output!$AC$1:$AC$400,_xlfn.TEXTJOIN(",",TRUE,B167:E167),SF_Output!$Q$1:$Q$400,"yearly")+SUMIFS(SF_Output!$S$1:$S$400,SF_Output!$AC$1:$AC$400,_xlfn.TEXTJOIN(",",TRUE,B167:E167),SF_Output!$Q$1:$Q$400,"quarterly")*4)</f>
        <v>0</v>
      </c>
      <c r="S167" s="112" t="str">
        <f>IF(OR(B167=0,B167="",G167="hardware",R167=0),"",IF(AF167&lt;&gt;"exclusion",MAX(S$9,-(SUMIFS(SF_Output!$T$1:$T$400,SF_Output!$AC$1:$AC$400,_xlfn.TEXTJOIN(",",TRUE,$B167:$E167),SF_Output!$Q$1:$Q$400,"yearly"))/R167),-((SUMIFS(SF_Output!$T$1:$T$400,SF_Output!$AC$1:$AC$400,_xlfn.TEXTJOIN(",",TRUE,$B167:$E167),SF_Output!$Q$1:$Q$400,"yearly")/R167))))</f>
        <v/>
      </c>
      <c r="T167" s="6">
        <f t="shared" si="11"/>
        <v>0</v>
      </c>
      <c r="V167" s="6" cm="1">
        <f t="array" ref="V167">_xlfn.IFS(B167="","",AND(B167&lt;&gt;"",H167=SF_Output!$Y$2,SUMIFS(SF_Output!$T$1:$T$400,SF_Output!$AC$1:$AC$400,_xlfn.TEXTJOIN(",",TRUE,B167:E167),SF_Output!$Q$1:$Q$400,"monthly")=0),(SUMIFS(SF_Output!$F$1:$F$400,SF_Output!$AC$1:$AC$400,_xlfn.TEXTJOIN(",",TRUE,B167:E167),SF_Output!$Q$1:$Q$400,"monthly")+SUMIFS(SF_Output!$G$1:$G$400,SF_Output!$AC$1:$AC$400,_xlfn.TEXTJOIN(",",TRUE,B167:E167),SF_Output!$Q$1:$Q$400,"monthly"))*H167,AND(B167&lt;&gt;"",H167=SF_Output!$Y$2,SUMIFS(SF_Output!$T$1:$T$400,SF_Output!$AC$1:$AC$400,_xlfn.TEXTJOIN(",",TRUE,B167:E167),SF_Output!$Q$1:$Q$400,"monthly")&lt;&gt;0),SUMIFS(SF_Output!$S$1:$S$400,SF_Output!$AC$1:$AC$400,_xlfn.TEXTJOIN(",",TRUE,B167:E167),SF_Output!$Q$1:$Q$400,"monthly"),AND(B167&lt;&gt;"",H167&lt;&gt;SF_Output!$Y$2),SUMIFS(SF_Output!$S$1:$S$400,SF_Output!$AC$1:$AC$400,_xlfn.TEXTJOIN(",",TRUE,B167:E167),SF_Output!$Q$1:$Q$400,"monthly"))</f>
        <v>185</v>
      </c>
      <c r="W167" s="112" cm="1">
        <f t="array" ref="W167">_xlfn.IFS(OR(B167=0,B167="",V167=0),"",AF167&lt;&gt;"exclusion",MAX($W$9,$W$7,(-(SUMIFS(SF_Output!$T$1:$T$400,SF_Output!$AC$1:$AC$400,_xlfn.TEXTJOIN(",",TRUE,$B167:$E167),SF_Output!$Q$1:$Q$400,"monthly"))/V167)),AF167="exclusion",-(SUMIFS(SF_Output!$T$1:$T$400,SF_Output!$AC$1:$AC$400,_xlfn.TEXTJOIN(",",TRUE,$B167:$E167),SF_Output!$Q$1:$Q$400,"monthly"))/V167)</f>
        <v>0.25</v>
      </c>
      <c r="X167" s="6" cm="1">
        <f t="array" ref="X167">IFERROR(_xlfn.IFS(V167=0,0,V167="","",W167=0,V167,OR(V167&lt;&gt;0,V167&lt;&gt;""),H167*I167),V167*(1-W167))</f>
        <v>139</v>
      </c>
    </row>
    <row r="168" spans="2:24" x14ac:dyDescent="0.25">
      <c r="B168" t="s">
        <v>1458</v>
      </c>
      <c r="C168" t="s">
        <v>2122</v>
      </c>
      <c r="D168" t="s">
        <v>2207</v>
      </c>
      <c r="E168" t="s">
        <v>2124</v>
      </c>
      <c r="F168" s="116" t="str">
        <f t="shared" si="8"/>
        <v>Included</v>
      </c>
      <c r="G168" t="str">
        <f>IF(B168="","",INDEX(SF_Output!$K$1:$K$400,MATCH(B168,SF_Output!$M$1:$M$400,0)))</f>
        <v>ProfitStars Financial Performance</v>
      </c>
      <c r="H168" cm="1">
        <f t="array" ref="H168">_xlfn.IFS(B168="","",(SUMIFS(SF_Output!$F$1:$F$400,SF_Output!$AC$1:$AC$400,_xlfn.TEXTJOIN(",",TRUE,B168:E168))+SUMIFS(SF_Output!$G$1:$G$400,SF_Output!$AC$1:$AC$400,_xlfn.TEXTJOIN(",",TRUE,B168:E168)))&lt;&gt;0,SF_Output!$Y$2,INDEX(SF_Output!$F$1:$F$400,MATCH(_xlfn.TEXTJOIN(",",TRUE,B168:E168),SF_Output!$AC$1:$AC$400,0))=0,INDEX(SF_Output!$R$1:$R$400,MATCH(_xlfn.TEXTJOIN(",",TRUE,B168:E168),SF_Output!$AC$1:$AC$400,0)))</f>
        <v>5000</v>
      </c>
      <c r="I168" s="125">
        <f>IFERROR(IF(AND(H168&gt;1,H168&lt;&gt;""),ROUND(SUMIFS(SF_Output!$S$1:$S$400,SF_Output!$AC$1:$AC$400,_xlfn.TEXTJOIN(",",TRUE,B168:E168),SF_Output!$Q$1:$Q$400,"monthly")*(1-W168)/H168,4),""),"")</f>
        <v>3.0800000000000001E-2</v>
      </c>
      <c r="J168" s="6">
        <f>IF(B168="","",SUMIFS(SF_Output!$S$1:$S$400,SF_Output!$AC$1:$AC$400,_xlfn.TEXTJOIN(",",TRUE,B168:E168),SF_Output!$Q$1:$Q$400,"One Time",SF_Output!$L$1:$L$400,"license fee")+SUMIFS(SF_Output!$S$1:$S$400,SF_Output!$AC$1:$AC$400,_xlfn.TEXTJOIN(",",TRUE,B168:E168),SF_Output!$Q$1:$Q$400,"One Time",SF_Output!$L$1:$L$400,"software license")+SUMIFS(SF_Output!$S$1:$S$400,SF_Output!$AC$1:$AC$400,_xlfn.TEXTJOIN(",",TRUE,B168:E168),SF_Output!$Q$1:$Q$400,"One Time",SF_Output!$L$1:$L$400,"hardware"))</f>
        <v>0</v>
      </c>
      <c r="K168" s="112" t="str">
        <f>IF(OR(B168=0,B168="",G168="hardware",J168=0),"",IF(AF168&lt;&gt;"exclusion",MAX(K$9,-((SUMIFS(SF_Output!$T$1:$T$400,SF_Output!$AC$1:$AC$400,_xlfn.TEXTJOIN(",",TRUE,$B168:$E168),SF_Output!$Q$1:$Q$400,"One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license"))/J168)))</f>
        <v/>
      </c>
      <c r="L168" s="6">
        <f t="shared" si="9"/>
        <v>0</v>
      </c>
      <c r="N168" s="6">
        <f>IF(B168="","",SUMIFS(SF_Output!$S$1:$S$400,SF_Output!$AC$1:$AC$400,_xlfn.TEXTJOIN(",",TRUE,B168:E168),SF_Output!$Q$1:$Q$400,"One Time",SF_Output!$L$1:$L$400,"professional service"))</f>
        <v>4000</v>
      </c>
      <c r="O168" s="112">
        <f>IF(OR(B168=0,B168="",N168=0),"",IF(AF168&lt;&gt;"exclusion",MAX(O$9,-(SUMIFS(SF_Output!$T$1:$T$400,SF_Output!$AC$1:$AC$400,_xlfn.TEXTJOIN(",",TRUE,$B168:$E168),SF_Output!$Q$1:$Q$400,"One Time",SF_Output!$L$1:$L$400,"professional service"))/N168),-((SUMIFS(SF_Output!$T$1:$T$400,SF_Output!$AC$1:$AC$400,_xlfn.TEXTJOIN(",",TRUE,$B168:$E168),SF_Output!$Q$1:$Q$400,"One Time",SF_Output!$L$1:$L$400,"professional service")/N168))))</f>
        <v>1</v>
      </c>
      <c r="P168" s="6">
        <f t="shared" si="10"/>
        <v>0</v>
      </c>
      <c r="R168" s="6">
        <f>IF(B168="","",SUMIFS(SF_Output!$S$1:$S$400,SF_Output!$AC$1:$AC$400,_xlfn.TEXTJOIN(",",TRUE,B168:E168),SF_Output!$Q$1:$Q$400,"yearly")+SUMIFS(SF_Output!$S$1:$S$400,SF_Output!$AC$1:$AC$400,_xlfn.TEXTJOIN(",",TRUE,B168:E168),SF_Output!$Q$1:$Q$400,"quarterly")*4)</f>
        <v>0</v>
      </c>
      <c r="S168" s="112" t="str">
        <f>IF(OR(B168=0,B168="",G168="hardware",R168=0),"",IF(AF168&lt;&gt;"exclusion",MAX(S$9,-(SUMIFS(SF_Output!$T$1:$T$400,SF_Output!$AC$1:$AC$400,_xlfn.TEXTJOIN(",",TRUE,$B168:$E168),SF_Output!$Q$1:$Q$400,"yearly"))/R168),-((SUMIFS(SF_Output!$T$1:$T$400,SF_Output!$AC$1:$AC$400,_xlfn.TEXTJOIN(",",TRUE,$B168:$E168),SF_Output!$Q$1:$Q$400,"yearly")/R168))))</f>
        <v/>
      </c>
      <c r="T168" s="6">
        <f t="shared" si="11"/>
        <v>0</v>
      </c>
      <c r="V168" s="6" cm="1">
        <f t="array" ref="V168">_xlfn.IFS(B168="","",AND(B168&lt;&gt;"",H168=SF_Output!$Y$2,SUMIFS(SF_Output!$T$1:$T$400,SF_Output!$AC$1:$AC$400,_xlfn.TEXTJOIN(",",TRUE,B168:E168),SF_Output!$Q$1:$Q$400,"monthly")=0),(SUMIFS(SF_Output!$F$1:$F$400,SF_Output!$AC$1:$AC$400,_xlfn.TEXTJOIN(",",TRUE,B168:E168),SF_Output!$Q$1:$Q$400,"monthly")+SUMIFS(SF_Output!$G$1:$G$400,SF_Output!$AC$1:$AC$400,_xlfn.TEXTJOIN(",",TRUE,B168:E168),SF_Output!$Q$1:$Q$400,"monthly"))*H168,AND(B168&lt;&gt;"",H168=SF_Output!$Y$2,SUMIFS(SF_Output!$T$1:$T$400,SF_Output!$AC$1:$AC$400,_xlfn.TEXTJOIN(",",TRUE,B168:E168),SF_Output!$Q$1:$Q$400,"monthly")&lt;&gt;0),SUMIFS(SF_Output!$S$1:$S$400,SF_Output!$AC$1:$AC$400,_xlfn.TEXTJOIN(",",TRUE,B168:E168),SF_Output!$Q$1:$Q$400,"monthly"),AND(B168&lt;&gt;"",H168&lt;&gt;SF_Output!$Y$2),SUMIFS(SF_Output!$S$1:$S$400,SF_Output!$AC$1:$AC$400,_xlfn.TEXTJOIN(",",TRUE,B168:E168),SF_Output!$Q$1:$Q$400,"monthly"))</f>
        <v>205</v>
      </c>
      <c r="W168" s="112" cm="1">
        <f t="array" ref="W168">_xlfn.IFS(OR(B168=0,B168="",V168=0),"",AF168&lt;&gt;"exclusion",MAX($W$9,$W$7,(-(SUMIFS(SF_Output!$T$1:$T$400,SF_Output!$AC$1:$AC$400,_xlfn.TEXTJOIN(",",TRUE,$B168:$E168),SF_Output!$Q$1:$Q$400,"monthly"))/V168)),AF168="exclusion",-(SUMIFS(SF_Output!$T$1:$T$400,SF_Output!$AC$1:$AC$400,_xlfn.TEXTJOIN(",",TRUE,$B168:$E168),SF_Output!$Q$1:$Q$400,"monthly"))/V168)</f>
        <v>0.25</v>
      </c>
      <c r="X168" s="6" cm="1">
        <f t="array" ref="X168">IFERROR(_xlfn.IFS(V168=0,0,V168="","",W168=0,V168,OR(V168&lt;&gt;0,V168&lt;&gt;""),H168*I168),V168*(1-W168))</f>
        <v>154</v>
      </c>
    </row>
    <row r="169" spans="2:24" x14ac:dyDescent="0.25">
      <c r="B169" t="s">
        <v>2337</v>
      </c>
      <c r="C169" t="s">
        <v>2122</v>
      </c>
      <c r="D169" t="s">
        <v>2123</v>
      </c>
      <c r="E169" t="s">
        <v>2124</v>
      </c>
      <c r="F169" s="116" t="str">
        <f t="shared" si="8"/>
        <v>Included</v>
      </c>
      <c r="G169" t="str">
        <f>IF(B169="","",INDEX(SF_Output!$K$1:$K$400,MATCH(B169,SF_Output!$M$1:$M$400,0)))</f>
        <v>ProfitStars Financial Performance</v>
      </c>
      <c r="H169" cm="1">
        <f t="array" ref="H169">_xlfn.IFS(B169="","",(SUMIFS(SF_Output!$F$1:$F$400,SF_Output!$AC$1:$AC$400,_xlfn.TEXTJOIN(",",TRUE,B169:E169))+SUMIFS(SF_Output!$G$1:$G$400,SF_Output!$AC$1:$AC$400,_xlfn.TEXTJOIN(",",TRUE,B169:E169)))&lt;&gt;0,SF_Output!$Y$2,INDEX(SF_Output!$F$1:$F$400,MATCH(_xlfn.TEXTJOIN(",",TRUE,B169:E169),SF_Output!$AC$1:$AC$400,0))=0,INDEX(SF_Output!$R$1:$R$400,MATCH(_xlfn.TEXTJOIN(",",TRUE,B169:E169),SF_Output!$AC$1:$AC$400,0)))</f>
        <v>1</v>
      </c>
      <c r="I169" s="125" t="str">
        <f>IFERROR(IF(AND(H169&gt;1,H169&lt;&gt;""),ROUND(SUMIFS(SF_Output!$S$1:$S$400,SF_Output!$AC$1:$AC$400,_xlfn.TEXTJOIN(",",TRUE,B169:E169),SF_Output!$Q$1:$Q$400,"monthly")*(1-W169)/H169,4),""),"")</f>
        <v/>
      </c>
      <c r="J169" s="6">
        <f>IF(B169="","",SUMIFS(SF_Output!$S$1:$S$400,SF_Output!$AC$1:$AC$400,_xlfn.TEXTJOIN(",",TRUE,B169:E169),SF_Output!$Q$1:$Q$400,"One Time",SF_Output!$L$1:$L$400,"license fee")+SUMIFS(SF_Output!$S$1:$S$400,SF_Output!$AC$1:$AC$400,_xlfn.TEXTJOIN(",",TRUE,B169:E169),SF_Output!$Q$1:$Q$400,"One Time",SF_Output!$L$1:$L$400,"software license")+SUMIFS(SF_Output!$S$1:$S$400,SF_Output!$AC$1:$AC$400,_xlfn.TEXTJOIN(",",TRUE,B169:E169),SF_Output!$Q$1:$Q$400,"One Time",SF_Output!$L$1:$L$400,"hardware"))</f>
        <v>0</v>
      </c>
      <c r="K169" s="112" t="str">
        <f>IF(OR(B169=0,B169="",G169="hardware",J169=0),"",IF(AF169&lt;&gt;"exclusion",MAX(K$9,-((SUMIFS(SF_Output!$T$1:$T$400,SF_Output!$AC$1:$AC$400,_xlfn.TEXTJOIN(",",TRUE,$B169:$E169),SF_Output!$Q$1:$Q$400,"One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license"))/J169)))</f>
        <v/>
      </c>
      <c r="L169" s="6">
        <f t="shared" si="9"/>
        <v>0</v>
      </c>
      <c r="N169" s="6">
        <f>IF(B169="","",SUMIFS(SF_Output!$S$1:$S$400,SF_Output!$AC$1:$AC$400,_xlfn.TEXTJOIN(",",TRUE,B169:E169),SF_Output!$Q$1:$Q$400,"One Time",SF_Output!$L$1:$L$400,"professional service"))</f>
        <v>3200</v>
      </c>
      <c r="O169" s="112">
        <f>IF(OR(B169=0,B169="",N169=0),"",IF(AF169&lt;&gt;"exclusion",MAX(O$9,-(SUMIFS(SF_Output!$T$1:$T$400,SF_Output!$AC$1:$AC$400,_xlfn.TEXTJOIN(",",TRUE,$B169:$E169),SF_Output!$Q$1:$Q$400,"One Time",SF_Output!$L$1:$L$400,"professional service"))/N169),-((SUMIFS(SF_Output!$T$1:$T$400,SF_Output!$AC$1:$AC$400,_xlfn.TEXTJOIN(",",TRUE,$B169:$E169),SF_Output!$Q$1:$Q$400,"One Time",SF_Output!$L$1:$L$400,"professional service")/N169))))</f>
        <v>1</v>
      </c>
      <c r="P169" s="6">
        <f t="shared" si="10"/>
        <v>0</v>
      </c>
      <c r="R169" s="6">
        <f>IF(B169="","",SUMIFS(SF_Output!$S$1:$S$400,SF_Output!$AC$1:$AC$400,_xlfn.TEXTJOIN(",",TRUE,B169:E169),SF_Output!$Q$1:$Q$400,"yearly")+SUMIFS(SF_Output!$S$1:$S$400,SF_Output!$AC$1:$AC$400,_xlfn.TEXTJOIN(",",TRUE,B169:E169),SF_Output!$Q$1:$Q$400,"quarterly")*4)</f>
        <v>4940</v>
      </c>
      <c r="S169" s="112">
        <f>IF(OR(B169=0,B169="",G169="hardware",R169=0),"",IF(AF169&lt;&gt;"exclusion",MAX(S$9,-(SUMIFS(SF_Output!$T$1:$T$400,SF_Output!$AC$1:$AC$400,_xlfn.TEXTJOIN(",",TRUE,$B169:$E169),SF_Output!$Q$1:$Q$400,"yearly"))/R169),-((SUMIFS(SF_Output!$T$1:$T$400,SF_Output!$AC$1:$AC$400,_xlfn.TEXTJOIN(",",TRUE,$B169:$E169),SF_Output!$Q$1:$Q$400,"yearly")/R169))))</f>
        <v>0</v>
      </c>
      <c r="T169" s="6">
        <f t="shared" si="11"/>
        <v>4940</v>
      </c>
      <c r="V169" s="6" cm="1">
        <f t="array" ref="V169">_xlfn.IFS(B169="","",AND(B169&lt;&gt;"",H169=SF_Output!$Y$2,SUMIFS(SF_Output!$T$1:$T$400,SF_Output!$AC$1:$AC$400,_xlfn.TEXTJOIN(",",TRUE,B169:E169),SF_Output!$Q$1:$Q$400,"monthly")=0),(SUMIFS(SF_Output!$F$1:$F$400,SF_Output!$AC$1:$AC$400,_xlfn.TEXTJOIN(",",TRUE,B169:E169),SF_Output!$Q$1:$Q$400,"monthly")+SUMIFS(SF_Output!$G$1:$G$400,SF_Output!$AC$1:$AC$400,_xlfn.TEXTJOIN(",",TRUE,B169:E169),SF_Output!$Q$1:$Q$400,"monthly"))*H169,AND(B169&lt;&gt;"",H169=SF_Output!$Y$2,SUMIFS(SF_Output!$T$1:$T$400,SF_Output!$AC$1:$AC$400,_xlfn.TEXTJOIN(",",TRUE,B169:E169),SF_Output!$Q$1:$Q$400,"monthly")&lt;&gt;0),SUMIFS(SF_Output!$S$1:$S$400,SF_Output!$AC$1:$AC$400,_xlfn.TEXTJOIN(",",TRUE,B169:E169),SF_Output!$Q$1:$Q$400,"monthly"),AND(B169&lt;&gt;"",H169&lt;&gt;SF_Output!$Y$2),SUMIFS(SF_Output!$S$1:$S$400,SF_Output!$AC$1:$AC$400,_xlfn.TEXTJOIN(",",TRUE,B169:E169),SF_Output!$Q$1:$Q$400,"monthly"))</f>
        <v>0</v>
      </c>
      <c r="W169" s="112" t="str" cm="1">
        <f t="array" ref="W169">_xlfn.IFS(OR(B169=0,B169="",V169=0),"",AF169&lt;&gt;"exclusion",MAX($W$9,$W$7,(-(SUMIFS(SF_Output!$T$1:$T$400,SF_Output!$AC$1:$AC$400,_xlfn.TEXTJOIN(",",TRUE,$B169:$E169),SF_Output!$Q$1:$Q$400,"monthly"))/V169)),AF169="exclusion",-(SUMIFS(SF_Output!$T$1:$T$400,SF_Output!$AC$1:$AC$400,_xlfn.TEXTJOIN(",",TRUE,$B169:$E169),SF_Output!$Q$1:$Q$400,"monthly"))/V169)</f>
        <v/>
      </c>
      <c r="X169" s="6" cm="1">
        <f t="array" ref="X169">IFERROR(_xlfn.IFS(V169=0,0,V169="","",W169=0,V169,OR(V169&lt;&gt;0,V169&lt;&gt;""),H169*I169),V169*(1-W169))</f>
        <v>0</v>
      </c>
    </row>
    <row r="170" spans="2:24" x14ac:dyDescent="0.25">
      <c r="B170" t="s">
        <v>1434</v>
      </c>
      <c r="C170" t="s">
        <v>2122</v>
      </c>
      <c r="D170" t="s">
        <v>2123</v>
      </c>
      <c r="E170" t="s">
        <v>2124</v>
      </c>
      <c r="F170" s="116" t="str">
        <f t="shared" si="8"/>
        <v>Included</v>
      </c>
      <c r="G170" t="str">
        <f>IF(B170="","",INDEX(SF_Output!$K$1:$K$400,MATCH(B170,SF_Output!$M$1:$M$400,0)))</f>
        <v>SilverLake</v>
      </c>
      <c r="H170" cm="1">
        <f t="array" ref="H170">_xlfn.IFS(B170="","",(SUMIFS(SF_Output!$F$1:$F$400,SF_Output!$AC$1:$AC$400,_xlfn.TEXTJOIN(",",TRUE,B170:E170))+SUMIFS(SF_Output!$G$1:$G$400,SF_Output!$AC$1:$AC$400,_xlfn.TEXTJOIN(",",TRUE,B170:E170)))&lt;&gt;0,SF_Output!$Y$2,INDEX(SF_Output!$F$1:$F$400,MATCH(_xlfn.TEXTJOIN(",",TRUE,B170:E170),SF_Output!$AC$1:$AC$400,0))=0,INDEX(SF_Output!$R$1:$R$400,MATCH(_xlfn.TEXTJOIN(",",TRUE,B170:E170),SF_Output!$AC$1:$AC$400,0)))</f>
        <v>1</v>
      </c>
      <c r="I170" s="125" t="str">
        <f>IFERROR(IF(AND(H170&gt;1,H170&lt;&gt;""),ROUND(SUMIFS(SF_Output!$S$1:$S$400,SF_Output!$AC$1:$AC$400,_xlfn.TEXTJOIN(",",TRUE,B170:E170),SF_Output!$Q$1:$Q$400,"monthly")*(1-W170)/H170,4),""),"")</f>
        <v/>
      </c>
      <c r="J170" s="6">
        <f>IF(B170="","",SUMIFS(SF_Output!$S$1:$S$400,SF_Output!$AC$1:$AC$400,_xlfn.TEXTJOIN(",",TRUE,B170:E170),SF_Output!$Q$1:$Q$400,"One Time",SF_Output!$L$1:$L$400,"license fee")+SUMIFS(SF_Output!$S$1:$S$400,SF_Output!$AC$1:$AC$400,_xlfn.TEXTJOIN(",",TRUE,B170:E170),SF_Output!$Q$1:$Q$400,"One Time",SF_Output!$L$1:$L$400,"software license")+SUMIFS(SF_Output!$S$1:$S$400,SF_Output!$AC$1:$AC$400,_xlfn.TEXTJOIN(",",TRUE,B170:E170),SF_Output!$Q$1:$Q$400,"One Time",SF_Output!$L$1:$L$400,"hardware"))</f>
        <v>0</v>
      </c>
      <c r="K170" s="112" t="str">
        <f>IF(OR(B170=0,B170="",G170="hardware",J170=0),"",IF(AF170&lt;&gt;"exclusion",MAX(K$9,-((SUMIFS(SF_Output!$T$1:$T$400,SF_Output!$AC$1:$AC$400,_xlfn.TEXTJOIN(",",TRUE,$B170:$E170),SF_Output!$Q$1:$Q$400,"One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license"))/J170)))</f>
        <v/>
      </c>
      <c r="L170" s="6">
        <f t="shared" si="9"/>
        <v>0</v>
      </c>
      <c r="N170" s="6">
        <f>IF(B170="","",SUMIFS(SF_Output!$S$1:$S$400,SF_Output!$AC$1:$AC$400,_xlfn.TEXTJOIN(",",TRUE,B170:E170),SF_Output!$Q$1:$Q$400,"One Time",SF_Output!$L$1:$L$400,"professional service"))</f>
        <v>30000</v>
      </c>
      <c r="O170" s="112">
        <f>IF(OR(B170=0,B170="",N170=0),"",IF(AF170&lt;&gt;"exclusion",MAX(O$9,-(SUMIFS(SF_Output!$T$1:$T$400,SF_Output!$AC$1:$AC$400,_xlfn.TEXTJOIN(",",TRUE,$B170:$E170),SF_Output!$Q$1:$Q$400,"One Time",SF_Output!$L$1:$L$400,"professional service"))/N170),-((SUMIFS(SF_Output!$T$1:$T$400,SF_Output!$AC$1:$AC$400,_xlfn.TEXTJOIN(",",TRUE,$B170:$E170),SF_Output!$Q$1:$Q$400,"One Time",SF_Output!$L$1:$L$400,"professional service")/N170))))</f>
        <v>0</v>
      </c>
      <c r="P170" s="6">
        <f t="shared" si="10"/>
        <v>30000</v>
      </c>
      <c r="R170" s="6">
        <f>IF(B170="","",SUMIFS(SF_Output!$S$1:$S$400,SF_Output!$AC$1:$AC$400,_xlfn.TEXTJOIN(",",TRUE,B170:E170),SF_Output!$Q$1:$Q$400,"yearly")+SUMIFS(SF_Output!$S$1:$S$400,SF_Output!$AC$1:$AC$400,_xlfn.TEXTJOIN(",",TRUE,B170:E170),SF_Output!$Q$1:$Q$400,"quarterly")*4)</f>
        <v>0</v>
      </c>
      <c r="S170" s="112" t="str">
        <f>IF(OR(B170=0,B170="",G170="hardware",R170=0),"",IF(AF170&lt;&gt;"exclusion",MAX(S$9,-(SUMIFS(SF_Output!$T$1:$T$400,SF_Output!$AC$1:$AC$400,_xlfn.TEXTJOIN(",",TRUE,$B170:$E170),SF_Output!$Q$1:$Q$400,"yearly"))/R170),-((SUMIFS(SF_Output!$T$1:$T$400,SF_Output!$AC$1:$AC$400,_xlfn.TEXTJOIN(",",TRUE,$B170:$E170),SF_Output!$Q$1:$Q$400,"yearly")/R170))))</f>
        <v/>
      </c>
      <c r="T170" s="6">
        <f t="shared" si="11"/>
        <v>0</v>
      </c>
      <c r="V170" s="6" cm="1">
        <f t="array" ref="V170">_xlfn.IFS(B170="","",AND(B170&lt;&gt;"",H170=SF_Output!$Y$2,SUMIFS(SF_Output!$T$1:$T$400,SF_Output!$AC$1:$AC$400,_xlfn.TEXTJOIN(",",TRUE,B170:E170),SF_Output!$Q$1:$Q$400,"monthly")=0),(SUMIFS(SF_Output!$F$1:$F$400,SF_Output!$AC$1:$AC$400,_xlfn.TEXTJOIN(",",TRUE,B170:E170),SF_Output!$Q$1:$Q$400,"monthly")+SUMIFS(SF_Output!$G$1:$G$400,SF_Output!$AC$1:$AC$400,_xlfn.TEXTJOIN(",",TRUE,B170:E170),SF_Output!$Q$1:$Q$400,"monthly"))*H170,AND(B170&lt;&gt;"",H170=SF_Output!$Y$2,SUMIFS(SF_Output!$T$1:$T$400,SF_Output!$AC$1:$AC$400,_xlfn.TEXTJOIN(",",TRUE,B170:E170),SF_Output!$Q$1:$Q$400,"monthly")&lt;&gt;0),SUMIFS(SF_Output!$S$1:$S$400,SF_Output!$AC$1:$AC$400,_xlfn.TEXTJOIN(",",TRUE,B170:E170),SF_Output!$Q$1:$Q$400,"monthly"),AND(B170&lt;&gt;"",H170&lt;&gt;SF_Output!$Y$2),SUMIFS(SF_Output!$S$1:$S$400,SF_Output!$AC$1:$AC$400,_xlfn.TEXTJOIN(",",TRUE,B170:E170),SF_Output!$Q$1:$Q$400,"monthly"))</f>
        <v>0</v>
      </c>
      <c r="W170" s="112" t="str" cm="1">
        <f t="array" ref="W170">_xlfn.IFS(OR(B170=0,B170="",V170=0),"",AF170&lt;&gt;"exclusion",MAX($W$9,$W$7,(-(SUMIFS(SF_Output!$T$1:$T$400,SF_Output!$AC$1:$AC$400,_xlfn.TEXTJOIN(",",TRUE,$B170:$E170),SF_Output!$Q$1:$Q$400,"monthly"))/V170)),AF170="exclusion",-(SUMIFS(SF_Output!$T$1:$T$400,SF_Output!$AC$1:$AC$400,_xlfn.TEXTJOIN(",",TRUE,$B170:$E170),SF_Output!$Q$1:$Q$400,"monthly"))/V170)</f>
        <v/>
      </c>
      <c r="X170" s="6" cm="1">
        <f t="array" ref="X170">IFERROR(_xlfn.IFS(V170=0,0,V170="","",W170=0,V170,OR(V170&lt;&gt;0,V170&lt;&gt;""),H170*I170),V170*(1-W170))</f>
        <v>0</v>
      </c>
    </row>
    <row r="171" spans="2:24" x14ac:dyDescent="0.25">
      <c r="B171" t="s">
        <v>2147</v>
      </c>
      <c r="C171" t="s">
        <v>2122</v>
      </c>
      <c r="D171" t="s">
        <v>2123</v>
      </c>
      <c r="E171" t="s">
        <v>2124</v>
      </c>
      <c r="F171" s="116" t="str">
        <f t="shared" si="8"/>
        <v>Included</v>
      </c>
      <c r="G171" t="str">
        <f>IF(B171="","",INDEX(SF_Output!$K$1:$K$400,MATCH(B171,SF_Output!$M$1:$M$400,0)))</f>
        <v>SilverLake</v>
      </c>
      <c r="H171" cm="1">
        <f t="array" ref="H171">_xlfn.IFS(B171="","",(SUMIFS(SF_Output!$F$1:$F$400,SF_Output!$AC$1:$AC$400,_xlfn.TEXTJOIN(",",TRUE,B171:E171))+SUMIFS(SF_Output!$G$1:$G$400,SF_Output!$AC$1:$AC$400,_xlfn.TEXTJOIN(",",TRUE,B171:E171)))&lt;&gt;0,SF_Output!$Y$2,INDEX(SF_Output!$F$1:$F$400,MATCH(_xlfn.TEXTJOIN(",",TRUE,B171:E171),SF_Output!$AC$1:$AC$400,0))=0,INDEX(SF_Output!$R$1:$R$400,MATCH(_xlfn.TEXTJOIN(",",TRUE,B171:E171),SF_Output!$AC$1:$AC$400,0)))</f>
        <v>1</v>
      </c>
      <c r="I171" s="125" t="str">
        <f>IFERROR(IF(AND(H171&gt;1,H171&lt;&gt;""),ROUND(SUMIFS(SF_Output!$S$1:$S$400,SF_Output!$AC$1:$AC$400,_xlfn.TEXTJOIN(",",TRUE,B171:E171),SF_Output!$Q$1:$Q$400,"monthly")*(1-W171)/H171,4),""),"")</f>
        <v/>
      </c>
      <c r="J171" s="6">
        <f>IF(B171="","",SUMIFS(SF_Output!$S$1:$S$400,SF_Output!$AC$1:$AC$400,_xlfn.TEXTJOIN(",",TRUE,B171:E171),SF_Output!$Q$1:$Q$400,"One Time",SF_Output!$L$1:$L$400,"license fee")+SUMIFS(SF_Output!$S$1:$S$400,SF_Output!$AC$1:$AC$400,_xlfn.TEXTJOIN(",",TRUE,B171:E171),SF_Output!$Q$1:$Q$400,"One Time",SF_Output!$L$1:$L$400,"software license")+SUMIFS(SF_Output!$S$1:$S$400,SF_Output!$AC$1:$AC$400,_xlfn.TEXTJOIN(",",TRUE,B171:E171),SF_Output!$Q$1:$Q$400,"One Time",SF_Output!$L$1:$L$400,"hardware"))</f>
        <v>0</v>
      </c>
      <c r="K171" s="112" t="str">
        <f>IF(OR(B171=0,B171="",G171="hardware",J171=0),"",IF(AF171&lt;&gt;"exclusion",MAX(K$9,-((SUMIFS(SF_Output!$T$1:$T$400,SF_Output!$AC$1:$AC$400,_xlfn.TEXTJOIN(",",TRUE,$B171:$E171),SF_Output!$Q$1:$Q$400,"One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license"))/J171)))</f>
        <v/>
      </c>
      <c r="L171" s="6">
        <f t="shared" si="9"/>
        <v>0</v>
      </c>
      <c r="N171" s="6">
        <f>IF(B171="","",SUMIFS(SF_Output!$S$1:$S$400,SF_Output!$AC$1:$AC$400,_xlfn.TEXTJOIN(",",TRUE,B171:E171),SF_Output!$Q$1:$Q$400,"One Time",SF_Output!$L$1:$L$400,"professional service"))</f>
        <v>5000</v>
      </c>
      <c r="O171" s="112">
        <f>IF(OR(B171=0,B171="",N171=0),"",IF(AF171&lt;&gt;"exclusion",MAX(O$9,-(SUMIFS(SF_Output!$T$1:$T$400,SF_Output!$AC$1:$AC$400,_xlfn.TEXTJOIN(",",TRUE,$B171:$E171),SF_Output!$Q$1:$Q$400,"One Time",SF_Output!$L$1:$L$400,"professional service"))/N171),-((SUMIFS(SF_Output!$T$1:$T$400,SF_Output!$AC$1:$AC$400,_xlfn.TEXTJOIN(",",TRUE,$B171:$E171),SF_Output!$Q$1:$Q$400,"One Time",SF_Output!$L$1:$L$400,"professional service")/N171))))</f>
        <v>0</v>
      </c>
      <c r="P171" s="6">
        <f t="shared" si="10"/>
        <v>5000</v>
      </c>
      <c r="R171" s="6">
        <f>IF(B171="","",SUMIFS(SF_Output!$S$1:$S$400,SF_Output!$AC$1:$AC$400,_xlfn.TEXTJOIN(",",TRUE,B171:E171),SF_Output!$Q$1:$Q$400,"yearly")+SUMIFS(SF_Output!$S$1:$S$400,SF_Output!$AC$1:$AC$400,_xlfn.TEXTJOIN(",",TRUE,B171:E171),SF_Output!$Q$1:$Q$400,"quarterly")*4)</f>
        <v>0</v>
      </c>
      <c r="S171" s="112" t="str">
        <f>IF(OR(B171=0,B171="",G171="hardware",R171=0),"",IF(AF171&lt;&gt;"exclusion",MAX(S$9,-(SUMIFS(SF_Output!$T$1:$T$400,SF_Output!$AC$1:$AC$400,_xlfn.TEXTJOIN(",",TRUE,$B171:$E171),SF_Output!$Q$1:$Q$400,"yearly"))/R171),-((SUMIFS(SF_Output!$T$1:$T$400,SF_Output!$AC$1:$AC$400,_xlfn.TEXTJOIN(",",TRUE,$B171:$E171),SF_Output!$Q$1:$Q$400,"yearly")/R171))))</f>
        <v/>
      </c>
      <c r="T171" s="6">
        <f t="shared" si="11"/>
        <v>0</v>
      </c>
      <c r="V171" s="6" cm="1">
        <f t="array" ref="V171">_xlfn.IFS(B171="","",AND(B171&lt;&gt;"",H171=SF_Output!$Y$2,SUMIFS(SF_Output!$T$1:$T$400,SF_Output!$AC$1:$AC$400,_xlfn.TEXTJOIN(",",TRUE,B171:E171),SF_Output!$Q$1:$Q$400,"monthly")=0),(SUMIFS(SF_Output!$F$1:$F$400,SF_Output!$AC$1:$AC$400,_xlfn.TEXTJOIN(",",TRUE,B171:E171),SF_Output!$Q$1:$Q$400,"monthly")+SUMIFS(SF_Output!$G$1:$G$400,SF_Output!$AC$1:$AC$400,_xlfn.TEXTJOIN(",",TRUE,B171:E171),SF_Output!$Q$1:$Q$400,"monthly"))*H171,AND(B171&lt;&gt;"",H171=SF_Output!$Y$2,SUMIFS(SF_Output!$T$1:$T$400,SF_Output!$AC$1:$AC$400,_xlfn.TEXTJOIN(",",TRUE,B171:E171),SF_Output!$Q$1:$Q$400,"monthly")&lt;&gt;0),SUMIFS(SF_Output!$S$1:$S$400,SF_Output!$AC$1:$AC$400,_xlfn.TEXTJOIN(",",TRUE,B171:E171),SF_Output!$Q$1:$Q$400,"monthly"),AND(B171&lt;&gt;"",H171&lt;&gt;SF_Output!$Y$2),SUMIFS(SF_Output!$S$1:$S$400,SF_Output!$AC$1:$AC$400,_xlfn.TEXTJOIN(",",TRUE,B171:E171),SF_Output!$Q$1:$Q$400,"monthly"))</f>
        <v>0</v>
      </c>
      <c r="W171" s="112" t="str" cm="1">
        <f t="array" ref="W171">_xlfn.IFS(OR(B171=0,B171="",V171=0),"",AF171&lt;&gt;"exclusion",MAX($W$9,$W$7,(-(SUMIFS(SF_Output!$T$1:$T$400,SF_Output!$AC$1:$AC$400,_xlfn.TEXTJOIN(",",TRUE,$B171:$E171),SF_Output!$Q$1:$Q$400,"monthly"))/V171)),AF171="exclusion",-(SUMIFS(SF_Output!$T$1:$T$400,SF_Output!$AC$1:$AC$400,_xlfn.TEXTJOIN(",",TRUE,$B171:$E171),SF_Output!$Q$1:$Q$400,"monthly"))/V171)</f>
        <v/>
      </c>
      <c r="X171" s="6" cm="1">
        <f t="array" ref="X171">IFERROR(_xlfn.IFS(V171=0,0,V171="","",W171=0,V171,OR(V171&lt;&gt;0,V171&lt;&gt;""),H171*I171),V171*(1-W171))</f>
        <v>0</v>
      </c>
    </row>
    <row r="172" spans="2:24" x14ac:dyDescent="0.25">
      <c r="B172" t="s">
        <v>1758</v>
      </c>
      <c r="C172" t="s">
        <v>2122</v>
      </c>
      <c r="D172" t="s">
        <v>2123</v>
      </c>
      <c r="E172" t="s">
        <v>2124</v>
      </c>
      <c r="F172" s="116" t="str">
        <f t="shared" si="8"/>
        <v>Included</v>
      </c>
      <c r="G172" t="str">
        <f>IF(B172="","",INDEX(SF_Output!$K$1:$K$400,MATCH(B172,SF_Output!$M$1:$M$400,0)))</f>
        <v>SilverLake</v>
      </c>
      <c r="H172" cm="1">
        <f t="array" ref="H172">_xlfn.IFS(B172="","",(SUMIFS(SF_Output!$F$1:$F$400,SF_Output!$AC$1:$AC$400,_xlfn.TEXTJOIN(",",TRUE,B172:E172))+SUMIFS(SF_Output!$G$1:$G$400,SF_Output!$AC$1:$AC$400,_xlfn.TEXTJOIN(",",TRUE,B172:E172)))&lt;&gt;0,SF_Output!$Y$2,INDEX(SF_Output!$F$1:$F$400,MATCH(_xlfn.TEXTJOIN(",",TRUE,B172:E172),SF_Output!$AC$1:$AC$400,0))=0,INDEX(SF_Output!$R$1:$R$400,MATCH(_xlfn.TEXTJOIN(",",TRUE,B172:E172),SF_Output!$AC$1:$AC$400,0)))</f>
        <v>1</v>
      </c>
      <c r="I172" s="125" t="str">
        <f>IFERROR(IF(AND(H172&gt;1,H172&lt;&gt;""),ROUND(SUMIFS(SF_Output!$S$1:$S$400,SF_Output!$AC$1:$AC$400,_xlfn.TEXTJOIN(",",TRUE,B172:E172),SF_Output!$Q$1:$Q$400,"monthly")*(1-W172)/H172,4),""),"")</f>
        <v/>
      </c>
      <c r="J172" s="6">
        <f>IF(B172="","",SUMIFS(SF_Output!$S$1:$S$400,SF_Output!$AC$1:$AC$400,_xlfn.TEXTJOIN(",",TRUE,B172:E172),SF_Output!$Q$1:$Q$400,"One Time",SF_Output!$L$1:$L$400,"license fee")+SUMIFS(SF_Output!$S$1:$S$400,SF_Output!$AC$1:$AC$400,_xlfn.TEXTJOIN(",",TRUE,B172:E172),SF_Output!$Q$1:$Q$400,"One Time",SF_Output!$L$1:$L$400,"software license")+SUMIFS(SF_Output!$S$1:$S$400,SF_Output!$AC$1:$AC$400,_xlfn.TEXTJOIN(",",TRUE,B172:E172),SF_Output!$Q$1:$Q$400,"One Time",SF_Output!$L$1:$L$400,"hardware"))</f>
        <v>0</v>
      </c>
      <c r="K172" s="112" t="str">
        <f>IF(OR(B172=0,B172="",G172="hardware",J172=0),"",IF(AF172&lt;&gt;"exclusion",MAX(K$9,-((SUMIFS(SF_Output!$T$1:$T$400,SF_Output!$AC$1:$AC$400,_xlfn.TEXTJOIN(",",TRUE,$B172:$E172),SF_Output!$Q$1:$Q$400,"One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license"))/J172)))</f>
        <v/>
      </c>
      <c r="L172" s="6">
        <f t="shared" si="9"/>
        <v>0</v>
      </c>
      <c r="N172" s="6">
        <f>IF(B172="","",SUMIFS(SF_Output!$S$1:$S$400,SF_Output!$AC$1:$AC$400,_xlfn.TEXTJOIN(",",TRUE,B172:E172),SF_Output!$Q$1:$Q$400,"One Time",SF_Output!$L$1:$L$400,"professional service"))</f>
        <v>10000</v>
      </c>
      <c r="O172" s="112">
        <f>IF(OR(B172=0,B172="",N172=0),"",IF(AF172&lt;&gt;"exclusion",MAX(O$9,-(SUMIFS(SF_Output!$T$1:$T$400,SF_Output!$AC$1:$AC$400,_xlfn.TEXTJOIN(",",TRUE,$B172:$E172),SF_Output!$Q$1:$Q$400,"One Time",SF_Output!$L$1:$L$400,"professional service"))/N172),-((SUMIFS(SF_Output!$T$1:$T$400,SF_Output!$AC$1:$AC$400,_xlfn.TEXTJOIN(",",TRUE,$B172:$E172),SF_Output!$Q$1:$Q$400,"One Time",SF_Output!$L$1:$L$400,"professional service")/N172))))</f>
        <v>0</v>
      </c>
      <c r="P172" s="6">
        <f t="shared" si="10"/>
        <v>10000</v>
      </c>
      <c r="R172" s="6">
        <f>IF(B172="","",SUMIFS(SF_Output!$S$1:$S$400,SF_Output!$AC$1:$AC$400,_xlfn.TEXTJOIN(",",TRUE,B172:E172),SF_Output!$Q$1:$Q$400,"yearly")+SUMIFS(SF_Output!$S$1:$S$400,SF_Output!$AC$1:$AC$400,_xlfn.TEXTJOIN(",",TRUE,B172:E172),SF_Output!$Q$1:$Q$400,"quarterly")*4)</f>
        <v>0</v>
      </c>
      <c r="S172" s="112" t="str">
        <f>IF(OR(B172=0,B172="",G172="hardware",R172=0),"",IF(AF172&lt;&gt;"exclusion",MAX(S$9,-(SUMIFS(SF_Output!$T$1:$T$400,SF_Output!$AC$1:$AC$400,_xlfn.TEXTJOIN(",",TRUE,$B172:$E172),SF_Output!$Q$1:$Q$400,"yearly"))/R172),-((SUMIFS(SF_Output!$T$1:$T$400,SF_Output!$AC$1:$AC$400,_xlfn.TEXTJOIN(",",TRUE,$B172:$E172),SF_Output!$Q$1:$Q$400,"yearly")/R172))))</f>
        <v/>
      </c>
      <c r="T172" s="6">
        <f t="shared" si="11"/>
        <v>0</v>
      </c>
      <c r="V172" s="6" cm="1">
        <f t="array" ref="V172">_xlfn.IFS(B172="","",AND(B172&lt;&gt;"",H172=SF_Output!$Y$2,SUMIFS(SF_Output!$T$1:$T$400,SF_Output!$AC$1:$AC$400,_xlfn.TEXTJOIN(",",TRUE,B172:E172),SF_Output!$Q$1:$Q$400,"monthly")=0),(SUMIFS(SF_Output!$F$1:$F$400,SF_Output!$AC$1:$AC$400,_xlfn.TEXTJOIN(",",TRUE,B172:E172),SF_Output!$Q$1:$Q$400,"monthly")+SUMIFS(SF_Output!$G$1:$G$400,SF_Output!$AC$1:$AC$400,_xlfn.TEXTJOIN(",",TRUE,B172:E172),SF_Output!$Q$1:$Q$400,"monthly"))*H172,AND(B172&lt;&gt;"",H172=SF_Output!$Y$2,SUMIFS(SF_Output!$T$1:$T$400,SF_Output!$AC$1:$AC$400,_xlfn.TEXTJOIN(",",TRUE,B172:E172),SF_Output!$Q$1:$Q$400,"monthly")&lt;&gt;0),SUMIFS(SF_Output!$S$1:$S$400,SF_Output!$AC$1:$AC$400,_xlfn.TEXTJOIN(",",TRUE,B172:E172),SF_Output!$Q$1:$Q$400,"monthly"),AND(B172&lt;&gt;"",H172&lt;&gt;SF_Output!$Y$2),SUMIFS(SF_Output!$S$1:$S$400,SF_Output!$AC$1:$AC$400,_xlfn.TEXTJOIN(",",TRUE,B172:E172),SF_Output!$Q$1:$Q$400,"monthly"))</f>
        <v>0</v>
      </c>
      <c r="W172" s="112" t="str" cm="1">
        <f t="array" ref="W172">_xlfn.IFS(OR(B172=0,B172="",V172=0),"",AF172&lt;&gt;"exclusion",MAX($W$9,$W$7,(-(SUMIFS(SF_Output!$T$1:$T$400,SF_Output!$AC$1:$AC$400,_xlfn.TEXTJOIN(",",TRUE,$B172:$E172),SF_Output!$Q$1:$Q$400,"monthly"))/V172)),AF172="exclusion",-(SUMIFS(SF_Output!$T$1:$T$400,SF_Output!$AC$1:$AC$400,_xlfn.TEXTJOIN(",",TRUE,$B172:$E172),SF_Output!$Q$1:$Q$400,"monthly"))/V172)</f>
        <v/>
      </c>
      <c r="X172" s="6" cm="1">
        <f t="array" ref="X172">IFERROR(_xlfn.IFS(V172=0,0,V172="","",W172=0,V172,OR(V172&lt;&gt;0,V172&lt;&gt;""),H172*I172),V172*(1-W172))</f>
        <v>0</v>
      </c>
    </row>
    <row r="173" spans="2:24" x14ac:dyDescent="0.25">
      <c r="B173" t="s">
        <v>2212</v>
      </c>
      <c r="C173" t="s">
        <v>2122</v>
      </c>
      <c r="D173" t="s">
        <v>2207</v>
      </c>
      <c r="E173" t="s">
        <v>2150</v>
      </c>
      <c r="F173" s="116" t="str">
        <f t="shared" si="8"/>
        <v>Optional</v>
      </c>
      <c r="G173" t="str">
        <f>IF(B173="","",INDEX(SF_Output!$K$1:$K$400,MATCH(B173,SF_Output!$M$1:$M$400,0)))</f>
        <v>Core</v>
      </c>
      <c r="H173" cm="1">
        <f t="array" ref="H173">_xlfn.IFS(B173="","",(SUMIFS(SF_Output!$F$1:$F$400,SF_Output!$AC$1:$AC$400,_xlfn.TEXTJOIN(",",TRUE,B173:E173))+SUMIFS(SF_Output!$G$1:$G$400,SF_Output!$AC$1:$AC$400,_xlfn.TEXTJOIN(",",TRUE,B173:E173)))&lt;&gt;0,SF_Output!$Y$2,INDEX(SF_Output!$F$1:$F$400,MATCH(_xlfn.TEXTJOIN(",",TRUE,B173:E173),SF_Output!$AC$1:$AC$400,0))=0,INDEX(SF_Output!$R$1:$R$400,MATCH(_xlfn.TEXTJOIN(",",TRUE,B173:E173),SF_Output!$AC$1:$AC$400,0)))</f>
        <v>1</v>
      </c>
      <c r="I173" s="125" t="str">
        <f>IFERROR(IF(AND(H173&gt;1,H173&lt;&gt;""),ROUND(SUMIFS(SF_Output!$S$1:$S$400,SF_Output!$AC$1:$AC$400,_xlfn.TEXTJOIN(",",TRUE,B173:E173),SF_Output!$Q$1:$Q$400,"monthly")*(1-W173)/H173,4),""),"")</f>
        <v/>
      </c>
      <c r="J173" s="6">
        <f>IF(B173="","",SUMIFS(SF_Output!$S$1:$S$400,SF_Output!$AC$1:$AC$400,_xlfn.TEXTJOIN(",",TRUE,B173:E173),SF_Output!$Q$1:$Q$400,"One Time",SF_Output!$L$1:$L$400,"license fee")+SUMIFS(SF_Output!$S$1:$S$400,SF_Output!$AC$1:$AC$400,_xlfn.TEXTJOIN(",",TRUE,B173:E173),SF_Output!$Q$1:$Q$400,"One Time",SF_Output!$L$1:$L$400,"software license")+SUMIFS(SF_Output!$S$1:$S$400,SF_Output!$AC$1:$AC$400,_xlfn.TEXTJOIN(",",TRUE,B173:E173),SF_Output!$Q$1:$Q$400,"One Time",SF_Output!$L$1:$L$400,"hardware"))</f>
        <v>0</v>
      </c>
      <c r="K173" s="112" t="str">
        <f>IF(OR(B173=0,B173="",G173="hardware",J173=0),"",IF(AF173&lt;&gt;"exclusion",MAX(K$9,-((SUMIFS(SF_Output!$T$1:$T$400,SF_Output!$AC$1:$AC$400,_xlfn.TEXTJOIN(",",TRUE,$B173:$E173),SF_Output!$Q$1:$Q$400,"One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license"))/J173)))</f>
        <v/>
      </c>
      <c r="L173" s="6">
        <f t="shared" si="9"/>
        <v>0</v>
      </c>
      <c r="N173" s="6">
        <f>IF(B173="","",SUMIFS(SF_Output!$S$1:$S$400,SF_Output!$AC$1:$AC$400,_xlfn.TEXTJOIN(",",TRUE,B173:E173),SF_Output!$Q$1:$Q$400,"One Time",SF_Output!$L$1:$L$400,"professional service"))</f>
        <v>18000</v>
      </c>
      <c r="O173" s="112">
        <f>IF(OR(B173=0,B173="",N173=0),"",IF(AF173&lt;&gt;"exclusion",MAX(O$9,-(SUMIFS(SF_Output!$T$1:$T$400,SF_Output!$AC$1:$AC$400,_xlfn.TEXTJOIN(",",TRUE,$B173:$E173),SF_Output!$Q$1:$Q$400,"One Time",SF_Output!$L$1:$L$400,"professional service"))/N173),-((SUMIFS(SF_Output!$T$1:$T$400,SF_Output!$AC$1:$AC$400,_xlfn.TEXTJOIN(",",TRUE,$B173:$E173),SF_Output!$Q$1:$Q$400,"One Time",SF_Output!$L$1:$L$400,"professional service")/N173))))</f>
        <v>0</v>
      </c>
      <c r="P173" s="6">
        <f t="shared" si="10"/>
        <v>18000</v>
      </c>
      <c r="R173" s="6">
        <f>IF(B173="","",SUMIFS(SF_Output!$S$1:$S$400,SF_Output!$AC$1:$AC$400,_xlfn.TEXTJOIN(",",TRUE,B173:E173),SF_Output!$Q$1:$Q$400,"yearly")+SUMIFS(SF_Output!$S$1:$S$400,SF_Output!$AC$1:$AC$400,_xlfn.TEXTJOIN(",",TRUE,B173:E173),SF_Output!$Q$1:$Q$400,"quarterly")*4)</f>
        <v>0</v>
      </c>
      <c r="S173" s="112" t="str">
        <f>IF(OR(B173=0,B173="",G173="hardware",R173=0),"",IF(AF173&lt;&gt;"exclusion",MAX(S$9,-(SUMIFS(SF_Output!$T$1:$T$400,SF_Output!$AC$1:$AC$400,_xlfn.TEXTJOIN(",",TRUE,$B173:$E173),SF_Output!$Q$1:$Q$400,"yearly"))/R173),-((SUMIFS(SF_Output!$T$1:$T$400,SF_Output!$AC$1:$AC$400,_xlfn.TEXTJOIN(",",TRUE,$B173:$E173),SF_Output!$Q$1:$Q$400,"yearly")/R173))))</f>
        <v/>
      </c>
      <c r="T173" s="6">
        <f t="shared" si="11"/>
        <v>0</v>
      </c>
      <c r="V173" s="6" cm="1">
        <f t="array" ref="V173">_xlfn.IFS(B173="","",AND(B173&lt;&gt;"",H173=SF_Output!$Y$2,SUMIFS(SF_Output!$T$1:$T$400,SF_Output!$AC$1:$AC$400,_xlfn.TEXTJOIN(",",TRUE,B173:E173),SF_Output!$Q$1:$Q$400,"monthly")=0),(SUMIFS(SF_Output!$F$1:$F$400,SF_Output!$AC$1:$AC$400,_xlfn.TEXTJOIN(",",TRUE,B173:E173),SF_Output!$Q$1:$Q$400,"monthly")+SUMIFS(SF_Output!$G$1:$G$400,SF_Output!$AC$1:$AC$400,_xlfn.TEXTJOIN(",",TRUE,B173:E173),SF_Output!$Q$1:$Q$400,"monthly"))*H173,AND(B173&lt;&gt;"",H173=SF_Output!$Y$2,SUMIFS(SF_Output!$T$1:$T$400,SF_Output!$AC$1:$AC$400,_xlfn.TEXTJOIN(",",TRUE,B173:E173),SF_Output!$Q$1:$Q$400,"monthly")&lt;&gt;0),SUMIFS(SF_Output!$S$1:$S$400,SF_Output!$AC$1:$AC$400,_xlfn.TEXTJOIN(",",TRUE,B173:E173),SF_Output!$Q$1:$Q$400,"monthly"),AND(B173&lt;&gt;"",H173&lt;&gt;SF_Output!$Y$2),SUMIFS(SF_Output!$S$1:$S$400,SF_Output!$AC$1:$AC$400,_xlfn.TEXTJOIN(",",TRUE,B173:E173),SF_Output!$Q$1:$Q$400,"monthly"))</f>
        <v>0</v>
      </c>
      <c r="W173" s="112" t="str" cm="1">
        <f t="array" ref="W173">_xlfn.IFS(OR(B173=0,B173="",V173=0),"",AF173&lt;&gt;"exclusion",MAX($W$9,$W$7,(-(SUMIFS(SF_Output!$T$1:$T$400,SF_Output!$AC$1:$AC$400,_xlfn.TEXTJOIN(",",TRUE,$B173:$E173),SF_Output!$Q$1:$Q$400,"monthly"))/V173)),AF173="exclusion",-(SUMIFS(SF_Output!$T$1:$T$400,SF_Output!$AC$1:$AC$400,_xlfn.TEXTJOIN(",",TRUE,$B173:$E173),SF_Output!$Q$1:$Q$400,"monthly"))/V173)</f>
        <v/>
      </c>
      <c r="X173" s="6" cm="1">
        <f t="array" ref="X173">IFERROR(_xlfn.IFS(V173=0,0,V173="","",W173=0,V173,OR(V173&lt;&gt;0,V173&lt;&gt;""),H173*I173),V173*(1-W173))</f>
        <v>0</v>
      </c>
    </row>
    <row r="174" spans="2:24" x14ac:dyDescent="0.25">
      <c r="B174" t="s">
        <v>2215</v>
      </c>
      <c r="C174" t="s">
        <v>2122</v>
      </c>
      <c r="D174" t="s">
        <v>2207</v>
      </c>
      <c r="E174" t="s">
        <v>2150</v>
      </c>
      <c r="F174" s="116" t="str">
        <f t="shared" si="8"/>
        <v>Optional</v>
      </c>
      <c r="G174" t="str">
        <f>IF(B174="","",INDEX(SF_Output!$K$1:$K$400,MATCH(B174,SF_Output!$M$1:$M$400,0)))</f>
        <v>Core</v>
      </c>
      <c r="H174" cm="1">
        <f t="array" ref="H174">_xlfn.IFS(B174="","",(SUMIFS(SF_Output!$F$1:$F$400,SF_Output!$AC$1:$AC$400,_xlfn.TEXTJOIN(",",TRUE,B174:E174))+SUMIFS(SF_Output!$G$1:$G$400,SF_Output!$AC$1:$AC$400,_xlfn.TEXTJOIN(",",TRUE,B174:E174)))&lt;&gt;0,SF_Output!$Y$2,INDEX(SF_Output!$F$1:$F$400,MATCH(_xlfn.TEXTJOIN(",",TRUE,B174:E174),SF_Output!$AC$1:$AC$400,0))=0,INDEX(SF_Output!$R$1:$R$400,MATCH(_xlfn.TEXTJOIN(",",TRUE,B174:E174),SF_Output!$AC$1:$AC$400,0)))</f>
        <v>1</v>
      </c>
      <c r="I174" s="125" t="str">
        <f>IFERROR(IF(AND(H174&gt;1,H174&lt;&gt;""),ROUND(SUMIFS(SF_Output!$S$1:$S$400,SF_Output!$AC$1:$AC$400,_xlfn.TEXTJOIN(",",TRUE,B174:E174),SF_Output!$Q$1:$Q$400,"monthly")*(1-W174)/H174,4),""),"")</f>
        <v/>
      </c>
      <c r="J174" s="6">
        <f>IF(B174="","",SUMIFS(SF_Output!$S$1:$S$400,SF_Output!$AC$1:$AC$400,_xlfn.TEXTJOIN(",",TRUE,B174:E174),SF_Output!$Q$1:$Q$400,"One Time",SF_Output!$L$1:$L$400,"license fee")+SUMIFS(SF_Output!$S$1:$S$400,SF_Output!$AC$1:$AC$400,_xlfn.TEXTJOIN(",",TRUE,B174:E174),SF_Output!$Q$1:$Q$400,"One Time",SF_Output!$L$1:$L$400,"software license")+SUMIFS(SF_Output!$S$1:$S$400,SF_Output!$AC$1:$AC$400,_xlfn.TEXTJOIN(",",TRUE,B174:E174),SF_Output!$Q$1:$Q$400,"One Time",SF_Output!$L$1:$L$400,"hardware"))</f>
        <v>0</v>
      </c>
      <c r="K174" s="112" t="str">
        <f>IF(OR(B174=0,B174="",G174="hardware",J174=0),"",IF(AF174&lt;&gt;"exclusion",MAX(K$9,-((SUMIFS(SF_Output!$T$1:$T$400,SF_Output!$AC$1:$AC$400,_xlfn.TEXTJOIN(",",TRUE,$B174:$E174),SF_Output!$Q$1:$Q$400,"One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license"))/J174)))</f>
        <v/>
      </c>
      <c r="L174" s="6">
        <f t="shared" si="9"/>
        <v>0</v>
      </c>
      <c r="N174" s="6">
        <f>IF(B174="","",SUMIFS(SF_Output!$S$1:$S$400,SF_Output!$AC$1:$AC$400,_xlfn.TEXTJOIN(",",TRUE,B174:E174),SF_Output!$Q$1:$Q$400,"One Time",SF_Output!$L$1:$L$400,"professional service"))</f>
        <v>0</v>
      </c>
      <c r="O174" s="112" t="str">
        <f>IF(OR(B174=0,B174="",N174=0),"",IF(AF174&lt;&gt;"exclusion",MAX(O$9,-(SUMIFS(SF_Output!$T$1:$T$400,SF_Output!$AC$1:$AC$400,_xlfn.TEXTJOIN(",",TRUE,$B174:$E174),SF_Output!$Q$1:$Q$400,"One Time",SF_Output!$L$1:$L$400,"professional service"))/N174),-((SUMIFS(SF_Output!$T$1:$T$400,SF_Output!$AC$1:$AC$400,_xlfn.TEXTJOIN(",",TRUE,$B174:$E174),SF_Output!$Q$1:$Q$400,"One Time",SF_Output!$L$1:$L$400,"professional service")/N174))))</f>
        <v/>
      </c>
      <c r="P174" s="6">
        <f t="shared" si="10"/>
        <v>0</v>
      </c>
      <c r="R174" s="6">
        <f>IF(B174="","",SUMIFS(SF_Output!$S$1:$S$400,SF_Output!$AC$1:$AC$400,_xlfn.TEXTJOIN(",",TRUE,B174:E174),SF_Output!$Q$1:$Q$400,"yearly")+SUMIFS(SF_Output!$S$1:$S$400,SF_Output!$AC$1:$AC$400,_xlfn.TEXTJOIN(",",TRUE,B174:E174),SF_Output!$Q$1:$Q$400,"quarterly")*4)</f>
        <v>3500</v>
      </c>
      <c r="S174" s="112">
        <f>IF(OR(B174=0,B174="",G174="hardware",R174=0),"",IF(AF174&lt;&gt;"exclusion",MAX(S$9,-(SUMIFS(SF_Output!$T$1:$T$400,SF_Output!$AC$1:$AC$400,_xlfn.TEXTJOIN(",",TRUE,$B174:$E174),SF_Output!$Q$1:$Q$400,"yearly"))/R174),-((SUMIFS(SF_Output!$T$1:$T$400,SF_Output!$AC$1:$AC$400,_xlfn.TEXTJOIN(",",TRUE,$B174:$E174),SF_Output!$Q$1:$Q$400,"yearly")/R174))))</f>
        <v>0</v>
      </c>
      <c r="T174" s="6">
        <f t="shared" si="11"/>
        <v>3500</v>
      </c>
      <c r="V174" s="6" cm="1">
        <f t="array" ref="V174">_xlfn.IFS(B174="","",AND(B174&lt;&gt;"",H174=SF_Output!$Y$2,SUMIFS(SF_Output!$T$1:$T$400,SF_Output!$AC$1:$AC$400,_xlfn.TEXTJOIN(",",TRUE,B174:E174),SF_Output!$Q$1:$Q$400,"monthly")=0),(SUMIFS(SF_Output!$F$1:$F$400,SF_Output!$AC$1:$AC$400,_xlfn.TEXTJOIN(",",TRUE,B174:E174),SF_Output!$Q$1:$Q$400,"monthly")+SUMIFS(SF_Output!$G$1:$G$400,SF_Output!$AC$1:$AC$400,_xlfn.TEXTJOIN(",",TRUE,B174:E174),SF_Output!$Q$1:$Q$400,"monthly"))*H174,AND(B174&lt;&gt;"",H174=SF_Output!$Y$2,SUMIFS(SF_Output!$T$1:$T$400,SF_Output!$AC$1:$AC$400,_xlfn.TEXTJOIN(",",TRUE,B174:E174),SF_Output!$Q$1:$Q$400,"monthly")&lt;&gt;0),SUMIFS(SF_Output!$S$1:$S$400,SF_Output!$AC$1:$AC$400,_xlfn.TEXTJOIN(",",TRUE,B174:E174),SF_Output!$Q$1:$Q$400,"monthly"),AND(B174&lt;&gt;"",H174&lt;&gt;SF_Output!$Y$2),SUMIFS(SF_Output!$S$1:$S$400,SF_Output!$AC$1:$AC$400,_xlfn.TEXTJOIN(",",TRUE,B174:E174),SF_Output!$Q$1:$Q$400,"monthly"))</f>
        <v>0</v>
      </c>
      <c r="W174" s="112" t="str" cm="1">
        <f t="array" ref="W174">_xlfn.IFS(OR(B174=0,B174="",V174=0),"",AF174&lt;&gt;"exclusion",MAX($W$9,$W$7,(-(SUMIFS(SF_Output!$T$1:$T$400,SF_Output!$AC$1:$AC$400,_xlfn.TEXTJOIN(",",TRUE,$B174:$E174),SF_Output!$Q$1:$Q$400,"monthly"))/V174)),AF174="exclusion",-(SUMIFS(SF_Output!$T$1:$T$400,SF_Output!$AC$1:$AC$400,_xlfn.TEXTJOIN(",",TRUE,$B174:$E174),SF_Output!$Q$1:$Q$400,"monthly"))/V174)</f>
        <v/>
      </c>
      <c r="X174" s="6" cm="1">
        <f t="array" ref="X174">IFERROR(_xlfn.IFS(V174=0,0,V174="","",W174=0,V174,OR(V174&lt;&gt;0,V174&lt;&gt;""),H174*I174),V174*(1-W174))</f>
        <v>0</v>
      </c>
    </row>
    <row r="175" spans="2:24" x14ac:dyDescent="0.25">
      <c r="B175" t="s">
        <v>2315</v>
      </c>
      <c r="C175" t="s">
        <v>2122</v>
      </c>
      <c r="D175" t="s">
        <v>2306</v>
      </c>
      <c r="E175" t="s">
        <v>2150</v>
      </c>
      <c r="F175" s="116" t="str">
        <f t="shared" si="8"/>
        <v>Optional</v>
      </c>
      <c r="G175" t="str">
        <f>IF(B175="","",INDEX(SF_Output!$K$1:$K$400,MATCH(B175,SF_Output!$M$1:$M$400,0)))</f>
        <v>jhaEnterprise Workflow</v>
      </c>
      <c r="H175" cm="1">
        <f t="array" ref="H175">_xlfn.IFS(B175="","",(SUMIFS(SF_Output!$F$1:$F$400,SF_Output!$AC$1:$AC$400,_xlfn.TEXTJOIN(",",TRUE,B175:E175))+SUMIFS(SF_Output!$G$1:$G$400,SF_Output!$AC$1:$AC$400,_xlfn.TEXTJOIN(",",TRUE,B175:E175)))&lt;&gt;0,SF_Output!$Y$2,INDEX(SF_Output!$F$1:$F$400,MATCH(_xlfn.TEXTJOIN(",",TRUE,B175:E175),SF_Output!$AC$1:$AC$400,0))=0,INDEX(SF_Output!$R$1:$R$400,MATCH(_xlfn.TEXTJOIN(",",TRUE,B175:E175),SF_Output!$AC$1:$AC$400,0)))</f>
        <v>1</v>
      </c>
      <c r="I175" s="125" t="str">
        <f>IFERROR(IF(AND(H175&gt;1,H175&lt;&gt;""),ROUND(SUMIFS(SF_Output!$S$1:$S$400,SF_Output!$AC$1:$AC$400,_xlfn.TEXTJOIN(",",TRUE,B175:E175),SF_Output!$Q$1:$Q$400,"monthly")*(1-W175)/H175,4),""),"")</f>
        <v/>
      </c>
      <c r="J175" s="6">
        <f>IF(B175="","",SUMIFS(SF_Output!$S$1:$S$400,SF_Output!$AC$1:$AC$400,_xlfn.TEXTJOIN(",",TRUE,B175:E175),SF_Output!$Q$1:$Q$400,"One Time",SF_Output!$L$1:$L$400,"license fee")+SUMIFS(SF_Output!$S$1:$S$400,SF_Output!$AC$1:$AC$400,_xlfn.TEXTJOIN(",",TRUE,B175:E175),SF_Output!$Q$1:$Q$400,"One Time",SF_Output!$L$1:$L$400,"software license")+SUMIFS(SF_Output!$S$1:$S$400,SF_Output!$AC$1:$AC$400,_xlfn.TEXTJOIN(",",TRUE,B175:E175),SF_Output!$Q$1:$Q$400,"One Time",SF_Output!$L$1:$L$400,"hardware"))</f>
        <v>0</v>
      </c>
      <c r="K175" s="112" t="str">
        <f>IF(OR(B175=0,B175="",G175="hardware",J175=0),"",IF(AF175&lt;&gt;"exclusion",MAX(K$9,-((SUMIFS(SF_Output!$T$1:$T$400,SF_Output!$AC$1:$AC$400,_xlfn.TEXTJOIN(",",TRUE,$B175:$E175),SF_Output!$Q$1:$Q$400,"One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license"))/J175)))</f>
        <v/>
      </c>
      <c r="L175" s="6">
        <f t="shared" si="9"/>
        <v>0</v>
      </c>
      <c r="N175" s="6">
        <f>IF(B175="","",SUMIFS(SF_Output!$S$1:$S$400,SF_Output!$AC$1:$AC$400,_xlfn.TEXTJOIN(",",TRUE,B175:E175),SF_Output!$Q$1:$Q$400,"One Time",SF_Output!$L$1:$L$400,"professional service"))</f>
        <v>15000</v>
      </c>
      <c r="O175" s="112">
        <f>IF(OR(B175=0,B175="",N175=0),"",IF(AF175&lt;&gt;"exclusion",MAX(O$9,-(SUMIFS(SF_Output!$T$1:$T$400,SF_Output!$AC$1:$AC$400,_xlfn.TEXTJOIN(",",TRUE,$B175:$E175),SF_Output!$Q$1:$Q$400,"One Time",SF_Output!$L$1:$L$400,"professional service"))/N175),-((SUMIFS(SF_Output!$T$1:$T$400,SF_Output!$AC$1:$AC$400,_xlfn.TEXTJOIN(",",TRUE,$B175:$E175),SF_Output!$Q$1:$Q$400,"One Time",SF_Output!$L$1:$L$400,"professional service")/N175))))</f>
        <v>0</v>
      </c>
      <c r="P175" s="6">
        <f t="shared" si="10"/>
        <v>15000</v>
      </c>
      <c r="R175" s="6">
        <f>IF(B175="","",SUMIFS(SF_Output!$S$1:$S$400,SF_Output!$AC$1:$AC$400,_xlfn.TEXTJOIN(",",TRUE,B175:E175),SF_Output!$Q$1:$Q$400,"yearly")+SUMIFS(SF_Output!$S$1:$S$400,SF_Output!$AC$1:$AC$400,_xlfn.TEXTJOIN(",",TRUE,B175:E175),SF_Output!$Q$1:$Q$400,"quarterly")*4)</f>
        <v>0</v>
      </c>
      <c r="S175" s="112" t="str">
        <f>IF(OR(B175=0,B175="",G175="hardware",R175=0),"",IF(AF175&lt;&gt;"exclusion",MAX(S$9,-(SUMIFS(SF_Output!$T$1:$T$400,SF_Output!$AC$1:$AC$400,_xlfn.TEXTJOIN(",",TRUE,$B175:$E175),SF_Output!$Q$1:$Q$400,"yearly"))/R175),-((SUMIFS(SF_Output!$T$1:$T$400,SF_Output!$AC$1:$AC$400,_xlfn.TEXTJOIN(",",TRUE,$B175:$E175),SF_Output!$Q$1:$Q$400,"yearly")/R175))))</f>
        <v/>
      </c>
      <c r="T175" s="6">
        <f t="shared" si="11"/>
        <v>0</v>
      </c>
      <c r="V175" s="6" cm="1">
        <f t="array" ref="V175">_xlfn.IFS(B175="","",AND(B175&lt;&gt;"",H175=SF_Output!$Y$2,SUMIFS(SF_Output!$T$1:$T$400,SF_Output!$AC$1:$AC$400,_xlfn.TEXTJOIN(",",TRUE,B175:E175),SF_Output!$Q$1:$Q$400,"monthly")=0),(SUMIFS(SF_Output!$F$1:$F$400,SF_Output!$AC$1:$AC$400,_xlfn.TEXTJOIN(",",TRUE,B175:E175),SF_Output!$Q$1:$Q$400,"monthly")+SUMIFS(SF_Output!$G$1:$G$400,SF_Output!$AC$1:$AC$400,_xlfn.TEXTJOIN(",",TRUE,B175:E175),SF_Output!$Q$1:$Q$400,"monthly"))*H175,AND(B175&lt;&gt;"",H175=SF_Output!$Y$2,SUMIFS(SF_Output!$T$1:$T$400,SF_Output!$AC$1:$AC$400,_xlfn.TEXTJOIN(",",TRUE,B175:E175),SF_Output!$Q$1:$Q$400,"monthly")&lt;&gt;0),SUMIFS(SF_Output!$S$1:$S$400,SF_Output!$AC$1:$AC$400,_xlfn.TEXTJOIN(",",TRUE,B175:E175),SF_Output!$Q$1:$Q$400,"monthly"),AND(B175&lt;&gt;"",H175&lt;&gt;SF_Output!$Y$2),SUMIFS(SF_Output!$S$1:$S$400,SF_Output!$AC$1:$AC$400,_xlfn.TEXTJOIN(",",TRUE,B175:E175),SF_Output!$Q$1:$Q$400,"monthly"))</f>
        <v>0</v>
      </c>
      <c r="W175" s="112" t="str" cm="1">
        <f t="array" ref="W175">_xlfn.IFS(OR(B175=0,B175="",V175=0),"",AF175&lt;&gt;"exclusion",MAX($W$9,$W$7,(-(SUMIFS(SF_Output!$T$1:$T$400,SF_Output!$AC$1:$AC$400,_xlfn.TEXTJOIN(",",TRUE,$B175:$E175),SF_Output!$Q$1:$Q$400,"monthly"))/V175)),AF175="exclusion",-(SUMIFS(SF_Output!$T$1:$T$400,SF_Output!$AC$1:$AC$400,_xlfn.TEXTJOIN(",",TRUE,$B175:$E175),SF_Output!$Q$1:$Q$400,"monthly"))/V175)</f>
        <v/>
      </c>
      <c r="X175" s="6" cm="1">
        <f t="array" ref="X175">IFERROR(_xlfn.IFS(V175=0,0,V175="","",W175=0,V175,OR(V175&lt;&gt;0,V175&lt;&gt;""),H175*I175),V175*(1-W175))</f>
        <v>0</v>
      </c>
    </row>
    <row r="176" spans="2:24" x14ac:dyDescent="0.25">
      <c r="B176" t="s">
        <v>2318</v>
      </c>
      <c r="C176" t="s">
        <v>2122</v>
      </c>
      <c r="D176" t="s">
        <v>2306</v>
      </c>
      <c r="E176" t="s">
        <v>2150</v>
      </c>
      <c r="F176" s="116" t="str">
        <f t="shared" si="8"/>
        <v>Optional</v>
      </c>
      <c r="G176" t="str">
        <f>IF(B176="","",INDEX(SF_Output!$K$1:$K$400,MATCH(B176,SF_Output!$M$1:$M$400,0)))</f>
        <v>jhaEnterprise Workflow</v>
      </c>
      <c r="H176" cm="1">
        <f t="array" ref="H176">_xlfn.IFS(B176="","",(SUMIFS(SF_Output!$F$1:$F$400,SF_Output!$AC$1:$AC$400,_xlfn.TEXTJOIN(",",TRUE,B176:E176))+SUMIFS(SF_Output!$G$1:$G$400,SF_Output!$AC$1:$AC$400,_xlfn.TEXTJOIN(",",TRUE,B176:E176)))&lt;&gt;0,SF_Output!$Y$2,INDEX(SF_Output!$F$1:$F$400,MATCH(_xlfn.TEXTJOIN(",",TRUE,B176:E176),SF_Output!$AC$1:$AC$400,0))=0,INDEX(SF_Output!$R$1:$R$400,MATCH(_xlfn.TEXTJOIN(",",TRUE,B176:E176),SF_Output!$AC$1:$AC$400,0)))</f>
        <v>1</v>
      </c>
      <c r="I176" s="125" t="str">
        <f>IFERROR(IF(AND(H176&gt;1,H176&lt;&gt;""),ROUND(SUMIFS(SF_Output!$S$1:$S$400,SF_Output!$AC$1:$AC$400,_xlfn.TEXTJOIN(",",TRUE,B176:E176),SF_Output!$Q$1:$Q$400,"monthly")*(1-W176)/H176,4),""),"")</f>
        <v/>
      </c>
      <c r="J176" s="6">
        <f>IF(B176="","",SUMIFS(SF_Output!$S$1:$S$400,SF_Output!$AC$1:$AC$400,_xlfn.TEXTJOIN(",",TRUE,B176:E176),SF_Output!$Q$1:$Q$400,"One Time",SF_Output!$L$1:$L$400,"license fee")+SUMIFS(SF_Output!$S$1:$S$400,SF_Output!$AC$1:$AC$400,_xlfn.TEXTJOIN(",",TRUE,B176:E176),SF_Output!$Q$1:$Q$400,"One Time",SF_Output!$L$1:$L$400,"software license")+SUMIFS(SF_Output!$S$1:$S$400,SF_Output!$AC$1:$AC$400,_xlfn.TEXTJOIN(",",TRUE,B176:E176),SF_Output!$Q$1:$Q$400,"One Time",SF_Output!$L$1:$L$400,"hardware"))</f>
        <v>0</v>
      </c>
      <c r="K176" s="112" t="str">
        <f>IF(OR(B176=0,B176="",G176="hardware",J176=0),"",IF(AF176&lt;&gt;"exclusion",MAX(K$9,-((SUMIFS(SF_Output!$T$1:$T$400,SF_Output!$AC$1:$AC$400,_xlfn.TEXTJOIN(",",TRUE,$B176:$E176),SF_Output!$Q$1:$Q$400,"One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license"))/J176)))</f>
        <v/>
      </c>
      <c r="L176" s="6">
        <f t="shared" si="9"/>
        <v>0</v>
      </c>
      <c r="N176" s="6">
        <f>IF(B176="","",SUMIFS(SF_Output!$S$1:$S$400,SF_Output!$AC$1:$AC$400,_xlfn.TEXTJOIN(",",TRUE,B176:E176),SF_Output!$Q$1:$Q$400,"One Time",SF_Output!$L$1:$L$400,"professional service"))</f>
        <v>25000</v>
      </c>
      <c r="O176" s="112">
        <f>IF(OR(B176=0,B176="",N176=0),"",IF(AF176&lt;&gt;"exclusion",MAX(O$9,-(SUMIFS(SF_Output!$T$1:$T$400,SF_Output!$AC$1:$AC$400,_xlfn.TEXTJOIN(",",TRUE,$B176:$E176),SF_Output!$Q$1:$Q$400,"One Time",SF_Output!$L$1:$L$400,"professional service"))/N176),-((SUMIFS(SF_Output!$T$1:$T$400,SF_Output!$AC$1:$AC$400,_xlfn.TEXTJOIN(",",TRUE,$B176:$E176),SF_Output!$Q$1:$Q$400,"One Time",SF_Output!$L$1:$L$400,"professional service")/N176))))</f>
        <v>0</v>
      </c>
      <c r="P176" s="6">
        <f t="shared" si="10"/>
        <v>25000</v>
      </c>
      <c r="R176" s="6">
        <f>IF(B176="","",SUMIFS(SF_Output!$S$1:$S$400,SF_Output!$AC$1:$AC$400,_xlfn.TEXTJOIN(",",TRUE,B176:E176),SF_Output!$Q$1:$Q$400,"yearly")+SUMIFS(SF_Output!$S$1:$S$400,SF_Output!$AC$1:$AC$400,_xlfn.TEXTJOIN(",",TRUE,B176:E176),SF_Output!$Q$1:$Q$400,"quarterly")*4)</f>
        <v>0</v>
      </c>
      <c r="S176" s="112" t="str">
        <f>IF(OR(B176=0,B176="",G176="hardware",R176=0),"",IF(AF176&lt;&gt;"exclusion",MAX(S$9,-(SUMIFS(SF_Output!$T$1:$T$400,SF_Output!$AC$1:$AC$400,_xlfn.TEXTJOIN(",",TRUE,$B176:$E176),SF_Output!$Q$1:$Q$400,"yearly"))/R176),-((SUMIFS(SF_Output!$T$1:$T$400,SF_Output!$AC$1:$AC$400,_xlfn.TEXTJOIN(",",TRUE,$B176:$E176),SF_Output!$Q$1:$Q$400,"yearly")/R176))))</f>
        <v/>
      </c>
      <c r="T176" s="6">
        <f t="shared" si="11"/>
        <v>0</v>
      </c>
      <c r="V176" s="6" cm="1">
        <f t="array" ref="V176">_xlfn.IFS(B176="","",AND(B176&lt;&gt;"",H176=SF_Output!$Y$2,SUMIFS(SF_Output!$T$1:$T$400,SF_Output!$AC$1:$AC$400,_xlfn.TEXTJOIN(",",TRUE,B176:E176),SF_Output!$Q$1:$Q$400,"monthly")=0),(SUMIFS(SF_Output!$F$1:$F$400,SF_Output!$AC$1:$AC$400,_xlfn.TEXTJOIN(",",TRUE,B176:E176),SF_Output!$Q$1:$Q$400,"monthly")+SUMIFS(SF_Output!$G$1:$G$400,SF_Output!$AC$1:$AC$400,_xlfn.TEXTJOIN(",",TRUE,B176:E176),SF_Output!$Q$1:$Q$400,"monthly"))*H176,AND(B176&lt;&gt;"",H176=SF_Output!$Y$2,SUMIFS(SF_Output!$T$1:$T$400,SF_Output!$AC$1:$AC$400,_xlfn.TEXTJOIN(",",TRUE,B176:E176),SF_Output!$Q$1:$Q$400,"monthly")&lt;&gt;0),SUMIFS(SF_Output!$S$1:$S$400,SF_Output!$AC$1:$AC$400,_xlfn.TEXTJOIN(",",TRUE,B176:E176),SF_Output!$Q$1:$Q$400,"monthly"),AND(B176&lt;&gt;"",H176&lt;&gt;SF_Output!$Y$2),SUMIFS(SF_Output!$S$1:$S$400,SF_Output!$AC$1:$AC$400,_xlfn.TEXTJOIN(",",TRUE,B176:E176),SF_Output!$Q$1:$Q$400,"monthly"))</f>
        <v>0</v>
      </c>
      <c r="W176" s="112" t="str" cm="1">
        <f t="array" ref="W176">_xlfn.IFS(OR(B176=0,B176="",V176=0),"",AF176&lt;&gt;"exclusion",MAX($W$9,$W$7,(-(SUMIFS(SF_Output!$T$1:$T$400,SF_Output!$AC$1:$AC$400,_xlfn.TEXTJOIN(",",TRUE,$B176:$E176),SF_Output!$Q$1:$Q$400,"monthly"))/V176)),AF176="exclusion",-(SUMIFS(SF_Output!$T$1:$T$400,SF_Output!$AC$1:$AC$400,_xlfn.TEXTJOIN(",",TRUE,$B176:$E176),SF_Output!$Q$1:$Q$400,"monthly"))/V176)</f>
        <v/>
      </c>
      <c r="X176" s="6" cm="1">
        <f t="array" ref="X176">IFERROR(_xlfn.IFS(V176=0,0,V176="","",W176=0,V176,OR(V176&lt;&gt;0,V176&lt;&gt;""),H176*I176),V176*(1-W176))</f>
        <v>0</v>
      </c>
    </row>
    <row r="177" spans="2:24" x14ac:dyDescent="0.25">
      <c r="B177" t="s">
        <v>1300</v>
      </c>
      <c r="C177" t="s">
        <v>2122</v>
      </c>
      <c r="D177" t="s">
        <v>2123</v>
      </c>
      <c r="E177" t="s">
        <v>2124</v>
      </c>
      <c r="F177" s="116" t="str">
        <f t="shared" si="8"/>
        <v>Included</v>
      </c>
      <c r="G177" t="str">
        <f>IF(B177="","",INDEX(SF_Output!$K$1:$K$400,MATCH(B177,SF_Output!$M$1:$M$400,0)))</f>
        <v>Know-It-All</v>
      </c>
      <c r="H177" cm="1">
        <f t="array" ref="H177">_xlfn.IFS(B177="","",(SUMIFS(SF_Output!$F$1:$F$400,SF_Output!$AC$1:$AC$400,_xlfn.TEXTJOIN(",",TRUE,B177:E177))+SUMIFS(SF_Output!$G$1:$G$400,SF_Output!$AC$1:$AC$400,_xlfn.TEXTJOIN(",",TRUE,B177:E177)))&lt;&gt;0,SF_Output!$Y$2,INDEX(SF_Output!$F$1:$F$400,MATCH(_xlfn.TEXTJOIN(",",TRUE,B177:E177),SF_Output!$AC$1:$AC$400,0))=0,INDEX(SF_Output!$R$1:$R$400,MATCH(_xlfn.TEXTJOIN(",",TRUE,B177:E177),SF_Output!$AC$1:$AC$400,0)))</f>
        <v>1</v>
      </c>
      <c r="I177" s="125" t="str">
        <f>IFERROR(IF(AND(H177&gt;1,H177&lt;&gt;""),ROUND(SUMIFS(SF_Output!$S$1:$S$400,SF_Output!$AC$1:$AC$400,_xlfn.TEXTJOIN(",",TRUE,B177:E177),SF_Output!$Q$1:$Q$400,"monthly")*(1-W177)/H177,4),""),"")</f>
        <v/>
      </c>
      <c r="J177" s="6">
        <f>IF(B177="","",SUMIFS(SF_Output!$S$1:$S$400,SF_Output!$AC$1:$AC$400,_xlfn.TEXTJOIN(",",TRUE,B177:E177),SF_Output!$Q$1:$Q$400,"One Time",SF_Output!$L$1:$L$400,"license fee")+SUMIFS(SF_Output!$S$1:$S$400,SF_Output!$AC$1:$AC$400,_xlfn.TEXTJOIN(",",TRUE,B177:E177),SF_Output!$Q$1:$Q$400,"One Time",SF_Output!$L$1:$L$400,"software license")+SUMIFS(SF_Output!$S$1:$S$400,SF_Output!$AC$1:$AC$400,_xlfn.TEXTJOIN(",",TRUE,B177:E177),SF_Output!$Q$1:$Q$400,"One Time",SF_Output!$L$1:$L$400,"hardware"))</f>
        <v>0</v>
      </c>
      <c r="K177" s="112" t="str">
        <f>IF(OR(B177=0,B177="",G177="hardware",J177=0),"",IF(AF177&lt;&gt;"exclusion",MAX(K$9,-((SUMIFS(SF_Output!$T$1:$T$400,SF_Output!$AC$1:$AC$400,_xlfn.TEXTJOIN(",",TRUE,$B177:$E177),SF_Output!$Q$1:$Q$400,"One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license"))/J177)))</f>
        <v/>
      </c>
      <c r="L177" s="6">
        <f t="shared" si="9"/>
        <v>0</v>
      </c>
      <c r="N177" s="6">
        <f>IF(B177="","",SUMIFS(SF_Output!$S$1:$S$400,SF_Output!$AC$1:$AC$400,_xlfn.TEXTJOIN(",",TRUE,B177:E177),SF_Output!$Q$1:$Q$400,"One Time",SF_Output!$L$1:$L$400,"professional service"))</f>
        <v>0</v>
      </c>
      <c r="O177" s="112" t="str">
        <f>IF(OR(B177=0,B177="",N177=0),"",IF(AF177&lt;&gt;"exclusion",MAX(O$9,-(SUMIFS(SF_Output!$T$1:$T$400,SF_Output!$AC$1:$AC$400,_xlfn.TEXTJOIN(",",TRUE,$B177:$E177),SF_Output!$Q$1:$Q$400,"One Time",SF_Output!$L$1:$L$400,"professional service"))/N177),-((SUMIFS(SF_Output!$T$1:$T$400,SF_Output!$AC$1:$AC$400,_xlfn.TEXTJOIN(",",TRUE,$B177:$E177),SF_Output!$Q$1:$Q$400,"One Time",SF_Output!$L$1:$L$400,"professional service")/N177))))</f>
        <v/>
      </c>
      <c r="P177" s="6">
        <f t="shared" si="10"/>
        <v>0</v>
      </c>
      <c r="R177" s="6">
        <f>IF(B177="","",SUMIFS(SF_Output!$S$1:$S$400,SF_Output!$AC$1:$AC$400,_xlfn.TEXTJOIN(",",TRUE,B177:E177),SF_Output!$Q$1:$Q$400,"yearly")+SUMIFS(SF_Output!$S$1:$S$400,SF_Output!$AC$1:$AC$400,_xlfn.TEXTJOIN(",",TRUE,B177:E177),SF_Output!$Q$1:$Q$400,"quarterly")*4)</f>
        <v>3500</v>
      </c>
      <c r="S177" s="112">
        <f>IF(OR(B177=0,B177="",G177="hardware",R177=0),"",IF(AF177&lt;&gt;"exclusion",MAX(S$9,-(SUMIFS(SF_Output!$T$1:$T$400,SF_Output!$AC$1:$AC$400,_xlfn.TEXTJOIN(",",TRUE,$B177:$E177),SF_Output!$Q$1:$Q$400,"yearly"))/R177),-((SUMIFS(SF_Output!$T$1:$T$400,SF_Output!$AC$1:$AC$400,_xlfn.TEXTJOIN(",",TRUE,$B177:$E177),SF_Output!$Q$1:$Q$400,"yearly")/R177))))</f>
        <v>0</v>
      </c>
      <c r="T177" s="6">
        <f t="shared" si="11"/>
        <v>3500</v>
      </c>
      <c r="V177" s="6" cm="1">
        <f t="array" ref="V177">_xlfn.IFS(B177="","",AND(B177&lt;&gt;"",H177=SF_Output!$Y$2,SUMIFS(SF_Output!$T$1:$T$400,SF_Output!$AC$1:$AC$400,_xlfn.TEXTJOIN(",",TRUE,B177:E177),SF_Output!$Q$1:$Q$400,"monthly")=0),(SUMIFS(SF_Output!$F$1:$F$400,SF_Output!$AC$1:$AC$400,_xlfn.TEXTJOIN(",",TRUE,B177:E177),SF_Output!$Q$1:$Q$400,"monthly")+SUMIFS(SF_Output!$G$1:$G$400,SF_Output!$AC$1:$AC$400,_xlfn.TEXTJOIN(",",TRUE,B177:E177),SF_Output!$Q$1:$Q$400,"monthly"))*H177,AND(B177&lt;&gt;"",H177=SF_Output!$Y$2,SUMIFS(SF_Output!$T$1:$T$400,SF_Output!$AC$1:$AC$400,_xlfn.TEXTJOIN(",",TRUE,B177:E177),SF_Output!$Q$1:$Q$400,"monthly")&lt;&gt;0),SUMIFS(SF_Output!$S$1:$S$400,SF_Output!$AC$1:$AC$400,_xlfn.TEXTJOIN(",",TRUE,B177:E177),SF_Output!$Q$1:$Q$400,"monthly"),AND(B177&lt;&gt;"",H177&lt;&gt;SF_Output!$Y$2),SUMIFS(SF_Output!$S$1:$S$400,SF_Output!$AC$1:$AC$400,_xlfn.TEXTJOIN(",",TRUE,B177:E177),SF_Output!$Q$1:$Q$400,"monthly"))</f>
        <v>0</v>
      </c>
      <c r="W177" s="112" t="str" cm="1">
        <f t="array" ref="W177">_xlfn.IFS(OR(B177=0,B177="",V177=0),"",AF177&lt;&gt;"exclusion",MAX($W$9,$W$7,(-(SUMIFS(SF_Output!$T$1:$T$400,SF_Output!$AC$1:$AC$400,_xlfn.TEXTJOIN(",",TRUE,$B177:$E177),SF_Output!$Q$1:$Q$400,"monthly"))/V177)),AF177="exclusion",-(SUMIFS(SF_Output!$T$1:$T$400,SF_Output!$AC$1:$AC$400,_xlfn.TEXTJOIN(",",TRUE,$B177:$E177),SF_Output!$Q$1:$Q$400,"monthly"))/V177)</f>
        <v/>
      </c>
      <c r="X177" s="6" cm="1">
        <f t="array" ref="X177">IFERROR(_xlfn.IFS(V177=0,0,V177="","",W177=0,V177,OR(V177&lt;&gt;0,V177&lt;&gt;""),H177*I177),V177*(1-W177))</f>
        <v>0</v>
      </c>
    </row>
    <row r="178" spans="2:24" x14ac:dyDescent="0.25">
      <c r="B178" t="s">
        <v>2474</v>
      </c>
      <c r="C178" t="s">
        <v>2474</v>
      </c>
      <c r="D178" t="s">
        <v>2474</v>
      </c>
      <c r="E178" t="s">
        <v>2474</v>
      </c>
      <c r="F178" s="116" t="str">
        <f t="shared" si="8"/>
        <v/>
      </c>
      <c r="G178" t="str">
        <f>IF(B178="","",INDEX(SF_Output!$K$1:$K$400,MATCH(B178,SF_Output!$M$1:$M$400,0)))</f>
        <v/>
      </c>
      <c r="H178" t="str" cm="1">
        <f t="array" ref="H178">_xlfn.IFS(B178="","",(SUMIFS(SF_Output!$F$1:$F$400,SF_Output!$AC$1:$AC$400,_xlfn.TEXTJOIN(",",TRUE,B178:E178))+SUMIFS(SF_Output!$G$1:$G$400,SF_Output!$AC$1:$AC$400,_xlfn.TEXTJOIN(",",TRUE,B178:E178)))&lt;&gt;0,SF_Output!$Y$2,INDEX(SF_Output!$F$1:$F$400,MATCH(_xlfn.TEXTJOIN(",",TRUE,B178:E178),SF_Output!$AC$1:$AC$400,0))=0,INDEX(SF_Output!$R$1:$R$400,MATCH(_xlfn.TEXTJOIN(",",TRUE,B178:E178),SF_Output!$AC$1:$AC$400,0)))</f>
        <v/>
      </c>
      <c r="I178" s="125" t="str">
        <f>IFERROR(IF(AND(H178&gt;1,H178&lt;&gt;""),ROUND(SUMIFS(SF_Output!$S$1:$S$400,SF_Output!$AC$1:$AC$400,_xlfn.TEXTJOIN(",",TRUE,B178:E178),SF_Output!$Q$1:$Q$400,"monthly")*(1-W178)/H178,4),""),"")</f>
        <v/>
      </c>
      <c r="J178" s="6" t="str">
        <f>IF(B178="","",SUMIFS(SF_Output!$S$1:$S$400,SF_Output!$AC$1:$AC$400,_xlfn.TEXTJOIN(",",TRUE,B178:E178),SF_Output!$Q$1:$Q$400,"One Time",SF_Output!$L$1:$L$400,"license fee")+SUMIFS(SF_Output!$S$1:$S$400,SF_Output!$AC$1:$AC$400,_xlfn.TEXTJOIN(",",TRUE,B178:E178),SF_Output!$Q$1:$Q$400,"One Time",SF_Output!$L$1:$L$400,"software license")+SUMIFS(SF_Output!$S$1:$S$400,SF_Output!$AC$1:$AC$400,_xlfn.TEXTJOIN(",",TRUE,B178:E178),SF_Output!$Q$1:$Q$400,"One Time",SF_Output!$L$1:$L$400,"hardware"))</f>
        <v/>
      </c>
      <c r="K178" s="112" t="str">
        <f>IF(OR(B178=0,B178="",G178="hardware",J178=0),"",IF(AF178&lt;&gt;"exclusion",MAX(K$9,-((SUMIFS(SF_Output!$T$1:$T$400,SF_Output!$AC$1:$AC$400,_xlfn.TEXTJOIN(",",TRUE,$B178:$E178),SF_Output!$Q$1:$Q$400,"One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license"))/J178)))</f>
        <v/>
      </c>
      <c r="L178" s="6" t="str">
        <f t="shared" si="9"/>
        <v/>
      </c>
      <c r="N178" s="6" t="str">
        <f>IF(B178="","",SUMIFS(SF_Output!$S$1:$S$400,SF_Output!$AC$1:$AC$400,_xlfn.TEXTJOIN(",",TRUE,B178:E178),SF_Output!$Q$1:$Q$400,"One Time",SF_Output!$L$1:$L$400,"professional service"))</f>
        <v/>
      </c>
      <c r="O178" s="112" t="str">
        <f>IF(OR(B178=0,B178="",N178=0),"",IF(AF178&lt;&gt;"exclusion",MAX(O$9,-(SUMIFS(SF_Output!$T$1:$T$400,SF_Output!$AC$1:$AC$400,_xlfn.TEXTJOIN(",",TRUE,$B178:$E178),SF_Output!$Q$1:$Q$400,"One Time",SF_Output!$L$1:$L$400,"professional service"))/N178),-((SUMIFS(SF_Output!$T$1:$T$400,SF_Output!$AC$1:$AC$400,_xlfn.TEXTJOIN(",",TRUE,$B178:$E178),SF_Output!$Q$1:$Q$400,"One Time",SF_Output!$L$1:$L$400,"professional service")/N178))))</f>
        <v/>
      </c>
      <c r="P178" s="6" t="str">
        <f t="shared" si="10"/>
        <v/>
      </c>
      <c r="R178" s="6" t="str">
        <f>IF(B178="","",SUMIFS(SF_Output!$S$1:$S$400,SF_Output!$AC$1:$AC$400,_xlfn.TEXTJOIN(",",TRUE,B178:E178),SF_Output!$Q$1:$Q$400,"yearly")+SUMIFS(SF_Output!$S$1:$S$400,SF_Output!$AC$1:$AC$400,_xlfn.TEXTJOIN(",",TRUE,B178:E178),SF_Output!$Q$1:$Q$400,"quarterly")*4)</f>
        <v/>
      </c>
      <c r="S178" s="112" t="str">
        <f>IF(OR(B178=0,B178="",G178="hardware",R178=0),"",IF(AF178&lt;&gt;"exclusion",MAX(S$9,-(SUMIFS(SF_Output!$T$1:$T$400,SF_Output!$AC$1:$AC$400,_xlfn.TEXTJOIN(",",TRUE,$B178:$E178),SF_Output!$Q$1:$Q$400,"yearly"))/R178),-((SUMIFS(SF_Output!$T$1:$T$400,SF_Output!$AC$1:$AC$400,_xlfn.TEXTJOIN(",",TRUE,$B178:$E178),SF_Output!$Q$1:$Q$400,"yearly")/R178))))</f>
        <v/>
      </c>
      <c r="T178" s="6" t="str">
        <f t="shared" si="11"/>
        <v/>
      </c>
      <c r="V178" s="6" t="str" cm="1">
        <f t="array" ref="V178">_xlfn.IFS(B178="","",AND(B178&lt;&gt;"",H178=SF_Output!$Y$2,SUMIFS(SF_Output!$T$1:$T$400,SF_Output!$AC$1:$AC$400,_xlfn.TEXTJOIN(",",TRUE,B178:E178),SF_Output!$Q$1:$Q$400,"monthly")=0),(SUMIFS(SF_Output!$F$1:$F$400,SF_Output!$AC$1:$AC$400,_xlfn.TEXTJOIN(",",TRUE,B178:E178),SF_Output!$Q$1:$Q$400,"monthly")+SUMIFS(SF_Output!$G$1:$G$400,SF_Output!$AC$1:$AC$400,_xlfn.TEXTJOIN(",",TRUE,B178:E178),SF_Output!$Q$1:$Q$400,"monthly"))*H178,AND(B178&lt;&gt;"",H178=SF_Output!$Y$2,SUMIFS(SF_Output!$T$1:$T$400,SF_Output!$AC$1:$AC$400,_xlfn.TEXTJOIN(",",TRUE,B178:E178),SF_Output!$Q$1:$Q$400,"monthly")&lt;&gt;0),SUMIFS(SF_Output!$S$1:$S$400,SF_Output!$AC$1:$AC$400,_xlfn.TEXTJOIN(",",TRUE,B178:E178),SF_Output!$Q$1:$Q$400,"monthly"),AND(B178&lt;&gt;"",H178&lt;&gt;SF_Output!$Y$2),SUMIFS(SF_Output!$S$1:$S$400,SF_Output!$AC$1:$AC$400,_xlfn.TEXTJOIN(",",TRUE,B178:E178),SF_Output!$Q$1:$Q$400,"monthly"))</f>
        <v/>
      </c>
      <c r="W178" s="112" t="str" cm="1">
        <f t="array" ref="W178">_xlfn.IFS(OR(B178=0,B178="",V178=0),"",AF178&lt;&gt;"exclusion",MAX($W$9,$W$7,(-(SUMIFS(SF_Output!$T$1:$T$400,SF_Output!$AC$1:$AC$400,_xlfn.TEXTJOIN(",",TRUE,$B178:$E178),SF_Output!$Q$1:$Q$400,"monthly"))/V178)),AF178="exclusion",-(SUMIFS(SF_Output!$T$1:$T$400,SF_Output!$AC$1:$AC$400,_xlfn.TEXTJOIN(",",TRUE,$B178:$E178),SF_Output!$Q$1:$Q$400,"monthly"))/V178)</f>
        <v/>
      </c>
      <c r="X178" s="6" t="str" cm="1">
        <f t="array" ref="X178">IFERROR(_xlfn.IFS(V178=0,0,V178="","",W178=0,V178,OR(V178&lt;&gt;0,V178&lt;&gt;""),H178*I178),V178*(1-W178))</f>
        <v/>
      </c>
    </row>
    <row r="179" spans="2:24" x14ac:dyDescent="0.25">
      <c r="F179" s="116" t="str">
        <f t="shared" si="8"/>
        <v/>
      </c>
      <c r="G179" t="str">
        <f>IF(B179="","",INDEX(SF_Output!$K$1:$K$400,MATCH(B179,SF_Output!$M$1:$M$400,0)))</f>
        <v/>
      </c>
      <c r="H179" t="str" cm="1">
        <f t="array" ref="H179">_xlfn.IFS(B179="","",(SUMIFS(SF_Output!$F$1:$F$400,SF_Output!$AC$1:$AC$400,_xlfn.TEXTJOIN(",",TRUE,B179:E179))+SUMIFS(SF_Output!$G$1:$G$400,SF_Output!$AC$1:$AC$400,_xlfn.TEXTJOIN(",",TRUE,B179:E179)))&lt;&gt;0,SF_Output!$Y$2,INDEX(SF_Output!$F$1:$F$400,MATCH(_xlfn.TEXTJOIN(",",TRUE,B179:E179),SF_Output!$AC$1:$AC$400,0))=0,INDEX(SF_Output!$R$1:$R$400,MATCH(_xlfn.TEXTJOIN(",",TRUE,B179:E179),SF_Output!$AC$1:$AC$400,0)))</f>
        <v/>
      </c>
      <c r="I179" s="125" t="str">
        <f>IFERROR(IF(AND(H179&gt;1,H179&lt;&gt;""),ROUND(SUMIFS(SF_Output!$S$1:$S$400,SF_Output!$AC$1:$AC$400,_xlfn.TEXTJOIN(",",TRUE,B179:E179),SF_Output!$Q$1:$Q$400,"monthly")*(1-W179)/H179,4),""),"")</f>
        <v/>
      </c>
      <c r="J179" s="6" t="str">
        <f>IF(B179="","",SUMIFS(SF_Output!$S$1:$S$400,SF_Output!$AC$1:$AC$400,_xlfn.TEXTJOIN(",",TRUE,B179:E179),SF_Output!$Q$1:$Q$400,"One Time",SF_Output!$L$1:$L$400,"license fee")+SUMIFS(SF_Output!$S$1:$S$400,SF_Output!$AC$1:$AC$400,_xlfn.TEXTJOIN(",",TRUE,B179:E179),SF_Output!$Q$1:$Q$400,"One Time",SF_Output!$L$1:$L$400,"software license")+SUMIFS(SF_Output!$S$1:$S$400,SF_Output!$AC$1:$AC$400,_xlfn.TEXTJOIN(",",TRUE,B179:E179),SF_Output!$Q$1:$Q$400,"One Time",SF_Output!$L$1:$L$400,"hardware"))</f>
        <v/>
      </c>
      <c r="K179" s="112" t="str">
        <f>IF(OR(B179=0,B179="",G179="hardware",J179=0),"",IF(AF179&lt;&gt;"exclusion",MAX(K$9,-((SUMIFS(SF_Output!$T$1:$T$400,SF_Output!$AC$1:$AC$400,_xlfn.TEXTJOIN(",",TRUE,$B179:$E179),SF_Output!$Q$1:$Q$400,"One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license"))/J179)))</f>
        <v/>
      </c>
      <c r="L179" s="6" t="str">
        <f t="shared" si="9"/>
        <v/>
      </c>
      <c r="N179" s="6" t="str">
        <f>IF(B179="","",SUMIFS(SF_Output!$S$1:$S$400,SF_Output!$AC$1:$AC$400,_xlfn.TEXTJOIN(",",TRUE,B179:E179),SF_Output!$Q$1:$Q$400,"One Time",SF_Output!$L$1:$L$400,"professional service"))</f>
        <v/>
      </c>
      <c r="O179" s="112" t="str">
        <f>IF(OR(B179=0,B179="",N179=0),"",IF(AF179&lt;&gt;"exclusion",MAX(O$9,-(SUMIFS(SF_Output!$T$1:$T$400,SF_Output!$AC$1:$AC$400,_xlfn.TEXTJOIN(",",TRUE,$B179:$E179),SF_Output!$Q$1:$Q$400,"One Time",SF_Output!$L$1:$L$400,"professional service"))/N179),-((SUMIFS(SF_Output!$T$1:$T$400,SF_Output!$AC$1:$AC$400,_xlfn.TEXTJOIN(",",TRUE,$B179:$E179),SF_Output!$Q$1:$Q$400,"One Time",SF_Output!$L$1:$L$400,"professional service")/N179))))</f>
        <v/>
      </c>
      <c r="P179" s="6" t="str">
        <f t="shared" si="10"/>
        <v/>
      </c>
      <c r="R179" s="6" t="str">
        <f>IF(B179="","",SUMIFS(SF_Output!$S$1:$S$400,SF_Output!$AC$1:$AC$400,_xlfn.TEXTJOIN(",",TRUE,B179:E179),SF_Output!$Q$1:$Q$400,"yearly")+SUMIFS(SF_Output!$S$1:$S$400,SF_Output!$AC$1:$AC$400,_xlfn.TEXTJOIN(",",TRUE,B179:E179),SF_Output!$Q$1:$Q$400,"quarterly")*4)</f>
        <v/>
      </c>
      <c r="S179" s="112" t="str">
        <f>IF(OR(B179=0,B179="",G179="hardware",R179=0),"",IF(AF179&lt;&gt;"exclusion",MAX(S$9,-(SUMIFS(SF_Output!$T$1:$T$400,SF_Output!$AC$1:$AC$400,_xlfn.TEXTJOIN(",",TRUE,$B179:$E179),SF_Output!$Q$1:$Q$400,"yearly"))/R179),-((SUMIFS(SF_Output!$T$1:$T$400,SF_Output!$AC$1:$AC$400,_xlfn.TEXTJOIN(",",TRUE,$B179:$E179),SF_Output!$Q$1:$Q$400,"yearly")/R179))))</f>
        <v/>
      </c>
      <c r="T179" s="6" t="str">
        <f t="shared" si="11"/>
        <v/>
      </c>
      <c r="V179" s="6" t="str" cm="1">
        <f t="array" ref="V179">_xlfn.IFS(B179="","",AND(B179&lt;&gt;"",H179=SF_Output!$Y$2,SUMIFS(SF_Output!$T$1:$T$400,SF_Output!$AC$1:$AC$400,_xlfn.TEXTJOIN(",",TRUE,B179:E179),SF_Output!$Q$1:$Q$400,"monthly")=0),(SUMIFS(SF_Output!$F$1:$F$400,SF_Output!$AC$1:$AC$400,_xlfn.TEXTJOIN(",",TRUE,B179:E179),SF_Output!$Q$1:$Q$400,"monthly")+SUMIFS(SF_Output!$G$1:$G$400,SF_Output!$AC$1:$AC$400,_xlfn.TEXTJOIN(",",TRUE,B179:E179),SF_Output!$Q$1:$Q$400,"monthly"))*H179,AND(B179&lt;&gt;"",H179=SF_Output!$Y$2,SUMIFS(SF_Output!$T$1:$T$400,SF_Output!$AC$1:$AC$400,_xlfn.TEXTJOIN(",",TRUE,B179:E179),SF_Output!$Q$1:$Q$400,"monthly")&lt;&gt;0),SUMIFS(SF_Output!$S$1:$S$400,SF_Output!$AC$1:$AC$400,_xlfn.TEXTJOIN(",",TRUE,B179:E179),SF_Output!$Q$1:$Q$400,"monthly"),AND(B179&lt;&gt;"",H179&lt;&gt;SF_Output!$Y$2),SUMIFS(SF_Output!$S$1:$S$400,SF_Output!$AC$1:$AC$400,_xlfn.TEXTJOIN(",",TRUE,B179:E179),SF_Output!$Q$1:$Q$400,"monthly"))</f>
        <v/>
      </c>
      <c r="W179" s="112" t="str" cm="1">
        <f t="array" ref="W179">_xlfn.IFS(OR(B179=0,B179="",V179=0),"",AF179&lt;&gt;"exclusion",MAX($W$9,$W$7,(-(SUMIFS(SF_Output!$T$1:$T$400,SF_Output!$AC$1:$AC$400,_xlfn.TEXTJOIN(",",TRUE,$B179:$E179),SF_Output!$Q$1:$Q$400,"monthly"))/V179)),AF179="exclusion",-(SUMIFS(SF_Output!$T$1:$T$400,SF_Output!$AC$1:$AC$400,_xlfn.TEXTJOIN(",",TRUE,$B179:$E179),SF_Output!$Q$1:$Q$400,"monthly"))/V179)</f>
        <v/>
      </c>
      <c r="X179" s="6" t="str" cm="1">
        <f t="array" ref="X179">IFERROR(_xlfn.IFS(V179=0,0,V179="","",W179=0,V179,OR(V179&lt;&gt;0,V179&lt;&gt;""),H179*I179),V179*(1-W179))</f>
        <v/>
      </c>
    </row>
    <row r="180" spans="2:24" x14ac:dyDescent="0.25">
      <c r="F180" s="116" t="str">
        <f t="shared" si="8"/>
        <v/>
      </c>
      <c r="G180" t="str">
        <f>IF(B180="","",INDEX(SF_Output!$K$1:$K$400,MATCH(B180,SF_Output!$M$1:$M$400,0)))</f>
        <v/>
      </c>
      <c r="H180" t="str" cm="1">
        <f t="array" ref="H180">_xlfn.IFS(B180="","",(SUMIFS(SF_Output!$F$1:$F$400,SF_Output!$AC$1:$AC$400,_xlfn.TEXTJOIN(",",TRUE,B180:E180))+SUMIFS(SF_Output!$G$1:$G$400,SF_Output!$AC$1:$AC$400,_xlfn.TEXTJOIN(",",TRUE,B180:E180)))&lt;&gt;0,SF_Output!$Y$2,INDEX(SF_Output!$F$1:$F$400,MATCH(_xlfn.TEXTJOIN(",",TRUE,B180:E180),SF_Output!$AC$1:$AC$400,0))=0,INDEX(SF_Output!$R$1:$R$400,MATCH(_xlfn.TEXTJOIN(",",TRUE,B180:E180),SF_Output!$AC$1:$AC$400,0)))</f>
        <v/>
      </c>
      <c r="I180" s="125" t="str">
        <f>IFERROR(IF(AND(H180&gt;1,H180&lt;&gt;""),ROUND(SUMIFS(SF_Output!$S$1:$S$400,SF_Output!$AC$1:$AC$400,_xlfn.TEXTJOIN(",",TRUE,B180:E180),SF_Output!$Q$1:$Q$400,"monthly")*(1-W180)/H180,4),""),"")</f>
        <v/>
      </c>
      <c r="J180" s="6" t="str">
        <f>IF(B180="","",SUMIFS(SF_Output!$S$1:$S$400,SF_Output!$AC$1:$AC$400,_xlfn.TEXTJOIN(",",TRUE,B180:E180),SF_Output!$Q$1:$Q$400,"One Time",SF_Output!$L$1:$L$400,"license fee")+SUMIFS(SF_Output!$S$1:$S$400,SF_Output!$AC$1:$AC$400,_xlfn.TEXTJOIN(",",TRUE,B180:E180),SF_Output!$Q$1:$Q$400,"One Time",SF_Output!$L$1:$L$400,"software license")+SUMIFS(SF_Output!$S$1:$S$400,SF_Output!$AC$1:$AC$400,_xlfn.TEXTJOIN(",",TRUE,B180:E180),SF_Output!$Q$1:$Q$400,"One Time",SF_Output!$L$1:$L$400,"hardware"))</f>
        <v/>
      </c>
      <c r="K180" s="112" t="str">
        <f>IF(OR(B180=0,B180="",G180="hardware",J180=0),"",IF(AF180&lt;&gt;"exclusion",MAX(K$9,-((SUMIFS(SF_Output!$T$1:$T$400,SF_Output!$AC$1:$AC$400,_xlfn.TEXTJOIN(",",TRUE,$B180:$E180),SF_Output!$Q$1:$Q$400,"One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license"))/J180)))</f>
        <v/>
      </c>
      <c r="L180" s="6" t="str">
        <f t="shared" si="9"/>
        <v/>
      </c>
      <c r="N180" s="6" t="str">
        <f>IF(B180="","",SUMIFS(SF_Output!$S$1:$S$400,SF_Output!$AC$1:$AC$400,_xlfn.TEXTJOIN(",",TRUE,B180:E180),SF_Output!$Q$1:$Q$400,"One Time",SF_Output!$L$1:$L$400,"professional service"))</f>
        <v/>
      </c>
      <c r="O180" s="112" t="str">
        <f>IF(OR(B180=0,B180="",N180=0),"",IF(AF180&lt;&gt;"exclusion",MAX(O$9,-(SUMIFS(SF_Output!$T$1:$T$400,SF_Output!$AC$1:$AC$400,_xlfn.TEXTJOIN(",",TRUE,$B180:$E180),SF_Output!$Q$1:$Q$400,"One Time",SF_Output!$L$1:$L$400,"professional service"))/N180),-((SUMIFS(SF_Output!$T$1:$T$400,SF_Output!$AC$1:$AC$400,_xlfn.TEXTJOIN(",",TRUE,$B180:$E180),SF_Output!$Q$1:$Q$400,"One Time",SF_Output!$L$1:$L$400,"professional service")/N180))))</f>
        <v/>
      </c>
      <c r="P180" s="6" t="str">
        <f t="shared" si="10"/>
        <v/>
      </c>
      <c r="R180" s="6" t="str">
        <f>IF(B180="","",SUMIFS(SF_Output!$S$1:$S$400,SF_Output!$AC$1:$AC$400,_xlfn.TEXTJOIN(",",TRUE,B180:E180),SF_Output!$Q$1:$Q$400,"yearly")+SUMIFS(SF_Output!$S$1:$S$400,SF_Output!$AC$1:$AC$400,_xlfn.TEXTJOIN(",",TRUE,B180:E180),SF_Output!$Q$1:$Q$400,"quarterly")*4)</f>
        <v/>
      </c>
      <c r="S180" s="112" t="str">
        <f>IF(OR(B180=0,B180="",G180="hardware",R180=0),"",IF(AF180&lt;&gt;"exclusion",MAX(S$9,-(SUMIFS(SF_Output!$T$1:$T$400,SF_Output!$AC$1:$AC$400,_xlfn.TEXTJOIN(",",TRUE,$B180:$E180),SF_Output!$Q$1:$Q$400,"yearly"))/R180),-((SUMIFS(SF_Output!$T$1:$T$400,SF_Output!$AC$1:$AC$400,_xlfn.TEXTJOIN(",",TRUE,$B180:$E180),SF_Output!$Q$1:$Q$400,"yearly")/R180))))</f>
        <v/>
      </c>
      <c r="T180" s="6" t="str">
        <f t="shared" si="11"/>
        <v/>
      </c>
      <c r="V180" s="6" t="str" cm="1">
        <f t="array" ref="V180">_xlfn.IFS(B180="","",AND(B180&lt;&gt;"",H180=SF_Output!$Y$2,SUMIFS(SF_Output!$T$1:$T$400,SF_Output!$AC$1:$AC$400,_xlfn.TEXTJOIN(",",TRUE,B180:E180),SF_Output!$Q$1:$Q$400,"monthly")=0),(SUMIFS(SF_Output!$F$1:$F$400,SF_Output!$AC$1:$AC$400,_xlfn.TEXTJOIN(",",TRUE,B180:E180),SF_Output!$Q$1:$Q$400,"monthly")+SUMIFS(SF_Output!$G$1:$G$400,SF_Output!$AC$1:$AC$400,_xlfn.TEXTJOIN(",",TRUE,B180:E180),SF_Output!$Q$1:$Q$400,"monthly"))*H180,AND(B180&lt;&gt;"",H180=SF_Output!$Y$2,SUMIFS(SF_Output!$T$1:$T$400,SF_Output!$AC$1:$AC$400,_xlfn.TEXTJOIN(",",TRUE,B180:E180),SF_Output!$Q$1:$Q$400,"monthly")&lt;&gt;0),SUMIFS(SF_Output!$S$1:$S$400,SF_Output!$AC$1:$AC$400,_xlfn.TEXTJOIN(",",TRUE,B180:E180),SF_Output!$Q$1:$Q$400,"monthly"),AND(B180&lt;&gt;"",H180&lt;&gt;SF_Output!$Y$2),SUMIFS(SF_Output!$S$1:$S$400,SF_Output!$AC$1:$AC$400,_xlfn.TEXTJOIN(",",TRUE,B180:E180),SF_Output!$Q$1:$Q$400,"monthly"))</f>
        <v/>
      </c>
      <c r="W180" s="112" t="str" cm="1">
        <f t="array" ref="W180">_xlfn.IFS(OR(B180=0,B180="",V180=0),"",AF180&lt;&gt;"exclusion",MAX($W$9,$W$7,(-(SUMIFS(SF_Output!$T$1:$T$400,SF_Output!$AC$1:$AC$400,_xlfn.TEXTJOIN(",",TRUE,$B180:$E180),SF_Output!$Q$1:$Q$400,"monthly"))/V180)),AF180="exclusion",-(SUMIFS(SF_Output!$T$1:$T$400,SF_Output!$AC$1:$AC$400,_xlfn.TEXTJOIN(",",TRUE,$B180:$E180),SF_Output!$Q$1:$Q$400,"monthly"))/V180)</f>
        <v/>
      </c>
      <c r="X180" s="6" t="str" cm="1">
        <f t="array" ref="X180">IFERROR(_xlfn.IFS(V180=0,0,V180="","",W180=0,V180,OR(V180&lt;&gt;0,V180&lt;&gt;""),H180*I180),V180*(1-W180))</f>
        <v/>
      </c>
    </row>
    <row r="181" spans="2:24" x14ac:dyDescent="0.25">
      <c r="F181" s="116" t="str">
        <f t="shared" si="8"/>
        <v/>
      </c>
      <c r="G181" t="str">
        <f>IF(B181="","",INDEX(SF_Output!$K$1:$K$400,MATCH(B181,SF_Output!$M$1:$M$400,0)))</f>
        <v/>
      </c>
      <c r="H181" t="str" cm="1">
        <f t="array" ref="H181">_xlfn.IFS(B181="","",(SUMIFS(SF_Output!$F$1:$F$400,SF_Output!$AC$1:$AC$400,_xlfn.TEXTJOIN(",",TRUE,B181:E181))+SUMIFS(SF_Output!$G$1:$G$400,SF_Output!$AC$1:$AC$400,_xlfn.TEXTJOIN(",",TRUE,B181:E181)))&lt;&gt;0,SF_Output!$Y$2,INDEX(SF_Output!$F$1:$F$400,MATCH(_xlfn.TEXTJOIN(",",TRUE,B181:E181),SF_Output!$AC$1:$AC$400,0))=0,INDEX(SF_Output!$R$1:$R$400,MATCH(_xlfn.TEXTJOIN(",",TRUE,B181:E181),SF_Output!$AC$1:$AC$400,0)))</f>
        <v/>
      </c>
      <c r="I181" s="125" t="str">
        <f>IFERROR(IF(AND(H181&gt;1,H181&lt;&gt;""),ROUND(SUMIFS(SF_Output!$S$1:$S$400,SF_Output!$AC$1:$AC$400,_xlfn.TEXTJOIN(",",TRUE,B181:E181),SF_Output!$Q$1:$Q$400,"monthly")*(1-W181)/H181,4),""),"")</f>
        <v/>
      </c>
      <c r="J181" s="6" t="str">
        <f>IF(B181="","",SUMIFS(SF_Output!$S$1:$S$400,SF_Output!$AC$1:$AC$400,_xlfn.TEXTJOIN(",",TRUE,B181:E181),SF_Output!$Q$1:$Q$400,"One Time",SF_Output!$L$1:$L$400,"license fee")+SUMIFS(SF_Output!$S$1:$S$400,SF_Output!$AC$1:$AC$400,_xlfn.TEXTJOIN(",",TRUE,B181:E181),SF_Output!$Q$1:$Q$400,"One Time",SF_Output!$L$1:$L$400,"software license")+SUMIFS(SF_Output!$S$1:$S$400,SF_Output!$AC$1:$AC$400,_xlfn.TEXTJOIN(",",TRUE,B181:E181),SF_Output!$Q$1:$Q$400,"One Time",SF_Output!$L$1:$L$400,"hardware"))</f>
        <v/>
      </c>
      <c r="K181" s="112" t="str">
        <f>IF(OR(B181=0,B181="",G181="hardware",J181=0),"",IF(AF181&lt;&gt;"exclusion",MAX(K$9,-((SUMIFS(SF_Output!$T$1:$T$400,SF_Output!$AC$1:$AC$400,_xlfn.TEXTJOIN(",",TRUE,$B181:$E181),SF_Output!$Q$1:$Q$400,"One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license"))/J181)))</f>
        <v/>
      </c>
      <c r="L181" s="6" t="str">
        <f t="shared" si="9"/>
        <v/>
      </c>
      <c r="N181" s="6" t="str">
        <f>IF(B181="","",SUMIFS(SF_Output!$S$1:$S$400,SF_Output!$AC$1:$AC$400,_xlfn.TEXTJOIN(",",TRUE,B181:E181),SF_Output!$Q$1:$Q$400,"One Time",SF_Output!$L$1:$L$400,"professional service"))</f>
        <v/>
      </c>
      <c r="O181" s="112" t="str">
        <f>IF(OR(B181=0,B181="",N181=0),"",IF(AF181&lt;&gt;"exclusion",MAX(O$9,-(SUMIFS(SF_Output!$T$1:$T$400,SF_Output!$AC$1:$AC$400,_xlfn.TEXTJOIN(",",TRUE,$B181:$E181),SF_Output!$Q$1:$Q$400,"One Time",SF_Output!$L$1:$L$400,"professional service"))/N181),-((SUMIFS(SF_Output!$T$1:$T$400,SF_Output!$AC$1:$AC$400,_xlfn.TEXTJOIN(",",TRUE,$B181:$E181),SF_Output!$Q$1:$Q$400,"One Time",SF_Output!$L$1:$L$400,"professional service")/N181))))</f>
        <v/>
      </c>
      <c r="P181" s="6" t="str">
        <f t="shared" si="10"/>
        <v/>
      </c>
      <c r="R181" s="6" t="str">
        <f>IF(B181="","",SUMIFS(SF_Output!$S$1:$S$400,SF_Output!$AC$1:$AC$400,_xlfn.TEXTJOIN(",",TRUE,B181:E181),SF_Output!$Q$1:$Q$400,"yearly")+SUMIFS(SF_Output!$S$1:$S$400,SF_Output!$AC$1:$AC$400,_xlfn.TEXTJOIN(",",TRUE,B181:E181),SF_Output!$Q$1:$Q$400,"quarterly")*4)</f>
        <v/>
      </c>
      <c r="S181" s="112" t="str">
        <f>IF(OR(B181=0,B181="",G181="hardware",R181=0),"",IF(AF181&lt;&gt;"exclusion",MAX(S$9,-(SUMIFS(SF_Output!$T$1:$T$400,SF_Output!$AC$1:$AC$400,_xlfn.TEXTJOIN(",",TRUE,$B181:$E181),SF_Output!$Q$1:$Q$400,"yearly"))/R181),-((SUMIFS(SF_Output!$T$1:$T$400,SF_Output!$AC$1:$AC$400,_xlfn.TEXTJOIN(",",TRUE,$B181:$E181),SF_Output!$Q$1:$Q$400,"yearly")/R181))))</f>
        <v/>
      </c>
      <c r="T181" s="6" t="str">
        <f t="shared" si="11"/>
        <v/>
      </c>
      <c r="V181" s="6" t="str" cm="1">
        <f t="array" ref="V181">_xlfn.IFS(B181="","",AND(B181&lt;&gt;"",H181=SF_Output!$Y$2,SUMIFS(SF_Output!$T$1:$T$400,SF_Output!$AC$1:$AC$400,_xlfn.TEXTJOIN(",",TRUE,B181:E181),SF_Output!$Q$1:$Q$400,"monthly")=0),(SUMIFS(SF_Output!$F$1:$F$400,SF_Output!$AC$1:$AC$400,_xlfn.TEXTJOIN(",",TRUE,B181:E181),SF_Output!$Q$1:$Q$400,"monthly")+SUMIFS(SF_Output!$G$1:$G$400,SF_Output!$AC$1:$AC$400,_xlfn.TEXTJOIN(",",TRUE,B181:E181),SF_Output!$Q$1:$Q$400,"monthly"))*H181,AND(B181&lt;&gt;"",H181=SF_Output!$Y$2,SUMIFS(SF_Output!$T$1:$T$400,SF_Output!$AC$1:$AC$400,_xlfn.TEXTJOIN(",",TRUE,B181:E181),SF_Output!$Q$1:$Q$400,"monthly")&lt;&gt;0),SUMIFS(SF_Output!$S$1:$S$400,SF_Output!$AC$1:$AC$400,_xlfn.TEXTJOIN(",",TRUE,B181:E181),SF_Output!$Q$1:$Q$400,"monthly"),AND(B181&lt;&gt;"",H181&lt;&gt;SF_Output!$Y$2),SUMIFS(SF_Output!$S$1:$S$400,SF_Output!$AC$1:$AC$400,_xlfn.TEXTJOIN(",",TRUE,B181:E181),SF_Output!$Q$1:$Q$400,"monthly"))</f>
        <v/>
      </c>
      <c r="W181" s="112" t="str" cm="1">
        <f t="array" ref="W181">_xlfn.IFS(OR(B181=0,B181="",V181=0),"",AF181&lt;&gt;"exclusion",MAX($W$9,$W$7,(-(SUMIFS(SF_Output!$T$1:$T$400,SF_Output!$AC$1:$AC$400,_xlfn.TEXTJOIN(",",TRUE,$B181:$E181),SF_Output!$Q$1:$Q$400,"monthly"))/V181)),AF181="exclusion",-(SUMIFS(SF_Output!$T$1:$T$400,SF_Output!$AC$1:$AC$400,_xlfn.TEXTJOIN(",",TRUE,$B181:$E181),SF_Output!$Q$1:$Q$400,"monthly"))/V181)</f>
        <v/>
      </c>
      <c r="X181" s="6" t="str" cm="1">
        <f t="array" ref="X181">IFERROR(_xlfn.IFS(V181=0,0,V181="","",W181=0,V181,OR(V181&lt;&gt;0,V181&lt;&gt;""),H181*I181),V181*(1-W181))</f>
        <v/>
      </c>
    </row>
    <row r="182" spans="2:24" x14ac:dyDescent="0.25">
      <c r="F182" s="116" t="str">
        <f t="shared" si="8"/>
        <v/>
      </c>
      <c r="G182" t="str">
        <f>IF(B182="","",INDEX(SF_Output!$K$1:$K$400,MATCH(B182,SF_Output!$M$1:$M$400,0)))</f>
        <v/>
      </c>
      <c r="H182" t="str" cm="1">
        <f t="array" ref="H182">_xlfn.IFS(B182="","",(SUMIFS(SF_Output!$F$1:$F$400,SF_Output!$AC$1:$AC$400,_xlfn.TEXTJOIN(",",TRUE,B182:E182))+SUMIFS(SF_Output!$G$1:$G$400,SF_Output!$AC$1:$AC$400,_xlfn.TEXTJOIN(",",TRUE,B182:E182)))&lt;&gt;0,SF_Output!$Y$2,INDEX(SF_Output!$F$1:$F$400,MATCH(_xlfn.TEXTJOIN(",",TRUE,B182:E182),SF_Output!$AC$1:$AC$400,0))=0,INDEX(SF_Output!$R$1:$R$400,MATCH(_xlfn.TEXTJOIN(",",TRUE,B182:E182),SF_Output!$AC$1:$AC$400,0)))</f>
        <v/>
      </c>
      <c r="I182" s="125" t="str">
        <f>IFERROR(IF(AND(H182&gt;1,H182&lt;&gt;""),ROUND(SUMIFS(SF_Output!$S$1:$S$400,SF_Output!$AC$1:$AC$400,_xlfn.TEXTJOIN(",",TRUE,B182:E182),SF_Output!$Q$1:$Q$400,"monthly")*(1-W182)/H182,4),""),"")</f>
        <v/>
      </c>
      <c r="J182" s="6" t="str">
        <f>IF(B182="","",SUMIFS(SF_Output!$S$1:$S$400,SF_Output!$AC$1:$AC$400,_xlfn.TEXTJOIN(",",TRUE,B182:E182),SF_Output!$Q$1:$Q$400,"One Time",SF_Output!$L$1:$L$400,"license fee")+SUMIFS(SF_Output!$S$1:$S$400,SF_Output!$AC$1:$AC$400,_xlfn.TEXTJOIN(",",TRUE,B182:E182),SF_Output!$Q$1:$Q$400,"One Time",SF_Output!$L$1:$L$400,"software license")+SUMIFS(SF_Output!$S$1:$S$400,SF_Output!$AC$1:$AC$400,_xlfn.TEXTJOIN(",",TRUE,B182:E182),SF_Output!$Q$1:$Q$400,"One Time",SF_Output!$L$1:$L$400,"hardware"))</f>
        <v/>
      </c>
      <c r="K182" s="112" t="str">
        <f>IF(OR(B182=0,B182="",G182="hardware",J182=0),"",IF(AF182&lt;&gt;"exclusion",MAX(K$9,-((SUMIFS(SF_Output!$T$1:$T$400,SF_Output!$AC$1:$AC$400,_xlfn.TEXTJOIN(",",TRUE,$B182:$E182),SF_Output!$Q$1:$Q$400,"One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license"))/J182)))</f>
        <v/>
      </c>
      <c r="L182" s="6" t="str">
        <f t="shared" si="9"/>
        <v/>
      </c>
      <c r="N182" s="6" t="str">
        <f>IF(B182="","",SUMIFS(SF_Output!$S$1:$S$400,SF_Output!$AC$1:$AC$400,_xlfn.TEXTJOIN(",",TRUE,B182:E182),SF_Output!$Q$1:$Q$400,"One Time",SF_Output!$L$1:$L$400,"professional service"))</f>
        <v/>
      </c>
      <c r="O182" s="112" t="str">
        <f>IF(OR(B182=0,B182="",N182=0),"",IF(AF182&lt;&gt;"exclusion",MAX(O$9,-(SUMIFS(SF_Output!$T$1:$T$400,SF_Output!$AC$1:$AC$400,_xlfn.TEXTJOIN(",",TRUE,$B182:$E182),SF_Output!$Q$1:$Q$400,"One Time",SF_Output!$L$1:$L$400,"professional service"))/N182),-((SUMIFS(SF_Output!$T$1:$T$400,SF_Output!$AC$1:$AC$400,_xlfn.TEXTJOIN(",",TRUE,$B182:$E182),SF_Output!$Q$1:$Q$400,"One Time",SF_Output!$L$1:$L$400,"professional service")/N182))))</f>
        <v/>
      </c>
      <c r="P182" s="6" t="str">
        <f t="shared" si="10"/>
        <v/>
      </c>
      <c r="R182" s="6" t="str">
        <f>IF(B182="","",SUMIFS(SF_Output!$S$1:$S$400,SF_Output!$AC$1:$AC$400,_xlfn.TEXTJOIN(",",TRUE,B182:E182),SF_Output!$Q$1:$Q$400,"yearly")+SUMIFS(SF_Output!$S$1:$S$400,SF_Output!$AC$1:$AC$400,_xlfn.TEXTJOIN(",",TRUE,B182:E182),SF_Output!$Q$1:$Q$400,"quarterly")*4)</f>
        <v/>
      </c>
      <c r="S182" s="112" t="str">
        <f>IF(OR(B182=0,B182="",G182="hardware",R182=0),"",IF(AF182&lt;&gt;"exclusion",MAX(S$9,-(SUMIFS(SF_Output!$T$1:$T$400,SF_Output!$AC$1:$AC$400,_xlfn.TEXTJOIN(",",TRUE,$B182:$E182),SF_Output!$Q$1:$Q$400,"yearly"))/R182),-((SUMIFS(SF_Output!$T$1:$T$400,SF_Output!$AC$1:$AC$400,_xlfn.TEXTJOIN(",",TRUE,$B182:$E182),SF_Output!$Q$1:$Q$400,"yearly")/R182))))</f>
        <v/>
      </c>
      <c r="T182" s="6" t="str">
        <f t="shared" si="11"/>
        <v/>
      </c>
      <c r="V182" s="6" t="str" cm="1">
        <f t="array" ref="V182">_xlfn.IFS(B182="","",AND(B182&lt;&gt;"",H182=SF_Output!$Y$2,SUMIFS(SF_Output!$T$1:$T$400,SF_Output!$AC$1:$AC$400,_xlfn.TEXTJOIN(",",TRUE,B182:E182),SF_Output!$Q$1:$Q$400,"monthly")=0),(SUMIFS(SF_Output!$F$1:$F$400,SF_Output!$AC$1:$AC$400,_xlfn.TEXTJOIN(",",TRUE,B182:E182),SF_Output!$Q$1:$Q$400,"monthly")+SUMIFS(SF_Output!$G$1:$G$400,SF_Output!$AC$1:$AC$400,_xlfn.TEXTJOIN(",",TRUE,B182:E182),SF_Output!$Q$1:$Q$400,"monthly"))*H182,AND(B182&lt;&gt;"",H182=SF_Output!$Y$2,SUMIFS(SF_Output!$T$1:$T$400,SF_Output!$AC$1:$AC$400,_xlfn.TEXTJOIN(",",TRUE,B182:E182),SF_Output!$Q$1:$Q$400,"monthly")&lt;&gt;0),SUMIFS(SF_Output!$S$1:$S$400,SF_Output!$AC$1:$AC$400,_xlfn.TEXTJOIN(",",TRUE,B182:E182),SF_Output!$Q$1:$Q$400,"monthly"),AND(B182&lt;&gt;"",H182&lt;&gt;SF_Output!$Y$2),SUMIFS(SF_Output!$S$1:$S$400,SF_Output!$AC$1:$AC$400,_xlfn.TEXTJOIN(",",TRUE,B182:E182),SF_Output!$Q$1:$Q$400,"monthly"))</f>
        <v/>
      </c>
      <c r="W182" s="112" t="str" cm="1">
        <f t="array" ref="W182">_xlfn.IFS(OR(B182=0,B182="",V182=0),"",AF182&lt;&gt;"exclusion",MAX($W$9,$W$7,(-(SUMIFS(SF_Output!$T$1:$T$400,SF_Output!$AC$1:$AC$400,_xlfn.TEXTJOIN(",",TRUE,$B182:$E182),SF_Output!$Q$1:$Q$400,"monthly"))/V182)),AF182="exclusion",-(SUMIFS(SF_Output!$T$1:$T$400,SF_Output!$AC$1:$AC$400,_xlfn.TEXTJOIN(",",TRUE,$B182:$E182),SF_Output!$Q$1:$Q$400,"monthly"))/V182)</f>
        <v/>
      </c>
      <c r="X182" s="6" t="str" cm="1">
        <f t="array" ref="X182">IFERROR(_xlfn.IFS(V182=0,0,V182="","",W182=0,V182,OR(V182&lt;&gt;0,V182&lt;&gt;""),H182*I182),V182*(1-W182))</f>
        <v/>
      </c>
    </row>
    <row r="183" spans="2:24" x14ac:dyDescent="0.25">
      <c r="F183" s="116" t="str">
        <f t="shared" si="8"/>
        <v/>
      </c>
      <c r="G183" t="str">
        <f>IF(B183="","",INDEX(SF_Output!$K$1:$K$400,MATCH(B183,SF_Output!$M$1:$M$400,0)))</f>
        <v/>
      </c>
      <c r="H183" t="str" cm="1">
        <f t="array" ref="H183">_xlfn.IFS(B183="","",(SUMIFS(SF_Output!$F$1:$F$400,SF_Output!$AC$1:$AC$400,_xlfn.TEXTJOIN(",",TRUE,B183:E183))+SUMIFS(SF_Output!$G$1:$G$400,SF_Output!$AC$1:$AC$400,_xlfn.TEXTJOIN(",",TRUE,B183:E183)))&lt;&gt;0,SF_Output!$Y$2,INDEX(SF_Output!$F$1:$F$400,MATCH(_xlfn.TEXTJOIN(",",TRUE,B183:E183),SF_Output!$AC$1:$AC$400,0))=0,INDEX(SF_Output!$R$1:$R$400,MATCH(_xlfn.TEXTJOIN(",",TRUE,B183:E183),SF_Output!$AC$1:$AC$400,0)))</f>
        <v/>
      </c>
      <c r="I183" s="125" t="str">
        <f>IFERROR(IF(AND(H183&gt;1,H183&lt;&gt;""),ROUND(SUMIFS(SF_Output!$S$1:$S$400,SF_Output!$AC$1:$AC$400,_xlfn.TEXTJOIN(",",TRUE,B183:E183),SF_Output!$Q$1:$Q$400,"monthly")*(1-W183)/H183,4),""),"")</f>
        <v/>
      </c>
      <c r="J183" s="6" t="str">
        <f>IF(B183="","",SUMIFS(SF_Output!$S$1:$S$400,SF_Output!$AC$1:$AC$400,_xlfn.TEXTJOIN(",",TRUE,B183:E183),SF_Output!$Q$1:$Q$400,"One Time",SF_Output!$L$1:$L$400,"license fee")+SUMIFS(SF_Output!$S$1:$S$400,SF_Output!$AC$1:$AC$400,_xlfn.TEXTJOIN(",",TRUE,B183:E183),SF_Output!$Q$1:$Q$400,"One Time",SF_Output!$L$1:$L$400,"software license")+SUMIFS(SF_Output!$S$1:$S$400,SF_Output!$AC$1:$AC$400,_xlfn.TEXTJOIN(",",TRUE,B183:E183),SF_Output!$Q$1:$Q$400,"One Time",SF_Output!$L$1:$L$400,"hardware"))</f>
        <v/>
      </c>
      <c r="K183" s="112" t="str">
        <f>IF(OR(B183=0,B183="",G183="hardware",J183=0),"",IF(AF183&lt;&gt;"exclusion",MAX(K$9,-((SUMIFS(SF_Output!$T$1:$T$400,SF_Output!$AC$1:$AC$400,_xlfn.TEXTJOIN(",",TRUE,$B183:$E183),SF_Output!$Q$1:$Q$400,"One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license"))/J183)))</f>
        <v/>
      </c>
      <c r="L183" s="6" t="str">
        <f t="shared" si="9"/>
        <v/>
      </c>
      <c r="N183" s="6" t="str">
        <f>IF(B183="","",SUMIFS(SF_Output!$S$1:$S$400,SF_Output!$AC$1:$AC$400,_xlfn.TEXTJOIN(",",TRUE,B183:E183),SF_Output!$Q$1:$Q$400,"One Time",SF_Output!$L$1:$L$400,"professional service"))</f>
        <v/>
      </c>
      <c r="O183" s="112" t="str">
        <f>IF(OR(B183=0,B183="",N183=0),"",IF(AF183&lt;&gt;"exclusion",MAX(O$9,-(SUMIFS(SF_Output!$T$1:$T$400,SF_Output!$AC$1:$AC$400,_xlfn.TEXTJOIN(",",TRUE,$B183:$E183),SF_Output!$Q$1:$Q$400,"One Time",SF_Output!$L$1:$L$400,"professional service"))/N183),-((SUMIFS(SF_Output!$T$1:$T$400,SF_Output!$AC$1:$AC$400,_xlfn.TEXTJOIN(",",TRUE,$B183:$E183),SF_Output!$Q$1:$Q$400,"One Time",SF_Output!$L$1:$L$400,"professional service")/N183))))</f>
        <v/>
      </c>
      <c r="P183" s="6" t="str">
        <f t="shared" si="10"/>
        <v/>
      </c>
      <c r="R183" s="6" t="str">
        <f>IF(B183="","",SUMIFS(SF_Output!$S$1:$S$400,SF_Output!$AC$1:$AC$400,_xlfn.TEXTJOIN(",",TRUE,B183:E183),SF_Output!$Q$1:$Q$400,"yearly")+SUMIFS(SF_Output!$S$1:$S$400,SF_Output!$AC$1:$AC$400,_xlfn.TEXTJOIN(",",TRUE,B183:E183),SF_Output!$Q$1:$Q$400,"quarterly")*4)</f>
        <v/>
      </c>
      <c r="S183" s="112" t="str">
        <f>IF(OR(B183=0,B183="",G183="hardware",R183=0),"",IF(AF183&lt;&gt;"exclusion",MAX(S$9,-(SUMIFS(SF_Output!$T$1:$T$400,SF_Output!$AC$1:$AC$400,_xlfn.TEXTJOIN(",",TRUE,$B183:$E183),SF_Output!$Q$1:$Q$400,"yearly"))/R183),-((SUMIFS(SF_Output!$T$1:$T$400,SF_Output!$AC$1:$AC$400,_xlfn.TEXTJOIN(",",TRUE,$B183:$E183),SF_Output!$Q$1:$Q$400,"yearly")/R183))))</f>
        <v/>
      </c>
      <c r="T183" s="6" t="str">
        <f t="shared" si="11"/>
        <v/>
      </c>
      <c r="V183" s="6" t="str" cm="1">
        <f t="array" ref="V183">_xlfn.IFS(B183="","",AND(B183&lt;&gt;"",H183=SF_Output!$Y$2,SUMIFS(SF_Output!$T$1:$T$400,SF_Output!$AC$1:$AC$400,_xlfn.TEXTJOIN(",",TRUE,B183:E183),SF_Output!$Q$1:$Q$400,"monthly")=0),(SUMIFS(SF_Output!$F$1:$F$400,SF_Output!$AC$1:$AC$400,_xlfn.TEXTJOIN(",",TRUE,B183:E183),SF_Output!$Q$1:$Q$400,"monthly")+SUMIFS(SF_Output!$G$1:$G$400,SF_Output!$AC$1:$AC$400,_xlfn.TEXTJOIN(",",TRUE,B183:E183),SF_Output!$Q$1:$Q$400,"monthly"))*H183,AND(B183&lt;&gt;"",H183=SF_Output!$Y$2,SUMIFS(SF_Output!$T$1:$T$400,SF_Output!$AC$1:$AC$400,_xlfn.TEXTJOIN(",",TRUE,B183:E183),SF_Output!$Q$1:$Q$400,"monthly")&lt;&gt;0),SUMIFS(SF_Output!$S$1:$S$400,SF_Output!$AC$1:$AC$400,_xlfn.TEXTJOIN(",",TRUE,B183:E183),SF_Output!$Q$1:$Q$400,"monthly"),AND(B183&lt;&gt;"",H183&lt;&gt;SF_Output!$Y$2),SUMIFS(SF_Output!$S$1:$S$400,SF_Output!$AC$1:$AC$400,_xlfn.TEXTJOIN(",",TRUE,B183:E183),SF_Output!$Q$1:$Q$400,"monthly"))</f>
        <v/>
      </c>
      <c r="W183" s="112" t="str" cm="1">
        <f t="array" ref="W183">_xlfn.IFS(OR(B183=0,B183="",V183=0),"",AF183&lt;&gt;"exclusion",MAX($W$9,$W$7,(-(SUMIFS(SF_Output!$T$1:$T$400,SF_Output!$AC$1:$AC$400,_xlfn.TEXTJOIN(",",TRUE,$B183:$E183),SF_Output!$Q$1:$Q$400,"monthly"))/V183)),AF183="exclusion",-(SUMIFS(SF_Output!$T$1:$T$400,SF_Output!$AC$1:$AC$400,_xlfn.TEXTJOIN(",",TRUE,$B183:$E183),SF_Output!$Q$1:$Q$400,"monthly"))/V183)</f>
        <v/>
      </c>
      <c r="X183" s="6" t="str" cm="1">
        <f t="array" ref="X183">IFERROR(_xlfn.IFS(V183=0,0,V183="","",W183=0,V183,OR(V183&lt;&gt;0,V183&lt;&gt;""),H183*I183),V183*(1-W183))</f>
        <v/>
      </c>
    </row>
    <row r="184" spans="2:24" x14ac:dyDescent="0.25">
      <c r="F184" s="116" t="str">
        <f t="shared" si="8"/>
        <v/>
      </c>
      <c r="G184" t="str">
        <f>IF(B184="","",INDEX(SF_Output!$K$1:$K$400,MATCH(B184,SF_Output!$M$1:$M$400,0)))</f>
        <v/>
      </c>
      <c r="H184" t="str" cm="1">
        <f t="array" ref="H184">_xlfn.IFS(B184="","",(SUMIFS(SF_Output!$F$1:$F$400,SF_Output!$AC$1:$AC$400,_xlfn.TEXTJOIN(",",TRUE,B184:E184))+SUMIFS(SF_Output!$G$1:$G$400,SF_Output!$AC$1:$AC$400,_xlfn.TEXTJOIN(",",TRUE,B184:E184)))&lt;&gt;0,SF_Output!$Y$2,INDEX(SF_Output!$F$1:$F$400,MATCH(_xlfn.TEXTJOIN(",",TRUE,B184:E184),SF_Output!$AC$1:$AC$400,0))=0,INDEX(SF_Output!$R$1:$R$400,MATCH(_xlfn.TEXTJOIN(",",TRUE,B184:E184),SF_Output!$AC$1:$AC$400,0)))</f>
        <v/>
      </c>
      <c r="I184" s="125" t="str">
        <f>IFERROR(IF(AND(H184&gt;1,H184&lt;&gt;""),ROUND(SUMIFS(SF_Output!$S$1:$S$400,SF_Output!$AC$1:$AC$400,_xlfn.TEXTJOIN(",",TRUE,B184:E184),SF_Output!$Q$1:$Q$400,"monthly")*(1-W184)/H184,4),""),"")</f>
        <v/>
      </c>
      <c r="J184" s="6" t="str">
        <f>IF(B184="","",SUMIFS(SF_Output!$S$1:$S$400,SF_Output!$AC$1:$AC$400,_xlfn.TEXTJOIN(",",TRUE,B184:E184),SF_Output!$Q$1:$Q$400,"One Time",SF_Output!$L$1:$L$400,"license fee")+SUMIFS(SF_Output!$S$1:$S$400,SF_Output!$AC$1:$AC$400,_xlfn.TEXTJOIN(",",TRUE,B184:E184),SF_Output!$Q$1:$Q$400,"One Time",SF_Output!$L$1:$L$400,"software license")+SUMIFS(SF_Output!$S$1:$S$400,SF_Output!$AC$1:$AC$400,_xlfn.TEXTJOIN(",",TRUE,B184:E184),SF_Output!$Q$1:$Q$400,"One Time",SF_Output!$L$1:$L$400,"hardware"))</f>
        <v/>
      </c>
      <c r="K184" s="112" t="str">
        <f>IF(OR(B184=0,B184="",G184="hardware",J184=0),"",IF(AF184&lt;&gt;"exclusion",MAX(K$9,-((SUMIFS(SF_Output!$T$1:$T$400,SF_Output!$AC$1:$AC$400,_xlfn.TEXTJOIN(",",TRUE,$B184:$E184),SF_Output!$Q$1:$Q$400,"One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license"))/J184)))</f>
        <v/>
      </c>
      <c r="L184" s="6" t="str">
        <f t="shared" si="9"/>
        <v/>
      </c>
      <c r="N184" s="6" t="str">
        <f>IF(B184="","",SUMIFS(SF_Output!$S$1:$S$400,SF_Output!$AC$1:$AC$400,_xlfn.TEXTJOIN(",",TRUE,B184:E184),SF_Output!$Q$1:$Q$400,"One Time",SF_Output!$L$1:$L$400,"professional service"))</f>
        <v/>
      </c>
      <c r="O184" s="112" t="str">
        <f>IF(OR(B184=0,B184="",N184=0),"",IF(AF184&lt;&gt;"exclusion",MAX(O$9,-(SUMIFS(SF_Output!$T$1:$T$400,SF_Output!$AC$1:$AC$400,_xlfn.TEXTJOIN(",",TRUE,$B184:$E184),SF_Output!$Q$1:$Q$400,"One Time",SF_Output!$L$1:$L$400,"professional service"))/N184),-((SUMIFS(SF_Output!$T$1:$T$400,SF_Output!$AC$1:$AC$400,_xlfn.TEXTJOIN(",",TRUE,$B184:$E184),SF_Output!$Q$1:$Q$400,"One Time",SF_Output!$L$1:$L$400,"professional service")/N184))))</f>
        <v/>
      </c>
      <c r="P184" s="6" t="str">
        <f t="shared" si="10"/>
        <v/>
      </c>
      <c r="R184" s="6" t="str">
        <f>IF(B184="","",SUMIFS(SF_Output!$S$1:$S$400,SF_Output!$AC$1:$AC$400,_xlfn.TEXTJOIN(",",TRUE,B184:E184),SF_Output!$Q$1:$Q$400,"yearly")+SUMIFS(SF_Output!$S$1:$S$400,SF_Output!$AC$1:$AC$400,_xlfn.TEXTJOIN(",",TRUE,B184:E184),SF_Output!$Q$1:$Q$400,"quarterly")*4)</f>
        <v/>
      </c>
      <c r="S184" s="112" t="str">
        <f>IF(OR(B184=0,B184="",G184="hardware",R184=0),"",IF(AF184&lt;&gt;"exclusion",MAX(S$9,-(SUMIFS(SF_Output!$T$1:$T$400,SF_Output!$AC$1:$AC$400,_xlfn.TEXTJOIN(",",TRUE,$B184:$E184),SF_Output!$Q$1:$Q$400,"yearly"))/R184),-((SUMIFS(SF_Output!$T$1:$T$400,SF_Output!$AC$1:$AC$400,_xlfn.TEXTJOIN(",",TRUE,$B184:$E184),SF_Output!$Q$1:$Q$400,"yearly")/R184))))</f>
        <v/>
      </c>
      <c r="T184" s="6" t="str">
        <f t="shared" si="11"/>
        <v/>
      </c>
      <c r="V184" s="6" t="str" cm="1">
        <f t="array" ref="V184">_xlfn.IFS(B184="","",AND(B184&lt;&gt;"",H184=SF_Output!$Y$2,SUMIFS(SF_Output!$T$1:$T$400,SF_Output!$AC$1:$AC$400,_xlfn.TEXTJOIN(",",TRUE,B184:E184),SF_Output!$Q$1:$Q$400,"monthly")=0),(SUMIFS(SF_Output!$F$1:$F$400,SF_Output!$AC$1:$AC$400,_xlfn.TEXTJOIN(",",TRUE,B184:E184),SF_Output!$Q$1:$Q$400,"monthly")+SUMIFS(SF_Output!$G$1:$G$400,SF_Output!$AC$1:$AC$400,_xlfn.TEXTJOIN(",",TRUE,B184:E184),SF_Output!$Q$1:$Q$400,"monthly"))*H184,AND(B184&lt;&gt;"",H184=SF_Output!$Y$2,SUMIFS(SF_Output!$T$1:$T$400,SF_Output!$AC$1:$AC$400,_xlfn.TEXTJOIN(",",TRUE,B184:E184),SF_Output!$Q$1:$Q$400,"monthly")&lt;&gt;0),SUMIFS(SF_Output!$S$1:$S$400,SF_Output!$AC$1:$AC$400,_xlfn.TEXTJOIN(",",TRUE,B184:E184),SF_Output!$Q$1:$Q$400,"monthly"),AND(B184&lt;&gt;"",H184&lt;&gt;SF_Output!$Y$2),SUMIFS(SF_Output!$S$1:$S$400,SF_Output!$AC$1:$AC$400,_xlfn.TEXTJOIN(",",TRUE,B184:E184),SF_Output!$Q$1:$Q$400,"monthly"))</f>
        <v/>
      </c>
      <c r="W184" s="112" t="str" cm="1">
        <f t="array" ref="W184">_xlfn.IFS(OR(B184=0,B184="",V184=0),"",AF184&lt;&gt;"exclusion",MAX($W$9,$W$7,(-(SUMIFS(SF_Output!$T$1:$T$400,SF_Output!$AC$1:$AC$400,_xlfn.TEXTJOIN(",",TRUE,$B184:$E184),SF_Output!$Q$1:$Q$400,"monthly"))/V184)),AF184="exclusion",-(SUMIFS(SF_Output!$T$1:$T$400,SF_Output!$AC$1:$AC$400,_xlfn.TEXTJOIN(",",TRUE,$B184:$E184),SF_Output!$Q$1:$Q$400,"monthly"))/V184)</f>
        <v/>
      </c>
      <c r="X184" s="6" t="str" cm="1">
        <f t="array" ref="X184">IFERROR(_xlfn.IFS(V184=0,0,V184="","",W184=0,V184,OR(V184&lt;&gt;0,V184&lt;&gt;""),H184*I184),V184*(1-W184))</f>
        <v/>
      </c>
    </row>
    <row r="185" spans="2:24" x14ac:dyDescent="0.25">
      <c r="F185" s="116" t="str">
        <f t="shared" si="8"/>
        <v/>
      </c>
      <c r="G185" t="str">
        <f>IF(B185="","",INDEX(SF_Output!$K$1:$K$400,MATCH(B185,SF_Output!$M$1:$M$400,0)))</f>
        <v/>
      </c>
      <c r="H185" t="str" cm="1">
        <f t="array" ref="H185">_xlfn.IFS(B185="","",(SUMIFS(SF_Output!$F$1:$F$400,SF_Output!$AC$1:$AC$400,_xlfn.TEXTJOIN(",",TRUE,B185:E185))+SUMIFS(SF_Output!$G$1:$G$400,SF_Output!$AC$1:$AC$400,_xlfn.TEXTJOIN(",",TRUE,B185:E185)))&lt;&gt;0,SF_Output!$Y$2,INDEX(SF_Output!$F$1:$F$400,MATCH(_xlfn.TEXTJOIN(",",TRUE,B185:E185),SF_Output!$AC$1:$AC$400,0))=0,INDEX(SF_Output!$R$1:$R$400,MATCH(_xlfn.TEXTJOIN(",",TRUE,B185:E185),SF_Output!$AC$1:$AC$400,0)))</f>
        <v/>
      </c>
      <c r="I185" s="125" t="str">
        <f>IFERROR(IF(AND(H185&gt;1,H185&lt;&gt;""),ROUND(SUMIFS(SF_Output!$S$1:$S$400,SF_Output!$AC$1:$AC$400,_xlfn.TEXTJOIN(",",TRUE,B185:E185),SF_Output!$Q$1:$Q$400,"monthly")*(1-W185)/H185,4),""),"")</f>
        <v/>
      </c>
      <c r="J185" s="6" t="str">
        <f>IF(B185="","",SUMIFS(SF_Output!$S$1:$S$400,SF_Output!$AC$1:$AC$400,_xlfn.TEXTJOIN(",",TRUE,B185:E185),SF_Output!$Q$1:$Q$400,"One Time",SF_Output!$L$1:$L$400,"license fee")+SUMIFS(SF_Output!$S$1:$S$400,SF_Output!$AC$1:$AC$400,_xlfn.TEXTJOIN(",",TRUE,B185:E185),SF_Output!$Q$1:$Q$400,"One Time",SF_Output!$L$1:$L$400,"software license")+SUMIFS(SF_Output!$S$1:$S$400,SF_Output!$AC$1:$AC$400,_xlfn.TEXTJOIN(",",TRUE,B185:E185),SF_Output!$Q$1:$Q$400,"One Time",SF_Output!$L$1:$L$400,"hardware"))</f>
        <v/>
      </c>
      <c r="K185" s="112" t="str">
        <f>IF(OR(B185=0,B185="",G185="hardware",J185=0),"",IF(AF185&lt;&gt;"exclusion",MAX(K$9,-((SUMIFS(SF_Output!$T$1:$T$400,SF_Output!$AC$1:$AC$400,_xlfn.TEXTJOIN(",",TRUE,$B185:$E185),SF_Output!$Q$1:$Q$400,"One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license"))/J185)))</f>
        <v/>
      </c>
      <c r="L185" s="6" t="str">
        <f t="shared" si="9"/>
        <v/>
      </c>
      <c r="N185" s="6" t="str">
        <f>IF(B185="","",SUMIFS(SF_Output!$S$1:$S$400,SF_Output!$AC$1:$AC$400,_xlfn.TEXTJOIN(",",TRUE,B185:E185),SF_Output!$Q$1:$Q$400,"One Time",SF_Output!$L$1:$L$400,"professional service"))</f>
        <v/>
      </c>
      <c r="O185" s="112" t="str">
        <f>IF(OR(B185=0,B185="",N185=0),"",IF(AF185&lt;&gt;"exclusion",MAX(O$9,-(SUMIFS(SF_Output!$T$1:$T$400,SF_Output!$AC$1:$AC$400,_xlfn.TEXTJOIN(",",TRUE,$B185:$E185),SF_Output!$Q$1:$Q$400,"One Time",SF_Output!$L$1:$L$400,"professional service"))/N185),-((SUMIFS(SF_Output!$T$1:$T$400,SF_Output!$AC$1:$AC$400,_xlfn.TEXTJOIN(",",TRUE,$B185:$E185),SF_Output!$Q$1:$Q$400,"One Time",SF_Output!$L$1:$L$400,"professional service")/N185))))</f>
        <v/>
      </c>
      <c r="P185" s="6" t="str">
        <f t="shared" si="10"/>
        <v/>
      </c>
      <c r="R185" s="6" t="str">
        <f>IF(B185="","",SUMIFS(SF_Output!$S$1:$S$400,SF_Output!$AC$1:$AC$400,_xlfn.TEXTJOIN(",",TRUE,B185:E185),SF_Output!$Q$1:$Q$400,"yearly")+SUMIFS(SF_Output!$S$1:$S$400,SF_Output!$AC$1:$AC$400,_xlfn.TEXTJOIN(",",TRUE,B185:E185),SF_Output!$Q$1:$Q$400,"quarterly")*4)</f>
        <v/>
      </c>
      <c r="S185" s="112" t="str">
        <f>IF(OR(B185=0,B185="",G185="hardware",R185=0),"",IF(AF185&lt;&gt;"exclusion",MAX(S$9,-(SUMIFS(SF_Output!$T$1:$T$400,SF_Output!$AC$1:$AC$400,_xlfn.TEXTJOIN(",",TRUE,$B185:$E185),SF_Output!$Q$1:$Q$400,"yearly"))/R185),-((SUMIFS(SF_Output!$T$1:$T$400,SF_Output!$AC$1:$AC$400,_xlfn.TEXTJOIN(",",TRUE,$B185:$E185),SF_Output!$Q$1:$Q$400,"yearly")/R185))))</f>
        <v/>
      </c>
      <c r="T185" s="6" t="str">
        <f t="shared" si="11"/>
        <v/>
      </c>
      <c r="V185" s="6" t="str" cm="1">
        <f t="array" ref="V185">_xlfn.IFS(B185="","",AND(B185&lt;&gt;"",H185=SF_Output!$Y$2,SUMIFS(SF_Output!$T$1:$T$400,SF_Output!$AC$1:$AC$400,_xlfn.TEXTJOIN(",",TRUE,B185:E185),SF_Output!$Q$1:$Q$400,"monthly")=0),(SUMIFS(SF_Output!$F$1:$F$400,SF_Output!$AC$1:$AC$400,_xlfn.TEXTJOIN(",",TRUE,B185:E185),SF_Output!$Q$1:$Q$400,"monthly")+SUMIFS(SF_Output!$G$1:$G$400,SF_Output!$AC$1:$AC$400,_xlfn.TEXTJOIN(",",TRUE,B185:E185),SF_Output!$Q$1:$Q$400,"monthly"))*H185,AND(B185&lt;&gt;"",H185=SF_Output!$Y$2,SUMIFS(SF_Output!$T$1:$T$400,SF_Output!$AC$1:$AC$400,_xlfn.TEXTJOIN(",",TRUE,B185:E185),SF_Output!$Q$1:$Q$400,"monthly")&lt;&gt;0),SUMIFS(SF_Output!$S$1:$S$400,SF_Output!$AC$1:$AC$400,_xlfn.TEXTJOIN(",",TRUE,B185:E185),SF_Output!$Q$1:$Q$400,"monthly"),AND(B185&lt;&gt;"",H185&lt;&gt;SF_Output!$Y$2),SUMIFS(SF_Output!$S$1:$S$400,SF_Output!$AC$1:$AC$400,_xlfn.TEXTJOIN(",",TRUE,B185:E185),SF_Output!$Q$1:$Q$400,"monthly"))</f>
        <v/>
      </c>
      <c r="W185" s="112" t="str" cm="1">
        <f t="array" ref="W185">_xlfn.IFS(OR(B185=0,B185="",V185=0),"",AF185&lt;&gt;"exclusion",MAX($W$9,$W$7,(-(SUMIFS(SF_Output!$T$1:$T$400,SF_Output!$AC$1:$AC$400,_xlfn.TEXTJOIN(",",TRUE,$B185:$E185),SF_Output!$Q$1:$Q$400,"monthly"))/V185)),AF185="exclusion",-(SUMIFS(SF_Output!$T$1:$T$400,SF_Output!$AC$1:$AC$400,_xlfn.TEXTJOIN(",",TRUE,$B185:$E185),SF_Output!$Q$1:$Q$400,"monthly"))/V185)</f>
        <v/>
      </c>
      <c r="X185" s="6" t="str" cm="1">
        <f t="array" ref="X185">IFERROR(_xlfn.IFS(V185=0,0,V185="","",W185=0,V185,OR(V185&lt;&gt;0,V185&lt;&gt;""),H185*I185),V185*(1-W185))</f>
        <v/>
      </c>
    </row>
    <row r="186" spans="2:24" x14ac:dyDescent="0.25">
      <c r="F186" s="116" t="str">
        <f t="shared" si="8"/>
        <v/>
      </c>
      <c r="G186" t="str">
        <f>IF(B186="","",INDEX(SF_Output!$K$1:$K$400,MATCH(B186,SF_Output!$M$1:$M$400,0)))</f>
        <v/>
      </c>
      <c r="H186" t="str" cm="1">
        <f t="array" ref="H186">_xlfn.IFS(B186="","",(SUMIFS(SF_Output!$F$1:$F$400,SF_Output!$AC$1:$AC$400,_xlfn.TEXTJOIN(",",TRUE,B186:E186))+SUMIFS(SF_Output!$G$1:$G$400,SF_Output!$AC$1:$AC$400,_xlfn.TEXTJOIN(",",TRUE,B186:E186)))&lt;&gt;0,SF_Output!$Y$2,INDEX(SF_Output!$F$1:$F$400,MATCH(_xlfn.TEXTJOIN(",",TRUE,B186:E186),SF_Output!$AC$1:$AC$400,0))=0,INDEX(SF_Output!$R$1:$R$400,MATCH(_xlfn.TEXTJOIN(",",TRUE,B186:E186),SF_Output!$AC$1:$AC$400,0)))</f>
        <v/>
      </c>
      <c r="I186" s="125" t="str">
        <f>IFERROR(IF(AND(H186&gt;1,H186&lt;&gt;""),ROUND(SUMIFS(SF_Output!$S$1:$S$400,SF_Output!$AC$1:$AC$400,_xlfn.TEXTJOIN(",",TRUE,B186:E186),SF_Output!$Q$1:$Q$400,"monthly")*(1-W186)/H186,4),""),"")</f>
        <v/>
      </c>
      <c r="J186" s="6" t="str">
        <f>IF(B186="","",SUMIFS(SF_Output!$S$1:$S$400,SF_Output!$AC$1:$AC$400,_xlfn.TEXTJOIN(",",TRUE,B186:E186),SF_Output!$Q$1:$Q$400,"One Time",SF_Output!$L$1:$L$400,"license fee")+SUMIFS(SF_Output!$S$1:$S$400,SF_Output!$AC$1:$AC$400,_xlfn.TEXTJOIN(",",TRUE,B186:E186),SF_Output!$Q$1:$Q$400,"One Time",SF_Output!$L$1:$L$400,"software license")+SUMIFS(SF_Output!$S$1:$S$400,SF_Output!$AC$1:$AC$400,_xlfn.TEXTJOIN(",",TRUE,B186:E186),SF_Output!$Q$1:$Q$400,"One Time",SF_Output!$L$1:$L$400,"hardware"))</f>
        <v/>
      </c>
      <c r="K186" s="112" t="str">
        <f>IF(OR(B186=0,B186="",G186="hardware",J186=0),"",IF(AF186&lt;&gt;"exclusion",MAX(K$9,-((SUMIFS(SF_Output!$T$1:$T$400,SF_Output!$AC$1:$AC$400,_xlfn.TEXTJOIN(",",TRUE,$B186:$E186),SF_Output!$Q$1:$Q$400,"One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license"))/J186)))</f>
        <v/>
      </c>
      <c r="L186" s="6" t="str">
        <f t="shared" si="9"/>
        <v/>
      </c>
      <c r="N186" s="6" t="str">
        <f>IF(B186="","",SUMIFS(SF_Output!$S$1:$S$400,SF_Output!$AC$1:$AC$400,_xlfn.TEXTJOIN(",",TRUE,B186:E186),SF_Output!$Q$1:$Q$400,"One Time",SF_Output!$L$1:$L$400,"professional service"))</f>
        <v/>
      </c>
      <c r="O186" s="112" t="str">
        <f>IF(OR(B186=0,B186="",N186=0),"",IF(AF186&lt;&gt;"exclusion",MAX(O$9,-(SUMIFS(SF_Output!$T$1:$T$400,SF_Output!$AC$1:$AC$400,_xlfn.TEXTJOIN(",",TRUE,$B186:$E186),SF_Output!$Q$1:$Q$400,"One Time",SF_Output!$L$1:$L$400,"professional service"))/N186),-((SUMIFS(SF_Output!$T$1:$T$400,SF_Output!$AC$1:$AC$400,_xlfn.TEXTJOIN(",",TRUE,$B186:$E186),SF_Output!$Q$1:$Q$400,"One Time",SF_Output!$L$1:$L$400,"professional service")/N186))))</f>
        <v/>
      </c>
      <c r="P186" s="6" t="str">
        <f t="shared" si="10"/>
        <v/>
      </c>
      <c r="R186" s="6" t="str">
        <f>IF(B186="","",SUMIFS(SF_Output!$S$1:$S$400,SF_Output!$AC$1:$AC$400,_xlfn.TEXTJOIN(",",TRUE,B186:E186),SF_Output!$Q$1:$Q$400,"yearly")+SUMIFS(SF_Output!$S$1:$S$400,SF_Output!$AC$1:$AC$400,_xlfn.TEXTJOIN(",",TRUE,B186:E186),SF_Output!$Q$1:$Q$400,"quarterly")*4)</f>
        <v/>
      </c>
      <c r="S186" s="112" t="str">
        <f>IF(OR(B186=0,B186="",G186="hardware",R186=0),"",IF(AF186&lt;&gt;"exclusion",MAX(S$9,-(SUMIFS(SF_Output!$T$1:$T$400,SF_Output!$AC$1:$AC$400,_xlfn.TEXTJOIN(",",TRUE,$B186:$E186),SF_Output!$Q$1:$Q$400,"yearly"))/R186),-((SUMIFS(SF_Output!$T$1:$T$400,SF_Output!$AC$1:$AC$400,_xlfn.TEXTJOIN(",",TRUE,$B186:$E186),SF_Output!$Q$1:$Q$400,"yearly")/R186))))</f>
        <v/>
      </c>
      <c r="T186" s="6" t="str">
        <f t="shared" si="11"/>
        <v/>
      </c>
      <c r="V186" s="6" t="str" cm="1">
        <f t="array" ref="V186">_xlfn.IFS(B186="","",AND(B186&lt;&gt;"",H186=SF_Output!$Y$2,SUMIFS(SF_Output!$T$1:$T$400,SF_Output!$AC$1:$AC$400,_xlfn.TEXTJOIN(",",TRUE,B186:E186),SF_Output!$Q$1:$Q$400,"monthly")=0),(SUMIFS(SF_Output!$F$1:$F$400,SF_Output!$AC$1:$AC$400,_xlfn.TEXTJOIN(",",TRUE,B186:E186),SF_Output!$Q$1:$Q$400,"monthly")+SUMIFS(SF_Output!$G$1:$G$400,SF_Output!$AC$1:$AC$400,_xlfn.TEXTJOIN(",",TRUE,B186:E186),SF_Output!$Q$1:$Q$400,"monthly"))*H186,AND(B186&lt;&gt;"",H186=SF_Output!$Y$2,SUMIFS(SF_Output!$T$1:$T$400,SF_Output!$AC$1:$AC$400,_xlfn.TEXTJOIN(",",TRUE,B186:E186),SF_Output!$Q$1:$Q$400,"monthly")&lt;&gt;0),SUMIFS(SF_Output!$S$1:$S$400,SF_Output!$AC$1:$AC$400,_xlfn.TEXTJOIN(",",TRUE,B186:E186),SF_Output!$Q$1:$Q$400,"monthly"),AND(B186&lt;&gt;"",H186&lt;&gt;SF_Output!$Y$2),SUMIFS(SF_Output!$S$1:$S$400,SF_Output!$AC$1:$AC$400,_xlfn.TEXTJOIN(",",TRUE,B186:E186),SF_Output!$Q$1:$Q$400,"monthly"))</f>
        <v/>
      </c>
      <c r="W186" s="112" t="str" cm="1">
        <f t="array" ref="W186">_xlfn.IFS(OR(B186=0,B186="",V186=0),"",AF186&lt;&gt;"exclusion",MAX($W$9,$W$7,(-(SUMIFS(SF_Output!$T$1:$T$400,SF_Output!$AC$1:$AC$400,_xlfn.TEXTJOIN(",",TRUE,$B186:$E186),SF_Output!$Q$1:$Q$400,"monthly"))/V186)),AF186="exclusion",-(SUMIFS(SF_Output!$T$1:$T$400,SF_Output!$AC$1:$AC$400,_xlfn.TEXTJOIN(",",TRUE,$B186:$E186),SF_Output!$Q$1:$Q$400,"monthly"))/V186)</f>
        <v/>
      </c>
      <c r="X186" s="6" t="str" cm="1">
        <f t="array" ref="X186">IFERROR(_xlfn.IFS(V186=0,0,V186="","",W186=0,V186,OR(V186&lt;&gt;0,V186&lt;&gt;""),H186*I186),V186*(1-W186))</f>
        <v/>
      </c>
    </row>
    <row r="187" spans="2:24" x14ac:dyDescent="0.25">
      <c r="F187" s="116" t="str">
        <f t="shared" si="8"/>
        <v/>
      </c>
      <c r="G187" t="str">
        <f>IF(B187="","",INDEX(SF_Output!$K$1:$K$400,MATCH(B187,SF_Output!$M$1:$M$400,0)))</f>
        <v/>
      </c>
      <c r="H187" t="str" cm="1">
        <f t="array" ref="H187">_xlfn.IFS(B187="","",(SUMIFS(SF_Output!$F$1:$F$400,SF_Output!$AC$1:$AC$400,_xlfn.TEXTJOIN(",",TRUE,B187:E187))+SUMIFS(SF_Output!$G$1:$G$400,SF_Output!$AC$1:$AC$400,_xlfn.TEXTJOIN(",",TRUE,B187:E187)))&lt;&gt;0,SF_Output!$Y$2,INDEX(SF_Output!$F$1:$F$400,MATCH(_xlfn.TEXTJOIN(",",TRUE,B187:E187),SF_Output!$AC$1:$AC$400,0))=0,INDEX(SF_Output!$R$1:$R$400,MATCH(_xlfn.TEXTJOIN(",",TRUE,B187:E187),SF_Output!$AC$1:$AC$400,0)))</f>
        <v/>
      </c>
      <c r="I187" s="125" t="str">
        <f>IFERROR(IF(AND(H187&gt;1,H187&lt;&gt;""),ROUND(SUMIFS(SF_Output!$S$1:$S$400,SF_Output!$AC$1:$AC$400,_xlfn.TEXTJOIN(",",TRUE,B187:E187),SF_Output!$Q$1:$Q$400,"monthly")*(1-W187)/H187,4),""),"")</f>
        <v/>
      </c>
      <c r="J187" s="6" t="str">
        <f>IF(B187="","",SUMIFS(SF_Output!$S$1:$S$400,SF_Output!$AC$1:$AC$400,_xlfn.TEXTJOIN(",",TRUE,B187:E187),SF_Output!$Q$1:$Q$400,"One Time",SF_Output!$L$1:$L$400,"license fee")+SUMIFS(SF_Output!$S$1:$S$400,SF_Output!$AC$1:$AC$400,_xlfn.TEXTJOIN(",",TRUE,B187:E187),SF_Output!$Q$1:$Q$400,"One Time",SF_Output!$L$1:$L$400,"software license")+SUMIFS(SF_Output!$S$1:$S$400,SF_Output!$AC$1:$AC$400,_xlfn.TEXTJOIN(",",TRUE,B187:E187),SF_Output!$Q$1:$Q$400,"One Time",SF_Output!$L$1:$L$400,"hardware"))</f>
        <v/>
      </c>
      <c r="K187" s="112" t="str">
        <f>IF(OR(B187=0,B187="",G187="hardware",J187=0),"",IF(AF187&lt;&gt;"exclusion",MAX(K$9,-((SUMIFS(SF_Output!$T$1:$T$400,SF_Output!$AC$1:$AC$400,_xlfn.TEXTJOIN(",",TRUE,$B187:$E187),SF_Output!$Q$1:$Q$400,"One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license"))/J187)))</f>
        <v/>
      </c>
      <c r="L187" s="6" t="str">
        <f t="shared" si="9"/>
        <v/>
      </c>
      <c r="N187" s="6" t="str">
        <f>IF(B187="","",SUMIFS(SF_Output!$S$1:$S$400,SF_Output!$AC$1:$AC$400,_xlfn.TEXTJOIN(",",TRUE,B187:E187),SF_Output!$Q$1:$Q$400,"One Time",SF_Output!$L$1:$L$400,"professional service"))</f>
        <v/>
      </c>
      <c r="O187" s="112" t="str">
        <f>IF(OR(B187=0,B187="",N187=0),"",IF(AF187&lt;&gt;"exclusion",MAX(O$9,-(SUMIFS(SF_Output!$T$1:$T$400,SF_Output!$AC$1:$AC$400,_xlfn.TEXTJOIN(",",TRUE,$B187:$E187),SF_Output!$Q$1:$Q$400,"One Time",SF_Output!$L$1:$L$400,"professional service"))/N187),-((SUMIFS(SF_Output!$T$1:$T$400,SF_Output!$AC$1:$AC$400,_xlfn.TEXTJOIN(",",TRUE,$B187:$E187),SF_Output!$Q$1:$Q$400,"One Time",SF_Output!$L$1:$L$400,"professional service")/N187))))</f>
        <v/>
      </c>
      <c r="P187" s="6" t="str">
        <f t="shared" si="10"/>
        <v/>
      </c>
      <c r="R187" s="6" t="str">
        <f>IF(B187="","",SUMIFS(SF_Output!$S$1:$S$400,SF_Output!$AC$1:$AC$400,_xlfn.TEXTJOIN(",",TRUE,B187:E187),SF_Output!$Q$1:$Q$400,"yearly")+SUMIFS(SF_Output!$S$1:$S$400,SF_Output!$AC$1:$AC$400,_xlfn.TEXTJOIN(",",TRUE,B187:E187),SF_Output!$Q$1:$Q$400,"quarterly")*4)</f>
        <v/>
      </c>
      <c r="S187" s="112" t="str">
        <f>IF(OR(B187=0,B187="",G187="hardware",R187=0),"",IF(AF187&lt;&gt;"exclusion",MAX(S$9,-(SUMIFS(SF_Output!$T$1:$T$400,SF_Output!$AC$1:$AC$400,_xlfn.TEXTJOIN(",",TRUE,$B187:$E187),SF_Output!$Q$1:$Q$400,"yearly"))/R187),-((SUMIFS(SF_Output!$T$1:$T$400,SF_Output!$AC$1:$AC$400,_xlfn.TEXTJOIN(",",TRUE,$B187:$E187),SF_Output!$Q$1:$Q$400,"yearly")/R187))))</f>
        <v/>
      </c>
      <c r="T187" s="6" t="str">
        <f t="shared" si="11"/>
        <v/>
      </c>
      <c r="V187" s="6" t="str" cm="1">
        <f t="array" ref="V187">_xlfn.IFS(B187="","",AND(B187&lt;&gt;"",H187=SF_Output!$Y$2,SUMIFS(SF_Output!$T$1:$T$400,SF_Output!$AC$1:$AC$400,_xlfn.TEXTJOIN(",",TRUE,B187:E187),SF_Output!$Q$1:$Q$400,"monthly")=0),(SUMIFS(SF_Output!$F$1:$F$400,SF_Output!$AC$1:$AC$400,_xlfn.TEXTJOIN(",",TRUE,B187:E187),SF_Output!$Q$1:$Q$400,"monthly")+SUMIFS(SF_Output!$G$1:$G$400,SF_Output!$AC$1:$AC$400,_xlfn.TEXTJOIN(",",TRUE,B187:E187),SF_Output!$Q$1:$Q$400,"monthly"))*H187,AND(B187&lt;&gt;"",H187=SF_Output!$Y$2,SUMIFS(SF_Output!$T$1:$T$400,SF_Output!$AC$1:$AC$400,_xlfn.TEXTJOIN(",",TRUE,B187:E187),SF_Output!$Q$1:$Q$400,"monthly")&lt;&gt;0),SUMIFS(SF_Output!$S$1:$S$400,SF_Output!$AC$1:$AC$400,_xlfn.TEXTJOIN(",",TRUE,B187:E187),SF_Output!$Q$1:$Q$400,"monthly"),AND(B187&lt;&gt;"",H187&lt;&gt;SF_Output!$Y$2),SUMIFS(SF_Output!$S$1:$S$400,SF_Output!$AC$1:$AC$400,_xlfn.TEXTJOIN(",",TRUE,B187:E187),SF_Output!$Q$1:$Q$400,"monthly"))</f>
        <v/>
      </c>
      <c r="W187" s="112" t="str" cm="1">
        <f t="array" ref="W187">_xlfn.IFS(OR(B187=0,B187="",V187=0),"",AF187&lt;&gt;"exclusion",MAX($W$9,$W$7,(-(SUMIFS(SF_Output!$T$1:$T$400,SF_Output!$AC$1:$AC$400,_xlfn.TEXTJOIN(",",TRUE,$B187:$E187),SF_Output!$Q$1:$Q$400,"monthly"))/V187)),AF187="exclusion",-(SUMIFS(SF_Output!$T$1:$T$400,SF_Output!$AC$1:$AC$400,_xlfn.TEXTJOIN(",",TRUE,$B187:$E187),SF_Output!$Q$1:$Q$400,"monthly"))/V187)</f>
        <v/>
      </c>
      <c r="X187" s="6" t="str" cm="1">
        <f t="array" ref="X187">IFERROR(_xlfn.IFS(V187=0,0,V187="","",W187=0,V187,OR(V187&lt;&gt;0,V187&lt;&gt;""),H187*I187),V187*(1-W187))</f>
        <v/>
      </c>
    </row>
    <row r="188" spans="2:24" x14ac:dyDescent="0.25">
      <c r="F188" s="116" t="str">
        <f t="shared" si="8"/>
        <v/>
      </c>
      <c r="G188" t="str">
        <f>IF(B188="","",INDEX(SF_Output!$K$1:$K$400,MATCH(B188,SF_Output!$M$1:$M$400,0)))</f>
        <v/>
      </c>
      <c r="H188" t="str" cm="1">
        <f t="array" ref="H188">_xlfn.IFS(B188="","",(SUMIFS(SF_Output!$F$1:$F$400,SF_Output!$AC$1:$AC$400,_xlfn.TEXTJOIN(",",TRUE,B188:E188))+SUMIFS(SF_Output!$G$1:$G$400,SF_Output!$AC$1:$AC$400,_xlfn.TEXTJOIN(",",TRUE,B188:E188)))&lt;&gt;0,SF_Output!$Y$2,INDEX(SF_Output!$F$1:$F$400,MATCH(_xlfn.TEXTJOIN(",",TRUE,B188:E188),SF_Output!$AC$1:$AC$400,0))=0,INDEX(SF_Output!$R$1:$R$400,MATCH(_xlfn.TEXTJOIN(",",TRUE,B188:E188),SF_Output!$AC$1:$AC$400,0)))</f>
        <v/>
      </c>
      <c r="I188" s="125" t="str">
        <f>IFERROR(IF(AND(H188&gt;1,H188&lt;&gt;""),ROUND(SUMIFS(SF_Output!$S$1:$S$400,SF_Output!$AC$1:$AC$400,_xlfn.TEXTJOIN(",",TRUE,B188:E188),SF_Output!$Q$1:$Q$400,"monthly")*(1-W188)/H188,4),""),"")</f>
        <v/>
      </c>
      <c r="J188" s="6" t="str">
        <f>IF(B188="","",SUMIFS(SF_Output!$S$1:$S$400,SF_Output!$AC$1:$AC$400,_xlfn.TEXTJOIN(",",TRUE,B188:E188),SF_Output!$Q$1:$Q$400,"One Time",SF_Output!$L$1:$L$400,"license fee")+SUMIFS(SF_Output!$S$1:$S$400,SF_Output!$AC$1:$AC$400,_xlfn.TEXTJOIN(",",TRUE,B188:E188),SF_Output!$Q$1:$Q$400,"One Time",SF_Output!$L$1:$L$400,"software license")+SUMIFS(SF_Output!$S$1:$S$400,SF_Output!$AC$1:$AC$400,_xlfn.TEXTJOIN(",",TRUE,B188:E188),SF_Output!$Q$1:$Q$400,"One Time",SF_Output!$L$1:$L$400,"hardware"))</f>
        <v/>
      </c>
      <c r="K188" s="112" t="str">
        <f>IF(OR(B188=0,B188="",G188="hardware",J188=0),"",IF(AF188&lt;&gt;"exclusion",MAX(K$9,-((SUMIFS(SF_Output!$T$1:$T$400,SF_Output!$AC$1:$AC$400,_xlfn.TEXTJOIN(",",TRUE,$B188:$E188),SF_Output!$Q$1:$Q$400,"One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license"))/J188)))</f>
        <v/>
      </c>
      <c r="L188" s="6" t="str">
        <f t="shared" si="9"/>
        <v/>
      </c>
      <c r="N188" s="6" t="str">
        <f>IF(B188="","",SUMIFS(SF_Output!$S$1:$S$400,SF_Output!$AC$1:$AC$400,_xlfn.TEXTJOIN(",",TRUE,B188:E188),SF_Output!$Q$1:$Q$400,"One Time",SF_Output!$L$1:$L$400,"professional service"))</f>
        <v/>
      </c>
      <c r="O188" s="112" t="str">
        <f>IF(OR(B188=0,B188="",N188=0),"",IF(AF188&lt;&gt;"exclusion",MAX(O$9,-(SUMIFS(SF_Output!$T$1:$T$400,SF_Output!$AC$1:$AC$400,_xlfn.TEXTJOIN(",",TRUE,$B188:$E188),SF_Output!$Q$1:$Q$400,"One Time",SF_Output!$L$1:$L$400,"professional service"))/N188),-((SUMIFS(SF_Output!$T$1:$T$400,SF_Output!$AC$1:$AC$400,_xlfn.TEXTJOIN(",",TRUE,$B188:$E188),SF_Output!$Q$1:$Q$400,"One Time",SF_Output!$L$1:$L$400,"professional service")/N188))))</f>
        <v/>
      </c>
      <c r="P188" s="6" t="str">
        <f t="shared" si="10"/>
        <v/>
      </c>
      <c r="R188" s="6" t="str">
        <f>IF(B188="","",SUMIFS(SF_Output!$S$1:$S$400,SF_Output!$AC$1:$AC$400,_xlfn.TEXTJOIN(",",TRUE,B188:E188),SF_Output!$Q$1:$Q$400,"yearly")+SUMIFS(SF_Output!$S$1:$S$400,SF_Output!$AC$1:$AC$400,_xlfn.TEXTJOIN(",",TRUE,B188:E188),SF_Output!$Q$1:$Q$400,"quarterly")*4)</f>
        <v/>
      </c>
      <c r="S188" s="112" t="str">
        <f>IF(OR(B188=0,B188="",G188="hardware",R188=0),"",IF(AF188&lt;&gt;"exclusion",MAX(S$9,-(SUMIFS(SF_Output!$T$1:$T$400,SF_Output!$AC$1:$AC$400,_xlfn.TEXTJOIN(",",TRUE,$B188:$E188),SF_Output!$Q$1:$Q$400,"yearly"))/R188),-((SUMIFS(SF_Output!$T$1:$T$400,SF_Output!$AC$1:$AC$400,_xlfn.TEXTJOIN(",",TRUE,$B188:$E188),SF_Output!$Q$1:$Q$400,"yearly")/R188))))</f>
        <v/>
      </c>
      <c r="T188" s="6" t="str">
        <f t="shared" si="11"/>
        <v/>
      </c>
      <c r="V188" s="6" t="str" cm="1">
        <f t="array" ref="V188">_xlfn.IFS(B188="","",AND(B188&lt;&gt;"",H188=SF_Output!$Y$2,SUMIFS(SF_Output!$T$1:$T$400,SF_Output!$AC$1:$AC$400,_xlfn.TEXTJOIN(",",TRUE,B188:E188),SF_Output!$Q$1:$Q$400,"monthly")=0),(SUMIFS(SF_Output!$F$1:$F$400,SF_Output!$AC$1:$AC$400,_xlfn.TEXTJOIN(",",TRUE,B188:E188),SF_Output!$Q$1:$Q$400,"monthly")+SUMIFS(SF_Output!$G$1:$G$400,SF_Output!$AC$1:$AC$400,_xlfn.TEXTJOIN(",",TRUE,B188:E188),SF_Output!$Q$1:$Q$400,"monthly"))*H188,AND(B188&lt;&gt;"",H188=SF_Output!$Y$2,SUMIFS(SF_Output!$T$1:$T$400,SF_Output!$AC$1:$AC$400,_xlfn.TEXTJOIN(",",TRUE,B188:E188),SF_Output!$Q$1:$Q$400,"monthly")&lt;&gt;0),SUMIFS(SF_Output!$S$1:$S$400,SF_Output!$AC$1:$AC$400,_xlfn.TEXTJOIN(",",TRUE,B188:E188),SF_Output!$Q$1:$Q$400,"monthly"),AND(B188&lt;&gt;"",H188&lt;&gt;SF_Output!$Y$2),SUMIFS(SF_Output!$S$1:$S$400,SF_Output!$AC$1:$AC$400,_xlfn.TEXTJOIN(",",TRUE,B188:E188),SF_Output!$Q$1:$Q$400,"monthly"))</f>
        <v/>
      </c>
      <c r="W188" s="112" t="str" cm="1">
        <f t="array" ref="W188">_xlfn.IFS(OR(B188=0,B188="",V188=0),"",AF188&lt;&gt;"exclusion",MAX($W$9,$W$7,(-(SUMIFS(SF_Output!$T$1:$T$400,SF_Output!$AC$1:$AC$400,_xlfn.TEXTJOIN(",",TRUE,$B188:$E188),SF_Output!$Q$1:$Q$400,"monthly"))/V188)),AF188="exclusion",-(SUMIFS(SF_Output!$T$1:$T$400,SF_Output!$AC$1:$AC$400,_xlfn.TEXTJOIN(",",TRUE,$B188:$E188),SF_Output!$Q$1:$Q$400,"monthly"))/V188)</f>
        <v/>
      </c>
      <c r="X188" s="6" t="str" cm="1">
        <f t="array" ref="X188">IFERROR(_xlfn.IFS(V188=0,0,V188="","",W188=0,V188,OR(V188&lt;&gt;0,V188&lt;&gt;""),H188*I188),V188*(1-W188))</f>
        <v/>
      </c>
    </row>
    <row r="189" spans="2:24" x14ac:dyDescent="0.25">
      <c r="F189" s="116" t="str">
        <f t="shared" si="8"/>
        <v/>
      </c>
      <c r="G189" t="str">
        <f>IF(B189="","",INDEX(SF_Output!$K$1:$K$400,MATCH(B189,SF_Output!$M$1:$M$400,0)))</f>
        <v/>
      </c>
      <c r="H189" t="str" cm="1">
        <f t="array" ref="H189">_xlfn.IFS(B189="","",(SUMIFS(SF_Output!$F$1:$F$400,SF_Output!$AC$1:$AC$400,_xlfn.TEXTJOIN(",",TRUE,B189:E189))+SUMIFS(SF_Output!$G$1:$G$400,SF_Output!$AC$1:$AC$400,_xlfn.TEXTJOIN(",",TRUE,B189:E189)))&lt;&gt;0,SF_Output!$Y$2,INDEX(SF_Output!$F$1:$F$400,MATCH(_xlfn.TEXTJOIN(",",TRUE,B189:E189),SF_Output!$AC$1:$AC$400,0))=0,INDEX(SF_Output!$R$1:$R$400,MATCH(_xlfn.TEXTJOIN(",",TRUE,B189:E189),SF_Output!$AC$1:$AC$400,0)))</f>
        <v/>
      </c>
      <c r="I189" s="125" t="str">
        <f>IFERROR(IF(AND(H189&gt;1,H189&lt;&gt;""),ROUND(SUMIFS(SF_Output!$S$1:$S$400,SF_Output!$AC$1:$AC$400,_xlfn.TEXTJOIN(",",TRUE,B189:E189),SF_Output!$Q$1:$Q$400,"monthly")*(1-W189)/H189,4),""),"")</f>
        <v/>
      </c>
      <c r="J189" s="6" t="str">
        <f>IF(B189="","",SUMIFS(SF_Output!$S$1:$S$400,SF_Output!$AC$1:$AC$400,_xlfn.TEXTJOIN(",",TRUE,B189:E189),SF_Output!$Q$1:$Q$400,"One Time",SF_Output!$L$1:$L$400,"license fee")+SUMIFS(SF_Output!$S$1:$S$400,SF_Output!$AC$1:$AC$400,_xlfn.TEXTJOIN(",",TRUE,B189:E189),SF_Output!$Q$1:$Q$400,"One Time",SF_Output!$L$1:$L$400,"software license")+SUMIFS(SF_Output!$S$1:$S$400,SF_Output!$AC$1:$AC$400,_xlfn.TEXTJOIN(",",TRUE,B189:E189),SF_Output!$Q$1:$Q$400,"One Time",SF_Output!$L$1:$L$400,"hardware"))</f>
        <v/>
      </c>
      <c r="K189" s="112" t="str">
        <f>IF(OR(B189=0,B189="",G189="hardware",J189=0),"",IF(AF189&lt;&gt;"exclusion",MAX(K$9,-((SUMIFS(SF_Output!$T$1:$T$400,SF_Output!$AC$1:$AC$400,_xlfn.TEXTJOIN(",",TRUE,$B189:$E189),SF_Output!$Q$1:$Q$400,"One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license"))/J189)))</f>
        <v/>
      </c>
      <c r="L189" s="6" t="str">
        <f t="shared" si="9"/>
        <v/>
      </c>
      <c r="N189" s="6" t="str">
        <f>IF(B189="","",SUMIFS(SF_Output!$S$1:$S$400,SF_Output!$AC$1:$AC$400,_xlfn.TEXTJOIN(",",TRUE,B189:E189),SF_Output!$Q$1:$Q$400,"One Time",SF_Output!$L$1:$L$400,"professional service"))</f>
        <v/>
      </c>
      <c r="O189" s="112" t="str">
        <f>IF(OR(B189=0,B189="",N189=0),"",IF(AF189&lt;&gt;"exclusion",MAX(O$9,-(SUMIFS(SF_Output!$T$1:$T$400,SF_Output!$AC$1:$AC$400,_xlfn.TEXTJOIN(",",TRUE,$B189:$E189),SF_Output!$Q$1:$Q$400,"One Time",SF_Output!$L$1:$L$400,"professional service"))/N189),-((SUMIFS(SF_Output!$T$1:$T$400,SF_Output!$AC$1:$AC$400,_xlfn.TEXTJOIN(",",TRUE,$B189:$E189),SF_Output!$Q$1:$Q$400,"One Time",SF_Output!$L$1:$L$400,"professional service")/N189))))</f>
        <v/>
      </c>
      <c r="P189" s="6" t="str">
        <f t="shared" si="10"/>
        <v/>
      </c>
      <c r="R189" s="6" t="str">
        <f>IF(B189="","",SUMIFS(SF_Output!$S$1:$S$400,SF_Output!$AC$1:$AC$400,_xlfn.TEXTJOIN(",",TRUE,B189:E189),SF_Output!$Q$1:$Q$400,"yearly")+SUMIFS(SF_Output!$S$1:$S$400,SF_Output!$AC$1:$AC$400,_xlfn.TEXTJOIN(",",TRUE,B189:E189),SF_Output!$Q$1:$Q$400,"quarterly")*4)</f>
        <v/>
      </c>
      <c r="S189" s="112" t="str">
        <f>IF(OR(B189=0,B189="",G189="hardware",R189=0),"",IF(AF189&lt;&gt;"exclusion",MAX(S$9,-(SUMIFS(SF_Output!$T$1:$T$400,SF_Output!$AC$1:$AC$400,_xlfn.TEXTJOIN(",",TRUE,$B189:$E189),SF_Output!$Q$1:$Q$400,"yearly"))/R189),-((SUMIFS(SF_Output!$T$1:$T$400,SF_Output!$AC$1:$AC$400,_xlfn.TEXTJOIN(",",TRUE,$B189:$E189),SF_Output!$Q$1:$Q$400,"yearly")/R189))))</f>
        <v/>
      </c>
      <c r="T189" s="6" t="str">
        <f t="shared" si="11"/>
        <v/>
      </c>
      <c r="V189" s="6" t="str" cm="1">
        <f t="array" ref="V189">_xlfn.IFS(B189="","",AND(B189&lt;&gt;"",H189=SF_Output!$Y$2,SUMIFS(SF_Output!$T$1:$T$400,SF_Output!$AC$1:$AC$400,_xlfn.TEXTJOIN(",",TRUE,B189:E189),SF_Output!$Q$1:$Q$400,"monthly")=0),(SUMIFS(SF_Output!$F$1:$F$400,SF_Output!$AC$1:$AC$400,_xlfn.TEXTJOIN(",",TRUE,B189:E189),SF_Output!$Q$1:$Q$400,"monthly")+SUMIFS(SF_Output!$G$1:$G$400,SF_Output!$AC$1:$AC$400,_xlfn.TEXTJOIN(",",TRUE,B189:E189),SF_Output!$Q$1:$Q$400,"monthly"))*H189,AND(B189&lt;&gt;"",H189=SF_Output!$Y$2,SUMIFS(SF_Output!$T$1:$T$400,SF_Output!$AC$1:$AC$400,_xlfn.TEXTJOIN(",",TRUE,B189:E189),SF_Output!$Q$1:$Q$400,"monthly")&lt;&gt;0),SUMIFS(SF_Output!$S$1:$S$400,SF_Output!$AC$1:$AC$400,_xlfn.TEXTJOIN(",",TRUE,B189:E189),SF_Output!$Q$1:$Q$400,"monthly"),AND(B189&lt;&gt;"",H189&lt;&gt;SF_Output!$Y$2),SUMIFS(SF_Output!$S$1:$S$400,SF_Output!$AC$1:$AC$400,_xlfn.TEXTJOIN(",",TRUE,B189:E189),SF_Output!$Q$1:$Q$400,"monthly"))</f>
        <v/>
      </c>
      <c r="W189" s="112" t="str" cm="1">
        <f t="array" ref="W189">_xlfn.IFS(OR(B189=0,B189="",V189=0),"",AF189&lt;&gt;"exclusion",MAX($W$9,$W$7,(-(SUMIFS(SF_Output!$T$1:$T$400,SF_Output!$AC$1:$AC$400,_xlfn.TEXTJOIN(",",TRUE,$B189:$E189),SF_Output!$Q$1:$Q$400,"monthly"))/V189)),AF189="exclusion",-(SUMIFS(SF_Output!$T$1:$T$400,SF_Output!$AC$1:$AC$400,_xlfn.TEXTJOIN(",",TRUE,$B189:$E189),SF_Output!$Q$1:$Q$400,"monthly"))/V189)</f>
        <v/>
      </c>
      <c r="X189" s="6" t="str" cm="1">
        <f t="array" ref="X189">IFERROR(_xlfn.IFS(V189=0,0,V189="","",W189=0,V189,OR(V189&lt;&gt;0,V189&lt;&gt;""),H189*I189),V189*(1-W189))</f>
        <v/>
      </c>
    </row>
    <row r="190" spans="2:24" x14ac:dyDescent="0.25">
      <c r="F190" s="116" t="str">
        <f t="shared" si="8"/>
        <v/>
      </c>
      <c r="G190" t="str">
        <f>IF(B190="","",INDEX(SF_Output!$K$1:$K$400,MATCH(B190,SF_Output!$M$1:$M$400,0)))</f>
        <v/>
      </c>
      <c r="H190" t="str" cm="1">
        <f t="array" ref="H190">_xlfn.IFS(B190="","",(SUMIFS(SF_Output!$F$1:$F$400,SF_Output!$AC$1:$AC$400,_xlfn.TEXTJOIN(",",TRUE,B190:E190))+SUMIFS(SF_Output!$G$1:$G$400,SF_Output!$AC$1:$AC$400,_xlfn.TEXTJOIN(",",TRUE,B190:E190)))&lt;&gt;0,SF_Output!$Y$2,INDEX(SF_Output!$F$1:$F$400,MATCH(_xlfn.TEXTJOIN(",",TRUE,B190:E190),SF_Output!$AC$1:$AC$400,0))=0,INDEX(SF_Output!$R$1:$R$400,MATCH(_xlfn.TEXTJOIN(",",TRUE,B190:E190),SF_Output!$AC$1:$AC$400,0)))</f>
        <v/>
      </c>
      <c r="I190" s="125" t="str">
        <f>IFERROR(IF(AND(H190&gt;1,H190&lt;&gt;""),ROUND(SUMIFS(SF_Output!$S$1:$S$400,SF_Output!$AC$1:$AC$400,_xlfn.TEXTJOIN(",",TRUE,B190:E190),SF_Output!$Q$1:$Q$400,"monthly")*(1-W190)/H190,4),""),"")</f>
        <v/>
      </c>
      <c r="J190" s="6" t="str">
        <f>IF(B190="","",SUMIFS(SF_Output!$S$1:$S$400,SF_Output!$AC$1:$AC$400,_xlfn.TEXTJOIN(",",TRUE,B190:E190),SF_Output!$Q$1:$Q$400,"One Time",SF_Output!$L$1:$L$400,"license fee")+SUMIFS(SF_Output!$S$1:$S$400,SF_Output!$AC$1:$AC$400,_xlfn.TEXTJOIN(",",TRUE,B190:E190),SF_Output!$Q$1:$Q$400,"One Time",SF_Output!$L$1:$L$400,"software license")+SUMIFS(SF_Output!$S$1:$S$400,SF_Output!$AC$1:$AC$400,_xlfn.TEXTJOIN(",",TRUE,B190:E190),SF_Output!$Q$1:$Q$400,"One Time",SF_Output!$L$1:$L$400,"hardware"))</f>
        <v/>
      </c>
      <c r="K190" s="112" t="str">
        <f>IF(OR(B190=0,B190="",G190="hardware",J190=0),"",IF(AF190&lt;&gt;"exclusion",MAX(K$9,-((SUMIFS(SF_Output!$T$1:$T$400,SF_Output!$AC$1:$AC$400,_xlfn.TEXTJOIN(",",TRUE,$B190:$E190),SF_Output!$Q$1:$Q$400,"One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license"))/J190)))</f>
        <v/>
      </c>
      <c r="L190" s="6" t="str">
        <f t="shared" si="9"/>
        <v/>
      </c>
      <c r="N190" s="6" t="str">
        <f>IF(B190="","",SUMIFS(SF_Output!$S$1:$S$400,SF_Output!$AC$1:$AC$400,_xlfn.TEXTJOIN(",",TRUE,B190:E190),SF_Output!$Q$1:$Q$400,"One Time",SF_Output!$L$1:$L$400,"professional service"))</f>
        <v/>
      </c>
      <c r="O190" s="112" t="str">
        <f>IF(OR(B190=0,B190="",N190=0),"",IF(AF190&lt;&gt;"exclusion",MAX(O$9,-(SUMIFS(SF_Output!$T$1:$T$400,SF_Output!$AC$1:$AC$400,_xlfn.TEXTJOIN(",",TRUE,$B190:$E190),SF_Output!$Q$1:$Q$400,"One Time",SF_Output!$L$1:$L$400,"professional service"))/N190),-((SUMIFS(SF_Output!$T$1:$T$400,SF_Output!$AC$1:$AC$400,_xlfn.TEXTJOIN(",",TRUE,$B190:$E190),SF_Output!$Q$1:$Q$400,"One Time",SF_Output!$L$1:$L$400,"professional service")/N190))))</f>
        <v/>
      </c>
      <c r="P190" s="6" t="str">
        <f t="shared" si="10"/>
        <v/>
      </c>
      <c r="R190" s="6" t="str">
        <f>IF(B190="","",SUMIFS(SF_Output!$S$1:$S$400,SF_Output!$AC$1:$AC$400,_xlfn.TEXTJOIN(",",TRUE,B190:E190),SF_Output!$Q$1:$Q$400,"yearly")+SUMIFS(SF_Output!$S$1:$S$400,SF_Output!$AC$1:$AC$400,_xlfn.TEXTJOIN(",",TRUE,B190:E190),SF_Output!$Q$1:$Q$400,"quarterly")*4)</f>
        <v/>
      </c>
      <c r="S190" s="112" t="str">
        <f>IF(OR(B190=0,B190="",G190="hardware",R190=0),"",IF(AF190&lt;&gt;"exclusion",MAX(S$9,-(SUMIFS(SF_Output!$T$1:$T$400,SF_Output!$AC$1:$AC$400,_xlfn.TEXTJOIN(",",TRUE,$B190:$E190),SF_Output!$Q$1:$Q$400,"yearly"))/R190),-((SUMIFS(SF_Output!$T$1:$T$400,SF_Output!$AC$1:$AC$400,_xlfn.TEXTJOIN(",",TRUE,$B190:$E190),SF_Output!$Q$1:$Q$400,"yearly")/R190))))</f>
        <v/>
      </c>
      <c r="T190" s="6" t="str">
        <f t="shared" si="11"/>
        <v/>
      </c>
      <c r="V190" s="6" t="str" cm="1">
        <f t="array" ref="V190">_xlfn.IFS(B190="","",AND(B190&lt;&gt;"",H190=SF_Output!$Y$2,SUMIFS(SF_Output!$T$1:$T$400,SF_Output!$AC$1:$AC$400,_xlfn.TEXTJOIN(",",TRUE,B190:E190),SF_Output!$Q$1:$Q$400,"monthly")=0),(SUMIFS(SF_Output!$F$1:$F$400,SF_Output!$AC$1:$AC$400,_xlfn.TEXTJOIN(",",TRUE,B190:E190),SF_Output!$Q$1:$Q$400,"monthly")+SUMIFS(SF_Output!$G$1:$G$400,SF_Output!$AC$1:$AC$400,_xlfn.TEXTJOIN(",",TRUE,B190:E190),SF_Output!$Q$1:$Q$400,"monthly"))*H190,AND(B190&lt;&gt;"",H190=SF_Output!$Y$2,SUMIFS(SF_Output!$T$1:$T$400,SF_Output!$AC$1:$AC$400,_xlfn.TEXTJOIN(",",TRUE,B190:E190),SF_Output!$Q$1:$Q$400,"monthly")&lt;&gt;0),SUMIFS(SF_Output!$S$1:$S$400,SF_Output!$AC$1:$AC$400,_xlfn.TEXTJOIN(",",TRUE,B190:E190),SF_Output!$Q$1:$Q$400,"monthly"),AND(B190&lt;&gt;"",H190&lt;&gt;SF_Output!$Y$2),SUMIFS(SF_Output!$S$1:$S$400,SF_Output!$AC$1:$AC$400,_xlfn.TEXTJOIN(",",TRUE,B190:E190),SF_Output!$Q$1:$Q$400,"monthly"))</f>
        <v/>
      </c>
      <c r="W190" s="112" t="str" cm="1">
        <f t="array" ref="W190">_xlfn.IFS(OR(B190=0,B190="",V190=0),"",AF190&lt;&gt;"exclusion",MAX($W$9,$W$7,(-(SUMIFS(SF_Output!$T$1:$T$400,SF_Output!$AC$1:$AC$400,_xlfn.TEXTJOIN(",",TRUE,$B190:$E190),SF_Output!$Q$1:$Q$400,"monthly"))/V190)),AF190="exclusion",-(SUMIFS(SF_Output!$T$1:$T$400,SF_Output!$AC$1:$AC$400,_xlfn.TEXTJOIN(",",TRUE,$B190:$E190),SF_Output!$Q$1:$Q$400,"monthly"))/V190)</f>
        <v/>
      </c>
      <c r="X190" s="6" t="str" cm="1">
        <f t="array" ref="X190">IFERROR(_xlfn.IFS(V190=0,0,V190="","",W190=0,V190,OR(V190&lt;&gt;0,V190&lt;&gt;""),H190*I190),V190*(1-W190))</f>
        <v/>
      </c>
    </row>
    <row r="191" spans="2:24" x14ac:dyDescent="0.25">
      <c r="F191" s="116" t="str">
        <f t="shared" si="8"/>
        <v/>
      </c>
      <c r="G191" t="str">
        <f>IF(B191="","",INDEX(SF_Output!$K$1:$K$400,MATCH(B191,SF_Output!$M$1:$M$400,0)))</f>
        <v/>
      </c>
      <c r="H191" t="str" cm="1">
        <f t="array" ref="H191">_xlfn.IFS(B191="","",(SUMIFS(SF_Output!$F$1:$F$400,SF_Output!$AC$1:$AC$400,_xlfn.TEXTJOIN(",",TRUE,B191:E191))+SUMIFS(SF_Output!$G$1:$G$400,SF_Output!$AC$1:$AC$400,_xlfn.TEXTJOIN(",",TRUE,B191:E191)))&lt;&gt;0,SF_Output!$Y$2,INDEX(SF_Output!$F$1:$F$400,MATCH(_xlfn.TEXTJOIN(",",TRUE,B191:E191),SF_Output!$AC$1:$AC$400,0))=0,INDEX(SF_Output!$R$1:$R$400,MATCH(_xlfn.TEXTJOIN(",",TRUE,B191:E191),SF_Output!$AC$1:$AC$400,0)))</f>
        <v/>
      </c>
      <c r="I191" s="125" t="str">
        <f>IFERROR(IF(AND(H191&gt;1,H191&lt;&gt;""),ROUND(SUMIFS(SF_Output!$S$1:$S$400,SF_Output!$AC$1:$AC$400,_xlfn.TEXTJOIN(",",TRUE,B191:E191),SF_Output!$Q$1:$Q$400,"monthly")*(1-W191)/H191,4),""),"")</f>
        <v/>
      </c>
      <c r="J191" s="6" t="str">
        <f>IF(B191="","",SUMIFS(SF_Output!$S$1:$S$400,SF_Output!$AC$1:$AC$400,_xlfn.TEXTJOIN(",",TRUE,B191:E191),SF_Output!$Q$1:$Q$400,"One Time",SF_Output!$L$1:$L$400,"license fee")+SUMIFS(SF_Output!$S$1:$S$400,SF_Output!$AC$1:$AC$400,_xlfn.TEXTJOIN(",",TRUE,B191:E191),SF_Output!$Q$1:$Q$400,"One Time",SF_Output!$L$1:$L$400,"software license")+SUMIFS(SF_Output!$S$1:$S$400,SF_Output!$AC$1:$AC$400,_xlfn.TEXTJOIN(",",TRUE,B191:E191),SF_Output!$Q$1:$Q$400,"One Time",SF_Output!$L$1:$L$400,"hardware"))</f>
        <v/>
      </c>
      <c r="K191" s="112" t="str">
        <f>IF(OR(B191=0,B191="",G191="hardware",J191=0),"",IF(AF191&lt;&gt;"exclusion",MAX(K$9,-((SUMIFS(SF_Output!$T$1:$T$400,SF_Output!$AC$1:$AC$400,_xlfn.TEXTJOIN(",",TRUE,$B191:$E191),SF_Output!$Q$1:$Q$400,"One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license"))/J191)))</f>
        <v/>
      </c>
      <c r="L191" s="6" t="str">
        <f t="shared" si="9"/>
        <v/>
      </c>
      <c r="N191" s="6" t="str">
        <f>IF(B191="","",SUMIFS(SF_Output!$S$1:$S$400,SF_Output!$AC$1:$AC$400,_xlfn.TEXTJOIN(",",TRUE,B191:E191),SF_Output!$Q$1:$Q$400,"One Time",SF_Output!$L$1:$L$400,"professional service"))</f>
        <v/>
      </c>
      <c r="O191" s="112" t="str">
        <f>IF(OR(B191=0,B191="",N191=0),"",IF(AF191&lt;&gt;"exclusion",MAX(O$9,-(SUMIFS(SF_Output!$T$1:$T$400,SF_Output!$AC$1:$AC$400,_xlfn.TEXTJOIN(",",TRUE,$B191:$E191),SF_Output!$Q$1:$Q$400,"One Time",SF_Output!$L$1:$L$400,"professional service"))/N191),-((SUMIFS(SF_Output!$T$1:$T$400,SF_Output!$AC$1:$AC$400,_xlfn.TEXTJOIN(",",TRUE,$B191:$E191),SF_Output!$Q$1:$Q$400,"One Time",SF_Output!$L$1:$L$400,"professional service")/N191))))</f>
        <v/>
      </c>
      <c r="P191" s="6" t="str">
        <f t="shared" si="10"/>
        <v/>
      </c>
      <c r="R191" s="6" t="str">
        <f>IF(B191="","",SUMIFS(SF_Output!$S$1:$S$400,SF_Output!$AC$1:$AC$400,_xlfn.TEXTJOIN(",",TRUE,B191:E191),SF_Output!$Q$1:$Q$400,"yearly")+SUMIFS(SF_Output!$S$1:$S$400,SF_Output!$AC$1:$AC$400,_xlfn.TEXTJOIN(",",TRUE,B191:E191),SF_Output!$Q$1:$Q$400,"quarterly")*4)</f>
        <v/>
      </c>
      <c r="S191" s="112" t="str">
        <f>IF(OR(B191=0,B191="",G191="hardware",R191=0),"",IF(AF191&lt;&gt;"exclusion",MAX(S$9,-(SUMIFS(SF_Output!$T$1:$T$400,SF_Output!$AC$1:$AC$400,_xlfn.TEXTJOIN(",",TRUE,$B191:$E191),SF_Output!$Q$1:$Q$400,"yearly"))/R191),-((SUMIFS(SF_Output!$T$1:$T$400,SF_Output!$AC$1:$AC$400,_xlfn.TEXTJOIN(",",TRUE,$B191:$E191),SF_Output!$Q$1:$Q$400,"yearly")/R191))))</f>
        <v/>
      </c>
      <c r="T191" s="6" t="str">
        <f t="shared" si="11"/>
        <v/>
      </c>
      <c r="V191" s="6" t="str" cm="1">
        <f t="array" ref="V191">_xlfn.IFS(B191="","",AND(B191&lt;&gt;"",H191=SF_Output!$Y$2,SUMIFS(SF_Output!$T$1:$T$400,SF_Output!$AC$1:$AC$400,_xlfn.TEXTJOIN(",",TRUE,B191:E191),SF_Output!$Q$1:$Q$400,"monthly")=0),(SUMIFS(SF_Output!$F$1:$F$400,SF_Output!$AC$1:$AC$400,_xlfn.TEXTJOIN(",",TRUE,B191:E191),SF_Output!$Q$1:$Q$400,"monthly")+SUMIFS(SF_Output!$G$1:$G$400,SF_Output!$AC$1:$AC$400,_xlfn.TEXTJOIN(",",TRUE,B191:E191),SF_Output!$Q$1:$Q$400,"monthly"))*H191,AND(B191&lt;&gt;"",H191=SF_Output!$Y$2,SUMIFS(SF_Output!$T$1:$T$400,SF_Output!$AC$1:$AC$400,_xlfn.TEXTJOIN(",",TRUE,B191:E191),SF_Output!$Q$1:$Q$400,"monthly")&lt;&gt;0),SUMIFS(SF_Output!$S$1:$S$400,SF_Output!$AC$1:$AC$400,_xlfn.TEXTJOIN(",",TRUE,B191:E191),SF_Output!$Q$1:$Q$400,"monthly"),AND(B191&lt;&gt;"",H191&lt;&gt;SF_Output!$Y$2),SUMIFS(SF_Output!$S$1:$S$400,SF_Output!$AC$1:$AC$400,_xlfn.TEXTJOIN(",",TRUE,B191:E191),SF_Output!$Q$1:$Q$400,"monthly"))</f>
        <v/>
      </c>
      <c r="W191" s="112" t="str" cm="1">
        <f t="array" ref="W191">_xlfn.IFS(OR(B191=0,B191="",V191=0),"",AF191&lt;&gt;"exclusion",MAX($W$9,$W$7,(-(SUMIFS(SF_Output!$T$1:$T$400,SF_Output!$AC$1:$AC$400,_xlfn.TEXTJOIN(",",TRUE,$B191:$E191),SF_Output!$Q$1:$Q$400,"monthly"))/V191)),AF191="exclusion",-(SUMIFS(SF_Output!$T$1:$T$400,SF_Output!$AC$1:$AC$400,_xlfn.TEXTJOIN(",",TRUE,$B191:$E191),SF_Output!$Q$1:$Q$400,"monthly"))/V191)</f>
        <v/>
      </c>
      <c r="X191" s="6" t="str" cm="1">
        <f t="array" ref="X191">IFERROR(_xlfn.IFS(V191=0,0,V191="","",W191=0,V191,OR(V191&lt;&gt;0,V191&lt;&gt;""),H191*I191),V191*(1-W191))</f>
        <v/>
      </c>
    </row>
    <row r="192" spans="2:24" x14ac:dyDescent="0.25">
      <c r="F192" s="116" t="str">
        <f t="shared" si="8"/>
        <v/>
      </c>
      <c r="G192" t="str">
        <f>IF(B192="","",INDEX(SF_Output!$K$1:$K$400,MATCH(B192,SF_Output!$M$1:$M$400,0)))</f>
        <v/>
      </c>
      <c r="H192" t="str" cm="1">
        <f t="array" ref="H192">_xlfn.IFS(B192="","",(SUMIFS(SF_Output!$F$1:$F$400,SF_Output!$AC$1:$AC$400,_xlfn.TEXTJOIN(",",TRUE,B192:E192))+SUMIFS(SF_Output!$G$1:$G$400,SF_Output!$AC$1:$AC$400,_xlfn.TEXTJOIN(",",TRUE,B192:E192)))&lt;&gt;0,SF_Output!$Y$2,INDEX(SF_Output!$F$1:$F$400,MATCH(_xlfn.TEXTJOIN(",",TRUE,B192:E192),SF_Output!$AC$1:$AC$400,0))=0,INDEX(SF_Output!$R$1:$R$400,MATCH(_xlfn.TEXTJOIN(",",TRUE,B192:E192),SF_Output!$AC$1:$AC$400,0)))</f>
        <v/>
      </c>
      <c r="I192" s="125" t="str">
        <f>IFERROR(IF(AND(H192&gt;1,H192&lt;&gt;""),ROUND(SUMIFS(SF_Output!$S$1:$S$400,SF_Output!$AC$1:$AC$400,_xlfn.TEXTJOIN(",",TRUE,B192:E192),SF_Output!$Q$1:$Q$400,"monthly")*(1-W192)/H192,4),""),"")</f>
        <v/>
      </c>
      <c r="J192" s="6" t="str">
        <f>IF(B192="","",SUMIFS(SF_Output!$S$1:$S$400,SF_Output!$AC$1:$AC$400,_xlfn.TEXTJOIN(",",TRUE,B192:E192),SF_Output!$Q$1:$Q$400,"One Time",SF_Output!$L$1:$L$400,"license fee")+SUMIFS(SF_Output!$S$1:$S$400,SF_Output!$AC$1:$AC$400,_xlfn.TEXTJOIN(",",TRUE,B192:E192),SF_Output!$Q$1:$Q$400,"One Time",SF_Output!$L$1:$L$400,"software license")+SUMIFS(SF_Output!$S$1:$S$400,SF_Output!$AC$1:$AC$400,_xlfn.TEXTJOIN(",",TRUE,B192:E192),SF_Output!$Q$1:$Q$400,"One Time",SF_Output!$L$1:$L$400,"hardware"))</f>
        <v/>
      </c>
      <c r="K192" s="112" t="str">
        <f>IF(OR(B192=0,B192="",G192="hardware",J192=0),"",IF(AF192&lt;&gt;"exclusion",MAX(K$9,-((SUMIFS(SF_Output!$T$1:$T$400,SF_Output!$AC$1:$AC$400,_xlfn.TEXTJOIN(",",TRUE,$B192:$E192),SF_Output!$Q$1:$Q$400,"One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license"))/J192)))</f>
        <v/>
      </c>
      <c r="L192" s="6" t="str">
        <f t="shared" si="9"/>
        <v/>
      </c>
      <c r="N192" s="6" t="str">
        <f>IF(B192="","",SUMIFS(SF_Output!$S$1:$S$400,SF_Output!$AC$1:$AC$400,_xlfn.TEXTJOIN(",",TRUE,B192:E192),SF_Output!$Q$1:$Q$400,"One Time",SF_Output!$L$1:$L$400,"professional service"))</f>
        <v/>
      </c>
      <c r="O192" s="112" t="str">
        <f>IF(OR(B192=0,B192="",N192=0),"",IF(AF192&lt;&gt;"exclusion",MAX(O$9,-(SUMIFS(SF_Output!$T$1:$T$400,SF_Output!$AC$1:$AC$400,_xlfn.TEXTJOIN(",",TRUE,$B192:$E192),SF_Output!$Q$1:$Q$400,"One Time",SF_Output!$L$1:$L$400,"professional service"))/N192),-((SUMIFS(SF_Output!$T$1:$T$400,SF_Output!$AC$1:$AC$400,_xlfn.TEXTJOIN(",",TRUE,$B192:$E192),SF_Output!$Q$1:$Q$400,"One Time",SF_Output!$L$1:$L$400,"professional service")/N192))))</f>
        <v/>
      </c>
      <c r="P192" s="6" t="str">
        <f t="shared" si="10"/>
        <v/>
      </c>
      <c r="R192" s="6" t="str">
        <f>IF(B192="","",SUMIFS(SF_Output!$S$1:$S$400,SF_Output!$AC$1:$AC$400,_xlfn.TEXTJOIN(",",TRUE,B192:E192),SF_Output!$Q$1:$Q$400,"yearly")+SUMIFS(SF_Output!$S$1:$S$400,SF_Output!$AC$1:$AC$400,_xlfn.TEXTJOIN(",",TRUE,B192:E192),SF_Output!$Q$1:$Q$400,"quarterly")*4)</f>
        <v/>
      </c>
      <c r="S192" s="112" t="str">
        <f>IF(OR(B192=0,B192="",G192="hardware",R192=0),"",IF(AF192&lt;&gt;"exclusion",MAX(S$9,-(SUMIFS(SF_Output!$T$1:$T$400,SF_Output!$AC$1:$AC$400,_xlfn.TEXTJOIN(",",TRUE,$B192:$E192),SF_Output!$Q$1:$Q$400,"yearly"))/R192),-((SUMIFS(SF_Output!$T$1:$T$400,SF_Output!$AC$1:$AC$400,_xlfn.TEXTJOIN(",",TRUE,$B192:$E192),SF_Output!$Q$1:$Q$400,"yearly")/R192))))</f>
        <v/>
      </c>
      <c r="T192" s="6" t="str">
        <f t="shared" si="11"/>
        <v/>
      </c>
      <c r="V192" s="6" t="str" cm="1">
        <f t="array" ref="V192">_xlfn.IFS(B192="","",AND(B192&lt;&gt;"",H192=SF_Output!$Y$2,SUMIFS(SF_Output!$T$1:$T$400,SF_Output!$AC$1:$AC$400,_xlfn.TEXTJOIN(",",TRUE,B192:E192),SF_Output!$Q$1:$Q$400,"monthly")=0),(SUMIFS(SF_Output!$F$1:$F$400,SF_Output!$AC$1:$AC$400,_xlfn.TEXTJOIN(",",TRUE,B192:E192),SF_Output!$Q$1:$Q$400,"monthly")+SUMIFS(SF_Output!$G$1:$G$400,SF_Output!$AC$1:$AC$400,_xlfn.TEXTJOIN(",",TRUE,B192:E192),SF_Output!$Q$1:$Q$400,"monthly"))*H192,AND(B192&lt;&gt;"",H192=SF_Output!$Y$2,SUMIFS(SF_Output!$T$1:$T$400,SF_Output!$AC$1:$AC$400,_xlfn.TEXTJOIN(",",TRUE,B192:E192),SF_Output!$Q$1:$Q$400,"monthly")&lt;&gt;0),SUMIFS(SF_Output!$S$1:$S$400,SF_Output!$AC$1:$AC$400,_xlfn.TEXTJOIN(",",TRUE,B192:E192),SF_Output!$Q$1:$Q$400,"monthly"),AND(B192&lt;&gt;"",H192&lt;&gt;SF_Output!$Y$2),SUMIFS(SF_Output!$S$1:$S$400,SF_Output!$AC$1:$AC$400,_xlfn.TEXTJOIN(",",TRUE,B192:E192),SF_Output!$Q$1:$Q$400,"monthly"))</f>
        <v/>
      </c>
      <c r="W192" s="112" t="str" cm="1">
        <f t="array" ref="W192">_xlfn.IFS(OR(B192=0,B192="",V192=0),"",AF192&lt;&gt;"exclusion",MAX($W$9,$W$7,(-(SUMIFS(SF_Output!$T$1:$T$400,SF_Output!$AC$1:$AC$400,_xlfn.TEXTJOIN(",",TRUE,$B192:$E192),SF_Output!$Q$1:$Q$400,"monthly"))/V192)),AF192="exclusion",-(SUMIFS(SF_Output!$T$1:$T$400,SF_Output!$AC$1:$AC$400,_xlfn.TEXTJOIN(",",TRUE,$B192:$E192),SF_Output!$Q$1:$Q$400,"monthly"))/V192)</f>
        <v/>
      </c>
      <c r="X192" s="6" t="str" cm="1">
        <f t="array" ref="X192">IFERROR(_xlfn.IFS(V192=0,0,V192="","",W192=0,V192,OR(V192&lt;&gt;0,V192&lt;&gt;""),H192*I192),V192*(1-W192))</f>
        <v/>
      </c>
    </row>
    <row r="193" spans="6:24" x14ac:dyDescent="0.25">
      <c r="F193" s="116" t="str">
        <f t="shared" si="8"/>
        <v/>
      </c>
      <c r="G193" t="str">
        <f>IF(B193="","",INDEX(SF_Output!$K$1:$K$400,MATCH(B193,SF_Output!$M$1:$M$400,0)))</f>
        <v/>
      </c>
      <c r="H193" t="str" cm="1">
        <f t="array" ref="H193">_xlfn.IFS(B193="","",(SUMIFS(SF_Output!$F$1:$F$400,SF_Output!$AC$1:$AC$400,_xlfn.TEXTJOIN(",",TRUE,B193:E193))+SUMIFS(SF_Output!$G$1:$G$400,SF_Output!$AC$1:$AC$400,_xlfn.TEXTJOIN(",",TRUE,B193:E193)))&lt;&gt;0,SF_Output!$Y$2,INDEX(SF_Output!$F$1:$F$400,MATCH(_xlfn.TEXTJOIN(",",TRUE,B193:E193),SF_Output!$AC$1:$AC$400,0))=0,INDEX(SF_Output!$R$1:$R$400,MATCH(_xlfn.TEXTJOIN(",",TRUE,B193:E193),SF_Output!$AC$1:$AC$400,0)))</f>
        <v/>
      </c>
      <c r="I193" s="125" t="str">
        <f>IFERROR(IF(AND(H193&gt;1,H193&lt;&gt;""),ROUND(SUMIFS(SF_Output!$S$1:$S$400,SF_Output!$AC$1:$AC$400,_xlfn.TEXTJOIN(",",TRUE,B193:E193),SF_Output!$Q$1:$Q$400,"monthly")*(1-W193)/H193,4),""),"")</f>
        <v/>
      </c>
      <c r="J193" s="6" t="str">
        <f>IF(B193="","",SUMIFS(SF_Output!$S$1:$S$400,SF_Output!$AC$1:$AC$400,_xlfn.TEXTJOIN(",",TRUE,B193:E193),SF_Output!$Q$1:$Q$400,"One Time",SF_Output!$L$1:$L$400,"license fee")+SUMIFS(SF_Output!$S$1:$S$400,SF_Output!$AC$1:$AC$400,_xlfn.TEXTJOIN(",",TRUE,B193:E193),SF_Output!$Q$1:$Q$400,"One Time",SF_Output!$L$1:$L$400,"software license")+SUMIFS(SF_Output!$S$1:$S$400,SF_Output!$AC$1:$AC$400,_xlfn.TEXTJOIN(",",TRUE,B193:E193),SF_Output!$Q$1:$Q$400,"One Time",SF_Output!$L$1:$L$400,"hardware"))</f>
        <v/>
      </c>
      <c r="K193" s="112" t="str">
        <f>IF(OR(B193=0,B193="",G193="hardware",J193=0),"",IF(AF193&lt;&gt;"exclusion",MAX(K$9,-((SUMIFS(SF_Output!$T$1:$T$400,SF_Output!$AC$1:$AC$400,_xlfn.TEXTJOIN(",",TRUE,$B193:$E193),SF_Output!$Q$1:$Q$400,"One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license"))/J193)))</f>
        <v/>
      </c>
      <c r="L193" s="6" t="str">
        <f t="shared" si="9"/>
        <v/>
      </c>
      <c r="N193" s="6" t="str">
        <f>IF(B193="","",SUMIFS(SF_Output!$S$1:$S$400,SF_Output!$AC$1:$AC$400,_xlfn.TEXTJOIN(",",TRUE,B193:E193),SF_Output!$Q$1:$Q$400,"One Time",SF_Output!$L$1:$L$400,"professional service"))</f>
        <v/>
      </c>
      <c r="O193" s="112" t="str">
        <f>IF(OR(B193=0,B193="",N193=0),"",IF(AF193&lt;&gt;"exclusion",MAX(O$9,-(SUMIFS(SF_Output!$T$1:$T$400,SF_Output!$AC$1:$AC$400,_xlfn.TEXTJOIN(",",TRUE,$B193:$E193),SF_Output!$Q$1:$Q$400,"One Time",SF_Output!$L$1:$L$400,"professional service"))/N193),-((SUMIFS(SF_Output!$T$1:$T$400,SF_Output!$AC$1:$AC$400,_xlfn.TEXTJOIN(",",TRUE,$B193:$E193),SF_Output!$Q$1:$Q$400,"One Time",SF_Output!$L$1:$L$400,"professional service")/N193))))</f>
        <v/>
      </c>
      <c r="P193" s="6" t="str">
        <f t="shared" si="10"/>
        <v/>
      </c>
      <c r="R193" s="6" t="str">
        <f>IF(B193="","",SUMIFS(SF_Output!$S$1:$S$400,SF_Output!$AC$1:$AC$400,_xlfn.TEXTJOIN(",",TRUE,B193:E193),SF_Output!$Q$1:$Q$400,"yearly")+SUMIFS(SF_Output!$S$1:$S$400,SF_Output!$AC$1:$AC$400,_xlfn.TEXTJOIN(",",TRUE,B193:E193),SF_Output!$Q$1:$Q$400,"quarterly")*4)</f>
        <v/>
      </c>
      <c r="S193" s="112" t="str">
        <f>IF(OR(B193=0,B193="",G193="hardware",R193=0),"",IF(AF193&lt;&gt;"exclusion",MAX(S$9,-(SUMIFS(SF_Output!$T$1:$T$400,SF_Output!$AC$1:$AC$400,_xlfn.TEXTJOIN(",",TRUE,$B193:$E193),SF_Output!$Q$1:$Q$400,"yearly"))/R193),-((SUMIFS(SF_Output!$T$1:$T$400,SF_Output!$AC$1:$AC$400,_xlfn.TEXTJOIN(",",TRUE,$B193:$E193),SF_Output!$Q$1:$Q$400,"yearly")/R193))))</f>
        <v/>
      </c>
      <c r="T193" s="6" t="str">
        <f t="shared" si="11"/>
        <v/>
      </c>
      <c r="V193" s="6" t="str" cm="1">
        <f t="array" ref="V193">_xlfn.IFS(B193="","",AND(B193&lt;&gt;"",H193=SF_Output!$Y$2,SUMIFS(SF_Output!$T$1:$T$400,SF_Output!$AC$1:$AC$400,_xlfn.TEXTJOIN(",",TRUE,B193:E193),SF_Output!$Q$1:$Q$400,"monthly")=0),(SUMIFS(SF_Output!$F$1:$F$400,SF_Output!$AC$1:$AC$400,_xlfn.TEXTJOIN(",",TRUE,B193:E193),SF_Output!$Q$1:$Q$400,"monthly")+SUMIFS(SF_Output!$G$1:$G$400,SF_Output!$AC$1:$AC$400,_xlfn.TEXTJOIN(",",TRUE,B193:E193),SF_Output!$Q$1:$Q$400,"monthly"))*H193,AND(B193&lt;&gt;"",H193=SF_Output!$Y$2,SUMIFS(SF_Output!$T$1:$T$400,SF_Output!$AC$1:$AC$400,_xlfn.TEXTJOIN(",",TRUE,B193:E193),SF_Output!$Q$1:$Q$400,"monthly")&lt;&gt;0),SUMIFS(SF_Output!$S$1:$S$400,SF_Output!$AC$1:$AC$400,_xlfn.TEXTJOIN(",",TRUE,B193:E193),SF_Output!$Q$1:$Q$400,"monthly"),AND(B193&lt;&gt;"",H193&lt;&gt;SF_Output!$Y$2),SUMIFS(SF_Output!$S$1:$S$400,SF_Output!$AC$1:$AC$400,_xlfn.TEXTJOIN(",",TRUE,B193:E193),SF_Output!$Q$1:$Q$400,"monthly"))</f>
        <v/>
      </c>
      <c r="W193" s="112" t="str" cm="1">
        <f t="array" ref="W193">_xlfn.IFS(OR(B193=0,B193="",V193=0),"",AF193&lt;&gt;"exclusion",MAX($W$9,$W$7,(-(SUMIFS(SF_Output!$T$1:$T$400,SF_Output!$AC$1:$AC$400,_xlfn.TEXTJOIN(",",TRUE,$B193:$E193),SF_Output!$Q$1:$Q$400,"monthly"))/V193)),AF193="exclusion",-(SUMIFS(SF_Output!$T$1:$T$400,SF_Output!$AC$1:$AC$400,_xlfn.TEXTJOIN(",",TRUE,$B193:$E193),SF_Output!$Q$1:$Q$400,"monthly"))/V193)</f>
        <v/>
      </c>
      <c r="X193" s="6" t="str" cm="1">
        <f t="array" ref="X193">IFERROR(_xlfn.IFS(V193=0,0,V193="","",W193=0,V193,OR(V193&lt;&gt;0,V193&lt;&gt;""),H193*I193),V193*(1-W193))</f>
        <v/>
      </c>
    </row>
    <row r="194" spans="6:24" x14ac:dyDescent="0.25">
      <c r="F194" s="116" t="str">
        <f t="shared" si="8"/>
        <v/>
      </c>
      <c r="G194" t="str">
        <f>IF(B194="","",INDEX(SF_Output!$K$1:$K$400,MATCH(B194,SF_Output!$M$1:$M$400,0)))</f>
        <v/>
      </c>
      <c r="H194" t="str" cm="1">
        <f t="array" ref="H194">_xlfn.IFS(B194="","",(SUMIFS(SF_Output!$F$1:$F$400,SF_Output!$AC$1:$AC$400,_xlfn.TEXTJOIN(",",TRUE,B194:E194))+SUMIFS(SF_Output!$G$1:$G$400,SF_Output!$AC$1:$AC$400,_xlfn.TEXTJOIN(",",TRUE,B194:E194)))&lt;&gt;0,SF_Output!$Y$2,INDEX(SF_Output!$F$1:$F$400,MATCH(_xlfn.TEXTJOIN(",",TRUE,B194:E194),SF_Output!$AC$1:$AC$400,0))=0,INDEX(SF_Output!$R$1:$R$400,MATCH(_xlfn.TEXTJOIN(",",TRUE,B194:E194),SF_Output!$AC$1:$AC$400,0)))</f>
        <v/>
      </c>
      <c r="I194" s="125" t="str">
        <f>IFERROR(IF(AND(H194&gt;1,H194&lt;&gt;""),ROUND(SUMIFS(SF_Output!$S$1:$S$400,SF_Output!$AC$1:$AC$400,_xlfn.TEXTJOIN(",",TRUE,B194:E194),SF_Output!$Q$1:$Q$400,"monthly")*(1-W194)/H194,4),""),"")</f>
        <v/>
      </c>
      <c r="J194" s="6" t="str">
        <f>IF(B194="","",SUMIFS(SF_Output!$S$1:$S$400,SF_Output!$AC$1:$AC$400,_xlfn.TEXTJOIN(",",TRUE,B194:E194),SF_Output!$Q$1:$Q$400,"One Time",SF_Output!$L$1:$L$400,"license fee")+SUMIFS(SF_Output!$S$1:$S$400,SF_Output!$AC$1:$AC$400,_xlfn.TEXTJOIN(",",TRUE,B194:E194),SF_Output!$Q$1:$Q$400,"One Time",SF_Output!$L$1:$L$400,"software license")+SUMIFS(SF_Output!$S$1:$S$400,SF_Output!$AC$1:$AC$400,_xlfn.TEXTJOIN(",",TRUE,B194:E194),SF_Output!$Q$1:$Q$400,"One Time",SF_Output!$L$1:$L$400,"hardware"))</f>
        <v/>
      </c>
      <c r="K194" s="112" t="str">
        <f>IF(OR(B194=0,B194="",G194="hardware",J194=0),"",IF(AF194&lt;&gt;"exclusion",MAX(K$9,-((SUMIFS(SF_Output!$T$1:$T$400,SF_Output!$AC$1:$AC$400,_xlfn.TEXTJOIN(",",TRUE,$B194:$E194),SF_Output!$Q$1:$Q$400,"One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license"))/J194)))</f>
        <v/>
      </c>
      <c r="L194" s="6" t="str">
        <f t="shared" si="9"/>
        <v/>
      </c>
      <c r="N194" s="6" t="str">
        <f>IF(B194="","",SUMIFS(SF_Output!$S$1:$S$400,SF_Output!$AC$1:$AC$400,_xlfn.TEXTJOIN(",",TRUE,B194:E194),SF_Output!$Q$1:$Q$400,"One Time",SF_Output!$L$1:$L$400,"professional service"))</f>
        <v/>
      </c>
      <c r="O194" s="112" t="str">
        <f>IF(OR(B194=0,B194="",N194=0),"",IF(AF194&lt;&gt;"exclusion",MAX(O$9,-(SUMIFS(SF_Output!$T$1:$T$400,SF_Output!$AC$1:$AC$400,_xlfn.TEXTJOIN(",",TRUE,$B194:$E194),SF_Output!$Q$1:$Q$400,"One Time",SF_Output!$L$1:$L$400,"professional service"))/N194),-((SUMIFS(SF_Output!$T$1:$T$400,SF_Output!$AC$1:$AC$400,_xlfn.TEXTJOIN(",",TRUE,$B194:$E194),SF_Output!$Q$1:$Q$400,"One Time",SF_Output!$L$1:$L$400,"professional service")/N194))))</f>
        <v/>
      </c>
      <c r="P194" s="6" t="str">
        <f t="shared" si="10"/>
        <v/>
      </c>
      <c r="R194" s="6" t="str">
        <f>IF(B194="","",SUMIFS(SF_Output!$S$1:$S$400,SF_Output!$AC$1:$AC$400,_xlfn.TEXTJOIN(",",TRUE,B194:E194),SF_Output!$Q$1:$Q$400,"yearly")+SUMIFS(SF_Output!$S$1:$S$400,SF_Output!$AC$1:$AC$400,_xlfn.TEXTJOIN(",",TRUE,B194:E194),SF_Output!$Q$1:$Q$400,"quarterly")*4)</f>
        <v/>
      </c>
      <c r="S194" s="112" t="str">
        <f>IF(OR(B194=0,B194="",G194="hardware",R194=0),"",IF(AF194&lt;&gt;"exclusion",MAX(S$9,-(SUMIFS(SF_Output!$T$1:$T$400,SF_Output!$AC$1:$AC$400,_xlfn.TEXTJOIN(",",TRUE,$B194:$E194),SF_Output!$Q$1:$Q$400,"yearly"))/R194),-((SUMIFS(SF_Output!$T$1:$T$400,SF_Output!$AC$1:$AC$400,_xlfn.TEXTJOIN(",",TRUE,$B194:$E194),SF_Output!$Q$1:$Q$400,"yearly")/R194))))</f>
        <v/>
      </c>
      <c r="T194" s="6" t="str">
        <f t="shared" si="11"/>
        <v/>
      </c>
      <c r="V194" s="6" t="str" cm="1">
        <f t="array" ref="V194">_xlfn.IFS(B194="","",AND(B194&lt;&gt;"",H194=SF_Output!$Y$2,SUMIFS(SF_Output!$T$1:$T$400,SF_Output!$AC$1:$AC$400,_xlfn.TEXTJOIN(",",TRUE,B194:E194),SF_Output!$Q$1:$Q$400,"monthly")=0),(SUMIFS(SF_Output!$F$1:$F$400,SF_Output!$AC$1:$AC$400,_xlfn.TEXTJOIN(",",TRUE,B194:E194),SF_Output!$Q$1:$Q$400,"monthly")+SUMIFS(SF_Output!$G$1:$G$400,SF_Output!$AC$1:$AC$400,_xlfn.TEXTJOIN(",",TRUE,B194:E194),SF_Output!$Q$1:$Q$400,"monthly"))*H194,AND(B194&lt;&gt;"",H194=SF_Output!$Y$2,SUMIFS(SF_Output!$T$1:$T$400,SF_Output!$AC$1:$AC$400,_xlfn.TEXTJOIN(",",TRUE,B194:E194),SF_Output!$Q$1:$Q$400,"monthly")&lt;&gt;0),SUMIFS(SF_Output!$S$1:$S$400,SF_Output!$AC$1:$AC$400,_xlfn.TEXTJOIN(",",TRUE,B194:E194),SF_Output!$Q$1:$Q$400,"monthly"),AND(B194&lt;&gt;"",H194&lt;&gt;SF_Output!$Y$2),SUMIFS(SF_Output!$S$1:$S$400,SF_Output!$AC$1:$AC$400,_xlfn.TEXTJOIN(",",TRUE,B194:E194),SF_Output!$Q$1:$Q$400,"monthly"))</f>
        <v/>
      </c>
      <c r="W194" s="112" t="str" cm="1">
        <f t="array" ref="W194">_xlfn.IFS(OR(B194=0,B194="",V194=0),"",AF194&lt;&gt;"exclusion",MAX($W$9,$W$7,(-(SUMIFS(SF_Output!$T$1:$T$400,SF_Output!$AC$1:$AC$400,_xlfn.TEXTJOIN(",",TRUE,$B194:$E194),SF_Output!$Q$1:$Q$400,"monthly"))/V194)),AF194="exclusion",-(SUMIFS(SF_Output!$T$1:$T$400,SF_Output!$AC$1:$AC$400,_xlfn.TEXTJOIN(",",TRUE,$B194:$E194),SF_Output!$Q$1:$Q$400,"monthly"))/V194)</f>
        <v/>
      </c>
      <c r="X194" s="6" t="str" cm="1">
        <f t="array" ref="X194">IFERROR(_xlfn.IFS(V194=0,0,V194="","",W194=0,V194,OR(V194&lt;&gt;0,V194&lt;&gt;""),H194*I194),V194*(1-W194))</f>
        <v/>
      </c>
    </row>
    <row r="195" spans="6:24" x14ac:dyDescent="0.25">
      <c r="F195" s="116" t="str">
        <f t="shared" si="8"/>
        <v/>
      </c>
      <c r="G195" t="str">
        <f>IF(B195="","",INDEX(SF_Output!$K$1:$K$400,MATCH(B195,SF_Output!$M$1:$M$400,0)))</f>
        <v/>
      </c>
      <c r="H195" t="str" cm="1">
        <f t="array" ref="H195">_xlfn.IFS(B195="","",(SUMIFS(SF_Output!$F$1:$F$400,SF_Output!$AC$1:$AC$400,_xlfn.TEXTJOIN(",",TRUE,B195:E195))+SUMIFS(SF_Output!$G$1:$G$400,SF_Output!$AC$1:$AC$400,_xlfn.TEXTJOIN(",",TRUE,B195:E195)))&lt;&gt;0,SF_Output!$Y$2,INDEX(SF_Output!$F$1:$F$400,MATCH(_xlfn.TEXTJOIN(",",TRUE,B195:E195),SF_Output!$AC$1:$AC$400,0))=0,INDEX(SF_Output!$R$1:$R$400,MATCH(_xlfn.TEXTJOIN(",",TRUE,B195:E195),SF_Output!$AC$1:$AC$400,0)))</f>
        <v/>
      </c>
      <c r="I195" s="125" t="str">
        <f>IFERROR(IF(AND(H195&gt;1,H195&lt;&gt;""),ROUND(SUMIFS(SF_Output!$S$1:$S$400,SF_Output!$AC$1:$AC$400,_xlfn.TEXTJOIN(",",TRUE,B195:E195),SF_Output!$Q$1:$Q$400,"monthly")*(1-W195)/H195,4),""),"")</f>
        <v/>
      </c>
      <c r="J195" s="6" t="str">
        <f>IF(B195="","",SUMIFS(SF_Output!$S$1:$S$400,SF_Output!$AC$1:$AC$400,_xlfn.TEXTJOIN(",",TRUE,B195:E195),SF_Output!$Q$1:$Q$400,"One Time",SF_Output!$L$1:$L$400,"license fee")+SUMIFS(SF_Output!$S$1:$S$400,SF_Output!$AC$1:$AC$400,_xlfn.TEXTJOIN(",",TRUE,B195:E195),SF_Output!$Q$1:$Q$400,"One Time",SF_Output!$L$1:$L$400,"software license")+SUMIFS(SF_Output!$S$1:$S$400,SF_Output!$AC$1:$AC$400,_xlfn.TEXTJOIN(",",TRUE,B195:E195),SF_Output!$Q$1:$Q$400,"One Time",SF_Output!$L$1:$L$400,"hardware"))</f>
        <v/>
      </c>
      <c r="K195" s="112" t="str">
        <f>IF(OR(B195=0,B195="",G195="hardware",J195=0),"",IF(AF195&lt;&gt;"exclusion",MAX(K$9,-((SUMIFS(SF_Output!$T$1:$T$400,SF_Output!$AC$1:$AC$400,_xlfn.TEXTJOIN(",",TRUE,$B195:$E195),SF_Output!$Q$1:$Q$400,"One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license"))/J195)))</f>
        <v/>
      </c>
      <c r="L195" s="6" t="str">
        <f t="shared" si="9"/>
        <v/>
      </c>
      <c r="N195" s="6" t="str">
        <f>IF(B195="","",SUMIFS(SF_Output!$S$1:$S$400,SF_Output!$AC$1:$AC$400,_xlfn.TEXTJOIN(",",TRUE,B195:E195),SF_Output!$Q$1:$Q$400,"One Time",SF_Output!$L$1:$L$400,"professional service"))</f>
        <v/>
      </c>
      <c r="O195" s="112" t="str">
        <f>IF(OR(B195=0,B195="",N195=0),"",IF(AF195&lt;&gt;"exclusion",MAX(O$9,-(SUMIFS(SF_Output!$T$1:$T$400,SF_Output!$AC$1:$AC$400,_xlfn.TEXTJOIN(",",TRUE,$B195:$E195),SF_Output!$Q$1:$Q$400,"One Time",SF_Output!$L$1:$L$400,"professional service"))/N195),-((SUMIFS(SF_Output!$T$1:$T$400,SF_Output!$AC$1:$AC$400,_xlfn.TEXTJOIN(",",TRUE,$B195:$E195),SF_Output!$Q$1:$Q$400,"One Time",SF_Output!$L$1:$L$400,"professional service")/N195))))</f>
        <v/>
      </c>
      <c r="P195" s="6" t="str">
        <f t="shared" si="10"/>
        <v/>
      </c>
      <c r="R195" s="6" t="str">
        <f>IF(B195="","",SUMIFS(SF_Output!$S$1:$S$400,SF_Output!$AC$1:$AC$400,_xlfn.TEXTJOIN(",",TRUE,B195:E195),SF_Output!$Q$1:$Q$400,"yearly")+SUMIFS(SF_Output!$S$1:$S$400,SF_Output!$AC$1:$AC$400,_xlfn.TEXTJOIN(",",TRUE,B195:E195),SF_Output!$Q$1:$Q$400,"quarterly")*4)</f>
        <v/>
      </c>
      <c r="S195" s="112" t="str">
        <f>IF(OR(B195=0,B195="",G195="hardware",R195=0),"",IF(AF195&lt;&gt;"exclusion",MAX(S$9,-(SUMIFS(SF_Output!$T$1:$T$400,SF_Output!$AC$1:$AC$400,_xlfn.TEXTJOIN(",",TRUE,$B195:$E195),SF_Output!$Q$1:$Q$400,"yearly"))/R195),-((SUMIFS(SF_Output!$T$1:$T$400,SF_Output!$AC$1:$AC$400,_xlfn.TEXTJOIN(",",TRUE,$B195:$E195),SF_Output!$Q$1:$Q$400,"yearly")/R195))))</f>
        <v/>
      </c>
      <c r="T195" s="6" t="str">
        <f t="shared" si="11"/>
        <v/>
      </c>
      <c r="V195" s="6" t="str" cm="1">
        <f t="array" ref="V195">_xlfn.IFS(B195="","",AND(B195&lt;&gt;"",H195=SF_Output!$Y$2,SUMIFS(SF_Output!$T$1:$T$400,SF_Output!$AC$1:$AC$400,_xlfn.TEXTJOIN(",",TRUE,B195:E195),SF_Output!$Q$1:$Q$400,"monthly")=0),(SUMIFS(SF_Output!$F$1:$F$400,SF_Output!$AC$1:$AC$400,_xlfn.TEXTJOIN(",",TRUE,B195:E195),SF_Output!$Q$1:$Q$400,"monthly")+SUMIFS(SF_Output!$G$1:$G$400,SF_Output!$AC$1:$AC$400,_xlfn.TEXTJOIN(",",TRUE,B195:E195),SF_Output!$Q$1:$Q$400,"monthly"))*H195,AND(B195&lt;&gt;"",H195=SF_Output!$Y$2,SUMIFS(SF_Output!$T$1:$T$400,SF_Output!$AC$1:$AC$400,_xlfn.TEXTJOIN(",",TRUE,B195:E195),SF_Output!$Q$1:$Q$400,"monthly")&lt;&gt;0),SUMIFS(SF_Output!$S$1:$S$400,SF_Output!$AC$1:$AC$400,_xlfn.TEXTJOIN(",",TRUE,B195:E195),SF_Output!$Q$1:$Q$400,"monthly"),AND(B195&lt;&gt;"",H195&lt;&gt;SF_Output!$Y$2),SUMIFS(SF_Output!$S$1:$S$400,SF_Output!$AC$1:$AC$400,_xlfn.TEXTJOIN(",",TRUE,B195:E195),SF_Output!$Q$1:$Q$400,"monthly"))</f>
        <v/>
      </c>
      <c r="W195" s="112" t="str" cm="1">
        <f t="array" ref="W195">_xlfn.IFS(OR(B195=0,B195="",V195=0),"",AF195&lt;&gt;"exclusion",MAX($W$9,$W$7,(-(SUMIFS(SF_Output!$T$1:$T$400,SF_Output!$AC$1:$AC$400,_xlfn.TEXTJOIN(",",TRUE,$B195:$E195),SF_Output!$Q$1:$Q$400,"monthly"))/V195)),AF195="exclusion",-(SUMIFS(SF_Output!$T$1:$T$400,SF_Output!$AC$1:$AC$400,_xlfn.TEXTJOIN(",",TRUE,$B195:$E195),SF_Output!$Q$1:$Q$400,"monthly"))/V195)</f>
        <v/>
      </c>
      <c r="X195" s="6" t="str" cm="1">
        <f t="array" ref="X195">IFERROR(_xlfn.IFS(V195=0,0,V195="","",W195=0,V195,OR(V195&lt;&gt;0,V195&lt;&gt;""),H195*I195),V195*(1-W195))</f>
        <v/>
      </c>
    </row>
    <row r="196" spans="6:24" x14ac:dyDescent="0.25">
      <c r="F196" s="116" t="str">
        <f t="shared" si="8"/>
        <v/>
      </c>
      <c r="G196" t="str">
        <f>IF(B196="","",INDEX(SF_Output!$K$1:$K$400,MATCH(B196,SF_Output!$M$1:$M$400,0)))</f>
        <v/>
      </c>
      <c r="H196" t="str" cm="1">
        <f t="array" ref="H196">_xlfn.IFS(B196="","",(SUMIFS(SF_Output!$F$1:$F$400,SF_Output!$AC$1:$AC$400,_xlfn.TEXTJOIN(",",TRUE,B196:E196))+SUMIFS(SF_Output!$G$1:$G$400,SF_Output!$AC$1:$AC$400,_xlfn.TEXTJOIN(",",TRUE,B196:E196)))&lt;&gt;0,SF_Output!$Y$2,INDEX(SF_Output!$F$1:$F$400,MATCH(_xlfn.TEXTJOIN(",",TRUE,B196:E196),SF_Output!$AC$1:$AC$400,0))=0,INDEX(SF_Output!$R$1:$R$400,MATCH(_xlfn.TEXTJOIN(",",TRUE,B196:E196),SF_Output!$AC$1:$AC$400,0)))</f>
        <v/>
      </c>
      <c r="I196" s="125" t="str">
        <f>IFERROR(IF(AND(H196&gt;1,H196&lt;&gt;""),ROUND(SUMIFS(SF_Output!$S$1:$S$400,SF_Output!$AC$1:$AC$400,_xlfn.TEXTJOIN(",",TRUE,B196:E196),SF_Output!$Q$1:$Q$400,"monthly")*(1-W196)/H196,4),""),"")</f>
        <v/>
      </c>
      <c r="J196" s="6" t="str">
        <f>IF(B196="","",SUMIFS(SF_Output!$S$1:$S$400,SF_Output!$AC$1:$AC$400,_xlfn.TEXTJOIN(",",TRUE,B196:E196),SF_Output!$Q$1:$Q$400,"One Time",SF_Output!$L$1:$L$400,"license fee")+SUMIFS(SF_Output!$S$1:$S$400,SF_Output!$AC$1:$AC$400,_xlfn.TEXTJOIN(",",TRUE,B196:E196),SF_Output!$Q$1:$Q$400,"One Time",SF_Output!$L$1:$L$400,"software license")+SUMIFS(SF_Output!$S$1:$S$400,SF_Output!$AC$1:$AC$400,_xlfn.TEXTJOIN(",",TRUE,B196:E196),SF_Output!$Q$1:$Q$400,"One Time",SF_Output!$L$1:$L$400,"hardware"))</f>
        <v/>
      </c>
      <c r="K196" s="112" t="str">
        <f>IF(OR(B196=0,B196="",G196="hardware",J196=0),"",IF(AF196&lt;&gt;"exclusion",MAX(K$9,-((SUMIFS(SF_Output!$T$1:$T$400,SF_Output!$AC$1:$AC$400,_xlfn.TEXTJOIN(",",TRUE,$B196:$E196),SF_Output!$Q$1:$Q$400,"One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license"))/J196)))</f>
        <v/>
      </c>
      <c r="L196" s="6" t="str">
        <f t="shared" si="9"/>
        <v/>
      </c>
      <c r="N196" s="6" t="str">
        <f>IF(B196="","",SUMIFS(SF_Output!$S$1:$S$400,SF_Output!$AC$1:$AC$400,_xlfn.TEXTJOIN(",",TRUE,B196:E196),SF_Output!$Q$1:$Q$400,"One Time",SF_Output!$L$1:$L$400,"professional service"))</f>
        <v/>
      </c>
      <c r="O196" s="112" t="str">
        <f>IF(OR(B196=0,B196="",N196=0),"",IF(AF196&lt;&gt;"exclusion",MAX(O$9,-(SUMIFS(SF_Output!$T$1:$T$400,SF_Output!$AC$1:$AC$400,_xlfn.TEXTJOIN(",",TRUE,$B196:$E196),SF_Output!$Q$1:$Q$400,"One Time",SF_Output!$L$1:$L$400,"professional service"))/N196),-((SUMIFS(SF_Output!$T$1:$T$400,SF_Output!$AC$1:$AC$400,_xlfn.TEXTJOIN(",",TRUE,$B196:$E196),SF_Output!$Q$1:$Q$400,"One Time",SF_Output!$L$1:$L$400,"professional service")/N196))))</f>
        <v/>
      </c>
      <c r="P196" s="6" t="str">
        <f t="shared" si="10"/>
        <v/>
      </c>
      <c r="R196" s="6" t="str">
        <f>IF(B196="","",SUMIFS(SF_Output!$S$1:$S$400,SF_Output!$AC$1:$AC$400,_xlfn.TEXTJOIN(",",TRUE,B196:E196),SF_Output!$Q$1:$Q$400,"yearly")+SUMIFS(SF_Output!$S$1:$S$400,SF_Output!$AC$1:$AC$400,_xlfn.TEXTJOIN(",",TRUE,B196:E196),SF_Output!$Q$1:$Q$400,"quarterly")*4)</f>
        <v/>
      </c>
      <c r="S196" s="112" t="str">
        <f>IF(OR(B196=0,B196="",G196="hardware",R196=0),"",IF(AF196&lt;&gt;"exclusion",MAX(S$9,-(SUMIFS(SF_Output!$T$1:$T$400,SF_Output!$AC$1:$AC$400,_xlfn.TEXTJOIN(",",TRUE,$B196:$E196),SF_Output!$Q$1:$Q$400,"yearly"))/R196),-((SUMIFS(SF_Output!$T$1:$T$400,SF_Output!$AC$1:$AC$400,_xlfn.TEXTJOIN(",",TRUE,$B196:$E196),SF_Output!$Q$1:$Q$400,"yearly")/R196))))</f>
        <v/>
      </c>
      <c r="T196" s="6" t="str">
        <f t="shared" si="11"/>
        <v/>
      </c>
      <c r="V196" s="6" t="str" cm="1">
        <f t="array" ref="V196">_xlfn.IFS(B196="","",AND(B196&lt;&gt;"",H196=SF_Output!$Y$2,SUMIFS(SF_Output!$T$1:$T$400,SF_Output!$AC$1:$AC$400,_xlfn.TEXTJOIN(",",TRUE,B196:E196),SF_Output!$Q$1:$Q$400,"monthly")=0),(SUMIFS(SF_Output!$F$1:$F$400,SF_Output!$AC$1:$AC$400,_xlfn.TEXTJOIN(",",TRUE,B196:E196),SF_Output!$Q$1:$Q$400,"monthly")+SUMIFS(SF_Output!$G$1:$G$400,SF_Output!$AC$1:$AC$400,_xlfn.TEXTJOIN(",",TRUE,B196:E196),SF_Output!$Q$1:$Q$400,"monthly"))*H196,AND(B196&lt;&gt;"",H196=SF_Output!$Y$2,SUMIFS(SF_Output!$T$1:$T$400,SF_Output!$AC$1:$AC$400,_xlfn.TEXTJOIN(",",TRUE,B196:E196),SF_Output!$Q$1:$Q$400,"monthly")&lt;&gt;0),SUMIFS(SF_Output!$S$1:$S$400,SF_Output!$AC$1:$AC$400,_xlfn.TEXTJOIN(",",TRUE,B196:E196),SF_Output!$Q$1:$Q$400,"monthly"),AND(B196&lt;&gt;"",H196&lt;&gt;SF_Output!$Y$2),SUMIFS(SF_Output!$S$1:$S$400,SF_Output!$AC$1:$AC$400,_xlfn.TEXTJOIN(",",TRUE,B196:E196),SF_Output!$Q$1:$Q$400,"monthly"))</f>
        <v/>
      </c>
      <c r="W196" s="112" t="str" cm="1">
        <f t="array" ref="W196">_xlfn.IFS(OR(B196=0,B196="",V196=0),"",AF196&lt;&gt;"exclusion",MAX($W$9,$W$7,(-(SUMIFS(SF_Output!$T$1:$T$400,SF_Output!$AC$1:$AC$400,_xlfn.TEXTJOIN(",",TRUE,$B196:$E196),SF_Output!$Q$1:$Q$400,"monthly"))/V196)),AF196="exclusion",-(SUMIFS(SF_Output!$T$1:$T$400,SF_Output!$AC$1:$AC$400,_xlfn.TEXTJOIN(",",TRUE,$B196:$E196),SF_Output!$Q$1:$Q$400,"monthly"))/V196)</f>
        <v/>
      </c>
      <c r="X196" s="6" t="str" cm="1">
        <f t="array" ref="X196">IFERROR(_xlfn.IFS(V196=0,0,V196="","",W196=0,V196,OR(V196&lt;&gt;0,V196&lt;&gt;""),H196*I196),V196*(1-W196))</f>
        <v/>
      </c>
    </row>
    <row r="197" spans="6:24" x14ac:dyDescent="0.25">
      <c r="F197" s="116" t="str">
        <f t="shared" si="8"/>
        <v/>
      </c>
      <c r="G197" t="str">
        <f>IF(B197="","",INDEX(SF_Output!$K$1:$K$400,MATCH(B197,SF_Output!$M$1:$M$400,0)))</f>
        <v/>
      </c>
      <c r="H197" t="str" cm="1">
        <f t="array" ref="H197">_xlfn.IFS(B197="","",(SUMIFS(SF_Output!$F$1:$F$400,SF_Output!$AC$1:$AC$400,_xlfn.TEXTJOIN(",",TRUE,B197:E197))+SUMIFS(SF_Output!$G$1:$G$400,SF_Output!$AC$1:$AC$400,_xlfn.TEXTJOIN(",",TRUE,B197:E197)))&lt;&gt;0,SF_Output!$Y$2,INDEX(SF_Output!$F$1:$F$400,MATCH(_xlfn.TEXTJOIN(",",TRUE,B197:E197),SF_Output!$AC$1:$AC$400,0))=0,INDEX(SF_Output!$R$1:$R$400,MATCH(_xlfn.TEXTJOIN(",",TRUE,B197:E197),SF_Output!$AC$1:$AC$400,0)))</f>
        <v/>
      </c>
      <c r="I197" s="125" t="str">
        <f>IFERROR(IF(AND(H197&gt;1,H197&lt;&gt;""),ROUND(SUMIFS(SF_Output!$S$1:$S$400,SF_Output!$AC$1:$AC$400,_xlfn.TEXTJOIN(",",TRUE,B197:E197),SF_Output!$Q$1:$Q$400,"monthly")*(1-W197)/H197,4),""),"")</f>
        <v/>
      </c>
      <c r="J197" s="6" t="str">
        <f>IF(B197="","",SUMIFS(SF_Output!$S$1:$S$400,SF_Output!$AC$1:$AC$400,_xlfn.TEXTJOIN(",",TRUE,B197:E197),SF_Output!$Q$1:$Q$400,"One Time",SF_Output!$L$1:$L$400,"license fee")+SUMIFS(SF_Output!$S$1:$S$400,SF_Output!$AC$1:$AC$400,_xlfn.TEXTJOIN(",",TRUE,B197:E197),SF_Output!$Q$1:$Q$400,"One Time",SF_Output!$L$1:$L$400,"software license")+SUMIFS(SF_Output!$S$1:$S$400,SF_Output!$AC$1:$AC$400,_xlfn.TEXTJOIN(",",TRUE,B197:E197),SF_Output!$Q$1:$Q$400,"One Time",SF_Output!$L$1:$L$400,"hardware"))</f>
        <v/>
      </c>
      <c r="K197" s="112" t="str">
        <f>IF(OR(B197=0,B197="",G197="hardware",J197=0),"",IF(AF197&lt;&gt;"exclusion",MAX(K$9,-((SUMIFS(SF_Output!$T$1:$T$400,SF_Output!$AC$1:$AC$400,_xlfn.TEXTJOIN(",",TRUE,$B197:$E197),SF_Output!$Q$1:$Q$400,"One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license"))/J197)))</f>
        <v/>
      </c>
      <c r="L197" s="6" t="str">
        <f t="shared" si="9"/>
        <v/>
      </c>
      <c r="N197" s="6" t="str">
        <f>IF(B197="","",SUMIFS(SF_Output!$S$1:$S$400,SF_Output!$AC$1:$AC$400,_xlfn.TEXTJOIN(",",TRUE,B197:E197),SF_Output!$Q$1:$Q$400,"One Time",SF_Output!$L$1:$L$400,"professional service"))</f>
        <v/>
      </c>
      <c r="O197" s="112" t="str">
        <f>IF(OR(B197=0,B197="",N197=0),"",IF(AF197&lt;&gt;"exclusion",MAX(O$9,-(SUMIFS(SF_Output!$T$1:$T$400,SF_Output!$AC$1:$AC$400,_xlfn.TEXTJOIN(",",TRUE,$B197:$E197),SF_Output!$Q$1:$Q$400,"One Time",SF_Output!$L$1:$L$400,"professional service"))/N197),-((SUMIFS(SF_Output!$T$1:$T$400,SF_Output!$AC$1:$AC$400,_xlfn.TEXTJOIN(",",TRUE,$B197:$E197),SF_Output!$Q$1:$Q$400,"One Time",SF_Output!$L$1:$L$400,"professional service")/N197))))</f>
        <v/>
      </c>
      <c r="P197" s="6" t="str">
        <f t="shared" si="10"/>
        <v/>
      </c>
      <c r="R197" s="6" t="str">
        <f>IF(B197="","",SUMIFS(SF_Output!$S$1:$S$400,SF_Output!$AC$1:$AC$400,_xlfn.TEXTJOIN(",",TRUE,B197:E197),SF_Output!$Q$1:$Q$400,"yearly")+SUMIFS(SF_Output!$S$1:$S$400,SF_Output!$AC$1:$AC$400,_xlfn.TEXTJOIN(",",TRUE,B197:E197),SF_Output!$Q$1:$Q$400,"quarterly")*4)</f>
        <v/>
      </c>
      <c r="S197" s="112" t="str">
        <f>IF(OR(B197=0,B197="",G197="hardware",R197=0),"",IF(AF197&lt;&gt;"exclusion",MAX(S$9,-(SUMIFS(SF_Output!$T$1:$T$400,SF_Output!$AC$1:$AC$400,_xlfn.TEXTJOIN(",",TRUE,$B197:$E197),SF_Output!$Q$1:$Q$400,"yearly"))/R197),-((SUMIFS(SF_Output!$T$1:$T$400,SF_Output!$AC$1:$AC$400,_xlfn.TEXTJOIN(",",TRUE,$B197:$E197),SF_Output!$Q$1:$Q$400,"yearly")/R197))))</f>
        <v/>
      </c>
      <c r="T197" s="6" t="str">
        <f t="shared" si="11"/>
        <v/>
      </c>
      <c r="V197" s="6" t="str" cm="1">
        <f t="array" ref="V197">_xlfn.IFS(B197="","",AND(B197&lt;&gt;"",H197=SF_Output!$Y$2,SUMIFS(SF_Output!$T$1:$T$400,SF_Output!$AC$1:$AC$400,_xlfn.TEXTJOIN(",",TRUE,B197:E197),SF_Output!$Q$1:$Q$400,"monthly")=0),(SUMIFS(SF_Output!$F$1:$F$400,SF_Output!$AC$1:$AC$400,_xlfn.TEXTJOIN(",",TRUE,B197:E197),SF_Output!$Q$1:$Q$400,"monthly")+SUMIFS(SF_Output!$G$1:$G$400,SF_Output!$AC$1:$AC$400,_xlfn.TEXTJOIN(",",TRUE,B197:E197),SF_Output!$Q$1:$Q$400,"monthly"))*H197,AND(B197&lt;&gt;"",H197=SF_Output!$Y$2,SUMIFS(SF_Output!$T$1:$T$400,SF_Output!$AC$1:$AC$400,_xlfn.TEXTJOIN(",",TRUE,B197:E197),SF_Output!$Q$1:$Q$400,"monthly")&lt;&gt;0),SUMIFS(SF_Output!$S$1:$S$400,SF_Output!$AC$1:$AC$400,_xlfn.TEXTJOIN(",",TRUE,B197:E197),SF_Output!$Q$1:$Q$400,"monthly"),AND(B197&lt;&gt;"",H197&lt;&gt;SF_Output!$Y$2),SUMIFS(SF_Output!$S$1:$S$400,SF_Output!$AC$1:$AC$400,_xlfn.TEXTJOIN(",",TRUE,B197:E197),SF_Output!$Q$1:$Q$400,"monthly"))</f>
        <v/>
      </c>
      <c r="W197" s="112" t="str" cm="1">
        <f t="array" ref="W197">_xlfn.IFS(OR(B197=0,B197="",V197=0),"",AF197&lt;&gt;"exclusion",MAX($W$9,$W$7,(-(SUMIFS(SF_Output!$T$1:$T$400,SF_Output!$AC$1:$AC$400,_xlfn.TEXTJOIN(",",TRUE,$B197:$E197),SF_Output!$Q$1:$Q$400,"monthly"))/V197)),AF197="exclusion",-(SUMIFS(SF_Output!$T$1:$T$400,SF_Output!$AC$1:$AC$400,_xlfn.TEXTJOIN(",",TRUE,$B197:$E197),SF_Output!$Q$1:$Q$400,"monthly"))/V197)</f>
        <v/>
      </c>
      <c r="X197" s="6" t="str" cm="1">
        <f t="array" ref="X197">IFERROR(_xlfn.IFS(V197=0,0,V197="","",W197=0,V197,OR(V197&lt;&gt;0,V197&lt;&gt;""),H197*I197),V197*(1-W197))</f>
        <v/>
      </c>
    </row>
    <row r="198" spans="6:24" x14ac:dyDescent="0.25">
      <c r="F198" s="116" t="str">
        <f t="shared" si="8"/>
        <v/>
      </c>
      <c r="G198" t="str">
        <f>IF(B198="","",INDEX(SF_Output!$K$1:$K$400,MATCH(B198,SF_Output!$M$1:$M$400,0)))</f>
        <v/>
      </c>
      <c r="H198" t="str" cm="1">
        <f t="array" ref="H198">_xlfn.IFS(B198="","",(SUMIFS(SF_Output!$F$1:$F$400,SF_Output!$AC$1:$AC$400,_xlfn.TEXTJOIN(",",TRUE,B198:E198))+SUMIFS(SF_Output!$G$1:$G$400,SF_Output!$AC$1:$AC$400,_xlfn.TEXTJOIN(",",TRUE,B198:E198)))&lt;&gt;0,SF_Output!$Y$2,INDEX(SF_Output!$F$1:$F$400,MATCH(_xlfn.TEXTJOIN(",",TRUE,B198:E198),SF_Output!$AC$1:$AC$400,0))=0,INDEX(SF_Output!$R$1:$R$400,MATCH(_xlfn.TEXTJOIN(",",TRUE,B198:E198),SF_Output!$AC$1:$AC$400,0)))</f>
        <v/>
      </c>
      <c r="I198" s="125" t="str">
        <f>IFERROR(IF(AND(H198&gt;1,H198&lt;&gt;""),ROUND(SUMIFS(SF_Output!$S$1:$S$400,SF_Output!$AC$1:$AC$400,_xlfn.TEXTJOIN(",",TRUE,B198:E198),SF_Output!$Q$1:$Q$400,"monthly")*(1-W198)/H198,4),""),"")</f>
        <v/>
      </c>
      <c r="J198" s="6" t="str">
        <f>IF(B198="","",SUMIFS(SF_Output!$S$1:$S$400,SF_Output!$AC$1:$AC$400,_xlfn.TEXTJOIN(",",TRUE,B198:E198),SF_Output!$Q$1:$Q$400,"One Time",SF_Output!$L$1:$L$400,"license fee")+SUMIFS(SF_Output!$S$1:$S$400,SF_Output!$AC$1:$AC$400,_xlfn.TEXTJOIN(",",TRUE,B198:E198),SF_Output!$Q$1:$Q$400,"One Time",SF_Output!$L$1:$L$400,"software license")+SUMIFS(SF_Output!$S$1:$S$400,SF_Output!$AC$1:$AC$400,_xlfn.TEXTJOIN(",",TRUE,B198:E198),SF_Output!$Q$1:$Q$400,"One Time",SF_Output!$L$1:$L$400,"hardware"))</f>
        <v/>
      </c>
      <c r="K198" s="112" t="str">
        <f>IF(OR(B198=0,B198="",G198="hardware",J198=0),"",IF(AF198&lt;&gt;"exclusion",MAX(K$9,-((SUMIFS(SF_Output!$T$1:$T$400,SF_Output!$AC$1:$AC$400,_xlfn.TEXTJOIN(",",TRUE,$B198:$E198),SF_Output!$Q$1:$Q$400,"One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license"))/J198)))</f>
        <v/>
      </c>
      <c r="L198" s="6" t="str">
        <f t="shared" si="9"/>
        <v/>
      </c>
      <c r="N198" s="6" t="str">
        <f>IF(B198="","",SUMIFS(SF_Output!$S$1:$S$400,SF_Output!$AC$1:$AC$400,_xlfn.TEXTJOIN(",",TRUE,B198:E198),SF_Output!$Q$1:$Q$400,"One Time",SF_Output!$L$1:$L$400,"professional service"))</f>
        <v/>
      </c>
      <c r="O198" s="112" t="str">
        <f>IF(OR(B198=0,B198="",N198=0),"",IF(AF198&lt;&gt;"exclusion",MAX(O$9,-(SUMIFS(SF_Output!$T$1:$T$400,SF_Output!$AC$1:$AC$400,_xlfn.TEXTJOIN(",",TRUE,$B198:$E198),SF_Output!$Q$1:$Q$400,"One Time",SF_Output!$L$1:$L$400,"professional service"))/N198),-((SUMIFS(SF_Output!$T$1:$T$400,SF_Output!$AC$1:$AC$400,_xlfn.TEXTJOIN(",",TRUE,$B198:$E198),SF_Output!$Q$1:$Q$400,"One Time",SF_Output!$L$1:$L$400,"professional service")/N198))))</f>
        <v/>
      </c>
      <c r="P198" s="6" t="str">
        <f t="shared" si="10"/>
        <v/>
      </c>
      <c r="R198" s="6" t="str">
        <f>IF(B198="","",SUMIFS(SF_Output!$S$1:$S$400,SF_Output!$AC$1:$AC$400,_xlfn.TEXTJOIN(",",TRUE,B198:E198),SF_Output!$Q$1:$Q$400,"yearly")+SUMIFS(SF_Output!$S$1:$S$400,SF_Output!$AC$1:$AC$400,_xlfn.TEXTJOIN(",",TRUE,B198:E198),SF_Output!$Q$1:$Q$400,"quarterly")*4)</f>
        <v/>
      </c>
      <c r="S198" s="112" t="str">
        <f>IF(OR(B198=0,B198="",G198="hardware",R198=0),"",IF(AF198&lt;&gt;"exclusion",MAX(S$9,-(SUMIFS(SF_Output!$T$1:$T$400,SF_Output!$AC$1:$AC$400,_xlfn.TEXTJOIN(",",TRUE,$B198:$E198),SF_Output!$Q$1:$Q$400,"yearly"))/R198),-((SUMIFS(SF_Output!$T$1:$T$400,SF_Output!$AC$1:$AC$400,_xlfn.TEXTJOIN(",",TRUE,$B198:$E198),SF_Output!$Q$1:$Q$400,"yearly")/R198))))</f>
        <v/>
      </c>
      <c r="T198" s="6" t="str">
        <f t="shared" si="11"/>
        <v/>
      </c>
      <c r="V198" s="6" t="str" cm="1">
        <f t="array" ref="V198">_xlfn.IFS(B198="","",AND(B198&lt;&gt;"",H198=SF_Output!$Y$2,SUMIFS(SF_Output!$T$1:$T$400,SF_Output!$AC$1:$AC$400,_xlfn.TEXTJOIN(",",TRUE,B198:E198),SF_Output!$Q$1:$Q$400,"monthly")=0),(SUMIFS(SF_Output!$F$1:$F$400,SF_Output!$AC$1:$AC$400,_xlfn.TEXTJOIN(",",TRUE,B198:E198),SF_Output!$Q$1:$Q$400,"monthly")+SUMIFS(SF_Output!$G$1:$G$400,SF_Output!$AC$1:$AC$400,_xlfn.TEXTJOIN(",",TRUE,B198:E198),SF_Output!$Q$1:$Q$400,"monthly"))*H198,AND(B198&lt;&gt;"",H198=SF_Output!$Y$2,SUMIFS(SF_Output!$T$1:$T$400,SF_Output!$AC$1:$AC$400,_xlfn.TEXTJOIN(",",TRUE,B198:E198),SF_Output!$Q$1:$Q$400,"monthly")&lt;&gt;0),SUMIFS(SF_Output!$S$1:$S$400,SF_Output!$AC$1:$AC$400,_xlfn.TEXTJOIN(",",TRUE,B198:E198),SF_Output!$Q$1:$Q$400,"monthly"),AND(B198&lt;&gt;"",H198&lt;&gt;SF_Output!$Y$2),SUMIFS(SF_Output!$S$1:$S$400,SF_Output!$AC$1:$AC$400,_xlfn.TEXTJOIN(",",TRUE,B198:E198),SF_Output!$Q$1:$Q$400,"monthly"))</f>
        <v/>
      </c>
      <c r="W198" s="112" t="str" cm="1">
        <f t="array" ref="W198">_xlfn.IFS(OR(B198=0,B198="",V198=0),"",AF198&lt;&gt;"exclusion",MAX($W$9,$W$7,(-(SUMIFS(SF_Output!$T$1:$T$400,SF_Output!$AC$1:$AC$400,_xlfn.TEXTJOIN(",",TRUE,$B198:$E198),SF_Output!$Q$1:$Q$400,"monthly"))/V198)),AF198="exclusion",-(SUMIFS(SF_Output!$T$1:$T$400,SF_Output!$AC$1:$AC$400,_xlfn.TEXTJOIN(",",TRUE,$B198:$E198),SF_Output!$Q$1:$Q$400,"monthly"))/V198)</f>
        <v/>
      </c>
      <c r="X198" s="6" t="str" cm="1">
        <f t="array" ref="X198">IFERROR(_xlfn.IFS(V198=0,0,V198="","",W198=0,V198,OR(V198&lt;&gt;0,V198&lt;&gt;""),H198*I198),V198*(1-W198))</f>
        <v/>
      </c>
    </row>
    <row r="199" spans="6:24" x14ac:dyDescent="0.25">
      <c r="F199" s="116" t="str">
        <f t="shared" si="8"/>
        <v/>
      </c>
      <c r="G199" t="str">
        <f>IF(B199="","",INDEX(SF_Output!$K$1:$K$400,MATCH(B199,SF_Output!$M$1:$M$400,0)))</f>
        <v/>
      </c>
      <c r="H199" t="str" cm="1">
        <f t="array" ref="H199">_xlfn.IFS(B199="","",(SUMIFS(SF_Output!$F$1:$F$400,SF_Output!$AC$1:$AC$400,_xlfn.TEXTJOIN(",",TRUE,B199:E199))+SUMIFS(SF_Output!$G$1:$G$400,SF_Output!$AC$1:$AC$400,_xlfn.TEXTJOIN(",",TRUE,B199:E199)))&lt;&gt;0,SF_Output!$Y$2,INDEX(SF_Output!$F$1:$F$400,MATCH(_xlfn.TEXTJOIN(",",TRUE,B199:E199),SF_Output!$AC$1:$AC$400,0))=0,INDEX(SF_Output!$R$1:$R$400,MATCH(_xlfn.TEXTJOIN(",",TRUE,B199:E199),SF_Output!$AC$1:$AC$400,0)))</f>
        <v/>
      </c>
      <c r="I199" s="125" t="str">
        <f>IFERROR(IF(AND(H199&gt;1,H199&lt;&gt;""),ROUND(SUMIFS(SF_Output!$S$1:$S$400,SF_Output!$AC$1:$AC$400,_xlfn.TEXTJOIN(",",TRUE,B199:E199),SF_Output!$Q$1:$Q$400,"monthly")*(1-W199)/H199,4),""),"")</f>
        <v/>
      </c>
      <c r="J199" s="6" t="str">
        <f>IF(B199="","",SUMIFS(SF_Output!$S$1:$S$400,SF_Output!$AC$1:$AC$400,_xlfn.TEXTJOIN(",",TRUE,B199:E199),SF_Output!$Q$1:$Q$400,"One Time",SF_Output!$L$1:$L$400,"license fee")+SUMIFS(SF_Output!$S$1:$S$400,SF_Output!$AC$1:$AC$400,_xlfn.TEXTJOIN(",",TRUE,B199:E199),SF_Output!$Q$1:$Q$400,"One Time",SF_Output!$L$1:$L$400,"software license")+SUMIFS(SF_Output!$S$1:$S$400,SF_Output!$AC$1:$AC$400,_xlfn.TEXTJOIN(",",TRUE,B199:E199),SF_Output!$Q$1:$Q$400,"One Time",SF_Output!$L$1:$L$400,"hardware"))</f>
        <v/>
      </c>
      <c r="K199" s="112" t="str">
        <f>IF(OR(B199=0,B199="",G199="hardware",J199=0),"",IF(AF199&lt;&gt;"exclusion",MAX(K$9,-((SUMIFS(SF_Output!$T$1:$T$400,SF_Output!$AC$1:$AC$400,_xlfn.TEXTJOIN(",",TRUE,$B199:$E199),SF_Output!$Q$1:$Q$400,"One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license"))/J199)))</f>
        <v/>
      </c>
      <c r="L199" s="6" t="str">
        <f t="shared" si="9"/>
        <v/>
      </c>
      <c r="N199" s="6" t="str">
        <f>IF(B199="","",SUMIFS(SF_Output!$S$1:$S$400,SF_Output!$AC$1:$AC$400,_xlfn.TEXTJOIN(",",TRUE,B199:E199),SF_Output!$Q$1:$Q$400,"One Time",SF_Output!$L$1:$L$400,"professional service"))</f>
        <v/>
      </c>
      <c r="O199" s="112" t="str">
        <f>IF(OR(B199=0,B199="",N199=0),"",IF(AF199&lt;&gt;"exclusion",MAX(O$9,-(SUMIFS(SF_Output!$T$1:$T$400,SF_Output!$AC$1:$AC$400,_xlfn.TEXTJOIN(",",TRUE,$B199:$E199),SF_Output!$Q$1:$Q$400,"One Time",SF_Output!$L$1:$L$400,"professional service"))/N199),-((SUMIFS(SF_Output!$T$1:$T$400,SF_Output!$AC$1:$AC$400,_xlfn.TEXTJOIN(",",TRUE,$B199:$E199),SF_Output!$Q$1:$Q$400,"One Time",SF_Output!$L$1:$L$400,"professional service")/N199))))</f>
        <v/>
      </c>
      <c r="P199" s="6" t="str">
        <f t="shared" si="10"/>
        <v/>
      </c>
      <c r="R199" s="6" t="str">
        <f>IF(B199="","",SUMIFS(SF_Output!$S$1:$S$400,SF_Output!$AC$1:$AC$400,_xlfn.TEXTJOIN(",",TRUE,B199:E199),SF_Output!$Q$1:$Q$400,"yearly")+SUMIFS(SF_Output!$S$1:$S$400,SF_Output!$AC$1:$AC$400,_xlfn.TEXTJOIN(",",TRUE,B199:E199),SF_Output!$Q$1:$Q$400,"quarterly")*4)</f>
        <v/>
      </c>
      <c r="S199" s="112" t="str">
        <f>IF(OR(B199=0,B199="",G199="hardware",R199=0),"",IF(AF199&lt;&gt;"exclusion",MAX(S$9,-(SUMIFS(SF_Output!$T$1:$T$400,SF_Output!$AC$1:$AC$400,_xlfn.TEXTJOIN(",",TRUE,$B199:$E199),SF_Output!$Q$1:$Q$400,"yearly"))/R199),-((SUMIFS(SF_Output!$T$1:$T$400,SF_Output!$AC$1:$AC$400,_xlfn.TEXTJOIN(",",TRUE,$B199:$E199),SF_Output!$Q$1:$Q$400,"yearly")/R199))))</f>
        <v/>
      </c>
      <c r="T199" s="6" t="str">
        <f t="shared" si="11"/>
        <v/>
      </c>
      <c r="V199" s="6" t="str" cm="1">
        <f t="array" ref="V199">_xlfn.IFS(B199="","",AND(B199&lt;&gt;"",H199=SF_Output!$Y$2,SUMIFS(SF_Output!$T$1:$T$400,SF_Output!$AC$1:$AC$400,_xlfn.TEXTJOIN(",",TRUE,B199:E199),SF_Output!$Q$1:$Q$400,"monthly")=0),(SUMIFS(SF_Output!$F$1:$F$400,SF_Output!$AC$1:$AC$400,_xlfn.TEXTJOIN(",",TRUE,B199:E199),SF_Output!$Q$1:$Q$400,"monthly")+SUMIFS(SF_Output!$G$1:$G$400,SF_Output!$AC$1:$AC$400,_xlfn.TEXTJOIN(",",TRUE,B199:E199),SF_Output!$Q$1:$Q$400,"monthly"))*H199,AND(B199&lt;&gt;"",H199=SF_Output!$Y$2,SUMIFS(SF_Output!$T$1:$T$400,SF_Output!$AC$1:$AC$400,_xlfn.TEXTJOIN(",",TRUE,B199:E199),SF_Output!$Q$1:$Q$400,"monthly")&lt;&gt;0),SUMIFS(SF_Output!$S$1:$S$400,SF_Output!$AC$1:$AC$400,_xlfn.TEXTJOIN(",",TRUE,B199:E199),SF_Output!$Q$1:$Q$400,"monthly"),AND(B199&lt;&gt;"",H199&lt;&gt;SF_Output!$Y$2),SUMIFS(SF_Output!$S$1:$S$400,SF_Output!$AC$1:$AC$400,_xlfn.TEXTJOIN(",",TRUE,B199:E199),SF_Output!$Q$1:$Q$400,"monthly"))</f>
        <v/>
      </c>
      <c r="W199" s="112" t="str" cm="1">
        <f t="array" ref="W199">_xlfn.IFS(OR(B199=0,B199="",V199=0),"",AF199&lt;&gt;"exclusion",MAX($W$9,$W$7,(-(SUMIFS(SF_Output!$T$1:$T$400,SF_Output!$AC$1:$AC$400,_xlfn.TEXTJOIN(",",TRUE,$B199:$E199),SF_Output!$Q$1:$Q$400,"monthly"))/V199)),AF199="exclusion",-(SUMIFS(SF_Output!$T$1:$T$400,SF_Output!$AC$1:$AC$400,_xlfn.TEXTJOIN(",",TRUE,$B199:$E199),SF_Output!$Q$1:$Q$400,"monthly"))/V199)</f>
        <v/>
      </c>
      <c r="X199" s="6" t="str" cm="1">
        <f t="array" ref="X199">IFERROR(_xlfn.IFS(V199=0,0,V199="","",W199=0,V199,OR(V199&lt;&gt;0,V199&lt;&gt;""),H199*I199),V199*(1-W199))</f>
        <v/>
      </c>
    </row>
    <row r="200" spans="6:24" x14ac:dyDescent="0.25">
      <c r="F200" s="116" t="str">
        <f t="shared" si="8"/>
        <v/>
      </c>
      <c r="G200" t="str">
        <f>IF(B200="","",INDEX(SF_Output!$K$1:$K$400,MATCH(B200,SF_Output!$M$1:$M$400,0)))</f>
        <v/>
      </c>
      <c r="H200" t="str" cm="1">
        <f t="array" ref="H200">_xlfn.IFS(B200="","",(SUMIFS(SF_Output!$F$1:$F$400,SF_Output!$AC$1:$AC$400,_xlfn.TEXTJOIN(",",TRUE,B200:E200))+SUMIFS(SF_Output!$G$1:$G$400,SF_Output!$AC$1:$AC$400,_xlfn.TEXTJOIN(",",TRUE,B200:E200)))&lt;&gt;0,SF_Output!$Y$2,INDEX(SF_Output!$F$1:$F$400,MATCH(_xlfn.TEXTJOIN(",",TRUE,B200:E200),SF_Output!$AC$1:$AC$400,0))=0,INDEX(SF_Output!$R$1:$R$400,MATCH(_xlfn.TEXTJOIN(",",TRUE,B200:E200),SF_Output!$AC$1:$AC$400,0)))</f>
        <v/>
      </c>
      <c r="I200" s="125" t="str">
        <f>IFERROR(IF(AND(H200&gt;1,H200&lt;&gt;""),ROUND(SUMIFS(SF_Output!$S$1:$S$400,SF_Output!$AC$1:$AC$400,_xlfn.TEXTJOIN(",",TRUE,B200:E200),SF_Output!$Q$1:$Q$400,"monthly")*(1-W200)/H200,4),""),"")</f>
        <v/>
      </c>
      <c r="J200" s="6" t="str">
        <f>IF(B200="","",SUMIFS(SF_Output!$S$1:$S$400,SF_Output!$AC$1:$AC$400,_xlfn.TEXTJOIN(",",TRUE,B200:E200),SF_Output!$Q$1:$Q$400,"One Time",SF_Output!$L$1:$L$400,"license fee")+SUMIFS(SF_Output!$S$1:$S$400,SF_Output!$AC$1:$AC$400,_xlfn.TEXTJOIN(",",TRUE,B200:E200),SF_Output!$Q$1:$Q$400,"One Time",SF_Output!$L$1:$L$400,"software license")+SUMIFS(SF_Output!$S$1:$S$400,SF_Output!$AC$1:$AC$400,_xlfn.TEXTJOIN(",",TRUE,B200:E200),SF_Output!$Q$1:$Q$400,"One Time",SF_Output!$L$1:$L$400,"hardware"))</f>
        <v/>
      </c>
      <c r="K200" s="112" t="str">
        <f>IF(OR(B200=0,B200="",G200="hardware",J200=0),"",IF(AF200&lt;&gt;"exclusion",MAX(K$9,-((SUMIFS(SF_Output!$T$1:$T$400,SF_Output!$AC$1:$AC$400,_xlfn.TEXTJOIN(",",TRUE,$B200:$E200),SF_Output!$Q$1:$Q$400,"One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license"))/J200)))</f>
        <v/>
      </c>
      <c r="L200" s="6" t="str">
        <f t="shared" si="9"/>
        <v/>
      </c>
      <c r="N200" s="6" t="str">
        <f>IF(B200="","",SUMIFS(SF_Output!$S$1:$S$400,SF_Output!$AC$1:$AC$400,_xlfn.TEXTJOIN(",",TRUE,B200:E200),SF_Output!$Q$1:$Q$400,"One Time",SF_Output!$L$1:$L$400,"professional service"))</f>
        <v/>
      </c>
      <c r="O200" s="112" t="str">
        <f>IF(OR(B200=0,B200="",N200=0),"",IF(AF200&lt;&gt;"exclusion",MAX(O$9,-(SUMIFS(SF_Output!$T$1:$T$400,SF_Output!$AC$1:$AC$400,_xlfn.TEXTJOIN(",",TRUE,$B200:$E200),SF_Output!$Q$1:$Q$400,"One Time",SF_Output!$L$1:$L$400,"professional service"))/N200),-((SUMIFS(SF_Output!$T$1:$T$400,SF_Output!$AC$1:$AC$400,_xlfn.TEXTJOIN(",",TRUE,$B200:$E200),SF_Output!$Q$1:$Q$400,"One Time",SF_Output!$L$1:$L$400,"professional service")/N200))))</f>
        <v/>
      </c>
      <c r="P200" s="6" t="str">
        <f t="shared" si="10"/>
        <v/>
      </c>
      <c r="R200" s="6" t="str">
        <f>IF(B200="","",SUMIFS(SF_Output!$S$1:$S$400,SF_Output!$AC$1:$AC$400,_xlfn.TEXTJOIN(",",TRUE,B200:E200),SF_Output!$Q$1:$Q$400,"yearly")+SUMIFS(SF_Output!$S$1:$S$400,SF_Output!$AC$1:$AC$400,_xlfn.TEXTJOIN(",",TRUE,B200:E200),SF_Output!$Q$1:$Q$400,"quarterly")*4)</f>
        <v/>
      </c>
      <c r="S200" s="112" t="str">
        <f>IF(OR(B200=0,B200="",G200="hardware",R200=0),"",IF(AF200&lt;&gt;"exclusion",MAX(S$9,-(SUMIFS(SF_Output!$T$1:$T$400,SF_Output!$AC$1:$AC$400,_xlfn.TEXTJOIN(",",TRUE,$B200:$E200),SF_Output!$Q$1:$Q$400,"yearly"))/R200),-((SUMIFS(SF_Output!$T$1:$T$400,SF_Output!$AC$1:$AC$400,_xlfn.TEXTJOIN(",",TRUE,$B200:$E200),SF_Output!$Q$1:$Q$400,"yearly")/R200))))</f>
        <v/>
      </c>
      <c r="T200" s="6" t="str">
        <f t="shared" si="11"/>
        <v/>
      </c>
      <c r="V200" s="6" t="str" cm="1">
        <f t="array" ref="V200">_xlfn.IFS(B200="","",AND(B200&lt;&gt;"",H200=SF_Output!$Y$2,SUMIFS(SF_Output!$T$1:$T$400,SF_Output!$AC$1:$AC$400,_xlfn.TEXTJOIN(",",TRUE,B200:E200),SF_Output!$Q$1:$Q$400,"monthly")=0),(SUMIFS(SF_Output!$F$1:$F$400,SF_Output!$AC$1:$AC$400,_xlfn.TEXTJOIN(",",TRUE,B200:E200),SF_Output!$Q$1:$Q$400,"monthly")+SUMIFS(SF_Output!$G$1:$G$400,SF_Output!$AC$1:$AC$400,_xlfn.TEXTJOIN(",",TRUE,B200:E200),SF_Output!$Q$1:$Q$400,"monthly"))*H200,AND(B200&lt;&gt;"",H200=SF_Output!$Y$2,SUMIFS(SF_Output!$T$1:$T$400,SF_Output!$AC$1:$AC$400,_xlfn.TEXTJOIN(",",TRUE,B200:E200),SF_Output!$Q$1:$Q$400,"monthly")&lt;&gt;0),SUMIFS(SF_Output!$S$1:$S$400,SF_Output!$AC$1:$AC$400,_xlfn.TEXTJOIN(",",TRUE,B200:E200),SF_Output!$Q$1:$Q$400,"monthly"),AND(B200&lt;&gt;"",H200&lt;&gt;SF_Output!$Y$2),SUMIFS(SF_Output!$S$1:$S$400,SF_Output!$AC$1:$AC$400,_xlfn.TEXTJOIN(",",TRUE,B200:E200),SF_Output!$Q$1:$Q$400,"monthly"))</f>
        <v/>
      </c>
      <c r="W200" s="112" t="str" cm="1">
        <f t="array" ref="W200">_xlfn.IFS(OR(B200=0,B200="",V200=0),"",AF200&lt;&gt;"exclusion",MAX($W$9,$W$7,(-(SUMIFS(SF_Output!$T$1:$T$400,SF_Output!$AC$1:$AC$400,_xlfn.TEXTJOIN(",",TRUE,$B200:$E200),SF_Output!$Q$1:$Q$400,"monthly"))/V200)),AF200="exclusion",-(SUMIFS(SF_Output!$T$1:$T$400,SF_Output!$AC$1:$AC$400,_xlfn.TEXTJOIN(",",TRUE,$B200:$E200),SF_Output!$Q$1:$Q$400,"monthly"))/V200)</f>
        <v/>
      </c>
      <c r="X200" s="6" t="str" cm="1">
        <f t="array" ref="X200">IFERROR(_xlfn.IFS(V200=0,0,V200="","",W200=0,V200,OR(V200&lt;&gt;0,V200&lt;&gt;""),H200*I200),V200*(1-W200))</f>
        <v/>
      </c>
    </row>
    <row r="201" spans="6:24" x14ac:dyDescent="0.25">
      <c r="F201" s="116" t="str">
        <f t="shared" si="8"/>
        <v/>
      </c>
      <c r="G201" t="str">
        <f>IF(B201="","",INDEX(SF_Output!$K$1:$K$400,MATCH(B201,SF_Output!$M$1:$M$400,0)))</f>
        <v/>
      </c>
      <c r="H201" t="str" cm="1">
        <f t="array" ref="H201">_xlfn.IFS(B201="","",(SUMIFS(SF_Output!$F$1:$F$400,SF_Output!$AC$1:$AC$400,_xlfn.TEXTJOIN(",",TRUE,B201:E201))+SUMIFS(SF_Output!$G$1:$G$400,SF_Output!$AC$1:$AC$400,_xlfn.TEXTJOIN(",",TRUE,B201:E201)))&lt;&gt;0,SF_Output!$Y$2,INDEX(SF_Output!$F$1:$F$400,MATCH(_xlfn.TEXTJOIN(",",TRUE,B201:E201),SF_Output!$AC$1:$AC$400,0))=0,INDEX(SF_Output!$R$1:$R$400,MATCH(_xlfn.TEXTJOIN(",",TRUE,B201:E201),SF_Output!$AC$1:$AC$400,0)))</f>
        <v/>
      </c>
      <c r="I201" s="125" t="str">
        <f>IFERROR(IF(AND(H201&gt;1,H201&lt;&gt;""),ROUND(SUMIFS(SF_Output!$S$1:$S$400,SF_Output!$AC$1:$AC$400,_xlfn.TEXTJOIN(",",TRUE,B201:E201),SF_Output!$Q$1:$Q$400,"monthly")*(1-W201)/H201,4),""),"")</f>
        <v/>
      </c>
      <c r="J201" s="6" t="str">
        <f>IF(B201="","",SUMIFS(SF_Output!$S$1:$S$400,SF_Output!$AC$1:$AC$400,_xlfn.TEXTJOIN(",",TRUE,B201:E201),SF_Output!$Q$1:$Q$400,"One Time",SF_Output!$L$1:$L$400,"license fee")+SUMIFS(SF_Output!$S$1:$S$400,SF_Output!$AC$1:$AC$400,_xlfn.TEXTJOIN(",",TRUE,B201:E201),SF_Output!$Q$1:$Q$400,"One Time",SF_Output!$L$1:$L$400,"software license")+SUMIFS(SF_Output!$S$1:$S$400,SF_Output!$AC$1:$AC$400,_xlfn.TEXTJOIN(",",TRUE,B201:E201),SF_Output!$Q$1:$Q$400,"One Time",SF_Output!$L$1:$L$400,"hardware"))</f>
        <v/>
      </c>
      <c r="K201" s="112" t="str">
        <f>IF(OR(B201=0,B201="",G201="hardware",J201=0),"",IF(AF201&lt;&gt;"exclusion",MAX(K$9,-((SUMIFS(SF_Output!$T$1:$T$400,SF_Output!$AC$1:$AC$400,_xlfn.TEXTJOIN(",",TRUE,$B201:$E201),SF_Output!$Q$1:$Q$400,"One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license"))/J201)))</f>
        <v/>
      </c>
      <c r="L201" s="6" t="str">
        <f t="shared" si="9"/>
        <v/>
      </c>
      <c r="N201" s="6" t="str">
        <f>IF(B201="","",SUMIFS(SF_Output!$S$1:$S$400,SF_Output!$AC$1:$AC$400,_xlfn.TEXTJOIN(",",TRUE,B201:E201),SF_Output!$Q$1:$Q$400,"One Time",SF_Output!$L$1:$L$400,"professional service"))</f>
        <v/>
      </c>
      <c r="O201" s="112" t="str">
        <f>IF(OR(B201=0,B201="",N201=0),"",IF(AF201&lt;&gt;"exclusion",MAX(O$9,-(SUMIFS(SF_Output!$T$1:$T$400,SF_Output!$AC$1:$AC$400,_xlfn.TEXTJOIN(",",TRUE,$B201:$E201),SF_Output!$Q$1:$Q$400,"One Time",SF_Output!$L$1:$L$400,"professional service"))/N201),-((SUMIFS(SF_Output!$T$1:$T$400,SF_Output!$AC$1:$AC$400,_xlfn.TEXTJOIN(",",TRUE,$B201:$E201),SF_Output!$Q$1:$Q$400,"One Time",SF_Output!$L$1:$L$400,"professional service")/N201))))</f>
        <v/>
      </c>
      <c r="P201" s="6" t="str">
        <f t="shared" si="10"/>
        <v/>
      </c>
      <c r="R201" s="6" t="str">
        <f>IF(B201="","",SUMIFS(SF_Output!$S$1:$S$400,SF_Output!$AC$1:$AC$400,_xlfn.TEXTJOIN(",",TRUE,B201:E201),SF_Output!$Q$1:$Q$400,"yearly")+SUMIFS(SF_Output!$S$1:$S$400,SF_Output!$AC$1:$AC$400,_xlfn.TEXTJOIN(",",TRUE,B201:E201),SF_Output!$Q$1:$Q$400,"quarterly")*4)</f>
        <v/>
      </c>
      <c r="S201" s="112" t="str">
        <f>IF(OR(B201=0,B201="",G201="hardware",R201=0),"",IF(AF201&lt;&gt;"exclusion",MAX(S$9,-(SUMIFS(SF_Output!$T$1:$T$400,SF_Output!$AC$1:$AC$400,_xlfn.TEXTJOIN(",",TRUE,$B201:$E201),SF_Output!$Q$1:$Q$400,"yearly"))/R201),-((SUMIFS(SF_Output!$T$1:$T$400,SF_Output!$AC$1:$AC$400,_xlfn.TEXTJOIN(",",TRUE,$B201:$E201),SF_Output!$Q$1:$Q$400,"yearly")/R201))))</f>
        <v/>
      </c>
      <c r="T201" s="6" t="str">
        <f t="shared" si="11"/>
        <v/>
      </c>
      <c r="V201" s="6" t="str" cm="1">
        <f t="array" ref="V201">_xlfn.IFS(B201="","",AND(B201&lt;&gt;"",H201=SF_Output!$Y$2,SUMIFS(SF_Output!$T$1:$T$400,SF_Output!$AC$1:$AC$400,_xlfn.TEXTJOIN(",",TRUE,B201:E201),SF_Output!$Q$1:$Q$400,"monthly")=0),(SUMIFS(SF_Output!$F$1:$F$400,SF_Output!$AC$1:$AC$400,_xlfn.TEXTJOIN(",",TRUE,B201:E201),SF_Output!$Q$1:$Q$400,"monthly")+SUMIFS(SF_Output!$G$1:$G$400,SF_Output!$AC$1:$AC$400,_xlfn.TEXTJOIN(",",TRUE,B201:E201),SF_Output!$Q$1:$Q$400,"monthly"))*H201,AND(B201&lt;&gt;"",H201=SF_Output!$Y$2,SUMIFS(SF_Output!$T$1:$T$400,SF_Output!$AC$1:$AC$400,_xlfn.TEXTJOIN(",",TRUE,B201:E201),SF_Output!$Q$1:$Q$400,"monthly")&lt;&gt;0),SUMIFS(SF_Output!$S$1:$S$400,SF_Output!$AC$1:$AC$400,_xlfn.TEXTJOIN(",",TRUE,B201:E201),SF_Output!$Q$1:$Q$400,"monthly"),AND(B201&lt;&gt;"",H201&lt;&gt;SF_Output!$Y$2),SUMIFS(SF_Output!$S$1:$S$400,SF_Output!$AC$1:$AC$400,_xlfn.TEXTJOIN(",",TRUE,B201:E201),SF_Output!$Q$1:$Q$400,"monthly"))</f>
        <v/>
      </c>
      <c r="W201" s="112" t="str" cm="1">
        <f t="array" ref="W201">_xlfn.IFS(OR(B201=0,B201="",V201=0),"",AF201&lt;&gt;"exclusion",MAX($W$9,$W$7,(-(SUMIFS(SF_Output!$T$1:$T$400,SF_Output!$AC$1:$AC$400,_xlfn.TEXTJOIN(",",TRUE,$B201:$E201),SF_Output!$Q$1:$Q$400,"monthly"))/V201)),AF201="exclusion",-(SUMIFS(SF_Output!$T$1:$T$400,SF_Output!$AC$1:$AC$400,_xlfn.TEXTJOIN(",",TRUE,$B201:$E201),SF_Output!$Q$1:$Q$400,"monthly"))/V201)</f>
        <v/>
      </c>
      <c r="X201" s="6" t="str" cm="1">
        <f t="array" ref="X201">IFERROR(_xlfn.IFS(V201=0,0,V201="","",W201=0,V201,OR(V201&lt;&gt;0,V201&lt;&gt;""),H201*I201),V201*(1-W201))</f>
        <v/>
      </c>
    </row>
    <row r="202" spans="6:24" x14ac:dyDescent="0.25">
      <c r="F202" s="116" t="str">
        <f t="shared" si="8"/>
        <v/>
      </c>
      <c r="G202" t="str">
        <f>IF(B202="","",INDEX(SF_Output!$K$1:$K$400,MATCH(B202,SF_Output!$M$1:$M$400,0)))</f>
        <v/>
      </c>
      <c r="H202" t="str" cm="1">
        <f t="array" ref="H202">_xlfn.IFS(B202="","",(SUMIFS(SF_Output!$F$1:$F$400,SF_Output!$AC$1:$AC$400,_xlfn.TEXTJOIN(",",TRUE,B202:E202))+SUMIFS(SF_Output!$G$1:$G$400,SF_Output!$AC$1:$AC$400,_xlfn.TEXTJOIN(",",TRUE,B202:E202)))&lt;&gt;0,SF_Output!$Y$2,INDEX(SF_Output!$F$1:$F$400,MATCH(_xlfn.TEXTJOIN(",",TRUE,B202:E202),SF_Output!$AC$1:$AC$400,0))=0,INDEX(SF_Output!$R$1:$R$400,MATCH(_xlfn.TEXTJOIN(",",TRUE,B202:E202),SF_Output!$AC$1:$AC$400,0)))</f>
        <v/>
      </c>
      <c r="I202" s="125" t="str">
        <f>IFERROR(IF(AND(H202&gt;1,H202&lt;&gt;""),ROUND(SUMIFS(SF_Output!$S$1:$S$400,SF_Output!$AC$1:$AC$400,_xlfn.TEXTJOIN(",",TRUE,B202:E202),SF_Output!$Q$1:$Q$400,"monthly")*(1-W202)/H202,4),""),"")</f>
        <v/>
      </c>
      <c r="J202" s="6" t="str">
        <f>IF(B202="","",SUMIFS(SF_Output!$S$1:$S$400,SF_Output!$AC$1:$AC$400,_xlfn.TEXTJOIN(",",TRUE,B202:E202),SF_Output!$Q$1:$Q$400,"One Time",SF_Output!$L$1:$L$400,"license fee")+SUMIFS(SF_Output!$S$1:$S$400,SF_Output!$AC$1:$AC$400,_xlfn.TEXTJOIN(",",TRUE,B202:E202),SF_Output!$Q$1:$Q$400,"One Time",SF_Output!$L$1:$L$400,"software license")+SUMIFS(SF_Output!$S$1:$S$400,SF_Output!$AC$1:$AC$400,_xlfn.TEXTJOIN(",",TRUE,B202:E202),SF_Output!$Q$1:$Q$400,"One Time",SF_Output!$L$1:$L$400,"hardware"))</f>
        <v/>
      </c>
      <c r="K202" s="112" t="str">
        <f>IF(OR(B202=0,B202="",G202="hardware",J202=0),"",IF(AF202&lt;&gt;"exclusion",MAX(K$9,-((SUMIFS(SF_Output!$T$1:$T$400,SF_Output!$AC$1:$AC$400,_xlfn.TEXTJOIN(",",TRUE,$B202:$E202),SF_Output!$Q$1:$Q$400,"One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license"))/J202)))</f>
        <v/>
      </c>
      <c r="L202" s="6" t="str">
        <f t="shared" si="9"/>
        <v/>
      </c>
      <c r="N202" s="6" t="str">
        <f>IF(B202="","",SUMIFS(SF_Output!$S$1:$S$400,SF_Output!$AC$1:$AC$400,_xlfn.TEXTJOIN(",",TRUE,B202:E202),SF_Output!$Q$1:$Q$400,"One Time",SF_Output!$L$1:$L$400,"professional service"))</f>
        <v/>
      </c>
      <c r="O202" s="112" t="str">
        <f>IF(OR(B202=0,B202="",N202=0),"",IF(AF202&lt;&gt;"exclusion",MAX(O$9,-(SUMIFS(SF_Output!$T$1:$T$400,SF_Output!$AC$1:$AC$400,_xlfn.TEXTJOIN(",",TRUE,$B202:$E202),SF_Output!$Q$1:$Q$400,"One Time",SF_Output!$L$1:$L$400,"professional service"))/N202),-((SUMIFS(SF_Output!$T$1:$T$400,SF_Output!$AC$1:$AC$400,_xlfn.TEXTJOIN(",",TRUE,$B202:$E202),SF_Output!$Q$1:$Q$400,"One Time",SF_Output!$L$1:$L$400,"professional service")/N202))))</f>
        <v/>
      </c>
      <c r="P202" s="6" t="str">
        <f t="shared" si="10"/>
        <v/>
      </c>
      <c r="R202" s="6" t="str">
        <f>IF(B202="","",SUMIFS(SF_Output!$S$1:$S$400,SF_Output!$AC$1:$AC$400,_xlfn.TEXTJOIN(",",TRUE,B202:E202),SF_Output!$Q$1:$Q$400,"yearly")+SUMIFS(SF_Output!$S$1:$S$400,SF_Output!$AC$1:$AC$400,_xlfn.TEXTJOIN(",",TRUE,B202:E202),SF_Output!$Q$1:$Q$400,"quarterly")*4)</f>
        <v/>
      </c>
      <c r="S202" s="112" t="str">
        <f>IF(OR(B202=0,B202="",G202="hardware",R202=0),"",IF(AF202&lt;&gt;"exclusion",MAX(S$9,-(SUMIFS(SF_Output!$T$1:$T$400,SF_Output!$AC$1:$AC$400,_xlfn.TEXTJOIN(",",TRUE,$B202:$E202),SF_Output!$Q$1:$Q$400,"yearly"))/R202),-((SUMIFS(SF_Output!$T$1:$T$400,SF_Output!$AC$1:$AC$400,_xlfn.TEXTJOIN(",",TRUE,$B202:$E202),SF_Output!$Q$1:$Q$400,"yearly")/R202))))</f>
        <v/>
      </c>
      <c r="T202" s="6" t="str">
        <f t="shared" si="11"/>
        <v/>
      </c>
      <c r="V202" s="6" t="str" cm="1">
        <f t="array" ref="V202">_xlfn.IFS(B202="","",AND(B202&lt;&gt;"",H202=SF_Output!$Y$2,SUMIFS(SF_Output!$T$1:$T$400,SF_Output!$AC$1:$AC$400,_xlfn.TEXTJOIN(",",TRUE,B202:E202),SF_Output!$Q$1:$Q$400,"monthly")=0),(SUMIFS(SF_Output!$F$1:$F$400,SF_Output!$AC$1:$AC$400,_xlfn.TEXTJOIN(",",TRUE,B202:E202),SF_Output!$Q$1:$Q$400,"monthly")+SUMIFS(SF_Output!$G$1:$G$400,SF_Output!$AC$1:$AC$400,_xlfn.TEXTJOIN(",",TRUE,B202:E202),SF_Output!$Q$1:$Q$400,"monthly"))*H202,AND(B202&lt;&gt;"",H202=SF_Output!$Y$2,SUMIFS(SF_Output!$T$1:$T$400,SF_Output!$AC$1:$AC$400,_xlfn.TEXTJOIN(",",TRUE,B202:E202),SF_Output!$Q$1:$Q$400,"monthly")&lt;&gt;0),SUMIFS(SF_Output!$S$1:$S$400,SF_Output!$AC$1:$AC$400,_xlfn.TEXTJOIN(",",TRUE,B202:E202),SF_Output!$Q$1:$Q$400,"monthly"),AND(B202&lt;&gt;"",H202&lt;&gt;SF_Output!$Y$2),SUMIFS(SF_Output!$S$1:$S$400,SF_Output!$AC$1:$AC$400,_xlfn.TEXTJOIN(",",TRUE,B202:E202),SF_Output!$Q$1:$Q$400,"monthly"))</f>
        <v/>
      </c>
      <c r="W202" s="112" t="str" cm="1">
        <f t="array" ref="W202">_xlfn.IFS(OR(B202=0,B202="",V202=0),"",AF202&lt;&gt;"exclusion",MAX($W$9,$W$7,(-(SUMIFS(SF_Output!$T$1:$T$400,SF_Output!$AC$1:$AC$400,_xlfn.TEXTJOIN(",",TRUE,$B202:$E202),SF_Output!$Q$1:$Q$400,"monthly"))/V202)),AF202="exclusion",-(SUMIFS(SF_Output!$T$1:$T$400,SF_Output!$AC$1:$AC$400,_xlfn.TEXTJOIN(",",TRUE,$B202:$E202),SF_Output!$Q$1:$Q$400,"monthly"))/V202)</f>
        <v/>
      </c>
      <c r="X202" s="6" t="str" cm="1">
        <f t="array" ref="X202">IFERROR(_xlfn.IFS(V202=0,0,V202="","",W202=0,V202,OR(V202&lt;&gt;0,V202&lt;&gt;""),H202*I202),V202*(1-W202))</f>
        <v/>
      </c>
    </row>
    <row r="203" spans="6:24" x14ac:dyDescent="0.25">
      <c r="F203" s="116" t="str">
        <f t="shared" si="8"/>
        <v/>
      </c>
      <c r="G203" t="str">
        <f>IF(B203="","",INDEX(SF_Output!$K$1:$K$400,MATCH(B203,SF_Output!$M$1:$M$400,0)))</f>
        <v/>
      </c>
      <c r="H203" t="str" cm="1">
        <f t="array" ref="H203">_xlfn.IFS(B203="","",(SUMIFS(SF_Output!$F$1:$F$400,SF_Output!$AC$1:$AC$400,_xlfn.TEXTJOIN(",",TRUE,B203:E203))+SUMIFS(SF_Output!$G$1:$G$400,SF_Output!$AC$1:$AC$400,_xlfn.TEXTJOIN(",",TRUE,B203:E203)))&lt;&gt;0,SF_Output!$Y$2,INDEX(SF_Output!$F$1:$F$400,MATCH(_xlfn.TEXTJOIN(",",TRUE,B203:E203),SF_Output!$AC$1:$AC$400,0))=0,INDEX(SF_Output!$R$1:$R$400,MATCH(_xlfn.TEXTJOIN(",",TRUE,B203:E203),SF_Output!$AC$1:$AC$400,0)))</f>
        <v/>
      </c>
      <c r="I203" s="125" t="str">
        <f>IFERROR(IF(AND(H203&gt;1,H203&lt;&gt;""),ROUND(SUMIFS(SF_Output!$S$1:$S$400,SF_Output!$AC$1:$AC$400,_xlfn.TEXTJOIN(",",TRUE,B203:E203),SF_Output!$Q$1:$Q$400,"monthly")*(1-W203)/H203,4),""),"")</f>
        <v/>
      </c>
      <c r="J203" s="6" t="str">
        <f>IF(B203="","",SUMIFS(SF_Output!$S$1:$S$400,SF_Output!$AC$1:$AC$400,_xlfn.TEXTJOIN(",",TRUE,B203:E203),SF_Output!$Q$1:$Q$400,"One Time",SF_Output!$L$1:$L$400,"license fee")+SUMIFS(SF_Output!$S$1:$S$400,SF_Output!$AC$1:$AC$400,_xlfn.TEXTJOIN(",",TRUE,B203:E203),SF_Output!$Q$1:$Q$400,"One Time",SF_Output!$L$1:$L$400,"software license")+SUMIFS(SF_Output!$S$1:$S$400,SF_Output!$AC$1:$AC$400,_xlfn.TEXTJOIN(",",TRUE,B203:E203),SF_Output!$Q$1:$Q$400,"One Time",SF_Output!$L$1:$L$400,"hardware"))</f>
        <v/>
      </c>
      <c r="K203" s="112" t="str">
        <f>IF(OR(B203=0,B203="",G203="hardware",J203=0),"",IF(AF203&lt;&gt;"exclusion",MAX(K$9,-((SUMIFS(SF_Output!$T$1:$T$400,SF_Output!$AC$1:$AC$400,_xlfn.TEXTJOIN(",",TRUE,$B203:$E203),SF_Output!$Q$1:$Q$400,"One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license"))/J203)))</f>
        <v/>
      </c>
      <c r="L203" s="6" t="str">
        <f t="shared" si="9"/>
        <v/>
      </c>
      <c r="N203" s="6" t="str">
        <f>IF(B203="","",SUMIFS(SF_Output!$S$1:$S$400,SF_Output!$AC$1:$AC$400,_xlfn.TEXTJOIN(",",TRUE,B203:E203),SF_Output!$Q$1:$Q$400,"One Time",SF_Output!$L$1:$L$400,"professional service"))</f>
        <v/>
      </c>
      <c r="O203" s="112" t="str">
        <f>IF(OR(B203=0,B203="",N203=0),"",IF(AF203&lt;&gt;"exclusion",MAX(O$9,-(SUMIFS(SF_Output!$T$1:$T$400,SF_Output!$AC$1:$AC$400,_xlfn.TEXTJOIN(",",TRUE,$B203:$E203),SF_Output!$Q$1:$Q$400,"One Time",SF_Output!$L$1:$L$400,"professional service"))/N203),-((SUMIFS(SF_Output!$T$1:$T$400,SF_Output!$AC$1:$AC$400,_xlfn.TEXTJOIN(",",TRUE,$B203:$E203),SF_Output!$Q$1:$Q$400,"One Time",SF_Output!$L$1:$L$400,"professional service")/N203))))</f>
        <v/>
      </c>
      <c r="P203" s="6" t="str">
        <f t="shared" si="10"/>
        <v/>
      </c>
      <c r="R203" s="6" t="str">
        <f>IF(B203="","",SUMIFS(SF_Output!$S$1:$S$400,SF_Output!$AC$1:$AC$400,_xlfn.TEXTJOIN(",",TRUE,B203:E203),SF_Output!$Q$1:$Q$400,"yearly")+SUMIFS(SF_Output!$S$1:$S$400,SF_Output!$AC$1:$AC$400,_xlfn.TEXTJOIN(",",TRUE,B203:E203),SF_Output!$Q$1:$Q$400,"quarterly")*4)</f>
        <v/>
      </c>
      <c r="S203" s="112" t="str">
        <f>IF(OR(B203=0,B203="",G203="hardware",R203=0),"",IF(AF203&lt;&gt;"exclusion",MAX(S$9,-(SUMIFS(SF_Output!$T$1:$T$400,SF_Output!$AC$1:$AC$400,_xlfn.TEXTJOIN(",",TRUE,$B203:$E203),SF_Output!$Q$1:$Q$400,"yearly"))/R203),-((SUMIFS(SF_Output!$T$1:$T$400,SF_Output!$AC$1:$AC$400,_xlfn.TEXTJOIN(",",TRUE,$B203:$E203),SF_Output!$Q$1:$Q$400,"yearly")/R203))))</f>
        <v/>
      </c>
      <c r="T203" s="6" t="str">
        <f t="shared" si="11"/>
        <v/>
      </c>
      <c r="V203" s="6" t="str" cm="1">
        <f t="array" ref="V203">_xlfn.IFS(B203="","",AND(B203&lt;&gt;"",H203=SF_Output!$Y$2,SUMIFS(SF_Output!$T$1:$T$400,SF_Output!$AC$1:$AC$400,_xlfn.TEXTJOIN(",",TRUE,B203:E203),SF_Output!$Q$1:$Q$400,"monthly")=0),(SUMIFS(SF_Output!$F$1:$F$400,SF_Output!$AC$1:$AC$400,_xlfn.TEXTJOIN(",",TRUE,B203:E203),SF_Output!$Q$1:$Q$400,"monthly")+SUMIFS(SF_Output!$G$1:$G$400,SF_Output!$AC$1:$AC$400,_xlfn.TEXTJOIN(",",TRUE,B203:E203),SF_Output!$Q$1:$Q$400,"monthly"))*H203,AND(B203&lt;&gt;"",H203=SF_Output!$Y$2,SUMIFS(SF_Output!$T$1:$T$400,SF_Output!$AC$1:$AC$400,_xlfn.TEXTJOIN(",",TRUE,B203:E203),SF_Output!$Q$1:$Q$400,"monthly")&lt;&gt;0),SUMIFS(SF_Output!$S$1:$S$400,SF_Output!$AC$1:$AC$400,_xlfn.TEXTJOIN(",",TRUE,B203:E203),SF_Output!$Q$1:$Q$400,"monthly"),AND(B203&lt;&gt;"",H203&lt;&gt;SF_Output!$Y$2),SUMIFS(SF_Output!$S$1:$S$400,SF_Output!$AC$1:$AC$400,_xlfn.TEXTJOIN(",",TRUE,B203:E203),SF_Output!$Q$1:$Q$400,"monthly"))</f>
        <v/>
      </c>
      <c r="W203" s="112" t="str" cm="1">
        <f t="array" ref="W203">_xlfn.IFS(OR(B203=0,B203="",V203=0),"",AF203&lt;&gt;"exclusion",MAX($W$9,$W$7,(-(SUMIFS(SF_Output!$T$1:$T$400,SF_Output!$AC$1:$AC$400,_xlfn.TEXTJOIN(",",TRUE,$B203:$E203),SF_Output!$Q$1:$Q$400,"monthly"))/V203)),AF203="exclusion",-(SUMIFS(SF_Output!$T$1:$T$400,SF_Output!$AC$1:$AC$400,_xlfn.TEXTJOIN(",",TRUE,$B203:$E203),SF_Output!$Q$1:$Q$400,"monthly"))/V203)</f>
        <v/>
      </c>
      <c r="X203" s="6" t="str" cm="1">
        <f t="array" ref="X203">IFERROR(_xlfn.IFS(V203=0,0,V203="","",W203=0,V203,OR(V203&lt;&gt;0,V203&lt;&gt;""),H203*I203),V203*(1-W203))</f>
        <v/>
      </c>
    </row>
    <row r="204" spans="6:24" x14ac:dyDescent="0.25">
      <c r="F204" s="116" t="str">
        <f t="shared" si="8"/>
        <v/>
      </c>
      <c r="G204" t="str">
        <f>IF(B204="","",INDEX(SF_Output!$K$1:$K$400,MATCH(B204,SF_Output!$M$1:$M$400,0)))</f>
        <v/>
      </c>
      <c r="H204" t="str" cm="1">
        <f t="array" ref="H204">_xlfn.IFS(B204="","",(SUMIFS(SF_Output!$F$1:$F$400,SF_Output!$AC$1:$AC$400,_xlfn.TEXTJOIN(",",TRUE,B204:E204))+SUMIFS(SF_Output!$G$1:$G$400,SF_Output!$AC$1:$AC$400,_xlfn.TEXTJOIN(",",TRUE,B204:E204)))&lt;&gt;0,SF_Output!$Y$2,INDEX(SF_Output!$F$1:$F$400,MATCH(_xlfn.TEXTJOIN(",",TRUE,B204:E204),SF_Output!$AC$1:$AC$400,0))=0,INDEX(SF_Output!$R$1:$R$400,MATCH(_xlfn.TEXTJOIN(",",TRUE,B204:E204),SF_Output!$AC$1:$AC$400,0)))</f>
        <v/>
      </c>
      <c r="I204" s="125" t="str">
        <f>IFERROR(IF(AND(H204&gt;1,H204&lt;&gt;""),ROUND(SUMIFS(SF_Output!$S$1:$S$400,SF_Output!$AC$1:$AC$400,_xlfn.TEXTJOIN(",",TRUE,B204:E204),SF_Output!$Q$1:$Q$400,"monthly")*(1-W204)/H204,4),""),"")</f>
        <v/>
      </c>
      <c r="J204" s="6" t="str">
        <f>IF(B204="","",SUMIFS(SF_Output!$S$1:$S$400,SF_Output!$AC$1:$AC$400,_xlfn.TEXTJOIN(",",TRUE,B204:E204),SF_Output!$Q$1:$Q$400,"One Time",SF_Output!$L$1:$L$400,"license fee")+SUMIFS(SF_Output!$S$1:$S$400,SF_Output!$AC$1:$AC$400,_xlfn.TEXTJOIN(",",TRUE,B204:E204),SF_Output!$Q$1:$Q$400,"One Time",SF_Output!$L$1:$L$400,"software license")+SUMIFS(SF_Output!$S$1:$S$400,SF_Output!$AC$1:$AC$400,_xlfn.TEXTJOIN(",",TRUE,B204:E204),SF_Output!$Q$1:$Q$400,"One Time",SF_Output!$L$1:$L$400,"hardware"))</f>
        <v/>
      </c>
      <c r="K204" s="112" t="str">
        <f>IF(OR(B204=0,B204="",G204="hardware",J204=0),"",IF(AF204&lt;&gt;"exclusion",MAX(K$9,-((SUMIFS(SF_Output!$T$1:$T$400,SF_Output!$AC$1:$AC$400,_xlfn.TEXTJOIN(",",TRUE,$B204:$E204),SF_Output!$Q$1:$Q$400,"One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license"))/J204)))</f>
        <v/>
      </c>
      <c r="L204" s="6" t="str">
        <f t="shared" si="9"/>
        <v/>
      </c>
      <c r="N204" s="6" t="str">
        <f>IF(B204="","",SUMIFS(SF_Output!$S$1:$S$400,SF_Output!$AC$1:$AC$400,_xlfn.TEXTJOIN(",",TRUE,B204:E204),SF_Output!$Q$1:$Q$400,"One Time",SF_Output!$L$1:$L$400,"professional service"))</f>
        <v/>
      </c>
      <c r="O204" s="112" t="str">
        <f>IF(OR(B204=0,B204="",N204=0),"",IF(AF204&lt;&gt;"exclusion",MAX(O$9,-(SUMIFS(SF_Output!$T$1:$T$400,SF_Output!$AC$1:$AC$400,_xlfn.TEXTJOIN(",",TRUE,$B204:$E204),SF_Output!$Q$1:$Q$400,"One Time",SF_Output!$L$1:$L$400,"professional service"))/N204),-((SUMIFS(SF_Output!$T$1:$T$400,SF_Output!$AC$1:$AC$400,_xlfn.TEXTJOIN(",",TRUE,$B204:$E204),SF_Output!$Q$1:$Q$400,"One Time",SF_Output!$L$1:$L$400,"professional service")/N204))))</f>
        <v/>
      </c>
      <c r="P204" s="6" t="str">
        <f t="shared" si="10"/>
        <v/>
      </c>
      <c r="R204" s="6" t="str">
        <f>IF(B204="","",SUMIFS(SF_Output!$S$1:$S$400,SF_Output!$AC$1:$AC$400,_xlfn.TEXTJOIN(",",TRUE,B204:E204),SF_Output!$Q$1:$Q$400,"yearly")+SUMIFS(SF_Output!$S$1:$S$400,SF_Output!$AC$1:$AC$400,_xlfn.TEXTJOIN(",",TRUE,B204:E204),SF_Output!$Q$1:$Q$400,"quarterly")*4)</f>
        <v/>
      </c>
      <c r="S204" s="112" t="str">
        <f>IF(OR(B204=0,B204="",G204="hardware",R204=0),"",IF(AF204&lt;&gt;"exclusion",MAX(S$9,-(SUMIFS(SF_Output!$T$1:$T$400,SF_Output!$AC$1:$AC$400,_xlfn.TEXTJOIN(",",TRUE,$B204:$E204),SF_Output!$Q$1:$Q$400,"yearly"))/R204),-((SUMIFS(SF_Output!$T$1:$T$400,SF_Output!$AC$1:$AC$400,_xlfn.TEXTJOIN(",",TRUE,$B204:$E204),SF_Output!$Q$1:$Q$400,"yearly")/R204))))</f>
        <v/>
      </c>
      <c r="T204" s="6" t="str">
        <f t="shared" si="11"/>
        <v/>
      </c>
      <c r="V204" s="6" t="str" cm="1">
        <f t="array" ref="V204">_xlfn.IFS(B204="","",AND(B204&lt;&gt;"",H204=SF_Output!$Y$2,SUMIFS(SF_Output!$T$1:$T$400,SF_Output!$AC$1:$AC$400,_xlfn.TEXTJOIN(",",TRUE,B204:E204),SF_Output!$Q$1:$Q$400,"monthly")=0),(SUMIFS(SF_Output!$F$1:$F$400,SF_Output!$AC$1:$AC$400,_xlfn.TEXTJOIN(",",TRUE,B204:E204),SF_Output!$Q$1:$Q$400,"monthly")+SUMIFS(SF_Output!$G$1:$G$400,SF_Output!$AC$1:$AC$400,_xlfn.TEXTJOIN(",",TRUE,B204:E204),SF_Output!$Q$1:$Q$400,"monthly"))*H204,AND(B204&lt;&gt;"",H204=SF_Output!$Y$2,SUMIFS(SF_Output!$T$1:$T$400,SF_Output!$AC$1:$AC$400,_xlfn.TEXTJOIN(",",TRUE,B204:E204),SF_Output!$Q$1:$Q$400,"monthly")&lt;&gt;0),SUMIFS(SF_Output!$S$1:$S$400,SF_Output!$AC$1:$AC$400,_xlfn.TEXTJOIN(",",TRUE,B204:E204),SF_Output!$Q$1:$Q$400,"monthly"),AND(B204&lt;&gt;"",H204&lt;&gt;SF_Output!$Y$2),SUMIFS(SF_Output!$S$1:$S$400,SF_Output!$AC$1:$AC$400,_xlfn.TEXTJOIN(",",TRUE,B204:E204),SF_Output!$Q$1:$Q$400,"monthly"))</f>
        <v/>
      </c>
      <c r="W204" s="112" t="str" cm="1">
        <f t="array" ref="W204">_xlfn.IFS(OR(B204=0,B204="",V204=0),"",AF204&lt;&gt;"exclusion",MAX($W$9,$W$7,(-(SUMIFS(SF_Output!$T$1:$T$400,SF_Output!$AC$1:$AC$400,_xlfn.TEXTJOIN(",",TRUE,$B204:$E204),SF_Output!$Q$1:$Q$400,"monthly"))/V204)),AF204="exclusion",-(SUMIFS(SF_Output!$T$1:$T$400,SF_Output!$AC$1:$AC$400,_xlfn.TEXTJOIN(",",TRUE,$B204:$E204),SF_Output!$Q$1:$Q$400,"monthly"))/V204)</f>
        <v/>
      </c>
      <c r="X204" s="6" t="str" cm="1">
        <f t="array" ref="X204">IFERROR(_xlfn.IFS(V204=0,0,V204="","",W204=0,V204,OR(V204&lt;&gt;0,V204&lt;&gt;""),H204*I204),V204*(1-W204))</f>
        <v/>
      </c>
    </row>
    <row r="205" spans="6:24" x14ac:dyDescent="0.25">
      <c r="F205" s="116" t="str">
        <f t="shared" si="8"/>
        <v/>
      </c>
      <c r="G205" t="str">
        <f>IF(B205="","",INDEX(SF_Output!$K$1:$K$400,MATCH(B205,SF_Output!$M$1:$M$400,0)))</f>
        <v/>
      </c>
      <c r="H205" t="str" cm="1">
        <f t="array" ref="H205">_xlfn.IFS(B205="","",(SUMIFS(SF_Output!$F$1:$F$400,SF_Output!$AC$1:$AC$400,_xlfn.TEXTJOIN(",",TRUE,B205:E205))+SUMIFS(SF_Output!$G$1:$G$400,SF_Output!$AC$1:$AC$400,_xlfn.TEXTJOIN(",",TRUE,B205:E205)))&lt;&gt;0,SF_Output!$Y$2,INDEX(SF_Output!$F$1:$F$400,MATCH(_xlfn.TEXTJOIN(",",TRUE,B205:E205),SF_Output!$AC$1:$AC$400,0))=0,INDEX(SF_Output!$R$1:$R$400,MATCH(_xlfn.TEXTJOIN(",",TRUE,B205:E205),SF_Output!$AC$1:$AC$400,0)))</f>
        <v/>
      </c>
      <c r="I205" s="125" t="str">
        <f>IFERROR(IF(AND(H205&gt;1,H205&lt;&gt;""),ROUND(SUMIFS(SF_Output!$S$1:$S$400,SF_Output!$AC$1:$AC$400,_xlfn.TEXTJOIN(",",TRUE,B205:E205),SF_Output!$Q$1:$Q$400,"monthly")*(1-W205)/H205,4),""),"")</f>
        <v/>
      </c>
      <c r="J205" s="6" t="str">
        <f>IF(B205="","",SUMIFS(SF_Output!$S$1:$S$400,SF_Output!$AC$1:$AC$400,_xlfn.TEXTJOIN(",",TRUE,B205:E205),SF_Output!$Q$1:$Q$400,"One Time",SF_Output!$L$1:$L$400,"license fee")+SUMIFS(SF_Output!$S$1:$S$400,SF_Output!$AC$1:$AC$400,_xlfn.TEXTJOIN(",",TRUE,B205:E205),SF_Output!$Q$1:$Q$400,"One Time",SF_Output!$L$1:$L$400,"software license")+SUMIFS(SF_Output!$S$1:$S$400,SF_Output!$AC$1:$AC$400,_xlfn.TEXTJOIN(",",TRUE,B205:E205),SF_Output!$Q$1:$Q$400,"One Time",SF_Output!$L$1:$L$400,"hardware"))</f>
        <v/>
      </c>
      <c r="K205" s="112" t="str">
        <f>IF(OR(B205=0,B205="",G205="hardware",J205=0),"",IF(AF205&lt;&gt;"exclusion",MAX(K$9,-((SUMIFS(SF_Output!$T$1:$T$400,SF_Output!$AC$1:$AC$400,_xlfn.TEXTJOIN(",",TRUE,$B205:$E205),SF_Output!$Q$1:$Q$400,"One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license"))/J205)))</f>
        <v/>
      </c>
      <c r="L205" s="6" t="str">
        <f t="shared" si="9"/>
        <v/>
      </c>
      <c r="N205" s="6" t="str">
        <f>IF(B205="","",SUMIFS(SF_Output!$S$1:$S$400,SF_Output!$AC$1:$AC$400,_xlfn.TEXTJOIN(",",TRUE,B205:E205),SF_Output!$Q$1:$Q$400,"One Time",SF_Output!$L$1:$L$400,"professional service"))</f>
        <v/>
      </c>
      <c r="O205" s="112" t="str">
        <f>IF(OR(B205=0,B205="",N205=0),"",IF(AF205&lt;&gt;"exclusion",MAX(O$9,-(SUMIFS(SF_Output!$T$1:$T$400,SF_Output!$AC$1:$AC$400,_xlfn.TEXTJOIN(",",TRUE,$B205:$E205),SF_Output!$Q$1:$Q$400,"One Time",SF_Output!$L$1:$L$400,"professional service"))/N205),-((SUMIFS(SF_Output!$T$1:$T$400,SF_Output!$AC$1:$AC$400,_xlfn.TEXTJOIN(",",TRUE,$B205:$E205),SF_Output!$Q$1:$Q$400,"One Time",SF_Output!$L$1:$L$400,"professional service")/N205))))</f>
        <v/>
      </c>
      <c r="P205" s="6" t="str">
        <f t="shared" si="10"/>
        <v/>
      </c>
      <c r="R205" s="6" t="str">
        <f>IF(B205="","",SUMIFS(SF_Output!$S$1:$S$400,SF_Output!$AC$1:$AC$400,_xlfn.TEXTJOIN(",",TRUE,B205:E205),SF_Output!$Q$1:$Q$400,"yearly")+SUMIFS(SF_Output!$S$1:$S$400,SF_Output!$AC$1:$AC$400,_xlfn.TEXTJOIN(",",TRUE,B205:E205),SF_Output!$Q$1:$Q$400,"quarterly")*4)</f>
        <v/>
      </c>
      <c r="S205" s="112" t="str">
        <f>IF(OR(B205=0,B205="",G205="hardware",R205=0),"",IF(AF205&lt;&gt;"exclusion",MAX(S$9,-(SUMIFS(SF_Output!$T$1:$T$400,SF_Output!$AC$1:$AC$400,_xlfn.TEXTJOIN(",",TRUE,$B205:$E205),SF_Output!$Q$1:$Q$400,"yearly"))/R205),-((SUMIFS(SF_Output!$T$1:$T$400,SF_Output!$AC$1:$AC$400,_xlfn.TEXTJOIN(",",TRUE,$B205:$E205),SF_Output!$Q$1:$Q$400,"yearly")/R205))))</f>
        <v/>
      </c>
      <c r="T205" s="6" t="str">
        <f t="shared" si="11"/>
        <v/>
      </c>
      <c r="V205" s="6" t="str" cm="1">
        <f t="array" ref="V205">_xlfn.IFS(B205="","",AND(B205&lt;&gt;"",H205=SF_Output!$Y$2,SUMIFS(SF_Output!$T$1:$T$400,SF_Output!$AC$1:$AC$400,_xlfn.TEXTJOIN(",",TRUE,B205:E205),SF_Output!$Q$1:$Q$400,"monthly")=0),(SUMIFS(SF_Output!$F$1:$F$400,SF_Output!$AC$1:$AC$400,_xlfn.TEXTJOIN(",",TRUE,B205:E205),SF_Output!$Q$1:$Q$400,"monthly")+SUMIFS(SF_Output!$G$1:$G$400,SF_Output!$AC$1:$AC$400,_xlfn.TEXTJOIN(",",TRUE,B205:E205),SF_Output!$Q$1:$Q$400,"monthly"))*H205,AND(B205&lt;&gt;"",H205=SF_Output!$Y$2,SUMIFS(SF_Output!$T$1:$T$400,SF_Output!$AC$1:$AC$400,_xlfn.TEXTJOIN(",",TRUE,B205:E205),SF_Output!$Q$1:$Q$400,"monthly")&lt;&gt;0),SUMIFS(SF_Output!$S$1:$S$400,SF_Output!$AC$1:$AC$400,_xlfn.TEXTJOIN(",",TRUE,B205:E205),SF_Output!$Q$1:$Q$400,"monthly"),AND(B205&lt;&gt;"",H205&lt;&gt;SF_Output!$Y$2),SUMIFS(SF_Output!$S$1:$S$400,SF_Output!$AC$1:$AC$400,_xlfn.TEXTJOIN(",",TRUE,B205:E205),SF_Output!$Q$1:$Q$400,"monthly"))</f>
        <v/>
      </c>
      <c r="W205" s="112" t="str" cm="1">
        <f t="array" ref="W205">_xlfn.IFS(OR(B205=0,B205="",V205=0),"",AF205&lt;&gt;"exclusion",MAX($W$9,$W$7,(-(SUMIFS(SF_Output!$T$1:$T$400,SF_Output!$AC$1:$AC$400,_xlfn.TEXTJOIN(",",TRUE,$B205:$E205),SF_Output!$Q$1:$Q$400,"monthly"))/V205)),AF205="exclusion",-(SUMIFS(SF_Output!$T$1:$T$400,SF_Output!$AC$1:$AC$400,_xlfn.TEXTJOIN(",",TRUE,$B205:$E205),SF_Output!$Q$1:$Q$400,"monthly"))/V205)</f>
        <v/>
      </c>
      <c r="X205" s="6" t="str" cm="1">
        <f t="array" ref="X205">IFERROR(_xlfn.IFS(V205=0,0,V205="","",W205=0,V205,OR(V205&lt;&gt;0,V205&lt;&gt;""),H205*I205),V205*(1-W205))</f>
        <v/>
      </c>
    </row>
    <row r="206" spans="6:24" x14ac:dyDescent="0.25">
      <c r="F206" s="116" t="str">
        <f t="shared" ref="F206:F250" si="12">IF(B206="","",IF(E206*1=0,"Included","Optional"))</f>
        <v/>
      </c>
      <c r="G206" t="str">
        <f>IF(B206="","",INDEX(SF_Output!$K$1:$K$400,MATCH(B206,SF_Output!$M$1:$M$400,0)))</f>
        <v/>
      </c>
      <c r="H206" t="str" cm="1">
        <f t="array" ref="H206">_xlfn.IFS(B206="","",(SUMIFS(SF_Output!$F$1:$F$400,SF_Output!$AC$1:$AC$400,_xlfn.TEXTJOIN(",",TRUE,B206:E206))+SUMIFS(SF_Output!$G$1:$G$400,SF_Output!$AC$1:$AC$400,_xlfn.TEXTJOIN(",",TRUE,B206:E206)))&lt;&gt;0,SF_Output!$Y$2,INDEX(SF_Output!$F$1:$F$400,MATCH(_xlfn.TEXTJOIN(",",TRUE,B206:E206),SF_Output!$AC$1:$AC$400,0))=0,INDEX(SF_Output!$R$1:$R$400,MATCH(_xlfn.TEXTJOIN(",",TRUE,B206:E206),SF_Output!$AC$1:$AC$400,0)))</f>
        <v/>
      </c>
      <c r="I206" s="125" t="str">
        <f>IFERROR(IF(AND(H206&gt;1,H206&lt;&gt;""),ROUND(SUMIFS(SF_Output!$S$1:$S$400,SF_Output!$AC$1:$AC$400,_xlfn.TEXTJOIN(",",TRUE,B206:E206),SF_Output!$Q$1:$Q$400,"monthly")*(1-W206)/H206,4),""),"")</f>
        <v/>
      </c>
      <c r="J206" s="6" t="str">
        <f>IF(B206="","",SUMIFS(SF_Output!$S$1:$S$400,SF_Output!$AC$1:$AC$400,_xlfn.TEXTJOIN(",",TRUE,B206:E206),SF_Output!$Q$1:$Q$400,"One Time",SF_Output!$L$1:$L$400,"license fee")+SUMIFS(SF_Output!$S$1:$S$400,SF_Output!$AC$1:$AC$400,_xlfn.TEXTJOIN(",",TRUE,B206:E206),SF_Output!$Q$1:$Q$400,"One Time",SF_Output!$L$1:$L$400,"software license")+SUMIFS(SF_Output!$S$1:$S$400,SF_Output!$AC$1:$AC$400,_xlfn.TEXTJOIN(",",TRUE,B206:E206),SF_Output!$Q$1:$Q$400,"One Time",SF_Output!$L$1:$L$400,"hardware"))</f>
        <v/>
      </c>
      <c r="K206" s="112" t="str">
        <f>IF(OR(B206=0,B206="",G206="hardware",J206=0),"",IF(AF206&lt;&gt;"exclusion",MAX(K$9,-((SUMIFS(SF_Output!$T$1:$T$400,SF_Output!$AC$1:$AC$400,_xlfn.TEXTJOIN(",",TRUE,$B206:$E206),SF_Output!$Q$1:$Q$400,"One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license"))/J206)))</f>
        <v/>
      </c>
      <c r="L206" s="6" t="str">
        <f t="shared" ref="L206:L250" si="13">IF(K206="",J206,J206*(1-K206))</f>
        <v/>
      </c>
      <c r="N206" s="6" t="str">
        <f>IF(B206="","",SUMIFS(SF_Output!$S$1:$S$400,SF_Output!$AC$1:$AC$400,_xlfn.TEXTJOIN(",",TRUE,B206:E206),SF_Output!$Q$1:$Q$400,"One Time",SF_Output!$L$1:$L$400,"professional service"))</f>
        <v/>
      </c>
      <c r="O206" s="112" t="str">
        <f>IF(OR(B206=0,B206="",N206=0),"",IF(AF206&lt;&gt;"exclusion",MAX(O$9,-(SUMIFS(SF_Output!$T$1:$T$400,SF_Output!$AC$1:$AC$400,_xlfn.TEXTJOIN(",",TRUE,$B206:$E206),SF_Output!$Q$1:$Q$400,"One Time",SF_Output!$L$1:$L$400,"professional service"))/N206),-((SUMIFS(SF_Output!$T$1:$T$400,SF_Output!$AC$1:$AC$400,_xlfn.TEXTJOIN(",",TRUE,$B206:$E206),SF_Output!$Q$1:$Q$400,"One Time",SF_Output!$L$1:$L$400,"professional service")/N206))))</f>
        <v/>
      </c>
      <c r="P206" s="6" t="str">
        <f t="shared" ref="P206:P250" si="14">IF(O206="",N206,N206*(1-O206))</f>
        <v/>
      </c>
      <c r="R206" s="6" t="str">
        <f>IF(B206="","",SUMIFS(SF_Output!$S$1:$S$400,SF_Output!$AC$1:$AC$400,_xlfn.TEXTJOIN(",",TRUE,B206:E206),SF_Output!$Q$1:$Q$400,"yearly")+SUMIFS(SF_Output!$S$1:$S$400,SF_Output!$AC$1:$AC$400,_xlfn.TEXTJOIN(",",TRUE,B206:E206),SF_Output!$Q$1:$Q$400,"quarterly")*4)</f>
        <v/>
      </c>
      <c r="S206" s="112" t="str">
        <f>IF(OR(B206=0,B206="",G206="hardware",R206=0),"",IF(AF206&lt;&gt;"exclusion",MAX(S$9,-(SUMIFS(SF_Output!$T$1:$T$400,SF_Output!$AC$1:$AC$400,_xlfn.TEXTJOIN(",",TRUE,$B206:$E206),SF_Output!$Q$1:$Q$400,"yearly"))/R206),-((SUMIFS(SF_Output!$T$1:$T$400,SF_Output!$AC$1:$AC$400,_xlfn.TEXTJOIN(",",TRUE,$B206:$E206),SF_Output!$Q$1:$Q$400,"yearly")/R206))))</f>
        <v/>
      </c>
      <c r="T206" s="6" t="str">
        <f t="shared" ref="T206:T250" si="15">IF(S206="",R206,R206*(1-S206))</f>
        <v/>
      </c>
      <c r="V206" s="6" t="str" cm="1">
        <f t="array" ref="V206">_xlfn.IFS(B206="","",AND(B206&lt;&gt;"",H206=SF_Output!$Y$2,SUMIFS(SF_Output!$T$1:$T$400,SF_Output!$AC$1:$AC$400,_xlfn.TEXTJOIN(",",TRUE,B206:E206),SF_Output!$Q$1:$Q$400,"monthly")=0),(SUMIFS(SF_Output!$F$1:$F$400,SF_Output!$AC$1:$AC$400,_xlfn.TEXTJOIN(",",TRUE,B206:E206),SF_Output!$Q$1:$Q$400,"monthly")+SUMIFS(SF_Output!$G$1:$G$400,SF_Output!$AC$1:$AC$400,_xlfn.TEXTJOIN(",",TRUE,B206:E206),SF_Output!$Q$1:$Q$400,"monthly"))*H206,AND(B206&lt;&gt;"",H206=SF_Output!$Y$2,SUMIFS(SF_Output!$T$1:$T$400,SF_Output!$AC$1:$AC$400,_xlfn.TEXTJOIN(",",TRUE,B206:E206),SF_Output!$Q$1:$Q$400,"monthly")&lt;&gt;0),SUMIFS(SF_Output!$S$1:$S$400,SF_Output!$AC$1:$AC$400,_xlfn.TEXTJOIN(",",TRUE,B206:E206),SF_Output!$Q$1:$Q$400,"monthly"),AND(B206&lt;&gt;"",H206&lt;&gt;SF_Output!$Y$2),SUMIFS(SF_Output!$S$1:$S$400,SF_Output!$AC$1:$AC$400,_xlfn.TEXTJOIN(",",TRUE,B206:E206),SF_Output!$Q$1:$Q$400,"monthly"))</f>
        <v/>
      </c>
      <c r="W206" s="112" t="str" cm="1">
        <f t="array" ref="W206">_xlfn.IFS(OR(B206=0,B206="",V206=0),"",AF206&lt;&gt;"exclusion",MAX($W$9,$W$7,(-(SUMIFS(SF_Output!$T$1:$T$400,SF_Output!$AC$1:$AC$400,_xlfn.TEXTJOIN(",",TRUE,$B206:$E206),SF_Output!$Q$1:$Q$400,"monthly"))/V206)),AF206="exclusion",-(SUMIFS(SF_Output!$T$1:$T$400,SF_Output!$AC$1:$AC$400,_xlfn.TEXTJOIN(",",TRUE,$B206:$E206),SF_Output!$Q$1:$Q$400,"monthly"))/V206)</f>
        <v/>
      </c>
      <c r="X206" s="6" t="str" cm="1">
        <f t="array" ref="X206">IFERROR(_xlfn.IFS(V206=0,0,V206="","",W206=0,V206,OR(V206&lt;&gt;0,V206&lt;&gt;""),H206*I206),V206*(1-W206))</f>
        <v/>
      </c>
    </row>
    <row r="207" spans="6:24" x14ac:dyDescent="0.25">
      <c r="F207" s="116" t="str">
        <f t="shared" si="12"/>
        <v/>
      </c>
      <c r="G207" t="str">
        <f>IF(B207="","",INDEX(SF_Output!$K$1:$K$400,MATCH(B207,SF_Output!$M$1:$M$400,0)))</f>
        <v/>
      </c>
      <c r="H207" t="str" cm="1">
        <f t="array" ref="H207">_xlfn.IFS(B207="","",(SUMIFS(SF_Output!$F$1:$F$400,SF_Output!$AC$1:$AC$400,_xlfn.TEXTJOIN(",",TRUE,B207:E207))+SUMIFS(SF_Output!$G$1:$G$400,SF_Output!$AC$1:$AC$400,_xlfn.TEXTJOIN(",",TRUE,B207:E207)))&lt;&gt;0,SF_Output!$Y$2,INDEX(SF_Output!$F$1:$F$400,MATCH(_xlfn.TEXTJOIN(",",TRUE,B207:E207),SF_Output!$AC$1:$AC$400,0))=0,INDEX(SF_Output!$R$1:$R$400,MATCH(_xlfn.TEXTJOIN(",",TRUE,B207:E207),SF_Output!$AC$1:$AC$400,0)))</f>
        <v/>
      </c>
      <c r="I207" s="125" t="str">
        <f>IFERROR(IF(AND(H207&gt;1,H207&lt;&gt;""),ROUND(SUMIFS(SF_Output!$S$1:$S$400,SF_Output!$AC$1:$AC$400,_xlfn.TEXTJOIN(",",TRUE,B207:E207),SF_Output!$Q$1:$Q$400,"monthly")*(1-W207)/H207,4),""),"")</f>
        <v/>
      </c>
      <c r="J207" s="6" t="str">
        <f>IF(B207="","",SUMIFS(SF_Output!$S$1:$S$400,SF_Output!$AC$1:$AC$400,_xlfn.TEXTJOIN(",",TRUE,B207:E207),SF_Output!$Q$1:$Q$400,"One Time",SF_Output!$L$1:$L$400,"license fee")+SUMIFS(SF_Output!$S$1:$S$400,SF_Output!$AC$1:$AC$400,_xlfn.TEXTJOIN(",",TRUE,B207:E207),SF_Output!$Q$1:$Q$400,"One Time",SF_Output!$L$1:$L$400,"software license")+SUMIFS(SF_Output!$S$1:$S$400,SF_Output!$AC$1:$AC$400,_xlfn.TEXTJOIN(",",TRUE,B207:E207),SF_Output!$Q$1:$Q$400,"One Time",SF_Output!$L$1:$L$400,"hardware"))</f>
        <v/>
      </c>
      <c r="K207" s="112" t="str">
        <f>IF(OR(B207=0,B207="",G207="hardware",J207=0),"",IF(AF207&lt;&gt;"exclusion",MAX(K$9,-((SUMIFS(SF_Output!$T$1:$T$400,SF_Output!$AC$1:$AC$400,_xlfn.TEXTJOIN(",",TRUE,$B207:$E207),SF_Output!$Q$1:$Q$400,"One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license"))/J207)))</f>
        <v/>
      </c>
      <c r="L207" s="6" t="str">
        <f t="shared" si="13"/>
        <v/>
      </c>
      <c r="N207" s="6" t="str">
        <f>IF(B207="","",SUMIFS(SF_Output!$S$1:$S$400,SF_Output!$AC$1:$AC$400,_xlfn.TEXTJOIN(",",TRUE,B207:E207),SF_Output!$Q$1:$Q$400,"One Time",SF_Output!$L$1:$L$400,"professional service"))</f>
        <v/>
      </c>
      <c r="O207" s="112" t="str">
        <f>IF(OR(B207=0,B207="",N207=0),"",IF(AF207&lt;&gt;"exclusion",MAX(O$9,-(SUMIFS(SF_Output!$T$1:$T$400,SF_Output!$AC$1:$AC$400,_xlfn.TEXTJOIN(",",TRUE,$B207:$E207),SF_Output!$Q$1:$Q$400,"One Time",SF_Output!$L$1:$L$400,"professional service"))/N207),-((SUMIFS(SF_Output!$T$1:$T$400,SF_Output!$AC$1:$AC$400,_xlfn.TEXTJOIN(",",TRUE,$B207:$E207),SF_Output!$Q$1:$Q$400,"One Time",SF_Output!$L$1:$L$400,"professional service")/N207))))</f>
        <v/>
      </c>
      <c r="P207" s="6" t="str">
        <f t="shared" si="14"/>
        <v/>
      </c>
      <c r="R207" s="6" t="str">
        <f>IF(B207="","",SUMIFS(SF_Output!$S$1:$S$400,SF_Output!$AC$1:$AC$400,_xlfn.TEXTJOIN(",",TRUE,B207:E207),SF_Output!$Q$1:$Q$400,"yearly")+SUMIFS(SF_Output!$S$1:$S$400,SF_Output!$AC$1:$AC$400,_xlfn.TEXTJOIN(",",TRUE,B207:E207),SF_Output!$Q$1:$Q$400,"quarterly")*4)</f>
        <v/>
      </c>
      <c r="S207" s="112" t="str">
        <f>IF(OR(B207=0,B207="",G207="hardware",R207=0),"",IF(AF207&lt;&gt;"exclusion",MAX(S$9,-(SUMIFS(SF_Output!$T$1:$T$400,SF_Output!$AC$1:$AC$400,_xlfn.TEXTJOIN(",",TRUE,$B207:$E207),SF_Output!$Q$1:$Q$400,"yearly"))/R207),-((SUMIFS(SF_Output!$T$1:$T$400,SF_Output!$AC$1:$AC$400,_xlfn.TEXTJOIN(",",TRUE,$B207:$E207),SF_Output!$Q$1:$Q$400,"yearly")/R207))))</f>
        <v/>
      </c>
      <c r="T207" s="6" t="str">
        <f t="shared" si="15"/>
        <v/>
      </c>
      <c r="V207" s="6" t="str" cm="1">
        <f t="array" ref="V207">_xlfn.IFS(B207="","",AND(B207&lt;&gt;"",H207=SF_Output!$Y$2,SUMIFS(SF_Output!$T$1:$T$400,SF_Output!$AC$1:$AC$400,_xlfn.TEXTJOIN(",",TRUE,B207:E207),SF_Output!$Q$1:$Q$400,"monthly")=0),(SUMIFS(SF_Output!$F$1:$F$400,SF_Output!$AC$1:$AC$400,_xlfn.TEXTJOIN(",",TRUE,B207:E207),SF_Output!$Q$1:$Q$400,"monthly")+SUMIFS(SF_Output!$G$1:$G$400,SF_Output!$AC$1:$AC$400,_xlfn.TEXTJOIN(",",TRUE,B207:E207),SF_Output!$Q$1:$Q$400,"monthly"))*H207,AND(B207&lt;&gt;"",H207=SF_Output!$Y$2,SUMIFS(SF_Output!$T$1:$T$400,SF_Output!$AC$1:$AC$400,_xlfn.TEXTJOIN(",",TRUE,B207:E207),SF_Output!$Q$1:$Q$400,"monthly")&lt;&gt;0),SUMIFS(SF_Output!$S$1:$S$400,SF_Output!$AC$1:$AC$400,_xlfn.TEXTJOIN(",",TRUE,B207:E207),SF_Output!$Q$1:$Q$400,"monthly"),AND(B207&lt;&gt;"",H207&lt;&gt;SF_Output!$Y$2),SUMIFS(SF_Output!$S$1:$S$400,SF_Output!$AC$1:$AC$400,_xlfn.TEXTJOIN(",",TRUE,B207:E207),SF_Output!$Q$1:$Q$400,"monthly"))</f>
        <v/>
      </c>
      <c r="W207" s="112" t="str" cm="1">
        <f t="array" ref="W207">_xlfn.IFS(OR(B207=0,B207="",V207=0),"",AF207&lt;&gt;"exclusion",MAX($W$9,$W$7,(-(SUMIFS(SF_Output!$T$1:$T$400,SF_Output!$AC$1:$AC$400,_xlfn.TEXTJOIN(",",TRUE,$B207:$E207),SF_Output!$Q$1:$Q$400,"monthly"))/V207)),AF207="exclusion",-(SUMIFS(SF_Output!$T$1:$T$400,SF_Output!$AC$1:$AC$400,_xlfn.TEXTJOIN(",",TRUE,$B207:$E207),SF_Output!$Q$1:$Q$400,"monthly"))/V207)</f>
        <v/>
      </c>
      <c r="X207" s="6" t="str" cm="1">
        <f t="array" ref="X207">IFERROR(_xlfn.IFS(V207=0,0,V207="","",W207=0,V207,OR(V207&lt;&gt;0,V207&lt;&gt;""),H207*I207),V207*(1-W207))</f>
        <v/>
      </c>
    </row>
    <row r="208" spans="6:24" x14ac:dyDescent="0.25">
      <c r="F208" s="116" t="str">
        <f t="shared" si="12"/>
        <v/>
      </c>
      <c r="G208" t="str">
        <f>IF(B208="","",INDEX(SF_Output!$K$1:$K$400,MATCH(B208,SF_Output!$M$1:$M$400,0)))</f>
        <v/>
      </c>
      <c r="H208" t="str" cm="1">
        <f t="array" ref="H208">_xlfn.IFS(B208="","",(SUMIFS(SF_Output!$F$1:$F$400,SF_Output!$AC$1:$AC$400,_xlfn.TEXTJOIN(",",TRUE,B208:E208))+SUMIFS(SF_Output!$G$1:$G$400,SF_Output!$AC$1:$AC$400,_xlfn.TEXTJOIN(",",TRUE,B208:E208)))&lt;&gt;0,SF_Output!$Y$2,INDEX(SF_Output!$F$1:$F$400,MATCH(_xlfn.TEXTJOIN(",",TRUE,B208:E208),SF_Output!$AC$1:$AC$400,0))=0,INDEX(SF_Output!$R$1:$R$400,MATCH(_xlfn.TEXTJOIN(",",TRUE,B208:E208),SF_Output!$AC$1:$AC$400,0)))</f>
        <v/>
      </c>
      <c r="I208" s="125" t="str">
        <f>IFERROR(IF(AND(H208&gt;1,H208&lt;&gt;""),ROUND(SUMIFS(SF_Output!$S$1:$S$400,SF_Output!$AC$1:$AC$400,_xlfn.TEXTJOIN(",",TRUE,B208:E208),SF_Output!$Q$1:$Q$400,"monthly")*(1-W208)/H208,4),""),"")</f>
        <v/>
      </c>
      <c r="J208" s="6" t="str">
        <f>IF(B208="","",SUMIFS(SF_Output!$S$1:$S$400,SF_Output!$AC$1:$AC$400,_xlfn.TEXTJOIN(",",TRUE,B208:E208),SF_Output!$Q$1:$Q$400,"One Time",SF_Output!$L$1:$L$400,"license fee")+SUMIFS(SF_Output!$S$1:$S$400,SF_Output!$AC$1:$AC$400,_xlfn.TEXTJOIN(",",TRUE,B208:E208),SF_Output!$Q$1:$Q$400,"One Time",SF_Output!$L$1:$L$400,"software license")+SUMIFS(SF_Output!$S$1:$S$400,SF_Output!$AC$1:$AC$400,_xlfn.TEXTJOIN(",",TRUE,B208:E208),SF_Output!$Q$1:$Q$400,"One Time",SF_Output!$L$1:$L$400,"hardware"))</f>
        <v/>
      </c>
      <c r="K208" s="112" t="str">
        <f>IF(OR(B208=0,B208="",G208="hardware",J208=0),"",IF(AF208&lt;&gt;"exclusion",MAX(K$9,-((SUMIFS(SF_Output!$T$1:$T$400,SF_Output!$AC$1:$AC$400,_xlfn.TEXTJOIN(",",TRUE,$B208:$E208),SF_Output!$Q$1:$Q$400,"One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license"))/J208)))</f>
        <v/>
      </c>
      <c r="L208" s="6" t="str">
        <f t="shared" si="13"/>
        <v/>
      </c>
      <c r="N208" s="6" t="str">
        <f>IF(B208="","",SUMIFS(SF_Output!$S$1:$S$400,SF_Output!$AC$1:$AC$400,_xlfn.TEXTJOIN(",",TRUE,B208:E208),SF_Output!$Q$1:$Q$400,"One Time",SF_Output!$L$1:$L$400,"professional service"))</f>
        <v/>
      </c>
      <c r="O208" s="112" t="str">
        <f>IF(OR(B208=0,B208="",N208=0),"",IF(AF208&lt;&gt;"exclusion",MAX(O$9,-(SUMIFS(SF_Output!$T$1:$T$400,SF_Output!$AC$1:$AC$400,_xlfn.TEXTJOIN(",",TRUE,$B208:$E208),SF_Output!$Q$1:$Q$400,"One Time",SF_Output!$L$1:$L$400,"professional service"))/N208),-((SUMIFS(SF_Output!$T$1:$T$400,SF_Output!$AC$1:$AC$400,_xlfn.TEXTJOIN(",",TRUE,$B208:$E208),SF_Output!$Q$1:$Q$400,"One Time",SF_Output!$L$1:$L$400,"professional service")/N208))))</f>
        <v/>
      </c>
      <c r="P208" s="6" t="str">
        <f t="shared" si="14"/>
        <v/>
      </c>
      <c r="R208" s="6" t="str">
        <f>IF(B208="","",SUMIFS(SF_Output!$S$1:$S$400,SF_Output!$AC$1:$AC$400,_xlfn.TEXTJOIN(",",TRUE,B208:E208),SF_Output!$Q$1:$Q$400,"yearly")+SUMIFS(SF_Output!$S$1:$S$400,SF_Output!$AC$1:$AC$400,_xlfn.TEXTJOIN(",",TRUE,B208:E208),SF_Output!$Q$1:$Q$400,"quarterly")*4)</f>
        <v/>
      </c>
      <c r="S208" s="112" t="str">
        <f>IF(OR(B208=0,B208="",G208="hardware",R208=0),"",IF(AF208&lt;&gt;"exclusion",MAX(S$9,-(SUMIFS(SF_Output!$T$1:$T$400,SF_Output!$AC$1:$AC$400,_xlfn.TEXTJOIN(",",TRUE,$B208:$E208),SF_Output!$Q$1:$Q$400,"yearly"))/R208),-((SUMIFS(SF_Output!$T$1:$T$400,SF_Output!$AC$1:$AC$400,_xlfn.TEXTJOIN(",",TRUE,$B208:$E208),SF_Output!$Q$1:$Q$400,"yearly")/R208))))</f>
        <v/>
      </c>
      <c r="T208" s="6" t="str">
        <f t="shared" si="15"/>
        <v/>
      </c>
      <c r="V208" s="6" t="str" cm="1">
        <f t="array" ref="V208">_xlfn.IFS(B208="","",AND(B208&lt;&gt;"",H208=SF_Output!$Y$2,SUMIFS(SF_Output!$T$1:$T$400,SF_Output!$AC$1:$AC$400,_xlfn.TEXTJOIN(",",TRUE,B208:E208),SF_Output!$Q$1:$Q$400,"monthly")=0),(SUMIFS(SF_Output!$F$1:$F$400,SF_Output!$AC$1:$AC$400,_xlfn.TEXTJOIN(",",TRUE,B208:E208),SF_Output!$Q$1:$Q$400,"monthly")+SUMIFS(SF_Output!$G$1:$G$400,SF_Output!$AC$1:$AC$400,_xlfn.TEXTJOIN(",",TRUE,B208:E208),SF_Output!$Q$1:$Q$400,"monthly"))*H208,AND(B208&lt;&gt;"",H208=SF_Output!$Y$2,SUMIFS(SF_Output!$T$1:$T$400,SF_Output!$AC$1:$AC$400,_xlfn.TEXTJOIN(",",TRUE,B208:E208),SF_Output!$Q$1:$Q$400,"monthly")&lt;&gt;0),SUMIFS(SF_Output!$S$1:$S$400,SF_Output!$AC$1:$AC$400,_xlfn.TEXTJOIN(",",TRUE,B208:E208),SF_Output!$Q$1:$Q$400,"monthly"),AND(B208&lt;&gt;"",H208&lt;&gt;SF_Output!$Y$2),SUMIFS(SF_Output!$S$1:$S$400,SF_Output!$AC$1:$AC$400,_xlfn.TEXTJOIN(",",TRUE,B208:E208),SF_Output!$Q$1:$Q$400,"monthly"))</f>
        <v/>
      </c>
      <c r="W208" s="112" t="str" cm="1">
        <f t="array" ref="W208">_xlfn.IFS(OR(B208=0,B208="",V208=0),"",AF208&lt;&gt;"exclusion",MAX($W$9,$W$7,(-(SUMIFS(SF_Output!$T$1:$T$400,SF_Output!$AC$1:$AC$400,_xlfn.TEXTJOIN(",",TRUE,$B208:$E208),SF_Output!$Q$1:$Q$400,"monthly"))/V208)),AF208="exclusion",-(SUMIFS(SF_Output!$T$1:$T$400,SF_Output!$AC$1:$AC$400,_xlfn.TEXTJOIN(",",TRUE,$B208:$E208),SF_Output!$Q$1:$Q$400,"monthly"))/V208)</f>
        <v/>
      </c>
      <c r="X208" s="6" t="str" cm="1">
        <f t="array" ref="X208">IFERROR(_xlfn.IFS(V208=0,0,V208="","",W208=0,V208,OR(V208&lt;&gt;0,V208&lt;&gt;""),H208*I208),V208*(1-W208))</f>
        <v/>
      </c>
    </row>
    <row r="209" spans="6:24" x14ac:dyDescent="0.25">
      <c r="F209" s="116" t="str">
        <f t="shared" si="12"/>
        <v/>
      </c>
      <c r="G209" t="str">
        <f>IF(B209="","",INDEX(SF_Output!$K$1:$K$400,MATCH(B209,SF_Output!$M$1:$M$400,0)))</f>
        <v/>
      </c>
      <c r="H209" t="str" cm="1">
        <f t="array" ref="H209">_xlfn.IFS(B209="","",(SUMIFS(SF_Output!$F$1:$F$400,SF_Output!$AC$1:$AC$400,_xlfn.TEXTJOIN(",",TRUE,B209:E209))+SUMIFS(SF_Output!$G$1:$G$400,SF_Output!$AC$1:$AC$400,_xlfn.TEXTJOIN(",",TRUE,B209:E209)))&lt;&gt;0,SF_Output!$Y$2,INDEX(SF_Output!$F$1:$F$400,MATCH(_xlfn.TEXTJOIN(",",TRUE,B209:E209),SF_Output!$AC$1:$AC$400,0))=0,INDEX(SF_Output!$R$1:$R$400,MATCH(_xlfn.TEXTJOIN(",",TRUE,B209:E209),SF_Output!$AC$1:$AC$400,0)))</f>
        <v/>
      </c>
      <c r="I209" s="125" t="str">
        <f>IFERROR(IF(AND(H209&gt;1,H209&lt;&gt;""),ROUND(SUMIFS(SF_Output!$S$1:$S$400,SF_Output!$AC$1:$AC$400,_xlfn.TEXTJOIN(",",TRUE,B209:E209),SF_Output!$Q$1:$Q$400,"monthly")*(1-W209)/H209,4),""),"")</f>
        <v/>
      </c>
      <c r="J209" s="6" t="str">
        <f>IF(B209="","",SUMIFS(SF_Output!$S$1:$S$400,SF_Output!$AC$1:$AC$400,_xlfn.TEXTJOIN(",",TRUE,B209:E209),SF_Output!$Q$1:$Q$400,"One Time",SF_Output!$L$1:$L$400,"license fee")+SUMIFS(SF_Output!$S$1:$S$400,SF_Output!$AC$1:$AC$400,_xlfn.TEXTJOIN(",",TRUE,B209:E209),SF_Output!$Q$1:$Q$400,"One Time",SF_Output!$L$1:$L$400,"software license")+SUMIFS(SF_Output!$S$1:$S$400,SF_Output!$AC$1:$AC$400,_xlfn.TEXTJOIN(",",TRUE,B209:E209),SF_Output!$Q$1:$Q$400,"One Time",SF_Output!$L$1:$L$400,"hardware"))</f>
        <v/>
      </c>
      <c r="K209" s="112" t="str">
        <f>IF(OR(B209=0,B209="",G209="hardware",J209=0),"",IF(AF209&lt;&gt;"exclusion",MAX(K$9,-((SUMIFS(SF_Output!$T$1:$T$400,SF_Output!$AC$1:$AC$400,_xlfn.TEXTJOIN(",",TRUE,$B209:$E209),SF_Output!$Q$1:$Q$400,"One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license"))/J209)))</f>
        <v/>
      </c>
      <c r="L209" s="6" t="str">
        <f t="shared" si="13"/>
        <v/>
      </c>
      <c r="N209" s="6" t="str">
        <f>IF(B209="","",SUMIFS(SF_Output!$S$1:$S$400,SF_Output!$AC$1:$AC$400,_xlfn.TEXTJOIN(",",TRUE,B209:E209),SF_Output!$Q$1:$Q$400,"One Time",SF_Output!$L$1:$L$400,"professional service"))</f>
        <v/>
      </c>
      <c r="O209" s="112" t="str">
        <f>IF(OR(B209=0,B209="",N209=0),"",IF(AF209&lt;&gt;"exclusion",MAX(O$9,-(SUMIFS(SF_Output!$T$1:$T$400,SF_Output!$AC$1:$AC$400,_xlfn.TEXTJOIN(",",TRUE,$B209:$E209),SF_Output!$Q$1:$Q$400,"One Time",SF_Output!$L$1:$L$400,"professional service"))/N209),-((SUMIFS(SF_Output!$T$1:$T$400,SF_Output!$AC$1:$AC$400,_xlfn.TEXTJOIN(",",TRUE,$B209:$E209),SF_Output!$Q$1:$Q$400,"One Time",SF_Output!$L$1:$L$400,"professional service")/N209))))</f>
        <v/>
      </c>
      <c r="P209" s="6" t="str">
        <f t="shared" si="14"/>
        <v/>
      </c>
      <c r="R209" s="6" t="str">
        <f>IF(B209="","",SUMIFS(SF_Output!$S$1:$S$400,SF_Output!$AC$1:$AC$400,_xlfn.TEXTJOIN(",",TRUE,B209:E209),SF_Output!$Q$1:$Q$400,"yearly")+SUMIFS(SF_Output!$S$1:$S$400,SF_Output!$AC$1:$AC$400,_xlfn.TEXTJOIN(",",TRUE,B209:E209),SF_Output!$Q$1:$Q$400,"quarterly")*4)</f>
        <v/>
      </c>
      <c r="S209" s="112" t="str">
        <f>IF(OR(B209=0,B209="",G209="hardware",R209=0),"",IF(AF209&lt;&gt;"exclusion",MAX(S$9,-(SUMIFS(SF_Output!$T$1:$T$400,SF_Output!$AC$1:$AC$400,_xlfn.TEXTJOIN(",",TRUE,$B209:$E209),SF_Output!$Q$1:$Q$400,"yearly"))/R209),-((SUMIFS(SF_Output!$T$1:$T$400,SF_Output!$AC$1:$AC$400,_xlfn.TEXTJOIN(",",TRUE,$B209:$E209),SF_Output!$Q$1:$Q$400,"yearly")/R209))))</f>
        <v/>
      </c>
      <c r="T209" s="6" t="str">
        <f t="shared" si="15"/>
        <v/>
      </c>
      <c r="V209" s="6" t="str" cm="1">
        <f t="array" ref="V209">_xlfn.IFS(B209="","",AND(B209&lt;&gt;"",H209=SF_Output!$Y$2,SUMIFS(SF_Output!$T$1:$T$400,SF_Output!$AC$1:$AC$400,_xlfn.TEXTJOIN(",",TRUE,B209:E209),SF_Output!$Q$1:$Q$400,"monthly")=0),(SUMIFS(SF_Output!$F$1:$F$400,SF_Output!$AC$1:$AC$400,_xlfn.TEXTJOIN(",",TRUE,B209:E209),SF_Output!$Q$1:$Q$400,"monthly")+SUMIFS(SF_Output!$G$1:$G$400,SF_Output!$AC$1:$AC$400,_xlfn.TEXTJOIN(",",TRUE,B209:E209),SF_Output!$Q$1:$Q$400,"monthly"))*H209,AND(B209&lt;&gt;"",H209=SF_Output!$Y$2,SUMIFS(SF_Output!$T$1:$T$400,SF_Output!$AC$1:$AC$400,_xlfn.TEXTJOIN(",",TRUE,B209:E209),SF_Output!$Q$1:$Q$400,"monthly")&lt;&gt;0),SUMIFS(SF_Output!$S$1:$S$400,SF_Output!$AC$1:$AC$400,_xlfn.TEXTJOIN(",",TRUE,B209:E209),SF_Output!$Q$1:$Q$400,"monthly"),AND(B209&lt;&gt;"",H209&lt;&gt;SF_Output!$Y$2),SUMIFS(SF_Output!$S$1:$S$400,SF_Output!$AC$1:$AC$400,_xlfn.TEXTJOIN(",",TRUE,B209:E209),SF_Output!$Q$1:$Q$400,"monthly"))</f>
        <v/>
      </c>
      <c r="W209" s="112" t="str" cm="1">
        <f t="array" ref="W209">_xlfn.IFS(OR(B209=0,B209="",V209=0),"",AF209&lt;&gt;"exclusion",MAX($W$9,$W$7,(-(SUMIFS(SF_Output!$T$1:$T$400,SF_Output!$AC$1:$AC$400,_xlfn.TEXTJOIN(",",TRUE,$B209:$E209),SF_Output!$Q$1:$Q$400,"monthly"))/V209)),AF209="exclusion",-(SUMIFS(SF_Output!$T$1:$T$400,SF_Output!$AC$1:$AC$400,_xlfn.TEXTJOIN(",",TRUE,$B209:$E209),SF_Output!$Q$1:$Q$400,"monthly"))/V209)</f>
        <v/>
      </c>
      <c r="X209" s="6" t="str" cm="1">
        <f t="array" ref="X209">IFERROR(_xlfn.IFS(V209=0,0,V209="","",W209=0,V209,OR(V209&lt;&gt;0,V209&lt;&gt;""),H209*I209),V209*(1-W209))</f>
        <v/>
      </c>
    </row>
    <row r="210" spans="6:24" x14ac:dyDescent="0.25">
      <c r="F210" s="116" t="str">
        <f t="shared" si="12"/>
        <v/>
      </c>
      <c r="G210" t="str">
        <f>IF(B210="","",INDEX(SF_Output!$K$1:$K$400,MATCH(B210,SF_Output!$M$1:$M$400,0)))</f>
        <v/>
      </c>
      <c r="H210" t="str" cm="1">
        <f t="array" ref="H210">_xlfn.IFS(B210="","",(SUMIFS(SF_Output!$F$1:$F$400,SF_Output!$AC$1:$AC$400,_xlfn.TEXTJOIN(",",TRUE,B210:E210))+SUMIFS(SF_Output!$G$1:$G$400,SF_Output!$AC$1:$AC$400,_xlfn.TEXTJOIN(",",TRUE,B210:E210)))&lt;&gt;0,SF_Output!$Y$2,INDEX(SF_Output!$F$1:$F$400,MATCH(_xlfn.TEXTJOIN(",",TRUE,B210:E210),SF_Output!$AC$1:$AC$400,0))=0,INDEX(SF_Output!$R$1:$R$400,MATCH(_xlfn.TEXTJOIN(",",TRUE,B210:E210),SF_Output!$AC$1:$AC$400,0)))</f>
        <v/>
      </c>
      <c r="I210" s="125" t="str">
        <f>IFERROR(IF(AND(H210&gt;1,H210&lt;&gt;""),ROUND(SUMIFS(SF_Output!$S$1:$S$400,SF_Output!$AC$1:$AC$400,_xlfn.TEXTJOIN(",",TRUE,B210:E210),SF_Output!$Q$1:$Q$400,"monthly")*(1-W210)/H210,4),""),"")</f>
        <v/>
      </c>
      <c r="J210" s="6" t="str">
        <f>IF(B210="","",SUMIFS(SF_Output!$S$1:$S$400,SF_Output!$AC$1:$AC$400,_xlfn.TEXTJOIN(",",TRUE,B210:E210),SF_Output!$Q$1:$Q$400,"One Time",SF_Output!$L$1:$L$400,"license fee")+SUMIFS(SF_Output!$S$1:$S$400,SF_Output!$AC$1:$AC$400,_xlfn.TEXTJOIN(",",TRUE,B210:E210),SF_Output!$Q$1:$Q$400,"One Time",SF_Output!$L$1:$L$400,"software license")+SUMIFS(SF_Output!$S$1:$S$400,SF_Output!$AC$1:$AC$400,_xlfn.TEXTJOIN(",",TRUE,B210:E210),SF_Output!$Q$1:$Q$400,"One Time",SF_Output!$L$1:$L$400,"hardware"))</f>
        <v/>
      </c>
      <c r="K210" s="112" t="str">
        <f>IF(OR(B210=0,B210="",G210="hardware",J210=0),"",IF(AF210&lt;&gt;"exclusion",MAX(K$9,-((SUMIFS(SF_Output!$T$1:$T$400,SF_Output!$AC$1:$AC$400,_xlfn.TEXTJOIN(",",TRUE,$B210:$E210),SF_Output!$Q$1:$Q$400,"One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license"))/J210)))</f>
        <v/>
      </c>
      <c r="L210" s="6" t="str">
        <f t="shared" si="13"/>
        <v/>
      </c>
      <c r="N210" s="6" t="str">
        <f>IF(B210="","",SUMIFS(SF_Output!$S$1:$S$400,SF_Output!$AC$1:$AC$400,_xlfn.TEXTJOIN(",",TRUE,B210:E210),SF_Output!$Q$1:$Q$400,"One Time",SF_Output!$L$1:$L$400,"professional service"))</f>
        <v/>
      </c>
      <c r="O210" s="112" t="str">
        <f>IF(OR(B210=0,B210="",N210=0),"",IF(AF210&lt;&gt;"exclusion",MAX(O$9,-(SUMIFS(SF_Output!$T$1:$T$400,SF_Output!$AC$1:$AC$400,_xlfn.TEXTJOIN(",",TRUE,$B210:$E210),SF_Output!$Q$1:$Q$400,"One Time",SF_Output!$L$1:$L$400,"professional service"))/N210),-((SUMIFS(SF_Output!$T$1:$T$400,SF_Output!$AC$1:$AC$400,_xlfn.TEXTJOIN(",",TRUE,$B210:$E210),SF_Output!$Q$1:$Q$400,"One Time",SF_Output!$L$1:$L$400,"professional service")/N210))))</f>
        <v/>
      </c>
      <c r="P210" s="6" t="str">
        <f t="shared" si="14"/>
        <v/>
      </c>
      <c r="R210" s="6" t="str">
        <f>IF(B210="","",SUMIFS(SF_Output!$S$1:$S$400,SF_Output!$AC$1:$AC$400,_xlfn.TEXTJOIN(",",TRUE,B210:E210),SF_Output!$Q$1:$Q$400,"yearly")+SUMIFS(SF_Output!$S$1:$S$400,SF_Output!$AC$1:$AC$400,_xlfn.TEXTJOIN(",",TRUE,B210:E210),SF_Output!$Q$1:$Q$400,"quarterly")*4)</f>
        <v/>
      </c>
      <c r="S210" s="112" t="str">
        <f>IF(OR(B210=0,B210="",G210="hardware",R210=0),"",IF(AF210&lt;&gt;"exclusion",MAX(S$9,-(SUMIFS(SF_Output!$T$1:$T$400,SF_Output!$AC$1:$AC$400,_xlfn.TEXTJOIN(",",TRUE,$B210:$E210),SF_Output!$Q$1:$Q$400,"yearly"))/R210),-((SUMIFS(SF_Output!$T$1:$T$400,SF_Output!$AC$1:$AC$400,_xlfn.TEXTJOIN(",",TRUE,$B210:$E210),SF_Output!$Q$1:$Q$400,"yearly")/R210))))</f>
        <v/>
      </c>
      <c r="T210" s="6" t="str">
        <f t="shared" si="15"/>
        <v/>
      </c>
      <c r="V210" s="6" t="str" cm="1">
        <f t="array" ref="V210">_xlfn.IFS(B210="","",AND(B210&lt;&gt;"",H210=SF_Output!$Y$2,SUMIFS(SF_Output!$T$1:$T$400,SF_Output!$AC$1:$AC$400,_xlfn.TEXTJOIN(",",TRUE,B210:E210),SF_Output!$Q$1:$Q$400,"monthly")=0),(SUMIFS(SF_Output!$F$1:$F$400,SF_Output!$AC$1:$AC$400,_xlfn.TEXTJOIN(",",TRUE,B210:E210),SF_Output!$Q$1:$Q$400,"monthly")+SUMIFS(SF_Output!$G$1:$G$400,SF_Output!$AC$1:$AC$400,_xlfn.TEXTJOIN(",",TRUE,B210:E210),SF_Output!$Q$1:$Q$400,"monthly"))*H210,AND(B210&lt;&gt;"",H210=SF_Output!$Y$2,SUMIFS(SF_Output!$T$1:$T$400,SF_Output!$AC$1:$AC$400,_xlfn.TEXTJOIN(",",TRUE,B210:E210),SF_Output!$Q$1:$Q$400,"monthly")&lt;&gt;0),SUMIFS(SF_Output!$S$1:$S$400,SF_Output!$AC$1:$AC$400,_xlfn.TEXTJOIN(",",TRUE,B210:E210),SF_Output!$Q$1:$Q$400,"monthly"),AND(B210&lt;&gt;"",H210&lt;&gt;SF_Output!$Y$2),SUMIFS(SF_Output!$S$1:$S$400,SF_Output!$AC$1:$AC$400,_xlfn.TEXTJOIN(",",TRUE,B210:E210),SF_Output!$Q$1:$Q$400,"monthly"))</f>
        <v/>
      </c>
      <c r="W210" s="112" t="str" cm="1">
        <f t="array" ref="W210">_xlfn.IFS(OR(B210=0,B210="",V210=0),"",AF210&lt;&gt;"exclusion",MAX($W$9,$W$7,(-(SUMIFS(SF_Output!$T$1:$T$400,SF_Output!$AC$1:$AC$400,_xlfn.TEXTJOIN(",",TRUE,$B210:$E210),SF_Output!$Q$1:$Q$400,"monthly"))/V210)),AF210="exclusion",-(SUMIFS(SF_Output!$T$1:$T$400,SF_Output!$AC$1:$AC$400,_xlfn.TEXTJOIN(",",TRUE,$B210:$E210),SF_Output!$Q$1:$Q$400,"monthly"))/V210)</f>
        <v/>
      </c>
      <c r="X210" s="6" t="str" cm="1">
        <f t="array" ref="X210">IFERROR(_xlfn.IFS(V210=0,0,V210="","",W210=0,V210,OR(V210&lt;&gt;0,V210&lt;&gt;""),H210*I210),V210*(1-W210))</f>
        <v/>
      </c>
    </row>
    <row r="211" spans="6:24" x14ac:dyDescent="0.25">
      <c r="F211" s="116" t="str">
        <f t="shared" si="12"/>
        <v/>
      </c>
      <c r="G211" t="str">
        <f>IF(B211="","",INDEX(SF_Output!$K$1:$K$400,MATCH(B211,SF_Output!$M$1:$M$400,0)))</f>
        <v/>
      </c>
      <c r="H211" t="str" cm="1">
        <f t="array" ref="H211">_xlfn.IFS(B211="","",(SUMIFS(SF_Output!$F$1:$F$400,SF_Output!$AC$1:$AC$400,_xlfn.TEXTJOIN(",",TRUE,B211:E211))+SUMIFS(SF_Output!$G$1:$G$400,SF_Output!$AC$1:$AC$400,_xlfn.TEXTJOIN(",",TRUE,B211:E211)))&lt;&gt;0,SF_Output!$Y$2,INDEX(SF_Output!$F$1:$F$400,MATCH(_xlfn.TEXTJOIN(",",TRUE,B211:E211),SF_Output!$AC$1:$AC$400,0))=0,INDEX(SF_Output!$R$1:$R$400,MATCH(_xlfn.TEXTJOIN(",",TRUE,B211:E211),SF_Output!$AC$1:$AC$400,0)))</f>
        <v/>
      </c>
      <c r="I211" s="125" t="str">
        <f>IFERROR(IF(AND(H211&gt;1,H211&lt;&gt;""),ROUND(SUMIFS(SF_Output!$S$1:$S$400,SF_Output!$AC$1:$AC$400,_xlfn.TEXTJOIN(",",TRUE,B211:E211),SF_Output!$Q$1:$Q$400,"monthly")*(1-W211)/H211,4),""),"")</f>
        <v/>
      </c>
      <c r="J211" s="6" t="str">
        <f>IF(B211="","",SUMIFS(SF_Output!$S$1:$S$400,SF_Output!$AC$1:$AC$400,_xlfn.TEXTJOIN(",",TRUE,B211:E211),SF_Output!$Q$1:$Q$400,"One Time",SF_Output!$L$1:$L$400,"license fee")+SUMIFS(SF_Output!$S$1:$S$400,SF_Output!$AC$1:$AC$400,_xlfn.TEXTJOIN(",",TRUE,B211:E211),SF_Output!$Q$1:$Q$400,"One Time",SF_Output!$L$1:$L$400,"software license")+SUMIFS(SF_Output!$S$1:$S$400,SF_Output!$AC$1:$AC$400,_xlfn.TEXTJOIN(",",TRUE,B211:E211),SF_Output!$Q$1:$Q$400,"One Time",SF_Output!$L$1:$L$400,"hardware"))</f>
        <v/>
      </c>
      <c r="K211" s="112" t="str">
        <f>IF(OR(B211=0,B211="",G211="hardware",J211=0),"",IF(AF211&lt;&gt;"exclusion",MAX(K$9,-((SUMIFS(SF_Output!$T$1:$T$400,SF_Output!$AC$1:$AC$400,_xlfn.TEXTJOIN(",",TRUE,$B211:$E211),SF_Output!$Q$1:$Q$400,"One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license"))/J211)))</f>
        <v/>
      </c>
      <c r="L211" s="6" t="str">
        <f t="shared" si="13"/>
        <v/>
      </c>
      <c r="N211" s="6" t="str">
        <f>IF(B211="","",SUMIFS(SF_Output!$S$1:$S$400,SF_Output!$AC$1:$AC$400,_xlfn.TEXTJOIN(",",TRUE,B211:E211),SF_Output!$Q$1:$Q$400,"One Time",SF_Output!$L$1:$L$400,"professional service"))</f>
        <v/>
      </c>
      <c r="O211" s="112" t="str">
        <f>IF(OR(B211=0,B211="",N211=0),"",IF(AF211&lt;&gt;"exclusion",MAX(O$9,-(SUMIFS(SF_Output!$T$1:$T$400,SF_Output!$AC$1:$AC$400,_xlfn.TEXTJOIN(",",TRUE,$B211:$E211),SF_Output!$Q$1:$Q$400,"One Time",SF_Output!$L$1:$L$400,"professional service"))/N211),-((SUMIFS(SF_Output!$T$1:$T$400,SF_Output!$AC$1:$AC$400,_xlfn.TEXTJOIN(",",TRUE,$B211:$E211),SF_Output!$Q$1:$Q$400,"One Time",SF_Output!$L$1:$L$400,"professional service")/N211))))</f>
        <v/>
      </c>
      <c r="P211" s="6" t="str">
        <f t="shared" si="14"/>
        <v/>
      </c>
      <c r="R211" s="6" t="str">
        <f>IF(B211="","",SUMIFS(SF_Output!$S$1:$S$400,SF_Output!$AC$1:$AC$400,_xlfn.TEXTJOIN(",",TRUE,B211:E211),SF_Output!$Q$1:$Q$400,"yearly")+SUMIFS(SF_Output!$S$1:$S$400,SF_Output!$AC$1:$AC$400,_xlfn.TEXTJOIN(",",TRUE,B211:E211),SF_Output!$Q$1:$Q$400,"quarterly")*4)</f>
        <v/>
      </c>
      <c r="S211" s="112" t="str">
        <f>IF(OR(B211=0,B211="",G211="hardware",R211=0),"",IF(AF211&lt;&gt;"exclusion",MAX(S$9,-(SUMIFS(SF_Output!$T$1:$T$400,SF_Output!$AC$1:$AC$400,_xlfn.TEXTJOIN(",",TRUE,$B211:$E211),SF_Output!$Q$1:$Q$400,"yearly"))/R211),-((SUMIFS(SF_Output!$T$1:$T$400,SF_Output!$AC$1:$AC$400,_xlfn.TEXTJOIN(",",TRUE,$B211:$E211),SF_Output!$Q$1:$Q$400,"yearly")/R211))))</f>
        <v/>
      </c>
      <c r="T211" s="6" t="str">
        <f t="shared" si="15"/>
        <v/>
      </c>
      <c r="V211" s="6" t="str" cm="1">
        <f t="array" ref="V211">_xlfn.IFS(B211="","",AND(B211&lt;&gt;"",H211=SF_Output!$Y$2,SUMIFS(SF_Output!$T$1:$T$400,SF_Output!$AC$1:$AC$400,_xlfn.TEXTJOIN(",",TRUE,B211:E211),SF_Output!$Q$1:$Q$400,"monthly")=0),(SUMIFS(SF_Output!$F$1:$F$400,SF_Output!$AC$1:$AC$400,_xlfn.TEXTJOIN(",",TRUE,B211:E211),SF_Output!$Q$1:$Q$400,"monthly")+SUMIFS(SF_Output!$G$1:$G$400,SF_Output!$AC$1:$AC$400,_xlfn.TEXTJOIN(",",TRUE,B211:E211),SF_Output!$Q$1:$Q$400,"monthly"))*H211,AND(B211&lt;&gt;"",H211=SF_Output!$Y$2,SUMIFS(SF_Output!$T$1:$T$400,SF_Output!$AC$1:$AC$400,_xlfn.TEXTJOIN(",",TRUE,B211:E211),SF_Output!$Q$1:$Q$400,"monthly")&lt;&gt;0),SUMIFS(SF_Output!$S$1:$S$400,SF_Output!$AC$1:$AC$400,_xlfn.TEXTJOIN(",",TRUE,B211:E211),SF_Output!$Q$1:$Q$400,"monthly"),AND(B211&lt;&gt;"",H211&lt;&gt;SF_Output!$Y$2),SUMIFS(SF_Output!$S$1:$S$400,SF_Output!$AC$1:$AC$400,_xlfn.TEXTJOIN(",",TRUE,B211:E211),SF_Output!$Q$1:$Q$400,"monthly"))</f>
        <v/>
      </c>
      <c r="W211" s="112" t="str" cm="1">
        <f t="array" ref="W211">_xlfn.IFS(OR(B211=0,B211="",V211=0),"",AF211&lt;&gt;"exclusion",MAX($W$9,$W$7,(-(SUMIFS(SF_Output!$T$1:$T$400,SF_Output!$AC$1:$AC$400,_xlfn.TEXTJOIN(",",TRUE,$B211:$E211),SF_Output!$Q$1:$Q$400,"monthly"))/V211)),AF211="exclusion",-(SUMIFS(SF_Output!$T$1:$T$400,SF_Output!$AC$1:$AC$400,_xlfn.TEXTJOIN(",",TRUE,$B211:$E211),SF_Output!$Q$1:$Q$400,"monthly"))/V211)</f>
        <v/>
      </c>
      <c r="X211" s="6" t="str" cm="1">
        <f t="array" ref="X211">IFERROR(_xlfn.IFS(V211=0,0,V211="","",W211=0,V211,OR(V211&lt;&gt;0,V211&lt;&gt;""),H211*I211),V211*(1-W211))</f>
        <v/>
      </c>
    </row>
    <row r="212" spans="6:24" x14ac:dyDescent="0.25">
      <c r="F212" s="116" t="str">
        <f t="shared" si="12"/>
        <v/>
      </c>
      <c r="G212" t="str">
        <f>IF(B212="","",INDEX(SF_Output!$K$1:$K$400,MATCH(B212,SF_Output!$M$1:$M$400,0)))</f>
        <v/>
      </c>
      <c r="H212" t="str" cm="1">
        <f t="array" ref="H212">_xlfn.IFS(B212="","",(SUMIFS(SF_Output!$F$1:$F$400,SF_Output!$AC$1:$AC$400,_xlfn.TEXTJOIN(",",TRUE,B212:E212))+SUMIFS(SF_Output!$G$1:$G$400,SF_Output!$AC$1:$AC$400,_xlfn.TEXTJOIN(",",TRUE,B212:E212)))&lt;&gt;0,SF_Output!$Y$2,INDEX(SF_Output!$F$1:$F$400,MATCH(_xlfn.TEXTJOIN(",",TRUE,B212:E212),SF_Output!$AC$1:$AC$400,0))=0,INDEX(SF_Output!$R$1:$R$400,MATCH(_xlfn.TEXTJOIN(",",TRUE,B212:E212),SF_Output!$AC$1:$AC$400,0)))</f>
        <v/>
      </c>
      <c r="I212" s="125" t="str">
        <f>IFERROR(IF(AND(H212&gt;1,H212&lt;&gt;""),ROUND(SUMIFS(SF_Output!$S$1:$S$400,SF_Output!$AC$1:$AC$400,_xlfn.TEXTJOIN(",",TRUE,B212:E212),SF_Output!$Q$1:$Q$400,"monthly")*(1-W212)/H212,4),""),"")</f>
        <v/>
      </c>
      <c r="J212" s="6" t="str">
        <f>IF(B212="","",SUMIFS(SF_Output!$S$1:$S$400,SF_Output!$AC$1:$AC$400,_xlfn.TEXTJOIN(",",TRUE,B212:E212),SF_Output!$Q$1:$Q$400,"One Time",SF_Output!$L$1:$L$400,"license fee")+SUMIFS(SF_Output!$S$1:$S$400,SF_Output!$AC$1:$AC$400,_xlfn.TEXTJOIN(",",TRUE,B212:E212),SF_Output!$Q$1:$Q$400,"One Time",SF_Output!$L$1:$L$400,"software license")+SUMIFS(SF_Output!$S$1:$S$400,SF_Output!$AC$1:$AC$400,_xlfn.TEXTJOIN(",",TRUE,B212:E212),SF_Output!$Q$1:$Q$400,"One Time",SF_Output!$L$1:$L$400,"hardware"))</f>
        <v/>
      </c>
      <c r="K212" s="112" t="str">
        <f>IF(OR(B212=0,B212="",G212="hardware",J212=0),"",IF(AF212&lt;&gt;"exclusion",MAX(K$9,-((SUMIFS(SF_Output!$T$1:$T$400,SF_Output!$AC$1:$AC$400,_xlfn.TEXTJOIN(",",TRUE,$B212:$E212),SF_Output!$Q$1:$Q$400,"One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license"))/J212)))</f>
        <v/>
      </c>
      <c r="L212" s="6" t="str">
        <f t="shared" si="13"/>
        <v/>
      </c>
      <c r="N212" s="6" t="str">
        <f>IF(B212="","",SUMIFS(SF_Output!$S$1:$S$400,SF_Output!$AC$1:$AC$400,_xlfn.TEXTJOIN(",",TRUE,B212:E212),SF_Output!$Q$1:$Q$400,"One Time",SF_Output!$L$1:$L$400,"professional service"))</f>
        <v/>
      </c>
      <c r="O212" s="112" t="str">
        <f>IF(OR(B212=0,B212="",N212=0),"",IF(AF212&lt;&gt;"exclusion",MAX(O$9,-(SUMIFS(SF_Output!$T$1:$T$400,SF_Output!$AC$1:$AC$400,_xlfn.TEXTJOIN(",",TRUE,$B212:$E212),SF_Output!$Q$1:$Q$400,"One Time",SF_Output!$L$1:$L$400,"professional service"))/N212),-((SUMIFS(SF_Output!$T$1:$T$400,SF_Output!$AC$1:$AC$400,_xlfn.TEXTJOIN(",",TRUE,$B212:$E212),SF_Output!$Q$1:$Q$400,"One Time",SF_Output!$L$1:$L$400,"professional service")/N212))))</f>
        <v/>
      </c>
      <c r="P212" s="6" t="str">
        <f t="shared" si="14"/>
        <v/>
      </c>
      <c r="R212" s="6" t="str">
        <f>IF(B212="","",SUMIFS(SF_Output!$S$1:$S$400,SF_Output!$AC$1:$AC$400,_xlfn.TEXTJOIN(",",TRUE,B212:E212),SF_Output!$Q$1:$Q$400,"yearly")+SUMIFS(SF_Output!$S$1:$S$400,SF_Output!$AC$1:$AC$400,_xlfn.TEXTJOIN(",",TRUE,B212:E212),SF_Output!$Q$1:$Q$400,"quarterly")*4)</f>
        <v/>
      </c>
      <c r="S212" s="112" t="str">
        <f>IF(OR(B212=0,B212="",G212="hardware",R212=0),"",IF(AF212&lt;&gt;"exclusion",MAX(S$9,-(SUMIFS(SF_Output!$T$1:$T$400,SF_Output!$AC$1:$AC$400,_xlfn.TEXTJOIN(",",TRUE,$B212:$E212),SF_Output!$Q$1:$Q$400,"yearly"))/R212),-((SUMIFS(SF_Output!$T$1:$T$400,SF_Output!$AC$1:$AC$400,_xlfn.TEXTJOIN(",",TRUE,$B212:$E212),SF_Output!$Q$1:$Q$400,"yearly")/R212))))</f>
        <v/>
      </c>
      <c r="T212" s="6" t="str">
        <f t="shared" si="15"/>
        <v/>
      </c>
      <c r="V212" s="6" t="str" cm="1">
        <f t="array" ref="V212">_xlfn.IFS(B212="","",AND(B212&lt;&gt;"",H212=SF_Output!$Y$2,SUMIFS(SF_Output!$T$1:$T$400,SF_Output!$AC$1:$AC$400,_xlfn.TEXTJOIN(",",TRUE,B212:E212),SF_Output!$Q$1:$Q$400,"monthly")=0),(SUMIFS(SF_Output!$F$1:$F$400,SF_Output!$AC$1:$AC$400,_xlfn.TEXTJOIN(",",TRUE,B212:E212),SF_Output!$Q$1:$Q$400,"monthly")+SUMIFS(SF_Output!$G$1:$G$400,SF_Output!$AC$1:$AC$400,_xlfn.TEXTJOIN(",",TRUE,B212:E212),SF_Output!$Q$1:$Q$400,"monthly"))*H212,AND(B212&lt;&gt;"",H212=SF_Output!$Y$2,SUMIFS(SF_Output!$T$1:$T$400,SF_Output!$AC$1:$AC$400,_xlfn.TEXTJOIN(",",TRUE,B212:E212),SF_Output!$Q$1:$Q$400,"monthly")&lt;&gt;0),SUMIFS(SF_Output!$S$1:$S$400,SF_Output!$AC$1:$AC$400,_xlfn.TEXTJOIN(",",TRUE,B212:E212),SF_Output!$Q$1:$Q$400,"monthly"),AND(B212&lt;&gt;"",H212&lt;&gt;SF_Output!$Y$2),SUMIFS(SF_Output!$S$1:$S$400,SF_Output!$AC$1:$AC$400,_xlfn.TEXTJOIN(",",TRUE,B212:E212),SF_Output!$Q$1:$Q$400,"monthly"))</f>
        <v/>
      </c>
      <c r="W212" s="112" t="str" cm="1">
        <f t="array" ref="W212">_xlfn.IFS(OR(B212=0,B212="",V212=0),"",AF212&lt;&gt;"exclusion",MAX($W$9,$W$7,(-(SUMIFS(SF_Output!$T$1:$T$400,SF_Output!$AC$1:$AC$400,_xlfn.TEXTJOIN(",",TRUE,$B212:$E212),SF_Output!$Q$1:$Q$400,"monthly"))/V212)),AF212="exclusion",-(SUMIFS(SF_Output!$T$1:$T$400,SF_Output!$AC$1:$AC$400,_xlfn.TEXTJOIN(",",TRUE,$B212:$E212),SF_Output!$Q$1:$Q$400,"monthly"))/V212)</f>
        <v/>
      </c>
      <c r="X212" s="6" t="str" cm="1">
        <f t="array" ref="X212">IFERROR(_xlfn.IFS(V212=0,0,V212="","",W212=0,V212,OR(V212&lt;&gt;0,V212&lt;&gt;""),H212*I212),V212*(1-W212))</f>
        <v/>
      </c>
    </row>
    <row r="213" spans="6:24" x14ac:dyDescent="0.25">
      <c r="F213" s="116" t="str">
        <f t="shared" si="12"/>
        <v/>
      </c>
      <c r="G213" t="str">
        <f>IF(B213="","",INDEX(SF_Output!$K$1:$K$400,MATCH(B213,SF_Output!$M$1:$M$400,0)))</f>
        <v/>
      </c>
      <c r="H213" t="str" cm="1">
        <f t="array" ref="H213">_xlfn.IFS(B213="","",(SUMIFS(SF_Output!$F$1:$F$400,SF_Output!$AC$1:$AC$400,_xlfn.TEXTJOIN(",",TRUE,B213:E213))+SUMIFS(SF_Output!$G$1:$G$400,SF_Output!$AC$1:$AC$400,_xlfn.TEXTJOIN(",",TRUE,B213:E213)))&lt;&gt;0,SF_Output!$Y$2,INDEX(SF_Output!$F$1:$F$400,MATCH(_xlfn.TEXTJOIN(",",TRUE,B213:E213),SF_Output!$AC$1:$AC$400,0))=0,INDEX(SF_Output!$R$1:$R$400,MATCH(_xlfn.TEXTJOIN(",",TRUE,B213:E213),SF_Output!$AC$1:$AC$400,0)))</f>
        <v/>
      </c>
      <c r="I213" s="125" t="str">
        <f>IFERROR(IF(AND(H213&gt;1,H213&lt;&gt;""),ROUND(SUMIFS(SF_Output!$S$1:$S$400,SF_Output!$AC$1:$AC$400,_xlfn.TEXTJOIN(",",TRUE,B213:E213),SF_Output!$Q$1:$Q$400,"monthly")*(1-W213)/H213,4),""),"")</f>
        <v/>
      </c>
      <c r="J213" s="6" t="str">
        <f>IF(B213="","",SUMIFS(SF_Output!$S$1:$S$400,SF_Output!$AC$1:$AC$400,_xlfn.TEXTJOIN(",",TRUE,B213:E213),SF_Output!$Q$1:$Q$400,"One Time",SF_Output!$L$1:$L$400,"license fee")+SUMIFS(SF_Output!$S$1:$S$400,SF_Output!$AC$1:$AC$400,_xlfn.TEXTJOIN(",",TRUE,B213:E213),SF_Output!$Q$1:$Q$400,"One Time",SF_Output!$L$1:$L$400,"software license")+SUMIFS(SF_Output!$S$1:$S$400,SF_Output!$AC$1:$AC$400,_xlfn.TEXTJOIN(",",TRUE,B213:E213),SF_Output!$Q$1:$Q$400,"One Time",SF_Output!$L$1:$L$400,"hardware"))</f>
        <v/>
      </c>
      <c r="K213" s="112" t="str">
        <f>IF(OR(B213=0,B213="",G213="hardware",J213=0),"",IF(AF213&lt;&gt;"exclusion",MAX(K$9,-((SUMIFS(SF_Output!$T$1:$T$400,SF_Output!$AC$1:$AC$400,_xlfn.TEXTJOIN(",",TRUE,$B213:$E213),SF_Output!$Q$1:$Q$400,"One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license"))/J213)))</f>
        <v/>
      </c>
      <c r="L213" s="6" t="str">
        <f t="shared" si="13"/>
        <v/>
      </c>
      <c r="N213" s="6" t="str">
        <f>IF(B213="","",SUMIFS(SF_Output!$S$1:$S$400,SF_Output!$AC$1:$AC$400,_xlfn.TEXTJOIN(",",TRUE,B213:E213),SF_Output!$Q$1:$Q$400,"One Time",SF_Output!$L$1:$L$400,"professional service"))</f>
        <v/>
      </c>
      <c r="O213" s="112" t="str">
        <f>IF(OR(B213=0,B213="",N213=0),"",IF(AF213&lt;&gt;"exclusion",MAX(O$9,-(SUMIFS(SF_Output!$T$1:$T$400,SF_Output!$AC$1:$AC$400,_xlfn.TEXTJOIN(",",TRUE,$B213:$E213),SF_Output!$Q$1:$Q$400,"One Time",SF_Output!$L$1:$L$400,"professional service"))/N213),-((SUMIFS(SF_Output!$T$1:$T$400,SF_Output!$AC$1:$AC$400,_xlfn.TEXTJOIN(",",TRUE,$B213:$E213),SF_Output!$Q$1:$Q$400,"One Time",SF_Output!$L$1:$L$400,"professional service")/N213))))</f>
        <v/>
      </c>
      <c r="P213" s="6" t="str">
        <f t="shared" si="14"/>
        <v/>
      </c>
      <c r="R213" s="6" t="str">
        <f>IF(B213="","",SUMIFS(SF_Output!$S$1:$S$400,SF_Output!$AC$1:$AC$400,_xlfn.TEXTJOIN(",",TRUE,B213:E213),SF_Output!$Q$1:$Q$400,"yearly")+SUMIFS(SF_Output!$S$1:$S$400,SF_Output!$AC$1:$AC$400,_xlfn.TEXTJOIN(",",TRUE,B213:E213),SF_Output!$Q$1:$Q$400,"quarterly")*4)</f>
        <v/>
      </c>
      <c r="S213" s="112" t="str">
        <f>IF(OR(B213=0,B213="",G213="hardware",R213=0),"",IF(AF213&lt;&gt;"exclusion",MAX(S$9,-(SUMIFS(SF_Output!$T$1:$T$400,SF_Output!$AC$1:$AC$400,_xlfn.TEXTJOIN(",",TRUE,$B213:$E213),SF_Output!$Q$1:$Q$400,"yearly"))/R213),-((SUMIFS(SF_Output!$T$1:$T$400,SF_Output!$AC$1:$AC$400,_xlfn.TEXTJOIN(",",TRUE,$B213:$E213),SF_Output!$Q$1:$Q$400,"yearly")/R213))))</f>
        <v/>
      </c>
      <c r="T213" s="6" t="str">
        <f t="shared" si="15"/>
        <v/>
      </c>
      <c r="V213" s="6" t="str" cm="1">
        <f t="array" ref="V213">_xlfn.IFS(B213="","",AND(B213&lt;&gt;"",H213=SF_Output!$Y$2,SUMIFS(SF_Output!$T$1:$T$400,SF_Output!$AC$1:$AC$400,_xlfn.TEXTJOIN(",",TRUE,B213:E213),SF_Output!$Q$1:$Q$400,"monthly")=0),(SUMIFS(SF_Output!$F$1:$F$400,SF_Output!$AC$1:$AC$400,_xlfn.TEXTJOIN(",",TRUE,B213:E213),SF_Output!$Q$1:$Q$400,"monthly")+SUMIFS(SF_Output!$G$1:$G$400,SF_Output!$AC$1:$AC$400,_xlfn.TEXTJOIN(",",TRUE,B213:E213),SF_Output!$Q$1:$Q$400,"monthly"))*H213,AND(B213&lt;&gt;"",H213=SF_Output!$Y$2,SUMIFS(SF_Output!$T$1:$T$400,SF_Output!$AC$1:$AC$400,_xlfn.TEXTJOIN(",",TRUE,B213:E213),SF_Output!$Q$1:$Q$400,"monthly")&lt;&gt;0),SUMIFS(SF_Output!$S$1:$S$400,SF_Output!$AC$1:$AC$400,_xlfn.TEXTJOIN(",",TRUE,B213:E213),SF_Output!$Q$1:$Q$400,"monthly"),AND(B213&lt;&gt;"",H213&lt;&gt;SF_Output!$Y$2),SUMIFS(SF_Output!$S$1:$S$400,SF_Output!$AC$1:$AC$400,_xlfn.TEXTJOIN(",",TRUE,B213:E213),SF_Output!$Q$1:$Q$400,"monthly"))</f>
        <v/>
      </c>
      <c r="W213" s="112" t="str" cm="1">
        <f t="array" ref="W213">_xlfn.IFS(OR(B213=0,B213="",V213=0),"",AF213&lt;&gt;"exclusion",MAX($W$9,$W$7,(-(SUMIFS(SF_Output!$T$1:$T$400,SF_Output!$AC$1:$AC$400,_xlfn.TEXTJOIN(",",TRUE,$B213:$E213),SF_Output!$Q$1:$Q$400,"monthly"))/V213)),AF213="exclusion",-(SUMIFS(SF_Output!$T$1:$T$400,SF_Output!$AC$1:$AC$400,_xlfn.TEXTJOIN(",",TRUE,$B213:$E213),SF_Output!$Q$1:$Q$400,"monthly"))/V213)</f>
        <v/>
      </c>
      <c r="X213" s="6" t="str" cm="1">
        <f t="array" ref="X213">IFERROR(_xlfn.IFS(V213=0,0,V213="","",W213=0,V213,OR(V213&lt;&gt;0,V213&lt;&gt;""),H213*I213),V213*(1-W213))</f>
        <v/>
      </c>
    </row>
    <row r="214" spans="6:24" x14ac:dyDescent="0.25">
      <c r="F214" s="116" t="str">
        <f t="shared" si="12"/>
        <v/>
      </c>
      <c r="G214" t="str">
        <f>IF(B214="","",INDEX(SF_Output!$K$1:$K$400,MATCH(B214,SF_Output!$M$1:$M$400,0)))</f>
        <v/>
      </c>
      <c r="H214" t="str" cm="1">
        <f t="array" ref="H214">_xlfn.IFS(B214="","",(SUMIFS(SF_Output!$F$1:$F$400,SF_Output!$AC$1:$AC$400,_xlfn.TEXTJOIN(",",TRUE,B214:E214))+SUMIFS(SF_Output!$G$1:$G$400,SF_Output!$AC$1:$AC$400,_xlfn.TEXTJOIN(",",TRUE,B214:E214)))&lt;&gt;0,SF_Output!$Y$2,INDEX(SF_Output!$F$1:$F$400,MATCH(_xlfn.TEXTJOIN(",",TRUE,B214:E214),SF_Output!$AC$1:$AC$400,0))=0,INDEX(SF_Output!$R$1:$R$400,MATCH(_xlfn.TEXTJOIN(",",TRUE,B214:E214),SF_Output!$AC$1:$AC$400,0)))</f>
        <v/>
      </c>
      <c r="I214" s="125" t="str">
        <f>IFERROR(IF(AND(H214&gt;1,H214&lt;&gt;""),ROUND(SUMIFS(SF_Output!$S$1:$S$400,SF_Output!$AC$1:$AC$400,_xlfn.TEXTJOIN(",",TRUE,B214:E214),SF_Output!$Q$1:$Q$400,"monthly")*(1-W214)/H214,4),""),"")</f>
        <v/>
      </c>
      <c r="J214" s="6" t="str">
        <f>IF(B214="","",SUMIFS(SF_Output!$S$1:$S$400,SF_Output!$AC$1:$AC$400,_xlfn.TEXTJOIN(",",TRUE,B214:E214),SF_Output!$Q$1:$Q$400,"One Time",SF_Output!$L$1:$L$400,"license fee")+SUMIFS(SF_Output!$S$1:$S$400,SF_Output!$AC$1:$AC$400,_xlfn.TEXTJOIN(",",TRUE,B214:E214),SF_Output!$Q$1:$Q$400,"One Time",SF_Output!$L$1:$L$400,"software license")+SUMIFS(SF_Output!$S$1:$S$400,SF_Output!$AC$1:$AC$400,_xlfn.TEXTJOIN(",",TRUE,B214:E214),SF_Output!$Q$1:$Q$400,"One Time",SF_Output!$L$1:$L$400,"hardware"))</f>
        <v/>
      </c>
      <c r="K214" s="112" t="str">
        <f>IF(OR(B214=0,B214="",G214="hardware",J214=0),"",IF(AF214&lt;&gt;"exclusion",MAX(K$9,-((SUMIFS(SF_Output!$T$1:$T$400,SF_Output!$AC$1:$AC$400,_xlfn.TEXTJOIN(",",TRUE,$B214:$E214),SF_Output!$Q$1:$Q$400,"One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license"))/J214)))</f>
        <v/>
      </c>
      <c r="L214" s="6" t="str">
        <f t="shared" si="13"/>
        <v/>
      </c>
      <c r="N214" s="6" t="str">
        <f>IF(B214="","",SUMIFS(SF_Output!$S$1:$S$400,SF_Output!$AC$1:$AC$400,_xlfn.TEXTJOIN(",",TRUE,B214:E214),SF_Output!$Q$1:$Q$400,"One Time",SF_Output!$L$1:$L$400,"professional service"))</f>
        <v/>
      </c>
      <c r="O214" s="112" t="str">
        <f>IF(OR(B214=0,B214="",N214=0),"",IF(AF214&lt;&gt;"exclusion",MAX(O$9,-(SUMIFS(SF_Output!$T$1:$T$400,SF_Output!$AC$1:$AC$400,_xlfn.TEXTJOIN(",",TRUE,$B214:$E214),SF_Output!$Q$1:$Q$400,"One Time",SF_Output!$L$1:$L$400,"professional service"))/N214),-((SUMIFS(SF_Output!$T$1:$T$400,SF_Output!$AC$1:$AC$400,_xlfn.TEXTJOIN(",",TRUE,$B214:$E214),SF_Output!$Q$1:$Q$400,"One Time",SF_Output!$L$1:$L$400,"professional service")/N214))))</f>
        <v/>
      </c>
      <c r="P214" s="6" t="str">
        <f t="shared" si="14"/>
        <v/>
      </c>
      <c r="R214" s="6" t="str">
        <f>IF(B214="","",SUMIFS(SF_Output!$S$1:$S$400,SF_Output!$AC$1:$AC$400,_xlfn.TEXTJOIN(",",TRUE,B214:E214),SF_Output!$Q$1:$Q$400,"yearly")+SUMIFS(SF_Output!$S$1:$S$400,SF_Output!$AC$1:$AC$400,_xlfn.TEXTJOIN(",",TRUE,B214:E214),SF_Output!$Q$1:$Q$400,"quarterly")*4)</f>
        <v/>
      </c>
      <c r="S214" s="112" t="str">
        <f>IF(OR(B214=0,B214="",G214="hardware",R214=0),"",IF(AF214&lt;&gt;"exclusion",MAX(S$9,-(SUMIFS(SF_Output!$T$1:$T$400,SF_Output!$AC$1:$AC$400,_xlfn.TEXTJOIN(",",TRUE,$B214:$E214),SF_Output!$Q$1:$Q$400,"yearly"))/R214),-((SUMIFS(SF_Output!$T$1:$T$400,SF_Output!$AC$1:$AC$400,_xlfn.TEXTJOIN(",",TRUE,$B214:$E214),SF_Output!$Q$1:$Q$400,"yearly")/R214))))</f>
        <v/>
      </c>
      <c r="T214" s="6" t="str">
        <f t="shared" si="15"/>
        <v/>
      </c>
      <c r="V214" s="6" t="str" cm="1">
        <f t="array" ref="V214">_xlfn.IFS(B214="","",AND(B214&lt;&gt;"",H214=SF_Output!$Y$2,SUMIFS(SF_Output!$T$1:$T$400,SF_Output!$AC$1:$AC$400,_xlfn.TEXTJOIN(",",TRUE,B214:E214),SF_Output!$Q$1:$Q$400,"monthly")=0),(SUMIFS(SF_Output!$F$1:$F$400,SF_Output!$AC$1:$AC$400,_xlfn.TEXTJOIN(",",TRUE,B214:E214),SF_Output!$Q$1:$Q$400,"monthly")+SUMIFS(SF_Output!$G$1:$G$400,SF_Output!$AC$1:$AC$400,_xlfn.TEXTJOIN(",",TRUE,B214:E214),SF_Output!$Q$1:$Q$400,"monthly"))*H214,AND(B214&lt;&gt;"",H214=SF_Output!$Y$2,SUMIFS(SF_Output!$T$1:$T$400,SF_Output!$AC$1:$AC$400,_xlfn.TEXTJOIN(",",TRUE,B214:E214),SF_Output!$Q$1:$Q$400,"monthly")&lt;&gt;0),SUMIFS(SF_Output!$S$1:$S$400,SF_Output!$AC$1:$AC$400,_xlfn.TEXTJOIN(",",TRUE,B214:E214),SF_Output!$Q$1:$Q$400,"monthly"),AND(B214&lt;&gt;"",H214&lt;&gt;SF_Output!$Y$2),SUMIFS(SF_Output!$S$1:$S$400,SF_Output!$AC$1:$AC$400,_xlfn.TEXTJOIN(",",TRUE,B214:E214),SF_Output!$Q$1:$Q$400,"monthly"))</f>
        <v/>
      </c>
      <c r="W214" s="112" t="str" cm="1">
        <f t="array" ref="W214">_xlfn.IFS(OR(B214=0,B214="",V214=0),"",AF214&lt;&gt;"exclusion",MAX($W$9,$W$7,(-(SUMIFS(SF_Output!$T$1:$T$400,SF_Output!$AC$1:$AC$400,_xlfn.TEXTJOIN(",",TRUE,$B214:$E214),SF_Output!$Q$1:$Q$400,"monthly"))/V214)),AF214="exclusion",-(SUMIFS(SF_Output!$T$1:$T$400,SF_Output!$AC$1:$AC$400,_xlfn.TEXTJOIN(",",TRUE,$B214:$E214),SF_Output!$Q$1:$Q$400,"monthly"))/V214)</f>
        <v/>
      </c>
      <c r="X214" s="6" t="str" cm="1">
        <f t="array" ref="X214">IFERROR(_xlfn.IFS(V214=0,0,V214="","",W214=0,V214,OR(V214&lt;&gt;0,V214&lt;&gt;""),H214*I214),V214*(1-W214))</f>
        <v/>
      </c>
    </row>
    <row r="215" spans="6:24" x14ac:dyDescent="0.25">
      <c r="F215" s="116" t="str">
        <f t="shared" si="12"/>
        <v/>
      </c>
      <c r="G215" t="str">
        <f>IF(B215="","",INDEX(SF_Output!$K$1:$K$400,MATCH(B215,SF_Output!$M$1:$M$400,0)))</f>
        <v/>
      </c>
      <c r="H215" t="str" cm="1">
        <f t="array" ref="H215">_xlfn.IFS(B215="","",(SUMIFS(SF_Output!$F$1:$F$400,SF_Output!$AC$1:$AC$400,_xlfn.TEXTJOIN(",",TRUE,B215:E215))+SUMIFS(SF_Output!$G$1:$G$400,SF_Output!$AC$1:$AC$400,_xlfn.TEXTJOIN(",",TRUE,B215:E215)))&lt;&gt;0,SF_Output!$Y$2,INDEX(SF_Output!$F$1:$F$400,MATCH(_xlfn.TEXTJOIN(",",TRUE,B215:E215),SF_Output!$AC$1:$AC$400,0))=0,INDEX(SF_Output!$R$1:$R$400,MATCH(_xlfn.TEXTJOIN(",",TRUE,B215:E215),SF_Output!$AC$1:$AC$400,0)))</f>
        <v/>
      </c>
      <c r="I215" s="125" t="str">
        <f>IFERROR(IF(AND(H215&gt;1,H215&lt;&gt;""),ROUND(SUMIFS(SF_Output!$S$1:$S$400,SF_Output!$AC$1:$AC$400,_xlfn.TEXTJOIN(",",TRUE,B215:E215),SF_Output!$Q$1:$Q$400,"monthly")*(1-W215)/H215,4),""),"")</f>
        <v/>
      </c>
      <c r="J215" s="6" t="str">
        <f>IF(B215="","",SUMIFS(SF_Output!$S$1:$S$400,SF_Output!$AC$1:$AC$400,_xlfn.TEXTJOIN(",",TRUE,B215:E215),SF_Output!$Q$1:$Q$400,"One Time",SF_Output!$L$1:$L$400,"license fee")+SUMIFS(SF_Output!$S$1:$S$400,SF_Output!$AC$1:$AC$400,_xlfn.TEXTJOIN(",",TRUE,B215:E215),SF_Output!$Q$1:$Q$400,"One Time",SF_Output!$L$1:$L$400,"software license")+SUMIFS(SF_Output!$S$1:$S$400,SF_Output!$AC$1:$AC$400,_xlfn.TEXTJOIN(",",TRUE,B215:E215),SF_Output!$Q$1:$Q$400,"One Time",SF_Output!$L$1:$L$400,"hardware"))</f>
        <v/>
      </c>
      <c r="K215" s="112" t="str">
        <f>IF(OR(B215=0,B215="",G215="hardware",J215=0),"",IF(AF215&lt;&gt;"exclusion",MAX(K$9,-((SUMIFS(SF_Output!$T$1:$T$400,SF_Output!$AC$1:$AC$400,_xlfn.TEXTJOIN(",",TRUE,$B215:$E215),SF_Output!$Q$1:$Q$400,"One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license"))/J215)))</f>
        <v/>
      </c>
      <c r="L215" s="6" t="str">
        <f t="shared" si="13"/>
        <v/>
      </c>
      <c r="N215" s="6" t="str">
        <f>IF(B215="","",SUMIFS(SF_Output!$S$1:$S$400,SF_Output!$AC$1:$AC$400,_xlfn.TEXTJOIN(",",TRUE,B215:E215),SF_Output!$Q$1:$Q$400,"One Time",SF_Output!$L$1:$L$400,"professional service"))</f>
        <v/>
      </c>
      <c r="O215" s="112" t="str">
        <f>IF(OR(B215=0,B215="",N215=0),"",IF(AF215&lt;&gt;"exclusion",MAX(O$9,-(SUMIFS(SF_Output!$T$1:$T$400,SF_Output!$AC$1:$AC$400,_xlfn.TEXTJOIN(",",TRUE,$B215:$E215),SF_Output!$Q$1:$Q$400,"One Time",SF_Output!$L$1:$L$400,"professional service"))/N215),-((SUMIFS(SF_Output!$T$1:$T$400,SF_Output!$AC$1:$AC$400,_xlfn.TEXTJOIN(",",TRUE,$B215:$E215),SF_Output!$Q$1:$Q$400,"One Time",SF_Output!$L$1:$L$400,"professional service")/N215))))</f>
        <v/>
      </c>
      <c r="P215" s="6" t="str">
        <f t="shared" si="14"/>
        <v/>
      </c>
      <c r="R215" s="6" t="str">
        <f>IF(B215="","",SUMIFS(SF_Output!$S$1:$S$400,SF_Output!$AC$1:$AC$400,_xlfn.TEXTJOIN(",",TRUE,B215:E215),SF_Output!$Q$1:$Q$400,"yearly")+SUMIFS(SF_Output!$S$1:$S$400,SF_Output!$AC$1:$AC$400,_xlfn.TEXTJOIN(",",TRUE,B215:E215),SF_Output!$Q$1:$Q$400,"quarterly")*4)</f>
        <v/>
      </c>
      <c r="S215" s="112" t="str">
        <f>IF(OR(B215=0,B215="",G215="hardware",R215=0),"",IF(AF215&lt;&gt;"exclusion",MAX(S$9,-(SUMIFS(SF_Output!$T$1:$T$400,SF_Output!$AC$1:$AC$400,_xlfn.TEXTJOIN(",",TRUE,$B215:$E215),SF_Output!$Q$1:$Q$400,"yearly"))/R215),-((SUMIFS(SF_Output!$T$1:$T$400,SF_Output!$AC$1:$AC$400,_xlfn.TEXTJOIN(",",TRUE,$B215:$E215),SF_Output!$Q$1:$Q$400,"yearly")/R215))))</f>
        <v/>
      </c>
      <c r="T215" s="6" t="str">
        <f t="shared" si="15"/>
        <v/>
      </c>
      <c r="V215" s="6" t="str" cm="1">
        <f t="array" ref="V215">_xlfn.IFS(B215="","",AND(B215&lt;&gt;"",H215=SF_Output!$Y$2,SUMIFS(SF_Output!$T$1:$T$400,SF_Output!$AC$1:$AC$400,_xlfn.TEXTJOIN(",",TRUE,B215:E215),SF_Output!$Q$1:$Q$400,"monthly")=0),(SUMIFS(SF_Output!$F$1:$F$400,SF_Output!$AC$1:$AC$400,_xlfn.TEXTJOIN(",",TRUE,B215:E215),SF_Output!$Q$1:$Q$400,"monthly")+SUMIFS(SF_Output!$G$1:$G$400,SF_Output!$AC$1:$AC$400,_xlfn.TEXTJOIN(",",TRUE,B215:E215),SF_Output!$Q$1:$Q$400,"monthly"))*H215,AND(B215&lt;&gt;"",H215=SF_Output!$Y$2,SUMIFS(SF_Output!$T$1:$T$400,SF_Output!$AC$1:$AC$400,_xlfn.TEXTJOIN(",",TRUE,B215:E215),SF_Output!$Q$1:$Q$400,"monthly")&lt;&gt;0),SUMIFS(SF_Output!$S$1:$S$400,SF_Output!$AC$1:$AC$400,_xlfn.TEXTJOIN(",",TRUE,B215:E215),SF_Output!$Q$1:$Q$400,"monthly"),AND(B215&lt;&gt;"",H215&lt;&gt;SF_Output!$Y$2),SUMIFS(SF_Output!$S$1:$S$400,SF_Output!$AC$1:$AC$400,_xlfn.TEXTJOIN(",",TRUE,B215:E215),SF_Output!$Q$1:$Q$400,"monthly"))</f>
        <v/>
      </c>
      <c r="W215" s="112" t="str" cm="1">
        <f t="array" ref="W215">_xlfn.IFS(OR(B215=0,B215="",V215=0),"",AF215&lt;&gt;"exclusion",MAX($W$9,$W$7,(-(SUMIFS(SF_Output!$T$1:$T$400,SF_Output!$AC$1:$AC$400,_xlfn.TEXTJOIN(",",TRUE,$B215:$E215),SF_Output!$Q$1:$Q$400,"monthly"))/V215)),AF215="exclusion",-(SUMIFS(SF_Output!$T$1:$T$400,SF_Output!$AC$1:$AC$400,_xlfn.TEXTJOIN(",",TRUE,$B215:$E215),SF_Output!$Q$1:$Q$400,"monthly"))/V215)</f>
        <v/>
      </c>
      <c r="X215" s="6" t="str" cm="1">
        <f t="array" ref="X215">IFERROR(_xlfn.IFS(V215=0,0,V215="","",W215=0,V215,OR(V215&lt;&gt;0,V215&lt;&gt;""),H215*I215),V215*(1-W215))</f>
        <v/>
      </c>
    </row>
    <row r="216" spans="6:24" x14ac:dyDescent="0.25">
      <c r="F216" s="116" t="str">
        <f t="shared" si="12"/>
        <v/>
      </c>
      <c r="G216" t="str">
        <f>IF(B216="","",INDEX(SF_Output!$K$1:$K$400,MATCH(B216,SF_Output!$M$1:$M$400,0)))</f>
        <v/>
      </c>
      <c r="H216" t="str" cm="1">
        <f t="array" ref="H216">_xlfn.IFS(B216="","",(SUMIFS(SF_Output!$F$1:$F$400,SF_Output!$AC$1:$AC$400,_xlfn.TEXTJOIN(",",TRUE,B216:E216))+SUMIFS(SF_Output!$G$1:$G$400,SF_Output!$AC$1:$AC$400,_xlfn.TEXTJOIN(",",TRUE,B216:E216)))&lt;&gt;0,SF_Output!$Y$2,INDEX(SF_Output!$F$1:$F$400,MATCH(_xlfn.TEXTJOIN(",",TRUE,B216:E216),SF_Output!$AC$1:$AC$400,0))=0,INDEX(SF_Output!$R$1:$R$400,MATCH(_xlfn.TEXTJOIN(",",TRUE,B216:E216),SF_Output!$AC$1:$AC$400,0)))</f>
        <v/>
      </c>
      <c r="I216" s="125" t="str">
        <f>IFERROR(IF(AND(H216&gt;1,H216&lt;&gt;""),ROUND(SUMIFS(SF_Output!$S$1:$S$400,SF_Output!$AC$1:$AC$400,_xlfn.TEXTJOIN(",",TRUE,B216:E216),SF_Output!$Q$1:$Q$400,"monthly")*(1-W216)/H216,4),""),"")</f>
        <v/>
      </c>
      <c r="J216" s="6" t="str">
        <f>IF(B216="","",SUMIFS(SF_Output!$S$1:$S$400,SF_Output!$AC$1:$AC$400,_xlfn.TEXTJOIN(",",TRUE,B216:E216),SF_Output!$Q$1:$Q$400,"One Time",SF_Output!$L$1:$L$400,"license fee")+SUMIFS(SF_Output!$S$1:$S$400,SF_Output!$AC$1:$AC$400,_xlfn.TEXTJOIN(",",TRUE,B216:E216),SF_Output!$Q$1:$Q$400,"One Time",SF_Output!$L$1:$L$400,"software license")+SUMIFS(SF_Output!$S$1:$S$400,SF_Output!$AC$1:$AC$400,_xlfn.TEXTJOIN(",",TRUE,B216:E216),SF_Output!$Q$1:$Q$400,"One Time",SF_Output!$L$1:$L$400,"hardware"))</f>
        <v/>
      </c>
      <c r="K216" s="112" t="str">
        <f>IF(OR(B216=0,B216="",G216="hardware",J216=0),"",IF(AF216&lt;&gt;"exclusion",MAX(K$9,-((SUMIFS(SF_Output!$T$1:$T$400,SF_Output!$AC$1:$AC$400,_xlfn.TEXTJOIN(",",TRUE,$B216:$E216),SF_Output!$Q$1:$Q$400,"One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license"))/J216)))</f>
        <v/>
      </c>
      <c r="L216" s="6" t="str">
        <f t="shared" si="13"/>
        <v/>
      </c>
      <c r="N216" s="6" t="str">
        <f>IF(B216="","",SUMIFS(SF_Output!$S$1:$S$400,SF_Output!$AC$1:$AC$400,_xlfn.TEXTJOIN(",",TRUE,B216:E216),SF_Output!$Q$1:$Q$400,"One Time",SF_Output!$L$1:$L$400,"professional service"))</f>
        <v/>
      </c>
      <c r="O216" s="112" t="str">
        <f>IF(OR(B216=0,B216="",N216=0),"",IF(AF216&lt;&gt;"exclusion",MAX(O$9,-(SUMIFS(SF_Output!$T$1:$T$400,SF_Output!$AC$1:$AC$400,_xlfn.TEXTJOIN(",",TRUE,$B216:$E216),SF_Output!$Q$1:$Q$400,"One Time",SF_Output!$L$1:$L$400,"professional service"))/N216),-((SUMIFS(SF_Output!$T$1:$T$400,SF_Output!$AC$1:$AC$400,_xlfn.TEXTJOIN(",",TRUE,$B216:$E216),SF_Output!$Q$1:$Q$400,"One Time",SF_Output!$L$1:$L$400,"professional service")/N216))))</f>
        <v/>
      </c>
      <c r="P216" s="6" t="str">
        <f t="shared" si="14"/>
        <v/>
      </c>
      <c r="R216" s="6" t="str">
        <f>IF(B216="","",SUMIFS(SF_Output!$S$1:$S$400,SF_Output!$AC$1:$AC$400,_xlfn.TEXTJOIN(",",TRUE,B216:E216),SF_Output!$Q$1:$Q$400,"yearly")+SUMIFS(SF_Output!$S$1:$S$400,SF_Output!$AC$1:$AC$400,_xlfn.TEXTJOIN(",",TRUE,B216:E216),SF_Output!$Q$1:$Q$400,"quarterly")*4)</f>
        <v/>
      </c>
      <c r="S216" s="112" t="str">
        <f>IF(OR(B216=0,B216="",G216="hardware",R216=0),"",IF(AF216&lt;&gt;"exclusion",MAX(S$9,-(SUMIFS(SF_Output!$T$1:$T$400,SF_Output!$AC$1:$AC$400,_xlfn.TEXTJOIN(",",TRUE,$B216:$E216),SF_Output!$Q$1:$Q$400,"yearly"))/R216),-((SUMIFS(SF_Output!$T$1:$T$400,SF_Output!$AC$1:$AC$400,_xlfn.TEXTJOIN(",",TRUE,$B216:$E216),SF_Output!$Q$1:$Q$400,"yearly")/R216))))</f>
        <v/>
      </c>
      <c r="T216" s="6" t="str">
        <f t="shared" si="15"/>
        <v/>
      </c>
      <c r="V216" s="6" t="str" cm="1">
        <f t="array" ref="V216">_xlfn.IFS(B216="","",AND(B216&lt;&gt;"",H216=SF_Output!$Y$2,SUMIFS(SF_Output!$T$1:$T$400,SF_Output!$AC$1:$AC$400,_xlfn.TEXTJOIN(",",TRUE,B216:E216),SF_Output!$Q$1:$Q$400,"monthly")=0),(SUMIFS(SF_Output!$F$1:$F$400,SF_Output!$AC$1:$AC$400,_xlfn.TEXTJOIN(",",TRUE,B216:E216),SF_Output!$Q$1:$Q$400,"monthly")+SUMIFS(SF_Output!$G$1:$G$400,SF_Output!$AC$1:$AC$400,_xlfn.TEXTJOIN(",",TRUE,B216:E216),SF_Output!$Q$1:$Q$400,"monthly"))*H216,AND(B216&lt;&gt;"",H216=SF_Output!$Y$2,SUMIFS(SF_Output!$T$1:$T$400,SF_Output!$AC$1:$AC$400,_xlfn.TEXTJOIN(",",TRUE,B216:E216),SF_Output!$Q$1:$Q$400,"monthly")&lt;&gt;0),SUMIFS(SF_Output!$S$1:$S$400,SF_Output!$AC$1:$AC$400,_xlfn.TEXTJOIN(",",TRUE,B216:E216),SF_Output!$Q$1:$Q$400,"monthly"),AND(B216&lt;&gt;"",H216&lt;&gt;SF_Output!$Y$2),SUMIFS(SF_Output!$S$1:$S$400,SF_Output!$AC$1:$AC$400,_xlfn.TEXTJOIN(",",TRUE,B216:E216),SF_Output!$Q$1:$Q$400,"monthly"))</f>
        <v/>
      </c>
      <c r="W216" s="112" t="str" cm="1">
        <f t="array" ref="W216">_xlfn.IFS(OR(B216=0,B216="",V216=0),"",AF216&lt;&gt;"exclusion",MAX($W$9,$W$7,(-(SUMIFS(SF_Output!$T$1:$T$400,SF_Output!$AC$1:$AC$400,_xlfn.TEXTJOIN(",",TRUE,$B216:$E216),SF_Output!$Q$1:$Q$400,"monthly"))/V216)),AF216="exclusion",-(SUMIFS(SF_Output!$T$1:$T$400,SF_Output!$AC$1:$AC$400,_xlfn.TEXTJOIN(",",TRUE,$B216:$E216),SF_Output!$Q$1:$Q$400,"monthly"))/V216)</f>
        <v/>
      </c>
      <c r="X216" s="6" t="str" cm="1">
        <f t="array" ref="X216">IFERROR(_xlfn.IFS(V216=0,0,V216="","",W216=0,V216,OR(V216&lt;&gt;0,V216&lt;&gt;""),H216*I216),V216*(1-W216))</f>
        <v/>
      </c>
    </row>
    <row r="217" spans="6:24" x14ac:dyDescent="0.25">
      <c r="F217" s="116" t="str">
        <f t="shared" si="12"/>
        <v/>
      </c>
      <c r="G217" t="str">
        <f>IF(B217="","",INDEX(SF_Output!$K$1:$K$400,MATCH(B217,SF_Output!$M$1:$M$400,0)))</f>
        <v/>
      </c>
      <c r="H217" t="str" cm="1">
        <f t="array" ref="H217">_xlfn.IFS(B217="","",(SUMIFS(SF_Output!$F$1:$F$400,SF_Output!$AC$1:$AC$400,_xlfn.TEXTJOIN(",",TRUE,B217:E217))+SUMIFS(SF_Output!$G$1:$G$400,SF_Output!$AC$1:$AC$400,_xlfn.TEXTJOIN(",",TRUE,B217:E217)))&lt;&gt;0,SF_Output!$Y$2,INDEX(SF_Output!$F$1:$F$400,MATCH(_xlfn.TEXTJOIN(",",TRUE,B217:E217),SF_Output!$AC$1:$AC$400,0))=0,INDEX(SF_Output!$R$1:$R$400,MATCH(_xlfn.TEXTJOIN(",",TRUE,B217:E217),SF_Output!$AC$1:$AC$400,0)))</f>
        <v/>
      </c>
      <c r="I217" s="125" t="str">
        <f>IFERROR(IF(AND(H217&gt;1,H217&lt;&gt;""),ROUND(SUMIFS(SF_Output!$S$1:$S$400,SF_Output!$AC$1:$AC$400,_xlfn.TEXTJOIN(",",TRUE,B217:E217),SF_Output!$Q$1:$Q$400,"monthly")*(1-W217)/H217,4),""),"")</f>
        <v/>
      </c>
      <c r="J217" s="6" t="str">
        <f>IF(B217="","",SUMIFS(SF_Output!$S$1:$S$400,SF_Output!$AC$1:$AC$400,_xlfn.TEXTJOIN(",",TRUE,B217:E217),SF_Output!$Q$1:$Q$400,"One Time",SF_Output!$L$1:$L$400,"license fee")+SUMIFS(SF_Output!$S$1:$S$400,SF_Output!$AC$1:$AC$400,_xlfn.TEXTJOIN(",",TRUE,B217:E217),SF_Output!$Q$1:$Q$400,"One Time",SF_Output!$L$1:$L$400,"software license")+SUMIFS(SF_Output!$S$1:$S$400,SF_Output!$AC$1:$AC$400,_xlfn.TEXTJOIN(",",TRUE,B217:E217),SF_Output!$Q$1:$Q$400,"One Time",SF_Output!$L$1:$L$400,"hardware"))</f>
        <v/>
      </c>
      <c r="K217" s="112" t="str">
        <f>IF(OR(B217=0,B217="",G217="hardware",J217=0),"",IF(AF217&lt;&gt;"exclusion",MAX(K$9,-((SUMIFS(SF_Output!$T$1:$T$400,SF_Output!$AC$1:$AC$400,_xlfn.TEXTJOIN(",",TRUE,$B217:$E217),SF_Output!$Q$1:$Q$400,"One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license"))/J217)))</f>
        <v/>
      </c>
      <c r="L217" s="6" t="str">
        <f t="shared" si="13"/>
        <v/>
      </c>
      <c r="N217" s="6" t="str">
        <f>IF(B217="","",SUMIFS(SF_Output!$S$1:$S$400,SF_Output!$AC$1:$AC$400,_xlfn.TEXTJOIN(",",TRUE,B217:E217),SF_Output!$Q$1:$Q$400,"One Time",SF_Output!$L$1:$L$400,"professional service"))</f>
        <v/>
      </c>
      <c r="O217" s="112" t="str">
        <f>IF(OR(B217=0,B217="",N217=0),"",IF(AF217&lt;&gt;"exclusion",MAX(O$9,-(SUMIFS(SF_Output!$T$1:$T$400,SF_Output!$AC$1:$AC$400,_xlfn.TEXTJOIN(",",TRUE,$B217:$E217),SF_Output!$Q$1:$Q$400,"One Time",SF_Output!$L$1:$L$400,"professional service"))/N217),-((SUMIFS(SF_Output!$T$1:$T$400,SF_Output!$AC$1:$AC$400,_xlfn.TEXTJOIN(",",TRUE,$B217:$E217),SF_Output!$Q$1:$Q$400,"One Time",SF_Output!$L$1:$L$400,"professional service")/N217))))</f>
        <v/>
      </c>
      <c r="P217" s="6" t="str">
        <f t="shared" si="14"/>
        <v/>
      </c>
      <c r="R217" s="6" t="str">
        <f>IF(B217="","",SUMIFS(SF_Output!$S$1:$S$400,SF_Output!$AC$1:$AC$400,_xlfn.TEXTJOIN(",",TRUE,B217:E217),SF_Output!$Q$1:$Q$400,"yearly")+SUMIFS(SF_Output!$S$1:$S$400,SF_Output!$AC$1:$AC$400,_xlfn.TEXTJOIN(",",TRUE,B217:E217),SF_Output!$Q$1:$Q$400,"quarterly")*4)</f>
        <v/>
      </c>
      <c r="S217" s="112" t="str">
        <f>IF(OR(B217=0,B217="",G217="hardware",R217=0),"",IF(AF217&lt;&gt;"exclusion",MAX(S$9,-(SUMIFS(SF_Output!$T$1:$T$400,SF_Output!$AC$1:$AC$400,_xlfn.TEXTJOIN(",",TRUE,$B217:$E217),SF_Output!$Q$1:$Q$400,"yearly"))/R217),-((SUMIFS(SF_Output!$T$1:$T$400,SF_Output!$AC$1:$AC$400,_xlfn.TEXTJOIN(",",TRUE,$B217:$E217),SF_Output!$Q$1:$Q$400,"yearly")/R217))))</f>
        <v/>
      </c>
      <c r="T217" s="6" t="str">
        <f t="shared" si="15"/>
        <v/>
      </c>
      <c r="V217" s="6" t="str" cm="1">
        <f t="array" ref="V217">_xlfn.IFS(B217="","",AND(B217&lt;&gt;"",H217=SF_Output!$Y$2,SUMIFS(SF_Output!$T$1:$T$400,SF_Output!$AC$1:$AC$400,_xlfn.TEXTJOIN(",",TRUE,B217:E217),SF_Output!$Q$1:$Q$400,"monthly")=0),(SUMIFS(SF_Output!$F$1:$F$400,SF_Output!$AC$1:$AC$400,_xlfn.TEXTJOIN(",",TRUE,B217:E217),SF_Output!$Q$1:$Q$400,"monthly")+SUMIFS(SF_Output!$G$1:$G$400,SF_Output!$AC$1:$AC$400,_xlfn.TEXTJOIN(",",TRUE,B217:E217),SF_Output!$Q$1:$Q$400,"monthly"))*H217,AND(B217&lt;&gt;"",H217=SF_Output!$Y$2,SUMIFS(SF_Output!$T$1:$T$400,SF_Output!$AC$1:$AC$400,_xlfn.TEXTJOIN(",",TRUE,B217:E217),SF_Output!$Q$1:$Q$400,"monthly")&lt;&gt;0),SUMIFS(SF_Output!$S$1:$S$400,SF_Output!$AC$1:$AC$400,_xlfn.TEXTJOIN(",",TRUE,B217:E217),SF_Output!$Q$1:$Q$400,"monthly"),AND(B217&lt;&gt;"",H217&lt;&gt;SF_Output!$Y$2),SUMIFS(SF_Output!$S$1:$S$400,SF_Output!$AC$1:$AC$400,_xlfn.TEXTJOIN(",",TRUE,B217:E217),SF_Output!$Q$1:$Q$400,"monthly"))</f>
        <v/>
      </c>
      <c r="W217" s="112" t="str" cm="1">
        <f t="array" ref="W217">_xlfn.IFS(OR(B217=0,B217="",V217=0),"",AF217&lt;&gt;"exclusion",MAX($W$9,$W$7,(-(SUMIFS(SF_Output!$T$1:$T$400,SF_Output!$AC$1:$AC$400,_xlfn.TEXTJOIN(",",TRUE,$B217:$E217),SF_Output!$Q$1:$Q$400,"monthly"))/V217)),AF217="exclusion",-(SUMIFS(SF_Output!$T$1:$T$400,SF_Output!$AC$1:$AC$400,_xlfn.TEXTJOIN(",",TRUE,$B217:$E217),SF_Output!$Q$1:$Q$400,"monthly"))/V217)</f>
        <v/>
      </c>
      <c r="X217" s="6" t="str" cm="1">
        <f t="array" ref="X217">IFERROR(_xlfn.IFS(V217=0,0,V217="","",W217=0,V217,OR(V217&lt;&gt;0,V217&lt;&gt;""),H217*I217),V217*(1-W217))</f>
        <v/>
      </c>
    </row>
    <row r="218" spans="6:24" x14ac:dyDescent="0.25">
      <c r="F218" s="116" t="str">
        <f t="shared" si="12"/>
        <v/>
      </c>
      <c r="G218" t="str">
        <f>IF(B218="","",INDEX(SF_Output!$K$1:$K$400,MATCH(B218,SF_Output!$M$1:$M$400,0)))</f>
        <v/>
      </c>
      <c r="H218" t="str" cm="1">
        <f t="array" ref="H218">_xlfn.IFS(B218="","",(SUMIFS(SF_Output!$F$1:$F$400,SF_Output!$AC$1:$AC$400,_xlfn.TEXTJOIN(",",TRUE,B218:E218))+SUMIFS(SF_Output!$G$1:$G$400,SF_Output!$AC$1:$AC$400,_xlfn.TEXTJOIN(",",TRUE,B218:E218)))&lt;&gt;0,SF_Output!$Y$2,INDEX(SF_Output!$F$1:$F$400,MATCH(_xlfn.TEXTJOIN(",",TRUE,B218:E218),SF_Output!$AC$1:$AC$400,0))=0,INDEX(SF_Output!$R$1:$R$400,MATCH(_xlfn.TEXTJOIN(",",TRUE,B218:E218),SF_Output!$AC$1:$AC$400,0)))</f>
        <v/>
      </c>
      <c r="I218" s="125" t="str">
        <f>IFERROR(IF(AND(H218&gt;1,H218&lt;&gt;""),ROUND(SUMIFS(SF_Output!$S$1:$S$400,SF_Output!$AC$1:$AC$400,_xlfn.TEXTJOIN(",",TRUE,B218:E218),SF_Output!$Q$1:$Q$400,"monthly")*(1-W218)/H218,4),""),"")</f>
        <v/>
      </c>
      <c r="J218" s="6" t="str">
        <f>IF(B218="","",SUMIFS(SF_Output!$S$1:$S$400,SF_Output!$AC$1:$AC$400,_xlfn.TEXTJOIN(",",TRUE,B218:E218),SF_Output!$Q$1:$Q$400,"One Time",SF_Output!$L$1:$L$400,"license fee")+SUMIFS(SF_Output!$S$1:$S$400,SF_Output!$AC$1:$AC$400,_xlfn.TEXTJOIN(",",TRUE,B218:E218),SF_Output!$Q$1:$Q$400,"One Time",SF_Output!$L$1:$L$400,"software license")+SUMIFS(SF_Output!$S$1:$S$400,SF_Output!$AC$1:$AC$400,_xlfn.TEXTJOIN(",",TRUE,B218:E218),SF_Output!$Q$1:$Q$400,"One Time",SF_Output!$L$1:$L$400,"hardware"))</f>
        <v/>
      </c>
      <c r="K218" s="112" t="str">
        <f>IF(OR(B218=0,B218="",G218="hardware",J218=0),"",IF(AF218&lt;&gt;"exclusion",MAX(K$9,-((SUMIFS(SF_Output!$T$1:$T$400,SF_Output!$AC$1:$AC$400,_xlfn.TEXTJOIN(",",TRUE,$B218:$E218),SF_Output!$Q$1:$Q$400,"One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license"))/J218)))</f>
        <v/>
      </c>
      <c r="L218" s="6" t="str">
        <f t="shared" si="13"/>
        <v/>
      </c>
      <c r="N218" s="6" t="str">
        <f>IF(B218="","",SUMIFS(SF_Output!$S$1:$S$400,SF_Output!$AC$1:$AC$400,_xlfn.TEXTJOIN(",",TRUE,B218:E218),SF_Output!$Q$1:$Q$400,"One Time",SF_Output!$L$1:$L$400,"professional service"))</f>
        <v/>
      </c>
      <c r="O218" s="112" t="str">
        <f>IF(OR(B218=0,B218="",N218=0),"",IF(AF218&lt;&gt;"exclusion",MAX(O$9,-(SUMIFS(SF_Output!$T$1:$T$400,SF_Output!$AC$1:$AC$400,_xlfn.TEXTJOIN(",",TRUE,$B218:$E218),SF_Output!$Q$1:$Q$400,"One Time",SF_Output!$L$1:$L$400,"professional service"))/N218),-((SUMIFS(SF_Output!$T$1:$T$400,SF_Output!$AC$1:$AC$400,_xlfn.TEXTJOIN(",",TRUE,$B218:$E218),SF_Output!$Q$1:$Q$400,"One Time",SF_Output!$L$1:$L$400,"professional service")/N218))))</f>
        <v/>
      </c>
      <c r="P218" s="6" t="str">
        <f t="shared" si="14"/>
        <v/>
      </c>
      <c r="R218" s="6" t="str">
        <f>IF(B218="","",SUMIFS(SF_Output!$S$1:$S$400,SF_Output!$AC$1:$AC$400,_xlfn.TEXTJOIN(",",TRUE,B218:E218),SF_Output!$Q$1:$Q$400,"yearly")+SUMIFS(SF_Output!$S$1:$S$400,SF_Output!$AC$1:$AC$400,_xlfn.TEXTJOIN(",",TRUE,B218:E218),SF_Output!$Q$1:$Q$400,"quarterly")*4)</f>
        <v/>
      </c>
      <c r="S218" s="112" t="str">
        <f>IF(OR(B218=0,B218="",G218="hardware",R218=0),"",IF(AF218&lt;&gt;"exclusion",MAX(S$9,-(SUMIFS(SF_Output!$T$1:$T$400,SF_Output!$AC$1:$AC$400,_xlfn.TEXTJOIN(",",TRUE,$B218:$E218),SF_Output!$Q$1:$Q$400,"yearly"))/R218),-((SUMIFS(SF_Output!$T$1:$T$400,SF_Output!$AC$1:$AC$400,_xlfn.TEXTJOIN(",",TRUE,$B218:$E218),SF_Output!$Q$1:$Q$400,"yearly")/R218))))</f>
        <v/>
      </c>
      <c r="T218" s="6" t="str">
        <f t="shared" si="15"/>
        <v/>
      </c>
      <c r="V218" s="6" t="str" cm="1">
        <f t="array" ref="V218">_xlfn.IFS(B218="","",AND(B218&lt;&gt;"",H218=SF_Output!$Y$2,SUMIFS(SF_Output!$T$1:$T$400,SF_Output!$AC$1:$AC$400,_xlfn.TEXTJOIN(",",TRUE,B218:E218),SF_Output!$Q$1:$Q$400,"monthly")=0),(SUMIFS(SF_Output!$F$1:$F$400,SF_Output!$AC$1:$AC$400,_xlfn.TEXTJOIN(",",TRUE,B218:E218),SF_Output!$Q$1:$Q$400,"monthly")+SUMIFS(SF_Output!$G$1:$G$400,SF_Output!$AC$1:$AC$400,_xlfn.TEXTJOIN(",",TRUE,B218:E218),SF_Output!$Q$1:$Q$400,"monthly"))*H218,AND(B218&lt;&gt;"",H218=SF_Output!$Y$2,SUMIFS(SF_Output!$T$1:$T$400,SF_Output!$AC$1:$AC$400,_xlfn.TEXTJOIN(",",TRUE,B218:E218),SF_Output!$Q$1:$Q$400,"monthly")&lt;&gt;0),SUMIFS(SF_Output!$S$1:$S$400,SF_Output!$AC$1:$AC$400,_xlfn.TEXTJOIN(",",TRUE,B218:E218),SF_Output!$Q$1:$Q$400,"monthly"),AND(B218&lt;&gt;"",H218&lt;&gt;SF_Output!$Y$2),SUMIFS(SF_Output!$S$1:$S$400,SF_Output!$AC$1:$AC$400,_xlfn.TEXTJOIN(",",TRUE,B218:E218),SF_Output!$Q$1:$Q$400,"monthly"))</f>
        <v/>
      </c>
      <c r="W218" s="112" t="str" cm="1">
        <f t="array" ref="W218">_xlfn.IFS(OR(B218=0,B218="",V218=0),"",AF218&lt;&gt;"exclusion",MAX($W$9,$W$7,(-(SUMIFS(SF_Output!$T$1:$T$400,SF_Output!$AC$1:$AC$400,_xlfn.TEXTJOIN(",",TRUE,$B218:$E218),SF_Output!$Q$1:$Q$400,"monthly"))/V218)),AF218="exclusion",-(SUMIFS(SF_Output!$T$1:$T$400,SF_Output!$AC$1:$AC$400,_xlfn.TEXTJOIN(",",TRUE,$B218:$E218),SF_Output!$Q$1:$Q$400,"monthly"))/V218)</f>
        <v/>
      </c>
      <c r="X218" s="6" t="str" cm="1">
        <f t="array" ref="X218">IFERROR(_xlfn.IFS(V218=0,0,V218="","",W218=0,V218,OR(V218&lt;&gt;0,V218&lt;&gt;""),H218*I218),V218*(1-W218))</f>
        <v/>
      </c>
    </row>
    <row r="219" spans="6:24" x14ac:dyDescent="0.25">
      <c r="F219" s="116" t="str">
        <f t="shared" si="12"/>
        <v/>
      </c>
      <c r="G219" t="str">
        <f>IF(B219="","",INDEX(SF_Output!$K$1:$K$400,MATCH(B219,SF_Output!$M$1:$M$400,0)))</f>
        <v/>
      </c>
      <c r="H219" t="str" cm="1">
        <f t="array" ref="H219">_xlfn.IFS(B219="","",(SUMIFS(SF_Output!$F$1:$F$400,SF_Output!$AC$1:$AC$400,_xlfn.TEXTJOIN(",",TRUE,B219:E219))+SUMIFS(SF_Output!$G$1:$G$400,SF_Output!$AC$1:$AC$400,_xlfn.TEXTJOIN(",",TRUE,B219:E219)))&lt;&gt;0,SF_Output!$Y$2,INDEX(SF_Output!$F$1:$F$400,MATCH(_xlfn.TEXTJOIN(",",TRUE,B219:E219),SF_Output!$AC$1:$AC$400,0))=0,INDEX(SF_Output!$R$1:$R$400,MATCH(_xlfn.TEXTJOIN(",",TRUE,B219:E219),SF_Output!$AC$1:$AC$400,0)))</f>
        <v/>
      </c>
      <c r="I219" s="125" t="str">
        <f>IFERROR(IF(AND(H219&gt;1,H219&lt;&gt;""),ROUND(SUMIFS(SF_Output!$S$1:$S$400,SF_Output!$AC$1:$AC$400,_xlfn.TEXTJOIN(",",TRUE,B219:E219),SF_Output!$Q$1:$Q$400,"monthly")*(1-W219)/H219,4),""),"")</f>
        <v/>
      </c>
      <c r="J219" s="6" t="str">
        <f>IF(B219="","",SUMIFS(SF_Output!$S$1:$S$400,SF_Output!$AC$1:$AC$400,_xlfn.TEXTJOIN(",",TRUE,B219:E219),SF_Output!$Q$1:$Q$400,"One Time",SF_Output!$L$1:$L$400,"license fee")+SUMIFS(SF_Output!$S$1:$S$400,SF_Output!$AC$1:$AC$400,_xlfn.TEXTJOIN(",",TRUE,B219:E219),SF_Output!$Q$1:$Q$400,"One Time",SF_Output!$L$1:$L$400,"software license")+SUMIFS(SF_Output!$S$1:$S$400,SF_Output!$AC$1:$AC$400,_xlfn.TEXTJOIN(",",TRUE,B219:E219),SF_Output!$Q$1:$Q$400,"One Time",SF_Output!$L$1:$L$400,"hardware"))</f>
        <v/>
      </c>
      <c r="K219" s="112" t="str">
        <f>IF(OR(B219=0,B219="",G219="hardware",J219=0),"",IF(AF219&lt;&gt;"exclusion",MAX(K$9,-((SUMIFS(SF_Output!$T$1:$T$400,SF_Output!$AC$1:$AC$400,_xlfn.TEXTJOIN(",",TRUE,$B219:$E219),SF_Output!$Q$1:$Q$400,"One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license"))/J219)))</f>
        <v/>
      </c>
      <c r="L219" s="6" t="str">
        <f t="shared" si="13"/>
        <v/>
      </c>
      <c r="N219" s="6" t="str">
        <f>IF(B219="","",SUMIFS(SF_Output!$S$1:$S$400,SF_Output!$AC$1:$AC$400,_xlfn.TEXTJOIN(",",TRUE,B219:E219),SF_Output!$Q$1:$Q$400,"One Time",SF_Output!$L$1:$L$400,"professional service"))</f>
        <v/>
      </c>
      <c r="O219" s="112" t="str">
        <f>IF(OR(B219=0,B219="",N219=0),"",IF(AF219&lt;&gt;"exclusion",MAX(O$9,-(SUMIFS(SF_Output!$T$1:$T$400,SF_Output!$AC$1:$AC$400,_xlfn.TEXTJOIN(",",TRUE,$B219:$E219),SF_Output!$Q$1:$Q$400,"One Time",SF_Output!$L$1:$L$400,"professional service"))/N219),-((SUMIFS(SF_Output!$T$1:$T$400,SF_Output!$AC$1:$AC$400,_xlfn.TEXTJOIN(",",TRUE,$B219:$E219),SF_Output!$Q$1:$Q$400,"One Time",SF_Output!$L$1:$L$400,"professional service")/N219))))</f>
        <v/>
      </c>
      <c r="P219" s="6" t="str">
        <f t="shared" si="14"/>
        <v/>
      </c>
      <c r="R219" s="6" t="str">
        <f>IF(B219="","",SUMIFS(SF_Output!$S$1:$S$400,SF_Output!$AC$1:$AC$400,_xlfn.TEXTJOIN(",",TRUE,B219:E219),SF_Output!$Q$1:$Q$400,"yearly")+SUMIFS(SF_Output!$S$1:$S$400,SF_Output!$AC$1:$AC$400,_xlfn.TEXTJOIN(",",TRUE,B219:E219),SF_Output!$Q$1:$Q$400,"quarterly")*4)</f>
        <v/>
      </c>
      <c r="S219" s="112" t="str">
        <f>IF(OR(B219=0,B219="",G219="hardware",R219=0),"",IF(AF219&lt;&gt;"exclusion",MAX(S$9,-(SUMIFS(SF_Output!$T$1:$T$400,SF_Output!$AC$1:$AC$400,_xlfn.TEXTJOIN(",",TRUE,$B219:$E219),SF_Output!$Q$1:$Q$400,"yearly"))/R219),-((SUMIFS(SF_Output!$T$1:$T$400,SF_Output!$AC$1:$AC$400,_xlfn.TEXTJOIN(",",TRUE,$B219:$E219),SF_Output!$Q$1:$Q$400,"yearly")/R219))))</f>
        <v/>
      </c>
      <c r="T219" s="6" t="str">
        <f t="shared" si="15"/>
        <v/>
      </c>
      <c r="V219" s="6" t="str" cm="1">
        <f t="array" ref="V219">_xlfn.IFS(B219="","",AND(B219&lt;&gt;"",H219=SF_Output!$Y$2,SUMIFS(SF_Output!$T$1:$T$400,SF_Output!$AC$1:$AC$400,_xlfn.TEXTJOIN(",",TRUE,B219:E219),SF_Output!$Q$1:$Q$400,"monthly")=0),(SUMIFS(SF_Output!$F$1:$F$400,SF_Output!$AC$1:$AC$400,_xlfn.TEXTJOIN(",",TRUE,B219:E219),SF_Output!$Q$1:$Q$400,"monthly")+SUMIFS(SF_Output!$G$1:$G$400,SF_Output!$AC$1:$AC$400,_xlfn.TEXTJOIN(",",TRUE,B219:E219),SF_Output!$Q$1:$Q$400,"monthly"))*H219,AND(B219&lt;&gt;"",H219=SF_Output!$Y$2,SUMIFS(SF_Output!$T$1:$T$400,SF_Output!$AC$1:$AC$400,_xlfn.TEXTJOIN(",",TRUE,B219:E219),SF_Output!$Q$1:$Q$400,"monthly")&lt;&gt;0),SUMIFS(SF_Output!$S$1:$S$400,SF_Output!$AC$1:$AC$400,_xlfn.TEXTJOIN(",",TRUE,B219:E219),SF_Output!$Q$1:$Q$400,"monthly"),AND(B219&lt;&gt;"",H219&lt;&gt;SF_Output!$Y$2),SUMIFS(SF_Output!$S$1:$S$400,SF_Output!$AC$1:$AC$400,_xlfn.TEXTJOIN(",",TRUE,B219:E219),SF_Output!$Q$1:$Q$400,"monthly"))</f>
        <v/>
      </c>
      <c r="W219" s="112" t="str" cm="1">
        <f t="array" ref="W219">_xlfn.IFS(OR(B219=0,B219="",V219=0),"",AF219&lt;&gt;"exclusion",MAX($W$9,$W$7,(-(SUMIFS(SF_Output!$T$1:$T$400,SF_Output!$AC$1:$AC$400,_xlfn.TEXTJOIN(",",TRUE,$B219:$E219),SF_Output!$Q$1:$Q$400,"monthly"))/V219)),AF219="exclusion",-(SUMIFS(SF_Output!$T$1:$T$400,SF_Output!$AC$1:$AC$400,_xlfn.TEXTJOIN(",",TRUE,$B219:$E219),SF_Output!$Q$1:$Q$400,"monthly"))/V219)</f>
        <v/>
      </c>
      <c r="X219" s="6" t="str" cm="1">
        <f t="array" ref="X219">IFERROR(_xlfn.IFS(V219=0,0,V219="","",W219=0,V219,OR(V219&lt;&gt;0,V219&lt;&gt;""),H219*I219),V219*(1-W219))</f>
        <v/>
      </c>
    </row>
    <row r="220" spans="6:24" x14ac:dyDescent="0.25">
      <c r="F220" s="116" t="str">
        <f t="shared" si="12"/>
        <v/>
      </c>
      <c r="G220" t="str">
        <f>IF(B220="","",INDEX(SF_Output!$K$1:$K$400,MATCH(B220,SF_Output!$M$1:$M$400,0)))</f>
        <v/>
      </c>
      <c r="H220" t="str" cm="1">
        <f t="array" ref="H220">_xlfn.IFS(B220="","",(SUMIFS(SF_Output!$F$1:$F$400,SF_Output!$AC$1:$AC$400,_xlfn.TEXTJOIN(",",TRUE,B220:E220))+SUMIFS(SF_Output!$G$1:$G$400,SF_Output!$AC$1:$AC$400,_xlfn.TEXTJOIN(",",TRUE,B220:E220)))&lt;&gt;0,SF_Output!$Y$2,INDEX(SF_Output!$F$1:$F$400,MATCH(_xlfn.TEXTJOIN(",",TRUE,B220:E220),SF_Output!$AC$1:$AC$400,0))=0,INDEX(SF_Output!$R$1:$R$400,MATCH(_xlfn.TEXTJOIN(",",TRUE,B220:E220),SF_Output!$AC$1:$AC$400,0)))</f>
        <v/>
      </c>
      <c r="I220" s="125" t="str">
        <f>IFERROR(IF(AND(H220&gt;1,H220&lt;&gt;""),ROUND(SUMIFS(SF_Output!$S$1:$S$400,SF_Output!$AC$1:$AC$400,_xlfn.TEXTJOIN(",",TRUE,B220:E220),SF_Output!$Q$1:$Q$400,"monthly")*(1-W220)/H220,4),""),"")</f>
        <v/>
      </c>
      <c r="J220" s="6" t="str">
        <f>IF(B220="","",SUMIFS(SF_Output!$S$1:$S$400,SF_Output!$AC$1:$AC$400,_xlfn.TEXTJOIN(",",TRUE,B220:E220),SF_Output!$Q$1:$Q$400,"One Time",SF_Output!$L$1:$L$400,"license fee")+SUMIFS(SF_Output!$S$1:$S$400,SF_Output!$AC$1:$AC$400,_xlfn.TEXTJOIN(",",TRUE,B220:E220),SF_Output!$Q$1:$Q$400,"One Time",SF_Output!$L$1:$L$400,"software license")+SUMIFS(SF_Output!$S$1:$S$400,SF_Output!$AC$1:$AC$400,_xlfn.TEXTJOIN(",",TRUE,B220:E220),SF_Output!$Q$1:$Q$400,"One Time",SF_Output!$L$1:$L$400,"hardware"))</f>
        <v/>
      </c>
      <c r="K220" s="112" t="str">
        <f>IF(OR(B220=0,B220="",G220="hardware",J220=0),"",IF(AF220&lt;&gt;"exclusion",MAX(K$9,-((SUMIFS(SF_Output!$T$1:$T$400,SF_Output!$AC$1:$AC$400,_xlfn.TEXTJOIN(",",TRUE,$B220:$E220),SF_Output!$Q$1:$Q$400,"One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license"))/J220)))</f>
        <v/>
      </c>
      <c r="L220" s="6" t="str">
        <f t="shared" si="13"/>
        <v/>
      </c>
      <c r="N220" s="6" t="str">
        <f>IF(B220="","",SUMIFS(SF_Output!$S$1:$S$400,SF_Output!$AC$1:$AC$400,_xlfn.TEXTJOIN(",",TRUE,B220:E220),SF_Output!$Q$1:$Q$400,"One Time",SF_Output!$L$1:$L$400,"professional service"))</f>
        <v/>
      </c>
      <c r="O220" s="112" t="str">
        <f>IF(OR(B220=0,B220="",N220=0),"",IF(AF220&lt;&gt;"exclusion",MAX(O$9,-(SUMIFS(SF_Output!$T$1:$T$400,SF_Output!$AC$1:$AC$400,_xlfn.TEXTJOIN(",",TRUE,$B220:$E220),SF_Output!$Q$1:$Q$400,"One Time",SF_Output!$L$1:$L$400,"professional service"))/N220),-((SUMIFS(SF_Output!$T$1:$T$400,SF_Output!$AC$1:$AC$400,_xlfn.TEXTJOIN(",",TRUE,$B220:$E220),SF_Output!$Q$1:$Q$400,"One Time",SF_Output!$L$1:$L$400,"professional service")/N220))))</f>
        <v/>
      </c>
      <c r="P220" s="6" t="str">
        <f t="shared" si="14"/>
        <v/>
      </c>
      <c r="R220" s="6" t="str">
        <f>IF(B220="","",SUMIFS(SF_Output!$S$1:$S$400,SF_Output!$AC$1:$AC$400,_xlfn.TEXTJOIN(",",TRUE,B220:E220),SF_Output!$Q$1:$Q$400,"yearly")+SUMIFS(SF_Output!$S$1:$S$400,SF_Output!$AC$1:$AC$400,_xlfn.TEXTJOIN(",",TRUE,B220:E220),SF_Output!$Q$1:$Q$400,"quarterly")*4)</f>
        <v/>
      </c>
      <c r="S220" s="112" t="str">
        <f>IF(OR(B220=0,B220="",G220="hardware",R220=0),"",IF(AF220&lt;&gt;"exclusion",MAX(S$9,-(SUMIFS(SF_Output!$T$1:$T$400,SF_Output!$AC$1:$AC$400,_xlfn.TEXTJOIN(",",TRUE,$B220:$E220),SF_Output!$Q$1:$Q$400,"yearly"))/R220),-((SUMIFS(SF_Output!$T$1:$T$400,SF_Output!$AC$1:$AC$400,_xlfn.TEXTJOIN(",",TRUE,$B220:$E220),SF_Output!$Q$1:$Q$400,"yearly")/R220))))</f>
        <v/>
      </c>
      <c r="T220" s="6" t="str">
        <f t="shared" si="15"/>
        <v/>
      </c>
      <c r="V220" s="6" t="str" cm="1">
        <f t="array" ref="V220">_xlfn.IFS(B220="","",AND(B220&lt;&gt;"",H220=SF_Output!$Y$2,SUMIFS(SF_Output!$T$1:$T$400,SF_Output!$AC$1:$AC$400,_xlfn.TEXTJOIN(",",TRUE,B220:E220),SF_Output!$Q$1:$Q$400,"monthly")=0),(SUMIFS(SF_Output!$F$1:$F$400,SF_Output!$AC$1:$AC$400,_xlfn.TEXTJOIN(",",TRUE,B220:E220),SF_Output!$Q$1:$Q$400,"monthly")+SUMIFS(SF_Output!$G$1:$G$400,SF_Output!$AC$1:$AC$400,_xlfn.TEXTJOIN(",",TRUE,B220:E220),SF_Output!$Q$1:$Q$400,"monthly"))*H220,AND(B220&lt;&gt;"",H220=SF_Output!$Y$2,SUMIFS(SF_Output!$T$1:$T$400,SF_Output!$AC$1:$AC$400,_xlfn.TEXTJOIN(",",TRUE,B220:E220),SF_Output!$Q$1:$Q$400,"monthly")&lt;&gt;0),SUMIFS(SF_Output!$S$1:$S$400,SF_Output!$AC$1:$AC$400,_xlfn.TEXTJOIN(",",TRUE,B220:E220),SF_Output!$Q$1:$Q$400,"monthly"),AND(B220&lt;&gt;"",H220&lt;&gt;SF_Output!$Y$2),SUMIFS(SF_Output!$S$1:$S$400,SF_Output!$AC$1:$AC$400,_xlfn.TEXTJOIN(",",TRUE,B220:E220),SF_Output!$Q$1:$Q$400,"monthly"))</f>
        <v/>
      </c>
      <c r="W220" s="112" t="str" cm="1">
        <f t="array" ref="W220">_xlfn.IFS(OR(B220=0,B220="",V220=0),"",AF220&lt;&gt;"exclusion",MAX($W$9,$W$7,(-(SUMIFS(SF_Output!$T$1:$T$400,SF_Output!$AC$1:$AC$400,_xlfn.TEXTJOIN(",",TRUE,$B220:$E220),SF_Output!$Q$1:$Q$400,"monthly"))/V220)),AF220="exclusion",-(SUMIFS(SF_Output!$T$1:$T$400,SF_Output!$AC$1:$AC$400,_xlfn.TEXTJOIN(",",TRUE,$B220:$E220),SF_Output!$Q$1:$Q$400,"monthly"))/V220)</f>
        <v/>
      </c>
      <c r="X220" s="6" t="str" cm="1">
        <f t="array" ref="X220">IFERROR(_xlfn.IFS(V220=0,0,V220="","",W220=0,V220,OR(V220&lt;&gt;0,V220&lt;&gt;""),H220*I220),V220*(1-W220))</f>
        <v/>
      </c>
    </row>
    <row r="221" spans="6:24" x14ac:dyDescent="0.25">
      <c r="F221" s="116" t="str">
        <f t="shared" si="12"/>
        <v/>
      </c>
      <c r="G221" t="str">
        <f>IF(B221="","",INDEX(SF_Output!$K$1:$K$400,MATCH(B221,SF_Output!$M$1:$M$400,0)))</f>
        <v/>
      </c>
      <c r="H221" t="str" cm="1">
        <f t="array" ref="H221">_xlfn.IFS(B221="","",(SUMIFS(SF_Output!$F$1:$F$400,SF_Output!$AC$1:$AC$400,_xlfn.TEXTJOIN(",",TRUE,B221:E221))+SUMIFS(SF_Output!$G$1:$G$400,SF_Output!$AC$1:$AC$400,_xlfn.TEXTJOIN(",",TRUE,B221:E221)))&lt;&gt;0,SF_Output!$Y$2,INDEX(SF_Output!$F$1:$F$400,MATCH(_xlfn.TEXTJOIN(",",TRUE,B221:E221),SF_Output!$AC$1:$AC$400,0))=0,INDEX(SF_Output!$R$1:$R$400,MATCH(_xlfn.TEXTJOIN(",",TRUE,B221:E221),SF_Output!$AC$1:$AC$400,0)))</f>
        <v/>
      </c>
      <c r="I221" s="125" t="str">
        <f>IFERROR(IF(AND(H221&gt;1,H221&lt;&gt;""),ROUND(SUMIFS(SF_Output!$S$1:$S$400,SF_Output!$AC$1:$AC$400,_xlfn.TEXTJOIN(",",TRUE,B221:E221),SF_Output!$Q$1:$Q$400,"monthly")*(1-W221)/H221,4),""),"")</f>
        <v/>
      </c>
      <c r="J221" s="6" t="str">
        <f>IF(B221="","",SUMIFS(SF_Output!$S$1:$S$400,SF_Output!$AC$1:$AC$400,_xlfn.TEXTJOIN(",",TRUE,B221:E221),SF_Output!$Q$1:$Q$400,"One Time",SF_Output!$L$1:$L$400,"license fee")+SUMIFS(SF_Output!$S$1:$S$400,SF_Output!$AC$1:$AC$400,_xlfn.TEXTJOIN(",",TRUE,B221:E221),SF_Output!$Q$1:$Q$400,"One Time",SF_Output!$L$1:$L$400,"software license")+SUMIFS(SF_Output!$S$1:$S$400,SF_Output!$AC$1:$AC$400,_xlfn.TEXTJOIN(",",TRUE,B221:E221),SF_Output!$Q$1:$Q$400,"One Time",SF_Output!$L$1:$L$400,"hardware"))</f>
        <v/>
      </c>
      <c r="K221" s="112" t="str">
        <f>IF(OR(B221=0,B221="",G221="hardware",J221=0),"",IF(AF221&lt;&gt;"exclusion",MAX(K$9,-((SUMIFS(SF_Output!$T$1:$T$400,SF_Output!$AC$1:$AC$400,_xlfn.TEXTJOIN(",",TRUE,$B221:$E221),SF_Output!$Q$1:$Q$400,"One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license"))/J221)))</f>
        <v/>
      </c>
      <c r="L221" s="6" t="str">
        <f t="shared" si="13"/>
        <v/>
      </c>
      <c r="N221" s="6" t="str">
        <f>IF(B221="","",SUMIFS(SF_Output!$S$1:$S$400,SF_Output!$AC$1:$AC$400,_xlfn.TEXTJOIN(",",TRUE,B221:E221),SF_Output!$Q$1:$Q$400,"One Time",SF_Output!$L$1:$L$400,"professional service"))</f>
        <v/>
      </c>
      <c r="O221" s="112" t="str">
        <f>IF(OR(B221=0,B221="",N221=0),"",IF(AF221&lt;&gt;"exclusion",MAX(O$9,-(SUMIFS(SF_Output!$T$1:$T$400,SF_Output!$AC$1:$AC$400,_xlfn.TEXTJOIN(",",TRUE,$B221:$E221),SF_Output!$Q$1:$Q$400,"One Time",SF_Output!$L$1:$L$400,"professional service"))/N221),-((SUMIFS(SF_Output!$T$1:$T$400,SF_Output!$AC$1:$AC$400,_xlfn.TEXTJOIN(",",TRUE,$B221:$E221),SF_Output!$Q$1:$Q$400,"One Time",SF_Output!$L$1:$L$400,"professional service")/N221))))</f>
        <v/>
      </c>
      <c r="P221" s="6" t="str">
        <f t="shared" si="14"/>
        <v/>
      </c>
      <c r="R221" s="6" t="str">
        <f>IF(B221="","",SUMIFS(SF_Output!$S$1:$S$400,SF_Output!$AC$1:$AC$400,_xlfn.TEXTJOIN(",",TRUE,B221:E221),SF_Output!$Q$1:$Q$400,"yearly")+SUMIFS(SF_Output!$S$1:$S$400,SF_Output!$AC$1:$AC$400,_xlfn.TEXTJOIN(",",TRUE,B221:E221),SF_Output!$Q$1:$Q$400,"quarterly")*4)</f>
        <v/>
      </c>
      <c r="S221" s="112" t="str">
        <f>IF(OR(B221=0,B221="",G221="hardware",R221=0),"",IF(AF221&lt;&gt;"exclusion",MAX(S$9,-(SUMIFS(SF_Output!$T$1:$T$400,SF_Output!$AC$1:$AC$400,_xlfn.TEXTJOIN(",",TRUE,$B221:$E221),SF_Output!$Q$1:$Q$400,"yearly"))/R221),-((SUMIFS(SF_Output!$T$1:$T$400,SF_Output!$AC$1:$AC$400,_xlfn.TEXTJOIN(",",TRUE,$B221:$E221),SF_Output!$Q$1:$Q$400,"yearly")/R221))))</f>
        <v/>
      </c>
      <c r="T221" s="6" t="str">
        <f t="shared" si="15"/>
        <v/>
      </c>
      <c r="V221" s="6" t="str" cm="1">
        <f t="array" ref="V221">_xlfn.IFS(B221="","",AND(B221&lt;&gt;"",H221=SF_Output!$Y$2,SUMIFS(SF_Output!$T$1:$T$400,SF_Output!$AC$1:$AC$400,_xlfn.TEXTJOIN(",",TRUE,B221:E221),SF_Output!$Q$1:$Q$400,"monthly")=0),(SUMIFS(SF_Output!$F$1:$F$400,SF_Output!$AC$1:$AC$400,_xlfn.TEXTJOIN(",",TRUE,B221:E221),SF_Output!$Q$1:$Q$400,"monthly")+SUMIFS(SF_Output!$G$1:$G$400,SF_Output!$AC$1:$AC$400,_xlfn.TEXTJOIN(",",TRUE,B221:E221),SF_Output!$Q$1:$Q$400,"monthly"))*H221,AND(B221&lt;&gt;"",H221=SF_Output!$Y$2,SUMIFS(SF_Output!$T$1:$T$400,SF_Output!$AC$1:$AC$400,_xlfn.TEXTJOIN(",",TRUE,B221:E221),SF_Output!$Q$1:$Q$400,"monthly")&lt;&gt;0),SUMIFS(SF_Output!$S$1:$S$400,SF_Output!$AC$1:$AC$400,_xlfn.TEXTJOIN(",",TRUE,B221:E221),SF_Output!$Q$1:$Q$400,"monthly"),AND(B221&lt;&gt;"",H221&lt;&gt;SF_Output!$Y$2),SUMIFS(SF_Output!$S$1:$S$400,SF_Output!$AC$1:$AC$400,_xlfn.TEXTJOIN(",",TRUE,B221:E221),SF_Output!$Q$1:$Q$400,"monthly"))</f>
        <v/>
      </c>
      <c r="W221" s="112" t="str" cm="1">
        <f t="array" ref="W221">_xlfn.IFS(OR(B221=0,B221="",V221=0),"",AF221&lt;&gt;"exclusion",MAX($W$9,$W$7,(-(SUMIFS(SF_Output!$T$1:$T$400,SF_Output!$AC$1:$AC$400,_xlfn.TEXTJOIN(",",TRUE,$B221:$E221),SF_Output!$Q$1:$Q$400,"monthly"))/V221)),AF221="exclusion",-(SUMIFS(SF_Output!$T$1:$T$400,SF_Output!$AC$1:$AC$400,_xlfn.TEXTJOIN(",",TRUE,$B221:$E221),SF_Output!$Q$1:$Q$400,"monthly"))/V221)</f>
        <v/>
      </c>
      <c r="X221" s="6" t="str" cm="1">
        <f t="array" ref="X221">IFERROR(_xlfn.IFS(V221=0,0,V221="","",W221=0,V221,OR(V221&lt;&gt;0,V221&lt;&gt;""),H221*I221),V221*(1-W221))</f>
        <v/>
      </c>
    </row>
    <row r="222" spans="6:24" x14ac:dyDescent="0.25">
      <c r="F222" s="116" t="str">
        <f t="shared" si="12"/>
        <v/>
      </c>
      <c r="G222" t="str">
        <f>IF(B222="","",INDEX(SF_Output!$K$1:$K$400,MATCH(B222,SF_Output!$M$1:$M$400,0)))</f>
        <v/>
      </c>
      <c r="H222" t="str" cm="1">
        <f t="array" ref="H222">_xlfn.IFS(B222="","",(SUMIFS(SF_Output!$F$1:$F$400,SF_Output!$AC$1:$AC$400,_xlfn.TEXTJOIN(",",TRUE,B222:E222))+SUMIFS(SF_Output!$G$1:$G$400,SF_Output!$AC$1:$AC$400,_xlfn.TEXTJOIN(",",TRUE,B222:E222)))&lt;&gt;0,SF_Output!$Y$2,INDEX(SF_Output!$F$1:$F$400,MATCH(_xlfn.TEXTJOIN(",",TRUE,B222:E222),SF_Output!$AC$1:$AC$400,0))=0,INDEX(SF_Output!$R$1:$R$400,MATCH(_xlfn.TEXTJOIN(",",TRUE,B222:E222),SF_Output!$AC$1:$AC$400,0)))</f>
        <v/>
      </c>
      <c r="I222" s="125" t="str">
        <f>IFERROR(IF(AND(H222&gt;1,H222&lt;&gt;""),ROUND(SUMIFS(SF_Output!$S$1:$S$400,SF_Output!$AC$1:$AC$400,_xlfn.TEXTJOIN(",",TRUE,B222:E222),SF_Output!$Q$1:$Q$400,"monthly")*(1-W222)/H222,4),""),"")</f>
        <v/>
      </c>
      <c r="J222" s="6" t="str">
        <f>IF(B222="","",SUMIFS(SF_Output!$S$1:$S$400,SF_Output!$AC$1:$AC$400,_xlfn.TEXTJOIN(",",TRUE,B222:E222),SF_Output!$Q$1:$Q$400,"One Time",SF_Output!$L$1:$L$400,"license fee")+SUMIFS(SF_Output!$S$1:$S$400,SF_Output!$AC$1:$AC$400,_xlfn.TEXTJOIN(",",TRUE,B222:E222),SF_Output!$Q$1:$Q$400,"One Time",SF_Output!$L$1:$L$400,"software license")+SUMIFS(SF_Output!$S$1:$S$400,SF_Output!$AC$1:$AC$400,_xlfn.TEXTJOIN(",",TRUE,B222:E222),SF_Output!$Q$1:$Q$400,"One Time",SF_Output!$L$1:$L$400,"hardware"))</f>
        <v/>
      </c>
      <c r="K222" s="112" t="str">
        <f>IF(OR(B222=0,B222="",G222="hardware",J222=0),"",IF(AF222&lt;&gt;"exclusion",MAX(K$9,-((SUMIFS(SF_Output!$T$1:$T$400,SF_Output!$AC$1:$AC$400,_xlfn.TEXTJOIN(",",TRUE,$B222:$E222),SF_Output!$Q$1:$Q$400,"One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license"))/J222)))</f>
        <v/>
      </c>
      <c r="L222" s="6" t="str">
        <f t="shared" si="13"/>
        <v/>
      </c>
      <c r="N222" s="6" t="str">
        <f>IF(B222="","",SUMIFS(SF_Output!$S$1:$S$400,SF_Output!$AC$1:$AC$400,_xlfn.TEXTJOIN(",",TRUE,B222:E222),SF_Output!$Q$1:$Q$400,"One Time",SF_Output!$L$1:$L$400,"professional service"))</f>
        <v/>
      </c>
      <c r="O222" s="112" t="str">
        <f>IF(OR(B222=0,B222="",N222=0),"",IF(AF222&lt;&gt;"exclusion",MAX(O$9,-(SUMIFS(SF_Output!$T$1:$T$400,SF_Output!$AC$1:$AC$400,_xlfn.TEXTJOIN(",",TRUE,$B222:$E222),SF_Output!$Q$1:$Q$400,"One Time",SF_Output!$L$1:$L$400,"professional service"))/N222),-((SUMIFS(SF_Output!$T$1:$T$400,SF_Output!$AC$1:$AC$400,_xlfn.TEXTJOIN(",",TRUE,$B222:$E222),SF_Output!$Q$1:$Q$400,"One Time",SF_Output!$L$1:$L$400,"professional service")/N222))))</f>
        <v/>
      </c>
      <c r="P222" s="6" t="str">
        <f t="shared" si="14"/>
        <v/>
      </c>
      <c r="R222" s="6" t="str">
        <f>IF(B222="","",SUMIFS(SF_Output!$S$1:$S$400,SF_Output!$AC$1:$AC$400,_xlfn.TEXTJOIN(",",TRUE,B222:E222),SF_Output!$Q$1:$Q$400,"yearly")+SUMIFS(SF_Output!$S$1:$S$400,SF_Output!$AC$1:$AC$400,_xlfn.TEXTJOIN(",",TRUE,B222:E222),SF_Output!$Q$1:$Q$400,"quarterly")*4)</f>
        <v/>
      </c>
      <c r="S222" s="112" t="str">
        <f>IF(OR(B222=0,B222="",G222="hardware",R222=0),"",IF(AF222&lt;&gt;"exclusion",MAX(S$9,-(SUMIFS(SF_Output!$T$1:$T$400,SF_Output!$AC$1:$AC$400,_xlfn.TEXTJOIN(",",TRUE,$B222:$E222),SF_Output!$Q$1:$Q$400,"yearly"))/R222),-((SUMIFS(SF_Output!$T$1:$T$400,SF_Output!$AC$1:$AC$400,_xlfn.TEXTJOIN(",",TRUE,$B222:$E222),SF_Output!$Q$1:$Q$400,"yearly")/R222))))</f>
        <v/>
      </c>
      <c r="T222" s="6" t="str">
        <f t="shared" si="15"/>
        <v/>
      </c>
      <c r="V222" s="6" t="str" cm="1">
        <f t="array" ref="V222">_xlfn.IFS(B222="","",AND(B222&lt;&gt;"",H222=SF_Output!$Y$2,SUMIFS(SF_Output!$T$1:$T$400,SF_Output!$AC$1:$AC$400,_xlfn.TEXTJOIN(",",TRUE,B222:E222),SF_Output!$Q$1:$Q$400,"monthly")=0),(SUMIFS(SF_Output!$F$1:$F$400,SF_Output!$AC$1:$AC$400,_xlfn.TEXTJOIN(",",TRUE,B222:E222),SF_Output!$Q$1:$Q$400,"monthly")+SUMIFS(SF_Output!$G$1:$G$400,SF_Output!$AC$1:$AC$400,_xlfn.TEXTJOIN(",",TRUE,B222:E222),SF_Output!$Q$1:$Q$400,"monthly"))*H222,AND(B222&lt;&gt;"",H222=SF_Output!$Y$2,SUMIFS(SF_Output!$T$1:$T$400,SF_Output!$AC$1:$AC$400,_xlfn.TEXTJOIN(",",TRUE,B222:E222),SF_Output!$Q$1:$Q$400,"monthly")&lt;&gt;0),SUMIFS(SF_Output!$S$1:$S$400,SF_Output!$AC$1:$AC$400,_xlfn.TEXTJOIN(",",TRUE,B222:E222),SF_Output!$Q$1:$Q$400,"monthly"),AND(B222&lt;&gt;"",H222&lt;&gt;SF_Output!$Y$2),SUMIFS(SF_Output!$S$1:$S$400,SF_Output!$AC$1:$AC$400,_xlfn.TEXTJOIN(",",TRUE,B222:E222),SF_Output!$Q$1:$Q$400,"monthly"))</f>
        <v/>
      </c>
      <c r="W222" s="112" t="str" cm="1">
        <f t="array" ref="W222">_xlfn.IFS(OR(B222=0,B222="",V222=0),"",AF222&lt;&gt;"exclusion",MAX($W$9,$W$7,(-(SUMIFS(SF_Output!$T$1:$T$400,SF_Output!$AC$1:$AC$400,_xlfn.TEXTJOIN(",",TRUE,$B222:$E222),SF_Output!$Q$1:$Q$400,"monthly"))/V222)),AF222="exclusion",-(SUMIFS(SF_Output!$T$1:$T$400,SF_Output!$AC$1:$AC$400,_xlfn.TEXTJOIN(",",TRUE,$B222:$E222),SF_Output!$Q$1:$Q$400,"monthly"))/V222)</f>
        <v/>
      </c>
      <c r="X222" s="6" t="str" cm="1">
        <f t="array" ref="X222">IFERROR(_xlfn.IFS(V222=0,0,V222="","",W222=0,V222,OR(V222&lt;&gt;0,V222&lt;&gt;""),H222*I222),V222*(1-W222))</f>
        <v/>
      </c>
    </row>
    <row r="223" spans="6:24" x14ac:dyDescent="0.25">
      <c r="F223" s="116" t="str">
        <f t="shared" si="12"/>
        <v/>
      </c>
      <c r="G223" t="str">
        <f>IF(B223="","",INDEX(SF_Output!$K$1:$K$400,MATCH(B223,SF_Output!$M$1:$M$400,0)))</f>
        <v/>
      </c>
      <c r="H223" t="str" cm="1">
        <f t="array" ref="H223">_xlfn.IFS(B223="","",(SUMIFS(SF_Output!$F$1:$F$400,SF_Output!$AC$1:$AC$400,_xlfn.TEXTJOIN(",",TRUE,B223:E223))+SUMIFS(SF_Output!$G$1:$G$400,SF_Output!$AC$1:$AC$400,_xlfn.TEXTJOIN(",",TRUE,B223:E223)))&lt;&gt;0,SF_Output!$Y$2,INDEX(SF_Output!$F$1:$F$400,MATCH(_xlfn.TEXTJOIN(",",TRUE,B223:E223),SF_Output!$AC$1:$AC$400,0))=0,INDEX(SF_Output!$R$1:$R$400,MATCH(_xlfn.TEXTJOIN(",",TRUE,B223:E223),SF_Output!$AC$1:$AC$400,0)))</f>
        <v/>
      </c>
      <c r="I223" s="125" t="str">
        <f>IFERROR(IF(AND(H223&gt;1,H223&lt;&gt;""),ROUND(SUMIFS(SF_Output!$S$1:$S$400,SF_Output!$AC$1:$AC$400,_xlfn.TEXTJOIN(",",TRUE,B223:E223),SF_Output!$Q$1:$Q$400,"monthly")*(1-W223)/H223,4),""),"")</f>
        <v/>
      </c>
      <c r="J223" s="6" t="str">
        <f>IF(B223="","",SUMIFS(SF_Output!$S$1:$S$400,SF_Output!$AC$1:$AC$400,_xlfn.TEXTJOIN(",",TRUE,B223:E223),SF_Output!$Q$1:$Q$400,"One Time",SF_Output!$L$1:$L$400,"license fee")+SUMIFS(SF_Output!$S$1:$S$400,SF_Output!$AC$1:$AC$400,_xlfn.TEXTJOIN(",",TRUE,B223:E223),SF_Output!$Q$1:$Q$400,"One Time",SF_Output!$L$1:$L$400,"software license")+SUMIFS(SF_Output!$S$1:$S$400,SF_Output!$AC$1:$AC$400,_xlfn.TEXTJOIN(",",TRUE,B223:E223),SF_Output!$Q$1:$Q$400,"One Time",SF_Output!$L$1:$L$400,"hardware"))</f>
        <v/>
      </c>
      <c r="K223" s="112" t="str">
        <f>IF(OR(B223=0,B223="",G223="hardware",J223=0),"",IF(AF223&lt;&gt;"exclusion",MAX(K$9,-((SUMIFS(SF_Output!$T$1:$T$400,SF_Output!$AC$1:$AC$400,_xlfn.TEXTJOIN(",",TRUE,$B223:$E223),SF_Output!$Q$1:$Q$400,"One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license"))/J223)))</f>
        <v/>
      </c>
      <c r="L223" s="6" t="str">
        <f t="shared" si="13"/>
        <v/>
      </c>
      <c r="N223" s="6" t="str">
        <f>IF(B223="","",SUMIFS(SF_Output!$S$1:$S$400,SF_Output!$AC$1:$AC$400,_xlfn.TEXTJOIN(",",TRUE,B223:E223),SF_Output!$Q$1:$Q$400,"One Time",SF_Output!$L$1:$L$400,"professional service"))</f>
        <v/>
      </c>
      <c r="O223" s="112" t="str">
        <f>IF(OR(B223=0,B223="",N223=0),"",IF(AF223&lt;&gt;"exclusion",MAX(O$9,-(SUMIFS(SF_Output!$T$1:$T$400,SF_Output!$AC$1:$AC$400,_xlfn.TEXTJOIN(",",TRUE,$B223:$E223),SF_Output!$Q$1:$Q$400,"One Time",SF_Output!$L$1:$L$400,"professional service"))/N223),-((SUMIFS(SF_Output!$T$1:$T$400,SF_Output!$AC$1:$AC$400,_xlfn.TEXTJOIN(",",TRUE,$B223:$E223),SF_Output!$Q$1:$Q$400,"One Time",SF_Output!$L$1:$L$400,"professional service")/N223))))</f>
        <v/>
      </c>
      <c r="P223" s="6" t="str">
        <f t="shared" si="14"/>
        <v/>
      </c>
      <c r="R223" s="6" t="str">
        <f>IF(B223="","",SUMIFS(SF_Output!$S$1:$S$400,SF_Output!$AC$1:$AC$400,_xlfn.TEXTJOIN(",",TRUE,B223:E223),SF_Output!$Q$1:$Q$400,"yearly")+SUMIFS(SF_Output!$S$1:$S$400,SF_Output!$AC$1:$AC$400,_xlfn.TEXTJOIN(",",TRUE,B223:E223),SF_Output!$Q$1:$Q$400,"quarterly")*4)</f>
        <v/>
      </c>
      <c r="S223" s="112" t="str">
        <f>IF(OR(B223=0,B223="",G223="hardware",R223=0),"",IF(AF223&lt;&gt;"exclusion",MAX(S$9,-(SUMIFS(SF_Output!$T$1:$T$400,SF_Output!$AC$1:$AC$400,_xlfn.TEXTJOIN(",",TRUE,$B223:$E223),SF_Output!$Q$1:$Q$400,"yearly"))/R223),-((SUMIFS(SF_Output!$T$1:$T$400,SF_Output!$AC$1:$AC$400,_xlfn.TEXTJOIN(",",TRUE,$B223:$E223),SF_Output!$Q$1:$Q$400,"yearly")/R223))))</f>
        <v/>
      </c>
      <c r="T223" s="6" t="str">
        <f t="shared" si="15"/>
        <v/>
      </c>
      <c r="V223" s="6" t="str" cm="1">
        <f t="array" ref="V223">_xlfn.IFS(B223="","",AND(B223&lt;&gt;"",H223=SF_Output!$Y$2,SUMIFS(SF_Output!$T$1:$T$400,SF_Output!$AC$1:$AC$400,_xlfn.TEXTJOIN(",",TRUE,B223:E223),SF_Output!$Q$1:$Q$400,"monthly")=0),(SUMIFS(SF_Output!$F$1:$F$400,SF_Output!$AC$1:$AC$400,_xlfn.TEXTJOIN(",",TRUE,B223:E223),SF_Output!$Q$1:$Q$400,"monthly")+SUMIFS(SF_Output!$G$1:$G$400,SF_Output!$AC$1:$AC$400,_xlfn.TEXTJOIN(",",TRUE,B223:E223),SF_Output!$Q$1:$Q$400,"monthly"))*H223,AND(B223&lt;&gt;"",H223=SF_Output!$Y$2,SUMIFS(SF_Output!$T$1:$T$400,SF_Output!$AC$1:$AC$400,_xlfn.TEXTJOIN(",",TRUE,B223:E223),SF_Output!$Q$1:$Q$400,"monthly")&lt;&gt;0),SUMIFS(SF_Output!$S$1:$S$400,SF_Output!$AC$1:$AC$400,_xlfn.TEXTJOIN(",",TRUE,B223:E223),SF_Output!$Q$1:$Q$400,"monthly"),AND(B223&lt;&gt;"",H223&lt;&gt;SF_Output!$Y$2),SUMIFS(SF_Output!$S$1:$S$400,SF_Output!$AC$1:$AC$400,_xlfn.TEXTJOIN(",",TRUE,B223:E223),SF_Output!$Q$1:$Q$400,"monthly"))</f>
        <v/>
      </c>
      <c r="W223" s="112" t="str" cm="1">
        <f t="array" ref="W223">_xlfn.IFS(OR(B223=0,B223="",V223=0),"",AF223&lt;&gt;"exclusion",MAX($W$9,$W$7,(-(SUMIFS(SF_Output!$T$1:$T$400,SF_Output!$AC$1:$AC$400,_xlfn.TEXTJOIN(",",TRUE,$B223:$E223),SF_Output!$Q$1:$Q$400,"monthly"))/V223)),AF223="exclusion",-(SUMIFS(SF_Output!$T$1:$T$400,SF_Output!$AC$1:$AC$400,_xlfn.TEXTJOIN(",",TRUE,$B223:$E223),SF_Output!$Q$1:$Q$400,"monthly"))/V223)</f>
        <v/>
      </c>
      <c r="X223" s="6" t="str" cm="1">
        <f t="array" ref="X223">IFERROR(_xlfn.IFS(V223=0,0,V223="","",W223=0,V223,OR(V223&lt;&gt;0,V223&lt;&gt;""),H223*I223),V223*(1-W223))</f>
        <v/>
      </c>
    </row>
    <row r="224" spans="6:24" x14ac:dyDescent="0.25">
      <c r="F224" s="116" t="str">
        <f t="shared" si="12"/>
        <v/>
      </c>
      <c r="G224" t="str">
        <f>IF(B224="","",INDEX(SF_Output!$K$1:$K$400,MATCH(B224,SF_Output!$M$1:$M$400,0)))</f>
        <v/>
      </c>
      <c r="H224" t="str" cm="1">
        <f t="array" ref="H224">_xlfn.IFS(B224="","",(SUMIFS(SF_Output!$F$1:$F$400,SF_Output!$AC$1:$AC$400,_xlfn.TEXTJOIN(",",TRUE,B224:E224))+SUMIFS(SF_Output!$G$1:$G$400,SF_Output!$AC$1:$AC$400,_xlfn.TEXTJOIN(",",TRUE,B224:E224)))&lt;&gt;0,SF_Output!$Y$2,INDEX(SF_Output!$F$1:$F$400,MATCH(_xlfn.TEXTJOIN(",",TRUE,B224:E224),SF_Output!$AC$1:$AC$400,0))=0,INDEX(SF_Output!$R$1:$R$400,MATCH(_xlfn.TEXTJOIN(",",TRUE,B224:E224),SF_Output!$AC$1:$AC$400,0)))</f>
        <v/>
      </c>
      <c r="I224" s="125" t="str">
        <f>IFERROR(IF(AND(H224&gt;1,H224&lt;&gt;""),ROUND(SUMIFS(SF_Output!$S$1:$S$400,SF_Output!$AC$1:$AC$400,_xlfn.TEXTJOIN(",",TRUE,B224:E224),SF_Output!$Q$1:$Q$400,"monthly")*(1-W224)/H224,4),""),"")</f>
        <v/>
      </c>
      <c r="J224" s="6" t="str">
        <f>IF(B224="","",SUMIFS(SF_Output!$S$1:$S$400,SF_Output!$AC$1:$AC$400,_xlfn.TEXTJOIN(",",TRUE,B224:E224),SF_Output!$Q$1:$Q$400,"One Time",SF_Output!$L$1:$L$400,"license fee")+SUMIFS(SF_Output!$S$1:$S$400,SF_Output!$AC$1:$AC$400,_xlfn.TEXTJOIN(",",TRUE,B224:E224),SF_Output!$Q$1:$Q$400,"One Time",SF_Output!$L$1:$L$400,"software license")+SUMIFS(SF_Output!$S$1:$S$400,SF_Output!$AC$1:$AC$400,_xlfn.TEXTJOIN(",",TRUE,B224:E224),SF_Output!$Q$1:$Q$400,"One Time",SF_Output!$L$1:$L$400,"hardware"))</f>
        <v/>
      </c>
      <c r="K224" s="112" t="str">
        <f>IF(OR(B224=0,B224="",G224="hardware",J224=0),"",IF(AF224&lt;&gt;"exclusion",MAX(K$9,-((SUMIFS(SF_Output!$T$1:$T$400,SF_Output!$AC$1:$AC$400,_xlfn.TEXTJOIN(",",TRUE,$B224:$E224),SF_Output!$Q$1:$Q$400,"One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license"))/J224)))</f>
        <v/>
      </c>
      <c r="L224" s="6" t="str">
        <f t="shared" si="13"/>
        <v/>
      </c>
      <c r="N224" s="6" t="str">
        <f>IF(B224="","",SUMIFS(SF_Output!$S$1:$S$400,SF_Output!$AC$1:$AC$400,_xlfn.TEXTJOIN(",",TRUE,B224:E224),SF_Output!$Q$1:$Q$400,"One Time",SF_Output!$L$1:$L$400,"professional service"))</f>
        <v/>
      </c>
      <c r="O224" s="112" t="str">
        <f>IF(OR(B224=0,B224="",N224=0),"",IF(AF224&lt;&gt;"exclusion",MAX(O$9,-(SUMIFS(SF_Output!$T$1:$T$400,SF_Output!$AC$1:$AC$400,_xlfn.TEXTJOIN(",",TRUE,$B224:$E224),SF_Output!$Q$1:$Q$400,"One Time",SF_Output!$L$1:$L$400,"professional service"))/N224),-((SUMIFS(SF_Output!$T$1:$T$400,SF_Output!$AC$1:$AC$400,_xlfn.TEXTJOIN(",",TRUE,$B224:$E224),SF_Output!$Q$1:$Q$400,"One Time",SF_Output!$L$1:$L$400,"professional service")/N224))))</f>
        <v/>
      </c>
      <c r="P224" s="6" t="str">
        <f t="shared" si="14"/>
        <v/>
      </c>
      <c r="R224" s="6" t="str">
        <f>IF(B224="","",SUMIFS(SF_Output!$S$1:$S$400,SF_Output!$AC$1:$AC$400,_xlfn.TEXTJOIN(",",TRUE,B224:E224),SF_Output!$Q$1:$Q$400,"yearly")+SUMIFS(SF_Output!$S$1:$S$400,SF_Output!$AC$1:$AC$400,_xlfn.TEXTJOIN(",",TRUE,B224:E224),SF_Output!$Q$1:$Q$400,"quarterly")*4)</f>
        <v/>
      </c>
      <c r="S224" s="112" t="str">
        <f>IF(OR(B224=0,B224="",G224="hardware",R224=0),"",IF(AF224&lt;&gt;"exclusion",MAX(S$9,-(SUMIFS(SF_Output!$T$1:$T$400,SF_Output!$AC$1:$AC$400,_xlfn.TEXTJOIN(",",TRUE,$B224:$E224),SF_Output!$Q$1:$Q$400,"yearly"))/R224),-((SUMIFS(SF_Output!$T$1:$T$400,SF_Output!$AC$1:$AC$400,_xlfn.TEXTJOIN(",",TRUE,$B224:$E224),SF_Output!$Q$1:$Q$400,"yearly")/R224))))</f>
        <v/>
      </c>
      <c r="T224" s="6" t="str">
        <f t="shared" si="15"/>
        <v/>
      </c>
      <c r="V224" s="6" t="str" cm="1">
        <f t="array" ref="V224">_xlfn.IFS(B224="","",AND(B224&lt;&gt;"",H224=SF_Output!$Y$2,SUMIFS(SF_Output!$T$1:$T$400,SF_Output!$AC$1:$AC$400,_xlfn.TEXTJOIN(",",TRUE,B224:E224),SF_Output!$Q$1:$Q$400,"monthly")=0),(SUMIFS(SF_Output!$F$1:$F$400,SF_Output!$AC$1:$AC$400,_xlfn.TEXTJOIN(",",TRUE,B224:E224),SF_Output!$Q$1:$Q$400,"monthly")+SUMIFS(SF_Output!$G$1:$G$400,SF_Output!$AC$1:$AC$400,_xlfn.TEXTJOIN(",",TRUE,B224:E224),SF_Output!$Q$1:$Q$400,"monthly"))*H224,AND(B224&lt;&gt;"",H224=SF_Output!$Y$2,SUMIFS(SF_Output!$T$1:$T$400,SF_Output!$AC$1:$AC$400,_xlfn.TEXTJOIN(",",TRUE,B224:E224),SF_Output!$Q$1:$Q$400,"monthly")&lt;&gt;0),SUMIFS(SF_Output!$S$1:$S$400,SF_Output!$AC$1:$AC$400,_xlfn.TEXTJOIN(",",TRUE,B224:E224),SF_Output!$Q$1:$Q$400,"monthly"),AND(B224&lt;&gt;"",H224&lt;&gt;SF_Output!$Y$2),SUMIFS(SF_Output!$S$1:$S$400,SF_Output!$AC$1:$AC$400,_xlfn.TEXTJOIN(",",TRUE,B224:E224),SF_Output!$Q$1:$Q$400,"monthly"))</f>
        <v/>
      </c>
      <c r="W224" s="112" t="str" cm="1">
        <f t="array" ref="W224">_xlfn.IFS(OR(B224=0,B224="",V224=0),"",AF224&lt;&gt;"exclusion",MAX($W$9,$W$7,(-(SUMIFS(SF_Output!$T$1:$T$400,SF_Output!$AC$1:$AC$400,_xlfn.TEXTJOIN(",",TRUE,$B224:$E224),SF_Output!$Q$1:$Q$400,"monthly"))/V224)),AF224="exclusion",-(SUMIFS(SF_Output!$T$1:$T$400,SF_Output!$AC$1:$AC$400,_xlfn.TEXTJOIN(",",TRUE,$B224:$E224),SF_Output!$Q$1:$Q$400,"monthly"))/V224)</f>
        <v/>
      </c>
      <c r="X224" s="6" t="str" cm="1">
        <f t="array" ref="X224">IFERROR(_xlfn.IFS(V224=0,0,V224="","",W224=0,V224,OR(V224&lt;&gt;0,V224&lt;&gt;""),H224*I224),V224*(1-W224))</f>
        <v/>
      </c>
    </row>
    <row r="225" spans="6:24" x14ac:dyDescent="0.25">
      <c r="F225" s="116" t="str">
        <f t="shared" si="12"/>
        <v/>
      </c>
      <c r="G225" t="str">
        <f>IF(B225="","",INDEX(SF_Output!$K$1:$K$400,MATCH(B225,SF_Output!$M$1:$M$400,0)))</f>
        <v/>
      </c>
      <c r="H225" t="str" cm="1">
        <f t="array" ref="H225">_xlfn.IFS(B225="","",(SUMIFS(SF_Output!$F$1:$F$400,SF_Output!$AC$1:$AC$400,_xlfn.TEXTJOIN(",",TRUE,B225:E225))+SUMIFS(SF_Output!$G$1:$G$400,SF_Output!$AC$1:$AC$400,_xlfn.TEXTJOIN(",",TRUE,B225:E225)))&lt;&gt;0,SF_Output!$Y$2,INDEX(SF_Output!$F$1:$F$400,MATCH(_xlfn.TEXTJOIN(",",TRUE,B225:E225),SF_Output!$AC$1:$AC$400,0))=0,INDEX(SF_Output!$R$1:$R$400,MATCH(_xlfn.TEXTJOIN(",",TRUE,B225:E225),SF_Output!$AC$1:$AC$400,0)))</f>
        <v/>
      </c>
      <c r="I225" s="125" t="str">
        <f>IFERROR(IF(AND(H225&gt;1,H225&lt;&gt;""),ROUND(SUMIFS(SF_Output!$S$1:$S$400,SF_Output!$AC$1:$AC$400,_xlfn.TEXTJOIN(",",TRUE,B225:E225),SF_Output!$Q$1:$Q$400,"monthly")*(1-W225)/H225,4),""),"")</f>
        <v/>
      </c>
      <c r="J225" s="6" t="str">
        <f>IF(B225="","",SUMIFS(SF_Output!$S$1:$S$400,SF_Output!$AC$1:$AC$400,_xlfn.TEXTJOIN(",",TRUE,B225:E225),SF_Output!$Q$1:$Q$400,"One Time",SF_Output!$L$1:$L$400,"license fee")+SUMIFS(SF_Output!$S$1:$S$400,SF_Output!$AC$1:$AC$400,_xlfn.TEXTJOIN(",",TRUE,B225:E225),SF_Output!$Q$1:$Q$400,"One Time",SF_Output!$L$1:$L$400,"software license")+SUMIFS(SF_Output!$S$1:$S$400,SF_Output!$AC$1:$AC$400,_xlfn.TEXTJOIN(",",TRUE,B225:E225),SF_Output!$Q$1:$Q$400,"One Time",SF_Output!$L$1:$L$400,"hardware"))</f>
        <v/>
      </c>
      <c r="K225" s="112" t="str">
        <f>IF(OR(B225=0,B225="",G225="hardware",J225=0),"",IF(AF225&lt;&gt;"exclusion",MAX(K$9,-((SUMIFS(SF_Output!$T$1:$T$400,SF_Output!$AC$1:$AC$400,_xlfn.TEXTJOIN(",",TRUE,$B225:$E225),SF_Output!$Q$1:$Q$400,"One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license"))/J225)))</f>
        <v/>
      </c>
      <c r="L225" s="6" t="str">
        <f t="shared" si="13"/>
        <v/>
      </c>
      <c r="N225" s="6" t="str">
        <f>IF(B225="","",SUMIFS(SF_Output!$S$1:$S$400,SF_Output!$AC$1:$AC$400,_xlfn.TEXTJOIN(",",TRUE,B225:E225),SF_Output!$Q$1:$Q$400,"One Time",SF_Output!$L$1:$L$400,"professional service"))</f>
        <v/>
      </c>
      <c r="O225" s="112" t="str">
        <f>IF(OR(B225=0,B225="",N225=0),"",IF(AF225&lt;&gt;"exclusion",MAX(O$9,-(SUMIFS(SF_Output!$T$1:$T$400,SF_Output!$AC$1:$AC$400,_xlfn.TEXTJOIN(",",TRUE,$B225:$E225),SF_Output!$Q$1:$Q$400,"One Time",SF_Output!$L$1:$L$400,"professional service"))/N225),-((SUMIFS(SF_Output!$T$1:$T$400,SF_Output!$AC$1:$AC$400,_xlfn.TEXTJOIN(",",TRUE,$B225:$E225),SF_Output!$Q$1:$Q$400,"One Time",SF_Output!$L$1:$L$400,"professional service")/N225))))</f>
        <v/>
      </c>
      <c r="P225" s="6" t="str">
        <f t="shared" si="14"/>
        <v/>
      </c>
      <c r="R225" s="6" t="str">
        <f>IF(B225="","",SUMIFS(SF_Output!$S$1:$S$400,SF_Output!$AC$1:$AC$400,_xlfn.TEXTJOIN(",",TRUE,B225:E225),SF_Output!$Q$1:$Q$400,"yearly")+SUMIFS(SF_Output!$S$1:$S$400,SF_Output!$AC$1:$AC$400,_xlfn.TEXTJOIN(",",TRUE,B225:E225),SF_Output!$Q$1:$Q$400,"quarterly")*4)</f>
        <v/>
      </c>
      <c r="S225" s="112" t="str">
        <f>IF(OR(B225=0,B225="",G225="hardware",R225=0),"",IF(AF225&lt;&gt;"exclusion",MAX(S$9,-(SUMIFS(SF_Output!$T$1:$T$400,SF_Output!$AC$1:$AC$400,_xlfn.TEXTJOIN(",",TRUE,$B225:$E225),SF_Output!$Q$1:$Q$400,"yearly"))/R225),-((SUMIFS(SF_Output!$T$1:$T$400,SF_Output!$AC$1:$AC$400,_xlfn.TEXTJOIN(",",TRUE,$B225:$E225),SF_Output!$Q$1:$Q$400,"yearly")/R225))))</f>
        <v/>
      </c>
      <c r="T225" s="6" t="str">
        <f t="shared" si="15"/>
        <v/>
      </c>
      <c r="V225" s="6" t="str" cm="1">
        <f t="array" ref="V225">_xlfn.IFS(B225="","",AND(B225&lt;&gt;"",H225=SF_Output!$Y$2,SUMIFS(SF_Output!$T$1:$T$400,SF_Output!$AC$1:$AC$400,_xlfn.TEXTJOIN(",",TRUE,B225:E225),SF_Output!$Q$1:$Q$400,"monthly")=0),(SUMIFS(SF_Output!$F$1:$F$400,SF_Output!$AC$1:$AC$400,_xlfn.TEXTJOIN(",",TRUE,B225:E225),SF_Output!$Q$1:$Q$400,"monthly")+SUMIFS(SF_Output!$G$1:$G$400,SF_Output!$AC$1:$AC$400,_xlfn.TEXTJOIN(",",TRUE,B225:E225),SF_Output!$Q$1:$Q$400,"monthly"))*H225,AND(B225&lt;&gt;"",H225=SF_Output!$Y$2,SUMIFS(SF_Output!$T$1:$T$400,SF_Output!$AC$1:$AC$400,_xlfn.TEXTJOIN(",",TRUE,B225:E225),SF_Output!$Q$1:$Q$400,"monthly")&lt;&gt;0),SUMIFS(SF_Output!$S$1:$S$400,SF_Output!$AC$1:$AC$400,_xlfn.TEXTJOIN(",",TRUE,B225:E225),SF_Output!$Q$1:$Q$400,"monthly"),AND(B225&lt;&gt;"",H225&lt;&gt;SF_Output!$Y$2),SUMIFS(SF_Output!$S$1:$S$400,SF_Output!$AC$1:$AC$400,_xlfn.TEXTJOIN(",",TRUE,B225:E225),SF_Output!$Q$1:$Q$400,"monthly"))</f>
        <v/>
      </c>
      <c r="W225" s="112" t="str" cm="1">
        <f t="array" ref="W225">_xlfn.IFS(OR(B225=0,B225="",V225=0),"",AF225&lt;&gt;"exclusion",MAX($W$9,$W$7,(-(SUMIFS(SF_Output!$T$1:$T$400,SF_Output!$AC$1:$AC$400,_xlfn.TEXTJOIN(",",TRUE,$B225:$E225),SF_Output!$Q$1:$Q$400,"monthly"))/V225)),AF225="exclusion",-(SUMIFS(SF_Output!$T$1:$T$400,SF_Output!$AC$1:$AC$400,_xlfn.TEXTJOIN(",",TRUE,$B225:$E225),SF_Output!$Q$1:$Q$400,"monthly"))/V225)</f>
        <v/>
      </c>
      <c r="X225" s="6" t="str" cm="1">
        <f t="array" ref="X225">IFERROR(_xlfn.IFS(V225=0,0,V225="","",W225=0,V225,OR(V225&lt;&gt;0,V225&lt;&gt;""),H225*I225),V225*(1-W225))</f>
        <v/>
      </c>
    </row>
    <row r="226" spans="6:24" x14ac:dyDescent="0.25">
      <c r="F226" s="116" t="str">
        <f t="shared" si="12"/>
        <v/>
      </c>
      <c r="G226" t="str">
        <f>IF(B226="","",INDEX(SF_Output!$K$1:$K$400,MATCH(B226,SF_Output!$M$1:$M$400,0)))</f>
        <v/>
      </c>
      <c r="H226" t="str" cm="1">
        <f t="array" ref="H226">_xlfn.IFS(B226="","",(SUMIFS(SF_Output!$F$1:$F$400,SF_Output!$AC$1:$AC$400,_xlfn.TEXTJOIN(",",TRUE,B226:E226))+SUMIFS(SF_Output!$G$1:$G$400,SF_Output!$AC$1:$AC$400,_xlfn.TEXTJOIN(",",TRUE,B226:E226)))&lt;&gt;0,SF_Output!$Y$2,INDEX(SF_Output!$F$1:$F$400,MATCH(_xlfn.TEXTJOIN(",",TRUE,B226:E226),SF_Output!$AC$1:$AC$400,0))=0,INDEX(SF_Output!$R$1:$R$400,MATCH(_xlfn.TEXTJOIN(",",TRUE,B226:E226),SF_Output!$AC$1:$AC$400,0)))</f>
        <v/>
      </c>
      <c r="I226" s="125" t="str">
        <f>IFERROR(IF(AND(H226&gt;1,H226&lt;&gt;""),ROUND(SUMIFS(SF_Output!$S$1:$S$400,SF_Output!$AC$1:$AC$400,_xlfn.TEXTJOIN(",",TRUE,B226:E226),SF_Output!$Q$1:$Q$400,"monthly")*(1-W226)/H226,4),""),"")</f>
        <v/>
      </c>
      <c r="J226" s="6" t="str">
        <f>IF(B226="","",SUMIFS(SF_Output!$S$1:$S$400,SF_Output!$AC$1:$AC$400,_xlfn.TEXTJOIN(",",TRUE,B226:E226),SF_Output!$Q$1:$Q$400,"One Time",SF_Output!$L$1:$L$400,"license fee")+SUMIFS(SF_Output!$S$1:$S$400,SF_Output!$AC$1:$AC$400,_xlfn.TEXTJOIN(",",TRUE,B226:E226),SF_Output!$Q$1:$Q$400,"One Time",SF_Output!$L$1:$L$400,"software license")+SUMIFS(SF_Output!$S$1:$S$400,SF_Output!$AC$1:$AC$400,_xlfn.TEXTJOIN(",",TRUE,B226:E226),SF_Output!$Q$1:$Q$400,"One Time",SF_Output!$L$1:$L$400,"hardware"))</f>
        <v/>
      </c>
      <c r="K226" s="112" t="str">
        <f>IF(OR(B226=0,B226="",G226="hardware",J226=0),"",IF(AF226&lt;&gt;"exclusion",MAX(K$9,-((SUMIFS(SF_Output!$T$1:$T$400,SF_Output!$AC$1:$AC$400,_xlfn.TEXTJOIN(",",TRUE,$B226:$E226),SF_Output!$Q$1:$Q$400,"One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license"))/J226)))</f>
        <v/>
      </c>
      <c r="L226" s="6" t="str">
        <f t="shared" si="13"/>
        <v/>
      </c>
      <c r="N226" s="6" t="str">
        <f>IF(B226="","",SUMIFS(SF_Output!$S$1:$S$400,SF_Output!$AC$1:$AC$400,_xlfn.TEXTJOIN(",",TRUE,B226:E226),SF_Output!$Q$1:$Q$400,"One Time",SF_Output!$L$1:$L$400,"professional service"))</f>
        <v/>
      </c>
      <c r="O226" s="112" t="str">
        <f>IF(OR(B226=0,B226="",N226=0),"",IF(AF226&lt;&gt;"exclusion",MAX(O$9,-(SUMIFS(SF_Output!$T$1:$T$400,SF_Output!$AC$1:$AC$400,_xlfn.TEXTJOIN(",",TRUE,$B226:$E226),SF_Output!$Q$1:$Q$400,"One Time",SF_Output!$L$1:$L$400,"professional service"))/N226),-((SUMIFS(SF_Output!$T$1:$T$400,SF_Output!$AC$1:$AC$400,_xlfn.TEXTJOIN(",",TRUE,$B226:$E226),SF_Output!$Q$1:$Q$400,"One Time",SF_Output!$L$1:$L$400,"professional service")/N226))))</f>
        <v/>
      </c>
      <c r="P226" s="6" t="str">
        <f t="shared" si="14"/>
        <v/>
      </c>
      <c r="R226" s="6" t="str">
        <f>IF(B226="","",SUMIFS(SF_Output!$S$1:$S$400,SF_Output!$AC$1:$AC$400,_xlfn.TEXTJOIN(",",TRUE,B226:E226),SF_Output!$Q$1:$Q$400,"yearly")+SUMIFS(SF_Output!$S$1:$S$400,SF_Output!$AC$1:$AC$400,_xlfn.TEXTJOIN(",",TRUE,B226:E226),SF_Output!$Q$1:$Q$400,"quarterly")*4)</f>
        <v/>
      </c>
      <c r="S226" s="112" t="str">
        <f>IF(OR(B226=0,B226="",G226="hardware",R226=0),"",IF(AF226&lt;&gt;"exclusion",MAX(S$9,-(SUMIFS(SF_Output!$T$1:$T$400,SF_Output!$AC$1:$AC$400,_xlfn.TEXTJOIN(",",TRUE,$B226:$E226),SF_Output!$Q$1:$Q$400,"yearly"))/R226),-((SUMIFS(SF_Output!$T$1:$T$400,SF_Output!$AC$1:$AC$400,_xlfn.TEXTJOIN(",",TRUE,$B226:$E226),SF_Output!$Q$1:$Q$400,"yearly")/R226))))</f>
        <v/>
      </c>
      <c r="T226" s="6" t="str">
        <f t="shared" si="15"/>
        <v/>
      </c>
      <c r="V226" s="6" t="str" cm="1">
        <f t="array" ref="V226">_xlfn.IFS(B226="","",AND(B226&lt;&gt;"",H226=SF_Output!$Y$2,SUMIFS(SF_Output!$T$1:$T$400,SF_Output!$AC$1:$AC$400,_xlfn.TEXTJOIN(",",TRUE,B226:E226),SF_Output!$Q$1:$Q$400,"monthly")=0),(SUMIFS(SF_Output!$F$1:$F$400,SF_Output!$AC$1:$AC$400,_xlfn.TEXTJOIN(",",TRUE,B226:E226),SF_Output!$Q$1:$Q$400,"monthly")+SUMIFS(SF_Output!$G$1:$G$400,SF_Output!$AC$1:$AC$400,_xlfn.TEXTJOIN(",",TRUE,B226:E226),SF_Output!$Q$1:$Q$400,"monthly"))*H226,AND(B226&lt;&gt;"",H226=SF_Output!$Y$2,SUMIFS(SF_Output!$T$1:$T$400,SF_Output!$AC$1:$AC$400,_xlfn.TEXTJOIN(",",TRUE,B226:E226),SF_Output!$Q$1:$Q$400,"monthly")&lt;&gt;0),SUMIFS(SF_Output!$S$1:$S$400,SF_Output!$AC$1:$AC$400,_xlfn.TEXTJOIN(",",TRUE,B226:E226),SF_Output!$Q$1:$Q$400,"monthly"),AND(B226&lt;&gt;"",H226&lt;&gt;SF_Output!$Y$2),SUMIFS(SF_Output!$S$1:$S$400,SF_Output!$AC$1:$AC$400,_xlfn.TEXTJOIN(",",TRUE,B226:E226),SF_Output!$Q$1:$Q$400,"monthly"))</f>
        <v/>
      </c>
      <c r="W226" s="112" t="str" cm="1">
        <f t="array" ref="W226">_xlfn.IFS(OR(B226=0,B226="",V226=0),"",AF226&lt;&gt;"exclusion",MAX($W$9,$W$7,(-(SUMIFS(SF_Output!$T$1:$T$400,SF_Output!$AC$1:$AC$400,_xlfn.TEXTJOIN(",",TRUE,$B226:$E226),SF_Output!$Q$1:$Q$400,"monthly"))/V226)),AF226="exclusion",-(SUMIFS(SF_Output!$T$1:$T$400,SF_Output!$AC$1:$AC$400,_xlfn.TEXTJOIN(",",TRUE,$B226:$E226),SF_Output!$Q$1:$Q$400,"monthly"))/V226)</f>
        <v/>
      </c>
      <c r="X226" s="6" t="str" cm="1">
        <f t="array" ref="X226">IFERROR(_xlfn.IFS(V226=0,0,V226="","",W226=0,V226,OR(V226&lt;&gt;0,V226&lt;&gt;""),H226*I226),V226*(1-W226))</f>
        <v/>
      </c>
    </row>
    <row r="227" spans="6:24" x14ac:dyDescent="0.25">
      <c r="F227" s="116" t="str">
        <f t="shared" si="12"/>
        <v/>
      </c>
      <c r="G227" t="str">
        <f>IF(B227="","",INDEX(SF_Output!$K$1:$K$400,MATCH(B227,SF_Output!$M$1:$M$400,0)))</f>
        <v/>
      </c>
      <c r="H227" t="str" cm="1">
        <f t="array" ref="H227">_xlfn.IFS(B227="","",(SUMIFS(SF_Output!$F$1:$F$400,SF_Output!$AC$1:$AC$400,_xlfn.TEXTJOIN(",",TRUE,B227:E227))+SUMIFS(SF_Output!$G$1:$G$400,SF_Output!$AC$1:$AC$400,_xlfn.TEXTJOIN(",",TRUE,B227:E227)))&lt;&gt;0,SF_Output!$Y$2,INDEX(SF_Output!$F$1:$F$400,MATCH(_xlfn.TEXTJOIN(",",TRUE,B227:E227),SF_Output!$AC$1:$AC$400,0))=0,INDEX(SF_Output!$R$1:$R$400,MATCH(_xlfn.TEXTJOIN(",",TRUE,B227:E227),SF_Output!$AC$1:$AC$400,0)))</f>
        <v/>
      </c>
      <c r="I227" s="125" t="str">
        <f>IFERROR(IF(AND(H227&gt;1,H227&lt;&gt;""),ROUND(SUMIFS(SF_Output!$S$1:$S$400,SF_Output!$AC$1:$AC$400,_xlfn.TEXTJOIN(",",TRUE,B227:E227),SF_Output!$Q$1:$Q$400,"monthly")*(1-W227)/H227,4),""),"")</f>
        <v/>
      </c>
      <c r="J227" s="6" t="str">
        <f>IF(B227="","",SUMIFS(SF_Output!$S$1:$S$400,SF_Output!$AC$1:$AC$400,_xlfn.TEXTJOIN(",",TRUE,B227:E227),SF_Output!$Q$1:$Q$400,"One Time",SF_Output!$L$1:$L$400,"license fee")+SUMIFS(SF_Output!$S$1:$S$400,SF_Output!$AC$1:$AC$400,_xlfn.TEXTJOIN(",",TRUE,B227:E227),SF_Output!$Q$1:$Q$400,"One Time",SF_Output!$L$1:$L$400,"software license")+SUMIFS(SF_Output!$S$1:$S$400,SF_Output!$AC$1:$AC$400,_xlfn.TEXTJOIN(",",TRUE,B227:E227),SF_Output!$Q$1:$Q$400,"One Time",SF_Output!$L$1:$L$400,"hardware"))</f>
        <v/>
      </c>
      <c r="K227" s="112" t="str">
        <f>IF(OR(B227=0,B227="",G227="hardware",J227=0),"",IF(AF227&lt;&gt;"exclusion",MAX(K$9,-((SUMIFS(SF_Output!$T$1:$T$400,SF_Output!$AC$1:$AC$400,_xlfn.TEXTJOIN(",",TRUE,$B227:$E227),SF_Output!$Q$1:$Q$400,"One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license"))/J227)))</f>
        <v/>
      </c>
      <c r="L227" s="6" t="str">
        <f t="shared" si="13"/>
        <v/>
      </c>
      <c r="N227" s="6" t="str">
        <f>IF(B227="","",SUMIFS(SF_Output!$S$1:$S$400,SF_Output!$AC$1:$AC$400,_xlfn.TEXTJOIN(",",TRUE,B227:E227),SF_Output!$Q$1:$Q$400,"One Time",SF_Output!$L$1:$L$400,"professional service"))</f>
        <v/>
      </c>
      <c r="O227" s="112" t="str">
        <f>IF(OR(B227=0,B227="",N227=0),"",IF(AF227&lt;&gt;"exclusion",MAX(O$9,-(SUMIFS(SF_Output!$T$1:$T$400,SF_Output!$AC$1:$AC$400,_xlfn.TEXTJOIN(",",TRUE,$B227:$E227),SF_Output!$Q$1:$Q$400,"One Time",SF_Output!$L$1:$L$400,"professional service"))/N227),-((SUMIFS(SF_Output!$T$1:$T$400,SF_Output!$AC$1:$AC$400,_xlfn.TEXTJOIN(",",TRUE,$B227:$E227),SF_Output!$Q$1:$Q$400,"One Time",SF_Output!$L$1:$L$400,"professional service")/N227))))</f>
        <v/>
      </c>
      <c r="P227" s="6" t="str">
        <f t="shared" si="14"/>
        <v/>
      </c>
      <c r="R227" s="6" t="str">
        <f>IF(B227="","",SUMIFS(SF_Output!$S$1:$S$400,SF_Output!$AC$1:$AC$400,_xlfn.TEXTJOIN(",",TRUE,B227:E227),SF_Output!$Q$1:$Q$400,"yearly")+SUMIFS(SF_Output!$S$1:$S$400,SF_Output!$AC$1:$AC$400,_xlfn.TEXTJOIN(",",TRUE,B227:E227),SF_Output!$Q$1:$Q$400,"quarterly")*4)</f>
        <v/>
      </c>
      <c r="S227" s="112" t="str">
        <f>IF(OR(B227=0,B227="",G227="hardware",R227=0),"",IF(AF227&lt;&gt;"exclusion",MAX(S$9,-(SUMIFS(SF_Output!$T$1:$T$400,SF_Output!$AC$1:$AC$400,_xlfn.TEXTJOIN(",",TRUE,$B227:$E227),SF_Output!$Q$1:$Q$400,"yearly"))/R227),-((SUMIFS(SF_Output!$T$1:$T$400,SF_Output!$AC$1:$AC$400,_xlfn.TEXTJOIN(",",TRUE,$B227:$E227),SF_Output!$Q$1:$Q$400,"yearly")/R227))))</f>
        <v/>
      </c>
      <c r="T227" s="6" t="str">
        <f t="shared" si="15"/>
        <v/>
      </c>
      <c r="V227" s="6" t="str" cm="1">
        <f t="array" ref="V227">_xlfn.IFS(B227="","",AND(B227&lt;&gt;"",H227=SF_Output!$Y$2,SUMIFS(SF_Output!$T$1:$T$400,SF_Output!$AC$1:$AC$400,_xlfn.TEXTJOIN(",",TRUE,B227:E227),SF_Output!$Q$1:$Q$400,"monthly")=0),(SUMIFS(SF_Output!$F$1:$F$400,SF_Output!$AC$1:$AC$400,_xlfn.TEXTJOIN(",",TRUE,B227:E227),SF_Output!$Q$1:$Q$400,"monthly")+SUMIFS(SF_Output!$G$1:$G$400,SF_Output!$AC$1:$AC$400,_xlfn.TEXTJOIN(",",TRUE,B227:E227),SF_Output!$Q$1:$Q$400,"monthly"))*H227,AND(B227&lt;&gt;"",H227=SF_Output!$Y$2,SUMIFS(SF_Output!$T$1:$T$400,SF_Output!$AC$1:$AC$400,_xlfn.TEXTJOIN(",",TRUE,B227:E227),SF_Output!$Q$1:$Q$400,"monthly")&lt;&gt;0),SUMIFS(SF_Output!$S$1:$S$400,SF_Output!$AC$1:$AC$400,_xlfn.TEXTJOIN(",",TRUE,B227:E227),SF_Output!$Q$1:$Q$400,"monthly"),AND(B227&lt;&gt;"",H227&lt;&gt;SF_Output!$Y$2),SUMIFS(SF_Output!$S$1:$S$400,SF_Output!$AC$1:$AC$400,_xlfn.TEXTJOIN(",",TRUE,B227:E227),SF_Output!$Q$1:$Q$400,"monthly"))</f>
        <v/>
      </c>
      <c r="W227" s="112" t="str" cm="1">
        <f t="array" ref="W227">_xlfn.IFS(OR(B227=0,B227="",V227=0),"",AF227&lt;&gt;"exclusion",MAX($W$9,$W$7,(-(SUMIFS(SF_Output!$T$1:$T$400,SF_Output!$AC$1:$AC$400,_xlfn.TEXTJOIN(",",TRUE,$B227:$E227),SF_Output!$Q$1:$Q$400,"monthly"))/V227)),AF227="exclusion",-(SUMIFS(SF_Output!$T$1:$T$400,SF_Output!$AC$1:$AC$400,_xlfn.TEXTJOIN(",",TRUE,$B227:$E227),SF_Output!$Q$1:$Q$400,"monthly"))/V227)</f>
        <v/>
      </c>
      <c r="X227" s="6" t="str" cm="1">
        <f t="array" ref="X227">IFERROR(_xlfn.IFS(V227=0,0,V227="","",W227=0,V227,OR(V227&lt;&gt;0,V227&lt;&gt;""),H227*I227),V227*(1-W227))</f>
        <v/>
      </c>
    </row>
    <row r="228" spans="6:24" x14ac:dyDescent="0.25">
      <c r="F228" s="116" t="str">
        <f t="shared" si="12"/>
        <v/>
      </c>
      <c r="G228" t="str">
        <f>IF(B228="","",INDEX(SF_Output!$K$1:$K$400,MATCH(B228,SF_Output!$M$1:$M$400,0)))</f>
        <v/>
      </c>
      <c r="H228" t="str" cm="1">
        <f t="array" ref="H228">_xlfn.IFS(B228="","",(SUMIFS(SF_Output!$F$1:$F$400,SF_Output!$AC$1:$AC$400,_xlfn.TEXTJOIN(",",TRUE,B228:E228))+SUMIFS(SF_Output!$G$1:$G$400,SF_Output!$AC$1:$AC$400,_xlfn.TEXTJOIN(",",TRUE,B228:E228)))&lt;&gt;0,SF_Output!$Y$2,INDEX(SF_Output!$F$1:$F$400,MATCH(_xlfn.TEXTJOIN(",",TRUE,B228:E228),SF_Output!$AC$1:$AC$400,0))=0,INDEX(SF_Output!$R$1:$R$400,MATCH(_xlfn.TEXTJOIN(",",TRUE,B228:E228),SF_Output!$AC$1:$AC$400,0)))</f>
        <v/>
      </c>
      <c r="I228" s="125" t="str">
        <f>IFERROR(IF(AND(H228&gt;1,H228&lt;&gt;""),ROUND(SUMIFS(SF_Output!$S$1:$S$400,SF_Output!$AC$1:$AC$400,_xlfn.TEXTJOIN(",",TRUE,B228:E228),SF_Output!$Q$1:$Q$400,"monthly")*(1-W228)/H228,4),""),"")</f>
        <v/>
      </c>
      <c r="J228" s="6" t="str">
        <f>IF(B228="","",SUMIFS(SF_Output!$S$1:$S$400,SF_Output!$AC$1:$AC$400,_xlfn.TEXTJOIN(",",TRUE,B228:E228),SF_Output!$Q$1:$Q$400,"One Time",SF_Output!$L$1:$L$400,"license fee")+SUMIFS(SF_Output!$S$1:$S$400,SF_Output!$AC$1:$AC$400,_xlfn.TEXTJOIN(",",TRUE,B228:E228),SF_Output!$Q$1:$Q$400,"One Time",SF_Output!$L$1:$L$400,"software license")+SUMIFS(SF_Output!$S$1:$S$400,SF_Output!$AC$1:$AC$400,_xlfn.TEXTJOIN(",",TRUE,B228:E228),SF_Output!$Q$1:$Q$400,"One Time",SF_Output!$L$1:$L$400,"hardware"))</f>
        <v/>
      </c>
      <c r="K228" s="112" t="str">
        <f>IF(OR(B228=0,B228="",G228="hardware",J228=0),"",IF(AF228&lt;&gt;"exclusion",MAX(K$9,-((SUMIFS(SF_Output!$T$1:$T$400,SF_Output!$AC$1:$AC$400,_xlfn.TEXTJOIN(",",TRUE,$B228:$E228),SF_Output!$Q$1:$Q$400,"One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license"))/J228)))</f>
        <v/>
      </c>
      <c r="L228" s="6" t="str">
        <f t="shared" si="13"/>
        <v/>
      </c>
      <c r="N228" s="6" t="str">
        <f>IF(B228="","",SUMIFS(SF_Output!$S$1:$S$400,SF_Output!$AC$1:$AC$400,_xlfn.TEXTJOIN(",",TRUE,B228:E228),SF_Output!$Q$1:$Q$400,"One Time",SF_Output!$L$1:$L$400,"professional service"))</f>
        <v/>
      </c>
      <c r="O228" s="112" t="str">
        <f>IF(OR(B228=0,B228="",N228=0),"",IF(AF228&lt;&gt;"exclusion",MAX(O$9,-(SUMIFS(SF_Output!$T$1:$T$400,SF_Output!$AC$1:$AC$400,_xlfn.TEXTJOIN(",",TRUE,$B228:$E228),SF_Output!$Q$1:$Q$400,"One Time",SF_Output!$L$1:$L$400,"professional service"))/N228),-((SUMIFS(SF_Output!$T$1:$T$400,SF_Output!$AC$1:$AC$400,_xlfn.TEXTJOIN(",",TRUE,$B228:$E228),SF_Output!$Q$1:$Q$400,"One Time",SF_Output!$L$1:$L$400,"professional service")/N228))))</f>
        <v/>
      </c>
      <c r="P228" s="6" t="str">
        <f t="shared" si="14"/>
        <v/>
      </c>
      <c r="R228" s="6" t="str">
        <f>IF(B228="","",SUMIFS(SF_Output!$S$1:$S$400,SF_Output!$AC$1:$AC$400,_xlfn.TEXTJOIN(",",TRUE,B228:E228),SF_Output!$Q$1:$Q$400,"yearly")+SUMIFS(SF_Output!$S$1:$S$400,SF_Output!$AC$1:$AC$400,_xlfn.TEXTJOIN(",",TRUE,B228:E228),SF_Output!$Q$1:$Q$400,"quarterly")*4)</f>
        <v/>
      </c>
      <c r="S228" s="112" t="str">
        <f>IF(OR(B228=0,B228="",G228="hardware",R228=0),"",IF(AF228&lt;&gt;"exclusion",MAX(S$9,-(SUMIFS(SF_Output!$T$1:$T$400,SF_Output!$AC$1:$AC$400,_xlfn.TEXTJOIN(",",TRUE,$B228:$E228),SF_Output!$Q$1:$Q$400,"yearly"))/R228),-((SUMIFS(SF_Output!$T$1:$T$400,SF_Output!$AC$1:$AC$400,_xlfn.TEXTJOIN(",",TRUE,$B228:$E228),SF_Output!$Q$1:$Q$400,"yearly")/R228))))</f>
        <v/>
      </c>
      <c r="T228" s="6" t="str">
        <f t="shared" si="15"/>
        <v/>
      </c>
      <c r="V228" s="6" t="str" cm="1">
        <f t="array" ref="V228">_xlfn.IFS(B228="","",AND(B228&lt;&gt;"",H228=SF_Output!$Y$2,SUMIFS(SF_Output!$T$1:$T$400,SF_Output!$AC$1:$AC$400,_xlfn.TEXTJOIN(",",TRUE,B228:E228),SF_Output!$Q$1:$Q$400,"monthly")=0),(SUMIFS(SF_Output!$F$1:$F$400,SF_Output!$AC$1:$AC$400,_xlfn.TEXTJOIN(",",TRUE,B228:E228),SF_Output!$Q$1:$Q$400,"monthly")+SUMIFS(SF_Output!$G$1:$G$400,SF_Output!$AC$1:$AC$400,_xlfn.TEXTJOIN(",",TRUE,B228:E228),SF_Output!$Q$1:$Q$400,"monthly"))*H228,AND(B228&lt;&gt;"",H228=SF_Output!$Y$2,SUMIFS(SF_Output!$T$1:$T$400,SF_Output!$AC$1:$AC$400,_xlfn.TEXTJOIN(",",TRUE,B228:E228),SF_Output!$Q$1:$Q$400,"monthly")&lt;&gt;0),SUMIFS(SF_Output!$S$1:$S$400,SF_Output!$AC$1:$AC$400,_xlfn.TEXTJOIN(",",TRUE,B228:E228),SF_Output!$Q$1:$Q$400,"monthly"),AND(B228&lt;&gt;"",H228&lt;&gt;SF_Output!$Y$2),SUMIFS(SF_Output!$S$1:$S$400,SF_Output!$AC$1:$AC$400,_xlfn.TEXTJOIN(",",TRUE,B228:E228),SF_Output!$Q$1:$Q$400,"monthly"))</f>
        <v/>
      </c>
      <c r="W228" s="112" t="str" cm="1">
        <f t="array" ref="W228">_xlfn.IFS(OR(B228=0,B228="",V228=0),"",AF228&lt;&gt;"exclusion",MAX($W$9,$W$7,(-(SUMIFS(SF_Output!$T$1:$T$400,SF_Output!$AC$1:$AC$400,_xlfn.TEXTJOIN(",",TRUE,$B228:$E228),SF_Output!$Q$1:$Q$400,"monthly"))/V228)),AF228="exclusion",-(SUMIFS(SF_Output!$T$1:$T$400,SF_Output!$AC$1:$AC$400,_xlfn.TEXTJOIN(",",TRUE,$B228:$E228),SF_Output!$Q$1:$Q$400,"monthly"))/V228)</f>
        <v/>
      </c>
      <c r="X228" s="6" t="str" cm="1">
        <f t="array" ref="X228">IFERROR(_xlfn.IFS(V228=0,0,V228="","",W228=0,V228,OR(V228&lt;&gt;0,V228&lt;&gt;""),H228*I228),V228*(1-W228))</f>
        <v/>
      </c>
    </row>
    <row r="229" spans="6:24" x14ac:dyDescent="0.25">
      <c r="F229" s="116" t="str">
        <f t="shared" si="12"/>
        <v/>
      </c>
      <c r="G229" t="str">
        <f>IF(B229="","",INDEX(SF_Output!$K$1:$K$400,MATCH(B229,SF_Output!$M$1:$M$400,0)))</f>
        <v/>
      </c>
      <c r="H229" t="str" cm="1">
        <f t="array" ref="H229">_xlfn.IFS(B229="","",(SUMIFS(SF_Output!$F$1:$F$400,SF_Output!$AC$1:$AC$400,_xlfn.TEXTJOIN(",",TRUE,B229:E229))+SUMIFS(SF_Output!$G$1:$G$400,SF_Output!$AC$1:$AC$400,_xlfn.TEXTJOIN(",",TRUE,B229:E229)))&lt;&gt;0,SF_Output!$Y$2,INDEX(SF_Output!$F$1:$F$400,MATCH(_xlfn.TEXTJOIN(",",TRUE,B229:E229),SF_Output!$AC$1:$AC$400,0))=0,INDEX(SF_Output!$R$1:$R$400,MATCH(_xlfn.TEXTJOIN(",",TRUE,B229:E229),SF_Output!$AC$1:$AC$400,0)))</f>
        <v/>
      </c>
      <c r="I229" s="125" t="str">
        <f>IFERROR(IF(AND(H229&gt;1,H229&lt;&gt;""),ROUND(SUMIFS(SF_Output!$S$1:$S$400,SF_Output!$AC$1:$AC$400,_xlfn.TEXTJOIN(",",TRUE,B229:E229),SF_Output!$Q$1:$Q$400,"monthly")*(1-W229)/H229,4),""),"")</f>
        <v/>
      </c>
      <c r="J229" s="6" t="str">
        <f>IF(B229="","",SUMIFS(SF_Output!$S$1:$S$400,SF_Output!$AC$1:$AC$400,_xlfn.TEXTJOIN(",",TRUE,B229:E229),SF_Output!$Q$1:$Q$400,"One Time",SF_Output!$L$1:$L$400,"license fee")+SUMIFS(SF_Output!$S$1:$S$400,SF_Output!$AC$1:$AC$400,_xlfn.TEXTJOIN(",",TRUE,B229:E229),SF_Output!$Q$1:$Q$400,"One Time",SF_Output!$L$1:$L$400,"software license")+SUMIFS(SF_Output!$S$1:$S$400,SF_Output!$AC$1:$AC$400,_xlfn.TEXTJOIN(",",TRUE,B229:E229),SF_Output!$Q$1:$Q$400,"One Time",SF_Output!$L$1:$L$400,"hardware"))</f>
        <v/>
      </c>
      <c r="K229" s="112" t="str">
        <f>IF(OR(B229=0,B229="",G229="hardware",J229=0),"",IF(AF229&lt;&gt;"exclusion",MAX(K$9,-((SUMIFS(SF_Output!$T$1:$T$400,SF_Output!$AC$1:$AC$400,_xlfn.TEXTJOIN(",",TRUE,$B229:$E229),SF_Output!$Q$1:$Q$400,"One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license"))/J229)))</f>
        <v/>
      </c>
      <c r="L229" s="6" t="str">
        <f t="shared" si="13"/>
        <v/>
      </c>
      <c r="N229" s="6" t="str">
        <f>IF(B229="","",SUMIFS(SF_Output!$S$1:$S$400,SF_Output!$AC$1:$AC$400,_xlfn.TEXTJOIN(",",TRUE,B229:E229),SF_Output!$Q$1:$Q$400,"One Time",SF_Output!$L$1:$L$400,"professional service"))</f>
        <v/>
      </c>
      <c r="O229" s="112" t="str">
        <f>IF(OR(B229=0,B229="",N229=0),"",IF(AF229&lt;&gt;"exclusion",MAX(O$9,-(SUMIFS(SF_Output!$T$1:$T$400,SF_Output!$AC$1:$AC$400,_xlfn.TEXTJOIN(",",TRUE,$B229:$E229),SF_Output!$Q$1:$Q$400,"One Time",SF_Output!$L$1:$L$400,"professional service"))/N229),-((SUMIFS(SF_Output!$T$1:$T$400,SF_Output!$AC$1:$AC$400,_xlfn.TEXTJOIN(",",TRUE,$B229:$E229),SF_Output!$Q$1:$Q$400,"One Time",SF_Output!$L$1:$L$400,"professional service")/N229))))</f>
        <v/>
      </c>
      <c r="P229" s="6" t="str">
        <f t="shared" si="14"/>
        <v/>
      </c>
      <c r="R229" s="6" t="str">
        <f>IF(B229="","",SUMIFS(SF_Output!$S$1:$S$400,SF_Output!$AC$1:$AC$400,_xlfn.TEXTJOIN(",",TRUE,B229:E229),SF_Output!$Q$1:$Q$400,"yearly")+SUMIFS(SF_Output!$S$1:$S$400,SF_Output!$AC$1:$AC$400,_xlfn.TEXTJOIN(",",TRUE,B229:E229),SF_Output!$Q$1:$Q$400,"quarterly")*4)</f>
        <v/>
      </c>
      <c r="S229" s="112" t="str">
        <f>IF(OR(B229=0,B229="",G229="hardware",R229=0),"",IF(AF229&lt;&gt;"exclusion",MAX(S$9,-(SUMIFS(SF_Output!$T$1:$T$400,SF_Output!$AC$1:$AC$400,_xlfn.TEXTJOIN(",",TRUE,$B229:$E229),SF_Output!$Q$1:$Q$400,"yearly"))/R229),-((SUMIFS(SF_Output!$T$1:$T$400,SF_Output!$AC$1:$AC$400,_xlfn.TEXTJOIN(",",TRUE,$B229:$E229),SF_Output!$Q$1:$Q$400,"yearly")/R229))))</f>
        <v/>
      </c>
      <c r="T229" s="6" t="str">
        <f t="shared" si="15"/>
        <v/>
      </c>
      <c r="V229" s="6" t="str" cm="1">
        <f t="array" ref="V229">_xlfn.IFS(B229="","",AND(B229&lt;&gt;"",H229=SF_Output!$Y$2,SUMIFS(SF_Output!$T$1:$T$400,SF_Output!$AC$1:$AC$400,_xlfn.TEXTJOIN(",",TRUE,B229:E229),SF_Output!$Q$1:$Q$400,"monthly")=0),(SUMIFS(SF_Output!$F$1:$F$400,SF_Output!$AC$1:$AC$400,_xlfn.TEXTJOIN(",",TRUE,B229:E229),SF_Output!$Q$1:$Q$400,"monthly")+SUMIFS(SF_Output!$G$1:$G$400,SF_Output!$AC$1:$AC$400,_xlfn.TEXTJOIN(",",TRUE,B229:E229),SF_Output!$Q$1:$Q$400,"monthly"))*H229,AND(B229&lt;&gt;"",H229=SF_Output!$Y$2,SUMIFS(SF_Output!$T$1:$T$400,SF_Output!$AC$1:$AC$400,_xlfn.TEXTJOIN(",",TRUE,B229:E229),SF_Output!$Q$1:$Q$400,"monthly")&lt;&gt;0),SUMIFS(SF_Output!$S$1:$S$400,SF_Output!$AC$1:$AC$400,_xlfn.TEXTJOIN(",",TRUE,B229:E229),SF_Output!$Q$1:$Q$400,"monthly"),AND(B229&lt;&gt;"",H229&lt;&gt;SF_Output!$Y$2),SUMIFS(SF_Output!$S$1:$S$400,SF_Output!$AC$1:$AC$400,_xlfn.TEXTJOIN(",",TRUE,B229:E229),SF_Output!$Q$1:$Q$400,"monthly"))</f>
        <v/>
      </c>
      <c r="W229" s="112" t="str" cm="1">
        <f t="array" ref="W229">_xlfn.IFS(OR(B229=0,B229="",V229=0),"",AF229&lt;&gt;"exclusion",MAX($W$9,$W$7,(-(SUMIFS(SF_Output!$T$1:$T$400,SF_Output!$AC$1:$AC$400,_xlfn.TEXTJOIN(",",TRUE,$B229:$E229),SF_Output!$Q$1:$Q$400,"monthly"))/V229)),AF229="exclusion",-(SUMIFS(SF_Output!$T$1:$T$400,SF_Output!$AC$1:$AC$400,_xlfn.TEXTJOIN(",",TRUE,$B229:$E229),SF_Output!$Q$1:$Q$400,"monthly"))/V229)</f>
        <v/>
      </c>
      <c r="X229" s="6" t="str" cm="1">
        <f t="array" ref="X229">IFERROR(_xlfn.IFS(V229=0,0,V229="","",W229=0,V229,OR(V229&lt;&gt;0,V229&lt;&gt;""),H229*I229),V229*(1-W229))</f>
        <v/>
      </c>
    </row>
    <row r="230" spans="6:24" x14ac:dyDescent="0.25">
      <c r="F230" s="116" t="str">
        <f t="shared" si="12"/>
        <v/>
      </c>
      <c r="G230" t="str">
        <f>IF(B230="","",INDEX(SF_Output!$K$1:$K$400,MATCH(B230,SF_Output!$M$1:$M$400,0)))</f>
        <v/>
      </c>
      <c r="H230" t="str" cm="1">
        <f t="array" ref="H230">_xlfn.IFS(B230="","",(SUMIFS(SF_Output!$F$1:$F$400,SF_Output!$AC$1:$AC$400,_xlfn.TEXTJOIN(",",TRUE,B230:E230))+SUMIFS(SF_Output!$G$1:$G$400,SF_Output!$AC$1:$AC$400,_xlfn.TEXTJOIN(",",TRUE,B230:E230)))&lt;&gt;0,SF_Output!$Y$2,INDEX(SF_Output!$F$1:$F$400,MATCH(_xlfn.TEXTJOIN(",",TRUE,B230:E230),SF_Output!$AC$1:$AC$400,0))=0,INDEX(SF_Output!$R$1:$R$400,MATCH(_xlfn.TEXTJOIN(",",TRUE,B230:E230),SF_Output!$AC$1:$AC$400,0)))</f>
        <v/>
      </c>
      <c r="I230" s="125" t="str">
        <f>IFERROR(IF(AND(H230&gt;1,H230&lt;&gt;""),ROUND(SUMIFS(SF_Output!$S$1:$S$400,SF_Output!$AC$1:$AC$400,_xlfn.TEXTJOIN(",",TRUE,B230:E230),SF_Output!$Q$1:$Q$400,"monthly")*(1-W230)/H230,4),""),"")</f>
        <v/>
      </c>
      <c r="J230" s="6" t="str">
        <f>IF(B230="","",SUMIFS(SF_Output!$S$1:$S$400,SF_Output!$AC$1:$AC$400,_xlfn.TEXTJOIN(",",TRUE,B230:E230),SF_Output!$Q$1:$Q$400,"One Time",SF_Output!$L$1:$L$400,"license fee")+SUMIFS(SF_Output!$S$1:$S$400,SF_Output!$AC$1:$AC$400,_xlfn.TEXTJOIN(",",TRUE,B230:E230),SF_Output!$Q$1:$Q$400,"One Time",SF_Output!$L$1:$L$400,"software license")+SUMIFS(SF_Output!$S$1:$S$400,SF_Output!$AC$1:$AC$400,_xlfn.TEXTJOIN(",",TRUE,B230:E230),SF_Output!$Q$1:$Q$400,"One Time",SF_Output!$L$1:$L$400,"hardware"))</f>
        <v/>
      </c>
      <c r="K230" s="112" t="str">
        <f>IF(OR(B230=0,B230="",G230="hardware",J230=0),"",IF(AF230&lt;&gt;"exclusion",MAX(K$9,-((SUMIFS(SF_Output!$T$1:$T$400,SF_Output!$AC$1:$AC$400,_xlfn.TEXTJOIN(",",TRUE,$B230:$E230),SF_Output!$Q$1:$Q$400,"One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license"))/J230)))</f>
        <v/>
      </c>
      <c r="L230" s="6" t="str">
        <f t="shared" si="13"/>
        <v/>
      </c>
      <c r="N230" s="6" t="str">
        <f>IF(B230="","",SUMIFS(SF_Output!$S$1:$S$400,SF_Output!$AC$1:$AC$400,_xlfn.TEXTJOIN(",",TRUE,B230:E230),SF_Output!$Q$1:$Q$400,"One Time",SF_Output!$L$1:$L$400,"professional service"))</f>
        <v/>
      </c>
      <c r="O230" s="112" t="str">
        <f>IF(OR(B230=0,B230="",N230=0),"",IF(AF230&lt;&gt;"exclusion",MAX(O$9,-(SUMIFS(SF_Output!$T$1:$T$400,SF_Output!$AC$1:$AC$400,_xlfn.TEXTJOIN(",",TRUE,$B230:$E230),SF_Output!$Q$1:$Q$400,"One Time",SF_Output!$L$1:$L$400,"professional service"))/N230),-((SUMIFS(SF_Output!$T$1:$T$400,SF_Output!$AC$1:$AC$400,_xlfn.TEXTJOIN(",",TRUE,$B230:$E230),SF_Output!$Q$1:$Q$400,"One Time",SF_Output!$L$1:$L$400,"professional service")/N230))))</f>
        <v/>
      </c>
      <c r="P230" s="6" t="str">
        <f t="shared" si="14"/>
        <v/>
      </c>
      <c r="R230" s="6" t="str">
        <f>IF(B230="","",SUMIFS(SF_Output!$S$1:$S$400,SF_Output!$AC$1:$AC$400,_xlfn.TEXTJOIN(",",TRUE,B230:E230),SF_Output!$Q$1:$Q$400,"yearly")+SUMIFS(SF_Output!$S$1:$S$400,SF_Output!$AC$1:$AC$400,_xlfn.TEXTJOIN(",",TRUE,B230:E230),SF_Output!$Q$1:$Q$400,"quarterly")*4)</f>
        <v/>
      </c>
      <c r="S230" s="112" t="str">
        <f>IF(OR(B230=0,B230="",G230="hardware",R230=0),"",IF(AF230&lt;&gt;"exclusion",MAX(S$9,-(SUMIFS(SF_Output!$T$1:$T$400,SF_Output!$AC$1:$AC$400,_xlfn.TEXTJOIN(",",TRUE,$B230:$E230),SF_Output!$Q$1:$Q$400,"yearly"))/R230),-((SUMIFS(SF_Output!$T$1:$T$400,SF_Output!$AC$1:$AC$400,_xlfn.TEXTJOIN(",",TRUE,$B230:$E230),SF_Output!$Q$1:$Q$400,"yearly")/R230))))</f>
        <v/>
      </c>
      <c r="T230" s="6" t="str">
        <f t="shared" si="15"/>
        <v/>
      </c>
      <c r="V230" s="6" t="str" cm="1">
        <f t="array" ref="V230">_xlfn.IFS(B230="","",AND(B230&lt;&gt;"",H230=SF_Output!$Y$2,SUMIFS(SF_Output!$T$1:$T$400,SF_Output!$AC$1:$AC$400,_xlfn.TEXTJOIN(",",TRUE,B230:E230),SF_Output!$Q$1:$Q$400,"monthly")=0),(SUMIFS(SF_Output!$F$1:$F$400,SF_Output!$AC$1:$AC$400,_xlfn.TEXTJOIN(",",TRUE,B230:E230),SF_Output!$Q$1:$Q$400,"monthly")+SUMIFS(SF_Output!$G$1:$G$400,SF_Output!$AC$1:$AC$400,_xlfn.TEXTJOIN(",",TRUE,B230:E230),SF_Output!$Q$1:$Q$400,"monthly"))*H230,AND(B230&lt;&gt;"",H230=SF_Output!$Y$2,SUMIFS(SF_Output!$T$1:$T$400,SF_Output!$AC$1:$AC$400,_xlfn.TEXTJOIN(",",TRUE,B230:E230),SF_Output!$Q$1:$Q$400,"monthly")&lt;&gt;0),SUMIFS(SF_Output!$S$1:$S$400,SF_Output!$AC$1:$AC$400,_xlfn.TEXTJOIN(",",TRUE,B230:E230),SF_Output!$Q$1:$Q$400,"monthly"),AND(B230&lt;&gt;"",H230&lt;&gt;SF_Output!$Y$2),SUMIFS(SF_Output!$S$1:$S$400,SF_Output!$AC$1:$AC$400,_xlfn.TEXTJOIN(",",TRUE,B230:E230),SF_Output!$Q$1:$Q$400,"monthly"))</f>
        <v/>
      </c>
      <c r="W230" s="112" t="str" cm="1">
        <f t="array" ref="W230">_xlfn.IFS(OR(B230=0,B230="",V230=0),"",AF230&lt;&gt;"exclusion",MAX($W$9,$W$7,(-(SUMIFS(SF_Output!$T$1:$T$400,SF_Output!$AC$1:$AC$400,_xlfn.TEXTJOIN(",",TRUE,$B230:$E230),SF_Output!$Q$1:$Q$400,"monthly"))/V230)),AF230="exclusion",-(SUMIFS(SF_Output!$T$1:$T$400,SF_Output!$AC$1:$AC$400,_xlfn.TEXTJOIN(",",TRUE,$B230:$E230),SF_Output!$Q$1:$Q$400,"monthly"))/V230)</f>
        <v/>
      </c>
      <c r="X230" s="6" t="str" cm="1">
        <f t="array" ref="X230">IFERROR(_xlfn.IFS(V230=0,0,V230="","",W230=0,V230,OR(V230&lt;&gt;0,V230&lt;&gt;""),H230*I230),V230*(1-W230))</f>
        <v/>
      </c>
    </row>
    <row r="231" spans="6:24" x14ac:dyDescent="0.25">
      <c r="F231" s="116" t="str">
        <f t="shared" si="12"/>
        <v/>
      </c>
      <c r="G231" t="str">
        <f>IF(B231="","",INDEX(SF_Output!$K$1:$K$400,MATCH(B231,SF_Output!$M$1:$M$400,0)))</f>
        <v/>
      </c>
      <c r="H231" t="str" cm="1">
        <f t="array" ref="H231">_xlfn.IFS(B231="","",(SUMIFS(SF_Output!$F$1:$F$400,SF_Output!$AC$1:$AC$400,_xlfn.TEXTJOIN(",",TRUE,B231:E231))+SUMIFS(SF_Output!$G$1:$G$400,SF_Output!$AC$1:$AC$400,_xlfn.TEXTJOIN(",",TRUE,B231:E231)))&lt;&gt;0,SF_Output!$Y$2,INDEX(SF_Output!$F$1:$F$400,MATCH(_xlfn.TEXTJOIN(",",TRUE,B231:E231),SF_Output!$AC$1:$AC$400,0))=0,INDEX(SF_Output!$R$1:$R$400,MATCH(_xlfn.TEXTJOIN(",",TRUE,B231:E231),SF_Output!$AC$1:$AC$400,0)))</f>
        <v/>
      </c>
      <c r="I231" s="125" t="str">
        <f>IFERROR(IF(AND(H231&gt;1,H231&lt;&gt;""),ROUND(SUMIFS(SF_Output!$S$1:$S$400,SF_Output!$AC$1:$AC$400,_xlfn.TEXTJOIN(",",TRUE,B231:E231),SF_Output!$Q$1:$Q$400,"monthly")*(1-W231)/H231,4),""),"")</f>
        <v/>
      </c>
      <c r="J231" s="6" t="str">
        <f>IF(B231="","",SUMIFS(SF_Output!$S$1:$S$400,SF_Output!$AC$1:$AC$400,_xlfn.TEXTJOIN(",",TRUE,B231:E231),SF_Output!$Q$1:$Q$400,"One Time",SF_Output!$L$1:$L$400,"license fee")+SUMIFS(SF_Output!$S$1:$S$400,SF_Output!$AC$1:$AC$400,_xlfn.TEXTJOIN(",",TRUE,B231:E231),SF_Output!$Q$1:$Q$400,"One Time",SF_Output!$L$1:$L$400,"software license")+SUMIFS(SF_Output!$S$1:$S$400,SF_Output!$AC$1:$AC$400,_xlfn.TEXTJOIN(",",TRUE,B231:E231),SF_Output!$Q$1:$Q$400,"One Time",SF_Output!$L$1:$L$400,"hardware"))</f>
        <v/>
      </c>
      <c r="K231" s="112" t="str">
        <f>IF(OR(B231=0,B231="",G231="hardware",J231=0),"",IF(AF231&lt;&gt;"exclusion",MAX(K$9,-((SUMIFS(SF_Output!$T$1:$T$400,SF_Output!$AC$1:$AC$400,_xlfn.TEXTJOIN(",",TRUE,$B231:$E231),SF_Output!$Q$1:$Q$400,"One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license"))/J231)))</f>
        <v/>
      </c>
      <c r="L231" s="6" t="str">
        <f t="shared" si="13"/>
        <v/>
      </c>
      <c r="N231" s="6" t="str">
        <f>IF(B231="","",SUMIFS(SF_Output!$S$1:$S$400,SF_Output!$AC$1:$AC$400,_xlfn.TEXTJOIN(",",TRUE,B231:E231),SF_Output!$Q$1:$Q$400,"One Time",SF_Output!$L$1:$L$400,"professional service"))</f>
        <v/>
      </c>
      <c r="O231" s="112" t="str">
        <f>IF(OR(B231=0,B231="",N231=0),"",IF(AF231&lt;&gt;"exclusion",MAX(O$9,-(SUMIFS(SF_Output!$T$1:$T$400,SF_Output!$AC$1:$AC$400,_xlfn.TEXTJOIN(",",TRUE,$B231:$E231),SF_Output!$Q$1:$Q$400,"One Time",SF_Output!$L$1:$L$400,"professional service"))/N231),-((SUMIFS(SF_Output!$T$1:$T$400,SF_Output!$AC$1:$AC$400,_xlfn.TEXTJOIN(",",TRUE,$B231:$E231),SF_Output!$Q$1:$Q$400,"One Time",SF_Output!$L$1:$L$400,"professional service")/N231))))</f>
        <v/>
      </c>
      <c r="P231" s="6" t="str">
        <f t="shared" si="14"/>
        <v/>
      </c>
      <c r="R231" s="6" t="str">
        <f>IF(B231="","",SUMIFS(SF_Output!$S$1:$S$400,SF_Output!$AC$1:$AC$400,_xlfn.TEXTJOIN(",",TRUE,B231:E231),SF_Output!$Q$1:$Q$400,"yearly")+SUMIFS(SF_Output!$S$1:$S$400,SF_Output!$AC$1:$AC$400,_xlfn.TEXTJOIN(",",TRUE,B231:E231),SF_Output!$Q$1:$Q$400,"quarterly")*4)</f>
        <v/>
      </c>
      <c r="S231" s="112" t="str">
        <f>IF(OR(B231=0,B231="",G231="hardware",R231=0),"",IF(AF231&lt;&gt;"exclusion",MAX(S$9,-(SUMIFS(SF_Output!$T$1:$T$400,SF_Output!$AC$1:$AC$400,_xlfn.TEXTJOIN(",",TRUE,$B231:$E231),SF_Output!$Q$1:$Q$400,"yearly"))/R231),-((SUMIFS(SF_Output!$T$1:$T$400,SF_Output!$AC$1:$AC$400,_xlfn.TEXTJOIN(",",TRUE,$B231:$E231),SF_Output!$Q$1:$Q$400,"yearly")/R231))))</f>
        <v/>
      </c>
      <c r="T231" s="6" t="str">
        <f t="shared" si="15"/>
        <v/>
      </c>
      <c r="V231" s="6" t="str" cm="1">
        <f t="array" ref="V231">_xlfn.IFS(B231="","",AND(B231&lt;&gt;"",H231=SF_Output!$Y$2,SUMIFS(SF_Output!$T$1:$T$400,SF_Output!$AC$1:$AC$400,_xlfn.TEXTJOIN(",",TRUE,B231:E231),SF_Output!$Q$1:$Q$400,"monthly")=0),(SUMIFS(SF_Output!$F$1:$F$400,SF_Output!$AC$1:$AC$400,_xlfn.TEXTJOIN(",",TRUE,B231:E231),SF_Output!$Q$1:$Q$400,"monthly")+SUMIFS(SF_Output!$G$1:$G$400,SF_Output!$AC$1:$AC$400,_xlfn.TEXTJOIN(",",TRUE,B231:E231),SF_Output!$Q$1:$Q$400,"monthly"))*H231,AND(B231&lt;&gt;"",H231=SF_Output!$Y$2,SUMIFS(SF_Output!$T$1:$T$400,SF_Output!$AC$1:$AC$400,_xlfn.TEXTJOIN(",",TRUE,B231:E231),SF_Output!$Q$1:$Q$400,"monthly")&lt;&gt;0),SUMIFS(SF_Output!$S$1:$S$400,SF_Output!$AC$1:$AC$400,_xlfn.TEXTJOIN(",",TRUE,B231:E231),SF_Output!$Q$1:$Q$400,"monthly"),AND(B231&lt;&gt;"",H231&lt;&gt;SF_Output!$Y$2),SUMIFS(SF_Output!$S$1:$S$400,SF_Output!$AC$1:$AC$400,_xlfn.TEXTJOIN(",",TRUE,B231:E231),SF_Output!$Q$1:$Q$400,"monthly"))</f>
        <v/>
      </c>
      <c r="W231" s="112" t="str" cm="1">
        <f t="array" ref="W231">_xlfn.IFS(OR(B231=0,B231="",V231=0),"",AF231&lt;&gt;"exclusion",MAX($W$9,$W$7,(-(SUMIFS(SF_Output!$T$1:$T$400,SF_Output!$AC$1:$AC$400,_xlfn.TEXTJOIN(",",TRUE,$B231:$E231),SF_Output!$Q$1:$Q$400,"monthly"))/V231)),AF231="exclusion",-(SUMIFS(SF_Output!$T$1:$T$400,SF_Output!$AC$1:$AC$400,_xlfn.TEXTJOIN(",",TRUE,$B231:$E231),SF_Output!$Q$1:$Q$400,"monthly"))/V231)</f>
        <v/>
      </c>
      <c r="X231" s="6" t="str" cm="1">
        <f t="array" ref="X231">IFERROR(_xlfn.IFS(V231=0,0,V231="","",W231=0,V231,OR(V231&lt;&gt;0,V231&lt;&gt;""),H231*I231),V231*(1-W231))</f>
        <v/>
      </c>
    </row>
    <row r="232" spans="6:24" x14ac:dyDescent="0.25">
      <c r="F232" s="116" t="str">
        <f t="shared" si="12"/>
        <v/>
      </c>
      <c r="G232" t="str">
        <f>IF(B232="","",INDEX(SF_Output!$K$1:$K$400,MATCH(B232,SF_Output!$M$1:$M$400,0)))</f>
        <v/>
      </c>
      <c r="H232" t="str" cm="1">
        <f t="array" ref="H232">_xlfn.IFS(B232="","",(SUMIFS(SF_Output!$F$1:$F$400,SF_Output!$AC$1:$AC$400,_xlfn.TEXTJOIN(",",TRUE,B232:E232))+SUMIFS(SF_Output!$G$1:$G$400,SF_Output!$AC$1:$AC$400,_xlfn.TEXTJOIN(",",TRUE,B232:E232)))&lt;&gt;0,SF_Output!$Y$2,INDEX(SF_Output!$F$1:$F$400,MATCH(_xlfn.TEXTJOIN(",",TRUE,B232:E232),SF_Output!$AC$1:$AC$400,0))=0,INDEX(SF_Output!$R$1:$R$400,MATCH(_xlfn.TEXTJOIN(",",TRUE,B232:E232),SF_Output!$AC$1:$AC$400,0)))</f>
        <v/>
      </c>
      <c r="I232" s="125" t="str">
        <f>IFERROR(IF(AND(H232&gt;1,H232&lt;&gt;""),ROUND(SUMIFS(SF_Output!$S$1:$S$400,SF_Output!$AC$1:$AC$400,_xlfn.TEXTJOIN(",",TRUE,B232:E232),SF_Output!$Q$1:$Q$400,"monthly")*(1-W232)/H232,4),""),"")</f>
        <v/>
      </c>
      <c r="J232" s="6" t="str">
        <f>IF(B232="","",SUMIFS(SF_Output!$S$1:$S$400,SF_Output!$AC$1:$AC$400,_xlfn.TEXTJOIN(",",TRUE,B232:E232),SF_Output!$Q$1:$Q$400,"One Time",SF_Output!$L$1:$L$400,"license fee")+SUMIFS(SF_Output!$S$1:$S$400,SF_Output!$AC$1:$AC$400,_xlfn.TEXTJOIN(",",TRUE,B232:E232),SF_Output!$Q$1:$Q$400,"One Time",SF_Output!$L$1:$L$400,"software license")+SUMIFS(SF_Output!$S$1:$S$400,SF_Output!$AC$1:$AC$400,_xlfn.TEXTJOIN(",",TRUE,B232:E232),SF_Output!$Q$1:$Q$400,"One Time",SF_Output!$L$1:$L$400,"hardware"))</f>
        <v/>
      </c>
      <c r="K232" s="112" t="str">
        <f>IF(OR(B232=0,B232="",G232="hardware",J232=0),"",IF(AF232&lt;&gt;"exclusion",MAX(K$9,-((SUMIFS(SF_Output!$T$1:$T$400,SF_Output!$AC$1:$AC$400,_xlfn.TEXTJOIN(",",TRUE,$B232:$E232),SF_Output!$Q$1:$Q$400,"One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license"))/J232)))</f>
        <v/>
      </c>
      <c r="L232" s="6" t="str">
        <f t="shared" si="13"/>
        <v/>
      </c>
      <c r="N232" s="6" t="str">
        <f>IF(B232="","",SUMIFS(SF_Output!$S$1:$S$400,SF_Output!$AC$1:$AC$400,_xlfn.TEXTJOIN(",",TRUE,B232:E232),SF_Output!$Q$1:$Q$400,"One Time",SF_Output!$L$1:$L$400,"professional service"))</f>
        <v/>
      </c>
      <c r="O232" s="112" t="str">
        <f>IF(OR(B232=0,B232="",N232=0),"",IF(AF232&lt;&gt;"exclusion",MAX(O$9,-(SUMIFS(SF_Output!$T$1:$T$400,SF_Output!$AC$1:$AC$400,_xlfn.TEXTJOIN(",",TRUE,$B232:$E232),SF_Output!$Q$1:$Q$400,"One Time",SF_Output!$L$1:$L$400,"professional service"))/N232),-((SUMIFS(SF_Output!$T$1:$T$400,SF_Output!$AC$1:$AC$400,_xlfn.TEXTJOIN(",",TRUE,$B232:$E232),SF_Output!$Q$1:$Q$400,"One Time",SF_Output!$L$1:$L$400,"professional service")/N232))))</f>
        <v/>
      </c>
      <c r="P232" s="6" t="str">
        <f t="shared" si="14"/>
        <v/>
      </c>
      <c r="R232" s="6" t="str">
        <f>IF(B232="","",SUMIFS(SF_Output!$S$1:$S$400,SF_Output!$AC$1:$AC$400,_xlfn.TEXTJOIN(",",TRUE,B232:E232),SF_Output!$Q$1:$Q$400,"yearly")+SUMIFS(SF_Output!$S$1:$S$400,SF_Output!$AC$1:$AC$400,_xlfn.TEXTJOIN(",",TRUE,B232:E232),SF_Output!$Q$1:$Q$400,"quarterly")*4)</f>
        <v/>
      </c>
      <c r="S232" s="112" t="str">
        <f>IF(OR(B232=0,B232="",G232="hardware",R232=0),"",IF(AF232&lt;&gt;"exclusion",MAX(S$9,-(SUMIFS(SF_Output!$T$1:$T$400,SF_Output!$AC$1:$AC$400,_xlfn.TEXTJOIN(",",TRUE,$B232:$E232),SF_Output!$Q$1:$Q$400,"yearly"))/R232),-((SUMIFS(SF_Output!$T$1:$T$400,SF_Output!$AC$1:$AC$400,_xlfn.TEXTJOIN(",",TRUE,$B232:$E232),SF_Output!$Q$1:$Q$400,"yearly")/R232))))</f>
        <v/>
      </c>
      <c r="T232" s="6" t="str">
        <f t="shared" si="15"/>
        <v/>
      </c>
      <c r="V232" s="6" t="str" cm="1">
        <f t="array" ref="V232">_xlfn.IFS(B232="","",AND(B232&lt;&gt;"",H232=SF_Output!$Y$2,SUMIFS(SF_Output!$T$1:$T$400,SF_Output!$AC$1:$AC$400,_xlfn.TEXTJOIN(",",TRUE,B232:E232),SF_Output!$Q$1:$Q$400,"monthly")=0),(SUMIFS(SF_Output!$F$1:$F$400,SF_Output!$AC$1:$AC$400,_xlfn.TEXTJOIN(",",TRUE,B232:E232),SF_Output!$Q$1:$Q$400,"monthly")+SUMIFS(SF_Output!$G$1:$G$400,SF_Output!$AC$1:$AC$400,_xlfn.TEXTJOIN(",",TRUE,B232:E232),SF_Output!$Q$1:$Q$400,"monthly"))*H232,AND(B232&lt;&gt;"",H232=SF_Output!$Y$2,SUMIFS(SF_Output!$T$1:$T$400,SF_Output!$AC$1:$AC$400,_xlfn.TEXTJOIN(",",TRUE,B232:E232),SF_Output!$Q$1:$Q$400,"monthly")&lt;&gt;0),SUMIFS(SF_Output!$S$1:$S$400,SF_Output!$AC$1:$AC$400,_xlfn.TEXTJOIN(",",TRUE,B232:E232),SF_Output!$Q$1:$Q$400,"monthly"),AND(B232&lt;&gt;"",H232&lt;&gt;SF_Output!$Y$2),SUMIFS(SF_Output!$S$1:$S$400,SF_Output!$AC$1:$AC$400,_xlfn.TEXTJOIN(",",TRUE,B232:E232),SF_Output!$Q$1:$Q$400,"monthly"))</f>
        <v/>
      </c>
      <c r="W232" s="112" t="str" cm="1">
        <f t="array" ref="W232">_xlfn.IFS(OR(B232=0,B232="",V232=0),"",AF232&lt;&gt;"exclusion",MAX($W$9,$W$7,(-(SUMIFS(SF_Output!$T$1:$T$400,SF_Output!$AC$1:$AC$400,_xlfn.TEXTJOIN(",",TRUE,$B232:$E232),SF_Output!$Q$1:$Q$400,"monthly"))/V232)),AF232="exclusion",-(SUMIFS(SF_Output!$T$1:$T$400,SF_Output!$AC$1:$AC$400,_xlfn.TEXTJOIN(",",TRUE,$B232:$E232),SF_Output!$Q$1:$Q$400,"monthly"))/V232)</f>
        <v/>
      </c>
      <c r="X232" s="6" t="str" cm="1">
        <f t="array" ref="X232">IFERROR(_xlfn.IFS(V232=0,0,V232="","",W232=0,V232,OR(V232&lt;&gt;0,V232&lt;&gt;""),H232*I232),V232*(1-W232))</f>
        <v/>
      </c>
    </row>
    <row r="233" spans="6:24" x14ac:dyDescent="0.25">
      <c r="F233" s="116" t="str">
        <f t="shared" si="12"/>
        <v/>
      </c>
      <c r="G233" t="str">
        <f>IF(B233="","",INDEX(SF_Output!$K$1:$K$400,MATCH(B233,SF_Output!$M$1:$M$400,0)))</f>
        <v/>
      </c>
      <c r="H233" t="str" cm="1">
        <f t="array" ref="H233">_xlfn.IFS(B233="","",(SUMIFS(SF_Output!$F$1:$F$400,SF_Output!$AC$1:$AC$400,_xlfn.TEXTJOIN(",",TRUE,B233:E233))+SUMIFS(SF_Output!$G$1:$G$400,SF_Output!$AC$1:$AC$400,_xlfn.TEXTJOIN(",",TRUE,B233:E233)))&lt;&gt;0,SF_Output!$Y$2,INDEX(SF_Output!$F$1:$F$400,MATCH(_xlfn.TEXTJOIN(",",TRUE,B233:E233),SF_Output!$AC$1:$AC$400,0))=0,INDEX(SF_Output!$R$1:$R$400,MATCH(_xlfn.TEXTJOIN(",",TRUE,B233:E233),SF_Output!$AC$1:$AC$400,0)))</f>
        <v/>
      </c>
      <c r="I233" s="125" t="str">
        <f>IFERROR(IF(AND(H233&gt;1,H233&lt;&gt;""),ROUND(SUMIFS(SF_Output!$S$1:$S$400,SF_Output!$AC$1:$AC$400,_xlfn.TEXTJOIN(",",TRUE,B233:E233),SF_Output!$Q$1:$Q$400,"monthly")*(1-W233)/H233,4),""),"")</f>
        <v/>
      </c>
      <c r="J233" s="6" t="str">
        <f>IF(B233="","",SUMIFS(SF_Output!$S$1:$S$400,SF_Output!$AC$1:$AC$400,_xlfn.TEXTJOIN(",",TRUE,B233:E233),SF_Output!$Q$1:$Q$400,"One Time",SF_Output!$L$1:$L$400,"license fee")+SUMIFS(SF_Output!$S$1:$S$400,SF_Output!$AC$1:$AC$400,_xlfn.TEXTJOIN(",",TRUE,B233:E233),SF_Output!$Q$1:$Q$400,"One Time",SF_Output!$L$1:$L$400,"software license")+SUMIFS(SF_Output!$S$1:$S$400,SF_Output!$AC$1:$AC$400,_xlfn.TEXTJOIN(",",TRUE,B233:E233),SF_Output!$Q$1:$Q$400,"One Time",SF_Output!$L$1:$L$400,"hardware"))</f>
        <v/>
      </c>
      <c r="K233" s="112" t="str">
        <f>IF(OR(B233=0,B233="",G233="hardware",J233=0),"",IF(AF233&lt;&gt;"exclusion",MAX(K$9,-((SUMIFS(SF_Output!$T$1:$T$400,SF_Output!$AC$1:$AC$400,_xlfn.TEXTJOIN(",",TRUE,$B233:$E233),SF_Output!$Q$1:$Q$400,"One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license"))/J233)))</f>
        <v/>
      </c>
      <c r="L233" s="6" t="str">
        <f t="shared" si="13"/>
        <v/>
      </c>
      <c r="N233" s="6" t="str">
        <f>IF(B233="","",SUMIFS(SF_Output!$S$1:$S$400,SF_Output!$AC$1:$AC$400,_xlfn.TEXTJOIN(",",TRUE,B233:E233),SF_Output!$Q$1:$Q$400,"One Time",SF_Output!$L$1:$L$400,"professional service"))</f>
        <v/>
      </c>
      <c r="O233" s="112" t="str">
        <f>IF(OR(B233=0,B233="",N233=0),"",IF(AF233&lt;&gt;"exclusion",MAX(O$9,-(SUMIFS(SF_Output!$T$1:$T$400,SF_Output!$AC$1:$AC$400,_xlfn.TEXTJOIN(",",TRUE,$B233:$E233),SF_Output!$Q$1:$Q$400,"One Time",SF_Output!$L$1:$L$400,"professional service"))/N233),-((SUMIFS(SF_Output!$T$1:$T$400,SF_Output!$AC$1:$AC$400,_xlfn.TEXTJOIN(",",TRUE,$B233:$E233),SF_Output!$Q$1:$Q$400,"One Time",SF_Output!$L$1:$L$400,"professional service")/N233))))</f>
        <v/>
      </c>
      <c r="P233" s="6" t="str">
        <f t="shared" si="14"/>
        <v/>
      </c>
      <c r="R233" s="6" t="str">
        <f>IF(B233="","",SUMIFS(SF_Output!$S$1:$S$400,SF_Output!$AC$1:$AC$400,_xlfn.TEXTJOIN(",",TRUE,B233:E233),SF_Output!$Q$1:$Q$400,"yearly")+SUMIFS(SF_Output!$S$1:$S$400,SF_Output!$AC$1:$AC$400,_xlfn.TEXTJOIN(",",TRUE,B233:E233),SF_Output!$Q$1:$Q$400,"quarterly")*4)</f>
        <v/>
      </c>
      <c r="S233" s="112" t="str">
        <f>IF(OR(B233=0,B233="",G233="hardware",R233=0),"",IF(AF233&lt;&gt;"exclusion",MAX(S$9,-(SUMIFS(SF_Output!$T$1:$T$400,SF_Output!$AC$1:$AC$400,_xlfn.TEXTJOIN(",",TRUE,$B233:$E233),SF_Output!$Q$1:$Q$400,"yearly"))/R233),-((SUMIFS(SF_Output!$T$1:$T$400,SF_Output!$AC$1:$AC$400,_xlfn.TEXTJOIN(",",TRUE,$B233:$E233),SF_Output!$Q$1:$Q$400,"yearly")/R233))))</f>
        <v/>
      </c>
      <c r="T233" s="6" t="str">
        <f t="shared" si="15"/>
        <v/>
      </c>
      <c r="V233" s="6" t="str" cm="1">
        <f t="array" ref="V233">_xlfn.IFS(B233="","",AND(B233&lt;&gt;"",H233=SF_Output!$Y$2,SUMIFS(SF_Output!$T$1:$T$400,SF_Output!$AC$1:$AC$400,_xlfn.TEXTJOIN(",",TRUE,B233:E233),SF_Output!$Q$1:$Q$400,"monthly")=0),(SUMIFS(SF_Output!$F$1:$F$400,SF_Output!$AC$1:$AC$400,_xlfn.TEXTJOIN(",",TRUE,B233:E233),SF_Output!$Q$1:$Q$400,"monthly")+SUMIFS(SF_Output!$G$1:$G$400,SF_Output!$AC$1:$AC$400,_xlfn.TEXTJOIN(",",TRUE,B233:E233),SF_Output!$Q$1:$Q$400,"monthly"))*H233,AND(B233&lt;&gt;"",H233=SF_Output!$Y$2,SUMIFS(SF_Output!$T$1:$T$400,SF_Output!$AC$1:$AC$400,_xlfn.TEXTJOIN(",",TRUE,B233:E233),SF_Output!$Q$1:$Q$400,"monthly")&lt;&gt;0),SUMIFS(SF_Output!$S$1:$S$400,SF_Output!$AC$1:$AC$400,_xlfn.TEXTJOIN(",",TRUE,B233:E233),SF_Output!$Q$1:$Q$400,"monthly"),AND(B233&lt;&gt;"",H233&lt;&gt;SF_Output!$Y$2),SUMIFS(SF_Output!$S$1:$S$400,SF_Output!$AC$1:$AC$400,_xlfn.TEXTJOIN(",",TRUE,B233:E233),SF_Output!$Q$1:$Q$400,"monthly"))</f>
        <v/>
      </c>
      <c r="W233" s="112" t="str" cm="1">
        <f t="array" ref="W233">_xlfn.IFS(OR(B233=0,B233="",V233=0),"",AF233&lt;&gt;"exclusion",MAX($W$9,$W$7,(-(SUMIFS(SF_Output!$T$1:$T$400,SF_Output!$AC$1:$AC$400,_xlfn.TEXTJOIN(",",TRUE,$B233:$E233),SF_Output!$Q$1:$Q$400,"monthly"))/V233)),AF233="exclusion",-(SUMIFS(SF_Output!$T$1:$T$400,SF_Output!$AC$1:$AC$400,_xlfn.TEXTJOIN(",",TRUE,$B233:$E233),SF_Output!$Q$1:$Q$400,"monthly"))/V233)</f>
        <v/>
      </c>
      <c r="X233" s="6" t="str" cm="1">
        <f t="array" ref="X233">IFERROR(_xlfn.IFS(V233=0,0,V233="","",W233=0,V233,OR(V233&lt;&gt;0,V233&lt;&gt;""),H233*I233),V233*(1-W233))</f>
        <v/>
      </c>
    </row>
    <row r="234" spans="6:24" x14ac:dyDescent="0.25">
      <c r="F234" s="116" t="str">
        <f t="shared" si="12"/>
        <v/>
      </c>
      <c r="G234" t="str">
        <f>IF(B234="","",INDEX(SF_Output!$K$1:$K$400,MATCH(B234,SF_Output!$M$1:$M$400,0)))</f>
        <v/>
      </c>
      <c r="H234" t="str" cm="1">
        <f t="array" ref="H234">_xlfn.IFS(B234="","",(SUMIFS(SF_Output!$F$1:$F$400,SF_Output!$AC$1:$AC$400,_xlfn.TEXTJOIN(",",TRUE,B234:E234))+SUMIFS(SF_Output!$G$1:$G$400,SF_Output!$AC$1:$AC$400,_xlfn.TEXTJOIN(",",TRUE,B234:E234)))&lt;&gt;0,SF_Output!$Y$2,INDEX(SF_Output!$F$1:$F$400,MATCH(_xlfn.TEXTJOIN(",",TRUE,B234:E234),SF_Output!$AC$1:$AC$400,0))=0,INDEX(SF_Output!$R$1:$R$400,MATCH(_xlfn.TEXTJOIN(",",TRUE,B234:E234),SF_Output!$AC$1:$AC$400,0)))</f>
        <v/>
      </c>
      <c r="I234" s="125" t="str">
        <f>IFERROR(IF(AND(H234&gt;1,H234&lt;&gt;""),ROUND(SUMIFS(SF_Output!$S$1:$S$400,SF_Output!$AC$1:$AC$400,_xlfn.TEXTJOIN(",",TRUE,B234:E234),SF_Output!$Q$1:$Q$400,"monthly")*(1-W234)/H234,4),""),"")</f>
        <v/>
      </c>
      <c r="J234" s="6" t="str">
        <f>IF(B234="","",SUMIFS(SF_Output!$S$1:$S$400,SF_Output!$AC$1:$AC$400,_xlfn.TEXTJOIN(",",TRUE,B234:E234),SF_Output!$Q$1:$Q$400,"One Time",SF_Output!$L$1:$L$400,"license fee")+SUMIFS(SF_Output!$S$1:$S$400,SF_Output!$AC$1:$AC$400,_xlfn.TEXTJOIN(",",TRUE,B234:E234),SF_Output!$Q$1:$Q$400,"One Time",SF_Output!$L$1:$L$400,"software license")+SUMIFS(SF_Output!$S$1:$S$400,SF_Output!$AC$1:$AC$400,_xlfn.TEXTJOIN(",",TRUE,B234:E234),SF_Output!$Q$1:$Q$400,"One Time",SF_Output!$L$1:$L$400,"hardware"))</f>
        <v/>
      </c>
      <c r="K234" s="112" t="str">
        <f>IF(OR(B234=0,B234="",G234="hardware",J234=0),"",IF(AF234&lt;&gt;"exclusion",MAX(K$9,-((SUMIFS(SF_Output!$T$1:$T$400,SF_Output!$AC$1:$AC$400,_xlfn.TEXTJOIN(",",TRUE,$B234:$E234),SF_Output!$Q$1:$Q$400,"One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license"))/J234)))</f>
        <v/>
      </c>
      <c r="L234" s="6" t="str">
        <f t="shared" si="13"/>
        <v/>
      </c>
      <c r="N234" s="6" t="str">
        <f>IF(B234="","",SUMIFS(SF_Output!$S$1:$S$400,SF_Output!$AC$1:$AC$400,_xlfn.TEXTJOIN(",",TRUE,B234:E234),SF_Output!$Q$1:$Q$400,"One Time",SF_Output!$L$1:$L$400,"professional service"))</f>
        <v/>
      </c>
      <c r="O234" s="112" t="str">
        <f>IF(OR(B234=0,B234="",N234=0),"",IF(AF234&lt;&gt;"exclusion",MAX(O$9,-(SUMIFS(SF_Output!$T$1:$T$400,SF_Output!$AC$1:$AC$400,_xlfn.TEXTJOIN(",",TRUE,$B234:$E234),SF_Output!$Q$1:$Q$400,"One Time",SF_Output!$L$1:$L$400,"professional service"))/N234),-((SUMIFS(SF_Output!$T$1:$T$400,SF_Output!$AC$1:$AC$400,_xlfn.TEXTJOIN(",",TRUE,$B234:$E234),SF_Output!$Q$1:$Q$400,"One Time",SF_Output!$L$1:$L$400,"professional service")/N234))))</f>
        <v/>
      </c>
      <c r="P234" s="6" t="str">
        <f t="shared" si="14"/>
        <v/>
      </c>
      <c r="R234" s="6" t="str">
        <f>IF(B234="","",SUMIFS(SF_Output!$S$1:$S$400,SF_Output!$AC$1:$AC$400,_xlfn.TEXTJOIN(",",TRUE,B234:E234),SF_Output!$Q$1:$Q$400,"yearly")+SUMIFS(SF_Output!$S$1:$S$400,SF_Output!$AC$1:$AC$400,_xlfn.TEXTJOIN(",",TRUE,B234:E234),SF_Output!$Q$1:$Q$400,"quarterly")*4)</f>
        <v/>
      </c>
      <c r="S234" s="112" t="str">
        <f>IF(OR(B234=0,B234="",G234="hardware",R234=0),"",IF(AF234&lt;&gt;"exclusion",MAX(S$9,-(SUMIFS(SF_Output!$T$1:$T$400,SF_Output!$AC$1:$AC$400,_xlfn.TEXTJOIN(",",TRUE,$B234:$E234),SF_Output!$Q$1:$Q$400,"yearly"))/R234),-((SUMIFS(SF_Output!$T$1:$T$400,SF_Output!$AC$1:$AC$400,_xlfn.TEXTJOIN(",",TRUE,$B234:$E234),SF_Output!$Q$1:$Q$400,"yearly")/R234))))</f>
        <v/>
      </c>
      <c r="T234" s="6" t="str">
        <f t="shared" si="15"/>
        <v/>
      </c>
      <c r="V234" s="6" t="str" cm="1">
        <f t="array" ref="V234">_xlfn.IFS(B234="","",AND(B234&lt;&gt;"",H234=SF_Output!$Y$2,SUMIFS(SF_Output!$T$1:$T$400,SF_Output!$AC$1:$AC$400,_xlfn.TEXTJOIN(",",TRUE,B234:E234),SF_Output!$Q$1:$Q$400,"monthly")=0),(SUMIFS(SF_Output!$F$1:$F$400,SF_Output!$AC$1:$AC$400,_xlfn.TEXTJOIN(",",TRUE,B234:E234),SF_Output!$Q$1:$Q$400,"monthly")+SUMIFS(SF_Output!$G$1:$G$400,SF_Output!$AC$1:$AC$400,_xlfn.TEXTJOIN(",",TRUE,B234:E234),SF_Output!$Q$1:$Q$400,"monthly"))*H234,AND(B234&lt;&gt;"",H234=SF_Output!$Y$2,SUMIFS(SF_Output!$T$1:$T$400,SF_Output!$AC$1:$AC$400,_xlfn.TEXTJOIN(",",TRUE,B234:E234),SF_Output!$Q$1:$Q$400,"monthly")&lt;&gt;0),SUMIFS(SF_Output!$S$1:$S$400,SF_Output!$AC$1:$AC$400,_xlfn.TEXTJOIN(",",TRUE,B234:E234),SF_Output!$Q$1:$Q$400,"monthly"),AND(B234&lt;&gt;"",H234&lt;&gt;SF_Output!$Y$2),SUMIFS(SF_Output!$S$1:$S$400,SF_Output!$AC$1:$AC$400,_xlfn.TEXTJOIN(",",TRUE,B234:E234),SF_Output!$Q$1:$Q$400,"monthly"))</f>
        <v/>
      </c>
      <c r="W234" s="112" t="str" cm="1">
        <f t="array" ref="W234">_xlfn.IFS(OR(B234=0,B234="",V234=0),"",AF234&lt;&gt;"exclusion",MAX($W$9,$W$7,(-(SUMIFS(SF_Output!$T$1:$T$400,SF_Output!$AC$1:$AC$400,_xlfn.TEXTJOIN(",",TRUE,$B234:$E234),SF_Output!$Q$1:$Q$400,"monthly"))/V234)),AF234="exclusion",-(SUMIFS(SF_Output!$T$1:$T$400,SF_Output!$AC$1:$AC$400,_xlfn.TEXTJOIN(",",TRUE,$B234:$E234),SF_Output!$Q$1:$Q$400,"monthly"))/V234)</f>
        <v/>
      </c>
      <c r="X234" s="6" t="str" cm="1">
        <f t="array" ref="X234">IFERROR(_xlfn.IFS(V234=0,0,V234="","",W234=0,V234,OR(V234&lt;&gt;0,V234&lt;&gt;""),H234*I234),V234*(1-W234))</f>
        <v/>
      </c>
    </row>
    <row r="235" spans="6:24" x14ac:dyDescent="0.25">
      <c r="F235" s="116" t="str">
        <f t="shared" si="12"/>
        <v/>
      </c>
      <c r="G235" t="str">
        <f>IF(B235="","",INDEX(SF_Output!$K$1:$K$400,MATCH(B235,SF_Output!$M$1:$M$400,0)))</f>
        <v/>
      </c>
      <c r="H235" t="str" cm="1">
        <f t="array" ref="H235">_xlfn.IFS(B235="","",(SUMIFS(SF_Output!$F$1:$F$400,SF_Output!$AC$1:$AC$400,_xlfn.TEXTJOIN(",",TRUE,B235:E235))+SUMIFS(SF_Output!$G$1:$G$400,SF_Output!$AC$1:$AC$400,_xlfn.TEXTJOIN(",",TRUE,B235:E235)))&lt;&gt;0,SF_Output!$Y$2,INDEX(SF_Output!$F$1:$F$400,MATCH(_xlfn.TEXTJOIN(",",TRUE,B235:E235),SF_Output!$AC$1:$AC$400,0))=0,INDEX(SF_Output!$R$1:$R$400,MATCH(_xlfn.TEXTJOIN(",",TRUE,B235:E235),SF_Output!$AC$1:$AC$400,0)))</f>
        <v/>
      </c>
      <c r="I235" s="125" t="str">
        <f>IFERROR(IF(AND(H235&gt;1,H235&lt;&gt;""),ROUND(SUMIFS(SF_Output!$S$1:$S$400,SF_Output!$AC$1:$AC$400,_xlfn.TEXTJOIN(",",TRUE,B235:E235),SF_Output!$Q$1:$Q$400,"monthly")*(1-W235)/H235,4),""),"")</f>
        <v/>
      </c>
      <c r="J235" s="6" t="str">
        <f>IF(B235="","",SUMIFS(SF_Output!$S$1:$S$400,SF_Output!$AC$1:$AC$400,_xlfn.TEXTJOIN(",",TRUE,B235:E235),SF_Output!$Q$1:$Q$400,"One Time",SF_Output!$L$1:$L$400,"license fee")+SUMIFS(SF_Output!$S$1:$S$400,SF_Output!$AC$1:$AC$400,_xlfn.TEXTJOIN(",",TRUE,B235:E235),SF_Output!$Q$1:$Q$400,"One Time",SF_Output!$L$1:$L$400,"software license")+SUMIFS(SF_Output!$S$1:$S$400,SF_Output!$AC$1:$AC$400,_xlfn.TEXTJOIN(",",TRUE,B235:E235),SF_Output!$Q$1:$Q$400,"One Time",SF_Output!$L$1:$L$400,"hardware"))</f>
        <v/>
      </c>
      <c r="K235" s="112" t="str">
        <f>IF(OR(B235=0,B235="",G235="hardware",J235=0),"",IF(AF235&lt;&gt;"exclusion",MAX(K$9,-((SUMIFS(SF_Output!$T$1:$T$400,SF_Output!$AC$1:$AC$400,_xlfn.TEXTJOIN(",",TRUE,$B235:$E235),SF_Output!$Q$1:$Q$400,"One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license"))/J235)))</f>
        <v/>
      </c>
      <c r="L235" s="6" t="str">
        <f t="shared" si="13"/>
        <v/>
      </c>
      <c r="N235" s="6" t="str">
        <f>IF(B235="","",SUMIFS(SF_Output!$S$1:$S$400,SF_Output!$AC$1:$AC$400,_xlfn.TEXTJOIN(",",TRUE,B235:E235),SF_Output!$Q$1:$Q$400,"One Time",SF_Output!$L$1:$L$400,"professional service"))</f>
        <v/>
      </c>
      <c r="O235" s="112" t="str">
        <f>IF(OR(B235=0,B235="",N235=0),"",IF(AF235&lt;&gt;"exclusion",MAX(O$9,-(SUMIFS(SF_Output!$T$1:$T$400,SF_Output!$AC$1:$AC$400,_xlfn.TEXTJOIN(",",TRUE,$B235:$E235),SF_Output!$Q$1:$Q$400,"One Time",SF_Output!$L$1:$L$400,"professional service"))/N235),-((SUMIFS(SF_Output!$T$1:$T$400,SF_Output!$AC$1:$AC$400,_xlfn.TEXTJOIN(",",TRUE,$B235:$E235),SF_Output!$Q$1:$Q$400,"One Time",SF_Output!$L$1:$L$400,"professional service")/N235))))</f>
        <v/>
      </c>
      <c r="P235" s="6" t="str">
        <f t="shared" si="14"/>
        <v/>
      </c>
      <c r="R235" s="6" t="str">
        <f>IF(B235="","",SUMIFS(SF_Output!$S$1:$S$400,SF_Output!$AC$1:$AC$400,_xlfn.TEXTJOIN(",",TRUE,B235:E235),SF_Output!$Q$1:$Q$400,"yearly")+SUMIFS(SF_Output!$S$1:$S$400,SF_Output!$AC$1:$AC$400,_xlfn.TEXTJOIN(",",TRUE,B235:E235),SF_Output!$Q$1:$Q$400,"quarterly")*4)</f>
        <v/>
      </c>
      <c r="S235" s="112" t="str">
        <f>IF(OR(B235=0,B235="",G235="hardware",R235=0),"",IF(AF235&lt;&gt;"exclusion",MAX(S$9,-(SUMIFS(SF_Output!$T$1:$T$400,SF_Output!$AC$1:$AC$400,_xlfn.TEXTJOIN(",",TRUE,$B235:$E235),SF_Output!$Q$1:$Q$400,"yearly"))/R235),-((SUMIFS(SF_Output!$T$1:$T$400,SF_Output!$AC$1:$AC$400,_xlfn.TEXTJOIN(",",TRUE,$B235:$E235),SF_Output!$Q$1:$Q$400,"yearly")/R235))))</f>
        <v/>
      </c>
      <c r="T235" s="6" t="str">
        <f t="shared" si="15"/>
        <v/>
      </c>
      <c r="V235" s="6" t="str" cm="1">
        <f t="array" ref="V235">_xlfn.IFS(B235="","",AND(B235&lt;&gt;"",H235=SF_Output!$Y$2,SUMIFS(SF_Output!$T$1:$T$400,SF_Output!$AC$1:$AC$400,_xlfn.TEXTJOIN(",",TRUE,B235:E235),SF_Output!$Q$1:$Q$400,"monthly")=0),(SUMIFS(SF_Output!$F$1:$F$400,SF_Output!$AC$1:$AC$400,_xlfn.TEXTJOIN(",",TRUE,B235:E235),SF_Output!$Q$1:$Q$400,"monthly")+SUMIFS(SF_Output!$G$1:$G$400,SF_Output!$AC$1:$AC$400,_xlfn.TEXTJOIN(",",TRUE,B235:E235),SF_Output!$Q$1:$Q$400,"monthly"))*H235,AND(B235&lt;&gt;"",H235=SF_Output!$Y$2,SUMIFS(SF_Output!$T$1:$T$400,SF_Output!$AC$1:$AC$400,_xlfn.TEXTJOIN(",",TRUE,B235:E235),SF_Output!$Q$1:$Q$400,"monthly")&lt;&gt;0),SUMIFS(SF_Output!$S$1:$S$400,SF_Output!$AC$1:$AC$400,_xlfn.TEXTJOIN(",",TRUE,B235:E235),SF_Output!$Q$1:$Q$400,"monthly"),AND(B235&lt;&gt;"",H235&lt;&gt;SF_Output!$Y$2),SUMIFS(SF_Output!$S$1:$S$400,SF_Output!$AC$1:$AC$400,_xlfn.TEXTJOIN(",",TRUE,B235:E235),SF_Output!$Q$1:$Q$400,"monthly"))</f>
        <v/>
      </c>
      <c r="W235" s="112" t="str" cm="1">
        <f t="array" ref="W235">_xlfn.IFS(OR(B235=0,B235="",V235=0),"",AF235&lt;&gt;"exclusion",MAX($W$9,$W$7,(-(SUMIFS(SF_Output!$T$1:$T$400,SF_Output!$AC$1:$AC$400,_xlfn.TEXTJOIN(",",TRUE,$B235:$E235),SF_Output!$Q$1:$Q$400,"monthly"))/V235)),AF235="exclusion",-(SUMIFS(SF_Output!$T$1:$T$400,SF_Output!$AC$1:$AC$400,_xlfn.TEXTJOIN(",",TRUE,$B235:$E235),SF_Output!$Q$1:$Q$400,"monthly"))/V235)</f>
        <v/>
      </c>
      <c r="X235" s="6" t="str" cm="1">
        <f t="array" ref="X235">IFERROR(_xlfn.IFS(V235=0,0,V235="","",W235=0,V235,OR(V235&lt;&gt;0,V235&lt;&gt;""),H235*I235),V235*(1-W235))</f>
        <v/>
      </c>
    </row>
    <row r="236" spans="6:24" x14ac:dyDescent="0.25">
      <c r="F236" s="116" t="str">
        <f t="shared" si="12"/>
        <v/>
      </c>
      <c r="G236" t="str">
        <f>IF(B236="","",INDEX(SF_Output!$K$1:$K$400,MATCH(B236,SF_Output!$M$1:$M$400,0)))</f>
        <v/>
      </c>
      <c r="H236" t="str" cm="1">
        <f t="array" ref="H236">_xlfn.IFS(B236="","",(SUMIFS(SF_Output!$F$1:$F$400,SF_Output!$AC$1:$AC$400,_xlfn.TEXTJOIN(",",TRUE,B236:E236))+SUMIFS(SF_Output!$G$1:$G$400,SF_Output!$AC$1:$AC$400,_xlfn.TEXTJOIN(",",TRUE,B236:E236)))&lt;&gt;0,SF_Output!$Y$2,INDEX(SF_Output!$F$1:$F$400,MATCH(_xlfn.TEXTJOIN(",",TRUE,B236:E236),SF_Output!$AC$1:$AC$400,0))=0,INDEX(SF_Output!$R$1:$R$400,MATCH(_xlfn.TEXTJOIN(",",TRUE,B236:E236),SF_Output!$AC$1:$AC$400,0)))</f>
        <v/>
      </c>
      <c r="I236" s="125" t="str">
        <f>IFERROR(IF(AND(H236&gt;1,H236&lt;&gt;""),ROUND(SUMIFS(SF_Output!$S$1:$S$400,SF_Output!$AC$1:$AC$400,_xlfn.TEXTJOIN(",",TRUE,B236:E236),SF_Output!$Q$1:$Q$400,"monthly")*(1-W236)/H236,4),""),"")</f>
        <v/>
      </c>
      <c r="J236" s="6" t="str">
        <f>IF(B236="","",SUMIFS(SF_Output!$S$1:$S$400,SF_Output!$AC$1:$AC$400,_xlfn.TEXTJOIN(",",TRUE,B236:E236),SF_Output!$Q$1:$Q$400,"One Time",SF_Output!$L$1:$L$400,"license fee")+SUMIFS(SF_Output!$S$1:$S$400,SF_Output!$AC$1:$AC$400,_xlfn.TEXTJOIN(",",TRUE,B236:E236),SF_Output!$Q$1:$Q$400,"One Time",SF_Output!$L$1:$L$400,"software license")+SUMIFS(SF_Output!$S$1:$S$400,SF_Output!$AC$1:$AC$400,_xlfn.TEXTJOIN(",",TRUE,B236:E236),SF_Output!$Q$1:$Q$400,"One Time",SF_Output!$L$1:$L$400,"hardware"))</f>
        <v/>
      </c>
      <c r="K236" s="112" t="str">
        <f>IF(OR(B236=0,B236="",G236="hardware",J236=0),"",IF(AF236&lt;&gt;"exclusion",MAX(K$9,-((SUMIFS(SF_Output!$T$1:$T$400,SF_Output!$AC$1:$AC$400,_xlfn.TEXTJOIN(",",TRUE,$B236:$E236),SF_Output!$Q$1:$Q$400,"One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license"))/J236)))</f>
        <v/>
      </c>
      <c r="L236" s="6" t="str">
        <f t="shared" si="13"/>
        <v/>
      </c>
      <c r="N236" s="6" t="str">
        <f>IF(B236="","",SUMIFS(SF_Output!$S$1:$S$400,SF_Output!$AC$1:$AC$400,_xlfn.TEXTJOIN(",",TRUE,B236:E236),SF_Output!$Q$1:$Q$400,"One Time",SF_Output!$L$1:$L$400,"professional service"))</f>
        <v/>
      </c>
      <c r="O236" s="112" t="str">
        <f>IF(OR(B236=0,B236="",N236=0),"",IF(AF236&lt;&gt;"exclusion",MAX(O$9,-(SUMIFS(SF_Output!$T$1:$T$400,SF_Output!$AC$1:$AC$400,_xlfn.TEXTJOIN(",",TRUE,$B236:$E236),SF_Output!$Q$1:$Q$400,"One Time",SF_Output!$L$1:$L$400,"professional service"))/N236),-((SUMIFS(SF_Output!$T$1:$T$400,SF_Output!$AC$1:$AC$400,_xlfn.TEXTJOIN(",",TRUE,$B236:$E236),SF_Output!$Q$1:$Q$400,"One Time",SF_Output!$L$1:$L$400,"professional service")/N236))))</f>
        <v/>
      </c>
      <c r="P236" s="6" t="str">
        <f t="shared" si="14"/>
        <v/>
      </c>
      <c r="R236" s="6" t="str">
        <f>IF(B236="","",SUMIFS(SF_Output!$S$1:$S$400,SF_Output!$AC$1:$AC$400,_xlfn.TEXTJOIN(",",TRUE,B236:E236),SF_Output!$Q$1:$Q$400,"yearly")+SUMIFS(SF_Output!$S$1:$S$400,SF_Output!$AC$1:$AC$400,_xlfn.TEXTJOIN(",",TRUE,B236:E236),SF_Output!$Q$1:$Q$400,"quarterly")*4)</f>
        <v/>
      </c>
      <c r="S236" s="112" t="str">
        <f>IF(OR(B236=0,B236="",G236="hardware",R236=0),"",IF(AF236&lt;&gt;"exclusion",MAX(S$9,-(SUMIFS(SF_Output!$T$1:$T$400,SF_Output!$AC$1:$AC$400,_xlfn.TEXTJOIN(",",TRUE,$B236:$E236),SF_Output!$Q$1:$Q$400,"yearly"))/R236),-((SUMIFS(SF_Output!$T$1:$T$400,SF_Output!$AC$1:$AC$400,_xlfn.TEXTJOIN(",",TRUE,$B236:$E236),SF_Output!$Q$1:$Q$400,"yearly")/R236))))</f>
        <v/>
      </c>
      <c r="T236" s="6" t="str">
        <f t="shared" si="15"/>
        <v/>
      </c>
      <c r="V236" s="6" t="str" cm="1">
        <f t="array" ref="V236">_xlfn.IFS(B236="","",AND(B236&lt;&gt;"",H236=SF_Output!$Y$2,SUMIFS(SF_Output!$T$1:$T$400,SF_Output!$AC$1:$AC$400,_xlfn.TEXTJOIN(",",TRUE,B236:E236),SF_Output!$Q$1:$Q$400,"monthly")=0),(SUMIFS(SF_Output!$F$1:$F$400,SF_Output!$AC$1:$AC$400,_xlfn.TEXTJOIN(",",TRUE,B236:E236),SF_Output!$Q$1:$Q$400,"monthly")+SUMIFS(SF_Output!$G$1:$G$400,SF_Output!$AC$1:$AC$400,_xlfn.TEXTJOIN(",",TRUE,B236:E236),SF_Output!$Q$1:$Q$400,"monthly"))*H236,AND(B236&lt;&gt;"",H236=SF_Output!$Y$2,SUMIFS(SF_Output!$T$1:$T$400,SF_Output!$AC$1:$AC$400,_xlfn.TEXTJOIN(",",TRUE,B236:E236),SF_Output!$Q$1:$Q$400,"monthly")&lt;&gt;0),SUMIFS(SF_Output!$S$1:$S$400,SF_Output!$AC$1:$AC$400,_xlfn.TEXTJOIN(",",TRUE,B236:E236),SF_Output!$Q$1:$Q$400,"monthly"),AND(B236&lt;&gt;"",H236&lt;&gt;SF_Output!$Y$2),SUMIFS(SF_Output!$S$1:$S$400,SF_Output!$AC$1:$AC$400,_xlfn.TEXTJOIN(",",TRUE,B236:E236),SF_Output!$Q$1:$Q$400,"monthly"))</f>
        <v/>
      </c>
      <c r="W236" s="112" t="str" cm="1">
        <f t="array" ref="W236">_xlfn.IFS(OR(B236=0,B236="",V236=0),"",AF236&lt;&gt;"exclusion",MAX($W$9,$W$7,(-(SUMIFS(SF_Output!$T$1:$T$400,SF_Output!$AC$1:$AC$400,_xlfn.TEXTJOIN(",",TRUE,$B236:$E236),SF_Output!$Q$1:$Q$400,"monthly"))/V236)),AF236="exclusion",-(SUMIFS(SF_Output!$T$1:$T$400,SF_Output!$AC$1:$AC$400,_xlfn.TEXTJOIN(",",TRUE,$B236:$E236),SF_Output!$Q$1:$Q$400,"monthly"))/V236)</f>
        <v/>
      </c>
      <c r="X236" s="6" t="str" cm="1">
        <f t="array" ref="X236">IFERROR(_xlfn.IFS(V236=0,0,V236="","",W236=0,V236,OR(V236&lt;&gt;0,V236&lt;&gt;""),H236*I236),V236*(1-W236))</f>
        <v/>
      </c>
    </row>
    <row r="237" spans="6:24" x14ac:dyDescent="0.25">
      <c r="F237" s="116" t="str">
        <f t="shared" si="12"/>
        <v/>
      </c>
      <c r="G237" t="str">
        <f>IF(B237="","",INDEX(SF_Output!$K$1:$K$400,MATCH(B237,SF_Output!$M$1:$M$400,0)))</f>
        <v/>
      </c>
      <c r="H237" t="str" cm="1">
        <f t="array" ref="H237">_xlfn.IFS(B237="","",(SUMIFS(SF_Output!$F$1:$F$400,SF_Output!$AC$1:$AC$400,_xlfn.TEXTJOIN(",",TRUE,B237:E237))+SUMIFS(SF_Output!$G$1:$G$400,SF_Output!$AC$1:$AC$400,_xlfn.TEXTJOIN(",",TRUE,B237:E237)))&lt;&gt;0,SF_Output!$Y$2,INDEX(SF_Output!$F$1:$F$400,MATCH(_xlfn.TEXTJOIN(",",TRUE,B237:E237),SF_Output!$AC$1:$AC$400,0))=0,INDEX(SF_Output!$R$1:$R$400,MATCH(_xlfn.TEXTJOIN(",",TRUE,B237:E237),SF_Output!$AC$1:$AC$400,0)))</f>
        <v/>
      </c>
      <c r="I237" s="125" t="str">
        <f>IFERROR(IF(AND(H237&gt;1,H237&lt;&gt;""),ROUND(SUMIFS(SF_Output!$S$1:$S$400,SF_Output!$AC$1:$AC$400,_xlfn.TEXTJOIN(",",TRUE,B237:E237),SF_Output!$Q$1:$Q$400,"monthly")*(1-W237)/H237,4),""),"")</f>
        <v/>
      </c>
      <c r="J237" s="6" t="str">
        <f>IF(B237="","",SUMIFS(SF_Output!$S$1:$S$400,SF_Output!$AC$1:$AC$400,_xlfn.TEXTJOIN(",",TRUE,B237:E237),SF_Output!$Q$1:$Q$400,"One Time",SF_Output!$L$1:$L$400,"license fee")+SUMIFS(SF_Output!$S$1:$S$400,SF_Output!$AC$1:$AC$400,_xlfn.TEXTJOIN(",",TRUE,B237:E237),SF_Output!$Q$1:$Q$400,"One Time",SF_Output!$L$1:$L$400,"software license")+SUMIFS(SF_Output!$S$1:$S$400,SF_Output!$AC$1:$AC$400,_xlfn.TEXTJOIN(",",TRUE,B237:E237),SF_Output!$Q$1:$Q$400,"One Time",SF_Output!$L$1:$L$400,"hardware"))</f>
        <v/>
      </c>
      <c r="K237" s="112" t="str">
        <f>IF(OR(B237=0,B237="",G237="hardware",J237=0),"",IF(AF237&lt;&gt;"exclusion",MAX(K$9,-((SUMIFS(SF_Output!$T$1:$T$400,SF_Output!$AC$1:$AC$400,_xlfn.TEXTJOIN(",",TRUE,$B237:$E237),SF_Output!$Q$1:$Q$400,"One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license"))/J237)))</f>
        <v/>
      </c>
      <c r="L237" s="6" t="str">
        <f t="shared" si="13"/>
        <v/>
      </c>
      <c r="N237" s="6" t="str">
        <f>IF(B237="","",SUMIFS(SF_Output!$S$1:$S$400,SF_Output!$AC$1:$AC$400,_xlfn.TEXTJOIN(",",TRUE,B237:E237),SF_Output!$Q$1:$Q$400,"One Time",SF_Output!$L$1:$L$400,"professional service"))</f>
        <v/>
      </c>
      <c r="O237" s="112" t="str">
        <f>IF(OR(B237=0,B237="",N237=0),"",IF(AF237&lt;&gt;"exclusion",MAX(O$9,-(SUMIFS(SF_Output!$T$1:$T$400,SF_Output!$AC$1:$AC$400,_xlfn.TEXTJOIN(",",TRUE,$B237:$E237),SF_Output!$Q$1:$Q$400,"One Time",SF_Output!$L$1:$L$400,"professional service"))/N237),-((SUMIFS(SF_Output!$T$1:$T$400,SF_Output!$AC$1:$AC$400,_xlfn.TEXTJOIN(",",TRUE,$B237:$E237),SF_Output!$Q$1:$Q$400,"One Time",SF_Output!$L$1:$L$400,"professional service")/N237))))</f>
        <v/>
      </c>
      <c r="P237" s="6" t="str">
        <f t="shared" si="14"/>
        <v/>
      </c>
      <c r="R237" s="6" t="str">
        <f>IF(B237="","",SUMIFS(SF_Output!$S$1:$S$400,SF_Output!$AC$1:$AC$400,_xlfn.TEXTJOIN(",",TRUE,B237:E237),SF_Output!$Q$1:$Q$400,"yearly")+SUMIFS(SF_Output!$S$1:$S$400,SF_Output!$AC$1:$AC$400,_xlfn.TEXTJOIN(",",TRUE,B237:E237),SF_Output!$Q$1:$Q$400,"quarterly")*4)</f>
        <v/>
      </c>
      <c r="S237" s="112" t="str">
        <f>IF(OR(B237=0,B237="",G237="hardware",R237=0),"",IF(AF237&lt;&gt;"exclusion",MAX(S$9,-(SUMIFS(SF_Output!$T$1:$T$400,SF_Output!$AC$1:$AC$400,_xlfn.TEXTJOIN(",",TRUE,$B237:$E237),SF_Output!$Q$1:$Q$400,"yearly"))/R237),-((SUMIFS(SF_Output!$T$1:$T$400,SF_Output!$AC$1:$AC$400,_xlfn.TEXTJOIN(",",TRUE,$B237:$E237),SF_Output!$Q$1:$Q$400,"yearly")/R237))))</f>
        <v/>
      </c>
      <c r="T237" s="6" t="str">
        <f t="shared" si="15"/>
        <v/>
      </c>
      <c r="V237" s="6" t="str" cm="1">
        <f t="array" ref="V237">_xlfn.IFS(B237="","",AND(B237&lt;&gt;"",H237=SF_Output!$Y$2,SUMIFS(SF_Output!$T$1:$T$400,SF_Output!$AC$1:$AC$400,_xlfn.TEXTJOIN(",",TRUE,B237:E237),SF_Output!$Q$1:$Q$400,"monthly")=0),(SUMIFS(SF_Output!$F$1:$F$400,SF_Output!$AC$1:$AC$400,_xlfn.TEXTJOIN(",",TRUE,B237:E237),SF_Output!$Q$1:$Q$400,"monthly")+SUMIFS(SF_Output!$G$1:$G$400,SF_Output!$AC$1:$AC$400,_xlfn.TEXTJOIN(",",TRUE,B237:E237),SF_Output!$Q$1:$Q$400,"monthly"))*H237,AND(B237&lt;&gt;"",H237=SF_Output!$Y$2,SUMIFS(SF_Output!$T$1:$T$400,SF_Output!$AC$1:$AC$400,_xlfn.TEXTJOIN(",",TRUE,B237:E237),SF_Output!$Q$1:$Q$400,"monthly")&lt;&gt;0),SUMIFS(SF_Output!$S$1:$S$400,SF_Output!$AC$1:$AC$400,_xlfn.TEXTJOIN(",",TRUE,B237:E237),SF_Output!$Q$1:$Q$400,"monthly"),AND(B237&lt;&gt;"",H237&lt;&gt;SF_Output!$Y$2),SUMIFS(SF_Output!$S$1:$S$400,SF_Output!$AC$1:$AC$400,_xlfn.TEXTJOIN(",",TRUE,B237:E237),SF_Output!$Q$1:$Q$400,"monthly"))</f>
        <v/>
      </c>
      <c r="W237" s="112" t="str" cm="1">
        <f t="array" ref="W237">_xlfn.IFS(OR(B237=0,B237="",V237=0),"",AF237&lt;&gt;"exclusion",MAX($W$9,$W$7,(-(SUMIFS(SF_Output!$T$1:$T$400,SF_Output!$AC$1:$AC$400,_xlfn.TEXTJOIN(",",TRUE,$B237:$E237),SF_Output!$Q$1:$Q$400,"monthly"))/V237)),AF237="exclusion",-(SUMIFS(SF_Output!$T$1:$T$400,SF_Output!$AC$1:$AC$400,_xlfn.TEXTJOIN(",",TRUE,$B237:$E237),SF_Output!$Q$1:$Q$400,"monthly"))/V237)</f>
        <v/>
      </c>
      <c r="X237" s="6" t="str" cm="1">
        <f t="array" ref="X237">IFERROR(_xlfn.IFS(V237=0,0,V237="","",W237=0,V237,OR(V237&lt;&gt;0,V237&lt;&gt;""),H237*I237),V237*(1-W237))</f>
        <v/>
      </c>
    </row>
    <row r="238" spans="6:24" x14ac:dyDescent="0.25">
      <c r="F238" s="116" t="str">
        <f t="shared" si="12"/>
        <v/>
      </c>
      <c r="G238" t="str">
        <f>IF(B238="","",INDEX(SF_Output!$K$1:$K$400,MATCH(B238,SF_Output!$M$1:$M$400,0)))</f>
        <v/>
      </c>
      <c r="H238" t="str" cm="1">
        <f t="array" ref="H238">_xlfn.IFS(B238="","",(SUMIFS(SF_Output!$F$1:$F$400,SF_Output!$AC$1:$AC$400,_xlfn.TEXTJOIN(",",TRUE,B238:E238))+SUMIFS(SF_Output!$G$1:$G$400,SF_Output!$AC$1:$AC$400,_xlfn.TEXTJOIN(",",TRUE,B238:E238)))&lt;&gt;0,SF_Output!$Y$2,INDEX(SF_Output!$F$1:$F$400,MATCH(_xlfn.TEXTJOIN(",",TRUE,B238:E238),SF_Output!$AC$1:$AC$400,0))=0,INDEX(SF_Output!$R$1:$R$400,MATCH(_xlfn.TEXTJOIN(",",TRUE,B238:E238),SF_Output!$AC$1:$AC$400,0)))</f>
        <v/>
      </c>
      <c r="I238" s="125" t="str">
        <f>IFERROR(IF(AND(H238&gt;1,H238&lt;&gt;""),ROUND(SUMIFS(SF_Output!$S$1:$S$400,SF_Output!$AC$1:$AC$400,_xlfn.TEXTJOIN(",",TRUE,B238:E238),SF_Output!$Q$1:$Q$400,"monthly")*(1-W238)/H238,4),""),"")</f>
        <v/>
      </c>
      <c r="J238" s="6" t="str">
        <f>IF(B238="","",SUMIFS(SF_Output!$S$1:$S$400,SF_Output!$AC$1:$AC$400,_xlfn.TEXTJOIN(",",TRUE,B238:E238),SF_Output!$Q$1:$Q$400,"One Time",SF_Output!$L$1:$L$400,"license fee")+SUMIFS(SF_Output!$S$1:$S$400,SF_Output!$AC$1:$AC$400,_xlfn.TEXTJOIN(",",TRUE,B238:E238),SF_Output!$Q$1:$Q$400,"One Time",SF_Output!$L$1:$L$400,"software license")+SUMIFS(SF_Output!$S$1:$S$400,SF_Output!$AC$1:$AC$400,_xlfn.TEXTJOIN(",",TRUE,B238:E238),SF_Output!$Q$1:$Q$400,"One Time",SF_Output!$L$1:$L$400,"hardware"))</f>
        <v/>
      </c>
      <c r="K238" s="112" t="str">
        <f>IF(OR(B238=0,B238="",G238="hardware",J238=0),"",IF(AF238&lt;&gt;"exclusion",MAX(K$9,-((SUMIFS(SF_Output!$T$1:$T$400,SF_Output!$AC$1:$AC$400,_xlfn.TEXTJOIN(",",TRUE,$B238:$E238),SF_Output!$Q$1:$Q$400,"One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license"))/J238)))</f>
        <v/>
      </c>
      <c r="L238" s="6" t="str">
        <f t="shared" si="13"/>
        <v/>
      </c>
      <c r="N238" s="6" t="str">
        <f>IF(B238="","",SUMIFS(SF_Output!$S$1:$S$400,SF_Output!$AC$1:$AC$400,_xlfn.TEXTJOIN(",",TRUE,B238:E238),SF_Output!$Q$1:$Q$400,"One Time",SF_Output!$L$1:$L$400,"professional service"))</f>
        <v/>
      </c>
      <c r="O238" s="112" t="str">
        <f>IF(OR(B238=0,B238="",N238=0),"",IF(AF238&lt;&gt;"exclusion",MAX(O$9,-(SUMIFS(SF_Output!$T$1:$T$400,SF_Output!$AC$1:$AC$400,_xlfn.TEXTJOIN(",",TRUE,$B238:$E238),SF_Output!$Q$1:$Q$400,"One Time",SF_Output!$L$1:$L$400,"professional service"))/N238),-((SUMIFS(SF_Output!$T$1:$T$400,SF_Output!$AC$1:$AC$400,_xlfn.TEXTJOIN(",",TRUE,$B238:$E238),SF_Output!$Q$1:$Q$400,"One Time",SF_Output!$L$1:$L$400,"professional service")/N238))))</f>
        <v/>
      </c>
      <c r="P238" s="6" t="str">
        <f t="shared" si="14"/>
        <v/>
      </c>
      <c r="R238" s="6" t="str">
        <f>IF(B238="","",SUMIFS(SF_Output!$S$1:$S$400,SF_Output!$AC$1:$AC$400,_xlfn.TEXTJOIN(",",TRUE,B238:E238),SF_Output!$Q$1:$Q$400,"yearly")+SUMIFS(SF_Output!$S$1:$S$400,SF_Output!$AC$1:$AC$400,_xlfn.TEXTJOIN(",",TRUE,B238:E238),SF_Output!$Q$1:$Q$400,"quarterly")*4)</f>
        <v/>
      </c>
      <c r="S238" s="112" t="str">
        <f>IF(OR(B238=0,B238="",G238="hardware",R238=0),"",IF(AF238&lt;&gt;"exclusion",MAX(S$9,-(SUMIFS(SF_Output!$T$1:$T$400,SF_Output!$AC$1:$AC$400,_xlfn.TEXTJOIN(",",TRUE,$B238:$E238),SF_Output!$Q$1:$Q$400,"yearly"))/R238),-((SUMIFS(SF_Output!$T$1:$T$400,SF_Output!$AC$1:$AC$400,_xlfn.TEXTJOIN(",",TRUE,$B238:$E238),SF_Output!$Q$1:$Q$400,"yearly")/R238))))</f>
        <v/>
      </c>
      <c r="T238" s="6" t="str">
        <f t="shared" si="15"/>
        <v/>
      </c>
      <c r="V238" s="6" t="str" cm="1">
        <f t="array" ref="V238">_xlfn.IFS(B238="","",AND(B238&lt;&gt;"",H238=SF_Output!$Y$2,SUMIFS(SF_Output!$T$1:$T$400,SF_Output!$AC$1:$AC$400,_xlfn.TEXTJOIN(",",TRUE,B238:E238),SF_Output!$Q$1:$Q$400,"monthly")=0),(SUMIFS(SF_Output!$F$1:$F$400,SF_Output!$AC$1:$AC$400,_xlfn.TEXTJOIN(",",TRUE,B238:E238),SF_Output!$Q$1:$Q$400,"monthly")+SUMIFS(SF_Output!$G$1:$G$400,SF_Output!$AC$1:$AC$400,_xlfn.TEXTJOIN(",",TRUE,B238:E238),SF_Output!$Q$1:$Q$400,"monthly"))*H238,AND(B238&lt;&gt;"",H238=SF_Output!$Y$2,SUMIFS(SF_Output!$T$1:$T$400,SF_Output!$AC$1:$AC$400,_xlfn.TEXTJOIN(",",TRUE,B238:E238),SF_Output!$Q$1:$Q$400,"monthly")&lt;&gt;0),SUMIFS(SF_Output!$S$1:$S$400,SF_Output!$AC$1:$AC$400,_xlfn.TEXTJOIN(",",TRUE,B238:E238),SF_Output!$Q$1:$Q$400,"monthly"),AND(B238&lt;&gt;"",H238&lt;&gt;SF_Output!$Y$2),SUMIFS(SF_Output!$S$1:$S$400,SF_Output!$AC$1:$AC$400,_xlfn.TEXTJOIN(",",TRUE,B238:E238),SF_Output!$Q$1:$Q$400,"monthly"))</f>
        <v/>
      </c>
      <c r="W238" s="112" t="str" cm="1">
        <f t="array" ref="W238">_xlfn.IFS(OR(B238=0,B238="",V238=0),"",AF238&lt;&gt;"exclusion",MAX($W$9,$W$7,(-(SUMIFS(SF_Output!$T$1:$T$400,SF_Output!$AC$1:$AC$400,_xlfn.TEXTJOIN(",",TRUE,$B238:$E238),SF_Output!$Q$1:$Q$400,"monthly"))/V238)),AF238="exclusion",-(SUMIFS(SF_Output!$T$1:$T$400,SF_Output!$AC$1:$AC$400,_xlfn.TEXTJOIN(",",TRUE,$B238:$E238),SF_Output!$Q$1:$Q$400,"monthly"))/V238)</f>
        <v/>
      </c>
      <c r="X238" s="6" t="str" cm="1">
        <f t="array" ref="X238">IFERROR(_xlfn.IFS(V238=0,0,V238="","",W238=0,V238,OR(V238&lt;&gt;0,V238&lt;&gt;""),H238*I238),V238*(1-W238))</f>
        <v/>
      </c>
    </row>
    <row r="239" spans="6:24" x14ac:dyDescent="0.25">
      <c r="F239" s="116" t="str">
        <f t="shared" si="12"/>
        <v/>
      </c>
      <c r="G239" t="str">
        <f>IF(B239="","",INDEX(SF_Output!$K$1:$K$400,MATCH(B239,SF_Output!$M$1:$M$400,0)))</f>
        <v/>
      </c>
      <c r="H239" t="str" cm="1">
        <f t="array" ref="H239">_xlfn.IFS(B239="","",(SUMIFS(SF_Output!$F$1:$F$400,SF_Output!$AC$1:$AC$400,_xlfn.TEXTJOIN(",",TRUE,B239:E239))+SUMIFS(SF_Output!$G$1:$G$400,SF_Output!$AC$1:$AC$400,_xlfn.TEXTJOIN(",",TRUE,B239:E239)))&lt;&gt;0,SF_Output!$Y$2,INDEX(SF_Output!$F$1:$F$400,MATCH(_xlfn.TEXTJOIN(",",TRUE,B239:E239),SF_Output!$AC$1:$AC$400,0))=0,INDEX(SF_Output!$R$1:$R$400,MATCH(_xlfn.TEXTJOIN(",",TRUE,B239:E239),SF_Output!$AC$1:$AC$400,0)))</f>
        <v/>
      </c>
      <c r="I239" s="125" t="str">
        <f>IFERROR(IF(AND(H239&gt;1,H239&lt;&gt;""),ROUND(SUMIFS(SF_Output!$S$1:$S$400,SF_Output!$AC$1:$AC$400,_xlfn.TEXTJOIN(",",TRUE,B239:E239),SF_Output!$Q$1:$Q$400,"monthly")*(1-W239)/H239,4),""),"")</f>
        <v/>
      </c>
      <c r="J239" s="6" t="str">
        <f>IF(B239="","",SUMIFS(SF_Output!$S$1:$S$400,SF_Output!$AC$1:$AC$400,_xlfn.TEXTJOIN(",",TRUE,B239:E239),SF_Output!$Q$1:$Q$400,"One Time",SF_Output!$L$1:$L$400,"license fee")+SUMIFS(SF_Output!$S$1:$S$400,SF_Output!$AC$1:$AC$400,_xlfn.TEXTJOIN(",",TRUE,B239:E239),SF_Output!$Q$1:$Q$400,"One Time",SF_Output!$L$1:$L$400,"software license")+SUMIFS(SF_Output!$S$1:$S$400,SF_Output!$AC$1:$AC$400,_xlfn.TEXTJOIN(",",TRUE,B239:E239),SF_Output!$Q$1:$Q$400,"One Time",SF_Output!$L$1:$L$400,"hardware"))</f>
        <v/>
      </c>
      <c r="K239" s="112" t="str">
        <f>IF(OR(B239=0,B239="",G239="hardware",J239=0),"",IF(AF239&lt;&gt;"exclusion",MAX(K$9,-((SUMIFS(SF_Output!$T$1:$T$400,SF_Output!$AC$1:$AC$400,_xlfn.TEXTJOIN(",",TRUE,$B239:$E239),SF_Output!$Q$1:$Q$400,"One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license"))/J239)))</f>
        <v/>
      </c>
      <c r="L239" s="6" t="str">
        <f t="shared" si="13"/>
        <v/>
      </c>
      <c r="N239" s="6" t="str">
        <f>IF(B239="","",SUMIFS(SF_Output!$S$1:$S$400,SF_Output!$AC$1:$AC$400,_xlfn.TEXTJOIN(",",TRUE,B239:E239),SF_Output!$Q$1:$Q$400,"One Time",SF_Output!$L$1:$L$400,"professional service"))</f>
        <v/>
      </c>
      <c r="O239" s="112" t="str">
        <f>IF(OR(B239=0,B239="",N239=0),"",IF(AF239&lt;&gt;"exclusion",MAX(O$9,-(SUMIFS(SF_Output!$T$1:$T$400,SF_Output!$AC$1:$AC$400,_xlfn.TEXTJOIN(",",TRUE,$B239:$E239),SF_Output!$Q$1:$Q$400,"One Time",SF_Output!$L$1:$L$400,"professional service"))/N239),-((SUMIFS(SF_Output!$T$1:$T$400,SF_Output!$AC$1:$AC$400,_xlfn.TEXTJOIN(",",TRUE,$B239:$E239),SF_Output!$Q$1:$Q$400,"One Time",SF_Output!$L$1:$L$400,"professional service")/N239))))</f>
        <v/>
      </c>
      <c r="P239" s="6" t="str">
        <f t="shared" si="14"/>
        <v/>
      </c>
      <c r="R239" s="6" t="str">
        <f>IF(B239="","",SUMIFS(SF_Output!$S$1:$S$400,SF_Output!$AC$1:$AC$400,_xlfn.TEXTJOIN(",",TRUE,B239:E239),SF_Output!$Q$1:$Q$400,"yearly")+SUMIFS(SF_Output!$S$1:$S$400,SF_Output!$AC$1:$AC$400,_xlfn.TEXTJOIN(",",TRUE,B239:E239),SF_Output!$Q$1:$Q$400,"quarterly")*4)</f>
        <v/>
      </c>
      <c r="S239" s="112" t="str">
        <f>IF(OR(B239=0,B239="",G239="hardware",R239=0),"",IF(AF239&lt;&gt;"exclusion",MAX(S$9,-(SUMIFS(SF_Output!$T$1:$T$400,SF_Output!$AC$1:$AC$400,_xlfn.TEXTJOIN(",",TRUE,$B239:$E239),SF_Output!$Q$1:$Q$400,"yearly"))/R239),-((SUMIFS(SF_Output!$T$1:$T$400,SF_Output!$AC$1:$AC$400,_xlfn.TEXTJOIN(",",TRUE,$B239:$E239),SF_Output!$Q$1:$Q$400,"yearly")/R239))))</f>
        <v/>
      </c>
      <c r="T239" s="6" t="str">
        <f t="shared" si="15"/>
        <v/>
      </c>
      <c r="V239" s="6" t="str" cm="1">
        <f t="array" ref="V239">_xlfn.IFS(B239="","",AND(B239&lt;&gt;"",H239=SF_Output!$Y$2,SUMIFS(SF_Output!$T$1:$T$400,SF_Output!$AC$1:$AC$400,_xlfn.TEXTJOIN(",",TRUE,B239:E239),SF_Output!$Q$1:$Q$400,"monthly")=0),(SUMIFS(SF_Output!$F$1:$F$400,SF_Output!$AC$1:$AC$400,_xlfn.TEXTJOIN(",",TRUE,B239:E239),SF_Output!$Q$1:$Q$400,"monthly")+SUMIFS(SF_Output!$G$1:$G$400,SF_Output!$AC$1:$AC$400,_xlfn.TEXTJOIN(",",TRUE,B239:E239),SF_Output!$Q$1:$Q$400,"monthly"))*H239,AND(B239&lt;&gt;"",H239=SF_Output!$Y$2,SUMIFS(SF_Output!$T$1:$T$400,SF_Output!$AC$1:$AC$400,_xlfn.TEXTJOIN(",",TRUE,B239:E239),SF_Output!$Q$1:$Q$400,"monthly")&lt;&gt;0),SUMIFS(SF_Output!$S$1:$S$400,SF_Output!$AC$1:$AC$400,_xlfn.TEXTJOIN(",",TRUE,B239:E239),SF_Output!$Q$1:$Q$400,"monthly"),AND(B239&lt;&gt;"",H239&lt;&gt;SF_Output!$Y$2),SUMIFS(SF_Output!$S$1:$S$400,SF_Output!$AC$1:$AC$400,_xlfn.TEXTJOIN(",",TRUE,B239:E239),SF_Output!$Q$1:$Q$400,"monthly"))</f>
        <v/>
      </c>
      <c r="W239" s="112" t="str" cm="1">
        <f t="array" ref="W239">_xlfn.IFS(OR(B239=0,B239="",V239=0),"",AF239&lt;&gt;"exclusion",MAX($W$9,$W$7,(-(SUMIFS(SF_Output!$T$1:$T$400,SF_Output!$AC$1:$AC$400,_xlfn.TEXTJOIN(",",TRUE,$B239:$E239),SF_Output!$Q$1:$Q$400,"monthly"))/V239)),AF239="exclusion",-(SUMIFS(SF_Output!$T$1:$T$400,SF_Output!$AC$1:$AC$400,_xlfn.TEXTJOIN(",",TRUE,$B239:$E239),SF_Output!$Q$1:$Q$400,"monthly"))/V239)</f>
        <v/>
      </c>
      <c r="X239" s="6" t="str" cm="1">
        <f t="array" ref="X239">IFERROR(_xlfn.IFS(V239=0,0,V239="","",W239=0,V239,OR(V239&lt;&gt;0,V239&lt;&gt;""),H239*I239),V239*(1-W239))</f>
        <v/>
      </c>
    </row>
    <row r="240" spans="6:24" x14ac:dyDescent="0.25">
      <c r="F240" s="116" t="str">
        <f t="shared" si="12"/>
        <v/>
      </c>
      <c r="G240" t="str">
        <f>IF(B240="","",INDEX(SF_Output!$K$1:$K$400,MATCH(B240,SF_Output!$M$1:$M$400,0)))</f>
        <v/>
      </c>
      <c r="H240" t="str" cm="1">
        <f t="array" ref="H240">_xlfn.IFS(B240="","",(SUMIFS(SF_Output!$F$1:$F$400,SF_Output!$AC$1:$AC$400,_xlfn.TEXTJOIN(",",TRUE,B240:E240))+SUMIFS(SF_Output!$G$1:$G$400,SF_Output!$AC$1:$AC$400,_xlfn.TEXTJOIN(",",TRUE,B240:E240)))&lt;&gt;0,SF_Output!$Y$2,INDEX(SF_Output!$F$1:$F$400,MATCH(_xlfn.TEXTJOIN(",",TRUE,B240:E240),SF_Output!$AC$1:$AC$400,0))=0,INDEX(SF_Output!$R$1:$R$400,MATCH(_xlfn.TEXTJOIN(",",TRUE,B240:E240),SF_Output!$AC$1:$AC$400,0)))</f>
        <v/>
      </c>
      <c r="I240" s="125" t="str">
        <f>IFERROR(IF(AND(H240&gt;1,H240&lt;&gt;""),ROUND(SUMIFS(SF_Output!$S$1:$S$400,SF_Output!$AC$1:$AC$400,_xlfn.TEXTJOIN(",",TRUE,B240:E240),SF_Output!$Q$1:$Q$400,"monthly")*(1-W240)/H240,4),""),"")</f>
        <v/>
      </c>
      <c r="J240" s="6" t="str">
        <f>IF(B240="","",SUMIFS(SF_Output!$S$1:$S$400,SF_Output!$AC$1:$AC$400,_xlfn.TEXTJOIN(",",TRUE,B240:E240),SF_Output!$Q$1:$Q$400,"One Time",SF_Output!$L$1:$L$400,"license fee")+SUMIFS(SF_Output!$S$1:$S$400,SF_Output!$AC$1:$AC$400,_xlfn.TEXTJOIN(",",TRUE,B240:E240),SF_Output!$Q$1:$Q$400,"One Time",SF_Output!$L$1:$L$400,"software license")+SUMIFS(SF_Output!$S$1:$S$400,SF_Output!$AC$1:$AC$400,_xlfn.TEXTJOIN(",",TRUE,B240:E240),SF_Output!$Q$1:$Q$400,"One Time",SF_Output!$L$1:$L$400,"hardware"))</f>
        <v/>
      </c>
      <c r="K240" s="112" t="str">
        <f>IF(OR(B240=0,B240="",G240="hardware",J240=0),"",IF(AF240&lt;&gt;"exclusion",MAX(K$9,-((SUMIFS(SF_Output!$T$1:$T$400,SF_Output!$AC$1:$AC$400,_xlfn.TEXTJOIN(",",TRUE,$B240:$E240),SF_Output!$Q$1:$Q$400,"One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license"))/J240)))</f>
        <v/>
      </c>
      <c r="L240" s="6" t="str">
        <f t="shared" si="13"/>
        <v/>
      </c>
      <c r="N240" s="6" t="str">
        <f>IF(B240="","",SUMIFS(SF_Output!$S$1:$S$400,SF_Output!$AC$1:$AC$400,_xlfn.TEXTJOIN(",",TRUE,B240:E240),SF_Output!$Q$1:$Q$400,"One Time",SF_Output!$L$1:$L$400,"professional service"))</f>
        <v/>
      </c>
      <c r="O240" s="112" t="str">
        <f>IF(OR(B240=0,B240="",N240=0),"",IF(AF240&lt;&gt;"exclusion",MAX(O$9,-(SUMIFS(SF_Output!$T$1:$T$400,SF_Output!$AC$1:$AC$400,_xlfn.TEXTJOIN(",",TRUE,$B240:$E240),SF_Output!$Q$1:$Q$400,"One Time",SF_Output!$L$1:$L$400,"professional service"))/N240),-((SUMIFS(SF_Output!$T$1:$T$400,SF_Output!$AC$1:$AC$400,_xlfn.TEXTJOIN(",",TRUE,$B240:$E240),SF_Output!$Q$1:$Q$400,"One Time",SF_Output!$L$1:$L$400,"professional service")/N240))))</f>
        <v/>
      </c>
      <c r="P240" s="6" t="str">
        <f t="shared" si="14"/>
        <v/>
      </c>
      <c r="R240" s="6" t="str">
        <f>IF(B240="","",SUMIFS(SF_Output!$S$1:$S$400,SF_Output!$AC$1:$AC$400,_xlfn.TEXTJOIN(",",TRUE,B240:E240),SF_Output!$Q$1:$Q$400,"yearly")+SUMIFS(SF_Output!$S$1:$S$400,SF_Output!$AC$1:$AC$400,_xlfn.TEXTJOIN(",",TRUE,B240:E240),SF_Output!$Q$1:$Q$400,"quarterly")*4)</f>
        <v/>
      </c>
      <c r="S240" s="112" t="str">
        <f>IF(OR(B240=0,B240="",G240="hardware",R240=0),"",IF(AF240&lt;&gt;"exclusion",MAX(S$9,-(SUMIFS(SF_Output!$T$1:$T$400,SF_Output!$AC$1:$AC$400,_xlfn.TEXTJOIN(",",TRUE,$B240:$E240),SF_Output!$Q$1:$Q$400,"yearly"))/R240),-((SUMIFS(SF_Output!$T$1:$T$400,SF_Output!$AC$1:$AC$400,_xlfn.TEXTJOIN(",",TRUE,$B240:$E240),SF_Output!$Q$1:$Q$400,"yearly")/R240))))</f>
        <v/>
      </c>
      <c r="T240" s="6" t="str">
        <f t="shared" si="15"/>
        <v/>
      </c>
      <c r="V240" s="6" t="str" cm="1">
        <f t="array" ref="V240">_xlfn.IFS(B240="","",AND(B240&lt;&gt;"",H240=SF_Output!$Y$2,SUMIFS(SF_Output!$T$1:$T$400,SF_Output!$AC$1:$AC$400,_xlfn.TEXTJOIN(",",TRUE,B240:E240),SF_Output!$Q$1:$Q$400,"monthly")=0),(SUMIFS(SF_Output!$F$1:$F$400,SF_Output!$AC$1:$AC$400,_xlfn.TEXTJOIN(",",TRUE,B240:E240),SF_Output!$Q$1:$Q$400,"monthly")+SUMIFS(SF_Output!$G$1:$G$400,SF_Output!$AC$1:$AC$400,_xlfn.TEXTJOIN(",",TRUE,B240:E240),SF_Output!$Q$1:$Q$400,"monthly"))*H240,AND(B240&lt;&gt;"",H240=SF_Output!$Y$2,SUMIFS(SF_Output!$T$1:$T$400,SF_Output!$AC$1:$AC$400,_xlfn.TEXTJOIN(",",TRUE,B240:E240),SF_Output!$Q$1:$Q$400,"monthly")&lt;&gt;0),SUMIFS(SF_Output!$S$1:$S$400,SF_Output!$AC$1:$AC$400,_xlfn.TEXTJOIN(",",TRUE,B240:E240),SF_Output!$Q$1:$Q$400,"monthly"),AND(B240&lt;&gt;"",H240&lt;&gt;SF_Output!$Y$2),SUMIFS(SF_Output!$S$1:$S$400,SF_Output!$AC$1:$AC$400,_xlfn.TEXTJOIN(",",TRUE,B240:E240),SF_Output!$Q$1:$Q$400,"monthly"))</f>
        <v/>
      </c>
      <c r="W240" s="112" t="str" cm="1">
        <f t="array" ref="W240">_xlfn.IFS(OR(B240=0,B240="",V240=0),"",AF240&lt;&gt;"exclusion",MAX($W$9,$W$7,(-(SUMIFS(SF_Output!$T$1:$T$400,SF_Output!$AC$1:$AC$400,_xlfn.TEXTJOIN(",",TRUE,$B240:$E240),SF_Output!$Q$1:$Q$400,"monthly"))/V240)),AF240="exclusion",-(SUMIFS(SF_Output!$T$1:$T$400,SF_Output!$AC$1:$AC$400,_xlfn.TEXTJOIN(",",TRUE,$B240:$E240),SF_Output!$Q$1:$Q$400,"monthly"))/V240)</f>
        <v/>
      </c>
      <c r="X240" s="6" t="str" cm="1">
        <f t="array" ref="X240">IFERROR(_xlfn.IFS(V240=0,0,V240="","",W240=0,V240,OR(V240&lt;&gt;0,V240&lt;&gt;""),H240*I240),V240*(1-W240))</f>
        <v/>
      </c>
    </row>
    <row r="241" spans="6:24" x14ac:dyDescent="0.25">
      <c r="F241" s="116" t="str">
        <f t="shared" si="12"/>
        <v/>
      </c>
      <c r="G241" t="str">
        <f>IF(B241="","",INDEX(SF_Output!$K$1:$K$400,MATCH(B241,SF_Output!$M$1:$M$400,0)))</f>
        <v/>
      </c>
      <c r="H241" t="str" cm="1">
        <f t="array" ref="H241">_xlfn.IFS(B241="","",(SUMIFS(SF_Output!$F$1:$F$400,SF_Output!$AC$1:$AC$400,_xlfn.TEXTJOIN(",",TRUE,B241:E241))+SUMIFS(SF_Output!$G$1:$G$400,SF_Output!$AC$1:$AC$400,_xlfn.TEXTJOIN(",",TRUE,B241:E241)))&lt;&gt;0,SF_Output!$Y$2,INDEX(SF_Output!$F$1:$F$400,MATCH(_xlfn.TEXTJOIN(",",TRUE,B241:E241),SF_Output!$AC$1:$AC$400,0))=0,INDEX(SF_Output!$R$1:$R$400,MATCH(_xlfn.TEXTJOIN(",",TRUE,B241:E241),SF_Output!$AC$1:$AC$400,0)))</f>
        <v/>
      </c>
      <c r="I241" s="125" t="str">
        <f>IFERROR(IF(AND(H241&gt;1,H241&lt;&gt;""),ROUND(SUMIFS(SF_Output!$S$1:$S$400,SF_Output!$AC$1:$AC$400,_xlfn.TEXTJOIN(",",TRUE,B241:E241),SF_Output!$Q$1:$Q$400,"monthly")*(1-W241)/H241,4),""),"")</f>
        <v/>
      </c>
      <c r="J241" s="6" t="str">
        <f>IF(B241="","",SUMIFS(SF_Output!$S$1:$S$400,SF_Output!$AC$1:$AC$400,_xlfn.TEXTJOIN(",",TRUE,B241:E241),SF_Output!$Q$1:$Q$400,"One Time",SF_Output!$L$1:$L$400,"license fee")+SUMIFS(SF_Output!$S$1:$S$400,SF_Output!$AC$1:$AC$400,_xlfn.TEXTJOIN(",",TRUE,B241:E241),SF_Output!$Q$1:$Q$400,"One Time",SF_Output!$L$1:$L$400,"software license")+SUMIFS(SF_Output!$S$1:$S$400,SF_Output!$AC$1:$AC$400,_xlfn.TEXTJOIN(",",TRUE,B241:E241),SF_Output!$Q$1:$Q$400,"One Time",SF_Output!$L$1:$L$400,"hardware"))</f>
        <v/>
      </c>
      <c r="K241" s="112" t="str">
        <f>IF(OR(B241=0,B241="",G241="hardware",J241=0),"",IF(AF241&lt;&gt;"exclusion",MAX(K$9,-((SUMIFS(SF_Output!$T$1:$T$400,SF_Output!$AC$1:$AC$400,_xlfn.TEXTJOIN(",",TRUE,$B241:$E241),SF_Output!$Q$1:$Q$400,"One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license"))/J241)))</f>
        <v/>
      </c>
      <c r="L241" s="6" t="str">
        <f t="shared" si="13"/>
        <v/>
      </c>
      <c r="N241" s="6" t="str">
        <f>IF(B241="","",SUMIFS(SF_Output!$S$1:$S$400,SF_Output!$AC$1:$AC$400,_xlfn.TEXTJOIN(",",TRUE,B241:E241),SF_Output!$Q$1:$Q$400,"One Time",SF_Output!$L$1:$L$400,"professional service"))</f>
        <v/>
      </c>
      <c r="O241" s="112" t="str">
        <f>IF(OR(B241=0,B241="",N241=0),"",IF(AF241&lt;&gt;"exclusion",MAX(O$9,-(SUMIFS(SF_Output!$T$1:$T$400,SF_Output!$AC$1:$AC$400,_xlfn.TEXTJOIN(",",TRUE,$B241:$E241),SF_Output!$Q$1:$Q$400,"One Time",SF_Output!$L$1:$L$400,"professional service"))/N241),-((SUMIFS(SF_Output!$T$1:$T$400,SF_Output!$AC$1:$AC$400,_xlfn.TEXTJOIN(",",TRUE,$B241:$E241),SF_Output!$Q$1:$Q$400,"One Time",SF_Output!$L$1:$L$400,"professional service")/N241))))</f>
        <v/>
      </c>
      <c r="P241" s="6" t="str">
        <f t="shared" si="14"/>
        <v/>
      </c>
      <c r="R241" s="6" t="str">
        <f>IF(B241="","",SUMIFS(SF_Output!$S$1:$S$400,SF_Output!$AC$1:$AC$400,_xlfn.TEXTJOIN(",",TRUE,B241:E241),SF_Output!$Q$1:$Q$400,"yearly")+SUMIFS(SF_Output!$S$1:$S$400,SF_Output!$AC$1:$AC$400,_xlfn.TEXTJOIN(",",TRUE,B241:E241),SF_Output!$Q$1:$Q$400,"quarterly")*4)</f>
        <v/>
      </c>
      <c r="S241" s="112" t="str">
        <f>IF(OR(B241=0,B241="",G241="hardware",R241=0),"",IF(AF241&lt;&gt;"exclusion",MAX(S$9,-(SUMIFS(SF_Output!$T$1:$T$400,SF_Output!$AC$1:$AC$400,_xlfn.TEXTJOIN(",",TRUE,$B241:$E241),SF_Output!$Q$1:$Q$400,"yearly"))/R241),-((SUMIFS(SF_Output!$T$1:$T$400,SF_Output!$AC$1:$AC$400,_xlfn.TEXTJOIN(",",TRUE,$B241:$E241),SF_Output!$Q$1:$Q$400,"yearly")/R241))))</f>
        <v/>
      </c>
      <c r="T241" s="6" t="str">
        <f t="shared" si="15"/>
        <v/>
      </c>
      <c r="V241" s="6" t="str" cm="1">
        <f t="array" ref="V241">_xlfn.IFS(B241="","",AND(B241&lt;&gt;"",H241=SF_Output!$Y$2,SUMIFS(SF_Output!$T$1:$T$400,SF_Output!$AC$1:$AC$400,_xlfn.TEXTJOIN(",",TRUE,B241:E241),SF_Output!$Q$1:$Q$400,"monthly")=0),(SUMIFS(SF_Output!$F$1:$F$400,SF_Output!$AC$1:$AC$400,_xlfn.TEXTJOIN(",",TRUE,B241:E241),SF_Output!$Q$1:$Q$400,"monthly")+SUMIFS(SF_Output!$G$1:$G$400,SF_Output!$AC$1:$AC$400,_xlfn.TEXTJOIN(",",TRUE,B241:E241),SF_Output!$Q$1:$Q$400,"monthly"))*H241,AND(B241&lt;&gt;"",H241=SF_Output!$Y$2,SUMIFS(SF_Output!$T$1:$T$400,SF_Output!$AC$1:$AC$400,_xlfn.TEXTJOIN(",",TRUE,B241:E241),SF_Output!$Q$1:$Q$400,"monthly")&lt;&gt;0),SUMIFS(SF_Output!$S$1:$S$400,SF_Output!$AC$1:$AC$400,_xlfn.TEXTJOIN(",",TRUE,B241:E241),SF_Output!$Q$1:$Q$400,"monthly"),AND(B241&lt;&gt;"",H241&lt;&gt;SF_Output!$Y$2),SUMIFS(SF_Output!$S$1:$S$400,SF_Output!$AC$1:$AC$400,_xlfn.TEXTJOIN(",",TRUE,B241:E241),SF_Output!$Q$1:$Q$400,"monthly"))</f>
        <v/>
      </c>
      <c r="W241" s="112" t="str" cm="1">
        <f t="array" ref="W241">_xlfn.IFS(OR(B241=0,B241="",V241=0),"",AF241&lt;&gt;"exclusion",MAX($W$9,$W$7,(-(SUMIFS(SF_Output!$T$1:$T$400,SF_Output!$AC$1:$AC$400,_xlfn.TEXTJOIN(",",TRUE,$B241:$E241),SF_Output!$Q$1:$Q$400,"monthly"))/V241)),AF241="exclusion",-(SUMIFS(SF_Output!$T$1:$T$400,SF_Output!$AC$1:$AC$400,_xlfn.TEXTJOIN(",",TRUE,$B241:$E241),SF_Output!$Q$1:$Q$400,"monthly"))/V241)</f>
        <v/>
      </c>
      <c r="X241" s="6" t="str" cm="1">
        <f t="array" ref="X241">IFERROR(_xlfn.IFS(V241=0,0,V241="","",W241=0,V241,OR(V241&lt;&gt;0,V241&lt;&gt;""),H241*I241),V241*(1-W241))</f>
        <v/>
      </c>
    </row>
    <row r="242" spans="6:24" x14ac:dyDescent="0.25">
      <c r="F242" s="116" t="str">
        <f t="shared" si="12"/>
        <v/>
      </c>
      <c r="G242" t="str">
        <f>IF(B242="","",INDEX(SF_Output!$K$1:$K$400,MATCH(B242,SF_Output!$M$1:$M$400,0)))</f>
        <v/>
      </c>
      <c r="H242" t="str" cm="1">
        <f t="array" ref="H242">_xlfn.IFS(B242="","",(SUMIFS(SF_Output!$F$1:$F$400,SF_Output!$AC$1:$AC$400,_xlfn.TEXTJOIN(",",TRUE,B242:E242))+SUMIFS(SF_Output!$G$1:$G$400,SF_Output!$AC$1:$AC$400,_xlfn.TEXTJOIN(",",TRUE,B242:E242)))&lt;&gt;0,SF_Output!$Y$2,INDEX(SF_Output!$F$1:$F$400,MATCH(_xlfn.TEXTJOIN(",",TRUE,B242:E242),SF_Output!$AC$1:$AC$400,0))=0,INDEX(SF_Output!$R$1:$R$400,MATCH(_xlfn.TEXTJOIN(",",TRUE,B242:E242),SF_Output!$AC$1:$AC$400,0)))</f>
        <v/>
      </c>
      <c r="I242" s="125" t="str">
        <f>IFERROR(IF(AND(H242&gt;1,H242&lt;&gt;""),ROUND(SUMIFS(SF_Output!$S$1:$S$400,SF_Output!$AC$1:$AC$400,_xlfn.TEXTJOIN(",",TRUE,B242:E242),SF_Output!$Q$1:$Q$400,"monthly")*(1-W242)/H242,4),""),"")</f>
        <v/>
      </c>
      <c r="J242" s="6" t="str">
        <f>IF(B242="","",SUMIFS(SF_Output!$S$1:$S$400,SF_Output!$AC$1:$AC$400,_xlfn.TEXTJOIN(",",TRUE,B242:E242),SF_Output!$Q$1:$Q$400,"One Time",SF_Output!$L$1:$L$400,"license fee")+SUMIFS(SF_Output!$S$1:$S$400,SF_Output!$AC$1:$AC$400,_xlfn.TEXTJOIN(",",TRUE,B242:E242),SF_Output!$Q$1:$Q$400,"One Time",SF_Output!$L$1:$L$400,"software license")+SUMIFS(SF_Output!$S$1:$S$400,SF_Output!$AC$1:$AC$400,_xlfn.TEXTJOIN(",",TRUE,B242:E242),SF_Output!$Q$1:$Q$400,"One Time",SF_Output!$L$1:$L$400,"hardware"))</f>
        <v/>
      </c>
      <c r="K242" s="112" t="str">
        <f>IF(OR(B242=0,B242="",G242="hardware",J242=0),"",IF(AF242&lt;&gt;"exclusion",MAX(K$9,-((SUMIFS(SF_Output!$T$1:$T$400,SF_Output!$AC$1:$AC$400,_xlfn.TEXTJOIN(",",TRUE,$B242:$E242),SF_Output!$Q$1:$Q$400,"One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license"))/J242)))</f>
        <v/>
      </c>
      <c r="L242" s="6" t="str">
        <f t="shared" si="13"/>
        <v/>
      </c>
      <c r="N242" s="6" t="str">
        <f>IF(B242="","",SUMIFS(SF_Output!$S$1:$S$400,SF_Output!$AC$1:$AC$400,_xlfn.TEXTJOIN(",",TRUE,B242:E242),SF_Output!$Q$1:$Q$400,"One Time",SF_Output!$L$1:$L$400,"professional service"))</f>
        <v/>
      </c>
      <c r="O242" s="112" t="str">
        <f>IF(OR(B242=0,B242="",N242=0),"",IF(AF242&lt;&gt;"exclusion",MAX(O$9,-(SUMIFS(SF_Output!$T$1:$T$400,SF_Output!$AC$1:$AC$400,_xlfn.TEXTJOIN(",",TRUE,$B242:$E242),SF_Output!$Q$1:$Q$400,"One Time",SF_Output!$L$1:$L$400,"professional service"))/N242),-((SUMIFS(SF_Output!$T$1:$T$400,SF_Output!$AC$1:$AC$400,_xlfn.TEXTJOIN(",",TRUE,$B242:$E242),SF_Output!$Q$1:$Q$400,"One Time",SF_Output!$L$1:$L$400,"professional service")/N242))))</f>
        <v/>
      </c>
      <c r="P242" s="6" t="str">
        <f t="shared" si="14"/>
        <v/>
      </c>
      <c r="R242" s="6" t="str">
        <f>IF(B242="","",SUMIFS(SF_Output!$S$1:$S$400,SF_Output!$AC$1:$AC$400,_xlfn.TEXTJOIN(",",TRUE,B242:E242),SF_Output!$Q$1:$Q$400,"yearly")+SUMIFS(SF_Output!$S$1:$S$400,SF_Output!$AC$1:$AC$400,_xlfn.TEXTJOIN(",",TRUE,B242:E242),SF_Output!$Q$1:$Q$400,"quarterly")*4)</f>
        <v/>
      </c>
      <c r="S242" s="112" t="str">
        <f>IF(OR(B242=0,B242="",G242="hardware",R242=0),"",IF(AF242&lt;&gt;"exclusion",MAX(S$9,-(SUMIFS(SF_Output!$T$1:$T$400,SF_Output!$AC$1:$AC$400,_xlfn.TEXTJOIN(",",TRUE,$B242:$E242),SF_Output!$Q$1:$Q$400,"yearly"))/R242),-((SUMIFS(SF_Output!$T$1:$T$400,SF_Output!$AC$1:$AC$400,_xlfn.TEXTJOIN(",",TRUE,$B242:$E242),SF_Output!$Q$1:$Q$400,"yearly")/R242))))</f>
        <v/>
      </c>
      <c r="T242" s="6" t="str">
        <f t="shared" si="15"/>
        <v/>
      </c>
      <c r="V242" s="6" t="str" cm="1">
        <f t="array" ref="V242">_xlfn.IFS(B242="","",AND(B242&lt;&gt;"",H242=SF_Output!$Y$2,SUMIFS(SF_Output!$T$1:$T$400,SF_Output!$AC$1:$AC$400,_xlfn.TEXTJOIN(",",TRUE,B242:E242),SF_Output!$Q$1:$Q$400,"monthly")=0),(SUMIFS(SF_Output!$F$1:$F$400,SF_Output!$AC$1:$AC$400,_xlfn.TEXTJOIN(",",TRUE,B242:E242),SF_Output!$Q$1:$Q$400,"monthly")+SUMIFS(SF_Output!$G$1:$G$400,SF_Output!$AC$1:$AC$400,_xlfn.TEXTJOIN(",",TRUE,B242:E242),SF_Output!$Q$1:$Q$400,"monthly"))*H242,AND(B242&lt;&gt;"",H242=SF_Output!$Y$2,SUMIFS(SF_Output!$T$1:$T$400,SF_Output!$AC$1:$AC$400,_xlfn.TEXTJOIN(",",TRUE,B242:E242),SF_Output!$Q$1:$Q$400,"monthly")&lt;&gt;0),SUMIFS(SF_Output!$S$1:$S$400,SF_Output!$AC$1:$AC$400,_xlfn.TEXTJOIN(",",TRUE,B242:E242),SF_Output!$Q$1:$Q$400,"monthly"),AND(B242&lt;&gt;"",H242&lt;&gt;SF_Output!$Y$2),SUMIFS(SF_Output!$S$1:$S$400,SF_Output!$AC$1:$AC$400,_xlfn.TEXTJOIN(",",TRUE,B242:E242),SF_Output!$Q$1:$Q$400,"monthly"))</f>
        <v/>
      </c>
      <c r="W242" s="112" t="str" cm="1">
        <f t="array" ref="W242">_xlfn.IFS(OR(B242=0,B242="",V242=0),"",AF242&lt;&gt;"exclusion",MAX($W$9,$W$7,(-(SUMIFS(SF_Output!$T$1:$T$400,SF_Output!$AC$1:$AC$400,_xlfn.TEXTJOIN(",",TRUE,$B242:$E242),SF_Output!$Q$1:$Q$400,"monthly"))/V242)),AF242="exclusion",-(SUMIFS(SF_Output!$T$1:$T$400,SF_Output!$AC$1:$AC$400,_xlfn.TEXTJOIN(",",TRUE,$B242:$E242),SF_Output!$Q$1:$Q$400,"monthly"))/V242)</f>
        <v/>
      </c>
      <c r="X242" s="6" t="str" cm="1">
        <f t="array" ref="X242">IFERROR(_xlfn.IFS(V242=0,0,V242="","",W242=0,V242,OR(V242&lt;&gt;0,V242&lt;&gt;""),H242*I242),V242*(1-W242))</f>
        <v/>
      </c>
    </row>
    <row r="243" spans="6:24" x14ac:dyDescent="0.25">
      <c r="F243" s="116" t="str">
        <f t="shared" si="12"/>
        <v/>
      </c>
      <c r="G243" t="str">
        <f>IF(B243="","",INDEX(SF_Output!$K$1:$K$400,MATCH(B243,SF_Output!$M$1:$M$400,0)))</f>
        <v/>
      </c>
      <c r="H243" t="str" cm="1">
        <f t="array" ref="H243">_xlfn.IFS(B243="","",(SUMIFS(SF_Output!$F$1:$F$400,SF_Output!$AC$1:$AC$400,_xlfn.TEXTJOIN(",",TRUE,B243:E243))+SUMIFS(SF_Output!$G$1:$G$400,SF_Output!$AC$1:$AC$400,_xlfn.TEXTJOIN(",",TRUE,B243:E243)))&lt;&gt;0,SF_Output!$Y$2,INDEX(SF_Output!$F$1:$F$400,MATCH(_xlfn.TEXTJOIN(",",TRUE,B243:E243),SF_Output!$AC$1:$AC$400,0))=0,INDEX(SF_Output!$R$1:$R$400,MATCH(_xlfn.TEXTJOIN(",",TRUE,B243:E243),SF_Output!$AC$1:$AC$400,0)))</f>
        <v/>
      </c>
      <c r="I243" s="125" t="str">
        <f>IFERROR(IF(AND(H243&gt;1,H243&lt;&gt;""),ROUND(SUMIFS(SF_Output!$S$1:$S$400,SF_Output!$AC$1:$AC$400,_xlfn.TEXTJOIN(",",TRUE,B243:E243),SF_Output!$Q$1:$Q$400,"monthly")*(1-W243)/H243,4),""),"")</f>
        <v/>
      </c>
      <c r="J243" s="6" t="str">
        <f>IF(B243="","",SUMIFS(SF_Output!$S$1:$S$400,SF_Output!$AC$1:$AC$400,_xlfn.TEXTJOIN(",",TRUE,B243:E243),SF_Output!$Q$1:$Q$400,"One Time",SF_Output!$L$1:$L$400,"license fee")+SUMIFS(SF_Output!$S$1:$S$400,SF_Output!$AC$1:$AC$400,_xlfn.TEXTJOIN(",",TRUE,B243:E243),SF_Output!$Q$1:$Q$400,"One Time",SF_Output!$L$1:$L$400,"software license")+SUMIFS(SF_Output!$S$1:$S$400,SF_Output!$AC$1:$AC$400,_xlfn.TEXTJOIN(",",TRUE,B243:E243),SF_Output!$Q$1:$Q$400,"One Time",SF_Output!$L$1:$L$400,"hardware"))</f>
        <v/>
      </c>
      <c r="K243" s="112" t="str">
        <f>IF(OR(B243=0,B243="",G243="hardware",J243=0),"",IF(AF243&lt;&gt;"exclusion",MAX(K$9,-((SUMIFS(SF_Output!$T$1:$T$400,SF_Output!$AC$1:$AC$400,_xlfn.TEXTJOIN(",",TRUE,$B243:$E243),SF_Output!$Q$1:$Q$400,"One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license"))/J243)))</f>
        <v/>
      </c>
      <c r="L243" s="6" t="str">
        <f t="shared" si="13"/>
        <v/>
      </c>
      <c r="N243" s="6" t="str">
        <f>IF(B243="","",SUMIFS(SF_Output!$S$1:$S$400,SF_Output!$AC$1:$AC$400,_xlfn.TEXTJOIN(",",TRUE,B243:E243),SF_Output!$Q$1:$Q$400,"One Time",SF_Output!$L$1:$L$400,"professional service"))</f>
        <v/>
      </c>
      <c r="O243" s="112" t="str">
        <f>IF(OR(B243=0,B243="",N243=0),"",IF(AF243&lt;&gt;"exclusion",MAX(O$9,-(SUMIFS(SF_Output!$T$1:$T$400,SF_Output!$AC$1:$AC$400,_xlfn.TEXTJOIN(",",TRUE,$B243:$E243),SF_Output!$Q$1:$Q$400,"One Time",SF_Output!$L$1:$L$400,"professional service"))/N243),-((SUMIFS(SF_Output!$T$1:$T$400,SF_Output!$AC$1:$AC$400,_xlfn.TEXTJOIN(",",TRUE,$B243:$E243),SF_Output!$Q$1:$Q$400,"One Time",SF_Output!$L$1:$L$400,"professional service")/N243))))</f>
        <v/>
      </c>
      <c r="P243" s="6" t="str">
        <f t="shared" si="14"/>
        <v/>
      </c>
      <c r="R243" s="6" t="str">
        <f>IF(B243="","",SUMIFS(SF_Output!$S$1:$S$400,SF_Output!$AC$1:$AC$400,_xlfn.TEXTJOIN(",",TRUE,B243:E243),SF_Output!$Q$1:$Q$400,"yearly")+SUMIFS(SF_Output!$S$1:$S$400,SF_Output!$AC$1:$AC$400,_xlfn.TEXTJOIN(",",TRUE,B243:E243),SF_Output!$Q$1:$Q$400,"quarterly")*4)</f>
        <v/>
      </c>
      <c r="S243" s="112" t="str">
        <f>IF(OR(B243=0,B243="",G243="hardware",R243=0),"",IF(AF243&lt;&gt;"exclusion",MAX(S$9,-(SUMIFS(SF_Output!$T$1:$T$400,SF_Output!$AC$1:$AC$400,_xlfn.TEXTJOIN(",",TRUE,$B243:$E243),SF_Output!$Q$1:$Q$400,"yearly"))/R243),-((SUMIFS(SF_Output!$T$1:$T$400,SF_Output!$AC$1:$AC$400,_xlfn.TEXTJOIN(",",TRUE,$B243:$E243),SF_Output!$Q$1:$Q$400,"yearly")/R243))))</f>
        <v/>
      </c>
      <c r="T243" s="6" t="str">
        <f t="shared" si="15"/>
        <v/>
      </c>
      <c r="V243" s="6" t="str" cm="1">
        <f t="array" ref="V243">_xlfn.IFS(B243="","",AND(B243&lt;&gt;"",H243=SF_Output!$Y$2,SUMIFS(SF_Output!$T$1:$T$400,SF_Output!$AC$1:$AC$400,_xlfn.TEXTJOIN(",",TRUE,B243:E243),SF_Output!$Q$1:$Q$400,"monthly")=0),(SUMIFS(SF_Output!$F$1:$F$400,SF_Output!$AC$1:$AC$400,_xlfn.TEXTJOIN(",",TRUE,B243:E243),SF_Output!$Q$1:$Q$400,"monthly")+SUMIFS(SF_Output!$G$1:$G$400,SF_Output!$AC$1:$AC$400,_xlfn.TEXTJOIN(",",TRUE,B243:E243),SF_Output!$Q$1:$Q$400,"monthly"))*H243,AND(B243&lt;&gt;"",H243=SF_Output!$Y$2,SUMIFS(SF_Output!$T$1:$T$400,SF_Output!$AC$1:$AC$400,_xlfn.TEXTJOIN(",",TRUE,B243:E243),SF_Output!$Q$1:$Q$400,"monthly")&lt;&gt;0),SUMIFS(SF_Output!$S$1:$S$400,SF_Output!$AC$1:$AC$400,_xlfn.TEXTJOIN(",",TRUE,B243:E243),SF_Output!$Q$1:$Q$400,"monthly"),AND(B243&lt;&gt;"",H243&lt;&gt;SF_Output!$Y$2),SUMIFS(SF_Output!$S$1:$S$400,SF_Output!$AC$1:$AC$400,_xlfn.TEXTJOIN(",",TRUE,B243:E243),SF_Output!$Q$1:$Q$400,"monthly"))</f>
        <v/>
      </c>
      <c r="W243" s="112" t="str" cm="1">
        <f t="array" ref="W243">_xlfn.IFS(OR(B243=0,B243="",V243=0),"",AF243&lt;&gt;"exclusion",MAX($W$9,$W$7,(-(SUMIFS(SF_Output!$T$1:$T$400,SF_Output!$AC$1:$AC$400,_xlfn.TEXTJOIN(",",TRUE,$B243:$E243),SF_Output!$Q$1:$Q$400,"monthly"))/V243)),AF243="exclusion",-(SUMIFS(SF_Output!$T$1:$T$400,SF_Output!$AC$1:$AC$400,_xlfn.TEXTJOIN(",",TRUE,$B243:$E243),SF_Output!$Q$1:$Q$400,"monthly"))/V243)</f>
        <v/>
      </c>
      <c r="X243" s="6" t="str" cm="1">
        <f t="array" ref="X243">IFERROR(_xlfn.IFS(V243=0,0,V243="","",W243=0,V243,OR(V243&lt;&gt;0,V243&lt;&gt;""),H243*I243),V243*(1-W243))</f>
        <v/>
      </c>
    </row>
    <row r="244" spans="6:24" x14ac:dyDescent="0.25">
      <c r="F244" s="116" t="str">
        <f t="shared" si="12"/>
        <v/>
      </c>
      <c r="G244" t="str">
        <f>IF(B244="","",INDEX(SF_Output!$K$1:$K$400,MATCH(B244,SF_Output!$M$1:$M$400,0)))</f>
        <v/>
      </c>
      <c r="H244" t="str" cm="1">
        <f t="array" ref="H244">_xlfn.IFS(B244="","",(SUMIFS(SF_Output!$F$1:$F$400,SF_Output!$AC$1:$AC$400,_xlfn.TEXTJOIN(",",TRUE,B244:E244))+SUMIFS(SF_Output!$G$1:$G$400,SF_Output!$AC$1:$AC$400,_xlfn.TEXTJOIN(",",TRUE,B244:E244)))&lt;&gt;0,SF_Output!$Y$2,INDEX(SF_Output!$F$1:$F$400,MATCH(_xlfn.TEXTJOIN(",",TRUE,B244:E244),SF_Output!$AC$1:$AC$400,0))=0,INDEX(SF_Output!$R$1:$R$400,MATCH(_xlfn.TEXTJOIN(",",TRUE,B244:E244),SF_Output!$AC$1:$AC$400,0)))</f>
        <v/>
      </c>
      <c r="I244" s="125" t="str">
        <f>IFERROR(IF(AND(H244&gt;1,H244&lt;&gt;""),ROUND(SUMIFS(SF_Output!$S$1:$S$400,SF_Output!$AC$1:$AC$400,_xlfn.TEXTJOIN(",",TRUE,B244:E244),SF_Output!$Q$1:$Q$400,"monthly")*(1-W244)/H244,4),""),"")</f>
        <v/>
      </c>
      <c r="J244" s="6" t="str">
        <f>IF(B244="","",SUMIFS(SF_Output!$S$1:$S$400,SF_Output!$AC$1:$AC$400,_xlfn.TEXTJOIN(",",TRUE,B244:E244),SF_Output!$Q$1:$Q$400,"One Time",SF_Output!$L$1:$L$400,"license fee")+SUMIFS(SF_Output!$S$1:$S$400,SF_Output!$AC$1:$AC$400,_xlfn.TEXTJOIN(",",TRUE,B244:E244),SF_Output!$Q$1:$Q$400,"One Time",SF_Output!$L$1:$L$400,"software license")+SUMIFS(SF_Output!$S$1:$S$400,SF_Output!$AC$1:$AC$400,_xlfn.TEXTJOIN(",",TRUE,B244:E244),SF_Output!$Q$1:$Q$400,"One Time",SF_Output!$L$1:$L$400,"hardware"))</f>
        <v/>
      </c>
      <c r="K244" s="112" t="str">
        <f>IF(OR(B244=0,B244="",G244="hardware",J244=0),"",IF(AF244&lt;&gt;"exclusion",MAX(K$9,-((SUMIFS(SF_Output!$T$1:$T$400,SF_Output!$AC$1:$AC$400,_xlfn.TEXTJOIN(",",TRUE,$B244:$E244),SF_Output!$Q$1:$Q$400,"One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license"))/J244)))</f>
        <v/>
      </c>
      <c r="L244" s="6" t="str">
        <f t="shared" si="13"/>
        <v/>
      </c>
      <c r="N244" s="6" t="str">
        <f>IF(B244="","",SUMIFS(SF_Output!$S$1:$S$400,SF_Output!$AC$1:$AC$400,_xlfn.TEXTJOIN(",",TRUE,B244:E244),SF_Output!$Q$1:$Q$400,"One Time",SF_Output!$L$1:$L$400,"professional service"))</f>
        <v/>
      </c>
      <c r="O244" s="112" t="str">
        <f>IF(OR(B244=0,B244="",N244=0),"",IF(AF244&lt;&gt;"exclusion",MAX(O$9,-(SUMIFS(SF_Output!$T$1:$T$400,SF_Output!$AC$1:$AC$400,_xlfn.TEXTJOIN(",",TRUE,$B244:$E244),SF_Output!$Q$1:$Q$400,"One Time",SF_Output!$L$1:$L$400,"professional service"))/N244),-((SUMIFS(SF_Output!$T$1:$T$400,SF_Output!$AC$1:$AC$400,_xlfn.TEXTJOIN(",",TRUE,$B244:$E244),SF_Output!$Q$1:$Q$400,"One Time",SF_Output!$L$1:$L$400,"professional service")/N244))))</f>
        <v/>
      </c>
      <c r="P244" s="6" t="str">
        <f t="shared" si="14"/>
        <v/>
      </c>
      <c r="R244" s="6" t="str">
        <f>IF(B244="","",SUMIFS(SF_Output!$S$1:$S$400,SF_Output!$AC$1:$AC$400,_xlfn.TEXTJOIN(",",TRUE,B244:E244),SF_Output!$Q$1:$Q$400,"yearly")+SUMIFS(SF_Output!$S$1:$S$400,SF_Output!$AC$1:$AC$400,_xlfn.TEXTJOIN(",",TRUE,B244:E244),SF_Output!$Q$1:$Q$400,"quarterly")*4)</f>
        <v/>
      </c>
      <c r="S244" s="112" t="str">
        <f>IF(OR(B244=0,B244="",G244="hardware",R244=0),"",IF(AF244&lt;&gt;"exclusion",MAX(S$9,-(SUMIFS(SF_Output!$T$1:$T$400,SF_Output!$AC$1:$AC$400,_xlfn.TEXTJOIN(",",TRUE,$B244:$E244),SF_Output!$Q$1:$Q$400,"yearly"))/R244),-((SUMIFS(SF_Output!$T$1:$T$400,SF_Output!$AC$1:$AC$400,_xlfn.TEXTJOIN(",",TRUE,$B244:$E244),SF_Output!$Q$1:$Q$400,"yearly")/R244))))</f>
        <v/>
      </c>
      <c r="T244" s="6" t="str">
        <f t="shared" si="15"/>
        <v/>
      </c>
      <c r="V244" s="6" t="str" cm="1">
        <f t="array" ref="V244">_xlfn.IFS(B244="","",AND(B244&lt;&gt;"",H244=SF_Output!$Y$2,SUMIFS(SF_Output!$T$1:$T$400,SF_Output!$AC$1:$AC$400,_xlfn.TEXTJOIN(",",TRUE,B244:E244),SF_Output!$Q$1:$Q$400,"monthly")=0),(SUMIFS(SF_Output!$F$1:$F$400,SF_Output!$AC$1:$AC$400,_xlfn.TEXTJOIN(",",TRUE,B244:E244),SF_Output!$Q$1:$Q$400,"monthly")+SUMIFS(SF_Output!$G$1:$G$400,SF_Output!$AC$1:$AC$400,_xlfn.TEXTJOIN(",",TRUE,B244:E244),SF_Output!$Q$1:$Q$400,"monthly"))*H244,AND(B244&lt;&gt;"",H244=SF_Output!$Y$2,SUMIFS(SF_Output!$T$1:$T$400,SF_Output!$AC$1:$AC$400,_xlfn.TEXTJOIN(",",TRUE,B244:E244),SF_Output!$Q$1:$Q$400,"monthly")&lt;&gt;0),SUMIFS(SF_Output!$S$1:$S$400,SF_Output!$AC$1:$AC$400,_xlfn.TEXTJOIN(",",TRUE,B244:E244),SF_Output!$Q$1:$Q$400,"monthly"),AND(B244&lt;&gt;"",H244&lt;&gt;SF_Output!$Y$2),SUMIFS(SF_Output!$S$1:$S$400,SF_Output!$AC$1:$AC$400,_xlfn.TEXTJOIN(",",TRUE,B244:E244),SF_Output!$Q$1:$Q$400,"monthly"))</f>
        <v/>
      </c>
      <c r="W244" s="112" t="str" cm="1">
        <f t="array" ref="W244">_xlfn.IFS(OR(B244=0,B244="",V244=0),"",AF244&lt;&gt;"exclusion",MAX($W$9,$W$7,(-(SUMIFS(SF_Output!$T$1:$T$400,SF_Output!$AC$1:$AC$400,_xlfn.TEXTJOIN(",",TRUE,$B244:$E244),SF_Output!$Q$1:$Q$400,"monthly"))/V244)),AF244="exclusion",-(SUMIFS(SF_Output!$T$1:$T$400,SF_Output!$AC$1:$AC$400,_xlfn.TEXTJOIN(",",TRUE,$B244:$E244),SF_Output!$Q$1:$Q$400,"monthly"))/V244)</f>
        <v/>
      </c>
      <c r="X244" s="6" t="str" cm="1">
        <f t="array" ref="X244">IFERROR(_xlfn.IFS(V244=0,0,V244="","",W244=0,V244,OR(V244&lt;&gt;0,V244&lt;&gt;""),H244*I244),V244*(1-W244))</f>
        <v/>
      </c>
    </row>
    <row r="245" spans="6:24" x14ac:dyDescent="0.25">
      <c r="F245" s="116" t="str">
        <f t="shared" si="12"/>
        <v/>
      </c>
      <c r="G245" t="str">
        <f>IF(B245="","",INDEX(SF_Output!$K$1:$K$400,MATCH(B245,SF_Output!$M$1:$M$400,0)))</f>
        <v/>
      </c>
      <c r="H245" t="str" cm="1">
        <f t="array" ref="H245">_xlfn.IFS(B245="","",(SUMIFS(SF_Output!$F$1:$F$400,SF_Output!$AC$1:$AC$400,_xlfn.TEXTJOIN(",",TRUE,B245:E245))+SUMIFS(SF_Output!$G$1:$G$400,SF_Output!$AC$1:$AC$400,_xlfn.TEXTJOIN(",",TRUE,B245:E245)))&lt;&gt;0,SF_Output!$Y$2,INDEX(SF_Output!$F$1:$F$400,MATCH(_xlfn.TEXTJOIN(",",TRUE,B245:E245),SF_Output!$AC$1:$AC$400,0))=0,INDEX(SF_Output!$R$1:$R$400,MATCH(_xlfn.TEXTJOIN(",",TRUE,B245:E245),SF_Output!$AC$1:$AC$400,0)))</f>
        <v/>
      </c>
      <c r="I245" s="125" t="str">
        <f>IFERROR(IF(AND(H245&gt;1,H245&lt;&gt;""),ROUND(SUMIFS(SF_Output!$S$1:$S$400,SF_Output!$AC$1:$AC$400,_xlfn.TEXTJOIN(",",TRUE,B245:E245),SF_Output!$Q$1:$Q$400,"monthly")*(1-W245)/H245,4),""),"")</f>
        <v/>
      </c>
      <c r="J245" s="6" t="str">
        <f>IF(B245="","",SUMIFS(SF_Output!$S$1:$S$400,SF_Output!$AC$1:$AC$400,_xlfn.TEXTJOIN(",",TRUE,B245:E245),SF_Output!$Q$1:$Q$400,"One Time",SF_Output!$L$1:$L$400,"license fee")+SUMIFS(SF_Output!$S$1:$S$400,SF_Output!$AC$1:$AC$400,_xlfn.TEXTJOIN(",",TRUE,B245:E245),SF_Output!$Q$1:$Q$400,"One Time",SF_Output!$L$1:$L$400,"software license")+SUMIFS(SF_Output!$S$1:$S$400,SF_Output!$AC$1:$AC$400,_xlfn.TEXTJOIN(",",TRUE,B245:E245),SF_Output!$Q$1:$Q$400,"One Time",SF_Output!$L$1:$L$400,"hardware"))</f>
        <v/>
      </c>
      <c r="K245" s="112" t="str">
        <f>IF(OR(B245=0,B245="",G245="hardware",J245=0),"",IF(AF245&lt;&gt;"exclusion",MAX(K$9,-((SUMIFS(SF_Output!$T$1:$T$400,SF_Output!$AC$1:$AC$400,_xlfn.TEXTJOIN(",",TRUE,$B245:$E245),SF_Output!$Q$1:$Q$400,"One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license"))/J245)))</f>
        <v/>
      </c>
      <c r="L245" s="6" t="str">
        <f t="shared" si="13"/>
        <v/>
      </c>
      <c r="N245" s="6" t="str">
        <f>IF(B245="","",SUMIFS(SF_Output!$S$1:$S$400,SF_Output!$AC$1:$AC$400,_xlfn.TEXTJOIN(",",TRUE,B245:E245),SF_Output!$Q$1:$Q$400,"One Time",SF_Output!$L$1:$L$400,"professional service"))</f>
        <v/>
      </c>
      <c r="O245" s="112" t="str">
        <f>IF(OR(B245=0,B245="",N245=0),"",IF(AF245&lt;&gt;"exclusion",MAX(O$9,-(SUMIFS(SF_Output!$T$1:$T$400,SF_Output!$AC$1:$AC$400,_xlfn.TEXTJOIN(",",TRUE,$B245:$E245),SF_Output!$Q$1:$Q$400,"One Time",SF_Output!$L$1:$L$400,"professional service"))/N245),-((SUMIFS(SF_Output!$T$1:$T$400,SF_Output!$AC$1:$AC$400,_xlfn.TEXTJOIN(",",TRUE,$B245:$E245),SF_Output!$Q$1:$Q$400,"One Time",SF_Output!$L$1:$L$400,"professional service")/N245))))</f>
        <v/>
      </c>
      <c r="P245" s="6" t="str">
        <f t="shared" si="14"/>
        <v/>
      </c>
      <c r="R245" s="6" t="str">
        <f>IF(B245="","",SUMIFS(SF_Output!$S$1:$S$400,SF_Output!$AC$1:$AC$400,_xlfn.TEXTJOIN(",",TRUE,B245:E245),SF_Output!$Q$1:$Q$400,"yearly")+SUMIFS(SF_Output!$S$1:$S$400,SF_Output!$AC$1:$AC$400,_xlfn.TEXTJOIN(",",TRUE,B245:E245),SF_Output!$Q$1:$Q$400,"quarterly")*4)</f>
        <v/>
      </c>
      <c r="S245" s="112" t="str">
        <f>IF(OR(B245=0,B245="",G245="hardware",R245=0),"",IF(AF245&lt;&gt;"exclusion",MAX(S$9,-(SUMIFS(SF_Output!$T$1:$T$400,SF_Output!$AC$1:$AC$400,_xlfn.TEXTJOIN(",",TRUE,$B245:$E245),SF_Output!$Q$1:$Q$400,"yearly"))/R245),-((SUMIFS(SF_Output!$T$1:$T$400,SF_Output!$AC$1:$AC$400,_xlfn.TEXTJOIN(",",TRUE,$B245:$E245),SF_Output!$Q$1:$Q$400,"yearly")/R245))))</f>
        <v/>
      </c>
      <c r="T245" s="6" t="str">
        <f t="shared" si="15"/>
        <v/>
      </c>
      <c r="V245" s="6" t="str" cm="1">
        <f t="array" ref="V245">_xlfn.IFS(B245="","",AND(B245&lt;&gt;"",H245=SF_Output!$Y$2,SUMIFS(SF_Output!$T$1:$T$400,SF_Output!$AC$1:$AC$400,_xlfn.TEXTJOIN(",",TRUE,B245:E245),SF_Output!$Q$1:$Q$400,"monthly")=0),(SUMIFS(SF_Output!$F$1:$F$400,SF_Output!$AC$1:$AC$400,_xlfn.TEXTJOIN(",",TRUE,B245:E245),SF_Output!$Q$1:$Q$400,"monthly")+SUMIFS(SF_Output!$G$1:$G$400,SF_Output!$AC$1:$AC$400,_xlfn.TEXTJOIN(",",TRUE,B245:E245),SF_Output!$Q$1:$Q$400,"monthly"))*H245,AND(B245&lt;&gt;"",H245=SF_Output!$Y$2,SUMIFS(SF_Output!$T$1:$T$400,SF_Output!$AC$1:$AC$400,_xlfn.TEXTJOIN(",",TRUE,B245:E245),SF_Output!$Q$1:$Q$400,"monthly")&lt;&gt;0),SUMIFS(SF_Output!$S$1:$S$400,SF_Output!$AC$1:$AC$400,_xlfn.TEXTJOIN(",",TRUE,B245:E245),SF_Output!$Q$1:$Q$400,"monthly"),AND(B245&lt;&gt;"",H245&lt;&gt;SF_Output!$Y$2),SUMIFS(SF_Output!$S$1:$S$400,SF_Output!$AC$1:$AC$400,_xlfn.TEXTJOIN(",",TRUE,B245:E245),SF_Output!$Q$1:$Q$400,"monthly"))</f>
        <v/>
      </c>
      <c r="W245" s="112" t="str" cm="1">
        <f t="array" ref="W245">_xlfn.IFS(OR(B245=0,B245="",V245=0),"",AF245&lt;&gt;"exclusion",MAX($W$9,$W$7,(-(SUMIFS(SF_Output!$T$1:$T$400,SF_Output!$AC$1:$AC$400,_xlfn.TEXTJOIN(",",TRUE,$B245:$E245),SF_Output!$Q$1:$Q$400,"monthly"))/V245)),AF245="exclusion",-(SUMIFS(SF_Output!$T$1:$T$400,SF_Output!$AC$1:$AC$400,_xlfn.TEXTJOIN(",",TRUE,$B245:$E245),SF_Output!$Q$1:$Q$400,"monthly"))/V245)</f>
        <v/>
      </c>
      <c r="X245" s="6" t="str" cm="1">
        <f t="array" ref="X245">IFERROR(_xlfn.IFS(V245=0,0,V245="","",W245=0,V245,OR(V245&lt;&gt;0,V245&lt;&gt;""),H245*I245),V245*(1-W245))</f>
        <v/>
      </c>
    </row>
    <row r="246" spans="6:24" x14ac:dyDescent="0.25">
      <c r="F246" s="116" t="str">
        <f t="shared" si="12"/>
        <v/>
      </c>
      <c r="G246" t="str">
        <f>IF(B246="","",INDEX(SF_Output!$K$1:$K$400,MATCH(B246,SF_Output!$M$1:$M$400,0)))</f>
        <v/>
      </c>
      <c r="H246" t="str" cm="1">
        <f t="array" ref="H246">_xlfn.IFS(B246="","",(SUMIFS(SF_Output!$F$1:$F$400,SF_Output!$AC$1:$AC$400,_xlfn.TEXTJOIN(",",TRUE,B246:E246))+SUMIFS(SF_Output!$G$1:$G$400,SF_Output!$AC$1:$AC$400,_xlfn.TEXTJOIN(",",TRUE,B246:E246)))&lt;&gt;0,SF_Output!$Y$2,INDEX(SF_Output!$F$1:$F$400,MATCH(_xlfn.TEXTJOIN(",",TRUE,B246:E246),SF_Output!$AC$1:$AC$400,0))=0,INDEX(SF_Output!$R$1:$R$400,MATCH(_xlfn.TEXTJOIN(",",TRUE,B246:E246),SF_Output!$AC$1:$AC$400,0)))</f>
        <v/>
      </c>
      <c r="I246" s="125" t="str">
        <f>IFERROR(IF(AND(H246&gt;1,H246&lt;&gt;""),ROUND(SUMIFS(SF_Output!$S$1:$S$400,SF_Output!$AC$1:$AC$400,_xlfn.TEXTJOIN(",",TRUE,B246:E246),SF_Output!$Q$1:$Q$400,"monthly")*(1-W246)/H246,4),""),"")</f>
        <v/>
      </c>
      <c r="J246" s="6" t="str">
        <f>IF(B246="","",SUMIFS(SF_Output!$S$1:$S$400,SF_Output!$AC$1:$AC$400,_xlfn.TEXTJOIN(",",TRUE,B246:E246),SF_Output!$Q$1:$Q$400,"One Time",SF_Output!$L$1:$L$400,"license fee")+SUMIFS(SF_Output!$S$1:$S$400,SF_Output!$AC$1:$AC$400,_xlfn.TEXTJOIN(",",TRUE,B246:E246),SF_Output!$Q$1:$Q$400,"One Time",SF_Output!$L$1:$L$400,"software license")+SUMIFS(SF_Output!$S$1:$S$400,SF_Output!$AC$1:$AC$400,_xlfn.TEXTJOIN(",",TRUE,B246:E246),SF_Output!$Q$1:$Q$400,"One Time",SF_Output!$L$1:$L$400,"hardware"))</f>
        <v/>
      </c>
      <c r="K246" s="112" t="str">
        <f>IF(OR(B246=0,B246="",G246="hardware",J246=0),"",IF(AF246&lt;&gt;"exclusion",MAX(K$9,-((SUMIFS(SF_Output!$T$1:$T$400,SF_Output!$AC$1:$AC$400,_xlfn.TEXTJOIN(",",TRUE,$B246:$E246),SF_Output!$Q$1:$Q$400,"One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license"))/J246)))</f>
        <v/>
      </c>
      <c r="L246" s="6" t="str">
        <f t="shared" si="13"/>
        <v/>
      </c>
      <c r="N246" s="6" t="str">
        <f>IF(B246="","",SUMIFS(SF_Output!$S$1:$S$400,SF_Output!$AC$1:$AC$400,_xlfn.TEXTJOIN(",",TRUE,B246:E246),SF_Output!$Q$1:$Q$400,"One Time",SF_Output!$L$1:$L$400,"professional service"))</f>
        <v/>
      </c>
      <c r="O246" s="112" t="str">
        <f>IF(OR(B246=0,B246="",N246=0),"",IF(AF246&lt;&gt;"exclusion",MAX(O$9,-(SUMIFS(SF_Output!$T$1:$T$400,SF_Output!$AC$1:$AC$400,_xlfn.TEXTJOIN(",",TRUE,$B246:$E246),SF_Output!$Q$1:$Q$400,"One Time",SF_Output!$L$1:$L$400,"professional service"))/N246),-((SUMIFS(SF_Output!$T$1:$T$400,SF_Output!$AC$1:$AC$400,_xlfn.TEXTJOIN(",",TRUE,$B246:$E246),SF_Output!$Q$1:$Q$400,"One Time",SF_Output!$L$1:$L$400,"professional service")/N246))))</f>
        <v/>
      </c>
      <c r="P246" s="6" t="str">
        <f t="shared" si="14"/>
        <v/>
      </c>
      <c r="R246" s="6" t="str">
        <f>IF(B246="","",SUMIFS(SF_Output!$S$1:$S$400,SF_Output!$AC$1:$AC$400,_xlfn.TEXTJOIN(",",TRUE,B246:E246),SF_Output!$Q$1:$Q$400,"yearly")+SUMIFS(SF_Output!$S$1:$S$400,SF_Output!$AC$1:$AC$400,_xlfn.TEXTJOIN(",",TRUE,B246:E246),SF_Output!$Q$1:$Q$400,"quarterly")*4)</f>
        <v/>
      </c>
      <c r="S246" s="112" t="str">
        <f>IF(OR(B246=0,B246="",G246="hardware",R246=0),"",IF(AF246&lt;&gt;"exclusion",MAX(S$9,-(SUMIFS(SF_Output!$T$1:$T$400,SF_Output!$AC$1:$AC$400,_xlfn.TEXTJOIN(",",TRUE,$B246:$E246),SF_Output!$Q$1:$Q$400,"yearly"))/R246),-((SUMIFS(SF_Output!$T$1:$T$400,SF_Output!$AC$1:$AC$400,_xlfn.TEXTJOIN(",",TRUE,$B246:$E246),SF_Output!$Q$1:$Q$400,"yearly")/R246))))</f>
        <v/>
      </c>
      <c r="T246" s="6" t="str">
        <f t="shared" si="15"/>
        <v/>
      </c>
      <c r="V246" s="6" t="str" cm="1">
        <f t="array" ref="V246">_xlfn.IFS(B246="","",AND(B246&lt;&gt;"",H246=SF_Output!$Y$2,SUMIFS(SF_Output!$T$1:$T$400,SF_Output!$AC$1:$AC$400,_xlfn.TEXTJOIN(",",TRUE,B246:E246),SF_Output!$Q$1:$Q$400,"monthly")=0),(SUMIFS(SF_Output!$F$1:$F$400,SF_Output!$AC$1:$AC$400,_xlfn.TEXTJOIN(",",TRUE,B246:E246),SF_Output!$Q$1:$Q$400,"monthly")+SUMIFS(SF_Output!$G$1:$G$400,SF_Output!$AC$1:$AC$400,_xlfn.TEXTJOIN(",",TRUE,B246:E246),SF_Output!$Q$1:$Q$400,"monthly"))*H246,AND(B246&lt;&gt;"",H246=SF_Output!$Y$2,SUMIFS(SF_Output!$T$1:$T$400,SF_Output!$AC$1:$AC$400,_xlfn.TEXTJOIN(",",TRUE,B246:E246),SF_Output!$Q$1:$Q$400,"monthly")&lt;&gt;0),SUMIFS(SF_Output!$S$1:$S$400,SF_Output!$AC$1:$AC$400,_xlfn.TEXTJOIN(",",TRUE,B246:E246),SF_Output!$Q$1:$Q$400,"monthly"),AND(B246&lt;&gt;"",H246&lt;&gt;SF_Output!$Y$2),SUMIFS(SF_Output!$S$1:$S$400,SF_Output!$AC$1:$AC$400,_xlfn.TEXTJOIN(",",TRUE,B246:E246),SF_Output!$Q$1:$Q$400,"monthly"))</f>
        <v/>
      </c>
      <c r="W246" s="112" t="str" cm="1">
        <f t="array" ref="W246">_xlfn.IFS(OR(B246=0,B246="",V246=0),"",AF246&lt;&gt;"exclusion",MAX($W$9,$W$7,(-(SUMIFS(SF_Output!$T$1:$T$400,SF_Output!$AC$1:$AC$400,_xlfn.TEXTJOIN(",",TRUE,$B246:$E246),SF_Output!$Q$1:$Q$400,"monthly"))/V246)),AF246="exclusion",-(SUMIFS(SF_Output!$T$1:$T$400,SF_Output!$AC$1:$AC$400,_xlfn.TEXTJOIN(",",TRUE,$B246:$E246),SF_Output!$Q$1:$Q$400,"monthly"))/V246)</f>
        <v/>
      </c>
      <c r="X246" s="6" t="str" cm="1">
        <f t="array" ref="X246">IFERROR(_xlfn.IFS(V246=0,0,V246="","",W246=0,V246,OR(V246&lt;&gt;0,V246&lt;&gt;""),H246*I246),V246*(1-W246))</f>
        <v/>
      </c>
    </row>
    <row r="247" spans="6:24" x14ac:dyDescent="0.25">
      <c r="F247" s="116" t="str">
        <f t="shared" si="12"/>
        <v/>
      </c>
      <c r="G247" t="str">
        <f>IF(B247="","",INDEX(SF_Output!$K$1:$K$400,MATCH(B247,SF_Output!$M$1:$M$400,0)))</f>
        <v/>
      </c>
      <c r="H247" t="str" cm="1">
        <f t="array" ref="H247">_xlfn.IFS(B247="","",(SUMIFS(SF_Output!$F$1:$F$400,SF_Output!$AC$1:$AC$400,_xlfn.TEXTJOIN(",",TRUE,B247:E247))+SUMIFS(SF_Output!$G$1:$G$400,SF_Output!$AC$1:$AC$400,_xlfn.TEXTJOIN(",",TRUE,B247:E247)))&lt;&gt;0,SF_Output!$Y$2,INDEX(SF_Output!$F$1:$F$400,MATCH(_xlfn.TEXTJOIN(",",TRUE,B247:E247),SF_Output!$AC$1:$AC$400,0))=0,INDEX(SF_Output!$R$1:$R$400,MATCH(_xlfn.TEXTJOIN(",",TRUE,B247:E247),SF_Output!$AC$1:$AC$400,0)))</f>
        <v/>
      </c>
      <c r="I247" s="125" t="str">
        <f>IFERROR(IF(AND(H247&gt;1,H247&lt;&gt;""),ROUND(SUMIFS(SF_Output!$S$1:$S$400,SF_Output!$AC$1:$AC$400,_xlfn.TEXTJOIN(",",TRUE,B247:E247),SF_Output!$Q$1:$Q$400,"monthly")*(1-W247)/H247,4),""),"")</f>
        <v/>
      </c>
      <c r="J247" s="6" t="str">
        <f>IF(B247="","",SUMIFS(SF_Output!$S$1:$S$400,SF_Output!$AC$1:$AC$400,_xlfn.TEXTJOIN(",",TRUE,B247:E247),SF_Output!$Q$1:$Q$400,"One Time",SF_Output!$L$1:$L$400,"license fee")+SUMIFS(SF_Output!$S$1:$S$400,SF_Output!$AC$1:$AC$400,_xlfn.TEXTJOIN(",",TRUE,B247:E247),SF_Output!$Q$1:$Q$400,"One Time",SF_Output!$L$1:$L$400,"software license")+SUMIFS(SF_Output!$S$1:$S$400,SF_Output!$AC$1:$AC$400,_xlfn.TEXTJOIN(",",TRUE,B247:E247),SF_Output!$Q$1:$Q$400,"One Time",SF_Output!$L$1:$L$400,"hardware"))</f>
        <v/>
      </c>
      <c r="K247" s="112" t="str">
        <f>IF(OR(B247=0,B247="",G247="hardware",J247=0),"",IF(AF247&lt;&gt;"exclusion",MAX(K$9,-((SUMIFS(SF_Output!$T$1:$T$400,SF_Output!$AC$1:$AC$400,_xlfn.TEXTJOIN(",",TRUE,$B247:$E247),SF_Output!$Q$1:$Q$400,"One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license"))/J247)))</f>
        <v/>
      </c>
      <c r="L247" s="6" t="str">
        <f t="shared" si="13"/>
        <v/>
      </c>
      <c r="N247" s="6" t="str">
        <f>IF(B247="","",SUMIFS(SF_Output!$S$1:$S$400,SF_Output!$AC$1:$AC$400,_xlfn.TEXTJOIN(",",TRUE,B247:E247),SF_Output!$Q$1:$Q$400,"One Time",SF_Output!$L$1:$L$400,"professional service"))</f>
        <v/>
      </c>
      <c r="O247" s="112" t="str">
        <f>IF(OR(B247=0,B247="",N247=0),"",IF(AF247&lt;&gt;"exclusion",MAX(O$9,-(SUMIFS(SF_Output!$T$1:$T$400,SF_Output!$AC$1:$AC$400,_xlfn.TEXTJOIN(",",TRUE,$B247:$E247),SF_Output!$Q$1:$Q$400,"One Time",SF_Output!$L$1:$L$400,"professional service"))/N247),-((SUMIFS(SF_Output!$T$1:$T$400,SF_Output!$AC$1:$AC$400,_xlfn.TEXTJOIN(",",TRUE,$B247:$E247),SF_Output!$Q$1:$Q$400,"One Time",SF_Output!$L$1:$L$400,"professional service")/N247))))</f>
        <v/>
      </c>
      <c r="P247" s="6" t="str">
        <f t="shared" si="14"/>
        <v/>
      </c>
      <c r="R247" s="6" t="str">
        <f>IF(B247="","",SUMIFS(SF_Output!$S$1:$S$400,SF_Output!$AC$1:$AC$400,_xlfn.TEXTJOIN(",",TRUE,B247:E247),SF_Output!$Q$1:$Q$400,"yearly")+SUMIFS(SF_Output!$S$1:$S$400,SF_Output!$AC$1:$AC$400,_xlfn.TEXTJOIN(",",TRUE,B247:E247),SF_Output!$Q$1:$Q$400,"quarterly")*4)</f>
        <v/>
      </c>
      <c r="S247" s="112" t="str">
        <f>IF(OR(B247=0,B247="",G247="hardware",R247=0),"",IF(AF247&lt;&gt;"exclusion",MAX(S$9,-(SUMIFS(SF_Output!$T$1:$T$400,SF_Output!$AC$1:$AC$400,_xlfn.TEXTJOIN(",",TRUE,$B247:$E247),SF_Output!$Q$1:$Q$400,"yearly"))/R247),-((SUMIFS(SF_Output!$T$1:$T$400,SF_Output!$AC$1:$AC$400,_xlfn.TEXTJOIN(",",TRUE,$B247:$E247),SF_Output!$Q$1:$Q$400,"yearly")/R247))))</f>
        <v/>
      </c>
      <c r="T247" s="6" t="str">
        <f t="shared" si="15"/>
        <v/>
      </c>
      <c r="V247" s="6" t="str" cm="1">
        <f t="array" ref="V247">_xlfn.IFS(B247="","",AND(B247&lt;&gt;"",H247=SF_Output!$Y$2,SUMIFS(SF_Output!$T$1:$T$400,SF_Output!$AC$1:$AC$400,_xlfn.TEXTJOIN(",",TRUE,B247:E247),SF_Output!$Q$1:$Q$400,"monthly")=0),(SUMIFS(SF_Output!$F$1:$F$400,SF_Output!$AC$1:$AC$400,_xlfn.TEXTJOIN(",",TRUE,B247:E247),SF_Output!$Q$1:$Q$400,"monthly")+SUMIFS(SF_Output!$G$1:$G$400,SF_Output!$AC$1:$AC$400,_xlfn.TEXTJOIN(",",TRUE,B247:E247),SF_Output!$Q$1:$Q$400,"monthly"))*H247,AND(B247&lt;&gt;"",H247=SF_Output!$Y$2,SUMIFS(SF_Output!$T$1:$T$400,SF_Output!$AC$1:$AC$400,_xlfn.TEXTJOIN(",",TRUE,B247:E247),SF_Output!$Q$1:$Q$400,"monthly")&lt;&gt;0),SUMIFS(SF_Output!$S$1:$S$400,SF_Output!$AC$1:$AC$400,_xlfn.TEXTJOIN(",",TRUE,B247:E247),SF_Output!$Q$1:$Q$400,"monthly"),AND(B247&lt;&gt;"",H247&lt;&gt;SF_Output!$Y$2),SUMIFS(SF_Output!$S$1:$S$400,SF_Output!$AC$1:$AC$400,_xlfn.TEXTJOIN(",",TRUE,B247:E247),SF_Output!$Q$1:$Q$400,"monthly"))</f>
        <v/>
      </c>
      <c r="W247" s="112" t="str" cm="1">
        <f t="array" ref="W247">_xlfn.IFS(OR(B247=0,B247="",V247=0),"",AF247&lt;&gt;"exclusion",MAX($W$9,$W$7,(-(SUMIFS(SF_Output!$T$1:$T$400,SF_Output!$AC$1:$AC$400,_xlfn.TEXTJOIN(",",TRUE,$B247:$E247),SF_Output!$Q$1:$Q$400,"monthly"))/V247)),AF247="exclusion",-(SUMIFS(SF_Output!$T$1:$T$400,SF_Output!$AC$1:$AC$400,_xlfn.TEXTJOIN(",",TRUE,$B247:$E247),SF_Output!$Q$1:$Q$400,"monthly"))/V247)</f>
        <v/>
      </c>
      <c r="X247" s="6" t="str" cm="1">
        <f t="array" ref="X247">IFERROR(_xlfn.IFS(V247=0,0,V247="","",W247=0,V247,OR(V247&lt;&gt;0,V247&lt;&gt;""),H247*I247),V247*(1-W247))</f>
        <v/>
      </c>
    </row>
    <row r="248" spans="6:24" x14ac:dyDescent="0.25">
      <c r="F248" s="116" t="str">
        <f t="shared" si="12"/>
        <v/>
      </c>
      <c r="G248" t="str">
        <f>IF(B248="","",INDEX(SF_Output!$K$1:$K$400,MATCH(B248,SF_Output!$M$1:$M$400,0)))</f>
        <v/>
      </c>
      <c r="H248" t="str" cm="1">
        <f t="array" ref="H248">_xlfn.IFS(B248="","",(SUMIFS(SF_Output!$F$1:$F$400,SF_Output!$AC$1:$AC$400,_xlfn.TEXTJOIN(",",TRUE,B248:E248))+SUMIFS(SF_Output!$G$1:$G$400,SF_Output!$AC$1:$AC$400,_xlfn.TEXTJOIN(",",TRUE,B248:E248)))&lt;&gt;0,SF_Output!$Y$2,INDEX(SF_Output!$F$1:$F$400,MATCH(_xlfn.TEXTJOIN(",",TRUE,B248:E248),SF_Output!$AC$1:$AC$400,0))=0,INDEX(SF_Output!$R$1:$R$400,MATCH(_xlfn.TEXTJOIN(",",TRUE,B248:E248),SF_Output!$AC$1:$AC$400,0)))</f>
        <v/>
      </c>
      <c r="I248" s="125" t="str">
        <f>IFERROR(IF(AND(H248&gt;1,H248&lt;&gt;""),ROUND(SUMIFS(SF_Output!$S$1:$S$400,SF_Output!$AC$1:$AC$400,_xlfn.TEXTJOIN(",",TRUE,B248:E248),SF_Output!$Q$1:$Q$400,"monthly")*(1-W248)/H248,4),""),"")</f>
        <v/>
      </c>
      <c r="J248" s="6" t="str">
        <f>IF(B248="","",SUMIFS(SF_Output!$S$1:$S$400,SF_Output!$AC$1:$AC$400,_xlfn.TEXTJOIN(",",TRUE,B248:E248),SF_Output!$Q$1:$Q$400,"One Time",SF_Output!$L$1:$L$400,"license fee")+SUMIFS(SF_Output!$S$1:$S$400,SF_Output!$AC$1:$AC$400,_xlfn.TEXTJOIN(",",TRUE,B248:E248),SF_Output!$Q$1:$Q$400,"One Time",SF_Output!$L$1:$L$400,"software license")+SUMIFS(SF_Output!$S$1:$S$400,SF_Output!$AC$1:$AC$400,_xlfn.TEXTJOIN(",",TRUE,B248:E248),SF_Output!$Q$1:$Q$400,"One Time",SF_Output!$L$1:$L$400,"hardware"))</f>
        <v/>
      </c>
      <c r="K248" s="112" t="str">
        <f>IF(OR(B248=0,B248="",G248="hardware",J248=0),"",IF(AF248&lt;&gt;"exclusion",MAX(K$9,-((SUMIFS(SF_Output!$T$1:$T$400,SF_Output!$AC$1:$AC$400,_xlfn.TEXTJOIN(",",TRUE,$B248:$E248),SF_Output!$Q$1:$Q$400,"One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license"))/J248)))</f>
        <v/>
      </c>
      <c r="L248" s="6" t="str">
        <f t="shared" si="13"/>
        <v/>
      </c>
      <c r="N248" s="6" t="str">
        <f>IF(B248="","",SUMIFS(SF_Output!$S$1:$S$400,SF_Output!$AC$1:$AC$400,_xlfn.TEXTJOIN(",",TRUE,B248:E248),SF_Output!$Q$1:$Q$400,"One Time",SF_Output!$L$1:$L$400,"professional service"))</f>
        <v/>
      </c>
      <c r="O248" s="112" t="str">
        <f>IF(OR(B248=0,B248="",N248=0),"",IF(AF248&lt;&gt;"exclusion",MAX(O$9,-(SUMIFS(SF_Output!$T$1:$T$400,SF_Output!$AC$1:$AC$400,_xlfn.TEXTJOIN(",",TRUE,$B248:$E248),SF_Output!$Q$1:$Q$400,"One Time",SF_Output!$L$1:$L$400,"professional service"))/N248),-((SUMIFS(SF_Output!$T$1:$T$400,SF_Output!$AC$1:$AC$400,_xlfn.TEXTJOIN(",",TRUE,$B248:$E248),SF_Output!$Q$1:$Q$400,"One Time",SF_Output!$L$1:$L$400,"professional service")/N248))))</f>
        <v/>
      </c>
      <c r="P248" s="6" t="str">
        <f t="shared" si="14"/>
        <v/>
      </c>
      <c r="R248" s="6" t="str">
        <f>IF(B248="","",SUMIFS(SF_Output!$S$1:$S$400,SF_Output!$AC$1:$AC$400,_xlfn.TEXTJOIN(",",TRUE,B248:E248),SF_Output!$Q$1:$Q$400,"yearly")+SUMIFS(SF_Output!$S$1:$S$400,SF_Output!$AC$1:$AC$400,_xlfn.TEXTJOIN(",",TRUE,B248:E248),SF_Output!$Q$1:$Q$400,"quarterly")*4)</f>
        <v/>
      </c>
      <c r="S248" s="112" t="str">
        <f>IF(OR(B248=0,B248="",G248="hardware",R248=0),"",IF(AF248&lt;&gt;"exclusion",MAX(S$9,-(SUMIFS(SF_Output!$T$1:$T$400,SF_Output!$AC$1:$AC$400,_xlfn.TEXTJOIN(",",TRUE,$B248:$E248),SF_Output!$Q$1:$Q$400,"yearly"))/R248),-((SUMIFS(SF_Output!$T$1:$T$400,SF_Output!$AC$1:$AC$400,_xlfn.TEXTJOIN(",",TRUE,$B248:$E248),SF_Output!$Q$1:$Q$400,"yearly")/R248))))</f>
        <v/>
      </c>
      <c r="T248" s="6" t="str">
        <f t="shared" si="15"/>
        <v/>
      </c>
      <c r="V248" s="6" t="str" cm="1">
        <f t="array" ref="V248">_xlfn.IFS(B248="","",AND(B248&lt;&gt;"",H248=SF_Output!$Y$2,SUMIFS(SF_Output!$T$1:$T$400,SF_Output!$AC$1:$AC$400,_xlfn.TEXTJOIN(",",TRUE,B248:E248),SF_Output!$Q$1:$Q$400,"monthly")=0),(SUMIFS(SF_Output!$F$1:$F$400,SF_Output!$AC$1:$AC$400,_xlfn.TEXTJOIN(",",TRUE,B248:E248),SF_Output!$Q$1:$Q$400,"monthly")+SUMIFS(SF_Output!$G$1:$G$400,SF_Output!$AC$1:$AC$400,_xlfn.TEXTJOIN(",",TRUE,B248:E248),SF_Output!$Q$1:$Q$400,"monthly"))*H248,AND(B248&lt;&gt;"",H248=SF_Output!$Y$2,SUMIFS(SF_Output!$T$1:$T$400,SF_Output!$AC$1:$AC$400,_xlfn.TEXTJOIN(",",TRUE,B248:E248),SF_Output!$Q$1:$Q$400,"monthly")&lt;&gt;0),SUMIFS(SF_Output!$S$1:$S$400,SF_Output!$AC$1:$AC$400,_xlfn.TEXTJOIN(",",TRUE,B248:E248),SF_Output!$Q$1:$Q$400,"monthly"),AND(B248&lt;&gt;"",H248&lt;&gt;SF_Output!$Y$2),SUMIFS(SF_Output!$S$1:$S$400,SF_Output!$AC$1:$AC$400,_xlfn.TEXTJOIN(",",TRUE,B248:E248),SF_Output!$Q$1:$Q$400,"monthly"))</f>
        <v/>
      </c>
      <c r="W248" s="112" t="str" cm="1">
        <f t="array" ref="W248">_xlfn.IFS(OR(B248=0,B248="",V248=0),"",AF248&lt;&gt;"exclusion",MAX($W$9,$W$7,(-(SUMIFS(SF_Output!$T$1:$T$400,SF_Output!$AC$1:$AC$400,_xlfn.TEXTJOIN(",",TRUE,$B248:$E248),SF_Output!$Q$1:$Q$400,"monthly"))/V248)),AF248="exclusion",-(SUMIFS(SF_Output!$T$1:$T$400,SF_Output!$AC$1:$AC$400,_xlfn.TEXTJOIN(",",TRUE,$B248:$E248),SF_Output!$Q$1:$Q$400,"monthly"))/V248)</f>
        <v/>
      </c>
      <c r="X248" s="6" t="str" cm="1">
        <f t="array" ref="X248">IFERROR(_xlfn.IFS(V248=0,0,V248="","",W248=0,V248,OR(V248&lt;&gt;0,V248&lt;&gt;""),H248*I248),V248*(1-W248))</f>
        <v/>
      </c>
    </row>
    <row r="249" spans="6:24" x14ac:dyDescent="0.25">
      <c r="F249" s="116" t="str">
        <f t="shared" si="12"/>
        <v/>
      </c>
      <c r="G249" t="str">
        <f>IF(B249="","",INDEX(SF_Output!$K$1:$K$400,MATCH(B249,SF_Output!$M$1:$M$400,0)))</f>
        <v/>
      </c>
      <c r="H249" t="str" cm="1">
        <f t="array" ref="H249">_xlfn.IFS(B249="","",(SUMIFS(SF_Output!$F$1:$F$400,SF_Output!$AC$1:$AC$400,_xlfn.TEXTJOIN(",",TRUE,B249:E249))+SUMIFS(SF_Output!$G$1:$G$400,SF_Output!$AC$1:$AC$400,_xlfn.TEXTJOIN(",",TRUE,B249:E249)))&lt;&gt;0,SF_Output!$Y$2,INDEX(SF_Output!$F$1:$F$400,MATCH(_xlfn.TEXTJOIN(",",TRUE,B249:E249),SF_Output!$AC$1:$AC$400,0))=0,INDEX(SF_Output!$R$1:$R$400,MATCH(_xlfn.TEXTJOIN(",",TRUE,B249:E249),SF_Output!$AC$1:$AC$400,0)))</f>
        <v/>
      </c>
      <c r="I249" s="125" t="str">
        <f>IFERROR(IF(AND(H249&gt;1,H249&lt;&gt;""),ROUND(SUMIFS(SF_Output!$S$1:$S$400,SF_Output!$AC$1:$AC$400,_xlfn.TEXTJOIN(",",TRUE,B249:E249),SF_Output!$Q$1:$Q$400,"monthly")*(1-W249)/H249,4),""),"")</f>
        <v/>
      </c>
      <c r="J249" s="6" t="str">
        <f>IF(B249="","",SUMIFS(SF_Output!$S$1:$S$400,SF_Output!$AC$1:$AC$400,_xlfn.TEXTJOIN(",",TRUE,B249:E249),SF_Output!$Q$1:$Q$400,"One Time",SF_Output!$L$1:$L$400,"license fee")+SUMIFS(SF_Output!$S$1:$S$400,SF_Output!$AC$1:$AC$400,_xlfn.TEXTJOIN(",",TRUE,B249:E249),SF_Output!$Q$1:$Q$400,"One Time",SF_Output!$L$1:$L$400,"software license")+SUMIFS(SF_Output!$S$1:$S$400,SF_Output!$AC$1:$AC$400,_xlfn.TEXTJOIN(",",TRUE,B249:E249),SF_Output!$Q$1:$Q$400,"One Time",SF_Output!$L$1:$L$400,"hardware"))</f>
        <v/>
      </c>
      <c r="K249" s="112" t="str">
        <f>IF(OR(B249=0,B249="",G249="hardware",J249=0),"",IF(AF249&lt;&gt;"exclusion",MAX(K$9,-((SUMIFS(SF_Output!$T$1:$T$400,SF_Output!$AC$1:$AC$400,_xlfn.TEXTJOIN(",",TRUE,$B249:$E249),SF_Output!$Q$1:$Q$400,"One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license"))/J249)))</f>
        <v/>
      </c>
      <c r="L249" s="6" t="str">
        <f t="shared" si="13"/>
        <v/>
      </c>
      <c r="N249" s="6" t="str">
        <f>IF(B249="","",SUMIFS(SF_Output!$S$1:$S$400,SF_Output!$AC$1:$AC$400,_xlfn.TEXTJOIN(",",TRUE,B249:E249),SF_Output!$Q$1:$Q$400,"One Time",SF_Output!$L$1:$L$400,"professional service"))</f>
        <v/>
      </c>
      <c r="O249" s="112" t="str">
        <f>IF(OR(B249=0,B249="",N249=0),"",IF(AF249&lt;&gt;"exclusion",MAX(O$9,-(SUMIFS(SF_Output!$T$1:$T$400,SF_Output!$AC$1:$AC$400,_xlfn.TEXTJOIN(",",TRUE,$B249:$E249),SF_Output!$Q$1:$Q$400,"One Time",SF_Output!$L$1:$L$400,"professional service"))/N249),-((SUMIFS(SF_Output!$T$1:$T$400,SF_Output!$AC$1:$AC$400,_xlfn.TEXTJOIN(",",TRUE,$B249:$E249),SF_Output!$Q$1:$Q$400,"One Time",SF_Output!$L$1:$L$400,"professional service")/N249))))</f>
        <v/>
      </c>
      <c r="P249" s="6" t="str">
        <f t="shared" si="14"/>
        <v/>
      </c>
      <c r="R249" s="6" t="str">
        <f>IF(B249="","",SUMIFS(SF_Output!$S$1:$S$400,SF_Output!$AC$1:$AC$400,_xlfn.TEXTJOIN(",",TRUE,B249:E249),SF_Output!$Q$1:$Q$400,"yearly")+SUMIFS(SF_Output!$S$1:$S$400,SF_Output!$AC$1:$AC$400,_xlfn.TEXTJOIN(",",TRUE,B249:E249),SF_Output!$Q$1:$Q$400,"quarterly")*4)</f>
        <v/>
      </c>
      <c r="S249" s="112" t="str">
        <f>IF(OR(B249=0,B249="",G249="hardware",R249=0),"",IF(AF249&lt;&gt;"exclusion",MAX(S$9,-(SUMIFS(SF_Output!$T$1:$T$400,SF_Output!$AC$1:$AC$400,_xlfn.TEXTJOIN(",",TRUE,$B249:$E249),SF_Output!$Q$1:$Q$400,"yearly"))/R249),-((SUMIFS(SF_Output!$T$1:$T$400,SF_Output!$AC$1:$AC$400,_xlfn.TEXTJOIN(",",TRUE,$B249:$E249),SF_Output!$Q$1:$Q$400,"yearly")/R249))))</f>
        <v/>
      </c>
      <c r="T249" s="6" t="str">
        <f t="shared" si="15"/>
        <v/>
      </c>
      <c r="V249" s="6" t="str" cm="1">
        <f t="array" ref="V249">_xlfn.IFS(B249="","",AND(B249&lt;&gt;"",H249=SF_Output!$Y$2,SUMIFS(SF_Output!$T$1:$T$400,SF_Output!$AC$1:$AC$400,_xlfn.TEXTJOIN(",",TRUE,B249:E249),SF_Output!$Q$1:$Q$400,"monthly")=0),(SUMIFS(SF_Output!$F$1:$F$400,SF_Output!$AC$1:$AC$400,_xlfn.TEXTJOIN(",",TRUE,B249:E249),SF_Output!$Q$1:$Q$400,"monthly")+SUMIFS(SF_Output!$G$1:$G$400,SF_Output!$AC$1:$AC$400,_xlfn.TEXTJOIN(",",TRUE,B249:E249),SF_Output!$Q$1:$Q$400,"monthly"))*H249,AND(B249&lt;&gt;"",H249=SF_Output!$Y$2,SUMIFS(SF_Output!$T$1:$T$400,SF_Output!$AC$1:$AC$400,_xlfn.TEXTJOIN(",",TRUE,B249:E249),SF_Output!$Q$1:$Q$400,"monthly")&lt;&gt;0),SUMIFS(SF_Output!$S$1:$S$400,SF_Output!$AC$1:$AC$400,_xlfn.TEXTJOIN(",",TRUE,B249:E249),SF_Output!$Q$1:$Q$400,"monthly"),AND(B249&lt;&gt;"",H249&lt;&gt;SF_Output!$Y$2),SUMIFS(SF_Output!$S$1:$S$400,SF_Output!$AC$1:$AC$400,_xlfn.TEXTJOIN(",",TRUE,B249:E249),SF_Output!$Q$1:$Q$400,"monthly"))</f>
        <v/>
      </c>
      <c r="W249" s="112" t="str" cm="1">
        <f t="array" ref="W249">_xlfn.IFS(OR(B249=0,B249="",V249=0),"",AF249&lt;&gt;"exclusion",MAX($W$9,$W$7,(-(SUMIFS(SF_Output!$T$1:$T$400,SF_Output!$AC$1:$AC$400,_xlfn.TEXTJOIN(",",TRUE,$B249:$E249),SF_Output!$Q$1:$Q$400,"monthly"))/V249)),AF249="exclusion",-(SUMIFS(SF_Output!$T$1:$T$400,SF_Output!$AC$1:$AC$400,_xlfn.TEXTJOIN(",",TRUE,$B249:$E249),SF_Output!$Q$1:$Q$400,"monthly"))/V249)</f>
        <v/>
      </c>
      <c r="X249" s="6" t="str" cm="1">
        <f t="array" ref="X249">IFERROR(_xlfn.IFS(V249=0,0,V249="","",W249=0,V249,OR(V249&lt;&gt;0,V249&lt;&gt;""),H249*I249),V249*(1-W249))</f>
        <v/>
      </c>
    </row>
    <row r="250" spans="6:24" x14ac:dyDescent="0.25">
      <c r="F250" s="116" t="str">
        <f t="shared" si="12"/>
        <v/>
      </c>
      <c r="G250" t="str">
        <f>IF(B250="","",INDEX(SF_Output!$K$1:$K$400,MATCH(B250,SF_Output!$M$1:$M$400,0)))</f>
        <v/>
      </c>
      <c r="H250" t="str" cm="1">
        <f t="array" ref="H250">_xlfn.IFS(B250="","",(SUMIFS(SF_Output!$F$1:$F$400,SF_Output!$AC$1:$AC$400,_xlfn.TEXTJOIN(",",TRUE,B250:E250))+SUMIFS(SF_Output!$G$1:$G$400,SF_Output!$AC$1:$AC$400,_xlfn.TEXTJOIN(",",TRUE,B250:E250)))&lt;&gt;0,SF_Output!$Y$2,INDEX(SF_Output!$F$1:$F$400,MATCH(_xlfn.TEXTJOIN(",",TRUE,B250:E250),SF_Output!$AC$1:$AC$400,0))=0,INDEX(SF_Output!$R$1:$R$400,MATCH(_xlfn.TEXTJOIN(",",TRUE,B250:E250),SF_Output!$AC$1:$AC$400,0)))</f>
        <v/>
      </c>
      <c r="I250" s="125" t="str">
        <f>IFERROR(IF(AND(H250&gt;1,H250&lt;&gt;""),ROUND(SUMIFS(SF_Output!$S$1:$S$400,SF_Output!$AC$1:$AC$400,_xlfn.TEXTJOIN(",",TRUE,B250:E250),SF_Output!$Q$1:$Q$400,"monthly")*(1-W250)/H250,4),""),"")</f>
        <v/>
      </c>
      <c r="J250" s="6" t="str">
        <f>IF(B250="","",SUMIFS(SF_Output!$S$1:$S$400,SF_Output!$AC$1:$AC$400,_xlfn.TEXTJOIN(",",TRUE,B250:E250),SF_Output!$Q$1:$Q$400,"One Time",SF_Output!$L$1:$L$400,"license fee")+SUMIFS(SF_Output!$S$1:$S$400,SF_Output!$AC$1:$AC$400,_xlfn.TEXTJOIN(",",TRUE,B250:E250),SF_Output!$Q$1:$Q$400,"One Time",SF_Output!$L$1:$L$400,"software license")+SUMIFS(SF_Output!$S$1:$S$400,SF_Output!$AC$1:$AC$400,_xlfn.TEXTJOIN(",",TRUE,B250:E250),SF_Output!$Q$1:$Q$400,"One Time",SF_Output!$L$1:$L$400,"hardware"))</f>
        <v/>
      </c>
      <c r="K250" s="112" t="str">
        <f>IF(OR(B250=0,B250="",G250="hardware",J250=0),"",IF(AF250&lt;&gt;"exclusion",MAX(K$9,-((SUMIFS(SF_Output!$T$1:$T$400,SF_Output!$AC$1:$AC$400,_xlfn.TEXTJOIN(",",TRUE,$B250:$E250),SF_Output!$Q$1:$Q$400,"One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license"))/J250)))</f>
        <v/>
      </c>
      <c r="L250" s="6" t="str">
        <f t="shared" si="13"/>
        <v/>
      </c>
      <c r="N250" s="6" t="str">
        <f>IF(B250="","",SUMIFS(SF_Output!$S$1:$S$400,SF_Output!$AC$1:$AC$400,_xlfn.TEXTJOIN(",",TRUE,B250:E250),SF_Output!$Q$1:$Q$400,"One Time",SF_Output!$L$1:$L$400,"professional service"))</f>
        <v/>
      </c>
      <c r="O250" s="112" t="str">
        <f>IF(OR(B250=0,B250="",N250=0),"",IF(AF250&lt;&gt;"exclusion",MAX(O$9,-(SUMIFS(SF_Output!$T$1:$T$400,SF_Output!$AC$1:$AC$400,_xlfn.TEXTJOIN(",",TRUE,$B250:$E250),SF_Output!$Q$1:$Q$400,"One Time",SF_Output!$L$1:$L$400,"professional service"))/N250),-((SUMIFS(SF_Output!$T$1:$T$400,SF_Output!$AC$1:$AC$400,_xlfn.TEXTJOIN(",",TRUE,$B250:$E250),SF_Output!$Q$1:$Q$400,"One Time",SF_Output!$L$1:$L$400,"professional service")/N250))))</f>
        <v/>
      </c>
      <c r="P250" s="6" t="str">
        <f t="shared" si="14"/>
        <v/>
      </c>
      <c r="R250" s="6" t="str">
        <f>IF(B250="","",SUMIFS(SF_Output!$S$1:$S$400,SF_Output!$AC$1:$AC$400,_xlfn.TEXTJOIN(",",TRUE,B250:E250),SF_Output!$Q$1:$Q$400,"yearly")+SUMIFS(SF_Output!$S$1:$S$400,SF_Output!$AC$1:$AC$400,_xlfn.TEXTJOIN(",",TRUE,B250:E250),SF_Output!$Q$1:$Q$400,"quarterly")*4)</f>
        <v/>
      </c>
      <c r="S250" s="112" t="str">
        <f>IF(OR(B250=0,B250="",G250="hardware",R250=0),"",IF(AF250&lt;&gt;"exclusion",MAX(S$9,-(SUMIFS(SF_Output!$T$1:$T$400,SF_Output!$AC$1:$AC$400,_xlfn.TEXTJOIN(",",TRUE,$B250:$E250),SF_Output!$Q$1:$Q$400,"yearly"))/R250),-((SUMIFS(SF_Output!$T$1:$T$400,SF_Output!$AC$1:$AC$400,_xlfn.TEXTJOIN(",",TRUE,$B250:$E250),SF_Output!$Q$1:$Q$400,"yearly")/R250))))</f>
        <v/>
      </c>
      <c r="T250" s="6" t="str">
        <f t="shared" si="15"/>
        <v/>
      </c>
      <c r="V250" s="6" t="str" cm="1">
        <f t="array" ref="V250">_xlfn.IFS(B250="","",AND(B250&lt;&gt;"",H250=SF_Output!$Y$2,SUMIFS(SF_Output!$T$1:$T$400,SF_Output!$AC$1:$AC$400,_xlfn.TEXTJOIN(",",TRUE,B250:E250),SF_Output!$Q$1:$Q$400,"monthly")=0),(SUMIFS(SF_Output!$F$1:$F$400,SF_Output!$AC$1:$AC$400,_xlfn.TEXTJOIN(",",TRUE,B250:E250),SF_Output!$Q$1:$Q$400,"monthly")+SUMIFS(SF_Output!$G$1:$G$400,SF_Output!$AC$1:$AC$400,_xlfn.TEXTJOIN(",",TRUE,B250:E250),SF_Output!$Q$1:$Q$400,"monthly"))*H250,AND(B250&lt;&gt;"",H250=SF_Output!$Y$2,SUMIFS(SF_Output!$T$1:$T$400,SF_Output!$AC$1:$AC$400,_xlfn.TEXTJOIN(",",TRUE,B250:E250),SF_Output!$Q$1:$Q$400,"monthly")&lt;&gt;0),SUMIFS(SF_Output!$S$1:$S$400,SF_Output!$AC$1:$AC$400,_xlfn.TEXTJOIN(",",TRUE,B250:E250),SF_Output!$Q$1:$Q$400,"monthly"),AND(B250&lt;&gt;"",H250&lt;&gt;SF_Output!$Y$2),SUMIFS(SF_Output!$S$1:$S$400,SF_Output!$AC$1:$AC$400,_xlfn.TEXTJOIN(",",TRUE,B250:E250),SF_Output!$Q$1:$Q$400,"monthly"))</f>
        <v/>
      </c>
      <c r="W250" s="112" t="str" cm="1">
        <f t="array" ref="W250">_xlfn.IFS(OR(B250=0,B250="",V250=0),"",AF250&lt;&gt;"exclusion",MAX($W$9,$W$7,(-(SUMIFS(SF_Output!$T$1:$T$400,SF_Output!$AC$1:$AC$400,_xlfn.TEXTJOIN(",",TRUE,$B250:$E250),SF_Output!$Q$1:$Q$400,"monthly"))/V250)),AF250="exclusion",-(SUMIFS(SF_Output!$T$1:$T$400,SF_Output!$AC$1:$AC$400,_xlfn.TEXTJOIN(",",TRUE,$B250:$E250),SF_Output!$Q$1:$Q$400,"monthly"))/V250)</f>
        <v/>
      </c>
      <c r="X250" s="6" t="str" cm="1">
        <f t="array" ref="X250">IFERROR(_xlfn.IFS(V250=0,0,V250="","",W250=0,V250,OR(V250&lt;&gt;0,V250&lt;&gt;""),H250*I250),V250*(1-W250))</f>
        <v/>
      </c>
    </row>
    <row r="251" spans="6:24" x14ac:dyDescent="0.25">
      <c r="F251" s="116" t="str">
        <f t="shared" ref="F251:F300" si="16">IF(B251="","",IF(E251*1=0,"Included","Optional"))</f>
        <v/>
      </c>
      <c r="G251" t="str">
        <f>IF(B251="","",INDEX(SF_Output!$K$1:$K$400,MATCH(B251,SF_Output!$M$1:$M$400,0)))</f>
        <v/>
      </c>
      <c r="H251" t="str" cm="1">
        <f t="array" ref="H251">_xlfn.IFS(B251="","",(SUMIFS(SF_Output!$F$1:$F$400,SF_Output!$AC$1:$AC$400,_xlfn.TEXTJOIN(",",TRUE,B251:E251))+SUMIFS(SF_Output!$G$1:$G$400,SF_Output!$AC$1:$AC$400,_xlfn.TEXTJOIN(",",TRUE,B251:E251)))&lt;&gt;0,SF_Output!$Y$2,INDEX(SF_Output!$F$1:$F$400,MATCH(_xlfn.TEXTJOIN(",",TRUE,B251:E251),SF_Output!$AC$1:$AC$400,0))=0,INDEX(SF_Output!$R$1:$R$400,MATCH(_xlfn.TEXTJOIN(",",TRUE,B251:E251),SF_Output!$AC$1:$AC$400,0)))</f>
        <v/>
      </c>
      <c r="I251" s="125" t="str">
        <f>IFERROR(IF(AND(H251&gt;1,H251&lt;&gt;""),ROUND(SUMIFS(SF_Output!$S$1:$S$400,SF_Output!$AC$1:$AC$400,_xlfn.TEXTJOIN(",",TRUE,B251:E251),SF_Output!$Q$1:$Q$400,"monthly")*(1-W251)/H251,4),""),"")</f>
        <v/>
      </c>
      <c r="J251" s="6" t="str">
        <f>IF(B251="","",SUMIFS(SF_Output!$S$1:$S$400,SF_Output!$AC$1:$AC$400,_xlfn.TEXTJOIN(",",TRUE,B251:E251),SF_Output!$Q$1:$Q$400,"One Time",SF_Output!$L$1:$L$400,"license fee")+SUMIFS(SF_Output!$S$1:$S$400,SF_Output!$AC$1:$AC$400,_xlfn.TEXTJOIN(",",TRUE,B251:E251),SF_Output!$Q$1:$Q$400,"One Time",SF_Output!$L$1:$L$400,"software license")+SUMIFS(SF_Output!$S$1:$S$400,SF_Output!$AC$1:$AC$400,_xlfn.TEXTJOIN(",",TRUE,B251:E251),SF_Output!$Q$1:$Q$400,"One Time",SF_Output!$L$1:$L$400,"hardware"))</f>
        <v/>
      </c>
      <c r="K251" s="112" t="str">
        <f>IF(OR(B251=0,B251="",G251="hardware",J251=0),"",IF(AF251&lt;&gt;"exclusion",MAX(K$9,-((SUMIFS(SF_Output!$T$1:$T$400,SF_Output!$AC$1:$AC$400,_xlfn.TEXTJOIN(",",TRUE,$B251:$E251),SF_Output!$Q$1:$Q$400,"One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license"))/J251)))</f>
        <v/>
      </c>
      <c r="L251" s="6" t="str">
        <f t="shared" ref="L251:L300" si="17">IF(K251="",J251,J251*(1-K251))</f>
        <v/>
      </c>
      <c r="N251" s="6" t="str">
        <f>IF(B251="","",SUMIFS(SF_Output!$S$1:$S$400,SF_Output!$AC$1:$AC$400,_xlfn.TEXTJOIN(",",TRUE,B251:E251),SF_Output!$Q$1:$Q$400,"One Time",SF_Output!$L$1:$L$400,"professional service"))</f>
        <v/>
      </c>
      <c r="O251" s="112" t="str">
        <f>IF(OR(B251=0,B251="",N251=0),"",IF(AF251&lt;&gt;"exclusion",MAX(O$9,-(SUMIFS(SF_Output!$T$1:$T$400,SF_Output!$AC$1:$AC$400,_xlfn.TEXTJOIN(",",TRUE,$B251:$E251),SF_Output!$Q$1:$Q$400,"One Time",SF_Output!$L$1:$L$400,"professional service"))/N251),-((SUMIFS(SF_Output!$T$1:$T$400,SF_Output!$AC$1:$AC$400,_xlfn.TEXTJOIN(",",TRUE,$B251:$E251),SF_Output!$Q$1:$Q$400,"One Time",SF_Output!$L$1:$L$400,"professional service")/N251))))</f>
        <v/>
      </c>
      <c r="P251" s="6" t="str">
        <f t="shared" ref="P251:P300" si="18">IF(O251="",N251,N251*(1-O251))</f>
        <v/>
      </c>
      <c r="R251" s="6" t="str">
        <f>IF(B251="","",SUMIFS(SF_Output!$S$1:$S$400,SF_Output!$AC$1:$AC$400,_xlfn.TEXTJOIN(",",TRUE,B251:E251),SF_Output!$Q$1:$Q$400,"yearly")+SUMIFS(SF_Output!$S$1:$S$400,SF_Output!$AC$1:$AC$400,_xlfn.TEXTJOIN(",",TRUE,B251:E251),SF_Output!$Q$1:$Q$400,"quarterly")*4)</f>
        <v/>
      </c>
      <c r="S251" s="112" t="str">
        <f>IF(OR(B251=0,B251="",G251="hardware",R251=0),"",IF(AF251&lt;&gt;"exclusion",MAX(S$9,-(SUMIFS(SF_Output!$T$1:$T$400,SF_Output!$AC$1:$AC$400,_xlfn.TEXTJOIN(",",TRUE,$B251:$E251),SF_Output!$Q$1:$Q$400,"yearly"))/R251),-((SUMIFS(SF_Output!$T$1:$T$400,SF_Output!$AC$1:$AC$400,_xlfn.TEXTJOIN(",",TRUE,$B251:$E251),SF_Output!$Q$1:$Q$400,"yearly")/R251))))</f>
        <v/>
      </c>
      <c r="T251" s="6" t="str">
        <f t="shared" ref="T251:T300" si="19">IF(S251="",R251,R251*(1-S251))</f>
        <v/>
      </c>
      <c r="V251" s="6" t="str" cm="1">
        <f t="array" ref="V251">_xlfn.IFS(B251="","",AND(B251&lt;&gt;"",H251=SF_Output!$Y$2,SUMIFS(SF_Output!$T$1:$T$400,SF_Output!$AC$1:$AC$400,_xlfn.TEXTJOIN(",",TRUE,B251:E251),SF_Output!$Q$1:$Q$400,"monthly")=0),(SUMIFS(SF_Output!$F$1:$F$400,SF_Output!$AC$1:$AC$400,_xlfn.TEXTJOIN(",",TRUE,B251:E251),SF_Output!$Q$1:$Q$400,"monthly")+SUMIFS(SF_Output!$G$1:$G$400,SF_Output!$AC$1:$AC$400,_xlfn.TEXTJOIN(",",TRUE,B251:E251),SF_Output!$Q$1:$Q$400,"monthly"))*H251,AND(B251&lt;&gt;"",H251=SF_Output!$Y$2,SUMIFS(SF_Output!$T$1:$T$400,SF_Output!$AC$1:$AC$400,_xlfn.TEXTJOIN(",",TRUE,B251:E251),SF_Output!$Q$1:$Q$400,"monthly")&lt;&gt;0),SUMIFS(SF_Output!$S$1:$S$400,SF_Output!$AC$1:$AC$400,_xlfn.TEXTJOIN(",",TRUE,B251:E251),SF_Output!$Q$1:$Q$400,"monthly"),AND(B251&lt;&gt;"",H251&lt;&gt;SF_Output!$Y$2),SUMIFS(SF_Output!$S$1:$S$400,SF_Output!$AC$1:$AC$400,_xlfn.TEXTJOIN(",",TRUE,B251:E251),SF_Output!$Q$1:$Q$400,"monthly"))</f>
        <v/>
      </c>
      <c r="W251" s="112" t="str" cm="1">
        <f t="array" ref="W251">_xlfn.IFS(OR(B251=0,B251="",V251=0),"",AF251&lt;&gt;"exclusion",MAX($W$9,$W$7,(-(SUMIFS(SF_Output!$T$1:$T$400,SF_Output!$AC$1:$AC$400,_xlfn.TEXTJOIN(",",TRUE,$B251:$E251),SF_Output!$Q$1:$Q$400,"monthly"))/V251)),AF251="exclusion",-(SUMIFS(SF_Output!$T$1:$T$400,SF_Output!$AC$1:$AC$400,_xlfn.TEXTJOIN(",",TRUE,$B251:$E251),SF_Output!$Q$1:$Q$400,"monthly"))/V251)</f>
        <v/>
      </c>
      <c r="X251" s="6" t="str" cm="1">
        <f t="array" ref="X251">IFERROR(_xlfn.IFS(V251=0,0,V251="","",W251=0,V251,OR(V251&lt;&gt;0,V251&lt;&gt;""),H251*I251),V251*(1-W251))</f>
        <v/>
      </c>
    </row>
    <row r="252" spans="6:24" x14ac:dyDescent="0.25">
      <c r="F252" s="116" t="str">
        <f t="shared" si="16"/>
        <v/>
      </c>
      <c r="G252" t="str">
        <f>IF(B252="","",INDEX(SF_Output!$K$1:$K$400,MATCH(B252,SF_Output!$M$1:$M$400,0)))</f>
        <v/>
      </c>
      <c r="H252" t="str" cm="1">
        <f t="array" ref="H252">_xlfn.IFS(B252="","",(SUMIFS(SF_Output!$F$1:$F$400,SF_Output!$AC$1:$AC$400,_xlfn.TEXTJOIN(",",TRUE,B252:E252))+SUMIFS(SF_Output!$G$1:$G$400,SF_Output!$AC$1:$AC$400,_xlfn.TEXTJOIN(",",TRUE,B252:E252)))&lt;&gt;0,SF_Output!$Y$2,INDEX(SF_Output!$F$1:$F$400,MATCH(_xlfn.TEXTJOIN(",",TRUE,B252:E252),SF_Output!$AC$1:$AC$400,0))=0,INDEX(SF_Output!$R$1:$R$400,MATCH(_xlfn.TEXTJOIN(",",TRUE,B252:E252),SF_Output!$AC$1:$AC$400,0)))</f>
        <v/>
      </c>
      <c r="I252" s="125" t="str">
        <f>IFERROR(IF(AND(H252&gt;1,H252&lt;&gt;""),ROUND(SUMIFS(SF_Output!$S$1:$S$400,SF_Output!$AC$1:$AC$400,_xlfn.TEXTJOIN(",",TRUE,B252:E252),SF_Output!$Q$1:$Q$400,"monthly")*(1-W252)/H252,4),""),"")</f>
        <v/>
      </c>
      <c r="J252" s="6" t="str">
        <f>IF(B252="","",SUMIFS(SF_Output!$S$1:$S$400,SF_Output!$AC$1:$AC$400,_xlfn.TEXTJOIN(",",TRUE,B252:E252),SF_Output!$Q$1:$Q$400,"One Time",SF_Output!$L$1:$L$400,"license fee")+SUMIFS(SF_Output!$S$1:$S$400,SF_Output!$AC$1:$AC$400,_xlfn.TEXTJOIN(",",TRUE,B252:E252),SF_Output!$Q$1:$Q$400,"One Time",SF_Output!$L$1:$L$400,"software license")+SUMIFS(SF_Output!$S$1:$S$400,SF_Output!$AC$1:$AC$400,_xlfn.TEXTJOIN(",",TRUE,B252:E252),SF_Output!$Q$1:$Q$400,"One Time",SF_Output!$L$1:$L$400,"hardware"))</f>
        <v/>
      </c>
      <c r="K252" s="112" t="str">
        <f>IF(OR(B252=0,B252="",G252="hardware",J252=0),"",IF(AF252&lt;&gt;"exclusion",MAX(K$9,-((SUMIFS(SF_Output!$T$1:$T$400,SF_Output!$AC$1:$AC$400,_xlfn.TEXTJOIN(",",TRUE,$B252:$E252),SF_Output!$Q$1:$Q$400,"One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license"))/J252)))</f>
        <v/>
      </c>
      <c r="L252" s="6" t="str">
        <f t="shared" si="17"/>
        <v/>
      </c>
      <c r="N252" s="6" t="str">
        <f>IF(B252="","",SUMIFS(SF_Output!$S$1:$S$400,SF_Output!$AC$1:$AC$400,_xlfn.TEXTJOIN(",",TRUE,B252:E252),SF_Output!$Q$1:$Q$400,"One Time",SF_Output!$L$1:$L$400,"professional service"))</f>
        <v/>
      </c>
      <c r="O252" s="112" t="str">
        <f>IF(OR(B252=0,B252="",N252=0),"",IF(AF252&lt;&gt;"exclusion",MAX(O$9,-(SUMIFS(SF_Output!$T$1:$T$400,SF_Output!$AC$1:$AC$400,_xlfn.TEXTJOIN(",",TRUE,$B252:$E252),SF_Output!$Q$1:$Q$400,"One Time",SF_Output!$L$1:$L$400,"professional service"))/N252),-((SUMIFS(SF_Output!$T$1:$T$400,SF_Output!$AC$1:$AC$400,_xlfn.TEXTJOIN(",",TRUE,$B252:$E252),SF_Output!$Q$1:$Q$400,"One Time",SF_Output!$L$1:$L$400,"professional service")/N252))))</f>
        <v/>
      </c>
      <c r="P252" s="6" t="str">
        <f t="shared" si="18"/>
        <v/>
      </c>
      <c r="R252" s="6" t="str">
        <f>IF(B252="","",SUMIFS(SF_Output!$S$1:$S$400,SF_Output!$AC$1:$AC$400,_xlfn.TEXTJOIN(",",TRUE,B252:E252),SF_Output!$Q$1:$Q$400,"yearly")+SUMIFS(SF_Output!$S$1:$S$400,SF_Output!$AC$1:$AC$400,_xlfn.TEXTJOIN(",",TRUE,B252:E252),SF_Output!$Q$1:$Q$400,"quarterly")*4)</f>
        <v/>
      </c>
      <c r="S252" s="112" t="str">
        <f>IF(OR(B252=0,B252="",G252="hardware",R252=0),"",IF(AF252&lt;&gt;"exclusion",MAX(S$9,-(SUMIFS(SF_Output!$T$1:$T$400,SF_Output!$AC$1:$AC$400,_xlfn.TEXTJOIN(",",TRUE,$B252:$E252),SF_Output!$Q$1:$Q$400,"yearly"))/R252),-((SUMIFS(SF_Output!$T$1:$T$400,SF_Output!$AC$1:$AC$400,_xlfn.TEXTJOIN(",",TRUE,$B252:$E252),SF_Output!$Q$1:$Q$400,"yearly")/R252))))</f>
        <v/>
      </c>
      <c r="T252" s="6" t="str">
        <f t="shared" si="19"/>
        <v/>
      </c>
      <c r="V252" s="6" t="str" cm="1">
        <f t="array" ref="V252">_xlfn.IFS(B252="","",AND(B252&lt;&gt;"",H252=SF_Output!$Y$2,SUMIFS(SF_Output!$T$1:$T$400,SF_Output!$AC$1:$AC$400,_xlfn.TEXTJOIN(",",TRUE,B252:E252),SF_Output!$Q$1:$Q$400,"monthly")=0),(SUMIFS(SF_Output!$F$1:$F$400,SF_Output!$AC$1:$AC$400,_xlfn.TEXTJOIN(",",TRUE,B252:E252),SF_Output!$Q$1:$Q$400,"monthly")+SUMIFS(SF_Output!$G$1:$G$400,SF_Output!$AC$1:$AC$400,_xlfn.TEXTJOIN(",",TRUE,B252:E252),SF_Output!$Q$1:$Q$400,"monthly"))*H252,AND(B252&lt;&gt;"",H252=SF_Output!$Y$2,SUMIFS(SF_Output!$T$1:$T$400,SF_Output!$AC$1:$AC$400,_xlfn.TEXTJOIN(",",TRUE,B252:E252),SF_Output!$Q$1:$Q$400,"monthly")&lt;&gt;0),SUMIFS(SF_Output!$S$1:$S$400,SF_Output!$AC$1:$AC$400,_xlfn.TEXTJOIN(",",TRUE,B252:E252),SF_Output!$Q$1:$Q$400,"monthly"),AND(B252&lt;&gt;"",H252&lt;&gt;SF_Output!$Y$2),SUMIFS(SF_Output!$S$1:$S$400,SF_Output!$AC$1:$AC$400,_xlfn.TEXTJOIN(",",TRUE,B252:E252),SF_Output!$Q$1:$Q$400,"monthly"))</f>
        <v/>
      </c>
      <c r="W252" s="112" t="str" cm="1">
        <f t="array" ref="W252">_xlfn.IFS(OR(B252=0,B252="",V252=0),"",AF252&lt;&gt;"exclusion",MAX($W$9,$W$7,(-(SUMIFS(SF_Output!$T$1:$T$400,SF_Output!$AC$1:$AC$400,_xlfn.TEXTJOIN(",",TRUE,$B252:$E252),SF_Output!$Q$1:$Q$400,"monthly"))/V252)),AF252="exclusion",-(SUMIFS(SF_Output!$T$1:$T$400,SF_Output!$AC$1:$AC$400,_xlfn.TEXTJOIN(",",TRUE,$B252:$E252),SF_Output!$Q$1:$Q$400,"monthly"))/V252)</f>
        <v/>
      </c>
      <c r="X252" s="6" t="str" cm="1">
        <f t="array" ref="X252">IFERROR(_xlfn.IFS(V252=0,0,V252="","",W252=0,V252,OR(V252&lt;&gt;0,V252&lt;&gt;""),H252*I252),V252*(1-W252))</f>
        <v/>
      </c>
    </row>
    <row r="253" spans="6:24" x14ac:dyDescent="0.25">
      <c r="F253" s="116" t="str">
        <f t="shared" si="16"/>
        <v/>
      </c>
      <c r="G253" t="str">
        <f>IF(B253="","",INDEX(SF_Output!$K$1:$K$400,MATCH(B253,SF_Output!$M$1:$M$400,0)))</f>
        <v/>
      </c>
      <c r="H253" t="str" cm="1">
        <f t="array" ref="H253">_xlfn.IFS(B253="","",(SUMIFS(SF_Output!$F$1:$F$400,SF_Output!$AC$1:$AC$400,_xlfn.TEXTJOIN(",",TRUE,B253:E253))+SUMIFS(SF_Output!$G$1:$G$400,SF_Output!$AC$1:$AC$400,_xlfn.TEXTJOIN(",",TRUE,B253:E253)))&lt;&gt;0,SF_Output!$Y$2,INDEX(SF_Output!$F$1:$F$400,MATCH(_xlfn.TEXTJOIN(",",TRUE,B253:E253),SF_Output!$AC$1:$AC$400,0))=0,INDEX(SF_Output!$R$1:$R$400,MATCH(_xlfn.TEXTJOIN(",",TRUE,B253:E253),SF_Output!$AC$1:$AC$400,0)))</f>
        <v/>
      </c>
      <c r="I253" s="125" t="str">
        <f>IFERROR(IF(AND(H253&gt;1,H253&lt;&gt;""),ROUND(SUMIFS(SF_Output!$S$1:$S$400,SF_Output!$AC$1:$AC$400,_xlfn.TEXTJOIN(",",TRUE,B253:E253),SF_Output!$Q$1:$Q$400,"monthly")*(1-W253)/H253,4),""),"")</f>
        <v/>
      </c>
      <c r="J253" s="6" t="str">
        <f>IF(B253="","",SUMIFS(SF_Output!$S$1:$S$400,SF_Output!$AC$1:$AC$400,_xlfn.TEXTJOIN(",",TRUE,B253:E253),SF_Output!$Q$1:$Q$400,"One Time",SF_Output!$L$1:$L$400,"license fee")+SUMIFS(SF_Output!$S$1:$S$400,SF_Output!$AC$1:$AC$400,_xlfn.TEXTJOIN(",",TRUE,B253:E253),SF_Output!$Q$1:$Q$400,"One Time",SF_Output!$L$1:$L$400,"software license")+SUMIFS(SF_Output!$S$1:$S$400,SF_Output!$AC$1:$AC$400,_xlfn.TEXTJOIN(",",TRUE,B253:E253),SF_Output!$Q$1:$Q$400,"One Time",SF_Output!$L$1:$L$400,"hardware"))</f>
        <v/>
      </c>
      <c r="K253" s="112" t="str">
        <f>IF(OR(B253=0,B253="",G253="hardware",J253=0),"",IF(AF253&lt;&gt;"exclusion",MAX(K$9,-((SUMIFS(SF_Output!$T$1:$T$400,SF_Output!$AC$1:$AC$400,_xlfn.TEXTJOIN(",",TRUE,$B253:$E253),SF_Output!$Q$1:$Q$400,"One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license"))/J253)))</f>
        <v/>
      </c>
      <c r="L253" s="6" t="str">
        <f t="shared" si="17"/>
        <v/>
      </c>
      <c r="N253" s="6" t="str">
        <f>IF(B253="","",SUMIFS(SF_Output!$S$1:$S$400,SF_Output!$AC$1:$AC$400,_xlfn.TEXTJOIN(",",TRUE,B253:E253),SF_Output!$Q$1:$Q$400,"One Time",SF_Output!$L$1:$L$400,"professional service"))</f>
        <v/>
      </c>
      <c r="O253" s="112" t="str">
        <f>IF(OR(B253=0,B253="",N253=0),"",IF(AF253&lt;&gt;"exclusion",MAX(O$9,-(SUMIFS(SF_Output!$T$1:$T$400,SF_Output!$AC$1:$AC$400,_xlfn.TEXTJOIN(",",TRUE,$B253:$E253),SF_Output!$Q$1:$Q$400,"One Time",SF_Output!$L$1:$L$400,"professional service"))/N253),-((SUMIFS(SF_Output!$T$1:$T$400,SF_Output!$AC$1:$AC$400,_xlfn.TEXTJOIN(",",TRUE,$B253:$E253),SF_Output!$Q$1:$Q$400,"One Time",SF_Output!$L$1:$L$400,"professional service")/N253))))</f>
        <v/>
      </c>
      <c r="P253" s="6" t="str">
        <f t="shared" si="18"/>
        <v/>
      </c>
      <c r="R253" s="6" t="str">
        <f>IF(B253="","",SUMIFS(SF_Output!$S$1:$S$400,SF_Output!$AC$1:$AC$400,_xlfn.TEXTJOIN(",",TRUE,B253:E253),SF_Output!$Q$1:$Q$400,"yearly")+SUMIFS(SF_Output!$S$1:$S$400,SF_Output!$AC$1:$AC$400,_xlfn.TEXTJOIN(",",TRUE,B253:E253),SF_Output!$Q$1:$Q$400,"quarterly")*4)</f>
        <v/>
      </c>
      <c r="S253" s="112" t="str">
        <f>IF(OR(B253=0,B253="",G253="hardware",R253=0),"",IF(AF253&lt;&gt;"exclusion",MAX(S$9,-(SUMIFS(SF_Output!$T$1:$T$400,SF_Output!$AC$1:$AC$400,_xlfn.TEXTJOIN(",",TRUE,$B253:$E253),SF_Output!$Q$1:$Q$400,"yearly"))/R253),-((SUMIFS(SF_Output!$T$1:$T$400,SF_Output!$AC$1:$AC$400,_xlfn.TEXTJOIN(",",TRUE,$B253:$E253),SF_Output!$Q$1:$Q$400,"yearly")/R253))))</f>
        <v/>
      </c>
      <c r="T253" s="6" t="str">
        <f t="shared" si="19"/>
        <v/>
      </c>
      <c r="V253" s="6" t="str" cm="1">
        <f t="array" ref="V253">_xlfn.IFS(B253="","",AND(B253&lt;&gt;"",H253=SF_Output!$Y$2,SUMIFS(SF_Output!$T$1:$T$400,SF_Output!$AC$1:$AC$400,_xlfn.TEXTJOIN(",",TRUE,B253:E253),SF_Output!$Q$1:$Q$400,"monthly")=0),(SUMIFS(SF_Output!$F$1:$F$400,SF_Output!$AC$1:$AC$400,_xlfn.TEXTJOIN(",",TRUE,B253:E253),SF_Output!$Q$1:$Q$400,"monthly")+SUMIFS(SF_Output!$G$1:$G$400,SF_Output!$AC$1:$AC$400,_xlfn.TEXTJOIN(",",TRUE,B253:E253),SF_Output!$Q$1:$Q$400,"monthly"))*H253,AND(B253&lt;&gt;"",H253=SF_Output!$Y$2,SUMIFS(SF_Output!$T$1:$T$400,SF_Output!$AC$1:$AC$400,_xlfn.TEXTJOIN(",",TRUE,B253:E253),SF_Output!$Q$1:$Q$400,"monthly")&lt;&gt;0),SUMIFS(SF_Output!$S$1:$S$400,SF_Output!$AC$1:$AC$400,_xlfn.TEXTJOIN(",",TRUE,B253:E253),SF_Output!$Q$1:$Q$400,"monthly"),AND(B253&lt;&gt;"",H253&lt;&gt;SF_Output!$Y$2),SUMIFS(SF_Output!$S$1:$S$400,SF_Output!$AC$1:$AC$400,_xlfn.TEXTJOIN(",",TRUE,B253:E253),SF_Output!$Q$1:$Q$400,"monthly"))</f>
        <v/>
      </c>
      <c r="W253" s="112" t="str" cm="1">
        <f t="array" ref="W253">_xlfn.IFS(OR(B253=0,B253="",V253=0),"",AF253&lt;&gt;"exclusion",MAX($W$9,$W$7,(-(SUMIFS(SF_Output!$T$1:$T$400,SF_Output!$AC$1:$AC$400,_xlfn.TEXTJOIN(",",TRUE,$B253:$E253),SF_Output!$Q$1:$Q$400,"monthly"))/V253)),AF253="exclusion",-(SUMIFS(SF_Output!$T$1:$T$400,SF_Output!$AC$1:$AC$400,_xlfn.TEXTJOIN(",",TRUE,$B253:$E253),SF_Output!$Q$1:$Q$400,"monthly"))/V253)</f>
        <v/>
      </c>
      <c r="X253" s="6" t="str" cm="1">
        <f t="array" ref="X253">IFERROR(_xlfn.IFS(V253=0,0,V253="","",W253=0,V253,OR(V253&lt;&gt;0,V253&lt;&gt;""),H253*I253),V253*(1-W253))</f>
        <v/>
      </c>
    </row>
    <row r="254" spans="6:24" x14ac:dyDescent="0.25">
      <c r="F254" s="116" t="str">
        <f t="shared" si="16"/>
        <v/>
      </c>
      <c r="G254" t="str">
        <f>IF(B254="","",INDEX(SF_Output!$K$1:$K$400,MATCH(B254,SF_Output!$M$1:$M$400,0)))</f>
        <v/>
      </c>
      <c r="H254" t="str" cm="1">
        <f t="array" ref="H254">_xlfn.IFS(B254="","",(SUMIFS(SF_Output!$F$1:$F$400,SF_Output!$AC$1:$AC$400,_xlfn.TEXTJOIN(",",TRUE,B254:E254))+SUMIFS(SF_Output!$G$1:$G$400,SF_Output!$AC$1:$AC$400,_xlfn.TEXTJOIN(",",TRUE,B254:E254)))&lt;&gt;0,SF_Output!$Y$2,INDEX(SF_Output!$F$1:$F$400,MATCH(_xlfn.TEXTJOIN(",",TRUE,B254:E254),SF_Output!$AC$1:$AC$400,0))=0,INDEX(SF_Output!$R$1:$R$400,MATCH(_xlfn.TEXTJOIN(",",TRUE,B254:E254),SF_Output!$AC$1:$AC$400,0)))</f>
        <v/>
      </c>
      <c r="I254" s="125" t="str">
        <f>IFERROR(IF(AND(H254&gt;1,H254&lt;&gt;""),ROUND(SUMIFS(SF_Output!$S$1:$S$400,SF_Output!$AC$1:$AC$400,_xlfn.TEXTJOIN(",",TRUE,B254:E254),SF_Output!$Q$1:$Q$400,"monthly")*(1-W254)/H254,4),""),"")</f>
        <v/>
      </c>
      <c r="J254" s="6" t="str">
        <f>IF(B254="","",SUMIFS(SF_Output!$S$1:$S$400,SF_Output!$AC$1:$AC$400,_xlfn.TEXTJOIN(",",TRUE,B254:E254),SF_Output!$Q$1:$Q$400,"One Time",SF_Output!$L$1:$L$400,"license fee")+SUMIFS(SF_Output!$S$1:$S$400,SF_Output!$AC$1:$AC$400,_xlfn.TEXTJOIN(",",TRUE,B254:E254),SF_Output!$Q$1:$Q$400,"One Time",SF_Output!$L$1:$L$400,"software license")+SUMIFS(SF_Output!$S$1:$S$400,SF_Output!$AC$1:$AC$400,_xlfn.TEXTJOIN(",",TRUE,B254:E254),SF_Output!$Q$1:$Q$400,"One Time",SF_Output!$L$1:$L$400,"hardware"))</f>
        <v/>
      </c>
      <c r="K254" s="112" t="str">
        <f>IF(OR(B254=0,B254="",G254="hardware",J254=0),"",IF(AF254&lt;&gt;"exclusion",MAX(K$9,-((SUMIFS(SF_Output!$T$1:$T$400,SF_Output!$AC$1:$AC$400,_xlfn.TEXTJOIN(",",TRUE,$B254:$E254),SF_Output!$Q$1:$Q$400,"One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license"))/J254)))</f>
        <v/>
      </c>
      <c r="L254" s="6" t="str">
        <f t="shared" si="17"/>
        <v/>
      </c>
      <c r="N254" s="6" t="str">
        <f>IF(B254="","",SUMIFS(SF_Output!$S$1:$S$400,SF_Output!$AC$1:$AC$400,_xlfn.TEXTJOIN(",",TRUE,B254:E254),SF_Output!$Q$1:$Q$400,"One Time",SF_Output!$L$1:$L$400,"professional service"))</f>
        <v/>
      </c>
      <c r="O254" s="112" t="str">
        <f>IF(OR(B254=0,B254="",N254=0),"",IF(AF254&lt;&gt;"exclusion",MAX(O$9,-(SUMIFS(SF_Output!$T$1:$T$400,SF_Output!$AC$1:$AC$400,_xlfn.TEXTJOIN(",",TRUE,$B254:$E254),SF_Output!$Q$1:$Q$400,"One Time",SF_Output!$L$1:$L$400,"professional service"))/N254),-((SUMIFS(SF_Output!$T$1:$T$400,SF_Output!$AC$1:$AC$400,_xlfn.TEXTJOIN(",",TRUE,$B254:$E254),SF_Output!$Q$1:$Q$400,"One Time",SF_Output!$L$1:$L$400,"professional service")/N254))))</f>
        <v/>
      </c>
      <c r="P254" s="6" t="str">
        <f t="shared" si="18"/>
        <v/>
      </c>
      <c r="R254" s="6" t="str">
        <f>IF(B254="","",SUMIFS(SF_Output!$S$1:$S$400,SF_Output!$AC$1:$AC$400,_xlfn.TEXTJOIN(",",TRUE,B254:E254),SF_Output!$Q$1:$Q$400,"yearly")+SUMIFS(SF_Output!$S$1:$S$400,SF_Output!$AC$1:$AC$400,_xlfn.TEXTJOIN(",",TRUE,B254:E254),SF_Output!$Q$1:$Q$400,"quarterly")*4)</f>
        <v/>
      </c>
      <c r="S254" s="112" t="str">
        <f>IF(OR(B254=0,B254="",G254="hardware",R254=0),"",IF(AF254&lt;&gt;"exclusion",MAX(S$9,-(SUMIFS(SF_Output!$T$1:$T$400,SF_Output!$AC$1:$AC$400,_xlfn.TEXTJOIN(",",TRUE,$B254:$E254),SF_Output!$Q$1:$Q$400,"yearly"))/R254),-((SUMIFS(SF_Output!$T$1:$T$400,SF_Output!$AC$1:$AC$400,_xlfn.TEXTJOIN(",",TRUE,$B254:$E254),SF_Output!$Q$1:$Q$400,"yearly")/R254))))</f>
        <v/>
      </c>
      <c r="T254" s="6" t="str">
        <f t="shared" si="19"/>
        <v/>
      </c>
      <c r="V254" s="6" t="str" cm="1">
        <f t="array" ref="V254">_xlfn.IFS(B254="","",AND(B254&lt;&gt;"",H254=SF_Output!$Y$2,SUMIFS(SF_Output!$T$1:$T$400,SF_Output!$AC$1:$AC$400,_xlfn.TEXTJOIN(",",TRUE,B254:E254),SF_Output!$Q$1:$Q$400,"monthly")=0),(SUMIFS(SF_Output!$F$1:$F$400,SF_Output!$AC$1:$AC$400,_xlfn.TEXTJOIN(",",TRUE,B254:E254),SF_Output!$Q$1:$Q$400,"monthly")+SUMIFS(SF_Output!$G$1:$G$400,SF_Output!$AC$1:$AC$400,_xlfn.TEXTJOIN(",",TRUE,B254:E254),SF_Output!$Q$1:$Q$400,"monthly"))*H254,AND(B254&lt;&gt;"",H254=SF_Output!$Y$2,SUMIFS(SF_Output!$T$1:$T$400,SF_Output!$AC$1:$AC$400,_xlfn.TEXTJOIN(",",TRUE,B254:E254),SF_Output!$Q$1:$Q$400,"monthly")&lt;&gt;0),SUMIFS(SF_Output!$S$1:$S$400,SF_Output!$AC$1:$AC$400,_xlfn.TEXTJOIN(",",TRUE,B254:E254),SF_Output!$Q$1:$Q$400,"monthly"),AND(B254&lt;&gt;"",H254&lt;&gt;SF_Output!$Y$2),SUMIFS(SF_Output!$S$1:$S$400,SF_Output!$AC$1:$AC$400,_xlfn.TEXTJOIN(",",TRUE,B254:E254),SF_Output!$Q$1:$Q$400,"monthly"))</f>
        <v/>
      </c>
      <c r="W254" s="112" t="str" cm="1">
        <f t="array" ref="W254">_xlfn.IFS(OR(B254=0,B254="",V254=0),"",AF254&lt;&gt;"exclusion",MAX($W$9,$W$7,(-(SUMIFS(SF_Output!$T$1:$T$400,SF_Output!$AC$1:$AC$400,_xlfn.TEXTJOIN(",",TRUE,$B254:$E254),SF_Output!$Q$1:$Q$400,"monthly"))/V254)),AF254="exclusion",-(SUMIFS(SF_Output!$T$1:$T$400,SF_Output!$AC$1:$AC$400,_xlfn.TEXTJOIN(",",TRUE,$B254:$E254),SF_Output!$Q$1:$Q$400,"monthly"))/V254)</f>
        <v/>
      </c>
      <c r="X254" s="6" t="str" cm="1">
        <f t="array" ref="X254">IFERROR(_xlfn.IFS(V254=0,0,V254="","",W254=0,V254,OR(V254&lt;&gt;0,V254&lt;&gt;""),H254*I254),V254*(1-W254))</f>
        <v/>
      </c>
    </row>
    <row r="255" spans="6:24" x14ac:dyDescent="0.25">
      <c r="F255" s="116" t="str">
        <f t="shared" si="16"/>
        <v/>
      </c>
      <c r="G255" t="str">
        <f>IF(B255="","",INDEX(SF_Output!$K$1:$K$400,MATCH(B255,SF_Output!$M$1:$M$400,0)))</f>
        <v/>
      </c>
      <c r="H255" t="str" cm="1">
        <f t="array" ref="H255">_xlfn.IFS(B255="","",(SUMIFS(SF_Output!$F$1:$F$400,SF_Output!$AC$1:$AC$400,_xlfn.TEXTJOIN(",",TRUE,B255:E255))+SUMIFS(SF_Output!$G$1:$G$400,SF_Output!$AC$1:$AC$400,_xlfn.TEXTJOIN(",",TRUE,B255:E255)))&lt;&gt;0,SF_Output!$Y$2,INDEX(SF_Output!$F$1:$F$400,MATCH(_xlfn.TEXTJOIN(",",TRUE,B255:E255),SF_Output!$AC$1:$AC$400,0))=0,INDEX(SF_Output!$R$1:$R$400,MATCH(_xlfn.TEXTJOIN(",",TRUE,B255:E255),SF_Output!$AC$1:$AC$400,0)))</f>
        <v/>
      </c>
      <c r="I255" s="125" t="str">
        <f>IFERROR(IF(AND(H255&gt;1,H255&lt;&gt;""),ROUND(SUMIFS(SF_Output!$S$1:$S$400,SF_Output!$AC$1:$AC$400,_xlfn.TEXTJOIN(",",TRUE,B255:E255),SF_Output!$Q$1:$Q$400,"monthly")*(1-W255)/H255,4),""),"")</f>
        <v/>
      </c>
      <c r="J255" s="6" t="str">
        <f>IF(B255="","",SUMIFS(SF_Output!$S$1:$S$400,SF_Output!$AC$1:$AC$400,_xlfn.TEXTJOIN(",",TRUE,B255:E255),SF_Output!$Q$1:$Q$400,"One Time",SF_Output!$L$1:$L$400,"license fee")+SUMIFS(SF_Output!$S$1:$S$400,SF_Output!$AC$1:$AC$400,_xlfn.TEXTJOIN(",",TRUE,B255:E255),SF_Output!$Q$1:$Q$400,"One Time",SF_Output!$L$1:$L$400,"software license")+SUMIFS(SF_Output!$S$1:$S$400,SF_Output!$AC$1:$AC$400,_xlfn.TEXTJOIN(",",TRUE,B255:E255),SF_Output!$Q$1:$Q$400,"One Time",SF_Output!$L$1:$L$400,"hardware"))</f>
        <v/>
      </c>
      <c r="K255" s="112" t="str">
        <f>IF(OR(B255=0,B255="",G255="hardware",J255=0),"",IF(AF255&lt;&gt;"exclusion",MAX(K$9,-((SUMIFS(SF_Output!$T$1:$T$400,SF_Output!$AC$1:$AC$400,_xlfn.TEXTJOIN(",",TRUE,$B255:$E255),SF_Output!$Q$1:$Q$400,"One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license"))/J255)))</f>
        <v/>
      </c>
      <c r="L255" s="6" t="str">
        <f t="shared" si="17"/>
        <v/>
      </c>
      <c r="N255" s="6" t="str">
        <f>IF(B255="","",SUMIFS(SF_Output!$S$1:$S$400,SF_Output!$AC$1:$AC$400,_xlfn.TEXTJOIN(",",TRUE,B255:E255),SF_Output!$Q$1:$Q$400,"One Time",SF_Output!$L$1:$L$400,"professional service"))</f>
        <v/>
      </c>
      <c r="O255" s="112" t="str">
        <f>IF(OR(B255=0,B255="",N255=0),"",IF(AF255&lt;&gt;"exclusion",MAX(O$9,-(SUMIFS(SF_Output!$T$1:$T$400,SF_Output!$AC$1:$AC$400,_xlfn.TEXTJOIN(",",TRUE,$B255:$E255),SF_Output!$Q$1:$Q$400,"One Time",SF_Output!$L$1:$L$400,"professional service"))/N255),-((SUMIFS(SF_Output!$T$1:$T$400,SF_Output!$AC$1:$AC$400,_xlfn.TEXTJOIN(",",TRUE,$B255:$E255),SF_Output!$Q$1:$Q$400,"One Time",SF_Output!$L$1:$L$400,"professional service")/N255))))</f>
        <v/>
      </c>
      <c r="P255" s="6" t="str">
        <f t="shared" si="18"/>
        <v/>
      </c>
      <c r="R255" s="6" t="str">
        <f>IF(B255="","",SUMIFS(SF_Output!$S$1:$S$400,SF_Output!$AC$1:$AC$400,_xlfn.TEXTJOIN(",",TRUE,B255:E255),SF_Output!$Q$1:$Q$400,"yearly")+SUMIFS(SF_Output!$S$1:$S$400,SF_Output!$AC$1:$AC$400,_xlfn.TEXTJOIN(",",TRUE,B255:E255),SF_Output!$Q$1:$Q$400,"quarterly")*4)</f>
        <v/>
      </c>
      <c r="S255" s="112" t="str">
        <f>IF(OR(B255=0,B255="",G255="hardware",R255=0),"",IF(AF255&lt;&gt;"exclusion",MAX(S$9,-(SUMIFS(SF_Output!$T$1:$T$400,SF_Output!$AC$1:$AC$400,_xlfn.TEXTJOIN(",",TRUE,$B255:$E255),SF_Output!$Q$1:$Q$400,"yearly"))/R255),-((SUMIFS(SF_Output!$T$1:$T$400,SF_Output!$AC$1:$AC$400,_xlfn.TEXTJOIN(",",TRUE,$B255:$E255),SF_Output!$Q$1:$Q$400,"yearly")/R255))))</f>
        <v/>
      </c>
      <c r="T255" s="6" t="str">
        <f t="shared" si="19"/>
        <v/>
      </c>
      <c r="V255" s="6" t="str" cm="1">
        <f t="array" ref="V255">_xlfn.IFS(B255="","",AND(B255&lt;&gt;"",H255=SF_Output!$Y$2,SUMIFS(SF_Output!$T$1:$T$400,SF_Output!$AC$1:$AC$400,_xlfn.TEXTJOIN(",",TRUE,B255:E255),SF_Output!$Q$1:$Q$400,"monthly")=0),(SUMIFS(SF_Output!$F$1:$F$400,SF_Output!$AC$1:$AC$400,_xlfn.TEXTJOIN(",",TRUE,B255:E255),SF_Output!$Q$1:$Q$400,"monthly")+SUMIFS(SF_Output!$G$1:$G$400,SF_Output!$AC$1:$AC$400,_xlfn.TEXTJOIN(",",TRUE,B255:E255),SF_Output!$Q$1:$Q$400,"monthly"))*H255,AND(B255&lt;&gt;"",H255=SF_Output!$Y$2,SUMIFS(SF_Output!$T$1:$T$400,SF_Output!$AC$1:$AC$400,_xlfn.TEXTJOIN(",",TRUE,B255:E255),SF_Output!$Q$1:$Q$400,"monthly")&lt;&gt;0),SUMIFS(SF_Output!$S$1:$S$400,SF_Output!$AC$1:$AC$400,_xlfn.TEXTJOIN(",",TRUE,B255:E255),SF_Output!$Q$1:$Q$400,"monthly"),AND(B255&lt;&gt;"",H255&lt;&gt;SF_Output!$Y$2),SUMIFS(SF_Output!$S$1:$S$400,SF_Output!$AC$1:$AC$400,_xlfn.TEXTJOIN(",",TRUE,B255:E255),SF_Output!$Q$1:$Q$400,"monthly"))</f>
        <v/>
      </c>
      <c r="W255" s="112" t="str" cm="1">
        <f t="array" ref="W255">_xlfn.IFS(OR(B255=0,B255="",V255=0),"",AF255&lt;&gt;"exclusion",MAX($W$9,$W$7,(-(SUMIFS(SF_Output!$T$1:$T$400,SF_Output!$AC$1:$AC$400,_xlfn.TEXTJOIN(",",TRUE,$B255:$E255),SF_Output!$Q$1:$Q$400,"monthly"))/V255)),AF255="exclusion",-(SUMIFS(SF_Output!$T$1:$T$400,SF_Output!$AC$1:$AC$400,_xlfn.TEXTJOIN(",",TRUE,$B255:$E255),SF_Output!$Q$1:$Q$400,"monthly"))/V255)</f>
        <v/>
      </c>
      <c r="X255" s="6" t="str" cm="1">
        <f t="array" ref="X255">IFERROR(_xlfn.IFS(V255=0,0,V255="","",W255=0,V255,OR(V255&lt;&gt;0,V255&lt;&gt;""),H255*I255),V255*(1-W255))</f>
        <v/>
      </c>
    </row>
    <row r="256" spans="6:24" x14ac:dyDescent="0.25">
      <c r="F256" s="116" t="str">
        <f t="shared" si="16"/>
        <v/>
      </c>
      <c r="G256" t="str">
        <f>IF(B256="","",INDEX(SF_Output!$K$1:$K$400,MATCH(B256,SF_Output!$M$1:$M$400,0)))</f>
        <v/>
      </c>
      <c r="H256" t="str" cm="1">
        <f t="array" ref="H256">_xlfn.IFS(B256="","",(SUMIFS(SF_Output!$F$1:$F$400,SF_Output!$AC$1:$AC$400,_xlfn.TEXTJOIN(",",TRUE,B256:E256))+SUMIFS(SF_Output!$G$1:$G$400,SF_Output!$AC$1:$AC$400,_xlfn.TEXTJOIN(",",TRUE,B256:E256)))&lt;&gt;0,SF_Output!$Y$2,INDEX(SF_Output!$F$1:$F$400,MATCH(_xlfn.TEXTJOIN(",",TRUE,B256:E256),SF_Output!$AC$1:$AC$400,0))=0,INDEX(SF_Output!$R$1:$R$400,MATCH(_xlfn.TEXTJOIN(",",TRUE,B256:E256),SF_Output!$AC$1:$AC$400,0)))</f>
        <v/>
      </c>
      <c r="I256" s="125" t="str">
        <f>IFERROR(IF(AND(H256&gt;1,H256&lt;&gt;""),ROUND(SUMIFS(SF_Output!$S$1:$S$400,SF_Output!$AC$1:$AC$400,_xlfn.TEXTJOIN(",",TRUE,B256:E256),SF_Output!$Q$1:$Q$400,"monthly")*(1-W256)/H256,4),""),"")</f>
        <v/>
      </c>
      <c r="J256" s="6" t="str">
        <f>IF(B256="","",SUMIFS(SF_Output!$S$1:$S$400,SF_Output!$AC$1:$AC$400,_xlfn.TEXTJOIN(",",TRUE,B256:E256),SF_Output!$Q$1:$Q$400,"One Time",SF_Output!$L$1:$L$400,"license fee")+SUMIFS(SF_Output!$S$1:$S$400,SF_Output!$AC$1:$AC$400,_xlfn.TEXTJOIN(",",TRUE,B256:E256),SF_Output!$Q$1:$Q$400,"One Time",SF_Output!$L$1:$L$400,"software license")+SUMIFS(SF_Output!$S$1:$S$400,SF_Output!$AC$1:$AC$400,_xlfn.TEXTJOIN(",",TRUE,B256:E256),SF_Output!$Q$1:$Q$400,"One Time",SF_Output!$L$1:$L$400,"hardware"))</f>
        <v/>
      </c>
      <c r="K256" s="112" t="str">
        <f>IF(OR(B256=0,B256="",G256="hardware",J256=0),"",IF(AF256&lt;&gt;"exclusion",MAX(K$9,-((SUMIFS(SF_Output!$T$1:$T$400,SF_Output!$AC$1:$AC$400,_xlfn.TEXTJOIN(",",TRUE,$B256:$E256),SF_Output!$Q$1:$Q$400,"One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license"))/J256)))</f>
        <v/>
      </c>
      <c r="L256" s="6" t="str">
        <f t="shared" si="17"/>
        <v/>
      </c>
      <c r="N256" s="6" t="str">
        <f>IF(B256="","",SUMIFS(SF_Output!$S$1:$S$400,SF_Output!$AC$1:$AC$400,_xlfn.TEXTJOIN(",",TRUE,B256:E256),SF_Output!$Q$1:$Q$400,"One Time",SF_Output!$L$1:$L$400,"professional service"))</f>
        <v/>
      </c>
      <c r="O256" s="112" t="str">
        <f>IF(OR(B256=0,B256="",N256=0),"",IF(AF256&lt;&gt;"exclusion",MAX(O$9,-(SUMIFS(SF_Output!$T$1:$T$400,SF_Output!$AC$1:$AC$400,_xlfn.TEXTJOIN(",",TRUE,$B256:$E256),SF_Output!$Q$1:$Q$400,"One Time",SF_Output!$L$1:$L$400,"professional service"))/N256),-((SUMIFS(SF_Output!$T$1:$T$400,SF_Output!$AC$1:$AC$400,_xlfn.TEXTJOIN(",",TRUE,$B256:$E256),SF_Output!$Q$1:$Q$400,"One Time",SF_Output!$L$1:$L$400,"professional service")/N256))))</f>
        <v/>
      </c>
      <c r="P256" s="6" t="str">
        <f t="shared" si="18"/>
        <v/>
      </c>
      <c r="R256" s="6" t="str">
        <f>IF(B256="","",SUMIFS(SF_Output!$S$1:$S$400,SF_Output!$AC$1:$AC$400,_xlfn.TEXTJOIN(",",TRUE,B256:E256),SF_Output!$Q$1:$Q$400,"yearly")+SUMIFS(SF_Output!$S$1:$S$400,SF_Output!$AC$1:$AC$400,_xlfn.TEXTJOIN(",",TRUE,B256:E256),SF_Output!$Q$1:$Q$400,"quarterly")*4)</f>
        <v/>
      </c>
      <c r="S256" s="112" t="str">
        <f>IF(OR(B256=0,B256="",G256="hardware",R256=0),"",IF(AF256&lt;&gt;"exclusion",MAX(S$9,-(SUMIFS(SF_Output!$T$1:$T$400,SF_Output!$AC$1:$AC$400,_xlfn.TEXTJOIN(",",TRUE,$B256:$E256),SF_Output!$Q$1:$Q$400,"yearly"))/R256),-((SUMIFS(SF_Output!$T$1:$T$400,SF_Output!$AC$1:$AC$400,_xlfn.TEXTJOIN(",",TRUE,$B256:$E256),SF_Output!$Q$1:$Q$400,"yearly")/R256))))</f>
        <v/>
      </c>
      <c r="T256" s="6" t="str">
        <f t="shared" si="19"/>
        <v/>
      </c>
      <c r="V256" s="6" t="str" cm="1">
        <f t="array" ref="V256">_xlfn.IFS(B256="","",AND(B256&lt;&gt;"",H256=SF_Output!$Y$2,SUMIFS(SF_Output!$T$1:$T$400,SF_Output!$AC$1:$AC$400,_xlfn.TEXTJOIN(",",TRUE,B256:E256),SF_Output!$Q$1:$Q$400,"monthly")=0),(SUMIFS(SF_Output!$F$1:$F$400,SF_Output!$AC$1:$AC$400,_xlfn.TEXTJOIN(",",TRUE,B256:E256),SF_Output!$Q$1:$Q$400,"monthly")+SUMIFS(SF_Output!$G$1:$G$400,SF_Output!$AC$1:$AC$400,_xlfn.TEXTJOIN(",",TRUE,B256:E256),SF_Output!$Q$1:$Q$400,"monthly"))*H256,AND(B256&lt;&gt;"",H256=SF_Output!$Y$2,SUMIFS(SF_Output!$T$1:$T$400,SF_Output!$AC$1:$AC$400,_xlfn.TEXTJOIN(",",TRUE,B256:E256),SF_Output!$Q$1:$Q$400,"monthly")&lt;&gt;0),SUMIFS(SF_Output!$S$1:$S$400,SF_Output!$AC$1:$AC$400,_xlfn.TEXTJOIN(",",TRUE,B256:E256),SF_Output!$Q$1:$Q$400,"monthly"),AND(B256&lt;&gt;"",H256&lt;&gt;SF_Output!$Y$2),SUMIFS(SF_Output!$S$1:$S$400,SF_Output!$AC$1:$AC$400,_xlfn.TEXTJOIN(",",TRUE,B256:E256),SF_Output!$Q$1:$Q$400,"monthly"))</f>
        <v/>
      </c>
      <c r="W256" s="112" t="str" cm="1">
        <f t="array" ref="W256">_xlfn.IFS(OR(B256=0,B256="",V256=0),"",AF256&lt;&gt;"exclusion",MAX($W$9,$W$7,(-(SUMIFS(SF_Output!$T$1:$T$400,SF_Output!$AC$1:$AC$400,_xlfn.TEXTJOIN(",",TRUE,$B256:$E256),SF_Output!$Q$1:$Q$400,"monthly"))/V256)),AF256="exclusion",-(SUMIFS(SF_Output!$T$1:$T$400,SF_Output!$AC$1:$AC$400,_xlfn.TEXTJOIN(",",TRUE,$B256:$E256),SF_Output!$Q$1:$Q$400,"monthly"))/V256)</f>
        <v/>
      </c>
      <c r="X256" s="6" t="str" cm="1">
        <f t="array" ref="X256">IFERROR(_xlfn.IFS(V256=0,0,V256="","",W256=0,V256,OR(V256&lt;&gt;0,V256&lt;&gt;""),H256*I256),V256*(1-W256))</f>
        <v/>
      </c>
    </row>
    <row r="257" spans="6:24" x14ac:dyDescent="0.25">
      <c r="F257" s="116" t="str">
        <f t="shared" si="16"/>
        <v/>
      </c>
      <c r="G257" t="str">
        <f>IF(B257="","",INDEX(SF_Output!$K$1:$K$400,MATCH(B257,SF_Output!$M$1:$M$400,0)))</f>
        <v/>
      </c>
      <c r="H257" t="str" cm="1">
        <f t="array" ref="H257">_xlfn.IFS(B257="","",(SUMIFS(SF_Output!$F$1:$F$400,SF_Output!$AC$1:$AC$400,_xlfn.TEXTJOIN(",",TRUE,B257:E257))+SUMIFS(SF_Output!$G$1:$G$400,SF_Output!$AC$1:$AC$400,_xlfn.TEXTJOIN(",",TRUE,B257:E257)))&lt;&gt;0,SF_Output!$Y$2,INDEX(SF_Output!$F$1:$F$400,MATCH(_xlfn.TEXTJOIN(",",TRUE,B257:E257),SF_Output!$AC$1:$AC$400,0))=0,INDEX(SF_Output!$R$1:$R$400,MATCH(_xlfn.TEXTJOIN(",",TRUE,B257:E257),SF_Output!$AC$1:$AC$400,0)))</f>
        <v/>
      </c>
      <c r="I257" s="125" t="str">
        <f>IFERROR(IF(AND(H257&gt;1,H257&lt;&gt;""),ROUND(SUMIFS(SF_Output!$S$1:$S$400,SF_Output!$AC$1:$AC$400,_xlfn.TEXTJOIN(",",TRUE,B257:E257),SF_Output!$Q$1:$Q$400,"monthly")*(1-W257)/H257,4),""),"")</f>
        <v/>
      </c>
      <c r="J257" s="6" t="str">
        <f>IF(B257="","",SUMIFS(SF_Output!$S$1:$S$400,SF_Output!$AC$1:$AC$400,_xlfn.TEXTJOIN(",",TRUE,B257:E257),SF_Output!$Q$1:$Q$400,"One Time",SF_Output!$L$1:$L$400,"license fee")+SUMIFS(SF_Output!$S$1:$S$400,SF_Output!$AC$1:$AC$400,_xlfn.TEXTJOIN(",",TRUE,B257:E257),SF_Output!$Q$1:$Q$400,"One Time",SF_Output!$L$1:$L$400,"software license")+SUMIFS(SF_Output!$S$1:$S$400,SF_Output!$AC$1:$AC$400,_xlfn.TEXTJOIN(",",TRUE,B257:E257),SF_Output!$Q$1:$Q$400,"One Time",SF_Output!$L$1:$L$400,"hardware"))</f>
        <v/>
      </c>
      <c r="K257" s="112" t="str">
        <f>IF(OR(B257=0,B257="",G257="hardware",J257=0),"",IF(AF257&lt;&gt;"exclusion",MAX(K$9,-((SUMIFS(SF_Output!$T$1:$T$400,SF_Output!$AC$1:$AC$400,_xlfn.TEXTJOIN(",",TRUE,$B257:$E257),SF_Output!$Q$1:$Q$400,"One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license"))/J257)))</f>
        <v/>
      </c>
      <c r="L257" s="6" t="str">
        <f t="shared" si="17"/>
        <v/>
      </c>
      <c r="N257" s="6" t="str">
        <f>IF(B257="","",SUMIFS(SF_Output!$S$1:$S$400,SF_Output!$AC$1:$AC$400,_xlfn.TEXTJOIN(",",TRUE,B257:E257),SF_Output!$Q$1:$Q$400,"One Time",SF_Output!$L$1:$L$400,"professional service"))</f>
        <v/>
      </c>
      <c r="O257" s="112" t="str">
        <f>IF(OR(B257=0,B257="",N257=0),"",IF(AF257&lt;&gt;"exclusion",MAX(O$9,-(SUMIFS(SF_Output!$T$1:$T$400,SF_Output!$AC$1:$AC$400,_xlfn.TEXTJOIN(",",TRUE,$B257:$E257),SF_Output!$Q$1:$Q$400,"One Time",SF_Output!$L$1:$L$400,"professional service"))/N257),-((SUMIFS(SF_Output!$T$1:$T$400,SF_Output!$AC$1:$AC$400,_xlfn.TEXTJOIN(",",TRUE,$B257:$E257),SF_Output!$Q$1:$Q$400,"One Time",SF_Output!$L$1:$L$400,"professional service")/N257))))</f>
        <v/>
      </c>
      <c r="P257" s="6" t="str">
        <f t="shared" si="18"/>
        <v/>
      </c>
      <c r="R257" s="6" t="str">
        <f>IF(B257="","",SUMIFS(SF_Output!$S$1:$S$400,SF_Output!$AC$1:$AC$400,_xlfn.TEXTJOIN(",",TRUE,B257:E257),SF_Output!$Q$1:$Q$400,"yearly")+SUMIFS(SF_Output!$S$1:$S$400,SF_Output!$AC$1:$AC$400,_xlfn.TEXTJOIN(",",TRUE,B257:E257),SF_Output!$Q$1:$Q$400,"quarterly")*4)</f>
        <v/>
      </c>
      <c r="S257" s="112" t="str">
        <f>IF(OR(B257=0,B257="",G257="hardware",R257=0),"",IF(AF257&lt;&gt;"exclusion",MAX(S$9,-(SUMIFS(SF_Output!$T$1:$T$400,SF_Output!$AC$1:$AC$400,_xlfn.TEXTJOIN(",",TRUE,$B257:$E257),SF_Output!$Q$1:$Q$400,"yearly"))/R257),-((SUMIFS(SF_Output!$T$1:$T$400,SF_Output!$AC$1:$AC$400,_xlfn.TEXTJOIN(",",TRUE,$B257:$E257),SF_Output!$Q$1:$Q$400,"yearly")/R257))))</f>
        <v/>
      </c>
      <c r="T257" s="6" t="str">
        <f t="shared" si="19"/>
        <v/>
      </c>
      <c r="V257" s="6" t="str" cm="1">
        <f t="array" ref="V257">_xlfn.IFS(B257="","",AND(B257&lt;&gt;"",H257=SF_Output!$Y$2,SUMIFS(SF_Output!$T$1:$T$400,SF_Output!$AC$1:$AC$400,_xlfn.TEXTJOIN(",",TRUE,B257:E257),SF_Output!$Q$1:$Q$400,"monthly")=0),(SUMIFS(SF_Output!$F$1:$F$400,SF_Output!$AC$1:$AC$400,_xlfn.TEXTJOIN(",",TRUE,B257:E257),SF_Output!$Q$1:$Q$400,"monthly")+SUMIFS(SF_Output!$G$1:$G$400,SF_Output!$AC$1:$AC$400,_xlfn.TEXTJOIN(",",TRUE,B257:E257),SF_Output!$Q$1:$Q$400,"monthly"))*H257,AND(B257&lt;&gt;"",H257=SF_Output!$Y$2,SUMIFS(SF_Output!$T$1:$T$400,SF_Output!$AC$1:$AC$400,_xlfn.TEXTJOIN(",",TRUE,B257:E257),SF_Output!$Q$1:$Q$400,"monthly")&lt;&gt;0),SUMIFS(SF_Output!$S$1:$S$400,SF_Output!$AC$1:$AC$400,_xlfn.TEXTJOIN(",",TRUE,B257:E257),SF_Output!$Q$1:$Q$400,"monthly"),AND(B257&lt;&gt;"",H257&lt;&gt;SF_Output!$Y$2),SUMIFS(SF_Output!$S$1:$S$400,SF_Output!$AC$1:$AC$400,_xlfn.TEXTJOIN(",",TRUE,B257:E257),SF_Output!$Q$1:$Q$400,"monthly"))</f>
        <v/>
      </c>
      <c r="W257" s="112" t="str" cm="1">
        <f t="array" ref="W257">_xlfn.IFS(OR(B257=0,B257="",V257=0),"",AF257&lt;&gt;"exclusion",MAX($W$9,$W$7,(-(SUMIFS(SF_Output!$T$1:$T$400,SF_Output!$AC$1:$AC$400,_xlfn.TEXTJOIN(",",TRUE,$B257:$E257),SF_Output!$Q$1:$Q$400,"monthly"))/V257)),AF257="exclusion",-(SUMIFS(SF_Output!$T$1:$T$400,SF_Output!$AC$1:$AC$400,_xlfn.TEXTJOIN(",",TRUE,$B257:$E257),SF_Output!$Q$1:$Q$400,"monthly"))/V257)</f>
        <v/>
      </c>
      <c r="X257" s="6" t="str" cm="1">
        <f t="array" ref="X257">IFERROR(_xlfn.IFS(V257=0,0,V257="","",W257=0,V257,OR(V257&lt;&gt;0,V257&lt;&gt;""),H257*I257),V257*(1-W257))</f>
        <v/>
      </c>
    </row>
    <row r="258" spans="6:24" x14ac:dyDescent="0.25">
      <c r="F258" s="116" t="str">
        <f t="shared" si="16"/>
        <v/>
      </c>
      <c r="G258" t="str">
        <f>IF(B258="","",INDEX(SF_Output!$K$1:$K$400,MATCH(B258,SF_Output!$M$1:$M$400,0)))</f>
        <v/>
      </c>
      <c r="H258" t="str" cm="1">
        <f t="array" ref="H258">_xlfn.IFS(B258="","",(SUMIFS(SF_Output!$F$1:$F$400,SF_Output!$AC$1:$AC$400,_xlfn.TEXTJOIN(",",TRUE,B258:E258))+SUMIFS(SF_Output!$G$1:$G$400,SF_Output!$AC$1:$AC$400,_xlfn.TEXTJOIN(",",TRUE,B258:E258)))&lt;&gt;0,SF_Output!$Y$2,INDEX(SF_Output!$F$1:$F$400,MATCH(_xlfn.TEXTJOIN(",",TRUE,B258:E258),SF_Output!$AC$1:$AC$400,0))=0,INDEX(SF_Output!$R$1:$R$400,MATCH(_xlfn.TEXTJOIN(",",TRUE,B258:E258),SF_Output!$AC$1:$AC$400,0)))</f>
        <v/>
      </c>
      <c r="I258" s="125" t="str">
        <f>IFERROR(IF(AND(H258&gt;1,H258&lt;&gt;""),ROUND(SUMIFS(SF_Output!$S$1:$S$400,SF_Output!$AC$1:$AC$400,_xlfn.TEXTJOIN(",",TRUE,B258:E258),SF_Output!$Q$1:$Q$400,"monthly")*(1-W258)/H258,4),""),"")</f>
        <v/>
      </c>
      <c r="J258" s="6" t="str">
        <f>IF(B258="","",SUMIFS(SF_Output!$S$1:$S$400,SF_Output!$AC$1:$AC$400,_xlfn.TEXTJOIN(",",TRUE,B258:E258),SF_Output!$Q$1:$Q$400,"One Time",SF_Output!$L$1:$L$400,"license fee")+SUMIFS(SF_Output!$S$1:$S$400,SF_Output!$AC$1:$AC$400,_xlfn.TEXTJOIN(",",TRUE,B258:E258),SF_Output!$Q$1:$Q$400,"One Time",SF_Output!$L$1:$L$400,"software license")+SUMIFS(SF_Output!$S$1:$S$400,SF_Output!$AC$1:$AC$400,_xlfn.TEXTJOIN(",",TRUE,B258:E258),SF_Output!$Q$1:$Q$400,"One Time",SF_Output!$L$1:$L$400,"hardware"))</f>
        <v/>
      </c>
      <c r="K258" s="112" t="str">
        <f>IF(OR(B258=0,B258="",G258="hardware",J258=0),"",IF(AF258&lt;&gt;"exclusion",MAX(K$9,-((SUMIFS(SF_Output!$T$1:$T$400,SF_Output!$AC$1:$AC$400,_xlfn.TEXTJOIN(",",TRUE,$B258:$E258),SF_Output!$Q$1:$Q$400,"One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license"))/J258)))</f>
        <v/>
      </c>
      <c r="L258" s="6" t="str">
        <f t="shared" si="17"/>
        <v/>
      </c>
      <c r="N258" s="6" t="str">
        <f>IF(B258="","",SUMIFS(SF_Output!$S$1:$S$400,SF_Output!$AC$1:$AC$400,_xlfn.TEXTJOIN(",",TRUE,B258:E258),SF_Output!$Q$1:$Q$400,"One Time",SF_Output!$L$1:$L$400,"professional service"))</f>
        <v/>
      </c>
      <c r="O258" s="112" t="str">
        <f>IF(OR(B258=0,B258="",N258=0),"",IF(AF258&lt;&gt;"exclusion",MAX(O$9,-(SUMIFS(SF_Output!$T$1:$T$400,SF_Output!$AC$1:$AC$400,_xlfn.TEXTJOIN(",",TRUE,$B258:$E258),SF_Output!$Q$1:$Q$400,"One Time",SF_Output!$L$1:$L$400,"professional service"))/N258),-((SUMIFS(SF_Output!$T$1:$T$400,SF_Output!$AC$1:$AC$400,_xlfn.TEXTJOIN(",",TRUE,$B258:$E258),SF_Output!$Q$1:$Q$400,"One Time",SF_Output!$L$1:$L$400,"professional service")/N258))))</f>
        <v/>
      </c>
      <c r="P258" s="6" t="str">
        <f t="shared" si="18"/>
        <v/>
      </c>
      <c r="R258" s="6" t="str">
        <f>IF(B258="","",SUMIFS(SF_Output!$S$1:$S$400,SF_Output!$AC$1:$AC$400,_xlfn.TEXTJOIN(",",TRUE,B258:E258),SF_Output!$Q$1:$Q$400,"yearly")+SUMIFS(SF_Output!$S$1:$S$400,SF_Output!$AC$1:$AC$400,_xlfn.TEXTJOIN(",",TRUE,B258:E258),SF_Output!$Q$1:$Q$400,"quarterly")*4)</f>
        <v/>
      </c>
      <c r="S258" s="112" t="str">
        <f>IF(OR(B258=0,B258="",G258="hardware",R258=0),"",IF(AF258&lt;&gt;"exclusion",MAX(S$9,-(SUMIFS(SF_Output!$T$1:$T$400,SF_Output!$AC$1:$AC$400,_xlfn.TEXTJOIN(",",TRUE,$B258:$E258),SF_Output!$Q$1:$Q$400,"yearly"))/R258),-((SUMIFS(SF_Output!$T$1:$T$400,SF_Output!$AC$1:$AC$400,_xlfn.TEXTJOIN(",",TRUE,$B258:$E258),SF_Output!$Q$1:$Q$400,"yearly")/R258))))</f>
        <v/>
      </c>
      <c r="T258" s="6" t="str">
        <f t="shared" si="19"/>
        <v/>
      </c>
      <c r="V258" s="6" t="str" cm="1">
        <f t="array" ref="V258">_xlfn.IFS(B258="","",AND(B258&lt;&gt;"",H258=SF_Output!$Y$2,SUMIFS(SF_Output!$T$1:$T$400,SF_Output!$AC$1:$AC$400,_xlfn.TEXTJOIN(",",TRUE,B258:E258),SF_Output!$Q$1:$Q$400,"monthly")=0),(SUMIFS(SF_Output!$F$1:$F$400,SF_Output!$AC$1:$AC$400,_xlfn.TEXTJOIN(",",TRUE,B258:E258),SF_Output!$Q$1:$Q$400,"monthly")+SUMIFS(SF_Output!$G$1:$G$400,SF_Output!$AC$1:$AC$400,_xlfn.TEXTJOIN(",",TRUE,B258:E258),SF_Output!$Q$1:$Q$400,"monthly"))*H258,AND(B258&lt;&gt;"",H258=SF_Output!$Y$2,SUMIFS(SF_Output!$T$1:$T$400,SF_Output!$AC$1:$AC$400,_xlfn.TEXTJOIN(",",TRUE,B258:E258),SF_Output!$Q$1:$Q$400,"monthly")&lt;&gt;0),SUMIFS(SF_Output!$S$1:$S$400,SF_Output!$AC$1:$AC$400,_xlfn.TEXTJOIN(",",TRUE,B258:E258),SF_Output!$Q$1:$Q$400,"monthly"),AND(B258&lt;&gt;"",H258&lt;&gt;SF_Output!$Y$2),SUMIFS(SF_Output!$S$1:$S$400,SF_Output!$AC$1:$AC$400,_xlfn.TEXTJOIN(",",TRUE,B258:E258),SF_Output!$Q$1:$Q$400,"monthly"))</f>
        <v/>
      </c>
      <c r="W258" s="112" t="str" cm="1">
        <f t="array" ref="W258">_xlfn.IFS(OR(B258=0,B258="",V258=0),"",AF258&lt;&gt;"exclusion",MAX($W$9,$W$7,(-(SUMIFS(SF_Output!$T$1:$T$400,SF_Output!$AC$1:$AC$400,_xlfn.TEXTJOIN(",",TRUE,$B258:$E258),SF_Output!$Q$1:$Q$400,"monthly"))/V258)),AF258="exclusion",-(SUMIFS(SF_Output!$T$1:$T$400,SF_Output!$AC$1:$AC$400,_xlfn.TEXTJOIN(",",TRUE,$B258:$E258),SF_Output!$Q$1:$Q$400,"monthly"))/V258)</f>
        <v/>
      </c>
      <c r="X258" s="6" t="str" cm="1">
        <f t="array" ref="X258">IFERROR(_xlfn.IFS(V258=0,0,V258="","",W258=0,V258,OR(V258&lt;&gt;0,V258&lt;&gt;""),H258*I258),V258*(1-W258))</f>
        <v/>
      </c>
    </row>
    <row r="259" spans="6:24" x14ac:dyDescent="0.25">
      <c r="F259" s="116" t="str">
        <f t="shared" si="16"/>
        <v/>
      </c>
      <c r="G259" t="str">
        <f>IF(B259="","",INDEX(SF_Output!$K$1:$K$400,MATCH(B259,SF_Output!$M$1:$M$400,0)))</f>
        <v/>
      </c>
      <c r="H259" t="str" cm="1">
        <f t="array" ref="H259">_xlfn.IFS(B259="","",(SUMIFS(SF_Output!$F$1:$F$400,SF_Output!$AC$1:$AC$400,_xlfn.TEXTJOIN(",",TRUE,B259:E259))+SUMIFS(SF_Output!$G$1:$G$400,SF_Output!$AC$1:$AC$400,_xlfn.TEXTJOIN(",",TRUE,B259:E259)))&lt;&gt;0,SF_Output!$Y$2,INDEX(SF_Output!$F$1:$F$400,MATCH(_xlfn.TEXTJOIN(",",TRUE,B259:E259),SF_Output!$AC$1:$AC$400,0))=0,INDEX(SF_Output!$R$1:$R$400,MATCH(_xlfn.TEXTJOIN(",",TRUE,B259:E259),SF_Output!$AC$1:$AC$400,0)))</f>
        <v/>
      </c>
      <c r="I259" s="125" t="str">
        <f>IFERROR(IF(AND(H259&gt;1,H259&lt;&gt;""),ROUND(SUMIFS(SF_Output!$S$1:$S$400,SF_Output!$AC$1:$AC$400,_xlfn.TEXTJOIN(",",TRUE,B259:E259),SF_Output!$Q$1:$Q$400,"monthly")*(1-W259)/H259,4),""),"")</f>
        <v/>
      </c>
      <c r="J259" s="6" t="str">
        <f>IF(B259="","",SUMIFS(SF_Output!$S$1:$S$400,SF_Output!$AC$1:$AC$400,_xlfn.TEXTJOIN(",",TRUE,B259:E259),SF_Output!$Q$1:$Q$400,"One Time",SF_Output!$L$1:$L$400,"license fee")+SUMIFS(SF_Output!$S$1:$S$400,SF_Output!$AC$1:$AC$400,_xlfn.TEXTJOIN(",",TRUE,B259:E259),SF_Output!$Q$1:$Q$400,"One Time",SF_Output!$L$1:$L$400,"software license")+SUMIFS(SF_Output!$S$1:$S$400,SF_Output!$AC$1:$AC$400,_xlfn.TEXTJOIN(",",TRUE,B259:E259),SF_Output!$Q$1:$Q$400,"One Time",SF_Output!$L$1:$L$400,"hardware"))</f>
        <v/>
      </c>
      <c r="K259" s="112" t="str">
        <f>IF(OR(B259=0,B259="",G259="hardware",J259=0),"",IF(AF259&lt;&gt;"exclusion",MAX(K$9,-((SUMIFS(SF_Output!$T$1:$T$400,SF_Output!$AC$1:$AC$400,_xlfn.TEXTJOIN(",",TRUE,$B259:$E259),SF_Output!$Q$1:$Q$400,"One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license"))/J259)))</f>
        <v/>
      </c>
      <c r="L259" s="6" t="str">
        <f t="shared" si="17"/>
        <v/>
      </c>
      <c r="N259" s="6" t="str">
        <f>IF(B259="","",SUMIFS(SF_Output!$S$1:$S$400,SF_Output!$AC$1:$AC$400,_xlfn.TEXTJOIN(",",TRUE,B259:E259),SF_Output!$Q$1:$Q$400,"One Time",SF_Output!$L$1:$L$400,"professional service"))</f>
        <v/>
      </c>
      <c r="O259" s="112" t="str">
        <f>IF(OR(B259=0,B259="",N259=0),"",IF(AF259&lt;&gt;"exclusion",MAX(O$9,-(SUMIFS(SF_Output!$T$1:$T$400,SF_Output!$AC$1:$AC$400,_xlfn.TEXTJOIN(",",TRUE,$B259:$E259),SF_Output!$Q$1:$Q$400,"One Time",SF_Output!$L$1:$L$400,"professional service"))/N259),-((SUMIFS(SF_Output!$T$1:$T$400,SF_Output!$AC$1:$AC$400,_xlfn.TEXTJOIN(",",TRUE,$B259:$E259),SF_Output!$Q$1:$Q$400,"One Time",SF_Output!$L$1:$L$400,"professional service")/N259))))</f>
        <v/>
      </c>
      <c r="P259" s="6" t="str">
        <f t="shared" si="18"/>
        <v/>
      </c>
      <c r="R259" s="6" t="str">
        <f>IF(B259="","",SUMIFS(SF_Output!$S$1:$S$400,SF_Output!$AC$1:$AC$400,_xlfn.TEXTJOIN(",",TRUE,B259:E259),SF_Output!$Q$1:$Q$400,"yearly")+SUMIFS(SF_Output!$S$1:$S$400,SF_Output!$AC$1:$AC$400,_xlfn.TEXTJOIN(",",TRUE,B259:E259),SF_Output!$Q$1:$Q$400,"quarterly")*4)</f>
        <v/>
      </c>
      <c r="S259" s="112" t="str">
        <f>IF(OR(B259=0,B259="",G259="hardware",R259=0),"",IF(AF259&lt;&gt;"exclusion",MAX(S$9,-(SUMIFS(SF_Output!$T$1:$T$400,SF_Output!$AC$1:$AC$400,_xlfn.TEXTJOIN(",",TRUE,$B259:$E259),SF_Output!$Q$1:$Q$400,"yearly"))/R259),-((SUMIFS(SF_Output!$T$1:$T$400,SF_Output!$AC$1:$AC$400,_xlfn.TEXTJOIN(",",TRUE,$B259:$E259),SF_Output!$Q$1:$Q$400,"yearly")/R259))))</f>
        <v/>
      </c>
      <c r="T259" s="6" t="str">
        <f t="shared" si="19"/>
        <v/>
      </c>
      <c r="V259" s="6" t="str" cm="1">
        <f t="array" ref="V259">_xlfn.IFS(B259="","",AND(B259&lt;&gt;"",H259=SF_Output!$Y$2,SUMIFS(SF_Output!$T$1:$T$400,SF_Output!$AC$1:$AC$400,_xlfn.TEXTJOIN(",",TRUE,B259:E259),SF_Output!$Q$1:$Q$400,"monthly")=0),(SUMIFS(SF_Output!$F$1:$F$400,SF_Output!$AC$1:$AC$400,_xlfn.TEXTJOIN(",",TRUE,B259:E259),SF_Output!$Q$1:$Q$400,"monthly")+SUMIFS(SF_Output!$G$1:$G$400,SF_Output!$AC$1:$AC$400,_xlfn.TEXTJOIN(",",TRUE,B259:E259),SF_Output!$Q$1:$Q$400,"monthly"))*H259,AND(B259&lt;&gt;"",H259=SF_Output!$Y$2,SUMIFS(SF_Output!$T$1:$T$400,SF_Output!$AC$1:$AC$400,_xlfn.TEXTJOIN(",",TRUE,B259:E259),SF_Output!$Q$1:$Q$400,"monthly")&lt;&gt;0),SUMIFS(SF_Output!$S$1:$S$400,SF_Output!$AC$1:$AC$400,_xlfn.TEXTJOIN(",",TRUE,B259:E259),SF_Output!$Q$1:$Q$400,"monthly"),AND(B259&lt;&gt;"",H259&lt;&gt;SF_Output!$Y$2),SUMIFS(SF_Output!$S$1:$S$400,SF_Output!$AC$1:$AC$400,_xlfn.TEXTJOIN(",",TRUE,B259:E259),SF_Output!$Q$1:$Q$400,"monthly"))</f>
        <v/>
      </c>
      <c r="W259" s="112" t="str" cm="1">
        <f t="array" ref="W259">_xlfn.IFS(OR(B259=0,B259="",V259=0),"",AF259&lt;&gt;"exclusion",MAX($W$9,$W$7,(-(SUMIFS(SF_Output!$T$1:$T$400,SF_Output!$AC$1:$AC$400,_xlfn.TEXTJOIN(",",TRUE,$B259:$E259),SF_Output!$Q$1:$Q$400,"monthly"))/V259)),AF259="exclusion",-(SUMIFS(SF_Output!$T$1:$T$400,SF_Output!$AC$1:$AC$400,_xlfn.TEXTJOIN(",",TRUE,$B259:$E259),SF_Output!$Q$1:$Q$400,"monthly"))/V259)</f>
        <v/>
      </c>
      <c r="X259" s="6" t="str" cm="1">
        <f t="array" ref="X259">IFERROR(_xlfn.IFS(V259=0,0,V259="","",W259=0,V259,OR(V259&lt;&gt;0,V259&lt;&gt;""),H259*I259),V259*(1-W259))</f>
        <v/>
      </c>
    </row>
    <row r="260" spans="6:24" x14ac:dyDescent="0.25">
      <c r="F260" s="116" t="str">
        <f t="shared" si="16"/>
        <v/>
      </c>
      <c r="G260" t="str">
        <f>IF(B260="","",INDEX(SF_Output!$K$1:$K$400,MATCH(B260,SF_Output!$M$1:$M$400,0)))</f>
        <v/>
      </c>
      <c r="H260" t="str" cm="1">
        <f t="array" ref="H260">_xlfn.IFS(B260="","",(SUMIFS(SF_Output!$F$1:$F$400,SF_Output!$AC$1:$AC$400,_xlfn.TEXTJOIN(",",TRUE,B260:E260))+SUMIFS(SF_Output!$G$1:$G$400,SF_Output!$AC$1:$AC$400,_xlfn.TEXTJOIN(",",TRUE,B260:E260)))&lt;&gt;0,SF_Output!$Y$2,INDEX(SF_Output!$F$1:$F$400,MATCH(_xlfn.TEXTJOIN(",",TRUE,B260:E260),SF_Output!$AC$1:$AC$400,0))=0,INDEX(SF_Output!$R$1:$R$400,MATCH(_xlfn.TEXTJOIN(",",TRUE,B260:E260),SF_Output!$AC$1:$AC$400,0)))</f>
        <v/>
      </c>
      <c r="I260" s="125" t="str">
        <f>IFERROR(IF(AND(H260&gt;1,H260&lt;&gt;""),ROUND(SUMIFS(SF_Output!$S$1:$S$400,SF_Output!$AC$1:$AC$400,_xlfn.TEXTJOIN(",",TRUE,B260:E260),SF_Output!$Q$1:$Q$400,"monthly")*(1-W260)/H260,4),""),"")</f>
        <v/>
      </c>
      <c r="J260" s="6" t="str">
        <f>IF(B260="","",SUMIFS(SF_Output!$S$1:$S$400,SF_Output!$AC$1:$AC$400,_xlfn.TEXTJOIN(",",TRUE,B260:E260),SF_Output!$Q$1:$Q$400,"One Time",SF_Output!$L$1:$L$400,"license fee")+SUMIFS(SF_Output!$S$1:$S$400,SF_Output!$AC$1:$AC$400,_xlfn.TEXTJOIN(",",TRUE,B260:E260),SF_Output!$Q$1:$Q$400,"One Time",SF_Output!$L$1:$L$400,"software license")+SUMIFS(SF_Output!$S$1:$S$400,SF_Output!$AC$1:$AC$400,_xlfn.TEXTJOIN(",",TRUE,B260:E260),SF_Output!$Q$1:$Q$400,"One Time",SF_Output!$L$1:$L$400,"hardware"))</f>
        <v/>
      </c>
      <c r="K260" s="112" t="str">
        <f>IF(OR(B260=0,B260="",G260="hardware",J260=0),"",IF(AF260&lt;&gt;"exclusion",MAX(K$9,-((SUMIFS(SF_Output!$T$1:$T$400,SF_Output!$AC$1:$AC$400,_xlfn.TEXTJOIN(",",TRUE,$B260:$E260),SF_Output!$Q$1:$Q$400,"One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license"))/J260)))</f>
        <v/>
      </c>
      <c r="L260" s="6" t="str">
        <f t="shared" si="17"/>
        <v/>
      </c>
      <c r="N260" s="6" t="str">
        <f>IF(B260="","",SUMIFS(SF_Output!$S$1:$S$400,SF_Output!$AC$1:$AC$400,_xlfn.TEXTJOIN(",",TRUE,B260:E260),SF_Output!$Q$1:$Q$400,"One Time",SF_Output!$L$1:$L$400,"professional service"))</f>
        <v/>
      </c>
      <c r="O260" s="112" t="str">
        <f>IF(OR(B260=0,B260="",N260=0),"",IF(AF260&lt;&gt;"exclusion",MAX(O$9,-(SUMIFS(SF_Output!$T$1:$T$400,SF_Output!$AC$1:$AC$400,_xlfn.TEXTJOIN(",",TRUE,$B260:$E260),SF_Output!$Q$1:$Q$400,"One Time",SF_Output!$L$1:$L$400,"professional service"))/N260),-((SUMIFS(SF_Output!$T$1:$T$400,SF_Output!$AC$1:$AC$400,_xlfn.TEXTJOIN(",",TRUE,$B260:$E260),SF_Output!$Q$1:$Q$400,"One Time",SF_Output!$L$1:$L$400,"professional service")/N260))))</f>
        <v/>
      </c>
      <c r="P260" s="6" t="str">
        <f t="shared" si="18"/>
        <v/>
      </c>
      <c r="R260" s="6" t="str">
        <f>IF(B260="","",SUMIFS(SF_Output!$S$1:$S$400,SF_Output!$AC$1:$AC$400,_xlfn.TEXTJOIN(",",TRUE,B260:E260),SF_Output!$Q$1:$Q$400,"yearly")+SUMIFS(SF_Output!$S$1:$S$400,SF_Output!$AC$1:$AC$400,_xlfn.TEXTJOIN(",",TRUE,B260:E260),SF_Output!$Q$1:$Q$400,"quarterly")*4)</f>
        <v/>
      </c>
      <c r="S260" s="112" t="str">
        <f>IF(OR(B260=0,B260="",G260="hardware",R260=0),"",IF(AF260&lt;&gt;"exclusion",MAX(S$9,-(SUMIFS(SF_Output!$T$1:$T$400,SF_Output!$AC$1:$AC$400,_xlfn.TEXTJOIN(",",TRUE,$B260:$E260),SF_Output!$Q$1:$Q$400,"yearly"))/R260),-((SUMIFS(SF_Output!$T$1:$T$400,SF_Output!$AC$1:$AC$400,_xlfn.TEXTJOIN(",",TRUE,$B260:$E260),SF_Output!$Q$1:$Q$400,"yearly")/R260))))</f>
        <v/>
      </c>
      <c r="T260" s="6" t="str">
        <f t="shared" si="19"/>
        <v/>
      </c>
      <c r="V260" s="6" t="str" cm="1">
        <f t="array" ref="V260">_xlfn.IFS(B260="","",AND(B260&lt;&gt;"",H260=SF_Output!$Y$2,SUMIFS(SF_Output!$T$1:$T$400,SF_Output!$AC$1:$AC$400,_xlfn.TEXTJOIN(",",TRUE,B260:E260),SF_Output!$Q$1:$Q$400,"monthly")=0),(SUMIFS(SF_Output!$F$1:$F$400,SF_Output!$AC$1:$AC$400,_xlfn.TEXTJOIN(",",TRUE,B260:E260),SF_Output!$Q$1:$Q$400,"monthly")+SUMIFS(SF_Output!$G$1:$G$400,SF_Output!$AC$1:$AC$400,_xlfn.TEXTJOIN(",",TRUE,B260:E260),SF_Output!$Q$1:$Q$400,"monthly"))*H260,AND(B260&lt;&gt;"",H260=SF_Output!$Y$2,SUMIFS(SF_Output!$T$1:$T$400,SF_Output!$AC$1:$AC$400,_xlfn.TEXTJOIN(",",TRUE,B260:E260),SF_Output!$Q$1:$Q$400,"monthly")&lt;&gt;0),SUMIFS(SF_Output!$S$1:$S$400,SF_Output!$AC$1:$AC$400,_xlfn.TEXTJOIN(",",TRUE,B260:E260),SF_Output!$Q$1:$Q$400,"monthly"),AND(B260&lt;&gt;"",H260&lt;&gt;SF_Output!$Y$2),SUMIFS(SF_Output!$S$1:$S$400,SF_Output!$AC$1:$AC$400,_xlfn.TEXTJOIN(",",TRUE,B260:E260),SF_Output!$Q$1:$Q$400,"monthly"))</f>
        <v/>
      </c>
      <c r="W260" s="112" t="str" cm="1">
        <f t="array" ref="W260">_xlfn.IFS(OR(B260=0,B260="",V260=0),"",AF260&lt;&gt;"exclusion",MAX($W$9,$W$7,(-(SUMIFS(SF_Output!$T$1:$T$400,SF_Output!$AC$1:$AC$400,_xlfn.TEXTJOIN(",",TRUE,$B260:$E260),SF_Output!$Q$1:$Q$400,"monthly"))/V260)),AF260="exclusion",-(SUMIFS(SF_Output!$T$1:$T$400,SF_Output!$AC$1:$AC$400,_xlfn.TEXTJOIN(",",TRUE,$B260:$E260),SF_Output!$Q$1:$Q$400,"monthly"))/V260)</f>
        <v/>
      </c>
      <c r="X260" s="6" t="str" cm="1">
        <f t="array" ref="X260">IFERROR(_xlfn.IFS(V260=0,0,V260="","",W260=0,V260,OR(V260&lt;&gt;0,V260&lt;&gt;""),H260*I260),V260*(1-W260))</f>
        <v/>
      </c>
    </row>
    <row r="261" spans="6:24" x14ac:dyDescent="0.25">
      <c r="F261" s="116" t="str">
        <f t="shared" si="16"/>
        <v/>
      </c>
      <c r="G261" t="str">
        <f>IF(B261="","",INDEX(SF_Output!$K$1:$K$400,MATCH(B261,SF_Output!$M$1:$M$400,0)))</f>
        <v/>
      </c>
      <c r="H261" t="str" cm="1">
        <f t="array" ref="H261">_xlfn.IFS(B261="","",(SUMIFS(SF_Output!$F$1:$F$400,SF_Output!$AC$1:$AC$400,_xlfn.TEXTJOIN(",",TRUE,B261:E261))+SUMIFS(SF_Output!$G$1:$G$400,SF_Output!$AC$1:$AC$400,_xlfn.TEXTJOIN(",",TRUE,B261:E261)))&lt;&gt;0,SF_Output!$Y$2,INDEX(SF_Output!$F$1:$F$400,MATCH(_xlfn.TEXTJOIN(",",TRUE,B261:E261),SF_Output!$AC$1:$AC$400,0))=0,INDEX(SF_Output!$R$1:$R$400,MATCH(_xlfn.TEXTJOIN(",",TRUE,B261:E261),SF_Output!$AC$1:$AC$400,0)))</f>
        <v/>
      </c>
      <c r="I261" s="125" t="str">
        <f>IFERROR(IF(AND(H261&gt;1,H261&lt;&gt;""),ROUND(SUMIFS(SF_Output!$S$1:$S$400,SF_Output!$AC$1:$AC$400,_xlfn.TEXTJOIN(",",TRUE,B261:E261),SF_Output!$Q$1:$Q$400,"monthly")*(1-W261)/H261,4),""),"")</f>
        <v/>
      </c>
      <c r="J261" s="6" t="str">
        <f>IF(B261="","",SUMIFS(SF_Output!$S$1:$S$400,SF_Output!$AC$1:$AC$400,_xlfn.TEXTJOIN(",",TRUE,B261:E261),SF_Output!$Q$1:$Q$400,"One Time",SF_Output!$L$1:$L$400,"license fee")+SUMIFS(SF_Output!$S$1:$S$400,SF_Output!$AC$1:$AC$400,_xlfn.TEXTJOIN(",",TRUE,B261:E261),SF_Output!$Q$1:$Q$400,"One Time",SF_Output!$L$1:$L$400,"software license")+SUMIFS(SF_Output!$S$1:$S$400,SF_Output!$AC$1:$AC$400,_xlfn.TEXTJOIN(",",TRUE,B261:E261),SF_Output!$Q$1:$Q$400,"One Time",SF_Output!$L$1:$L$400,"hardware"))</f>
        <v/>
      </c>
      <c r="K261" s="112" t="str">
        <f>IF(OR(B261=0,B261="",G261="hardware",J261=0),"",IF(AF261&lt;&gt;"exclusion",MAX(K$9,-((SUMIFS(SF_Output!$T$1:$T$400,SF_Output!$AC$1:$AC$400,_xlfn.TEXTJOIN(",",TRUE,$B261:$E261),SF_Output!$Q$1:$Q$400,"One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license"))/J261)))</f>
        <v/>
      </c>
      <c r="L261" s="6" t="str">
        <f t="shared" si="17"/>
        <v/>
      </c>
      <c r="N261" s="6" t="str">
        <f>IF(B261="","",SUMIFS(SF_Output!$S$1:$S$400,SF_Output!$AC$1:$AC$400,_xlfn.TEXTJOIN(",",TRUE,B261:E261),SF_Output!$Q$1:$Q$400,"One Time",SF_Output!$L$1:$L$400,"professional service"))</f>
        <v/>
      </c>
      <c r="O261" s="112" t="str">
        <f>IF(OR(B261=0,B261="",N261=0),"",IF(AF261&lt;&gt;"exclusion",MAX(O$9,-(SUMIFS(SF_Output!$T$1:$T$400,SF_Output!$AC$1:$AC$400,_xlfn.TEXTJOIN(",",TRUE,$B261:$E261),SF_Output!$Q$1:$Q$400,"One Time",SF_Output!$L$1:$L$400,"professional service"))/N261),-((SUMIFS(SF_Output!$T$1:$T$400,SF_Output!$AC$1:$AC$400,_xlfn.TEXTJOIN(",",TRUE,$B261:$E261),SF_Output!$Q$1:$Q$400,"One Time",SF_Output!$L$1:$L$400,"professional service")/N261))))</f>
        <v/>
      </c>
      <c r="P261" s="6" t="str">
        <f t="shared" si="18"/>
        <v/>
      </c>
      <c r="R261" s="6" t="str">
        <f>IF(B261="","",SUMIFS(SF_Output!$S$1:$S$400,SF_Output!$AC$1:$AC$400,_xlfn.TEXTJOIN(",",TRUE,B261:E261),SF_Output!$Q$1:$Q$400,"yearly")+SUMIFS(SF_Output!$S$1:$S$400,SF_Output!$AC$1:$AC$400,_xlfn.TEXTJOIN(",",TRUE,B261:E261),SF_Output!$Q$1:$Q$400,"quarterly")*4)</f>
        <v/>
      </c>
      <c r="S261" s="112" t="str">
        <f>IF(OR(B261=0,B261="",G261="hardware",R261=0),"",IF(AF261&lt;&gt;"exclusion",MAX(S$9,-(SUMIFS(SF_Output!$T$1:$T$400,SF_Output!$AC$1:$AC$400,_xlfn.TEXTJOIN(",",TRUE,$B261:$E261),SF_Output!$Q$1:$Q$400,"yearly"))/R261),-((SUMIFS(SF_Output!$T$1:$T$400,SF_Output!$AC$1:$AC$400,_xlfn.TEXTJOIN(",",TRUE,$B261:$E261),SF_Output!$Q$1:$Q$400,"yearly")/R261))))</f>
        <v/>
      </c>
      <c r="T261" s="6" t="str">
        <f t="shared" si="19"/>
        <v/>
      </c>
      <c r="V261" s="6" t="str" cm="1">
        <f t="array" ref="V261">_xlfn.IFS(B261="","",AND(B261&lt;&gt;"",H261=SF_Output!$Y$2,SUMIFS(SF_Output!$T$1:$T$400,SF_Output!$AC$1:$AC$400,_xlfn.TEXTJOIN(",",TRUE,B261:E261),SF_Output!$Q$1:$Q$400,"monthly")=0),(SUMIFS(SF_Output!$F$1:$F$400,SF_Output!$AC$1:$AC$400,_xlfn.TEXTJOIN(",",TRUE,B261:E261),SF_Output!$Q$1:$Q$400,"monthly")+SUMIFS(SF_Output!$G$1:$G$400,SF_Output!$AC$1:$AC$400,_xlfn.TEXTJOIN(",",TRUE,B261:E261),SF_Output!$Q$1:$Q$400,"monthly"))*H261,AND(B261&lt;&gt;"",H261=SF_Output!$Y$2,SUMIFS(SF_Output!$T$1:$T$400,SF_Output!$AC$1:$AC$400,_xlfn.TEXTJOIN(",",TRUE,B261:E261),SF_Output!$Q$1:$Q$400,"monthly")&lt;&gt;0),SUMIFS(SF_Output!$S$1:$S$400,SF_Output!$AC$1:$AC$400,_xlfn.TEXTJOIN(",",TRUE,B261:E261),SF_Output!$Q$1:$Q$400,"monthly"),AND(B261&lt;&gt;"",H261&lt;&gt;SF_Output!$Y$2),SUMIFS(SF_Output!$S$1:$S$400,SF_Output!$AC$1:$AC$400,_xlfn.TEXTJOIN(",",TRUE,B261:E261),SF_Output!$Q$1:$Q$400,"monthly"))</f>
        <v/>
      </c>
      <c r="W261" s="112" t="str" cm="1">
        <f t="array" ref="W261">_xlfn.IFS(OR(B261=0,B261="",V261=0),"",AF261&lt;&gt;"exclusion",MAX($W$9,$W$7,(-(SUMIFS(SF_Output!$T$1:$T$400,SF_Output!$AC$1:$AC$400,_xlfn.TEXTJOIN(",",TRUE,$B261:$E261),SF_Output!$Q$1:$Q$400,"monthly"))/V261)),AF261="exclusion",-(SUMIFS(SF_Output!$T$1:$T$400,SF_Output!$AC$1:$AC$400,_xlfn.TEXTJOIN(",",TRUE,$B261:$E261),SF_Output!$Q$1:$Q$400,"monthly"))/V261)</f>
        <v/>
      </c>
      <c r="X261" s="6" t="str" cm="1">
        <f t="array" ref="X261">IFERROR(_xlfn.IFS(V261=0,0,V261="","",W261=0,V261,OR(V261&lt;&gt;0,V261&lt;&gt;""),H261*I261),V261*(1-W261))</f>
        <v/>
      </c>
    </row>
    <row r="262" spans="6:24" x14ac:dyDescent="0.25">
      <c r="F262" s="116" t="str">
        <f t="shared" si="16"/>
        <v/>
      </c>
      <c r="G262" t="str">
        <f>IF(B262="","",INDEX(SF_Output!$K$1:$K$400,MATCH(B262,SF_Output!$M$1:$M$400,0)))</f>
        <v/>
      </c>
      <c r="H262" t="str" cm="1">
        <f t="array" ref="H262">_xlfn.IFS(B262="","",(SUMIFS(SF_Output!$F$1:$F$400,SF_Output!$AC$1:$AC$400,_xlfn.TEXTJOIN(",",TRUE,B262:E262))+SUMIFS(SF_Output!$G$1:$G$400,SF_Output!$AC$1:$AC$400,_xlfn.TEXTJOIN(",",TRUE,B262:E262)))&lt;&gt;0,SF_Output!$Y$2,INDEX(SF_Output!$F$1:$F$400,MATCH(_xlfn.TEXTJOIN(",",TRUE,B262:E262),SF_Output!$AC$1:$AC$400,0))=0,INDEX(SF_Output!$R$1:$R$400,MATCH(_xlfn.TEXTJOIN(",",TRUE,B262:E262),SF_Output!$AC$1:$AC$400,0)))</f>
        <v/>
      </c>
      <c r="I262" s="125" t="str">
        <f>IFERROR(IF(AND(H262&gt;1,H262&lt;&gt;""),ROUND(SUMIFS(SF_Output!$S$1:$S$400,SF_Output!$AC$1:$AC$400,_xlfn.TEXTJOIN(",",TRUE,B262:E262),SF_Output!$Q$1:$Q$400,"monthly")*(1-W262)/H262,4),""),"")</f>
        <v/>
      </c>
      <c r="J262" s="6" t="str">
        <f>IF(B262="","",SUMIFS(SF_Output!$S$1:$S$400,SF_Output!$AC$1:$AC$400,_xlfn.TEXTJOIN(",",TRUE,B262:E262),SF_Output!$Q$1:$Q$400,"One Time",SF_Output!$L$1:$L$400,"license fee")+SUMIFS(SF_Output!$S$1:$S$400,SF_Output!$AC$1:$AC$400,_xlfn.TEXTJOIN(",",TRUE,B262:E262),SF_Output!$Q$1:$Q$400,"One Time",SF_Output!$L$1:$L$400,"software license")+SUMIFS(SF_Output!$S$1:$S$400,SF_Output!$AC$1:$AC$400,_xlfn.TEXTJOIN(",",TRUE,B262:E262),SF_Output!$Q$1:$Q$400,"One Time",SF_Output!$L$1:$L$400,"hardware"))</f>
        <v/>
      </c>
      <c r="K262" s="112" t="str">
        <f>IF(OR(B262=0,B262="",G262="hardware",J262=0),"",IF(AF262&lt;&gt;"exclusion",MAX(K$9,-((SUMIFS(SF_Output!$T$1:$T$400,SF_Output!$AC$1:$AC$400,_xlfn.TEXTJOIN(",",TRUE,$B262:$E262),SF_Output!$Q$1:$Q$400,"One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license"))/J262)))</f>
        <v/>
      </c>
      <c r="L262" s="6" t="str">
        <f t="shared" si="17"/>
        <v/>
      </c>
      <c r="N262" s="6" t="str">
        <f>IF(B262="","",SUMIFS(SF_Output!$S$1:$S$400,SF_Output!$AC$1:$AC$400,_xlfn.TEXTJOIN(",",TRUE,B262:E262),SF_Output!$Q$1:$Q$400,"One Time",SF_Output!$L$1:$L$400,"professional service"))</f>
        <v/>
      </c>
      <c r="O262" s="112" t="str">
        <f>IF(OR(B262=0,B262="",N262=0),"",IF(AF262&lt;&gt;"exclusion",MAX(O$9,-(SUMIFS(SF_Output!$T$1:$T$400,SF_Output!$AC$1:$AC$400,_xlfn.TEXTJOIN(",",TRUE,$B262:$E262),SF_Output!$Q$1:$Q$400,"One Time",SF_Output!$L$1:$L$400,"professional service"))/N262),-((SUMIFS(SF_Output!$T$1:$T$400,SF_Output!$AC$1:$AC$400,_xlfn.TEXTJOIN(",",TRUE,$B262:$E262),SF_Output!$Q$1:$Q$400,"One Time",SF_Output!$L$1:$L$400,"professional service")/N262))))</f>
        <v/>
      </c>
      <c r="P262" s="6" t="str">
        <f t="shared" si="18"/>
        <v/>
      </c>
      <c r="R262" s="6" t="str">
        <f>IF(B262="","",SUMIFS(SF_Output!$S$1:$S$400,SF_Output!$AC$1:$AC$400,_xlfn.TEXTJOIN(",",TRUE,B262:E262),SF_Output!$Q$1:$Q$400,"yearly")+SUMIFS(SF_Output!$S$1:$S$400,SF_Output!$AC$1:$AC$400,_xlfn.TEXTJOIN(",",TRUE,B262:E262),SF_Output!$Q$1:$Q$400,"quarterly")*4)</f>
        <v/>
      </c>
      <c r="S262" s="112" t="str">
        <f>IF(OR(B262=0,B262="",G262="hardware",R262=0),"",IF(AF262&lt;&gt;"exclusion",MAX(S$9,-(SUMIFS(SF_Output!$T$1:$T$400,SF_Output!$AC$1:$AC$400,_xlfn.TEXTJOIN(",",TRUE,$B262:$E262),SF_Output!$Q$1:$Q$400,"yearly"))/R262),-((SUMIFS(SF_Output!$T$1:$T$400,SF_Output!$AC$1:$AC$400,_xlfn.TEXTJOIN(",",TRUE,$B262:$E262),SF_Output!$Q$1:$Q$400,"yearly")/R262))))</f>
        <v/>
      </c>
      <c r="T262" s="6" t="str">
        <f t="shared" si="19"/>
        <v/>
      </c>
      <c r="V262" s="6" t="str" cm="1">
        <f t="array" ref="V262">_xlfn.IFS(B262="","",AND(B262&lt;&gt;"",H262=SF_Output!$Y$2,SUMIFS(SF_Output!$T$1:$T$400,SF_Output!$AC$1:$AC$400,_xlfn.TEXTJOIN(",",TRUE,B262:E262),SF_Output!$Q$1:$Q$400,"monthly")=0),(SUMIFS(SF_Output!$F$1:$F$400,SF_Output!$AC$1:$AC$400,_xlfn.TEXTJOIN(",",TRUE,B262:E262),SF_Output!$Q$1:$Q$400,"monthly")+SUMIFS(SF_Output!$G$1:$G$400,SF_Output!$AC$1:$AC$400,_xlfn.TEXTJOIN(",",TRUE,B262:E262),SF_Output!$Q$1:$Q$400,"monthly"))*H262,AND(B262&lt;&gt;"",H262=SF_Output!$Y$2,SUMIFS(SF_Output!$T$1:$T$400,SF_Output!$AC$1:$AC$400,_xlfn.TEXTJOIN(",",TRUE,B262:E262),SF_Output!$Q$1:$Q$400,"monthly")&lt;&gt;0),SUMIFS(SF_Output!$S$1:$S$400,SF_Output!$AC$1:$AC$400,_xlfn.TEXTJOIN(",",TRUE,B262:E262),SF_Output!$Q$1:$Q$400,"monthly"),AND(B262&lt;&gt;"",H262&lt;&gt;SF_Output!$Y$2),SUMIFS(SF_Output!$S$1:$S$400,SF_Output!$AC$1:$AC$400,_xlfn.TEXTJOIN(",",TRUE,B262:E262),SF_Output!$Q$1:$Q$400,"monthly"))</f>
        <v/>
      </c>
      <c r="W262" s="112" t="str" cm="1">
        <f t="array" ref="W262">_xlfn.IFS(OR(B262=0,B262="",V262=0),"",AF262&lt;&gt;"exclusion",MAX($W$9,$W$7,(-(SUMIFS(SF_Output!$T$1:$T$400,SF_Output!$AC$1:$AC$400,_xlfn.TEXTJOIN(",",TRUE,$B262:$E262),SF_Output!$Q$1:$Q$400,"monthly"))/V262)),AF262="exclusion",-(SUMIFS(SF_Output!$T$1:$T$400,SF_Output!$AC$1:$AC$400,_xlfn.TEXTJOIN(",",TRUE,$B262:$E262),SF_Output!$Q$1:$Q$400,"monthly"))/V262)</f>
        <v/>
      </c>
      <c r="X262" s="6" t="str" cm="1">
        <f t="array" ref="X262">IFERROR(_xlfn.IFS(V262=0,0,V262="","",W262=0,V262,OR(V262&lt;&gt;0,V262&lt;&gt;""),H262*I262),V262*(1-W262))</f>
        <v/>
      </c>
    </row>
    <row r="263" spans="6:24" x14ac:dyDescent="0.25">
      <c r="F263" s="116" t="str">
        <f t="shared" si="16"/>
        <v/>
      </c>
      <c r="G263" t="str">
        <f>IF(B263="","",INDEX(SF_Output!$K$1:$K$400,MATCH(B263,SF_Output!$M$1:$M$400,0)))</f>
        <v/>
      </c>
      <c r="H263" t="str" cm="1">
        <f t="array" ref="H263">_xlfn.IFS(B263="","",(SUMIFS(SF_Output!$F$1:$F$400,SF_Output!$AC$1:$AC$400,_xlfn.TEXTJOIN(",",TRUE,B263:E263))+SUMIFS(SF_Output!$G$1:$G$400,SF_Output!$AC$1:$AC$400,_xlfn.TEXTJOIN(",",TRUE,B263:E263)))&lt;&gt;0,SF_Output!$Y$2,INDEX(SF_Output!$F$1:$F$400,MATCH(_xlfn.TEXTJOIN(",",TRUE,B263:E263),SF_Output!$AC$1:$AC$400,0))=0,INDEX(SF_Output!$R$1:$R$400,MATCH(_xlfn.TEXTJOIN(",",TRUE,B263:E263),SF_Output!$AC$1:$AC$400,0)))</f>
        <v/>
      </c>
      <c r="I263" s="125" t="str">
        <f>IFERROR(IF(AND(H263&gt;1,H263&lt;&gt;""),ROUND(SUMIFS(SF_Output!$S$1:$S$400,SF_Output!$AC$1:$AC$400,_xlfn.TEXTJOIN(",",TRUE,B263:E263),SF_Output!$Q$1:$Q$400,"monthly")*(1-W263)/H263,4),""),"")</f>
        <v/>
      </c>
      <c r="J263" s="6" t="str">
        <f>IF(B263="","",SUMIFS(SF_Output!$S$1:$S$400,SF_Output!$AC$1:$AC$400,_xlfn.TEXTJOIN(",",TRUE,B263:E263),SF_Output!$Q$1:$Q$400,"One Time",SF_Output!$L$1:$L$400,"license fee")+SUMIFS(SF_Output!$S$1:$S$400,SF_Output!$AC$1:$AC$400,_xlfn.TEXTJOIN(",",TRUE,B263:E263),SF_Output!$Q$1:$Q$400,"One Time",SF_Output!$L$1:$L$400,"software license")+SUMIFS(SF_Output!$S$1:$S$400,SF_Output!$AC$1:$AC$400,_xlfn.TEXTJOIN(",",TRUE,B263:E263),SF_Output!$Q$1:$Q$400,"One Time",SF_Output!$L$1:$L$400,"hardware"))</f>
        <v/>
      </c>
      <c r="K263" s="112" t="str">
        <f>IF(OR(B263=0,B263="",G263="hardware",J263=0),"",IF(AF263&lt;&gt;"exclusion",MAX(K$9,-((SUMIFS(SF_Output!$T$1:$T$400,SF_Output!$AC$1:$AC$400,_xlfn.TEXTJOIN(",",TRUE,$B263:$E263),SF_Output!$Q$1:$Q$400,"One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license"))/J263)))</f>
        <v/>
      </c>
      <c r="L263" s="6" t="str">
        <f t="shared" si="17"/>
        <v/>
      </c>
      <c r="N263" s="6" t="str">
        <f>IF(B263="","",SUMIFS(SF_Output!$S$1:$S$400,SF_Output!$AC$1:$AC$400,_xlfn.TEXTJOIN(",",TRUE,B263:E263),SF_Output!$Q$1:$Q$400,"One Time",SF_Output!$L$1:$L$400,"professional service"))</f>
        <v/>
      </c>
      <c r="O263" s="112" t="str">
        <f>IF(OR(B263=0,B263="",N263=0),"",IF(AF263&lt;&gt;"exclusion",MAX(O$9,-(SUMIFS(SF_Output!$T$1:$T$400,SF_Output!$AC$1:$AC$400,_xlfn.TEXTJOIN(",",TRUE,$B263:$E263),SF_Output!$Q$1:$Q$400,"One Time",SF_Output!$L$1:$L$400,"professional service"))/N263),-((SUMIFS(SF_Output!$T$1:$T$400,SF_Output!$AC$1:$AC$400,_xlfn.TEXTJOIN(",",TRUE,$B263:$E263),SF_Output!$Q$1:$Q$400,"One Time",SF_Output!$L$1:$L$400,"professional service")/N263))))</f>
        <v/>
      </c>
      <c r="P263" s="6" t="str">
        <f t="shared" si="18"/>
        <v/>
      </c>
      <c r="R263" s="6" t="str">
        <f>IF(B263="","",SUMIFS(SF_Output!$S$1:$S$400,SF_Output!$AC$1:$AC$400,_xlfn.TEXTJOIN(",",TRUE,B263:E263),SF_Output!$Q$1:$Q$400,"yearly")+SUMIFS(SF_Output!$S$1:$S$400,SF_Output!$AC$1:$AC$400,_xlfn.TEXTJOIN(",",TRUE,B263:E263),SF_Output!$Q$1:$Q$400,"quarterly")*4)</f>
        <v/>
      </c>
      <c r="S263" s="112" t="str">
        <f>IF(OR(B263=0,B263="",G263="hardware",R263=0),"",IF(AF263&lt;&gt;"exclusion",MAX(S$9,-(SUMIFS(SF_Output!$T$1:$T$400,SF_Output!$AC$1:$AC$400,_xlfn.TEXTJOIN(",",TRUE,$B263:$E263),SF_Output!$Q$1:$Q$400,"yearly"))/R263),-((SUMIFS(SF_Output!$T$1:$T$400,SF_Output!$AC$1:$AC$400,_xlfn.TEXTJOIN(",",TRUE,$B263:$E263),SF_Output!$Q$1:$Q$400,"yearly")/R263))))</f>
        <v/>
      </c>
      <c r="T263" s="6" t="str">
        <f t="shared" si="19"/>
        <v/>
      </c>
      <c r="V263" s="6" t="str" cm="1">
        <f t="array" ref="V263">_xlfn.IFS(B263="","",AND(B263&lt;&gt;"",H263=SF_Output!$Y$2,SUMIFS(SF_Output!$T$1:$T$400,SF_Output!$AC$1:$AC$400,_xlfn.TEXTJOIN(",",TRUE,B263:E263),SF_Output!$Q$1:$Q$400,"monthly")=0),(SUMIFS(SF_Output!$F$1:$F$400,SF_Output!$AC$1:$AC$400,_xlfn.TEXTJOIN(",",TRUE,B263:E263),SF_Output!$Q$1:$Q$400,"monthly")+SUMIFS(SF_Output!$G$1:$G$400,SF_Output!$AC$1:$AC$400,_xlfn.TEXTJOIN(",",TRUE,B263:E263),SF_Output!$Q$1:$Q$400,"monthly"))*H263,AND(B263&lt;&gt;"",H263=SF_Output!$Y$2,SUMIFS(SF_Output!$T$1:$T$400,SF_Output!$AC$1:$AC$400,_xlfn.TEXTJOIN(",",TRUE,B263:E263),SF_Output!$Q$1:$Q$400,"monthly")&lt;&gt;0),SUMIFS(SF_Output!$S$1:$S$400,SF_Output!$AC$1:$AC$400,_xlfn.TEXTJOIN(",",TRUE,B263:E263),SF_Output!$Q$1:$Q$400,"monthly"),AND(B263&lt;&gt;"",H263&lt;&gt;SF_Output!$Y$2),SUMIFS(SF_Output!$S$1:$S$400,SF_Output!$AC$1:$AC$400,_xlfn.TEXTJOIN(",",TRUE,B263:E263),SF_Output!$Q$1:$Q$400,"monthly"))</f>
        <v/>
      </c>
      <c r="W263" s="112" t="str" cm="1">
        <f t="array" ref="W263">_xlfn.IFS(OR(B263=0,B263="",V263=0),"",AF263&lt;&gt;"exclusion",MAX($W$9,$W$7,(-(SUMIFS(SF_Output!$T$1:$T$400,SF_Output!$AC$1:$AC$400,_xlfn.TEXTJOIN(",",TRUE,$B263:$E263),SF_Output!$Q$1:$Q$400,"monthly"))/V263)),AF263="exclusion",-(SUMIFS(SF_Output!$T$1:$T$400,SF_Output!$AC$1:$AC$400,_xlfn.TEXTJOIN(",",TRUE,$B263:$E263),SF_Output!$Q$1:$Q$400,"monthly"))/V263)</f>
        <v/>
      </c>
      <c r="X263" s="6" t="str" cm="1">
        <f t="array" ref="X263">IFERROR(_xlfn.IFS(V263=0,0,V263="","",W263=0,V263,OR(V263&lt;&gt;0,V263&lt;&gt;""),H263*I263),V263*(1-W263))</f>
        <v/>
      </c>
    </row>
    <row r="264" spans="6:24" x14ac:dyDescent="0.25">
      <c r="F264" s="116" t="str">
        <f t="shared" si="16"/>
        <v/>
      </c>
      <c r="G264" t="str">
        <f>IF(B264="","",INDEX(SF_Output!$K$1:$K$400,MATCH(B264,SF_Output!$M$1:$M$400,0)))</f>
        <v/>
      </c>
      <c r="H264" t="str" cm="1">
        <f t="array" ref="H264">_xlfn.IFS(B264="","",(SUMIFS(SF_Output!$F$1:$F$400,SF_Output!$AC$1:$AC$400,_xlfn.TEXTJOIN(",",TRUE,B264:E264))+SUMIFS(SF_Output!$G$1:$G$400,SF_Output!$AC$1:$AC$400,_xlfn.TEXTJOIN(",",TRUE,B264:E264)))&lt;&gt;0,SF_Output!$Y$2,INDEX(SF_Output!$F$1:$F$400,MATCH(_xlfn.TEXTJOIN(",",TRUE,B264:E264),SF_Output!$AC$1:$AC$400,0))=0,INDEX(SF_Output!$R$1:$R$400,MATCH(_xlfn.TEXTJOIN(",",TRUE,B264:E264),SF_Output!$AC$1:$AC$400,0)))</f>
        <v/>
      </c>
      <c r="I264" s="125" t="str">
        <f>IFERROR(IF(AND(H264&gt;1,H264&lt;&gt;""),ROUND(SUMIFS(SF_Output!$S$1:$S$400,SF_Output!$AC$1:$AC$400,_xlfn.TEXTJOIN(",",TRUE,B264:E264),SF_Output!$Q$1:$Q$400,"monthly")*(1-W264)/H264,4),""),"")</f>
        <v/>
      </c>
      <c r="J264" s="6" t="str">
        <f>IF(B264="","",SUMIFS(SF_Output!$S$1:$S$400,SF_Output!$AC$1:$AC$400,_xlfn.TEXTJOIN(",",TRUE,B264:E264),SF_Output!$Q$1:$Q$400,"One Time",SF_Output!$L$1:$L$400,"license fee")+SUMIFS(SF_Output!$S$1:$S$400,SF_Output!$AC$1:$AC$400,_xlfn.TEXTJOIN(",",TRUE,B264:E264),SF_Output!$Q$1:$Q$400,"One Time",SF_Output!$L$1:$L$400,"software license")+SUMIFS(SF_Output!$S$1:$S$400,SF_Output!$AC$1:$AC$400,_xlfn.TEXTJOIN(",",TRUE,B264:E264),SF_Output!$Q$1:$Q$400,"One Time",SF_Output!$L$1:$L$400,"hardware"))</f>
        <v/>
      </c>
      <c r="K264" s="112" t="str">
        <f>IF(OR(B264=0,B264="",G264="hardware",J264=0),"",IF(AF264&lt;&gt;"exclusion",MAX(K$9,-((SUMIFS(SF_Output!$T$1:$T$400,SF_Output!$AC$1:$AC$400,_xlfn.TEXTJOIN(",",TRUE,$B264:$E264),SF_Output!$Q$1:$Q$400,"One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license"))/J264)))</f>
        <v/>
      </c>
      <c r="L264" s="6" t="str">
        <f t="shared" si="17"/>
        <v/>
      </c>
      <c r="N264" s="6" t="str">
        <f>IF(B264="","",SUMIFS(SF_Output!$S$1:$S$400,SF_Output!$AC$1:$AC$400,_xlfn.TEXTJOIN(",",TRUE,B264:E264),SF_Output!$Q$1:$Q$400,"One Time",SF_Output!$L$1:$L$400,"professional service"))</f>
        <v/>
      </c>
      <c r="O264" s="112" t="str">
        <f>IF(OR(B264=0,B264="",N264=0),"",IF(AF264&lt;&gt;"exclusion",MAX(O$9,-(SUMIFS(SF_Output!$T$1:$T$400,SF_Output!$AC$1:$AC$400,_xlfn.TEXTJOIN(",",TRUE,$B264:$E264),SF_Output!$Q$1:$Q$400,"One Time",SF_Output!$L$1:$L$400,"professional service"))/N264),-((SUMIFS(SF_Output!$T$1:$T$400,SF_Output!$AC$1:$AC$400,_xlfn.TEXTJOIN(",",TRUE,$B264:$E264),SF_Output!$Q$1:$Q$400,"One Time",SF_Output!$L$1:$L$400,"professional service")/N264))))</f>
        <v/>
      </c>
      <c r="P264" s="6" t="str">
        <f t="shared" si="18"/>
        <v/>
      </c>
      <c r="R264" s="6" t="str">
        <f>IF(B264="","",SUMIFS(SF_Output!$S$1:$S$400,SF_Output!$AC$1:$AC$400,_xlfn.TEXTJOIN(",",TRUE,B264:E264),SF_Output!$Q$1:$Q$400,"yearly")+SUMIFS(SF_Output!$S$1:$S$400,SF_Output!$AC$1:$AC$400,_xlfn.TEXTJOIN(",",TRUE,B264:E264),SF_Output!$Q$1:$Q$400,"quarterly")*4)</f>
        <v/>
      </c>
      <c r="S264" s="112" t="str">
        <f>IF(OR(B264=0,B264="",G264="hardware",R264=0),"",IF(AF264&lt;&gt;"exclusion",MAX(S$9,-(SUMIFS(SF_Output!$T$1:$T$400,SF_Output!$AC$1:$AC$400,_xlfn.TEXTJOIN(",",TRUE,$B264:$E264),SF_Output!$Q$1:$Q$400,"yearly"))/R264),-((SUMIFS(SF_Output!$T$1:$T$400,SF_Output!$AC$1:$AC$400,_xlfn.TEXTJOIN(",",TRUE,$B264:$E264),SF_Output!$Q$1:$Q$400,"yearly")/R264))))</f>
        <v/>
      </c>
      <c r="T264" s="6" t="str">
        <f t="shared" si="19"/>
        <v/>
      </c>
      <c r="V264" s="6" t="str" cm="1">
        <f t="array" ref="V264">_xlfn.IFS(B264="","",AND(B264&lt;&gt;"",H264=SF_Output!$Y$2,SUMIFS(SF_Output!$T$1:$T$400,SF_Output!$AC$1:$AC$400,_xlfn.TEXTJOIN(",",TRUE,B264:E264),SF_Output!$Q$1:$Q$400,"monthly")=0),(SUMIFS(SF_Output!$F$1:$F$400,SF_Output!$AC$1:$AC$400,_xlfn.TEXTJOIN(",",TRUE,B264:E264),SF_Output!$Q$1:$Q$400,"monthly")+SUMIFS(SF_Output!$G$1:$G$400,SF_Output!$AC$1:$AC$400,_xlfn.TEXTJOIN(",",TRUE,B264:E264),SF_Output!$Q$1:$Q$400,"monthly"))*H264,AND(B264&lt;&gt;"",H264=SF_Output!$Y$2,SUMIFS(SF_Output!$T$1:$T$400,SF_Output!$AC$1:$AC$400,_xlfn.TEXTJOIN(",",TRUE,B264:E264),SF_Output!$Q$1:$Q$400,"monthly")&lt;&gt;0),SUMIFS(SF_Output!$S$1:$S$400,SF_Output!$AC$1:$AC$400,_xlfn.TEXTJOIN(",",TRUE,B264:E264),SF_Output!$Q$1:$Q$400,"monthly"),AND(B264&lt;&gt;"",H264&lt;&gt;SF_Output!$Y$2),SUMIFS(SF_Output!$S$1:$S$400,SF_Output!$AC$1:$AC$400,_xlfn.TEXTJOIN(",",TRUE,B264:E264),SF_Output!$Q$1:$Q$400,"monthly"))</f>
        <v/>
      </c>
      <c r="W264" s="112" t="str" cm="1">
        <f t="array" ref="W264">_xlfn.IFS(OR(B264=0,B264="",V264=0),"",AF264&lt;&gt;"exclusion",MAX($W$9,$W$7,(-(SUMIFS(SF_Output!$T$1:$T$400,SF_Output!$AC$1:$AC$400,_xlfn.TEXTJOIN(",",TRUE,$B264:$E264),SF_Output!$Q$1:$Q$400,"monthly"))/V264)),AF264="exclusion",-(SUMIFS(SF_Output!$T$1:$T$400,SF_Output!$AC$1:$AC$400,_xlfn.TEXTJOIN(",",TRUE,$B264:$E264),SF_Output!$Q$1:$Q$400,"monthly"))/V264)</f>
        <v/>
      </c>
      <c r="X264" s="6" t="str" cm="1">
        <f t="array" ref="X264">IFERROR(_xlfn.IFS(V264=0,0,V264="","",W264=0,V264,OR(V264&lt;&gt;0,V264&lt;&gt;""),H264*I264),V264*(1-W264))</f>
        <v/>
      </c>
    </row>
    <row r="265" spans="6:24" x14ac:dyDescent="0.25">
      <c r="F265" s="116" t="str">
        <f t="shared" si="16"/>
        <v/>
      </c>
      <c r="G265" t="str">
        <f>IF(B265="","",INDEX(SF_Output!$K$1:$K$400,MATCH(B265,SF_Output!$M$1:$M$400,0)))</f>
        <v/>
      </c>
      <c r="H265" t="str" cm="1">
        <f t="array" ref="H265">_xlfn.IFS(B265="","",(SUMIFS(SF_Output!$F$1:$F$400,SF_Output!$AC$1:$AC$400,_xlfn.TEXTJOIN(",",TRUE,B265:E265))+SUMIFS(SF_Output!$G$1:$G$400,SF_Output!$AC$1:$AC$400,_xlfn.TEXTJOIN(",",TRUE,B265:E265)))&lt;&gt;0,SF_Output!$Y$2,INDEX(SF_Output!$F$1:$F$400,MATCH(_xlfn.TEXTJOIN(",",TRUE,B265:E265),SF_Output!$AC$1:$AC$400,0))=0,INDEX(SF_Output!$R$1:$R$400,MATCH(_xlfn.TEXTJOIN(",",TRUE,B265:E265),SF_Output!$AC$1:$AC$400,0)))</f>
        <v/>
      </c>
      <c r="I265" s="125" t="str">
        <f>IFERROR(IF(AND(H265&gt;1,H265&lt;&gt;""),ROUND(SUMIFS(SF_Output!$S$1:$S$400,SF_Output!$AC$1:$AC$400,_xlfn.TEXTJOIN(",",TRUE,B265:E265),SF_Output!$Q$1:$Q$400,"monthly")*(1-W265)/H265,4),""),"")</f>
        <v/>
      </c>
      <c r="J265" s="6" t="str">
        <f>IF(B265="","",SUMIFS(SF_Output!$S$1:$S$400,SF_Output!$AC$1:$AC$400,_xlfn.TEXTJOIN(",",TRUE,B265:E265),SF_Output!$Q$1:$Q$400,"One Time",SF_Output!$L$1:$L$400,"license fee")+SUMIFS(SF_Output!$S$1:$S$400,SF_Output!$AC$1:$AC$400,_xlfn.TEXTJOIN(",",TRUE,B265:E265),SF_Output!$Q$1:$Q$400,"One Time",SF_Output!$L$1:$L$400,"software license")+SUMIFS(SF_Output!$S$1:$S$400,SF_Output!$AC$1:$AC$400,_xlfn.TEXTJOIN(",",TRUE,B265:E265),SF_Output!$Q$1:$Q$400,"One Time",SF_Output!$L$1:$L$400,"hardware"))</f>
        <v/>
      </c>
      <c r="K265" s="112" t="str">
        <f>IF(OR(B265=0,B265="",G265="hardware",J265=0),"",IF(AF265&lt;&gt;"exclusion",MAX(K$9,-((SUMIFS(SF_Output!$T$1:$T$400,SF_Output!$AC$1:$AC$400,_xlfn.TEXTJOIN(",",TRUE,$B265:$E265),SF_Output!$Q$1:$Q$400,"One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license"))/J265)))</f>
        <v/>
      </c>
      <c r="L265" s="6" t="str">
        <f t="shared" si="17"/>
        <v/>
      </c>
      <c r="N265" s="6" t="str">
        <f>IF(B265="","",SUMIFS(SF_Output!$S$1:$S$400,SF_Output!$AC$1:$AC$400,_xlfn.TEXTJOIN(",",TRUE,B265:E265),SF_Output!$Q$1:$Q$400,"One Time",SF_Output!$L$1:$L$400,"professional service"))</f>
        <v/>
      </c>
      <c r="O265" s="112" t="str">
        <f>IF(OR(B265=0,B265="",N265=0),"",IF(AF265&lt;&gt;"exclusion",MAX(O$9,-(SUMIFS(SF_Output!$T$1:$T$400,SF_Output!$AC$1:$AC$400,_xlfn.TEXTJOIN(",",TRUE,$B265:$E265),SF_Output!$Q$1:$Q$400,"One Time",SF_Output!$L$1:$L$400,"professional service"))/N265),-((SUMIFS(SF_Output!$T$1:$T$400,SF_Output!$AC$1:$AC$400,_xlfn.TEXTJOIN(",",TRUE,$B265:$E265),SF_Output!$Q$1:$Q$400,"One Time",SF_Output!$L$1:$L$400,"professional service")/N265))))</f>
        <v/>
      </c>
      <c r="P265" s="6" t="str">
        <f t="shared" si="18"/>
        <v/>
      </c>
      <c r="R265" s="6" t="str">
        <f>IF(B265="","",SUMIFS(SF_Output!$S$1:$S$400,SF_Output!$AC$1:$AC$400,_xlfn.TEXTJOIN(",",TRUE,B265:E265),SF_Output!$Q$1:$Q$400,"yearly")+SUMIFS(SF_Output!$S$1:$S$400,SF_Output!$AC$1:$AC$400,_xlfn.TEXTJOIN(",",TRUE,B265:E265),SF_Output!$Q$1:$Q$400,"quarterly")*4)</f>
        <v/>
      </c>
      <c r="S265" s="112" t="str">
        <f>IF(OR(B265=0,B265="",G265="hardware",R265=0),"",IF(AF265&lt;&gt;"exclusion",MAX(S$9,-(SUMIFS(SF_Output!$T$1:$T$400,SF_Output!$AC$1:$AC$400,_xlfn.TEXTJOIN(",",TRUE,$B265:$E265),SF_Output!$Q$1:$Q$400,"yearly"))/R265),-((SUMIFS(SF_Output!$T$1:$T$400,SF_Output!$AC$1:$AC$400,_xlfn.TEXTJOIN(",",TRUE,$B265:$E265),SF_Output!$Q$1:$Q$400,"yearly")/R265))))</f>
        <v/>
      </c>
      <c r="T265" s="6" t="str">
        <f t="shared" si="19"/>
        <v/>
      </c>
      <c r="V265" s="6" t="str" cm="1">
        <f t="array" ref="V265">_xlfn.IFS(B265="","",AND(B265&lt;&gt;"",H265=SF_Output!$Y$2,SUMIFS(SF_Output!$T$1:$T$400,SF_Output!$AC$1:$AC$400,_xlfn.TEXTJOIN(",",TRUE,B265:E265),SF_Output!$Q$1:$Q$400,"monthly")=0),(SUMIFS(SF_Output!$F$1:$F$400,SF_Output!$AC$1:$AC$400,_xlfn.TEXTJOIN(",",TRUE,B265:E265),SF_Output!$Q$1:$Q$400,"monthly")+SUMIFS(SF_Output!$G$1:$G$400,SF_Output!$AC$1:$AC$400,_xlfn.TEXTJOIN(",",TRUE,B265:E265),SF_Output!$Q$1:$Q$400,"monthly"))*H265,AND(B265&lt;&gt;"",H265=SF_Output!$Y$2,SUMIFS(SF_Output!$T$1:$T$400,SF_Output!$AC$1:$AC$400,_xlfn.TEXTJOIN(",",TRUE,B265:E265),SF_Output!$Q$1:$Q$400,"monthly")&lt;&gt;0),SUMIFS(SF_Output!$S$1:$S$400,SF_Output!$AC$1:$AC$400,_xlfn.TEXTJOIN(",",TRUE,B265:E265),SF_Output!$Q$1:$Q$400,"monthly"),AND(B265&lt;&gt;"",H265&lt;&gt;SF_Output!$Y$2),SUMIFS(SF_Output!$S$1:$S$400,SF_Output!$AC$1:$AC$400,_xlfn.TEXTJOIN(",",TRUE,B265:E265),SF_Output!$Q$1:$Q$400,"monthly"))</f>
        <v/>
      </c>
      <c r="W265" s="112" t="str" cm="1">
        <f t="array" ref="W265">_xlfn.IFS(OR(B265=0,B265="",V265=0),"",AF265&lt;&gt;"exclusion",MAX($W$9,$W$7,(-(SUMIFS(SF_Output!$T$1:$T$400,SF_Output!$AC$1:$AC$400,_xlfn.TEXTJOIN(",",TRUE,$B265:$E265),SF_Output!$Q$1:$Q$400,"monthly"))/V265)),AF265="exclusion",-(SUMIFS(SF_Output!$T$1:$T$400,SF_Output!$AC$1:$AC$400,_xlfn.TEXTJOIN(",",TRUE,$B265:$E265),SF_Output!$Q$1:$Q$400,"monthly"))/V265)</f>
        <v/>
      </c>
      <c r="X265" s="6" t="str" cm="1">
        <f t="array" ref="X265">IFERROR(_xlfn.IFS(V265=0,0,V265="","",W265=0,V265,OR(V265&lt;&gt;0,V265&lt;&gt;""),H265*I265),V265*(1-W265))</f>
        <v/>
      </c>
    </row>
    <row r="266" spans="6:24" x14ac:dyDescent="0.25">
      <c r="F266" s="116" t="str">
        <f t="shared" si="16"/>
        <v/>
      </c>
      <c r="G266" t="str">
        <f>IF(B266="","",INDEX(SF_Output!$K$1:$K$400,MATCH(B266,SF_Output!$M$1:$M$400,0)))</f>
        <v/>
      </c>
      <c r="H266" t="str" cm="1">
        <f t="array" ref="H266">_xlfn.IFS(B266="","",(SUMIFS(SF_Output!$F$1:$F$400,SF_Output!$AC$1:$AC$400,_xlfn.TEXTJOIN(",",TRUE,B266:E266))+SUMIFS(SF_Output!$G$1:$G$400,SF_Output!$AC$1:$AC$400,_xlfn.TEXTJOIN(",",TRUE,B266:E266)))&lt;&gt;0,SF_Output!$Y$2,INDEX(SF_Output!$F$1:$F$400,MATCH(_xlfn.TEXTJOIN(",",TRUE,B266:E266),SF_Output!$AC$1:$AC$400,0))=0,INDEX(SF_Output!$R$1:$R$400,MATCH(_xlfn.TEXTJOIN(",",TRUE,B266:E266),SF_Output!$AC$1:$AC$400,0)))</f>
        <v/>
      </c>
      <c r="I266" s="125" t="str">
        <f>IFERROR(IF(AND(H266&gt;1,H266&lt;&gt;""),ROUND(SUMIFS(SF_Output!$S$1:$S$400,SF_Output!$AC$1:$AC$400,_xlfn.TEXTJOIN(",",TRUE,B266:E266),SF_Output!$Q$1:$Q$400,"monthly")*(1-W266)/H266,4),""),"")</f>
        <v/>
      </c>
      <c r="J266" s="6" t="str">
        <f>IF(B266="","",SUMIFS(SF_Output!$S$1:$S$400,SF_Output!$AC$1:$AC$400,_xlfn.TEXTJOIN(",",TRUE,B266:E266),SF_Output!$Q$1:$Q$400,"One Time",SF_Output!$L$1:$L$400,"license fee")+SUMIFS(SF_Output!$S$1:$S$400,SF_Output!$AC$1:$AC$400,_xlfn.TEXTJOIN(",",TRUE,B266:E266),SF_Output!$Q$1:$Q$400,"One Time",SF_Output!$L$1:$L$400,"software license")+SUMIFS(SF_Output!$S$1:$S$400,SF_Output!$AC$1:$AC$400,_xlfn.TEXTJOIN(",",TRUE,B266:E266),SF_Output!$Q$1:$Q$400,"One Time",SF_Output!$L$1:$L$400,"hardware"))</f>
        <v/>
      </c>
      <c r="K266" s="112" t="str">
        <f>IF(OR(B266=0,B266="",G266="hardware",J266=0),"",IF(AF266&lt;&gt;"exclusion",MAX(K$9,-((SUMIFS(SF_Output!$T$1:$T$400,SF_Output!$AC$1:$AC$400,_xlfn.TEXTJOIN(",",TRUE,$B266:$E266),SF_Output!$Q$1:$Q$400,"One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license"))/J266)))</f>
        <v/>
      </c>
      <c r="L266" s="6" t="str">
        <f t="shared" si="17"/>
        <v/>
      </c>
      <c r="N266" s="6" t="str">
        <f>IF(B266="","",SUMIFS(SF_Output!$S$1:$S$400,SF_Output!$AC$1:$AC$400,_xlfn.TEXTJOIN(",",TRUE,B266:E266),SF_Output!$Q$1:$Q$400,"One Time",SF_Output!$L$1:$L$400,"professional service"))</f>
        <v/>
      </c>
      <c r="O266" s="112" t="str">
        <f>IF(OR(B266=0,B266="",N266=0),"",IF(AF266&lt;&gt;"exclusion",MAX(O$9,-(SUMIFS(SF_Output!$T$1:$T$400,SF_Output!$AC$1:$AC$400,_xlfn.TEXTJOIN(",",TRUE,$B266:$E266),SF_Output!$Q$1:$Q$400,"One Time",SF_Output!$L$1:$L$400,"professional service"))/N266),-((SUMIFS(SF_Output!$T$1:$T$400,SF_Output!$AC$1:$AC$400,_xlfn.TEXTJOIN(",",TRUE,$B266:$E266),SF_Output!$Q$1:$Q$400,"One Time",SF_Output!$L$1:$L$400,"professional service")/N266))))</f>
        <v/>
      </c>
      <c r="P266" s="6" t="str">
        <f t="shared" si="18"/>
        <v/>
      </c>
      <c r="R266" s="6" t="str">
        <f>IF(B266="","",SUMIFS(SF_Output!$S$1:$S$400,SF_Output!$AC$1:$AC$400,_xlfn.TEXTJOIN(",",TRUE,B266:E266),SF_Output!$Q$1:$Q$400,"yearly")+SUMIFS(SF_Output!$S$1:$S$400,SF_Output!$AC$1:$AC$400,_xlfn.TEXTJOIN(",",TRUE,B266:E266),SF_Output!$Q$1:$Q$400,"quarterly")*4)</f>
        <v/>
      </c>
      <c r="S266" s="112" t="str">
        <f>IF(OR(B266=0,B266="",G266="hardware",R266=0),"",IF(AF266&lt;&gt;"exclusion",MAX(S$9,-(SUMIFS(SF_Output!$T$1:$T$400,SF_Output!$AC$1:$AC$400,_xlfn.TEXTJOIN(",",TRUE,$B266:$E266),SF_Output!$Q$1:$Q$400,"yearly"))/R266),-((SUMIFS(SF_Output!$T$1:$T$400,SF_Output!$AC$1:$AC$400,_xlfn.TEXTJOIN(",",TRUE,$B266:$E266),SF_Output!$Q$1:$Q$400,"yearly")/R266))))</f>
        <v/>
      </c>
      <c r="T266" s="6" t="str">
        <f t="shared" si="19"/>
        <v/>
      </c>
      <c r="V266" s="6" t="str" cm="1">
        <f t="array" ref="V266">_xlfn.IFS(B266="","",AND(B266&lt;&gt;"",H266=SF_Output!$Y$2,SUMIFS(SF_Output!$T$1:$T$400,SF_Output!$AC$1:$AC$400,_xlfn.TEXTJOIN(",",TRUE,B266:E266),SF_Output!$Q$1:$Q$400,"monthly")=0),(SUMIFS(SF_Output!$F$1:$F$400,SF_Output!$AC$1:$AC$400,_xlfn.TEXTJOIN(",",TRUE,B266:E266),SF_Output!$Q$1:$Q$400,"monthly")+SUMIFS(SF_Output!$G$1:$G$400,SF_Output!$AC$1:$AC$400,_xlfn.TEXTJOIN(",",TRUE,B266:E266),SF_Output!$Q$1:$Q$400,"monthly"))*H266,AND(B266&lt;&gt;"",H266=SF_Output!$Y$2,SUMIFS(SF_Output!$T$1:$T$400,SF_Output!$AC$1:$AC$400,_xlfn.TEXTJOIN(",",TRUE,B266:E266),SF_Output!$Q$1:$Q$400,"monthly")&lt;&gt;0),SUMIFS(SF_Output!$S$1:$S$400,SF_Output!$AC$1:$AC$400,_xlfn.TEXTJOIN(",",TRUE,B266:E266),SF_Output!$Q$1:$Q$400,"monthly"),AND(B266&lt;&gt;"",H266&lt;&gt;SF_Output!$Y$2),SUMIFS(SF_Output!$S$1:$S$400,SF_Output!$AC$1:$AC$400,_xlfn.TEXTJOIN(",",TRUE,B266:E266),SF_Output!$Q$1:$Q$400,"monthly"))</f>
        <v/>
      </c>
      <c r="W266" s="112" t="str" cm="1">
        <f t="array" ref="W266">_xlfn.IFS(OR(B266=0,B266="",V266=0),"",AF266&lt;&gt;"exclusion",MAX($W$9,$W$7,(-(SUMIFS(SF_Output!$T$1:$T$400,SF_Output!$AC$1:$AC$400,_xlfn.TEXTJOIN(",",TRUE,$B266:$E266),SF_Output!$Q$1:$Q$400,"monthly"))/V266)),AF266="exclusion",-(SUMIFS(SF_Output!$T$1:$T$400,SF_Output!$AC$1:$AC$400,_xlfn.TEXTJOIN(",",TRUE,$B266:$E266),SF_Output!$Q$1:$Q$400,"monthly"))/V266)</f>
        <v/>
      </c>
      <c r="X266" s="6" t="str" cm="1">
        <f t="array" ref="X266">IFERROR(_xlfn.IFS(V266=0,0,V266="","",W266=0,V266,OR(V266&lt;&gt;0,V266&lt;&gt;""),H266*I266),V266*(1-W266))</f>
        <v/>
      </c>
    </row>
    <row r="267" spans="6:24" x14ac:dyDescent="0.25">
      <c r="F267" s="116" t="str">
        <f t="shared" si="16"/>
        <v/>
      </c>
      <c r="G267" t="str">
        <f>IF(B267="","",INDEX(SF_Output!$K$1:$K$400,MATCH(B267,SF_Output!$M$1:$M$400,0)))</f>
        <v/>
      </c>
      <c r="H267" t="str" cm="1">
        <f t="array" ref="H267">_xlfn.IFS(B267="","",(SUMIFS(SF_Output!$F$1:$F$400,SF_Output!$AC$1:$AC$400,_xlfn.TEXTJOIN(",",TRUE,B267:E267))+SUMIFS(SF_Output!$G$1:$G$400,SF_Output!$AC$1:$AC$400,_xlfn.TEXTJOIN(",",TRUE,B267:E267)))&lt;&gt;0,SF_Output!$Y$2,INDEX(SF_Output!$F$1:$F$400,MATCH(_xlfn.TEXTJOIN(",",TRUE,B267:E267),SF_Output!$AC$1:$AC$400,0))=0,INDEX(SF_Output!$R$1:$R$400,MATCH(_xlfn.TEXTJOIN(",",TRUE,B267:E267),SF_Output!$AC$1:$AC$400,0)))</f>
        <v/>
      </c>
      <c r="I267" s="125" t="str">
        <f>IFERROR(IF(AND(H267&gt;1,H267&lt;&gt;""),ROUND(SUMIFS(SF_Output!$S$1:$S$400,SF_Output!$AC$1:$AC$400,_xlfn.TEXTJOIN(",",TRUE,B267:E267),SF_Output!$Q$1:$Q$400,"monthly")*(1-W267)/H267,4),""),"")</f>
        <v/>
      </c>
      <c r="J267" s="6" t="str">
        <f>IF(B267="","",SUMIFS(SF_Output!$S$1:$S$400,SF_Output!$AC$1:$AC$400,_xlfn.TEXTJOIN(",",TRUE,B267:E267),SF_Output!$Q$1:$Q$400,"One Time",SF_Output!$L$1:$L$400,"license fee")+SUMIFS(SF_Output!$S$1:$S$400,SF_Output!$AC$1:$AC$400,_xlfn.TEXTJOIN(",",TRUE,B267:E267),SF_Output!$Q$1:$Q$400,"One Time",SF_Output!$L$1:$L$400,"software license")+SUMIFS(SF_Output!$S$1:$S$400,SF_Output!$AC$1:$AC$400,_xlfn.TEXTJOIN(",",TRUE,B267:E267),SF_Output!$Q$1:$Q$400,"One Time",SF_Output!$L$1:$L$400,"hardware"))</f>
        <v/>
      </c>
      <c r="K267" s="112" t="str">
        <f>IF(OR(B267=0,B267="",G267="hardware",J267=0),"",IF(AF267&lt;&gt;"exclusion",MAX(K$9,-((SUMIFS(SF_Output!$T$1:$T$400,SF_Output!$AC$1:$AC$400,_xlfn.TEXTJOIN(",",TRUE,$B267:$E267),SF_Output!$Q$1:$Q$400,"One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license"))/J267)))</f>
        <v/>
      </c>
      <c r="L267" s="6" t="str">
        <f t="shared" si="17"/>
        <v/>
      </c>
      <c r="N267" s="6" t="str">
        <f>IF(B267="","",SUMIFS(SF_Output!$S$1:$S$400,SF_Output!$AC$1:$AC$400,_xlfn.TEXTJOIN(",",TRUE,B267:E267),SF_Output!$Q$1:$Q$400,"One Time",SF_Output!$L$1:$L$400,"professional service"))</f>
        <v/>
      </c>
      <c r="O267" s="112" t="str">
        <f>IF(OR(B267=0,B267="",N267=0),"",IF(AF267&lt;&gt;"exclusion",MAX(O$9,-(SUMIFS(SF_Output!$T$1:$T$400,SF_Output!$AC$1:$AC$400,_xlfn.TEXTJOIN(",",TRUE,$B267:$E267),SF_Output!$Q$1:$Q$400,"One Time",SF_Output!$L$1:$L$400,"professional service"))/N267),-((SUMIFS(SF_Output!$T$1:$T$400,SF_Output!$AC$1:$AC$400,_xlfn.TEXTJOIN(",",TRUE,$B267:$E267),SF_Output!$Q$1:$Q$400,"One Time",SF_Output!$L$1:$L$400,"professional service")/N267))))</f>
        <v/>
      </c>
      <c r="P267" s="6" t="str">
        <f t="shared" si="18"/>
        <v/>
      </c>
      <c r="R267" s="6" t="str">
        <f>IF(B267="","",SUMIFS(SF_Output!$S$1:$S$400,SF_Output!$AC$1:$AC$400,_xlfn.TEXTJOIN(",",TRUE,B267:E267),SF_Output!$Q$1:$Q$400,"yearly")+SUMIFS(SF_Output!$S$1:$S$400,SF_Output!$AC$1:$AC$400,_xlfn.TEXTJOIN(",",TRUE,B267:E267),SF_Output!$Q$1:$Q$400,"quarterly")*4)</f>
        <v/>
      </c>
      <c r="S267" s="112" t="str">
        <f>IF(OR(B267=0,B267="",G267="hardware",R267=0),"",IF(AF267&lt;&gt;"exclusion",MAX(S$9,-(SUMIFS(SF_Output!$T$1:$T$400,SF_Output!$AC$1:$AC$400,_xlfn.TEXTJOIN(",",TRUE,$B267:$E267),SF_Output!$Q$1:$Q$400,"yearly"))/R267),-((SUMIFS(SF_Output!$T$1:$T$400,SF_Output!$AC$1:$AC$400,_xlfn.TEXTJOIN(",",TRUE,$B267:$E267),SF_Output!$Q$1:$Q$400,"yearly")/R267))))</f>
        <v/>
      </c>
      <c r="T267" s="6" t="str">
        <f t="shared" si="19"/>
        <v/>
      </c>
      <c r="V267" s="6" t="str" cm="1">
        <f t="array" ref="V267">_xlfn.IFS(B267="","",AND(B267&lt;&gt;"",H267=SF_Output!$Y$2,SUMIFS(SF_Output!$T$1:$T$400,SF_Output!$AC$1:$AC$400,_xlfn.TEXTJOIN(",",TRUE,B267:E267),SF_Output!$Q$1:$Q$400,"monthly")=0),(SUMIFS(SF_Output!$F$1:$F$400,SF_Output!$AC$1:$AC$400,_xlfn.TEXTJOIN(",",TRUE,B267:E267),SF_Output!$Q$1:$Q$400,"monthly")+SUMIFS(SF_Output!$G$1:$G$400,SF_Output!$AC$1:$AC$400,_xlfn.TEXTJOIN(",",TRUE,B267:E267),SF_Output!$Q$1:$Q$400,"monthly"))*H267,AND(B267&lt;&gt;"",H267=SF_Output!$Y$2,SUMIFS(SF_Output!$T$1:$T$400,SF_Output!$AC$1:$AC$400,_xlfn.TEXTJOIN(",",TRUE,B267:E267),SF_Output!$Q$1:$Q$400,"monthly")&lt;&gt;0),SUMIFS(SF_Output!$S$1:$S$400,SF_Output!$AC$1:$AC$400,_xlfn.TEXTJOIN(",",TRUE,B267:E267),SF_Output!$Q$1:$Q$400,"monthly"),AND(B267&lt;&gt;"",H267&lt;&gt;SF_Output!$Y$2),SUMIFS(SF_Output!$S$1:$S$400,SF_Output!$AC$1:$AC$400,_xlfn.TEXTJOIN(",",TRUE,B267:E267),SF_Output!$Q$1:$Q$400,"monthly"))</f>
        <v/>
      </c>
      <c r="W267" s="112" t="str" cm="1">
        <f t="array" ref="W267">_xlfn.IFS(OR(B267=0,B267="",V267=0),"",AF267&lt;&gt;"exclusion",MAX($W$9,$W$7,(-(SUMIFS(SF_Output!$T$1:$T$400,SF_Output!$AC$1:$AC$400,_xlfn.TEXTJOIN(",",TRUE,$B267:$E267),SF_Output!$Q$1:$Q$400,"monthly"))/V267)),AF267="exclusion",-(SUMIFS(SF_Output!$T$1:$T$400,SF_Output!$AC$1:$AC$400,_xlfn.TEXTJOIN(",",TRUE,$B267:$E267),SF_Output!$Q$1:$Q$400,"monthly"))/V267)</f>
        <v/>
      </c>
      <c r="X267" s="6" t="str" cm="1">
        <f t="array" ref="X267">IFERROR(_xlfn.IFS(V267=0,0,V267="","",W267=0,V267,OR(V267&lt;&gt;0,V267&lt;&gt;""),H267*I267),V267*(1-W267))</f>
        <v/>
      </c>
    </row>
    <row r="268" spans="6:24" x14ac:dyDescent="0.25">
      <c r="F268" s="116" t="str">
        <f t="shared" si="16"/>
        <v/>
      </c>
      <c r="G268" t="str">
        <f>IF(B268="","",INDEX(SF_Output!$K$1:$K$400,MATCH(B268,SF_Output!$M$1:$M$400,0)))</f>
        <v/>
      </c>
      <c r="H268" t="str" cm="1">
        <f t="array" ref="H268">_xlfn.IFS(B268="","",(SUMIFS(SF_Output!$F$1:$F$400,SF_Output!$AC$1:$AC$400,_xlfn.TEXTJOIN(",",TRUE,B268:E268))+SUMIFS(SF_Output!$G$1:$G$400,SF_Output!$AC$1:$AC$400,_xlfn.TEXTJOIN(",",TRUE,B268:E268)))&lt;&gt;0,SF_Output!$Y$2,INDEX(SF_Output!$F$1:$F$400,MATCH(_xlfn.TEXTJOIN(",",TRUE,B268:E268),SF_Output!$AC$1:$AC$400,0))=0,INDEX(SF_Output!$R$1:$R$400,MATCH(_xlfn.TEXTJOIN(",",TRUE,B268:E268),SF_Output!$AC$1:$AC$400,0)))</f>
        <v/>
      </c>
      <c r="I268" s="125" t="str">
        <f>IFERROR(IF(AND(H268&gt;1,H268&lt;&gt;""),ROUND(SUMIFS(SF_Output!$S$1:$S$400,SF_Output!$AC$1:$AC$400,_xlfn.TEXTJOIN(",",TRUE,B268:E268),SF_Output!$Q$1:$Q$400,"monthly")*(1-W268)/H268,4),""),"")</f>
        <v/>
      </c>
      <c r="J268" s="6" t="str">
        <f>IF(B268="","",SUMIFS(SF_Output!$S$1:$S$400,SF_Output!$AC$1:$AC$400,_xlfn.TEXTJOIN(",",TRUE,B268:E268),SF_Output!$Q$1:$Q$400,"One Time",SF_Output!$L$1:$L$400,"license fee")+SUMIFS(SF_Output!$S$1:$S$400,SF_Output!$AC$1:$AC$400,_xlfn.TEXTJOIN(",",TRUE,B268:E268),SF_Output!$Q$1:$Q$400,"One Time",SF_Output!$L$1:$L$400,"software license")+SUMIFS(SF_Output!$S$1:$S$400,SF_Output!$AC$1:$AC$400,_xlfn.TEXTJOIN(",",TRUE,B268:E268),SF_Output!$Q$1:$Q$400,"One Time",SF_Output!$L$1:$L$400,"hardware"))</f>
        <v/>
      </c>
      <c r="K268" s="112" t="str">
        <f>IF(OR(B268=0,B268="",G268="hardware",J268=0),"",IF(AF268&lt;&gt;"exclusion",MAX(K$9,-((SUMIFS(SF_Output!$T$1:$T$400,SF_Output!$AC$1:$AC$400,_xlfn.TEXTJOIN(",",TRUE,$B268:$E268),SF_Output!$Q$1:$Q$400,"One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license"))/J268)))</f>
        <v/>
      </c>
      <c r="L268" s="6" t="str">
        <f t="shared" si="17"/>
        <v/>
      </c>
      <c r="N268" s="6" t="str">
        <f>IF(B268="","",SUMIFS(SF_Output!$S$1:$S$400,SF_Output!$AC$1:$AC$400,_xlfn.TEXTJOIN(",",TRUE,B268:E268),SF_Output!$Q$1:$Q$400,"One Time",SF_Output!$L$1:$L$400,"professional service"))</f>
        <v/>
      </c>
      <c r="O268" s="112" t="str">
        <f>IF(OR(B268=0,B268="",N268=0),"",IF(AF268&lt;&gt;"exclusion",MAX(O$9,-(SUMIFS(SF_Output!$T$1:$T$400,SF_Output!$AC$1:$AC$400,_xlfn.TEXTJOIN(",",TRUE,$B268:$E268),SF_Output!$Q$1:$Q$400,"One Time",SF_Output!$L$1:$L$400,"professional service"))/N268),-((SUMIFS(SF_Output!$T$1:$T$400,SF_Output!$AC$1:$AC$400,_xlfn.TEXTJOIN(",",TRUE,$B268:$E268),SF_Output!$Q$1:$Q$400,"One Time",SF_Output!$L$1:$L$400,"professional service")/N268))))</f>
        <v/>
      </c>
      <c r="P268" s="6" t="str">
        <f t="shared" si="18"/>
        <v/>
      </c>
      <c r="R268" s="6" t="str">
        <f>IF(B268="","",SUMIFS(SF_Output!$S$1:$S$400,SF_Output!$AC$1:$AC$400,_xlfn.TEXTJOIN(",",TRUE,B268:E268),SF_Output!$Q$1:$Q$400,"yearly")+SUMIFS(SF_Output!$S$1:$S$400,SF_Output!$AC$1:$AC$400,_xlfn.TEXTJOIN(",",TRUE,B268:E268),SF_Output!$Q$1:$Q$400,"quarterly")*4)</f>
        <v/>
      </c>
      <c r="S268" s="112" t="str">
        <f>IF(OR(B268=0,B268="",G268="hardware",R268=0),"",IF(AF268&lt;&gt;"exclusion",MAX(S$9,-(SUMIFS(SF_Output!$T$1:$T$400,SF_Output!$AC$1:$AC$400,_xlfn.TEXTJOIN(",",TRUE,$B268:$E268),SF_Output!$Q$1:$Q$400,"yearly"))/R268),-((SUMIFS(SF_Output!$T$1:$T$400,SF_Output!$AC$1:$AC$400,_xlfn.TEXTJOIN(",",TRUE,$B268:$E268),SF_Output!$Q$1:$Q$400,"yearly")/R268))))</f>
        <v/>
      </c>
      <c r="T268" s="6" t="str">
        <f t="shared" si="19"/>
        <v/>
      </c>
      <c r="V268" s="6" t="str" cm="1">
        <f t="array" ref="V268">_xlfn.IFS(B268="","",AND(B268&lt;&gt;"",H268=SF_Output!$Y$2,SUMIFS(SF_Output!$T$1:$T$400,SF_Output!$AC$1:$AC$400,_xlfn.TEXTJOIN(",",TRUE,B268:E268),SF_Output!$Q$1:$Q$400,"monthly")=0),(SUMIFS(SF_Output!$F$1:$F$400,SF_Output!$AC$1:$AC$400,_xlfn.TEXTJOIN(",",TRUE,B268:E268),SF_Output!$Q$1:$Q$400,"monthly")+SUMIFS(SF_Output!$G$1:$G$400,SF_Output!$AC$1:$AC$400,_xlfn.TEXTJOIN(",",TRUE,B268:E268),SF_Output!$Q$1:$Q$400,"monthly"))*H268,AND(B268&lt;&gt;"",H268=SF_Output!$Y$2,SUMIFS(SF_Output!$T$1:$T$400,SF_Output!$AC$1:$AC$400,_xlfn.TEXTJOIN(",",TRUE,B268:E268),SF_Output!$Q$1:$Q$400,"monthly")&lt;&gt;0),SUMIFS(SF_Output!$S$1:$S$400,SF_Output!$AC$1:$AC$400,_xlfn.TEXTJOIN(",",TRUE,B268:E268),SF_Output!$Q$1:$Q$400,"monthly"),AND(B268&lt;&gt;"",H268&lt;&gt;SF_Output!$Y$2),SUMIFS(SF_Output!$S$1:$S$400,SF_Output!$AC$1:$AC$400,_xlfn.TEXTJOIN(",",TRUE,B268:E268),SF_Output!$Q$1:$Q$400,"monthly"))</f>
        <v/>
      </c>
      <c r="W268" s="112" t="str" cm="1">
        <f t="array" ref="W268">_xlfn.IFS(OR(B268=0,B268="",V268=0),"",AF268&lt;&gt;"exclusion",MAX($W$9,$W$7,(-(SUMIFS(SF_Output!$T$1:$T$400,SF_Output!$AC$1:$AC$400,_xlfn.TEXTJOIN(",",TRUE,$B268:$E268),SF_Output!$Q$1:$Q$400,"monthly"))/V268)),AF268="exclusion",-(SUMIFS(SF_Output!$T$1:$T$400,SF_Output!$AC$1:$AC$400,_xlfn.TEXTJOIN(",",TRUE,$B268:$E268),SF_Output!$Q$1:$Q$400,"monthly"))/V268)</f>
        <v/>
      </c>
      <c r="X268" s="6" t="str" cm="1">
        <f t="array" ref="X268">IFERROR(_xlfn.IFS(V268=0,0,V268="","",W268=0,V268,OR(V268&lt;&gt;0,V268&lt;&gt;""),H268*I268),V268*(1-W268))</f>
        <v/>
      </c>
    </row>
    <row r="269" spans="6:24" x14ac:dyDescent="0.25">
      <c r="F269" s="116" t="str">
        <f t="shared" si="16"/>
        <v/>
      </c>
      <c r="G269" t="str">
        <f>IF(B269="","",INDEX(SF_Output!$K$1:$K$400,MATCH(B269,SF_Output!$M$1:$M$400,0)))</f>
        <v/>
      </c>
      <c r="H269" t="str" cm="1">
        <f t="array" ref="H269">_xlfn.IFS(B269="","",(SUMIFS(SF_Output!$F$1:$F$400,SF_Output!$AC$1:$AC$400,_xlfn.TEXTJOIN(",",TRUE,B269:E269))+SUMIFS(SF_Output!$G$1:$G$400,SF_Output!$AC$1:$AC$400,_xlfn.TEXTJOIN(",",TRUE,B269:E269)))&lt;&gt;0,SF_Output!$Y$2,INDEX(SF_Output!$F$1:$F$400,MATCH(_xlfn.TEXTJOIN(",",TRUE,B269:E269),SF_Output!$AC$1:$AC$400,0))=0,INDEX(SF_Output!$R$1:$R$400,MATCH(_xlfn.TEXTJOIN(",",TRUE,B269:E269),SF_Output!$AC$1:$AC$400,0)))</f>
        <v/>
      </c>
      <c r="I269" s="125" t="str">
        <f>IFERROR(IF(AND(H269&gt;1,H269&lt;&gt;""),ROUND(SUMIFS(SF_Output!$S$1:$S$400,SF_Output!$AC$1:$AC$400,_xlfn.TEXTJOIN(",",TRUE,B269:E269),SF_Output!$Q$1:$Q$400,"monthly")*(1-W269)/H269,4),""),"")</f>
        <v/>
      </c>
      <c r="J269" s="6" t="str">
        <f>IF(B269="","",SUMIFS(SF_Output!$S$1:$S$400,SF_Output!$AC$1:$AC$400,_xlfn.TEXTJOIN(",",TRUE,B269:E269),SF_Output!$Q$1:$Q$400,"One Time",SF_Output!$L$1:$L$400,"license fee")+SUMIFS(SF_Output!$S$1:$S$400,SF_Output!$AC$1:$AC$400,_xlfn.TEXTJOIN(",",TRUE,B269:E269),SF_Output!$Q$1:$Q$400,"One Time",SF_Output!$L$1:$L$400,"software license")+SUMIFS(SF_Output!$S$1:$S$400,SF_Output!$AC$1:$AC$400,_xlfn.TEXTJOIN(",",TRUE,B269:E269),SF_Output!$Q$1:$Q$400,"One Time",SF_Output!$L$1:$L$400,"hardware"))</f>
        <v/>
      </c>
      <c r="K269" s="112" t="str">
        <f>IF(OR(B269=0,B269="",G269="hardware",J269=0),"",IF(AF269&lt;&gt;"exclusion",MAX(K$9,-((SUMIFS(SF_Output!$T$1:$T$400,SF_Output!$AC$1:$AC$400,_xlfn.TEXTJOIN(",",TRUE,$B269:$E269),SF_Output!$Q$1:$Q$400,"One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license"))/J269)))</f>
        <v/>
      </c>
      <c r="L269" s="6" t="str">
        <f t="shared" si="17"/>
        <v/>
      </c>
      <c r="N269" s="6" t="str">
        <f>IF(B269="","",SUMIFS(SF_Output!$S$1:$S$400,SF_Output!$AC$1:$AC$400,_xlfn.TEXTJOIN(",",TRUE,B269:E269),SF_Output!$Q$1:$Q$400,"One Time",SF_Output!$L$1:$L$400,"professional service"))</f>
        <v/>
      </c>
      <c r="O269" s="112" t="str">
        <f>IF(OR(B269=0,B269="",N269=0),"",IF(AF269&lt;&gt;"exclusion",MAX(O$9,-(SUMIFS(SF_Output!$T$1:$T$400,SF_Output!$AC$1:$AC$400,_xlfn.TEXTJOIN(",",TRUE,$B269:$E269),SF_Output!$Q$1:$Q$400,"One Time",SF_Output!$L$1:$L$400,"professional service"))/N269),-((SUMIFS(SF_Output!$T$1:$T$400,SF_Output!$AC$1:$AC$400,_xlfn.TEXTJOIN(",",TRUE,$B269:$E269),SF_Output!$Q$1:$Q$400,"One Time",SF_Output!$L$1:$L$400,"professional service")/N269))))</f>
        <v/>
      </c>
      <c r="P269" s="6" t="str">
        <f t="shared" si="18"/>
        <v/>
      </c>
      <c r="R269" s="6" t="str">
        <f>IF(B269="","",SUMIFS(SF_Output!$S$1:$S$400,SF_Output!$AC$1:$AC$400,_xlfn.TEXTJOIN(",",TRUE,B269:E269),SF_Output!$Q$1:$Q$400,"yearly")+SUMIFS(SF_Output!$S$1:$S$400,SF_Output!$AC$1:$AC$400,_xlfn.TEXTJOIN(",",TRUE,B269:E269),SF_Output!$Q$1:$Q$400,"quarterly")*4)</f>
        <v/>
      </c>
      <c r="S269" s="112" t="str">
        <f>IF(OR(B269=0,B269="",G269="hardware",R269=0),"",IF(AF269&lt;&gt;"exclusion",MAX(S$9,-(SUMIFS(SF_Output!$T$1:$T$400,SF_Output!$AC$1:$AC$400,_xlfn.TEXTJOIN(",",TRUE,$B269:$E269),SF_Output!$Q$1:$Q$400,"yearly"))/R269),-((SUMIFS(SF_Output!$T$1:$T$400,SF_Output!$AC$1:$AC$400,_xlfn.TEXTJOIN(",",TRUE,$B269:$E269),SF_Output!$Q$1:$Q$400,"yearly")/R269))))</f>
        <v/>
      </c>
      <c r="T269" s="6" t="str">
        <f t="shared" si="19"/>
        <v/>
      </c>
      <c r="V269" s="6" t="str" cm="1">
        <f t="array" ref="V269">_xlfn.IFS(B269="","",AND(B269&lt;&gt;"",H269=SF_Output!$Y$2,SUMIFS(SF_Output!$T$1:$T$400,SF_Output!$AC$1:$AC$400,_xlfn.TEXTJOIN(",",TRUE,B269:E269),SF_Output!$Q$1:$Q$400,"monthly")=0),(SUMIFS(SF_Output!$F$1:$F$400,SF_Output!$AC$1:$AC$400,_xlfn.TEXTJOIN(",",TRUE,B269:E269),SF_Output!$Q$1:$Q$400,"monthly")+SUMIFS(SF_Output!$G$1:$G$400,SF_Output!$AC$1:$AC$400,_xlfn.TEXTJOIN(",",TRUE,B269:E269),SF_Output!$Q$1:$Q$400,"monthly"))*H269,AND(B269&lt;&gt;"",H269=SF_Output!$Y$2,SUMIFS(SF_Output!$T$1:$T$400,SF_Output!$AC$1:$AC$400,_xlfn.TEXTJOIN(",",TRUE,B269:E269),SF_Output!$Q$1:$Q$400,"monthly")&lt;&gt;0),SUMIFS(SF_Output!$S$1:$S$400,SF_Output!$AC$1:$AC$400,_xlfn.TEXTJOIN(",",TRUE,B269:E269),SF_Output!$Q$1:$Q$400,"monthly"),AND(B269&lt;&gt;"",H269&lt;&gt;SF_Output!$Y$2),SUMIFS(SF_Output!$S$1:$S$400,SF_Output!$AC$1:$AC$400,_xlfn.TEXTJOIN(",",TRUE,B269:E269),SF_Output!$Q$1:$Q$400,"monthly"))</f>
        <v/>
      </c>
      <c r="W269" s="112" t="str" cm="1">
        <f t="array" ref="W269">_xlfn.IFS(OR(B269=0,B269="",V269=0),"",AF269&lt;&gt;"exclusion",MAX($W$9,$W$7,(-(SUMIFS(SF_Output!$T$1:$T$400,SF_Output!$AC$1:$AC$400,_xlfn.TEXTJOIN(",",TRUE,$B269:$E269),SF_Output!$Q$1:$Q$400,"monthly"))/V269)),AF269="exclusion",-(SUMIFS(SF_Output!$T$1:$T$400,SF_Output!$AC$1:$AC$400,_xlfn.TEXTJOIN(",",TRUE,$B269:$E269),SF_Output!$Q$1:$Q$400,"monthly"))/V269)</f>
        <v/>
      </c>
      <c r="X269" s="6" t="str" cm="1">
        <f t="array" ref="X269">IFERROR(_xlfn.IFS(V269=0,0,V269="","",W269=0,V269,OR(V269&lt;&gt;0,V269&lt;&gt;""),H269*I269),V269*(1-W269))</f>
        <v/>
      </c>
    </row>
    <row r="270" spans="6:24" x14ac:dyDescent="0.25">
      <c r="F270" s="116" t="str">
        <f t="shared" si="16"/>
        <v/>
      </c>
      <c r="G270" t="str">
        <f>IF(B270="","",INDEX(SF_Output!$K$1:$K$400,MATCH(B270,SF_Output!$M$1:$M$400,0)))</f>
        <v/>
      </c>
      <c r="H270" t="str" cm="1">
        <f t="array" ref="H270">_xlfn.IFS(B270="","",(SUMIFS(SF_Output!$F$1:$F$400,SF_Output!$AC$1:$AC$400,_xlfn.TEXTJOIN(",",TRUE,B270:E270))+SUMIFS(SF_Output!$G$1:$G$400,SF_Output!$AC$1:$AC$400,_xlfn.TEXTJOIN(",",TRUE,B270:E270)))&lt;&gt;0,SF_Output!$Y$2,INDEX(SF_Output!$F$1:$F$400,MATCH(_xlfn.TEXTJOIN(",",TRUE,B270:E270),SF_Output!$AC$1:$AC$400,0))=0,INDEX(SF_Output!$R$1:$R$400,MATCH(_xlfn.TEXTJOIN(",",TRUE,B270:E270),SF_Output!$AC$1:$AC$400,0)))</f>
        <v/>
      </c>
      <c r="I270" s="125" t="str">
        <f>IFERROR(IF(AND(H270&gt;1,H270&lt;&gt;""),ROUND(SUMIFS(SF_Output!$S$1:$S$400,SF_Output!$AC$1:$AC$400,_xlfn.TEXTJOIN(",",TRUE,B270:E270),SF_Output!$Q$1:$Q$400,"monthly")*(1-W270)/H270,4),""),"")</f>
        <v/>
      </c>
      <c r="J270" s="6" t="str">
        <f>IF(B270="","",SUMIFS(SF_Output!$S$1:$S$400,SF_Output!$AC$1:$AC$400,_xlfn.TEXTJOIN(",",TRUE,B270:E270),SF_Output!$Q$1:$Q$400,"One Time",SF_Output!$L$1:$L$400,"license fee")+SUMIFS(SF_Output!$S$1:$S$400,SF_Output!$AC$1:$AC$400,_xlfn.TEXTJOIN(",",TRUE,B270:E270),SF_Output!$Q$1:$Q$400,"One Time",SF_Output!$L$1:$L$400,"software license")+SUMIFS(SF_Output!$S$1:$S$400,SF_Output!$AC$1:$AC$400,_xlfn.TEXTJOIN(",",TRUE,B270:E270),SF_Output!$Q$1:$Q$400,"One Time",SF_Output!$L$1:$L$400,"hardware"))</f>
        <v/>
      </c>
      <c r="K270" s="112" t="str">
        <f>IF(OR(B270=0,B270="",G270="hardware",J270=0),"",IF(AF270&lt;&gt;"exclusion",MAX(K$9,-((SUMIFS(SF_Output!$T$1:$T$400,SF_Output!$AC$1:$AC$400,_xlfn.TEXTJOIN(",",TRUE,$B270:$E270),SF_Output!$Q$1:$Q$400,"One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license"))/J270)))</f>
        <v/>
      </c>
      <c r="L270" s="6" t="str">
        <f t="shared" si="17"/>
        <v/>
      </c>
      <c r="N270" s="6" t="str">
        <f>IF(B270="","",SUMIFS(SF_Output!$S$1:$S$400,SF_Output!$AC$1:$AC$400,_xlfn.TEXTJOIN(",",TRUE,B270:E270),SF_Output!$Q$1:$Q$400,"One Time",SF_Output!$L$1:$L$400,"professional service"))</f>
        <v/>
      </c>
      <c r="O270" s="112" t="str">
        <f>IF(OR(B270=0,B270="",N270=0),"",IF(AF270&lt;&gt;"exclusion",MAX(O$9,-(SUMIFS(SF_Output!$T$1:$T$400,SF_Output!$AC$1:$AC$400,_xlfn.TEXTJOIN(",",TRUE,$B270:$E270),SF_Output!$Q$1:$Q$400,"One Time",SF_Output!$L$1:$L$400,"professional service"))/N270),-((SUMIFS(SF_Output!$T$1:$T$400,SF_Output!$AC$1:$AC$400,_xlfn.TEXTJOIN(",",TRUE,$B270:$E270),SF_Output!$Q$1:$Q$400,"One Time",SF_Output!$L$1:$L$400,"professional service")/N270))))</f>
        <v/>
      </c>
      <c r="P270" s="6" t="str">
        <f t="shared" si="18"/>
        <v/>
      </c>
      <c r="R270" s="6" t="str">
        <f>IF(B270="","",SUMIFS(SF_Output!$S$1:$S$400,SF_Output!$AC$1:$AC$400,_xlfn.TEXTJOIN(",",TRUE,B270:E270),SF_Output!$Q$1:$Q$400,"yearly")+SUMIFS(SF_Output!$S$1:$S$400,SF_Output!$AC$1:$AC$400,_xlfn.TEXTJOIN(",",TRUE,B270:E270),SF_Output!$Q$1:$Q$400,"quarterly")*4)</f>
        <v/>
      </c>
      <c r="S270" s="112" t="str">
        <f>IF(OR(B270=0,B270="",G270="hardware",R270=0),"",IF(AF270&lt;&gt;"exclusion",MAX(S$9,-(SUMIFS(SF_Output!$T$1:$T$400,SF_Output!$AC$1:$AC$400,_xlfn.TEXTJOIN(",",TRUE,$B270:$E270),SF_Output!$Q$1:$Q$400,"yearly"))/R270),-((SUMIFS(SF_Output!$T$1:$T$400,SF_Output!$AC$1:$AC$400,_xlfn.TEXTJOIN(",",TRUE,$B270:$E270),SF_Output!$Q$1:$Q$400,"yearly")/R270))))</f>
        <v/>
      </c>
      <c r="T270" s="6" t="str">
        <f t="shared" si="19"/>
        <v/>
      </c>
      <c r="V270" s="6" t="str" cm="1">
        <f t="array" ref="V270">_xlfn.IFS(B270="","",AND(B270&lt;&gt;"",H270=SF_Output!$Y$2,SUMIFS(SF_Output!$T$1:$T$400,SF_Output!$AC$1:$AC$400,_xlfn.TEXTJOIN(",",TRUE,B270:E270),SF_Output!$Q$1:$Q$400,"monthly")=0),(SUMIFS(SF_Output!$F$1:$F$400,SF_Output!$AC$1:$AC$400,_xlfn.TEXTJOIN(",",TRUE,B270:E270),SF_Output!$Q$1:$Q$400,"monthly")+SUMIFS(SF_Output!$G$1:$G$400,SF_Output!$AC$1:$AC$400,_xlfn.TEXTJOIN(",",TRUE,B270:E270),SF_Output!$Q$1:$Q$400,"monthly"))*H270,AND(B270&lt;&gt;"",H270=SF_Output!$Y$2,SUMIFS(SF_Output!$T$1:$T$400,SF_Output!$AC$1:$AC$400,_xlfn.TEXTJOIN(",",TRUE,B270:E270),SF_Output!$Q$1:$Q$400,"monthly")&lt;&gt;0),SUMIFS(SF_Output!$S$1:$S$400,SF_Output!$AC$1:$AC$400,_xlfn.TEXTJOIN(",",TRUE,B270:E270),SF_Output!$Q$1:$Q$400,"monthly"),AND(B270&lt;&gt;"",H270&lt;&gt;SF_Output!$Y$2),SUMIFS(SF_Output!$S$1:$S$400,SF_Output!$AC$1:$AC$400,_xlfn.TEXTJOIN(",",TRUE,B270:E270),SF_Output!$Q$1:$Q$400,"monthly"))</f>
        <v/>
      </c>
      <c r="W270" s="112" t="str" cm="1">
        <f t="array" ref="W270">_xlfn.IFS(OR(B270=0,B270="",V270=0),"",AF270&lt;&gt;"exclusion",MAX($W$9,$W$7,(-(SUMIFS(SF_Output!$T$1:$T$400,SF_Output!$AC$1:$AC$400,_xlfn.TEXTJOIN(",",TRUE,$B270:$E270),SF_Output!$Q$1:$Q$400,"monthly"))/V270)),AF270="exclusion",-(SUMIFS(SF_Output!$T$1:$T$400,SF_Output!$AC$1:$AC$400,_xlfn.TEXTJOIN(",",TRUE,$B270:$E270),SF_Output!$Q$1:$Q$400,"monthly"))/V270)</f>
        <v/>
      </c>
      <c r="X270" s="6" t="str" cm="1">
        <f t="array" ref="X270">IFERROR(_xlfn.IFS(V270=0,0,V270="","",W270=0,V270,OR(V270&lt;&gt;0,V270&lt;&gt;""),H270*I270),V270*(1-W270))</f>
        <v/>
      </c>
    </row>
    <row r="271" spans="6:24" x14ac:dyDescent="0.25">
      <c r="F271" s="116" t="str">
        <f t="shared" si="16"/>
        <v/>
      </c>
      <c r="G271" t="str">
        <f>IF(B271="","",INDEX(SF_Output!$K$1:$K$400,MATCH(B271,SF_Output!$M$1:$M$400,0)))</f>
        <v/>
      </c>
      <c r="H271" t="str" cm="1">
        <f t="array" ref="H271">_xlfn.IFS(B271="","",(SUMIFS(SF_Output!$F$1:$F$400,SF_Output!$AC$1:$AC$400,_xlfn.TEXTJOIN(",",TRUE,B271:E271))+SUMIFS(SF_Output!$G$1:$G$400,SF_Output!$AC$1:$AC$400,_xlfn.TEXTJOIN(",",TRUE,B271:E271)))&lt;&gt;0,SF_Output!$Y$2,INDEX(SF_Output!$F$1:$F$400,MATCH(_xlfn.TEXTJOIN(",",TRUE,B271:E271),SF_Output!$AC$1:$AC$400,0))=0,INDEX(SF_Output!$R$1:$R$400,MATCH(_xlfn.TEXTJOIN(",",TRUE,B271:E271),SF_Output!$AC$1:$AC$400,0)))</f>
        <v/>
      </c>
      <c r="I271" s="125" t="str">
        <f>IFERROR(IF(AND(H271&gt;1,H271&lt;&gt;""),ROUND(SUMIFS(SF_Output!$S$1:$S$400,SF_Output!$AC$1:$AC$400,_xlfn.TEXTJOIN(",",TRUE,B271:E271),SF_Output!$Q$1:$Q$400,"monthly")*(1-W271)/H271,4),""),"")</f>
        <v/>
      </c>
      <c r="J271" s="6" t="str">
        <f>IF(B271="","",SUMIFS(SF_Output!$S$1:$S$400,SF_Output!$AC$1:$AC$400,_xlfn.TEXTJOIN(",",TRUE,B271:E271),SF_Output!$Q$1:$Q$400,"One Time",SF_Output!$L$1:$L$400,"license fee")+SUMIFS(SF_Output!$S$1:$S$400,SF_Output!$AC$1:$AC$400,_xlfn.TEXTJOIN(",",TRUE,B271:E271),SF_Output!$Q$1:$Q$400,"One Time",SF_Output!$L$1:$L$400,"software license")+SUMIFS(SF_Output!$S$1:$S$400,SF_Output!$AC$1:$AC$400,_xlfn.TEXTJOIN(",",TRUE,B271:E271),SF_Output!$Q$1:$Q$400,"One Time",SF_Output!$L$1:$L$400,"hardware"))</f>
        <v/>
      </c>
      <c r="K271" s="112" t="str">
        <f>IF(OR(B271=0,B271="",G271="hardware",J271=0),"",IF(AF271&lt;&gt;"exclusion",MAX(K$9,-((SUMIFS(SF_Output!$T$1:$T$400,SF_Output!$AC$1:$AC$400,_xlfn.TEXTJOIN(",",TRUE,$B271:$E271),SF_Output!$Q$1:$Q$400,"One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license"))/J271)))</f>
        <v/>
      </c>
      <c r="L271" s="6" t="str">
        <f t="shared" si="17"/>
        <v/>
      </c>
      <c r="N271" s="6" t="str">
        <f>IF(B271="","",SUMIFS(SF_Output!$S$1:$S$400,SF_Output!$AC$1:$AC$400,_xlfn.TEXTJOIN(",",TRUE,B271:E271),SF_Output!$Q$1:$Q$400,"One Time",SF_Output!$L$1:$L$400,"professional service"))</f>
        <v/>
      </c>
      <c r="O271" s="112" t="str">
        <f>IF(OR(B271=0,B271="",N271=0),"",IF(AF271&lt;&gt;"exclusion",MAX(O$9,-(SUMIFS(SF_Output!$T$1:$T$400,SF_Output!$AC$1:$AC$400,_xlfn.TEXTJOIN(",",TRUE,$B271:$E271),SF_Output!$Q$1:$Q$400,"One Time",SF_Output!$L$1:$L$400,"professional service"))/N271),-((SUMIFS(SF_Output!$T$1:$T$400,SF_Output!$AC$1:$AC$400,_xlfn.TEXTJOIN(",",TRUE,$B271:$E271),SF_Output!$Q$1:$Q$400,"One Time",SF_Output!$L$1:$L$400,"professional service")/N271))))</f>
        <v/>
      </c>
      <c r="P271" s="6" t="str">
        <f t="shared" si="18"/>
        <v/>
      </c>
      <c r="R271" s="6" t="str">
        <f>IF(B271="","",SUMIFS(SF_Output!$S$1:$S$400,SF_Output!$AC$1:$AC$400,_xlfn.TEXTJOIN(",",TRUE,B271:E271),SF_Output!$Q$1:$Q$400,"yearly")+SUMIFS(SF_Output!$S$1:$S$400,SF_Output!$AC$1:$AC$400,_xlfn.TEXTJOIN(",",TRUE,B271:E271),SF_Output!$Q$1:$Q$400,"quarterly")*4)</f>
        <v/>
      </c>
      <c r="S271" s="112" t="str">
        <f>IF(OR(B271=0,B271="",G271="hardware",R271=0),"",IF(AF271&lt;&gt;"exclusion",MAX(S$9,-(SUMIFS(SF_Output!$T$1:$T$400,SF_Output!$AC$1:$AC$400,_xlfn.TEXTJOIN(",",TRUE,$B271:$E271),SF_Output!$Q$1:$Q$400,"yearly"))/R271),-((SUMIFS(SF_Output!$T$1:$T$400,SF_Output!$AC$1:$AC$400,_xlfn.TEXTJOIN(",",TRUE,$B271:$E271),SF_Output!$Q$1:$Q$400,"yearly")/R271))))</f>
        <v/>
      </c>
      <c r="T271" s="6" t="str">
        <f t="shared" si="19"/>
        <v/>
      </c>
      <c r="V271" s="6" t="str" cm="1">
        <f t="array" ref="V271">_xlfn.IFS(B271="","",AND(B271&lt;&gt;"",H271=SF_Output!$Y$2,SUMIFS(SF_Output!$T$1:$T$400,SF_Output!$AC$1:$AC$400,_xlfn.TEXTJOIN(",",TRUE,B271:E271),SF_Output!$Q$1:$Q$400,"monthly")=0),(SUMIFS(SF_Output!$F$1:$F$400,SF_Output!$AC$1:$AC$400,_xlfn.TEXTJOIN(",",TRUE,B271:E271),SF_Output!$Q$1:$Q$400,"monthly")+SUMIFS(SF_Output!$G$1:$G$400,SF_Output!$AC$1:$AC$400,_xlfn.TEXTJOIN(",",TRUE,B271:E271),SF_Output!$Q$1:$Q$400,"monthly"))*H271,AND(B271&lt;&gt;"",H271=SF_Output!$Y$2,SUMIFS(SF_Output!$T$1:$T$400,SF_Output!$AC$1:$AC$400,_xlfn.TEXTJOIN(",",TRUE,B271:E271),SF_Output!$Q$1:$Q$400,"monthly")&lt;&gt;0),SUMIFS(SF_Output!$S$1:$S$400,SF_Output!$AC$1:$AC$400,_xlfn.TEXTJOIN(",",TRUE,B271:E271),SF_Output!$Q$1:$Q$400,"monthly"),AND(B271&lt;&gt;"",H271&lt;&gt;SF_Output!$Y$2),SUMIFS(SF_Output!$S$1:$S$400,SF_Output!$AC$1:$AC$400,_xlfn.TEXTJOIN(",",TRUE,B271:E271),SF_Output!$Q$1:$Q$400,"monthly"))</f>
        <v/>
      </c>
      <c r="W271" s="112" t="str" cm="1">
        <f t="array" ref="W271">_xlfn.IFS(OR(B271=0,B271="",V271=0),"",AF271&lt;&gt;"exclusion",MAX($W$9,$W$7,(-(SUMIFS(SF_Output!$T$1:$T$400,SF_Output!$AC$1:$AC$400,_xlfn.TEXTJOIN(",",TRUE,$B271:$E271),SF_Output!$Q$1:$Q$400,"monthly"))/V271)),AF271="exclusion",-(SUMIFS(SF_Output!$T$1:$T$400,SF_Output!$AC$1:$AC$400,_xlfn.TEXTJOIN(",",TRUE,$B271:$E271),SF_Output!$Q$1:$Q$400,"monthly"))/V271)</f>
        <v/>
      </c>
      <c r="X271" s="6" t="str" cm="1">
        <f t="array" ref="X271">IFERROR(_xlfn.IFS(V271=0,0,V271="","",W271=0,V271,OR(V271&lt;&gt;0,V271&lt;&gt;""),H271*I271),V271*(1-W271))</f>
        <v/>
      </c>
    </row>
    <row r="272" spans="6:24" x14ac:dyDescent="0.25">
      <c r="F272" s="116" t="str">
        <f t="shared" si="16"/>
        <v/>
      </c>
      <c r="G272" t="str">
        <f>IF(B272="","",INDEX(SF_Output!$K$1:$K$400,MATCH(B272,SF_Output!$M$1:$M$400,0)))</f>
        <v/>
      </c>
      <c r="H272" t="str" cm="1">
        <f t="array" ref="H272">_xlfn.IFS(B272="","",(SUMIFS(SF_Output!$F$1:$F$400,SF_Output!$AC$1:$AC$400,_xlfn.TEXTJOIN(",",TRUE,B272:E272))+SUMIFS(SF_Output!$G$1:$G$400,SF_Output!$AC$1:$AC$400,_xlfn.TEXTJOIN(",",TRUE,B272:E272)))&lt;&gt;0,SF_Output!$Y$2,INDEX(SF_Output!$F$1:$F$400,MATCH(_xlfn.TEXTJOIN(",",TRUE,B272:E272),SF_Output!$AC$1:$AC$400,0))=0,INDEX(SF_Output!$R$1:$R$400,MATCH(_xlfn.TEXTJOIN(",",TRUE,B272:E272),SF_Output!$AC$1:$AC$400,0)))</f>
        <v/>
      </c>
      <c r="I272" s="125" t="str">
        <f>IFERROR(IF(AND(H272&gt;1,H272&lt;&gt;""),ROUND(SUMIFS(SF_Output!$S$1:$S$400,SF_Output!$AC$1:$AC$400,_xlfn.TEXTJOIN(",",TRUE,B272:E272),SF_Output!$Q$1:$Q$400,"monthly")*(1-W272)/H272,4),""),"")</f>
        <v/>
      </c>
      <c r="J272" s="6" t="str">
        <f>IF(B272="","",SUMIFS(SF_Output!$S$1:$S$400,SF_Output!$AC$1:$AC$400,_xlfn.TEXTJOIN(",",TRUE,B272:E272),SF_Output!$Q$1:$Q$400,"One Time",SF_Output!$L$1:$L$400,"license fee")+SUMIFS(SF_Output!$S$1:$S$400,SF_Output!$AC$1:$AC$400,_xlfn.TEXTJOIN(",",TRUE,B272:E272),SF_Output!$Q$1:$Q$400,"One Time",SF_Output!$L$1:$L$400,"software license")+SUMIFS(SF_Output!$S$1:$S$400,SF_Output!$AC$1:$AC$400,_xlfn.TEXTJOIN(",",TRUE,B272:E272),SF_Output!$Q$1:$Q$400,"One Time",SF_Output!$L$1:$L$400,"hardware"))</f>
        <v/>
      </c>
      <c r="K272" s="112" t="str">
        <f>IF(OR(B272=0,B272="",G272="hardware",J272=0),"",IF(AF272&lt;&gt;"exclusion",MAX(K$9,-((SUMIFS(SF_Output!$T$1:$T$400,SF_Output!$AC$1:$AC$400,_xlfn.TEXTJOIN(",",TRUE,$B272:$E272),SF_Output!$Q$1:$Q$400,"One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license"))/J272)))</f>
        <v/>
      </c>
      <c r="L272" s="6" t="str">
        <f t="shared" si="17"/>
        <v/>
      </c>
      <c r="N272" s="6" t="str">
        <f>IF(B272="","",SUMIFS(SF_Output!$S$1:$S$400,SF_Output!$AC$1:$AC$400,_xlfn.TEXTJOIN(",",TRUE,B272:E272),SF_Output!$Q$1:$Q$400,"One Time",SF_Output!$L$1:$L$400,"professional service"))</f>
        <v/>
      </c>
      <c r="O272" s="112" t="str">
        <f>IF(OR(B272=0,B272="",N272=0),"",IF(AF272&lt;&gt;"exclusion",MAX(O$9,-(SUMIFS(SF_Output!$T$1:$T$400,SF_Output!$AC$1:$AC$400,_xlfn.TEXTJOIN(",",TRUE,$B272:$E272),SF_Output!$Q$1:$Q$400,"One Time",SF_Output!$L$1:$L$400,"professional service"))/N272),-((SUMIFS(SF_Output!$T$1:$T$400,SF_Output!$AC$1:$AC$400,_xlfn.TEXTJOIN(",",TRUE,$B272:$E272),SF_Output!$Q$1:$Q$400,"One Time",SF_Output!$L$1:$L$400,"professional service")/N272))))</f>
        <v/>
      </c>
      <c r="P272" s="6" t="str">
        <f t="shared" si="18"/>
        <v/>
      </c>
      <c r="R272" s="6" t="str">
        <f>IF(B272="","",SUMIFS(SF_Output!$S$1:$S$400,SF_Output!$AC$1:$AC$400,_xlfn.TEXTJOIN(",",TRUE,B272:E272),SF_Output!$Q$1:$Q$400,"yearly")+SUMIFS(SF_Output!$S$1:$S$400,SF_Output!$AC$1:$AC$400,_xlfn.TEXTJOIN(",",TRUE,B272:E272),SF_Output!$Q$1:$Q$400,"quarterly")*4)</f>
        <v/>
      </c>
      <c r="S272" s="112" t="str">
        <f>IF(OR(B272=0,B272="",G272="hardware",R272=0),"",IF(AF272&lt;&gt;"exclusion",MAX(S$9,-(SUMIFS(SF_Output!$T$1:$T$400,SF_Output!$AC$1:$AC$400,_xlfn.TEXTJOIN(",",TRUE,$B272:$E272),SF_Output!$Q$1:$Q$400,"yearly"))/R272),-((SUMIFS(SF_Output!$T$1:$T$400,SF_Output!$AC$1:$AC$400,_xlfn.TEXTJOIN(",",TRUE,$B272:$E272),SF_Output!$Q$1:$Q$400,"yearly")/R272))))</f>
        <v/>
      </c>
      <c r="T272" s="6" t="str">
        <f t="shared" si="19"/>
        <v/>
      </c>
      <c r="V272" s="6" t="str" cm="1">
        <f t="array" ref="V272">_xlfn.IFS(B272="","",AND(B272&lt;&gt;"",H272=SF_Output!$Y$2,SUMIFS(SF_Output!$T$1:$T$400,SF_Output!$AC$1:$AC$400,_xlfn.TEXTJOIN(",",TRUE,B272:E272),SF_Output!$Q$1:$Q$400,"monthly")=0),(SUMIFS(SF_Output!$F$1:$F$400,SF_Output!$AC$1:$AC$400,_xlfn.TEXTJOIN(",",TRUE,B272:E272),SF_Output!$Q$1:$Q$400,"monthly")+SUMIFS(SF_Output!$G$1:$G$400,SF_Output!$AC$1:$AC$400,_xlfn.TEXTJOIN(",",TRUE,B272:E272),SF_Output!$Q$1:$Q$400,"monthly"))*H272,AND(B272&lt;&gt;"",H272=SF_Output!$Y$2,SUMIFS(SF_Output!$T$1:$T$400,SF_Output!$AC$1:$AC$400,_xlfn.TEXTJOIN(",",TRUE,B272:E272),SF_Output!$Q$1:$Q$400,"monthly")&lt;&gt;0),SUMIFS(SF_Output!$S$1:$S$400,SF_Output!$AC$1:$AC$400,_xlfn.TEXTJOIN(",",TRUE,B272:E272),SF_Output!$Q$1:$Q$400,"monthly"),AND(B272&lt;&gt;"",H272&lt;&gt;SF_Output!$Y$2),SUMIFS(SF_Output!$S$1:$S$400,SF_Output!$AC$1:$AC$400,_xlfn.TEXTJOIN(",",TRUE,B272:E272),SF_Output!$Q$1:$Q$400,"monthly"))</f>
        <v/>
      </c>
      <c r="W272" s="112" t="str" cm="1">
        <f t="array" ref="W272">_xlfn.IFS(OR(B272=0,B272="",V272=0),"",AF272&lt;&gt;"exclusion",MAX($W$9,$W$7,(-(SUMIFS(SF_Output!$T$1:$T$400,SF_Output!$AC$1:$AC$400,_xlfn.TEXTJOIN(",",TRUE,$B272:$E272),SF_Output!$Q$1:$Q$400,"monthly"))/V272)),AF272="exclusion",-(SUMIFS(SF_Output!$T$1:$T$400,SF_Output!$AC$1:$AC$400,_xlfn.TEXTJOIN(",",TRUE,$B272:$E272),SF_Output!$Q$1:$Q$400,"monthly"))/V272)</f>
        <v/>
      </c>
      <c r="X272" s="6" t="str" cm="1">
        <f t="array" ref="X272">IFERROR(_xlfn.IFS(V272=0,0,V272="","",W272=0,V272,OR(V272&lt;&gt;0,V272&lt;&gt;""),H272*I272),V272*(1-W272))</f>
        <v/>
      </c>
    </row>
    <row r="273" spans="6:24" x14ac:dyDescent="0.25">
      <c r="F273" s="116" t="str">
        <f t="shared" si="16"/>
        <v/>
      </c>
      <c r="G273" t="str">
        <f>IF(B273="","",INDEX(SF_Output!$K$1:$K$400,MATCH(B273,SF_Output!$M$1:$M$400,0)))</f>
        <v/>
      </c>
      <c r="H273" t="str" cm="1">
        <f t="array" ref="H273">_xlfn.IFS(B273="","",(SUMIFS(SF_Output!$F$1:$F$400,SF_Output!$AC$1:$AC$400,_xlfn.TEXTJOIN(",",TRUE,B273:E273))+SUMIFS(SF_Output!$G$1:$G$400,SF_Output!$AC$1:$AC$400,_xlfn.TEXTJOIN(",",TRUE,B273:E273)))&lt;&gt;0,SF_Output!$Y$2,INDEX(SF_Output!$F$1:$F$400,MATCH(_xlfn.TEXTJOIN(",",TRUE,B273:E273),SF_Output!$AC$1:$AC$400,0))=0,INDEX(SF_Output!$R$1:$R$400,MATCH(_xlfn.TEXTJOIN(",",TRUE,B273:E273),SF_Output!$AC$1:$AC$400,0)))</f>
        <v/>
      </c>
      <c r="I273" s="125" t="str">
        <f>IFERROR(IF(AND(H273&gt;1,H273&lt;&gt;""),ROUND(SUMIFS(SF_Output!$S$1:$S$400,SF_Output!$AC$1:$AC$400,_xlfn.TEXTJOIN(",",TRUE,B273:E273),SF_Output!$Q$1:$Q$400,"monthly")*(1-W273)/H273,4),""),"")</f>
        <v/>
      </c>
      <c r="J273" s="6" t="str">
        <f>IF(B273="","",SUMIFS(SF_Output!$S$1:$S$400,SF_Output!$AC$1:$AC$400,_xlfn.TEXTJOIN(",",TRUE,B273:E273),SF_Output!$Q$1:$Q$400,"One Time",SF_Output!$L$1:$L$400,"license fee")+SUMIFS(SF_Output!$S$1:$S$400,SF_Output!$AC$1:$AC$400,_xlfn.TEXTJOIN(",",TRUE,B273:E273),SF_Output!$Q$1:$Q$400,"One Time",SF_Output!$L$1:$L$400,"software license")+SUMIFS(SF_Output!$S$1:$S$400,SF_Output!$AC$1:$AC$400,_xlfn.TEXTJOIN(",",TRUE,B273:E273),SF_Output!$Q$1:$Q$400,"One Time",SF_Output!$L$1:$L$400,"hardware"))</f>
        <v/>
      </c>
      <c r="K273" s="112" t="str">
        <f>IF(OR(B273=0,B273="",G273="hardware",J273=0),"",IF(AF273&lt;&gt;"exclusion",MAX(K$9,-((SUMIFS(SF_Output!$T$1:$T$400,SF_Output!$AC$1:$AC$400,_xlfn.TEXTJOIN(",",TRUE,$B273:$E273),SF_Output!$Q$1:$Q$400,"One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license"))/J273)))</f>
        <v/>
      </c>
      <c r="L273" s="6" t="str">
        <f t="shared" si="17"/>
        <v/>
      </c>
      <c r="N273" s="6" t="str">
        <f>IF(B273="","",SUMIFS(SF_Output!$S$1:$S$400,SF_Output!$AC$1:$AC$400,_xlfn.TEXTJOIN(",",TRUE,B273:E273),SF_Output!$Q$1:$Q$400,"One Time",SF_Output!$L$1:$L$400,"professional service"))</f>
        <v/>
      </c>
      <c r="O273" s="112" t="str">
        <f>IF(OR(B273=0,B273="",N273=0),"",IF(AF273&lt;&gt;"exclusion",MAX(O$9,-(SUMIFS(SF_Output!$T$1:$T$400,SF_Output!$AC$1:$AC$400,_xlfn.TEXTJOIN(",",TRUE,$B273:$E273),SF_Output!$Q$1:$Q$400,"One Time",SF_Output!$L$1:$L$400,"professional service"))/N273),-((SUMIFS(SF_Output!$T$1:$T$400,SF_Output!$AC$1:$AC$400,_xlfn.TEXTJOIN(",",TRUE,$B273:$E273),SF_Output!$Q$1:$Q$400,"One Time",SF_Output!$L$1:$L$400,"professional service")/N273))))</f>
        <v/>
      </c>
      <c r="P273" s="6" t="str">
        <f t="shared" si="18"/>
        <v/>
      </c>
      <c r="R273" s="6" t="str">
        <f>IF(B273="","",SUMIFS(SF_Output!$S$1:$S$400,SF_Output!$AC$1:$AC$400,_xlfn.TEXTJOIN(",",TRUE,B273:E273),SF_Output!$Q$1:$Q$400,"yearly")+SUMIFS(SF_Output!$S$1:$S$400,SF_Output!$AC$1:$AC$400,_xlfn.TEXTJOIN(",",TRUE,B273:E273),SF_Output!$Q$1:$Q$400,"quarterly")*4)</f>
        <v/>
      </c>
      <c r="S273" s="112" t="str">
        <f>IF(OR(B273=0,B273="",G273="hardware",R273=0),"",IF(AF273&lt;&gt;"exclusion",MAX(S$9,-(SUMIFS(SF_Output!$T$1:$T$400,SF_Output!$AC$1:$AC$400,_xlfn.TEXTJOIN(",",TRUE,$B273:$E273),SF_Output!$Q$1:$Q$400,"yearly"))/R273),-((SUMIFS(SF_Output!$T$1:$T$400,SF_Output!$AC$1:$AC$400,_xlfn.TEXTJOIN(",",TRUE,$B273:$E273),SF_Output!$Q$1:$Q$400,"yearly")/R273))))</f>
        <v/>
      </c>
      <c r="T273" s="6" t="str">
        <f t="shared" si="19"/>
        <v/>
      </c>
      <c r="V273" s="6" t="str" cm="1">
        <f t="array" ref="V273">_xlfn.IFS(B273="","",AND(B273&lt;&gt;"",H273=SF_Output!$Y$2,SUMIFS(SF_Output!$T$1:$T$400,SF_Output!$AC$1:$AC$400,_xlfn.TEXTJOIN(",",TRUE,B273:E273),SF_Output!$Q$1:$Q$400,"monthly")=0),(SUMIFS(SF_Output!$F$1:$F$400,SF_Output!$AC$1:$AC$400,_xlfn.TEXTJOIN(",",TRUE,B273:E273),SF_Output!$Q$1:$Q$400,"monthly")+SUMIFS(SF_Output!$G$1:$G$400,SF_Output!$AC$1:$AC$400,_xlfn.TEXTJOIN(",",TRUE,B273:E273),SF_Output!$Q$1:$Q$400,"monthly"))*H273,AND(B273&lt;&gt;"",H273=SF_Output!$Y$2,SUMIFS(SF_Output!$T$1:$T$400,SF_Output!$AC$1:$AC$400,_xlfn.TEXTJOIN(",",TRUE,B273:E273),SF_Output!$Q$1:$Q$400,"monthly")&lt;&gt;0),SUMIFS(SF_Output!$S$1:$S$400,SF_Output!$AC$1:$AC$400,_xlfn.TEXTJOIN(",",TRUE,B273:E273),SF_Output!$Q$1:$Q$400,"monthly"),AND(B273&lt;&gt;"",H273&lt;&gt;SF_Output!$Y$2),SUMIFS(SF_Output!$S$1:$S$400,SF_Output!$AC$1:$AC$400,_xlfn.TEXTJOIN(",",TRUE,B273:E273),SF_Output!$Q$1:$Q$400,"monthly"))</f>
        <v/>
      </c>
      <c r="W273" s="112" t="str" cm="1">
        <f t="array" ref="W273">_xlfn.IFS(OR(B273=0,B273="",V273=0),"",AF273&lt;&gt;"exclusion",MAX($W$9,$W$7,(-(SUMIFS(SF_Output!$T$1:$T$400,SF_Output!$AC$1:$AC$400,_xlfn.TEXTJOIN(",",TRUE,$B273:$E273),SF_Output!$Q$1:$Q$400,"monthly"))/V273)),AF273="exclusion",-(SUMIFS(SF_Output!$T$1:$T$400,SF_Output!$AC$1:$AC$400,_xlfn.TEXTJOIN(",",TRUE,$B273:$E273),SF_Output!$Q$1:$Q$400,"monthly"))/V273)</f>
        <v/>
      </c>
      <c r="X273" s="6" t="str" cm="1">
        <f t="array" ref="X273">IFERROR(_xlfn.IFS(V273=0,0,V273="","",W273=0,V273,OR(V273&lt;&gt;0,V273&lt;&gt;""),H273*I273),V273*(1-W273))</f>
        <v/>
      </c>
    </row>
    <row r="274" spans="6:24" x14ac:dyDescent="0.25">
      <c r="F274" s="116" t="str">
        <f t="shared" si="16"/>
        <v/>
      </c>
      <c r="G274" t="str">
        <f>IF(B274="","",INDEX(SF_Output!$K$1:$K$400,MATCH(B274,SF_Output!$M$1:$M$400,0)))</f>
        <v/>
      </c>
      <c r="H274" t="str" cm="1">
        <f t="array" ref="H274">_xlfn.IFS(B274="","",(SUMIFS(SF_Output!$F$1:$F$400,SF_Output!$AC$1:$AC$400,_xlfn.TEXTJOIN(",",TRUE,B274:E274))+SUMIFS(SF_Output!$G$1:$G$400,SF_Output!$AC$1:$AC$400,_xlfn.TEXTJOIN(",",TRUE,B274:E274)))&lt;&gt;0,SF_Output!$Y$2,INDEX(SF_Output!$F$1:$F$400,MATCH(_xlfn.TEXTJOIN(",",TRUE,B274:E274),SF_Output!$AC$1:$AC$400,0))=0,INDEX(SF_Output!$R$1:$R$400,MATCH(_xlfn.TEXTJOIN(",",TRUE,B274:E274),SF_Output!$AC$1:$AC$400,0)))</f>
        <v/>
      </c>
      <c r="I274" s="125" t="str">
        <f>IFERROR(IF(AND(H274&gt;1,H274&lt;&gt;""),ROUND(SUMIFS(SF_Output!$S$1:$S$400,SF_Output!$AC$1:$AC$400,_xlfn.TEXTJOIN(",",TRUE,B274:E274),SF_Output!$Q$1:$Q$400,"monthly")*(1-W274)/H274,4),""),"")</f>
        <v/>
      </c>
      <c r="J274" s="6" t="str">
        <f>IF(B274="","",SUMIFS(SF_Output!$S$1:$S$400,SF_Output!$AC$1:$AC$400,_xlfn.TEXTJOIN(",",TRUE,B274:E274),SF_Output!$Q$1:$Q$400,"One Time",SF_Output!$L$1:$L$400,"license fee")+SUMIFS(SF_Output!$S$1:$S$400,SF_Output!$AC$1:$AC$400,_xlfn.TEXTJOIN(",",TRUE,B274:E274),SF_Output!$Q$1:$Q$400,"One Time",SF_Output!$L$1:$L$400,"software license")+SUMIFS(SF_Output!$S$1:$S$400,SF_Output!$AC$1:$AC$400,_xlfn.TEXTJOIN(",",TRUE,B274:E274),SF_Output!$Q$1:$Q$400,"One Time",SF_Output!$L$1:$L$400,"hardware"))</f>
        <v/>
      </c>
      <c r="K274" s="112" t="str">
        <f>IF(OR(B274=0,B274="",G274="hardware",J274=0),"",IF(AF274&lt;&gt;"exclusion",MAX(K$9,-((SUMIFS(SF_Output!$T$1:$T$400,SF_Output!$AC$1:$AC$400,_xlfn.TEXTJOIN(",",TRUE,$B274:$E274),SF_Output!$Q$1:$Q$400,"One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license"))/J274)))</f>
        <v/>
      </c>
      <c r="L274" s="6" t="str">
        <f t="shared" si="17"/>
        <v/>
      </c>
      <c r="N274" s="6" t="str">
        <f>IF(B274="","",SUMIFS(SF_Output!$S$1:$S$400,SF_Output!$AC$1:$AC$400,_xlfn.TEXTJOIN(",",TRUE,B274:E274),SF_Output!$Q$1:$Q$400,"One Time",SF_Output!$L$1:$L$400,"professional service"))</f>
        <v/>
      </c>
      <c r="O274" s="112" t="str">
        <f>IF(OR(B274=0,B274="",N274=0),"",IF(AF274&lt;&gt;"exclusion",MAX(O$9,-(SUMIFS(SF_Output!$T$1:$T$400,SF_Output!$AC$1:$AC$400,_xlfn.TEXTJOIN(",",TRUE,$B274:$E274),SF_Output!$Q$1:$Q$400,"One Time",SF_Output!$L$1:$L$400,"professional service"))/N274),-((SUMIFS(SF_Output!$T$1:$T$400,SF_Output!$AC$1:$AC$400,_xlfn.TEXTJOIN(",",TRUE,$B274:$E274),SF_Output!$Q$1:$Q$400,"One Time",SF_Output!$L$1:$L$400,"professional service")/N274))))</f>
        <v/>
      </c>
      <c r="P274" s="6" t="str">
        <f t="shared" si="18"/>
        <v/>
      </c>
      <c r="R274" s="6" t="str">
        <f>IF(B274="","",SUMIFS(SF_Output!$S$1:$S$400,SF_Output!$AC$1:$AC$400,_xlfn.TEXTJOIN(",",TRUE,B274:E274),SF_Output!$Q$1:$Q$400,"yearly")+SUMIFS(SF_Output!$S$1:$S$400,SF_Output!$AC$1:$AC$400,_xlfn.TEXTJOIN(",",TRUE,B274:E274),SF_Output!$Q$1:$Q$400,"quarterly")*4)</f>
        <v/>
      </c>
      <c r="S274" s="112" t="str">
        <f>IF(OR(B274=0,B274="",G274="hardware",R274=0),"",IF(AF274&lt;&gt;"exclusion",MAX(S$9,-(SUMIFS(SF_Output!$T$1:$T$400,SF_Output!$AC$1:$AC$400,_xlfn.TEXTJOIN(",",TRUE,$B274:$E274),SF_Output!$Q$1:$Q$400,"yearly"))/R274),-((SUMIFS(SF_Output!$T$1:$T$400,SF_Output!$AC$1:$AC$400,_xlfn.TEXTJOIN(",",TRUE,$B274:$E274),SF_Output!$Q$1:$Q$400,"yearly")/R274))))</f>
        <v/>
      </c>
      <c r="T274" s="6" t="str">
        <f t="shared" si="19"/>
        <v/>
      </c>
      <c r="V274" s="6" t="str" cm="1">
        <f t="array" ref="V274">_xlfn.IFS(B274="","",AND(B274&lt;&gt;"",H274=SF_Output!$Y$2,SUMIFS(SF_Output!$T$1:$T$400,SF_Output!$AC$1:$AC$400,_xlfn.TEXTJOIN(",",TRUE,B274:E274),SF_Output!$Q$1:$Q$400,"monthly")=0),(SUMIFS(SF_Output!$F$1:$F$400,SF_Output!$AC$1:$AC$400,_xlfn.TEXTJOIN(",",TRUE,B274:E274),SF_Output!$Q$1:$Q$400,"monthly")+SUMIFS(SF_Output!$G$1:$G$400,SF_Output!$AC$1:$AC$400,_xlfn.TEXTJOIN(",",TRUE,B274:E274),SF_Output!$Q$1:$Q$400,"monthly"))*H274,AND(B274&lt;&gt;"",H274=SF_Output!$Y$2,SUMIFS(SF_Output!$T$1:$T$400,SF_Output!$AC$1:$AC$400,_xlfn.TEXTJOIN(",",TRUE,B274:E274),SF_Output!$Q$1:$Q$400,"monthly")&lt;&gt;0),SUMIFS(SF_Output!$S$1:$S$400,SF_Output!$AC$1:$AC$400,_xlfn.TEXTJOIN(",",TRUE,B274:E274),SF_Output!$Q$1:$Q$400,"monthly"),AND(B274&lt;&gt;"",H274&lt;&gt;SF_Output!$Y$2),SUMIFS(SF_Output!$S$1:$S$400,SF_Output!$AC$1:$AC$400,_xlfn.TEXTJOIN(",",TRUE,B274:E274),SF_Output!$Q$1:$Q$400,"monthly"))</f>
        <v/>
      </c>
      <c r="W274" s="112" t="str" cm="1">
        <f t="array" ref="W274">_xlfn.IFS(OR(B274=0,B274="",V274=0),"",AF274&lt;&gt;"exclusion",MAX($W$9,$W$7,(-(SUMIFS(SF_Output!$T$1:$T$400,SF_Output!$AC$1:$AC$400,_xlfn.TEXTJOIN(",",TRUE,$B274:$E274),SF_Output!$Q$1:$Q$400,"monthly"))/V274)),AF274="exclusion",-(SUMIFS(SF_Output!$T$1:$T$400,SF_Output!$AC$1:$AC$400,_xlfn.TEXTJOIN(",",TRUE,$B274:$E274),SF_Output!$Q$1:$Q$400,"monthly"))/V274)</f>
        <v/>
      </c>
      <c r="X274" s="6" t="str" cm="1">
        <f t="array" ref="X274">IFERROR(_xlfn.IFS(V274=0,0,V274="","",W274=0,V274,OR(V274&lt;&gt;0,V274&lt;&gt;""),H274*I274),V274*(1-W274))</f>
        <v/>
      </c>
    </row>
    <row r="275" spans="6:24" x14ac:dyDescent="0.25">
      <c r="F275" s="116" t="str">
        <f t="shared" si="16"/>
        <v/>
      </c>
      <c r="G275" t="str">
        <f>IF(B275="","",INDEX(SF_Output!$K$1:$K$400,MATCH(B275,SF_Output!$M$1:$M$400,0)))</f>
        <v/>
      </c>
      <c r="H275" t="str" cm="1">
        <f t="array" ref="H275">_xlfn.IFS(B275="","",(SUMIFS(SF_Output!$F$1:$F$400,SF_Output!$AC$1:$AC$400,_xlfn.TEXTJOIN(",",TRUE,B275:E275))+SUMIFS(SF_Output!$G$1:$G$400,SF_Output!$AC$1:$AC$400,_xlfn.TEXTJOIN(",",TRUE,B275:E275)))&lt;&gt;0,SF_Output!$Y$2,INDEX(SF_Output!$F$1:$F$400,MATCH(_xlfn.TEXTJOIN(",",TRUE,B275:E275),SF_Output!$AC$1:$AC$400,0))=0,INDEX(SF_Output!$R$1:$R$400,MATCH(_xlfn.TEXTJOIN(",",TRUE,B275:E275),SF_Output!$AC$1:$AC$400,0)))</f>
        <v/>
      </c>
      <c r="I275" s="125" t="str">
        <f>IFERROR(IF(AND(H275&gt;1,H275&lt;&gt;""),ROUND(SUMIFS(SF_Output!$S$1:$S$400,SF_Output!$AC$1:$AC$400,_xlfn.TEXTJOIN(",",TRUE,B275:E275),SF_Output!$Q$1:$Q$400,"monthly")*(1-W275)/H275,4),""),"")</f>
        <v/>
      </c>
      <c r="J275" s="6" t="str">
        <f>IF(B275="","",SUMIFS(SF_Output!$S$1:$S$400,SF_Output!$AC$1:$AC$400,_xlfn.TEXTJOIN(",",TRUE,B275:E275),SF_Output!$Q$1:$Q$400,"One Time",SF_Output!$L$1:$L$400,"license fee")+SUMIFS(SF_Output!$S$1:$S$400,SF_Output!$AC$1:$AC$400,_xlfn.TEXTJOIN(",",TRUE,B275:E275),SF_Output!$Q$1:$Q$400,"One Time",SF_Output!$L$1:$L$400,"software license")+SUMIFS(SF_Output!$S$1:$S$400,SF_Output!$AC$1:$AC$400,_xlfn.TEXTJOIN(",",TRUE,B275:E275),SF_Output!$Q$1:$Q$400,"One Time",SF_Output!$L$1:$L$400,"hardware"))</f>
        <v/>
      </c>
      <c r="K275" s="112" t="str">
        <f>IF(OR(B275=0,B275="",G275="hardware",J275=0),"",IF(AF275&lt;&gt;"exclusion",MAX(K$9,-((SUMIFS(SF_Output!$T$1:$T$400,SF_Output!$AC$1:$AC$400,_xlfn.TEXTJOIN(",",TRUE,$B275:$E275),SF_Output!$Q$1:$Q$400,"One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license"))/J275)))</f>
        <v/>
      </c>
      <c r="L275" s="6" t="str">
        <f t="shared" si="17"/>
        <v/>
      </c>
      <c r="N275" s="6" t="str">
        <f>IF(B275="","",SUMIFS(SF_Output!$S$1:$S$400,SF_Output!$AC$1:$AC$400,_xlfn.TEXTJOIN(",",TRUE,B275:E275),SF_Output!$Q$1:$Q$400,"One Time",SF_Output!$L$1:$L$400,"professional service"))</f>
        <v/>
      </c>
      <c r="O275" s="112" t="str">
        <f>IF(OR(B275=0,B275="",N275=0),"",IF(AF275&lt;&gt;"exclusion",MAX(O$9,-(SUMIFS(SF_Output!$T$1:$T$400,SF_Output!$AC$1:$AC$400,_xlfn.TEXTJOIN(",",TRUE,$B275:$E275),SF_Output!$Q$1:$Q$400,"One Time",SF_Output!$L$1:$L$400,"professional service"))/N275),-((SUMIFS(SF_Output!$T$1:$T$400,SF_Output!$AC$1:$AC$400,_xlfn.TEXTJOIN(",",TRUE,$B275:$E275),SF_Output!$Q$1:$Q$400,"One Time",SF_Output!$L$1:$L$400,"professional service")/N275))))</f>
        <v/>
      </c>
      <c r="P275" s="6" t="str">
        <f t="shared" si="18"/>
        <v/>
      </c>
      <c r="R275" s="6" t="str">
        <f>IF(B275="","",SUMIFS(SF_Output!$S$1:$S$400,SF_Output!$AC$1:$AC$400,_xlfn.TEXTJOIN(",",TRUE,B275:E275),SF_Output!$Q$1:$Q$400,"yearly")+SUMIFS(SF_Output!$S$1:$S$400,SF_Output!$AC$1:$AC$400,_xlfn.TEXTJOIN(",",TRUE,B275:E275),SF_Output!$Q$1:$Q$400,"quarterly")*4)</f>
        <v/>
      </c>
      <c r="S275" s="112" t="str">
        <f>IF(OR(B275=0,B275="",G275="hardware",R275=0),"",IF(AF275&lt;&gt;"exclusion",MAX(S$9,-(SUMIFS(SF_Output!$T$1:$T$400,SF_Output!$AC$1:$AC$400,_xlfn.TEXTJOIN(",",TRUE,$B275:$E275),SF_Output!$Q$1:$Q$400,"yearly"))/R275),-((SUMIFS(SF_Output!$T$1:$T$400,SF_Output!$AC$1:$AC$400,_xlfn.TEXTJOIN(",",TRUE,$B275:$E275),SF_Output!$Q$1:$Q$400,"yearly")/R275))))</f>
        <v/>
      </c>
      <c r="T275" s="6" t="str">
        <f t="shared" si="19"/>
        <v/>
      </c>
      <c r="V275" s="6" t="str" cm="1">
        <f t="array" ref="V275">_xlfn.IFS(B275="","",AND(B275&lt;&gt;"",H275=SF_Output!$Y$2,SUMIFS(SF_Output!$T$1:$T$400,SF_Output!$AC$1:$AC$400,_xlfn.TEXTJOIN(",",TRUE,B275:E275),SF_Output!$Q$1:$Q$400,"monthly")=0),(SUMIFS(SF_Output!$F$1:$F$400,SF_Output!$AC$1:$AC$400,_xlfn.TEXTJOIN(",",TRUE,B275:E275),SF_Output!$Q$1:$Q$400,"monthly")+SUMIFS(SF_Output!$G$1:$G$400,SF_Output!$AC$1:$AC$400,_xlfn.TEXTJOIN(",",TRUE,B275:E275),SF_Output!$Q$1:$Q$400,"monthly"))*H275,AND(B275&lt;&gt;"",H275=SF_Output!$Y$2,SUMIFS(SF_Output!$T$1:$T$400,SF_Output!$AC$1:$AC$400,_xlfn.TEXTJOIN(",",TRUE,B275:E275),SF_Output!$Q$1:$Q$400,"monthly")&lt;&gt;0),SUMIFS(SF_Output!$S$1:$S$400,SF_Output!$AC$1:$AC$400,_xlfn.TEXTJOIN(",",TRUE,B275:E275),SF_Output!$Q$1:$Q$400,"monthly"),AND(B275&lt;&gt;"",H275&lt;&gt;SF_Output!$Y$2),SUMIFS(SF_Output!$S$1:$S$400,SF_Output!$AC$1:$AC$400,_xlfn.TEXTJOIN(",",TRUE,B275:E275),SF_Output!$Q$1:$Q$400,"monthly"))</f>
        <v/>
      </c>
      <c r="W275" s="112" t="str" cm="1">
        <f t="array" ref="W275">_xlfn.IFS(OR(B275=0,B275="",V275=0),"",AF275&lt;&gt;"exclusion",MAX($W$9,$W$7,(-(SUMIFS(SF_Output!$T$1:$T$400,SF_Output!$AC$1:$AC$400,_xlfn.TEXTJOIN(",",TRUE,$B275:$E275),SF_Output!$Q$1:$Q$400,"monthly"))/V275)),AF275="exclusion",-(SUMIFS(SF_Output!$T$1:$T$400,SF_Output!$AC$1:$AC$400,_xlfn.TEXTJOIN(",",TRUE,$B275:$E275),SF_Output!$Q$1:$Q$400,"monthly"))/V275)</f>
        <v/>
      </c>
      <c r="X275" s="6" t="str" cm="1">
        <f t="array" ref="X275">IFERROR(_xlfn.IFS(V275=0,0,V275="","",W275=0,V275,OR(V275&lt;&gt;0,V275&lt;&gt;""),H275*I275),V275*(1-W275))</f>
        <v/>
      </c>
    </row>
    <row r="276" spans="6:24" x14ac:dyDescent="0.25">
      <c r="F276" s="116" t="str">
        <f t="shared" si="16"/>
        <v/>
      </c>
      <c r="G276" t="str">
        <f>IF(B276="","",INDEX(SF_Output!$K$1:$K$400,MATCH(B276,SF_Output!$M$1:$M$400,0)))</f>
        <v/>
      </c>
      <c r="H276" t="str" cm="1">
        <f t="array" ref="H276">_xlfn.IFS(B276="","",(SUMIFS(SF_Output!$F$1:$F$400,SF_Output!$AC$1:$AC$400,_xlfn.TEXTJOIN(",",TRUE,B276:E276))+SUMIFS(SF_Output!$G$1:$G$400,SF_Output!$AC$1:$AC$400,_xlfn.TEXTJOIN(",",TRUE,B276:E276)))&lt;&gt;0,SF_Output!$Y$2,INDEX(SF_Output!$F$1:$F$400,MATCH(_xlfn.TEXTJOIN(",",TRUE,B276:E276),SF_Output!$AC$1:$AC$400,0))=0,INDEX(SF_Output!$R$1:$R$400,MATCH(_xlfn.TEXTJOIN(",",TRUE,B276:E276),SF_Output!$AC$1:$AC$400,0)))</f>
        <v/>
      </c>
      <c r="I276" s="125" t="str">
        <f>IFERROR(IF(AND(H276&gt;1,H276&lt;&gt;""),ROUND(SUMIFS(SF_Output!$S$1:$S$400,SF_Output!$AC$1:$AC$400,_xlfn.TEXTJOIN(",",TRUE,B276:E276),SF_Output!$Q$1:$Q$400,"monthly")*(1-W276)/H276,4),""),"")</f>
        <v/>
      </c>
      <c r="J276" s="6" t="str">
        <f>IF(B276="","",SUMIFS(SF_Output!$S$1:$S$400,SF_Output!$AC$1:$AC$400,_xlfn.TEXTJOIN(",",TRUE,B276:E276),SF_Output!$Q$1:$Q$400,"One Time",SF_Output!$L$1:$L$400,"license fee")+SUMIFS(SF_Output!$S$1:$S$400,SF_Output!$AC$1:$AC$400,_xlfn.TEXTJOIN(",",TRUE,B276:E276),SF_Output!$Q$1:$Q$400,"One Time",SF_Output!$L$1:$L$400,"software license")+SUMIFS(SF_Output!$S$1:$S$400,SF_Output!$AC$1:$AC$400,_xlfn.TEXTJOIN(",",TRUE,B276:E276),SF_Output!$Q$1:$Q$400,"One Time",SF_Output!$L$1:$L$400,"hardware"))</f>
        <v/>
      </c>
      <c r="K276" s="112" t="str">
        <f>IF(OR(B276=0,B276="",G276="hardware",J276=0),"",IF(AF276&lt;&gt;"exclusion",MAX(K$9,-((SUMIFS(SF_Output!$T$1:$T$400,SF_Output!$AC$1:$AC$400,_xlfn.TEXTJOIN(",",TRUE,$B276:$E276),SF_Output!$Q$1:$Q$400,"One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license"))/J276)))</f>
        <v/>
      </c>
      <c r="L276" s="6" t="str">
        <f t="shared" si="17"/>
        <v/>
      </c>
      <c r="N276" s="6" t="str">
        <f>IF(B276="","",SUMIFS(SF_Output!$S$1:$S$400,SF_Output!$AC$1:$AC$400,_xlfn.TEXTJOIN(",",TRUE,B276:E276),SF_Output!$Q$1:$Q$400,"One Time",SF_Output!$L$1:$L$400,"professional service"))</f>
        <v/>
      </c>
      <c r="O276" s="112" t="str">
        <f>IF(OR(B276=0,B276="",N276=0),"",IF(AF276&lt;&gt;"exclusion",MAX(O$9,-(SUMIFS(SF_Output!$T$1:$T$400,SF_Output!$AC$1:$AC$400,_xlfn.TEXTJOIN(",",TRUE,$B276:$E276),SF_Output!$Q$1:$Q$400,"One Time",SF_Output!$L$1:$L$400,"professional service"))/N276),-((SUMIFS(SF_Output!$T$1:$T$400,SF_Output!$AC$1:$AC$400,_xlfn.TEXTJOIN(",",TRUE,$B276:$E276),SF_Output!$Q$1:$Q$400,"One Time",SF_Output!$L$1:$L$400,"professional service")/N276))))</f>
        <v/>
      </c>
      <c r="P276" s="6" t="str">
        <f t="shared" si="18"/>
        <v/>
      </c>
      <c r="R276" s="6" t="str">
        <f>IF(B276="","",SUMIFS(SF_Output!$S$1:$S$400,SF_Output!$AC$1:$AC$400,_xlfn.TEXTJOIN(",",TRUE,B276:E276),SF_Output!$Q$1:$Q$400,"yearly")+SUMIFS(SF_Output!$S$1:$S$400,SF_Output!$AC$1:$AC$400,_xlfn.TEXTJOIN(",",TRUE,B276:E276),SF_Output!$Q$1:$Q$400,"quarterly")*4)</f>
        <v/>
      </c>
      <c r="S276" s="112" t="str">
        <f>IF(OR(B276=0,B276="",G276="hardware",R276=0),"",IF(AF276&lt;&gt;"exclusion",MAX(S$9,-(SUMIFS(SF_Output!$T$1:$T$400,SF_Output!$AC$1:$AC$400,_xlfn.TEXTJOIN(",",TRUE,$B276:$E276),SF_Output!$Q$1:$Q$400,"yearly"))/R276),-((SUMIFS(SF_Output!$T$1:$T$400,SF_Output!$AC$1:$AC$400,_xlfn.TEXTJOIN(",",TRUE,$B276:$E276),SF_Output!$Q$1:$Q$400,"yearly")/R276))))</f>
        <v/>
      </c>
      <c r="T276" s="6" t="str">
        <f t="shared" si="19"/>
        <v/>
      </c>
      <c r="V276" s="6" t="str" cm="1">
        <f t="array" ref="V276">_xlfn.IFS(B276="","",AND(B276&lt;&gt;"",H276=SF_Output!$Y$2,SUMIFS(SF_Output!$T$1:$T$400,SF_Output!$AC$1:$AC$400,_xlfn.TEXTJOIN(",",TRUE,B276:E276),SF_Output!$Q$1:$Q$400,"monthly")=0),(SUMIFS(SF_Output!$F$1:$F$400,SF_Output!$AC$1:$AC$400,_xlfn.TEXTJOIN(",",TRUE,B276:E276),SF_Output!$Q$1:$Q$400,"monthly")+SUMIFS(SF_Output!$G$1:$G$400,SF_Output!$AC$1:$AC$400,_xlfn.TEXTJOIN(",",TRUE,B276:E276),SF_Output!$Q$1:$Q$400,"monthly"))*H276,AND(B276&lt;&gt;"",H276=SF_Output!$Y$2,SUMIFS(SF_Output!$T$1:$T$400,SF_Output!$AC$1:$AC$400,_xlfn.TEXTJOIN(",",TRUE,B276:E276),SF_Output!$Q$1:$Q$400,"monthly")&lt;&gt;0),SUMIFS(SF_Output!$S$1:$S$400,SF_Output!$AC$1:$AC$400,_xlfn.TEXTJOIN(",",TRUE,B276:E276),SF_Output!$Q$1:$Q$400,"monthly"),AND(B276&lt;&gt;"",H276&lt;&gt;SF_Output!$Y$2),SUMIFS(SF_Output!$S$1:$S$400,SF_Output!$AC$1:$AC$400,_xlfn.TEXTJOIN(",",TRUE,B276:E276),SF_Output!$Q$1:$Q$400,"monthly"))</f>
        <v/>
      </c>
      <c r="W276" s="112" t="str" cm="1">
        <f t="array" ref="W276">_xlfn.IFS(OR(B276=0,B276="",V276=0),"",AF276&lt;&gt;"exclusion",MAX($W$9,$W$7,(-(SUMIFS(SF_Output!$T$1:$T$400,SF_Output!$AC$1:$AC$400,_xlfn.TEXTJOIN(",",TRUE,$B276:$E276),SF_Output!$Q$1:$Q$400,"monthly"))/V276)),AF276="exclusion",-(SUMIFS(SF_Output!$T$1:$T$400,SF_Output!$AC$1:$AC$400,_xlfn.TEXTJOIN(",",TRUE,$B276:$E276),SF_Output!$Q$1:$Q$400,"monthly"))/V276)</f>
        <v/>
      </c>
      <c r="X276" s="6" t="str" cm="1">
        <f t="array" ref="X276">IFERROR(_xlfn.IFS(V276=0,0,V276="","",W276=0,V276,OR(V276&lt;&gt;0,V276&lt;&gt;""),H276*I276),V276*(1-W276))</f>
        <v/>
      </c>
    </row>
    <row r="277" spans="6:24" x14ac:dyDescent="0.25">
      <c r="F277" s="116" t="str">
        <f t="shared" si="16"/>
        <v/>
      </c>
      <c r="G277" t="str">
        <f>IF(B277="","",INDEX(SF_Output!$K$1:$K$400,MATCH(B277,SF_Output!$M$1:$M$400,0)))</f>
        <v/>
      </c>
      <c r="H277" t="str" cm="1">
        <f t="array" ref="H277">_xlfn.IFS(B277="","",(SUMIFS(SF_Output!$F$1:$F$400,SF_Output!$AC$1:$AC$400,_xlfn.TEXTJOIN(",",TRUE,B277:E277))+SUMIFS(SF_Output!$G$1:$G$400,SF_Output!$AC$1:$AC$400,_xlfn.TEXTJOIN(",",TRUE,B277:E277)))&lt;&gt;0,SF_Output!$Y$2,INDEX(SF_Output!$F$1:$F$400,MATCH(_xlfn.TEXTJOIN(",",TRUE,B277:E277),SF_Output!$AC$1:$AC$400,0))=0,INDEX(SF_Output!$R$1:$R$400,MATCH(_xlfn.TEXTJOIN(",",TRUE,B277:E277),SF_Output!$AC$1:$AC$400,0)))</f>
        <v/>
      </c>
      <c r="I277" s="125" t="str">
        <f>IFERROR(IF(AND(H277&gt;1,H277&lt;&gt;""),ROUND(SUMIFS(SF_Output!$S$1:$S$400,SF_Output!$AC$1:$AC$400,_xlfn.TEXTJOIN(",",TRUE,B277:E277),SF_Output!$Q$1:$Q$400,"monthly")*(1-W277)/H277,4),""),"")</f>
        <v/>
      </c>
      <c r="J277" s="6" t="str">
        <f>IF(B277="","",SUMIFS(SF_Output!$S$1:$S$400,SF_Output!$AC$1:$AC$400,_xlfn.TEXTJOIN(",",TRUE,B277:E277),SF_Output!$Q$1:$Q$400,"One Time",SF_Output!$L$1:$L$400,"license fee")+SUMIFS(SF_Output!$S$1:$S$400,SF_Output!$AC$1:$AC$400,_xlfn.TEXTJOIN(",",TRUE,B277:E277),SF_Output!$Q$1:$Q$400,"One Time",SF_Output!$L$1:$L$400,"software license")+SUMIFS(SF_Output!$S$1:$S$400,SF_Output!$AC$1:$AC$400,_xlfn.TEXTJOIN(",",TRUE,B277:E277),SF_Output!$Q$1:$Q$400,"One Time",SF_Output!$L$1:$L$400,"hardware"))</f>
        <v/>
      </c>
      <c r="K277" s="112" t="str">
        <f>IF(OR(B277=0,B277="",G277="hardware",J277=0),"",IF(AF277&lt;&gt;"exclusion",MAX(K$9,-((SUMIFS(SF_Output!$T$1:$T$400,SF_Output!$AC$1:$AC$400,_xlfn.TEXTJOIN(",",TRUE,$B277:$E277),SF_Output!$Q$1:$Q$400,"One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license"))/J277)))</f>
        <v/>
      </c>
      <c r="L277" s="6" t="str">
        <f t="shared" si="17"/>
        <v/>
      </c>
      <c r="N277" s="6" t="str">
        <f>IF(B277="","",SUMIFS(SF_Output!$S$1:$S$400,SF_Output!$AC$1:$AC$400,_xlfn.TEXTJOIN(",",TRUE,B277:E277),SF_Output!$Q$1:$Q$400,"One Time",SF_Output!$L$1:$L$400,"professional service"))</f>
        <v/>
      </c>
      <c r="O277" s="112" t="str">
        <f>IF(OR(B277=0,B277="",N277=0),"",IF(AF277&lt;&gt;"exclusion",MAX(O$9,-(SUMIFS(SF_Output!$T$1:$T$400,SF_Output!$AC$1:$AC$400,_xlfn.TEXTJOIN(",",TRUE,$B277:$E277),SF_Output!$Q$1:$Q$400,"One Time",SF_Output!$L$1:$L$400,"professional service"))/N277),-((SUMIFS(SF_Output!$T$1:$T$400,SF_Output!$AC$1:$AC$400,_xlfn.TEXTJOIN(",",TRUE,$B277:$E277),SF_Output!$Q$1:$Q$400,"One Time",SF_Output!$L$1:$L$400,"professional service")/N277))))</f>
        <v/>
      </c>
      <c r="P277" s="6" t="str">
        <f t="shared" si="18"/>
        <v/>
      </c>
      <c r="R277" s="6" t="str">
        <f>IF(B277="","",SUMIFS(SF_Output!$S$1:$S$400,SF_Output!$AC$1:$AC$400,_xlfn.TEXTJOIN(",",TRUE,B277:E277),SF_Output!$Q$1:$Q$400,"yearly")+SUMIFS(SF_Output!$S$1:$S$400,SF_Output!$AC$1:$AC$400,_xlfn.TEXTJOIN(",",TRUE,B277:E277),SF_Output!$Q$1:$Q$400,"quarterly")*4)</f>
        <v/>
      </c>
      <c r="S277" s="112" t="str">
        <f>IF(OR(B277=0,B277="",G277="hardware",R277=0),"",IF(AF277&lt;&gt;"exclusion",MAX(S$9,-(SUMIFS(SF_Output!$T$1:$T$400,SF_Output!$AC$1:$AC$400,_xlfn.TEXTJOIN(",",TRUE,$B277:$E277),SF_Output!$Q$1:$Q$400,"yearly"))/R277),-((SUMIFS(SF_Output!$T$1:$T$400,SF_Output!$AC$1:$AC$400,_xlfn.TEXTJOIN(",",TRUE,$B277:$E277),SF_Output!$Q$1:$Q$400,"yearly")/R277))))</f>
        <v/>
      </c>
      <c r="T277" s="6" t="str">
        <f t="shared" si="19"/>
        <v/>
      </c>
      <c r="V277" s="6" t="str" cm="1">
        <f t="array" ref="V277">_xlfn.IFS(B277="","",AND(B277&lt;&gt;"",H277=SF_Output!$Y$2,SUMIFS(SF_Output!$T$1:$T$400,SF_Output!$AC$1:$AC$400,_xlfn.TEXTJOIN(",",TRUE,B277:E277),SF_Output!$Q$1:$Q$400,"monthly")=0),(SUMIFS(SF_Output!$F$1:$F$400,SF_Output!$AC$1:$AC$400,_xlfn.TEXTJOIN(",",TRUE,B277:E277),SF_Output!$Q$1:$Q$400,"monthly")+SUMIFS(SF_Output!$G$1:$G$400,SF_Output!$AC$1:$AC$400,_xlfn.TEXTJOIN(",",TRUE,B277:E277),SF_Output!$Q$1:$Q$400,"monthly"))*H277,AND(B277&lt;&gt;"",H277=SF_Output!$Y$2,SUMIFS(SF_Output!$T$1:$T$400,SF_Output!$AC$1:$AC$400,_xlfn.TEXTJOIN(",",TRUE,B277:E277),SF_Output!$Q$1:$Q$400,"monthly")&lt;&gt;0),SUMIFS(SF_Output!$S$1:$S$400,SF_Output!$AC$1:$AC$400,_xlfn.TEXTJOIN(",",TRUE,B277:E277),SF_Output!$Q$1:$Q$400,"monthly"),AND(B277&lt;&gt;"",H277&lt;&gt;SF_Output!$Y$2),SUMIFS(SF_Output!$S$1:$S$400,SF_Output!$AC$1:$AC$400,_xlfn.TEXTJOIN(",",TRUE,B277:E277),SF_Output!$Q$1:$Q$400,"monthly"))</f>
        <v/>
      </c>
      <c r="W277" s="112" t="str" cm="1">
        <f t="array" ref="W277">_xlfn.IFS(OR(B277=0,B277="",V277=0),"",AF277&lt;&gt;"exclusion",MAX($W$9,$W$7,(-(SUMIFS(SF_Output!$T$1:$T$400,SF_Output!$AC$1:$AC$400,_xlfn.TEXTJOIN(",",TRUE,$B277:$E277),SF_Output!$Q$1:$Q$400,"monthly"))/V277)),AF277="exclusion",-(SUMIFS(SF_Output!$T$1:$T$400,SF_Output!$AC$1:$AC$400,_xlfn.TEXTJOIN(",",TRUE,$B277:$E277),SF_Output!$Q$1:$Q$400,"monthly"))/V277)</f>
        <v/>
      </c>
      <c r="X277" s="6" t="str" cm="1">
        <f t="array" ref="X277">IFERROR(_xlfn.IFS(V277=0,0,V277="","",W277=0,V277,OR(V277&lt;&gt;0,V277&lt;&gt;""),H277*I277),V277*(1-W277))</f>
        <v/>
      </c>
    </row>
    <row r="278" spans="6:24" x14ac:dyDescent="0.25">
      <c r="F278" s="116" t="str">
        <f t="shared" si="16"/>
        <v/>
      </c>
      <c r="G278" t="str">
        <f>IF(B278="","",INDEX(SF_Output!$K$1:$K$400,MATCH(B278,SF_Output!$M$1:$M$400,0)))</f>
        <v/>
      </c>
      <c r="H278" t="str" cm="1">
        <f t="array" ref="H278">_xlfn.IFS(B278="","",(SUMIFS(SF_Output!$F$1:$F$400,SF_Output!$AC$1:$AC$400,_xlfn.TEXTJOIN(",",TRUE,B278:E278))+SUMIFS(SF_Output!$G$1:$G$400,SF_Output!$AC$1:$AC$400,_xlfn.TEXTJOIN(",",TRUE,B278:E278)))&lt;&gt;0,SF_Output!$Y$2,INDEX(SF_Output!$F$1:$F$400,MATCH(_xlfn.TEXTJOIN(",",TRUE,B278:E278),SF_Output!$AC$1:$AC$400,0))=0,INDEX(SF_Output!$R$1:$R$400,MATCH(_xlfn.TEXTJOIN(",",TRUE,B278:E278),SF_Output!$AC$1:$AC$400,0)))</f>
        <v/>
      </c>
      <c r="I278" s="125" t="str">
        <f>IFERROR(IF(AND(H278&gt;1,H278&lt;&gt;""),ROUND(SUMIFS(SF_Output!$S$1:$S$400,SF_Output!$AC$1:$AC$400,_xlfn.TEXTJOIN(",",TRUE,B278:E278),SF_Output!$Q$1:$Q$400,"monthly")*(1-W278)/H278,4),""),"")</f>
        <v/>
      </c>
      <c r="J278" s="6" t="str">
        <f>IF(B278="","",SUMIFS(SF_Output!$S$1:$S$400,SF_Output!$AC$1:$AC$400,_xlfn.TEXTJOIN(",",TRUE,B278:E278),SF_Output!$Q$1:$Q$400,"One Time",SF_Output!$L$1:$L$400,"license fee")+SUMIFS(SF_Output!$S$1:$S$400,SF_Output!$AC$1:$AC$400,_xlfn.TEXTJOIN(",",TRUE,B278:E278),SF_Output!$Q$1:$Q$400,"One Time",SF_Output!$L$1:$L$400,"software license")+SUMIFS(SF_Output!$S$1:$S$400,SF_Output!$AC$1:$AC$400,_xlfn.TEXTJOIN(",",TRUE,B278:E278),SF_Output!$Q$1:$Q$400,"One Time",SF_Output!$L$1:$L$400,"hardware"))</f>
        <v/>
      </c>
      <c r="K278" s="112" t="str">
        <f>IF(OR(B278=0,B278="",G278="hardware",J278=0),"",IF(AF278&lt;&gt;"exclusion",MAX(K$9,-((SUMIFS(SF_Output!$T$1:$T$400,SF_Output!$AC$1:$AC$400,_xlfn.TEXTJOIN(",",TRUE,$B278:$E278),SF_Output!$Q$1:$Q$400,"One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license"))/J278)))</f>
        <v/>
      </c>
      <c r="L278" s="6" t="str">
        <f t="shared" si="17"/>
        <v/>
      </c>
      <c r="N278" s="6" t="str">
        <f>IF(B278="","",SUMIFS(SF_Output!$S$1:$S$400,SF_Output!$AC$1:$AC$400,_xlfn.TEXTJOIN(",",TRUE,B278:E278),SF_Output!$Q$1:$Q$400,"One Time",SF_Output!$L$1:$L$400,"professional service"))</f>
        <v/>
      </c>
      <c r="O278" s="112" t="str">
        <f>IF(OR(B278=0,B278="",N278=0),"",IF(AF278&lt;&gt;"exclusion",MAX(O$9,-(SUMIFS(SF_Output!$T$1:$T$400,SF_Output!$AC$1:$AC$400,_xlfn.TEXTJOIN(",",TRUE,$B278:$E278),SF_Output!$Q$1:$Q$400,"One Time",SF_Output!$L$1:$L$400,"professional service"))/N278),-((SUMIFS(SF_Output!$T$1:$T$400,SF_Output!$AC$1:$AC$400,_xlfn.TEXTJOIN(",",TRUE,$B278:$E278),SF_Output!$Q$1:$Q$400,"One Time",SF_Output!$L$1:$L$400,"professional service")/N278))))</f>
        <v/>
      </c>
      <c r="P278" s="6" t="str">
        <f t="shared" si="18"/>
        <v/>
      </c>
      <c r="R278" s="6" t="str">
        <f>IF(B278="","",SUMIFS(SF_Output!$S$1:$S$400,SF_Output!$AC$1:$AC$400,_xlfn.TEXTJOIN(",",TRUE,B278:E278),SF_Output!$Q$1:$Q$400,"yearly")+SUMIFS(SF_Output!$S$1:$S$400,SF_Output!$AC$1:$AC$400,_xlfn.TEXTJOIN(",",TRUE,B278:E278),SF_Output!$Q$1:$Q$400,"quarterly")*4)</f>
        <v/>
      </c>
      <c r="S278" s="112" t="str">
        <f>IF(OR(B278=0,B278="",G278="hardware",R278=0),"",IF(AF278&lt;&gt;"exclusion",MAX(S$9,-(SUMIFS(SF_Output!$T$1:$T$400,SF_Output!$AC$1:$AC$400,_xlfn.TEXTJOIN(",",TRUE,$B278:$E278),SF_Output!$Q$1:$Q$400,"yearly"))/R278),-((SUMIFS(SF_Output!$T$1:$T$400,SF_Output!$AC$1:$AC$400,_xlfn.TEXTJOIN(",",TRUE,$B278:$E278),SF_Output!$Q$1:$Q$400,"yearly")/R278))))</f>
        <v/>
      </c>
      <c r="T278" s="6" t="str">
        <f t="shared" si="19"/>
        <v/>
      </c>
      <c r="V278" s="6" t="str" cm="1">
        <f t="array" ref="V278">_xlfn.IFS(B278="","",AND(B278&lt;&gt;"",H278=SF_Output!$Y$2,SUMIFS(SF_Output!$T$1:$T$400,SF_Output!$AC$1:$AC$400,_xlfn.TEXTJOIN(",",TRUE,B278:E278),SF_Output!$Q$1:$Q$400,"monthly")=0),(SUMIFS(SF_Output!$F$1:$F$400,SF_Output!$AC$1:$AC$400,_xlfn.TEXTJOIN(",",TRUE,B278:E278),SF_Output!$Q$1:$Q$400,"monthly")+SUMIFS(SF_Output!$G$1:$G$400,SF_Output!$AC$1:$AC$400,_xlfn.TEXTJOIN(",",TRUE,B278:E278),SF_Output!$Q$1:$Q$400,"monthly"))*H278,AND(B278&lt;&gt;"",H278=SF_Output!$Y$2,SUMIFS(SF_Output!$T$1:$T$400,SF_Output!$AC$1:$AC$400,_xlfn.TEXTJOIN(",",TRUE,B278:E278),SF_Output!$Q$1:$Q$400,"monthly")&lt;&gt;0),SUMIFS(SF_Output!$S$1:$S$400,SF_Output!$AC$1:$AC$400,_xlfn.TEXTJOIN(",",TRUE,B278:E278),SF_Output!$Q$1:$Q$400,"monthly"),AND(B278&lt;&gt;"",H278&lt;&gt;SF_Output!$Y$2),SUMIFS(SF_Output!$S$1:$S$400,SF_Output!$AC$1:$AC$400,_xlfn.TEXTJOIN(",",TRUE,B278:E278),SF_Output!$Q$1:$Q$400,"monthly"))</f>
        <v/>
      </c>
      <c r="W278" s="112" t="str" cm="1">
        <f t="array" ref="W278">_xlfn.IFS(OR(B278=0,B278="",V278=0),"",AF278&lt;&gt;"exclusion",MAX($W$9,$W$7,(-(SUMIFS(SF_Output!$T$1:$T$400,SF_Output!$AC$1:$AC$400,_xlfn.TEXTJOIN(",",TRUE,$B278:$E278),SF_Output!$Q$1:$Q$400,"monthly"))/V278)),AF278="exclusion",-(SUMIFS(SF_Output!$T$1:$T$400,SF_Output!$AC$1:$AC$400,_xlfn.TEXTJOIN(",",TRUE,$B278:$E278),SF_Output!$Q$1:$Q$400,"monthly"))/V278)</f>
        <v/>
      </c>
      <c r="X278" s="6" t="str" cm="1">
        <f t="array" ref="X278">IFERROR(_xlfn.IFS(V278=0,0,V278="","",W278=0,V278,OR(V278&lt;&gt;0,V278&lt;&gt;""),H278*I278),V278*(1-W278))</f>
        <v/>
      </c>
    </row>
    <row r="279" spans="6:24" x14ac:dyDescent="0.25">
      <c r="F279" s="116" t="str">
        <f t="shared" si="16"/>
        <v/>
      </c>
      <c r="G279" t="str">
        <f>IF(B279="","",INDEX(SF_Output!$K$1:$K$400,MATCH(B279,SF_Output!$M$1:$M$400,0)))</f>
        <v/>
      </c>
      <c r="H279" t="str" cm="1">
        <f t="array" ref="H279">_xlfn.IFS(B279="","",(SUMIFS(SF_Output!$F$1:$F$400,SF_Output!$AC$1:$AC$400,_xlfn.TEXTJOIN(",",TRUE,B279:E279))+SUMIFS(SF_Output!$G$1:$G$400,SF_Output!$AC$1:$AC$400,_xlfn.TEXTJOIN(",",TRUE,B279:E279)))&lt;&gt;0,SF_Output!$Y$2,INDEX(SF_Output!$F$1:$F$400,MATCH(_xlfn.TEXTJOIN(",",TRUE,B279:E279),SF_Output!$AC$1:$AC$400,0))=0,INDEX(SF_Output!$R$1:$R$400,MATCH(_xlfn.TEXTJOIN(",",TRUE,B279:E279),SF_Output!$AC$1:$AC$400,0)))</f>
        <v/>
      </c>
      <c r="I279" s="125" t="str">
        <f>IFERROR(IF(AND(H279&gt;1,H279&lt;&gt;""),ROUND(SUMIFS(SF_Output!$S$1:$S$400,SF_Output!$AC$1:$AC$400,_xlfn.TEXTJOIN(",",TRUE,B279:E279),SF_Output!$Q$1:$Q$400,"monthly")*(1-W279)/H279,4),""),"")</f>
        <v/>
      </c>
      <c r="J279" s="6" t="str">
        <f>IF(B279="","",SUMIFS(SF_Output!$S$1:$S$400,SF_Output!$AC$1:$AC$400,_xlfn.TEXTJOIN(",",TRUE,B279:E279),SF_Output!$Q$1:$Q$400,"One Time",SF_Output!$L$1:$L$400,"license fee")+SUMIFS(SF_Output!$S$1:$S$400,SF_Output!$AC$1:$AC$400,_xlfn.TEXTJOIN(",",TRUE,B279:E279),SF_Output!$Q$1:$Q$400,"One Time",SF_Output!$L$1:$L$400,"software license")+SUMIFS(SF_Output!$S$1:$S$400,SF_Output!$AC$1:$AC$400,_xlfn.TEXTJOIN(",",TRUE,B279:E279),SF_Output!$Q$1:$Q$400,"One Time",SF_Output!$L$1:$L$400,"hardware"))</f>
        <v/>
      </c>
      <c r="K279" s="112" t="str">
        <f>IF(OR(B279=0,B279="",G279="hardware",J279=0),"",IF(AF279&lt;&gt;"exclusion",MAX(K$9,-((SUMIFS(SF_Output!$T$1:$T$400,SF_Output!$AC$1:$AC$400,_xlfn.TEXTJOIN(",",TRUE,$B279:$E279),SF_Output!$Q$1:$Q$400,"One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license"))/J279)))</f>
        <v/>
      </c>
      <c r="L279" s="6" t="str">
        <f t="shared" si="17"/>
        <v/>
      </c>
      <c r="N279" s="6" t="str">
        <f>IF(B279="","",SUMIFS(SF_Output!$S$1:$S$400,SF_Output!$AC$1:$AC$400,_xlfn.TEXTJOIN(",",TRUE,B279:E279),SF_Output!$Q$1:$Q$400,"One Time",SF_Output!$L$1:$L$400,"professional service"))</f>
        <v/>
      </c>
      <c r="O279" s="112" t="str">
        <f>IF(OR(B279=0,B279="",N279=0),"",IF(AF279&lt;&gt;"exclusion",MAX(O$9,-(SUMIFS(SF_Output!$T$1:$T$400,SF_Output!$AC$1:$AC$400,_xlfn.TEXTJOIN(",",TRUE,$B279:$E279),SF_Output!$Q$1:$Q$400,"One Time",SF_Output!$L$1:$L$400,"professional service"))/N279),-((SUMIFS(SF_Output!$T$1:$T$400,SF_Output!$AC$1:$AC$400,_xlfn.TEXTJOIN(",",TRUE,$B279:$E279),SF_Output!$Q$1:$Q$400,"One Time",SF_Output!$L$1:$L$400,"professional service")/N279))))</f>
        <v/>
      </c>
      <c r="P279" s="6" t="str">
        <f t="shared" si="18"/>
        <v/>
      </c>
      <c r="R279" s="6" t="str">
        <f>IF(B279="","",SUMIFS(SF_Output!$S$1:$S$400,SF_Output!$AC$1:$AC$400,_xlfn.TEXTJOIN(",",TRUE,B279:E279),SF_Output!$Q$1:$Q$400,"yearly")+SUMIFS(SF_Output!$S$1:$S$400,SF_Output!$AC$1:$AC$400,_xlfn.TEXTJOIN(",",TRUE,B279:E279),SF_Output!$Q$1:$Q$400,"quarterly")*4)</f>
        <v/>
      </c>
      <c r="S279" s="112" t="str">
        <f>IF(OR(B279=0,B279="",G279="hardware",R279=0),"",IF(AF279&lt;&gt;"exclusion",MAX(S$9,-(SUMIFS(SF_Output!$T$1:$T$400,SF_Output!$AC$1:$AC$400,_xlfn.TEXTJOIN(",",TRUE,$B279:$E279),SF_Output!$Q$1:$Q$400,"yearly"))/R279),-((SUMIFS(SF_Output!$T$1:$T$400,SF_Output!$AC$1:$AC$400,_xlfn.TEXTJOIN(",",TRUE,$B279:$E279),SF_Output!$Q$1:$Q$400,"yearly")/R279))))</f>
        <v/>
      </c>
      <c r="T279" s="6" t="str">
        <f t="shared" si="19"/>
        <v/>
      </c>
      <c r="V279" s="6" t="str" cm="1">
        <f t="array" ref="V279">_xlfn.IFS(B279="","",AND(B279&lt;&gt;"",H279=SF_Output!$Y$2,SUMIFS(SF_Output!$T$1:$T$400,SF_Output!$AC$1:$AC$400,_xlfn.TEXTJOIN(",",TRUE,B279:E279),SF_Output!$Q$1:$Q$400,"monthly")=0),(SUMIFS(SF_Output!$F$1:$F$400,SF_Output!$AC$1:$AC$400,_xlfn.TEXTJOIN(",",TRUE,B279:E279),SF_Output!$Q$1:$Q$400,"monthly")+SUMIFS(SF_Output!$G$1:$G$400,SF_Output!$AC$1:$AC$400,_xlfn.TEXTJOIN(",",TRUE,B279:E279),SF_Output!$Q$1:$Q$400,"monthly"))*H279,AND(B279&lt;&gt;"",H279=SF_Output!$Y$2,SUMIFS(SF_Output!$T$1:$T$400,SF_Output!$AC$1:$AC$400,_xlfn.TEXTJOIN(",",TRUE,B279:E279),SF_Output!$Q$1:$Q$400,"monthly")&lt;&gt;0),SUMIFS(SF_Output!$S$1:$S$400,SF_Output!$AC$1:$AC$400,_xlfn.TEXTJOIN(",",TRUE,B279:E279),SF_Output!$Q$1:$Q$400,"monthly"),AND(B279&lt;&gt;"",H279&lt;&gt;SF_Output!$Y$2),SUMIFS(SF_Output!$S$1:$S$400,SF_Output!$AC$1:$AC$400,_xlfn.TEXTJOIN(",",TRUE,B279:E279),SF_Output!$Q$1:$Q$400,"monthly"))</f>
        <v/>
      </c>
      <c r="W279" s="112" t="str" cm="1">
        <f t="array" ref="W279">_xlfn.IFS(OR(B279=0,B279="",V279=0),"",AF279&lt;&gt;"exclusion",MAX($W$9,$W$7,(-(SUMIFS(SF_Output!$T$1:$T$400,SF_Output!$AC$1:$AC$400,_xlfn.TEXTJOIN(",",TRUE,$B279:$E279),SF_Output!$Q$1:$Q$400,"monthly"))/V279)),AF279="exclusion",-(SUMIFS(SF_Output!$T$1:$T$400,SF_Output!$AC$1:$AC$400,_xlfn.TEXTJOIN(",",TRUE,$B279:$E279),SF_Output!$Q$1:$Q$400,"monthly"))/V279)</f>
        <v/>
      </c>
      <c r="X279" s="6" t="str" cm="1">
        <f t="array" ref="X279">IFERROR(_xlfn.IFS(V279=0,0,V279="","",W279=0,V279,OR(V279&lt;&gt;0,V279&lt;&gt;""),H279*I279),V279*(1-W279))</f>
        <v/>
      </c>
    </row>
    <row r="280" spans="6:24" x14ac:dyDescent="0.25">
      <c r="F280" s="116" t="str">
        <f t="shared" si="16"/>
        <v/>
      </c>
      <c r="G280" t="str">
        <f>IF(B280="","",INDEX(SF_Output!$K$1:$K$400,MATCH(B280,SF_Output!$M$1:$M$400,0)))</f>
        <v/>
      </c>
      <c r="H280" t="str" cm="1">
        <f t="array" ref="H280">_xlfn.IFS(B280="","",(SUMIFS(SF_Output!$F$1:$F$400,SF_Output!$AC$1:$AC$400,_xlfn.TEXTJOIN(",",TRUE,B280:E280))+SUMIFS(SF_Output!$G$1:$G$400,SF_Output!$AC$1:$AC$400,_xlfn.TEXTJOIN(",",TRUE,B280:E280)))&lt;&gt;0,SF_Output!$Y$2,INDEX(SF_Output!$F$1:$F$400,MATCH(_xlfn.TEXTJOIN(",",TRUE,B280:E280),SF_Output!$AC$1:$AC$400,0))=0,INDEX(SF_Output!$R$1:$R$400,MATCH(_xlfn.TEXTJOIN(",",TRUE,B280:E280),SF_Output!$AC$1:$AC$400,0)))</f>
        <v/>
      </c>
      <c r="I280" s="125" t="str">
        <f>IFERROR(IF(AND(H280&gt;1,H280&lt;&gt;""),ROUND(SUMIFS(SF_Output!$S$1:$S$400,SF_Output!$AC$1:$AC$400,_xlfn.TEXTJOIN(",",TRUE,B280:E280),SF_Output!$Q$1:$Q$400,"monthly")*(1-W280)/H280,4),""),"")</f>
        <v/>
      </c>
      <c r="J280" s="6" t="str">
        <f>IF(B280="","",SUMIFS(SF_Output!$S$1:$S$400,SF_Output!$AC$1:$AC$400,_xlfn.TEXTJOIN(",",TRUE,B280:E280),SF_Output!$Q$1:$Q$400,"One Time",SF_Output!$L$1:$L$400,"license fee")+SUMIFS(SF_Output!$S$1:$S$400,SF_Output!$AC$1:$AC$400,_xlfn.TEXTJOIN(",",TRUE,B280:E280),SF_Output!$Q$1:$Q$400,"One Time",SF_Output!$L$1:$L$400,"software license")+SUMIFS(SF_Output!$S$1:$S$400,SF_Output!$AC$1:$AC$400,_xlfn.TEXTJOIN(",",TRUE,B280:E280),SF_Output!$Q$1:$Q$400,"One Time",SF_Output!$L$1:$L$400,"hardware"))</f>
        <v/>
      </c>
      <c r="K280" s="112" t="str">
        <f>IF(OR(B280=0,B280="",G280="hardware",J280=0),"",IF(AF280&lt;&gt;"exclusion",MAX(K$9,-((SUMIFS(SF_Output!$T$1:$T$400,SF_Output!$AC$1:$AC$400,_xlfn.TEXTJOIN(",",TRUE,$B280:$E280),SF_Output!$Q$1:$Q$400,"One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license"))/J280)))</f>
        <v/>
      </c>
      <c r="L280" s="6" t="str">
        <f t="shared" si="17"/>
        <v/>
      </c>
      <c r="N280" s="6" t="str">
        <f>IF(B280="","",SUMIFS(SF_Output!$S$1:$S$400,SF_Output!$AC$1:$AC$400,_xlfn.TEXTJOIN(",",TRUE,B280:E280),SF_Output!$Q$1:$Q$400,"One Time",SF_Output!$L$1:$L$400,"professional service"))</f>
        <v/>
      </c>
      <c r="O280" s="112" t="str">
        <f>IF(OR(B280=0,B280="",N280=0),"",IF(AF280&lt;&gt;"exclusion",MAX(O$9,-(SUMIFS(SF_Output!$T$1:$T$400,SF_Output!$AC$1:$AC$400,_xlfn.TEXTJOIN(",",TRUE,$B280:$E280),SF_Output!$Q$1:$Q$400,"One Time",SF_Output!$L$1:$L$400,"professional service"))/N280),-((SUMIFS(SF_Output!$T$1:$T$400,SF_Output!$AC$1:$AC$400,_xlfn.TEXTJOIN(",",TRUE,$B280:$E280),SF_Output!$Q$1:$Q$400,"One Time",SF_Output!$L$1:$L$400,"professional service")/N280))))</f>
        <v/>
      </c>
      <c r="P280" s="6" t="str">
        <f t="shared" si="18"/>
        <v/>
      </c>
      <c r="R280" s="6" t="str">
        <f>IF(B280="","",SUMIFS(SF_Output!$S$1:$S$400,SF_Output!$AC$1:$AC$400,_xlfn.TEXTJOIN(",",TRUE,B280:E280),SF_Output!$Q$1:$Q$400,"yearly")+SUMIFS(SF_Output!$S$1:$S$400,SF_Output!$AC$1:$AC$400,_xlfn.TEXTJOIN(",",TRUE,B280:E280),SF_Output!$Q$1:$Q$400,"quarterly")*4)</f>
        <v/>
      </c>
      <c r="S280" s="112" t="str">
        <f>IF(OR(B280=0,B280="",G280="hardware",R280=0),"",IF(AF280&lt;&gt;"exclusion",MAX(S$9,-(SUMIFS(SF_Output!$T$1:$T$400,SF_Output!$AC$1:$AC$400,_xlfn.TEXTJOIN(",",TRUE,$B280:$E280),SF_Output!$Q$1:$Q$400,"yearly"))/R280),-((SUMIFS(SF_Output!$T$1:$T$400,SF_Output!$AC$1:$AC$400,_xlfn.TEXTJOIN(",",TRUE,$B280:$E280),SF_Output!$Q$1:$Q$400,"yearly")/R280))))</f>
        <v/>
      </c>
      <c r="T280" s="6" t="str">
        <f t="shared" si="19"/>
        <v/>
      </c>
      <c r="V280" s="6" t="str" cm="1">
        <f t="array" ref="V280">_xlfn.IFS(B280="","",AND(B280&lt;&gt;"",H280=SF_Output!$Y$2,SUMIFS(SF_Output!$T$1:$T$400,SF_Output!$AC$1:$AC$400,_xlfn.TEXTJOIN(",",TRUE,B280:E280),SF_Output!$Q$1:$Q$400,"monthly")=0),(SUMIFS(SF_Output!$F$1:$F$400,SF_Output!$AC$1:$AC$400,_xlfn.TEXTJOIN(",",TRUE,B280:E280),SF_Output!$Q$1:$Q$400,"monthly")+SUMIFS(SF_Output!$G$1:$G$400,SF_Output!$AC$1:$AC$400,_xlfn.TEXTJOIN(",",TRUE,B280:E280),SF_Output!$Q$1:$Q$400,"monthly"))*H280,AND(B280&lt;&gt;"",H280=SF_Output!$Y$2,SUMIFS(SF_Output!$T$1:$T$400,SF_Output!$AC$1:$AC$400,_xlfn.TEXTJOIN(",",TRUE,B280:E280),SF_Output!$Q$1:$Q$400,"monthly")&lt;&gt;0),SUMIFS(SF_Output!$S$1:$S$400,SF_Output!$AC$1:$AC$400,_xlfn.TEXTJOIN(",",TRUE,B280:E280),SF_Output!$Q$1:$Q$400,"monthly"),AND(B280&lt;&gt;"",H280&lt;&gt;SF_Output!$Y$2),SUMIFS(SF_Output!$S$1:$S$400,SF_Output!$AC$1:$AC$400,_xlfn.TEXTJOIN(",",TRUE,B280:E280),SF_Output!$Q$1:$Q$400,"monthly"))</f>
        <v/>
      </c>
      <c r="W280" s="112" t="str" cm="1">
        <f t="array" ref="W280">_xlfn.IFS(OR(B280=0,B280="",V280=0),"",AF280&lt;&gt;"exclusion",MAX($W$9,$W$7,(-(SUMIFS(SF_Output!$T$1:$T$400,SF_Output!$AC$1:$AC$400,_xlfn.TEXTJOIN(",",TRUE,$B280:$E280),SF_Output!$Q$1:$Q$400,"monthly"))/V280)),AF280="exclusion",-(SUMIFS(SF_Output!$T$1:$T$400,SF_Output!$AC$1:$AC$400,_xlfn.TEXTJOIN(",",TRUE,$B280:$E280),SF_Output!$Q$1:$Q$400,"monthly"))/V280)</f>
        <v/>
      </c>
      <c r="X280" s="6" t="str" cm="1">
        <f t="array" ref="X280">IFERROR(_xlfn.IFS(V280=0,0,V280="","",W280=0,V280,OR(V280&lt;&gt;0,V280&lt;&gt;""),H280*I280),V280*(1-W280))</f>
        <v/>
      </c>
    </row>
    <row r="281" spans="6:24" x14ac:dyDescent="0.25">
      <c r="F281" s="116" t="str">
        <f t="shared" si="16"/>
        <v/>
      </c>
      <c r="G281" t="str">
        <f>IF(B281="","",INDEX(SF_Output!$K$1:$K$400,MATCH(B281,SF_Output!$M$1:$M$400,0)))</f>
        <v/>
      </c>
      <c r="H281" t="str" cm="1">
        <f t="array" ref="H281">_xlfn.IFS(B281="","",(SUMIFS(SF_Output!$F$1:$F$400,SF_Output!$AC$1:$AC$400,_xlfn.TEXTJOIN(",",TRUE,B281:E281))+SUMIFS(SF_Output!$G$1:$G$400,SF_Output!$AC$1:$AC$400,_xlfn.TEXTJOIN(",",TRUE,B281:E281)))&lt;&gt;0,SF_Output!$Y$2,INDEX(SF_Output!$F$1:$F$400,MATCH(_xlfn.TEXTJOIN(",",TRUE,B281:E281),SF_Output!$AC$1:$AC$400,0))=0,INDEX(SF_Output!$R$1:$R$400,MATCH(_xlfn.TEXTJOIN(",",TRUE,B281:E281),SF_Output!$AC$1:$AC$400,0)))</f>
        <v/>
      </c>
      <c r="I281" s="125" t="str">
        <f>IFERROR(IF(AND(H281&gt;1,H281&lt;&gt;""),ROUND(SUMIFS(SF_Output!$S$1:$S$400,SF_Output!$AC$1:$AC$400,_xlfn.TEXTJOIN(",",TRUE,B281:E281),SF_Output!$Q$1:$Q$400,"monthly")*(1-W281)/H281,4),""),"")</f>
        <v/>
      </c>
      <c r="J281" s="6" t="str">
        <f>IF(B281="","",SUMIFS(SF_Output!$S$1:$S$400,SF_Output!$AC$1:$AC$400,_xlfn.TEXTJOIN(",",TRUE,B281:E281),SF_Output!$Q$1:$Q$400,"One Time",SF_Output!$L$1:$L$400,"license fee")+SUMIFS(SF_Output!$S$1:$S$400,SF_Output!$AC$1:$AC$400,_xlfn.TEXTJOIN(",",TRUE,B281:E281),SF_Output!$Q$1:$Q$400,"One Time",SF_Output!$L$1:$L$400,"software license")+SUMIFS(SF_Output!$S$1:$S$400,SF_Output!$AC$1:$AC$400,_xlfn.TEXTJOIN(",",TRUE,B281:E281),SF_Output!$Q$1:$Q$400,"One Time",SF_Output!$L$1:$L$400,"hardware"))</f>
        <v/>
      </c>
      <c r="K281" s="112" t="str">
        <f>IF(OR(B281=0,B281="",G281="hardware",J281=0),"",IF(AF281&lt;&gt;"exclusion",MAX(K$9,-((SUMIFS(SF_Output!$T$1:$T$400,SF_Output!$AC$1:$AC$400,_xlfn.TEXTJOIN(",",TRUE,$B281:$E281),SF_Output!$Q$1:$Q$400,"One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license"))/J281)))</f>
        <v/>
      </c>
      <c r="L281" s="6" t="str">
        <f t="shared" si="17"/>
        <v/>
      </c>
      <c r="N281" s="6" t="str">
        <f>IF(B281="","",SUMIFS(SF_Output!$S$1:$S$400,SF_Output!$AC$1:$AC$400,_xlfn.TEXTJOIN(",",TRUE,B281:E281),SF_Output!$Q$1:$Q$400,"One Time",SF_Output!$L$1:$L$400,"professional service"))</f>
        <v/>
      </c>
      <c r="O281" s="112" t="str">
        <f>IF(OR(B281=0,B281="",N281=0),"",IF(AF281&lt;&gt;"exclusion",MAX(O$9,-(SUMIFS(SF_Output!$T$1:$T$400,SF_Output!$AC$1:$AC$400,_xlfn.TEXTJOIN(",",TRUE,$B281:$E281),SF_Output!$Q$1:$Q$400,"One Time",SF_Output!$L$1:$L$400,"professional service"))/N281),-((SUMIFS(SF_Output!$T$1:$T$400,SF_Output!$AC$1:$AC$400,_xlfn.TEXTJOIN(",",TRUE,$B281:$E281),SF_Output!$Q$1:$Q$400,"One Time",SF_Output!$L$1:$L$400,"professional service")/N281))))</f>
        <v/>
      </c>
      <c r="P281" s="6" t="str">
        <f t="shared" si="18"/>
        <v/>
      </c>
      <c r="R281" s="6" t="str">
        <f>IF(B281="","",SUMIFS(SF_Output!$S$1:$S$400,SF_Output!$AC$1:$AC$400,_xlfn.TEXTJOIN(",",TRUE,B281:E281),SF_Output!$Q$1:$Q$400,"yearly")+SUMIFS(SF_Output!$S$1:$S$400,SF_Output!$AC$1:$AC$400,_xlfn.TEXTJOIN(",",TRUE,B281:E281),SF_Output!$Q$1:$Q$400,"quarterly")*4)</f>
        <v/>
      </c>
      <c r="S281" s="112" t="str">
        <f>IF(OR(B281=0,B281="",G281="hardware",R281=0),"",IF(AF281&lt;&gt;"exclusion",MAX(S$9,-(SUMIFS(SF_Output!$T$1:$T$400,SF_Output!$AC$1:$AC$400,_xlfn.TEXTJOIN(",",TRUE,$B281:$E281),SF_Output!$Q$1:$Q$400,"yearly"))/R281),-((SUMIFS(SF_Output!$T$1:$T$400,SF_Output!$AC$1:$AC$400,_xlfn.TEXTJOIN(",",TRUE,$B281:$E281),SF_Output!$Q$1:$Q$400,"yearly")/R281))))</f>
        <v/>
      </c>
      <c r="T281" s="6" t="str">
        <f t="shared" si="19"/>
        <v/>
      </c>
      <c r="V281" s="6" t="str" cm="1">
        <f t="array" ref="V281">_xlfn.IFS(B281="","",AND(B281&lt;&gt;"",H281=SF_Output!$Y$2,SUMIFS(SF_Output!$T$1:$T$400,SF_Output!$AC$1:$AC$400,_xlfn.TEXTJOIN(",",TRUE,B281:E281),SF_Output!$Q$1:$Q$400,"monthly")=0),(SUMIFS(SF_Output!$F$1:$F$400,SF_Output!$AC$1:$AC$400,_xlfn.TEXTJOIN(",",TRUE,B281:E281),SF_Output!$Q$1:$Q$400,"monthly")+SUMIFS(SF_Output!$G$1:$G$400,SF_Output!$AC$1:$AC$400,_xlfn.TEXTJOIN(",",TRUE,B281:E281),SF_Output!$Q$1:$Q$400,"monthly"))*H281,AND(B281&lt;&gt;"",H281=SF_Output!$Y$2,SUMIFS(SF_Output!$T$1:$T$400,SF_Output!$AC$1:$AC$400,_xlfn.TEXTJOIN(",",TRUE,B281:E281),SF_Output!$Q$1:$Q$400,"monthly")&lt;&gt;0),SUMIFS(SF_Output!$S$1:$S$400,SF_Output!$AC$1:$AC$400,_xlfn.TEXTJOIN(",",TRUE,B281:E281),SF_Output!$Q$1:$Q$400,"monthly"),AND(B281&lt;&gt;"",H281&lt;&gt;SF_Output!$Y$2),SUMIFS(SF_Output!$S$1:$S$400,SF_Output!$AC$1:$AC$400,_xlfn.TEXTJOIN(",",TRUE,B281:E281),SF_Output!$Q$1:$Q$400,"monthly"))</f>
        <v/>
      </c>
      <c r="W281" s="112" t="str" cm="1">
        <f t="array" ref="W281">_xlfn.IFS(OR(B281=0,B281="",V281=0),"",AF281&lt;&gt;"exclusion",MAX($W$9,$W$7,(-(SUMIFS(SF_Output!$T$1:$T$400,SF_Output!$AC$1:$AC$400,_xlfn.TEXTJOIN(",",TRUE,$B281:$E281),SF_Output!$Q$1:$Q$400,"monthly"))/V281)),AF281="exclusion",-(SUMIFS(SF_Output!$T$1:$T$400,SF_Output!$AC$1:$AC$400,_xlfn.TEXTJOIN(",",TRUE,$B281:$E281),SF_Output!$Q$1:$Q$400,"monthly"))/V281)</f>
        <v/>
      </c>
      <c r="X281" s="6" t="str" cm="1">
        <f t="array" ref="X281">IFERROR(_xlfn.IFS(V281=0,0,V281="","",W281=0,V281,OR(V281&lt;&gt;0,V281&lt;&gt;""),H281*I281),V281*(1-W281))</f>
        <v/>
      </c>
    </row>
    <row r="282" spans="6:24" x14ac:dyDescent="0.25">
      <c r="F282" s="116" t="str">
        <f t="shared" si="16"/>
        <v/>
      </c>
      <c r="G282" t="str">
        <f>IF(B282="","",INDEX(SF_Output!$K$1:$K$400,MATCH(B282,SF_Output!$M$1:$M$400,0)))</f>
        <v/>
      </c>
      <c r="H282" t="str" cm="1">
        <f t="array" ref="H282">_xlfn.IFS(B282="","",(SUMIFS(SF_Output!$F$1:$F$400,SF_Output!$AC$1:$AC$400,_xlfn.TEXTJOIN(",",TRUE,B282:E282))+SUMIFS(SF_Output!$G$1:$G$400,SF_Output!$AC$1:$AC$400,_xlfn.TEXTJOIN(",",TRUE,B282:E282)))&lt;&gt;0,SF_Output!$Y$2,INDEX(SF_Output!$F$1:$F$400,MATCH(_xlfn.TEXTJOIN(",",TRUE,B282:E282),SF_Output!$AC$1:$AC$400,0))=0,INDEX(SF_Output!$R$1:$R$400,MATCH(_xlfn.TEXTJOIN(",",TRUE,B282:E282),SF_Output!$AC$1:$AC$400,0)))</f>
        <v/>
      </c>
      <c r="I282" s="125" t="str">
        <f>IFERROR(IF(AND(H282&gt;1,H282&lt;&gt;""),ROUND(SUMIFS(SF_Output!$S$1:$S$400,SF_Output!$AC$1:$AC$400,_xlfn.TEXTJOIN(",",TRUE,B282:E282),SF_Output!$Q$1:$Q$400,"monthly")*(1-W282)/H282,4),""),"")</f>
        <v/>
      </c>
      <c r="J282" s="6" t="str">
        <f>IF(B282="","",SUMIFS(SF_Output!$S$1:$S$400,SF_Output!$AC$1:$AC$400,_xlfn.TEXTJOIN(",",TRUE,B282:E282),SF_Output!$Q$1:$Q$400,"One Time",SF_Output!$L$1:$L$400,"license fee")+SUMIFS(SF_Output!$S$1:$S$400,SF_Output!$AC$1:$AC$400,_xlfn.TEXTJOIN(",",TRUE,B282:E282),SF_Output!$Q$1:$Q$400,"One Time",SF_Output!$L$1:$L$400,"software license")+SUMIFS(SF_Output!$S$1:$S$400,SF_Output!$AC$1:$AC$400,_xlfn.TEXTJOIN(",",TRUE,B282:E282),SF_Output!$Q$1:$Q$400,"One Time",SF_Output!$L$1:$L$400,"hardware"))</f>
        <v/>
      </c>
      <c r="K282" s="112" t="str">
        <f>IF(OR(B282=0,B282="",G282="hardware",J282=0),"",IF(AF282&lt;&gt;"exclusion",MAX(K$9,-((SUMIFS(SF_Output!$T$1:$T$400,SF_Output!$AC$1:$AC$400,_xlfn.TEXTJOIN(",",TRUE,$B282:$E282),SF_Output!$Q$1:$Q$400,"One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license"))/J282)))</f>
        <v/>
      </c>
      <c r="L282" s="6" t="str">
        <f t="shared" si="17"/>
        <v/>
      </c>
      <c r="N282" s="6" t="str">
        <f>IF(B282="","",SUMIFS(SF_Output!$S$1:$S$400,SF_Output!$AC$1:$AC$400,_xlfn.TEXTJOIN(",",TRUE,B282:E282),SF_Output!$Q$1:$Q$400,"One Time",SF_Output!$L$1:$L$400,"professional service"))</f>
        <v/>
      </c>
      <c r="O282" s="112" t="str">
        <f>IF(OR(B282=0,B282="",N282=0),"",IF(AF282&lt;&gt;"exclusion",MAX(O$9,-(SUMIFS(SF_Output!$T$1:$T$400,SF_Output!$AC$1:$AC$400,_xlfn.TEXTJOIN(",",TRUE,$B282:$E282),SF_Output!$Q$1:$Q$400,"One Time",SF_Output!$L$1:$L$400,"professional service"))/N282),-((SUMIFS(SF_Output!$T$1:$T$400,SF_Output!$AC$1:$AC$400,_xlfn.TEXTJOIN(",",TRUE,$B282:$E282),SF_Output!$Q$1:$Q$400,"One Time",SF_Output!$L$1:$L$400,"professional service")/N282))))</f>
        <v/>
      </c>
      <c r="P282" s="6" t="str">
        <f t="shared" si="18"/>
        <v/>
      </c>
      <c r="R282" s="6" t="str">
        <f>IF(B282="","",SUMIFS(SF_Output!$S$1:$S$400,SF_Output!$AC$1:$AC$400,_xlfn.TEXTJOIN(",",TRUE,B282:E282),SF_Output!$Q$1:$Q$400,"yearly")+SUMIFS(SF_Output!$S$1:$S$400,SF_Output!$AC$1:$AC$400,_xlfn.TEXTJOIN(",",TRUE,B282:E282),SF_Output!$Q$1:$Q$400,"quarterly")*4)</f>
        <v/>
      </c>
      <c r="S282" s="112" t="str">
        <f>IF(OR(B282=0,B282="",G282="hardware",R282=0),"",IF(AF282&lt;&gt;"exclusion",MAX(S$9,-(SUMIFS(SF_Output!$T$1:$T$400,SF_Output!$AC$1:$AC$400,_xlfn.TEXTJOIN(",",TRUE,$B282:$E282),SF_Output!$Q$1:$Q$400,"yearly"))/R282),-((SUMIFS(SF_Output!$T$1:$T$400,SF_Output!$AC$1:$AC$400,_xlfn.TEXTJOIN(",",TRUE,$B282:$E282),SF_Output!$Q$1:$Q$400,"yearly")/R282))))</f>
        <v/>
      </c>
      <c r="T282" s="6" t="str">
        <f t="shared" si="19"/>
        <v/>
      </c>
      <c r="V282" s="6" t="str" cm="1">
        <f t="array" ref="V282">_xlfn.IFS(B282="","",AND(B282&lt;&gt;"",H282=SF_Output!$Y$2,SUMIFS(SF_Output!$T$1:$T$400,SF_Output!$AC$1:$AC$400,_xlfn.TEXTJOIN(",",TRUE,B282:E282),SF_Output!$Q$1:$Q$400,"monthly")=0),(SUMIFS(SF_Output!$F$1:$F$400,SF_Output!$AC$1:$AC$400,_xlfn.TEXTJOIN(",",TRUE,B282:E282),SF_Output!$Q$1:$Q$400,"monthly")+SUMIFS(SF_Output!$G$1:$G$400,SF_Output!$AC$1:$AC$400,_xlfn.TEXTJOIN(",",TRUE,B282:E282),SF_Output!$Q$1:$Q$400,"monthly"))*H282,AND(B282&lt;&gt;"",H282=SF_Output!$Y$2,SUMIFS(SF_Output!$T$1:$T$400,SF_Output!$AC$1:$AC$400,_xlfn.TEXTJOIN(",",TRUE,B282:E282),SF_Output!$Q$1:$Q$400,"monthly")&lt;&gt;0),SUMIFS(SF_Output!$S$1:$S$400,SF_Output!$AC$1:$AC$400,_xlfn.TEXTJOIN(",",TRUE,B282:E282),SF_Output!$Q$1:$Q$400,"monthly"),AND(B282&lt;&gt;"",H282&lt;&gt;SF_Output!$Y$2),SUMIFS(SF_Output!$S$1:$S$400,SF_Output!$AC$1:$AC$400,_xlfn.TEXTJOIN(",",TRUE,B282:E282),SF_Output!$Q$1:$Q$400,"monthly"))</f>
        <v/>
      </c>
      <c r="W282" s="112" t="str" cm="1">
        <f t="array" ref="W282">_xlfn.IFS(OR(B282=0,B282="",V282=0),"",AF282&lt;&gt;"exclusion",MAX($W$9,$W$7,(-(SUMIFS(SF_Output!$T$1:$T$400,SF_Output!$AC$1:$AC$400,_xlfn.TEXTJOIN(",",TRUE,$B282:$E282),SF_Output!$Q$1:$Q$400,"monthly"))/V282)),AF282="exclusion",-(SUMIFS(SF_Output!$T$1:$T$400,SF_Output!$AC$1:$AC$400,_xlfn.TEXTJOIN(",",TRUE,$B282:$E282),SF_Output!$Q$1:$Q$400,"monthly"))/V282)</f>
        <v/>
      </c>
      <c r="X282" s="6" t="str" cm="1">
        <f t="array" ref="X282">IFERROR(_xlfn.IFS(V282=0,0,V282="","",W282=0,V282,OR(V282&lt;&gt;0,V282&lt;&gt;""),H282*I282),V282*(1-W282))</f>
        <v/>
      </c>
    </row>
    <row r="283" spans="6:24" x14ac:dyDescent="0.25">
      <c r="F283" s="116" t="str">
        <f t="shared" si="16"/>
        <v/>
      </c>
      <c r="G283" t="str">
        <f>IF(B283="","",INDEX(SF_Output!$K$1:$K$400,MATCH(B283,SF_Output!$M$1:$M$400,0)))</f>
        <v/>
      </c>
      <c r="H283" t="str" cm="1">
        <f t="array" ref="H283">_xlfn.IFS(B283="","",(SUMIFS(SF_Output!$F$1:$F$400,SF_Output!$AC$1:$AC$400,_xlfn.TEXTJOIN(",",TRUE,B283:E283))+SUMIFS(SF_Output!$G$1:$G$400,SF_Output!$AC$1:$AC$400,_xlfn.TEXTJOIN(",",TRUE,B283:E283)))&lt;&gt;0,SF_Output!$Y$2,INDEX(SF_Output!$F$1:$F$400,MATCH(_xlfn.TEXTJOIN(",",TRUE,B283:E283),SF_Output!$AC$1:$AC$400,0))=0,INDEX(SF_Output!$R$1:$R$400,MATCH(_xlfn.TEXTJOIN(",",TRUE,B283:E283),SF_Output!$AC$1:$AC$400,0)))</f>
        <v/>
      </c>
      <c r="I283" s="125" t="str">
        <f>IFERROR(IF(AND(H283&gt;1,H283&lt;&gt;""),ROUND(SUMIFS(SF_Output!$S$1:$S$400,SF_Output!$AC$1:$AC$400,_xlfn.TEXTJOIN(",",TRUE,B283:E283),SF_Output!$Q$1:$Q$400,"monthly")*(1-W283)/H283,4),""),"")</f>
        <v/>
      </c>
      <c r="J283" s="6" t="str">
        <f>IF(B283="","",SUMIFS(SF_Output!$S$1:$S$400,SF_Output!$AC$1:$AC$400,_xlfn.TEXTJOIN(",",TRUE,B283:E283),SF_Output!$Q$1:$Q$400,"One Time",SF_Output!$L$1:$L$400,"license fee")+SUMIFS(SF_Output!$S$1:$S$400,SF_Output!$AC$1:$AC$400,_xlfn.TEXTJOIN(",",TRUE,B283:E283),SF_Output!$Q$1:$Q$400,"One Time",SF_Output!$L$1:$L$400,"software license")+SUMIFS(SF_Output!$S$1:$S$400,SF_Output!$AC$1:$AC$400,_xlfn.TEXTJOIN(",",TRUE,B283:E283),SF_Output!$Q$1:$Q$400,"One Time",SF_Output!$L$1:$L$400,"hardware"))</f>
        <v/>
      </c>
      <c r="K283" s="112" t="str">
        <f>IF(OR(B283=0,B283="",G283="hardware",J283=0),"",IF(AF283&lt;&gt;"exclusion",MAX(K$9,-((SUMIFS(SF_Output!$T$1:$T$400,SF_Output!$AC$1:$AC$400,_xlfn.TEXTJOIN(",",TRUE,$B283:$E283),SF_Output!$Q$1:$Q$400,"One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license"))/J283)))</f>
        <v/>
      </c>
      <c r="L283" s="6" t="str">
        <f t="shared" si="17"/>
        <v/>
      </c>
      <c r="N283" s="6" t="str">
        <f>IF(B283="","",SUMIFS(SF_Output!$S$1:$S$400,SF_Output!$AC$1:$AC$400,_xlfn.TEXTJOIN(",",TRUE,B283:E283),SF_Output!$Q$1:$Q$400,"One Time",SF_Output!$L$1:$L$400,"professional service"))</f>
        <v/>
      </c>
      <c r="O283" s="112" t="str">
        <f>IF(OR(B283=0,B283="",N283=0),"",IF(AF283&lt;&gt;"exclusion",MAX(O$9,-(SUMIFS(SF_Output!$T$1:$T$400,SF_Output!$AC$1:$AC$400,_xlfn.TEXTJOIN(",",TRUE,$B283:$E283),SF_Output!$Q$1:$Q$400,"One Time",SF_Output!$L$1:$L$400,"professional service"))/N283),-((SUMIFS(SF_Output!$T$1:$T$400,SF_Output!$AC$1:$AC$400,_xlfn.TEXTJOIN(",",TRUE,$B283:$E283),SF_Output!$Q$1:$Q$400,"One Time",SF_Output!$L$1:$L$400,"professional service")/N283))))</f>
        <v/>
      </c>
      <c r="P283" s="6" t="str">
        <f t="shared" si="18"/>
        <v/>
      </c>
      <c r="R283" s="6" t="str">
        <f>IF(B283="","",SUMIFS(SF_Output!$S$1:$S$400,SF_Output!$AC$1:$AC$400,_xlfn.TEXTJOIN(",",TRUE,B283:E283),SF_Output!$Q$1:$Q$400,"yearly")+SUMIFS(SF_Output!$S$1:$S$400,SF_Output!$AC$1:$AC$400,_xlfn.TEXTJOIN(",",TRUE,B283:E283),SF_Output!$Q$1:$Q$400,"quarterly")*4)</f>
        <v/>
      </c>
      <c r="S283" s="112" t="str">
        <f>IF(OR(B283=0,B283="",G283="hardware",R283=0),"",IF(AF283&lt;&gt;"exclusion",MAX(S$9,-(SUMIFS(SF_Output!$T$1:$T$400,SF_Output!$AC$1:$AC$400,_xlfn.TEXTJOIN(",",TRUE,$B283:$E283),SF_Output!$Q$1:$Q$400,"yearly"))/R283),-((SUMIFS(SF_Output!$T$1:$T$400,SF_Output!$AC$1:$AC$400,_xlfn.TEXTJOIN(",",TRUE,$B283:$E283),SF_Output!$Q$1:$Q$400,"yearly")/R283))))</f>
        <v/>
      </c>
      <c r="T283" s="6" t="str">
        <f t="shared" si="19"/>
        <v/>
      </c>
      <c r="V283" s="6" t="str" cm="1">
        <f t="array" ref="V283">_xlfn.IFS(B283="","",AND(B283&lt;&gt;"",H283=SF_Output!$Y$2,SUMIFS(SF_Output!$T$1:$T$400,SF_Output!$AC$1:$AC$400,_xlfn.TEXTJOIN(",",TRUE,B283:E283),SF_Output!$Q$1:$Q$400,"monthly")=0),(SUMIFS(SF_Output!$F$1:$F$400,SF_Output!$AC$1:$AC$400,_xlfn.TEXTJOIN(",",TRUE,B283:E283),SF_Output!$Q$1:$Q$400,"monthly")+SUMIFS(SF_Output!$G$1:$G$400,SF_Output!$AC$1:$AC$400,_xlfn.TEXTJOIN(",",TRUE,B283:E283),SF_Output!$Q$1:$Q$400,"monthly"))*H283,AND(B283&lt;&gt;"",H283=SF_Output!$Y$2,SUMIFS(SF_Output!$T$1:$T$400,SF_Output!$AC$1:$AC$400,_xlfn.TEXTJOIN(",",TRUE,B283:E283),SF_Output!$Q$1:$Q$400,"monthly")&lt;&gt;0),SUMIFS(SF_Output!$S$1:$S$400,SF_Output!$AC$1:$AC$400,_xlfn.TEXTJOIN(",",TRUE,B283:E283),SF_Output!$Q$1:$Q$400,"monthly"),AND(B283&lt;&gt;"",H283&lt;&gt;SF_Output!$Y$2),SUMIFS(SF_Output!$S$1:$S$400,SF_Output!$AC$1:$AC$400,_xlfn.TEXTJOIN(",",TRUE,B283:E283),SF_Output!$Q$1:$Q$400,"monthly"))</f>
        <v/>
      </c>
      <c r="W283" s="112" t="str" cm="1">
        <f t="array" ref="W283">_xlfn.IFS(OR(B283=0,B283="",V283=0),"",AF283&lt;&gt;"exclusion",MAX($W$9,$W$7,(-(SUMIFS(SF_Output!$T$1:$T$400,SF_Output!$AC$1:$AC$400,_xlfn.TEXTJOIN(",",TRUE,$B283:$E283),SF_Output!$Q$1:$Q$400,"monthly"))/V283)),AF283="exclusion",-(SUMIFS(SF_Output!$T$1:$T$400,SF_Output!$AC$1:$AC$400,_xlfn.TEXTJOIN(",",TRUE,$B283:$E283),SF_Output!$Q$1:$Q$400,"monthly"))/V283)</f>
        <v/>
      </c>
      <c r="X283" s="6" t="str" cm="1">
        <f t="array" ref="X283">IFERROR(_xlfn.IFS(V283=0,0,V283="","",W283=0,V283,OR(V283&lt;&gt;0,V283&lt;&gt;""),H283*I283),V283*(1-W283))</f>
        <v/>
      </c>
    </row>
    <row r="284" spans="6:24" x14ac:dyDescent="0.25">
      <c r="F284" s="116" t="str">
        <f t="shared" si="16"/>
        <v/>
      </c>
      <c r="G284" t="str">
        <f>IF(B284="","",INDEX(SF_Output!$K$1:$K$400,MATCH(B284,SF_Output!$M$1:$M$400,0)))</f>
        <v/>
      </c>
      <c r="H284" t="str" cm="1">
        <f t="array" ref="H284">_xlfn.IFS(B284="","",(SUMIFS(SF_Output!$F$1:$F$400,SF_Output!$AC$1:$AC$400,_xlfn.TEXTJOIN(",",TRUE,B284:E284))+SUMIFS(SF_Output!$G$1:$G$400,SF_Output!$AC$1:$AC$400,_xlfn.TEXTJOIN(",",TRUE,B284:E284)))&lt;&gt;0,SF_Output!$Y$2,INDEX(SF_Output!$F$1:$F$400,MATCH(_xlfn.TEXTJOIN(",",TRUE,B284:E284),SF_Output!$AC$1:$AC$400,0))=0,INDEX(SF_Output!$R$1:$R$400,MATCH(_xlfn.TEXTJOIN(",",TRUE,B284:E284),SF_Output!$AC$1:$AC$400,0)))</f>
        <v/>
      </c>
      <c r="I284" s="125" t="str">
        <f>IFERROR(IF(AND(H284&gt;1,H284&lt;&gt;""),ROUND(SUMIFS(SF_Output!$S$1:$S$400,SF_Output!$AC$1:$AC$400,_xlfn.TEXTJOIN(",",TRUE,B284:E284),SF_Output!$Q$1:$Q$400,"monthly")*(1-W284)/H284,4),""),"")</f>
        <v/>
      </c>
      <c r="J284" s="6" t="str">
        <f>IF(B284="","",SUMIFS(SF_Output!$S$1:$S$400,SF_Output!$AC$1:$AC$400,_xlfn.TEXTJOIN(",",TRUE,B284:E284),SF_Output!$Q$1:$Q$400,"One Time",SF_Output!$L$1:$L$400,"license fee")+SUMIFS(SF_Output!$S$1:$S$400,SF_Output!$AC$1:$AC$400,_xlfn.TEXTJOIN(",",TRUE,B284:E284),SF_Output!$Q$1:$Q$400,"One Time",SF_Output!$L$1:$L$400,"software license")+SUMIFS(SF_Output!$S$1:$S$400,SF_Output!$AC$1:$AC$400,_xlfn.TEXTJOIN(",",TRUE,B284:E284),SF_Output!$Q$1:$Q$400,"One Time",SF_Output!$L$1:$L$400,"hardware"))</f>
        <v/>
      </c>
      <c r="K284" s="112" t="str">
        <f>IF(OR(B284=0,B284="",G284="hardware",J284=0),"",IF(AF284&lt;&gt;"exclusion",MAX(K$9,-((SUMIFS(SF_Output!$T$1:$T$400,SF_Output!$AC$1:$AC$400,_xlfn.TEXTJOIN(",",TRUE,$B284:$E284),SF_Output!$Q$1:$Q$400,"One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license"))/J284)))</f>
        <v/>
      </c>
      <c r="L284" s="6" t="str">
        <f t="shared" si="17"/>
        <v/>
      </c>
      <c r="N284" s="6" t="str">
        <f>IF(B284="","",SUMIFS(SF_Output!$S$1:$S$400,SF_Output!$AC$1:$AC$400,_xlfn.TEXTJOIN(",",TRUE,B284:E284),SF_Output!$Q$1:$Q$400,"One Time",SF_Output!$L$1:$L$400,"professional service"))</f>
        <v/>
      </c>
      <c r="O284" s="112" t="str">
        <f>IF(OR(B284=0,B284="",N284=0),"",IF(AF284&lt;&gt;"exclusion",MAX(O$9,-(SUMIFS(SF_Output!$T$1:$T$400,SF_Output!$AC$1:$AC$400,_xlfn.TEXTJOIN(",",TRUE,$B284:$E284),SF_Output!$Q$1:$Q$400,"One Time",SF_Output!$L$1:$L$400,"professional service"))/N284),-((SUMIFS(SF_Output!$T$1:$T$400,SF_Output!$AC$1:$AC$400,_xlfn.TEXTJOIN(",",TRUE,$B284:$E284),SF_Output!$Q$1:$Q$400,"One Time",SF_Output!$L$1:$L$400,"professional service")/N284))))</f>
        <v/>
      </c>
      <c r="P284" s="6" t="str">
        <f t="shared" si="18"/>
        <v/>
      </c>
      <c r="R284" s="6" t="str">
        <f>IF(B284="","",SUMIFS(SF_Output!$S$1:$S$400,SF_Output!$AC$1:$AC$400,_xlfn.TEXTJOIN(",",TRUE,B284:E284),SF_Output!$Q$1:$Q$400,"yearly")+SUMIFS(SF_Output!$S$1:$S$400,SF_Output!$AC$1:$AC$400,_xlfn.TEXTJOIN(",",TRUE,B284:E284),SF_Output!$Q$1:$Q$400,"quarterly")*4)</f>
        <v/>
      </c>
      <c r="S284" s="112" t="str">
        <f>IF(OR(B284=0,B284="",G284="hardware",R284=0),"",IF(AF284&lt;&gt;"exclusion",MAX(S$9,-(SUMIFS(SF_Output!$T$1:$T$400,SF_Output!$AC$1:$AC$400,_xlfn.TEXTJOIN(",",TRUE,$B284:$E284),SF_Output!$Q$1:$Q$400,"yearly"))/R284),-((SUMIFS(SF_Output!$T$1:$T$400,SF_Output!$AC$1:$AC$400,_xlfn.TEXTJOIN(",",TRUE,$B284:$E284),SF_Output!$Q$1:$Q$400,"yearly")/R284))))</f>
        <v/>
      </c>
      <c r="T284" s="6" t="str">
        <f t="shared" si="19"/>
        <v/>
      </c>
      <c r="V284" s="6" t="str" cm="1">
        <f t="array" ref="V284">_xlfn.IFS(B284="","",AND(B284&lt;&gt;"",H284=SF_Output!$Y$2,SUMIFS(SF_Output!$T$1:$T$400,SF_Output!$AC$1:$AC$400,_xlfn.TEXTJOIN(",",TRUE,B284:E284),SF_Output!$Q$1:$Q$400,"monthly")=0),(SUMIFS(SF_Output!$F$1:$F$400,SF_Output!$AC$1:$AC$400,_xlfn.TEXTJOIN(",",TRUE,B284:E284),SF_Output!$Q$1:$Q$400,"monthly")+SUMIFS(SF_Output!$G$1:$G$400,SF_Output!$AC$1:$AC$400,_xlfn.TEXTJOIN(",",TRUE,B284:E284),SF_Output!$Q$1:$Q$400,"monthly"))*H284,AND(B284&lt;&gt;"",H284=SF_Output!$Y$2,SUMIFS(SF_Output!$T$1:$T$400,SF_Output!$AC$1:$AC$400,_xlfn.TEXTJOIN(",",TRUE,B284:E284),SF_Output!$Q$1:$Q$400,"monthly")&lt;&gt;0),SUMIFS(SF_Output!$S$1:$S$400,SF_Output!$AC$1:$AC$400,_xlfn.TEXTJOIN(",",TRUE,B284:E284),SF_Output!$Q$1:$Q$400,"monthly"),AND(B284&lt;&gt;"",H284&lt;&gt;SF_Output!$Y$2),SUMIFS(SF_Output!$S$1:$S$400,SF_Output!$AC$1:$AC$400,_xlfn.TEXTJOIN(",",TRUE,B284:E284),SF_Output!$Q$1:$Q$400,"monthly"))</f>
        <v/>
      </c>
      <c r="W284" s="112" t="str" cm="1">
        <f t="array" ref="W284">_xlfn.IFS(OR(B284=0,B284="",V284=0),"",AF284&lt;&gt;"exclusion",MAX($W$9,$W$7,(-(SUMIFS(SF_Output!$T$1:$T$400,SF_Output!$AC$1:$AC$400,_xlfn.TEXTJOIN(",",TRUE,$B284:$E284),SF_Output!$Q$1:$Q$400,"monthly"))/V284)),AF284="exclusion",-(SUMIFS(SF_Output!$T$1:$T$400,SF_Output!$AC$1:$AC$400,_xlfn.TEXTJOIN(",",TRUE,$B284:$E284),SF_Output!$Q$1:$Q$400,"monthly"))/V284)</f>
        <v/>
      </c>
      <c r="X284" s="6" t="str" cm="1">
        <f t="array" ref="X284">IFERROR(_xlfn.IFS(V284=0,0,V284="","",W284=0,V284,OR(V284&lt;&gt;0,V284&lt;&gt;""),H284*I284),V284*(1-W284))</f>
        <v/>
      </c>
    </row>
    <row r="285" spans="6:24" x14ac:dyDescent="0.25">
      <c r="F285" s="116" t="str">
        <f t="shared" si="16"/>
        <v/>
      </c>
      <c r="G285" t="str">
        <f>IF(B285="","",INDEX(SF_Output!$K$1:$K$400,MATCH(B285,SF_Output!$M$1:$M$400,0)))</f>
        <v/>
      </c>
      <c r="H285" t="str" cm="1">
        <f t="array" ref="H285">_xlfn.IFS(B285="","",(SUMIFS(SF_Output!$F$1:$F$400,SF_Output!$AC$1:$AC$400,_xlfn.TEXTJOIN(",",TRUE,B285:E285))+SUMIFS(SF_Output!$G$1:$G$400,SF_Output!$AC$1:$AC$400,_xlfn.TEXTJOIN(",",TRUE,B285:E285)))&lt;&gt;0,SF_Output!$Y$2,INDEX(SF_Output!$F$1:$F$400,MATCH(_xlfn.TEXTJOIN(",",TRUE,B285:E285),SF_Output!$AC$1:$AC$400,0))=0,INDEX(SF_Output!$R$1:$R$400,MATCH(_xlfn.TEXTJOIN(",",TRUE,B285:E285),SF_Output!$AC$1:$AC$400,0)))</f>
        <v/>
      </c>
      <c r="I285" s="125" t="str">
        <f>IFERROR(IF(AND(H285&gt;1,H285&lt;&gt;""),ROUND(SUMIFS(SF_Output!$S$1:$S$400,SF_Output!$AC$1:$AC$400,_xlfn.TEXTJOIN(",",TRUE,B285:E285),SF_Output!$Q$1:$Q$400,"monthly")*(1-W285)/H285,4),""),"")</f>
        <v/>
      </c>
      <c r="J285" s="6" t="str">
        <f>IF(B285="","",SUMIFS(SF_Output!$S$1:$S$400,SF_Output!$AC$1:$AC$400,_xlfn.TEXTJOIN(",",TRUE,B285:E285),SF_Output!$Q$1:$Q$400,"One Time",SF_Output!$L$1:$L$400,"license fee")+SUMIFS(SF_Output!$S$1:$S$400,SF_Output!$AC$1:$AC$400,_xlfn.TEXTJOIN(",",TRUE,B285:E285),SF_Output!$Q$1:$Q$400,"One Time",SF_Output!$L$1:$L$400,"software license")+SUMIFS(SF_Output!$S$1:$S$400,SF_Output!$AC$1:$AC$400,_xlfn.TEXTJOIN(",",TRUE,B285:E285),SF_Output!$Q$1:$Q$400,"One Time",SF_Output!$L$1:$L$400,"hardware"))</f>
        <v/>
      </c>
      <c r="K285" s="112" t="str">
        <f>IF(OR(B285=0,B285="",G285="hardware",J285=0),"",IF(AF285&lt;&gt;"exclusion",MAX(K$9,-((SUMIFS(SF_Output!$T$1:$T$400,SF_Output!$AC$1:$AC$400,_xlfn.TEXTJOIN(",",TRUE,$B285:$E285),SF_Output!$Q$1:$Q$400,"One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license"))/J285)))</f>
        <v/>
      </c>
      <c r="L285" s="6" t="str">
        <f t="shared" si="17"/>
        <v/>
      </c>
      <c r="N285" s="6" t="str">
        <f>IF(B285="","",SUMIFS(SF_Output!$S$1:$S$400,SF_Output!$AC$1:$AC$400,_xlfn.TEXTJOIN(",",TRUE,B285:E285),SF_Output!$Q$1:$Q$400,"One Time",SF_Output!$L$1:$L$400,"professional service"))</f>
        <v/>
      </c>
      <c r="O285" s="112" t="str">
        <f>IF(OR(B285=0,B285="",N285=0),"",IF(AF285&lt;&gt;"exclusion",MAX(O$9,-(SUMIFS(SF_Output!$T$1:$T$400,SF_Output!$AC$1:$AC$400,_xlfn.TEXTJOIN(",",TRUE,$B285:$E285),SF_Output!$Q$1:$Q$400,"One Time",SF_Output!$L$1:$L$400,"professional service"))/N285),-((SUMIFS(SF_Output!$T$1:$T$400,SF_Output!$AC$1:$AC$400,_xlfn.TEXTJOIN(",",TRUE,$B285:$E285),SF_Output!$Q$1:$Q$400,"One Time",SF_Output!$L$1:$L$400,"professional service")/N285))))</f>
        <v/>
      </c>
      <c r="P285" s="6" t="str">
        <f t="shared" si="18"/>
        <v/>
      </c>
      <c r="R285" s="6" t="str">
        <f>IF(B285="","",SUMIFS(SF_Output!$S$1:$S$400,SF_Output!$AC$1:$AC$400,_xlfn.TEXTJOIN(",",TRUE,B285:E285),SF_Output!$Q$1:$Q$400,"yearly")+SUMIFS(SF_Output!$S$1:$S$400,SF_Output!$AC$1:$AC$400,_xlfn.TEXTJOIN(",",TRUE,B285:E285),SF_Output!$Q$1:$Q$400,"quarterly")*4)</f>
        <v/>
      </c>
      <c r="S285" s="112" t="str">
        <f>IF(OR(B285=0,B285="",G285="hardware",R285=0),"",IF(AF285&lt;&gt;"exclusion",MAX(S$9,-(SUMIFS(SF_Output!$T$1:$T$400,SF_Output!$AC$1:$AC$400,_xlfn.TEXTJOIN(",",TRUE,$B285:$E285),SF_Output!$Q$1:$Q$400,"yearly"))/R285),-((SUMIFS(SF_Output!$T$1:$T$400,SF_Output!$AC$1:$AC$400,_xlfn.TEXTJOIN(",",TRUE,$B285:$E285),SF_Output!$Q$1:$Q$400,"yearly")/R285))))</f>
        <v/>
      </c>
      <c r="T285" s="6" t="str">
        <f t="shared" si="19"/>
        <v/>
      </c>
      <c r="V285" s="6" t="str" cm="1">
        <f t="array" ref="V285">_xlfn.IFS(B285="","",AND(B285&lt;&gt;"",H285=SF_Output!$Y$2,SUMIFS(SF_Output!$T$1:$T$400,SF_Output!$AC$1:$AC$400,_xlfn.TEXTJOIN(",",TRUE,B285:E285),SF_Output!$Q$1:$Q$400,"monthly")=0),(SUMIFS(SF_Output!$F$1:$F$400,SF_Output!$AC$1:$AC$400,_xlfn.TEXTJOIN(",",TRUE,B285:E285),SF_Output!$Q$1:$Q$400,"monthly")+SUMIFS(SF_Output!$G$1:$G$400,SF_Output!$AC$1:$AC$400,_xlfn.TEXTJOIN(",",TRUE,B285:E285),SF_Output!$Q$1:$Q$400,"monthly"))*H285,AND(B285&lt;&gt;"",H285=SF_Output!$Y$2,SUMIFS(SF_Output!$T$1:$T$400,SF_Output!$AC$1:$AC$400,_xlfn.TEXTJOIN(",",TRUE,B285:E285),SF_Output!$Q$1:$Q$400,"monthly")&lt;&gt;0),SUMIFS(SF_Output!$S$1:$S$400,SF_Output!$AC$1:$AC$400,_xlfn.TEXTJOIN(",",TRUE,B285:E285),SF_Output!$Q$1:$Q$400,"monthly"),AND(B285&lt;&gt;"",H285&lt;&gt;SF_Output!$Y$2),SUMIFS(SF_Output!$S$1:$S$400,SF_Output!$AC$1:$AC$400,_xlfn.TEXTJOIN(",",TRUE,B285:E285),SF_Output!$Q$1:$Q$400,"monthly"))</f>
        <v/>
      </c>
      <c r="W285" s="112" t="str" cm="1">
        <f t="array" ref="W285">_xlfn.IFS(OR(B285=0,B285="",V285=0),"",AF285&lt;&gt;"exclusion",MAX($W$9,$W$7,(-(SUMIFS(SF_Output!$T$1:$T$400,SF_Output!$AC$1:$AC$400,_xlfn.TEXTJOIN(",",TRUE,$B285:$E285),SF_Output!$Q$1:$Q$400,"monthly"))/V285)),AF285="exclusion",-(SUMIFS(SF_Output!$T$1:$T$400,SF_Output!$AC$1:$AC$400,_xlfn.TEXTJOIN(",",TRUE,$B285:$E285),SF_Output!$Q$1:$Q$400,"monthly"))/V285)</f>
        <v/>
      </c>
      <c r="X285" s="6" t="str" cm="1">
        <f t="array" ref="X285">IFERROR(_xlfn.IFS(V285=0,0,V285="","",W285=0,V285,OR(V285&lt;&gt;0,V285&lt;&gt;""),H285*I285),V285*(1-W285))</f>
        <v/>
      </c>
    </row>
    <row r="286" spans="6:24" x14ac:dyDescent="0.25">
      <c r="F286" s="116" t="str">
        <f t="shared" si="16"/>
        <v/>
      </c>
      <c r="G286" t="str">
        <f>IF(B286="","",INDEX(SF_Output!$K$1:$K$400,MATCH(B286,SF_Output!$M$1:$M$400,0)))</f>
        <v/>
      </c>
      <c r="H286" t="str" cm="1">
        <f t="array" ref="H286">_xlfn.IFS(B286="","",(SUMIFS(SF_Output!$F$1:$F$400,SF_Output!$AC$1:$AC$400,_xlfn.TEXTJOIN(",",TRUE,B286:E286))+SUMIFS(SF_Output!$G$1:$G$400,SF_Output!$AC$1:$AC$400,_xlfn.TEXTJOIN(",",TRUE,B286:E286)))&lt;&gt;0,SF_Output!$Y$2,INDEX(SF_Output!$F$1:$F$400,MATCH(_xlfn.TEXTJOIN(",",TRUE,B286:E286),SF_Output!$AC$1:$AC$400,0))=0,INDEX(SF_Output!$R$1:$R$400,MATCH(_xlfn.TEXTJOIN(",",TRUE,B286:E286),SF_Output!$AC$1:$AC$400,0)))</f>
        <v/>
      </c>
      <c r="I286" s="125" t="str">
        <f>IFERROR(IF(AND(H286&gt;1,H286&lt;&gt;""),ROUND(SUMIFS(SF_Output!$S$1:$S$400,SF_Output!$AC$1:$AC$400,_xlfn.TEXTJOIN(",",TRUE,B286:E286),SF_Output!$Q$1:$Q$400,"monthly")*(1-W286)/H286,4),""),"")</f>
        <v/>
      </c>
      <c r="J286" s="6" t="str">
        <f>IF(B286="","",SUMIFS(SF_Output!$S$1:$S$400,SF_Output!$AC$1:$AC$400,_xlfn.TEXTJOIN(",",TRUE,B286:E286),SF_Output!$Q$1:$Q$400,"One Time",SF_Output!$L$1:$L$400,"license fee")+SUMIFS(SF_Output!$S$1:$S$400,SF_Output!$AC$1:$AC$400,_xlfn.TEXTJOIN(",",TRUE,B286:E286),SF_Output!$Q$1:$Q$400,"One Time",SF_Output!$L$1:$L$400,"software license")+SUMIFS(SF_Output!$S$1:$S$400,SF_Output!$AC$1:$AC$400,_xlfn.TEXTJOIN(",",TRUE,B286:E286),SF_Output!$Q$1:$Q$400,"One Time",SF_Output!$L$1:$L$400,"hardware"))</f>
        <v/>
      </c>
      <c r="K286" s="112" t="str">
        <f>IF(OR(B286=0,B286="",G286="hardware",J286=0),"",IF(AF286&lt;&gt;"exclusion",MAX(K$9,-((SUMIFS(SF_Output!$T$1:$T$400,SF_Output!$AC$1:$AC$400,_xlfn.TEXTJOIN(",",TRUE,$B286:$E286),SF_Output!$Q$1:$Q$400,"One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license"))/J286)))</f>
        <v/>
      </c>
      <c r="L286" s="6" t="str">
        <f t="shared" si="17"/>
        <v/>
      </c>
      <c r="N286" s="6" t="str">
        <f>IF(B286="","",SUMIFS(SF_Output!$S$1:$S$400,SF_Output!$AC$1:$AC$400,_xlfn.TEXTJOIN(",",TRUE,B286:E286),SF_Output!$Q$1:$Q$400,"One Time",SF_Output!$L$1:$L$400,"professional service"))</f>
        <v/>
      </c>
      <c r="O286" s="112" t="str">
        <f>IF(OR(B286=0,B286="",N286=0),"",IF(AF286&lt;&gt;"exclusion",MAX(O$9,-(SUMIFS(SF_Output!$T$1:$T$400,SF_Output!$AC$1:$AC$400,_xlfn.TEXTJOIN(",",TRUE,$B286:$E286),SF_Output!$Q$1:$Q$400,"One Time",SF_Output!$L$1:$L$400,"professional service"))/N286),-((SUMIFS(SF_Output!$T$1:$T$400,SF_Output!$AC$1:$AC$400,_xlfn.TEXTJOIN(",",TRUE,$B286:$E286),SF_Output!$Q$1:$Q$400,"One Time",SF_Output!$L$1:$L$400,"professional service")/N286))))</f>
        <v/>
      </c>
      <c r="P286" s="6" t="str">
        <f t="shared" si="18"/>
        <v/>
      </c>
      <c r="R286" s="6" t="str">
        <f>IF(B286="","",SUMIFS(SF_Output!$S$1:$S$400,SF_Output!$AC$1:$AC$400,_xlfn.TEXTJOIN(",",TRUE,B286:E286),SF_Output!$Q$1:$Q$400,"yearly")+SUMIFS(SF_Output!$S$1:$S$400,SF_Output!$AC$1:$AC$400,_xlfn.TEXTJOIN(",",TRUE,B286:E286),SF_Output!$Q$1:$Q$400,"quarterly")*4)</f>
        <v/>
      </c>
      <c r="S286" s="112" t="str">
        <f>IF(OR(B286=0,B286="",G286="hardware",R286=0),"",IF(AF286&lt;&gt;"exclusion",MAX(S$9,-(SUMIFS(SF_Output!$T$1:$T$400,SF_Output!$AC$1:$AC$400,_xlfn.TEXTJOIN(",",TRUE,$B286:$E286),SF_Output!$Q$1:$Q$400,"yearly"))/R286),-((SUMIFS(SF_Output!$T$1:$T$400,SF_Output!$AC$1:$AC$400,_xlfn.TEXTJOIN(",",TRUE,$B286:$E286),SF_Output!$Q$1:$Q$400,"yearly")/R286))))</f>
        <v/>
      </c>
      <c r="T286" s="6" t="str">
        <f t="shared" si="19"/>
        <v/>
      </c>
      <c r="V286" s="6" t="str" cm="1">
        <f t="array" ref="V286">_xlfn.IFS(B286="","",AND(B286&lt;&gt;"",H286=SF_Output!$Y$2,SUMIFS(SF_Output!$T$1:$T$400,SF_Output!$AC$1:$AC$400,_xlfn.TEXTJOIN(",",TRUE,B286:E286),SF_Output!$Q$1:$Q$400,"monthly")=0),(SUMIFS(SF_Output!$F$1:$F$400,SF_Output!$AC$1:$AC$400,_xlfn.TEXTJOIN(",",TRUE,B286:E286),SF_Output!$Q$1:$Q$400,"monthly")+SUMIFS(SF_Output!$G$1:$G$400,SF_Output!$AC$1:$AC$400,_xlfn.TEXTJOIN(",",TRUE,B286:E286),SF_Output!$Q$1:$Q$400,"monthly"))*H286,AND(B286&lt;&gt;"",H286=SF_Output!$Y$2,SUMIFS(SF_Output!$T$1:$T$400,SF_Output!$AC$1:$AC$400,_xlfn.TEXTJOIN(",",TRUE,B286:E286),SF_Output!$Q$1:$Q$400,"monthly")&lt;&gt;0),SUMIFS(SF_Output!$S$1:$S$400,SF_Output!$AC$1:$AC$400,_xlfn.TEXTJOIN(",",TRUE,B286:E286),SF_Output!$Q$1:$Q$400,"monthly"),AND(B286&lt;&gt;"",H286&lt;&gt;SF_Output!$Y$2),SUMIFS(SF_Output!$S$1:$S$400,SF_Output!$AC$1:$AC$400,_xlfn.TEXTJOIN(",",TRUE,B286:E286),SF_Output!$Q$1:$Q$400,"monthly"))</f>
        <v/>
      </c>
      <c r="W286" s="112" t="str" cm="1">
        <f t="array" ref="W286">_xlfn.IFS(OR(B286=0,B286="",V286=0),"",AF286&lt;&gt;"exclusion",MAX($W$9,$W$7,(-(SUMIFS(SF_Output!$T$1:$T$400,SF_Output!$AC$1:$AC$400,_xlfn.TEXTJOIN(",",TRUE,$B286:$E286),SF_Output!$Q$1:$Q$400,"monthly"))/V286)),AF286="exclusion",-(SUMIFS(SF_Output!$T$1:$T$400,SF_Output!$AC$1:$AC$400,_xlfn.TEXTJOIN(",",TRUE,$B286:$E286),SF_Output!$Q$1:$Q$400,"monthly"))/V286)</f>
        <v/>
      </c>
      <c r="X286" s="6" t="str" cm="1">
        <f t="array" ref="X286">IFERROR(_xlfn.IFS(V286=0,0,V286="","",W286=0,V286,OR(V286&lt;&gt;0,V286&lt;&gt;""),H286*I286),V286*(1-W286))</f>
        <v/>
      </c>
    </row>
    <row r="287" spans="6:24" x14ac:dyDescent="0.25">
      <c r="F287" s="116" t="str">
        <f t="shared" si="16"/>
        <v/>
      </c>
      <c r="G287" t="str">
        <f>IF(B287="","",INDEX(SF_Output!$K$1:$K$400,MATCH(B287,SF_Output!$M$1:$M$400,0)))</f>
        <v/>
      </c>
      <c r="H287" t="str" cm="1">
        <f t="array" ref="H287">_xlfn.IFS(B287="","",(SUMIFS(SF_Output!$F$1:$F$400,SF_Output!$AC$1:$AC$400,_xlfn.TEXTJOIN(",",TRUE,B287:E287))+SUMIFS(SF_Output!$G$1:$G$400,SF_Output!$AC$1:$AC$400,_xlfn.TEXTJOIN(",",TRUE,B287:E287)))&lt;&gt;0,SF_Output!$Y$2,INDEX(SF_Output!$F$1:$F$400,MATCH(_xlfn.TEXTJOIN(",",TRUE,B287:E287),SF_Output!$AC$1:$AC$400,0))=0,INDEX(SF_Output!$R$1:$R$400,MATCH(_xlfn.TEXTJOIN(",",TRUE,B287:E287),SF_Output!$AC$1:$AC$400,0)))</f>
        <v/>
      </c>
      <c r="I287" s="125" t="str">
        <f>IFERROR(IF(AND(H287&gt;1,H287&lt;&gt;""),ROUND(SUMIFS(SF_Output!$S$1:$S$400,SF_Output!$AC$1:$AC$400,_xlfn.TEXTJOIN(",",TRUE,B287:E287),SF_Output!$Q$1:$Q$400,"monthly")*(1-W287)/H287,4),""),"")</f>
        <v/>
      </c>
      <c r="J287" s="6" t="str">
        <f>IF(B287="","",SUMIFS(SF_Output!$S$1:$S$400,SF_Output!$AC$1:$AC$400,_xlfn.TEXTJOIN(",",TRUE,B287:E287),SF_Output!$Q$1:$Q$400,"One Time",SF_Output!$L$1:$L$400,"license fee")+SUMIFS(SF_Output!$S$1:$S$400,SF_Output!$AC$1:$AC$400,_xlfn.TEXTJOIN(",",TRUE,B287:E287),SF_Output!$Q$1:$Q$400,"One Time",SF_Output!$L$1:$L$400,"software license")+SUMIFS(SF_Output!$S$1:$S$400,SF_Output!$AC$1:$AC$400,_xlfn.TEXTJOIN(",",TRUE,B287:E287),SF_Output!$Q$1:$Q$400,"One Time",SF_Output!$L$1:$L$400,"hardware"))</f>
        <v/>
      </c>
      <c r="K287" s="112" t="str">
        <f>IF(OR(B287=0,B287="",G287="hardware",J287=0),"",IF(AF287&lt;&gt;"exclusion",MAX(K$9,-((SUMIFS(SF_Output!$T$1:$T$400,SF_Output!$AC$1:$AC$400,_xlfn.TEXTJOIN(",",TRUE,$B287:$E287),SF_Output!$Q$1:$Q$400,"One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license"))/J287)))</f>
        <v/>
      </c>
      <c r="L287" s="6" t="str">
        <f t="shared" si="17"/>
        <v/>
      </c>
      <c r="N287" s="6" t="str">
        <f>IF(B287="","",SUMIFS(SF_Output!$S$1:$S$400,SF_Output!$AC$1:$AC$400,_xlfn.TEXTJOIN(",",TRUE,B287:E287),SF_Output!$Q$1:$Q$400,"One Time",SF_Output!$L$1:$L$400,"professional service"))</f>
        <v/>
      </c>
      <c r="O287" s="112" t="str">
        <f>IF(OR(B287=0,B287="",N287=0),"",IF(AF287&lt;&gt;"exclusion",MAX(O$9,-(SUMIFS(SF_Output!$T$1:$T$400,SF_Output!$AC$1:$AC$400,_xlfn.TEXTJOIN(",",TRUE,$B287:$E287),SF_Output!$Q$1:$Q$400,"One Time",SF_Output!$L$1:$L$400,"professional service"))/N287),-((SUMIFS(SF_Output!$T$1:$T$400,SF_Output!$AC$1:$AC$400,_xlfn.TEXTJOIN(",",TRUE,$B287:$E287),SF_Output!$Q$1:$Q$400,"One Time",SF_Output!$L$1:$L$400,"professional service")/N287))))</f>
        <v/>
      </c>
      <c r="P287" s="6" t="str">
        <f t="shared" si="18"/>
        <v/>
      </c>
      <c r="R287" s="6" t="str">
        <f>IF(B287="","",SUMIFS(SF_Output!$S$1:$S$400,SF_Output!$AC$1:$AC$400,_xlfn.TEXTJOIN(",",TRUE,B287:E287),SF_Output!$Q$1:$Q$400,"yearly")+SUMIFS(SF_Output!$S$1:$S$400,SF_Output!$AC$1:$AC$400,_xlfn.TEXTJOIN(",",TRUE,B287:E287),SF_Output!$Q$1:$Q$400,"quarterly")*4)</f>
        <v/>
      </c>
      <c r="S287" s="112" t="str">
        <f>IF(OR(B287=0,B287="",G287="hardware",R287=0),"",IF(AF287&lt;&gt;"exclusion",MAX(S$9,-(SUMIFS(SF_Output!$T$1:$T$400,SF_Output!$AC$1:$AC$400,_xlfn.TEXTJOIN(",",TRUE,$B287:$E287),SF_Output!$Q$1:$Q$400,"yearly"))/R287),-((SUMIFS(SF_Output!$T$1:$T$400,SF_Output!$AC$1:$AC$400,_xlfn.TEXTJOIN(",",TRUE,$B287:$E287),SF_Output!$Q$1:$Q$400,"yearly")/R287))))</f>
        <v/>
      </c>
      <c r="T287" s="6" t="str">
        <f t="shared" si="19"/>
        <v/>
      </c>
      <c r="V287" s="6" t="str" cm="1">
        <f t="array" ref="V287">_xlfn.IFS(B287="","",AND(B287&lt;&gt;"",H287=SF_Output!$Y$2,SUMIFS(SF_Output!$T$1:$T$400,SF_Output!$AC$1:$AC$400,_xlfn.TEXTJOIN(",",TRUE,B287:E287),SF_Output!$Q$1:$Q$400,"monthly")=0),(SUMIFS(SF_Output!$F$1:$F$400,SF_Output!$AC$1:$AC$400,_xlfn.TEXTJOIN(",",TRUE,B287:E287),SF_Output!$Q$1:$Q$400,"monthly")+SUMIFS(SF_Output!$G$1:$G$400,SF_Output!$AC$1:$AC$400,_xlfn.TEXTJOIN(",",TRUE,B287:E287),SF_Output!$Q$1:$Q$400,"monthly"))*H287,AND(B287&lt;&gt;"",H287=SF_Output!$Y$2,SUMIFS(SF_Output!$T$1:$T$400,SF_Output!$AC$1:$AC$400,_xlfn.TEXTJOIN(",",TRUE,B287:E287),SF_Output!$Q$1:$Q$400,"monthly")&lt;&gt;0),SUMIFS(SF_Output!$S$1:$S$400,SF_Output!$AC$1:$AC$400,_xlfn.TEXTJOIN(",",TRUE,B287:E287),SF_Output!$Q$1:$Q$400,"monthly"),AND(B287&lt;&gt;"",H287&lt;&gt;SF_Output!$Y$2),SUMIFS(SF_Output!$S$1:$S$400,SF_Output!$AC$1:$AC$400,_xlfn.TEXTJOIN(",",TRUE,B287:E287),SF_Output!$Q$1:$Q$400,"monthly"))</f>
        <v/>
      </c>
      <c r="W287" s="112" t="str" cm="1">
        <f t="array" ref="W287">_xlfn.IFS(OR(B287=0,B287="",V287=0),"",AF287&lt;&gt;"exclusion",MAX($W$9,$W$7,(-(SUMIFS(SF_Output!$T$1:$T$400,SF_Output!$AC$1:$AC$400,_xlfn.TEXTJOIN(",",TRUE,$B287:$E287),SF_Output!$Q$1:$Q$400,"monthly"))/V287)),AF287="exclusion",-(SUMIFS(SF_Output!$T$1:$T$400,SF_Output!$AC$1:$AC$400,_xlfn.TEXTJOIN(",",TRUE,$B287:$E287),SF_Output!$Q$1:$Q$400,"monthly"))/V287)</f>
        <v/>
      </c>
      <c r="X287" s="6" t="str" cm="1">
        <f t="array" ref="X287">IFERROR(_xlfn.IFS(V287=0,0,V287="","",W287=0,V287,OR(V287&lt;&gt;0,V287&lt;&gt;""),H287*I287),V287*(1-W287))</f>
        <v/>
      </c>
    </row>
    <row r="288" spans="6:24" x14ac:dyDescent="0.25">
      <c r="F288" s="116" t="str">
        <f t="shared" si="16"/>
        <v/>
      </c>
      <c r="G288" t="str">
        <f>IF(B288="","",INDEX(SF_Output!$K$1:$K$400,MATCH(B288,SF_Output!$M$1:$M$400,0)))</f>
        <v/>
      </c>
      <c r="H288" t="str" cm="1">
        <f t="array" ref="H288">_xlfn.IFS(B288="","",(SUMIFS(SF_Output!$F$1:$F$400,SF_Output!$AC$1:$AC$400,_xlfn.TEXTJOIN(",",TRUE,B288:E288))+SUMIFS(SF_Output!$G$1:$G$400,SF_Output!$AC$1:$AC$400,_xlfn.TEXTJOIN(",",TRUE,B288:E288)))&lt;&gt;0,SF_Output!$Y$2,INDEX(SF_Output!$F$1:$F$400,MATCH(_xlfn.TEXTJOIN(",",TRUE,B288:E288),SF_Output!$AC$1:$AC$400,0))=0,INDEX(SF_Output!$R$1:$R$400,MATCH(_xlfn.TEXTJOIN(",",TRUE,B288:E288),SF_Output!$AC$1:$AC$400,0)))</f>
        <v/>
      </c>
      <c r="I288" s="125" t="str">
        <f>IFERROR(IF(AND(H288&gt;1,H288&lt;&gt;""),ROUND(SUMIFS(SF_Output!$S$1:$S$400,SF_Output!$AC$1:$AC$400,_xlfn.TEXTJOIN(",",TRUE,B288:E288),SF_Output!$Q$1:$Q$400,"monthly")*(1-W288)/H288,4),""),"")</f>
        <v/>
      </c>
      <c r="J288" s="6" t="str">
        <f>IF(B288="","",SUMIFS(SF_Output!$S$1:$S$400,SF_Output!$AC$1:$AC$400,_xlfn.TEXTJOIN(",",TRUE,B288:E288),SF_Output!$Q$1:$Q$400,"One Time",SF_Output!$L$1:$L$400,"license fee")+SUMIFS(SF_Output!$S$1:$S$400,SF_Output!$AC$1:$AC$400,_xlfn.TEXTJOIN(",",TRUE,B288:E288),SF_Output!$Q$1:$Q$400,"One Time",SF_Output!$L$1:$L$400,"software license")+SUMIFS(SF_Output!$S$1:$S$400,SF_Output!$AC$1:$AC$400,_xlfn.TEXTJOIN(",",TRUE,B288:E288),SF_Output!$Q$1:$Q$400,"One Time",SF_Output!$L$1:$L$400,"hardware"))</f>
        <v/>
      </c>
      <c r="K288" s="112" t="str">
        <f>IF(OR(B288=0,B288="",G288="hardware",J288=0),"",IF(AF288&lt;&gt;"exclusion",MAX(K$9,-((SUMIFS(SF_Output!$T$1:$T$400,SF_Output!$AC$1:$AC$400,_xlfn.TEXTJOIN(",",TRUE,$B288:$E288),SF_Output!$Q$1:$Q$400,"One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license"))/J288)))</f>
        <v/>
      </c>
      <c r="L288" s="6" t="str">
        <f t="shared" si="17"/>
        <v/>
      </c>
      <c r="N288" s="6" t="str">
        <f>IF(B288="","",SUMIFS(SF_Output!$S$1:$S$400,SF_Output!$AC$1:$AC$400,_xlfn.TEXTJOIN(",",TRUE,B288:E288),SF_Output!$Q$1:$Q$400,"One Time",SF_Output!$L$1:$L$400,"professional service"))</f>
        <v/>
      </c>
      <c r="O288" s="112" t="str">
        <f>IF(OR(B288=0,B288="",N288=0),"",IF(AF288&lt;&gt;"exclusion",MAX(O$9,-(SUMIFS(SF_Output!$T$1:$T$400,SF_Output!$AC$1:$AC$400,_xlfn.TEXTJOIN(",",TRUE,$B288:$E288),SF_Output!$Q$1:$Q$400,"One Time",SF_Output!$L$1:$L$400,"professional service"))/N288),-((SUMIFS(SF_Output!$T$1:$T$400,SF_Output!$AC$1:$AC$400,_xlfn.TEXTJOIN(",",TRUE,$B288:$E288),SF_Output!$Q$1:$Q$400,"One Time",SF_Output!$L$1:$L$400,"professional service")/N288))))</f>
        <v/>
      </c>
      <c r="P288" s="6" t="str">
        <f t="shared" si="18"/>
        <v/>
      </c>
      <c r="R288" s="6" t="str">
        <f>IF(B288="","",SUMIFS(SF_Output!$S$1:$S$400,SF_Output!$AC$1:$AC$400,_xlfn.TEXTJOIN(",",TRUE,B288:E288),SF_Output!$Q$1:$Q$400,"yearly")+SUMIFS(SF_Output!$S$1:$S$400,SF_Output!$AC$1:$AC$400,_xlfn.TEXTJOIN(",",TRUE,B288:E288),SF_Output!$Q$1:$Q$400,"quarterly")*4)</f>
        <v/>
      </c>
      <c r="S288" s="112" t="str">
        <f>IF(OR(B288=0,B288="",G288="hardware",R288=0),"",IF(AF288&lt;&gt;"exclusion",MAX(S$9,-(SUMIFS(SF_Output!$T$1:$T$400,SF_Output!$AC$1:$AC$400,_xlfn.TEXTJOIN(",",TRUE,$B288:$E288),SF_Output!$Q$1:$Q$400,"yearly"))/R288),-((SUMIFS(SF_Output!$T$1:$T$400,SF_Output!$AC$1:$AC$400,_xlfn.TEXTJOIN(",",TRUE,$B288:$E288),SF_Output!$Q$1:$Q$400,"yearly")/R288))))</f>
        <v/>
      </c>
      <c r="T288" s="6" t="str">
        <f t="shared" si="19"/>
        <v/>
      </c>
      <c r="V288" s="6" t="str" cm="1">
        <f t="array" ref="V288">_xlfn.IFS(B288="","",AND(B288&lt;&gt;"",H288=SF_Output!$Y$2,SUMIFS(SF_Output!$T$1:$T$400,SF_Output!$AC$1:$AC$400,_xlfn.TEXTJOIN(",",TRUE,B288:E288),SF_Output!$Q$1:$Q$400,"monthly")=0),(SUMIFS(SF_Output!$F$1:$F$400,SF_Output!$AC$1:$AC$400,_xlfn.TEXTJOIN(",",TRUE,B288:E288),SF_Output!$Q$1:$Q$400,"monthly")+SUMIFS(SF_Output!$G$1:$G$400,SF_Output!$AC$1:$AC$400,_xlfn.TEXTJOIN(",",TRUE,B288:E288),SF_Output!$Q$1:$Q$400,"monthly"))*H288,AND(B288&lt;&gt;"",H288=SF_Output!$Y$2,SUMIFS(SF_Output!$T$1:$T$400,SF_Output!$AC$1:$AC$400,_xlfn.TEXTJOIN(",",TRUE,B288:E288),SF_Output!$Q$1:$Q$400,"monthly")&lt;&gt;0),SUMIFS(SF_Output!$S$1:$S$400,SF_Output!$AC$1:$AC$400,_xlfn.TEXTJOIN(",",TRUE,B288:E288),SF_Output!$Q$1:$Q$400,"monthly"),AND(B288&lt;&gt;"",H288&lt;&gt;SF_Output!$Y$2),SUMIFS(SF_Output!$S$1:$S$400,SF_Output!$AC$1:$AC$400,_xlfn.TEXTJOIN(",",TRUE,B288:E288),SF_Output!$Q$1:$Q$400,"monthly"))</f>
        <v/>
      </c>
      <c r="W288" s="112" t="str" cm="1">
        <f t="array" ref="W288">_xlfn.IFS(OR(B288=0,B288="",V288=0),"",AF288&lt;&gt;"exclusion",MAX($W$9,$W$7,(-(SUMIFS(SF_Output!$T$1:$T$400,SF_Output!$AC$1:$AC$400,_xlfn.TEXTJOIN(",",TRUE,$B288:$E288),SF_Output!$Q$1:$Q$400,"monthly"))/V288)),AF288="exclusion",-(SUMIFS(SF_Output!$T$1:$T$400,SF_Output!$AC$1:$AC$400,_xlfn.TEXTJOIN(",",TRUE,$B288:$E288),SF_Output!$Q$1:$Q$400,"monthly"))/V288)</f>
        <v/>
      </c>
      <c r="X288" s="6" t="str" cm="1">
        <f t="array" ref="X288">IFERROR(_xlfn.IFS(V288=0,0,V288="","",W288=0,V288,OR(V288&lt;&gt;0,V288&lt;&gt;""),H288*I288),V288*(1-W288))</f>
        <v/>
      </c>
    </row>
    <row r="289" spans="6:24" x14ac:dyDescent="0.25">
      <c r="F289" s="116" t="str">
        <f t="shared" si="16"/>
        <v/>
      </c>
      <c r="G289" t="str">
        <f>IF(B289="","",INDEX(SF_Output!$K$1:$K$400,MATCH(B289,SF_Output!$M$1:$M$400,0)))</f>
        <v/>
      </c>
      <c r="H289" t="str" cm="1">
        <f t="array" ref="H289">_xlfn.IFS(B289="","",(SUMIFS(SF_Output!$F$1:$F$400,SF_Output!$AC$1:$AC$400,_xlfn.TEXTJOIN(",",TRUE,B289:E289))+SUMIFS(SF_Output!$G$1:$G$400,SF_Output!$AC$1:$AC$400,_xlfn.TEXTJOIN(",",TRUE,B289:E289)))&lt;&gt;0,SF_Output!$Y$2,INDEX(SF_Output!$F$1:$F$400,MATCH(_xlfn.TEXTJOIN(",",TRUE,B289:E289),SF_Output!$AC$1:$AC$400,0))=0,INDEX(SF_Output!$R$1:$R$400,MATCH(_xlfn.TEXTJOIN(",",TRUE,B289:E289),SF_Output!$AC$1:$AC$400,0)))</f>
        <v/>
      </c>
      <c r="I289" s="125" t="str">
        <f>IFERROR(IF(AND(H289&gt;1,H289&lt;&gt;""),ROUND(SUMIFS(SF_Output!$S$1:$S$400,SF_Output!$AC$1:$AC$400,_xlfn.TEXTJOIN(",",TRUE,B289:E289),SF_Output!$Q$1:$Q$400,"monthly")*(1-W289)/H289,4),""),"")</f>
        <v/>
      </c>
      <c r="J289" s="6" t="str">
        <f>IF(B289="","",SUMIFS(SF_Output!$S$1:$S$400,SF_Output!$AC$1:$AC$400,_xlfn.TEXTJOIN(",",TRUE,B289:E289),SF_Output!$Q$1:$Q$400,"One Time",SF_Output!$L$1:$L$400,"license fee")+SUMIFS(SF_Output!$S$1:$S$400,SF_Output!$AC$1:$AC$400,_xlfn.TEXTJOIN(",",TRUE,B289:E289),SF_Output!$Q$1:$Q$400,"One Time",SF_Output!$L$1:$L$400,"software license")+SUMIFS(SF_Output!$S$1:$S$400,SF_Output!$AC$1:$AC$400,_xlfn.TEXTJOIN(",",TRUE,B289:E289),SF_Output!$Q$1:$Q$400,"One Time",SF_Output!$L$1:$L$400,"hardware"))</f>
        <v/>
      </c>
      <c r="K289" s="112" t="str">
        <f>IF(OR(B289=0,B289="",G289="hardware",J289=0),"",IF(AF289&lt;&gt;"exclusion",MAX(K$9,-((SUMIFS(SF_Output!$T$1:$T$400,SF_Output!$AC$1:$AC$400,_xlfn.TEXTJOIN(",",TRUE,$B289:$E289),SF_Output!$Q$1:$Q$400,"One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license"))/J289)))</f>
        <v/>
      </c>
      <c r="L289" s="6" t="str">
        <f t="shared" si="17"/>
        <v/>
      </c>
      <c r="N289" s="6" t="str">
        <f>IF(B289="","",SUMIFS(SF_Output!$S$1:$S$400,SF_Output!$AC$1:$AC$400,_xlfn.TEXTJOIN(",",TRUE,B289:E289),SF_Output!$Q$1:$Q$400,"One Time",SF_Output!$L$1:$L$400,"professional service"))</f>
        <v/>
      </c>
      <c r="O289" s="112" t="str">
        <f>IF(OR(B289=0,B289="",N289=0),"",IF(AF289&lt;&gt;"exclusion",MAX(O$9,-(SUMIFS(SF_Output!$T$1:$T$400,SF_Output!$AC$1:$AC$400,_xlfn.TEXTJOIN(",",TRUE,$B289:$E289),SF_Output!$Q$1:$Q$400,"One Time",SF_Output!$L$1:$L$400,"professional service"))/N289),-((SUMIFS(SF_Output!$T$1:$T$400,SF_Output!$AC$1:$AC$400,_xlfn.TEXTJOIN(",",TRUE,$B289:$E289),SF_Output!$Q$1:$Q$400,"One Time",SF_Output!$L$1:$L$400,"professional service")/N289))))</f>
        <v/>
      </c>
      <c r="P289" s="6" t="str">
        <f t="shared" si="18"/>
        <v/>
      </c>
      <c r="R289" s="6" t="str">
        <f>IF(B289="","",SUMIFS(SF_Output!$S$1:$S$400,SF_Output!$AC$1:$AC$400,_xlfn.TEXTJOIN(",",TRUE,B289:E289),SF_Output!$Q$1:$Q$400,"yearly")+SUMIFS(SF_Output!$S$1:$S$400,SF_Output!$AC$1:$AC$400,_xlfn.TEXTJOIN(",",TRUE,B289:E289),SF_Output!$Q$1:$Q$400,"quarterly")*4)</f>
        <v/>
      </c>
      <c r="S289" s="112" t="str">
        <f>IF(OR(B289=0,B289="",G289="hardware",R289=0),"",IF(AF289&lt;&gt;"exclusion",MAX(S$9,-(SUMIFS(SF_Output!$T$1:$T$400,SF_Output!$AC$1:$AC$400,_xlfn.TEXTJOIN(",",TRUE,$B289:$E289),SF_Output!$Q$1:$Q$400,"yearly"))/R289),-((SUMIFS(SF_Output!$T$1:$T$400,SF_Output!$AC$1:$AC$400,_xlfn.TEXTJOIN(",",TRUE,$B289:$E289),SF_Output!$Q$1:$Q$400,"yearly")/R289))))</f>
        <v/>
      </c>
      <c r="T289" s="6" t="str">
        <f t="shared" si="19"/>
        <v/>
      </c>
      <c r="V289" s="6" t="str" cm="1">
        <f t="array" ref="V289">_xlfn.IFS(B289="","",AND(B289&lt;&gt;"",H289=SF_Output!$Y$2,SUMIFS(SF_Output!$T$1:$T$400,SF_Output!$AC$1:$AC$400,_xlfn.TEXTJOIN(",",TRUE,B289:E289),SF_Output!$Q$1:$Q$400,"monthly")=0),(SUMIFS(SF_Output!$F$1:$F$400,SF_Output!$AC$1:$AC$400,_xlfn.TEXTJOIN(",",TRUE,B289:E289),SF_Output!$Q$1:$Q$400,"monthly")+SUMIFS(SF_Output!$G$1:$G$400,SF_Output!$AC$1:$AC$400,_xlfn.TEXTJOIN(",",TRUE,B289:E289),SF_Output!$Q$1:$Q$400,"monthly"))*H289,AND(B289&lt;&gt;"",H289=SF_Output!$Y$2,SUMIFS(SF_Output!$T$1:$T$400,SF_Output!$AC$1:$AC$400,_xlfn.TEXTJOIN(",",TRUE,B289:E289),SF_Output!$Q$1:$Q$400,"monthly")&lt;&gt;0),SUMIFS(SF_Output!$S$1:$S$400,SF_Output!$AC$1:$AC$400,_xlfn.TEXTJOIN(",",TRUE,B289:E289),SF_Output!$Q$1:$Q$400,"monthly"),AND(B289&lt;&gt;"",H289&lt;&gt;SF_Output!$Y$2),SUMIFS(SF_Output!$S$1:$S$400,SF_Output!$AC$1:$AC$400,_xlfn.TEXTJOIN(",",TRUE,B289:E289),SF_Output!$Q$1:$Q$400,"monthly"))</f>
        <v/>
      </c>
      <c r="W289" s="112" t="str" cm="1">
        <f t="array" ref="W289">_xlfn.IFS(OR(B289=0,B289="",V289=0),"",AF289&lt;&gt;"exclusion",MAX($W$9,$W$7,(-(SUMIFS(SF_Output!$T$1:$T$400,SF_Output!$AC$1:$AC$400,_xlfn.TEXTJOIN(",",TRUE,$B289:$E289),SF_Output!$Q$1:$Q$400,"monthly"))/V289)),AF289="exclusion",-(SUMIFS(SF_Output!$T$1:$T$400,SF_Output!$AC$1:$AC$400,_xlfn.TEXTJOIN(",",TRUE,$B289:$E289),SF_Output!$Q$1:$Q$400,"monthly"))/V289)</f>
        <v/>
      </c>
      <c r="X289" s="6" t="str" cm="1">
        <f t="array" ref="X289">IFERROR(_xlfn.IFS(V289=0,0,V289="","",W289=0,V289,OR(V289&lt;&gt;0,V289&lt;&gt;""),H289*I289),V289*(1-W289))</f>
        <v/>
      </c>
    </row>
    <row r="290" spans="6:24" x14ac:dyDescent="0.25">
      <c r="F290" s="116" t="str">
        <f t="shared" si="16"/>
        <v/>
      </c>
      <c r="G290" t="str">
        <f>IF(B290="","",INDEX(SF_Output!$K$1:$K$400,MATCH(B290,SF_Output!$M$1:$M$400,0)))</f>
        <v/>
      </c>
      <c r="H290" t="str" cm="1">
        <f t="array" ref="H290">_xlfn.IFS(B290="","",(SUMIFS(SF_Output!$F$1:$F$400,SF_Output!$AC$1:$AC$400,_xlfn.TEXTJOIN(",",TRUE,B290:E290))+SUMIFS(SF_Output!$G$1:$G$400,SF_Output!$AC$1:$AC$400,_xlfn.TEXTJOIN(",",TRUE,B290:E290)))&lt;&gt;0,SF_Output!$Y$2,INDEX(SF_Output!$F$1:$F$400,MATCH(_xlfn.TEXTJOIN(",",TRUE,B290:E290),SF_Output!$AC$1:$AC$400,0))=0,INDEX(SF_Output!$R$1:$R$400,MATCH(_xlfn.TEXTJOIN(",",TRUE,B290:E290),SF_Output!$AC$1:$AC$400,0)))</f>
        <v/>
      </c>
      <c r="I290" s="125" t="str">
        <f>IFERROR(IF(AND(H290&gt;1,H290&lt;&gt;""),ROUND(SUMIFS(SF_Output!$S$1:$S$400,SF_Output!$AC$1:$AC$400,_xlfn.TEXTJOIN(",",TRUE,B290:E290),SF_Output!$Q$1:$Q$400,"monthly")*(1-W290)/H290,4),""),"")</f>
        <v/>
      </c>
      <c r="J290" s="6" t="str">
        <f>IF(B290="","",SUMIFS(SF_Output!$S$1:$S$400,SF_Output!$AC$1:$AC$400,_xlfn.TEXTJOIN(",",TRUE,B290:E290),SF_Output!$Q$1:$Q$400,"One Time",SF_Output!$L$1:$L$400,"license fee")+SUMIFS(SF_Output!$S$1:$S$400,SF_Output!$AC$1:$AC$400,_xlfn.TEXTJOIN(",",TRUE,B290:E290),SF_Output!$Q$1:$Q$400,"One Time",SF_Output!$L$1:$L$400,"software license")+SUMIFS(SF_Output!$S$1:$S$400,SF_Output!$AC$1:$AC$400,_xlfn.TEXTJOIN(",",TRUE,B290:E290),SF_Output!$Q$1:$Q$400,"One Time",SF_Output!$L$1:$L$400,"hardware"))</f>
        <v/>
      </c>
      <c r="K290" s="112" t="str">
        <f>IF(OR(B290=0,B290="",G290="hardware",J290=0),"",IF(AF290&lt;&gt;"exclusion",MAX(K$9,-((SUMIFS(SF_Output!$T$1:$T$400,SF_Output!$AC$1:$AC$400,_xlfn.TEXTJOIN(",",TRUE,$B290:$E290),SF_Output!$Q$1:$Q$400,"One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license"))/J290)))</f>
        <v/>
      </c>
      <c r="L290" s="6" t="str">
        <f t="shared" si="17"/>
        <v/>
      </c>
      <c r="N290" s="6" t="str">
        <f>IF(B290="","",SUMIFS(SF_Output!$S$1:$S$400,SF_Output!$AC$1:$AC$400,_xlfn.TEXTJOIN(",",TRUE,B290:E290),SF_Output!$Q$1:$Q$400,"One Time",SF_Output!$L$1:$L$400,"professional service"))</f>
        <v/>
      </c>
      <c r="O290" s="112" t="str">
        <f>IF(OR(B290=0,B290="",N290=0),"",IF(AF290&lt;&gt;"exclusion",MAX(O$9,-(SUMIFS(SF_Output!$T$1:$T$400,SF_Output!$AC$1:$AC$400,_xlfn.TEXTJOIN(",",TRUE,$B290:$E290),SF_Output!$Q$1:$Q$400,"One Time",SF_Output!$L$1:$L$400,"professional service"))/N290),-((SUMIFS(SF_Output!$T$1:$T$400,SF_Output!$AC$1:$AC$400,_xlfn.TEXTJOIN(",",TRUE,$B290:$E290),SF_Output!$Q$1:$Q$400,"One Time",SF_Output!$L$1:$L$400,"professional service")/N290))))</f>
        <v/>
      </c>
      <c r="P290" s="6" t="str">
        <f t="shared" si="18"/>
        <v/>
      </c>
      <c r="R290" s="6" t="str">
        <f>IF(B290="","",SUMIFS(SF_Output!$S$1:$S$400,SF_Output!$AC$1:$AC$400,_xlfn.TEXTJOIN(",",TRUE,B290:E290),SF_Output!$Q$1:$Q$400,"yearly")+SUMIFS(SF_Output!$S$1:$S$400,SF_Output!$AC$1:$AC$400,_xlfn.TEXTJOIN(",",TRUE,B290:E290),SF_Output!$Q$1:$Q$400,"quarterly")*4)</f>
        <v/>
      </c>
      <c r="S290" s="112" t="str">
        <f>IF(OR(B290=0,B290="",G290="hardware",R290=0),"",IF(AF290&lt;&gt;"exclusion",MAX(S$9,-(SUMIFS(SF_Output!$T$1:$T$400,SF_Output!$AC$1:$AC$400,_xlfn.TEXTJOIN(",",TRUE,$B290:$E290),SF_Output!$Q$1:$Q$400,"yearly"))/R290),-((SUMIFS(SF_Output!$T$1:$T$400,SF_Output!$AC$1:$AC$400,_xlfn.TEXTJOIN(",",TRUE,$B290:$E290),SF_Output!$Q$1:$Q$400,"yearly")/R290))))</f>
        <v/>
      </c>
      <c r="T290" s="6" t="str">
        <f t="shared" si="19"/>
        <v/>
      </c>
      <c r="V290" s="6" t="str" cm="1">
        <f t="array" ref="V290">_xlfn.IFS(B290="","",AND(B290&lt;&gt;"",H290=SF_Output!$Y$2,SUMIFS(SF_Output!$T$1:$T$400,SF_Output!$AC$1:$AC$400,_xlfn.TEXTJOIN(",",TRUE,B290:E290),SF_Output!$Q$1:$Q$400,"monthly")=0),(SUMIFS(SF_Output!$F$1:$F$400,SF_Output!$AC$1:$AC$400,_xlfn.TEXTJOIN(",",TRUE,B290:E290),SF_Output!$Q$1:$Q$400,"monthly")+SUMIFS(SF_Output!$G$1:$G$400,SF_Output!$AC$1:$AC$400,_xlfn.TEXTJOIN(",",TRUE,B290:E290),SF_Output!$Q$1:$Q$400,"monthly"))*H290,AND(B290&lt;&gt;"",H290=SF_Output!$Y$2,SUMIFS(SF_Output!$T$1:$T$400,SF_Output!$AC$1:$AC$400,_xlfn.TEXTJOIN(",",TRUE,B290:E290),SF_Output!$Q$1:$Q$400,"monthly")&lt;&gt;0),SUMIFS(SF_Output!$S$1:$S$400,SF_Output!$AC$1:$AC$400,_xlfn.TEXTJOIN(",",TRUE,B290:E290),SF_Output!$Q$1:$Q$400,"monthly"),AND(B290&lt;&gt;"",H290&lt;&gt;SF_Output!$Y$2),SUMIFS(SF_Output!$S$1:$S$400,SF_Output!$AC$1:$AC$400,_xlfn.TEXTJOIN(",",TRUE,B290:E290),SF_Output!$Q$1:$Q$400,"monthly"))</f>
        <v/>
      </c>
      <c r="W290" s="112" t="str" cm="1">
        <f t="array" ref="W290">_xlfn.IFS(OR(B290=0,B290="",V290=0),"",AF290&lt;&gt;"exclusion",MAX($W$9,$W$7,(-(SUMIFS(SF_Output!$T$1:$T$400,SF_Output!$AC$1:$AC$400,_xlfn.TEXTJOIN(",",TRUE,$B290:$E290),SF_Output!$Q$1:$Q$400,"monthly"))/V290)),AF290="exclusion",-(SUMIFS(SF_Output!$T$1:$T$400,SF_Output!$AC$1:$AC$400,_xlfn.TEXTJOIN(",",TRUE,$B290:$E290),SF_Output!$Q$1:$Q$400,"monthly"))/V290)</f>
        <v/>
      </c>
      <c r="X290" s="6" t="str" cm="1">
        <f t="array" ref="X290">IFERROR(_xlfn.IFS(V290=0,0,V290="","",W290=0,V290,OR(V290&lt;&gt;0,V290&lt;&gt;""),H290*I290),V290*(1-W290))</f>
        <v/>
      </c>
    </row>
    <row r="291" spans="6:24" x14ac:dyDescent="0.25">
      <c r="F291" s="116" t="str">
        <f t="shared" si="16"/>
        <v/>
      </c>
      <c r="G291" t="str">
        <f>IF(B291="","",INDEX(SF_Output!$K$1:$K$400,MATCH(B291,SF_Output!$M$1:$M$400,0)))</f>
        <v/>
      </c>
      <c r="H291" t="str" cm="1">
        <f t="array" ref="H291">_xlfn.IFS(B291="","",(SUMIFS(SF_Output!$F$1:$F$400,SF_Output!$AC$1:$AC$400,_xlfn.TEXTJOIN(",",TRUE,B291:E291))+SUMIFS(SF_Output!$G$1:$G$400,SF_Output!$AC$1:$AC$400,_xlfn.TEXTJOIN(",",TRUE,B291:E291)))&lt;&gt;0,SF_Output!$Y$2,INDEX(SF_Output!$F$1:$F$400,MATCH(_xlfn.TEXTJOIN(",",TRUE,B291:E291),SF_Output!$AC$1:$AC$400,0))=0,INDEX(SF_Output!$R$1:$R$400,MATCH(_xlfn.TEXTJOIN(",",TRUE,B291:E291),SF_Output!$AC$1:$AC$400,0)))</f>
        <v/>
      </c>
      <c r="I291" s="125" t="str">
        <f>IFERROR(IF(AND(H291&gt;1,H291&lt;&gt;""),ROUND(SUMIFS(SF_Output!$S$1:$S$400,SF_Output!$AC$1:$AC$400,_xlfn.TEXTJOIN(",",TRUE,B291:E291),SF_Output!$Q$1:$Q$400,"monthly")*(1-W291)/H291,4),""),"")</f>
        <v/>
      </c>
      <c r="J291" s="6" t="str">
        <f>IF(B291="","",SUMIFS(SF_Output!$S$1:$S$400,SF_Output!$AC$1:$AC$400,_xlfn.TEXTJOIN(",",TRUE,B291:E291),SF_Output!$Q$1:$Q$400,"One Time",SF_Output!$L$1:$L$400,"license fee")+SUMIFS(SF_Output!$S$1:$S$400,SF_Output!$AC$1:$AC$400,_xlfn.TEXTJOIN(",",TRUE,B291:E291),SF_Output!$Q$1:$Q$400,"One Time",SF_Output!$L$1:$L$400,"software license")+SUMIFS(SF_Output!$S$1:$S$400,SF_Output!$AC$1:$AC$400,_xlfn.TEXTJOIN(",",TRUE,B291:E291),SF_Output!$Q$1:$Q$400,"One Time",SF_Output!$L$1:$L$400,"hardware"))</f>
        <v/>
      </c>
      <c r="K291" s="112" t="str">
        <f>IF(OR(B291=0,B291="",G291="hardware",J291=0),"",IF(AF291&lt;&gt;"exclusion",MAX(K$9,-((SUMIFS(SF_Output!$T$1:$T$400,SF_Output!$AC$1:$AC$400,_xlfn.TEXTJOIN(",",TRUE,$B291:$E291),SF_Output!$Q$1:$Q$400,"One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license"))/J291)))</f>
        <v/>
      </c>
      <c r="L291" s="6" t="str">
        <f t="shared" si="17"/>
        <v/>
      </c>
      <c r="N291" s="6" t="str">
        <f>IF(B291="","",SUMIFS(SF_Output!$S$1:$S$400,SF_Output!$AC$1:$AC$400,_xlfn.TEXTJOIN(",",TRUE,B291:E291),SF_Output!$Q$1:$Q$400,"One Time",SF_Output!$L$1:$L$400,"professional service"))</f>
        <v/>
      </c>
      <c r="O291" s="112" t="str">
        <f>IF(OR(B291=0,B291="",N291=0),"",IF(AF291&lt;&gt;"exclusion",MAX(O$9,-(SUMIFS(SF_Output!$T$1:$T$400,SF_Output!$AC$1:$AC$400,_xlfn.TEXTJOIN(",",TRUE,$B291:$E291),SF_Output!$Q$1:$Q$400,"One Time",SF_Output!$L$1:$L$400,"professional service"))/N291),-((SUMIFS(SF_Output!$T$1:$T$400,SF_Output!$AC$1:$AC$400,_xlfn.TEXTJOIN(",",TRUE,$B291:$E291),SF_Output!$Q$1:$Q$400,"One Time",SF_Output!$L$1:$L$400,"professional service")/N291))))</f>
        <v/>
      </c>
      <c r="P291" s="6" t="str">
        <f t="shared" si="18"/>
        <v/>
      </c>
      <c r="R291" s="6" t="str">
        <f>IF(B291="","",SUMIFS(SF_Output!$S$1:$S$400,SF_Output!$AC$1:$AC$400,_xlfn.TEXTJOIN(",",TRUE,B291:E291),SF_Output!$Q$1:$Q$400,"yearly")+SUMIFS(SF_Output!$S$1:$S$400,SF_Output!$AC$1:$AC$400,_xlfn.TEXTJOIN(",",TRUE,B291:E291),SF_Output!$Q$1:$Q$400,"quarterly")*4)</f>
        <v/>
      </c>
      <c r="S291" s="112" t="str">
        <f>IF(OR(B291=0,B291="",G291="hardware",R291=0),"",IF(AF291&lt;&gt;"exclusion",MAX(S$9,-(SUMIFS(SF_Output!$T$1:$T$400,SF_Output!$AC$1:$AC$400,_xlfn.TEXTJOIN(",",TRUE,$B291:$E291),SF_Output!$Q$1:$Q$400,"yearly"))/R291),-((SUMIFS(SF_Output!$T$1:$T$400,SF_Output!$AC$1:$AC$400,_xlfn.TEXTJOIN(",",TRUE,$B291:$E291),SF_Output!$Q$1:$Q$400,"yearly")/R291))))</f>
        <v/>
      </c>
      <c r="T291" s="6" t="str">
        <f t="shared" si="19"/>
        <v/>
      </c>
      <c r="V291" s="6" t="str" cm="1">
        <f t="array" ref="V291">_xlfn.IFS(B291="","",AND(B291&lt;&gt;"",H291=SF_Output!$Y$2,SUMIFS(SF_Output!$T$1:$T$400,SF_Output!$AC$1:$AC$400,_xlfn.TEXTJOIN(",",TRUE,B291:E291),SF_Output!$Q$1:$Q$400,"monthly")=0),(SUMIFS(SF_Output!$F$1:$F$400,SF_Output!$AC$1:$AC$400,_xlfn.TEXTJOIN(",",TRUE,B291:E291),SF_Output!$Q$1:$Q$400,"monthly")+SUMIFS(SF_Output!$G$1:$G$400,SF_Output!$AC$1:$AC$400,_xlfn.TEXTJOIN(",",TRUE,B291:E291),SF_Output!$Q$1:$Q$400,"monthly"))*H291,AND(B291&lt;&gt;"",H291=SF_Output!$Y$2,SUMIFS(SF_Output!$T$1:$T$400,SF_Output!$AC$1:$AC$400,_xlfn.TEXTJOIN(",",TRUE,B291:E291),SF_Output!$Q$1:$Q$400,"monthly")&lt;&gt;0),SUMIFS(SF_Output!$S$1:$S$400,SF_Output!$AC$1:$AC$400,_xlfn.TEXTJOIN(",",TRUE,B291:E291),SF_Output!$Q$1:$Q$400,"monthly"),AND(B291&lt;&gt;"",H291&lt;&gt;SF_Output!$Y$2),SUMIFS(SF_Output!$S$1:$S$400,SF_Output!$AC$1:$AC$400,_xlfn.TEXTJOIN(",",TRUE,B291:E291),SF_Output!$Q$1:$Q$400,"monthly"))</f>
        <v/>
      </c>
      <c r="W291" s="112" t="str" cm="1">
        <f t="array" ref="W291">_xlfn.IFS(OR(B291=0,B291="",V291=0),"",AF291&lt;&gt;"exclusion",MAX($W$9,$W$7,(-(SUMIFS(SF_Output!$T$1:$T$400,SF_Output!$AC$1:$AC$400,_xlfn.TEXTJOIN(",",TRUE,$B291:$E291),SF_Output!$Q$1:$Q$400,"monthly"))/V291)),AF291="exclusion",-(SUMIFS(SF_Output!$T$1:$T$400,SF_Output!$AC$1:$AC$400,_xlfn.TEXTJOIN(",",TRUE,$B291:$E291),SF_Output!$Q$1:$Q$400,"monthly"))/V291)</f>
        <v/>
      </c>
      <c r="X291" s="6" t="str" cm="1">
        <f t="array" ref="X291">IFERROR(_xlfn.IFS(V291=0,0,V291="","",W291=0,V291,OR(V291&lt;&gt;0,V291&lt;&gt;""),H291*I291),V291*(1-W291))</f>
        <v/>
      </c>
    </row>
    <row r="292" spans="6:24" x14ac:dyDescent="0.25">
      <c r="F292" s="116" t="str">
        <f t="shared" si="16"/>
        <v/>
      </c>
      <c r="G292" t="str">
        <f>IF(B292="","",INDEX(SF_Output!$K$1:$K$400,MATCH(B292,SF_Output!$M$1:$M$400,0)))</f>
        <v/>
      </c>
      <c r="H292" t="str" cm="1">
        <f t="array" ref="H292">_xlfn.IFS(B292="","",(SUMIFS(SF_Output!$F$1:$F$400,SF_Output!$AC$1:$AC$400,_xlfn.TEXTJOIN(",",TRUE,B292:E292))+SUMIFS(SF_Output!$G$1:$G$400,SF_Output!$AC$1:$AC$400,_xlfn.TEXTJOIN(",",TRUE,B292:E292)))&lt;&gt;0,SF_Output!$Y$2,INDEX(SF_Output!$F$1:$F$400,MATCH(_xlfn.TEXTJOIN(",",TRUE,B292:E292),SF_Output!$AC$1:$AC$400,0))=0,INDEX(SF_Output!$R$1:$R$400,MATCH(_xlfn.TEXTJOIN(",",TRUE,B292:E292),SF_Output!$AC$1:$AC$400,0)))</f>
        <v/>
      </c>
      <c r="I292" s="125" t="str">
        <f>IFERROR(IF(AND(H292&gt;1,H292&lt;&gt;""),ROUND(SUMIFS(SF_Output!$S$1:$S$400,SF_Output!$AC$1:$AC$400,_xlfn.TEXTJOIN(",",TRUE,B292:E292),SF_Output!$Q$1:$Q$400,"monthly")*(1-W292)/H292,4),""),"")</f>
        <v/>
      </c>
      <c r="J292" s="6" t="str">
        <f>IF(B292="","",SUMIFS(SF_Output!$S$1:$S$400,SF_Output!$AC$1:$AC$400,_xlfn.TEXTJOIN(",",TRUE,B292:E292),SF_Output!$Q$1:$Q$400,"One Time",SF_Output!$L$1:$L$400,"license fee")+SUMIFS(SF_Output!$S$1:$S$400,SF_Output!$AC$1:$AC$400,_xlfn.TEXTJOIN(",",TRUE,B292:E292),SF_Output!$Q$1:$Q$400,"One Time",SF_Output!$L$1:$L$400,"software license")+SUMIFS(SF_Output!$S$1:$S$400,SF_Output!$AC$1:$AC$400,_xlfn.TEXTJOIN(",",TRUE,B292:E292),SF_Output!$Q$1:$Q$400,"One Time",SF_Output!$L$1:$L$400,"hardware"))</f>
        <v/>
      </c>
      <c r="K292" s="112" t="str">
        <f>IF(OR(B292=0,B292="",G292="hardware",J292=0),"",IF(AF292&lt;&gt;"exclusion",MAX(K$9,-((SUMIFS(SF_Output!$T$1:$T$400,SF_Output!$AC$1:$AC$400,_xlfn.TEXTJOIN(",",TRUE,$B292:$E292),SF_Output!$Q$1:$Q$400,"One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license"))/J292)))</f>
        <v/>
      </c>
      <c r="L292" s="6" t="str">
        <f t="shared" si="17"/>
        <v/>
      </c>
      <c r="N292" s="6" t="str">
        <f>IF(B292="","",SUMIFS(SF_Output!$S$1:$S$400,SF_Output!$AC$1:$AC$400,_xlfn.TEXTJOIN(",",TRUE,B292:E292),SF_Output!$Q$1:$Q$400,"One Time",SF_Output!$L$1:$L$400,"professional service"))</f>
        <v/>
      </c>
      <c r="O292" s="112" t="str">
        <f>IF(OR(B292=0,B292="",N292=0),"",IF(AF292&lt;&gt;"exclusion",MAX(O$9,-(SUMIFS(SF_Output!$T$1:$T$400,SF_Output!$AC$1:$AC$400,_xlfn.TEXTJOIN(",",TRUE,$B292:$E292),SF_Output!$Q$1:$Q$400,"One Time",SF_Output!$L$1:$L$400,"professional service"))/N292),-((SUMIFS(SF_Output!$T$1:$T$400,SF_Output!$AC$1:$AC$400,_xlfn.TEXTJOIN(",",TRUE,$B292:$E292),SF_Output!$Q$1:$Q$400,"One Time",SF_Output!$L$1:$L$400,"professional service")/N292))))</f>
        <v/>
      </c>
      <c r="P292" s="6" t="str">
        <f t="shared" si="18"/>
        <v/>
      </c>
      <c r="R292" s="6" t="str">
        <f>IF(B292="","",SUMIFS(SF_Output!$S$1:$S$400,SF_Output!$AC$1:$AC$400,_xlfn.TEXTJOIN(",",TRUE,B292:E292),SF_Output!$Q$1:$Q$400,"yearly")+SUMIFS(SF_Output!$S$1:$S$400,SF_Output!$AC$1:$AC$400,_xlfn.TEXTJOIN(",",TRUE,B292:E292),SF_Output!$Q$1:$Q$400,"quarterly")*4)</f>
        <v/>
      </c>
      <c r="S292" s="112" t="str">
        <f>IF(OR(B292=0,B292="",G292="hardware",R292=0),"",IF(AF292&lt;&gt;"exclusion",MAX(S$9,-(SUMIFS(SF_Output!$T$1:$T$400,SF_Output!$AC$1:$AC$400,_xlfn.TEXTJOIN(",",TRUE,$B292:$E292),SF_Output!$Q$1:$Q$400,"yearly"))/R292),-((SUMIFS(SF_Output!$T$1:$T$400,SF_Output!$AC$1:$AC$400,_xlfn.TEXTJOIN(",",TRUE,$B292:$E292),SF_Output!$Q$1:$Q$400,"yearly")/R292))))</f>
        <v/>
      </c>
      <c r="T292" s="6" t="str">
        <f t="shared" si="19"/>
        <v/>
      </c>
      <c r="V292" s="6" t="str" cm="1">
        <f t="array" ref="V292">_xlfn.IFS(B292="","",AND(B292&lt;&gt;"",H292=SF_Output!$Y$2,SUMIFS(SF_Output!$T$1:$T$400,SF_Output!$AC$1:$AC$400,_xlfn.TEXTJOIN(",",TRUE,B292:E292),SF_Output!$Q$1:$Q$400,"monthly")=0),(SUMIFS(SF_Output!$F$1:$F$400,SF_Output!$AC$1:$AC$400,_xlfn.TEXTJOIN(",",TRUE,B292:E292),SF_Output!$Q$1:$Q$400,"monthly")+SUMIFS(SF_Output!$G$1:$G$400,SF_Output!$AC$1:$AC$400,_xlfn.TEXTJOIN(",",TRUE,B292:E292),SF_Output!$Q$1:$Q$400,"monthly"))*H292,AND(B292&lt;&gt;"",H292=SF_Output!$Y$2,SUMIFS(SF_Output!$T$1:$T$400,SF_Output!$AC$1:$AC$400,_xlfn.TEXTJOIN(",",TRUE,B292:E292),SF_Output!$Q$1:$Q$400,"monthly")&lt;&gt;0),SUMIFS(SF_Output!$S$1:$S$400,SF_Output!$AC$1:$AC$400,_xlfn.TEXTJOIN(",",TRUE,B292:E292),SF_Output!$Q$1:$Q$400,"monthly"),AND(B292&lt;&gt;"",H292&lt;&gt;SF_Output!$Y$2),SUMIFS(SF_Output!$S$1:$S$400,SF_Output!$AC$1:$AC$400,_xlfn.TEXTJOIN(",",TRUE,B292:E292),SF_Output!$Q$1:$Q$400,"monthly"))</f>
        <v/>
      </c>
      <c r="W292" s="112" t="str" cm="1">
        <f t="array" ref="W292">_xlfn.IFS(OR(B292=0,B292="",V292=0),"",AF292&lt;&gt;"exclusion",MAX($W$9,$W$7,(-(SUMIFS(SF_Output!$T$1:$T$400,SF_Output!$AC$1:$AC$400,_xlfn.TEXTJOIN(",",TRUE,$B292:$E292),SF_Output!$Q$1:$Q$400,"monthly"))/V292)),AF292="exclusion",-(SUMIFS(SF_Output!$T$1:$T$400,SF_Output!$AC$1:$AC$400,_xlfn.TEXTJOIN(",",TRUE,$B292:$E292),SF_Output!$Q$1:$Q$400,"monthly"))/V292)</f>
        <v/>
      </c>
      <c r="X292" s="6" t="str" cm="1">
        <f t="array" ref="X292">IFERROR(_xlfn.IFS(V292=0,0,V292="","",W292=0,V292,OR(V292&lt;&gt;0,V292&lt;&gt;""),H292*I292),V292*(1-W292))</f>
        <v/>
      </c>
    </row>
    <row r="293" spans="6:24" x14ac:dyDescent="0.25">
      <c r="F293" s="116" t="str">
        <f t="shared" si="16"/>
        <v/>
      </c>
      <c r="G293" t="str">
        <f>IF(B293="","",INDEX(SF_Output!$K$1:$K$400,MATCH(B293,SF_Output!$M$1:$M$400,0)))</f>
        <v/>
      </c>
      <c r="H293" t="str" cm="1">
        <f t="array" ref="H293">_xlfn.IFS(B293="","",(SUMIFS(SF_Output!$F$1:$F$400,SF_Output!$AC$1:$AC$400,_xlfn.TEXTJOIN(",",TRUE,B293:E293))+SUMIFS(SF_Output!$G$1:$G$400,SF_Output!$AC$1:$AC$400,_xlfn.TEXTJOIN(",",TRUE,B293:E293)))&lt;&gt;0,SF_Output!$Y$2,INDEX(SF_Output!$F$1:$F$400,MATCH(_xlfn.TEXTJOIN(",",TRUE,B293:E293),SF_Output!$AC$1:$AC$400,0))=0,INDEX(SF_Output!$R$1:$R$400,MATCH(_xlfn.TEXTJOIN(",",TRUE,B293:E293),SF_Output!$AC$1:$AC$400,0)))</f>
        <v/>
      </c>
      <c r="I293" s="125" t="str">
        <f>IFERROR(IF(AND(H293&gt;1,H293&lt;&gt;""),ROUND(SUMIFS(SF_Output!$S$1:$S$400,SF_Output!$AC$1:$AC$400,_xlfn.TEXTJOIN(",",TRUE,B293:E293),SF_Output!$Q$1:$Q$400,"monthly")*(1-W293)/H293,4),""),"")</f>
        <v/>
      </c>
      <c r="J293" s="6" t="str">
        <f>IF(B293="","",SUMIFS(SF_Output!$S$1:$S$400,SF_Output!$AC$1:$AC$400,_xlfn.TEXTJOIN(",",TRUE,B293:E293),SF_Output!$Q$1:$Q$400,"One Time",SF_Output!$L$1:$L$400,"license fee")+SUMIFS(SF_Output!$S$1:$S$400,SF_Output!$AC$1:$AC$400,_xlfn.TEXTJOIN(",",TRUE,B293:E293),SF_Output!$Q$1:$Q$400,"One Time",SF_Output!$L$1:$L$400,"software license")+SUMIFS(SF_Output!$S$1:$S$400,SF_Output!$AC$1:$AC$400,_xlfn.TEXTJOIN(",",TRUE,B293:E293),SF_Output!$Q$1:$Q$400,"One Time",SF_Output!$L$1:$L$400,"hardware"))</f>
        <v/>
      </c>
      <c r="K293" s="112" t="str">
        <f>IF(OR(B293=0,B293="",G293="hardware",J293=0),"",IF(AF293&lt;&gt;"exclusion",MAX(K$9,-((SUMIFS(SF_Output!$T$1:$T$400,SF_Output!$AC$1:$AC$400,_xlfn.TEXTJOIN(",",TRUE,$B293:$E293),SF_Output!$Q$1:$Q$400,"One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license"))/J293)))</f>
        <v/>
      </c>
      <c r="L293" s="6" t="str">
        <f t="shared" si="17"/>
        <v/>
      </c>
      <c r="N293" s="6" t="str">
        <f>IF(B293="","",SUMIFS(SF_Output!$S$1:$S$400,SF_Output!$AC$1:$AC$400,_xlfn.TEXTJOIN(",",TRUE,B293:E293),SF_Output!$Q$1:$Q$400,"One Time",SF_Output!$L$1:$L$400,"professional service"))</f>
        <v/>
      </c>
      <c r="O293" s="112" t="str">
        <f>IF(OR(B293=0,B293="",N293=0),"",IF(AF293&lt;&gt;"exclusion",MAX(O$9,-(SUMIFS(SF_Output!$T$1:$T$400,SF_Output!$AC$1:$AC$400,_xlfn.TEXTJOIN(",",TRUE,$B293:$E293),SF_Output!$Q$1:$Q$400,"One Time",SF_Output!$L$1:$L$400,"professional service"))/N293),-((SUMIFS(SF_Output!$T$1:$T$400,SF_Output!$AC$1:$AC$400,_xlfn.TEXTJOIN(",",TRUE,$B293:$E293),SF_Output!$Q$1:$Q$400,"One Time",SF_Output!$L$1:$L$400,"professional service")/N293))))</f>
        <v/>
      </c>
      <c r="P293" s="6" t="str">
        <f t="shared" si="18"/>
        <v/>
      </c>
      <c r="R293" s="6" t="str">
        <f>IF(B293="","",SUMIFS(SF_Output!$S$1:$S$400,SF_Output!$AC$1:$AC$400,_xlfn.TEXTJOIN(",",TRUE,B293:E293),SF_Output!$Q$1:$Q$400,"yearly")+SUMIFS(SF_Output!$S$1:$S$400,SF_Output!$AC$1:$AC$400,_xlfn.TEXTJOIN(",",TRUE,B293:E293),SF_Output!$Q$1:$Q$400,"quarterly")*4)</f>
        <v/>
      </c>
      <c r="S293" s="112" t="str">
        <f>IF(OR(B293=0,B293="",G293="hardware",R293=0),"",IF(AF293&lt;&gt;"exclusion",MAX(S$9,-(SUMIFS(SF_Output!$T$1:$T$400,SF_Output!$AC$1:$AC$400,_xlfn.TEXTJOIN(",",TRUE,$B293:$E293),SF_Output!$Q$1:$Q$400,"yearly"))/R293),-((SUMIFS(SF_Output!$T$1:$T$400,SF_Output!$AC$1:$AC$400,_xlfn.TEXTJOIN(",",TRUE,$B293:$E293),SF_Output!$Q$1:$Q$400,"yearly")/R293))))</f>
        <v/>
      </c>
      <c r="T293" s="6" t="str">
        <f t="shared" si="19"/>
        <v/>
      </c>
      <c r="V293" s="6" t="str" cm="1">
        <f t="array" ref="V293">_xlfn.IFS(B293="","",AND(B293&lt;&gt;"",H293=SF_Output!$Y$2,SUMIFS(SF_Output!$T$1:$T$400,SF_Output!$AC$1:$AC$400,_xlfn.TEXTJOIN(",",TRUE,B293:E293),SF_Output!$Q$1:$Q$400,"monthly")=0),(SUMIFS(SF_Output!$F$1:$F$400,SF_Output!$AC$1:$AC$400,_xlfn.TEXTJOIN(",",TRUE,B293:E293),SF_Output!$Q$1:$Q$400,"monthly")+SUMIFS(SF_Output!$G$1:$G$400,SF_Output!$AC$1:$AC$400,_xlfn.TEXTJOIN(",",TRUE,B293:E293),SF_Output!$Q$1:$Q$400,"monthly"))*H293,AND(B293&lt;&gt;"",H293=SF_Output!$Y$2,SUMIFS(SF_Output!$T$1:$T$400,SF_Output!$AC$1:$AC$400,_xlfn.TEXTJOIN(",",TRUE,B293:E293),SF_Output!$Q$1:$Q$400,"monthly")&lt;&gt;0),SUMIFS(SF_Output!$S$1:$S$400,SF_Output!$AC$1:$AC$400,_xlfn.TEXTJOIN(",",TRUE,B293:E293),SF_Output!$Q$1:$Q$400,"monthly"),AND(B293&lt;&gt;"",H293&lt;&gt;SF_Output!$Y$2),SUMIFS(SF_Output!$S$1:$S$400,SF_Output!$AC$1:$AC$400,_xlfn.TEXTJOIN(",",TRUE,B293:E293),SF_Output!$Q$1:$Q$400,"monthly"))</f>
        <v/>
      </c>
      <c r="W293" s="112" t="str" cm="1">
        <f t="array" ref="W293">_xlfn.IFS(OR(B293=0,B293="",V293=0),"",AF293&lt;&gt;"exclusion",MAX($W$9,$W$7,(-(SUMIFS(SF_Output!$T$1:$T$400,SF_Output!$AC$1:$AC$400,_xlfn.TEXTJOIN(",",TRUE,$B293:$E293),SF_Output!$Q$1:$Q$400,"monthly"))/V293)),AF293="exclusion",-(SUMIFS(SF_Output!$T$1:$T$400,SF_Output!$AC$1:$AC$400,_xlfn.TEXTJOIN(",",TRUE,$B293:$E293),SF_Output!$Q$1:$Q$400,"monthly"))/V293)</f>
        <v/>
      </c>
      <c r="X293" s="6" t="str" cm="1">
        <f t="array" ref="X293">IFERROR(_xlfn.IFS(V293=0,0,V293="","",W293=0,V293,OR(V293&lt;&gt;0,V293&lt;&gt;""),H293*I293),V293*(1-W293))</f>
        <v/>
      </c>
    </row>
    <row r="294" spans="6:24" x14ac:dyDescent="0.25">
      <c r="F294" s="116" t="str">
        <f t="shared" si="16"/>
        <v/>
      </c>
      <c r="G294" t="str">
        <f>IF(B294="","",INDEX(SF_Output!$K$1:$K$400,MATCH(B294,SF_Output!$M$1:$M$400,0)))</f>
        <v/>
      </c>
      <c r="H294" t="str" cm="1">
        <f t="array" ref="H294">_xlfn.IFS(B294="","",(SUMIFS(SF_Output!$F$1:$F$400,SF_Output!$AC$1:$AC$400,_xlfn.TEXTJOIN(",",TRUE,B294:E294))+SUMIFS(SF_Output!$G$1:$G$400,SF_Output!$AC$1:$AC$400,_xlfn.TEXTJOIN(",",TRUE,B294:E294)))&lt;&gt;0,SF_Output!$Y$2,INDEX(SF_Output!$F$1:$F$400,MATCH(_xlfn.TEXTJOIN(",",TRUE,B294:E294),SF_Output!$AC$1:$AC$400,0))=0,INDEX(SF_Output!$R$1:$R$400,MATCH(_xlfn.TEXTJOIN(",",TRUE,B294:E294),SF_Output!$AC$1:$AC$400,0)))</f>
        <v/>
      </c>
      <c r="I294" s="125" t="str">
        <f>IFERROR(IF(AND(H294&gt;1,H294&lt;&gt;""),ROUND(SUMIFS(SF_Output!$S$1:$S$400,SF_Output!$AC$1:$AC$400,_xlfn.TEXTJOIN(",",TRUE,B294:E294),SF_Output!$Q$1:$Q$400,"monthly")*(1-W294)/H294,4),""),"")</f>
        <v/>
      </c>
      <c r="J294" s="6" t="str">
        <f>IF(B294="","",SUMIFS(SF_Output!$S$1:$S$400,SF_Output!$AC$1:$AC$400,_xlfn.TEXTJOIN(",",TRUE,B294:E294),SF_Output!$Q$1:$Q$400,"One Time",SF_Output!$L$1:$L$400,"license fee")+SUMIFS(SF_Output!$S$1:$S$400,SF_Output!$AC$1:$AC$400,_xlfn.TEXTJOIN(",",TRUE,B294:E294),SF_Output!$Q$1:$Q$400,"One Time",SF_Output!$L$1:$L$400,"software license")+SUMIFS(SF_Output!$S$1:$S$400,SF_Output!$AC$1:$AC$400,_xlfn.TEXTJOIN(",",TRUE,B294:E294),SF_Output!$Q$1:$Q$400,"One Time",SF_Output!$L$1:$L$400,"hardware"))</f>
        <v/>
      </c>
      <c r="K294" s="112" t="str">
        <f>IF(OR(B294=0,B294="",G294="hardware",J294=0),"",IF(AF294&lt;&gt;"exclusion",MAX(K$9,-((SUMIFS(SF_Output!$T$1:$T$400,SF_Output!$AC$1:$AC$400,_xlfn.TEXTJOIN(",",TRUE,$B294:$E294),SF_Output!$Q$1:$Q$400,"One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license"))/J294)))</f>
        <v/>
      </c>
      <c r="L294" s="6" t="str">
        <f t="shared" si="17"/>
        <v/>
      </c>
      <c r="N294" s="6" t="str">
        <f>IF(B294="","",SUMIFS(SF_Output!$S$1:$S$400,SF_Output!$AC$1:$AC$400,_xlfn.TEXTJOIN(",",TRUE,B294:E294),SF_Output!$Q$1:$Q$400,"One Time",SF_Output!$L$1:$L$400,"professional service"))</f>
        <v/>
      </c>
      <c r="O294" s="112" t="str">
        <f>IF(OR(B294=0,B294="",N294=0),"",IF(AF294&lt;&gt;"exclusion",MAX(O$9,-(SUMIFS(SF_Output!$T$1:$T$400,SF_Output!$AC$1:$AC$400,_xlfn.TEXTJOIN(",",TRUE,$B294:$E294),SF_Output!$Q$1:$Q$400,"One Time",SF_Output!$L$1:$L$400,"professional service"))/N294),-((SUMIFS(SF_Output!$T$1:$T$400,SF_Output!$AC$1:$AC$400,_xlfn.TEXTJOIN(",",TRUE,$B294:$E294),SF_Output!$Q$1:$Q$400,"One Time",SF_Output!$L$1:$L$400,"professional service")/N294))))</f>
        <v/>
      </c>
      <c r="P294" s="6" t="str">
        <f t="shared" si="18"/>
        <v/>
      </c>
      <c r="R294" s="6" t="str">
        <f>IF(B294="","",SUMIFS(SF_Output!$S$1:$S$400,SF_Output!$AC$1:$AC$400,_xlfn.TEXTJOIN(",",TRUE,B294:E294),SF_Output!$Q$1:$Q$400,"yearly")+SUMIFS(SF_Output!$S$1:$S$400,SF_Output!$AC$1:$AC$400,_xlfn.TEXTJOIN(",",TRUE,B294:E294),SF_Output!$Q$1:$Q$400,"quarterly")*4)</f>
        <v/>
      </c>
      <c r="S294" s="112" t="str">
        <f>IF(OR(B294=0,B294="",G294="hardware",R294=0),"",IF(AF294&lt;&gt;"exclusion",MAX(S$9,-(SUMIFS(SF_Output!$T$1:$T$400,SF_Output!$AC$1:$AC$400,_xlfn.TEXTJOIN(",",TRUE,$B294:$E294),SF_Output!$Q$1:$Q$400,"yearly"))/R294),-((SUMIFS(SF_Output!$T$1:$T$400,SF_Output!$AC$1:$AC$400,_xlfn.TEXTJOIN(",",TRUE,$B294:$E294),SF_Output!$Q$1:$Q$400,"yearly")/R294))))</f>
        <v/>
      </c>
      <c r="T294" s="6" t="str">
        <f t="shared" si="19"/>
        <v/>
      </c>
      <c r="V294" s="6" t="str" cm="1">
        <f t="array" ref="V294">_xlfn.IFS(B294="","",AND(B294&lt;&gt;"",H294=SF_Output!$Y$2,SUMIFS(SF_Output!$T$1:$T$400,SF_Output!$AC$1:$AC$400,_xlfn.TEXTJOIN(",",TRUE,B294:E294),SF_Output!$Q$1:$Q$400,"monthly")=0),(SUMIFS(SF_Output!$F$1:$F$400,SF_Output!$AC$1:$AC$400,_xlfn.TEXTJOIN(",",TRUE,B294:E294),SF_Output!$Q$1:$Q$400,"monthly")+SUMIFS(SF_Output!$G$1:$G$400,SF_Output!$AC$1:$AC$400,_xlfn.TEXTJOIN(",",TRUE,B294:E294),SF_Output!$Q$1:$Q$400,"monthly"))*H294,AND(B294&lt;&gt;"",H294=SF_Output!$Y$2,SUMIFS(SF_Output!$T$1:$T$400,SF_Output!$AC$1:$AC$400,_xlfn.TEXTJOIN(",",TRUE,B294:E294),SF_Output!$Q$1:$Q$400,"monthly")&lt;&gt;0),SUMIFS(SF_Output!$S$1:$S$400,SF_Output!$AC$1:$AC$400,_xlfn.TEXTJOIN(",",TRUE,B294:E294),SF_Output!$Q$1:$Q$400,"monthly"),AND(B294&lt;&gt;"",H294&lt;&gt;SF_Output!$Y$2),SUMIFS(SF_Output!$S$1:$S$400,SF_Output!$AC$1:$AC$400,_xlfn.TEXTJOIN(",",TRUE,B294:E294),SF_Output!$Q$1:$Q$400,"monthly"))</f>
        <v/>
      </c>
      <c r="W294" s="112" t="str" cm="1">
        <f t="array" ref="W294">_xlfn.IFS(OR(B294=0,B294="",V294=0),"",AF294&lt;&gt;"exclusion",MAX($W$9,$W$7,(-(SUMIFS(SF_Output!$T$1:$T$400,SF_Output!$AC$1:$AC$400,_xlfn.TEXTJOIN(",",TRUE,$B294:$E294),SF_Output!$Q$1:$Q$400,"monthly"))/V294)),AF294="exclusion",-(SUMIFS(SF_Output!$T$1:$T$400,SF_Output!$AC$1:$AC$400,_xlfn.TEXTJOIN(",",TRUE,$B294:$E294),SF_Output!$Q$1:$Q$400,"monthly"))/V294)</f>
        <v/>
      </c>
      <c r="X294" s="6" t="str" cm="1">
        <f t="array" ref="X294">IFERROR(_xlfn.IFS(V294=0,0,V294="","",W294=0,V294,OR(V294&lt;&gt;0,V294&lt;&gt;""),H294*I294),V294*(1-W294))</f>
        <v/>
      </c>
    </row>
    <row r="295" spans="6:24" x14ac:dyDescent="0.25">
      <c r="F295" s="116" t="str">
        <f t="shared" si="16"/>
        <v/>
      </c>
      <c r="G295" t="str">
        <f>IF(B295="","",INDEX(SF_Output!$K$1:$K$400,MATCH(B295,SF_Output!$M$1:$M$400,0)))</f>
        <v/>
      </c>
      <c r="H295" t="str" cm="1">
        <f t="array" ref="H295">_xlfn.IFS(B295="","",(SUMIFS(SF_Output!$F$1:$F$400,SF_Output!$AC$1:$AC$400,_xlfn.TEXTJOIN(",",TRUE,B295:E295))+SUMIFS(SF_Output!$G$1:$G$400,SF_Output!$AC$1:$AC$400,_xlfn.TEXTJOIN(",",TRUE,B295:E295)))&lt;&gt;0,SF_Output!$Y$2,INDEX(SF_Output!$F$1:$F$400,MATCH(_xlfn.TEXTJOIN(",",TRUE,B295:E295),SF_Output!$AC$1:$AC$400,0))=0,INDEX(SF_Output!$R$1:$R$400,MATCH(_xlfn.TEXTJOIN(",",TRUE,B295:E295),SF_Output!$AC$1:$AC$400,0)))</f>
        <v/>
      </c>
      <c r="I295" s="125" t="str">
        <f>IFERROR(IF(AND(H295&gt;1,H295&lt;&gt;""),ROUND(SUMIFS(SF_Output!$S$1:$S$400,SF_Output!$AC$1:$AC$400,_xlfn.TEXTJOIN(",",TRUE,B295:E295),SF_Output!$Q$1:$Q$400,"monthly")*(1-W295)/H295,4),""),"")</f>
        <v/>
      </c>
      <c r="J295" s="6" t="str">
        <f>IF(B295="","",SUMIFS(SF_Output!$S$1:$S$400,SF_Output!$AC$1:$AC$400,_xlfn.TEXTJOIN(",",TRUE,B295:E295),SF_Output!$Q$1:$Q$400,"One Time",SF_Output!$L$1:$L$400,"license fee")+SUMIFS(SF_Output!$S$1:$S$400,SF_Output!$AC$1:$AC$400,_xlfn.TEXTJOIN(",",TRUE,B295:E295),SF_Output!$Q$1:$Q$400,"One Time",SF_Output!$L$1:$L$400,"software license")+SUMIFS(SF_Output!$S$1:$S$400,SF_Output!$AC$1:$AC$400,_xlfn.TEXTJOIN(",",TRUE,B295:E295),SF_Output!$Q$1:$Q$400,"One Time",SF_Output!$L$1:$L$400,"hardware"))</f>
        <v/>
      </c>
      <c r="K295" s="112" t="str">
        <f>IF(OR(B295=0,B295="",G295="hardware",J295=0),"",IF(AF295&lt;&gt;"exclusion",MAX(K$9,-((SUMIFS(SF_Output!$T$1:$T$400,SF_Output!$AC$1:$AC$400,_xlfn.TEXTJOIN(",",TRUE,$B295:$E295),SF_Output!$Q$1:$Q$400,"One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license"))/J295)))</f>
        <v/>
      </c>
      <c r="L295" s="6" t="str">
        <f t="shared" si="17"/>
        <v/>
      </c>
      <c r="N295" s="6" t="str">
        <f>IF(B295="","",SUMIFS(SF_Output!$S$1:$S$400,SF_Output!$AC$1:$AC$400,_xlfn.TEXTJOIN(",",TRUE,B295:E295),SF_Output!$Q$1:$Q$400,"One Time",SF_Output!$L$1:$L$400,"professional service"))</f>
        <v/>
      </c>
      <c r="O295" s="112" t="str">
        <f>IF(OR(B295=0,B295="",N295=0),"",IF(AF295&lt;&gt;"exclusion",MAX(O$9,-(SUMIFS(SF_Output!$T$1:$T$400,SF_Output!$AC$1:$AC$400,_xlfn.TEXTJOIN(",",TRUE,$B295:$E295),SF_Output!$Q$1:$Q$400,"One Time",SF_Output!$L$1:$L$400,"professional service"))/N295),-((SUMIFS(SF_Output!$T$1:$T$400,SF_Output!$AC$1:$AC$400,_xlfn.TEXTJOIN(",",TRUE,$B295:$E295),SF_Output!$Q$1:$Q$400,"One Time",SF_Output!$L$1:$L$400,"professional service")/N295))))</f>
        <v/>
      </c>
      <c r="P295" s="6" t="str">
        <f t="shared" si="18"/>
        <v/>
      </c>
      <c r="R295" s="6" t="str">
        <f>IF(B295="","",SUMIFS(SF_Output!$S$1:$S$400,SF_Output!$AC$1:$AC$400,_xlfn.TEXTJOIN(",",TRUE,B295:E295),SF_Output!$Q$1:$Q$400,"yearly")+SUMIFS(SF_Output!$S$1:$S$400,SF_Output!$AC$1:$AC$400,_xlfn.TEXTJOIN(",",TRUE,B295:E295),SF_Output!$Q$1:$Q$400,"quarterly")*4)</f>
        <v/>
      </c>
      <c r="S295" s="112" t="str">
        <f>IF(OR(B295=0,B295="",G295="hardware",R295=0),"",IF(AF295&lt;&gt;"exclusion",MAX(S$9,-(SUMIFS(SF_Output!$T$1:$T$400,SF_Output!$AC$1:$AC$400,_xlfn.TEXTJOIN(",",TRUE,$B295:$E295),SF_Output!$Q$1:$Q$400,"yearly"))/R295),-((SUMIFS(SF_Output!$T$1:$T$400,SF_Output!$AC$1:$AC$400,_xlfn.TEXTJOIN(",",TRUE,$B295:$E295),SF_Output!$Q$1:$Q$400,"yearly")/R295))))</f>
        <v/>
      </c>
      <c r="T295" s="6" t="str">
        <f t="shared" si="19"/>
        <v/>
      </c>
      <c r="V295" s="6" t="str" cm="1">
        <f t="array" ref="V295">_xlfn.IFS(B295="","",AND(B295&lt;&gt;"",H295=SF_Output!$Y$2,SUMIFS(SF_Output!$T$1:$T$400,SF_Output!$AC$1:$AC$400,_xlfn.TEXTJOIN(",",TRUE,B295:E295),SF_Output!$Q$1:$Q$400,"monthly")=0),(SUMIFS(SF_Output!$F$1:$F$400,SF_Output!$AC$1:$AC$400,_xlfn.TEXTJOIN(",",TRUE,B295:E295),SF_Output!$Q$1:$Q$400,"monthly")+SUMIFS(SF_Output!$G$1:$G$400,SF_Output!$AC$1:$AC$400,_xlfn.TEXTJOIN(",",TRUE,B295:E295),SF_Output!$Q$1:$Q$400,"monthly"))*H295,AND(B295&lt;&gt;"",H295=SF_Output!$Y$2,SUMIFS(SF_Output!$T$1:$T$400,SF_Output!$AC$1:$AC$400,_xlfn.TEXTJOIN(",",TRUE,B295:E295),SF_Output!$Q$1:$Q$400,"monthly")&lt;&gt;0),SUMIFS(SF_Output!$S$1:$S$400,SF_Output!$AC$1:$AC$400,_xlfn.TEXTJOIN(",",TRUE,B295:E295),SF_Output!$Q$1:$Q$400,"monthly"),AND(B295&lt;&gt;"",H295&lt;&gt;SF_Output!$Y$2),SUMIFS(SF_Output!$S$1:$S$400,SF_Output!$AC$1:$AC$400,_xlfn.TEXTJOIN(",",TRUE,B295:E295),SF_Output!$Q$1:$Q$400,"monthly"))</f>
        <v/>
      </c>
      <c r="W295" s="112" t="str" cm="1">
        <f t="array" ref="W295">_xlfn.IFS(OR(B295=0,B295="",V295=0),"",AF295&lt;&gt;"exclusion",MAX($W$9,$W$7,(-(SUMIFS(SF_Output!$T$1:$T$400,SF_Output!$AC$1:$AC$400,_xlfn.TEXTJOIN(",",TRUE,$B295:$E295),SF_Output!$Q$1:$Q$400,"monthly"))/V295)),AF295="exclusion",-(SUMIFS(SF_Output!$T$1:$T$400,SF_Output!$AC$1:$AC$400,_xlfn.TEXTJOIN(",",TRUE,$B295:$E295),SF_Output!$Q$1:$Q$400,"monthly"))/V295)</f>
        <v/>
      </c>
      <c r="X295" s="6" t="str" cm="1">
        <f t="array" ref="X295">IFERROR(_xlfn.IFS(V295=0,0,V295="","",W295=0,V295,OR(V295&lt;&gt;0,V295&lt;&gt;""),H295*I295),V295*(1-W295))</f>
        <v/>
      </c>
    </row>
    <row r="296" spans="6:24" x14ac:dyDescent="0.25">
      <c r="F296" s="116" t="str">
        <f t="shared" si="16"/>
        <v/>
      </c>
      <c r="G296" t="str">
        <f>IF(B296="","",INDEX(SF_Output!$K$1:$K$400,MATCH(B296,SF_Output!$M$1:$M$400,0)))</f>
        <v/>
      </c>
      <c r="H296" t="str" cm="1">
        <f t="array" ref="H296">_xlfn.IFS(B296="","",(SUMIFS(SF_Output!$F$1:$F$400,SF_Output!$AC$1:$AC$400,_xlfn.TEXTJOIN(",",TRUE,B296:E296))+SUMIFS(SF_Output!$G$1:$G$400,SF_Output!$AC$1:$AC$400,_xlfn.TEXTJOIN(",",TRUE,B296:E296)))&lt;&gt;0,SF_Output!$Y$2,INDEX(SF_Output!$F$1:$F$400,MATCH(_xlfn.TEXTJOIN(",",TRUE,B296:E296),SF_Output!$AC$1:$AC$400,0))=0,INDEX(SF_Output!$R$1:$R$400,MATCH(_xlfn.TEXTJOIN(",",TRUE,B296:E296),SF_Output!$AC$1:$AC$400,0)))</f>
        <v/>
      </c>
      <c r="I296" s="125" t="str">
        <f>IFERROR(IF(AND(H296&gt;1,H296&lt;&gt;""),ROUND(SUMIFS(SF_Output!$S$1:$S$400,SF_Output!$AC$1:$AC$400,_xlfn.TEXTJOIN(",",TRUE,B296:E296),SF_Output!$Q$1:$Q$400,"monthly")*(1-W296)/H296,4),""),"")</f>
        <v/>
      </c>
      <c r="J296" s="6" t="str">
        <f>IF(B296="","",SUMIFS(SF_Output!$S$1:$S$400,SF_Output!$AC$1:$AC$400,_xlfn.TEXTJOIN(",",TRUE,B296:E296),SF_Output!$Q$1:$Q$400,"One Time",SF_Output!$L$1:$L$400,"license fee")+SUMIFS(SF_Output!$S$1:$S$400,SF_Output!$AC$1:$AC$400,_xlfn.TEXTJOIN(",",TRUE,B296:E296),SF_Output!$Q$1:$Q$400,"One Time",SF_Output!$L$1:$L$400,"software license")+SUMIFS(SF_Output!$S$1:$S$400,SF_Output!$AC$1:$AC$400,_xlfn.TEXTJOIN(",",TRUE,B296:E296),SF_Output!$Q$1:$Q$400,"One Time",SF_Output!$L$1:$L$400,"hardware"))</f>
        <v/>
      </c>
      <c r="K296" s="112" t="str">
        <f>IF(OR(B296=0,B296="",G296="hardware",J296=0),"",IF(AF296&lt;&gt;"exclusion",MAX(K$9,-((SUMIFS(SF_Output!$T$1:$T$400,SF_Output!$AC$1:$AC$400,_xlfn.TEXTJOIN(",",TRUE,$B296:$E296),SF_Output!$Q$1:$Q$400,"One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license"))/J296)))</f>
        <v/>
      </c>
      <c r="L296" s="6" t="str">
        <f t="shared" si="17"/>
        <v/>
      </c>
      <c r="N296" s="6" t="str">
        <f>IF(B296="","",SUMIFS(SF_Output!$S$1:$S$400,SF_Output!$AC$1:$AC$400,_xlfn.TEXTJOIN(",",TRUE,B296:E296),SF_Output!$Q$1:$Q$400,"One Time",SF_Output!$L$1:$L$400,"professional service"))</f>
        <v/>
      </c>
      <c r="O296" s="112" t="str">
        <f>IF(OR(B296=0,B296="",N296=0),"",IF(AF296&lt;&gt;"exclusion",MAX(O$9,-(SUMIFS(SF_Output!$T$1:$T$400,SF_Output!$AC$1:$AC$400,_xlfn.TEXTJOIN(",",TRUE,$B296:$E296),SF_Output!$Q$1:$Q$400,"One Time",SF_Output!$L$1:$L$400,"professional service"))/N296),-((SUMIFS(SF_Output!$T$1:$T$400,SF_Output!$AC$1:$AC$400,_xlfn.TEXTJOIN(",",TRUE,$B296:$E296),SF_Output!$Q$1:$Q$400,"One Time",SF_Output!$L$1:$L$400,"professional service")/N296))))</f>
        <v/>
      </c>
      <c r="P296" s="6" t="str">
        <f t="shared" si="18"/>
        <v/>
      </c>
      <c r="R296" s="6" t="str">
        <f>IF(B296="","",SUMIFS(SF_Output!$S$1:$S$400,SF_Output!$AC$1:$AC$400,_xlfn.TEXTJOIN(",",TRUE,B296:E296),SF_Output!$Q$1:$Q$400,"yearly")+SUMIFS(SF_Output!$S$1:$S$400,SF_Output!$AC$1:$AC$400,_xlfn.TEXTJOIN(",",TRUE,B296:E296),SF_Output!$Q$1:$Q$400,"quarterly")*4)</f>
        <v/>
      </c>
      <c r="S296" s="112" t="str">
        <f>IF(OR(B296=0,B296="",G296="hardware",R296=0),"",IF(AF296&lt;&gt;"exclusion",MAX(S$9,-(SUMIFS(SF_Output!$T$1:$T$400,SF_Output!$AC$1:$AC$400,_xlfn.TEXTJOIN(",",TRUE,$B296:$E296),SF_Output!$Q$1:$Q$400,"yearly"))/R296),-((SUMIFS(SF_Output!$T$1:$T$400,SF_Output!$AC$1:$AC$400,_xlfn.TEXTJOIN(",",TRUE,$B296:$E296),SF_Output!$Q$1:$Q$400,"yearly")/R296))))</f>
        <v/>
      </c>
      <c r="T296" s="6" t="str">
        <f t="shared" si="19"/>
        <v/>
      </c>
      <c r="V296" s="6" t="str" cm="1">
        <f t="array" ref="V296">_xlfn.IFS(B296="","",AND(B296&lt;&gt;"",H296=SF_Output!$Y$2,SUMIFS(SF_Output!$T$1:$T$400,SF_Output!$AC$1:$AC$400,_xlfn.TEXTJOIN(",",TRUE,B296:E296),SF_Output!$Q$1:$Q$400,"monthly")=0),(SUMIFS(SF_Output!$F$1:$F$400,SF_Output!$AC$1:$AC$400,_xlfn.TEXTJOIN(",",TRUE,B296:E296),SF_Output!$Q$1:$Q$400,"monthly")+SUMIFS(SF_Output!$G$1:$G$400,SF_Output!$AC$1:$AC$400,_xlfn.TEXTJOIN(",",TRUE,B296:E296),SF_Output!$Q$1:$Q$400,"monthly"))*H296,AND(B296&lt;&gt;"",H296=SF_Output!$Y$2,SUMIFS(SF_Output!$T$1:$T$400,SF_Output!$AC$1:$AC$400,_xlfn.TEXTJOIN(",",TRUE,B296:E296),SF_Output!$Q$1:$Q$400,"monthly")&lt;&gt;0),SUMIFS(SF_Output!$S$1:$S$400,SF_Output!$AC$1:$AC$400,_xlfn.TEXTJOIN(",",TRUE,B296:E296),SF_Output!$Q$1:$Q$400,"monthly"),AND(B296&lt;&gt;"",H296&lt;&gt;SF_Output!$Y$2),SUMIFS(SF_Output!$S$1:$S$400,SF_Output!$AC$1:$AC$400,_xlfn.TEXTJOIN(",",TRUE,B296:E296),SF_Output!$Q$1:$Q$400,"monthly"))</f>
        <v/>
      </c>
      <c r="W296" s="112" t="str" cm="1">
        <f t="array" ref="W296">_xlfn.IFS(OR(B296=0,B296="",V296=0),"",AF296&lt;&gt;"exclusion",MAX($W$9,$W$7,(-(SUMIFS(SF_Output!$T$1:$T$400,SF_Output!$AC$1:$AC$400,_xlfn.TEXTJOIN(",",TRUE,$B296:$E296),SF_Output!$Q$1:$Q$400,"monthly"))/V296)),AF296="exclusion",-(SUMIFS(SF_Output!$T$1:$T$400,SF_Output!$AC$1:$AC$400,_xlfn.TEXTJOIN(",",TRUE,$B296:$E296),SF_Output!$Q$1:$Q$400,"monthly"))/V296)</f>
        <v/>
      </c>
      <c r="X296" s="6" t="str" cm="1">
        <f t="array" ref="X296">IFERROR(_xlfn.IFS(V296=0,0,V296="","",W296=0,V296,OR(V296&lt;&gt;0,V296&lt;&gt;""),H296*I296),V296*(1-W296))</f>
        <v/>
      </c>
    </row>
    <row r="297" spans="6:24" x14ac:dyDescent="0.25">
      <c r="F297" s="116" t="str">
        <f t="shared" si="16"/>
        <v/>
      </c>
      <c r="G297" t="str">
        <f>IF(B297="","",INDEX(SF_Output!$K$1:$K$400,MATCH(B297,SF_Output!$M$1:$M$400,0)))</f>
        <v/>
      </c>
      <c r="H297" t="str" cm="1">
        <f t="array" ref="H297">_xlfn.IFS(B297="","",(SUMIFS(SF_Output!$F$1:$F$400,SF_Output!$AC$1:$AC$400,_xlfn.TEXTJOIN(",",TRUE,B297:E297))+SUMIFS(SF_Output!$G$1:$G$400,SF_Output!$AC$1:$AC$400,_xlfn.TEXTJOIN(",",TRUE,B297:E297)))&lt;&gt;0,SF_Output!$Y$2,INDEX(SF_Output!$F$1:$F$400,MATCH(_xlfn.TEXTJOIN(",",TRUE,B297:E297),SF_Output!$AC$1:$AC$400,0))=0,INDEX(SF_Output!$R$1:$R$400,MATCH(_xlfn.TEXTJOIN(",",TRUE,B297:E297),SF_Output!$AC$1:$AC$400,0)))</f>
        <v/>
      </c>
      <c r="I297" s="125" t="str">
        <f>IFERROR(IF(AND(H297&gt;1,H297&lt;&gt;""),ROUND(SUMIFS(SF_Output!$S$1:$S$400,SF_Output!$AC$1:$AC$400,_xlfn.TEXTJOIN(",",TRUE,B297:E297),SF_Output!$Q$1:$Q$400,"monthly")*(1-W297)/H297,4),""),"")</f>
        <v/>
      </c>
      <c r="J297" s="6" t="str">
        <f>IF(B297="","",SUMIFS(SF_Output!$S$1:$S$400,SF_Output!$AC$1:$AC$400,_xlfn.TEXTJOIN(",",TRUE,B297:E297),SF_Output!$Q$1:$Q$400,"One Time",SF_Output!$L$1:$L$400,"license fee")+SUMIFS(SF_Output!$S$1:$S$400,SF_Output!$AC$1:$AC$400,_xlfn.TEXTJOIN(",",TRUE,B297:E297),SF_Output!$Q$1:$Q$400,"One Time",SF_Output!$L$1:$L$400,"software license")+SUMIFS(SF_Output!$S$1:$S$400,SF_Output!$AC$1:$AC$400,_xlfn.TEXTJOIN(",",TRUE,B297:E297),SF_Output!$Q$1:$Q$400,"One Time",SF_Output!$L$1:$L$400,"hardware"))</f>
        <v/>
      </c>
      <c r="K297" s="112" t="str">
        <f>IF(OR(B297=0,B297="",G297="hardware",J297=0),"",IF(AF297&lt;&gt;"exclusion",MAX(K$9,-((SUMIFS(SF_Output!$T$1:$T$400,SF_Output!$AC$1:$AC$400,_xlfn.TEXTJOIN(",",TRUE,$B297:$E297),SF_Output!$Q$1:$Q$400,"One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license"))/J297)))</f>
        <v/>
      </c>
      <c r="L297" s="6" t="str">
        <f t="shared" si="17"/>
        <v/>
      </c>
      <c r="N297" s="6" t="str">
        <f>IF(B297="","",SUMIFS(SF_Output!$S$1:$S$400,SF_Output!$AC$1:$AC$400,_xlfn.TEXTJOIN(",",TRUE,B297:E297),SF_Output!$Q$1:$Q$400,"One Time",SF_Output!$L$1:$L$400,"professional service"))</f>
        <v/>
      </c>
      <c r="O297" s="112" t="str">
        <f>IF(OR(B297=0,B297="",N297=0),"",IF(AF297&lt;&gt;"exclusion",MAX(O$9,-(SUMIFS(SF_Output!$T$1:$T$400,SF_Output!$AC$1:$AC$400,_xlfn.TEXTJOIN(",",TRUE,$B297:$E297),SF_Output!$Q$1:$Q$400,"One Time",SF_Output!$L$1:$L$400,"professional service"))/N297),-((SUMIFS(SF_Output!$T$1:$T$400,SF_Output!$AC$1:$AC$400,_xlfn.TEXTJOIN(",",TRUE,$B297:$E297),SF_Output!$Q$1:$Q$400,"One Time",SF_Output!$L$1:$L$400,"professional service")/N297))))</f>
        <v/>
      </c>
      <c r="P297" s="6" t="str">
        <f t="shared" si="18"/>
        <v/>
      </c>
      <c r="R297" s="6" t="str">
        <f>IF(B297="","",SUMIFS(SF_Output!$S$1:$S$400,SF_Output!$AC$1:$AC$400,_xlfn.TEXTJOIN(",",TRUE,B297:E297),SF_Output!$Q$1:$Q$400,"yearly")+SUMIFS(SF_Output!$S$1:$S$400,SF_Output!$AC$1:$AC$400,_xlfn.TEXTJOIN(",",TRUE,B297:E297),SF_Output!$Q$1:$Q$400,"quarterly")*4)</f>
        <v/>
      </c>
      <c r="S297" s="112" t="str">
        <f>IF(OR(B297=0,B297="",G297="hardware",R297=0),"",IF(AF297&lt;&gt;"exclusion",MAX(S$9,-(SUMIFS(SF_Output!$T$1:$T$400,SF_Output!$AC$1:$AC$400,_xlfn.TEXTJOIN(",",TRUE,$B297:$E297),SF_Output!$Q$1:$Q$400,"yearly"))/R297),-((SUMIFS(SF_Output!$T$1:$T$400,SF_Output!$AC$1:$AC$400,_xlfn.TEXTJOIN(",",TRUE,$B297:$E297),SF_Output!$Q$1:$Q$400,"yearly")/R297))))</f>
        <v/>
      </c>
      <c r="T297" s="6" t="str">
        <f t="shared" si="19"/>
        <v/>
      </c>
      <c r="V297" s="6" t="str" cm="1">
        <f t="array" ref="V297">_xlfn.IFS(B297="","",AND(B297&lt;&gt;"",H297=SF_Output!$Y$2,SUMIFS(SF_Output!$T$1:$T$400,SF_Output!$AC$1:$AC$400,_xlfn.TEXTJOIN(",",TRUE,B297:E297),SF_Output!$Q$1:$Q$400,"monthly")=0),(SUMIFS(SF_Output!$F$1:$F$400,SF_Output!$AC$1:$AC$400,_xlfn.TEXTJOIN(",",TRUE,B297:E297),SF_Output!$Q$1:$Q$400,"monthly")+SUMIFS(SF_Output!$G$1:$G$400,SF_Output!$AC$1:$AC$400,_xlfn.TEXTJOIN(",",TRUE,B297:E297),SF_Output!$Q$1:$Q$400,"monthly"))*H297,AND(B297&lt;&gt;"",H297=SF_Output!$Y$2,SUMIFS(SF_Output!$T$1:$T$400,SF_Output!$AC$1:$AC$400,_xlfn.TEXTJOIN(",",TRUE,B297:E297),SF_Output!$Q$1:$Q$400,"monthly")&lt;&gt;0),SUMIFS(SF_Output!$S$1:$S$400,SF_Output!$AC$1:$AC$400,_xlfn.TEXTJOIN(",",TRUE,B297:E297),SF_Output!$Q$1:$Q$400,"monthly"),AND(B297&lt;&gt;"",H297&lt;&gt;SF_Output!$Y$2),SUMIFS(SF_Output!$S$1:$S$400,SF_Output!$AC$1:$AC$400,_xlfn.TEXTJOIN(",",TRUE,B297:E297),SF_Output!$Q$1:$Q$400,"monthly"))</f>
        <v/>
      </c>
      <c r="W297" s="112" t="str" cm="1">
        <f t="array" ref="W297">_xlfn.IFS(OR(B297=0,B297="",V297=0),"",AF297&lt;&gt;"exclusion",MAX($W$9,$W$7,(-(SUMIFS(SF_Output!$T$1:$T$400,SF_Output!$AC$1:$AC$400,_xlfn.TEXTJOIN(",",TRUE,$B297:$E297),SF_Output!$Q$1:$Q$400,"monthly"))/V297)),AF297="exclusion",-(SUMIFS(SF_Output!$T$1:$T$400,SF_Output!$AC$1:$AC$400,_xlfn.TEXTJOIN(",",TRUE,$B297:$E297),SF_Output!$Q$1:$Q$400,"monthly"))/V297)</f>
        <v/>
      </c>
      <c r="X297" s="6" t="str" cm="1">
        <f t="array" ref="X297">IFERROR(_xlfn.IFS(V297=0,0,V297="","",W297=0,V297,OR(V297&lt;&gt;0,V297&lt;&gt;""),H297*I297),V297*(1-W297))</f>
        <v/>
      </c>
    </row>
    <row r="298" spans="6:24" x14ac:dyDescent="0.25">
      <c r="F298" s="116" t="str">
        <f t="shared" si="16"/>
        <v/>
      </c>
      <c r="G298" t="str">
        <f>IF(B298="","",INDEX(SF_Output!$K$1:$K$400,MATCH(B298,SF_Output!$M$1:$M$400,0)))</f>
        <v/>
      </c>
      <c r="H298" t="str" cm="1">
        <f t="array" ref="H298">_xlfn.IFS(B298="","",(SUMIFS(SF_Output!$F$1:$F$400,SF_Output!$AC$1:$AC$400,_xlfn.TEXTJOIN(",",TRUE,B298:E298))+SUMIFS(SF_Output!$G$1:$G$400,SF_Output!$AC$1:$AC$400,_xlfn.TEXTJOIN(",",TRUE,B298:E298)))&lt;&gt;0,SF_Output!$Y$2,INDEX(SF_Output!$F$1:$F$400,MATCH(_xlfn.TEXTJOIN(",",TRUE,B298:E298),SF_Output!$AC$1:$AC$400,0))=0,INDEX(SF_Output!$R$1:$R$400,MATCH(_xlfn.TEXTJOIN(",",TRUE,B298:E298),SF_Output!$AC$1:$AC$400,0)))</f>
        <v/>
      </c>
      <c r="I298" s="125" t="str">
        <f>IFERROR(IF(AND(H298&gt;1,H298&lt;&gt;""),ROUND(SUMIFS(SF_Output!$S$1:$S$400,SF_Output!$AC$1:$AC$400,_xlfn.TEXTJOIN(",",TRUE,B298:E298),SF_Output!$Q$1:$Q$400,"monthly")*(1-W298)/H298,4),""),"")</f>
        <v/>
      </c>
      <c r="J298" s="6" t="str">
        <f>IF(B298="","",SUMIFS(SF_Output!$S$1:$S$400,SF_Output!$AC$1:$AC$400,_xlfn.TEXTJOIN(",",TRUE,B298:E298),SF_Output!$Q$1:$Q$400,"One Time",SF_Output!$L$1:$L$400,"license fee")+SUMIFS(SF_Output!$S$1:$S$400,SF_Output!$AC$1:$AC$400,_xlfn.TEXTJOIN(",",TRUE,B298:E298),SF_Output!$Q$1:$Q$400,"One Time",SF_Output!$L$1:$L$400,"software license")+SUMIFS(SF_Output!$S$1:$S$400,SF_Output!$AC$1:$AC$400,_xlfn.TEXTJOIN(",",TRUE,B298:E298),SF_Output!$Q$1:$Q$400,"One Time",SF_Output!$L$1:$L$400,"hardware"))</f>
        <v/>
      </c>
      <c r="K298" s="112" t="str">
        <f>IF(OR(B298=0,B298="",G298="hardware",J298=0),"",IF(AF298&lt;&gt;"exclusion",MAX(K$9,-((SUMIFS(SF_Output!$T$1:$T$400,SF_Output!$AC$1:$AC$400,_xlfn.TEXTJOIN(",",TRUE,$B298:$E298),SF_Output!$Q$1:$Q$400,"One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license"))/J298)))</f>
        <v/>
      </c>
      <c r="L298" s="6" t="str">
        <f t="shared" si="17"/>
        <v/>
      </c>
      <c r="N298" s="6" t="str">
        <f>IF(B298="","",SUMIFS(SF_Output!$S$1:$S$400,SF_Output!$AC$1:$AC$400,_xlfn.TEXTJOIN(",",TRUE,B298:E298),SF_Output!$Q$1:$Q$400,"One Time",SF_Output!$L$1:$L$400,"professional service"))</f>
        <v/>
      </c>
      <c r="O298" s="112" t="str">
        <f>IF(OR(B298=0,B298="",N298=0),"",IF(AF298&lt;&gt;"exclusion",MAX(O$9,-(SUMIFS(SF_Output!$T$1:$T$400,SF_Output!$AC$1:$AC$400,_xlfn.TEXTJOIN(",",TRUE,$B298:$E298),SF_Output!$Q$1:$Q$400,"One Time",SF_Output!$L$1:$L$400,"professional service"))/N298),-((SUMIFS(SF_Output!$T$1:$T$400,SF_Output!$AC$1:$AC$400,_xlfn.TEXTJOIN(",",TRUE,$B298:$E298),SF_Output!$Q$1:$Q$400,"One Time",SF_Output!$L$1:$L$400,"professional service")/N298))))</f>
        <v/>
      </c>
      <c r="P298" s="6" t="str">
        <f t="shared" si="18"/>
        <v/>
      </c>
      <c r="R298" s="6" t="str">
        <f>IF(B298="","",SUMIFS(SF_Output!$S$1:$S$400,SF_Output!$AC$1:$AC$400,_xlfn.TEXTJOIN(",",TRUE,B298:E298),SF_Output!$Q$1:$Q$400,"yearly")+SUMIFS(SF_Output!$S$1:$S$400,SF_Output!$AC$1:$AC$400,_xlfn.TEXTJOIN(",",TRUE,B298:E298),SF_Output!$Q$1:$Q$400,"quarterly")*4)</f>
        <v/>
      </c>
      <c r="S298" s="112" t="str">
        <f>IF(OR(B298=0,B298="",G298="hardware",R298=0),"",IF(AF298&lt;&gt;"exclusion",MAX(S$9,-(SUMIFS(SF_Output!$T$1:$T$400,SF_Output!$AC$1:$AC$400,_xlfn.TEXTJOIN(",",TRUE,$B298:$E298),SF_Output!$Q$1:$Q$400,"yearly"))/R298),-((SUMIFS(SF_Output!$T$1:$T$400,SF_Output!$AC$1:$AC$400,_xlfn.TEXTJOIN(",",TRUE,$B298:$E298),SF_Output!$Q$1:$Q$400,"yearly")/R298))))</f>
        <v/>
      </c>
      <c r="T298" s="6" t="str">
        <f t="shared" si="19"/>
        <v/>
      </c>
      <c r="V298" s="6" t="str" cm="1">
        <f t="array" ref="V298">_xlfn.IFS(B298="","",AND(B298&lt;&gt;"",H298=SF_Output!$Y$2,SUMIFS(SF_Output!$T$1:$T$400,SF_Output!$AC$1:$AC$400,_xlfn.TEXTJOIN(",",TRUE,B298:E298),SF_Output!$Q$1:$Q$400,"monthly")=0),(SUMIFS(SF_Output!$F$1:$F$400,SF_Output!$AC$1:$AC$400,_xlfn.TEXTJOIN(",",TRUE,B298:E298),SF_Output!$Q$1:$Q$400,"monthly")+SUMIFS(SF_Output!$G$1:$G$400,SF_Output!$AC$1:$AC$400,_xlfn.TEXTJOIN(",",TRUE,B298:E298),SF_Output!$Q$1:$Q$400,"monthly"))*H298,AND(B298&lt;&gt;"",H298=SF_Output!$Y$2,SUMIFS(SF_Output!$T$1:$T$400,SF_Output!$AC$1:$AC$400,_xlfn.TEXTJOIN(",",TRUE,B298:E298),SF_Output!$Q$1:$Q$400,"monthly")&lt;&gt;0),SUMIFS(SF_Output!$S$1:$S$400,SF_Output!$AC$1:$AC$400,_xlfn.TEXTJOIN(",",TRUE,B298:E298),SF_Output!$Q$1:$Q$400,"monthly"),AND(B298&lt;&gt;"",H298&lt;&gt;SF_Output!$Y$2),SUMIFS(SF_Output!$S$1:$S$400,SF_Output!$AC$1:$AC$400,_xlfn.TEXTJOIN(",",TRUE,B298:E298),SF_Output!$Q$1:$Q$400,"monthly"))</f>
        <v/>
      </c>
      <c r="W298" s="112" t="str" cm="1">
        <f t="array" ref="W298">_xlfn.IFS(OR(B298=0,B298="",V298=0),"",AF298&lt;&gt;"exclusion",MAX($W$9,$W$7,(-(SUMIFS(SF_Output!$T$1:$T$400,SF_Output!$AC$1:$AC$400,_xlfn.TEXTJOIN(",",TRUE,$B298:$E298),SF_Output!$Q$1:$Q$400,"monthly"))/V298)),AF298="exclusion",-(SUMIFS(SF_Output!$T$1:$T$400,SF_Output!$AC$1:$AC$400,_xlfn.TEXTJOIN(",",TRUE,$B298:$E298),SF_Output!$Q$1:$Q$400,"monthly"))/V298)</f>
        <v/>
      </c>
      <c r="X298" s="6" t="str" cm="1">
        <f t="array" ref="X298">IFERROR(_xlfn.IFS(V298=0,0,V298="","",W298=0,V298,OR(V298&lt;&gt;0,V298&lt;&gt;""),H298*I298),V298*(1-W298))</f>
        <v/>
      </c>
    </row>
    <row r="299" spans="6:24" x14ac:dyDescent="0.25">
      <c r="F299" s="116" t="str">
        <f t="shared" si="16"/>
        <v/>
      </c>
      <c r="G299" t="str">
        <f>IF(B299="","",INDEX(SF_Output!$K$1:$K$400,MATCH(B299,SF_Output!$M$1:$M$400,0)))</f>
        <v/>
      </c>
      <c r="H299" t="str" cm="1">
        <f t="array" ref="H299">_xlfn.IFS(B299="","",(SUMIFS(SF_Output!$F$1:$F$400,SF_Output!$AC$1:$AC$400,_xlfn.TEXTJOIN(",",TRUE,B299:E299))+SUMIFS(SF_Output!$G$1:$G$400,SF_Output!$AC$1:$AC$400,_xlfn.TEXTJOIN(",",TRUE,B299:E299)))&lt;&gt;0,SF_Output!$Y$2,INDEX(SF_Output!$F$1:$F$400,MATCH(_xlfn.TEXTJOIN(",",TRUE,B299:E299),SF_Output!$AC$1:$AC$400,0))=0,INDEX(SF_Output!$R$1:$R$400,MATCH(_xlfn.TEXTJOIN(",",TRUE,B299:E299),SF_Output!$AC$1:$AC$400,0)))</f>
        <v/>
      </c>
      <c r="I299" s="125" t="str">
        <f>IFERROR(IF(AND(H299&gt;1,H299&lt;&gt;""),ROUND(SUMIFS(SF_Output!$S$1:$S$400,SF_Output!$AC$1:$AC$400,_xlfn.TEXTJOIN(",",TRUE,B299:E299),SF_Output!$Q$1:$Q$400,"monthly")*(1-W299)/H299,4),""),"")</f>
        <v/>
      </c>
      <c r="J299" s="6" t="str">
        <f>IF(B299="","",SUMIFS(SF_Output!$S$1:$S$400,SF_Output!$AC$1:$AC$400,_xlfn.TEXTJOIN(",",TRUE,B299:E299),SF_Output!$Q$1:$Q$400,"One Time",SF_Output!$L$1:$L$400,"license fee")+SUMIFS(SF_Output!$S$1:$S$400,SF_Output!$AC$1:$AC$400,_xlfn.TEXTJOIN(",",TRUE,B299:E299),SF_Output!$Q$1:$Q$400,"One Time",SF_Output!$L$1:$L$400,"software license")+SUMIFS(SF_Output!$S$1:$S$400,SF_Output!$AC$1:$AC$400,_xlfn.TEXTJOIN(",",TRUE,B299:E299),SF_Output!$Q$1:$Q$400,"One Time",SF_Output!$L$1:$L$400,"hardware"))</f>
        <v/>
      </c>
      <c r="K299" s="112" t="str">
        <f>IF(OR(B299=0,B299="",G299="hardware",J299=0),"",IF(AF299&lt;&gt;"exclusion",MAX(K$9,-((SUMIFS(SF_Output!$T$1:$T$400,SF_Output!$AC$1:$AC$400,_xlfn.TEXTJOIN(",",TRUE,$B299:$E299),SF_Output!$Q$1:$Q$400,"One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license"))/J299)))</f>
        <v/>
      </c>
      <c r="L299" s="6" t="str">
        <f t="shared" si="17"/>
        <v/>
      </c>
      <c r="N299" s="6" t="str">
        <f>IF(B299="","",SUMIFS(SF_Output!$S$1:$S$400,SF_Output!$AC$1:$AC$400,_xlfn.TEXTJOIN(",",TRUE,B299:E299),SF_Output!$Q$1:$Q$400,"One Time",SF_Output!$L$1:$L$400,"professional service"))</f>
        <v/>
      </c>
      <c r="O299" s="112" t="str">
        <f>IF(OR(B299=0,B299="",N299=0),"",IF(AF299&lt;&gt;"exclusion",MAX(O$9,-(SUMIFS(SF_Output!$T$1:$T$400,SF_Output!$AC$1:$AC$400,_xlfn.TEXTJOIN(",",TRUE,$B299:$E299),SF_Output!$Q$1:$Q$400,"One Time",SF_Output!$L$1:$L$400,"professional service"))/N299),-((SUMIFS(SF_Output!$T$1:$T$400,SF_Output!$AC$1:$AC$400,_xlfn.TEXTJOIN(",",TRUE,$B299:$E299),SF_Output!$Q$1:$Q$400,"One Time",SF_Output!$L$1:$L$400,"professional service")/N299))))</f>
        <v/>
      </c>
      <c r="P299" s="6" t="str">
        <f t="shared" si="18"/>
        <v/>
      </c>
      <c r="R299" s="6" t="str">
        <f>IF(B299="","",SUMIFS(SF_Output!$S$1:$S$400,SF_Output!$AC$1:$AC$400,_xlfn.TEXTJOIN(",",TRUE,B299:E299),SF_Output!$Q$1:$Q$400,"yearly")+SUMIFS(SF_Output!$S$1:$S$400,SF_Output!$AC$1:$AC$400,_xlfn.TEXTJOIN(",",TRUE,B299:E299),SF_Output!$Q$1:$Q$400,"quarterly")*4)</f>
        <v/>
      </c>
      <c r="S299" s="112" t="str">
        <f>IF(OR(B299=0,B299="",G299="hardware",R299=0),"",IF(AF299&lt;&gt;"exclusion",MAX(S$9,-(SUMIFS(SF_Output!$T$1:$T$400,SF_Output!$AC$1:$AC$400,_xlfn.TEXTJOIN(",",TRUE,$B299:$E299),SF_Output!$Q$1:$Q$400,"yearly"))/R299),-((SUMIFS(SF_Output!$T$1:$T$400,SF_Output!$AC$1:$AC$400,_xlfn.TEXTJOIN(",",TRUE,$B299:$E299),SF_Output!$Q$1:$Q$400,"yearly")/R299))))</f>
        <v/>
      </c>
      <c r="T299" s="6" t="str">
        <f t="shared" si="19"/>
        <v/>
      </c>
      <c r="V299" s="6" t="str" cm="1">
        <f t="array" ref="V299">_xlfn.IFS(B299="","",AND(B299&lt;&gt;"",H299=SF_Output!$Y$2,SUMIFS(SF_Output!$T$1:$T$400,SF_Output!$AC$1:$AC$400,_xlfn.TEXTJOIN(",",TRUE,B299:E299),SF_Output!$Q$1:$Q$400,"monthly")=0),(SUMIFS(SF_Output!$F$1:$F$400,SF_Output!$AC$1:$AC$400,_xlfn.TEXTJOIN(",",TRUE,B299:E299),SF_Output!$Q$1:$Q$400,"monthly")+SUMIFS(SF_Output!$G$1:$G$400,SF_Output!$AC$1:$AC$400,_xlfn.TEXTJOIN(",",TRUE,B299:E299),SF_Output!$Q$1:$Q$400,"monthly"))*H299,AND(B299&lt;&gt;"",H299=SF_Output!$Y$2,SUMIFS(SF_Output!$T$1:$T$400,SF_Output!$AC$1:$AC$400,_xlfn.TEXTJOIN(",",TRUE,B299:E299),SF_Output!$Q$1:$Q$400,"monthly")&lt;&gt;0),SUMIFS(SF_Output!$S$1:$S$400,SF_Output!$AC$1:$AC$400,_xlfn.TEXTJOIN(",",TRUE,B299:E299),SF_Output!$Q$1:$Q$400,"monthly"),AND(B299&lt;&gt;"",H299&lt;&gt;SF_Output!$Y$2),SUMIFS(SF_Output!$S$1:$S$400,SF_Output!$AC$1:$AC$400,_xlfn.TEXTJOIN(",",TRUE,B299:E299),SF_Output!$Q$1:$Q$400,"monthly"))</f>
        <v/>
      </c>
      <c r="W299" s="112" t="str" cm="1">
        <f t="array" ref="W299">_xlfn.IFS(OR(B299=0,B299="",V299=0),"",AF299&lt;&gt;"exclusion",MAX($W$9,$W$7,(-(SUMIFS(SF_Output!$T$1:$T$400,SF_Output!$AC$1:$AC$400,_xlfn.TEXTJOIN(",",TRUE,$B299:$E299),SF_Output!$Q$1:$Q$400,"monthly"))/V299)),AF299="exclusion",-(SUMIFS(SF_Output!$T$1:$T$400,SF_Output!$AC$1:$AC$400,_xlfn.TEXTJOIN(",",TRUE,$B299:$E299),SF_Output!$Q$1:$Q$400,"monthly"))/V299)</f>
        <v/>
      </c>
      <c r="X299" s="6" t="str" cm="1">
        <f t="array" ref="X299">IFERROR(_xlfn.IFS(V299=0,0,V299="","",W299=0,V299,OR(V299&lt;&gt;0,V299&lt;&gt;""),H299*I299),V299*(1-W299))</f>
        <v/>
      </c>
    </row>
    <row r="300" spans="6:24" x14ac:dyDescent="0.25">
      <c r="F300" s="116" t="str">
        <f t="shared" si="16"/>
        <v/>
      </c>
      <c r="G300" t="str">
        <f>IF(B300="","",INDEX(SF_Output!$K$1:$K$400,MATCH(B300,SF_Output!$M$1:$M$400,0)))</f>
        <v/>
      </c>
      <c r="H300" t="str" cm="1">
        <f t="array" ref="H300">_xlfn.IFS(B300="","",(SUMIFS(SF_Output!$F$1:$F$400,SF_Output!$AC$1:$AC$400,_xlfn.TEXTJOIN(",",TRUE,B300:E300))+SUMIFS(SF_Output!$G$1:$G$400,SF_Output!$AC$1:$AC$400,_xlfn.TEXTJOIN(",",TRUE,B300:E300)))&lt;&gt;0,SF_Output!$Y$2,INDEX(SF_Output!$F$1:$F$400,MATCH(_xlfn.TEXTJOIN(",",TRUE,B300:E300),SF_Output!$AC$1:$AC$400,0))=0,INDEX(SF_Output!$R$1:$R$400,MATCH(_xlfn.TEXTJOIN(",",TRUE,B300:E300),SF_Output!$AC$1:$AC$400,0)))</f>
        <v/>
      </c>
      <c r="I300" s="125" t="str">
        <f>IFERROR(IF(AND(H300&gt;1,H300&lt;&gt;""),ROUND(SUMIFS(SF_Output!$S$1:$S$400,SF_Output!$AC$1:$AC$400,_xlfn.TEXTJOIN(",",TRUE,B300:E300),SF_Output!$Q$1:$Q$400,"monthly")*(1-W300)/H300,4),""),"")</f>
        <v/>
      </c>
      <c r="J300" s="6" t="str">
        <f>IF(B300="","",SUMIFS(SF_Output!$S$1:$S$400,SF_Output!$AC$1:$AC$400,_xlfn.TEXTJOIN(",",TRUE,B300:E300),SF_Output!$Q$1:$Q$400,"One Time",SF_Output!$L$1:$L$400,"license fee")+SUMIFS(SF_Output!$S$1:$S$400,SF_Output!$AC$1:$AC$400,_xlfn.TEXTJOIN(",",TRUE,B300:E300),SF_Output!$Q$1:$Q$400,"One Time",SF_Output!$L$1:$L$400,"software license")+SUMIFS(SF_Output!$S$1:$S$400,SF_Output!$AC$1:$AC$400,_xlfn.TEXTJOIN(",",TRUE,B300:E300),SF_Output!$Q$1:$Q$400,"One Time",SF_Output!$L$1:$L$400,"hardware"))</f>
        <v/>
      </c>
      <c r="K300" s="112" t="str">
        <f>IF(OR(B300=0,B300="",G300="hardware",J300=0),"",IF(AF300&lt;&gt;"exclusion",MAX(K$9,-((SUMIFS(SF_Output!$T$1:$T$400,SF_Output!$AC$1:$AC$400,_xlfn.TEXTJOIN(",",TRUE,$B300:$E300),SF_Output!$Q$1:$Q$400,"One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license"))/J300)))</f>
        <v/>
      </c>
      <c r="L300" s="6" t="str">
        <f t="shared" si="17"/>
        <v/>
      </c>
      <c r="N300" s="6" t="str">
        <f>IF(B300="","",SUMIFS(SF_Output!$S$1:$S$400,SF_Output!$AC$1:$AC$400,_xlfn.TEXTJOIN(",",TRUE,B300:E300),SF_Output!$Q$1:$Q$400,"One Time",SF_Output!$L$1:$L$400,"professional service"))</f>
        <v/>
      </c>
      <c r="O300" s="112" t="str">
        <f>IF(OR(B300=0,B300="",N300=0),"",IF(AF300&lt;&gt;"exclusion",MAX(O$9,-(SUMIFS(SF_Output!$T$1:$T$400,SF_Output!$AC$1:$AC$400,_xlfn.TEXTJOIN(",",TRUE,$B300:$E300),SF_Output!$Q$1:$Q$400,"One Time",SF_Output!$L$1:$L$400,"professional service"))/N300),-((SUMIFS(SF_Output!$T$1:$T$400,SF_Output!$AC$1:$AC$400,_xlfn.TEXTJOIN(",",TRUE,$B300:$E300),SF_Output!$Q$1:$Q$400,"One Time",SF_Output!$L$1:$L$400,"professional service")/N300))))</f>
        <v/>
      </c>
      <c r="P300" s="6" t="str">
        <f t="shared" si="18"/>
        <v/>
      </c>
      <c r="R300" s="6" t="str">
        <f>IF(B300="","",SUMIFS(SF_Output!$S$1:$S$400,SF_Output!$AC$1:$AC$400,_xlfn.TEXTJOIN(",",TRUE,B300:E300),SF_Output!$Q$1:$Q$400,"yearly")+SUMIFS(SF_Output!$S$1:$S$400,SF_Output!$AC$1:$AC$400,_xlfn.TEXTJOIN(",",TRUE,B300:E300),SF_Output!$Q$1:$Q$400,"quarterly")*4)</f>
        <v/>
      </c>
      <c r="S300" s="112" t="str">
        <f>IF(OR(B300=0,B300="",G300="hardware",R300=0),"",IF(AF300&lt;&gt;"exclusion",MAX(S$9,-(SUMIFS(SF_Output!$T$1:$T$400,SF_Output!$AC$1:$AC$400,_xlfn.TEXTJOIN(",",TRUE,$B300:$E300),SF_Output!$Q$1:$Q$400,"yearly"))/R300),-((SUMIFS(SF_Output!$T$1:$T$400,SF_Output!$AC$1:$AC$400,_xlfn.TEXTJOIN(",",TRUE,$B300:$E300),SF_Output!$Q$1:$Q$400,"yearly")/R300))))</f>
        <v/>
      </c>
      <c r="T300" s="6" t="str">
        <f t="shared" si="19"/>
        <v/>
      </c>
      <c r="V300" s="6" t="str" cm="1">
        <f t="array" ref="V300">_xlfn.IFS(B300="","",AND(B300&lt;&gt;"",H300=SF_Output!$Y$2,SUMIFS(SF_Output!$T$1:$T$400,SF_Output!$AC$1:$AC$400,_xlfn.TEXTJOIN(",",TRUE,B300:E300),SF_Output!$Q$1:$Q$400,"monthly")=0),(SUMIFS(SF_Output!$F$1:$F$400,SF_Output!$AC$1:$AC$400,_xlfn.TEXTJOIN(",",TRUE,B300:E300),SF_Output!$Q$1:$Q$400,"monthly")+SUMIFS(SF_Output!$G$1:$G$400,SF_Output!$AC$1:$AC$400,_xlfn.TEXTJOIN(",",TRUE,B300:E300),SF_Output!$Q$1:$Q$400,"monthly"))*H300,AND(B300&lt;&gt;"",H300=SF_Output!$Y$2,SUMIFS(SF_Output!$T$1:$T$400,SF_Output!$AC$1:$AC$400,_xlfn.TEXTJOIN(",",TRUE,B300:E300),SF_Output!$Q$1:$Q$400,"monthly")&lt;&gt;0),SUMIFS(SF_Output!$S$1:$S$400,SF_Output!$AC$1:$AC$400,_xlfn.TEXTJOIN(",",TRUE,B300:E300),SF_Output!$Q$1:$Q$400,"monthly"),AND(B300&lt;&gt;"",H300&lt;&gt;SF_Output!$Y$2),SUMIFS(SF_Output!$S$1:$S$400,SF_Output!$AC$1:$AC$400,_xlfn.TEXTJOIN(",",TRUE,B300:E300),SF_Output!$Q$1:$Q$400,"monthly"))</f>
        <v/>
      </c>
      <c r="W300" s="112" t="str" cm="1">
        <f t="array" ref="W300">_xlfn.IFS(OR(B300=0,B300="",V300=0),"",AF300&lt;&gt;"exclusion",MAX($W$9,$W$7,(-(SUMIFS(SF_Output!$T$1:$T$400,SF_Output!$AC$1:$AC$400,_xlfn.TEXTJOIN(",",TRUE,$B300:$E300),SF_Output!$Q$1:$Q$400,"monthly"))/V300)),AF300="exclusion",-(SUMIFS(SF_Output!$T$1:$T$400,SF_Output!$AC$1:$AC$400,_xlfn.TEXTJOIN(",",TRUE,$B300:$E300),SF_Output!$Q$1:$Q$400,"monthly"))/V300)</f>
        <v/>
      </c>
      <c r="X300" s="6" t="str" cm="1">
        <f t="array" ref="X300">IFERROR(_xlfn.IFS(V300=0,0,V300="","",W300=0,V300,OR(V300&lt;&gt;0,V300&lt;&gt;""),H300*I300),V300*(1-W300))</f>
        <v/>
      </c>
    </row>
  </sheetData>
  <conditionalFormatting sqref="F14:F300">
    <cfRule type="expression" dxfId="33" priority="17">
      <formula>NOT(_xlfn.ISFORMULA(F14:F250))</formula>
    </cfRule>
  </conditionalFormatting>
  <conditionalFormatting sqref="J14:L250 N14:P250 R14:T250">
    <cfRule type="expression" dxfId="32" priority="10">
      <formula>NOT(_xlfn.ISFORMULA(J14:L250))</formula>
    </cfRule>
  </conditionalFormatting>
  <conditionalFormatting sqref="J251:L300 N251:P300 R251:T300">
    <cfRule type="expression" dxfId="31" priority="1">
      <formula>NOT(_xlfn.ISFORMULA(J251:L487))</formula>
    </cfRule>
  </conditionalFormatting>
  <conditionalFormatting sqref="K14:K300">
    <cfRule type="expression" dxfId="30" priority="7">
      <formula>AND($K$9&lt;&gt;0,K14=$K$9)</formula>
    </cfRule>
  </conditionalFormatting>
  <conditionalFormatting sqref="O14:O300">
    <cfRule type="expression" dxfId="28" priority="8">
      <formula>AND($O$9&lt;&gt;0,O14=$O$9)</formula>
    </cfRule>
  </conditionalFormatting>
  <conditionalFormatting sqref="S14:S300">
    <cfRule type="expression" dxfId="26" priority="9">
      <formula>AND($S$9&lt;&gt;0,S14=$S$9)</formula>
    </cfRule>
  </conditionalFormatting>
  <conditionalFormatting sqref="V14:X250">
    <cfRule type="expression" dxfId="24" priority="12">
      <formula>NOT(_xlfn.ISFORMULA(V14:X250))</formula>
    </cfRule>
  </conditionalFormatting>
  <conditionalFormatting sqref="V251:X300">
    <cfRule type="expression" dxfId="23" priority="2">
      <formula>NOT(_xlfn.ISFORMULA(V251:X487))</formula>
    </cfRule>
  </conditionalFormatting>
  <conditionalFormatting sqref="W7">
    <cfRule type="expression" dxfId="22" priority="13">
      <formula>$V$7=""</formula>
    </cfRule>
    <cfRule type="expression" dxfId="21" priority="16">
      <formula>V7&lt;&gt;""</formula>
    </cfRule>
  </conditionalFormatting>
  <conditionalFormatting sqref="W9">
    <cfRule type="expression" dxfId="20" priority="14">
      <formula>$V$9=""</formula>
    </cfRule>
    <cfRule type="expression" dxfId="19" priority="15">
      <formula>$V$9&lt;&gt;""</formula>
    </cfRule>
  </conditionalFormatting>
  <conditionalFormatting sqref="W14:W300">
    <cfRule type="expression" dxfId="18" priority="11">
      <formula>OR(AND($W$7&lt;&gt;0,W14&lt;&gt;0,W14-0.2=$W$7),AND($W$7=W14,W14&lt;&gt;0),AND($W$9&lt;&gt;0,W14&lt;&gt;0,W14=$W$9))</formula>
    </cfRule>
  </conditionalFormatting>
  <dataValidations count="1">
    <dataValidation type="list" allowBlank="1" showInputMessage="1" showErrorMessage="1" sqref="F14:F300" xr:uid="{3CF5737A-9790-458C-8048-5ED2BC7D210C}">
      <formula1>"Optional,Included,Remove,Replaced,Add"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7E4937DD-0F56-4421-B75E-51F0BF53D0D5}">
            <xm:f>AND(B14&lt;&gt;"",Balancing!$N3&lt;&gt;0)</xm:f>
            <x14:dxf>
              <fill>
                <patternFill>
                  <bgColor theme="8" tint="0.79998168889431442"/>
                </patternFill>
              </fill>
            </x14:dxf>
          </x14:cfRule>
          <xm:sqref>L14:L300</xm:sqref>
        </x14:conditionalFormatting>
        <x14:conditionalFormatting xmlns:xm="http://schemas.microsoft.com/office/excel/2006/main">
          <x14:cfRule type="expression" priority="5" id="{D3C66449-03C6-41FF-B5BB-CE9B84CB647B}">
            <xm:f>AND(B14&lt;&gt;"",Balancing!$O3&lt;&gt;0)</xm:f>
            <x14:dxf>
              <fill>
                <patternFill>
                  <bgColor theme="8" tint="0.79998168889431442"/>
                </patternFill>
              </fill>
            </x14:dxf>
          </x14:cfRule>
          <xm:sqref>P14:P300</xm:sqref>
        </x14:conditionalFormatting>
        <x14:conditionalFormatting xmlns:xm="http://schemas.microsoft.com/office/excel/2006/main">
          <x14:cfRule type="expression" priority="4" id="{D7D37C90-836D-4DFC-9B66-11A1CAD73FEF}">
            <xm:f>AND(B14&lt;&gt;"",Balancing!$P3&lt;&gt;0)</xm:f>
            <x14:dxf>
              <fill>
                <patternFill>
                  <bgColor theme="8" tint="0.79998168889431442"/>
                </patternFill>
              </fill>
            </x14:dxf>
          </x14:cfRule>
          <xm:sqref>T14:T300</xm:sqref>
        </x14:conditionalFormatting>
        <x14:conditionalFormatting xmlns:xm="http://schemas.microsoft.com/office/excel/2006/main">
          <x14:cfRule type="expression" priority="3" id="{AC2321BE-3456-4C27-B757-9AB3421234AF}">
            <xm:f>AND(B14&lt;&gt;"",Balancing!$Q3&lt;&gt;0)</xm:f>
            <x14:dxf>
              <fill>
                <patternFill>
                  <bgColor theme="8" tint="0.79998168889431442"/>
                </patternFill>
              </fill>
            </x14:dxf>
          </x14:cfRule>
          <xm:sqref>X14:X300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5247C-76D1-47B5-B402-2055BBC88EA9}">
  <sheetPr codeName="Sheet15"/>
  <dimension ref="B1:X300"/>
  <sheetViews>
    <sheetView workbookViewId="0">
      <selection sqref="A1:X1048576"/>
    </sheetView>
  </sheetViews>
  <sheetFormatPr defaultRowHeight="15" x14ac:dyDescent="0.25"/>
  <cols>
    <col min="1" max="1" width="3.42578125" customWidth="1"/>
    <col min="2" max="2" width="50.140625" customWidth="1"/>
    <col min="3" max="3" width="15.5703125" customWidth="1"/>
    <col min="4" max="4" width="27.140625" hidden="1" customWidth="1"/>
    <col min="5" max="5" width="11.85546875" hidden="1" customWidth="1"/>
    <col min="6" max="6" width="11.85546875" style="116" customWidth="1"/>
    <col min="7" max="7" width="32.42578125" customWidth="1"/>
    <col min="8" max="8" width="10.7109375" customWidth="1"/>
    <col min="9" max="9" width="11.7109375" style="122" customWidth="1"/>
    <col min="10" max="10" width="15.7109375" style="6" customWidth="1"/>
    <col min="11" max="11" width="15.7109375" style="4" customWidth="1"/>
    <col min="12" max="12" width="15.7109375" style="6" customWidth="1"/>
    <col min="13" max="13" width="3.28515625" style="6" customWidth="1"/>
    <col min="14" max="14" width="15.7109375" style="6" customWidth="1"/>
    <col min="15" max="15" width="15.7109375" style="4" customWidth="1"/>
    <col min="16" max="16" width="15.7109375" style="6" customWidth="1"/>
    <col min="17" max="17" width="3.28515625" style="6" customWidth="1"/>
    <col min="18" max="18" width="15.7109375" style="6" customWidth="1"/>
    <col min="19" max="19" width="15.7109375" style="4" customWidth="1"/>
    <col min="20" max="20" width="15.7109375" style="6" customWidth="1"/>
    <col min="21" max="21" width="3.28515625" style="6" customWidth="1"/>
    <col min="22" max="22" width="18.5703125" style="6" customWidth="1"/>
    <col min="23" max="23" width="15.7109375" style="4" customWidth="1"/>
    <col min="24" max="24" width="18.5703125" style="6" customWidth="1"/>
  </cols>
  <sheetData>
    <row r="1" spans="2:24" x14ac:dyDescent="0.25">
      <c r="H1" t="str" cm="1">
        <f t="array" aca="1" ref="H1" ca="1">MID(CELL("filename",A1),FIND("]",CELL("filename",A1))+1,255)</f>
        <v>Current Annual</v>
      </c>
      <c r="J1"/>
      <c r="K1" s="6"/>
      <c r="L1" s="4"/>
      <c r="M1" s="4"/>
      <c r="O1" s="6"/>
      <c r="P1" s="4"/>
      <c r="Q1" s="4"/>
      <c r="S1" s="6"/>
      <c r="T1" s="4"/>
      <c r="U1" s="4"/>
      <c r="W1" s="6"/>
      <c r="X1" s="4"/>
    </row>
    <row r="2" spans="2:24" x14ac:dyDescent="0.25">
      <c r="B2" s="9"/>
      <c r="C2" s="9"/>
      <c r="D2" s="9"/>
      <c r="E2" s="9"/>
      <c r="F2" s="117"/>
      <c r="G2" s="9"/>
      <c r="H2" s="9"/>
      <c r="I2" s="123"/>
      <c r="J2" s="9" t="s">
        <v>20</v>
      </c>
      <c r="K2" s="10" t="s">
        <v>21</v>
      </c>
      <c r="L2" s="9" t="s">
        <v>22</v>
      </c>
      <c r="M2" s="9"/>
      <c r="N2" s="9" t="s">
        <v>23</v>
      </c>
      <c r="O2" s="10" t="s">
        <v>21</v>
      </c>
      <c r="P2" s="9" t="s">
        <v>24</v>
      </c>
      <c r="Q2" s="9"/>
      <c r="R2" s="9" t="s">
        <v>25</v>
      </c>
      <c r="S2" s="10" t="s">
        <v>21</v>
      </c>
      <c r="T2" s="9" t="s">
        <v>26</v>
      </c>
      <c r="U2" s="9"/>
      <c r="V2" s="9" t="s">
        <v>27</v>
      </c>
      <c r="W2" s="10" t="s">
        <v>21</v>
      </c>
      <c r="X2" s="9" t="s">
        <v>28</v>
      </c>
    </row>
    <row r="3" spans="2:24" x14ac:dyDescent="0.25">
      <c r="B3" t="s">
        <v>32</v>
      </c>
      <c r="C3" s="11">
        <v>45896</v>
      </c>
      <c r="H3" s="12"/>
      <c r="I3" s="124" t="s">
        <v>33</v>
      </c>
      <c r="J3" s="6">
        <f>SUMIFS(J$14:J$350,$F$14:$F$350,"Included")+SUMIFS(J$14:J$350,$F$14:$F$350,"Add")-J6</f>
        <v>16545</v>
      </c>
      <c r="K3" s="6">
        <f>L3-J3</f>
        <v>0</v>
      </c>
      <c r="L3" s="6">
        <f>SUMIFS(L$14:L$350,$F$14:$F$350,"Included")+SUMIFS(L$14:L$350,$F$14:$F$350,"Add")-L6</f>
        <v>16545</v>
      </c>
      <c r="N3" s="6">
        <f>SUMIFS(N$14:N$350,$F$14:$F$350,"Included")+SUMIFS(N$14:N$350,$F$14:$F$350,"Add")</f>
        <v>733815</v>
      </c>
      <c r="O3" s="6">
        <f>P3-N3</f>
        <v>-585072.5</v>
      </c>
      <c r="P3" s="6">
        <f>SUMIFS(P$14:P$350,$F$14:$F$350,"Included")+SUMIFS(P$14:P$350,$F$14:$F$350,"Add")</f>
        <v>148742.5</v>
      </c>
      <c r="R3" s="6">
        <f>SUMIFS(R$14:R$350,$F$14:$F$350,"Included")+SUMIFS(R$14:R$350,$F$14:$F$350,"Add")</f>
        <v>17759</v>
      </c>
      <c r="S3" s="6">
        <f>T3-R3</f>
        <v>0</v>
      </c>
      <c r="T3" s="6">
        <f>SUMIFS(T$14:T$350,$F$14:$F$350,"Included")+SUMIFS(T$14:T$350,$F$14:$F$350,"Add")</f>
        <v>17759</v>
      </c>
      <c r="V3" s="6">
        <f>SUMIFS(V$14:V$350,$F$14:$F$350,"Included")+SUMIFS(V$14:V$350,$F$14:$F$350,"Add")</f>
        <v>41756.400000000001</v>
      </c>
      <c r="W3" s="6">
        <f>X3-V3</f>
        <v>-5396.1500000000015</v>
      </c>
      <c r="X3" s="6">
        <f>SUMIFS(X$14:X$350,$F$14:$F$350,"Included")+SUMIFS(X$14:X$350,$F$14:$F$350,"Add")</f>
        <v>36360.25</v>
      </c>
    </row>
    <row r="4" spans="2:24" x14ac:dyDescent="0.25">
      <c r="B4" t="s">
        <v>34</v>
      </c>
      <c r="C4" s="139" t="s">
        <v>2117</v>
      </c>
      <c r="H4" s="12"/>
      <c r="I4" s="124" t="s">
        <v>35</v>
      </c>
      <c r="J4" s="6">
        <f>SUMIFS(J$14:J$350,$F$14:$F$350,"Optional")-J7</f>
        <v>0</v>
      </c>
      <c r="K4" s="6">
        <f>L4-J4</f>
        <v>0</v>
      </c>
      <c r="L4" s="6">
        <f>SUMIFS(L$14:L$350,$F$14:$F$350,"Optional")-L7</f>
        <v>0</v>
      </c>
      <c r="N4" s="6">
        <f>SUMIFS(N$14:N$350,$F$14:$F$350,"Optional")</f>
        <v>173320</v>
      </c>
      <c r="O4" s="6">
        <f>P4-N4</f>
        <v>-98620</v>
      </c>
      <c r="P4" s="6">
        <f>SUMIFS(P$14:P$350,$F$14:$F$350,"Optional")</f>
        <v>74700</v>
      </c>
      <c r="R4" s="6">
        <f>SUMIFS(R$14:R$350,$F$14:$F$350,"Optional")</f>
        <v>3500</v>
      </c>
      <c r="S4" s="6">
        <f>T4-R4</f>
        <v>0</v>
      </c>
      <c r="T4" s="6">
        <f>SUMIFS(T$14:T$350,$F$14:$F$350,"Optional")</f>
        <v>3500</v>
      </c>
      <c r="V4" s="6">
        <f>SUMIFS(V$14:V$350,$F$14:$F$350,"Optional")</f>
        <v>9255</v>
      </c>
      <c r="W4" s="6">
        <f>X4-V4</f>
        <v>-1155.5</v>
      </c>
      <c r="X4" s="6">
        <f>SUMIFS(X$14:X$350,$F$14:$F$350,"Optional")</f>
        <v>8099.5</v>
      </c>
    </row>
    <row r="5" spans="2:24" x14ac:dyDescent="0.25">
      <c r="C5" s="13" t="s">
        <v>2120</v>
      </c>
      <c r="H5" s="12"/>
      <c r="I5" s="124" t="s">
        <v>36</v>
      </c>
      <c r="J5" s="6">
        <f>SUMIFS(J$14:J$350,$F$14:$F$350,"Replaced")</f>
        <v>0</v>
      </c>
      <c r="K5" s="6">
        <f>L5-J5</f>
        <v>0</v>
      </c>
      <c r="L5" s="6">
        <f>SUMIFS(L$14:L$350,$F$14:$F$350,"Replaced")</f>
        <v>0</v>
      </c>
      <c r="N5" s="6">
        <f>SUMIFS(N$14:N$350,$F$14:$F$350,"Replaced")</f>
        <v>0</v>
      </c>
      <c r="O5" s="6">
        <f>P5-N5</f>
        <v>0</v>
      </c>
      <c r="P5" s="6">
        <f>SUMIFS(P$14:P$350,$F$14:$F$350,"Replaced")</f>
        <v>0</v>
      </c>
      <c r="R5" s="6">
        <f>SUMIFS(R$14:R$350,$F$14:$F$350,"Replaced")</f>
        <v>0</v>
      </c>
      <c r="S5" s="6">
        <f>T5-R5</f>
        <v>0</v>
      </c>
      <c r="T5" s="6">
        <f>SUMIFS(T$14:T$350,$F$14:$F$350,"Replaced")</f>
        <v>0</v>
      </c>
      <c r="V5" s="6">
        <f>SUMIFS(V$14:V$350,$F$14:$F$350,"Replaced")</f>
        <v>0</v>
      </c>
      <c r="W5" s="6">
        <f>X5-V5</f>
        <v>0</v>
      </c>
      <c r="X5" s="6">
        <f>SUMIFS(X$14:X$350,$F$14:$F$350,"Replaced")</f>
        <v>0</v>
      </c>
    </row>
    <row r="6" spans="2:24" x14ac:dyDescent="0.25">
      <c r="H6" s="12"/>
      <c r="I6" s="124" t="s">
        <v>37</v>
      </c>
      <c r="J6" s="6">
        <f>SUMIFS($J$14:$J$350,$C$14:$C$350,"",$F$14:$F$350,"Included")</f>
        <v>0</v>
      </c>
      <c r="K6" s="6">
        <f>L6-J6</f>
        <v>0</v>
      </c>
      <c r="L6" s="6">
        <f>SUMIFS($L$14:$L$350,$C$14:$C$350,"",$F$14:$F$350,"Included")</f>
        <v>0</v>
      </c>
      <c r="W6" s="114"/>
    </row>
    <row r="7" spans="2:24" x14ac:dyDescent="0.25">
      <c r="B7" s="12" t="s">
        <v>38</v>
      </c>
      <c r="C7" s="135">
        <v>116592</v>
      </c>
      <c r="H7" s="12"/>
      <c r="I7" s="124" t="s">
        <v>39</v>
      </c>
      <c r="J7" s="6">
        <f>SUMIFS($J$14:$J$350,$C$14:$C$350,"",$F$14:$F$350,"Optional")</f>
        <v>0</v>
      </c>
      <c r="K7" s="6">
        <f>L7-J7</f>
        <v>0</v>
      </c>
      <c r="L7" s="6">
        <f>SUMIFS($L$14:$L$350,$C$14:$C$350,"",$F$14:$F$350,"Optional")</f>
        <v>0</v>
      </c>
      <c r="V7" s="118" t="str">
        <f>IF(SUM(SF_Output!F:F)&gt;0,"PAP Discount (%)","")</f>
        <v>PAP Discount (%)</v>
      </c>
      <c r="W7" s="137">
        <v>0</v>
      </c>
      <c r="X7" s="131"/>
    </row>
    <row r="8" spans="2:24" x14ac:dyDescent="0.25">
      <c r="B8" s="12" t="s">
        <v>40</v>
      </c>
      <c r="C8" s="7">
        <v>0</v>
      </c>
      <c r="X8" s="118"/>
    </row>
    <row r="9" spans="2:24" x14ac:dyDescent="0.25">
      <c r="B9" s="12" t="s">
        <v>41</v>
      </c>
      <c r="C9" t="s">
        <v>2118</v>
      </c>
      <c r="J9" s="118" t="s">
        <v>42</v>
      </c>
      <c r="K9" s="5">
        <v>0</v>
      </c>
      <c r="N9" s="118" t="s">
        <v>42</v>
      </c>
      <c r="O9" s="5">
        <v>0</v>
      </c>
      <c r="R9" s="118" t="s">
        <v>42</v>
      </c>
      <c r="S9" s="5">
        <v>0</v>
      </c>
      <c r="V9" s="118" t="str">
        <f>IF(SUM(SF_Output!F:F)&gt;0,"","Global Discount")</f>
        <v/>
      </c>
      <c r="W9" s="132">
        <v>0</v>
      </c>
    </row>
    <row r="10" spans="2:24" x14ac:dyDescent="0.25">
      <c r="B10" s="12" t="s">
        <v>43</v>
      </c>
      <c r="C10" t="s">
        <v>2119</v>
      </c>
    </row>
    <row r="11" spans="2:24" x14ac:dyDescent="0.25">
      <c r="B11" t="s">
        <v>44</v>
      </c>
      <c r="C11" s="111">
        <v>72</v>
      </c>
      <c r="J11" s="9"/>
      <c r="K11" s="10" t="s">
        <v>45</v>
      </c>
      <c r="L11" s="9"/>
      <c r="N11" s="9"/>
      <c r="O11" s="10" t="s">
        <v>46</v>
      </c>
      <c r="P11" s="9"/>
      <c r="R11" s="9"/>
      <c r="S11" s="10" t="s">
        <v>47</v>
      </c>
      <c r="T11" s="9"/>
      <c r="V11" s="9"/>
      <c r="W11" s="10" t="s">
        <v>48</v>
      </c>
      <c r="X11" s="9"/>
    </row>
    <row r="12" spans="2:24" x14ac:dyDescent="0.25">
      <c r="C12" s="35">
        <v>5000</v>
      </c>
      <c r="J12"/>
      <c r="K12" s="6"/>
      <c r="L12" s="4"/>
      <c r="M12" s="4"/>
      <c r="O12" s="6"/>
      <c r="P12" s="4"/>
      <c r="Q12" s="4"/>
      <c r="S12" s="6"/>
      <c r="T12" s="4"/>
      <c r="U12" s="4"/>
      <c r="W12" s="6"/>
      <c r="X12" s="4"/>
    </row>
    <row r="13" spans="2:24" x14ac:dyDescent="0.25">
      <c r="B13" s="8" t="s">
        <v>50</v>
      </c>
      <c r="C13" s="8" t="s">
        <v>51</v>
      </c>
      <c r="D13" s="8" t="s">
        <v>52</v>
      </c>
      <c r="E13" s="8" t="s">
        <v>53</v>
      </c>
      <c r="F13" s="115" t="s">
        <v>54</v>
      </c>
      <c r="G13" s="8" t="s">
        <v>55</v>
      </c>
      <c r="H13" s="120" t="s">
        <v>56</v>
      </c>
      <c r="I13" s="123" t="s">
        <v>57</v>
      </c>
      <c r="J13" s="9" t="str">
        <f>J2</f>
        <v>License List</v>
      </c>
      <c r="K13" s="10" t="s">
        <v>21</v>
      </c>
      <c r="L13" s="9" t="str">
        <f>L2</f>
        <v>License Net</v>
      </c>
      <c r="M13" s="9"/>
      <c r="N13" s="9" t="str">
        <f>N2</f>
        <v>Install List</v>
      </c>
      <c r="O13" s="10" t="s">
        <v>21</v>
      </c>
      <c r="P13" s="9" t="str">
        <f>P2</f>
        <v>Install Net</v>
      </c>
      <c r="Q13" s="9"/>
      <c r="R13" s="9" t="str">
        <f>R2</f>
        <v>Maintenance List</v>
      </c>
      <c r="S13" s="10" t="s">
        <v>21</v>
      </c>
      <c r="T13" s="9" t="str">
        <f>T2</f>
        <v>Maintenance Net</v>
      </c>
      <c r="U13" s="9"/>
      <c r="V13" s="9" t="str">
        <f>V2</f>
        <v>New Monthly List</v>
      </c>
      <c r="W13" s="10" t="s">
        <v>21</v>
      </c>
      <c r="X13" s="9" t="str">
        <f>X2</f>
        <v>New Monthly Net</v>
      </c>
    </row>
    <row r="14" spans="2:24" x14ac:dyDescent="0.25">
      <c r="B14" t="s">
        <v>1794</v>
      </c>
      <c r="C14" t="s">
        <v>2122</v>
      </c>
      <c r="D14" t="s">
        <v>2123</v>
      </c>
      <c r="E14" t="s">
        <v>2124</v>
      </c>
      <c r="F14" s="116" t="str">
        <f t="shared" ref="F14:F77" si="0">IF(B14="","",IF(E14*1=0,"Included","Optional"))</f>
        <v>Included</v>
      </c>
      <c r="G14" t="str">
        <f>IF(B14="","",INDEX(SF_Output!$K$1:$K$400,MATCH(B14,SF_Output!$M$1:$M$400,0)))</f>
        <v>SilverLake</v>
      </c>
      <c r="H14" cm="1">
        <f t="array" ref="H14">_xlfn.IFS(B14="","",(SUMIFS(SF_Output!$F$1:$F$400,SF_Output!$AC$1:$AC$400,_xlfn.TEXTJOIN(",",TRUE,B14:E14))+SUMIFS(SF_Output!$G$1:$G$400,SF_Output!$AC$1:$AC$400,_xlfn.TEXTJOIN(",",TRUE,B14:E14)))&lt;&gt;0,SF_Output!$Y$2,INDEX(SF_Output!$F$1:$F$400,MATCH(_xlfn.TEXTJOIN(",",TRUE,B14:E14),SF_Output!$AC$1:$AC$400,0))=0,INDEX(SF_Output!$R$1:$R$400,MATCH(_xlfn.TEXTJOIN(",",TRUE,B14:E14),SF_Output!$AC$1:$AC$400,0)))</f>
        <v>5000</v>
      </c>
      <c r="I14" s="125">
        <f>IFERROR(IF(AND(H14&gt;1,H14&lt;&gt;""),ROUND(SUMIFS(SF_Output!$S$1:$S$400,SF_Output!$AC$1:$AC$400,_xlfn.TEXTJOIN(",",TRUE,B14:E14),SF_Output!$Q$1:$Q$400,"monthly")*(1-W14)/H14,4),""),"")</f>
        <v>1.2181</v>
      </c>
      <c r="J14" s="6">
        <f>IF(B14="","",SUMIFS(SF_Output!$S$1:$S$400,SF_Output!$AC$1:$AC$400,_xlfn.TEXTJOIN(",",TRUE,B14:E14),SF_Output!$Q$1:$Q$400,"One Time",SF_Output!$L$1:$L$400,"license fee")+SUMIFS(SF_Output!$S$1:$S$400,SF_Output!$AC$1:$AC$400,_xlfn.TEXTJOIN(",",TRUE,B14:E14),SF_Output!$Q$1:$Q$400,"One Time",SF_Output!$L$1:$L$400,"software license")+SUMIFS(SF_Output!$S$1:$S$400,SF_Output!$AC$1:$AC$400,_xlfn.TEXTJOIN(",",TRUE,B14:E14),SF_Output!$Q$1:$Q$400,"One Time",SF_Output!$L$1:$L$400,"hardware"))</f>
        <v>0</v>
      </c>
      <c r="K14" s="112" t="str">
        <f>IF(OR(B14=0,B14="",G14="hardware",J14=0),"",IF(AF14&lt;&gt;"exclusion",MAX(K$9,-((SUMIFS(SF_Output!$T$1:$T$400,SF_Output!$AC$1:$AC$400,_xlfn.TEXTJOIN(",",TRUE,$B14:$E14),SF_Output!$Q$1:$Q$400,"One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license"))/J14)),-((SUMIFS(SF_Output!$T$1:$T$400,SF_Output!$AC$1:$AC$400,_xlfn.TEXTJOIN(",",TRUE,$B14:$E14),SF_Output!$Q$1:$Q$400,"One Time",SF_Output!$L$1:$L$400,"license fee")+SUMIFS(SF_Output!$T$1:$T$400,SF_Output!$AC$1:$AC$400,_xlfn.TEXTJOIN(",",TRUE,$B14:$E14),SF_Output!$Q$1:$Q$400,"One Time",SF_Output!$L$1:$L$400,"software license"))/J14)))</f>
        <v/>
      </c>
      <c r="L14" s="6">
        <f t="shared" ref="L14:L77" si="1">IF(K14="",J14,J14*(1-K14))</f>
        <v>0</v>
      </c>
      <c r="N14" s="6">
        <f>IF(B14="","",SUMIFS(SF_Output!$S$1:$S$400,SF_Output!$AC$1:$AC$400,_xlfn.TEXTJOIN(",",TRUE,B14:E14),SF_Output!$Q$1:$Q$400,"One Time",SF_Output!$L$1:$L$400,"professional service"))</f>
        <v>78700</v>
      </c>
      <c r="O14" s="112">
        <f>IF(OR(B14=0,B14="",N14=0),"",IF(AF14&lt;&gt;"exclusion",MAX(O$9,-(SUMIFS(SF_Output!$T$1:$T$400,SF_Output!$AC$1:$AC$400,_xlfn.TEXTJOIN(",",TRUE,$B14:$E14),SF_Output!$Q$1:$Q$400,"One Time",SF_Output!$L$1:$L$400,"professional service"))/N14),-((SUMIFS(SF_Output!$T$1:$T$400,SF_Output!$AC$1:$AC$400,_xlfn.TEXTJOIN(",",TRUE,$B14:$E14),SF_Output!$Q$1:$Q$400,"One Time",SF_Output!$L$1:$L$400,"professional service")/N14))))</f>
        <v>1</v>
      </c>
      <c r="P14" s="6">
        <f t="shared" ref="P14:P77" si="2">IF(O14="",N14,N14*(1-O14))</f>
        <v>0</v>
      </c>
      <c r="R14" s="6">
        <f>IF(B14="","",SUMIFS(SF_Output!$S$1:$S$400,SF_Output!$AC$1:$AC$400,_xlfn.TEXTJOIN(",",TRUE,B14:E14),SF_Output!$Q$1:$Q$400,"yearly")+SUMIFS(SF_Output!$S$1:$S$400,SF_Output!$AC$1:$AC$400,_xlfn.TEXTJOIN(",",TRUE,B14:E14),SF_Output!$Q$1:$Q$400,"quarterly")*4)</f>
        <v>0</v>
      </c>
      <c r="S14" s="112" t="str">
        <f>IF(OR(B14=0,B14="",G14="hardware",R14=0),"",IF(AF14&lt;&gt;"exclusion",MAX(S$9,-(SUMIFS(SF_Output!$T$1:$T$400,SF_Output!$AC$1:$AC$400,_xlfn.TEXTJOIN(",",TRUE,$B14:$E14),SF_Output!$Q$1:$Q$400,"yearly"))/R14),-((SUMIFS(SF_Output!$T$1:$T$400,SF_Output!$AC$1:$AC$400,_xlfn.TEXTJOIN(",",TRUE,$B14:$E14),SF_Output!$Q$1:$Q$400,"yearly")/R14))))</f>
        <v/>
      </c>
      <c r="T14" s="6">
        <f t="shared" ref="T14:T77" si="3">IF(S14="",R14,R14*(1-S14))</f>
        <v>0</v>
      </c>
      <c r="V14" s="6" cm="1">
        <f t="array" ref="V14">_xlfn.IFS(B14="","",AND(B14&lt;&gt;"",H14=SF_Output!$Y$2,SUMIFS(SF_Output!$T$1:$T$400,SF_Output!$AC$1:$AC$400,_xlfn.TEXTJOIN(",",TRUE,B14:E14),SF_Output!$Q$1:$Q$400,"monthly")=0),(SUMIFS(SF_Output!$F$1:$F$400,SF_Output!$AC$1:$AC$400,_xlfn.TEXTJOIN(",",TRUE,B14:E14),SF_Output!$Q$1:$Q$400,"monthly")+SUMIFS(SF_Output!$G$1:$G$400,SF_Output!$AC$1:$AC$400,_xlfn.TEXTJOIN(",",TRUE,B14:E14),SF_Output!$Q$1:$Q$400,"monthly"))*H14,AND(B14&lt;&gt;"",H14=SF_Output!$Y$2,SUMIFS(SF_Output!$T$1:$T$400,SF_Output!$AC$1:$AC$400,_xlfn.TEXTJOIN(",",TRUE,B14:E14),SF_Output!$Q$1:$Q$400,"monthly")&lt;&gt;0),SUMIFS(SF_Output!$S$1:$S$400,SF_Output!$AC$1:$AC$400,_xlfn.TEXTJOIN(",",TRUE,B14:E14),SF_Output!$Q$1:$Q$400,"monthly"),AND(B14&lt;&gt;"",H14&lt;&gt;SF_Output!$Y$2),SUMIFS(SF_Output!$S$1:$S$400,SF_Output!$AC$1:$AC$400,_xlfn.TEXTJOIN(",",TRUE,B14:E14),SF_Output!$Q$1:$Q$400,"monthly"))</f>
        <v>6921.15</v>
      </c>
      <c r="W14" s="112" cm="1">
        <f t="array" ref="W14">_xlfn.IFS(OR(B14=0,B14="",V14=0),"",AF14&lt;&gt;"exclusion",MAX($W$9,$W$7,(-(SUMIFS(SF_Output!$T$1:$T$400,SF_Output!$AC$1:$AC$400,_xlfn.TEXTJOIN(",",TRUE,$B14:$E14),SF_Output!$Q$1:$Q$400,"monthly"))/V14)),AF14="exclusion",-(SUMIFS(SF_Output!$T$1:$T$400,SF_Output!$AC$1:$AC$400,_xlfn.TEXTJOIN(",",TRUE,$B14:$E14),SF_Output!$Q$1:$Q$400,"monthly"))/V14)</f>
        <v>0.12000028896931868</v>
      </c>
      <c r="X14" s="6" cm="1">
        <f t="array" ref="X14">IFERROR(_xlfn.IFS(V14=0,0,V14="","",W14=0,V14,OR(V14&lt;&gt;0,V14&lt;&gt;""),H14*I14),V14*(1-W14))</f>
        <v>6090.5</v>
      </c>
    </row>
    <row r="15" spans="2:24" x14ac:dyDescent="0.25">
      <c r="B15" t="s">
        <v>2143</v>
      </c>
      <c r="C15" t="s">
        <v>2122</v>
      </c>
      <c r="D15" t="s">
        <v>2123</v>
      </c>
      <c r="E15" t="s">
        <v>2124</v>
      </c>
      <c r="F15" s="116" t="str">
        <f t="shared" si="0"/>
        <v>Included</v>
      </c>
      <c r="G15" t="str">
        <f>IF(B15="","",INDEX(SF_Output!$K$1:$K$400,MATCH(B15,SF_Output!$M$1:$M$400,0)))</f>
        <v>SilverLake</v>
      </c>
      <c r="H15" cm="1">
        <f t="array" ref="H15">_xlfn.IFS(B15="","",(SUMIFS(SF_Output!$F$1:$F$400,SF_Output!$AC$1:$AC$400,_xlfn.TEXTJOIN(",",TRUE,B15:E15))+SUMIFS(SF_Output!$G$1:$G$400,SF_Output!$AC$1:$AC$400,_xlfn.TEXTJOIN(",",TRUE,B15:E15)))&lt;&gt;0,SF_Output!$Y$2,INDEX(SF_Output!$F$1:$F$400,MATCH(_xlfn.TEXTJOIN(",",TRUE,B15:E15),SF_Output!$AC$1:$AC$400,0))=0,INDEX(SF_Output!$R$1:$R$400,MATCH(_xlfn.TEXTJOIN(",",TRUE,B15:E15),SF_Output!$AC$1:$AC$400,0)))</f>
        <v>1</v>
      </c>
      <c r="I15" s="125" t="str">
        <f>IFERROR(IF(AND(H15&gt;1,H15&lt;&gt;""),ROUND(SUMIFS(SF_Output!$S$1:$S$400,SF_Output!$AC$1:$AC$400,_xlfn.TEXTJOIN(",",TRUE,B15:E15),SF_Output!$Q$1:$Q$400,"monthly")*(1-W15)/H15,4),""),"")</f>
        <v/>
      </c>
      <c r="J15" s="6">
        <f>IF(B15="","",SUMIFS(SF_Output!$S$1:$S$400,SF_Output!$AC$1:$AC$400,_xlfn.TEXTJOIN(",",TRUE,B15:E15),SF_Output!$Q$1:$Q$400,"One Time",SF_Output!$L$1:$L$400,"license fee")+SUMIFS(SF_Output!$S$1:$S$400,SF_Output!$AC$1:$AC$400,_xlfn.TEXTJOIN(",",TRUE,B15:E15),SF_Output!$Q$1:$Q$400,"One Time",SF_Output!$L$1:$L$400,"software license")+SUMIFS(SF_Output!$S$1:$S$400,SF_Output!$AC$1:$AC$400,_xlfn.TEXTJOIN(",",TRUE,B15:E15),SF_Output!$Q$1:$Q$400,"One Time",SF_Output!$L$1:$L$400,"hardware"))</f>
        <v>0</v>
      </c>
      <c r="K15" s="112" t="str">
        <f>IF(OR(B15=0,B15="",G15="hardware",J15=0),"",IF(AF15&lt;&gt;"exclusion",MAX(K$9,-((SUMIFS(SF_Output!$T$1:$T$400,SF_Output!$AC$1:$AC$400,_xlfn.TEXTJOIN(",",TRUE,$B15:$E15),SF_Output!$Q$1:$Q$400,"One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license"))/J15)),-((SUMIFS(SF_Output!$T$1:$T$400,SF_Output!$AC$1:$AC$400,_xlfn.TEXTJOIN(",",TRUE,$B15:$E15),SF_Output!$Q$1:$Q$400,"One Time",SF_Output!$L$1:$L$400,"license fee")+SUMIFS(SF_Output!$T$1:$T$400,SF_Output!$AC$1:$AC$400,_xlfn.TEXTJOIN(",",TRUE,$B15:$E15),SF_Output!$Q$1:$Q$400,"One Time",SF_Output!$L$1:$L$400,"software license"))/J15)))</f>
        <v/>
      </c>
      <c r="L15" s="6">
        <f t="shared" si="1"/>
        <v>0</v>
      </c>
      <c r="N15" s="6">
        <f>IF(B15="","",SUMIFS(SF_Output!$S$1:$S$400,SF_Output!$AC$1:$AC$400,_xlfn.TEXTJOIN(",",TRUE,B15:E15),SF_Output!$Q$1:$Q$400,"One Time",SF_Output!$L$1:$L$400,"professional service"))</f>
        <v>125405</v>
      </c>
      <c r="O15" s="112">
        <f>IF(OR(B15=0,B15="",N15=0),"",IF(AF15&lt;&gt;"exclusion",MAX(O$9,-(SUMIFS(SF_Output!$T$1:$T$400,SF_Output!$AC$1:$AC$400,_xlfn.TEXTJOIN(",",TRUE,$B15:$E15),SF_Output!$Q$1:$Q$400,"One Time",SF_Output!$L$1:$L$400,"professional service"))/N15),-((SUMIFS(SF_Output!$T$1:$T$400,SF_Output!$AC$1:$AC$400,_xlfn.TEXTJOIN(",",TRUE,$B15:$E15),SF_Output!$Q$1:$Q$400,"One Time",SF_Output!$L$1:$L$400,"professional service")/N15))))</f>
        <v>1</v>
      </c>
      <c r="P15" s="6">
        <f t="shared" si="2"/>
        <v>0</v>
      </c>
      <c r="R15" s="6">
        <f>IF(B15="","",SUMIFS(SF_Output!$S$1:$S$400,SF_Output!$AC$1:$AC$400,_xlfn.TEXTJOIN(",",TRUE,B15:E15),SF_Output!$Q$1:$Q$400,"yearly")+SUMIFS(SF_Output!$S$1:$S$400,SF_Output!$AC$1:$AC$400,_xlfn.TEXTJOIN(",",TRUE,B15:E15),SF_Output!$Q$1:$Q$400,"quarterly")*4)</f>
        <v>0</v>
      </c>
      <c r="S15" s="112" t="str">
        <f>IF(OR(B15=0,B15="",G15="hardware",R15=0),"",IF(AF15&lt;&gt;"exclusion",MAX(S$9,-(SUMIFS(SF_Output!$T$1:$T$400,SF_Output!$AC$1:$AC$400,_xlfn.TEXTJOIN(",",TRUE,$B15:$E15),SF_Output!$Q$1:$Q$400,"yearly"))/R15),-((SUMIFS(SF_Output!$T$1:$T$400,SF_Output!$AC$1:$AC$400,_xlfn.TEXTJOIN(",",TRUE,$B15:$E15),SF_Output!$Q$1:$Q$400,"yearly")/R15))))</f>
        <v/>
      </c>
      <c r="T15" s="6">
        <f t="shared" si="3"/>
        <v>0</v>
      </c>
      <c r="V15" s="6" cm="1">
        <f t="array" ref="V15">_xlfn.IFS(B15="","",AND(B15&lt;&gt;"",H15=SF_Output!$Y$2,SUMIFS(SF_Output!$T$1:$T$400,SF_Output!$AC$1:$AC$400,_xlfn.TEXTJOIN(",",TRUE,B15:E15),SF_Output!$Q$1:$Q$400,"monthly")=0),(SUMIFS(SF_Output!$F$1:$F$400,SF_Output!$AC$1:$AC$400,_xlfn.TEXTJOIN(",",TRUE,B15:E15),SF_Output!$Q$1:$Q$400,"monthly")+SUMIFS(SF_Output!$G$1:$G$400,SF_Output!$AC$1:$AC$400,_xlfn.TEXTJOIN(",",TRUE,B15:E15),SF_Output!$Q$1:$Q$400,"monthly"))*H15,AND(B15&lt;&gt;"",H15=SF_Output!$Y$2,SUMIFS(SF_Output!$T$1:$T$400,SF_Output!$AC$1:$AC$400,_xlfn.TEXTJOIN(",",TRUE,B15:E15),SF_Output!$Q$1:$Q$400,"monthly")&lt;&gt;0),SUMIFS(SF_Output!$S$1:$S$400,SF_Output!$AC$1:$AC$400,_xlfn.TEXTJOIN(",",TRUE,B15:E15),SF_Output!$Q$1:$Q$400,"monthly"),AND(B15&lt;&gt;"",H15&lt;&gt;SF_Output!$Y$2),SUMIFS(SF_Output!$S$1:$S$400,SF_Output!$AC$1:$AC$400,_xlfn.TEXTJOIN(",",TRUE,B15:E15),SF_Output!$Q$1:$Q$400,"monthly"))</f>
        <v>0</v>
      </c>
      <c r="W15" s="112" t="str" cm="1">
        <f t="array" ref="W15">_xlfn.IFS(OR(B15=0,B15="",V15=0),"",AF15&lt;&gt;"exclusion",MAX($W$9,$W$7,(-(SUMIFS(SF_Output!$T$1:$T$400,SF_Output!$AC$1:$AC$400,_xlfn.TEXTJOIN(",",TRUE,$B15:$E15),SF_Output!$Q$1:$Q$400,"monthly"))/V15)),AF15="exclusion",-(SUMIFS(SF_Output!$T$1:$T$400,SF_Output!$AC$1:$AC$400,_xlfn.TEXTJOIN(",",TRUE,$B15:$E15),SF_Output!$Q$1:$Q$400,"monthly"))/V15)</f>
        <v/>
      </c>
      <c r="X15" s="6" cm="1">
        <f t="array" ref="X15">IFERROR(_xlfn.IFS(V15=0,0,V15="","",W15=0,V15,OR(V15&lt;&gt;0,V15&lt;&gt;""),H15*I15),V15*(1-W15))</f>
        <v>0</v>
      </c>
    </row>
    <row r="16" spans="2:24" x14ac:dyDescent="0.25">
      <c r="B16" t="s">
        <v>1774</v>
      </c>
      <c r="C16" t="s">
        <v>2122</v>
      </c>
      <c r="D16" t="s">
        <v>2123</v>
      </c>
      <c r="E16" t="s">
        <v>2124</v>
      </c>
      <c r="F16" s="116" t="str">
        <f t="shared" si="0"/>
        <v>Included</v>
      </c>
      <c r="G16" t="str">
        <f>IF(B16="","",INDEX(SF_Output!$K$1:$K$400,MATCH(B16,SF_Output!$M$1:$M$400,0)))</f>
        <v>SilverLake</v>
      </c>
      <c r="H16" cm="1">
        <f t="array" ref="H16">_xlfn.IFS(B16="","",(SUMIFS(SF_Output!$F$1:$F$400,SF_Output!$AC$1:$AC$400,_xlfn.TEXTJOIN(",",TRUE,B16:E16))+SUMIFS(SF_Output!$G$1:$G$400,SF_Output!$AC$1:$AC$400,_xlfn.TEXTJOIN(",",TRUE,B16:E16)))&lt;&gt;0,SF_Output!$Y$2,INDEX(SF_Output!$F$1:$F$400,MATCH(_xlfn.TEXTJOIN(",",TRUE,B16:E16),SF_Output!$AC$1:$AC$400,0))=0,INDEX(SF_Output!$R$1:$R$400,MATCH(_xlfn.TEXTJOIN(",",TRUE,B16:E16),SF_Output!$AC$1:$AC$400,0)))</f>
        <v>1</v>
      </c>
      <c r="I16" s="125" t="str">
        <f>IFERROR(IF(AND(H16&gt;1,H16&lt;&gt;""),ROUND(SUMIFS(SF_Output!$S$1:$S$400,SF_Output!$AC$1:$AC$400,_xlfn.TEXTJOIN(",",TRUE,B16:E16),SF_Output!$Q$1:$Q$400,"monthly")*(1-W16)/H16,4),""),"")</f>
        <v/>
      </c>
      <c r="J16" s="6">
        <f>IF(B16="","",SUMIFS(SF_Output!$S$1:$S$400,SF_Output!$AC$1:$AC$400,_xlfn.TEXTJOIN(",",TRUE,B16:E16),SF_Output!$Q$1:$Q$400,"One Time",SF_Output!$L$1:$L$400,"license fee")+SUMIFS(SF_Output!$S$1:$S$400,SF_Output!$AC$1:$AC$400,_xlfn.TEXTJOIN(",",TRUE,B16:E16),SF_Output!$Q$1:$Q$400,"One Time",SF_Output!$L$1:$L$400,"software license")+SUMIFS(SF_Output!$S$1:$S$400,SF_Output!$AC$1:$AC$400,_xlfn.TEXTJOIN(",",TRUE,B16:E16),SF_Output!$Q$1:$Q$400,"One Time",SF_Output!$L$1:$L$400,"hardware"))</f>
        <v>0</v>
      </c>
      <c r="K16" s="112" t="str">
        <f>IF(OR(B16=0,B16="",G16="hardware",J16=0),"",IF(AF16&lt;&gt;"exclusion",MAX(K$9,-((SUMIFS(SF_Output!$T$1:$T$400,SF_Output!$AC$1:$AC$400,_xlfn.TEXTJOIN(",",TRUE,$B16:$E16),SF_Output!$Q$1:$Q$400,"One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license"))/J16)),-((SUMIFS(SF_Output!$T$1:$T$400,SF_Output!$AC$1:$AC$400,_xlfn.TEXTJOIN(",",TRUE,$B16:$E16),SF_Output!$Q$1:$Q$400,"One Time",SF_Output!$L$1:$L$400,"license fee")+SUMIFS(SF_Output!$T$1:$T$400,SF_Output!$AC$1:$AC$400,_xlfn.TEXTJOIN(",",TRUE,$B16:$E16),SF_Output!$Q$1:$Q$400,"One Time",SF_Output!$L$1:$L$400,"software license"))/J16)))</f>
        <v/>
      </c>
      <c r="L16" s="6">
        <f t="shared" si="1"/>
        <v>0</v>
      </c>
      <c r="N16" s="6">
        <f>IF(B16="","",SUMIFS(SF_Output!$S$1:$S$400,SF_Output!$AC$1:$AC$400,_xlfn.TEXTJOIN(",",TRUE,B16:E16),SF_Output!$Q$1:$Q$400,"One Time",SF_Output!$L$1:$L$400,"professional service"))</f>
        <v>0</v>
      </c>
      <c r="O16" s="112" t="str">
        <f>IF(OR(B16=0,B16="",N16=0),"",IF(AF16&lt;&gt;"exclusion",MAX(O$9,-(SUMIFS(SF_Output!$T$1:$T$400,SF_Output!$AC$1:$AC$400,_xlfn.TEXTJOIN(",",TRUE,$B16:$E16),SF_Output!$Q$1:$Q$400,"One Time",SF_Output!$L$1:$L$400,"professional service"))/N16),-((SUMIFS(SF_Output!$T$1:$T$400,SF_Output!$AC$1:$AC$400,_xlfn.TEXTJOIN(",",TRUE,$B16:$E16),SF_Output!$Q$1:$Q$400,"One Time",SF_Output!$L$1:$L$400,"professional service")/N16))))</f>
        <v/>
      </c>
      <c r="P16" s="6">
        <f t="shared" si="2"/>
        <v>0</v>
      </c>
      <c r="R16" s="6">
        <f>IF(B16="","",SUMIFS(SF_Output!$S$1:$S$400,SF_Output!$AC$1:$AC$400,_xlfn.TEXTJOIN(",",TRUE,B16:E16),SF_Output!$Q$1:$Q$400,"yearly")+SUMIFS(SF_Output!$S$1:$S$400,SF_Output!$AC$1:$AC$400,_xlfn.TEXTJOIN(",",TRUE,B16:E16),SF_Output!$Q$1:$Q$400,"quarterly")*4)</f>
        <v>0</v>
      </c>
      <c r="S16" s="112" t="str">
        <f>IF(OR(B16=0,B16="",G16="hardware",R16=0),"",IF(AF16&lt;&gt;"exclusion",MAX(S$9,-(SUMIFS(SF_Output!$T$1:$T$400,SF_Output!$AC$1:$AC$400,_xlfn.TEXTJOIN(",",TRUE,$B16:$E16),SF_Output!$Q$1:$Q$400,"yearly"))/R16),-((SUMIFS(SF_Output!$T$1:$T$400,SF_Output!$AC$1:$AC$400,_xlfn.TEXTJOIN(",",TRUE,$B16:$E16),SF_Output!$Q$1:$Q$400,"yearly")/R16))))</f>
        <v/>
      </c>
      <c r="T16" s="6">
        <f t="shared" si="3"/>
        <v>0</v>
      </c>
      <c r="V16" s="6" cm="1">
        <f t="array" ref="V16">_xlfn.IFS(B16="","",AND(B16&lt;&gt;"",H16=SF_Output!$Y$2,SUMIFS(SF_Output!$T$1:$T$400,SF_Output!$AC$1:$AC$400,_xlfn.TEXTJOIN(",",TRUE,B16:E16),SF_Output!$Q$1:$Q$400,"monthly")=0),(SUMIFS(SF_Output!$F$1:$F$400,SF_Output!$AC$1:$AC$400,_xlfn.TEXTJOIN(",",TRUE,B16:E16),SF_Output!$Q$1:$Q$400,"monthly")+SUMIFS(SF_Output!$G$1:$G$400,SF_Output!$AC$1:$AC$400,_xlfn.TEXTJOIN(",",TRUE,B16:E16),SF_Output!$Q$1:$Q$400,"monthly"))*H16,AND(B16&lt;&gt;"",H16=SF_Output!$Y$2,SUMIFS(SF_Output!$T$1:$T$400,SF_Output!$AC$1:$AC$400,_xlfn.TEXTJOIN(",",TRUE,B16:E16),SF_Output!$Q$1:$Q$400,"monthly")&lt;&gt;0),SUMIFS(SF_Output!$S$1:$S$400,SF_Output!$AC$1:$AC$400,_xlfn.TEXTJOIN(",",TRUE,B16:E16),SF_Output!$Q$1:$Q$400,"monthly"),AND(B16&lt;&gt;"",H16&lt;&gt;SF_Output!$Y$2),SUMIFS(SF_Output!$S$1:$S$400,SF_Output!$AC$1:$AC$400,_xlfn.TEXTJOIN(",",TRUE,B16:E16),SF_Output!$Q$1:$Q$400,"monthly"))</f>
        <v>0.25</v>
      </c>
      <c r="W16" s="112" cm="1">
        <f t="array" ref="W16">_xlfn.IFS(OR(B16=0,B16="",V16=0),"",AF16&lt;&gt;"exclusion",MAX($W$9,$W$7,(-(SUMIFS(SF_Output!$T$1:$T$400,SF_Output!$AC$1:$AC$400,_xlfn.TEXTJOIN(",",TRUE,$B16:$E16),SF_Output!$Q$1:$Q$400,"monthly"))/V16)),AF16="exclusion",-(SUMIFS(SF_Output!$T$1:$T$400,SF_Output!$AC$1:$AC$400,_xlfn.TEXTJOIN(",",TRUE,$B16:$E16),SF_Output!$Q$1:$Q$400,"monthly"))/V16)</f>
        <v>0</v>
      </c>
      <c r="X16" s="6" cm="1">
        <f t="array" ref="X16">IFERROR(_xlfn.IFS(V16=0,0,V16="","",W16=0,V16,OR(V16&lt;&gt;0,V16&lt;&gt;""),H16*I16),V16*(1-W16))</f>
        <v>0.25</v>
      </c>
    </row>
    <row r="17" spans="2:24" x14ac:dyDescent="0.25">
      <c r="B17" t="s">
        <v>2149</v>
      </c>
      <c r="C17" t="s">
        <v>2122</v>
      </c>
      <c r="D17" t="s">
        <v>2123</v>
      </c>
      <c r="E17" t="s">
        <v>2150</v>
      </c>
      <c r="F17" s="116" t="str">
        <f t="shared" si="0"/>
        <v>Optional</v>
      </c>
      <c r="G17" t="str">
        <f>IF(B17="","",INDEX(SF_Output!$K$1:$K$400,MATCH(B17,SF_Output!$M$1:$M$400,0)))</f>
        <v>SilverLake</v>
      </c>
      <c r="H17" cm="1">
        <f t="array" ref="H17">_xlfn.IFS(B17="","",(SUMIFS(SF_Output!$F$1:$F$400,SF_Output!$AC$1:$AC$400,_xlfn.TEXTJOIN(",",TRUE,B17:E17))+SUMIFS(SF_Output!$G$1:$G$400,SF_Output!$AC$1:$AC$400,_xlfn.TEXTJOIN(",",TRUE,B17:E17)))&lt;&gt;0,SF_Output!$Y$2,INDEX(SF_Output!$F$1:$F$400,MATCH(_xlfn.TEXTJOIN(",",TRUE,B17:E17),SF_Output!$AC$1:$AC$400,0))=0,INDEX(SF_Output!$R$1:$R$400,MATCH(_xlfn.TEXTJOIN(",",TRUE,B17:E17),SF_Output!$AC$1:$AC$400,0)))</f>
        <v>1</v>
      </c>
      <c r="I17" s="125" t="str">
        <f>IFERROR(IF(AND(H17&gt;1,H17&lt;&gt;""),ROUND(SUMIFS(SF_Output!$S$1:$S$400,SF_Output!$AC$1:$AC$400,_xlfn.TEXTJOIN(",",TRUE,B17:E17),SF_Output!$Q$1:$Q$400,"monthly")*(1-W17)/H17,4),""),"")</f>
        <v/>
      </c>
      <c r="J17" s="6">
        <f>IF(B17="","",SUMIFS(SF_Output!$S$1:$S$400,SF_Output!$AC$1:$AC$400,_xlfn.TEXTJOIN(",",TRUE,B17:E17),SF_Output!$Q$1:$Q$400,"One Time",SF_Output!$L$1:$L$400,"license fee")+SUMIFS(SF_Output!$S$1:$S$400,SF_Output!$AC$1:$AC$400,_xlfn.TEXTJOIN(",",TRUE,B17:E17),SF_Output!$Q$1:$Q$400,"One Time",SF_Output!$L$1:$L$400,"software license")+SUMIFS(SF_Output!$S$1:$S$400,SF_Output!$AC$1:$AC$400,_xlfn.TEXTJOIN(",",TRUE,B17:E17),SF_Output!$Q$1:$Q$400,"One Time",SF_Output!$L$1:$L$400,"hardware"))</f>
        <v>0</v>
      </c>
      <c r="K17" s="112" t="str">
        <f>IF(OR(B17=0,B17="",G17="hardware",J17=0),"",IF(AF17&lt;&gt;"exclusion",MAX(K$9,-((SUMIFS(SF_Output!$T$1:$T$400,SF_Output!$AC$1:$AC$400,_xlfn.TEXTJOIN(",",TRUE,$B17:$E17),SF_Output!$Q$1:$Q$400,"One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license"))/J17)),-((SUMIFS(SF_Output!$T$1:$T$400,SF_Output!$AC$1:$AC$400,_xlfn.TEXTJOIN(",",TRUE,$B17:$E17),SF_Output!$Q$1:$Q$400,"One Time",SF_Output!$L$1:$L$400,"license fee")+SUMIFS(SF_Output!$T$1:$T$400,SF_Output!$AC$1:$AC$400,_xlfn.TEXTJOIN(",",TRUE,$B17:$E17),SF_Output!$Q$1:$Q$400,"One Time",SF_Output!$L$1:$L$400,"software license"))/J17)))</f>
        <v/>
      </c>
      <c r="L17" s="6">
        <f t="shared" si="1"/>
        <v>0</v>
      </c>
      <c r="N17" s="6">
        <f>IF(B17="","",SUMIFS(SF_Output!$S$1:$S$400,SF_Output!$AC$1:$AC$400,_xlfn.TEXTJOIN(",",TRUE,B17:E17),SF_Output!$Q$1:$Q$400,"One Time",SF_Output!$L$1:$L$400,"professional service"))</f>
        <v>6000</v>
      </c>
      <c r="O17" s="112">
        <f>IF(OR(B17=0,B17="",N17=0),"",IF(AF17&lt;&gt;"exclusion",MAX(O$9,-(SUMIFS(SF_Output!$T$1:$T$400,SF_Output!$AC$1:$AC$400,_xlfn.TEXTJOIN(",",TRUE,$B17:$E17),SF_Output!$Q$1:$Q$400,"One Time",SF_Output!$L$1:$L$400,"professional service"))/N17),-((SUMIFS(SF_Output!$T$1:$T$400,SF_Output!$AC$1:$AC$400,_xlfn.TEXTJOIN(",",TRUE,$B17:$E17),SF_Output!$Q$1:$Q$400,"One Time",SF_Output!$L$1:$L$400,"professional service")/N17))))</f>
        <v>1</v>
      </c>
      <c r="P17" s="6">
        <f t="shared" si="2"/>
        <v>0</v>
      </c>
      <c r="R17" s="6">
        <f>IF(B17="","",SUMIFS(SF_Output!$S$1:$S$400,SF_Output!$AC$1:$AC$400,_xlfn.TEXTJOIN(",",TRUE,B17:E17),SF_Output!$Q$1:$Q$400,"yearly")+SUMIFS(SF_Output!$S$1:$S$400,SF_Output!$AC$1:$AC$400,_xlfn.TEXTJOIN(",",TRUE,B17:E17),SF_Output!$Q$1:$Q$400,"quarterly")*4)</f>
        <v>0</v>
      </c>
      <c r="S17" s="112" t="str">
        <f>IF(OR(B17=0,B17="",G17="hardware",R17=0),"",IF(AF17&lt;&gt;"exclusion",MAX(S$9,-(SUMIFS(SF_Output!$T$1:$T$400,SF_Output!$AC$1:$AC$400,_xlfn.TEXTJOIN(",",TRUE,$B17:$E17),SF_Output!$Q$1:$Q$400,"yearly"))/R17),-((SUMIFS(SF_Output!$T$1:$T$400,SF_Output!$AC$1:$AC$400,_xlfn.TEXTJOIN(",",TRUE,$B17:$E17),SF_Output!$Q$1:$Q$400,"yearly")/R17))))</f>
        <v/>
      </c>
      <c r="T17" s="6">
        <f t="shared" si="3"/>
        <v>0</v>
      </c>
      <c r="V17" s="6" cm="1">
        <f t="array" ref="V17">_xlfn.IFS(B17="","",AND(B17&lt;&gt;"",H17=SF_Output!$Y$2,SUMIFS(SF_Output!$T$1:$T$400,SF_Output!$AC$1:$AC$400,_xlfn.TEXTJOIN(",",TRUE,B17:E17),SF_Output!$Q$1:$Q$400,"monthly")=0),(SUMIFS(SF_Output!$F$1:$F$400,SF_Output!$AC$1:$AC$400,_xlfn.TEXTJOIN(",",TRUE,B17:E17),SF_Output!$Q$1:$Q$400,"monthly")+SUMIFS(SF_Output!$G$1:$G$400,SF_Output!$AC$1:$AC$400,_xlfn.TEXTJOIN(",",TRUE,B17:E17),SF_Output!$Q$1:$Q$400,"monthly"))*H17,AND(B17&lt;&gt;"",H17=SF_Output!$Y$2,SUMIFS(SF_Output!$T$1:$T$400,SF_Output!$AC$1:$AC$400,_xlfn.TEXTJOIN(",",TRUE,B17:E17),SF_Output!$Q$1:$Q$400,"monthly")&lt;&gt;0),SUMIFS(SF_Output!$S$1:$S$400,SF_Output!$AC$1:$AC$400,_xlfn.TEXTJOIN(",",TRUE,B17:E17),SF_Output!$Q$1:$Q$400,"monthly"),AND(B17&lt;&gt;"",H17&lt;&gt;SF_Output!$Y$2),SUMIFS(SF_Output!$S$1:$S$400,SF_Output!$AC$1:$AC$400,_xlfn.TEXTJOIN(",",TRUE,B17:E17),SF_Output!$Q$1:$Q$400,"monthly"))</f>
        <v>530</v>
      </c>
      <c r="W17" s="112" cm="1">
        <f t="array" ref="W17">_xlfn.IFS(OR(B17=0,B17="",V17=0),"",AF17&lt;&gt;"exclusion",MAX($W$9,$W$7,(-(SUMIFS(SF_Output!$T$1:$T$400,SF_Output!$AC$1:$AC$400,_xlfn.TEXTJOIN(",",TRUE,$B17:$E17),SF_Output!$Q$1:$Q$400,"monthly"))/V17)),AF17="exclusion",-(SUMIFS(SF_Output!$T$1:$T$400,SF_Output!$AC$1:$AC$400,_xlfn.TEXTJOIN(",",TRUE,$B17:$E17),SF_Output!$Q$1:$Q$400,"monthly"))/V17)</f>
        <v>0.25</v>
      </c>
      <c r="X17" s="6" cm="1">
        <f t="array" ref="X17">IFERROR(_xlfn.IFS(V17=0,0,V17="","",W17=0,V17,OR(V17&lt;&gt;0,V17&lt;&gt;""),H17*I17),V17*(1-W17))</f>
        <v>397.5</v>
      </c>
    </row>
    <row r="18" spans="2:24" x14ac:dyDescent="0.25">
      <c r="B18" t="s">
        <v>2156</v>
      </c>
      <c r="C18" t="s">
        <v>2122</v>
      </c>
      <c r="D18" t="s">
        <v>2123</v>
      </c>
      <c r="E18" t="s">
        <v>2150</v>
      </c>
      <c r="F18" s="116" t="str">
        <f t="shared" si="0"/>
        <v>Optional</v>
      </c>
      <c r="G18" t="str">
        <f>IF(B18="","",INDEX(SF_Output!$K$1:$K$400,MATCH(B18,SF_Output!$M$1:$M$400,0)))</f>
        <v>SilverLake</v>
      </c>
      <c r="H18" cm="1">
        <f t="array" ref="H18">_xlfn.IFS(B18="","",(SUMIFS(SF_Output!$F$1:$F$400,SF_Output!$AC$1:$AC$400,_xlfn.TEXTJOIN(",",TRUE,B18:E18))+SUMIFS(SF_Output!$G$1:$G$400,SF_Output!$AC$1:$AC$400,_xlfn.TEXTJOIN(",",TRUE,B18:E18)))&lt;&gt;0,SF_Output!$Y$2,INDEX(SF_Output!$F$1:$F$400,MATCH(_xlfn.TEXTJOIN(",",TRUE,B18:E18),SF_Output!$AC$1:$AC$400,0))=0,INDEX(SF_Output!$R$1:$R$400,MATCH(_xlfn.TEXTJOIN(",",TRUE,B18:E18),SF_Output!$AC$1:$AC$400,0)))</f>
        <v>1</v>
      </c>
      <c r="I18" s="125" t="str">
        <f>IFERROR(IF(AND(H18&gt;1,H18&lt;&gt;""),ROUND(SUMIFS(SF_Output!$S$1:$S$400,SF_Output!$AC$1:$AC$400,_xlfn.TEXTJOIN(",",TRUE,B18:E18),SF_Output!$Q$1:$Q$400,"monthly")*(1-W18)/H18,4),""),"")</f>
        <v/>
      </c>
      <c r="J18" s="6">
        <f>IF(B18="","",SUMIFS(SF_Output!$S$1:$S$400,SF_Output!$AC$1:$AC$400,_xlfn.TEXTJOIN(",",TRUE,B18:E18),SF_Output!$Q$1:$Q$400,"One Time",SF_Output!$L$1:$L$400,"license fee")+SUMIFS(SF_Output!$S$1:$S$400,SF_Output!$AC$1:$AC$400,_xlfn.TEXTJOIN(",",TRUE,B18:E18),SF_Output!$Q$1:$Q$400,"One Time",SF_Output!$L$1:$L$400,"software license")+SUMIFS(SF_Output!$S$1:$S$400,SF_Output!$AC$1:$AC$400,_xlfn.TEXTJOIN(",",TRUE,B18:E18),SF_Output!$Q$1:$Q$400,"One Time",SF_Output!$L$1:$L$400,"hardware"))</f>
        <v>0</v>
      </c>
      <c r="K18" s="112" t="str">
        <f>IF(OR(B18=0,B18="",G18="hardware",J18=0),"",IF(AF18&lt;&gt;"exclusion",MAX(K$9,-((SUMIFS(SF_Output!$T$1:$T$400,SF_Output!$AC$1:$AC$400,_xlfn.TEXTJOIN(",",TRUE,$B18:$E18),SF_Output!$Q$1:$Q$400,"One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license"))/J18)),-((SUMIFS(SF_Output!$T$1:$T$400,SF_Output!$AC$1:$AC$400,_xlfn.TEXTJOIN(",",TRUE,$B18:$E18),SF_Output!$Q$1:$Q$400,"One Time",SF_Output!$L$1:$L$400,"license fee")+SUMIFS(SF_Output!$T$1:$T$400,SF_Output!$AC$1:$AC$400,_xlfn.TEXTJOIN(",",TRUE,$B18:$E18),SF_Output!$Q$1:$Q$400,"One Time",SF_Output!$L$1:$L$400,"software license"))/J18)))</f>
        <v/>
      </c>
      <c r="L18" s="6">
        <f t="shared" si="1"/>
        <v>0</v>
      </c>
      <c r="N18" s="6">
        <f>IF(B18="","",SUMIFS(SF_Output!$S$1:$S$400,SF_Output!$AC$1:$AC$400,_xlfn.TEXTJOIN(",",TRUE,B18:E18),SF_Output!$Q$1:$Q$400,"One Time",SF_Output!$L$1:$L$400,"professional service"))</f>
        <v>2340</v>
      </c>
      <c r="O18" s="112">
        <f>IF(OR(B18=0,B18="",N18=0),"",IF(AF18&lt;&gt;"exclusion",MAX(O$9,-(SUMIFS(SF_Output!$T$1:$T$400,SF_Output!$AC$1:$AC$400,_xlfn.TEXTJOIN(",",TRUE,$B18:$E18),SF_Output!$Q$1:$Q$400,"One Time",SF_Output!$L$1:$L$400,"professional service"))/N18),-((SUMIFS(SF_Output!$T$1:$T$400,SF_Output!$AC$1:$AC$400,_xlfn.TEXTJOIN(",",TRUE,$B18:$E18),SF_Output!$Q$1:$Q$400,"One Time",SF_Output!$L$1:$L$400,"professional service")/N18))))</f>
        <v>1</v>
      </c>
      <c r="P18" s="6">
        <f t="shared" si="2"/>
        <v>0</v>
      </c>
      <c r="R18" s="6">
        <f>IF(B18="","",SUMIFS(SF_Output!$S$1:$S$400,SF_Output!$AC$1:$AC$400,_xlfn.TEXTJOIN(",",TRUE,B18:E18),SF_Output!$Q$1:$Q$400,"yearly")+SUMIFS(SF_Output!$S$1:$S$400,SF_Output!$AC$1:$AC$400,_xlfn.TEXTJOIN(",",TRUE,B18:E18),SF_Output!$Q$1:$Q$400,"quarterly")*4)</f>
        <v>0</v>
      </c>
      <c r="S18" s="112" t="str">
        <f>IF(OR(B18=0,B18="",G18="hardware",R18=0),"",IF(AF18&lt;&gt;"exclusion",MAX(S$9,-(SUMIFS(SF_Output!$T$1:$T$400,SF_Output!$AC$1:$AC$400,_xlfn.TEXTJOIN(",",TRUE,$B18:$E18),SF_Output!$Q$1:$Q$400,"yearly"))/R18),-((SUMIFS(SF_Output!$T$1:$T$400,SF_Output!$AC$1:$AC$400,_xlfn.TEXTJOIN(",",TRUE,$B18:$E18),SF_Output!$Q$1:$Q$400,"yearly")/R18))))</f>
        <v/>
      </c>
      <c r="T18" s="6">
        <f t="shared" si="3"/>
        <v>0</v>
      </c>
      <c r="V18" s="6" cm="1">
        <f t="array" ref="V18">_xlfn.IFS(B18="","",AND(B18&lt;&gt;"",H18=SF_Output!$Y$2,SUMIFS(SF_Output!$T$1:$T$400,SF_Output!$AC$1:$AC$400,_xlfn.TEXTJOIN(",",TRUE,B18:E18),SF_Output!$Q$1:$Q$400,"monthly")=0),(SUMIFS(SF_Output!$F$1:$F$400,SF_Output!$AC$1:$AC$400,_xlfn.TEXTJOIN(",",TRUE,B18:E18),SF_Output!$Q$1:$Q$400,"monthly")+SUMIFS(SF_Output!$G$1:$G$400,SF_Output!$AC$1:$AC$400,_xlfn.TEXTJOIN(",",TRUE,B18:E18),SF_Output!$Q$1:$Q$400,"monthly"))*H18,AND(B18&lt;&gt;"",H18=SF_Output!$Y$2,SUMIFS(SF_Output!$T$1:$T$400,SF_Output!$AC$1:$AC$400,_xlfn.TEXTJOIN(",",TRUE,B18:E18),SF_Output!$Q$1:$Q$400,"monthly")&lt;&gt;0),SUMIFS(SF_Output!$S$1:$S$400,SF_Output!$AC$1:$AC$400,_xlfn.TEXTJOIN(",",TRUE,B18:E18),SF_Output!$Q$1:$Q$400,"monthly"),AND(B18&lt;&gt;"",H18&lt;&gt;SF_Output!$Y$2),SUMIFS(SF_Output!$S$1:$S$400,SF_Output!$AC$1:$AC$400,_xlfn.TEXTJOIN(",",TRUE,B18:E18),SF_Output!$Q$1:$Q$400,"monthly"))</f>
        <v>220</v>
      </c>
      <c r="W18" s="112" cm="1">
        <f t="array" ref="W18">_xlfn.IFS(OR(B18=0,B18="",V18=0),"",AF18&lt;&gt;"exclusion",MAX($W$9,$W$7,(-(SUMIFS(SF_Output!$T$1:$T$400,SF_Output!$AC$1:$AC$400,_xlfn.TEXTJOIN(",",TRUE,$B18:$E18),SF_Output!$Q$1:$Q$400,"monthly"))/V18)),AF18="exclusion",-(SUMIFS(SF_Output!$T$1:$T$400,SF_Output!$AC$1:$AC$400,_xlfn.TEXTJOIN(",",TRUE,$B18:$E18),SF_Output!$Q$1:$Q$400,"monthly"))/V18)</f>
        <v>0.25</v>
      </c>
      <c r="X18" s="6" cm="1">
        <f t="array" ref="X18">IFERROR(_xlfn.IFS(V18=0,0,V18="","",W18=0,V18,OR(V18&lt;&gt;0,V18&lt;&gt;""),H18*I18),V18*(1-W18))</f>
        <v>165</v>
      </c>
    </row>
    <row r="19" spans="2:24" x14ac:dyDescent="0.25">
      <c r="B19" t="s">
        <v>2160</v>
      </c>
      <c r="C19" t="s">
        <v>2122</v>
      </c>
      <c r="D19" t="s">
        <v>2123</v>
      </c>
      <c r="E19" t="s">
        <v>2124</v>
      </c>
      <c r="F19" s="116" t="str">
        <f t="shared" si="0"/>
        <v>Included</v>
      </c>
      <c r="G19" t="str">
        <f>IF(B19="","",INDEX(SF_Output!$K$1:$K$400,MATCH(B19,SF_Output!$M$1:$M$400,0)))</f>
        <v>SilverLake</v>
      </c>
      <c r="H19" cm="1">
        <f t="array" ref="H19">_xlfn.IFS(B19="","",(SUMIFS(SF_Output!$F$1:$F$400,SF_Output!$AC$1:$AC$400,_xlfn.TEXTJOIN(",",TRUE,B19:E19))+SUMIFS(SF_Output!$G$1:$G$400,SF_Output!$AC$1:$AC$400,_xlfn.TEXTJOIN(",",TRUE,B19:E19)))&lt;&gt;0,SF_Output!$Y$2,INDEX(SF_Output!$F$1:$F$400,MATCH(_xlfn.TEXTJOIN(",",TRUE,B19:E19),SF_Output!$AC$1:$AC$400,0))=0,INDEX(SF_Output!$R$1:$R$400,MATCH(_xlfn.TEXTJOIN(",",TRUE,B19:E19),SF_Output!$AC$1:$AC$400,0)))</f>
        <v>1</v>
      </c>
      <c r="I19" s="125" t="str">
        <f>IFERROR(IF(AND(H19&gt;1,H19&lt;&gt;""),ROUND(SUMIFS(SF_Output!$S$1:$S$400,SF_Output!$AC$1:$AC$400,_xlfn.TEXTJOIN(",",TRUE,B19:E19),SF_Output!$Q$1:$Q$400,"monthly")*(1-W19)/H19,4),""),"")</f>
        <v/>
      </c>
      <c r="J19" s="6">
        <f>IF(B19="","",SUMIFS(SF_Output!$S$1:$S$400,SF_Output!$AC$1:$AC$400,_xlfn.TEXTJOIN(",",TRUE,B19:E19),SF_Output!$Q$1:$Q$400,"One Time",SF_Output!$L$1:$L$400,"license fee")+SUMIFS(SF_Output!$S$1:$S$400,SF_Output!$AC$1:$AC$400,_xlfn.TEXTJOIN(",",TRUE,B19:E19),SF_Output!$Q$1:$Q$400,"One Time",SF_Output!$L$1:$L$400,"software license")+SUMIFS(SF_Output!$S$1:$S$400,SF_Output!$AC$1:$AC$400,_xlfn.TEXTJOIN(",",TRUE,B19:E19),SF_Output!$Q$1:$Q$400,"One Time",SF_Output!$L$1:$L$400,"hardware"))</f>
        <v>0</v>
      </c>
      <c r="K19" s="112" t="str">
        <f>IF(OR(B19=0,B19="",G19="hardware",J19=0),"",IF(AF19&lt;&gt;"exclusion",MAX(K$9,-((SUMIFS(SF_Output!$T$1:$T$400,SF_Output!$AC$1:$AC$400,_xlfn.TEXTJOIN(",",TRUE,$B19:$E19),SF_Output!$Q$1:$Q$400,"One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license"))/J19)),-((SUMIFS(SF_Output!$T$1:$T$400,SF_Output!$AC$1:$AC$400,_xlfn.TEXTJOIN(",",TRUE,$B19:$E19),SF_Output!$Q$1:$Q$400,"One Time",SF_Output!$L$1:$L$400,"license fee")+SUMIFS(SF_Output!$T$1:$T$400,SF_Output!$AC$1:$AC$400,_xlfn.TEXTJOIN(",",TRUE,$B19:$E19),SF_Output!$Q$1:$Q$400,"One Time",SF_Output!$L$1:$L$400,"software license"))/J19)))</f>
        <v/>
      </c>
      <c r="L19" s="6">
        <f t="shared" si="1"/>
        <v>0</v>
      </c>
      <c r="N19" s="6">
        <f>IF(B19="","",SUMIFS(SF_Output!$S$1:$S$400,SF_Output!$AC$1:$AC$400,_xlfn.TEXTJOIN(",",TRUE,B19:E19),SF_Output!$Q$1:$Q$400,"One Time",SF_Output!$L$1:$L$400,"professional service"))</f>
        <v>0</v>
      </c>
      <c r="O19" s="112" t="str">
        <f>IF(OR(B19=0,B19="",N19=0),"",IF(AF19&lt;&gt;"exclusion",MAX(O$9,-(SUMIFS(SF_Output!$T$1:$T$400,SF_Output!$AC$1:$AC$400,_xlfn.TEXTJOIN(",",TRUE,$B19:$E19),SF_Output!$Q$1:$Q$400,"One Time",SF_Output!$L$1:$L$400,"professional service"))/N19),-((SUMIFS(SF_Output!$T$1:$T$400,SF_Output!$AC$1:$AC$400,_xlfn.TEXTJOIN(",",TRUE,$B19:$E19),SF_Output!$Q$1:$Q$400,"One Time",SF_Output!$L$1:$L$400,"professional service")/N19))))</f>
        <v/>
      </c>
      <c r="P19" s="6">
        <f t="shared" si="2"/>
        <v>0</v>
      </c>
      <c r="R19" s="6">
        <f>IF(B19="","",SUMIFS(SF_Output!$S$1:$S$400,SF_Output!$AC$1:$AC$400,_xlfn.TEXTJOIN(",",TRUE,B19:E19),SF_Output!$Q$1:$Q$400,"yearly")+SUMIFS(SF_Output!$S$1:$S$400,SF_Output!$AC$1:$AC$400,_xlfn.TEXTJOIN(",",TRUE,B19:E19),SF_Output!$Q$1:$Q$400,"quarterly")*4)</f>
        <v>0</v>
      </c>
      <c r="S19" s="112" t="str">
        <f>IF(OR(B19=0,B19="",G19="hardware",R19=0),"",IF(AF19&lt;&gt;"exclusion",MAX(S$9,-(SUMIFS(SF_Output!$T$1:$T$400,SF_Output!$AC$1:$AC$400,_xlfn.TEXTJOIN(",",TRUE,$B19:$E19),SF_Output!$Q$1:$Q$400,"yearly"))/R19),-((SUMIFS(SF_Output!$T$1:$T$400,SF_Output!$AC$1:$AC$400,_xlfn.TEXTJOIN(",",TRUE,$B19:$E19),SF_Output!$Q$1:$Q$400,"yearly")/R19))))</f>
        <v/>
      </c>
      <c r="T19" s="6">
        <f t="shared" si="3"/>
        <v>0</v>
      </c>
      <c r="V19" s="6" cm="1">
        <f t="array" ref="V19">_xlfn.IFS(B19="","",AND(B19&lt;&gt;"",H19=SF_Output!$Y$2,SUMIFS(SF_Output!$T$1:$T$400,SF_Output!$AC$1:$AC$400,_xlfn.TEXTJOIN(",",TRUE,B19:E19),SF_Output!$Q$1:$Q$400,"monthly")=0),(SUMIFS(SF_Output!$F$1:$F$400,SF_Output!$AC$1:$AC$400,_xlfn.TEXTJOIN(",",TRUE,B19:E19),SF_Output!$Q$1:$Q$400,"monthly")+SUMIFS(SF_Output!$G$1:$G$400,SF_Output!$AC$1:$AC$400,_xlfn.TEXTJOIN(",",TRUE,B19:E19),SF_Output!$Q$1:$Q$400,"monthly"))*H19,AND(B19&lt;&gt;"",H19=SF_Output!$Y$2,SUMIFS(SF_Output!$T$1:$T$400,SF_Output!$AC$1:$AC$400,_xlfn.TEXTJOIN(",",TRUE,B19:E19),SF_Output!$Q$1:$Q$400,"monthly")&lt;&gt;0),SUMIFS(SF_Output!$S$1:$S$400,SF_Output!$AC$1:$AC$400,_xlfn.TEXTJOIN(",",TRUE,B19:E19),SF_Output!$Q$1:$Q$400,"monthly"),AND(B19&lt;&gt;"",H19&lt;&gt;SF_Output!$Y$2),SUMIFS(SF_Output!$S$1:$S$400,SF_Output!$AC$1:$AC$400,_xlfn.TEXTJOIN(",",TRUE,B19:E19),SF_Output!$Q$1:$Q$400,"monthly"))</f>
        <v>0</v>
      </c>
      <c r="W19" s="112" t="str" cm="1">
        <f t="array" ref="W19">_xlfn.IFS(OR(B19=0,B19="",V19=0),"",AF19&lt;&gt;"exclusion",MAX($W$9,$W$7,(-(SUMIFS(SF_Output!$T$1:$T$400,SF_Output!$AC$1:$AC$400,_xlfn.TEXTJOIN(",",TRUE,$B19:$E19),SF_Output!$Q$1:$Q$400,"monthly"))/V19)),AF19="exclusion",-(SUMIFS(SF_Output!$T$1:$T$400,SF_Output!$AC$1:$AC$400,_xlfn.TEXTJOIN(",",TRUE,$B19:$E19),SF_Output!$Q$1:$Q$400,"monthly"))/V19)</f>
        <v/>
      </c>
      <c r="X19" s="6" cm="1">
        <f t="array" ref="X19">IFERROR(_xlfn.IFS(V19=0,0,V19="","",W19=0,V19,OR(V19&lt;&gt;0,V19&lt;&gt;""),H19*I19),V19*(1-W19))</f>
        <v>0</v>
      </c>
    </row>
    <row r="20" spans="2:24" x14ac:dyDescent="0.25">
      <c r="B20" t="s">
        <v>2163</v>
      </c>
      <c r="C20" t="s">
        <v>2122</v>
      </c>
      <c r="D20" t="s">
        <v>2164</v>
      </c>
      <c r="E20" t="s">
        <v>2124</v>
      </c>
      <c r="F20" s="116" t="str">
        <f t="shared" si="0"/>
        <v>Included</v>
      </c>
      <c r="G20" t="str">
        <f>IF(B20="","",INDEX(SF_Output!$K$1:$K$400,MATCH(B20,SF_Output!$M$1:$M$400,0)))</f>
        <v>SilverLake</v>
      </c>
      <c r="H20" cm="1">
        <f t="array" ref="H20">_xlfn.IFS(B20="","",(SUMIFS(SF_Output!$F$1:$F$400,SF_Output!$AC$1:$AC$400,_xlfn.TEXTJOIN(",",TRUE,B20:E20))+SUMIFS(SF_Output!$G$1:$G$400,SF_Output!$AC$1:$AC$400,_xlfn.TEXTJOIN(",",TRUE,B20:E20)))&lt;&gt;0,SF_Output!$Y$2,INDEX(SF_Output!$F$1:$F$400,MATCH(_xlfn.TEXTJOIN(",",TRUE,B20:E20),SF_Output!$AC$1:$AC$400,0))=0,INDEX(SF_Output!$R$1:$R$400,MATCH(_xlfn.TEXTJOIN(",",TRUE,B20:E20),SF_Output!$AC$1:$AC$400,0)))</f>
        <v>1</v>
      </c>
      <c r="I20" s="125" t="str">
        <f>IFERROR(IF(AND(H20&gt;1,H20&lt;&gt;""),ROUND(SUMIFS(SF_Output!$S$1:$S$400,SF_Output!$AC$1:$AC$400,_xlfn.TEXTJOIN(",",TRUE,B20:E20),SF_Output!$Q$1:$Q$400,"monthly")*(1-W20)/H20,4),""),"")</f>
        <v/>
      </c>
      <c r="J20" s="6">
        <f>IF(B20="","",SUMIFS(SF_Output!$S$1:$S$400,SF_Output!$AC$1:$AC$400,_xlfn.TEXTJOIN(",",TRUE,B20:E20),SF_Output!$Q$1:$Q$400,"One Time",SF_Output!$L$1:$L$400,"license fee")+SUMIFS(SF_Output!$S$1:$S$400,SF_Output!$AC$1:$AC$400,_xlfn.TEXTJOIN(",",TRUE,B20:E20),SF_Output!$Q$1:$Q$400,"One Time",SF_Output!$L$1:$L$400,"software license")+SUMIFS(SF_Output!$S$1:$S$400,SF_Output!$AC$1:$AC$400,_xlfn.TEXTJOIN(",",TRUE,B20:E20),SF_Output!$Q$1:$Q$400,"One Time",SF_Output!$L$1:$L$400,"hardware"))</f>
        <v>9000</v>
      </c>
      <c r="K20" s="112">
        <f>IF(OR(B20=0,B20="",G20="hardware",J20=0),"",IF(AF20&lt;&gt;"exclusion",MAX(K$9,-((SUMIFS(SF_Output!$T$1:$T$400,SF_Output!$AC$1:$AC$400,_xlfn.TEXTJOIN(",",TRUE,$B20:$E20),SF_Output!$Q$1:$Q$400,"One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license"))/J20)),-((SUMIFS(SF_Output!$T$1:$T$400,SF_Output!$AC$1:$AC$400,_xlfn.TEXTJOIN(",",TRUE,$B20:$E20),SF_Output!$Q$1:$Q$400,"One Time",SF_Output!$L$1:$L$400,"license fee")+SUMIFS(SF_Output!$T$1:$T$400,SF_Output!$AC$1:$AC$400,_xlfn.TEXTJOIN(",",TRUE,$B20:$E20),SF_Output!$Q$1:$Q$400,"One Time",SF_Output!$L$1:$L$400,"software license"))/J20)))</f>
        <v>0</v>
      </c>
      <c r="L20" s="6">
        <f t="shared" si="1"/>
        <v>9000</v>
      </c>
      <c r="N20" s="6">
        <f>IF(B20="","",SUMIFS(SF_Output!$S$1:$S$400,SF_Output!$AC$1:$AC$400,_xlfn.TEXTJOIN(",",TRUE,B20:E20),SF_Output!$Q$1:$Q$400,"One Time",SF_Output!$L$1:$L$400,"professional service"))</f>
        <v>0</v>
      </c>
      <c r="O20" s="112" t="str">
        <f>IF(OR(B20=0,B20="",N20=0),"",IF(AF20&lt;&gt;"exclusion",MAX(O$9,-(SUMIFS(SF_Output!$T$1:$T$400,SF_Output!$AC$1:$AC$400,_xlfn.TEXTJOIN(",",TRUE,$B20:$E20),SF_Output!$Q$1:$Q$400,"One Time",SF_Output!$L$1:$L$400,"professional service"))/N20),-((SUMIFS(SF_Output!$T$1:$T$400,SF_Output!$AC$1:$AC$400,_xlfn.TEXTJOIN(",",TRUE,$B20:$E20),SF_Output!$Q$1:$Q$400,"One Time",SF_Output!$L$1:$L$400,"professional service")/N20))))</f>
        <v/>
      </c>
      <c r="P20" s="6">
        <f t="shared" si="2"/>
        <v>0</v>
      </c>
      <c r="R20" s="6">
        <f>IF(B20="","",SUMIFS(SF_Output!$S$1:$S$400,SF_Output!$AC$1:$AC$400,_xlfn.TEXTJOIN(",",TRUE,B20:E20),SF_Output!$Q$1:$Q$400,"yearly")+SUMIFS(SF_Output!$S$1:$S$400,SF_Output!$AC$1:$AC$400,_xlfn.TEXTJOIN(",",TRUE,B20:E20),SF_Output!$Q$1:$Q$400,"quarterly")*4)</f>
        <v>0</v>
      </c>
      <c r="S20" s="112" t="str">
        <f>IF(OR(B20=0,B20="",G20="hardware",R20=0),"",IF(AF20&lt;&gt;"exclusion",MAX(S$9,-(SUMIFS(SF_Output!$T$1:$T$400,SF_Output!$AC$1:$AC$400,_xlfn.TEXTJOIN(",",TRUE,$B20:$E20),SF_Output!$Q$1:$Q$400,"yearly"))/R20),-((SUMIFS(SF_Output!$T$1:$T$400,SF_Output!$AC$1:$AC$400,_xlfn.TEXTJOIN(",",TRUE,$B20:$E20),SF_Output!$Q$1:$Q$400,"yearly")/R20))))</f>
        <v/>
      </c>
      <c r="T20" s="6">
        <f t="shared" si="3"/>
        <v>0</v>
      </c>
      <c r="V20" s="6" cm="1">
        <f t="array" ref="V20">_xlfn.IFS(B20="","",AND(B20&lt;&gt;"",H20=SF_Output!$Y$2,SUMIFS(SF_Output!$T$1:$T$400,SF_Output!$AC$1:$AC$400,_xlfn.TEXTJOIN(",",TRUE,B20:E20),SF_Output!$Q$1:$Q$400,"monthly")=0),(SUMIFS(SF_Output!$F$1:$F$400,SF_Output!$AC$1:$AC$400,_xlfn.TEXTJOIN(",",TRUE,B20:E20),SF_Output!$Q$1:$Q$400,"monthly")+SUMIFS(SF_Output!$G$1:$G$400,SF_Output!$AC$1:$AC$400,_xlfn.TEXTJOIN(",",TRUE,B20:E20),SF_Output!$Q$1:$Q$400,"monthly"))*H20,AND(B20&lt;&gt;"",H20=SF_Output!$Y$2,SUMIFS(SF_Output!$T$1:$T$400,SF_Output!$AC$1:$AC$400,_xlfn.TEXTJOIN(",",TRUE,B20:E20),SF_Output!$Q$1:$Q$400,"monthly")&lt;&gt;0),SUMIFS(SF_Output!$S$1:$S$400,SF_Output!$AC$1:$AC$400,_xlfn.TEXTJOIN(",",TRUE,B20:E20),SF_Output!$Q$1:$Q$400,"monthly"),AND(B20&lt;&gt;"",H20&lt;&gt;SF_Output!$Y$2),SUMIFS(SF_Output!$S$1:$S$400,SF_Output!$AC$1:$AC$400,_xlfn.TEXTJOIN(",",TRUE,B20:E20),SF_Output!$Q$1:$Q$400,"monthly"))</f>
        <v>0</v>
      </c>
      <c r="W20" s="112" t="str" cm="1">
        <f t="array" ref="W20">_xlfn.IFS(OR(B20=0,B20="",V20=0),"",AF20&lt;&gt;"exclusion",MAX($W$9,$W$7,(-(SUMIFS(SF_Output!$T$1:$T$400,SF_Output!$AC$1:$AC$400,_xlfn.TEXTJOIN(",",TRUE,$B20:$E20),SF_Output!$Q$1:$Q$400,"monthly"))/V20)),AF20="exclusion",-(SUMIFS(SF_Output!$T$1:$T$400,SF_Output!$AC$1:$AC$400,_xlfn.TEXTJOIN(",",TRUE,$B20:$E20),SF_Output!$Q$1:$Q$400,"monthly"))/V20)</f>
        <v/>
      </c>
      <c r="X20" s="6" cm="1">
        <f t="array" ref="X20">IFERROR(_xlfn.IFS(V20=0,0,V20="","",W20=0,V20,OR(V20&lt;&gt;0,V20&lt;&gt;""),H20*I20),V20*(1-W20))</f>
        <v>0</v>
      </c>
    </row>
    <row r="21" spans="2:24" x14ac:dyDescent="0.25">
      <c r="B21" t="s">
        <v>2170</v>
      </c>
      <c r="C21" t="s">
        <v>2122</v>
      </c>
      <c r="D21" t="s">
        <v>2123</v>
      </c>
      <c r="E21" t="s">
        <v>2124</v>
      </c>
      <c r="F21" s="116" t="str">
        <f t="shared" si="0"/>
        <v>Included</v>
      </c>
      <c r="G21" t="str">
        <f>IF(B21="","",INDEX(SF_Output!$K$1:$K$400,MATCH(B21,SF_Output!$M$1:$M$400,0)))</f>
        <v>SilverLake</v>
      </c>
      <c r="H21" cm="1">
        <f t="array" ref="H21">_xlfn.IFS(B21="","",(SUMIFS(SF_Output!$F$1:$F$400,SF_Output!$AC$1:$AC$400,_xlfn.TEXTJOIN(",",TRUE,B21:E21))+SUMIFS(SF_Output!$G$1:$G$400,SF_Output!$AC$1:$AC$400,_xlfn.TEXTJOIN(",",TRUE,B21:E21)))&lt;&gt;0,SF_Output!$Y$2,INDEX(SF_Output!$F$1:$F$400,MATCH(_xlfn.TEXTJOIN(",",TRUE,B21:E21),SF_Output!$AC$1:$AC$400,0))=0,INDEX(SF_Output!$R$1:$R$400,MATCH(_xlfn.TEXTJOIN(",",TRUE,B21:E21),SF_Output!$AC$1:$AC$400,0)))</f>
        <v>1</v>
      </c>
      <c r="I21" s="125" t="str">
        <f>IFERROR(IF(AND(H21&gt;1,H21&lt;&gt;""),ROUND(SUMIFS(SF_Output!$S$1:$S$400,SF_Output!$AC$1:$AC$400,_xlfn.TEXTJOIN(",",TRUE,B21:E21),SF_Output!$Q$1:$Q$400,"monthly")*(1-W21)/H21,4),""),"")</f>
        <v/>
      </c>
      <c r="J21" s="6">
        <f>IF(B21="","",SUMIFS(SF_Output!$S$1:$S$400,SF_Output!$AC$1:$AC$400,_xlfn.TEXTJOIN(",",TRUE,B21:E21),SF_Output!$Q$1:$Q$400,"One Time",SF_Output!$L$1:$L$400,"license fee")+SUMIFS(SF_Output!$S$1:$S$400,SF_Output!$AC$1:$AC$400,_xlfn.TEXTJOIN(",",TRUE,B21:E21),SF_Output!$Q$1:$Q$400,"One Time",SF_Output!$L$1:$L$400,"software license")+SUMIFS(SF_Output!$S$1:$S$400,SF_Output!$AC$1:$AC$400,_xlfn.TEXTJOIN(",",TRUE,B21:E21),SF_Output!$Q$1:$Q$400,"One Time",SF_Output!$L$1:$L$400,"hardware"))</f>
        <v>0</v>
      </c>
      <c r="K21" s="112" t="str">
        <f>IF(OR(B21=0,B21="",G21="hardware",J21=0),"",IF(AF21&lt;&gt;"exclusion",MAX(K$9,-((SUMIFS(SF_Output!$T$1:$T$400,SF_Output!$AC$1:$AC$400,_xlfn.TEXTJOIN(",",TRUE,$B21:$E21),SF_Output!$Q$1:$Q$400,"One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license"))/J21)),-((SUMIFS(SF_Output!$T$1:$T$400,SF_Output!$AC$1:$AC$400,_xlfn.TEXTJOIN(",",TRUE,$B21:$E21),SF_Output!$Q$1:$Q$400,"One Time",SF_Output!$L$1:$L$400,"license fee")+SUMIFS(SF_Output!$T$1:$T$400,SF_Output!$AC$1:$AC$400,_xlfn.TEXTJOIN(",",TRUE,$B21:$E21),SF_Output!$Q$1:$Q$400,"One Time",SF_Output!$L$1:$L$400,"software license"))/J21)))</f>
        <v/>
      </c>
      <c r="L21" s="6">
        <f t="shared" si="1"/>
        <v>0</v>
      </c>
      <c r="N21" s="6">
        <f>IF(B21="","",SUMIFS(SF_Output!$S$1:$S$400,SF_Output!$AC$1:$AC$400,_xlfn.TEXTJOIN(",",TRUE,B21:E21),SF_Output!$Q$1:$Q$400,"One Time",SF_Output!$L$1:$L$400,"professional service"))</f>
        <v>2500</v>
      </c>
      <c r="O21" s="112">
        <f>IF(OR(B21=0,B21="",N21=0),"",IF(AF21&lt;&gt;"exclusion",MAX(O$9,-(SUMIFS(SF_Output!$T$1:$T$400,SF_Output!$AC$1:$AC$400,_xlfn.TEXTJOIN(",",TRUE,$B21:$E21),SF_Output!$Q$1:$Q$400,"One Time",SF_Output!$L$1:$L$400,"professional service"))/N21),-((SUMIFS(SF_Output!$T$1:$T$400,SF_Output!$AC$1:$AC$400,_xlfn.TEXTJOIN(",",TRUE,$B21:$E21),SF_Output!$Q$1:$Q$400,"One Time",SF_Output!$L$1:$L$400,"professional service")/N21))))</f>
        <v>1</v>
      </c>
      <c r="P21" s="6">
        <f t="shared" si="2"/>
        <v>0</v>
      </c>
      <c r="R21" s="6">
        <f>IF(B21="","",SUMIFS(SF_Output!$S$1:$S$400,SF_Output!$AC$1:$AC$400,_xlfn.TEXTJOIN(",",TRUE,B21:E21),SF_Output!$Q$1:$Q$400,"yearly")+SUMIFS(SF_Output!$S$1:$S$400,SF_Output!$AC$1:$AC$400,_xlfn.TEXTJOIN(",",TRUE,B21:E21),SF_Output!$Q$1:$Q$400,"quarterly")*4)</f>
        <v>0</v>
      </c>
      <c r="S21" s="112" t="str">
        <f>IF(OR(B21=0,B21="",G21="hardware",R21=0),"",IF(AF21&lt;&gt;"exclusion",MAX(S$9,-(SUMIFS(SF_Output!$T$1:$T$400,SF_Output!$AC$1:$AC$400,_xlfn.TEXTJOIN(",",TRUE,$B21:$E21),SF_Output!$Q$1:$Q$400,"yearly"))/R21),-((SUMIFS(SF_Output!$T$1:$T$400,SF_Output!$AC$1:$AC$400,_xlfn.TEXTJOIN(",",TRUE,$B21:$E21),SF_Output!$Q$1:$Q$400,"yearly")/R21))))</f>
        <v/>
      </c>
      <c r="T21" s="6">
        <f t="shared" si="3"/>
        <v>0</v>
      </c>
      <c r="V21" s="6" cm="1">
        <f t="array" ref="V21">_xlfn.IFS(B21="","",AND(B21&lt;&gt;"",H21=SF_Output!$Y$2,SUMIFS(SF_Output!$T$1:$T$400,SF_Output!$AC$1:$AC$400,_xlfn.TEXTJOIN(",",TRUE,B21:E21),SF_Output!$Q$1:$Q$400,"monthly")=0),(SUMIFS(SF_Output!$F$1:$F$400,SF_Output!$AC$1:$AC$400,_xlfn.TEXTJOIN(",",TRUE,B21:E21),SF_Output!$Q$1:$Q$400,"monthly")+SUMIFS(SF_Output!$G$1:$G$400,SF_Output!$AC$1:$AC$400,_xlfn.TEXTJOIN(",",TRUE,B21:E21),SF_Output!$Q$1:$Q$400,"monthly"))*H21,AND(B21&lt;&gt;"",H21=SF_Output!$Y$2,SUMIFS(SF_Output!$T$1:$T$400,SF_Output!$AC$1:$AC$400,_xlfn.TEXTJOIN(",",TRUE,B21:E21),SF_Output!$Q$1:$Q$400,"monthly")&lt;&gt;0),SUMIFS(SF_Output!$S$1:$S$400,SF_Output!$AC$1:$AC$400,_xlfn.TEXTJOIN(",",TRUE,B21:E21),SF_Output!$Q$1:$Q$400,"monthly"),AND(B21&lt;&gt;"",H21&lt;&gt;SF_Output!$Y$2),SUMIFS(SF_Output!$S$1:$S$400,SF_Output!$AC$1:$AC$400,_xlfn.TEXTJOIN(",",TRUE,B21:E21),SF_Output!$Q$1:$Q$400,"monthly"))</f>
        <v>300</v>
      </c>
      <c r="W21" s="112" cm="1">
        <f t="array" ref="W21">_xlfn.IFS(OR(B21=0,B21="",V21=0),"",AF21&lt;&gt;"exclusion",MAX($W$9,$W$7,(-(SUMIFS(SF_Output!$T$1:$T$400,SF_Output!$AC$1:$AC$400,_xlfn.TEXTJOIN(",",TRUE,$B21:$E21),SF_Output!$Q$1:$Q$400,"monthly"))/V21)),AF21="exclusion",-(SUMIFS(SF_Output!$T$1:$T$400,SF_Output!$AC$1:$AC$400,_xlfn.TEXTJOIN(",",TRUE,$B21:$E21),SF_Output!$Q$1:$Q$400,"monthly"))/V21)</f>
        <v>0.25</v>
      </c>
      <c r="X21" s="6" cm="1">
        <f t="array" ref="X21">IFERROR(_xlfn.IFS(V21=0,0,V21="","",W21=0,V21,OR(V21&lt;&gt;0,V21&lt;&gt;""),H21*I21),V21*(1-W21))</f>
        <v>225</v>
      </c>
    </row>
    <row r="22" spans="2:24" x14ac:dyDescent="0.25">
      <c r="B22" t="s">
        <v>2322</v>
      </c>
      <c r="C22" t="s">
        <v>2122</v>
      </c>
      <c r="D22" t="s">
        <v>2123</v>
      </c>
      <c r="E22" t="s">
        <v>2124</v>
      </c>
      <c r="F22" s="116" t="str">
        <f t="shared" si="0"/>
        <v>Included</v>
      </c>
      <c r="G22" t="str">
        <f>IF(B22="","",INDEX(SF_Output!$K$1:$K$400,MATCH(B22,SF_Output!$M$1:$M$400,0)))</f>
        <v>Xperience</v>
      </c>
      <c r="H22" cm="1">
        <f t="array" ref="H22">_xlfn.IFS(B22="","",(SUMIFS(SF_Output!$F$1:$F$400,SF_Output!$AC$1:$AC$400,_xlfn.TEXTJOIN(",",TRUE,B22:E22))+SUMIFS(SF_Output!$G$1:$G$400,SF_Output!$AC$1:$AC$400,_xlfn.TEXTJOIN(",",TRUE,B22:E22)))&lt;&gt;0,SF_Output!$Y$2,INDEX(SF_Output!$F$1:$F$400,MATCH(_xlfn.TEXTJOIN(",",TRUE,B22:E22),SF_Output!$AC$1:$AC$400,0))=0,INDEX(SF_Output!$R$1:$R$400,MATCH(_xlfn.TEXTJOIN(",",TRUE,B22:E22),SF_Output!$AC$1:$AC$400,0)))</f>
        <v>5000</v>
      </c>
      <c r="I22" s="125">
        <f>IFERROR(IF(AND(H22&gt;1,H22&lt;&gt;""),ROUND(SUMIFS(SF_Output!$S$1:$S$400,SF_Output!$AC$1:$AC$400,_xlfn.TEXTJOIN(",",TRUE,B22:E22),SF_Output!$Q$1:$Q$400,"monthly")*(1-W22)/H22,4),""),"")</f>
        <v>2.2499999999999999E-2</v>
      </c>
      <c r="J22" s="6">
        <f>IF(B22="","",SUMIFS(SF_Output!$S$1:$S$400,SF_Output!$AC$1:$AC$400,_xlfn.TEXTJOIN(",",TRUE,B22:E22),SF_Output!$Q$1:$Q$400,"One Time",SF_Output!$L$1:$L$400,"license fee")+SUMIFS(SF_Output!$S$1:$S$400,SF_Output!$AC$1:$AC$400,_xlfn.TEXTJOIN(",",TRUE,B22:E22),SF_Output!$Q$1:$Q$400,"One Time",SF_Output!$L$1:$L$400,"software license")+SUMIFS(SF_Output!$S$1:$S$400,SF_Output!$AC$1:$AC$400,_xlfn.TEXTJOIN(",",TRUE,B22:E22),SF_Output!$Q$1:$Q$400,"One Time",SF_Output!$L$1:$L$400,"hardware"))</f>
        <v>0</v>
      </c>
      <c r="K22" s="112" t="str">
        <f>IF(OR(B22=0,B22="",G22="hardware",J22=0),"",IF(AF22&lt;&gt;"exclusion",MAX(K$9,-((SUMIFS(SF_Output!$T$1:$T$400,SF_Output!$AC$1:$AC$400,_xlfn.TEXTJOIN(",",TRUE,$B22:$E22),SF_Output!$Q$1:$Q$400,"One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license"))/J22)),-((SUMIFS(SF_Output!$T$1:$T$400,SF_Output!$AC$1:$AC$400,_xlfn.TEXTJOIN(",",TRUE,$B22:$E22),SF_Output!$Q$1:$Q$400,"One Time",SF_Output!$L$1:$L$400,"license fee")+SUMIFS(SF_Output!$T$1:$T$400,SF_Output!$AC$1:$AC$400,_xlfn.TEXTJOIN(",",TRUE,$B22:$E22),SF_Output!$Q$1:$Q$400,"One Time",SF_Output!$L$1:$L$400,"software license"))/J22)))</f>
        <v/>
      </c>
      <c r="L22" s="6">
        <f t="shared" si="1"/>
        <v>0</v>
      </c>
      <c r="N22" s="6">
        <f>IF(B22="","",SUMIFS(SF_Output!$S$1:$S$400,SF_Output!$AC$1:$AC$400,_xlfn.TEXTJOIN(",",TRUE,B22:E22),SF_Output!$Q$1:$Q$400,"One Time",SF_Output!$L$1:$L$400,"professional service"))</f>
        <v>0</v>
      </c>
      <c r="O22" s="112" t="str">
        <f>IF(OR(B22=0,B22="",N22=0),"",IF(AF22&lt;&gt;"exclusion",MAX(O$9,-(SUMIFS(SF_Output!$T$1:$T$400,SF_Output!$AC$1:$AC$400,_xlfn.TEXTJOIN(",",TRUE,$B22:$E22),SF_Output!$Q$1:$Q$400,"One Time",SF_Output!$L$1:$L$400,"professional service"))/N22),-((SUMIFS(SF_Output!$T$1:$T$400,SF_Output!$AC$1:$AC$400,_xlfn.TEXTJOIN(",",TRUE,$B22:$E22),SF_Output!$Q$1:$Q$400,"One Time",SF_Output!$L$1:$L$400,"professional service")/N22))))</f>
        <v/>
      </c>
      <c r="P22" s="6">
        <f t="shared" si="2"/>
        <v>0</v>
      </c>
      <c r="R22" s="6">
        <f>IF(B22="","",SUMIFS(SF_Output!$S$1:$S$400,SF_Output!$AC$1:$AC$400,_xlfn.TEXTJOIN(",",TRUE,B22:E22),SF_Output!$Q$1:$Q$400,"yearly")+SUMIFS(SF_Output!$S$1:$S$400,SF_Output!$AC$1:$AC$400,_xlfn.TEXTJOIN(",",TRUE,B22:E22),SF_Output!$Q$1:$Q$400,"quarterly")*4)</f>
        <v>0</v>
      </c>
      <c r="S22" s="112" t="str">
        <f>IF(OR(B22=0,B22="",G22="hardware",R22=0),"",IF(AF22&lt;&gt;"exclusion",MAX(S$9,-(SUMIFS(SF_Output!$T$1:$T$400,SF_Output!$AC$1:$AC$400,_xlfn.TEXTJOIN(",",TRUE,$B22:$E22),SF_Output!$Q$1:$Q$400,"yearly"))/R22),-((SUMIFS(SF_Output!$T$1:$T$400,SF_Output!$AC$1:$AC$400,_xlfn.TEXTJOIN(",",TRUE,$B22:$E22),SF_Output!$Q$1:$Q$400,"yearly")/R22))))</f>
        <v/>
      </c>
      <c r="T22" s="6">
        <f t="shared" si="3"/>
        <v>0</v>
      </c>
      <c r="V22" s="6" cm="1">
        <f t="array" ref="V22">_xlfn.IFS(B22="","",AND(B22&lt;&gt;"",H22=SF_Output!$Y$2,SUMIFS(SF_Output!$T$1:$T$400,SF_Output!$AC$1:$AC$400,_xlfn.TEXTJOIN(",",TRUE,B22:E22),SF_Output!$Q$1:$Q$400,"monthly")=0),(SUMIFS(SF_Output!$F$1:$F$400,SF_Output!$AC$1:$AC$400,_xlfn.TEXTJOIN(",",TRUE,B22:E22),SF_Output!$Q$1:$Q$400,"monthly")+SUMIFS(SF_Output!$G$1:$G$400,SF_Output!$AC$1:$AC$400,_xlfn.TEXTJOIN(",",TRUE,B22:E22),SF_Output!$Q$1:$Q$400,"monthly"))*H22,AND(B22&lt;&gt;"",H22=SF_Output!$Y$2,SUMIFS(SF_Output!$T$1:$T$400,SF_Output!$AC$1:$AC$400,_xlfn.TEXTJOIN(",",TRUE,B22:E22),SF_Output!$Q$1:$Q$400,"monthly")&lt;&gt;0),SUMIFS(SF_Output!$S$1:$S$400,SF_Output!$AC$1:$AC$400,_xlfn.TEXTJOIN(",",TRUE,B22:E22),SF_Output!$Q$1:$Q$400,"monthly"),AND(B22&lt;&gt;"",H22&lt;&gt;SF_Output!$Y$2),SUMIFS(SF_Output!$S$1:$S$400,SF_Output!$AC$1:$AC$400,_xlfn.TEXTJOIN(",",TRUE,B22:E22),SF_Output!$Q$1:$Q$400,"monthly"))</f>
        <v>150</v>
      </c>
      <c r="W22" s="112" cm="1">
        <f t="array" ref="W22">_xlfn.IFS(OR(B22=0,B22="",V22=0),"",AF22&lt;&gt;"exclusion",MAX($W$9,$W$7,(-(SUMIFS(SF_Output!$T$1:$T$400,SF_Output!$AC$1:$AC$400,_xlfn.TEXTJOIN(",",TRUE,$B22:$E22),SF_Output!$Q$1:$Q$400,"monthly"))/V22)),AF22="exclusion",-(SUMIFS(SF_Output!$T$1:$T$400,SF_Output!$AC$1:$AC$400,_xlfn.TEXTJOIN(",",TRUE,$B22:$E22),SF_Output!$Q$1:$Q$400,"monthly"))/V22)</f>
        <v>0.25</v>
      </c>
      <c r="X22" s="6" cm="1">
        <f t="array" ref="X22">IFERROR(_xlfn.IFS(V22=0,0,V22="","",W22=0,V22,OR(V22&lt;&gt;0,V22&lt;&gt;""),H22*I22),V22*(1-W22))</f>
        <v>112.5</v>
      </c>
    </row>
    <row r="23" spans="2:24" x14ac:dyDescent="0.25">
      <c r="B23" t="s">
        <v>2153</v>
      </c>
      <c r="C23" t="s">
        <v>2122</v>
      </c>
      <c r="D23" t="s">
        <v>2123</v>
      </c>
      <c r="E23" t="s">
        <v>2150</v>
      </c>
      <c r="F23" s="116" t="str">
        <f t="shared" si="0"/>
        <v>Optional</v>
      </c>
      <c r="G23" t="str">
        <f>IF(B23="","",INDEX(SF_Output!$K$1:$K$400,MATCH(B23,SF_Output!$M$1:$M$400,0)))</f>
        <v>SilverLake</v>
      </c>
      <c r="H23" cm="1">
        <f t="array" ref="H23">_xlfn.IFS(B23="","",(SUMIFS(SF_Output!$F$1:$F$400,SF_Output!$AC$1:$AC$400,_xlfn.TEXTJOIN(",",TRUE,B23:E23))+SUMIFS(SF_Output!$G$1:$G$400,SF_Output!$AC$1:$AC$400,_xlfn.TEXTJOIN(",",TRUE,B23:E23)))&lt;&gt;0,SF_Output!$Y$2,INDEX(SF_Output!$F$1:$F$400,MATCH(_xlfn.TEXTJOIN(",",TRUE,B23:E23),SF_Output!$AC$1:$AC$400,0))=0,INDEX(SF_Output!$R$1:$R$400,MATCH(_xlfn.TEXTJOIN(",",TRUE,B23:E23),SF_Output!$AC$1:$AC$400,0)))</f>
        <v>1</v>
      </c>
      <c r="I23" s="125" t="str">
        <f>IFERROR(IF(AND(H23&gt;1,H23&lt;&gt;""),ROUND(SUMIFS(SF_Output!$S$1:$S$400,SF_Output!$AC$1:$AC$400,_xlfn.TEXTJOIN(",",TRUE,B23:E23),SF_Output!$Q$1:$Q$400,"monthly")*(1-W23)/H23,4),""),"")</f>
        <v/>
      </c>
      <c r="J23" s="6">
        <f>IF(B23="","",SUMIFS(SF_Output!$S$1:$S$400,SF_Output!$AC$1:$AC$400,_xlfn.TEXTJOIN(",",TRUE,B23:E23),SF_Output!$Q$1:$Q$400,"One Time",SF_Output!$L$1:$L$400,"license fee")+SUMIFS(SF_Output!$S$1:$S$400,SF_Output!$AC$1:$AC$400,_xlfn.TEXTJOIN(",",TRUE,B23:E23),SF_Output!$Q$1:$Q$400,"One Time",SF_Output!$L$1:$L$400,"software license")+SUMIFS(SF_Output!$S$1:$S$400,SF_Output!$AC$1:$AC$400,_xlfn.TEXTJOIN(",",TRUE,B23:E23),SF_Output!$Q$1:$Q$400,"One Time",SF_Output!$L$1:$L$400,"hardware"))</f>
        <v>0</v>
      </c>
      <c r="K23" s="112" t="str">
        <f>IF(OR(B23=0,B23="",G23="hardware",J23=0),"",IF(AF23&lt;&gt;"exclusion",MAX(K$9,-((SUMIFS(SF_Output!$T$1:$T$400,SF_Output!$AC$1:$AC$400,_xlfn.TEXTJOIN(",",TRUE,$B23:$E23),SF_Output!$Q$1:$Q$400,"One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license"))/J23)),-((SUMIFS(SF_Output!$T$1:$T$400,SF_Output!$AC$1:$AC$400,_xlfn.TEXTJOIN(",",TRUE,$B23:$E23),SF_Output!$Q$1:$Q$400,"One Time",SF_Output!$L$1:$L$400,"license fee")+SUMIFS(SF_Output!$T$1:$T$400,SF_Output!$AC$1:$AC$400,_xlfn.TEXTJOIN(",",TRUE,$B23:$E23),SF_Output!$Q$1:$Q$400,"One Time",SF_Output!$L$1:$L$400,"software license"))/J23)))</f>
        <v/>
      </c>
      <c r="L23" s="6">
        <f t="shared" si="1"/>
        <v>0</v>
      </c>
      <c r="N23" s="6">
        <f>IF(B23="","",SUMIFS(SF_Output!$S$1:$S$400,SF_Output!$AC$1:$AC$400,_xlfn.TEXTJOIN(",",TRUE,B23:E23),SF_Output!$Q$1:$Q$400,"One Time",SF_Output!$L$1:$L$400,"professional service"))</f>
        <v>5000</v>
      </c>
      <c r="O23" s="112">
        <f>IF(OR(B23=0,B23="",N23=0),"",IF(AF23&lt;&gt;"exclusion",MAX(O$9,-(SUMIFS(SF_Output!$T$1:$T$400,SF_Output!$AC$1:$AC$400,_xlfn.TEXTJOIN(",",TRUE,$B23:$E23),SF_Output!$Q$1:$Q$400,"One Time",SF_Output!$L$1:$L$400,"professional service"))/N23),-((SUMIFS(SF_Output!$T$1:$T$400,SF_Output!$AC$1:$AC$400,_xlfn.TEXTJOIN(",",TRUE,$B23:$E23),SF_Output!$Q$1:$Q$400,"One Time",SF_Output!$L$1:$L$400,"professional service")/N23))))</f>
        <v>1</v>
      </c>
      <c r="P23" s="6">
        <f t="shared" si="2"/>
        <v>0</v>
      </c>
      <c r="R23" s="6">
        <f>IF(B23="","",SUMIFS(SF_Output!$S$1:$S$400,SF_Output!$AC$1:$AC$400,_xlfn.TEXTJOIN(",",TRUE,B23:E23),SF_Output!$Q$1:$Q$400,"yearly")+SUMIFS(SF_Output!$S$1:$S$400,SF_Output!$AC$1:$AC$400,_xlfn.TEXTJOIN(",",TRUE,B23:E23),SF_Output!$Q$1:$Q$400,"quarterly")*4)</f>
        <v>0</v>
      </c>
      <c r="S23" s="112" t="str">
        <f>IF(OR(B23=0,B23="",G23="hardware",R23=0),"",IF(AF23&lt;&gt;"exclusion",MAX(S$9,-(SUMIFS(SF_Output!$T$1:$T$400,SF_Output!$AC$1:$AC$400,_xlfn.TEXTJOIN(",",TRUE,$B23:$E23),SF_Output!$Q$1:$Q$400,"yearly"))/R23),-((SUMIFS(SF_Output!$T$1:$T$400,SF_Output!$AC$1:$AC$400,_xlfn.TEXTJOIN(",",TRUE,$B23:$E23),SF_Output!$Q$1:$Q$400,"yearly")/R23))))</f>
        <v/>
      </c>
      <c r="T23" s="6">
        <f t="shared" si="3"/>
        <v>0</v>
      </c>
      <c r="V23" s="6" cm="1">
        <f t="array" ref="V23">_xlfn.IFS(B23="","",AND(B23&lt;&gt;"",H23=SF_Output!$Y$2,SUMIFS(SF_Output!$T$1:$T$400,SF_Output!$AC$1:$AC$400,_xlfn.TEXTJOIN(",",TRUE,B23:E23),SF_Output!$Q$1:$Q$400,"monthly")=0),(SUMIFS(SF_Output!$F$1:$F$400,SF_Output!$AC$1:$AC$400,_xlfn.TEXTJOIN(",",TRUE,B23:E23),SF_Output!$Q$1:$Q$400,"monthly")+SUMIFS(SF_Output!$G$1:$G$400,SF_Output!$AC$1:$AC$400,_xlfn.TEXTJOIN(",",TRUE,B23:E23),SF_Output!$Q$1:$Q$400,"monthly"))*H23,AND(B23&lt;&gt;"",H23=SF_Output!$Y$2,SUMIFS(SF_Output!$T$1:$T$400,SF_Output!$AC$1:$AC$400,_xlfn.TEXTJOIN(",",TRUE,B23:E23),SF_Output!$Q$1:$Q$400,"monthly")&lt;&gt;0),SUMIFS(SF_Output!$S$1:$S$400,SF_Output!$AC$1:$AC$400,_xlfn.TEXTJOIN(",",TRUE,B23:E23),SF_Output!$Q$1:$Q$400,"monthly"),AND(B23&lt;&gt;"",H23&lt;&gt;SF_Output!$Y$2),SUMIFS(SF_Output!$S$1:$S$400,SF_Output!$AC$1:$AC$400,_xlfn.TEXTJOIN(",",TRUE,B23:E23),SF_Output!$Q$1:$Q$400,"monthly"))</f>
        <v>220</v>
      </c>
      <c r="W23" s="112" cm="1">
        <f t="array" ref="W23">_xlfn.IFS(OR(B23=0,B23="",V23=0),"",AF23&lt;&gt;"exclusion",MAX($W$9,$W$7,(-(SUMIFS(SF_Output!$T$1:$T$400,SF_Output!$AC$1:$AC$400,_xlfn.TEXTJOIN(",",TRUE,$B23:$E23),SF_Output!$Q$1:$Q$400,"monthly"))/V23)),AF23="exclusion",-(SUMIFS(SF_Output!$T$1:$T$400,SF_Output!$AC$1:$AC$400,_xlfn.TEXTJOIN(",",TRUE,$B23:$E23),SF_Output!$Q$1:$Q$400,"monthly"))/V23)</f>
        <v>0.25</v>
      </c>
      <c r="X23" s="6" cm="1">
        <f t="array" ref="X23">IFERROR(_xlfn.IFS(V23=0,0,V23="","",W23=0,V23,OR(V23&lt;&gt;0,V23&lt;&gt;""),H23*I23),V23*(1-W23))</f>
        <v>165</v>
      </c>
    </row>
    <row r="24" spans="2:24" x14ac:dyDescent="0.25">
      <c r="B24" t="s">
        <v>2177</v>
      </c>
      <c r="C24" t="s">
        <v>2122</v>
      </c>
      <c r="D24" t="s">
        <v>2123</v>
      </c>
      <c r="E24" t="s">
        <v>2124</v>
      </c>
      <c r="F24" s="116" t="str">
        <f t="shared" si="0"/>
        <v>Included</v>
      </c>
      <c r="G24" t="str">
        <f>IF(B24="","",INDEX(SF_Output!$K$1:$K$400,MATCH(B24,SF_Output!$M$1:$M$400,0)))</f>
        <v>OnBoard</v>
      </c>
      <c r="H24" cm="1">
        <f t="array" ref="H24">_xlfn.IFS(B24="","",(SUMIFS(SF_Output!$F$1:$F$400,SF_Output!$AC$1:$AC$400,_xlfn.TEXTJOIN(",",TRUE,B24:E24))+SUMIFS(SF_Output!$G$1:$G$400,SF_Output!$AC$1:$AC$400,_xlfn.TEXTJOIN(",",TRUE,B24:E24)))&lt;&gt;0,SF_Output!$Y$2,INDEX(SF_Output!$F$1:$F$400,MATCH(_xlfn.TEXTJOIN(",",TRUE,B24:E24),SF_Output!$AC$1:$AC$400,0))=0,INDEX(SF_Output!$R$1:$R$400,MATCH(_xlfn.TEXTJOIN(",",TRUE,B24:E24),SF_Output!$AC$1:$AC$400,0)))</f>
        <v>5000</v>
      </c>
      <c r="I24" s="125">
        <f>IFERROR(IF(AND(H24&gt;1,H24&lt;&gt;""),ROUND(SUMIFS(SF_Output!$S$1:$S$400,SF_Output!$AC$1:$AC$400,_xlfn.TEXTJOIN(",",TRUE,B24:E24),SF_Output!$Q$1:$Q$400,"monthly")*(1-W24)/H24,4),""),"")</f>
        <v>0.17030000000000001</v>
      </c>
      <c r="J24" s="6">
        <f>IF(B24="","",SUMIFS(SF_Output!$S$1:$S$400,SF_Output!$AC$1:$AC$400,_xlfn.TEXTJOIN(",",TRUE,B24:E24),SF_Output!$Q$1:$Q$400,"One Time",SF_Output!$L$1:$L$400,"license fee")+SUMIFS(SF_Output!$S$1:$S$400,SF_Output!$AC$1:$AC$400,_xlfn.TEXTJOIN(",",TRUE,B24:E24),SF_Output!$Q$1:$Q$400,"One Time",SF_Output!$L$1:$L$400,"software license")+SUMIFS(SF_Output!$S$1:$S$400,SF_Output!$AC$1:$AC$400,_xlfn.TEXTJOIN(",",TRUE,B24:E24),SF_Output!$Q$1:$Q$400,"One Time",SF_Output!$L$1:$L$400,"hardware"))</f>
        <v>0</v>
      </c>
      <c r="K24" s="112" t="str">
        <f>IF(OR(B24=0,B24="",G24="hardware",J24=0),"",IF(AF24&lt;&gt;"exclusion",MAX(K$9,-((SUMIFS(SF_Output!$T$1:$T$400,SF_Output!$AC$1:$AC$400,_xlfn.TEXTJOIN(",",TRUE,$B24:$E24),SF_Output!$Q$1:$Q$400,"One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license"))/J24)),-((SUMIFS(SF_Output!$T$1:$T$400,SF_Output!$AC$1:$AC$400,_xlfn.TEXTJOIN(",",TRUE,$B24:$E24),SF_Output!$Q$1:$Q$400,"One Time",SF_Output!$L$1:$L$400,"license fee")+SUMIFS(SF_Output!$T$1:$T$400,SF_Output!$AC$1:$AC$400,_xlfn.TEXTJOIN(",",TRUE,$B24:$E24),SF_Output!$Q$1:$Q$400,"One Time",SF_Output!$L$1:$L$400,"software license"))/J24)))</f>
        <v/>
      </c>
      <c r="L24" s="6">
        <f t="shared" si="1"/>
        <v>0</v>
      </c>
      <c r="N24" s="6">
        <f>IF(B24="","",SUMIFS(SF_Output!$S$1:$S$400,SF_Output!$AC$1:$AC$400,_xlfn.TEXTJOIN(",",TRUE,B24:E24),SF_Output!$Q$1:$Q$400,"One Time",SF_Output!$L$1:$L$400,"professional service"))</f>
        <v>23180</v>
      </c>
      <c r="O24" s="112">
        <f>IF(OR(B24=0,B24="",N24=0),"",IF(AF24&lt;&gt;"exclusion",MAX(O$9,-(SUMIFS(SF_Output!$T$1:$T$400,SF_Output!$AC$1:$AC$400,_xlfn.TEXTJOIN(",",TRUE,$B24:$E24),SF_Output!$Q$1:$Q$400,"One Time",SF_Output!$L$1:$L$400,"professional service"))/N24),-((SUMIFS(SF_Output!$T$1:$T$400,SF_Output!$AC$1:$AC$400,_xlfn.TEXTJOIN(",",TRUE,$B24:$E24),SF_Output!$Q$1:$Q$400,"One Time",SF_Output!$L$1:$L$400,"professional service")/N24))))</f>
        <v>1</v>
      </c>
      <c r="P24" s="6">
        <f t="shared" si="2"/>
        <v>0</v>
      </c>
      <c r="R24" s="6">
        <f>IF(B24="","",SUMIFS(SF_Output!$S$1:$S$400,SF_Output!$AC$1:$AC$400,_xlfn.TEXTJOIN(",",TRUE,B24:E24),SF_Output!$Q$1:$Q$400,"yearly")+SUMIFS(SF_Output!$S$1:$S$400,SF_Output!$AC$1:$AC$400,_xlfn.TEXTJOIN(",",TRUE,B24:E24),SF_Output!$Q$1:$Q$400,"quarterly")*4)</f>
        <v>0</v>
      </c>
      <c r="S24" s="112" t="str">
        <f>IF(OR(B24=0,B24="",G24="hardware",R24=0),"",IF(AF24&lt;&gt;"exclusion",MAX(S$9,-(SUMIFS(SF_Output!$T$1:$T$400,SF_Output!$AC$1:$AC$400,_xlfn.TEXTJOIN(",",TRUE,$B24:$E24),SF_Output!$Q$1:$Q$400,"yearly"))/R24),-((SUMIFS(SF_Output!$T$1:$T$400,SF_Output!$AC$1:$AC$400,_xlfn.TEXTJOIN(",",TRUE,$B24:$E24),SF_Output!$Q$1:$Q$400,"yearly")/R24))))</f>
        <v/>
      </c>
      <c r="T24" s="6">
        <f t="shared" si="3"/>
        <v>0</v>
      </c>
      <c r="V24" s="6" cm="1">
        <f t="array" ref="V24">_xlfn.IFS(B24="","",AND(B24&lt;&gt;"",H24=SF_Output!$Y$2,SUMIFS(SF_Output!$T$1:$T$400,SF_Output!$AC$1:$AC$400,_xlfn.TEXTJOIN(",",TRUE,B24:E24),SF_Output!$Q$1:$Q$400,"monthly")=0),(SUMIFS(SF_Output!$F$1:$F$400,SF_Output!$AC$1:$AC$400,_xlfn.TEXTJOIN(",",TRUE,B24:E24),SF_Output!$Q$1:$Q$400,"monthly")+SUMIFS(SF_Output!$G$1:$G$400,SF_Output!$AC$1:$AC$400,_xlfn.TEXTJOIN(",",TRUE,B24:E24),SF_Output!$Q$1:$Q$400,"monthly"))*H24,AND(B24&lt;&gt;"",H24=SF_Output!$Y$2,SUMIFS(SF_Output!$T$1:$T$400,SF_Output!$AC$1:$AC$400,_xlfn.TEXTJOIN(",",TRUE,B24:E24),SF_Output!$Q$1:$Q$400,"monthly")&lt;&gt;0),SUMIFS(SF_Output!$S$1:$S$400,SF_Output!$AC$1:$AC$400,_xlfn.TEXTJOIN(",",TRUE,B24:E24),SF_Output!$Q$1:$Q$400,"monthly"),AND(B24&lt;&gt;"",H24&lt;&gt;SF_Output!$Y$2),SUMIFS(SF_Output!$S$1:$S$400,SF_Output!$AC$1:$AC$400,_xlfn.TEXTJOIN(",",TRUE,B24:E24),SF_Output!$Q$1:$Q$400,"monthly"))</f>
        <v>1135</v>
      </c>
      <c r="W24" s="112" cm="1">
        <f t="array" ref="W24">_xlfn.IFS(OR(B24=0,B24="",V24=0),"",AF24&lt;&gt;"exclusion",MAX($W$9,$W$7,(-(SUMIFS(SF_Output!$T$1:$T$400,SF_Output!$AC$1:$AC$400,_xlfn.TEXTJOIN(",",TRUE,$B24:$E24),SF_Output!$Q$1:$Q$400,"monthly"))/V24)),AF24="exclusion",-(SUMIFS(SF_Output!$T$1:$T$400,SF_Output!$AC$1:$AC$400,_xlfn.TEXTJOIN(",",TRUE,$B24:$E24),SF_Output!$Q$1:$Q$400,"monthly"))/V24)</f>
        <v>0.25</v>
      </c>
      <c r="X24" s="6" cm="1">
        <f t="array" ref="X24">IFERROR(_xlfn.IFS(V24=0,0,V24="","",W24=0,V24,OR(V24&lt;&gt;0,V24&lt;&gt;""),H24*I24),V24*(1-W24))</f>
        <v>851.5</v>
      </c>
    </row>
    <row r="25" spans="2:24" x14ac:dyDescent="0.25">
      <c r="B25" t="s">
        <v>2180</v>
      </c>
      <c r="C25" t="s">
        <v>2122</v>
      </c>
      <c r="D25" t="s">
        <v>2123</v>
      </c>
      <c r="E25" t="s">
        <v>2150</v>
      </c>
      <c r="F25" s="116" t="str">
        <f t="shared" si="0"/>
        <v>Optional</v>
      </c>
      <c r="G25" t="str">
        <f>IF(B25="","",INDEX(SF_Output!$K$1:$K$400,MATCH(B25,SF_Output!$M$1:$M$400,0)))</f>
        <v>OnBoard</v>
      </c>
      <c r="H25" cm="1">
        <f t="array" ref="H25">_xlfn.IFS(B25="","",(SUMIFS(SF_Output!$F$1:$F$400,SF_Output!$AC$1:$AC$400,_xlfn.TEXTJOIN(",",TRUE,B25:E25))+SUMIFS(SF_Output!$G$1:$G$400,SF_Output!$AC$1:$AC$400,_xlfn.TEXTJOIN(",",TRUE,B25:E25)))&lt;&gt;0,SF_Output!$Y$2,INDEX(SF_Output!$F$1:$F$400,MATCH(_xlfn.TEXTJOIN(",",TRUE,B25:E25),SF_Output!$AC$1:$AC$400,0))=0,INDEX(SF_Output!$R$1:$R$400,MATCH(_xlfn.TEXTJOIN(",",TRUE,B25:E25),SF_Output!$AC$1:$AC$400,0)))</f>
        <v>5000</v>
      </c>
      <c r="I25" s="125">
        <f>IFERROR(IF(AND(H25&gt;1,H25&lt;&gt;""),ROUND(SUMIFS(SF_Output!$S$1:$S$400,SF_Output!$AC$1:$AC$400,_xlfn.TEXTJOIN(",",TRUE,B25:E25),SF_Output!$Q$1:$Q$400,"monthly")*(1-W25)/H25,4),""),"")</f>
        <v>0.2273</v>
      </c>
      <c r="J25" s="6">
        <f>IF(B25="","",SUMIFS(SF_Output!$S$1:$S$400,SF_Output!$AC$1:$AC$400,_xlfn.TEXTJOIN(",",TRUE,B25:E25),SF_Output!$Q$1:$Q$400,"One Time",SF_Output!$L$1:$L$400,"license fee")+SUMIFS(SF_Output!$S$1:$S$400,SF_Output!$AC$1:$AC$400,_xlfn.TEXTJOIN(",",TRUE,B25:E25),SF_Output!$Q$1:$Q$400,"One Time",SF_Output!$L$1:$L$400,"software license")+SUMIFS(SF_Output!$S$1:$S$400,SF_Output!$AC$1:$AC$400,_xlfn.TEXTJOIN(",",TRUE,B25:E25),SF_Output!$Q$1:$Q$400,"One Time",SF_Output!$L$1:$L$400,"hardware"))</f>
        <v>0</v>
      </c>
      <c r="K25" s="112" t="str">
        <f>IF(OR(B25=0,B25="",G25="hardware",J25=0),"",IF(AF25&lt;&gt;"exclusion",MAX(K$9,-((SUMIFS(SF_Output!$T$1:$T$400,SF_Output!$AC$1:$AC$400,_xlfn.TEXTJOIN(",",TRUE,$B25:$E25),SF_Output!$Q$1:$Q$400,"One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license"))/J25)),-((SUMIFS(SF_Output!$T$1:$T$400,SF_Output!$AC$1:$AC$400,_xlfn.TEXTJOIN(",",TRUE,$B25:$E25),SF_Output!$Q$1:$Q$400,"One Time",SF_Output!$L$1:$L$400,"license fee")+SUMIFS(SF_Output!$T$1:$T$400,SF_Output!$AC$1:$AC$400,_xlfn.TEXTJOIN(",",TRUE,$B25:$E25),SF_Output!$Q$1:$Q$400,"One Time",SF_Output!$L$1:$L$400,"software license"))/J25)))</f>
        <v/>
      </c>
      <c r="L25" s="6">
        <f t="shared" si="1"/>
        <v>0</v>
      </c>
      <c r="N25" s="6">
        <f>IF(B25="","",SUMIFS(SF_Output!$S$1:$S$400,SF_Output!$AC$1:$AC$400,_xlfn.TEXTJOIN(",",TRUE,B25:E25),SF_Output!$Q$1:$Q$400,"One Time",SF_Output!$L$1:$L$400,"professional service"))</f>
        <v>42480</v>
      </c>
      <c r="O25" s="112">
        <f>IF(OR(B25=0,B25="",N25=0),"",IF(AF25&lt;&gt;"exclusion",MAX(O$9,-(SUMIFS(SF_Output!$T$1:$T$400,SF_Output!$AC$1:$AC$400,_xlfn.TEXTJOIN(",",TRUE,$B25:$E25),SF_Output!$Q$1:$Q$400,"One Time",SF_Output!$L$1:$L$400,"professional service"))/N25),-((SUMIFS(SF_Output!$T$1:$T$400,SF_Output!$AC$1:$AC$400,_xlfn.TEXTJOIN(",",TRUE,$B25:$E25),SF_Output!$Q$1:$Q$400,"One Time",SF_Output!$L$1:$L$400,"professional service")/N25))))</f>
        <v>1</v>
      </c>
      <c r="P25" s="6">
        <f t="shared" si="2"/>
        <v>0</v>
      </c>
      <c r="R25" s="6">
        <f>IF(B25="","",SUMIFS(SF_Output!$S$1:$S$400,SF_Output!$AC$1:$AC$400,_xlfn.TEXTJOIN(",",TRUE,B25:E25),SF_Output!$Q$1:$Q$400,"yearly")+SUMIFS(SF_Output!$S$1:$S$400,SF_Output!$AC$1:$AC$400,_xlfn.TEXTJOIN(",",TRUE,B25:E25),SF_Output!$Q$1:$Q$400,"quarterly")*4)</f>
        <v>0</v>
      </c>
      <c r="S25" s="112" t="str">
        <f>IF(OR(B25=0,B25="",G25="hardware",R25=0),"",IF(AF25&lt;&gt;"exclusion",MAX(S$9,-(SUMIFS(SF_Output!$T$1:$T$400,SF_Output!$AC$1:$AC$400,_xlfn.TEXTJOIN(",",TRUE,$B25:$E25),SF_Output!$Q$1:$Q$400,"yearly"))/R25),-((SUMIFS(SF_Output!$T$1:$T$400,SF_Output!$AC$1:$AC$400,_xlfn.TEXTJOIN(",",TRUE,$B25:$E25),SF_Output!$Q$1:$Q$400,"yearly")/R25))))</f>
        <v/>
      </c>
      <c r="T25" s="6">
        <f t="shared" si="3"/>
        <v>0</v>
      </c>
      <c r="V25" s="6" cm="1">
        <f t="array" ref="V25">_xlfn.IFS(B25="","",AND(B25&lt;&gt;"",H25=SF_Output!$Y$2,SUMIFS(SF_Output!$T$1:$T$400,SF_Output!$AC$1:$AC$400,_xlfn.TEXTJOIN(",",TRUE,B25:E25),SF_Output!$Q$1:$Q$400,"monthly")=0),(SUMIFS(SF_Output!$F$1:$F$400,SF_Output!$AC$1:$AC$400,_xlfn.TEXTJOIN(",",TRUE,B25:E25),SF_Output!$Q$1:$Q$400,"monthly")+SUMIFS(SF_Output!$G$1:$G$400,SF_Output!$AC$1:$AC$400,_xlfn.TEXTJOIN(",",TRUE,B25:E25),SF_Output!$Q$1:$Q$400,"monthly"))*H25,AND(B25&lt;&gt;"",H25=SF_Output!$Y$2,SUMIFS(SF_Output!$T$1:$T$400,SF_Output!$AC$1:$AC$400,_xlfn.TEXTJOIN(",",TRUE,B25:E25),SF_Output!$Q$1:$Q$400,"monthly")&lt;&gt;0),SUMIFS(SF_Output!$S$1:$S$400,SF_Output!$AC$1:$AC$400,_xlfn.TEXTJOIN(",",TRUE,B25:E25),SF_Output!$Q$1:$Q$400,"monthly"),AND(B25&lt;&gt;"",H25&lt;&gt;SF_Output!$Y$2),SUMIFS(SF_Output!$S$1:$S$400,SF_Output!$AC$1:$AC$400,_xlfn.TEXTJOIN(",",TRUE,B25:E25),SF_Output!$Q$1:$Q$400,"monthly"))</f>
        <v>1515</v>
      </c>
      <c r="W25" s="112" cm="1">
        <f t="array" ref="W25">_xlfn.IFS(OR(B25=0,B25="",V25=0),"",AF25&lt;&gt;"exclusion",MAX($W$9,$W$7,(-(SUMIFS(SF_Output!$T$1:$T$400,SF_Output!$AC$1:$AC$400,_xlfn.TEXTJOIN(",",TRUE,$B25:$E25),SF_Output!$Q$1:$Q$400,"monthly"))/V25)),AF25="exclusion",-(SUMIFS(SF_Output!$T$1:$T$400,SF_Output!$AC$1:$AC$400,_xlfn.TEXTJOIN(",",TRUE,$B25:$E25),SF_Output!$Q$1:$Q$400,"monthly"))/V25)</f>
        <v>0.25</v>
      </c>
      <c r="X25" s="6" cm="1">
        <f t="array" ref="X25">IFERROR(_xlfn.IFS(V25=0,0,V25="","",W25=0,V25,OR(V25&lt;&gt;0,V25&lt;&gt;""),H25*I25),V25*(1-W25))</f>
        <v>1136.5</v>
      </c>
    </row>
    <row r="26" spans="2:24" x14ac:dyDescent="0.25">
      <c r="B26" t="s">
        <v>1436</v>
      </c>
      <c r="C26" t="s">
        <v>2122</v>
      </c>
      <c r="D26" t="s">
        <v>2123</v>
      </c>
      <c r="E26" t="s">
        <v>2150</v>
      </c>
      <c r="F26" s="116" t="str">
        <f t="shared" si="0"/>
        <v>Optional</v>
      </c>
      <c r="G26" t="str">
        <f>IF(B26="","",INDEX(SF_Output!$K$1:$K$400,MATCH(B26,SF_Output!$M$1:$M$400,0)))</f>
        <v>OnBoard</v>
      </c>
      <c r="H26" cm="1">
        <f t="array" ref="H26">_xlfn.IFS(B26="","",(SUMIFS(SF_Output!$F$1:$F$400,SF_Output!$AC$1:$AC$400,_xlfn.TEXTJOIN(",",TRUE,B26:E26))+SUMIFS(SF_Output!$G$1:$G$400,SF_Output!$AC$1:$AC$400,_xlfn.TEXTJOIN(",",TRUE,B26:E26)))&lt;&gt;0,SF_Output!$Y$2,INDEX(SF_Output!$F$1:$F$400,MATCH(_xlfn.TEXTJOIN(",",TRUE,B26:E26),SF_Output!$AC$1:$AC$400,0))=0,INDEX(SF_Output!$R$1:$R$400,MATCH(_xlfn.TEXTJOIN(",",TRUE,B26:E26),SF_Output!$AC$1:$AC$400,0)))</f>
        <v>1</v>
      </c>
      <c r="I26" s="125" t="str">
        <f>IFERROR(IF(AND(H26&gt;1,H26&lt;&gt;""),ROUND(SUMIFS(SF_Output!$S$1:$S$400,SF_Output!$AC$1:$AC$400,_xlfn.TEXTJOIN(",",TRUE,B26:E26),SF_Output!$Q$1:$Q$400,"monthly")*(1-W26)/H26,4),""),"")</f>
        <v/>
      </c>
      <c r="J26" s="6">
        <f>IF(B26="","",SUMIFS(SF_Output!$S$1:$S$400,SF_Output!$AC$1:$AC$400,_xlfn.TEXTJOIN(",",TRUE,B26:E26),SF_Output!$Q$1:$Q$400,"One Time",SF_Output!$L$1:$L$400,"license fee")+SUMIFS(SF_Output!$S$1:$S$400,SF_Output!$AC$1:$AC$400,_xlfn.TEXTJOIN(",",TRUE,B26:E26),SF_Output!$Q$1:$Q$400,"One Time",SF_Output!$L$1:$L$400,"software license")+SUMIFS(SF_Output!$S$1:$S$400,SF_Output!$AC$1:$AC$400,_xlfn.TEXTJOIN(",",TRUE,B26:E26),SF_Output!$Q$1:$Q$400,"One Time",SF_Output!$L$1:$L$400,"hardware"))</f>
        <v>0</v>
      </c>
      <c r="K26" s="112" t="str">
        <f>IF(OR(B26=0,B26="",G26="hardware",J26=0),"",IF(AF26&lt;&gt;"exclusion",MAX(K$9,-((SUMIFS(SF_Output!$T$1:$T$400,SF_Output!$AC$1:$AC$400,_xlfn.TEXTJOIN(",",TRUE,$B26:$E26),SF_Output!$Q$1:$Q$400,"One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license"))/J26)),-((SUMIFS(SF_Output!$T$1:$T$400,SF_Output!$AC$1:$AC$400,_xlfn.TEXTJOIN(",",TRUE,$B26:$E26),SF_Output!$Q$1:$Q$400,"One Time",SF_Output!$L$1:$L$400,"license fee")+SUMIFS(SF_Output!$T$1:$T$400,SF_Output!$AC$1:$AC$400,_xlfn.TEXTJOIN(",",TRUE,$B26:$E26),SF_Output!$Q$1:$Q$400,"One Time",SF_Output!$L$1:$L$400,"software license"))/J26)))</f>
        <v/>
      </c>
      <c r="L26" s="6">
        <f t="shared" si="1"/>
        <v>0</v>
      </c>
      <c r="N26" s="6">
        <f>IF(B26="","",SUMIFS(SF_Output!$S$1:$S$400,SF_Output!$AC$1:$AC$400,_xlfn.TEXTJOIN(",",TRUE,B26:E26),SF_Output!$Q$1:$Q$400,"One Time",SF_Output!$L$1:$L$400,"professional service"))</f>
        <v>1500</v>
      </c>
      <c r="O26" s="112">
        <f>IF(OR(B26=0,B26="",N26=0),"",IF(AF26&lt;&gt;"exclusion",MAX(O$9,-(SUMIFS(SF_Output!$T$1:$T$400,SF_Output!$AC$1:$AC$400,_xlfn.TEXTJOIN(",",TRUE,$B26:$E26),SF_Output!$Q$1:$Q$400,"One Time",SF_Output!$L$1:$L$400,"professional service"))/N26),-((SUMIFS(SF_Output!$T$1:$T$400,SF_Output!$AC$1:$AC$400,_xlfn.TEXTJOIN(",",TRUE,$B26:$E26),SF_Output!$Q$1:$Q$400,"One Time",SF_Output!$L$1:$L$400,"professional service")/N26))))</f>
        <v>0</v>
      </c>
      <c r="P26" s="6">
        <f t="shared" si="2"/>
        <v>1500</v>
      </c>
      <c r="R26" s="6">
        <f>IF(B26="","",SUMIFS(SF_Output!$S$1:$S$400,SF_Output!$AC$1:$AC$400,_xlfn.TEXTJOIN(",",TRUE,B26:E26),SF_Output!$Q$1:$Q$400,"yearly")+SUMIFS(SF_Output!$S$1:$S$400,SF_Output!$AC$1:$AC$400,_xlfn.TEXTJOIN(",",TRUE,B26:E26),SF_Output!$Q$1:$Q$400,"quarterly")*4)</f>
        <v>0</v>
      </c>
      <c r="S26" s="112" t="str">
        <f>IF(OR(B26=0,B26="",G26="hardware",R26=0),"",IF(AF26&lt;&gt;"exclusion",MAX(S$9,-(SUMIFS(SF_Output!$T$1:$T$400,SF_Output!$AC$1:$AC$400,_xlfn.TEXTJOIN(",",TRUE,$B26:$E26),SF_Output!$Q$1:$Q$400,"yearly"))/R26),-((SUMIFS(SF_Output!$T$1:$T$400,SF_Output!$AC$1:$AC$400,_xlfn.TEXTJOIN(",",TRUE,$B26:$E26),SF_Output!$Q$1:$Q$400,"yearly")/R26))))</f>
        <v/>
      </c>
      <c r="T26" s="6">
        <f t="shared" si="3"/>
        <v>0</v>
      </c>
      <c r="V26" s="6" cm="1">
        <f t="array" ref="V26">_xlfn.IFS(B26="","",AND(B26&lt;&gt;"",H26=SF_Output!$Y$2,SUMIFS(SF_Output!$T$1:$T$400,SF_Output!$AC$1:$AC$400,_xlfn.TEXTJOIN(",",TRUE,B26:E26),SF_Output!$Q$1:$Q$400,"monthly")=0),(SUMIFS(SF_Output!$F$1:$F$400,SF_Output!$AC$1:$AC$400,_xlfn.TEXTJOIN(",",TRUE,B26:E26),SF_Output!$Q$1:$Q$400,"monthly")+SUMIFS(SF_Output!$G$1:$G$400,SF_Output!$AC$1:$AC$400,_xlfn.TEXTJOIN(",",TRUE,B26:E26),SF_Output!$Q$1:$Q$400,"monthly"))*H26,AND(B26&lt;&gt;"",H26=SF_Output!$Y$2,SUMIFS(SF_Output!$T$1:$T$400,SF_Output!$AC$1:$AC$400,_xlfn.TEXTJOIN(",",TRUE,B26:E26),SF_Output!$Q$1:$Q$400,"monthly")&lt;&gt;0),SUMIFS(SF_Output!$S$1:$S$400,SF_Output!$AC$1:$AC$400,_xlfn.TEXTJOIN(",",TRUE,B26:E26),SF_Output!$Q$1:$Q$400,"monthly"),AND(B26&lt;&gt;"",H26&lt;&gt;SF_Output!$Y$2),SUMIFS(SF_Output!$S$1:$S$400,SF_Output!$AC$1:$AC$400,_xlfn.TEXTJOIN(",",TRUE,B26:E26),SF_Output!$Q$1:$Q$400,"monthly"))</f>
        <v>0</v>
      </c>
      <c r="W26" s="112" t="str" cm="1">
        <f t="array" ref="W26">_xlfn.IFS(OR(B26=0,B26="",V26=0),"",AF26&lt;&gt;"exclusion",MAX($W$9,$W$7,(-(SUMIFS(SF_Output!$T$1:$T$400,SF_Output!$AC$1:$AC$400,_xlfn.TEXTJOIN(",",TRUE,$B26:$E26),SF_Output!$Q$1:$Q$400,"monthly"))/V26)),AF26="exclusion",-(SUMIFS(SF_Output!$T$1:$T$400,SF_Output!$AC$1:$AC$400,_xlfn.TEXTJOIN(",",TRUE,$B26:$E26),SF_Output!$Q$1:$Q$400,"monthly"))/V26)</f>
        <v/>
      </c>
      <c r="X26" s="6" cm="1">
        <f t="array" ref="X26">IFERROR(_xlfn.IFS(V26=0,0,V26="","",W26=0,V26,OR(V26&lt;&gt;0,V26&lt;&gt;""),H26*I26),V26*(1-W26))</f>
        <v>0</v>
      </c>
    </row>
    <row r="27" spans="2:24" x14ac:dyDescent="0.25">
      <c r="B27" t="s">
        <v>2192</v>
      </c>
      <c r="C27" t="s">
        <v>2122</v>
      </c>
      <c r="D27" t="s">
        <v>2123</v>
      </c>
      <c r="E27" t="s">
        <v>2124</v>
      </c>
      <c r="F27" s="116" t="str">
        <f t="shared" si="0"/>
        <v>Included</v>
      </c>
      <c r="G27" t="str">
        <f>IF(B27="","",INDEX(SF_Output!$K$1:$K$400,MATCH(B27,SF_Output!$M$1:$M$400,0)))</f>
        <v>Teller</v>
      </c>
      <c r="H27" cm="1">
        <f t="array" ref="H27">_xlfn.IFS(B27="","",(SUMIFS(SF_Output!$F$1:$F$400,SF_Output!$AC$1:$AC$400,_xlfn.TEXTJOIN(",",TRUE,B27:E27))+SUMIFS(SF_Output!$G$1:$G$400,SF_Output!$AC$1:$AC$400,_xlfn.TEXTJOIN(",",TRUE,B27:E27)))&lt;&gt;0,SF_Output!$Y$2,INDEX(SF_Output!$F$1:$F$400,MATCH(_xlfn.TEXTJOIN(",",TRUE,B27:E27),SF_Output!$AC$1:$AC$400,0))=0,INDEX(SF_Output!$R$1:$R$400,MATCH(_xlfn.TEXTJOIN(",",TRUE,B27:E27),SF_Output!$AC$1:$AC$400,0)))</f>
        <v>5000</v>
      </c>
      <c r="I27" s="125">
        <f>IFERROR(IF(AND(H27&gt;1,H27&lt;&gt;""),ROUND(SUMIFS(SF_Output!$S$1:$S$400,SF_Output!$AC$1:$AC$400,_xlfn.TEXTJOIN(",",TRUE,B27:E27),SF_Output!$Q$1:$Q$400,"monthly")*(1-W27)/H27,4),""),"")</f>
        <v>0.03</v>
      </c>
      <c r="J27" s="6">
        <f>IF(B27="","",SUMIFS(SF_Output!$S$1:$S$400,SF_Output!$AC$1:$AC$400,_xlfn.TEXTJOIN(",",TRUE,B27:E27),SF_Output!$Q$1:$Q$400,"One Time",SF_Output!$L$1:$L$400,"license fee")+SUMIFS(SF_Output!$S$1:$S$400,SF_Output!$AC$1:$AC$400,_xlfn.TEXTJOIN(",",TRUE,B27:E27),SF_Output!$Q$1:$Q$400,"One Time",SF_Output!$L$1:$L$400,"software license")+SUMIFS(SF_Output!$S$1:$S$400,SF_Output!$AC$1:$AC$400,_xlfn.TEXTJOIN(",",TRUE,B27:E27),SF_Output!$Q$1:$Q$400,"One Time",SF_Output!$L$1:$L$400,"hardware"))</f>
        <v>0</v>
      </c>
      <c r="K27" s="112" t="str">
        <f>IF(OR(B27=0,B27="",G27="hardware",J27=0),"",IF(AF27&lt;&gt;"exclusion",MAX(K$9,-((SUMIFS(SF_Output!$T$1:$T$400,SF_Output!$AC$1:$AC$400,_xlfn.TEXTJOIN(",",TRUE,$B27:$E27),SF_Output!$Q$1:$Q$400,"One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license"))/J27)),-((SUMIFS(SF_Output!$T$1:$T$400,SF_Output!$AC$1:$AC$400,_xlfn.TEXTJOIN(",",TRUE,$B27:$E27),SF_Output!$Q$1:$Q$400,"One Time",SF_Output!$L$1:$L$400,"license fee")+SUMIFS(SF_Output!$T$1:$T$400,SF_Output!$AC$1:$AC$400,_xlfn.TEXTJOIN(",",TRUE,$B27:$E27),SF_Output!$Q$1:$Q$400,"One Time",SF_Output!$L$1:$L$400,"software license"))/J27)))</f>
        <v/>
      </c>
      <c r="L27" s="6">
        <f t="shared" si="1"/>
        <v>0</v>
      </c>
      <c r="N27" s="6">
        <f>IF(B27="","",SUMIFS(SF_Output!$S$1:$S$400,SF_Output!$AC$1:$AC$400,_xlfn.TEXTJOIN(",",TRUE,B27:E27),SF_Output!$Q$1:$Q$400,"One Time",SF_Output!$L$1:$L$400,"professional service"))</f>
        <v>855</v>
      </c>
      <c r="O27" s="112">
        <f>IF(OR(B27=0,B27="",N27=0),"",IF(AF27&lt;&gt;"exclusion",MAX(O$9,-(SUMIFS(SF_Output!$T$1:$T$400,SF_Output!$AC$1:$AC$400,_xlfn.TEXTJOIN(",",TRUE,$B27:$E27),SF_Output!$Q$1:$Q$400,"One Time",SF_Output!$L$1:$L$400,"professional service"))/N27),-((SUMIFS(SF_Output!$T$1:$T$400,SF_Output!$AC$1:$AC$400,_xlfn.TEXTJOIN(",",TRUE,$B27:$E27),SF_Output!$Q$1:$Q$400,"One Time",SF_Output!$L$1:$L$400,"professional service")/N27))))</f>
        <v>1</v>
      </c>
      <c r="P27" s="6">
        <f t="shared" si="2"/>
        <v>0</v>
      </c>
      <c r="R27" s="6">
        <f>IF(B27="","",SUMIFS(SF_Output!$S$1:$S$400,SF_Output!$AC$1:$AC$400,_xlfn.TEXTJOIN(",",TRUE,B27:E27),SF_Output!$Q$1:$Q$400,"yearly")+SUMIFS(SF_Output!$S$1:$S$400,SF_Output!$AC$1:$AC$400,_xlfn.TEXTJOIN(",",TRUE,B27:E27),SF_Output!$Q$1:$Q$400,"quarterly")*4)</f>
        <v>0</v>
      </c>
      <c r="S27" s="112" t="str">
        <f>IF(OR(B27=0,B27="",G27="hardware",R27=0),"",IF(AF27&lt;&gt;"exclusion",MAX(S$9,-(SUMIFS(SF_Output!$T$1:$T$400,SF_Output!$AC$1:$AC$400,_xlfn.TEXTJOIN(",",TRUE,$B27:$E27),SF_Output!$Q$1:$Q$400,"yearly"))/R27),-((SUMIFS(SF_Output!$T$1:$T$400,SF_Output!$AC$1:$AC$400,_xlfn.TEXTJOIN(",",TRUE,$B27:$E27),SF_Output!$Q$1:$Q$400,"yearly")/R27))))</f>
        <v/>
      </c>
      <c r="T27" s="6">
        <f t="shared" si="3"/>
        <v>0</v>
      </c>
      <c r="V27" s="6" cm="1">
        <f t="array" ref="V27">_xlfn.IFS(B27="","",AND(B27&lt;&gt;"",H27=SF_Output!$Y$2,SUMIFS(SF_Output!$T$1:$T$400,SF_Output!$AC$1:$AC$400,_xlfn.TEXTJOIN(",",TRUE,B27:E27),SF_Output!$Q$1:$Q$400,"monthly")=0),(SUMIFS(SF_Output!$F$1:$F$400,SF_Output!$AC$1:$AC$400,_xlfn.TEXTJOIN(",",TRUE,B27:E27),SF_Output!$Q$1:$Q$400,"monthly")+SUMIFS(SF_Output!$G$1:$G$400,SF_Output!$AC$1:$AC$400,_xlfn.TEXTJOIN(",",TRUE,B27:E27),SF_Output!$Q$1:$Q$400,"monthly"))*H27,AND(B27&lt;&gt;"",H27=SF_Output!$Y$2,SUMIFS(SF_Output!$T$1:$T$400,SF_Output!$AC$1:$AC$400,_xlfn.TEXTJOIN(",",TRUE,B27:E27),SF_Output!$Q$1:$Q$400,"monthly")&lt;&gt;0),SUMIFS(SF_Output!$S$1:$S$400,SF_Output!$AC$1:$AC$400,_xlfn.TEXTJOIN(",",TRUE,B27:E27),SF_Output!$Q$1:$Q$400,"monthly"),AND(B27&lt;&gt;"",H27&lt;&gt;SF_Output!$Y$2),SUMIFS(SF_Output!$S$1:$S$400,SF_Output!$AC$1:$AC$400,_xlfn.TEXTJOIN(",",TRUE,B27:E27),SF_Output!$Q$1:$Q$400,"monthly"))</f>
        <v>200</v>
      </c>
      <c r="W27" s="112" cm="1">
        <f t="array" ref="W27">_xlfn.IFS(OR(B27=0,B27="",V27=0),"",AF27&lt;&gt;"exclusion",MAX($W$9,$W$7,(-(SUMIFS(SF_Output!$T$1:$T$400,SF_Output!$AC$1:$AC$400,_xlfn.TEXTJOIN(",",TRUE,$B27:$E27),SF_Output!$Q$1:$Q$400,"monthly"))/V27)),AF27="exclusion",-(SUMIFS(SF_Output!$T$1:$T$400,SF_Output!$AC$1:$AC$400,_xlfn.TEXTJOIN(",",TRUE,$B27:$E27),SF_Output!$Q$1:$Q$400,"monthly"))/V27)</f>
        <v>0.25</v>
      </c>
      <c r="X27" s="6" cm="1">
        <f t="array" ref="X27">IFERROR(_xlfn.IFS(V27=0,0,V27="","",W27=0,V27,OR(V27&lt;&gt;0,V27&lt;&gt;""),H27*I27),V27*(1-W27))</f>
        <v>150</v>
      </c>
    </row>
    <row r="28" spans="2:24" x14ac:dyDescent="0.25">
      <c r="B28" t="s">
        <v>2195</v>
      </c>
      <c r="C28" t="s">
        <v>2122</v>
      </c>
      <c r="D28" t="s">
        <v>2123</v>
      </c>
      <c r="E28" t="s">
        <v>2124</v>
      </c>
      <c r="F28" s="116" t="str">
        <f t="shared" si="0"/>
        <v>Included</v>
      </c>
      <c r="G28" t="str">
        <f>IF(B28="","",INDEX(SF_Output!$K$1:$K$400,MATCH(B28,SF_Output!$M$1:$M$400,0)))</f>
        <v>Teller</v>
      </c>
      <c r="H28" cm="1">
        <f t="array" ref="H28">_xlfn.IFS(B28="","",(SUMIFS(SF_Output!$F$1:$F$400,SF_Output!$AC$1:$AC$400,_xlfn.TEXTJOIN(",",TRUE,B28:E28))+SUMIFS(SF_Output!$G$1:$G$400,SF_Output!$AC$1:$AC$400,_xlfn.TEXTJOIN(",",TRUE,B28:E28)))&lt;&gt;0,SF_Output!$Y$2,INDEX(SF_Output!$F$1:$F$400,MATCH(_xlfn.TEXTJOIN(",",TRUE,B28:E28),SF_Output!$AC$1:$AC$400,0))=0,INDEX(SF_Output!$R$1:$R$400,MATCH(_xlfn.TEXTJOIN(",",TRUE,B28:E28),SF_Output!$AC$1:$AC$400,0)))</f>
        <v>5000</v>
      </c>
      <c r="I28" s="125">
        <f>IFERROR(IF(AND(H28&gt;1,H28&lt;&gt;""),ROUND(SUMIFS(SF_Output!$S$1:$S$400,SF_Output!$AC$1:$AC$400,_xlfn.TEXTJOIN(",",TRUE,B28:E28),SF_Output!$Q$1:$Q$400,"monthly")*(1-W28)/H28,4),""),"")</f>
        <v>1.35E-2</v>
      </c>
      <c r="J28" s="6">
        <f>IF(B28="","",SUMIFS(SF_Output!$S$1:$S$400,SF_Output!$AC$1:$AC$400,_xlfn.TEXTJOIN(",",TRUE,B28:E28),SF_Output!$Q$1:$Q$400,"One Time",SF_Output!$L$1:$L$400,"license fee")+SUMIFS(SF_Output!$S$1:$S$400,SF_Output!$AC$1:$AC$400,_xlfn.TEXTJOIN(",",TRUE,B28:E28),SF_Output!$Q$1:$Q$400,"One Time",SF_Output!$L$1:$L$400,"software license")+SUMIFS(SF_Output!$S$1:$S$400,SF_Output!$AC$1:$AC$400,_xlfn.TEXTJOIN(",",TRUE,B28:E28),SF_Output!$Q$1:$Q$400,"One Time",SF_Output!$L$1:$L$400,"hardware"))</f>
        <v>0</v>
      </c>
      <c r="K28" s="112" t="str">
        <f>IF(OR(B28=0,B28="",G28="hardware",J28=0),"",IF(AF28&lt;&gt;"exclusion",MAX(K$9,-((SUMIFS(SF_Output!$T$1:$T$400,SF_Output!$AC$1:$AC$400,_xlfn.TEXTJOIN(",",TRUE,$B28:$E28),SF_Output!$Q$1:$Q$400,"One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license"))/J28)),-((SUMIFS(SF_Output!$T$1:$T$400,SF_Output!$AC$1:$AC$400,_xlfn.TEXTJOIN(",",TRUE,$B28:$E28),SF_Output!$Q$1:$Q$400,"One Time",SF_Output!$L$1:$L$400,"license fee")+SUMIFS(SF_Output!$T$1:$T$400,SF_Output!$AC$1:$AC$400,_xlfn.TEXTJOIN(",",TRUE,$B28:$E28),SF_Output!$Q$1:$Q$400,"One Time",SF_Output!$L$1:$L$400,"software license"))/J28)))</f>
        <v/>
      </c>
      <c r="L28" s="6">
        <f t="shared" si="1"/>
        <v>0</v>
      </c>
      <c r="N28" s="6">
        <f>IF(B28="","",SUMIFS(SF_Output!$S$1:$S$400,SF_Output!$AC$1:$AC$400,_xlfn.TEXTJOIN(",",TRUE,B28:E28),SF_Output!$Q$1:$Q$400,"One Time",SF_Output!$L$1:$L$400,"professional service"))</f>
        <v>390</v>
      </c>
      <c r="O28" s="112">
        <f>IF(OR(B28=0,B28="",N28=0),"",IF(AF28&lt;&gt;"exclusion",MAX(O$9,-(SUMIFS(SF_Output!$T$1:$T$400,SF_Output!$AC$1:$AC$400,_xlfn.TEXTJOIN(",",TRUE,$B28:$E28),SF_Output!$Q$1:$Q$400,"One Time",SF_Output!$L$1:$L$400,"professional service"))/N28),-((SUMIFS(SF_Output!$T$1:$T$400,SF_Output!$AC$1:$AC$400,_xlfn.TEXTJOIN(",",TRUE,$B28:$E28),SF_Output!$Q$1:$Q$400,"One Time",SF_Output!$L$1:$L$400,"professional service")/N28))))</f>
        <v>1</v>
      </c>
      <c r="P28" s="6">
        <f t="shared" si="2"/>
        <v>0</v>
      </c>
      <c r="R28" s="6">
        <f>IF(B28="","",SUMIFS(SF_Output!$S$1:$S$400,SF_Output!$AC$1:$AC$400,_xlfn.TEXTJOIN(",",TRUE,B28:E28),SF_Output!$Q$1:$Q$400,"yearly")+SUMIFS(SF_Output!$S$1:$S$400,SF_Output!$AC$1:$AC$400,_xlfn.TEXTJOIN(",",TRUE,B28:E28),SF_Output!$Q$1:$Q$400,"quarterly")*4)</f>
        <v>0</v>
      </c>
      <c r="S28" s="112" t="str">
        <f>IF(OR(B28=0,B28="",G28="hardware",R28=0),"",IF(AF28&lt;&gt;"exclusion",MAX(S$9,-(SUMIFS(SF_Output!$T$1:$T$400,SF_Output!$AC$1:$AC$400,_xlfn.TEXTJOIN(",",TRUE,$B28:$E28),SF_Output!$Q$1:$Q$400,"yearly"))/R28),-((SUMIFS(SF_Output!$T$1:$T$400,SF_Output!$AC$1:$AC$400,_xlfn.TEXTJOIN(",",TRUE,$B28:$E28),SF_Output!$Q$1:$Q$400,"yearly")/R28))))</f>
        <v/>
      </c>
      <c r="T28" s="6">
        <f t="shared" si="3"/>
        <v>0</v>
      </c>
      <c r="V28" s="6" cm="1">
        <f t="array" ref="V28">_xlfn.IFS(B28="","",AND(B28&lt;&gt;"",H28=SF_Output!$Y$2,SUMIFS(SF_Output!$T$1:$T$400,SF_Output!$AC$1:$AC$400,_xlfn.TEXTJOIN(",",TRUE,B28:E28),SF_Output!$Q$1:$Q$400,"monthly")=0),(SUMIFS(SF_Output!$F$1:$F$400,SF_Output!$AC$1:$AC$400,_xlfn.TEXTJOIN(",",TRUE,B28:E28),SF_Output!$Q$1:$Q$400,"monthly")+SUMIFS(SF_Output!$G$1:$G$400,SF_Output!$AC$1:$AC$400,_xlfn.TEXTJOIN(",",TRUE,B28:E28),SF_Output!$Q$1:$Q$400,"monthly"))*H28,AND(B28&lt;&gt;"",H28=SF_Output!$Y$2,SUMIFS(SF_Output!$T$1:$T$400,SF_Output!$AC$1:$AC$400,_xlfn.TEXTJOIN(",",TRUE,B28:E28),SF_Output!$Q$1:$Q$400,"monthly")&lt;&gt;0),SUMIFS(SF_Output!$S$1:$S$400,SF_Output!$AC$1:$AC$400,_xlfn.TEXTJOIN(",",TRUE,B28:E28),SF_Output!$Q$1:$Q$400,"monthly"),AND(B28&lt;&gt;"",H28&lt;&gt;SF_Output!$Y$2),SUMIFS(SF_Output!$S$1:$S$400,SF_Output!$AC$1:$AC$400,_xlfn.TEXTJOIN(",",TRUE,B28:E28),SF_Output!$Q$1:$Q$400,"monthly"))</f>
        <v>90</v>
      </c>
      <c r="W28" s="112" cm="1">
        <f t="array" ref="W28">_xlfn.IFS(OR(B28=0,B28="",V28=0),"",AF28&lt;&gt;"exclusion",MAX($W$9,$W$7,(-(SUMIFS(SF_Output!$T$1:$T$400,SF_Output!$AC$1:$AC$400,_xlfn.TEXTJOIN(",",TRUE,$B28:$E28),SF_Output!$Q$1:$Q$400,"monthly"))/V28)),AF28="exclusion",-(SUMIFS(SF_Output!$T$1:$T$400,SF_Output!$AC$1:$AC$400,_xlfn.TEXTJOIN(",",TRUE,$B28:$E28),SF_Output!$Q$1:$Q$400,"monthly"))/V28)</f>
        <v>0.25</v>
      </c>
      <c r="X28" s="6" cm="1">
        <f t="array" ref="X28">IFERROR(_xlfn.IFS(V28=0,0,V28="","",W28=0,V28,OR(V28&lt;&gt;0,V28&lt;&gt;""),H28*I28),V28*(1-W28))</f>
        <v>67.5</v>
      </c>
    </row>
    <row r="29" spans="2:24" x14ac:dyDescent="0.25">
      <c r="B29" t="s">
        <v>2199</v>
      </c>
      <c r="C29" t="s">
        <v>2122</v>
      </c>
      <c r="D29" t="s">
        <v>2123</v>
      </c>
      <c r="E29" t="s">
        <v>2124</v>
      </c>
      <c r="F29" s="116" t="str">
        <f t="shared" si="0"/>
        <v>Included</v>
      </c>
      <c r="G29" t="str">
        <f>IF(B29="","",INDEX(SF_Output!$K$1:$K$400,MATCH(B29,SF_Output!$M$1:$M$400,0)))</f>
        <v>Teller</v>
      </c>
      <c r="H29" cm="1">
        <f t="array" ref="H29">_xlfn.IFS(B29="","",(SUMIFS(SF_Output!$F$1:$F$400,SF_Output!$AC$1:$AC$400,_xlfn.TEXTJOIN(",",TRUE,B29:E29))+SUMIFS(SF_Output!$G$1:$G$400,SF_Output!$AC$1:$AC$400,_xlfn.TEXTJOIN(",",TRUE,B29:E29)))&lt;&gt;0,SF_Output!$Y$2,INDEX(SF_Output!$F$1:$F$400,MATCH(_xlfn.TEXTJOIN(",",TRUE,B29:E29),SF_Output!$AC$1:$AC$400,0))=0,INDEX(SF_Output!$R$1:$R$400,MATCH(_xlfn.TEXTJOIN(",",TRUE,B29:E29),SF_Output!$AC$1:$AC$400,0)))</f>
        <v>1</v>
      </c>
      <c r="I29" s="125" t="str">
        <f>IFERROR(IF(AND(H29&gt;1,H29&lt;&gt;""),ROUND(SUMIFS(SF_Output!$S$1:$S$400,SF_Output!$AC$1:$AC$400,_xlfn.TEXTJOIN(",",TRUE,B29:E29),SF_Output!$Q$1:$Q$400,"monthly")*(1-W29)/H29,4),""),"")</f>
        <v/>
      </c>
      <c r="J29" s="6">
        <f>IF(B29="","",SUMIFS(SF_Output!$S$1:$S$400,SF_Output!$AC$1:$AC$400,_xlfn.TEXTJOIN(",",TRUE,B29:E29),SF_Output!$Q$1:$Q$400,"One Time",SF_Output!$L$1:$L$400,"license fee")+SUMIFS(SF_Output!$S$1:$S$400,SF_Output!$AC$1:$AC$400,_xlfn.TEXTJOIN(",",TRUE,B29:E29),SF_Output!$Q$1:$Q$400,"One Time",SF_Output!$L$1:$L$400,"software license")+SUMIFS(SF_Output!$S$1:$S$400,SF_Output!$AC$1:$AC$400,_xlfn.TEXTJOIN(",",TRUE,B29:E29),SF_Output!$Q$1:$Q$400,"One Time",SF_Output!$L$1:$L$400,"hardware"))</f>
        <v>0</v>
      </c>
      <c r="K29" s="112" t="str">
        <f>IF(OR(B29=0,B29="",G29="hardware",J29=0),"",IF(AF29&lt;&gt;"exclusion",MAX(K$9,-((SUMIFS(SF_Output!$T$1:$T$400,SF_Output!$AC$1:$AC$400,_xlfn.TEXTJOIN(",",TRUE,$B29:$E29),SF_Output!$Q$1:$Q$400,"One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license"))/J29)),-((SUMIFS(SF_Output!$T$1:$T$400,SF_Output!$AC$1:$AC$400,_xlfn.TEXTJOIN(",",TRUE,$B29:$E29),SF_Output!$Q$1:$Q$400,"One Time",SF_Output!$L$1:$L$400,"license fee")+SUMIFS(SF_Output!$T$1:$T$400,SF_Output!$AC$1:$AC$400,_xlfn.TEXTJOIN(",",TRUE,$B29:$E29),SF_Output!$Q$1:$Q$400,"One Time",SF_Output!$L$1:$L$400,"software license"))/J29)))</f>
        <v/>
      </c>
      <c r="L29" s="6">
        <f t="shared" si="1"/>
        <v>0</v>
      </c>
      <c r="N29" s="6">
        <f>IF(B29="","",SUMIFS(SF_Output!$S$1:$S$400,SF_Output!$AC$1:$AC$400,_xlfn.TEXTJOIN(",",TRUE,B29:E29),SF_Output!$Q$1:$Q$400,"One Time",SF_Output!$L$1:$L$400,"professional service"))</f>
        <v>3750</v>
      </c>
      <c r="O29" s="112">
        <f>IF(OR(B29=0,B29="",N29=0),"",IF(AF29&lt;&gt;"exclusion",MAX(O$9,-(SUMIFS(SF_Output!$T$1:$T$400,SF_Output!$AC$1:$AC$400,_xlfn.TEXTJOIN(",",TRUE,$B29:$E29),SF_Output!$Q$1:$Q$400,"One Time",SF_Output!$L$1:$L$400,"professional service"))/N29),-((SUMIFS(SF_Output!$T$1:$T$400,SF_Output!$AC$1:$AC$400,_xlfn.TEXTJOIN(",",TRUE,$B29:$E29),SF_Output!$Q$1:$Q$400,"One Time",SF_Output!$L$1:$L$400,"professional service")/N29))))</f>
        <v>1</v>
      </c>
      <c r="P29" s="6">
        <f t="shared" si="2"/>
        <v>0</v>
      </c>
      <c r="R29" s="6">
        <f>IF(B29="","",SUMIFS(SF_Output!$S$1:$S$400,SF_Output!$AC$1:$AC$400,_xlfn.TEXTJOIN(",",TRUE,B29:E29),SF_Output!$Q$1:$Q$400,"yearly")+SUMIFS(SF_Output!$S$1:$S$400,SF_Output!$AC$1:$AC$400,_xlfn.TEXTJOIN(",",TRUE,B29:E29),SF_Output!$Q$1:$Q$400,"quarterly")*4)</f>
        <v>0</v>
      </c>
      <c r="S29" s="112" t="str">
        <f>IF(OR(B29=0,B29="",G29="hardware",R29=0),"",IF(AF29&lt;&gt;"exclusion",MAX(S$9,-(SUMIFS(SF_Output!$T$1:$T$400,SF_Output!$AC$1:$AC$400,_xlfn.TEXTJOIN(",",TRUE,$B29:$E29),SF_Output!$Q$1:$Q$400,"yearly"))/R29),-((SUMIFS(SF_Output!$T$1:$T$400,SF_Output!$AC$1:$AC$400,_xlfn.TEXTJOIN(",",TRUE,$B29:$E29),SF_Output!$Q$1:$Q$400,"yearly")/R29))))</f>
        <v/>
      </c>
      <c r="T29" s="6">
        <f t="shared" si="3"/>
        <v>0</v>
      </c>
      <c r="V29" s="6" cm="1">
        <f t="array" ref="V29">_xlfn.IFS(B29="","",AND(B29&lt;&gt;"",H29=SF_Output!$Y$2,SUMIFS(SF_Output!$T$1:$T$400,SF_Output!$AC$1:$AC$400,_xlfn.TEXTJOIN(",",TRUE,B29:E29),SF_Output!$Q$1:$Q$400,"monthly")=0),(SUMIFS(SF_Output!$F$1:$F$400,SF_Output!$AC$1:$AC$400,_xlfn.TEXTJOIN(",",TRUE,B29:E29),SF_Output!$Q$1:$Q$400,"monthly")+SUMIFS(SF_Output!$G$1:$G$400,SF_Output!$AC$1:$AC$400,_xlfn.TEXTJOIN(",",TRUE,B29:E29),SF_Output!$Q$1:$Q$400,"monthly"))*H29,AND(B29&lt;&gt;"",H29=SF_Output!$Y$2,SUMIFS(SF_Output!$T$1:$T$400,SF_Output!$AC$1:$AC$400,_xlfn.TEXTJOIN(",",TRUE,B29:E29),SF_Output!$Q$1:$Q$400,"monthly")&lt;&gt;0),SUMIFS(SF_Output!$S$1:$S$400,SF_Output!$AC$1:$AC$400,_xlfn.TEXTJOIN(",",TRUE,B29:E29),SF_Output!$Q$1:$Q$400,"monthly"),AND(B29&lt;&gt;"",H29&lt;&gt;SF_Output!$Y$2),SUMIFS(SF_Output!$S$1:$S$400,SF_Output!$AC$1:$AC$400,_xlfn.TEXTJOIN(",",TRUE,B29:E29),SF_Output!$Q$1:$Q$400,"monthly"))</f>
        <v>0</v>
      </c>
      <c r="W29" s="112" t="str" cm="1">
        <f t="array" ref="W29">_xlfn.IFS(OR(B29=0,B29="",V29=0),"",AF29&lt;&gt;"exclusion",MAX($W$9,$W$7,(-(SUMIFS(SF_Output!$T$1:$T$400,SF_Output!$AC$1:$AC$400,_xlfn.TEXTJOIN(",",TRUE,$B29:$E29),SF_Output!$Q$1:$Q$400,"monthly"))/V29)),AF29="exclusion",-(SUMIFS(SF_Output!$T$1:$T$400,SF_Output!$AC$1:$AC$400,_xlfn.TEXTJOIN(",",TRUE,$B29:$E29),SF_Output!$Q$1:$Q$400,"monthly"))/V29)</f>
        <v/>
      </c>
      <c r="X29" s="6" cm="1">
        <f t="array" ref="X29">IFERROR(_xlfn.IFS(V29=0,0,V29="","",W29=0,V29,OR(V29&lt;&gt;0,V29&lt;&gt;""),H29*I29),V29*(1-W29))</f>
        <v>0</v>
      </c>
    </row>
    <row r="30" spans="2:24" x14ac:dyDescent="0.25">
      <c r="B30" t="s">
        <v>2201</v>
      </c>
      <c r="C30" t="s">
        <v>2122</v>
      </c>
      <c r="D30" t="s">
        <v>2164</v>
      </c>
      <c r="E30" t="s">
        <v>2124</v>
      </c>
      <c r="F30" s="116" t="str">
        <f t="shared" si="0"/>
        <v>Included</v>
      </c>
      <c r="G30" t="str">
        <f>IF(B30="","",INDEX(SF_Output!$K$1:$K$400,MATCH(B30,SF_Output!$M$1:$M$400,0)))</f>
        <v>Teller</v>
      </c>
      <c r="H30" cm="1">
        <f t="array" ref="H30">_xlfn.IFS(B30="","",(SUMIFS(SF_Output!$F$1:$F$400,SF_Output!$AC$1:$AC$400,_xlfn.TEXTJOIN(",",TRUE,B30:E30))+SUMIFS(SF_Output!$G$1:$G$400,SF_Output!$AC$1:$AC$400,_xlfn.TEXTJOIN(",",TRUE,B30:E30)))&lt;&gt;0,SF_Output!$Y$2,INDEX(SF_Output!$F$1:$F$400,MATCH(_xlfn.TEXTJOIN(",",TRUE,B30:E30),SF_Output!$AC$1:$AC$400,0))=0,INDEX(SF_Output!$R$1:$R$400,MATCH(_xlfn.TEXTJOIN(",",TRUE,B30:E30),SF_Output!$AC$1:$AC$400,0)))</f>
        <v>1</v>
      </c>
      <c r="I30" s="125" t="str">
        <f>IFERROR(IF(AND(H30&gt;1,H30&lt;&gt;""),ROUND(SUMIFS(SF_Output!$S$1:$S$400,SF_Output!$AC$1:$AC$400,_xlfn.TEXTJOIN(",",TRUE,B30:E30),SF_Output!$Q$1:$Q$400,"monthly")*(1-W30)/H30,4),""),"")</f>
        <v/>
      </c>
      <c r="J30" s="6">
        <f>IF(B30="","",SUMIFS(SF_Output!$S$1:$S$400,SF_Output!$AC$1:$AC$400,_xlfn.TEXTJOIN(",",TRUE,B30:E30),SF_Output!$Q$1:$Q$400,"One Time",SF_Output!$L$1:$L$400,"license fee")+SUMIFS(SF_Output!$S$1:$S$400,SF_Output!$AC$1:$AC$400,_xlfn.TEXTJOIN(",",TRUE,B30:E30),SF_Output!$Q$1:$Q$400,"One Time",SF_Output!$L$1:$L$400,"software license")+SUMIFS(SF_Output!$S$1:$S$400,SF_Output!$AC$1:$AC$400,_xlfn.TEXTJOIN(",",TRUE,B30:E30),SF_Output!$Q$1:$Q$400,"One Time",SF_Output!$L$1:$L$400,"hardware"))</f>
        <v>4909</v>
      </c>
      <c r="K30" s="112">
        <f>IF(OR(B30=0,B30="",G30="hardware",J30=0),"",IF(AF30&lt;&gt;"exclusion",MAX(K$9,-((SUMIFS(SF_Output!$T$1:$T$400,SF_Output!$AC$1:$AC$400,_xlfn.TEXTJOIN(",",TRUE,$B30:$E30),SF_Output!$Q$1:$Q$400,"One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license"))/J30)),-((SUMIFS(SF_Output!$T$1:$T$400,SF_Output!$AC$1:$AC$400,_xlfn.TEXTJOIN(",",TRUE,$B30:$E30),SF_Output!$Q$1:$Q$400,"One Time",SF_Output!$L$1:$L$400,"license fee")+SUMIFS(SF_Output!$T$1:$T$400,SF_Output!$AC$1:$AC$400,_xlfn.TEXTJOIN(",",TRUE,$B30:$E30),SF_Output!$Q$1:$Q$400,"One Time",SF_Output!$L$1:$L$400,"software license"))/J30)))</f>
        <v>0</v>
      </c>
      <c r="L30" s="6">
        <f t="shared" si="1"/>
        <v>4909</v>
      </c>
      <c r="N30" s="6">
        <f>IF(B30="","",SUMIFS(SF_Output!$S$1:$S$400,SF_Output!$AC$1:$AC$400,_xlfn.TEXTJOIN(",",TRUE,B30:E30),SF_Output!$Q$1:$Q$400,"One Time",SF_Output!$L$1:$L$400,"professional service"))</f>
        <v>0</v>
      </c>
      <c r="O30" s="112" t="str">
        <f>IF(OR(B30=0,B30="",N30=0),"",IF(AF30&lt;&gt;"exclusion",MAX(O$9,-(SUMIFS(SF_Output!$T$1:$T$400,SF_Output!$AC$1:$AC$400,_xlfn.TEXTJOIN(",",TRUE,$B30:$E30),SF_Output!$Q$1:$Q$400,"One Time",SF_Output!$L$1:$L$400,"professional service"))/N30),-((SUMIFS(SF_Output!$T$1:$T$400,SF_Output!$AC$1:$AC$400,_xlfn.TEXTJOIN(",",TRUE,$B30:$E30),SF_Output!$Q$1:$Q$400,"One Time",SF_Output!$L$1:$L$400,"professional service")/N30))))</f>
        <v/>
      </c>
      <c r="P30" s="6">
        <f t="shared" si="2"/>
        <v>0</v>
      </c>
      <c r="R30" s="6">
        <f>IF(B30="","",SUMIFS(SF_Output!$S$1:$S$400,SF_Output!$AC$1:$AC$400,_xlfn.TEXTJOIN(",",TRUE,B30:E30),SF_Output!$Q$1:$Q$400,"yearly")+SUMIFS(SF_Output!$S$1:$S$400,SF_Output!$AC$1:$AC$400,_xlfn.TEXTJOIN(",",TRUE,B30:E30),SF_Output!$Q$1:$Q$400,"quarterly")*4)</f>
        <v>982</v>
      </c>
      <c r="S30" s="112">
        <f>IF(OR(B30=0,B30="",G30="hardware",R30=0),"",IF(AF30&lt;&gt;"exclusion",MAX(S$9,-(SUMIFS(SF_Output!$T$1:$T$400,SF_Output!$AC$1:$AC$400,_xlfn.TEXTJOIN(",",TRUE,$B30:$E30),SF_Output!$Q$1:$Q$400,"yearly"))/R30),-((SUMIFS(SF_Output!$T$1:$T$400,SF_Output!$AC$1:$AC$400,_xlfn.TEXTJOIN(",",TRUE,$B30:$E30),SF_Output!$Q$1:$Q$400,"yearly")/R30))))</f>
        <v>0</v>
      </c>
      <c r="T30" s="6">
        <f t="shared" si="3"/>
        <v>982</v>
      </c>
      <c r="V30" s="6" cm="1">
        <f t="array" ref="V30">_xlfn.IFS(B30="","",AND(B30&lt;&gt;"",H30=SF_Output!$Y$2,SUMIFS(SF_Output!$T$1:$T$400,SF_Output!$AC$1:$AC$400,_xlfn.TEXTJOIN(",",TRUE,B30:E30),SF_Output!$Q$1:$Q$400,"monthly")=0),(SUMIFS(SF_Output!$F$1:$F$400,SF_Output!$AC$1:$AC$400,_xlfn.TEXTJOIN(",",TRUE,B30:E30),SF_Output!$Q$1:$Q$400,"monthly")+SUMIFS(SF_Output!$G$1:$G$400,SF_Output!$AC$1:$AC$400,_xlfn.TEXTJOIN(",",TRUE,B30:E30),SF_Output!$Q$1:$Q$400,"monthly"))*H30,AND(B30&lt;&gt;"",H30=SF_Output!$Y$2,SUMIFS(SF_Output!$T$1:$T$400,SF_Output!$AC$1:$AC$400,_xlfn.TEXTJOIN(",",TRUE,B30:E30),SF_Output!$Q$1:$Q$400,"monthly")&lt;&gt;0),SUMIFS(SF_Output!$S$1:$S$400,SF_Output!$AC$1:$AC$400,_xlfn.TEXTJOIN(",",TRUE,B30:E30),SF_Output!$Q$1:$Q$400,"monthly"),AND(B30&lt;&gt;"",H30&lt;&gt;SF_Output!$Y$2),SUMIFS(SF_Output!$S$1:$S$400,SF_Output!$AC$1:$AC$400,_xlfn.TEXTJOIN(",",TRUE,B30:E30),SF_Output!$Q$1:$Q$400,"monthly"))</f>
        <v>0</v>
      </c>
      <c r="W30" s="112" t="str" cm="1">
        <f t="array" ref="W30">_xlfn.IFS(OR(B30=0,B30="",V30=0),"",AF30&lt;&gt;"exclusion",MAX($W$9,$W$7,(-(SUMIFS(SF_Output!$T$1:$T$400,SF_Output!$AC$1:$AC$400,_xlfn.TEXTJOIN(",",TRUE,$B30:$E30),SF_Output!$Q$1:$Q$400,"monthly"))/V30)),AF30="exclusion",-(SUMIFS(SF_Output!$T$1:$T$400,SF_Output!$AC$1:$AC$400,_xlfn.TEXTJOIN(",",TRUE,$B30:$E30),SF_Output!$Q$1:$Q$400,"monthly"))/V30)</f>
        <v/>
      </c>
      <c r="X30" s="6" cm="1">
        <f t="array" ref="X30">IFERROR(_xlfn.IFS(V30=0,0,V30="","",W30=0,V30,OR(V30&lt;&gt;0,V30&lt;&gt;""),H30*I30),V30*(1-W30))</f>
        <v>0</v>
      </c>
    </row>
    <row r="31" spans="2:24" x14ac:dyDescent="0.25">
      <c r="B31" t="s">
        <v>2204</v>
      </c>
      <c r="C31" t="s">
        <v>2122</v>
      </c>
      <c r="D31" t="s">
        <v>2164</v>
      </c>
      <c r="E31" t="s">
        <v>2124</v>
      </c>
      <c r="F31" s="116" t="str">
        <f t="shared" si="0"/>
        <v>Included</v>
      </c>
      <c r="G31" t="str">
        <f>IF(B31="","",INDEX(SF_Output!$K$1:$K$400,MATCH(B31,SF_Output!$M$1:$M$400,0)))</f>
        <v>Teller</v>
      </c>
      <c r="H31" cm="1">
        <f t="array" ref="H31">_xlfn.IFS(B31="","",(SUMIFS(SF_Output!$F$1:$F$400,SF_Output!$AC$1:$AC$400,_xlfn.TEXTJOIN(",",TRUE,B31:E31))+SUMIFS(SF_Output!$G$1:$G$400,SF_Output!$AC$1:$AC$400,_xlfn.TEXTJOIN(",",TRUE,B31:E31)))&lt;&gt;0,SF_Output!$Y$2,INDEX(SF_Output!$F$1:$F$400,MATCH(_xlfn.TEXTJOIN(",",TRUE,B31:E31),SF_Output!$AC$1:$AC$400,0))=0,INDEX(SF_Output!$R$1:$R$400,MATCH(_xlfn.TEXTJOIN(",",TRUE,B31:E31),SF_Output!$AC$1:$AC$400,0)))</f>
        <v>1</v>
      </c>
      <c r="I31" s="125" t="str">
        <f>IFERROR(IF(AND(H31&gt;1,H31&lt;&gt;""),ROUND(SUMIFS(SF_Output!$S$1:$S$400,SF_Output!$AC$1:$AC$400,_xlfn.TEXTJOIN(",",TRUE,B31:E31),SF_Output!$Q$1:$Q$400,"monthly")*(1-W31)/H31,4),""),"")</f>
        <v/>
      </c>
      <c r="J31" s="6">
        <f>IF(B31="","",SUMIFS(SF_Output!$S$1:$S$400,SF_Output!$AC$1:$AC$400,_xlfn.TEXTJOIN(",",TRUE,B31:E31),SF_Output!$Q$1:$Q$400,"One Time",SF_Output!$L$1:$L$400,"license fee")+SUMIFS(SF_Output!$S$1:$S$400,SF_Output!$AC$1:$AC$400,_xlfn.TEXTJOIN(",",TRUE,B31:E31),SF_Output!$Q$1:$Q$400,"One Time",SF_Output!$L$1:$L$400,"software license")+SUMIFS(SF_Output!$S$1:$S$400,SF_Output!$AC$1:$AC$400,_xlfn.TEXTJOIN(",",TRUE,B31:E31),SF_Output!$Q$1:$Q$400,"One Time",SF_Output!$L$1:$L$400,"hardware"))</f>
        <v>1636</v>
      </c>
      <c r="K31" s="112">
        <f>IF(OR(B31=0,B31="",G31="hardware",J31=0),"",IF(AF31&lt;&gt;"exclusion",MAX(K$9,-((SUMIFS(SF_Output!$T$1:$T$400,SF_Output!$AC$1:$AC$400,_xlfn.TEXTJOIN(",",TRUE,$B31:$E31),SF_Output!$Q$1:$Q$400,"One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license"))/J31)),-((SUMIFS(SF_Output!$T$1:$T$400,SF_Output!$AC$1:$AC$400,_xlfn.TEXTJOIN(",",TRUE,$B31:$E31),SF_Output!$Q$1:$Q$400,"One Time",SF_Output!$L$1:$L$400,"license fee")+SUMIFS(SF_Output!$T$1:$T$400,SF_Output!$AC$1:$AC$400,_xlfn.TEXTJOIN(",",TRUE,$B31:$E31),SF_Output!$Q$1:$Q$400,"One Time",SF_Output!$L$1:$L$400,"software license"))/J31)))</f>
        <v>0</v>
      </c>
      <c r="L31" s="6">
        <f t="shared" si="1"/>
        <v>1636</v>
      </c>
      <c r="N31" s="6">
        <f>IF(B31="","",SUMIFS(SF_Output!$S$1:$S$400,SF_Output!$AC$1:$AC$400,_xlfn.TEXTJOIN(",",TRUE,B31:E31),SF_Output!$Q$1:$Q$400,"One Time",SF_Output!$L$1:$L$400,"professional service"))</f>
        <v>0</v>
      </c>
      <c r="O31" s="112" t="str">
        <f>IF(OR(B31=0,B31="",N31=0),"",IF(AF31&lt;&gt;"exclusion",MAX(O$9,-(SUMIFS(SF_Output!$T$1:$T$400,SF_Output!$AC$1:$AC$400,_xlfn.TEXTJOIN(",",TRUE,$B31:$E31),SF_Output!$Q$1:$Q$400,"One Time",SF_Output!$L$1:$L$400,"professional service"))/N31),-((SUMIFS(SF_Output!$T$1:$T$400,SF_Output!$AC$1:$AC$400,_xlfn.TEXTJOIN(",",TRUE,$B31:$E31),SF_Output!$Q$1:$Q$400,"One Time",SF_Output!$L$1:$L$400,"professional service")/N31))))</f>
        <v/>
      </c>
      <c r="P31" s="6">
        <f t="shared" si="2"/>
        <v>0</v>
      </c>
      <c r="R31" s="6">
        <f>IF(B31="","",SUMIFS(SF_Output!$S$1:$S$400,SF_Output!$AC$1:$AC$400,_xlfn.TEXTJOIN(",",TRUE,B31:E31),SF_Output!$Q$1:$Q$400,"yearly")+SUMIFS(SF_Output!$S$1:$S$400,SF_Output!$AC$1:$AC$400,_xlfn.TEXTJOIN(",",TRUE,B31:E31),SF_Output!$Q$1:$Q$400,"quarterly")*4)</f>
        <v>327</v>
      </c>
      <c r="S31" s="112">
        <f>IF(OR(B31=0,B31="",G31="hardware",R31=0),"",IF(AF31&lt;&gt;"exclusion",MAX(S$9,-(SUMIFS(SF_Output!$T$1:$T$400,SF_Output!$AC$1:$AC$400,_xlfn.TEXTJOIN(",",TRUE,$B31:$E31),SF_Output!$Q$1:$Q$400,"yearly"))/R31),-((SUMIFS(SF_Output!$T$1:$T$400,SF_Output!$AC$1:$AC$400,_xlfn.TEXTJOIN(",",TRUE,$B31:$E31),SF_Output!$Q$1:$Q$400,"yearly")/R31))))</f>
        <v>0</v>
      </c>
      <c r="T31" s="6">
        <f t="shared" si="3"/>
        <v>327</v>
      </c>
      <c r="V31" s="6" cm="1">
        <f t="array" ref="V31">_xlfn.IFS(B31="","",AND(B31&lt;&gt;"",H31=SF_Output!$Y$2,SUMIFS(SF_Output!$T$1:$T$400,SF_Output!$AC$1:$AC$400,_xlfn.TEXTJOIN(",",TRUE,B31:E31),SF_Output!$Q$1:$Q$400,"monthly")=0),(SUMIFS(SF_Output!$F$1:$F$400,SF_Output!$AC$1:$AC$400,_xlfn.TEXTJOIN(",",TRUE,B31:E31),SF_Output!$Q$1:$Q$400,"monthly")+SUMIFS(SF_Output!$G$1:$G$400,SF_Output!$AC$1:$AC$400,_xlfn.TEXTJOIN(",",TRUE,B31:E31),SF_Output!$Q$1:$Q$400,"monthly"))*H31,AND(B31&lt;&gt;"",H31=SF_Output!$Y$2,SUMIFS(SF_Output!$T$1:$T$400,SF_Output!$AC$1:$AC$400,_xlfn.TEXTJOIN(",",TRUE,B31:E31),SF_Output!$Q$1:$Q$400,"monthly")&lt;&gt;0),SUMIFS(SF_Output!$S$1:$S$400,SF_Output!$AC$1:$AC$400,_xlfn.TEXTJOIN(",",TRUE,B31:E31),SF_Output!$Q$1:$Q$400,"monthly"),AND(B31&lt;&gt;"",H31&lt;&gt;SF_Output!$Y$2),SUMIFS(SF_Output!$S$1:$S$400,SF_Output!$AC$1:$AC$400,_xlfn.TEXTJOIN(",",TRUE,B31:E31),SF_Output!$Q$1:$Q$400,"monthly"))</f>
        <v>0</v>
      </c>
      <c r="W31" s="112" t="str" cm="1">
        <f t="array" ref="W31">_xlfn.IFS(OR(B31=0,B31="",V31=0),"",AF31&lt;&gt;"exclusion",MAX($W$9,$W$7,(-(SUMIFS(SF_Output!$T$1:$T$400,SF_Output!$AC$1:$AC$400,_xlfn.TEXTJOIN(",",TRUE,$B31:$E31),SF_Output!$Q$1:$Q$400,"monthly"))/V31)),AF31="exclusion",-(SUMIFS(SF_Output!$T$1:$T$400,SF_Output!$AC$1:$AC$400,_xlfn.TEXTJOIN(",",TRUE,$B31:$E31),SF_Output!$Q$1:$Q$400,"monthly"))/V31)</f>
        <v/>
      </c>
      <c r="X31" s="6" cm="1">
        <f t="array" ref="X31">IFERROR(_xlfn.IFS(V31=0,0,V31="","",W31=0,V31,OR(V31&lt;&gt;0,V31&lt;&gt;""),H31*I31),V31*(1-W31))</f>
        <v>0</v>
      </c>
    </row>
    <row r="32" spans="2:24" x14ac:dyDescent="0.25">
      <c r="B32" t="s">
        <v>1687</v>
      </c>
      <c r="C32" t="s">
        <v>2122</v>
      </c>
      <c r="D32" t="s">
        <v>2123</v>
      </c>
      <c r="E32" t="s">
        <v>2150</v>
      </c>
      <c r="F32" s="116" t="str">
        <f t="shared" si="0"/>
        <v>Optional</v>
      </c>
      <c r="G32" t="str">
        <f>IF(B32="","",INDEX(SF_Output!$K$1:$K$400,MATCH(B32,SF_Output!$M$1:$M$400,0)))</f>
        <v>AlertCenter</v>
      </c>
      <c r="H32" cm="1">
        <f t="array" ref="H32">_xlfn.IFS(B32="","",(SUMIFS(SF_Output!$F$1:$F$400,SF_Output!$AC$1:$AC$400,_xlfn.TEXTJOIN(",",TRUE,B32:E32))+SUMIFS(SF_Output!$G$1:$G$400,SF_Output!$AC$1:$AC$400,_xlfn.TEXTJOIN(",",TRUE,B32:E32)))&lt;&gt;0,SF_Output!$Y$2,INDEX(SF_Output!$F$1:$F$400,MATCH(_xlfn.TEXTJOIN(",",TRUE,B32:E32),SF_Output!$AC$1:$AC$400,0))=0,INDEX(SF_Output!$R$1:$R$400,MATCH(_xlfn.TEXTJOIN(",",TRUE,B32:E32),SF_Output!$AC$1:$AC$400,0)))</f>
        <v>1</v>
      </c>
      <c r="I32" s="125" t="str">
        <f>IFERROR(IF(AND(H32&gt;1,H32&lt;&gt;""),ROUND(SUMIFS(SF_Output!$S$1:$S$400,SF_Output!$AC$1:$AC$400,_xlfn.TEXTJOIN(",",TRUE,B32:E32),SF_Output!$Q$1:$Q$400,"monthly")*(1-W32)/H32,4),""),"")</f>
        <v/>
      </c>
      <c r="J32" s="6">
        <f>IF(B32="","",SUMIFS(SF_Output!$S$1:$S$400,SF_Output!$AC$1:$AC$400,_xlfn.TEXTJOIN(",",TRUE,B32:E32),SF_Output!$Q$1:$Q$400,"One Time",SF_Output!$L$1:$L$400,"license fee")+SUMIFS(SF_Output!$S$1:$S$400,SF_Output!$AC$1:$AC$400,_xlfn.TEXTJOIN(",",TRUE,B32:E32),SF_Output!$Q$1:$Q$400,"One Time",SF_Output!$L$1:$L$400,"software license")+SUMIFS(SF_Output!$S$1:$S$400,SF_Output!$AC$1:$AC$400,_xlfn.TEXTJOIN(",",TRUE,B32:E32),SF_Output!$Q$1:$Q$400,"One Time",SF_Output!$L$1:$L$400,"hardware"))</f>
        <v>0</v>
      </c>
      <c r="K32" s="112" t="str">
        <f>IF(OR(B32=0,B32="",G32="hardware",J32=0),"",IF(AF32&lt;&gt;"exclusion",MAX(K$9,-((SUMIFS(SF_Output!$T$1:$T$400,SF_Output!$AC$1:$AC$400,_xlfn.TEXTJOIN(",",TRUE,$B32:$E32),SF_Output!$Q$1:$Q$400,"One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license"))/J32)),-((SUMIFS(SF_Output!$T$1:$T$400,SF_Output!$AC$1:$AC$400,_xlfn.TEXTJOIN(",",TRUE,$B32:$E32),SF_Output!$Q$1:$Q$400,"One Time",SF_Output!$L$1:$L$400,"license fee")+SUMIFS(SF_Output!$T$1:$T$400,SF_Output!$AC$1:$AC$400,_xlfn.TEXTJOIN(",",TRUE,$B32:$E32),SF_Output!$Q$1:$Q$400,"One Time",SF_Output!$L$1:$L$400,"software license"))/J32)))</f>
        <v/>
      </c>
      <c r="L32" s="6">
        <f t="shared" si="1"/>
        <v>0</v>
      </c>
      <c r="N32" s="6">
        <f>IF(B32="","",SUMIFS(SF_Output!$S$1:$S$400,SF_Output!$AC$1:$AC$400,_xlfn.TEXTJOIN(",",TRUE,B32:E32),SF_Output!$Q$1:$Q$400,"One Time",SF_Output!$L$1:$L$400,"professional service"))</f>
        <v>3750</v>
      </c>
      <c r="O32" s="112">
        <f>IF(OR(B32=0,B32="",N32=0),"",IF(AF32&lt;&gt;"exclusion",MAX(O$9,-(SUMIFS(SF_Output!$T$1:$T$400,SF_Output!$AC$1:$AC$400,_xlfn.TEXTJOIN(",",TRUE,$B32:$E32),SF_Output!$Q$1:$Q$400,"One Time",SF_Output!$L$1:$L$400,"professional service"))/N32),-((SUMIFS(SF_Output!$T$1:$T$400,SF_Output!$AC$1:$AC$400,_xlfn.TEXTJOIN(",",TRUE,$B32:$E32),SF_Output!$Q$1:$Q$400,"One Time",SF_Output!$L$1:$L$400,"professional service")/N32))))</f>
        <v>1</v>
      </c>
      <c r="P32" s="6">
        <f t="shared" si="2"/>
        <v>0</v>
      </c>
      <c r="R32" s="6">
        <f>IF(B32="","",SUMIFS(SF_Output!$S$1:$S$400,SF_Output!$AC$1:$AC$400,_xlfn.TEXTJOIN(",",TRUE,B32:E32),SF_Output!$Q$1:$Q$400,"yearly")+SUMIFS(SF_Output!$S$1:$S$400,SF_Output!$AC$1:$AC$400,_xlfn.TEXTJOIN(",",TRUE,B32:E32),SF_Output!$Q$1:$Q$400,"quarterly")*4)</f>
        <v>0</v>
      </c>
      <c r="S32" s="112" t="str">
        <f>IF(OR(B32=0,B32="",G32="hardware",R32=0),"",IF(AF32&lt;&gt;"exclusion",MAX(S$9,-(SUMIFS(SF_Output!$T$1:$T$400,SF_Output!$AC$1:$AC$400,_xlfn.TEXTJOIN(",",TRUE,$B32:$E32),SF_Output!$Q$1:$Q$400,"yearly"))/R32),-((SUMIFS(SF_Output!$T$1:$T$400,SF_Output!$AC$1:$AC$400,_xlfn.TEXTJOIN(",",TRUE,$B32:$E32),SF_Output!$Q$1:$Q$400,"yearly")/R32))))</f>
        <v/>
      </c>
      <c r="T32" s="6">
        <f t="shared" si="3"/>
        <v>0</v>
      </c>
      <c r="V32" s="6" cm="1">
        <f t="array" ref="V32">_xlfn.IFS(B32="","",AND(B32&lt;&gt;"",H32=SF_Output!$Y$2,SUMIFS(SF_Output!$T$1:$T$400,SF_Output!$AC$1:$AC$400,_xlfn.TEXTJOIN(",",TRUE,B32:E32),SF_Output!$Q$1:$Q$400,"monthly")=0),(SUMIFS(SF_Output!$F$1:$F$400,SF_Output!$AC$1:$AC$400,_xlfn.TEXTJOIN(",",TRUE,B32:E32),SF_Output!$Q$1:$Q$400,"monthly")+SUMIFS(SF_Output!$G$1:$G$400,SF_Output!$AC$1:$AC$400,_xlfn.TEXTJOIN(",",TRUE,B32:E32),SF_Output!$Q$1:$Q$400,"monthly"))*H32,AND(B32&lt;&gt;"",H32=SF_Output!$Y$2,SUMIFS(SF_Output!$T$1:$T$400,SF_Output!$AC$1:$AC$400,_xlfn.TEXTJOIN(",",TRUE,B32:E32),SF_Output!$Q$1:$Q$400,"monthly")&lt;&gt;0),SUMIFS(SF_Output!$S$1:$S$400,SF_Output!$AC$1:$AC$400,_xlfn.TEXTJOIN(",",TRUE,B32:E32),SF_Output!$Q$1:$Q$400,"monthly"),AND(B32&lt;&gt;"",H32&lt;&gt;SF_Output!$Y$2),SUMIFS(SF_Output!$S$1:$S$400,SF_Output!$AC$1:$AC$400,_xlfn.TEXTJOIN(",",TRUE,B32:E32),SF_Output!$Q$1:$Q$400,"monthly"))</f>
        <v>0</v>
      </c>
      <c r="W32" s="112" t="str" cm="1">
        <f t="array" ref="W32">_xlfn.IFS(OR(B32=0,B32="",V32=0),"",AF32&lt;&gt;"exclusion",MAX($W$9,$W$7,(-(SUMIFS(SF_Output!$T$1:$T$400,SF_Output!$AC$1:$AC$400,_xlfn.TEXTJOIN(",",TRUE,$B32:$E32),SF_Output!$Q$1:$Q$400,"monthly"))/V32)),AF32="exclusion",-(SUMIFS(SF_Output!$T$1:$T$400,SF_Output!$AC$1:$AC$400,_xlfn.TEXTJOIN(",",TRUE,$B32:$E32),SF_Output!$Q$1:$Q$400,"monthly"))/V32)</f>
        <v/>
      </c>
      <c r="X32" s="6" cm="1">
        <f t="array" ref="X32">IFERROR(_xlfn.IFS(V32=0,0,V32="","",W32=0,V32,OR(V32&lt;&gt;0,V32&lt;&gt;""),H32*I32),V32*(1-W32))</f>
        <v>0</v>
      </c>
    </row>
    <row r="33" spans="2:24" x14ac:dyDescent="0.25">
      <c r="B33" t="s">
        <v>2284</v>
      </c>
      <c r="C33" t="s">
        <v>2122</v>
      </c>
      <c r="D33" t="s">
        <v>2123</v>
      </c>
      <c r="E33" t="s">
        <v>2124</v>
      </c>
      <c r="F33" s="116" t="str">
        <f t="shared" si="0"/>
        <v>Included</v>
      </c>
      <c r="G33" t="str">
        <f>IF(B33="","",INDEX(SF_Output!$K$1:$K$400,MATCH(B33,SF_Output!$M$1:$M$400,0)))</f>
        <v>Synapsys</v>
      </c>
      <c r="H33" cm="1">
        <f t="array" ref="H33">_xlfn.IFS(B33="","",(SUMIFS(SF_Output!$F$1:$F$400,SF_Output!$AC$1:$AC$400,_xlfn.TEXTJOIN(",",TRUE,B33:E33))+SUMIFS(SF_Output!$G$1:$G$400,SF_Output!$AC$1:$AC$400,_xlfn.TEXTJOIN(",",TRUE,B33:E33)))&lt;&gt;0,SF_Output!$Y$2,INDEX(SF_Output!$F$1:$F$400,MATCH(_xlfn.TEXTJOIN(",",TRUE,B33:E33),SF_Output!$AC$1:$AC$400,0))=0,INDEX(SF_Output!$R$1:$R$400,MATCH(_xlfn.TEXTJOIN(",",TRUE,B33:E33),SF_Output!$AC$1:$AC$400,0)))</f>
        <v>5000</v>
      </c>
      <c r="I33" s="125">
        <f>IFERROR(IF(AND(H33&gt;1,H33&lt;&gt;""),ROUND(SUMIFS(SF_Output!$S$1:$S$400,SF_Output!$AC$1:$AC$400,_xlfn.TEXTJOIN(",",TRUE,B33:E33),SF_Output!$Q$1:$Q$400,"monthly")*(1-W33)/H33,4),""),"")</f>
        <v>0.1643</v>
      </c>
      <c r="J33" s="6">
        <f>IF(B33="","",SUMIFS(SF_Output!$S$1:$S$400,SF_Output!$AC$1:$AC$400,_xlfn.TEXTJOIN(",",TRUE,B33:E33),SF_Output!$Q$1:$Q$400,"One Time",SF_Output!$L$1:$L$400,"license fee")+SUMIFS(SF_Output!$S$1:$S$400,SF_Output!$AC$1:$AC$400,_xlfn.TEXTJOIN(",",TRUE,B33:E33),SF_Output!$Q$1:$Q$400,"One Time",SF_Output!$L$1:$L$400,"software license")+SUMIFS(SF_Output!$S$1:$S$400,SF_Output!$AC$1:$AC$400,_xlfn.TEXTJOIN(",",TRUE,B33:E33),SF_Output!$Q$1:$Q$400,"One Time",SF_Output!$L$1:$L$400,"hardware"))</f>
        <v>0</v>
      </c>
      <c r="K33" s="112" t="str">
        <f>IF(OR(B33=0,B33="",G33="hardware",J33=0),"",IF(AF33&lt;&gt;"exclusion",MAX(K$9,-((SUMIFS(SF_Output!$T$1:$T$400,SF_Output!$AC$1:$AC$400,_xlfn.TEXTJOIN(",",TRUE,$B33:$E33),SF_Output!$Q$1:$Q$400,"One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license"))/J33)),-((SUMIFS(SF_Output!$T$1:$T$400,SF_Output!$AC$1:$AC$400,_xlfn.TEXTJOIN(",",TRUE,$B33:$E33),SF_Output!$Q$1:$Q$400,"One Time",SF_Output!$L$1:$L$400,"license fee")+SUMIFS(SF_Output!$T$1:$T$400,SF_Output!$AC$1:$AC$400,_xlfn.TEXTJOIN(",",TRUE,$B33:$E33),SF_Output!$Q$1:$Q$400,"One Time",SF_Output!$L$1:$L$400,"software license"))/J33)))</f>
        <v/>
      </c>
      <c r="L33" s="6">
        <f t="shared" si="1"/>
        <v>0</v>
      </c>
      <c r="N33" s="6">
        <f>IF(B33="","",SUMIFS(SF_Output!$S$1:$S$400,SF_Output!$AC$1:$AC$400,_xlfn.TEXTJOIN(",",TRUE,B33:E33),SF_Output!$Q$1:$Q$400,"One Time",SF_Output!$L$1:$L$400,"professional service"))</f>
        <v>8500</v>
      </c>
      <c r="O33" s="112">
        <f>IF(OR(B33=0,B33="",N33=0),"",IF(AF33&lt;&gt;"exclusion",MAX(O$9,-(SUMIFS(SF_Output!$T$1:$T$400,SF_Output!$AC$1:$AC$400,_xlfn.TEXTJOIN(",",TRUE,$B33:$E33),SF_Output!$Q$1:$Q$400,"One Time",SF_Output!$L$1:$L$400,"professional service"))/N33),-((SUMIFS(SF_Output!$T$1:$T$400,SF_Output!$AC$1:$AC$400,_xlfn.TEXTJOIN(",",TRUE,$B33:$E33),SF_Output!$Q$1:$Q$400,"One Time",SF_Output!$L$1:$L$400,"professional service")/N33))))</f>
        <v>1</v>
      </c>
      <c r="P33" s="6">
        <f t="shared" si="2"/>
        <v>0</v>
      </c>
      <c r="R33" s="6">
        <f>IF(B33="","",SUMIFS(SF_Output!$S$1:$S$400,SF_Output!$AC$1:$AC$400,_xlfn.TEXTJOIN(",",TRUE,B33:E33),SF_Output!$Q$1:$Q$400,"yearly")+SUMIFS(SF_Output!$S$1:$S$400,SF_Output!$AC$1:$AC$400,_xlfn.TEXTJOIN(",",TRUE,B33:E33),SF_Output!$Q$1:$Q$400,"quarterly")*4)</f>
        <v>0</v>
      </c>
      <c r="S33" s="112" t="str">
        <f>IF(OR(B33=0,B33="",G33="hardware",R33=0),"",IF(AF33&lt;&gt;"exclusion",MAX(S$9,-(SUMIFS(SF_Output!$T$1:$T$400,SF_Output!$AC$1:$AC$400,_xlfn.TEXTJOIN(",",TRUE,$B33:$E33),SF_Output!$Q$1:$Q$400,"yearly"))/R33),-((SUMIFS(SF_Output!$T$1:$T$400,SF_Output!$AC$1:$AC$400,_xlfn.TEXTJOIN(",",TRUE,$B33:$E33),SF_Output!$Q$1:$Q$400,"yearly")/R33))))</f>
        <v/>
      </c>
      <c r="T33" s="6">
        <f t="shared" si="3"/>
        <v>0</v>
      </c>
      <c r="V33" s="6" cm="1">
        <f t="array" ref="V33">_xlfn.IFS(B33="","",AND(B33&lt;&gt;"",H33=SF_Output!$Y$2,SUMIFS(SF_Output!$T$1:$T$400,SF_Output!$AC$1:$AC$400,_xlfn.TEXTJOIN(",",TRUE,B33:E33),SF_Output!$Q$1:$Q$400,"monthly")=0),(SUMIFS(SF_Output!$F$1:$F$400,SF_Output!$AC$1:$AC$400,_xlfn.TEXTJOIN(",",TRUE,B33:E33),SF_Output!$Q$1:$Q$400,"monthly")+SUMIFS(SF_Output!$G$1:$G$400,SF_Output!$AC$1:$AC$400,_xlfn.TEXTJOIN(",",TRUE,B33:E33),SF_Output!$Q$1:$Q$400,"monthly"))*H33,AND(B33&lt;&gt;"",H33=SF_Output!$Y$2,SUMIFS(SF_Output!$T$1:$T$400,SF_Output!$AC$1:$AC$400,_xlfn.TEXTJOIN(",",TRUE,B33:E33),SF_Output!$Q$1:$Q$400,"monthly")&lt;&gt;0),SUMIFS(SF_Output!$S$1:$S$400,SF_Output!$AC$1:$AC$400,_xlfn.TEXTJOIN(",",TRUE,B33:E33),SF_Output!$Q$1:$Q$400,"monthly"),AND(B33&lt;&gt;"",H33&lt;&gt;SF_Output!$Y$2),SUMIFS(SF_Output!$S$1:$S$400,SF_Output!$AC$1:$AC$400,_xlfn.TEXTJOIN(",",TRUE,B33:E33),SF_Output!$Q$1:$Q$400,"monthly"))</f>
        <v>1095</v>
      </c>
      <c r="W33" s="112" cm="1">
        <f t="array" ref="W33">_xlfn.IFS(OR(B33=0,B33="",V33=0),"",AF33&lt;&gt;"exclusion",MAX($W$9,$W$7,(-(SUMIFS(SF_Output!$T$1:$T$400,SF_Output!$AC$1:$AC$400,_xlfn.TEXTJOIN(",",TRUE,$B33:$E33),SF_Output!$Q$1:$Q$400,"monthly"))/V33)),AF33="exclusion",-(SUMIFS(SF_Output!$T$1:$T$400,SF_Output!$AC$1:$AC$400,_xlfn.TEXTJOIN(",",TRUE,$B33:$E33),SF_Output!$Q$1:$Q$400,"monthly"))/V33)</f>
        <v>0.25</v>
      </c>
      <c r="X33" s="6" cm="1">
        <f t="array" ref="X33">IFERROR(_xlfn.IFS(V33=0,0,V33="","",W33=0,V33,OR(V33&lt;&gt;0,V33&lt;&gt;""),H33*I33),V33*(1-W33))</f>
        <v>821.5</v>
      </c>
    </row>
    <row r="34" spans="2:24" x14ac:dyDescent="0.25">
      <c r="B34" t="s">
        <v>1531</v>
      </c>
      <c r="C34" t="s">
        <v>2122</v>
      </c>
      <c r="D34" t="s">
        <v>2123</v>
      </c>
      <c r="E34" t="s">
        <v>2124</v>
      </c>
      <c r="F34" s="116" t="str">
        <f t="shared" si="0"/>
        <v>Included</v>
      </c>
      <c r="G34" t="str">
        <f>IF(B34="","",INDEX(SF_Output!$K$1:$K$400,MATCH(B34,SF_Output!$M$1:$M$400,0)))</f>
        <v>Synapsys</v>
      </c>
      <c r="H34" cm="1">
        <f t="array" ref="H34">_xlfn.IFS(B34="","",(SUMIFS(SF_Output!$F$1:$F$400,SF_Output!$AC$1:$AC$400,_xlfn.TEXTJOIN(",",TRUE,B34:E34))+SUMIFS(SF_Output!$G$1:$G$400,SF_Output!$AC$1:$AC$400,_xlfn.TEXTJOIN(",",TRUE,B34:E34)))&lt;&gt;0,SF_Output!$Y$2,INDEX(SF_Output!$F$1:$F$400,MATCH(_xlfn.TEXTJOIN(",",TRUE,B34:E34),SF_Output!$AC$1:$AC$400,0))=0,INDEX(SF_Output!$R$1:$R$400,MATCH(_xlfn.TEXTJOIN(",",TRUE,B34:E34),SF_Output!$AC$1:$AC$400,0)))</f>
        <v>1</v>
      </c>
      <c r="I34" s="125" t="str">
        <f>IFERROR(IF(AND(H34&gt;1,H34&lt;&gt;""),ROUND(SUMIFS(SF_Output!$S$1:$S$400,SF_Output!$AC$1:$AC$400,_xlfn.TEXTJOIN(",",TRUE,B34:E34),SF_Output!$Q$1:$Q$400,"monthly")*(1-W34)/H34,4),""),"")</f>
        <v/>
      </c>
      <c r="J34" s="6">
        <f>IF(B34="","",SUMIFS(SF_Output!$S$1:$S$400,SF_Output!$AC$1:$AC$400,_xlfn.TEXTJOIN(",",TRUE,B34:E34),SF_Output!$Q$1:$Q$400,"One Time",SF_Output!$L$1:$L$400,"license fee")+SUMIFS(SF_Output!$S$1:$S$400,SF_Output!$AC$1:$AC$400,_xlfn.TEXTJOIN(",",TRUE,B34:E34),SF_Output!$Q$1:$Q$400,"One Time",SF_Output!$L$1:$L$400,"software license")+SUMIFS(SF_Output!$S$1:$S$400,SF_Output!$AC$1:$AC$400,_xlfn.TEXTJOIN(",",TRUE,B34:E34),SF_Output!$Q$1:$Q$400,"One Time",SF_Output!$L$1:$L$400,"hardware"))</f>
        <v>0</v>
      </c>
      <c r="K34" s="112" t="str">
        <f>IF(OR(B34=0,B34="",G34="hardware",J34=0),"",IF(AF34&lt;&gt;"exclusion",MAX(K$9,-((SUMIFS(SF_Output!$T$1:$T$400,SF_Output!$AC$1:$AC$400,_xlfn.TEXTJOIN(",",TRUE,$B34:$E34),SF_Output!$Q$1:$Q$400,"One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license"))/J34)),-((SUMIFS(SF_Output!$T$1:$T$400,SF_Output!$AC$1:$AC$400,_xlfn.TEXTJOIN(",",TRUE,$B34:$E34),SF_Output!$Q$1:$Q$400,"One Time",SF_Output!$L$1:$L$400,"license fee")+SUMIFS(SF_Output!$T$1:$T$400,SF_Output!$AC$1:$AC$400,_xlfn.TEXTJOIN(",",TRUE,$B34:$E34),SF_Output!$Q$1:$Q$400,"One Time",SF_Output!$L$1:$L$400,"software license"))/J34)))</f>
        <v/>
      </c>
      <c r="L34" s="6">
        <f t="shared" si="1"/>
        <v>0</v>
      </c>
      <c r="N34" s="6">
        <f>IF(B34="","",SUMIFS(SF_Output!$S$1:$S$400,SF_Output!$AC$1:$AC$400,_xlfn.TEXTJOIN(",",TRUE,B34:E34),SF_Output!$Q$1:$Q$400,"One Time",SF_Output!$L$1:$L$400,"professional service"))</f>
        <v>0</v>
      </c>
      <c r="O34" s="112" t="str">
        <f>IF(OR(B34=0,B34="",N34=0),"",IF(AF34&lt;&gt;"exclusion",MAX(O$9,-(SUMIFS(SF_Output!$T$1:$T$400,SF_Output!$AC$1:$AC$400,_xlfn.TEXTJOIN(",",TRUE,$B34:$E34),SF_Output!$Q$1:$Q$400,"One Time",SF_Output!$L$1:$L$400,"professional service"))/N34),-((SUMIFS(SF_Output!$T$1:$T$400,SF_Output!$AC$1:$AC$400,_xlfn.TEXTJOIN(",",TRUE,$B34:$E34),SF_Output!$Q$1:$Q$400,"One Time",SF_Output!$L$1:$L$400,"professional service")/N34))))</f>
        <v/>
      </c>
      <c r="P34" s="6">
        <f t="shared" si="2"/>
        <v>0</v>
      </c>
      <c r="R34" s="6">
        <f>IF(B34="","",SUMIFS(SF_Output!$S$1:$S$400,SF_Output!$AC$1:$AC$400,_xlfn.TEXTJOIN(",",TRUE,B34:E34),SF_Output!$Q$1:$Q$400,"yearly")+SUMIFS(SF_Output!$S$1:$S$400,SF_Output!$AC$1:$AC$400,_xlfn.TEXTJOIN(",",TRUE,B34:E34),SF_Output!$Q$1:$Q$400,"quarterly")*4)</f>
        <v>5000</v>
      </c>
      <c r="S34" s="112">
        <f>IF(OR(B34=0,B34="",G34="hardware",R34=0),"",IF(AF34&lt;&gt;"exclusion",MAX(S$9,-(SUMIFS(SF_Output!$T$1:$T$400,SF_Output!$AC$1:$AC$400,_xlfn.TEXTJOIN(",",TRUE,$B34:$E34),SF_Output!$Q$1:$Q$400,"yearly"))/R34),-((SUMIFS(SF_Output!$T$1:$T$400,SF_Output!$AC$1:$AC$400,_xlfn.TEXTJOIN(",",TRUE,$B34:$E34),SF_Output!$Q$1:$Q$400,"yearly")/R34))))</f>
        <v>0</v>
      </c>
      <c r="T34" s="6">
        <f t="shared" si="3"/>
        <v>5000</v>
      </c>
      <c r="V34" s="6" cm="1">
        <f t="array" ref="V34">_xlfn.IFS(B34="","",AND(B34&lt;&gt;"",H34=SF_Output!$Y$2,SUMIFS(SF_Output!$T$1:$T$400,SF_Output!$AC$1:$AC$400,_xlfn.TEXTJOIN(",",TRUE,B34:E34),SF_Output!$Q$1:$Q$400,"monthly")=0),(SUMIFS(SF_Output!$F$1:$F$400,SF_Output!$AC$1:$AC$400,_xlfn.TEXTJOIN(",",TRUE,B34:E34),SF_Output!$Q$1:$Q$400,"monthly")+SUMIFS(SF_Output!$G$1:$G$400,SF_Output!$AC$1:$AC$400,_xlfn.TEXTJOIN(",",TRUE,B34:E34),SF_Output!$Q$1:$Q$400,"monthly"))*H34,AND(B34&lt;&gt;"",H34=SF_Output!$Y$2,SUMIFS(SF_Output!$T$1:$T$400,SF_Output!$AC$1:$AC$400,_xlfn.TEXTJOIN(",",TRUE,B34:E34),SF_Output!$Q$1:$Q$400,"monthly")&lt;&gt;0),SUMIFS(SF_Output!$S$1:$S$400,SF_Output!$AC$1:$AC$400,_xlfn.TEXTJOIN(",",TRUE,B34:E34),SF_Output!$Q$1:$Q$400,"monthly"),AND(B34&lt;&gt;"",H34&lt;&gt;SF_Output!$Y$2),SUMIFS(SF_Output!$S$1:$S$400,SF_Output!$AC$1:$AC$400,_xlfn.TEXTJOIN(",",TRUE,B34:E34),SF_Output!$Q$1:$Q$400,"monthly"))</f>
        <v>0</v>
      </c>
      <c r="W34" s="112" t="str" cm="1">
        <f t="array" ref="W34">_xlfn.IFS(OR(B34=0,B34="",V34=0),"",AF34&lt;&gt;"exclusion",MAX($W$9,$W$7,(-(SUMIFS(SF_Output!$T$1:$T$400,SF_Output!$AC$1:$AC$400,_xlfn.TEXTJOIN(",",TRUE,$B34:$E34),SF_Output!$Q$1:$Q$400,"monthly"))/V34)),AF34="exclusion",-(SUMIFS(SF_Output!$T$1:$T$400,SF_Output!$AC$1:$AC$400,_xlfn.TEXTJOIN(",",TRUE,$B34:$E34),SF_Output!$Q$1:$Q$400,"monthly"))/V34)</f>
        <v/>
      </c>
      <c r="X34" s="6" cm="1">
        <f t="array" ref="X34">IFERROR(_xlfn.IFS(V34=0,0,V34="","",W34=0,V34,OR(V34&lt;&gt;0,V34&lt;&gt;""),H34*I34),V34*(1-W34))</f>
        <v>0</v>
      </c>
    </row>
    <row r="35" spans="2:24" x14ac:dyDescent="0.25">
      <c r="B35" t="s">
        <v>614</v>
      </c>
      <c r="C35" t="s">
        <v>2122</v>
      </c>
      <c r="D35" t="s">
        <v>2123</v>
      </c>
      <c r="E35" t="s">
        <v>2124</v>
      </c>
      <c r="F35" s="116" t="str">
        <f t="shared" si="0"/>
        <v>Included</v>
      </c>
      <c r="G35" t="str">
        <f>IF(B35="","",INDEX(SF_Output!$K$1:$K$400,MATCH(B35,SF_Output!$M$1:$M$400,0)))</f>
        <v>JHA OpenAnywhere</v>
      </c>
      <c r="H35" cm="1">
        <f t="array" ref="H35">_xlfn.IFS(B35="","",(SUMIFS(SF_Output!$F$1:$F$400,SF_Output!$AC$1:$AC$400,_xlfn.TEXTJOIN(",",TRUE,B35:E35))+SUMIFS(SF_Output!$G$1:$G$400,SF_Output!$AC$1:$AC$400,_xlfn.TEXTJOIN(",",TRUE,B35:E35)))&lt;&gt;0,SF_Output!$Y$2,INDEX(SF_Output!$F$1:$F$400,MATCH(_xlfn.TEXTJOIN(",",TRUE,B35:E35),SF_Output!$AC$1:$AC$400,0))=0,INDEX(SF_Output!$R$1:$R$400,MATCH(_xlfn.TEXTJOIN(",",TRUE,B35:E35),SF_Output!$AC$1:$AC$400,0)))</f>
        <v>5000</v>
      </c>
      <c r="I35" s="125">
        <f>IFERROR(IF(AND(H35&gt;1,H35&lt;&gt;""),ROUND(SUMIFS(SF_Output!$S$1:$S$400,SF_Output!$AC$1:$AC$400,_xlfn.TEXTJOIN(",",TRUE,B35:E35),SF_Output!$Q$1:$Q$400,"monthly")*(1-W35)/H35,4),""),"")</f>
        <v>0.33229999999999998</v>
      </c>
      <c r="J35" s="6">
        <f>IF(B35="","",SUMIFS(SF_Output!$S$1:$S$400,SF_Output!$AC$1:$AC$400,_xlfn.TEXTJOIN(",",TRUE,B35:E35),SF_Output!$Q$1:$Q$400,"One Time",SF_Output!$L$1:$L$400,"license fee")+SUMIFS(SF_Output!$S$1:$S$400,SF_Output!$AC$1:$AC$400,_xlfn.TEXTJOIN(",",TRUE,B35:E35),SF_Output!$Q$1:$Q$400,"One Time",SF_Output!$L$1:$L$400,"software license")+SUMIFS(SF_Output!$S$1:$S$400,SF_Output!$AC$1:$AC$400,_xlfn.TEXTJOIN(",",TRUE,B35:E35),SF_Output!$Q$1:$Q$400,"One Time",SF_Output!$L$1:$L$400,"hardware"))</f>
        <v>0</v>
      </c>
      <c r="K35" s="112" t="str">
        <f>IF(OR(B35=0,B35="",G35="hardware",J35=0),"",IF(AF35&lt;&gt;"exclusion",MAX(K$9,-((SUMIFS(SF_Output!$T$1:$T$400,SF_Output!$AC$1:$AC$400,_xlfn.TEXTJOIN(",",TRUE,$B35:$E35),SF_Output!$Q$1:$Q$400,"One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license"))/J35)),-((SUMIFS(SF_Output!$T$1:$T$400,SF_Output!$AC$1:$AC$400,_xlfn.TEXTJOIN(",",TRUE,$B35:$E35),SF_Output!$Q$1:$Q$400,"One Time",SF_Output!$L$1:$L$400,"license fee")+SUMIFS(SF_Output!$T$1:$T$400,SF_Output!$AC$1:$AC$400,_xlfn.TEXTJOIN(",",TRUE,$B35:$E35),SF_Output!$Q$1:$Q$400,"One Time",SF_Output!$L$1:$L$400,"software license"))/J35)))</f>
        <v/>
      </c>
      <c r="L35" s="6">
        <f t="shared" si="1"/>
        <v>0</v>
      </c>
      <c r="N35" s="6">
        <f>IF(B35="","",SUMIFS(SF_Output!$S$1:$S$400,SF_Output!$AC$1:$AC$400,_xlfn.TEXTJOIN(",",TRUE,B35:E35),SF_Output!$Q$1:$Q$400,"One Time",SF_Output!$L$1:$L$400,"professional service"))</f>
        <v>20800</v>
      </c>
      <c r="O35" s="112">
        <f>IF(OR(B35=0,B35="",N35=0),"",IF(AF35&lt;&gt;"exclusion",MAX(O$9,-(SUMIFS(SF_Output!$T$1:$T$400,SF_Output!$AC$1:$AC$400,_xlfn.TEXTJOIN(",",TRUE,$B35:$E35),SF_Output!$Q$1:$Q$400,"One Time",SF_Output!$L$1:$L$400,"professional service"))/N35),-((SUMIFS(SF_Output!$T$1:$T$400,SF_Output!$AC$1:$AC$400,_xlfn.TEXTJOIN(",",TRUE,$B35:$E35),SF_Output!$Q$1:$Q$400,"One Time",SF_Output!$L$1:$L$400,"professional service")/N35))))</f>
        <v>1</v>
      </c>
      <c r="P35" s="6">
        <f t="shared" si="2"/>
        <v>0</v>
      </c>
      <c r="R35" s="6">
        <f>IF(B35="","",SUMIFS(SF_Output!$S$1:$S$400,SF_Output!$AC$1:$AC$400,_xlfn.TEXTJOIN(",",TRUE,B35:E35),SF_Output!$Q$1:$Q$400,"yearly")+SUMIFS(SF_Output!$S$1:$S$400,SF_Output!$AC$1:$AC$400,_xlfn.TEXTJOIN(",",TRUE,B35:E35),SF_Output!$Q$1:$Q$400,"quarterly")*4)</f>
        <v>0</v>
      </c>
      <c r="S35" s="112" t="str">
        <f>IF(OR(B35=0,B35="",G35="hardware",R35=0),"",IF(AF35&lt;&gt;"exclusion",MAX(S$9,-(SUMIFS(SF_Output!$T$1:$T$400,SF_Output!$AC$1:$AC$400,_xlfn.TEXTJOIN(",",TRUE,$B35:$E35),SF_Output!$Q$1:$Q$400,"yearly"))/R35),-((SUMIFS(SF_Output!$T$1:$T$400,SF_Output!$AC$1:$AC$400,_xlfn.TEXTJOIN(",",TRUE,$B35:$E35),SF_Output!$Q$1:$Q$400,"yearly")/R35))))</f>
        <v/>
      </c>
      <c r="T35" s="6">
        <f t="shared" si="3"/>
        <v>0</v>
      </c>
      <c r="V35" s="6" cm="1">
        <f t="array" ref="V35">_xlfn.IFS(B35="","",AND(B35&lt;&gt;"",H35=SF_Output!$Y$2,SUMIFS(SF_Output!$T$1:$T$400,SF_Output!$AC$1:$AC$400,_xlfn.TEXTJOIN(",",TRUE,B35:E35),SF_Output!$Q$1:$Q$400,"monthly")=0),(SUMIFS(SF_Output!$F$1:$F$400,SF_Output!$AC$1:$AC$400,_xlfn.TEXTJOIN(",",TRUE,B35:E35),SF_Output!$Q$1:$Q$400,"monthly")+SUMIFS(SF_Output!$G$1:$G$400,SF_Output!$AC$1:$AC$400,_xlfn.TEXTJOIN(",",TRUE,B35:E35),SF_Output!$Q$1:$Q$400,"monthly"))*H35,AND(B35&lt;&gt;"",H35=SF_Output!$Y$2,SUMIFS(SF_Output!$T$1:$T$400,SF_Output!$AC$1:$AC$400,_xlfn.TEXTJOIN(",",TRUE,B35:E35),SF_Output!$Q$1:$Q$400,"monthly")&lt;&gt;0),SUMIFS(SF_Output!$S$1:$S$400,SF_Output!$AC$1:$AC$400,_xlfn.TEXTJOIN(",",TRUE,B35:E35),SF_Output!$Q$1:$Q$400,"monthly"),AND(B35&lt;&gt;"",H35&lt;&gt;SF_Output!$Y$2),SUMIFS(SF_Output!$S$1:$S$400,SF_Output!$AC$1:$AC$400,_xlfn.TEXTJOIN(",",TRUE,B35:E35),SF_Output!$Q$1:$Q$400,"monthly"))</f>
        <v>2215</v>
      </c>
      <c r="W35" s="112" cm="1">
        <f t="array" ref="W35">_xlfn.IFS(OR(B35=0,B35="",V35=0),"",AF35&lt;&gt;"exclusion",MAX($W$9,$W$7,(-(SUMIFS(SF_Output!$T$1:$T$400,SF_Output!$AC$1:$AC$400,_xlfn.TEXTJOIN(",",TRUE,$B35:$E35),SF_Output!$Q$1:$Q$400,"monthly"))/V35)),AF35="exclusion",-(SUMIFS(SF_Output!$T$1:$T$400,SF_Output!$AC$1:$AC$400,_xlfn.TEXTJOIN(",",TRUE,$B35:$E35),SF_Output!$Q$1:$Q$400,"monthly"))/V35)</f>
        <v>0.25</v>
      </c>
      <c r="X35" s="6" cm="1">
        <f t="array" ref="X35">IFERROR(_xlfn.IFS(V35=0,0,V35="","",W35=0,V35,OR(V35&lt;&gt;0,V35&lt;&gt;""),H35*I35),V35*(1-W35))</f>
        <v>1661.5</v>
      </c>
    </row>
    <row r="36" spans="2:24" x14ac:dyDescent="0.25">
      <c r="B36" t="s">
        <v>1822</v>
      </c>
      <c r="C36" t="s">
        <v>2122</v>
      </c>
      <c r="D36" t="s">
        <v>2123</v>
      </c>
      <c r="E36" t="s">
        <v>2124</v>
      </c>
      <c r="F36" s="116" t="str">
        <f t="shared" si="0"/>
        <v>Included</v>
      </c>
      <c r="G36" t="str">
        <f>IF(B36="","",INDEX(SF_Output!$K$1:$K$400,MATCH(B36,SF_Output!$M$1:$M$400,0)))</f>
        <v>JHA OpenAnywhere</v>
      </c>
      <c r="H36" cm="1">
        <f t="array" ref="H36">_xlfn.IFS(B36="","",(SUMIFS(SF_Output!$F$1:$F$400,SF_Output!$AC$1:$AC$400,_xlfn.TEXTJOIN(",",TRUE,B36:E36))+SUMIFS(SF_Output!$G$1:$G$400,SF_Output!$AC$1:$AC$400,_xlfn.TEXTJOIN(",",TRUE,B36:E36)))&lt;&gt;0,SF_Output!$Y$2,INDEX(SF_Output!$F$1:$F$400,MATCH(_xlfn.TEXTJOIN(",",TRUE,B36:E36),SF_Output!$AC$1:$AC$400,0))=0,INDEX(SF_Output!$R$1:$R$400,MATCH(_xlfn.TEXTJOIN(",",TRUE,B36:E36),SF_Output!$AC$1:$AC$400,0)))</f>
        <v>1</v>
      </c>
      <c r="I36" s="125" t="str">
        <f>IFERROR(IF(AND(H36&gt;1,H36&lt;&gt;""),ROUND(SUMIFS(SF_Output!$S$1:$S$400,SF_Output!$AC$1:$AC$400,_xlfn.TEXTJOIN(",",TRUE,B36:E36),SF_Output!$Q$1:$Q$400,"monthly")*(1-W36)/H36,4),""),"")</f>
        <v/>
      </c>
      <c r="J36" s="6">
        <f>IF(B36="","",SUMIFS(SF_Output!$S$1:$S$400,SF_Output!$AC$1:$AC$400,_xlfn.TEXTJOIN(",",TRUE,B36:E36),SF_Output!$Q$1:$Q$400,"One Time",SF_Output!$L$1:$L$400,"license fee")+SUMIFS(SF_Output!$S$1:$S$400,SF_Output!$AC$1:$AC$400,_xlfn.TEXTJOIN(",",TRUE,B36:E36),SF_Output!$Q$1:$Q$400,"One Time",SF_Output!$L$1:$L$400,"software license")+SUMIFS(SF_Output!$S$1:$S$400,SF_Output!$AC$1:$AC$400,_xlfn.TEXTJOIN(",",TRUE,B36:E36),SF_Output!$Q$1:$Q$400,"One Time",SF_Output!$L$1:$L$400,"hardware"))</f>
        <v>0</v>
      </c>
      <c r="K36" s="112" t="str">
        <f>IF(OR(B36=0,B36="",G36="hardware",J36=0),"",IF(AF36&lt;&gt;"exclusion",MAX(K$9,-((SUMIFS(SF_Output!$T$1:$T$400,SF_Output!$AC$1:$AC$400,_xlfn.TEXTJOIN(",",TRUE,$B36:$E36),SF_Output!$Q$1:$Q$400,"One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license"))/J36)),-((SUMIFS(SF_Output!$T$1:$T$400,SF_Output!$AC$1:$AC$400,_xlfn.TEXTJOIN(",",TRUE,$B36:$E36),SF_Output!$Q$1:$Q$400,"One Time",SF_Output!$L$1:$L$400,"license fee")+SUMIFS(SF_Output!$T$1:$T$400,SF_Output!$AC$1:$AC$400,_xlfn.TEXTJOIN(",",TRUE,$B36:$E36),SF_Output!$Q$1:$Q$400,"One Time",SF_Output!$L$1:$L$400,"software license"))/J36)))</f>
        <v/>
      </c>
      <c r="L36" s="6">
        <f t="shared" si="1"/>
        <v>0</v>
      </c>
      <c r="N36" s="6">
        <f>IF(B36="","",SUMIFS(SF_Output!$S$1:$S$400,SF_Output!$AC$1:$AC$400,_xlfn.TEXTJOIN(",",TRUE,B36:E36),SF_Output!$Q$1:$Q$400,"One Time",SF_Output!$L$1:$L$400,"professional service"))</f>
        <v>2500</v>
      </c>
      <c r="O36" s="112">
        <f>IF(OR(B36=0,B36="",N36=0),"",IF(AF36&lt;&gt;"exclusion",MAX(O$9,-(SUMIFS(SF_Output!$T$1:$T$400,SF_Output!$AC$1:$AC$400,_xlfn.TEXTJOIN(",",TRUE,$B36:$E36),SF_Output!$Q$1:$Q$400,"One Time",SF_Output!$L$1:$L$400,"professional service"))/N36),-((SUMIFS(SF_Output!$T$1:$T$400,SF_Output!$AC$1:$AC$400,_xlfn.TEXTJOIN(",",TRUE,$B36:$E36),SF_Output!$Q$1:$Q$400,"One Time",SF_Output!$L$1:$L$400,"professional service")/N36))))</f>
        <v>1</v>
      </c>
      <c r="P36" s="6">
        <f t="shared" si="2"/>
        <v>0</v>
      </c>
      <c r="R36" s="6">
        <f>IF(B36="","",SUMIFS(SF_Output!$S$1:$S$400,SF_Output!$AC$1:$AC$400,_xlfn.TEXTJOIN(",",TRUE,B36:E36),SF_Output!$Q$1:$Q$400,"yearly")+SUMIFS(SF_Output!$S$1:$S$400,SF_Output!$AC$1:$AC$400,_xlfn.TEXTJOIN(",",TRUE,B36:E36),SF_Output!$Q$1:$Q$400,"quarterly")*4)</f>
        <v>0</v>
      </c>
      <c r="S36" s="112" t="str">
        <f>IF(OR(B36=0,B36="",G36="hardware",R36=0),"",IF(AF36&lt;&gt;"exclusion",MAX(S$9,-(SUMIFS(SF_Output!$T$1:$T$400,SF_Output!$AC$1:$AC$400,_xlfn.TEXTJOIN(",",TRUE,$B36:$E36),SF_Output!$Q$1:$Q$400,"yearly"))/R36),-((SUMIFS(SF_Output!$T$1:$T$400,SF_Output!$AC$1:$AC$400,_xlfn.TEXTJOIN(",",TRUE,$B36:$E36),SF_Output!$Q$1:$Q$400,"yearly")/R36))))</f>
        <v/>
      </c>
      <c r="T36" s="6">
        <f t="shared" si="3"/>
        <v>0</v>
      </c>
      <c r="V36" s="6" cm="1">
        <f t="array" ref="V36">_xlfn.IFS(B36="","",AND(B36&lt;&gt;"",H36=SF_Output!$Y$2,SUMIFS(SF_Output!$T$1:$T$400,SF_Output!$AC$1:$AC$400,_xlfn.TEXTJOIN(",",TRUE,B36:E36),SF_Output!$Q$1:$Q$400,"monthly")=0),(SUMIFS(SF_Output!$F$1:$F$400,SF_Output!$AC$1:$AC$400,_xlfn.TEXTJOIN(",",TRUE,B36:E36),SF_Output!$Q$1:$Q$400,"monthly")+SUMIFS(SF_Output!$G$1:$G$400,SF_Output!$AC$1:$AC$400,_xlfn.TEXTJOIN(",",TRUE,B36:E36),SF_Output!$Q$1:$Q$400,"monthly"))*H36,AND(B36&lt;&gt;"",H36=SF_Output!$Y$2,SUMIFS(SF_Output!$T$1:$T$400,SF_Output!$AC$1:$AC$400,_xlfn.TEXTJOIN(",",TRUE,B36:E36),SF_Output!$Q$1:$Q$400,"monthly")&lt;&gt;0),SUMIFS(SF_Output!$S$1:$S$400,SF_Output!$AC$1:$AC$400,_xlfn.TEXTJOIN(",",TRUE,B36:E36),SF_Output!$Q$1:$Q$400,"monthly"),AND(B36&lt;&gt;"",H36&lt;&gt;SF_Output!$Y$2),SUMIFS(SF_Output!$S$1:$S$400,SF_Output!$AC$1:$AC$400,_xlfn.TEXTJOIN(",",TRUE,B36:E36),SF_Output!$Q$1:$Q$400,"monthly"))</f>
        <v>0</v>
      </c>
      <c r="W36" s="112" t="str" cm="1">
        <f t="array" ref="W36">_xlfn.IFS(OR(B36=0,B36="",V36=0),"",AF36&lt;&gt;"exclusion",MAX($W$9,$W$7,(-(SUMIFS(SF_Output!$T$1:$T$400,SF_Output!$AC$1:$AC$400,_xlfn.TEXTJOIN(",",TRUE,$B36:$E36),SF_Output!$Q$1:$Q$400,"monthly"))/V36)),AF36="exclusion",-(SUMIFS(SF_Output!$T$1:$T$400,SF_Output!$AC$1:$AC$400,_xlfn.TEXTJOIN(",",TRUE,$B36:$E36),SF_Output!$Q$1:$Q$400,"monthly"))/V36)</f>
        <v/>
      </c>
      <c r="X36" s="6" cm="1">
        <f t="array" ref="X36">IFERROR(_xlfn.IFS(V36=0,0,V36="","",W36=0,V36,OR(V36&lt;&gt;0,V36&lt;&gt;""),H36*I36),V36*(1-W36))</f>
        <v>0</v>
      </c>
    </row>
    <row r="37" spans="2:24" x14ac:dyDescent="0.25">
      <c r="B37" t="s">
        <v>1441</v>
      </c>
      <c r="C37" t="s">
        <v>2122</v>
      </c>
      <c r="D37" t="s">
        <v>2123</v>
      </c>
      <c r="E37" t="s">
        <v>2150</v>
      </c>
      <c r="F37" s="116" t="str">
        <f t="shared" si="0"/>
        <v>Optional</v>
      </c>
      <c r="G37" t="str">
        <f>IF(B37="","",INDEX(SF_Output!$K$1:$K$400,MATCH(B37,SF_Output!$M$1:$M$400,0)))</f>
        <v>JHA OpenAnywhere</v>
      </c>
      <c r="H37" cm="1">
        <f t="array" ref="H37">_xlfn.IFS(B37="","",(SUMIFS(SF_Output!$F$1:$F$400,SF_Output!$AC$1:$AC$400,_xlfn.TEXTJOIN(",",TRUE,B37:E37))+SUMIFS(SF_Output!$G$1:$G$400,SF_Output!$AC$1:$AC$400,_xlfn.TEXTJOIN(",",TRUE,B37:E37)))&lt;&gt;0,SF_Output!$Y$2,INDEX(SF_Output!$F$1:$F$400,MATCH(_xlfn.TEXTJOIN(",",TRUE,B37:E37),SF_Output!$AC$1:$AC$400,0))=0,INDEX(SF_Output!$R$1:$R$400,MATCH(_xlfn.TEXTJOIN(",",TRUE,B37:E37),SF_Output!$AC$1:$AC$400,0)))</f>
        <v>1</v>
      </c>
      <c r="I37" s="125" t="str">
        <f>IFERROR(IF(AND(H37&gt;1,H37&lt;&gt;""),ROUND(SUMIFS(SF_Output!$S$1:$S$400,SF_Output!$AC$1:$AC$400,_xlfn.TEXTJOIN(",",TRUE,B37:E37),SF_Output!$Q$1:$Q$400,"monthly")*(1-W37)/H37,4),""),"")</f>
        <v/>
      </c>
      <c r="J37" s="6">
        <f>IF(B37="","",SUMIFS(SF_Output!$S$1:$S$400,SF_Output!$AC$1:$AC$400,_xlfn.TEXTJOIN(",",TRUE,B37:E37),SF_Output!$Q$1:$Q$400,"One Time",SF_Output!$L$1:$L$400,"license fee")+SUMIFS(SF_Output!$S$1:$S$400,SF_Output!$AC$1:$AC$400,_xlfn.TEXTJOIN(",",TRUE,B37:E37),SF_Output!$Q$1:$Q$400,"One Time",SF_Output!$L$1:$L$400,"software license")+SUMIFS(SF_Output!$S$1:$S$400,SF_Output!$AC$1:$AC$400,_xlfn.TEXTJOIN(",",TRUE,B37:E37),SF_Output!$Q$1:$Q$400,"One Time",SF_Output!$L$1:$L$400,"hardware"))</f>
        <v>0</v>
      </c>
      <c r="K37" s="112" t="str">
        <f>IF(OR(B37=0,B37="",G37="hardware",J37=0),"",IF(AF37&lt;&gt;"exclusion",MAX(K$9,-((SUMIFS(SF_Output!$T$1:$T$400,SF_Output!$AC$1:$AC$400,_xlfn.TEXTJOIN(",",TRUE,$B37:$E37),SF_Output!$Q$1:$Q$400,"One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license"))/J37)),-((SUMIFS(SF_Output!$T$1:$T$400,SF_Output!$AC$1:$AC$400,_xlfn.TEXTJOIN(",",TRUE,$B37:$E37),SF_Output!$Q$1:$Q$400,"One Time",SF_Output!$L$1:$L$400,"license fee")+SUMIFS(SF_Output!$T$1:$T$400,SF_Output!$AC$1:$AC$400,_xlfn.TEXTJOIN(",",TRUE,$B37:$E37),SF_Output!$Q$1:$Q$400,"One Time",SF_Output!$L$1:$L$400,"software license"))/J37)))</f>
        <v/>
      </c>
      <c r="L37" s="6">
        <f t="shared" si="1"/>
        <v>0</v>
      </c>
      <c r="N37" s="6">
        <f>IF(B37="","",SUMIFS(SF_Output!$S$1:$S$400,SF_Output!$AC$1:$AC$400,_xlfn.TEXTJOIN(",",TRUE,B37:E37),SF_Output!$Q$1:$Q$400,"One Time",SF_Output!$L$1:$L$400,"professional service"))</f>
        <v>0</v>
      </c>
      <c r="O37" s="112" t="str">
        <f>IF(OR(B37=0,B37="",N37=0),"",IF(AF37&lt;&gt;"exclusion",MAX(O$9,-(SUMIFS(SF_Output!$T$1:$T$400,SF_Output!$AC$1:$AC$400,_xlfn.TEXTJOIN(",",TRUE,$B37:$E37),SF_Output!$Q$1:$Q$400,"One Time",SF_Output!$L$1:$L$400,"professional service"))/N37),-((SUMIFS(SF_Output!$T$1:$T$400,SF_Output!$AC$1:$AC$400,_xlfn.TEXTJOIN(",",TRUE,$B37:$E37),SF_Output!$Q$1:$Q$400,"One Time",SF_Output!$L$1:$L$400,"professional service")/N37))))</f>
        <v/>
      </c>
      <c r="P37" s="6">
        <f t="shared" si="2"/>
        <v>0</v>
      </c>
      <c r="R37" s="6">
        <f>IF(B37="","",SUMIFS(SF_Output!$S$1:$S$400,SF_Output!$AC$1:$AC$400,_xlfn.TEXTJOIN(",",TRUE,B37:E37),SF_Output!$Q$1:$Q$400,"yearly")+SUMIFS(SF_Output!$S$1:$S$400,SF_Output!$AC$1:$AC$400,_xlfn.TEXTJOIN(",",TRUE,B37:E37),SF_Output!$Q$1:$Q$400,"quarterly")*4)</f>
        <v>0</v>
      </c>
      <c r="S37" s="112" t="str">
        <f>IF(OR(B37=0,B37="",G37="hardware",R37=0),"",IF(AF37&lt;&gt;"exclusion",MAX(S$9,-(SUMIFS(SF_Output!$T$1:$T$400,SF_Output!$AC$1:$AC$400,_xlfn.TEXTJOIN(",",TRUE,$B37:$E37),SF_Output!$Q$1:$Q$400,"yearly"))/R37),-((SUMIFS(SF_Output!$T$1:$T$400,SF_Output!$AC$1:$AC$400,_xlfn.TEXTJOIN(",",TRUE,$B37:$E37),SF_Output!$Q$1:$Q$400,"yearly")/R37))))</f>
        <v/>
      </c>
      <c r="T37" s="6">
        <f t="shared" si="3"/>
        <v>0</v>
      </c>
      <c r="V37" s="6" cm="1">
        <f t="array" ref="V37">_xlfn.IFS(B37="","",AND(B37&lt;&gt;"",H37=SF_Output!$Y$2,SUMIFS(SF_Output!$T$1:$T$400,SF_Output!$AC$1:$AC$400,_xlfn.TEXTJOIN(",",TRUE,B37:E37),SF_Output!$Q$1:$Q$400,"monthly")=0),(SUMIFS(SF_Output!$F$1:$F$400,SF_Output!$AC$1:$AC$400,_xlfn.TEXTJOIN(",",TRUE,B37:E37),SF_Output!$Q$1:$Q$400,"monthly")+SUMIFS(SF_Output!$G$1:$G$400,SF_Output!$AC$1:$AC$400,_xlfn.TEXTJOIN(",",TRUE,B37:E37),SF_Output!$Q$1:$Q$400,"monthly"))*H37,AND(B37&lt;&gt;"",H37=SF_Output!$Y$2,SUMIFS(SF_Output!$T$1:$T$400,SF_Output!$AC$1:$AC$400,_xlfn.TEXTJOIN(",",TRUE,B37:E37),SF_Output!$Q$1:$Q$400,"monthly")&lt;&gt;0),SUMIFS(SF_Output!$S$1:$S$400,SF_Output!$AC$1:$AC$400,_xlfn.TEXTJOIN(",",TRUE,B37:E37),SF_Output!$Q$1:$Q$400,"monthly"),AND(B37&lt;&gt;"",H37&lt;&gt;SF_Output!$Y$2),SUMIFS(SF_Output!$S$1:$S$400,SF_Output!$AC$1:$AC$400,_xlfn.TEXTJOIN(",",TRUE,B37:E37),SF_Output!$Q$1:$Q$400,"monthly"))</f>
        <v>375</v>
      </c>
      <c r="W37" s="112" cm="1">
        <f t="array" ref="W37">_xlfn.IFS(OR(B37=0,B37="",V37=0),"",AF37&lt;&gt;"exclusion",MAX($W$9,$W$7,(-(SUMIFS(SF_Output!$T$1:$T$400,SF_Output!$AC$1:$AC$400,_xlfn.TEXTJOIN(",",TRUE,$B37:$E37),SF_Output!$Q$1:$Q$400,"monthly"))/V37)),AF37="exclusion",-(SUMIFS(SF_Output!$T$1:$T$400,SF_Output!$AC$1:$AC$400,_xlfn.TEXTJOIN(",",TRUE,$B37:$E37),SF_Output!$Q$1:$Q$400,"monthly"))/V37)</f>
        <v>0</v>
      </c>
      <c r="X37" s="6" cm="1">
        <f t="array" ref="X37">IFERROR(_xlfn.IFS(V37=0,0,V37="","",W37=0,V37,OR(V37&lt;&gt;0,V37&lt;&gt;""),H37*I37),V37*(1-W37))</f>
        <v>375</v>
      </c>
    </row>
    <row r="38" spans="2:24" x14ac:dyDescent="0.25">
      <c r="B38" t="s">
        <v>1443</v>
      </c>
      <c r="C38" t="s">
        <v>2122</v>
      </c>
      <c r="D38" t="s">
        <v>2123</v>
      </c>
      <c r="E38" t="s">
        <v>2124</v>
      </c>
      <c r="F38" s="116" t="str">
        <f t="shared" si="0"/>
        <v>Included</v>
      </c>
      <c r="G38" t="str">
        <f>IF(B38="","",INDEX(SF_Output!$K$1:$K$400,MATCH(B38,SF_Output!$M$1:$M$400,0)))</f>
        <v>JHA OpenAnywhere</v>
      </c>
      <c r="H38" cm="1">
        <f t="array" ref="H38">_xlfn.IFS(B38="","",(SUMIFS(SF_Output!$F$1:$F$400,SF_Output!$AC$1:$AC$400,_xlfn.TEXTJOIN(",",TRUE,B38:E38))+SUMIFS(SF_Output!$G$1:$G$400,SF_Output!$AC$1:$AC$400,_xlfn.TEXTJOIN(",",TRUE,B38:E38)))&lt;&gt;0,SF_Output!$Y$2,INDEX(SF_Output!$F$1:$F$400,MATCH(_xlfn.TEXTJOIN(",",TRUE,B38:E38),SF_Output!$AC$1:$AC$400,0))=0,INDEX(SF_Output!$R$1:$R$400,MATCH(_xlfn.TEXTJOIN(",",TRUE,B38:E38),SF_Output!$AC$1:$AC$400,0)))</f>
        <v>1</v>
      </c>
      <c r="I38" s="125" t="str">
        <f>IFERROR(IF(AND(H38&gt;1,H38&lt;&gt;""),ROUND(SUMIFS(SF_Output!$S$1:$S$400,SF_Output!$AC$1:$AC$400,_xlfn.TEXTJOIN(",",TRUE,B38:E38),SF_Output!$Q$1:$Q$400,"monthly")*(1-W38)/H38,4),""),"")</f>
        <v/>
      </c>
      <c r="J38" s="6">
        <f>IF(B38="","",SUMIFS(SF_Output!$S$1:$S$400,SF_Output!$AC$1:$AC$400,_xlfn.TEXTJOIN(",",TRUE,B38:E38),SF_Output!$Q$1:$Q$400,"One Time",SF_Output!$L$1:$L$400,"license fee")+SUMIFS(SF_Output!$S$1:$S$400,SF_Output!$AC$1:$AC$400,_xlfn.TEXTJOIN(",",TRUE,B38:E38),SF_Output!$Q$1:$Q$400,"One Time",SF_Output!$L$1:$L$400,"software license")+SUMIFS(SF_Output!$S$1:$S$400,SF_Output!$AC$1:$AC$400,_xlfn.TEXTJOIN(",",TRUE,B38:E38),SF_Output!$Q$1:$Q$400,"One Time",SF_Output!$L$1:$L$400,"hardware"))</f>
        <v>0</v>
      </c>
      <c r="K38" s="112" t="str">
        <f>IF(OR(B38=0,B38="",G38="hardware",J38=0),"",IF(AF38&lt;&gt;"exclusion",MAX(K$9,-((SUMIFS(SF_Output!$T$1:$T$400,SF_Output!$AC$1:$AC$400,_xlfn.TEXTJOIN(",",TRUE,$B38:$E38),SF_Output!$Q$1:$Q$400,"One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license"))/J38)),-((SUMIFS(SF_Output!$T$1:$T$400,SF_Output!$AC$1:$AC$400,_xlfn.TEXTJOIN(",",TRUE,$B38:$E38),SF_Output!$Q$1:$Q$400,"One Time",SF_Output!$L$1:$L$400,"license fee")+SUMIFS(SF_Output!$T$1:$T$400,SF_Output!$AC$1:$AC$400,_xlfn.TEXTJOIN(",",TRUE,$B38:$E38),SF_Output!$Q$1:$Q$400,"One Time",SF_Output!$L$1:$L$400,"software license"))/J38)))</f>
        <v/>
      </c>
      <c r="L38" s="6">
        <f t="shared" si="1"/>
        <v>0</v>
      </c>
      <c r="N38" s="6">
        <f>IF(B38="","",SUMIFS(SF_Output!$S$1:$S$400,SF_Output!$AC$1:$AC$400,_xlfn.TEXTJOIN(",",TRUE,B38:E38),SF_Output!$Q$1:$Q$400,"One Time",SF_Output!$L$1:$L$400,"professional service"))</f>
        <v>0</v>
      </c>
      <c r="O38" s="112" t="str">
        <f>IF(OR(B38=0,B38="",N38=0),"",IF(AF38&lt;&gt;"exclusion",MAX(O$9,-(SUMIFS(SF_Output!$T$1:$T$400,SF_Output!$AC$1:$AC$400,_xlfn.TEXTJOIN(",",TRUE,$B38:$E38),SF_Output!$Q$1:$Q$400,"One Time",SF_Output!$L$1:$L$400,"professional service"))/N38),-((SUMIFS(SF_Output!$T$1:$T$400,SF_Output!$AC$1:$AC$400,_xlfn.TEXTJOIN(",",TRUE,$B38:$E38),SF_Output!$Q$1:$Q$400,"One Time",SF_Output!$L$1:$L$400,"professional service")/N38))))</f>
        <v/>
      </c>
      <c r="P38" s="6">
        <f t="shared" si="2"/>
        <v>0</v>
      </c>
      <c r="R38" s="6">
        <f>IF(B38="","",SUMIFS(SF_Output!$S$1:$S$400,SF_Output!$AC$1:$AC$400,_xlfn.TEXTJOIN(",",TRUE,B38:E38),SF_Output!$Q$1:$Q$400,"yearly")+SUMIFS(SF_Output!$S$1:$S$400,SF_Output!$AC$1:$AC$400,_xlfn.TEXTJOIN(",",TRUE,B38:E38),SF_Output!$Q$1:$Q$400,"quarterly")*4)</f>
        <v>0</v>
      </c>
      <c r="S38" s="112" t="str">
        <f>IF(OR(B38=0,B38="",G38="hardware",R38=0),"",IF(AF38&lt;&gt;"exclusion",MAX(S$9,-(SUMIFS(SF_Output!$T$1:$T$400,SF_Output!$AC$1:$AC$400,_xlfn.TEXTJOIN(",",TRUE,$B38:$E38),SF_Output!$Q$1:$Q$400,"yearly"))/R38),-((SUMIFS(SF_Output!$T$1:$T$400,SF_Output!$AC$1:$AC$400,_xlfn.TEXTJOIN(",",TRUE,$B38:$E38),SF_Output!$Q$1:$Q$400,"yearly")/R38))))</f>
        <v/>
      </c>
      <c r="T38" s="6">
        <f t="shared" si="3"/>
        <v>0</v>
      </c>
      <c r="V38" s="6" cm="1">
        <f t="array" ref="V38">_xlfn.IFS(B38="","",AND(B38&lt;&gt;"",H38=SF_Output!$Y$2,SUMIFS(SF_Output!$T$1:$T$400,SF_Output!$AC$1:$AC$400,_xlfn.TEXTJOIN(",",TRUE,B38:E38),SF_Output!$Q$1:$Q$400,"monthly")=0),(SUMIFS(SF_Output!$F$1:$F$400,SF_Output!$AC$1:$AC$400,_xlfn.TEXTJOIN(",",TRUE,B38:E38),SF_Output!$Q$1:$Q$400,"monthly")+SUMIFS(SF_Output!$G$1:$G$400,SF_Output!$AC$1:$AC$400,_xlfn.TEXTJOIN(",",TRUE,B38:E38),SF_Output!$Q$1:$Q$400,"monthly"))*H38,AND(B38&lt;&gt;"",H38=SF_Output!$Y$2,SUMIFS(SF_Output!$T$1:$T$400,SF_Output!$AC$1:$AC$400,_xlfn.TEXTJOIN(",",TRUE,B38:E38),SF_Output!$Q$1:$Q$400,"monthly")&lt;&gt;0),SUMIFS(SF_Output!$S$1:$S$400,SF_Output!$AC$1:$AC$400,_xlfn.TEXTJOIN(",",TRUE,B38:E38),SF_Output!$Q$1:$Q$400,"monthly"),AND(B38&lt;&gt;"",H38&lt;&gt;SF_Output!$Y$2),SUMIFS(SF_Output!$S$1:$S$400,SF_Output!$AC$1:$AC$400,_xlfn.TEXTJOIN(",",TRUE,B38:E38),SF_Output!$Q$1:$Q$400,"monthly"))</f>
        <v>400</v>
      </c>
      <c r="W38" s="112" cm="1">
        <f t="array" ref="W38">_xlfn.IFS(OR(B38=0,B38="",V38=0),"",AF38&lt;&gt;"exclusion",MAX($W$9,$W$7,(-(SUMIFS(SF_Output!$T$1:$T$400,SF_Output!$AC$1:$AC$400,_xlfn.TEXTJOIN(",",TRUE,$B38:$E38),SF_Output!$Q$1:$Q$400,"monthly"))/V38)),AF38="exclusion",-(SUMIFS(SF_Output!$T$1:$T$400,SF_Output!$AC$1:$AC$400,_xlfn.TEXTJOIN(",",TRUE,$B38:$E38),SF_Output!$Q$1:$Q$400,"monthly"))/V38)</f>
        <v>0</v>
      </c>
      <c r="X38" s="6" cm="1">
        <f t="array" ref="X38">IFERROR(_xlfn.IFS(V38=0,0,V38="","",W38=0,V38,OR(V38&lt;&gt;0,V38&lt;&gt;""),H38*I38),V38*(1-W38))</f>
        <v>400</v>
      </c>
    </row>
    <row r="39" spans="2:24" x14ac:dyDescent="0.25">
      <c r="B39" t="s">
        <v>1447</v>
      </c>
      <c r="C39" t="s">
        <v>2122</v>
      </c>
      <c r="D39" t="s">
        <v>2123</v>
      </c>
      <c r="E39" t="s">
        <v>2150</v>
      </c>
      <c r="F39" s="116" t="str">
        <f t="shared" si="0"/>
        <v>Optional</v>
      </c>
      <c r="G39" t="str">
        <f>IF(B39="","",INDEX(SF_Output!$K$1:$K$400,MATCH(B39,SF_Output!$M$1:$M$400,0)))</f>
        <v>JHA OpenAnywhere</v>
      </c>
      <c r="H39" cm="1">
        <f t="array" ref="H39">_xlfn.IFS(B39="","",(SUMIFS(SF_Output!$F$1:$F$400,SF_Output!$AC$1:$AC$400,_xlfn.TEXTJOIN(",",TRUE,B39:E39))+SUMIFS(SF_Output!$G$1:$G$400,SF_Output!$AC$1:$AC$400,_xlfn.TEXTJOIN(",",TRUE,B39:E39)))&lt;&gt;0,SF_Output!$Y$2,INDEX(SF_Output!$F$1:$F$400,MATCH(_xlfn.TEXTJOIN(",",TRUE,B39:E39),SF_Output!$AC$1:$AC$400,0))=0,INDEX(SF_Output!$R$1:$R$400,MATCH(_xlfn.TEXTJOIN(",",TRUE,B39:E39),SF_Output!$AC$1:$AC$400,0)))</f>
        <v>1</v>
      </c>
      <c r="I39" s="125" t="str">
        <f>IFERROR(IF(AND(H39&gt;1,H39&lt;&gt;""),ROUND(SUMIFS(SF_Output!$S$1:$S$400,SF_Output!$AC$1:$AC$400,_xlfn.TEXTJOIN(",",TRUE,B39:E39),SF_Output!$Q$1:$Q$400,"monthly")*(1-W39)/H39,4),""),"")</f>
        <v/>
      </c>
      <c r="J39" s="6">
        <f>IF(B39="","",SUMIFS(SF_Output!$S$1:$S$400,SF_Output!$AC$1:$AC$400,_xlfn.TEXTJOIN(",",TRUE,B39:E39),SF_Output!$Q$1:$Q$400,"One Time",SF_Output!$L$1:$L$400,"license fee")+SUMIFS(SF_Output!$S$1:$S$400,SF_Output!$AC$1:$AC$400,_xlfn.TEXTJOIN(",",TRUE,B39:E39),SF_Output!$Q$1:$Q$400,"One Time",SF_Output!$L$1:$L$400,"software license")+SUMIFS(SF_Output!$S$1:$S$400,SF_Output!$AC$1:$AC$400,_xlfn.TEXTJOIN(",",TRUE,B39:E39),SF_Output!$Q$1:$Q$400,"One Time",SF_Output!$L$1:$L$400,"hardware"))</f>
        <v>0</v>
      </c>
      <c r="K39" s="112" t="str">
        <f>IF(OR(B39=0,B39="",G39="hardware",J39=0),"",IF(AF39&lt;&gt;"exclusion",MAX(K$9,-((SUMIFS(SF_Output!$T$1:$T$400,SF_Output!$AC$1:$AC$400,_xlfn.TEXTJOIN(",",TRUE,$B39:$E39),SF_Output!$Q$1:$Q$400,"One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license"))/J39)),-((SUMIFS(SF_Output!$T$1:$T$400,SF_Output!$AC$1:$AC$400,_xlfn.TEXTJOIN(",",TRUE,$B39:$E39),SF_Output!$Q$1:$Q$400,"One Time",SF_Output!$L$1:$L$400,"license fee")+SUMIFS(SF_Output!$T$1:$T$400,SF_Output!$AC$1:$AC$400,_xlfn.TEXTJOIN(",",TRUE,$B39:$E39),SF_Output!$Q$1:$Q$400,"One Time",SF_Output!$L$1:$L$400,"software license"))/J39)))</f>
        <v/>
      </c>
      <c r="L39" s="6">
        <f t="shared" si="1"/>
        <v>0</v>
      </c>
      <c r="N39" s="6">
        <f>IF(B39="","",SUMIFS(SF_Output!$S$1:$S$400,SF_Output!$AC$1:$AC$400,_xlfn.TEXTJOIN(",",TRUE,B39:E39),SF_Output!$Q$1:$Q$400,"One Time",SF_Output!$L$1:$L$400,"professional service"))</f>
        <v>3500</v>
      </c>
      <c r="O39" s="112">
        <f>IF(OR(B39=0,B39="",N39=0),"",IF(AF39&lt;&gt;"exclusion",MAX(O$9,-(SUMIFS(SF_Output!$T$1:$T$400,SF_Output!$AC$1:$AC$400,_xlfn.TEXTJOIN(",",TRUE,$B39:$E39),SF_Output!$Q$1:$Q$400,"One Time",SF_Output!$L$1:$L$400,"professional service"))/N39),-((SUMIFS(SF_Output!$T$1:$T$400,SF_Output!$AC$1:$AC$400,_xlfn.TEXTJOIN(",",TRUE,$B39:$E39),SF_Output!$Q$1:$Q$400,"One Time",SF_Output!$L$1:$L$400,"professional service")/N39))))</f>
        <v>0</v>
      </c>
      <c r="P39" s="6">
        <f t="shared" si="2"/>
        <v>3500</v>
      </c>
      <c r="R39" s="6">
        <f>IF(B39="","",SUMIFS(SF_Output!$S$1:$S$400,SF_Output!$AC$1:$AC$400,_xlfn.TEXTJOIN(",",TRUE,B39:E39),SF_Output!$Q$1:$Q$400,"yearly")+SUMIFS(SF_Output!$S$1:$S$400,SF_Output!$AC$1:$AC$400,_xlfn.TEXTJOIN(",",TRUE,B39:E39),SF_Output!$Q$1:$Q$400,"quarterly")*4)</f>
        <v>0</v>
      </c>
      <c r="S39" s="112" t="str">
        <f>IF(OR(B39=0,B39="",G39="hardware",R39=0),"",IF(AF39&lt;&gt;"exclusion",MAX(S$9,-(SUMIFS(SF_Output!$T$1:$T$400,SF_Output!$AC$1:$AC$400,_xlfn.TEXTJOIN(",",TRUE,$B39:$E39),SF_Output!$Q$1:$Q$400,"yearly"))/R39),-((SUMIFS(SF_Output!$T$1:$T$400,SF_Output!$AC$1:$AC$400,_xlfn.TEXTJOIN(",",TRUE,$B39:$E39),SF_Output!$Q$1:$Q$400,"yearly")/R39))))</f>
        <v/>
      </c>
      <c r="T39" s="6">
        <f t="shared" si="3"/>
        <v>0</v>
      </c>
      <c r="V39" s="6" cm="1">
        <f t="array" ref="V39">_xlfn.IFS(B39="","",AND(B39&lt;&gt;"",H39=SF_Output!$Y$2,SUMIFS(SF_Output!$T$1:$T$400,SF_Output!$AC$1:$AC$400,_xlfn.TEXTJOIN(",",TRUE,B39:E39),SF_Output!$Q$1:$Q$400,"monthly")=0),(SUMIFS(SF_Output!$F$1:$F$400,SF_Output!$AC$1:$AC$400,_xlfn.TEXTJOIN(",",TRUE,B39:E39),SF_Output!$Q$1:$Q$400,"monthly")+SUMIFS(SF_Output!$G$1:$G$400,SF_Output!$AC$1:$AC$400,_xlfn.TEXTJOIN(",",TRUE,B39:E39),SF_Output!$Q$1:$Q$400,"monthly"))*H39,AND(B39&lt;&gt;"",H39=SF_Output!$Y$2,SUMIFS(SF_Output!$T$1:$T$400,SF_Output!$AC$1:$AC$400,_xlfn.TEXTJOIN(",",TRUE,B39:E39),SF_Output!$Q$1:$Q$400,"monthly")&lt;&gt;0),SUMIFS(SF_Output!$S$1:$S$400,SF_Output!$AC$1:$AC$400,_xlfn.TEXTJOIN(",",TRUE,B39:E39),SF_Output!$Q$1:$Q$400,"monthly"),AND(B39&lt;&gt;"",H39&lt;&gt;SF_Output!$Y$2),SUMIFS(SF_Output!$S$1:$S$400,SF_Output!$AC$1:$AC$400,_xlfn.TEXTJOIN(",",TRUE,B39:E39),SF_Output!$Q$1:$Q$400,"monthly"))</f>
        <v>2000</v>
      </c>
      <c r="W39" s="112" cm="1">
        <f t="array" ref="W39">_xlfn.IFS(OR(B39=0,B39="",V39=0),"",AF39&lt;&gt;"exclusion",MAX($W$9,$W$7,(-(SUMIFS(SF_Output!$T$1:$T$400,SF_Output!$AC$1:$AC$400,_xlfn.TEXTJOIN(",",TRUE,$B39:$E39),SF_Output!$Q$1:$Q$400,"monthly"))/V39)),AF39="exclusion",-(SUMIFS(SF_Output!$T$1:$T$400,SF_Output!$AC$1:$AC$400,_xlfn.TEXTJOIN(",",TRUE,$B39:$E39),SF_Output!$Q$1:$Q$400,"monthly"))/V39)</f>
        <v>0</v>
      </c>
      <c r="X39" s="6" cm="1">
        <f t="array" ref="X39">IFERROR(_xlfn.IFS(V39=0,0,V39="","",W39=0,V39,OR(V39&lt;&gt;0,V39&lt;&gt;""),H39*I39),V39*(1-W39))</f>
        <v>2000</v>
      </c>
    </row>
    <row r="40" spans="2:24" x14ac:dyDescent="0.25">
      <c r="B40" t="s">
        <v>1818</v>
      </c>
      <c r="C40" t="s">
        <v>2122</v>
      </c>
      <c r="D40" t="s">
        <v>2123</v>
      </c>
      <c r="E40" t="s">
        <v>2124</v>
      </c>
      <c r="F40" s="116" t="str">
        <f t="shared" si="0"/>
        <v>Included</v>
      </c>
      <c r="G40" t="str">
        <f>IF(B40="","",INDEX(SF_Output!$K$1:$K$400,MATCH(B40,SF_Output!$M$1:$M$400,0)))</f>
        <v>JHA OpenAnywhere</v>
      </c>
      <c r="H40" cm="1">
        <f t="array" ref="H40">_xlfn.IFS(B40="","",(SUMIFS(SF_Output!$F$1:$F$400,SF_Output!$AC$1:$AC$400,_xlfn.TEXTJOIN(",",TRUE,B40:E40))+SUMIFS(SF_Output!$G$1:$G$400,SF_Output!$AC$1:$AC$400,_xlfn.TEXTJOIN(",",TRUE,B40:E40)))&lt;&gt;0,SF_Output!$Y$2,INDEX(SF_Output!$F$1:$F$400,MATCH(_xlfn.TEXTJOIN(",",TRUE,B40:E40),SF_Output!$AC$1:$AC$400,0))=0,INDEX(SF_Output!$R$1:$R$400,MATCH(_xlfn.TEXTJOIN(",",TRUE,B40:E40),SF_Output!$AC$1:$AC$400,0)))</f>
        <v>1</v>
      </c>
      <c r="I40" s="125" t="str">
        <f>IFERROR(IF(AND(H40&gt;1,H40&lt;&gt;""),ROUND(SUMIFS(SF_Output!$S$1:$S$400,SF_Output!$AC$1:$AC$400,_xlfn.TEXTJOIN(",",TRUE,B40:E40),SF_Output!$Q$1:$Q$400,"monthly")*(1-W40)/H40,4),""),"")</f>
        <v/>
      </c>
      <c r="J40" s="6">
        <f>IF(B40="","",SUMIFS(SF_Output!$S$1:$S$400,SF_Output!$AC$1:$AC$400,_xlfn.TEXTJOIN(",",TRUE,B40:E40),SF_Output!$Q$1:$Q$400,"One Time",SF_Output!$L$1:$L$400,"license fee")+SUMIFS(SF_Output!$S$1:$S$400,SF_Output!$AC$1:$AC$400,_xlfn.TEXTJOIN(",",TRUE,B40:E40),SF_Output!$Q$1:$Q$400,"One Time",SF_Output!$L$1:$L$400,"software license")+SUMIFS(SF_Output!$S$1:$S$400,SF_Output!$AC$1:$AC$400,_xlfn.TEXTJOIN(",",TRUE,B40:E40),SF_Output!$Q$1:$Q$400,"One Time",SF_Output!$L$1:$L$400,"hardware"))</f>
        <v>0</v>
      </c>
      <c r="K40" s="112" t="str">
        <f>IF(OR(B40=0,B40="",G40="hardware",J40=0),"",IF(AF40&lt;&gt;"exclusion",MAX(K$9,-((SUMIFS(SF_Output!$T$1:$T$400,SF_Output!$AC$1:$AC$400,_xlfn.TEXTJOIN(",",TRUE,$B40:$E40),SF_Output!$Q$1:$Q$400,"One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license"))/J40)),-((SUMIFS(SF_Output!$T$1:$T$400,SF_Output!$AC$1:$AC$400,_xlfn.TEXTJOIN(",",TRUE,$B40:$E40),SF_Output!$Q$1:$Q$400,"One Time",SF_Output!$L$1:$L$400,"license fee")+SUMIFS(SF_Output!$T$1:$T$400,SF_Output!$AC$1:$AC$400,_xlfn.TEXTJOIN(",",TRUE,$B40:$E40),SF_Output!$Q$1:$Q$400,"One Time",SF_Output!$L$1:$L$400,"software license"))/J40)))</f>
        <v/>
      </c>
      <c r="L40" s="6">
        <f t="shared" si="1"/>
        <v>0</v>
      </c>
      <c r="N40" s="6">
        <f>IF(B40="","",SUMIFS(SF_Output!$S$1:$S$400,SF_Output!$AC$1:$AC$400,_xlfn.TEXTJOIN(",",TRUE,B40:E40),SF_Output!$Q$1:$Q$400,"One Time",SF_Output!$L$1:$L$400,"professional service"))</f>
        <v>0</v>
      </c>
      <c r="O40" s="112" t="str">
        <f>IF(OR(B40=0,B40="",N40=0),"",IF(AF40&lt;&gt;"exclusion",MAX(O$9,-(SUMIFS(SF_Output!$T$1:$T$400,SF_Output!$AC$1:$AC$400,_xlfn.TEXTJOIN(",",TRUE,$B40:$E40),SF_Output!$Q$1:$Q$400,"One Time",SF_Output!$L$1:$L$400,"professional service"))/N40),-((SUMIFS(SF_Output!$T$1:$T$400,SF_Output!$AC$1:$AC$400,_xlfn.TEXTJOIN(",",TRUE,$B40:$E40),SF_Output!$Q$1:$Q$400,"One Time",SF_Output!$L$1:$L$400,"professional service")/N40))))</f>
        <v/>
      </c>
      <c r="P40" s="6">
        <f t="shared" si="2"/>
        <v>0</v>
      </c>
      <c r="R40" s="6">
        <f>IF(B40="","",SUMIFS(SF_Output!$S$1:$S$400,SF_Output!$AC$1:$AC$400,_xlfn.TEXTJOIN(",",TRUE,B40:E40),SF_Output!$Q$1:$Q$400,"yearly")+SUMIFS(SF_Output!$S$1:$S$400,SF_Output!$AC$1:$AC$400,_xlfn.TEXTJOIN(",",TRUE,B40:E40),SF_Output!$Q$1:$Q$400,"quarterly")*4)</f>
        <v>0</v>
      </c>
      <c r="S40" s="112" t="str">
        <f>IF(OR(B40=0,B40="",G40="hardware",R40=0),"",IF(AF40&lt;&gt;"exclusion",MAX(S$9,-(SUMIFS(SF_Output!$T$1:$T$400,SF_Output!$AC$1:$AC$400,_xlfn.TEXTJOIN(",",TRUE,$B40:$E40),SF_Output!$Q$1:$Q$400,"yearly"))/R40),-((SUMIFS(SF_Output!$T$1:$T$400,SF_Output!$AC$1:$AC$400,_xlfn.TEXTJOIN(",",TRUE,$B40:$E40),SF_Output!$Q$1:$Q$400,"yearly")/R40))))</f>
        <v/>
      </c>
      <c r="T40" s="6">
        <f t="shared" si="3"/>
        <v>0</v>
      </c>
      <c r="V40" s="6" cm="1">
        <f t="array" ref="V40">_xlfn.IFS(B40="","",AND(B40&lt;&gt;"",H40=SF_Output!$Y$2,SUMIFS(SF_Output!$T$1:$T$400,SF_Output!$AC$1:$AC$400,_xlfn.TEXTJOIN(",",TRUE,B40:E40),SF_Output!$Q$1:$Q$400,"monthly")=0),(SUMIFS(SF_Output!$F$1:$F$400,SF_Output!$AC$1:$AC$400,_xlfn.TEXTJOIN(",",TRUE,B40:E40),SF_Output!$Q$1:$Q$400,"monthly")+SUMIFS(SF_Output!$G$1:$G$400,SF_Output!$AC$1:$AC$400,_xlfn.TEXTJOIN(",",TRUE,B40:E40),SF_Output!$Q$1:$Q$400,"monthly"))*H40,AND(B40&lt;&gt;"",H40=SF_Output!$Y$2,SUMIFS(SF_Output!$T$1:$T$400,SF_Output!$AC$1:$AC$400,_xlfn.TEXTJOIN(",",TRUE,B40:E40),SF_Output!$Q$1:$Q$400,"monthly")&lt;&gt;0),SUMIFS(SF_Output!$S$1:$S$400,SF_Output!$AC$1:$AC$400,_xlfn.TEXTJOIN(",",TRUE,B40:E40),SF_Output!$Q$1:$Q$400,"monthly"),AND(B40&lt;&gt;"",H40&lt;&gt;SF_Output!$Y$2),SUMIFS(SF_Output!$S$1:$S$400,SF_Output!$AC$1:$AC$400,_xlfn.TEXTJOIN(",",TRUE,B40:E40),SF_Output!$Q$1:$Q$400,"monthly"))</f>
        <v>200</v>
      </c>
      <c r="W40" s="112" cm="1">
        <f t="array" ref="W40">_xlfn.IFS(OR(B40=0,B40="",V40=0),"",AF40&lt;&gt;"exclusion",MAX($W$9,$W$7,(-(SUMIFS(SF_Output!$T$1:$T$400,SF_Output!$AC$1:$AC$400,_xlfn.TEXTJOIN(",",TRUE,$B40:$E40),SF_Output!$Q$1:$Q$400,"monthly"))/V40)),AF40="exclusion",-(SUMIFS(SF_Output!$T$1:$T$400,SF_Output!$AC$1:$AC$400,_xlfn.TEXTJOIN(",",TRUE,$B40:$E40),SF_Output!$Q$1:$Q$400,"monthly"))/V40)</f>
        <v>0</v>
      </c>
      <c r="X40" s="6" cm="1">
        <f t="array" ref="X40">IFERROR(_xlfn.IFS(V40=0,0,V40="","",W40=0,V40,OR(V40&lt;&gt;0,V40&lt;&gt;""),H40*I40),V40*(1-W40))</f>
        <v>200</v>
      </c>
    </row>
    <row r="41" spans="2:24" x14ac:dyDescent="0.25">
      <c r="B41" t="s">
        <v>561</v>
      </c>
      <c r="C41" t="s">
        <v>2122</v>
      </c>
      <c r="D41" t="s">
        <v>2123</v>
      </c>
      <c r="E41" t="s">
        <v>2124</v>
      </c>
      <c r="F41" s="116" t="str">
        <f t="shared" si="0"/>
        <v>Included</v>
      </c>
      <c r="G41" t="str">
        <f>IF(B41="","",INDEX(SF_Output!$K$1:$K$400,MATCH(B41,SF_Output!$M$1:$M$400,0)))</f>
        <v>Banno</v>
      </c>
      <c r="H41" cm="1">
        <f t="array" ref="H41">_xlfn.IFS(B41="","",(SUMIFS(SF_Output!$F$1:$F$400,SF_Output!$AC$1:$AC$400,_xlfn.TEXTJOIN(",",TRUE,B41:E41))+SUMIFS(SF_Output!$G$1:$G$400,SF_Output!$AC$1:$AC$400,_xlfn.TEXTJOIN(",",TRUE,B41:E41)))&lt;&gt;0,SF_Output!$Y$2,INDEX(SF_Output!$F$1:$F$400,MATCH(_xlfn.TEXTJOIN(",",TRUE,B41:E41),SF_Output!$AC$1:$AC$400,0))=0,INDEX(SF_Output!$R$1:$R$400,MATCH(_xlfn.TEXTJOIN(",",TRUE,B41:E41),SF_Output!$AC$1:$AC$400,0)))</f>
        <v>1</v>
      </c>
      <c r="I41" s="125" t="str">
        <f>IFERROR(IF(AND(H41&gt;1,H41&lt;&gt;""),ROUND(SUMIFS(SF_Output!$S$1:$S$400,SF_Output!$AC$1:$AC$400,_xlfn.TEXTJOIN(",",TRUE,B41:E41),SF_Output!$Q$1:$Q$400,"monthly")*(1-W41)/H41,4),""),"")</f>
        <v/>
      </c>
      <c r="J41" s="6">
        <f>IF(B41="","",SUMIFS(SF_Output!$S$1:$S$400,SF_Output!$AC$1:$AC$400,_xlfn.TEXTJOIN(",",TRUE,B41:E41),SF_Output!$Q$1:$Q$400,"One Time",SF_Output!$L$1:$L$400,"license fee")+SUMIFS(SF_Output!$S$1:$S$400,SF_Output!$AC$1:$AC$400,_xlfn.TEXTJOIN(",",TRUE,B41:E41),SF_Output!$Q$1:$Q$400,"One Time",SF_Output!$L$1:$L$400,"software license")+SUMIFS(SF_Output!$S$1:$S$400,SF_Output!$AC$1:$AC$400,_xlfn.TEXTJOIN(",",TRUE,B41:E41),SF_Output!$Q$1:$Q$400,"One Time",SF_Output!$L$1:$L$400,"hardware"))</f>
        <v>0</v>
      </c>
      <c r="K41" s="112" t="str">
        <f>IF(OR(B41=0,B41="",G41="hardware",J41=0),"",IF(AF41&lt;&gt;"exclusion",MAX(K$9,-((SUMIFS(SF_Output!$T$1:$T$400,SF_Output!$AC$1:$AC$400,_xlfn.TEXTJOIN(",",TRUE,$B41:$E41),SF_Output!$Q$1:$Q$400,"One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license"))/J41)),-((SUMIFS(SF_Output!$T$1:$T$400,SF_Output!$AC$1:$AC$400,_xlfn.TEXTJOIN(",",TRUE,$B41:$E41),SF_Output!$Q$1:$Q$400,"One Time",SF_Output!$L$1:$L$400,"license fee")+SUMIFS(SF_Output!$T$1:$T$400,SF_Output!$AC$1:$AC$400,_xlfn.TEXTJOIN(",",TRUE,$B41:$E41),SF_Output!$Q$1:$Q$400,"One Time",SF_Output!$L$1:$L$400,"software license"))/J41)))</f>
        <v/>
      </c>
      <c r="L41" s="6">
        <f t="shared" si="1"/>
        <v>0</v>
      </c>
      <c r="N41" s="6">
        <f>IF(B41="","",SUMIFS(SF_Output!$S$1:$S$400,SF_Output!$AC$1:$AC$400,_xlfn.TEXTJOIN(",",TRUE,B41:E41),SF_Output!$Q$1:$Q$400,"One Time",SF_Output!$L$1:$L$400,"professional service"))</f>
        <v>65000</v>
      </c>
      <c r="O41" s="112">
        <f>IF(OR(B41=0,B41="",N41=0),"",IF(AF41&lt;&gt;"exclusion",MAX(O$9,-(SUMIFS(SF_Output!$T$1:$T$400,SF_Output!$AC$1:$AC$400,_xlfn.TEXTJOIN(",",TRUE,$B41:$E41),SF_Output!$Q$1:$Q$400,"One Time",SF_Output!$L$1:$L$400,"professional service"))/N41),-((SUMIFS(SF_Output!$T$1:$T$400,SF_Output!$AC$1:$AC$400,_xlfn.TEXTJOIN(",",TRUE,$B41:$E41),SF_Output!$Q$1:$Q$400,"One Time",SF_Output!$L$1:$L$400,"professional service")/N41))))</f>
        <v>1</v>
      </c>
      <c r="P41" s="6">
        <f t="shared" si="2"/>
        <v>0</v>
      </c>
      <c r="R41" s="6">
        <f>IF(B41="","",SUMIFS(SF_Output!$S$1:$S$400,SF_Output!$AC$1:$AC$400,_xlfn.TEXTJOIN(",",TRUE,B41:E41),SF_Output!$Q$1:$Q$400,"yearly")+SUMIFS(SF_Output!$S$1:$S$400,SF_Output!$AC$1:$AC$400,_xlfn.TEXTJOIN(",",TRUE,B41:E41),SF_Output!$Q$1:$Q$400,"quarterly")*4)</f>
        <v>0</v>
      </c>
      <c r="S41" s="112" t="str">
        <f>IF(OR(B41=0,B41="",G41="hardware",R41=0),"",IF(AF41&lt;&gt;"exclusion",MAX(S$9,-(SUMIFS(SF_Output!$T$1:$T$400,SF_Output!$AC$1:$AC$400,_xlfn.TEXTJOIN(",",TRUE,$B41:$E41),SF_Output!$Q$1:$Q$400,"yearly"))/R41),-((SUMIFS(SF_Output!$T$1:$T$400,SF_Output!$AC$1:$AC$400,_xlfn.TEXTJOIN(",",TRUE,$B41:$E41),SF_Output!$Q$1:$Q$400,"yearly")/R41))))</f>
        <v/>
      </c>
      <c r="T41" s="6">
        <f t="shared" si="3"/>
        <v>0</v>
      </c>
      <c r="V41" s="6" cm="1">
        <f t="array" ref="V41">_xlfn.IFS(B41="","",AND(B41&lt;&gt;"",H41=SF_Output!$Y$2,SUMIFS(SF_Output!$T$1:$T$400,SF_Output!$AC$1:$AC$400,_xlfn.TEXTJOIN(",",TRUE,B41:E41),SF_Output!$Q$1:$Q$400,"monthly")=0),(SUMIFS(SF_Output!$F$1:$F$400,SF_Output!$AC$1:$AC$400,_xlfn.TEXTJOIN(",",TRUE,B41:E41),SF_Output!$Q$1:$Q$400,"monthly")+SUMIFS(SF_Output!$G$1:$G$400,SF_Output!$AC$1:$AC$400,_xlfn.TEXTJOIN(",",TRUE,B41:E41),SF_Output!$Q$1:$Q$400,"monthly"))*H41,AND(B41&lt;&gt;"",H41=SF_Output!$Y$2,SUMIFS(SF_Output!$T$1:$T$400,SF_Output!$AC$1:$AC$400,_xlfn.TEXTJOIN(",",TRUE,B41:E41),SF_Output!$Q$1:$Q$400,"monthly")&lt;&gt;0),SUMIFS(SF_Output!$S$1:$S$400,SF_Output!$AC$1:$AC$400,_xlfn.TEXTJOIN(",",TRUE,B41:E41),SF_Output!$Q$1:$Q$400,"monthly"),AND(B41&lt;&gt;"",H41&lt;&gt;SF_Output!$Y$2),SUMIFS(SF_Output!$S$1:$S$400,SF_Output!$AC$1:$AC$400,_xlfn.TEXTJOIN(",",TRUE,B41:E41),SF_Output!$Q$1:$Q$400,"monthly"))</f>
        <v>500</v>
      </c>
      <c r="W41" s="112" cm="1">
        <f t="array" ref="W41">_xlfn.IFS(OR(B41=0,B41="",V41=0),"",AF41&lt;&gt;"exclusion",MAX($W$9,$W$7,(-(SUMIFS(SF_Output!$T$1:$T$400,SF_Output!$AC$1:$AC$400,_xlfn.TEXTJOIN(",",TRUE,$B41:$E41),SF_Output!$Q$1:$Q$400,"monthly"))/V41)),AF41="exclusion",-(SUMIFS(SF_Output!$T$1:$T$400,SF_Output!$AC$1:$AC$400,_xlfn.TEXTJOIN(",",TRUE,$B41:$E41),SF_Output!$Q$1:$Q$400,"monthly"))/V41)</f>
        <v>0</v>
      </c>
      <c r="X41" s="6" cm="1">
        <f t="array" ref="X41">IFERROR(_xlfn.IFS(V41=0,0,V41="","",W41=0,V41,OR(V41&lt;&gt;0,V41&lt;&gt;""),H41*I41),V41*(1-W41))</f>
        <v>500</v>
      </c>
    </row>
    <row r="42" spans="2:24" x14ac:dyDescent="0.25">
      <c r="B42" t="s">
        <v>600</v>
      </c>
      <c r="C42" t="s">
        <v>2122</v>
      </c>
      <c r="D42" t="s">
        <v>2123</v>
      </c>
      <c r="E42" t="s">
        <v>2124</v>
      </c>
      <c r="F42" s="116" t="str">
        <f t="shared" si="0"/>
        <v>Included</v>
      </c>
      <c r="G42" t="str">
        <f>IF(B42="","",INDEX(SF_Output!$K$1:$K$400,MATCH(B42,SF_Output!$M$1:$M$400,0)))</f>
        <v>Banno</v>
      </c>
      <c r="H42" cm="1">
        <f t="array" ref="H42">_xlfn.IFS(B42="","",(SUMIFS(SF_Output!$F$1:$F$400,SF_Output!$AC$1:$AC$400,_xlfn.TEXTJOIN(",",TRUE,B42:E42))+SUMIFS(SF_Output!$G$1:$G$400,SF_Output!$AC$1:$AC$400,_xlfn.TEXTJOIN(",",TRUE,B42:E42)))&lt;&gt;0,SF_Output!$Y$2,INDEX(SF_Output!$F$1:$F$400,MATCH(_xlfn.TEXTJOIN(",",TRUE,B42:E42),SF_Output!$AC$1:$AC$400,0))=0,INDEX(SF_Output!$R$1:$R$400,MATCH(_xlfn.TEXTJOIN(",",TRUE,B42:E42),SF_Output!$AC$1:$AC$400,0)))</f>
        <v>1</v>
      </c>
      <c r="I42" s="125" t="str">
        <f>IFERROR(IF(AND(H42&gt;1,H42&lt;&gt;""),ROUND(SUMIFS(SF_Output!$S$1:$S$400,SF_Output!$AC$1:$AC$400,_xlfn.TEXTJOIN(",",TRUE,B42:E42),SF_Output!$Q$1:$Q$400,"monthly")*(1-W42)/H42,4),""),"")</f>
        <v/>
      </c>
      <c r="J42" s="6">
        <f>IF(B42="","",SUMIFS(SF_Output!$S$1:$S$400,SF_Output!$AC$1:$AC$400,_xlfn.TEXTJOIN(",",TRUE,B42:E42),SF_Output!$Q$1:$Q$400,"One Time",SF_Output!$L$1:$L$400,"license fee")+SUMIFS(SF_Output!$S$1:$S$400,SF_Output!$AC$1:$AC$400,_xlfn.TEXTJOIN(",",TRUE,B42:E42),SF_Output!$Q$1:$Q$400,"One Time",SF_Output!$L$1:$L$400,"software license")+SUMIFS(SF_Output!$S$1:$S$400,SF_Output!$AC$1:$AC$400,_xlfn.TEXTJOIN(",",TRUE,B42:E42),SF_Output!$Q$1:$Q$400,"One Time",SF_Output!$L$1:$L$400,"hardware"))</f>
        <v>0</v>
      </c>
      <c r="K42" s="112" t="str">
        <f>IF(OR(B42=0,B42="",G42="hardware",J42=0),"",IF(AF42&lt;&gt;"exclusion",MAX(K$9,-((SUMIFS(SF_Output!$T$1:$T$400,SF_Output!$AC$1:$AC$400,_xlfn.TEXTJOIN(",",TRUE,$B42:$E42),SF_Output!$Q$1:$Q$400,"One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license"))/J42)),-((SUMIFS(SF_Output!$T$1:$T$400,SF_Output!$AC$1:$AC$400,_xlfn.TEXTJOIN(",",TRUE,$B42:$E42),SF_Output!$Q$1:$Q$400,"One Time",SF_Output!$L$1:$L$400,"license fee")+SUMIFS(SF_Output!$T$1:$T$400,SF_Output!$AC$1:$AC$400,_xlfn.TEXTJOIN(",",TRUE,$B42:$E42),SF_Output!$Q$1:$Q$400,"One Time",SF_Output!$L$1:$L$400,"software license"))/J42)))</f>
        <v/>
      </c>
      <c r="L42" s="6">
        <f t="shared" si="1"/>
        <v>0</v>
      </c>
      <c r="N42" s="6">
        <f>IF(B42="","",SUMIFS(SF_Output!$S$1:$S$400,SF_Output!$AC$1:$AC$400,_xlfn.TEXTJOIN(",",TRUE,B42:E42),SF_Output!$Q$1:$Q$400,"One Time",SF_Output!$L$1:$L$400,"professional service"))</f>
        <v>20000</v>
      </c>
      <c r="O42" s="112">
        <f>IF(OR(B42=0,B42="",N42=0),"",IF(AF42&lt;&gt;"exclusion",MAX(O$9,-(SUMIFS(SF_Output!$T$1:$T$400,SF_Output!$AC$1:$AC$400,_xlfn.TEXTJOIN(",",TRUE,$B42:$E42),SF_Output!$Q$1:$Q$400,"One Time",SF_Output!$L$1:$L$400,"professional service"))/N42),-((SUMIFS(SF_Output!$T$1:$T$400,SF_Output!$AC$1:$AC$400,_xlfn.TEXTJOIN(",",TRUE,$B42:$E42),SF_Output!$Q$1:$Q$400,"One Time",SF_Output!$L$1:$L$400,"professional service")/N42))))</f>
        <v>1</v>
      </c>
      <c r="P42" s="6">
        <f t="shared" si="2"/>
        <v>0</v>
      </c>
      <c r="R42" s="6">
        <f>IF(B42="","",SUMIFS(SF_Output!$S$1:$S$400,SF_Output!$AC$1:$AC$400,_xlfn.TEXTJOIN(",",TRUE,B42:E42),SF_Output!$Q$1:$Q$400,"yearly")+SUMIFS(SF_Output!$S$1:$S$400,SF_Output!$AC$1:$AC$400,_xlfn.TEXTJOIN(",",TRUE,B42:E42),SF_Output!$Q$1:$Q$400,"quarterly")*4)</f>
        <v>0</v>
      </c>
      <c r="S42" s="112" t="str">
        <f>IF(OR(B42=0,B42="",G42="hardware",R42=0),"",IF(AF42&lt;&gt;"exclusion",MAX(S$9,-(SUMIFS(SF_Output!$T$1:$T$400,SF_Output!$AC$1:$AC$400,_xlfn.TEXTJOIN(",",TRUE,$B42:$E42),SF_Output!$Q$1:$Q$400,"yearly"))/R42),-((SUMIFS(SF_Output!$T$1:$T$400,SF_Output!$AC$1:$AC$400,_xlfn.TEXTJOIN(",",TRUE,$B42:$E42),SF_Output!$Q$1:$Q$400,"yearly")/R42))))</f>
        <v/>
      </c>
      <c r="T42" s="6">
        <f t="shared" si="3"/>
        <v>0</v>
      </c>
      <c r="V42" s="6" cm="1">
        <f t="array" ref="V42">_xlfn.IFS(B42="","",AND(B42&lt;&gt;"",H42=SF_Output!$Y$2,SUMIFS(SF_Output!$T$1:$T$400,SF_Output!$AC$1:$AC$400,_xlfn.TEXTJOIN(",",TRUE,B42:E42),SF_Output!$Q$1:$Q$400,"monthly")=0),(SUMIFS(SF_Output!$F$1:$F$400,SF_Output!$AC$1:$AC$400,_xlfn.TEXTJOIN(",",TRUE,B42:E42),SF_Output!$Q$1:$Q$400,"monthly")+SUMIFS(SF_Output!$G$1:$G$400,SF_Output!$AC$1:$AC$400,_xlfn.TEXTJOIN(",",TRUE,B42:E42),SF_Output!$Q$1:$Q$400,"monthly"))*H42,AND(B42&lt;&gt;"",H42=SF_Output!$Y$2,SUMIFS(SF_Output!$T$1:$T$400,SF_Output!$AC$1:$AC$400,_xlfn.TEXTJOIN(",",TRUE,B42:E42),SF_Output!$Q$1:$Q$400,"monthly")&lt;&gt;0),SUMIFS(SF_Output!$S$1:$S$400,SF_Output!$AC$1:$AC$400,_xlfn.TEXTJOIN(",",TRUE,B42:E42),SF_Output!$Q$1:$Q$400,"monthly"),AND(B42&lt;&gt;"",H42&lt;&gt;SF_Output!$Y$2),SUMIFS(SF_Output!$S$1:$S$400,SF_Output!$AC$1:$AC$400,_xlfn.TEXTJOIN(",",TRUE,B42:E42),SF_Output!$Q$1:$Q$400,"monthly"))</f>
        <v>0</v>
      </c>
      <c r="W42" s="112" t="str" cm="1">
        <f t="array" ref="W42">_xlfn.IFS(OR(B42=0,B42="",V42=0),"",AF42&lt;&gt;"exclusion",MAX($W$9,$W$7,(-(SUMIFS(SF_Output!$T$1:$T$400,SF_Output!$AC$1:$AC$400,_xlfn.TEXTJOIN(",",TRUE,$B42:$E42),SF_Output!$Q$1:$Q$400,"monthly"))/V42)),AF42="exclusion",-(SUMIFS(SF_Output!$T$1:$T$400,SF_Output!$AC$1:$AC$400,_xlfn.TEXTJOIN(",",TRUE,$B42:$E42),SF_Output!$Q$1:$Q$400,"monthly"))/V42)</f>
        <v/>
      </c>
      <c r="X42" s="6" cm="1">
        <f t="array" ref="X42">IFERROR(_xlfn.IFS(V42=0,0,V42="","",W42=0,V42,OR(V42&lt;&gt;0,V42&lt;&gt;""),H42*I42),V42*(1-W42))</f>
        <v>0</v>
      </c>
    </row>
    <row r="43" spans="2:24" x14ac:dyDescent="0.25">
      <c r="B43" t="s">
        <v>1804</v>
      </c>
      <c r="C43" t="s">
        <v>2122</v>
      </c>
      <c r="D43" t="s">
        <v>2123</v>
      </c>
      <c r="E43" t="s">
        <v>2150</v>
      </c>
      <c r="F43" s="116" t="str">
        <f t="shared" si="0"/>
        <v>Optional</v>
      </c>
      <c r="G43" t="str">
        <f>IF(B43="","",INDEX(SF_Output!$K$1:$K$400,MATCH(B43,SF_Output!$M$1:$M$400,0)))</f>
        <v>Banno</v>
      </c>
      <c r="H43" cm="1">
        <f t="array" ref="H43">_xlfn.IFS(B43="","",(SUMIFS(SF_Output!$F$1:$F$400,SF_Output!$AC$1:$AC$400,_xlfn.TEXTJOIN(",",TRUE,B43:E43))+SUMIFS(SF_Output!$G$1:$G$400,SF_Output!$AC$1:$AC$400,_xlfn.TEXTJOIN(",",TRUE,B43:E43)))&lt;&gt;0,SF_Output!$Y$2,INDEX(SF_Output!$F$1:$F$400,MATCH(_xlfn.TEXTJOIN(",",TRUE,B43:E43),SF_Output!$AC$1:$AC$400,0))=0,INDEX(SF_Output!$R$1:$R$400,MATCH(_xlfn.TEXTJOIN(",",TRUE,B43:E43),SF_Output!$AC$1:$AC$400,0)))</f>
        <v>1</v>
      </c>
      <c r="I43" s="125" t="str">
        <f>IFERROR(IF(AND(H43&gt;1,H43&lt;&gt;""),ROUND(SUMIFS(SF_Output!$S$1:$S$400,SF_Output!$AC$1:$AC$400,_xlfn.TEXTJOIN(",",TRUE,B43:E43),SF_Output!$Q$1:$Q$400,"monthly")*(1-W43)/H43,4),""),"")</f>
        <v/>
      </c>
      <c r="J43" s="6">
        <f>IF(B43="","",SUMIFS(SF_Output!$S$1:$S$400,SF_Output!$AC$1:$AC$400,_xlfn.TEXTJOIN(",",TRUE,B43:E43),SF_Output!$Q$1:$Q$400,"One Time",SF_Output!$L$1:$L$400,"license fee")+SUMIFS(SF_Output!$S$1:$S$400,SF_Output!$AC$1:$AC$400,_xlfn.TEXTJOIN(",",TRUE,B43:E43),SF_Output!$Q$1:$Q$400,"One Time",SF_Output!$L$1:$L$400,"software license")+SUMIFS(SF_Output!$S$1:$S$400,SF_Output!$AC$1:$AC$400,_xlfn.TEXTJOIN(",",TRUE,B43:E43),SF_Output!$Q$1:$Q$400,"One Time",SF_Output!$L$1:$L$400,"hardware"))</f>
        <v>0</v>
      </c>
      <c r="K43" s="112" t="str">
        <f>IF(OR(B43=0,B43="",G43="hardware",J43=0),"",IF(AF43&lt;&gt;"exclusion",MAX(K$9,-((SUMIFS(SF_Output!$T$1:$T$400,SF_Output!$AC$1:$AC$400,_xlfn.TEXTJOIN(",",TRUE,$B43:$E43),SF_Output!$Q$1:$Q$400,"One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license"))/J43)),-((SUMIFS(SF_Output!$T$1:$T$400,SF_Output!$AC$1:$AC$400,_xlfn.TEXTJOIN(",",TRUE,$B43:$E43),SF_Output!$Q$1:$Q$400,"One Time",SF_Output!$L$1:$L$400,"license fee")+SUMIFS(SF_Output!$T$1:$T$400,SF_Output!$AC$1:$AC$400,_xlfn.TEXTJOIN(",",TRUE,$B43:$E43),SF_Output!$Q$1:$Q$400,"One Time",SF_Output!$L$1:$L$400,"software license"))/J43)))</f>
        <v/>
      </c>
      <c r="L43" s="6">
        <f t="shared" si="1"/>
        <v>0</v>
      </c>
      <c r="N43" s="6">
        <f>IF(B43="","",SUMIFS(SF_Output!$S$1:$S$400,SF_Output!$AC$1:$AC$400,_xlfn.TEXTJOIN(",",TRUE,B43:E43),SF_Output!$Q$1:$Q$400,"One Time",SF_Output!$L$1:$L$400,"professional service"))</f>
        <v>5000</v>
      </c>
      <c r="O43" s="112">
        <f>IF(OR(B43=0,B43="",N43=0),"",IF(AF43&lt;&gt;"exclusion",MAX(O$9,-(SUMIFS(SF_Output!$T$1:$T$400,SF_Output!$AC$1:$AC$400,_xlfn.TEXTJOIN(",",TRUE,$B43:$E43),SF_Output!$Q$1:$Q$400,"One Time",SF_Output!$L$1:$L$400,"professional service"))/N43),-((SUMIFS(SF_Output!$T$1:$T$400,SF_Output!$AC$1:$AC$400,_xlfn.TEXTJOIN(",",TRUE,$B43:$E43),SF_Output!$Q$1:$Q$400,"One Time",SF_Output!$L$1:$L$400,"professional service")/N43))))</f>
        <v>1</v>
      </c>
      <c r="P43" s="6">
        <f t="shared" si="2"/>
        <v>0</v>
      </c>
      <c r="R43" s="6">
        <f>IF(B43="","",SUMIFS(SF_Output!$S$1:$S$400,SF_Output!$AC$1:$AC$400,_xlfn.TEXTJOIN(",",TRUE,B43:E43),SF_Output!$Q$1:$Q$400,"yearly")+SUMIFS(SF_Output!$S$1:$S$400,SF_Output!$AC$1:$AC$400,_xlfn.TEXTJOIN(",",TRUE,B43:E43),SF_Output!$Q$1:$Q$400,"quarterly")*4)</f>
        <v>0</v>
      </c>
      <c r="S43" s="112" t="str">
        <f>IF(OR(B43=0,B43="",G43="hardware",R43=0),"",IF(AF43&lt;&gt;"exclusion",MAX(S$9,-(SUMIFS(SF_Output!$T$1:$T$400,SF_Output!$AC$1:$AC$400,_xlfn.TEXTJOIN(",",TRUE,$B43:$E43),SF_Output!$Q$1:$Q$400,"yearly"))/R43),-((SUMIFS(SF_Output!$T$1:$T$400,SF_Output!$AC$1:$AC$400,_xlfn.TEXTJOIN(",",TRUE,$B43:$E43),SF_Output!$Q$1:$Q$400,"yearly")/R43))))</f>
        <v/>
      </c>
      <c r="T43" s="6">
        <f t="shared" si="3"/>
        <v>0</v>
      </c>
      <c r="V43" s="6" cm="1">
        <f t="array" ref="V43">_xlfn.IFS(B43="","",AND(B43&lt;&gt;"",H43=SF_Output!$Y$2,SUMIFS(SF_Output!$T$1:$T$400,SF_Output!$AC$1:$AC$400,_xlfn.TEXTJOIN(",",TRUE,B43:E43),SF_Output!$Q$1:$Q$400,"monthly")=0),(SUMIFS(SF_Output!$F$1:$F$400,SF_Output!$AC$1:$AC$400,_xlfn.TEXTJOIN(",",TRUE,B43:E43),SF_Output!$Q$1:$Q$400,"monthly")+SUMIFS(SF_Output!$G$1:$G$400,SF_Output!$AC$1:$AC$400,_xlfn.TEXTJOIN(",",TRUE,B43:E43),SF_Output!$Q$1:$Q$400,"monthly"))*H43,AND(B43&lt;&gt;"",H43=SF_Output!$Y$2,SUMIFS(SF_Output!$T$1:$T$400,SF_Output!$AC$1:$AC$400,_xlfn.TEXTJOIN(",",TRUE,B43:E43),SF_Output!$Q$1:$Q$400,"monthly")&lt;&gt;0),SUMIFS(SF_Output!$S$1:$S$400,SF_Output!$AC$1:$AC$400,_xlfn.TEXTJOIN(",",TRUE,B43:E43),SF_Output!$Q$1:$Q$400,"monthly"),AND(B43&lt;&gt;"",H43&lt;&gt;SF_Output!$Y$2),SUMIFS(SF_Output!$S$1:$S$400,SF_Output!$AC$1:$AC$400,_xlfn.TEXTJOIN(",",TRUE,B43:E43),SF_Output!$Q$1:$Q$400,"monthly"))</f>
        <v>0</v>
      </c>
      <c r="W43" s="112" t="str" cm="1">
        <f t="array" ref="W43">_xlfn.IFS(OR(B43=0,B43="",V43=0),"",AF43&lt;&gt;"exclusion",MAX($W$9,$W$7,(-(SUMIFS(SF_Output!$T$1:$T$400,SF_Output!$AC$1:$AC$400,_xlfn.TEXTJOIN(",",TRUE,$B43:$E43),SF_Output!$Q$1:$Q$400,"monthly"))/V43)),AF43="exclusion",-(SUMIFS(SF_Output!$T$1:$T$400,SF_Output!$AC$1:$AC$400,_xlfn.TEXTJOIN(",",TRUE,$B43:$E43),SF_Output!$Q$1:$Q$400,"monthly"))/V43)</f>
        <v/>
      </c>
      <c r="X43" s="6" cm="1">
        <f t="array" ref="X43">IFERROR(_xlfn.IFS(V43=0,0,V43="","",W43=0,V43,OR(V43&lt;&gt;0,V43&lt;&gt;""),H43*I43),V43*(1-W43))</f>
        <v>0</v>
      </c>
    </row>
    <row r="44" spans="2:24" x14ac:dyDescent="0.25">
      <c r="B44" t="s">
        <v>1806</v>
      </c>
      <c r="C44" t="s">
        <v>2122</v>
      </c>
      <c r="D44" t="s">
        <v>2123</v>
      </c>
      <c r="E44" t="s">
        <v>2150</v>
      </c>
      <c r="F44" s="116" t="str">
        <f t="shared" si="0"/>
        <v>Optional</v>
      </c>
      <c r="G44" t="str">
        <f>IF(B44="","",INDEX(SF_Output!$K$1:$K$400,MATCH(B44,SF_Output!$M$1:$M$400,0)))</f>
        <v>Banno</v>
      </c>
      <c r="H44" cm="1">
        <f t="array" ref="H44">_xlfn.IFS(B44="","",(SUMIFS(SF_Output!$F$1:$F$400,SF_Output!$AC$1:$AC$400,_xlfn.TEXTJOIN(",",TRUE,B44:E44))+SUMIFS(SF_Output!$G$1:$G$400,SF_Output!$AC$1:$AC$400,_xlfn.TEXTJOIN(",",TRUE,B44:E44)))&lt;&gt;0,SF_Output!$Y$2,INDEX(SF_Output!$F$1:$F$400,MATCH(_xlfn.TEXTJOIN(",",TRUE,B44:E44),SF_Output!$AC$1:$AC$400,0))=0,INDEX(SF_Output!$R$1:$R$400,MATCH(_xlfn.TEXTJOIN(",",TRUE,B44:E44),SF_Output!$AC$1:$AC$400,0)))</f>
        <v>1</v>
      </c>
      <c r="I44" s="125" t="str">
        <f>IFERROR(IF(AND(H44&gt;1,H44&lt;&gt;""),ROUND(SUMIFS(SF_Output!$S$1:$S$400,SF_Output!$AC$1:$AC$400,_xlfn.TEXTJOIN(",",TRUE,B44:E44),SF_Output!$Q$1:$Q$400,"monthly")*(1-W44)/H44,4),""),"")</f>
        <v/>
      </c>
      <c r="J44" s="6">
        <f>IF(B44="","",SUMIFS(SF_Output!$S$1:$S$400,SF_Output!$AC$1:$AC$400,_xlfn.TEXTJOIN(",",TRUE,B44:E44),SF_Output!$Q$1:$Q$400,"One Time",SF_Output!$L$1:$L$400,"license fee")+SUMIFS(SF_Output!$S$1:$S$400,SF_Output!$AC$1:$AC$400,_xlfn.TEXTJOIN(",",TRUE,B44:E44),SF_Output!$Q$1:$Q$400,"One Time",SF_Output!$L$1:$L$400,"software license")+SUMIFS(SF_Output!$S$1:$S$400,SF_Output!$AC$1:$AC$400,_xlfn.TEXTJOIN(",",TRUE,B44:E44),SF_Output!$Q$1:$Q$400,"One Time",SF_Output!$L$1:$L$400,"hardware"))</f>
        <v>0</v>
      </c>
      <c r="K44" s="112" t="str">
        <f>IF(OR(B44=0,B44="",G44="hardware",J44=0),"",IF(AF44&lt;&gt;"exclusion",MAX(K$9,-((SUMIFS(SF_Output!$T$1:$T$400,SF_Output!$AC$1:$AC$400,_xlfn.TEXTJOIN(",",TRUE,$B44:$E44),SF_Output!$Q$1:$Q$400,"One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license"))/J44)),-((SUMIFS(SF_Output!$T$1:$T$400,SF_Output!$AC$1:$AC$400,_xlfn.TEXTJOIN(",",TRUE,$B44:$E44),SF_Output!$Q$1:$Q$400,"One Time",SF_Output!$L$1:$L$400,"license fee")+SUMIFS(SF_Output!$T$1:$T$400,SF_Output!$AC$1:$AC$400,_xlfn.TEXTJOIN(",",TRUE,$B44:$E44),SF_Output!$Q$1:$Q$400,"One Time",SF_Output!$L$1:$L$400,"software license"))/J44)))</f>
        <v/>
      </c>
      <c r="L44" s="6">
        <f t="shared" si="1"/>
        <v>0</v>
      </c>
      <c r="N44" s="6">
        <f>IF(B44="","",SUMIFS(SF_Output!$S$1:$S$400,SF_Output!$AC$1:$AC$400,_xlfn.TEXTJOIN(",",TRUE,B44:E44),SF_Output!$Q$1:$Q$400,"One Time",SF_Output!$L$1:$L$400,"professional service"))</f>
        <v>10000</v>
      </c>
      <c r="O44" s="112">
        <f>IF(OR(B44=0,B44="",N44=0),"",IF(AF44&lt;&gt;"exclusion",MAX(O$9,-(SUMIFS(SF_Output!$T$1:$T$400,SF_Output!$AC$1:$AC$400,_xlfn.TEXTJOIN(",",TRUE,$B44:$E44),SF_Output!$Q$1:$Q$400,"One Time",SF_Output!$L$1:$L$400,"professional service"))/N44),-((SUMIFS(SF_Output!$T$1:$T$400,SF_Output!$AC$1:$AC$400,_xlfn.TEXTJOIN(",",TRUE,$B44:$E44),SF_Output!$Q$1:$Q$400,"One Time",SF_Output!$L$1:$L$400,"professional service")/N44))))</f>
        <v>1</v>
      </c>
      <c r="P44" s="6">
        <f t="shared" si="2"/>
        <v>0</v>
      </c>
      <c r="R44" s="6">
        <f>IF(B44="","",SUMIFS(SF_Output!$S$1:$S$400,SF_Output!$AC$1:$AC$400,_xlfn.TEXTJOIN(",",TRUE,B44:E44),SF_Output!$Q$1:$Q$400,"yearly")+SUMIFS(SF_Output!$S$1:$S$400,SF_Output!$AC$1:$AC$400,_xlfn.TEXTJOIN(",",TRUE,B44:E44),SF_Output!$Q$1:$Q$400,"quarterly")*4)</f>
        <v>0</v>
      </c>
      <c r="S44" s="112" t="str">
        <f>IF(OR(B44=0,B44="",G44="hardware",R44=0),"",IF(AF44&lt;&gt;"exclusion",MAX(S$9,-(SUMIFS(SF_Output!$T$1:$T$400,SF_Output!$AC$1:$AC$400,_xlfn.TEXTJOIN(",",TRUE,$B44:$E44),SF_Output!$Q$1:$Q$400,"yearly"))/R44),-((SUMIFS(SF_Output!$T$1:$T$400,SF_Output!$AC$1:$AC$400,_xlfn.TEXTJOIN(",",TRUE,$B44:$E44),SF_Output!$Q$1:$Q$400,"yearly")/R44))))</f>
        <v/>
      </c>
      <c r="T44" s="6">
        <f t="shared" si="3"/>
        <v>0</v>
      </c>
      <c r="V44" s="6" cm="1">
        <f t="array" ref="V44">_xlfn.IFS(B44="","",AND(B44&lt;&gt;"",H44=SF_Output!$Y$2,SUMIFS(SF_Output!$T$1:$T$400,SF_Output!$AC$1:$AC$400,_xlfn.TEXTJOIN(",",TRUE,B44:E44),SF_Output!$Q$1:$Q$400,"monthly")=0),(SUMIFS(SF_Output!$F$1:$F$400,SF_Output!$AC$1:$AC$400,_xlfn.TEXTJOIN(",",TRUE,B44:E44),SF_Output!$Q$1:$Q$400,"monthly")+SUMIFS(SF_Output!$G$1:$G$400,SF_Output!$AC$1:$AC$400,_xlfn.TEXTJOIN(",",TRUE,B44:E44),SF_Output!$Q$1:$Q$400,"monthly"))*H44,AND(B44&lt;&gt;"",H44=SF_Output!$Y$2,SUMIFS(SF_Output!$T$1:$T$400,SF_Output!$AC$1:$AC$400,_xlfn.TEXTJOIN(",",TRUE,B44:E44),SF_Output!$Q$1:$Q$400,"monthly")&lt;&gt;0),SUMIFS(SF_Output!$S$1:$S$400,SF_Output!$AC$1:$AC$400,_xlfn.TEXTJOIN(",",TRUE,B44:E44),SF_Output!$Q$1:$Q$400,"monthly"),AND(B44&lt;&gt;"",H44&lt;&gt;SF_Output!$Y$2),SUMIFS(SF_Output!$S$1:$S$400,SF_Output!$AC$1:$AC$400,_xlfn.TEXTJOIN(",",TRUE,B44:E44),SF_Output!$Q$1:$Q$400,"monthly"))</f>
        <v>500</v>
      </c>
      <c r="W44" s="112" cm="1">
        <f t="array" ref="W44">_xlfn.IFS(OR(B44=0,B44="",V44=0),"",AF44&lt;&gt;"exclusion",MAX($W$9,$W$7,(-(SUMIFS(SF_Output!$T$1:$T$400,SF_Output!$AC$1:$AC$400,_xlfn.TEXTJOIN(",",TRUE,$B44:$E44),SF_Output!$Q$1:$Q$400,"monthly"))/V44)),AF44="exclusion",-(SUMIFS(SF_Output!$T$1:$T$400,SF_Output!$AC$1:$AC$400,_xlfn.TEXTJOIN(",",TRUE,$B44:$E44),SF_Output!$Q$1:$Q$400,"monthly"))/V44)</f>
        <v>0</v>
      </c>
      <c r="X44" s="6" cm="1">
        <f t="array" ref="X44">IFERROR(_xlfn.IFS(V44=0,0,V44="","",W44=0,V44,OR(V44&lt;&gt;0,V44&lt;&gt;""),H44*I44),V44*(1-W44))</f>
        <v>500</v>
      </c>
    </row>
    <row r="45" spans="2:24" x14ac:dyDescent="0.25">
      <c r="B45" t="s">
        <v>2226</v>
      </c>
      <c r="C45" t="s">
        <v>2122</v>
      </c>
      <c r="D45" t="s">
        <v>2207</v>
      </c>
      <c r="E45" t="s">
        <v>2124</v>
      </c>
      <c r="F45" s="116" t="str">
        <f t="shared" si="0"/>
        <v>Included</v>
      </c>
      <c r="G45" t="str">
        <f>IF(B45="","",INDEX(SF_Output!$K$1:$K$400,MATCH(B45,SF_Output!$M$1:$M$400,0)))</f>
        <v>Banno</v>
      </c>
      <c r="H45" cm="1">
        <f t="array" ref="H45">_xlfn.IFS(B45="","",(SUMIFS(SF_Output!$F$1:$F$400,SF_Output!$AC$1:$AC$400,_xlfn.TEXTJOIN(",",TRUE,B45:E45))+SUMIFS(SF_Output!$G$1:$G$400,SF_Output!$AC$1:$AC$400,_xlfn.TEXTJOIN(",",TRUE,B45:E45)))&lt;&gt;0,SF_Output!$Y$2,INDEX(SF_Output!$F$1:$F$400,MATCH(_xlfn.TEXTJOIN(",",TRUE,B45:E45),SF_Output!$AC$1:$AC$400,0))=0,INDEX(SF_Output!$R$1:$R$400,MATCH(_xlfn.TEXTJOIN(",",TRUE,B45:E45),SF_Output!$AC$1:$AC$400,0)))</f>
        <v>1</v>
      </c>
      <c r="I45" s="125" t="str">
        <f>IFERROR(IF(AND(H45&gt;1,H45&lt;&gt;""),ROUND(SUMIFS(SF_Output!$S$1:$S$400,SF_Output!$AC$1:$AC$400,_xlfn.TEXTJOIN(",",TRUE,B45:E45),SF_Output!$Q$1:$Q$400,"monthly")*(1-W45)/H45,4),""),"")</f>
        <v/>
      </c>
      <c r="J45" s="6">
        <f>IF(B45="","",SUMIFS(SF_Output!$S$1:$S$400,SF_Output!$AC$1:$AC$400,_xlfn.TEXTJOIN(",",TRUE,B45:E45),SF_Output!$Q$1:$Q$400,"One Time",SF_Output!$L$1:$L$400,"license fee")+SUMIFS(SF_Output!$S$1:$S$400,SF_Output!$AC$1:$AC$400,_xlfn.TEXTJOIN(",",TRUE,B45:E45),SF_Output!$Q$1:$Q$400,"One Time",SF_Output!$L$1:$L$400,"software license")+SUMIFS(SF_Output!$S$1:$S$400,SF_Output!$AC$1:$AC$400,_xlfn.TEXTJOIN(",",TRUE,B45:E45),SF_Output!$Q$1:$Q$400,"One Time",SF_Output!$L$1:$L$400,"hardware"))</f>
        <v>0</v>
      </c>
      <c r="K45" s="112" t="str">
        <f>IF(OR(B45=0,B45="",G45="hardware",J45=0),"",IF(AF45&lt;&gt;"exclusion",MAX(K$9,-((SUMIFS(SF_Output!$T$1:$T$400,SF_Output!$AC$1:$AC$400,_xlfn.TEXTJOIN(",",TRUE,$B45:$E45),SF_Output!$Q$1:$Q$400,"One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license"))/J45)),-((SUMIFS(SF_Output!$T$1:$T$400,SF_Output!$AC$1:$AC$400,_xlfn.TEXTJOIN(",",TRUE,$B45:$E45),SF_Output!$Q$1:$Q$400,"One Time",SF_Output!$L$1:$L$400,"license fee")+SUMIFS(SF_Output!$T$1:$T$400,SF_Output!$AC$1:$AC$400,_xlfn.TEXTJOIN(",",TRUE,$B45:$E45),SF_Output!$Q$1:$Q$400,"One Time",SF_Output!$L$1:$L$400,"software license"))/J45)))</f>
        <v/>
      </c>
      <c r="L45" s="6">
        <f t="shared" si="1"/>
        <v>0</v>
      </c>
      <c r="N45" s="6">
        <f>IF(B45="","",SUMIFS(SF_Output!$S$1:$S$400,SF_Output!$AC$1:$AC$400,_xlfn.TEXTJOIN(",",TRUE,B45:E45),SF_Output!$Q$1:$Q$400,"One Time",SF_Output!$L$1:$L$400,"professional service"))</f>
        <v>2000</v>
      </c>
      <c r="O45" s="112">
        <f>IF(OR(B45=0,B45="",N45=0),"",IF(AF45&lt;&gt;"exclusion",MAX(O$9,-(SUMIFS(SF_Output!$T$1:$T$400,SF_Output!$AC$1:$AC$400,_xlfn.TEXTJOIN(",",TRUE,$B45:$E45),SF_Output!$Q$1:$Q$400,"One Time",SF_Output!$L$1:$L$400,"professional service"))/N45),-((SUMIFS(SF_Output!$T$1:$T$400,SF_Output!$AC$1:$AC$400,_xlfn.TEXTJOIN(",",TRUE,$B45:$E45),SF_Output!$Q$1:$Q$400,"One Time",SF_Output!$L$1:$L$400,"professional service")/N45))))</f>
        <v>1</v>
      </c>
      <c r="P45" s="6">
        <f t="shared" si="2"/>
        <v>0</v>
      </c>
      <c r="R45" s="6">
        <f>IF(B45="","",SUMIFS(SF_Output!$S$1:$S$400,SF_Output!$AC$1:$AC$400,_xlfn.TEXTJOIN(",",TRUE,B45:E45),SF_Output!$Q$1:$Q$400,"yearly")+SUMIFS(SF_Output!$S$1:$S$400,SF_Output!$AC$1:$AC$400,_xlfn.TEXTJOIN(",",TRUE,B45:E45),SF_Output!$Q$1:$Q$400,"quarterly")*4)</f>
        <v>0</v>
      </c>
      <c r="S45" s="112" t="str">
        <f>IF(OR(B45=0,B45="",G45="hardware",R45=0),"",IF(AF45&lt;&gt;"exclusion",MAX(S$9,-(SUMIFS(SF_Output!$T$1:$T$400,SF_Output!$AC$1:$AC$400,_xlfn.TEXTJOIN(",",TRUE,$B45:$E45),SF_Output!$Q$1:$Q$400,"yearly"))/R45),-((SUMIFS(SF_Output!$T$1:$T$400,SF_Output!$AC$1:$AC$400,_xlfn.TEXTJOIN(",",TRUE,$B45:$E45),SF_Output!$Q$1:$Q$400,"yearly")/R45))))</f>
        <v/>
      </c>
      <c r="T45" s="6">
        <f t="shared" si="3"/>
        <v>0</v>
      </c>
      <c r="V45" s="6" cm="1">
        <f t="array" ref="V45">_xlfn.IFS(B45="","",AND(B45&lt;&gt;"",H45=SF_Output!$Y$2,SUMIFS(SF_Output!$T$1:$T$400,SF_Output!$AC$1:$AC$400,_xlfn.TEXTJOIN(",",TRUE,B45:E45),SF_Output!$Q$1:$Q$400,"monthly")=0),(SUMIFS(SF_Output!$F$1:$F$400,SF_Output!$AC$1:$AC$400,_xlfn.TEXTJOIN(",",TRUE,B45:E45),SF_Output!$Q$1:$Q$400,"monthly")+SUMIFS(SF_Output!$G$1:$G$400,SF_Output!$AC$1:$AC$400,_xlfn.TEXTJOIN(",",TRUE,B45:E45),SF_Output!$Q$1:$Q$400,"monthly"))*H45,AND(B45&lt;&gt;"",H45=SF_Output!$Y$2,SUMIFS(SF_Output!$T$1:$T$400,SF_Output!$AC$1:$AC$400,_xlfn.TEXTJOIN(",",TRUE,B45:E45),SF_Output!$Q$1:$Q$400,"monthly")&lt;&gt;0),SUMIFS(SF_Output!$S$1:$S$400,SF_Output!$AC$1:$AC$400,_xlfn.TEXTJOIN(",",TRUE,B45:E45),SF_Output!$Q$1:$Q$400,"monthly"),AND(B45&lt;&gt;"",H45&lt;&gt;SF_Output!$Y$2),SUMIFS(SF_Output!$S$1:$S$400,SF_Output!$AC$1:$AC$400,_xlfn.TEXTJOIN(",",TRUE,B45:E45),SF_Output!$Q$1:$Q$400,"monthly"))</f>
        <v>50</v>
      </c>
      <c r="W45" s="112" cm="1">
        <f t="array" ref="W45">_xlfn.IFS(OR(B45=0,B45="",V45=0),"",AF45&lt;&gt;"exclusion",MAX($W$9,$W$7,(-(SUMIFS(SF_Output!$T$1:$T$400,SF_Output!$AC$1:$AC$400,_xlfn.TEXTJOIN(",",TRUE,$B45:$E45),SF_Output!$Q$1:$Q$400,"monthly"))/V45)),AF45="exclusion",-(SUMIFS(SF_Output!$T$1:$T$400,SF_Output!$AC$1:$AC$400,_xlfn.TEXTJOIN(",",TRUE,$B45:$E45),SF_Output!$Q$1:$Q$400,"monthly"))/V45)</f>
        <v>0</v>
      </c>
      <c r="X45" s="6" cm="1">
        <f t="array" ref="X45">IFERROR(_xlfn.IFS(V45=0,0,V45="","",W45=0,V45,OR(V45&lt;&gt;0,V45&lt;&gt;""),H45*I45),V45*(1-W45))</f>
        <v>50</v>
      </c>
    </row>
    <row r="46" spans="2:24" x14ac:dyDescent="0.25">
      <c r="B46" t="s">
        <v>589</v>
      </c>
      <c r="C46" t="s">
        <v>2122</v>
      </c>
      <c r="D46" t="s">
        <v>2123</v>
      </c>
      <c r="E46" t="s">
        <v>2150</v>
      </c>
      <c r="F46" s="116" t="str">
        <f t="shared" si="0"/>
        <v>Optional</v>
      </c>
      <c r="G46" t="str">
        <f>IF(B46="","",INDEX(SF_Output!$K$1:$K$400,MATCH(B46,SF_Output!$M$1:$M$400,0)))</f>
        <v>Banno</v>
      </c>
      <c r="H46" cm="1">
        <f t="array" ref="H46">_xlfn.IFS(B46="","",(SUMIFS(SF_Output!$F$1:$F$400,SF_Output!$AC$1:$AC$400,_xlfn.TEXTJOIN(",",TRUE,B46:E46))+SUMIFS(SF_Output!$G$1:$G$400,SF_Output!$AC$1:$AC$400,_xlfn.TEXTJOIN(",",TRUE,B46:E46)))&lt;&gt;0,SF_Output!$Y$2,INDEX(SF_Output!$F$1:$F$400,MATCH(_xlfn.TEXTJOIN(",",TRUE,B46:E46),SF_Output!$AC$1:$AC$400,0))=0,INDEX(SF_Output!$R$1:$R$400,MATCH(_xlfn.TEXTJOIN(",",TRUE,B46:E46),SF_Output!$AC$1:$AC$400,0)))</f>
        <v>1</v>
      </c>
      <c r="I46" s="125" t="str">
        <f>IFERROR(IF(AND(H46&gt;1,H46&lt;&gt;""),ROUND(SUMIFS(SF_Output!$S$1:$S$400,SF_Output!$AC$1:$AC$400,_xlfn.TEXTJOIN(",",TRUE,B46:E46),SF_Output!$Q$1:$Q$400,"monthly")*(1-W46)/H46,4),""),"")</f>
        <v/>
      </c>
      <c r="J46" s="6">
        <f>IF(B46="","",SUMIFS(SF_Output!$S$1:$S$400,SF_Output!$AC$1:$AC$400,_xlfn.TEXTJOIN(",",TRUE,B46:E46),SF_Output!$Q$1:$Q$400,"One Time",SF_Output!$L$1:$L$400,"license fee")+SUMIFS(SF_Output!$S$1:$S$400,SF_Output!$AC$1:$AC$400,_xlfn.TEXTJOIN(",",TRUE,B46:E46),SF_Output!$Q$1:$Q$400,"One Time",SF_Output!$L$1:$L$400,"software license")+SUMIFS(SF_Output!$S$1:$S$400,SF_Output!$AC$1:$AC$400,_xlfn.TEXTJOIN(",",TRUE,B46:E46),SF_Output!$Q$1:$Q$400,"One Time",SF_Output!$L$1:$L$400,"hardware"))</f>
        <v>0</v>
      </c>
      <c r="K46" s="112" t="str">
        <f>IF(OR(B46=0,B46="",G46="hardware",J46=0),"",IF(AF46&lt;&gt;"exclusion",MAX(K$9,-((SUMIFS(SF_Output!$T$1:$T$400,SF_Output!$AC$1:$AC$400,_xlfn.TEXTJOIN(",",TRUE,$B46:$E46),SF_Output!$Q$1:$Q$400,"One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license"))/J46)),-((SUMIFS(SF_Output!$T$1:$T$400,SF_Output!$AC$1:$AC$400,_xlfn.TEXTJOIN(",",TRUE,$B46:$E46),SF_Output!$Q$1:$Q$400,"One Time",SF_Output!$L$1:$L$400,"license fee")+SUMIFS(SF_Output!$T$1:$T$400,SF_Output!$AC$1:$AC$400,_xlfn.TEXTJOIN(",",TRUE,$B46:$E46),SF_Output!$Q$1:$Q$400,"One Time",SF_Output!$L$1:$L$400,"software license"))/J46)))</f>
        <v/>
      </c>
      <c r="L46" s="6">
        <f t="shared" si="1"/>
        <v>0</v>
      </c>
      <c r="N46" s="6">
        <f>IF(B46="","",SUMIFS(SF_Output!$S$1:$S$400,SF_Output!$AC$1:$AC$400,_xlfn.TEXTJOIN(",",TRUE,B46:E46),SF_Output!$Q$1:$Q$400,"One Time",SF_Output!$L$1:$L$400,"professional service"))</f>
        <v>5000</v>
      </c>
      <c r="O46" s="112">
        <f>IF(OR(B46=0,B46="",N46=0),"",IF(AF46&lt;&gt;"exclusion",MAX(O$9,-(SUMIFS(SF_Output!$T$1:$T$400,SF_Output!$AC$1:$AC$400,_xlfn.TEXTJOIN(",",TRUE,$B46:$E46),SF_Output!$Q$1:$Q$400,"One Time",SF_Output!$L$1:$L$400,"professional service"))/N46),-((SUMIFS(SF_Output!$T$1:$T$400,SF_Output!$AC$1:$AC$400,_xlfn.TEXTJOIN(",",TRUE,$B46:$E46),SF_Output!$Q$1:$Q$400,"One Time",SF_Output!$L$1:$L$400,"professional service")/N46))))</f>
        <v>1</v>
      </c>
      <c r="P46" s="6">
        <f t="shared" si="2"/>
        <v>0</v>
      </c>
      <c r="R46" s="6">
        <f>IF(B46="","",SUMIFS(SF_Output!$S$1:$S$400,SF_Output!$AC$1:$AC$400,_xlfn.TEXTJOIN(",",TRUE,B46:E46),SF_Output!$Q$1:$Q$400,"yearly")+SUMIFS(SF_Output!$S$1:$S$400,SF_Output!$AC$1:$AC$400,_xlfn.TEXTJOIN(",",TRUE,B46:E46),SF_Output!$Q$1:$Q$400,"quarterly")*4)</f>
        <v>0</v>
      </c>
      <c r="S46" s="112" t="str">
        <f>IF(OR(B46=0,B46="",G46="hardware",R46=0),"",IF(AF46&lt;&gt;"exclusion",MAX(S$9,-(SUMIFS(SF_Output!$T$1:$T$400,SF_Output!$AC$1:$AC$400,_xlfn.TEXTJOIN(",",TRUE,$B46:$E46),SF_Output!$Q$1:$Q$400,"yearly"))/R46),-((SUMIFS(SF_Output!$T$1:$T$400,SF_Output!$AC$1:$AC$400,_xlfn.TEXTJOIN(",",TRUE,$B46:$E46),SF_Output!$Q$1:$Q$400,"yearly")/R46))))</f>
        <v/>
      </c>
      <c r="T46" s="6">
        <f t="shared" si="3"/>
        <v>0</v>
      </c>
      <c r="V46" s="6" cm="1">
        <f t="array" ref="V46">_xlfn.IFS(B46="","",AND(B46&lt;&gt;"",H46=SF_Output!$Y$2,SUMIFS(SF_Output!$T$1:$T$400,SF_Output!$AC$1:$AC$400,_xlfn.TEXTJOIN(",",TRUE,B46:E46),SF_Output!$Q$1:$Q$400,"monthly")=0),(SUMIFS(SF_Output!$F$1:$F$400,SF_Output!$AC$1:$AC$400,_xlfn.TEXTJOIN(",",TRUE,B46:E46),SF_Output!$Q$1:$Q$400,"monthly")+SUMIFS(SF_Output!$G$1:$G$400,SF_Output!$AC$1:$AC$400,_xlfn.TEXTJOIN(",",TRUE,B46:E46),SF_Output!$Q$1:$Q$400,"monthly"))*H46,AND(B46&lt;&gt;"",H46=SF_Output!$Y$2,SUMIFS(SF_Output!$T$1:$T$400,SF_Output!$AC$1:$AC$400,_xlfn.TEXTJOIN(",",TRUE,B46:E46),SF_Output!$Q$1:$Q$400,"monthly")&lt;&gt;0),SUMIFS(SF_Output!$S$1:$S$400,SF_Output!$AC$1:$AC$400,_xlfn.TEXTJOIN(",",TRUE,B46:E46),SF_Output!$Q$1:$Q$400,"monthly"),AND(B46&lt;&gt;"",H46&lt;&gt;SF_Output!$Y$2),SUMIFS(SF_Output!$S$1:$S$400,SF_Output!$AC$1:$AC$400,_xlfn.TEXTJOIN(",",TRUE,B46:E46),SF_Output!$Q$1:$Q$400,"monthly"))</f>
        <v>0</v>
      </c>
      <c r="W46" s="112" t="str" cm="1">
        <f t="array" ref="W46">_xlfn.IFS(OR(B46=0,B46="",V46=0),"",AF46&lt;&gt;"exclusion",MAX($W$9,$W$7,(-(SUMIFS(SF_Output!$T$1:$T$400,SF_Output!$AC$1:$AC$400,_xlfn.TEXTJOIN(",",TRUE,$B46:$E46),SF_Output!$Q$1:$Q$400,"monthly"))/V46)),AF46="exclusion",-(SUMIFS(SF_Output!$T$1:$T$400,SF_Output!$AC$1:$AC$400,_xlfn.TEXTJOIN(",",TRUE,$B46:$E46),SF_Output!$Q$1:$Q$400,"monthly"))/V46)</f>
        <v/>
      </c>
      <c r="X46" s="6" cm="1">
        <f t="array" ref="X46">IFERROR(_xlfn.IFS(V46=0,0,V46="","",W46=0,V46,OR(V46&lt;&gt;0,V46&lt;&gt;""),H46*I46),V46*(1-W46))</f>
        <v>0</v>
      </c>
    </row>
    <row r="47" spans="2:24" x14ac:dyDescent="0.25">
      <c r="B47" t="s">
        <v>604</v>
      </c>
      <c r="C47" t="s">
        <v>2122</v>
      </c>
      <c r="D47" t="s">
        <v>2123</v>
      </c>
      <c r="E47" t="s">
        <v>2124</v>
      </c>
      <c r="F47" s="116" t="str">
        <f t="shared" si="0"/>
        <v>Included</v>
      </c>
      <c r="G47" t="str">
        <f>IF(B47="","",INDEX(SF_Output!$K$1:$K$400,MATCH(B47,SF_Output!$M$1:$M$400,0)))</f>
        <v>Electronic Statements Interactive(ESI)</v>
      </c>
      <c r="H47" cm="1">
        <f t="array" ref="H47">_xlfn.IFS(B47="","",(SUMIFS(SF_Output!$F$1:$F$400,SF_Output!$AC$1:$AC$400,_xlfn.TEXTJOIN(",",TRUE,B47:E47))+SUMIFS(SF_Output!$G$1:$G$400,SF_Output!$AC$1:$AC$400,_xlfn.TEXTJOIN(",",TRUE,B47:E47)))&lt;&gt;0,SF_Output!$Y$2,INDEX(SF_Output!$F$1:$F$400,MATCH(_xlfn.TEXTJOIN(",",TRUE,B47:E47),SF_Output!$AC$1:$AC$400,0))=0,INDEX(SF_Output!$R$1:$R$400,MATCH(_xlfn.TEXTJOIN(",",TRUE,B47:E47),SF_Output!$AC$1:$AC$400,0)))</f>
        <v>5000</v>
      </c>
      <c r="I47" s="125">
        <f>IFERROR(IF(AND(H47&gt;1,H47&lt;&gt;""),ROUND(SUMIFS(SF_Output!$S$1:$S$400,SF_Output!$AC$1:$AC$400,_xlfn.TEXTJOIN(",",TRUE,B47:E47),SF_Output!$Q$1:$Q$400,"monthly")*(1-W47)/H47,4),""),"")</f>
        <v>2.1000000000000001E-2</v>
      </c>
      <c r="J47" s="6">
        <f>IF(B47="","",SUMIFS(SF_Output!$S$1:$S$400,SF_Output!$AC$1:$AC$400,_xlfn.TEXTJOIN(",",TRUE,B47:E47),SF_Output!$Q$1:$Q$400,"One Time",SF_Output!$L$1:$L$400,"license fee")+SUMIFS(SF_Output!$S$1:$S$400,SF_Output!$AC$1:$AC$400,_xlfn.TEXTJOIN(",",TRUE,B47:E47),SF_Output!$Q$1:$Q$400,"One Time",SF_Output!$L$1:$L$400,"software license")+SUMIFS(SF_Output!$S$1:$S$400,SF_Output!$AC$1:$AC$400,_xlfn.TEXTJOIN(",",TRUE,B47:E47),SF_Output!$Q$1:$Q$400,"One Time",SF_Output!$L$1:$L$400,"hardware"))</f>
        <v>0</v>
      </c>
      <c r="K47" s="112" t="str">
        <f>IF(OR(B47=0,B47="",G47="hardware",J47=0),"",IF(AF47&lt;&gt;"exclusion",MAX(K$9,-((SUMIFS(SF_Output!$T$1:$T$400,SF_Output!$AC$1:$AC$400,_xlfn.TEXTJOIN(",",TRUE,$B47:$E47),SF_Output!$Q$1:$Q$400,"One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license"))/J47)),-((SUMIFS(SF_Output!$T$1:$T$400,SF_Output!$AC$1:$AC$400,_xlfn.TEXTJOIN(",",TRUE,$B47:$E47),SF_Output!$Q$1:$Q$400,"One Time",SF_Output!$L$1:$L$400,"license fee")+SUMIFS(SF_Output!$T$1:$T$400,SF_Output!$AC$1:$AC$400,_xlfn.TEXTJOIN(",",TRUE,$B47:$E47),SF_Output!$Q$1:$Q$400,"One Time",SF_Output!$L$1:$L$400,"software license"))/J47)))</f>
        <v/>
      </c>
      <c r="L47" s="6">
        <f t="shared" si="1"/>
        <v>0</v>
      </c>
      <c r="N47" s="6">
        <f>IF(B47="","",SUMIFS(SF_Output!$S$1:$S$400,SF_Output!$AC$1:$AC$400,_xlfn.TEXTJOIN(",",TRUE,B47:E47),SF_Output!$Q$1:$Q$400,"One Time",SF_Output!$L$1:$L$400,"professional service"))</f>
        <v>1750</v>
      </c>
      <c r="O47" s="112">
        <f>IF(OR(B47=0,B47="",N47=0),"",IF(AF47&lt;&gt;"exclusion",MAX(O$9,-(SUMIFS(SF_Output!$T$1:$T$400,SF_Output!$AC$1:$AC$400,_xlfn.TEXTJOIN(",",TRUE,$B47:$E47),SF_Output!$Q$1:$Q$400,"One Time",SF_Output!$L$1:$L$400,"professional service"))/N47),-((SUMIFS(SF_Output!$T$1:$T$400,SF_Output!$AC$1:$AC$400,_xlfn.TEXTJOIN(",",TRUE,$B47:$E47),SF_Output!$Q$1:$Q$400,"One Time",SF_Output!$L$1:$L$400,"professional service")/N47))))</f>
        <v>1</v>
      </c>
      <c r="P47" s="6">
        <f t="shared" si="2"/>
        <v>0</v>
      </c>
      <c r="R47" s="6">
        <f>IF(B47="","",SUMIFS(SF_Output!$S$1:$S$400,SF_Output!$AC$1:$AC$400,_xlfn.TEXTJOIN(",",TRUE,B47:E47),SF_Output!$Q$1:$Q$400,"yearly")+SUMIFS(SF_Output!$S$1:$S$400,SF_Output!$AC$1:$AC$400,_xlfn.TEXTJOIN(",",TRUE,B47:E47),SF_Output!$Q$1:$Q$400,"quarterly")*4)</f>
        <v>0</v>
      </c>
      <c r="S47" s="112" t="str">
        <f>IF(OR(B47=0,B47="",G47="hardware",R47=0),"",IF(AF47&lt;&gt;"exclusion",MAX(S$9,-(SUMIFS(SF_Output!$T$1:$T$400,SF_Output!$AC$1:$AC$400,_xlfn.TEXTJOIN(",",TRUE,$B47:$E47),SF_Output!$Q$1:$Q$400,"yearly"))/R47),-((SUMIFS(SF_Output!$T$1:$T$400,SF_Output!$AC$1:$AC$400,_xlfn.TEXTJOIN(",",TRUE,$B47:$E47),SF_Output!$Q$1:$Q$400,"yearly")/R47))))</f>
        <v/>
      </c>
      <c r="T47" s="6">
        <f t="shared" si="3"/>
        <v>0</v>
      </c>
      <c r="V47" s="6" cm="1">
        <f t="array" ref="V47">_xlfn.IFS(B47="","",AND(B47&lt;&gt;"",H47=SF_Output!$Y$2,SUMIFS(SF_Output!$T$1:$T$400,SF_Output!$AC$1:$AC$400,_xlfn.TEXTJOIN(",",TRUE,B47:E47),SF_Output!$Q$1:$Q$400,"monthly")=0),(SUMIFS(SF_Output!$F$1:$F$400,SF_Output!$AC$1:$AC$400,_xlfn.TEXTJOIN(",",TRUE,B47:E47),SF_Output!$Q$1:$Q$400,"monthly")+SUMIFS(SF_Output!$G$1:$G$400,SF_Output!$AC$1:$AC$400,_xlfn.TEXTJOIN(",",TRUE,B47:E47),SF_Output!$Q$1:$Q$400,"monthly"))*H47,AND(B47&lt;&gt;"",H47=SF_Output!$Y$2,SUMIFS(SF_Output!$T$1:$T$400,SF_Output!$AC$1:$AC$400,_xlfn.TEXTJOIN(",",TRUE,B47:E47),SF_Output!$Q$1:$Q$400,"monthly")&lt;&gt;0),SUMIFS(SF_Output!$S$1:$S$400,SF_Output!$AC$1:$AC$400,_xlfn.TEXTJOIN(",",TRUE,B47:E47),SF_Output!$Q$1:$Q$400,"monthly"),AND(B47&lt;&gt;"",H47&lt;&gt;SF_Output!$Y$2),SUMIFS(SF_Output!$S$1:$S$400,SF_Output!$AC$1:$AC$400,_xlfn.TEXTJOIN(",",TRUE,B47:E47),SF_Output!$Q$1:$Q$400,"monthly"))</f>
        <v>140</v>
      </c>
      <c r="W47" s="112" cm="1">
        <f t="array" ref="W47">_xlfn.IFS(OR(B47=0,B47="",V47=0),"",AF47&lt;&gt;"exclusion",MAX($W$9,$W$7,(-(SUMIFS(SF_Output!$T$1:$T$400,SF_Output!$AC$1:$AC$400,_xlfn.TEXTJOIN(",",TRUE,$B47:$E47),SF_Output!$Q$1:$Q$400,"monthly"))/V47)),AF47="exclusion",-(SUMIFS(SF_Output!$T$1:$T$400,SF_Output!$AC$1:$AC$400,_xlfn.TEXTJOIN(",",TRUE,$B47:$E47),SF_Output!$Q$1:$Q$400,"monthly"))/V47)</f>
        <v>0.25</v>
      </c>
      <c r="X47" s="6" cm="1">
        <f t="array" ref="X47">IFERROR(_xlfn.IFS(V47=0,0,V47="","",W47=0,V47,OR(V47&lt;&gt;0,V47&lt;&gt;""),H47*I47),V47*(1-W47))</f>
        <v>105</v>
      </c>
    </row>
    <row r="48" spans="2:24" x14ac:dyDescent="0.25">
      <c r="B48" t="s">
        <v>1150</v>
      </c>
      <c r="C48" t="s">
        <v>2122</v>
      </c>
      <c r="D48" t="s">
        <v>2164</v>
      </c>
      <c r="E48" t="s">
        <v>2124</v>
      </c>
      <c r="F48" s="116" t="str">
        <f t="shared" si="0"/>
        <v>Included</v>
      </c>
      <c r="G48" t="str">
        <f>IF(B48="","",INDEX(SF_Output!$K$1:$K$400,MATCH(B48,SF_Output!$M$1:$M$400,0)))</f>
        <v>Intuit</v>
      </c>
      <c r="H48" cm="1">
        <f t="array" ref="H48">_xlfn.IFS(B48="","",(SUMIFS(SF_Output!$F$1:$F$400,SF_Output!$AC$1:$AC$400,_xlfn.TEXTJOIN(",",TRUE,B48:E48))+SUMIFS(SF_Output!$G$1:$G$400,SF_Output!$AC$1:$AC$400,_xlfn.TEXTJOIN(",",TRUE,B48:E48)))&lt;&gt;0,SF_Output!$Y$2,INDEX(SF_Output!$F$1:$F$400,MATCH(_xlfn.TEXTJOIN(",",TRUE,B48:E48),SF_Output!$AC$1:$AC$400,0))=0,INDEX(SF_Output!$R$1:$R$400,MATCH(_xlfn.TEXTJOIN(",",TRUE,B48:E48),SF_Output!$AC$1:$AC$400,0)))</f>
        <v>1</v>
      </c>
      <c r="I48" s="125" t="str">
        <f>IFERROR(IF(AND(H48&gt;1,H48&lt;&gt;""),ROUND(SUMIFS(SF_Output!$S$1:$S$400,SF_Output!$AC$1:$AC$400,_xlfn.TEXTJOIN(",",TRUE,B48:E48),SF_Output!$Q$1:$Q$400,"monthly")*(1-W48)/H48,4),""),"")</f>
        <v/>
      </c>
      <c r="J48" s="6">
        <f>IF(B48="","",SUMIFS(SF_Output!$S$1:$S$400,SF_Output!$AC$1:$AC$400,_xlfn.TEXTJOIN(",",TRUE,B48:E48),SF_Output!$Q$1:$Q$400,"One Time",SF_Output!$L$1:$L$400,"license fee")+SUMIFS(SF_Output!$S$1:$S$400,SF_Output!$AC$1:$AC$400,_xlfn.TEXTJOIN(",",TRUE,B48:E48),SF_Output!$Q$1:$Q$400,"One Time",SF_Output!$L$1:$L$400,"software license")+SUMIFS(SF_Output!$S$1:$S$400,SF_Output!$AC$1:$AC$400,_xlfn.TEXTJOIN(",",TRUE,B48:E48),SF_Output!$Q$1:$Q$400,"One Time",SF_Output!$L$1:$L$400,"hardware"))</f>
        <v>0</v>
      </c>
      <c r="K48" s="112" t="str">
        <f>IF(OR(B48=0,B48="",G48="hardware",J48=0),"",IF(AF48&lt;&gt;"exclusion",MAX(K$9,-((SUMIFS(SF_Output!$T$1:$T$400,SF_Output!$AC$1:$AC$400,_xlfn.TEXTJOIN(",",TRUE,$B48:$E48),SF_Output!$Q$1:$Q$400,"One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license"))/J48)),-((SUMIFS(SF_Output!$T$1:$T$400,SF_Output!$AC$1:$AC$400,_xlfn.TEXTJOIN(",",TRUE,$B48:$E48),SF_Output!$Q$1:$Q$400,"One Time",SF_Output!$L$1:$L$400,"license fee")+SUMIFS(SF_Output!$T$1:$T$400,SF_Output!$AC$1:$AC$400,_xlfn.TEXTJOIN(",",TRUE,$B48:$E48),SF_Output!$Q$1:$Q$400,"One Time",SF_Output!$L$1:$L$400,"software license"))/J48)))</f>
        <v/>
      </c>
      <c r="L48" s="6">
        <f t="shared" si="1"/>
        <v>0</v>
      </c>
      <c r="N48" s="6">
        <f>IF(B48="","",SUMIFS(SF_Output!$S$1:$S$400,SF_Output!$AC$1:$AC$400,_xlfn.TEXTJOIN(",",TRUE,B48:E48),SF_Output!$Q$1:$Q$400,"One Time",SF_Output!$L$1:$L$400,"professional service"))</f>
        <v>0</v>
      </c>
      <c r="O48" s="112" t="str">
        <f>IF(OR(B48=0,B48="",N48=0),"",IF(AF48&lt;&gt;"exclusion",MAX(O$9,-(SUMIFS(SF_Output!$T$1:$T$400,SF_Output!$AC$1:$AC$400,_xlfn.TEXTJOIN(",",TRUE,$B48:$E48),SF_Output!$Q$1:$Q$400,"One Time",SF_Output!$L$1:$L$400,"professional service"))/N48),-((SUMIFS(SF_Output!$T$1:$T$400,SF_Output!$AC$1:$AC$400,_xlfn.TEXTJOIN(",",TRUE,$B48:$E48),SF_Output!$Q$1:$Q$400,"One Time",SF_Output!$L$1:$L$400,"professional service")/N48))))</f>
        <v/>
      </c>
      <c r="P48" s="6">
        <f t="shared" si="2"/>
        <v>0</v>
      </c>
      <c r="R48" s="6">
        <f>IF(B48="","",SUMIFS(SF_Output!$S$1:$S$400,SF_Output!$AC$1:$AC$400,_xlfn.TEXTJOIN(",",TRUE,B48:E48),SF_Output!$Q$1:$Q$400,"yearly")+SUMIFS(SF_Output!$S$1:$S$400,SF_Output!$AC$1:$AC$400,_xlfn.TEXTJOIN(",",TRUE,B48:E48),SF_Output!$Q$1:$Q$400,"quarterly")*4)</f>
        <v>0</v>
      </c>
      <c r="S48" s="112" t="str">
        <f>IF(OR(B48=0,B48="",G48="hardware",R48=0),"",IF(AF48&lt;&gt;"exclusion",MAX(S$9,-(SUMIFS(SF_Output!$T$1:$T$400,SF_Output!$AC$1:$AC$400,_xlfn.TEXTJOIN(",",TRUE,$B48:$E48),SF_Output!$Q$1:$Q$400,"yearly"))/R48),-((SUMIFS(SF_Output!$T$1:$T$400,SF_Output!$AC$1:$AC$400,_xlfn.TEXTJOIN(",",TRUE,$B48:$E48),SF_Output!$Q$1:$Q$400,"yearly")/R48))))</f>
        <v/>
      </c>
      <c r="T48" s="6">
        <f t="shared" si="3"/>
        <v>0</v>
      </c>
      <c r="V48" s="6" cm="1">
        <f t="array" ref="V48">_xlfn.IFS(B48="","",AND(B48&lt;&gt;"",H48=SF_Output!$Y$2,SUMIFS(SF_Output!$T$1:$T$400,SF_Output!$AC$1:$AC$400,_xlfn.TEXTJOIN(",",TRUE,B48:E48),SF_Output!$Q$1:$Q$400,"monthly")=0),(SUMIFS(SF_Output!$F$1:$F$400,SF_Output!$AC$1:$AC$400,_xlfn.TEXTJOIN(",",TRUE,B48:E48),SF_Output!$Q$1:$Q$400,"monthly")+SUMIFS(SF_Output!$G$1:$G$400,SF_Output!$AC$1:$AC$400,_xlfn.TEXTJOIN(",",TRUE,B48:E48),SF_Output!$Q$1:$Q$400,"monthly"))*H48,AND(B48&lt;&gt;"",H48=SF_Output!$Y$2,SUMIFS(SF_Output!$T$1:$T$400,SF_Output!$AC$1:$AC$400,_xlfn.TEXTJOIN(",",TRUE,B48:E48),SF_Output!$Q$1:$Q$400,"monthly")&lt;&gt;0),SUMIFS(SF_Output!$S$1:$S$400,SF_Output!$AC$1:$AC$400,_xlfn.TEXTJOIN(",",TRUE,B48:E48),SF_Output!$Q$1:$Q$400,"monthly"),AND(B48&lt;&gt;"",H48&lt;&gt;SF_Output!$Y$2),SUMIFS(SF_Output!$S$1:$S$400,SF_Output!$AC$1:$AC$400,_xlfn.TEXTJOIN(",",TRUE,B48:E48),SF_Output!$Q$1:$Q$400,"monthly"))</f>
        <v>0</v>
      </c>
      <c r="W48" s="112" t="str" cm="1">
        <f t="array" ref="W48">_xlfn.IFS(OR(B48=0,B48="",V48=0),"",AF48&lt;&gt;"exclusion",MAX($W$9,$W$7,(-(SUMIFS(SF_Output!$T$1:$T$400,SF_Output!$AC$1:$AC$400,_xlfn.TEXTJOIN(",",TRUE,$B48:$E48),SF_Output!$Q$1:$Q$400,"monthly"))/V48)),AF48="exclusion",-(SUMIFS(SF_Output!$T$1:$T$400,SF_Output!$AC$1:$AC$400,_xlfn.TEXTJOIN(",",TRUE,$B48:$E48),SF_Output!$Q$1:$Q$400,"monthly"))/V48)</f>
        <v/>
      </c>
      <c r="X48" s="6" cm="1">
        <f t="array" ref="X48">IFERROR(_xlfn.IFS(V48=0,0,V48="","",W48=0,V48,OR(V48&lt;&gt;0,V48&lt;&gt;""),H48*I48),V48*(1-W48))</f>
        <v>0</v>
      </c>
    </row>
    <row r="49" spans="2:24" x14ac:dyDescent="0.25">
      <c r="B49" t="s">
        <v>1154</v>
      </c>
      <c r="C49" t="s">
        <v>2122</v>
      </c>
      <c r="D49" t="s">
        <v>2164</v>
      </c>
      <c r="E49" t="s">
        <v>2124</v>
      </c>
      <c r="F49" s="116" t="str">
        <f t="shared" si="0"/>
        <v>Included</v>
      </c>
      <c r="G49" t="str">
        <f>IF(B49="","",INDEX(SF_Output!$K$1:$K$400,MATCH(B49,SF_Output!$M$1:$M$400,0)))</f>
        <v>Intuit</v>
      </c>
      <c r="H49" cm="1">
        <f t="array" ref="H49">_xlfn.IFS(B49="","",(SUMIFS(SF_Output!$F$1:$F$400,SF_Output!$AC$1:$AC$400,_xlfn.TEXTJOIN(",",TRUE,B49:E49))+SUMIFS(SF_Output!$G$1:$G$400,SF_Output!$AC$1:$AC$400,_xlfn.TEXTJOIN(",",TRUE,B49:E49)))&lt;&gt;0,SF_Output!$Y$2,INDEX(SF_Output!$F$1:$F$400,MATCH(_xlfn.TEXTJOIN(",",TRUE,B49:E49),SF_Output!$AC$1:$AC$400,0))=0,INDEX(SF_Output!$R$1:$R$400,MATCH(_xlfn.TEXTJOIN(",",TRUE,B49:E49),SF_Output!$AC$1:$AC$400,0)))</f>
        <v>1</v>
      </c>
      <c r="I49" s="125" t="str">
        <f>IFERROR(IF(AND(H49&gt;1,H49&lt;&gt;""),ROUND(SUMIFS(SF_Output!$S$1:$S$400,SF_Output!$AC$1:$AC$400,_xlfn.TEXTJOIN(",",TRUE,B49:E49),SF_Output!$Q$1:$Q$400,"monthly")*(1-W49)/H49,4),""),"")</f>
        <v/>
      </c>
      <c r="J49" s="6">
        <f>IF(B49="","",SUMIFS(SF_Output!$S$1:$S$400,SF_Output!$AC$1:$AC$400,_xlfn.TEXTJOIN(",",TRUE,B49:E49),SF_Output!$Q$1:$Q$400,"One Time",SF_Output!$L$1:$L$400,"license fee")+SUMIFS(SF_Output!$S$1:$S$400,SF_Output!$AC$1:$AC$400,_xlfn.TEXTJOIN(",",TRUE,B49:E49),SF_Output!$Q$1:$Q$400,"One Time",SF_Output!$L$1:$L$400,"software license")+SUMIFS(SF_Output!$S$1:$S$400,SF_Output!$AC$1:$AC$400,_xlfn.TEXTJOIN(",",TRUE,B49:E49),SF_Output!$Q$1:$Q$400,"One Time",SF_Output!$L$1:$L$400,"hardware"))</f>
        <v>0</v>
      </c>
      <c r="K49" s="112" t="str">
        <f>IF(OR(B49=0,B49="",G49="hardware",J49=0),"",IF(AF49&lt;&gt;"exclusion",MAX(K$9,-((SUMIFS(SF_Output!$T$1:$T$400,SF_Output!$AC$1:$AC$400,_xlfn.TEXTJOIN(",",TRUE,$B49:$E49),SF_Output!$Q$1:$Q$400,"One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license"))/J49)),-((SUMIFS(SF_Output!$T$1:$T$400,SF_Output!$AC$1:$AC$400,_xlfn.TEXTJOIN(",",TRUE,$B49:$E49),SF_Output!$Q$1:$Q$400,"One Time",SF_Output!$L$1:$L$400,"license fee")+SUMIFS(SF_Output!$T$1:$T$400,SF_Output!$AC$1:$AC$400,_xlfn.TEXTJOIN(",",TRUE,$B49:$E49),SF_Output!$Q$1:$Q$400,"One Time",SF_Output!$L$1:$L$400,"software license"))/J49)))</f>
        <v/>
      </c>
      <c r="L49" s="6">
        <f t="shared" si="1"/>
        <v>0</v>
      </c>
      <c r="N49" s="6">
        <f>IF(B49="","",SUMIFS(SF_Output!$S$1:$S$400,SF_Output!$AC$1:$AC$400,_xlfn.TEXTJOIN(",",TRUE,B49:E49),SF_Output!$Q$1:$Q$400,"One Time",SF_Output!$L$1:$L$400,"professional service"))</f>
        <v>0</v>
      </c>
      <c r="O49" s="112" t="str">
        <f>IF(OR(B49=0,B49="",N49=0),"",IF(AF49&lt;&gt;"exclusion",MAX(O$9,-(SUMIFS(SF_Output!$T$1:$T$400,SF_Output!$AC$1:$AC$400,_xlfn.TEXTJOIN(",",TRUE,$B49:$E49),SF_Output!$Q$1:$Q$400,"One Time",SF_Output!$L$1:$L$400,"professional service"))/N49),-((SUMIFS(SF_Output!$T$1:$T$400,SF_Output!$AC$1:$AC$400,_xlfn.TEXTJOIN(",",TRUE,$B49:$E49),SF_Output!$Q$1:$Q$400,"One Time",SF_Output!$L$1:$L$400,"professional service")/N49))))</f>
        <v/>
      </c>
      <c r="P49" s="6">
        <f t="shared" si="2"/>
        <v>0</v>
      </c>
      <c r="R49" s="6">
        <f>IF(B49="","",SUMIFS(SF_Output!$S$1:$S$400,SF_Output!$AC$1:$AC$400,_xlfn.TEXTJOIN(",",TRUE,B49:E49),SF_Output!$Q$1:$Q$400,"yearly")+SUMIFS(SF_Output!$S$1:$S$400,SF_Output!$AC$1:$AC$400,_xlfn.TEXTJOIN(",",TRUE,B49:E49),SF_Output!$Q$1:$Q$400,"quarterly")*4)</f>
        <v>500</v>
      </c>
      <c r="S49" s="112">
        <f>IF(OR(B49=0,B49="",G49="hardware",R49=0),"",IF(AF49&lt;&gt;"exclusion",MAX(S$9,-(SUMIFS(SF_Output!$T$1:$T$400,SF_Output!$AC$1:$AC$400,_xlfn.TEXTJOIN(",",TRUE,$B49:$E49),SF_Output!$Q$1:$Q$400,"yearly"))/R49),-((SUMIFS(SF_Output!$T$1:$T$400,SF_Output!$AC$1:$AC$400,_xlfn.TEXTJOIN(",",TRUE,$B49:$E49),SF_Output!$Q$1:$Q$400,"yearly")/R49))))</f>
        <v>0</v>
      </c>
      <c r="T49" s="6">
        <f t="shared" si="3"/>
        <v>500</v>
      </c>
      <c r="V49" s="6" cm="1">
        <f t="array" ref="V49">_xlfn.IFS(B49="","",AND(B49&lt;&gt;"",H49=SF_Output!$Y$2,SUMIFS(SF_Output!$T$1:$T$400,SF_Output!$AC$1:$AC$400,_xlfn.TEXTJOIN(",",TRUE,B49:E49),SF_Output!$Q$1:$Q$400,"monthly")=0),(SUMIFS(SF_Output!$F$1:$F$400,SF_Output!$AC$1:$AC$400,_xlfn.TEXTJOIN(",",TRUE,B49:E49),SF_Output!$Q$1:$Q$400,"monthly")+SUMIFS(SF_Output!$G$1:$G$400,SF_Output!$AC$1:$AC$400,_xlfn.TEXTJOIN(",",TRUE,B49:E49),SF_Output!$Q$1:$Q$400,"monthly"))*H49,AND(B49&lt;&gt;"",H49=SF_Output!$Y$2,SUMIFS(SF_Output!$T$1:$T$400,SF_Output!$AC$1:$AC$400,_xlfn.TEXTJOIN(",",TRUE,B49:E49),SF_Output!$Q$1:$Q$400,"monthly")&lt;&gt;0),SUMIFS(SF_Output!$S$1:$S$400,SF_Output!$AC$1:$AC$400,_xlfn.TEXTJOIN(",",TRUE,B49:E49),SF_Output!$Q$1:$Q$400,"monthly"),AND(B49&lt;&gt;"",H49&lt;&gt;SF_Output!$Y$2),SUMIFS(SF_Output!$S$1:$S$400,SF_Output!$AC$1:$AC$400,_xlfn.TEXTJOIN(",",TRUE,B49:E49),SF_Output!$Q$1:$Q$400,"monthly"))</f>
        <v>0</v>
      </c>
      <c r="W49" s="112" t="str" cm="1">
        <f t="array" ref="W49">_xlfn.IFS(OR(B49=0,B49="",V49=0),"",AF49&lt;&gt;"exclusion",MAX($W$9,$W$7,(-(SUMIFS(SF_Output!$T$1:$T$400,SF_Output!$AC$1:$AC$400,_xlfn.TEXTJOIN(",",TRUE,$B49:$E49),SF_Output!$Q$1:$Q$400,"monthly"))/V49)),AF49="exclusion",-(SUMIFS(SF_Output!$T$1:$T$400,SF_Output!$AC$1:$AC$400,_xlfn.TEXTJOIN(",",TRUE,$B49:$E49),SF_Output!$Q$1:$Q$400,"monthly"))/V49)</f>
        <v/>
      </c>
      <c r="X49" s="6" cm="1">
        <f t="array" ref="X49">IFERROR(_xlfn.IFS(V49=0,0,V49="","",W49=0,V49,OR(V49&lt;&gt;0,V49&lt;&gt;""),H49*I49),V49*(1-W49))</f>
        <v>0</v>
      </c>
    </row>
    <row r="50" spans="2:24" x14ac:dyDescent="0.25">
      <c r="B50" t="s">
        <v>1152</v>
      </c>
      <c r="C50" t="s">
        <v>2122</v>
      </c>
      <c r="D50" t="s">
        <v>2164</v>
      </c>
      <c r="E50" t="s">
        <v>2124</v>
      </c>
      <c r="F50" s="116" t="str">
        <f t="shared" si="0"/>
        <v>Included</v>
      </c>
      <c r="G50" t="str">
        <f>IF(B50="","",INDEX(SF_Output!$K$1:$K$400,MATCH(B50,SF_Output!$M$1:$M$400,0)))</f>
        <v>Intuit</v>
      </c>
      <c r="H50" cm="1">
        <f t="array" ref="H50">_xlfn.IFS(B50="","",(SUMIFS(SF_Output!$F$1:$F$400,SF_Output!$AC$1:$AC$400,_xlfn.TEXTJOIN(",",TRUE,B50:E50))+SUMIFS(SF_Output!$G$1:$G$400,SF_Output!$AC$1:$AC$400,_xlfn.TEXTJOIN(",",TRUE,B50:E50)))&lt;&gt;0,SF_Output!$Y$2,INDEX(SF_Output!$F$1:$F$400,MATCH(_xlfn.TEXTJOIN(",",TRUE,B50:E50),SF_Output!$AC$1:$AC$400,0))=0,INDEX(SF_Output!$R$1:$R$400,MATCH(_xlfn.TEXTJOIN(",",TRUE,B50:E50),SF_Output!$AC$1:$AC$400,0)))</f>
        <v>1</v>
      </c>
      <c r="I50" s="125" t="str">
        <f>IFERROR(IF(AND(H50&gt;1,H50&lt;&gt;""),ROUND(SUMIFS(SF_Output!$S$1:$S$400,SF_Output!$AC$1:$AC$400,_xlfn.TEXTJOIN(",",TRUE,B50:E50),SF_Output!$Q$1:$Q$400,"monthly")*(1-W50)/H50,4),""),"")</f>
        <v/>
      </c>
      <c r="J50" s="6">
        <f>IF(B50="","",SUMIFS(SF_Output!$S$1:$S$400,SF_Output!$AC$1:$AC$400,_xlfn.TEXTJOIN(",",TRUE,B50:E50),SF_Output!$Q$1:$Q$400,"One Time",SF_Output!$L$1:$L$400,"license fee")+SUMIFS(SF_Output!$S$1:$S$400,SF_Output!$AC$1:$AC$400,_xlfn.TEXTJOIN(",",TRUE,B50:E50),SF_Output!$Q$1:$Q$400,"One Time",SF_Output!$L$1:$L$400,"software license")+SUMIFS(SF_Output!$S$1:$S$400,SF_Output!$AC$1:$AC$400,_xlfn.TEXTJOIN(",",TRUE,B50:E50),SF_Output!$Q$1:$Q$400,"One Time",SF_Output!$L$1:$L$400,"hardware"))</f>
        <v>0</v>
      </c>
      <c r="K50" s="112" t="str">
        <f>IF(OR(B50=0,B50="",G50="hardware",J50=0),"",IF(AF50&lt;&gt;"exclusion",MAX(K$9,-((SUMIFS(SF_Output!$T$1:$T$400,SF_Output!$AC$1:$AC$400,_xlfn.TEXTJOIN(",",TRUE,$B50:$E50),SF_Output!$Q$1:$Q$400,"One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license"))/J50)),-((SUMIFS(SF_Output!$T$1:$T$400,SF_Output!$AC$1:$AC$400,_xlfn.TEXTJOIN(",",TRUE,$B50:$E50),SF_Output!$Q$1:$Q$400,"One Time",SF_Output!$L$1:$L$400,"license fee")+SUMIFS(SF_Output!$T$1:$T$400,SF_Output!$AC$1:$AC$400,_xlfn.TEXTJOIN(",",TRUE,$B50:$E50),SF_Output!$Q$1:$Q$400,"One Time",SF_Output!$L$1:$L$400,"software license"))/J50)))</f>
        <v/>
      </c>
      <c r="L50" s="6">
        <f t="shared" si="1"/>
        <v>0</v>
      </c>
      <c r="N50" s="6">
        <f>IF(B50="","",SUMIFS(SF_Output!$S$1:$S$400,SF_Output!$AC$1:$AC$400,_xlfn.TEXTJOIN(",",TRUE,B50:E50),SF_Output!$Q$1:$Q$400,"One Time",SF_Output!$L$1:$L$400,"professional service"))</f>
        <v>0</v>
      </c>
      <c r="O50" s="112" t="str">
        <f>IF(OR(B50=0,B50="",N50=0),"",IF(AF50&lt;&gt;"exclusion",MAX(O$9,-(SUMIFS(SF_Output!$T$1:$T$400,SF_Output!$AC$1:$AC$400,_xlfn.TEXTJOIN(",",TRUE,$B50:$E50),SF_Output!$Q$1:$Q$400,"One Time",SF_Output!$L$1:$L$400,"professional service"))/N50),-((SUMIFS(SF_Output!$T$1:$T$400,SF_Output!$AC$1:$AC$400,_xlfn.TEXTJOIN(",",TRUE,$B50:$E50),SF_Output!$Q$1:$Q$400,"One Time",SF_Output!$L$1:$L$400,"professional service")/N50))))</f>
        <v/>
      </c>
      <c r="P50" s="6">
        <f t="shared" si="2"/>
        <v>0</v>
      </c>
      <c r="R50" s="6">
        <f>IF(B50="","",SUMIFS(SF_Output!$S$1:$S$400,SF_Output!$AC$1:$AC$400,_xlfn.TEXTJOIN(",",TRUE,B50:E50),SF_Output!$Q$1:$Q$400,"yearly")+SUMIFS(SF_Output!$S$1:$S$400,SF_Output!$AC$1:$AC$400,_xlfn.TEXTJOIN(",",TRUE,B50:E50),SF_Output!$Q$1:$Q$400,"quarterly")*4)</f>
        <v>0</v>
      </c>
      <c r="S50" s="112" t="str">
        <f>IF(OR(B50=0,B50="",G50="hardware",R50=0),"",IF(AF50&lt;&gt;"exclusion",MAX(S$9,-(SUMIFS(SF_Output!$T$1:$T$400,SF_Output!$AC$1:$AC$400,_xlfn.TEXTJOIN(",",TRUE,$B50:$E50),SF_Output!$Q$1:$Q$400,"yearly"))/R50),-((SUMIFS(SF_Output!$T$1:$T$400,SF_Output!$AC$1:$AC$400,_xlfn.TEXTJOIN(",",TRUE,$B50:$E50),SF_Output!$Q$1:$Q$400,"yearly")/R50))))</f>
        <v/>
      </c>
      <c r="T50" s="6">
        <f t="shared" si="3"/>
        <v>0</v>
      </c>
      <c r="V50" s="6" cm="1">
        <f t="array" ref="V50">_xlfn.IFS(B50="","",AND(B50&lt;&gt;"",H50=SF_Output!$Y$2,SUMIFS(SF_Output!$T$1:$T$400,SF_Output!$AC$1:$AC$400,_xlfn.TEXTJOIN(",",TRUE,B50:E50),SF_Output!$Q$1:$Q$400,"monthly")=0),(SUMIFS(SF_Output!$F$1:$F$400,SF_Output!$AC$1:$AC$400,_xlfn.TEXTJOIN(",",TRUE,B50:E50),SF_Output!$Q$1:$Q$400,"monthly")+SUMIFS(SF_Output!$G$1:$G$400,SF_Output!$AC$1:$AC$400,_xlfn.TEXTJOIN(",",TRUE,B50:E50),SF_Output!$Q$1:$Q$400,"monthly"))*H50,AND(B50&lt;&gt;"",H50=SF_Output!$Y$2,SUMIFS(SF_Output!$T$1:$T$400,SF_Output!$AC$1:$AC$400,_xlfn.TEXTJOIN(",",TRUE,B50:E50),SF_Output!$Q$1:$Q$400,"monthly")&lt;&gt;0),SUMIFS(SF_Output!$S$1:$S$400,SF_Output!$AC$1:$AC$400,_xlfn.TEXTJOIN(",",TRUE,B50:E50),SF_Output!$Q$1:$Q$400,"monthly"),AND(B50&lt;&gt;"",H50&lt;&gt;SF_Output!$Y$2),SUMIFS(SF_Output!$S$1:$S$400,SF_Output!$AC$1:$AC$400,_xlfn.TEXTJOIN(",",TRUE,B50:E50),SF_Output!$Q$1:$Q$400,"monthly"))</f>
        <v>0</v>
      </c>
      <c r="W50" s="112" t="str" cm="1">
        <f t="array" ref="W50">_xlfn.IFS(OR(B50=0,B50="",V50=0),"",AF50&lt;&gt;"exclusion",MAX($W$9,$W$7,(-(SUMIFS(SF_Output!$T$1:$T$400,SF_Output!$AC$1:$AC$400,_xlfn.TEXTJOIN(",",TRUE,$B50:$E50),SF_Output!$Q$1:$Q$400,"monthly"))/V50)),AF50="exclusion",-(SUMIFS(SF_Output!$T$1:$T$400,SF_Output!$AC$1:$AC$400,_xlfn.TEXTJOIN(",",TRUE,$B50:$E50),SF_Output!$Q$1:$Q$400,"monthly"))/V50)</f>
        <v/>
      </c>
      <c r="X50" s="6" cm="1">
        <f t="array" ref="X50">IFERROR(_xlfn.IFS(V50=0,0,V50="","",W50=0,V50,OR(V50&lt;&gt;0,V50&lt;&gt;""),H50*I50),V50*(1-W50))</f>
        <v>0</v>
      </c>
    </row>
    <row r="51" spans="2:24" x14ac:dyDescent="0.25">
      <c r="B51" t="s">
        <v>2247</v>
      </c>
      <c r="C51" t="s">
        <v>2122</v>
      </c>
      <c r="D51" t="s">
        <v>2123</v>
      </c>
      <c r="E51" t="s">
        <v>2150</v>
      </c>
      <c r="F51" s="116" t="str">
        <f t="shared" si="0"/>
        <v>Optional</v>
      </c>
      <c r="G51" t="str">
        <f>IF(B51="","",INDEX(SF_Output!$K$1:$K$400,MATCH(B51,SF_Output!$M$1:$M$400,0)))</f>
        <v>Intuit</v>
      </c>
      <c r="H51" cm="1">
        <f t="array" ref="H51">_xlfn.IFS(B51="","",(SUMIFS(SF_Output!$F$1:$F$400,SF_Output!$AC$1:$AC$400,_xlfn.TEXTJOIN(",",TRUE,B51:E51))+SUMIFS(SF_Output!$G$1:$G$400,SF_Output!$AC$1:$AC$400,_xlfn.TEXTJOIN(",",TRUE,B51:E51)))&lt;&gt;0,SF_Output!$Y$2,INDEX(SF_Output!$F$1:$F$400,MATCH(_xlfn.TEXTJOIN(",",TRUE,B51:E51),SF_Output!$AC$1:$AC$400,0))=0,INDEX(SF_Output!$R$1:$R$400,MATCH(_xlfn.TEXTJOIN(",",TRUE,B51:E51),SF_Output!$AC$1:$AC$400,0)))</f>
        <v>5000</v>
      </c>
      <c r="I51" s="125">
        <f>IFERROR(IF(AND(H51&gt;1,H51&lt;&gt;""),ROUND(SUMIFS(SF_Output!$S$1:$S$400,SF_Output!$AC$1:$AC$400,_xlfn.TEXTJOIN(",",TRUE,B51:E51),SF_Output!$Q$1:$Q$400,"monthly")*(1-W51)/H51,4),""),"")</f>
        <v>4.0500000000000001E-2</v>
      </c>
      <c r="J51" s="6">
        <f>IF(B51="","",SUMIFS(SF_Output!$S$1:$S$400,SF_Output!$AC$1:$AC$400,_xlfn.TEXTJOIN(",",TRUE,B51:E51),SF_Output!$Q$1:$Q$400,"One Time",SF_Output!$L$1:$L$400,"license fee")+SUMIFS(SF_Output!$S$1:$S$400,SF_Output!$AC$1:$AC$400,_xlfn.TEXTJOIN(",",TRUE,B51:E51),SF_Output!$Q$1:$Q$400,"One Time",SF_Output!$L$1:$L$400,"software license")+SUMIFS(SF_Output!$S$1:$S$400,SF_Output!$AC$1:$AC$400,_xlfn.TEXTJOIN(",",TRUE,B51:E51),SF_Output!$Q$1:$Q$400,"One Time",SF_Output!$L$1:$L$400,"hardware"))</f>
        <v>0</v>
      </c>
      <c r="K51" s="112" t="str">
        <f>IF(OR(B51=0,B51="",G51="hardware",J51=0),"",IF(AF51&lt;&gt;"exclusion",MAX(K$9,-((SUMIFS(SF_Output!$T$1:$T$400,SF_Output!$AC$1:$AC$400,_xlfn.TEXTJOIN(",",TRUE,$B51:$E51),SF_Output!$Q$1:$Q$400,"One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license"))/J51)),-((SUMIFS(SF_Output!$T$1:$T$400,SF_Output!$AC$1:$AC$400,_xlfn.TEXTJOIN(",",TRUE,$B51:$E51),SF_Output!$Q$1:$Q$400,"One Time",SF_Output!$L$1:$L$400,"license fee")+SUMIFS(SF_Output!$T$1:$T$400,SF_Output!$AC$1:$AC$400,_xlfn.TEXTJOIN(",",TRUE,$B51:$E51),SF_Output!$Q$1:$Q$400,"One Time",SF_Output!$L$1:$L$400,"software license"))/J51)))</f>
        <v/>
      </c>
      <c r="L51" s="6">
        <f t="shared" si="1"/>
        <v>0</v>
      </c>
      <c r="N51" s="6">
        <f>IF(B51="","",SUMIFS(SF_Output!$S$1:$S$400,SF_Output!$AC$1:$AC$400,_xlfn.TEXTJOIN(",",TRUE,B51:E51),SF_Output!$Q$1:$Q$400,"One Time",SF_Output!$L$1:$L$400,"professional service"))</f>
        <v>2500</v>
      </c>
      <c r="O51" s="112">
        <f>IF(OR(B51=0,B51="",N51=0),"",IF(AF51&lt;&gt;"exclusion",MAX(O$9,-(SUMIFS(SF_Output!$T$1:$T$400,SF_Output!$AC$1:$AC$400,_xlfn.TEXTJOIN(",",TRUE,$B51:$E51),SF_Output!$Q$1:$Q$400,"One Time",SF_Output!$L$1:$L$400,"professional service"))/N51),-((SUMIFS(SF_Output!$T$1:$T$400,SF_Output!$AC$1:$AC$400,_xlfn.TEXTJOIN(",",TRUE,$B51:$E51),SF_Output!$Q$1:$Q$400,"One Time",SF_Output!$L$1:$L$400,"professional service")/N51))))</f>
        <v>1</v>
      </c>
      <c r="P51" s="6">
        <f t="shared" si="2"/>
        <v>0</v>
      </c>
      <c r="R51" s="6">
        <f>IF(B51="","",SUMIFS(SF_Output!$S$1:$S$400,SF_Output!$AC$1:$AC$400,_xlfn.TEXTJOIN(",",TRUE,B51:E51),SF_Output!$Q$1:$Q$400,"yearly")+SUMIFS(SF_Output!$S$1:$S$400,SF_Output!$AC$1:$AC$400,_xlfn.TEXTJOIN(",",TRUE,B51:E51),SF_Output!$Q$1:$Q$400,"quarterly")*4)</f>
        <v>0</v>
      </c>
      <c r="S51" s="112" t="str">
        <f>IF(OR(B51=0,B51="",G51="hardware",R51=0),"",IF(AF51&lt;&gt;"exclusion",MAX(S$9,-(SUMIFS(SF_Output!$T$1:$T$400,SF_Output!$AC$1:$AC$400,_xlfn.TEXTJOIN(",",TRUE,$B51:$E51),SF_Output!$Q$1:$Q$400,"yearly"))/R51),-((SUMIFS(SF_Output!$T$1:$T$400,SF_Output!$AC$1:$AC$400,_xlfn.TEXTJOIN(",",TRUE,$B51:$E51),SF_Output!$Q$1:$Q$400,"yearly")/R51))))</f>
        <v/>
      </c>
      <c r="T51" s="6">
        <f t="shared" si="3"/>
        <v>0</v>
      </c>
      <c r="V51" s="6" cm="1">
        <f t="array" ref="V51">_xlfn.IFS(B51="","",AND(B51&lt;&gt;"",H51=SF_Output!$Y$2,SUMIFS(SF_Output!$T$1:$T$400,SF_Output!$AC$1:$AC$400,_xlfn.TEXTJOIN(",",TRUE,B51:E51),SF_Output!$Q$1:$Q$400,"monthly")=0),(SUMIFS(SF_Output!$F$1:$F$400,SF_Output!$AC$1:$AC$400,_xlfn.TEXTJOIN(",",TRUE,B51:E51),SF_Output!$Q$1:$Q$400,"monthly")+SUMIFS(SF_Output!$G$1:$G$400,SF_Output!$AC$1:$AC$400,_xlfn.TEXTJOIN(",",TRUE,B51:E51),SF_Output!$Q$1:$Q$400,"monthly"))*H51,AND(B51&lt;&gt;"",H51=SF_Output!$Y$2,SUMIFS(SF_Output!$T$1:$T$400,SF_Output!$AC$1:$AC$400,_xlfn.TEXTJOIN(",",TRUE,B51:E51),SF_Output!$Q$1:$Q$400,"monthly")&lt;&gt;0),SUMIFS(SF_Output!$S$1:$S$400,SF_Output!$AC$1:$AC$400,_xlfn.TEXTJOIN(",",TRUE,B51:E51),SF_Output!$Q$1:$Q$400,"monthly"),AND(B51&lt;&gt;"",H51&lt;&gt;SF_Output!$Y$2),SUMIFS(SF_Output!$S$1:$S$400,SF_Output!$AC$1:$AC$400,_xlfn.TEXTJOIN(",",TRUE,B51:E51),SF_Output!$Q$1:$Q$400,"monthly"))</f>
        <v>270</v>
      </c>
      <c r="W51" s="112" cm="1">
        <f t="array" ref="W51">_xlfn.IFS(OR(B51=0,B51="",V51=0),"",AF51&lt;&gt;"exclusion",MAX($W$9,$W$7,(-(SUMIFS(SF_Output!$T$1:$T$400,SF_Output!$AC$1:$AC$400,_xlfn.TEXTJOIN(",",TRUE,$B51:$E51),SF_Output!$Q$1:$Q$400,"monthly"))/V51)),AF51="exclusion",-(SUMIFS(SF_Output!$T$1:$T$400,SF_Output!$AC$1:$AC$400,_xlfn.TEXTJOIN(",",TRUE,$B51:$E51),SF_Output!$Q$1:$Q$400,"monthly"))/V51)</f>
        <v>0.25</v>
      </c>
      <c r="X51" s="6" cm="1">
        <f t="array" ref="X51">IFERROR(_xlfn.IFS(V51=0,0,V51="","",W51=0,V51,OR(V51&lt;&gt;0,V51&lt;&gt;""),H51*I51),V51*(1-W51))</f>
        <v>202.5</v>
      </c>
    </row>
    <row r="52" spans="2:24" x14ac:dyDescent="0.25">
      <c r="B52" t="s">
        <v>2250</v>
      </c>
      <c r="C52" t="s">
        <v>2122</v>
      </c>
      <c r="D52" t="s">
        <v>2123</v>
      </c>
      <c r="E52" t="s">
        <v>2150</v>
      </c>
      <c r="F52" s="116" t="str">
        <f t="shared" si="0"/>
        <v>Optional</v>
      </c>
      <c r="G52" t="str">
        <f>IF(B52="","",INDEX(SF_Output!$K$1:$K$400,MATCH(B52,SF_Output!$M$1:$M$400,0)))</f>
        <v>Intuit</v>
      </c>
      <c r="H52" cm="1">
        <f t="array" ref="H52">_xlfn.IFS(B52="","",(SUMIFS(SF_Output!$F$1:$F$400,SF_Output!$AC$1:$AC$400,_xlfn.TEXTJOIN(",",TRUE,B52:E52))+SUMIFS(SF_Output!$G$1:$G$400,SF_Output!$AC$1:$AC$400,_xlfn.TEXTJOIN(",",TRUE,B52:E52)))&lt;&gt;0,SF_Output!$Y$2,INDEX(SF_Output!$F$1:$F$400,MATCH(_xlfn.TEXTJOIN(",",TRUE,B52:E52),SF_Output!$AC$1:$AC$400,0))=0,INDEX(SF_Output!$R$1:$R$400,MATCH(_xlfn.TEXTJOIN(",",TRUE,B52:E52),SF_Output!$AC$1:$AC$400,0)))</f>
        <v>5000</v>
      </c>
      <c r="I52" s="125">
        <f>IFERROR(IF(AND(H52&gt;1,H52&lt;&gt;""),ROUND(SUMIFS(SF_Output!$S$1:$S$400,SF_Output!$AC$1:$AC$400,_xlfn.TEXTJOIN(",",TRUE,B52:E52),SF_Output!$Q$1:$Q$400,"monthly")*(1-W52)/H52,4),""),"")</f>
        <v>3.0800000000000001E-2</v>
      </c>
      <c r="J52" s="6">
        <f>IF(B52="","",SUMIFS(SF_Output!$S$1:$S$400,SF_Output!$AC$1:$AC$400,_xlfn.TEXTJOIN(",",TRUE,B52:E52),SF_Output!$Q$1:$Q$400,"One Time",SF_Output!$L$1:$L$400,"license fee")+SUMIFS(SF_Output!$S$1:$S$400,SF_Output!$AC$1:$AC$400,_xlfn.TEXTJOIN(",",TRUE,B52:E52),SF_Output!$Q$1:$Q$400,"One Time",SF_Output!$L$1:$L$400,"software license")+SUMIFS(SF_Output!$S$1:$S$400,SF_Output!$AC$1:$AC$400,_xlfn.TEXTJOIN(",",TRUE,B52:E52),SF_Output!$Q$1:$Q$400,"One Time",SF_Output!$L$1:$L$400,"hardware"))</f>
        <v>0</v>
      </c>
      <c r="K52" s="112" t="str">
        <f>IF(OR(B52=0,B52="",G52="hardware",J52=0),"",IF(AF52&lt;&gt;"exclusion",MAX(K$9,-((SUMIFS(SF_Output!$T$1:$T$400,SF_Output!$AC$1:$AC$400,_xlfn.TEXTJOIN(",",TRUE,$B52:$E52),SF_Output!$Q$1:$Q$400,"One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license"))/J52)),-((SUMIFS(SF_Output!$T$1:$T$400,SF_Output!$AC$1:$AC$400,_xlfn.TEXTJOIN(",",TRUE,$B52:$E52),SF_Output!$Q$1:$Q$400,"One Time",SF_Output!$L$1:$L$400,"license fee")+SUMIFS(SF_Output!$T$1:$T$400,SF_Output!$AC$1:$AC$400,_xlfn.TEXTJOIN(",",TRUE,$B52:$E52),SF_Output!$Q$1:$Q$400,"One Time",SF_Output!$L$1:$L$400,"software license"))/J52)))</f>
        <v/>
      </c>
      <c r="L52" s="6">
        <f t="shared" si="1"/>
        <v>0</v>
      </c>
      <c r="N52" s="6">
        <f>IF(B52="","",SUMIFS(SF_Output!$S$1:$S$400,SF_Output!$AC$1:$AC$400,_xlfn.TEXTJOIN(",",TRUE,B52:E52),SF_Output!$Q$1:$Q$400,"One Time",SF_Output!$L$1:$L$400,"professional service"))</f>
        <v>2500</v>
      </c>
      <c r="O52" s="112">
        <f>IF(OR(B52=0,B52="",N52=0),"",IF(AF52&lt;&gt;"exclusion",MAX(O$9,-(SUMIFS(SF_Output!$T$1:$T$400,SF_Output!$AC$1:$AC$400,_xlfn.TEXTJOIN(",",TRUE,$B52:$E52),SF_Output!$Q$1:$Q$400,"One Time",SF_Output!$L$1:$L$400,"professional service"))/N52),-((SUMIFS(SF_Output!$T$1:$T$400,SF_Output!$AC$1:$AC$400,_xlfn.TEXTJOIN(",",TRUE,$B52:$E52),SF_Output!$Q$1:$Q$400,"One Time",SF_Output!$L$1:$L$400,"professional service")/N52))))</f>
        <v>1</v>
      </c>
      <c r="P52" s="6">
        <f t="shared" si="2"/>
        <v>0</v>
      </c>
      <c r="R52" s="6">
        <f>IF(B52="","",SUMIFS(SF_Output!$S$1:$S$400,SF_Output!$AC$1:$AC$400,_xlfn.TEXTJOIN(",",TRUE,B52:E52),SF_Output!$Q$1:$Q$400,"yearly")+SUMIFS(SF_Output!$S$1:$S$400,SF_Output!$AC$1:$AC$400,_xlfn.TEXTJOIN(",",TRUE,B52:E52),SF_Output!$Q$1:$Q$400,"quarterly")*4)</f>
        <v>0</v>
      </c>
      <c r="S52" s="112" t="str">
        <f>IF(OR(B52=0,B52="",G52="hardware",R52=0),"",IF(AF52&lt;&gt;"exclusion",MAX(S$9,-(SUMIFS(SF_Output!$T$1:$T$400,SF_Output!$AC$1:$AC$400,_xlfn.TEXTJOIN(",",TRUE,$B52:$E52),SF_Output!$Q$1:$Q$400,"yearly"))/R52),-((SUMIFS(SF_Output!$T$1:$T$400,SF_Output!$AC$1:$AC$400,_xlfn.TEXTJOIN(",",TRUE,$B52:$E52),SF_Output!$Q$1:$Q$400,"yearly")/R52))))</f>
        <v/>
      </c>
      <c r="T52" s="6">
        <f t="shared" si="3"/>
        <v>0</v>
      </c>
      <c r="V52" s="6" cm="1">
        <f t="array" ref="V52">_xlfn.IFS(B52="","",AND(B52&lt;&gt;"",H52=SF_Output!$Y$2,SUMIFS(SF_Output!$T$1:$T$400,SF_Output!$AC$1:$AC$400,_xlfn.TEXTJOIN(",",TRUE,B52:E52),SF_Output!$Q$1:$Q$400,"monthly")=0),(SUMIFS(SF_Output!$F$1:$F$400,SF_Output!$AC$1:$AC$400,_xlfn.TEXTJOIN(",",TRUE,B52:E52),SF_Output!$Q$1:$Q$400,"monthly")+SUMIFS(SF_Output!$G$1:$G$400,SF_Output!$AC$1:$AC$400,_xlfn.TEXTJOIN(",",TRUE,B52:E52),SF_Output!$Q$1:$Q$400,"monthly"))*H52,AND(B52&lt;&gt;"",H52=SF_Output!$Y$2,SUMIFS(SF_Output!$T$1:$T$400,SF_Output!$AC$1:$AC$400,_xlfn.TEXTJOIN(",",TRUE,B52:E52),SF_Output!$Q$1:$Q$400,"monthly")&lt;&gt;0),SUMIFS(SF_Output!$S$1:$S$400,SF_Output!$AC$1:$AC$400,_xlfn.TEXTJOIN(",",TRUE,B52:E52),SF_Output!$Q$1:$Q$400,"monthly"),AND(B52&lt;&gt;"",H52&lt;&gt;SF_Output!$Y$2),SUMIFS(SF_Output!$S$1:$S$400,SF_Output!$AC$1:$AC$400,_xlfn.TEXTJOIN(",",TRUE,B52:E52),SF_Output!$Q$1:$Q$400,"monthly"))</f>
        <v>205</v>
      </c>
      <c r="W52" s="112" cm="1">
        <f t="array" ref="W52">_xlfn.IFS(OR(B52=0,B52="",V52=0),"",AF52&lt;&gt;"exclusion",MAX($W$9,$W$7,(-(SUMIFS(SF_Output!$T$1:$T$400,SF_Output!$AC$1:$AC$400,_xlfn.TEXTJOIN(",",TRUE,$B52:$E52),SF_Output!$Q$1:$Q$400,"monthly"))/V52)),AF52="exclusion",-(SUMIFS(SF_Output!$T$1:$T$400,SF_Output!$AC$1:$AC$400,_xlfn.TEXTJOIN(",",TRUE,$B52:$E52),SF_Output!$Q$1:$Q$400,"monthly"))/V52)</f>
        <v>0.25</v>
      </c>
      <c r="X52" s="6" cm="1">
        <f t="array" ref="X52">IFERROR(_xlfn.IFS(V52=0,0,V52="","",W52=0,V52,OR(V52&lt;&gt;0,V52&lt;&gt;""),H52*I52),V52*(1-W52))</f>
        <v>154</v>
      </c>
    </row>
    <row r="53" spans="2:24" x14ac:dyDescent="0.25">
      <c r="B53" t="s">
        <v>2253</v>
      </c>
      <c r="C53" t="s">
        <v>2122</v>
      </c>
      <c r="D53" t="s">
        <v>2123</v>
      </c>
      <c r="E53" t="s">
        <v>2150</v>
      </c>
      <c r="F53" s="116" t="str">
        <f t="shared" si="0"/>
        <v>Optional</v>
      </c>
      <c r="G53" t="str">
        <f>IF(B53="","",INDEX(SF_Output!$K$1:$K$400,MATCH(B53,SF_Output!$M$1:$M$400,0)))</f>
        <v>OutLink Item Processing</v>
      </c>
      <c r="H53" cm="1">
        <f t="array" ref="H53">_xlfn.IFS(B53="","",(SUMIFS(SF_Output!$F$1:$F$400,SF_Output!$AC$1:$AC$400,_xlfn.TEXTJOIN(",",TRUE,B53:E53))+SUMIFS(SF_Output!$G$1:$G$400,SF_Output!$AC$1:$AC$400,_xlfn.TEXTJOIN(",",TRUE,B53:E53)))&lt;&gt;0,SF_Output!$Y$2,INDEX(SF_Output!$F$1:$F$400,MATCH(_xlfn.TEXTJOIN(",",TRUE,B53:E53),SF_Output!$AC$1:$AC$400,0))=0,INDEX(SF_Output!$R$1:$R$400,MATCH(_xlfn.TEXTJOIN(",",TRUE,B53:E53),SF_Output!$AC$1:$AC$400,0)))</f>
        <v>1</v>
      </c>
      <c r="I53" s="125" t="str">
        <f>IFERROR(IF(AND(H53&gt;1,H53&lt;&gt;""),ROUND(SUMIFS(SF_Output!$S$1:$S$400,SF_Output!$AC$1:$AC$400,_xlfn.TEXTJOIN(",",TRUE,B53:E53),SF_Output!$Q$1:$Q$400,"monthly")*(1-W53)/H53,4),""),"")</f>
        <v/>
      </c>
      <c r="J53" s="6">
        <f>IF(B53="","",SUMIFS(SF_Output!$S$1:$S$400,SF_Output!$AC$1:$AC$400,_xlfn.TEXTJOIN(",",TRUE,B53:E53),SF_Output!$Q$1:$Q$400,"One Time",SF_Output!$L$1:$L$400,"license fee")+SUMIFS(SF_Output!$S$1:$S$400,SF_Output!$AC$1:$AC$400,_xlfn.TEXTJOIN(",",TRUE,B53:E53),SF_Output!$Q$1:$Q$400,"One Time",SF_Output!$L$1:$L$400,"software license")+SUMIFS(SF_Output!$S$1:$S$400,SF_Output!$AC$1:$AC$400,_xlfn.TEXTJOIN(",",TRUE,B53:E53),SF_Output!$Q$1:$Q$400,"One Time",SF_Output!$L$1:$L$400,"hardware"))</f>
        <v>0</v>
      </c>
      <c r="K53" s="112" t="str">
        <f>IF(OR(B53=0,B53="",G53="hardware",J53=0),"",IF(AF53&lt;&gt;"exclusion",MAX(K$9,-((SUMIFS(SF_Output!$T$1:$T$400,SF_Output!$AC$1:$AC$400,_xlfn.TEXTJOIN(",",TRUE,$B53:$E53),SF_Output!$Q$1:$Q$400,"One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license"))/J53)),-((SUMIFS(SF_Output!$T$1:$T$400,SF_Output!$AC$1:$AC$400,_xlfn.TEXTJOIN(",",TRUE,$B53:$E53),SF_Output!$Q$1:$Q$400,"One Time",SF_Output!$L$1:$L$400,"license fee")+SUMIFS(SF_Output!$T$1:$T$400,SF_Output!$AC$1:$AC$400,_xlfn.TEXTJOIN(",",TRUE,$B53:$E53),SF_Output!$Q$1:$Q$400,"One Time",SF_Output!$L$1:$L$400,"software license"))/J53)))</f>
        <v/>
      </c>
      <c r="L53" s="6">
        <f t="shared" si="1"/>
        <v>0</v>
      </c>
      <c r="N53" s="6">
        <f>IF(B53="","",SUMIFS(SF_Output!$S$1:$S$400,SF_Output!$AC$1:$AC$400,_xlfn.TEXTJOIN(",",TRUE,B53:E53),SF_Output!$Q$1:$Q$400,"One Time",SF_Output!$L$1:$L$400,"professional service"))</f>
        <v>7425</v>
      </c>
      <c r="O53" s="112">
        <f>IF(OR(B53=0,B53="",N53=0),"",IF(AF53&lt;&gt;"exclusion",MAX(O$9,-(SUMIFS(SF_Output!$T$1:$T$400,SF_Output!$AC$1:$AC$400,_xlfn.TEXTJOIN(",",TRUE,$B53:$E53),SF_Output!$Q$1:$Q$400,"One Time",SF_Output!$L$1:$L$400,"professional service"))/N53),-((SUMIFS(SF_Output!$T$1:$T$400,SF_Output!$AC$1:$AC$400,_xlfn.TEXTJOIN(",",TRUE,$B53:$E53),SF_Output!$Q$1:$Q$400,"One Time",SF_Output!$L$1:$L$400,"professional service")/N53))))</f>
        <v>0</v>
      </c>
      <c r="P53" s="6">
        <f t="shared" si="2"/>
        <v>7425</v>
      </c>
      <c r="R53" s="6">
        <f>IF(B53="","",SUMIFS(SF_Output!$S$1:$S$400,SF_Output!$AC$1:$AC$400,_xlfn.TEXTJOIN(",",TRUE,B53:E53),SF_Output!$Q$1:$Q$400,"yearly")+SUMIFS(SF_Output!$S$1:$S$400,SF_Output!$AC$1:$AC$400,_xlfn.TEXTJOIN(",",TRUE,B53:E53),SF_Output!$Q$1:$Q$400,"quarterly")*4)</f>
        <v>0</v>
      </c>
      <c r="S53" s="112" t="str">
        <f>IF(OR(B53=0,B53="",G53="hardware",R53=0),"",IF(AF53&lt;&gt;"exclusion",MAX(S$9,-(SUMIFS(SF_Output!$T$1:$T$400,SF_Output!$AC$1:$AC$400,_xlfn.TEXTJOIN(",",TRUE,$B53:$E53),SF_Output!$Q$1:$Q$400,"yearly"))/R53),-((SUMIFS(SF_Output!$T$1:$T$400,SF_Output!$AC$1:$AC$400,_xlfn.TEXTJOIN(",",TRUE,$B53:$E53),SF_Output!$Q$1:$Q$400,"yearly")/R53))))</f>
        <v/>
      </c>
      <c r="T53" s="6">
        <f t="shared" si="3"/>
        <v>0</v>
      </c>
      <c r="V53" s="6" cm="1">
        <f t="array" ref="V53">_xlfn.IFS(B53="","",AND(B53&lt;&gt;"",H53=SF_Output!$Y$2,SUMIFS(SF_Output!$T$1:$T$400,SF_Output!$AC$1:$AC$400,_xlfn.TEXTJOIN(",",TRUE,B53:E53),SF_Output!$Q$1:$Q$400,"monthly")=0),(SUMIFS(SF_Output!$F$1:$F$400,SF_Output!$AC$1:$AC$400,_xlfn.TEXTJOIN(",",TRUE,B53:E53),SF_Output!$Q$1:$Q$400,"monthly")+SUMIFS(SF_Output!$G$1:$G$400,SF_Output!$AC$1:$AC$400,_xlfn.TEXTJOIN(",",TRUE,B53:E53),SF_Output!$Q$1:$Q$400,"monthly"))*H53,AND(B53&lt;&gt;"",H53=SF_Output!$Y$2,SUMIFS(SF_Output!$T$1:$T$400,SF_Output!$AC$1:$AC$400,_xlfn.TEXTJOIN(",",TRUE,B53:E53),SF_Output!$Q$1:$Q$400,"monthly")&lt;&gt;0),SUMIFS(SF_Output!$S$1:$S$400,SF_Output!$AC$1:$AC$400,_xlfn.TEXTJOIN(",",TRUE,B53:E53),SF_Output!$Q$1:$Q$400,"monthly"),AND(B53&lt;&gt;"",H53&lt;&gt;SF_Output!$Y$2),SUMIFS(SF_Output!$S$1:$S$400,SF_Output!$AC$1:$AC$400,_xlfn.TEXTJOIN(",",TRUE,B53:E53),SF_Output!$Q$1:$Q$400,"monthly"))</f>
        <v>760</v>
      </c>
      <c r="W53" s="112" cm="1">
        <f t="array" ref="W53">_xlfn.IFS(OR(B53=0,B53="",V53=0),"",AF53&lt;&gt;"exclusion",MAX($W$9,$W$7,(-(SUMIFS(SF_Output!$T$1:$T$400,SF_Output!$AC$1:$AC$400,_xlfn.TEXTJOIN(",",TRUE,$B53:$E53),SF_Output!$Q$1:$Q$400,"monthly"))/V53)),AF53="exclusion",-(SUMIFS(SF_Output!$T$1:$T$400,SF_Output!$AC$1:$AC$400,_xlfn.TEXTJOIN(",",TRUE,$B53:$E53),SF_Output!$Q$1:$Q$400,"monthly"))/V53)</f>
        <v>0</v>
      </c>
      <c r="X53" s="6" cm="1">
        <f t="array" ref="X53">IFERROR(_xlfn.IFS(V53=0,0,V53="","",W53=0,V53,OR(V53&lt;&gt;0,V53&lt;&gt;""),H53*I53),V53*(1-W53))</f>
        <v>760</v>
      </c>
    </row>
    <row r="54" spans="2:24" x14ac:dyDescent="0.25">
      <c r="B54" t="s">
        <v>2081</v>
      </c>
      <c r="C54" t="s">
        <v>2122</v>
      </c>
      <c r="D54" t="s">
        <v>2123</v>
      </c>
      <c r="E54" t="s">
        <v>2124</v>
      </c>
      <c r="F54" s="116" t="str">
        <f t="shared" si="0"/>
        <v>Included</v>
      </c>
      <c r="G54" t="str">
        <f>IF(B54="","",INDEX(SF_Output!$K$1:$K$400,MATCH(B54,SF_Output!$M$1:$M$400,0)))</f>
        <v>OutLink Item Processing</v>
      </c>
      <c r="H54" cm="1">
        <f t="array" ref="H54">_xlfn.IFS(B54="","",(SUMIFS(SF_Output!$F$1:$F$400,SF_Output!$AC$1:$AC$400,_xlfn.TEXTJOIN(",",TRUE,B54:E54))+SUMIFS(SF_Output!$G$1:$G$400,SF_Output!$AC$1:$AC$400,_xlfn.TEXTJOIN(",",TRUE,B54:E54)))&lt;&gt;0,SF_Output!$Y$2,INDEX(SF_Output!$F$1:$F$400,MATCH(_xlfn.TEXTJOIN(",",TRUE,B54:E54),SF_Output!$AC$1:$AC$400,0))=0,INDEX(SF_Output!$R$1:$R$400,MATCH(_xlfn.TEXTJOIN(",",TRUE,B54:E54),SF_Output!$AC$1:$AC$400,0)))</f>
        <v>5000</v>
      </c>
      <c r="I54" s="125">
        <f>IFERROR(IF(AND(H54&gt;1,H54&lt;&gt;""),ROUND(SUMIFS(SF_Output!$S$1:$S$400,SF_Output!$AC$1:$AC$400,_xlfn.TEXTJOIN(",",TRUE,B54:E54),SF_Output!$Q$1:$Q$400,"monthly")*(1-W54)/H54,4),""),"")</f>
        <v>0.33379999999999999</v>
      </c>
      <c r="J54" s="6">
        <f>IF(B54="","",SUMIFS(SF_Output!$S$1:$S$400,SF_Output!$AC$1:$AC$400,_xlfn.TEXTJOIN(",",TRUE,B54:E54),SF_Output!$Q$1:$Q$400,"One Time",SF_Output!$L$1:$L$400,"license fee")+SUMIFS(SF_Output!$S$1:$S$400,SF_Output!$AC$1:$AC$400,_xlfn.TEXTJOIN(",",TRUE,B54:E54),SF_Output!$Q$1:$Q$400,"One Time",SF_Output!$L$1:$L$400,"software license")+SUMIFS(SF_Output!$S$1:$S$400,SF_Output!$AC$1:$AC$400,_xlfn.TEXTJOIN(",",TRUE,B54:E54),SF_Output!$Q$1:$Q$400,"One Time",SF_Output!$L$1:$L$400,"hardware"))</f>
        <v>0</v>
      </c>
      <c r="K54" s="112" t="str">
        <f>IF(OR(B54=0,B54="",G54="hardware",J54=0),"",IF(AF54&lt;&gt;"exclusion",MAX(K$9,-((SUMIFS(SF_Output!$T$1:$T$400,SF_Output!$AC$1:$AC$400,_xlfn.TEXTJOIN(",",TRUE,$B54:$E54),SF_Output!$Q$1:$Q$400,"One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license"))/J54)),-((SUMIFS(SF_Output!$T$1:$T$400,SF_Output!$AC$1:$AC$400,_xlfn.TEXTJOIN(",",TRUE,$B54:$E54),SF_Output!$Q$1:$Q$400,"One Time",SF_Output!$L$1:$L$400,"license fee")+SUMIFS(SF_Output!$T$1:$T$400,SF_Output!$AC$1:$AC$400,_xlfn.TEXTJOIN(",",TRUE,$B54:$E54),SF_Output!$Q$1:$Q$400,"One Time",SF_Output!$L$1:$L$400,"software license"))/J54)))</f>
        <v/>
      </c>
      <c r="L54" s="6">
        <f t="shared" si="1"/>
        <v>0</v>
      </c>
      <c r="N54" s="6">
        <f>IF(B54="","",SUMIFS(SF_Output!$S$1:$S$400,SF_Output!$AC$1:$AC$400,_xlfn.TEXTJOIN(",",TRUE,B54:E54),SF_Output!$Q$1:$Q$400,"One Time",SF_Output!$L$1:$L$400,"professional service"))</f>
        <v>33900</v>
      </c>
      <c r="O54" s="112">
        <f>IF(OR(B54=0,B54="",N54=0),"",IF(AF54&lt;&gt;"exclusion",MAX(O$9,-(SUMIFS(SF_Output!$T$1:$T$400,SF_Output!$AC$1:$AC$400,_xlfn.TEXTJOIN(",",TRUE,$B54:$E54),SF_Output!$Q$1:$Q$400,"One Time",SF_Output!$L$1:$L$400,"professional service"))/N54),-((SUMIFS(SF_Output!$T$1:$T$400,SF_Output!$AC$1:$AC$400,_xlfn.TEXTJOIN(",",TRUE,$B54:$E54),SF_Output!$Q$1:$Q$400,"One Time",SF_Output!$L$1:$L$400,"professional service")/N54))))</f>
        <v>1</v>
      </c>
      <c r="P54" s="6">
        <f t="shared" si="2"/>
        <v>0</v>
      </c>
      <c r="R54" s="6">
        <f>IF(B54="","",SUMIFS(SF_Output!$S$1:$S$400,SF_Output!$AC$1:$AC$400,_xlfn.TEXTJOIN(",",TRUE,B54:E54),SF_Output!$Q$1:$Q$400,"yearly")+SUMIFS(SF_Output!$S$1:$S$400,SF_Output!$AC$1:$AC$400,_xlfn.TEXTJOIN(",",TRUE,B54:E54),SF_Output!$Q$1:$Q$400,"quarterly")*4)</f>
        <v>0</v>
      </c>
      <c r="S54" s="112" t="str">
        <f>IF(OR(B54=0,B54="",G54="hardware",R54=0),"",IF(AF54&lt;&gt;"exclusion",MAX(S$9,-(SUMIFS(SF_Output!$T$1:$T$400,SF_Output!$AC$1:$AC$400,_xlfn.TEXTJOIN(",",TRUE,$B54:$E54),SF_Output!$Q$1:$Q$400,"yearly"))/R54),-((SUMIFS(SF_Output!$T$1:$T$400,SF_Output!$AC$1:$AC$400,_xlfn.TEXTJOIN(",",TRUE,$B54:$E54),SF_Output!$Q$1:$Q$400,"yearly")/R54))))</f>
        <v/>
      </c>
      <c r="T54" s="6">
        <f t="shared" si="3"/>
        <v>0</v>
      </c>
      <c r="V54" s="6" cm="1">
        <f t="array" ref="V54">_xlfn.IFS(B54="","",AND(B54&lt;&gt;"",H54=SF_Output!$Y$2,SUMIFS(SF_Output!$T$1:$T$400,SF_Output!$AC$1:$AC$400,_xlfn.TEXTJOIN(",",TRUE,B54:E54),SF_Output!$Q$1:$Q$400,"monthly")=0),(SUMIFS(SF_Output!$F$1:$F$400,SF_Output!$AC$1:$AC$400,_xlfn.TEXTJOIN(",",TRUE,B54:E54),SF_Output!$Q$1:$Q$400,"monthly")+SUMIFS(SF_Output!$G$1:$G$400,SF_Output!$AC$1:$AC$400,_xlfn.TEXTJOIN(",",TRUE,B54:E54),SF_Output!$Q$1:$Q$400,"monthly"))*H54,AND(B54&lt;&gt;"",H54=SF_Output!$Y$2,SUMIFS(SF_Output!$T$1:$T$400,SF_Output!$AC$1:$AC$400,_xlfn.TEXTJOIN(",",TRUE,B54:E54),SF_Output!$Q$1:$Q$400,"monthly")&lt;&gt;0),SUMIFS(SF_Output!$S$1:$S$400,SF_Output!$AC$1:$AC$400,_xlfn.TEXTJOIN(",",TRUE,B54:E54),SF_Output!$Q$1:$Q$400,"monthly"),AND(B54&lt;&gt;"",H54&lt;&gt;SF_Output!$Y$2),SUMIFS(SF_Output!$S$1:$S$400,SF_Output!$AC$1:$AC$400,_xlfn.TEXTJOIN(",",TRUE,B54:E54),SF_Output!$Q$1:$Q$400,"monthly"))</f>
        <v>2225</v>
      </c>
      <c r="W54" s="112" cm="1">
        <f t="array" ref="W54">_xlfn.IFS(OR(B54=0,B54="",V54=0),"",AF54&lt;&gt;"exclusion",MAX($W$9,$W$7,(-(SUMIFS(SF_Output!$T$1:$T$400,SF_Output!$AC$1:$AC$400,_xlfn.TEXTJOIN(",",TRUE,$B54:$E54),SF_Output!$Q$1:$Q$400,"monthly"))/V54)),AF54="exclusion",-(SUMIFS(SF_Output!$T$1:$T$400,SF_Output!$AC$1:$AC$400,_xlfn.TEXTJOIN(",",TRUE,$B54:$E54),SF_Output!$Q$1:$Q$400,"monthly"))/V54)</f>
        <v>0.25</v>
      </c>
      <c r="X54" s="6" cm="1">
        <f t="array" ref="X54">IFERROR(_xlfn.IFS(V54=0,0,V54="","",W54=0,V54,OR(V54&lt;&gt;0,V54&lt;&gt;""),H54*I54),V54*(1-W54))</f>
        <v>1669</v>
      </c>
    </row>
    <row r="55" spans="2:24" x14ac:dyDescent="0.25">
      <c r="B55" t="s">
        <v>1354</v>
      </c>
      <c r="C55" t="s">
        <v>2122</v>
      </c>
      <c r="D55" t="s">
        <v>2123</v>
      </c>
      <c r="E55" t="s">
        <v>2124</v>
      </c>
      <c r="F55" s="116" t="str">
        <f t="shared" si="0"/>
        <v>Included</v>
      </c>
      <c r="G55" t="str">
        <f>IF(B55="","",INDEX(SF_Output!$K$1:$K$400,MATCH(B55,SF_Output!$M$1:$M$400,0)))</f>
        <v>OutLink Item Processing</v>
      </c>
      <c r="H55" cm="1">
        <f t="array" ref="H55">_xlfn.IFS(B55="","",(SUMIFS(SF_Output!$F$1:$F$400,SF_Output!$AC$1:$AC$400,_xlfn.TEXTJOIN(",",TRUE,B55:E55))+SUMIFS(SF_Output!$G$1:$G$400,SF_Output!$AC$1:$AC$400,_xlfn.TEXTJOIN(",",TRUE,B55:E55)))&lt;&gt;0,SF_Output!$Y$2,INDEX(SF_Output!$F$1:$F$400,MATCH(_xlfn.TEXTJOIN(",",TRUE,B55:E55),SF_Output!$AC$1:$AC$400,0))=0,INDEX(SF_Output!$R$1:$R$400,MATCH(_xlfn.TEXTJOIN(",",TRUE,B55:E55),SF_Output!$AC$1:$AC$400,0)))</f>
        <v>1</v>
      </c>
      <c r="I55" s="125" t="str">
        <f>IFERROR(IF(AND(H55&gt;1,H55&lt;&gt;""),ROUND(SUMIFS(SF_Output!$S$1:$S$400,SF_Output!$AC$1:$AC$400,_xlfn.TEXTJOIN(",",TRUE,B55:E55),SF_Output!$Q$1:$Q$400,"monthly")*(1-W55)/H55,4),""),"")</f>
        <v/>
      </c>
      <c r="J55" s="6">
        <f>IF(B55="","",SUMIFS(SF_Output!$S$1:$S$400,SF_Output!$AC$1:$AC$400,_xlfn.TEXTJOIN(",",TRUE,B55:E55),SF_Output!$Q$1:$Q$400,"One Time",SF_Output!$L$1:$L$400,"license fee")+SUMIFS(SF_Output!$S$1:$S$400,SF_Output!$AC$1:$AC$400,_xlfn.TEXTJOIN(",",TRUE,B55:E55),SF_Output!$Q$1:$Q$400,"One Time",SF_Output!$L$1:$L$400,"software license")+SUMIFS(SF_Output!$S$1:$S$400,SF_Output!$AC$1:$AC$400,_xlfn.TEXTJOIN(",",TRUE,B55:E55),SF_Output!$Q$1:$Q$400,"One Time",SF_Output!$L$1:$L$400,"hardware"))</f>
        <v>0</v>
      </c>
      <c r="K55" s="112" t="str">
        <f>IF(OR(B55=0,B55="",G55="hardware",J55=0),"",IF(AF55&lt;&gt;"exclusion",MAX(K$9,-((SUMIFS(SF_Output!$T$1:$T$400,SF_Output!$AC$1:$AC$400,_xlfn.TEXTJOIN(",",TRUE,$B55:$E55),SF_Output!$Q$1:$Q$400,"One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license"))/J55)),-((SUMIFS(SF_Output!$T$1:$T$400,SF_Output!$AC$1:$AC$400,_xlfn.TEXTJOIN(",",TRUE,$B55:$E55),SF_Output!$Q$1:$Q$400,"One Time",SF_Output!$L$1:$L$400,"license fee")+SUMIFS(SF_Output!$T$1:$T$400,SF_Output!$AC$1:$AC$400,_xlfn.TEXTJOIN(",",TRUE,$B55:$E55),SF_Output!$Q$1:$Q$400,"One Time",SF_Output!$L$1:$L$400,"software license"))/J55)))</f>
        <v/>
      </c>
      <c r="L55" s="6">
        <f t="shared" si="1"/>
        <v>0</v>
      </c>
      <c r="N55" s="6">
        <f>IF(B55="","",SUMIFS(SF_Output!$S$1:$S$400,SF_Output!$AC$1:$AC$400,_xlfn.TEXTJOIN(",",TRUE,B55:E55),SF_Output!$Q$1:$Q$400,"One Time",SF_Output!$L$1:$L$400,"professional service"))</f>
        <v>1125</v>
      </c>
      <c r="O55" s="112">
        <f>IF(OR(B55=0,B55="",N55=0),"",IF(AF55&lt;&gt;"exclusion",MAX(O$9,-(SUMIFS(SF_Output!$T$1:$T$400,SF_Output!$AC$1:$AC$400,_xlfn.TEXTJOIN(",",TRUE,$B55:$E55),SF_Output!$Q$1:$Q$400,"One Time",SF_Output!$L$1:$L$400,"professional service"))/N55),-((SUMIFS(SF_Output!$T$1:$T$400,SF_Output!$AC$1:$AC$400,_xlfn.TEXTJOIN(",",TRUE,$B55:$E55),SF_Output!$Q$1:$Q$400,"One Time",SF_Output!$L$1:$L$400,"professional service")/N55))))</f>
        <v>0</v>
      </c>
      <c r="P55" s="6">
        <f t="shared" si="2"/>
        <v>1125</v>
      </c>
      <c r="R55" s="6">
        <f>IF(B55="","",SUMIFS(SF_Output!$S$1:$S$400,SF_Output!$AC$1:$AC$400,_xlfn.TEXTJOIN(",",TRUE,B55:E55),SF_Output!$Q$1:$Q$400,"yearly")+SUMIFS(SF_Output!$S$1:$S$400,SF_Output!$AC$1:$AC$400,_xlfn.TEXTJOIN(",",TRUE,B55:E55),SF_Output!$Q$1:$Q$400,"quarterly")*4)</f>
        <v>0</v>
      </c>
      <c r="S55" s="112" t="str">
        <f>IF(OR(B55=0,B55="",G55="hardware",R55=0),"",IF(AF55&lt;&gt;"exclusion",MAX(S$9,-(SUMIFS(SF_Output!$T$1:$T$400,SF_Output!$AC$1:$AC$400,_xlfn.TEXTJOIN(",",TRUE,$B55:$E55),SF_Output!$Q$1:$Q$400,"yearly"))/R55),-((SUMIFS(SF_Output!$T$1:$T$400,SF_Output!$AC$1:$AC$400,_xlfn.TEXTJOIN(",",TRUE,$B55:$E55),SF_Output!$Q$1:$Q$400,"yearly")/R55))))</f>
        <v/>
      </c>
      <c r="T55" s="6">
        <f t="shared" si="3"/>
        <v>0</v>
      </c>
      <c r="V55" s="6" cm="1">
        <f t="array" ref="V55">_xlfn.IFS(B55="","",AND(B55&lt;&gt;"",H55=SF_Output!$Y$2,SUMIFS(SF_Output!$T$1:$T$400,SF_Output!$AC$1:$AC$400,_xlfn.TEXTJOIN(",",TRUE,B55:E55),SF_Output!$Q$1:$Q$400,"monthly")=0),(SUMIFS(SF_Output!$F$1:$F$400,SF_Output!$AC$1:$AC$400,_xlfn.TEXTJOIN(",",TRUE,B55:E55),SF_Output!$Q$1:$Q$400,"monthly")+SUMIFS(SF_Output!$G$1:$G$400,SF_Output!$AC$1:$AC$400,_xlfn.TEXTJOIN(",",TRUE,B55:E55),SF_Output!$Q$1:$Q$400,"monthly"))*H55,AND(B55&lt;&gt;"",H55=SF_Output!$Y$2,SUMIFS(SF_Output!$T$1:$T$400,SF_Output!$AC$1:$AC$400,_xlfn.TEXTJOIN(",",TRUE,B55:E55),SF_Output!$Q$1:$Q$400,"monthly")&lt;&gt;0),SUMIFS(SF_Output!$S$1:$S$400,SF_Output!$AC$1:$AC$400,_xlfn.TEXTJOIN(",",TRUE,B55:E55),SF_Output!$Q$1:$Q$400,"monthly"),AND(B55&lt;&gt;"",H55&lt;&gt;SF_Output!$Y$2),SUMIFS(SF_Output!$S$1:$S$400,SF_Output!$AC$1:$AC$400,_xlfn.TEXTJOIN(",",TRUE,B55:E55),SF_Output!$Q$1:$Q$400,"monthly"))</f>
        <v>0</v>
      </c>
      <c r="W55" s="112" t="str" cm="1">
        <f t="array" ref="W55">_xlfn.IFS(OR(B55=0,B55="",V55=0),"",AF55&lt;&gt;"exclusion",MAX($W$9,$W$7,(-(SUMIFS(SF_Output!$T$1:$T$400,SF_Output!$AC$1:$AC$400,_xlfn.TEXTJOIN(",",TRUE,$B55:$E55),SF_Output!$Q$1:$Q$400,"monthly"))/V55)),AF55="exclusion",-(SUMIFS(SF_Output!$T$1:$T$400,SF_Output!$AC$1:$AC$400,_xlfn.TEXTJOIN(",",TRUE,$B55:$E55),SF_Output!$Q$1:$Q$400,"monthly"))/V55)</f>
        <v/>
      </c>
      <c r="X55" s="6" cm="1">
        <f t="array" ref="X55">IFERROR(_xlfn.IFS(V55=0,0,V55="","",W55=0,V55,OR(V55&lt;&gt;0,V55&lt;&gt;""),H55*I55),V55*(1-W55))</f>
        <v>0</v>
      </c>
    </row>
    <row r="56" spans="2:24" x14ac:dyDescent="0.25">
      <c r="B56" t="s">
        <v>2259</v>
      </c>
      <c r="C56" t="s">
        <v>2122</v>
      </c>
      <c r="D56" t="s">
        <v>2123</v>
      </c>
      <c r="E56" t="s">
        <v>2124</v>
      </c>
      <c r="F56" s="116" t="str">
        <f t="shared" si="0"/>
        <v>Included</v>
      </c>
      <c r="G56" t="str">
        <f>IF(B56="","",INDEX(SF_Output!$K$1:$K$400,MATCH(B56,SF_Output!$M$1:$M$400,0)))</f>
        <v>OutLink Item Processing</v>
      </c>
      <c r="H56" cm="1">
        <f t="array" ref="H56">_xlfn.IFS(B56="","",(SUMIFS(SF_Output!$F$1:$F$400,SF_Output!$AC$1:$AC$400,_xlfn.TEXTJOIN(",",TRUE,B56:E56))+SUMIFS(SF_Output!$G$1:$G$400,SF_Output!$AC$1:$AC$400,_xlfn.TEXTJOIN(",",TRUE,B56:E56)))&lt;&gt;0,SF_Output!$Y$2,INDEX(SF_Output!$F$1:$F$400,MATCH(_xlfn.TEXTJOIN(",",TRUE,B56:E56),SF_Output!$AC$1:$AC$400,0))=0,INDEX(SF_Output!$R$1:$R$400,MATCH(_xlfn.TEXTJOIN(",",TRUE,B56:E56),SF_Output!$AC$1:$AC$400,0)))</f>
        <v>1</v>
      </c>
      <c r="I56" s="125" t="str">
        <f>IFERROR(IF(AND(H56&gt;1,H56&lt;&gt;""),ROUND(SUMIFS(SF_Output!$S$1:$S$400,SF_Output!$AC$1:$AC$400,_xlfn.TEXTJOIN(",",TRUE,B56:E56),SF_Output!$Q$1:$Q$400,"monthly")*(1-W56)/H56,4),""),"")</f>
        <v/>
      </c>
      <c r="J56" s="6">
        <f>IF(B56="","",SUMIFS(SF_Output!$S$1:$S$400,SF_Output!$AC$1:$AC$400,_xlfn.TEXTJOIN(",",TRUE,B56:E56),SF_Output!$Q$1:$Q$400,"One Time",SF_Output!$L$1:$L$400,"license fee")+SUMIFS(SF_Output!$S$1:$S$400,SF_Output!$AC$1:$AC$400,_xlfn.TEXTJOIN(",",TRUE,B56:E56),SF_Output!$Q$1:$Q$400,"One Time",SF_Output!$L$1:$L$400,"software license")+SUMIFS(SF_Output!$S$1:$S$400,SF_Output!$AC$1:$AC$400,_xlfn.TEXTJOIN(",",TRUE,B56:E56),SF_Output!$Q$1:$Q$400,"One Time",SF_Output!$L$1:$L$400,"hardware"))</f>
        <v>0</v>
      </c>
      <c r="K56" s="112" t="str">
        <f>IF(OR(B56=0,B56="",G56="hardware",J56=0),"",IF(AF56&lt;&gt;"exclusion",MAX(K$9,-((SUMIFS(SF_Output!$T$1:$T$400,SF_Output!$AC$1:$AC$400,_xlfn.TEXTJOIN(",",TRUE,$B56:$E56),SF_Output!$Q$1:$Q$400,"One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license"))/J56)),-((SUMIFS(SF_Output!$T$1:$T$400,SF_Output!$AC$1:$AC$400,_xlfn.TEXTJOIN(",",TRUE,$B56:$E56),SF_Output!$Q$1:$Q$400,"One Time",SF_Output!$L$1:$L$400,"license fee")+SUMIFS(SF_Output!$T$1:$T$400,SF_Output!$AC$1:$AC$400,_xlfn.TEXTJOIN(",",TRUE,$B56:$E56),SF_Output!$Q$1:$Q$400,"One Time",SF_Output!$L$1:$L$400,"software license"))/J56)))</f>
        <v/>
      </c>
      <c r="L56" s="6">
        <f t="shared" si="1"/>
        <v>0</v>
      </c>
      <c r="N56" s="6">
        <f>IF(B56="","",SUMIFS(SF_Output!$S$1:$S$400,SF_Output!$AC$1:$AC$400,_xlfn.TEXTJOIN(",",TRUE,B56:E56),SF_Output!$Q$1:$Q$400,"One Time",SF_Output!$L$1:$L$400,"professional service"))</f>
        <v>0</v>
      </c>
      <c r="O56" s="112" t="str">
        <f>IF(OR(B56=0,B56="",N56=0),"",IF(AF56&lt;&gt;"exclusion",MAX(O$9,-(SUMIFS(SF_Output!$T$1:$T$400,SF_Output!$AC$1:$AC$400,_xlfn.TEXTJOIN(",",TRUE,$B56:$E56),SF_Output!$Q$1:$Q$400,"One Time",SF_Output!$L$1:$L$400,"professional service"))/N56),-((SUMIFS(SF_Output!$T$1:$T$400,SF_Output!$AC$1:$AC$400,_xlfn.TEXTJOIN(",",TRUE,$B56:$E56),SF_Output!$Q$1:$Q$400,"One Time",SF_Output!$L$1:$L$400,"professional service")/N56))))</f>
        <v/>
      </c>
      <c r="P56" s="6">
        <f t="shared" si="2"/>
        <v>0</v>
      </c>
      <c r="R56" s="6">
        <f>IF(B56="","",SUMIFS(SF_Output!$S$1:$S$400,SF_Output!$AC$1:$AC$400,_xlfn.TEXTJOIN(",",TRUE,B56:E56),SF_Output!$Q$1:$Q$400,"yearly")+SUMIFS(SF_Output!$S$1:$S$400,SF_Output!$AC$1:$AC$400,_xlfn.TEXTJOIN(",",TRUE,B56:E56),SF_Output!$Q$1:$Q$400,"quarterly")*4)</f>
        <v>0</v>
      </c>
      <c r="S56" s="112" t="str">
        <f>IF(OR(B56=0,B56="",G56="hardware",R56=0),"",IF(AF56&lt;&gt;"exclusion",MAX(S$9,-(SUMIFS(SF_Output!$T$1:$T$400,SF_Output!$AC$1:$AC$400,_xlfn.TEXTJOIN(",",TRUE,$B56:$E56),SF_Output!$Q$1:$Q$400,"yearly"))/R56),-((SUMIFS(SF_Output!$T$1:$T$400,SF_Output!$AC$1:$AC$400,_xlfn.TEXTJOIN(",",TRUE,$B56:$E56),SF_Output!$Q$1:$Q$400,"yearly")/R56))))</f>
        <v/>
      </c>
      <c r="T56" s="6">
        <f t="shared" si="3"/>
        <v>0</v>
      </c>
      <c r="V56" s="6" cm="1">
        <f t="array" ref="V56">_xlfn.IFS(B56="","",AND(B56&lt;&gt;"",H56=SF_Output!$Y$2,SUMIFS(SF_Output!$T$1:$T$400,SF_Output!$AC$1:$AC$400,_xlfn.TEXTJOIN(",",TRUE,B56:E56),SF_Output!$Q$1:$Q$400,"monthly")=0),(SUMIFS(SF_Output!$F$1:$F$400,SF_Output!$AC$1:$AC$400,_xlfn.TEXTJOIN(",",TRUE,B56:E56),SF_Output!$Q$1:$Q$400,"monthly")+SUMIFS(SF_Output!$G$1:$G$400,SF_Output!$AC$1:$AC$400,_xlfn.TEXTJOIN(",",TRUE,B56:E56),SF_Output!$Q$1:$Q$400,"monthly"))*H56,AND(B56&lt;&gt;"",H56=SF_Output!$Y$2,SUMIFS(SF_Output!$T$1:$T$400,SF_Output!$AC$1:$AC$400,_xlfn.TEXTJOIN(",",TRUE,B56:E56),SF_Output!$Q$1:$Q$400,"monthly")&lt;&gt;0),SUMIFS(SF_Output!$S$1:$S$400,SF_Output!$AC$1:$AC$400,_xlfn.TEXTJOIN(",",TRUE,B56:E56),SF_Output!$Q$1:$Q$400,"monthly"),AND(B56&lt;&gt;"",H56&lt;&gt;SF_Output!$Y$2),SUMIFS(SF_Output!$S$1:$S$400,SF_Output!$AC$1:$AC$400,_xlfn.TEXTJOIN(",",TRUE,B56:E56),SF_Output!$Q$1:$Q$400,"monthly"))</f>
        <v>900</v>
      </c>
      <c r="W56" s="112" cm="1">
        <f t="array" ref="W56">_xlfn.IFS(OR(B56=0,B56="",V56=0),"",AF56&lt;&gt;"exclusion",MAX($W$9,$W$7,(-(SUMIFS(SF_Output!$T$1:$T$400,SF_Output!$AC$1:$AC$400,_xlfn.TEXTJOIN(",",TRUE,$B56:$E56),SF_Output!$Q$1:$Q$400,"monthly"))/V56)),AF56="exclusion",-(SUMIFS(SF_Output!$T$1:$T$400,SF_Output!$AC$1:$AC$400,_xlfn.TEXTJOIN(",",TRUE,$B56:$E56),SF_Output!$Q$1:$Q$400,"monthly"))/V56)</f>
        <v>0</v>
      </c>
      <c r="X56" s="6" cm="1">
        <f t="array" ref="X56">IFERROR(_xlfn.IFS(V56=0,0,V56="","",W56=0,V56,OR(V56&lt;&gt;0,V56&lt;&gt;""),H56*I56),V56*(1-W56))</f>
        <v>900</v>
      </c>
    </row>
    <row r="57" spans="2:24" x14ac:dyDescent="0.25">
      <c r="B57" t="s">
        <v>1378</v>
      </c>
      <c r="C57" t="s">
        <v>2122</v>
      </c>
      <c r="D57" t="s">
        <v>2123</v>
      </c>
      <c r="E57" t="s">
        <v>2124</v>
      </c>
      <c r="F57" s="116" t="str">
        <f t="shared" si="0"/>
        <v>Included</v>
      </c>
      <c r="G57" t="str">
        <f>IF(B57="","",INDEX(SF_Output!$K$1:$K$400,MATCH(B57,SF_Output!$M$1:$M$400,0)))</f>
        <v>OutLink Item Processing</v>
      </c>
      <c r="H57" cm="1">
        <f t="array" ref="H57">_xlfn.IFS(B57="","",(SUMIFS(SF_Output!$F$1:$F$400,SF_Output!$AC$1:$AC$400,_xlfn.TEXTJOIN(",",TRUE,B57:E57))+SUMIFS(SF_Output!$G$1:$G$400,SF_Output!$AC$1:$AC$400,_xlfn.TEXTJOIN(",",TRUE,B57:E57)))&lt;&gt;0,SF_Output!$Y$2,INDEX(SF_Output!$F$1:$F$400,MATCH(_xlfn.TEXTJOIN(",",TRUE,B57:E57),SF_Output!$AC$1:$AC$400,0))=0,INDEX(SF_Output!$R$1:$R$400,MATCH(_xlfn.TEXTJOIN(",",TRUE,B57:E57),SF_Output!$AC$1:$AC$400,0)))</f>
        <v>1</v>
      </c>
      <c r="I57" s="125" t="str">
        <f>IFERROR(IF(AND(H57&gt;1,H57&lt;&gt;""),ROUND(SUMIFS(SF_Output!$S$1:$S$400,SF_Output!$AC$1:$AC$400,_xlfn.TEXTJOIN(",",TRUE,B57:E57),SF_Output!$Q$1:$Q$400,"monthly")*(1-W57)/H57,4),""),"")</f>
        <v/>
      </c>
      <c r="J57" s="6">
        <f>IF(B57="","",SUMIFS(SF_Output!$S$1:$S$400,SF_Output!$AC$1:$AC$400,_xlfn.TEXTJOIN(",",TRUE,B57:E57),SF_Output!$Q$1:$Q$400,"One Time",SF_Output!$L$1:$L$400,"license fee")+SUMIFS(SF_Output!$S$1:$S$400,SF_Output!$AC$1:$AC$400,_xlfn.TEXTJOIN(",",TRUE,B57:E57),SF_Output!$Q$1:$Q$400,"One Time",SF_Output!$L$1:$L$400,"software license")+SUMIFS(SF_Output!$S$1:$S$400,SF_Output!$AC$1:$AC$400,_xlfn.TEXTJOIN(",",TRUE,B57:E57),SF_Output!$Q$1:$Q$400,"One Time",SF_Output!$L$1:$L$400,"hardware"))</f>
        <v>0</v>
      </c>
      <c r="K57" s="112" t="str">
        <f>IF(OR(B57=0,B57="",G57="hardware",J57=0),"",IF(AF57&lt;&gt;"exclusion",MAX(K$9,-((SUMIFS(SF_Output!$T$1:$T$400,SF_Output!$AC$1:$AC$400,_xlfn.TEXTJOIN(",",TRUE,$B57:$E57),SF_Output!$Q$1:$Q$400,"One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license"))/J57)),-((SUMIFS(SF_Output!$T$1:$T$400,SF_Output!$AC$1:$AC$400,_xlfn.TEXTJOIN(",",TRUE,$B57:$E57),SF_Output!$Q$1:$Q$400,"One Time",SF_Output!$L$1:$L$400,"license fee")+SUMIFS(SF_Output!$T$1:$T$400,SF_Output!$AC$1:$AC$400,_xlfn.TEXTJOIN(",",TRUE,$B57:$E57),SF_Output!$Q$1:$Q$400,"One Time",SF_Output!$L$1:$L$400,"software license"))/J57)))</f>
        <v/>
      </c>
      <c r="L57" s="6">
        <f t="shared" si="1"/>
        <v>0</v>
      </c>
      <c r="N57" s="6">
        <f>IF(B57="","",SUMIFS(SF_Output!$S$1:$S$400,SF_Output!$AC$1:$AC$400,_xlfn.TEXTJOIN(",",TRUE,B57:E57),SF_Output!$Q$1:$Q$400,"One Time",SF_Output!$L$1:$L$400,"professional service"))</f>
        <v>500</v>
      </c>
      <c r="O57" s="112">
        <f>IF(OR(B57=0,B57="",N57=0),"",IF(AF57&lt;&gt;"exclusion",MAX(O$9,-(SUMIFS(SF_Output!$T$1:$T$400,SF_Output!$AC$1:$AC$400,_xlfn.TEXTJOIN(",",TRUE,$B57:$E57),SF_Output!$Q$1:$Q$400,"One Time",SF_Output!$L$1:$L$400,"professional service"))/N57),-((SUMIFS(SF_Output!$T$1:$T$400,SF_Output!$AC$1:$AC$400,_xlfn.TEXTJOIN(",",TRUE,$B57:$E57),SF_Output!$Q$1:$Q$400,"One Time",SF_Output!$L$1:$L$400,"professional service")/N57))))</f>
        <v>1</v>
      </c>
      <c r="P57" s="6">
        <f t="shared" si="2"/>
        <v>0</v>
      </c>
      <c r="R57" s="6">
        <f>IF(B57="","",SUMIFS(SF_Output!$S$1:$S$400,SF_Output!$AC$1:$AC$400,_xlfn.TEXTJOIN(",",TRUE,B57:E57),SF_Output!$Q$1:$Q$400,"yearly")+SUMIFS(SF_Output!$S$1:$S$400,SF_Output!$AC$1:$AC$400,_xlfn.TEXTJOIN(",",TRUE,B57:E57),SF_Output!$Q$1:$Q$400,"quarterly")*4)</f>
        <v>0</v>
      </c>
      <c r="S57" s="112" t="str">
        <f>IF(OR(B57=0,B57="",G57="hardware",R57=0),"",IF(AF57&lt;&gt;"exclusion",MAX(S$9,-(SUMIFS(SF_Output!$T$1:$T$400,SF_Output!$AC$1:$AC$400,_xlfn.TEXTJOIN(",",TRUE,$B57:$E57),SF_Output!$Q$1:$Q$400,"yearly"))/R57),-((SUMIFS(SF_Output!$T$1:$T$400,SF_Output!$AC$1:$AC$400,_xlfn.TEXTJOIN(",",TRUE,$B57:$E57),SF_Output!$Q$1:$Q$400,"yearly")/R57))))</f>
        <v/>
      </c>
      <c r="T57" s="6">
        <f t="shared" si="3"/>
        <v>0</v>
      </c>
      <c r="V57" s="6" cm="1">
        <f t="array" ref="V57">_xlfn.IFS(B57="","",AND(B57&lt;&gt;"",H57=SF_Output!$Y$2,SUMIFS(SF_Output!$T$1:$T$400,SF_Output!$AC$1:$AC$400,_xlfn.TEXTJOIN(",",TRUE,B57:E57),SF_Output!$Q$1:$Q$400,"monthly")=0),(SUMIFS(SF_Output!$F$1:$F$400,SF_Output!$AC$1:$AC$400,_xlfn.TEXTJOIN(",",TRUE,B57:E57),SF_Output!$Q$1:$Q$400,"monthly")+SUMIFS(SF_Output!$G$1:$G$400,SF_Output!$AC$1:$AC$400,_xlfn.TEXTJOIN(",",TRUE,B57:E57),SF_Output!$Q$1:$Q$400,"monthly"))*H57,AND(B57&lt;&gt;"",H57=SF_Output!$Y$2,SUMIFS(SF_Output!$T$1:$T$400,SF_Output!$AC$1:$AC$400,_xlfn.TEXTJOIN(",",TRUE,B57:E57),SF_Output!$Q$1:$Q$400,"monthly")&lt;&gt;0),SUMIFS(SF_Output!$S$1:$S$400,SF_Output!$AC$1:$AC$400,_xlfn.TEXTJOIN(",",TRUE,B57:E57),SF_Output!$Q$1:$Q$400,"monthly"),AND(B57&lt;&gt;"",H57&lt;&gt;SF_Output!$Y$2),SUMIFS(SF_Output!$S$1:$S$400,SF_Output!$AC$1:$AC$400,_xlfn.TEXTJOIN(",",TRUE,B57:E57),SF_Output!$Q$1:$Q$400,"monthly"))</f>
        <v>0</v>
      </c>
      <c r="W57" s="112" t="str" cm="1">
        <f t="array" ref="W57">_xlfn.IFS(OR(B57=0,B57="",V57=0),"",AF57&lt;&gt;"exclusion",MAX($W$9,$W$7,(-(SUMIFS(SF_Output!$T$1:$T$400,SF_Output!$AC$1:$AC$400,_xlfn.TEXTJOIN(",",TRUE,$B57:$E57),SF_Output!$Q$1:$Q$400,"monthly"))/V57)),AF57="exclusion",-(SUMIFS(SF_Output!$T$1:$T$400,SF_Output!$AC$1:$AC$400,_xlfn.TEXTJOIN(",",TRUE,$B57:$E57),SF_Output!$Q$1:$Q$400,"monthly"))/V57)</f>
        <v/>
      </c>
      <c r="X57" s="6" cm="1">
        <f t="array" ref="X57">IFERROR(_xlfn.IFS(V57=0,0,V57="","",W57=0,V57,OR(V57&lt;&gt;0,V57&lt;&gt;""),H57*I57),V57*(1-W57))</f>
        <v>0</v>
      </c>
    </row>
    <row r="58" spans="2:24" x14ac:dyDescent="0.25">
      <c r="B58" t="s">
        <v>1407</v>
      </c>
      <c r="C58" t="s">
        <v>2122</v>
      </c>
      <c r="D58" t="s">
        <v>2207</v>
      </c>
      <c r="E58" t="s">
        <v>2150</v>
      </c>
      <c r="F58" s="116" t="str">
        <f t="shared" si="0"/>
        <v>Optional</v>
      </c>
      <c r="G58" t="str">
        <f>IF(B58="","",INDEX(SF_Output!$K$1:$K$400,MATCH(B58,SF_Output!$M$1:$M$400,0)))</f>
        <v>AlertCenter</v>
      </c>
      <c r="H58" cm="1">
        <f t="array" ref="H58">_xlfn.IFS(B58="","",(SUMIFS(SF_Output!$F$1:$F$400,SF_Output!$AC$1:$AC$400,_xlfn.TEXTJOIN(",",TRUE,B58:E58))+SUMIFS(SF_Output!$G$1:$G$400,SF_Output!$AC$1:$AC$400,_xlfn.TEXTJOIN(",",TRUE,B58:E58)))&lt;&gt;0,SF_Output!$Y$2,INDEX(SF_Output!$F$1:$F$400,MATCH(_xlfn.TEXTJOIN(",",TRUE,B58:E58),SF_Output!$AC$1:$AC$400,0))=0,INDEX(SF_Output!$R$1:$R$400,MATCH(_xlfn.TEXTJOIN(",",TRUE,B58:E58),SF_Output!$AC$1:$AC$400,0)))</f>
        <v>1</v>
      </c>
      <c r="I58" s="125" t="str">
        <f>IFERROR(IF(AND(H58&gt;1,H58&lt;&gt;""),ROUND(SUMIFS(SF_Output!$S$1:$S$400,SF_Output!$AC$1:$AC$400,_xlfn.TEXTJOIN(",",TRUE,B58:E58),SF_Output!$Q$1:$Q$400,"monthly")*(1-W58)/H58,4),""),"")</f>
        <v/>
      </c>
      <c r="J58" s="6">
        <f>IF(B58="","",SUMIFS(SF_Output!$S$1:$S$400,SF_Output!$AC$1:$AC$400,_xlfn.TEXTJOIN(",",TRUE,B58:E58),SF_Output!$Q$1:$Q$400,"One Time",SF_Output!$L$1:$L$400,"license fee")+SUMIFS(SF_Output!$S$1:$S$400,SF_Output!$AC$1:$AC$400,_xlfn.TEXTJOIN(",",TRUE,B58:E58),SF_Output!$Q$1:$Q$400,"One Time",SF_Output!$L$1:$L$400,"software license")+SUMIFS(SF_Output!$S$1:$S$400,SF_Output!$AC$1:$AC$400,_xlfn.TEXTJOIN(",",TRUE,B58:E58),SF_Output!$Q$1:$Q$400,"One Time",SF_Output!$L$1:$L$400,"hardware"))</f>
        <v>0</v>
      </c>
      <c r="K58" s="112" t="str">
        <f>IF(OR(B58=0,B58="",G58="hardware",J58=0),"",IF(AF58&lt;&gt;"exclusion",MAX(K$9,-((SUMIFS(SF_Output!$T$1:$T$400,SF_Output!$AC$1:$AC$400,_xlfn.TEXTJOIN(",",TRUE,$B58:$E58),SF_Output!$Q$1:$Q$400,"One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license"))/J58)),-((SUMIFS(SF_Output!$T$1:$T$400,SF_Output!$AC$1:$AC$400,_xlfn.TEXTJOIN(",",TRUE,$B58:$E58),SF_Output!$Q$1:$Q$400,"One Time",SF_Output!$L$1:$L$400,"license fee")+SUMIFS(SF_Output!$T$1:$T$400,SF_Output!$AC$1:$AC$400,_xlfn.TEXTJOIN(",",TRUE,$B58:$E58),SF_Output!$Q$1:$Q$400,"One Time",SF_Output!$L$1:$L$400,"software license"))/J58)))</f>
        <v/>
      </c>
      <c r="L58" s="6">
        <f t="shared" si="1"/>
        <v>0</v>
      </c>
      <c r="N58" s="6">
        <f>IF(B58="","",SUMIFS(SF_Output!$S$1:$S$400,SF_Output!$AC$1:$AC$400,_xlfn.TEXTJOIN(",",TRUE,B58:E58),SF_Output!$Q$1:$Q$400,"One Time",SF_Output!$L$1:$L$400,"professional service"))</f>
        <v>0</v>
      </c>
      <c r="O58" s="112" t="str">
        <f>IF(OR(B58=0,B58="",N58=0),"",IF(AF58&lt;&gt;"exclusion",MAX(O$9,-(SUMIFS(SF_Output!$T$1:$T$400,SF_Output!$AC$1:$AC$400,_xlfn.TEXTJOIN(",",TRUE,$B58:$E58),SF_Output!$Q$1:$Q$400,"One Time",SF_Output!$L$1:$L$400,"professional service"))/N58),-((SUMIFS(SF_Output!$T$1:$T$400,SF_Output!$AC$1:$AC$400,_xlfn.TEXTJOIN(",",TRUE,$B58:$E58),SF_Output!$Q$1:$Q$400,"One Time",SF_Output!$L$1:$L$400,"professional service")/N58))))</f>
        <v/>
      </c>
      <c r="P58" s="6">
        <f t="shared" si="2"/>
        <v>0</v>
      </c>
      <c r="R58" s="6">
        <f>IF(B58="","",SUMIFS(SF_Output!$S$1:$S$400,SF_Output!$AC$1:$AC$400,_xlfn.TEXTJOIN(",",TRUE,B58:E58),SF_Output!$Q$1:$Q$400,"yearly")+SUMIFS(SF_Output!$S$1:$S$400,SF_Output!$AC$1:$AC$400,_xlfn.TEXTJOIN(",",TRUE,B58:E58),SF_Output!$Q$1:$Q$400,"quarterly")*4)</f>
        <v>0</v>
      </c>
      <c r="S58" s="112" t="str">
        <f>IF(OR(B58=0,B58="",G58="hardware",R58=0),"",IF(AF58&lt;&gt;"exclusion",MAX(S$9,-(SUMIFS(SF_Output!$T$1:$T$400,SF_Output!$AC$1:$AC$400,_xlfn.TEXTJOIN(",",TRUE,$B58:$E58),SF_Output!$Q$1:$Q$400,"yearly"))/R58),-((SUMIFS(SF_Output!$T$1:$T$400,SF_Output!$AC$1:$AC$400,_xlfn.TEXTJOIN(",",TRUE,$B58:$E58),SF_Output!$Q$1:$Q$400,"yearly")/R58))))</f>
        <v/>
      </c>
      <c r="T58" s="6">
        <f t="shared" si="3"/>
        <v>0</v>
      </c>
      <c r="V58" s="6" cm="1">
        <f t="array" ref="V58">_xlfn.IFS(B58="","",AND(B58&lt;&gt;"",H58=SF_Output!$Y$2,SUMIFS(SF_Output!$T$1:$T$400,SF_Output!$AC$1:$AC$400,_xlfn.TEXTJOIN(",",TRUE,B58:E58),SF_Output!$Q$1:$Q$400,"monthly")=0),(SUMIFS(SF_Output!$F$1:$F$400,SF_Output!$AC$1:$AC$400,_xlfn.TEXTJOIN(",",TRUE,B58:E58),SF_Output!$Q$1:$Q$400,"monthly")+SUMIFS(SF_Output!$G$1:$G$400,SF_Output!$AC$1:$AC$400,_xlfn.TEXTJOIN(",",TRUE,B58:E58),SF_Output!$Q$1:$Q$400,"monthly"))*H58,AND(B58&lt;&gt;"",H58=SF_Output!$Y$2,SUMIFS(SF_Output!$T$1:$T$400,SF_Output!$AC$1:$AC$400,_xlfn.TEXTJOIN(",",TRUE,B58:E58),SF_Output!$Q$1:$Q$400,"monthly")&lt;&gt;0),SUMIFS(SF_Output!$S$1:$S$400,SF_Output!$AC$1:$AC$400,_xlfn.TEXTJOIN(",",TRUE,B58:E58),SF_Output!$Q$1:$Q$400,"monthly"),AND(B58&lt;&gt;"",H58&lt;&gt;SF_Output!$Y$2),SUMIFS(SF_Output!$S$1:$S$400,SF_Output!$AC$1:$AC$400,_xlfn.TEXTJOIN(",",TRUE,B58:E58),SF_Output!$Q$1:$Q$400,"monthly"))</f>
        <v>420</v>
      </c>
      <c r="W58" s="112" cm="1">
        <f t="array" ref="W58">_xlfn.IFS(OR(B58=0,B58="",V58=0),"",AF58&lt;&gt;"exclusion",MAX($W$9,$W$7,(-(SUMIFS(SF_Output!$T$1:$T$400,SF_Output!$AC$1:$AC$400,_xlfn.TEXTJOIN(",",TRUE,$B58:$E58),SF_Output!$Q$1:$Q$400,"monthly"))/V58)),AF58="exclusion",-(SUMIFS(SF_Output!$T$1:$T$400,SF_Output!$AC$1:$AC$400,_xlfn.TEXTJOIN(",",TRUE,$B58:$E58),SF_Output!$Q$1:$Q$400,"monthly"))/V58)</f>
        <v>0</v>
      </c>
      <c r="X58" s="6" cm="1">
        <f t="array" ref="X58">IFERROR(_xlfn.IFS(V58=0,0,V58="","",W58=0,V58,OR(V58&lt;&gt;0,V58&lt;&gt;""),H58*I58),V58*(1-W58))</f>
        <v>420</v>
      </c>
    </row>
    <row r="59" spans="2:24" x14ac:dyDescent="0.25">
      <c r="B59" t="s">
        <v>1409</v>
      </c>
      <c r="C59" t="s">
        <v>2122</v>
      </c>
      <c r="D59" t="s">
        <v>2207</v>
      </c>
      <c r="E59" t="s">
        <v>2150</v>
      </c>
      <c r="F59" s="116" t="str">
        <f t="shared" si="0"/>
        <v>Optional</v>
      </c>
      <c r="G59" t="str">
        <f>IF(B59="","",INDEX(SF_Output!$K$1:$K$400,MATCH(B59,SF_Output!$M$1:$M$400,0)))</f>
        <v>AlertCenter</v>
      </c>
      <c r="H59" cm="1">
        <f t="array" ref="H59">_xlfn.IFS(B59="","",(SUMIFS(SF_Output!$F$1:$F$400,SF_Output!$AC$1:$AC$400,_xlfn.TEXTJOIN(",",TRUE,B59:E59))+SUMIFS(SF_Output!$G$1:$G$400,SF_Output!$AC$1:$AC$400,_xlfn.TEXTJOIN(",",TRUE,B59:E59)))&lt;&gt;0,SF_Output!$Y$2,INDEX(SF_Output!$F$1:$F$400,MATCH(_xlfn.TEXTJOIN(",",TRUE,B59:E59),SF_Output!$AC$1:$AC$400,0))=0,INDEX(SF_Output!$R$1:$R$400,MATCH(_xlfn.TEXTJOIN(",",TRUE,B59:E59),SF_Output!$AC$1:$AC$400,0)))</f>
        <v>1</v>
      </c>
      <c r="I59" s="125" t="str">
        <f>IFERROR(IF(AND(H59&gt;1,H59&lt;&gt;""),ROUND(SUMIFS(SF_Output!$S$1:$S$400,SF_Output!$AC$1:$AC$400,_xlfn.TEXTJOIN(",",TRUE,B59:E59),SF_Output!$Q$1:$Q$400,"monthly")*(1-W59)/H59,4),""),"")</f>
        <v/>
      </c>
      <c r="J59" s="6">
        <f>IF(B59="","",SUMIFS(SF_Output!$S$1:$S$400,SF_Output!$AC$1:$AC$400,_xlfn.TEXTJOIN(",",TRUE,B59:E59),SF_Output!$Q$1:$Q$400,"One Time",SF_Output!$L$1:$L$400,"license fee")+SUMIFS(SF_Output!$S$1:$S$400,SF_Output!$AC$1:$AC$400,_xlfn.TEXTJOIN(",",TRUE,B59:E59),SF_Output!$Q$1:$Q$400,"One Time",SF_Output!$L$1:$L$400,"software license")+SUMIFS(SF_Output!$S$1:$S$400,SF_Output!$AC$1:$AC$400,_xlfn.TEXTJOIN(",",TRUE,B59:E59),SF_Output!$Q$1:$Q$400,"One Time",SF_Output!$L$1:$L$400,"hardware"))</f>
        <v>0</v>
      </c>
      <c r="K59" s="112" t="str">
        <f>IF(OR(B59=0,B59="",G59="hardware",J59=0),"",IF(AF59&lt;&gt;"exclusion",MAX(K$9,-((SUMIFS(SF_Output!$T$1:$T$400,SF_Output!$AC$1:$AC$400,_xlfn.TEXTJOIN(",",TRUE,$B59:$E59),SF_Output!$Q$1:$Q$400,"One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license"))/J59)),-((SUMIFS(SF_Output!$T$1:$T$400,SF_Output!$AC$1:$AC$400,_xlfn.TEXTJOIN(",",TRUE,$B59:$E59),SF_Output!$Q$1:$Q$400,"One Time",SF_Output!$L$1:$L$400,"license fee")+SUMIFS(SF_Output!$T$1:$T$400,SF_Output!$AC$1:$AC$400,_xlfn.TEXTJOIN(",",TRUE,$B59:$E59),SF_Output!$Q$1:$Q$400,"One Time",SF_Output!$L$1:$L$400,"software license"))/J59)))</f>
        <v/>
      </c>
      <c r="L59" s="6">
        <f t="shared" si="1"/>
        <v>0</v>
      </c>
      <c r="N59" s="6">
        <f>IF(B59="","",SUMIFS(SF_Output!$S$1:$S$400,SF_Output!$AC$1:$AC$400,_xlfn.TEXTJOIN(",",TRUE,B59:E59),SF_Output!$Q$1:$Q$400,"One Time",SF_Output!$L$1:$L$400,"professional service"))</f>
        <v>825</v>
      </c>
      <c r="O59" s="112">
        <f>IF(OR(B59=0,B59="",N59=0),"",IF(AF59&lt;&gt;"exclusion",MAX(O$9,-(SUMIFS(SF_Output!$T$1:$T$400,SF_Output!$AC$1:$AC$400,_xlfn.TEXTJOIN(",",TRUE,$B59:$E59),SF_Output!$Q$1:$Q$400,"One Time",SF_Output!$L$1:$L$400,"professional service"))/N59),-((SUMIFS(SF_Output!$T$1:$T$400,SF_Output!$AC$1:$AC$400,_xlfn.TEXTJOIN(",",TRUE,$B59:$E59),SF_Output!$Q$1:$Q$400,"One Time",SF_Output!$L$1:$L$400,"professional service")/N59))))</f>
        <v>0</v>
      </c>
      <c r="P59" s="6">
        <f t="shared" si="2"/>
        <v>825</v>
      </c>
      <c r="R59" s="6">
        <f>IF(B59="","",SUMIFS(SF_Output!$S$1:$S$400,SF_Output!$AC$1:$AC$400,_xlfn.TEXTJOIN(",",TRUE,B59:E59),SF_Output!$Q$1:$Q$400,"yearly")+SUMIFS(SF_Output!$S$1:$S$400,SF_Output!$AC$1:$AC$400,_xlfn.TEXTJOIN(",",TRUE,B59:E59),SF_Output!$Q$1:$Q$400,"quarterly")*4)</f>
        <v>0</v>
      </c>
      <c r="S59" s="112" t="str">
        <f>IF(OR(B59=0,B59="",G59="hardware",R59=0),"",IF(AF59&lt;&gt;"exclusion",MAX(S$9,-(SUMIFS(SF_Output!$T$1:$T$400,SF_Output!$AC$1:$AC$400,_xlfn.TEXTJOIN(",",TRUE,$B59:$E59),SF_Output!$Q$1:$Q$400,"yearly"))/R59),-((SUMIFS(SF_Output!$T$1:$T$400,SF_Output!$AC$1:$AC$400,_xlfn.TEXTJOIN(",",TRUE,$B59:$E59),SF_Output!$Q$1:$Q$400,"yearly")/R59))))</f>
        <v/>
      </c>
      <c r="T59" s="6">
        <f t="shared" si="3"/>
        <v>0</v>
      </c>
      <c r="V59" s="6" cm="1">
        <f t="array" ref="V59">_xlfn.IFS(B59="","",AND(B59&lt;&gt;"",H59=SF_Output!$Y$2,SUMIFS(SF_Output!$T$1:$T$400,SF_Output!$AC$1:$AC$400,_xlfn.TEXTJOIN(",",TRUE,B59:E59),SF_Output!$Q$1:$Q$400,"monthly")=0),(SUMIFS(SF_Output!$F$1:$F$400,SF_Output!$AC$1:$AC$400,_xlfn.TEXTJOIN(",",TRUE,B59:E59),SF_Output!$Q$1:$Q$400,"monthly")+SUMIFS(SF_Output!$G$1:$G$400,SF_Output!$AC$1:$AC$400,_xlfn.TEXTJOIN(",",TRUE,B59:E59),SF_Output!$Q$1:$Q$400,"monthly"))*H59,AND(B59&lt;&gt;"",H59=SF_Output!$Y$2,SUMIFS(SF_Output!$T$1:$T$400,SF_Output!$AC$1:$AC$400,_xlfn.TEXTJOIN(",",TRUE,B59:E59),SF_Output!$Q$1:$Q$400,"monthly")&lt;&gt;0),SUMIFS(SF_Output!$S$1:$S$400,SF_Output!$AC$1:$AC$400,_xlfn.TEXTJOIN(",",TRUE,B59:E59),SF_Output!$Q$1:$Q$400,"monthly"),AND(B59&lt;&gt;"",H59&lt;&gt;SF_Output!$Y$2),SUMIFS(SF_Output!$S$1:$S$400,SF_Output!$AC$1:$AC$400,_xlfn.TEXTJOIN(",",TRUE,B59:E59),SF_Output!$Q$1:$Q$400,"monthly"))</f>
        <v>0</v>
      </c>
      <c r="W59" s="112" t="str" cm="1">
        <f t="array" ref="W59">_xlfn.IFS(OR(B59=0,B59="",V59=0),"",AF59&lt;&gt;"exclusion",MAX($W$9,$W$7,(-(SUMIFS(SF_Output!$T$1:$T$400,SF_Output!$AC$1:$AC$400,_xlfn.TEXTJOIN(",",TRUE,$B59:$E59),SF_Output!$Q$1:$Q$400,"monthly"))/V59)),AF59="exclusion",-(SUMIFS(SF_Output!$T$1:$T$400,SF_Output!$AC$1:$AC$400,_xlfn.TEXTJOIN(",",TRUE,$B59:$E59),SF_Output!$Q$1:$Q$400,"monthly"))/V59)</f>
        <v/>
      </c>
      <c r="X59" s="6" cm="1">
        <f t="array" ref="X59">IFERROR(_xlfn.IFS(V59=0,0,V59="","",W59=0,V59,OR(V59&lt;&gt;0,V59&lt;&gt;""),H59*I59),V59*(1-W59))</f>
        <v>0</v>
      </c>
    </row>
    <row r="60" spans="2:24" x14ac:dyDescent="0.25">
      <c r="B60" t="s">
        <v>1411</v>
      </c>
      <c r="C60" t="s">
        <v>2122</v>
      </c>
      <c r="D60" t="s">
        <v>2207</v>
      </c>
      <c r="E60" t="s">
        <v>2150</v>
      </c>
      <c r="F60" s="116" t="str">
        <f t="shared" si="0"/>
        <v>Optional</v>
      </c>
      <c r="G60" t="str">
        <f>IF(B60="","",INDEX(SF_Output!$K$1:$K$400,MATCH(B60,SF_Output!$M$1:$M$400,0)))</f>
        <v>AlertCenter</v>
      </c>
      <c r="H60" cm="1">
        <f t="array" ref="H60">_xlfn.IFS(B60="","",(SUMIFS(SF_Output!$F$1:$F$400,SF_Output!$AC$1:$AC$400,_xlfn.TEXTJOIN(",",TRUE,B60:E60))+SUMIFS(SF_Output!$G$1:$G$400,SF_Output!$AC$1:$AC$400,_xlfn.TEXTJOIN(",",TRUE,B60:E60)))&lt;&gt;0,SF_Output!$Y$2,INDEX(SF_Output!$F$1:$F$400,MATCH(_xlfn.TEXTJOIN(",",TRUE,B60:E60),SF_Output!$AC$1:$AC$400,0))=0,INDEX(SF_Output!$R$1:$R$400,MATCH(_xlfn.TEXTJOIN(",",TRUE,B60:E60),SF_Output!$AC$1:$AC$400,0)))</f>
        <v>1</v>
      </c>
      <c r="I60" s="125" t="str">
        <f>IFERROR(IF(AND(H60&gt;1,H60&lt;&gt;""),ROUND(SUMIFS(SF_Output!$S$1:$S$400,SF_Output!$AC$1:$AC$400,_xlfn.TEXTJOIN(",",TRUE,B60:E60),SF_Output!$Q$1:$Q$400,"monthly")*(1-W60)/H60,4),""),"")</f>
        <v/>
      </c>
      <c r="J60" s="6">
        <f>IF(B60="","",SUMIFS(SF_Output!$S$1:$S$400,SF_Output!$AC$1:$AC$400,_xlfn.TEXTJOIN(",",TRUE,B60:E60),SF_Output!$Q$1:$Q$400,"One Time",SF_Output!$L$1:$L$400,"license fee")+SUMIFS(SF_Output!$S$1:$S$400,SF_Output!$AC$1:$AC$400,_xlfn.TEXTJOIN(",",TRUE,B60:E60),SF_Output!$Q$1:$Q$400,"One Time",SF_Output!$L$1:$L$400,"software license")+SUMIFS(SF_Output!$S$1:$S$400,SF_Output!$AC$1:$AC$400,_xlfn.TEXTJOIN(",",TRUE,B60:E60),SF_Output!$Q$1:$Q$400,"One Time",SF_Output!$L$1:$L$400,"hardware"))</f>
        <v>0</v>
      </c>
      <c r="K60" s="112" t="str">
        <f>IF(OR(B60=0,B60="",G60="hardware",J60=0),"",IF(AF60&lt;&gt;"exclusion",MAX(K$9,-((SUMIFS(SF_Output!$T$1:$T$400,SF_Output!$AC$1:$AC$400,_xlfn.TEXTJOIN(",",TRUE,$B60:$E60),SF_Output!$Q$1:$Q$400,"One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license"))/J60)),-((SUMIFS(SF_Output!$T$1:$T$400,SF_Output!$AC$1:$AC$400,_xlfn.TEXTJOIN(",",TRUE,$B60:$E60),SF_Output!$Q$1:$Q$400,"One Time",SF_Output!$L$1:$L$400,"license fee")+SUMIFS(SF_Output!$T$1:$T$400,SF_Output!$AC$1:$AC$400,_xlfn.TEXTJOIN(",",TRUE,$B60:$E60),SF_Output!$Q$1:$Q$400,"One Time",SF_Output!$L$1:$L$400,"software license"))/J60)))</f>
        <v/>
      </c>
      <c r="L60" s="6">
        <f t="shared" si="1"/>
        <v>0</v>
      </c>
      <c r="N60" s="6">
        <f>IF(B60="","",SUMIFS(SF_Output!$S$1:$S$400,SF_Output!$AC$1:$AC$400,_xlfn.TEXTJOIN(",",TRUE,B60:E60),SF_Output!$Q$1:$Q$400,"One Time",SF_Output!$L$1:$L$400,"professional service"))</f>
        <v>0</v>
      </c>
      <c r="O60" s="112" t="str">
        <f>IF(OR(B60=0,B60="",N60=0),"",IF(AF60&lt;&gt;"exclusion",MAX(O$9,-(SUMIFS(SF_Output!$T$1:$T$400,SF_Output!$AC$1:$AC$400,_xlfn.TEXTJOIN(",",TRUE,$B60:$E60),SF_Output!$Q$1:$Q$400,"One Time",SF_Output!$L$1:$L$400,"professional service"))/N60),-((SUMIFS(SF_Output!$T$1:$T$400,SF_Output!$AC$1:$AC$400,_xlfn.TEXTJOIN(",",TRUE,$B60:$E60),SF_Output!$Q$1:$Q$400,"One Time",SF_Output!$L$1:$L$400,"professional service")/N60))))</f>
        <v/>
      </c>
      <c r="P60" s="6">
        <f t="shared" si="2"/>
        <v>0</v>
      </c>
      <c r="R60" s="6">
        <f>IF(B60="","",SUMIFS(SF_Output!$S$1:$S$400,SF_Output!$AC$1:$AC$400,_xlfn.TEXTJOIN(",",TRUE,B60:E60),SF_Output!$Q$1:$Q$400,"yearly")+SUMIFS(SF_Output!$S$1:$S$400,SF_Output!$AC$1:$AC$400,_xlfn.TEXTJOIN(",",TRUE,B60:E60),SF_Output!$Q$1:$Q$400,"quarterly")*4)</f>
        <v>0</v>
      </c>
      <c r="S60" s="112" t="str">
        <f>IF(OR(B60=0,B60="",G60="hardware",R60=0),"",IF(AF60&lt;&gt;"exclusion",MAX(S$9,-(SUMIFS(SF_Output!$T$1:$T$400,SF_Output!$AC$1:$AC$400,_xlfn.TEXTJOIN(",",TRUE,$B60:$E60),SF_Output!$Q$1:$Q$400,"yearly"))/R60),-((SUMIFS(SF_Output!$T$1:$T$400,SF_Output!$AC$1:$AC$400,_xlfn.TEXTJOIN(",",TRUE,$B60:$E60),SF_Output!$Q$1:$Q$400,"yearly")/R60))))</f>
        <v/>
      </c>
      <c r="T60" s="6">
        <f t="shared" si="3"/>
        <v>0</v>
      </c>
      <c r="V60" s="6" cm="1">
        <f t="array" ref="V60">_xlfn.IFS(B60="","",AND(B60&lt;&gt;"",H60=SF_Output!$Y$2,SUMIFS(SF_Output!$T$1:$T$400,SF_Output!$AC$1:$AC$400,_xlfn.TEXTJOIN(",",TRUE,B60:E60),SF_Output!$Q$1:$Q$400,"monthly")=0),(SUMIFS(SF_Output!$F$1:$F$400,SF_Output!$AC$1:$AC$400,_xlfn.TEXTJOIN(",",TRUE,B60:E60),SF_Output!$Q$1:$Q$400,"monthly")+SUMIFS(SF_Output!$G$1:$G$400,SF_Output!$AC$1:$AC$400,_xlfn.TEXTJOIN(",",TRUE,B60:E60),SF_Output!$Q$1:$Q$400,"monthly"))*H60,AND(B60&lt;&gt;"",H60=SF_Output!$Y$2,SUMIFS(SF_Output!$T$1:$T$400,SF_Output!$AC$1:$AC$400,_xlfn.TEXTJOIN(",",TRUE,B60:E60),SF_Output!$Q$1:$Q$400,"monthly")&lt;&gt;0),SUMIFS(SF_Output!$S$1:$S$400,SF_Output!$AC$1:$AC$400,_xlfn.TEXTJOIN(",",TRUE,B60:E60),SF_Output!$Q$1:$Q$400,"monthly"),AND(B60&lt;&gt;"",H60&lt;&gt;SF_Output!$Y$2),SUMIFS(SF_Output!$S$1:$S$400,SF_Output!$AC$1:$AC$400,_xlfn.TEXTJOIN(",",TRUE,B60:E60),SF_Output!$Q$1:$Q$400,"monthly"))</f>
        <v>75</v>
      </c>
      <c r="W60" s="112" cm="1">
        <f t="array" ref="W60">_xlfn.IFS(OR(B60=0,B60="",V60=0),"",AF60&lt;&gt;"exclusion",MAX($W$9,$W$7,(-(SUMIFS(SF_Output!$T$1:$T$400,SF_Output!$AC$1:$AC$400,_xlfn.TEXTJOIN(",",TRUE,$B60:$E60),SF_Output!$Q$1:$Q$400,"monthly"))/V60)),AF60="exclusion",-(SUMIFS(SF_Output!$T$1:$T$400,SF_Output!$AC$1:$AC$400,_xlfn.TEXTJOIN(",",TRUE,$B60:$E60),SF_Output!$Q$1:$Q$400,"monthly"))/V60)</f>
        <v>0</v>
      </c>
      <c r="X60" s="6" cm="1">
        <f t="array" ref="X60">IFERROR(_xlfn.IFS(V60=0,0,V60="","",W60=0,V60,OR(V60&lt;&gt;0,V60&lt;&gt;""),H60*I60),V60*(1-W60))</f>
        <v>75</v>
      </c>
    </row>
    <row r="61" spans="2:24" x14ac:dyDescent="0.25">
      <c r="B61" t="s">
        <v>1413</v>
      </c>
      <c r="C61" t="s">
        <v>2122</v>
      </c>
      <c r="D61" t="s">
        <v>2123</v>
      </c>
      <c r="E61" t="s">
        <v>2150</v>
      </c>
      <c r="F61" s="116" t="str">
        <f t="shared" si="0"/>
        <v>Optional</v>
      </c>
      <c r="G61" t="str">
        <f>IF(B61="","",INDEX(SF_Output!$K$1:$K$400,MATCH(B61,SF_Output!$M$1:$M$400,0)))</f>
        <v>AlertCenter</v>
      </c>
      <c r="H61" cm="1">
        <f t="array" ref="H61">_xlfn.IFS(B61="","",(SUMIFS(SF_Output!$F$1:$F$400,SF_Output!$AC$1:$AC$400,_xlfn.TEXTJOIN(",",TRUE,B61:E61))+SUMIFS(SF_Output!$G$1:$G$400,SF_Output!$AC$1:$AC$400,_xlfn.TEXTJOIN(",",TRUE,B61:E61)))&lt;&gt;0,SF_Output!$Y$2,INDEX(SF_Output!$F$1:$F$400,MATCH(_xlfn.TEXTJOIN(",",TRUE,B61:E61),SF_Output!$AC$1:$AC$400,0))=0,INDEX(SF_Output!$R$1:$R$400,MATCH(_xlfn.TEXTJOIN(",",TRUE,B61:E61),SF_Output!$AC$1:$AC$400,0)))</f>
        <v>1</v>
      </c>
      <c r="I61" s="125" t="str">
        <f>IFERROR(IF(AND(H61&gt;1,H61&lt;&gt;""),ROUND(SUMIFS(SF_Output!$S$1:$S$400,SF_Output!$AC$1:$AC$400,_xlfn.TEXTJOIN(",",TRUE,B61:E61),SF_Output!$Q$1:$Q$400,"monthly")*(1-W61)/H61,4),""),"")</f>
        <v/>
      </c>
      <c r="J61" s="6">
        <f>IF(B61="","",SUMIFS(SF_Output!$S$1:$S$400,SF_Output!$AC$1:$AC$400,_xlfn.TEXTJOIN(",",TRUE,B61:E61),SF_Output!$Q$1:$Q$400,"One Time",SF_Output!$L$1:$L$400,"license fee")+SUMIFS(SF_Output!$S$1:$S$400,SF_Output!$AC$1:$AC$400,_xlfn.TEXTJOIN(",",TRUE,B61:E61),SF_Output!$Q$1:$Q$400,"One Time",SF_Output!$L$1:$L$400,"software license")+SUMIFS(SF_Output!$S$1:$S$400,SF_Output!$AC$1:$AC$400,_xlfn.TEXTJOIN(",",TRUE,B61:E61),SF_Output!$Q$1:$Q$400,"One Time",SF_Output!$L$1:$L$400,"hardware"))</f>
        <v>0</v>
      </c>
      <c r="K61" s="112" t="str">
        <f>IF(OR(B61=0,B61="",G61="hardware",J61=0),"",IF(AF61&lt;&gt;"exclusion",MAX(K$9,-((SUMIFS(SF_Output!$T$1:$T$400,SF_Output!$AC$1:$AC$400,_xlfn.TEXTJOIN(",",TRUE,$B61:$E61),SF_Output!$Q$1:$Q$400,"One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license"))/J61)),-((SUMIFS(SF_Output!$T$1:$T$400,SF_Output!$AC$1:$AC$400,_xlfn.TEXTJOIN(",",TRUE,$B61:$E61),SF_Output!$Q$1:$Q$400,"One Time",SF_Output!$L$1:$L$400,"license fee")+SUMIFS(SF_Output!$T$1:$T$400,SF_Output!$AC$1:$AC$400,_xlfn.TEXTJOIN(",",TRUE,$B61:$E61),SF_Output!$Q$1:$Q$400,"One Time",SF_Output!$L$1:$L$400,"software license"))/J61)))</f>
        <v/>
      </c>
      <c r="L61" s="6">
        <f t="shared" si="1"/>
        <v>0</v>
      </c>
      <c r="N61" s="6">
        <f>IF(B61="","",SUMIFS(SF_Output!$S$1:$S$400,SF_Output!$AC$1:$AC$400,_xlfn.TEXTJOIN(",",TRUE,B61:E61),SF_Output!$Q$1:$Q$400,"One Time",SF_Output!$L$1:$L$400,"professional service"))</f>
        <v>3750</v>
      </c>
      <c r="O61" s="112">
        <f>IF(OR(B61=0,B61="",N61=0),"",IF(AF61&lt;&gt;"exclusion",MAX(O$9,-(SUMIFS(SF_Output!$T$1:$T$400,SF_Output!$AC$1:$AC$400,_xlfn.TEXTJOIN(",",TRUE,$B61:$E61),SF_Output!$Q$1:$Q$400,"One Time",SF_Output!$L$1:$L$400,"professional service"))/N61),-((SUMIFS(SF_Output!$T$1:$T$400,SF_Output!$AC$1:$AC$400,_xlfn.TEXTJOIN(",",TRUE,$B61:$E61),SF_Output!$Q$1:$Q$400,"One Time",SF_Output!$L$1:$L$400,"professional service")/N61))))</f>
        <v>1</v>
      </c>
      <c r="P61" s="6">
        <f t="shared" si="2"/>
        <v>0</v>
      </c>
      <c r="R61" s="6">
        <f>IF(B61="","",SUMIFS(SF_Output!$S$1:$S$400,SF_Output!$AC$1:$AC$400,_xlfn.TEXTJOIN(",",TRUE,B61:E61),SF_Output!$Q$1:$Q$400,"yearly")+SUMIFS(SF_Output!$S$1:$S$400,SF_Output!$AC$1:$AC$400,_xlfn.TEXTJOIN(",",TRUE,B61:E61),SF_Output!$Q$1:$Q$400,"quarterly")*4)</f>
        <v>0</v>
      </c>
      <c r="S61" s="112" t="str">
        <f>IF(OR(B61=0,B61="",G61="hardware",R61=0),"",IF(AF61&lt;&gt;"exclusion",MAX(S$9,-(SUMIFS(SF_Output!$T$1:$T$400,SF_Output!$AC$1:$AC$400,_xlfn.TEXTJOIN(",",TRUE,$B61:$E61),SF_Output!$Q$1:$Q$400,"yearly"))/R61),-((SUMIFS(SF_Output!$T$1:$T$400,SF_Output!$AC$1:$AC$400,_xlfn.TEXTJOIN(",",TRUE,$B61:$E61),SF_Output!$Q$1:$Q$400,"yearly")/R61))))</f>
        <v/>
      </c>
      <c r="T61" s="6">
        <f t="shared" si="3"/>
        <v>0</v>
      </c>
      <c r="V61" s="6" cm="1">
        <f t="array" ref="V61">_xlfn.IFS(B61="","",AND(B61&lt;&gt;"",H61=SF_Output!$Y$2,SUMIFS(SF_Output!$T$1:$T$400,SF_Output!$AC$1:$AC$400,_xlfn.TEXTJOIN(",",TRUE,B61:E61),SF_Output!$Q$1:$Q$400,"monthly")=0),(SUMIFS(SF_Output!$F$1:$F$400,SF_Output!$AC$1:$AC$400,_xlfn.TEXTJOIN(",",TRUE,B61:E61),SF_Output!$Q$1:$Q$400,"monthly")+SUMIFS(SF_Output!$G$1:$G$400,SF_Output!$AC$1:$AC$400,_xlfn.TEXTJOIN(",",TRUE,B61:E61),SF_Output!$Q$1:$Q$400,"monthly"))*H61,AND(B61&lt;&gt;"",H61=SF_Output!$Y$2,SUMIFS(SF_Output!$T$1:$T$400,SF_Output!$AC$1:$AC$400,_xlfn.TEXTJOIN(",",TRUE,B61:E61),SF_Output!$Q$1:$Q$400,"monthly")&lt;&gt;0),SUMIFS(SF_Output!$S$1:$S$400,SF_Output!$AC$1:$AC$400,_xlfn.TEXTJOIN(",",TRUE,B61:E61),SF_Output!$Q$1:$Q$400,"monthly"),AND(B61&lt;&gt;"",H61&lt;&gt;SF_Output!$Y$2),SUMIFS(SF_Output!$S$1:$S$400,SF_Output!$AC$1:$AC$400,_xlfn.TEXTJOIN(",",TRUE,B61:E61),SF_Output!$Q$1:$Q$400,"monthly"))</f>
        <v>0</v>
      </c>
      <c r="W61" s="112" t="str" cm="1">
        <f t="array" ref="W61">_xlfn.IFS(OR(B61=0,B61="",V61=0),"",AF61&lt;&gt;"exclusion",MAX($W$9,$W$7,(-(SUMIFS(SF_Output!$T$1:$T$400,SF_Output!$AC$1:$AC$400,_xlfn.TEXTJOIN(",",TRUE,$B61:$E61),SF_Output!$Q$1:$Q$400,"monthly"))/V61)),AF61="exclusion",-(SUMIFS(SF_Output!$T$1:$T$400,SF_Output!$AC$1:$AC$400,_xlfn.TEXTJOIN(",",TRUE,$B61:$E61),SF_Output!$Q$1:$Q$400,"monthly"))/V61)</f>
        <v/>
      </c>
      <c r="X61" s="6" cm="1">
        <f t="array" ref="X61">IFERROR(_xlfn.IFS(V61=0,0,V61="","",W61=0,V61,OR(V61&lt;&gt;0,V61&lt;&gt;""),H61*I61),V61*(1-W61))</f>
        <v>0</v>
      </c>
    </row>
    <row r="62" spans="2:24" x14ac:dyDescent="0.25">
      <c r="B62" t="s">
        <v>2267</v>
      </c>
      <c r="C62" t="s">
        <v>2122</v>
      </c>
      <c r="D62" t="s">
        <v>2123</v>
      </c>
      <c r="E62" t="s">
        <v>2124</v>
      </c>
      <c r="F62" s="116" t="str">
        <f t="shared" si="0"/>
        <v>Included</v>
      </c>
      <c r="G62" t="str">
        <f>IF(B62="","",INDEX(SF_Output!$K$1:$K$400,MATCH(B62,SF_Output!$M$1:$M$400,0)))</f>
        <v>Synergy</v>
      </c>
      <c r="H62" cm="1">
        <f t="array" ref="H62">_xlfn.IFS(B62="","",(SUMIFS(SF_Output!$F$1:$F$400,SF_Output!$AC$1:$AC$400,_xlfn.TEXTJOIN(",",TRUE,B62:E62))+SUMIFS(SF_Output!$G$1:$G$400,SF_Output!$AC$1:$AC$400,_xlfn.TEXTJOIN(",",TRUE,B62:E62)))&lt;&gt;0,SF_Output!$Y$2,INDEX(SF_Output!$F$1:$F$400,MATCH(_xlfn.TEXTJOIN(",",TRUE,B62:E62),SF_Output!$AC$1:$AC$400,0))=0,INDEX(SF_Output!$R$1:$R$400,MATCH(_xlfn.TEXTJOIN(",",TRUE,B62:E62),SF_Output!$AC$1:$AC$400,0)))</f>
        <v>5000</v>
      </c>
      <c r="I62" s="125">
        <f>IFERROR(IF(AND(H62&gt;1,H62&lt;&gt;""),ROUND(SUMIFS(SF_Output!$S$1:$S$400,SF_Output!$AC$1:$AC$400,_xlfn.TEXTJOIN(",",TRUE,B62:E62),SF_Output!$Q$1:$Q$400,"monthly")*(1-W62)/H62,4),""),"")</f>
        <v>0.20549999999999999</v>
      </c>
      <c r="J62" s="6">
        <f>IF(B62="","",SUMIFS(SF_Output!$S$1:$S$400,SF_Output!$AC$1:$AC$400,_xlfn.TEXTJOIN(",",TRUE,B62:E62),SF_Output!$Q$1:$Q$400,"One Time",SF_Output!$L$1:$L$400,"license fee")+SUMIFS(SF_Output!$S$1:$S$400,SF_Output!$AC$1:$AC$400,_xlfn.TEXTJOIN(",",TRUE,B62:E62),SF_Output!$Q$1:$Q$400,"One Time",SF_Output!$L$1:$L$400,"software license")+SUMIFS(SF_Output!$S$1:$S$400,SF_Output!$AC$1:$AC$400,_xlfn.TEXTJOIN(",",TRUE,B62:E62),SF_Output!$Q$1:$Q$400,"One Time",SF_Output!$L$1:$L$400,"hardware"))</f>
        <v>0</v>
      </c>
      <c r="K62" s="112" t="str">
        <f>IF(OR(B62=0,B62="",G62="hardware",J62=0),"",IF(AF62&lt;&gt;"exclusion",MAX(K$9,-((SUMIFS(SF_Output!$T$1:$T$400,SF_Output!$AC$1:$AC$400,_xlfn.TEXTJOIN(",",TRUE,$B62:$E62),SF_Output!$Q$1:$Q$400,"One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license"))/J62)),-((SUMIFS(SF_Output!$T$1:$T$400,SF_Output!$AC$1:$AC$400,_xlfn.TEXTJOIN(",",TRUE,$B62:$E62),SF_Output!$Q$1:$Q$400,"One Time",SF_Output!$L$1:$L$400,"license fee")+SUMIFS(SF_Output!$T$1:$T$400,SF_Output!$AC$1:$AC$400,_xlfn.TEXTJOIN(",",TRUE,$B62:$E62),SF_Output!$Q$1:$Q$400,"One Time",SF_Output!$L$1:$L$400,"software license"))/J62)))</f>
        <v/>
      </c>
      <c r="L62" s="6">
        <f t="shared" si="1"/>
        <v>0</v>
      </c>
      <c r="N62" s="6">
        <f>IF(B62="","",SUMIFS(SF_Output!$S$1:$S$400,SF_Output!$AC$1:$AC$400,_xlfn.TEXTJOIN(",",TRUE,B62:E62),SF_Output!$Q$1:$Q$400,"One Time",SF_Output!$L$1:$L$400,"professional service"))</f>
        <v>19150</v>
      </c>
      <c r="O62" s="112">
        <f>IF(OR(B62=0,B62="",N62=0),"",IF(AF62&lt;&gt;"exclusion",MAX(O$9,-(SUMIFS(SF_Output!$T$1:$T$400,SF_Output!$AC$1:$AC$400,_xlfn.TEXTJOIN(",",TRUE,$B62:$E62),SF_Output!$Q$1:$Q$400,"One Time",SF_Output!$L$1:$L$400,"professional service"))/N62),-((SUMIFS(SF_Output!$T$1:$T$400,SF_Output!$AC$1:$AC$400,_xlfn.TEXTJOIN(",",TRUE,$B62:$E62),SF_Output!$Q$1:$Q$400,"One Time",SF_Output!$L$1:$L$400,"professional service")/N62))))</f>
        <v>1</v>
      </c>
      <c r="P62" s="6">
        <f t="shared" si="2"/>
        <v>0</v>
      </c>
      <c r="R62" s="6">
        <f>IF(B62="","",SUMIFS(SF_Output!$S$1:$S$400,SF_Output!$AC$1:$AC$400,_xlfn.TEXTJOIN(",",TRUE,B62:E62),SF_Output!$Q$1:$Q$400,"yearly")+SUMIFS(SF_Output!$S$1:$S$400,SF_Output!$AC$1:$AC$400,_xlfn.TEXTJOIN(",",TRUE,B62:E62),SF_Output!$Q$1:$Q$400,"quarterly")*4)</f>
        <v>0</v>
      </c>
      <c r="S62" s="112" t="str">
        <f>IF(OR(B62=0,B62="",G62="hardware",R62=0),"",IF(AF62&lt;&gt;"exclusion",MAX(S$9,-(SUMIFS(SF_Output!$T$1:$T$400,SF_Output!$AC$1:$AC$400,_xlfn.TEXTJOIN(",",TRUE,$B62:$E62),SF_Output!$Q$1:$Q$400,"yearly"))/R62),-((SUMIFS(SF_Output!$T$1:$T$400,SF_Output!$AC$1:$AC$400,_xlfn.TEXTJOIN(",",TRUE,$B62:$E62),SF_Output!$Q$1:$Q$400,"yearly")/R62))))</f>
        <v/>
      </c>
      <c r="T62" s="6">
        <f t="shared" si="3"/>
        <v>0</v>
      </c>
      <c r="V62" s="6" cm="1">
        <f t="array" ref="V62">_xlfn.IFS(B62="","",AND(B62&lt;&gt;"",H62=SF_Output!$Y$2,SUMIFS(SF_Output!$T$1:$T$400,SF_Output!$AC$1:$AC$400,_xlfn.TEXTJOIN(",",TRUE,B62:E62),SF_Output!$Q$1:$Q$400,"monthly")=0),(SUMIFS(SF_Output!$F$1:$F$400,SF_Output!$AC$1:$AC$400,_xlfn.TEXTJOIN(",",TRUE,B62:E62),SF_Output!$Q$1:$Q$400,"monthly")+SUMIFS(SF_Output!$G$1:$G$400,SF_Output!$AC$1:$AC$400,_xlfn.TEXTJOIN(",",TRUE,B62:E62),SF_Output!$Q$1:$Q$400,"monthly"))*H62,AND(B62&lt;&gt;"",H62=SF_Output!$Y$2,SUMIFS(SF_Output!$T$1:$T$400,SF_Output!$AC$1:$AC$400,_xlfn.TEXTJOIN(",",TRUE,B62:E62),SF_Output!$Q$1:$Q$400,"monthly")&lt;&gt;0),SUMIFS(SF_Output!$S$1:$S$400,SF_Output!$AC$1:$AC$400,_xlfn.TEXTJOIN(",",TRUE,B62:E62),SF_Output!$Q$1:$Q$400,"monthly"),AND(B62&lt;&gt;"",H62&lt;&gt;SF_Output!$Y$2),SUMIFS(SF_Output!$S$1:$S$400,SF_Output!$AC$1:$AC$400,_xlfn.TEXTJOIN(",",TRUE,B62:E62),SF_Output!$Q$1:$Q$400,"monthly"))</f>
        <v>1370</v>
      </c>
      <c r="W62" s="112" cm="1">
        <f t="array" ref="W62">_xlfn.IFS(OR(B62=0,B62="",V62=0),"",AF62&lt;&gt;"exclusion",MAX($W$9,$W$7,(-(SUMIFS(SF_Output!$T$1:$T$400,SF_Output!$AC$1:$AC$400,_xlfn.TEXTJOIN(",",TRUE,$B62:$E62),SF_Output!$Q$1:$Q$400,"monthly"))/V62)),AF62="exclusion",-(SUMIFS(SF_Output!$T$1:$T$400,SF_Output!$AC$1:$AC$400,_xlfn.TEXTJOIN(",",TRUE,$B62:$E62),SF_Output!$Q$1:$Q$400,"monthly"))/V62)</f>
        <v>0.25</v>
      </c>
      <c r="X62" s="6" cm="1">
        <f t="array" ref="X62">IFERROR(_xlfn.IFS(V62=0,0,V62="","",W62=0,V62,OR(V62&lt;&gt;0,V62&lt;&gt;""),H62*I62),V62*(1-W62))</f>
        <v>1027.5</v>
      </c>
    </row>
    <row r="63" spans="2:24" x14ac:dyDescent="0.25">
      <c r="B63" t="s">
        <v>2270</v>
      </c>
      <c r="C63" t="s">
        <v>2122</v>
      </c>
      <c r="D63" t="s">
        <v>2123</v>
      </c>
      <c r="E63" t="s">
        <v>2124</v>
      </c>
      <c r="F63" s="116" t="str">
        <f t="shared" si="0"/>
        <v>Included</v>
      </c>
      <c r="G63" t="str">
        <f>IF(B63="","",INDEX(SF_Output!$K$1:$K$400,MATCH(B63,SF_Output!$M$1:$M$400,0)))</f>
        <v>Synergy</v>
      </c>
      <c r="H63" cm="1">
        <f t="array" ref="H63">_xlfn.IFS(B63="","",(SUMIFS(SF_Output!$F$1:$F$400,SF_Output!$AC$1:$AC$400,_xlfn.TEXTJOIN(",",TRUE,B63:E63))+SUMIFS(SF_Output!$G$1:$G$400,SF_Output!$AC$1:$AC$400,_xlfn.TEXTJOIN(",",TRUE,B63:E63)))&lt;&gt;0,SF_Output!$Y$2,INDEX(SF_Output!$F$1:$F$400,MATCH(_xlfn.TEXTJOIN(",",TRUE,B63:E63),SF_Output!$AC$1:$AC$400,0))=0,INDEX(SF_Output!$R$1:$R$400,MATCH(_xlfn.TEXTJOIN(",",TRUE,B63:E63),SF_Output!$AC$1:$AC$400,0)))</f>
        <v>5000</v>
      </c>
      <c r="I63" s="125">
        <f>IFERROR(IF(AND(H63&gt;1,H63&lt;&gt;""),ROUND(SUMIFS(SF_Output!$S$1:$S$400,SF_Output!$AC$1:$AC$400,_xlfn.TEXTJOIN(",",TRUE,B63:E63),SF_Output!$Q$1:$Q$400,"monthly")*(1-W63)/H63,4),""),"")</f>
        <v>7.6499999999999999E-2</v>
      </c>
      <c r="J63" s="6">
        <f>IF(B63="","",SUMIFS(SF_Output!$S$1:$S$400,SF_Output!$AC$1:$AC$400,_xlfn.TEXTJOIN(",",TRUE,B63:E63),SF_Output!$Q$1:$Q$400,"One Time",SF_Output!$L$1:$L$400,"license fee")+SUMIFS(SF_Output!$S$1:$S$400,SF_Output!$AC$1:$AC$400,_xlfn.TEXTJOIN(",",TRUE,B63:E63),SF_Output!$Q$1:$Q$400,"One Time",SF_Output!$L$1:$L$400,"software license")+SUMIFS(SF_Output!$S$1:$S$400,SF_Output!$AC$1:$AC$400,_xlfn.TEXTJOIN(",",TRUE,B63:E63),SF_Output!$Q$1:$Q$400,"One Time",SF_Output!$L$1:$L$400,"hardware"))</f>
        <v>0</v>
      </c>
      <c r="K63" s="112" t="str">
        <f>IF(OR(B63=0,B63="",G63="hardware",J63=0),"",IF(AF63&lt;&gt;"exclusion",MAX(K$9,-((SUMIFS(SF_Output!$T$1:$T$400,SF_Output!$AC$1:$AC$400,_xlfn.TEXTJOIN(",",TRUE,$B63:$E63),SF_Output!$Q$1:$Q$400,"One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license"))/J63)),-((SUMIFS(SF_Output!$T$1:$T$400,SF_Output!$AC$1:$AC$400,_xlfn.TEXTJOIN(",",TRUE,$B63:$E63),SF_Output!$Q$1:$Q$400,"One Time",SF_Output!$L$1:$L$400,"license fee")+SUMIFS(SF_Output!$T$1:$T$400,SF_Output!$AC$1:$AC$400,_xlfn.TEXTJOIN(",",TRUE,$B63:$E63),SF_Output!$Q$1:$Q$400,"One Time",SF_Output!$L$1:$L$400,"software license"))/J63)))</f>
        <v/>
      </c>
      <c r="L63" s="6">
        <f t="shared" si="1"/>
        <v>0</v>
      </c>
      <c r="N63" s="6">
        <f>IF(B63="","",SUMIFS(SF_Output!$S$1:$S$400,SF_Output!$AC$1:$AC$400,_xlfn.TEXTJOIN(",",TRUE,B63:E63),SF_Output!$Q$1:$Q$400,"One Time",SF_Output!$L$1:$L$400,"professional service"))</f>
        <v>4800</v>
      </c>
      <c r="O63" s="112">
        <f>IF(OR(B63=0,B63="",N63=0),"",IF(AF63&lt;&gt;"exclusion",MAX(O$9,-(SUMIFS(SF_Output!$T$1:$T$400,SF_Output!$AC$1:$AC$400,_xlfn.TEXTJOIN(",",TRUE,$B63:$E63),SF_Output!$Q$1:$Q$400,"One Time",SF_Output!$L$1:$L$400,"professional service"))/N63),-((SUMIFS(SF_Output!$T$1:$T$400,SF_Output!$AC$1:$AC$400,_xlfn.TEXTJOIN(",",TRUE,$B63:$E63),SF_Output!$Q$1:$Q$400,"One Time",SF_Output!$L$1:$L$400,"professional service")/N63))))</f>
        <v>1</v>
      </c>
      <c r="P63" s="6">
        <f t="shared" si="2"/>
        <v>0</v>
      </c>
      <c r="R63" s="6">
        <f>IF(B63="","",SUMIFS(SF_Output!$S$1:$S$400,SF_Output!$AC$1:$AC$400,_xlfn.TEXTJOIN(",",TRUE,B63:E63),SF_Output!$Q$1:$Q$400,"yearly")+SUMIFS(SF_Output!$S$1:$S$400,SF_Output!$AC$1:$AC$400,_xlfn.TEXTJOIN(",",TRUE,B63:E63),SF_Output!$Q$1:$Q$400,"quarterly")*4)</f>
        <v>0</v>
      </c>
      <c r="S63" s="112" t="str">
        <f>IF(OR(B63=0,B63="",G63="hardware",R63=0),"",IF(AF63&lt;&gt;"exclusion",MAX(S$9,-(SUMIFS(SF_Output!$T$1:$T$400,SF_Output!$AC$1:$AC$400,_xlfn.TEXTJOIN(",",TRUE,$B63:$E63),SF_Output!$Q$1:$Q$400,"yearly"))/R63),-((SUMIFS(SF_Output!$T$1:$T$400,SF_Output!$AC$1:$AC$400,_xlfn.TEXTJOIN(",",TRUE,$B63:$E63),SF_Output!$Q$1:$Q$400,"yearly")/R63))))</f>
        <v/>
      </c>
      <c r="T63" s="6">
        <f t="shared" si="3"/>
        <v>0</v>
      </c>
      <c r="V63" s="6" cm="1">
        <f t="array" ref="V63">_xlfn.IFS(B63="","",AND(B63&lt;&gt;"",H63=SF_Output!$Y$2,SUMIFS(SF_Output!$T$1:$T$400,SF_Output!$AC$1:$AC$400,_xlfn.TEXTJOIN(",",TRUE,B63:E63),SF_Output!$Q$1:$Q$400,"monthly")=0),(SUMIFS(SF_Output!$F$1:$F$400,SF_Output!$AC$1:$AC$400,_xlfn.TEXTJOIN(",",TRUE,B63:E63),SF_Output!$Q$1:$Q$400,"monthly")+SUMIFS(SF_Output!$G$1:$G$400,SF_Output!$AC$1:$AC$400,_xlfn.TEXTJOIN(",",TRUE,B63:E63),SF_Output!$Q$1:$Q$400,"monthly"))*H63,AND(B63&lt;&gt;"",H63=SF_Output!$Y$2,SUMIFS(SF_Output!$T$1:$T$400,SF_Output!$AC$1:$AC$400,_xlfn.TEXTJOIN(",",TRUE,B63:E63),SF_Output!$Q$1:$Q$400,"monthly")&lt;&gt;0),SUMIFS(SF_Output!$S$1:$S$400,SF_Output!$AC$1:$AC$400,_xlfn.TEXTJOIN(",",TRUE,B63:E63),SF_Output!$Q$1:$Q$400,"monthly"),AND(B63&lt;&gt;"",H63&lt;&gt;SF_Output!$Y$2),SUMIFS(SF_Output!$S$1:$S$400,SF_Output!$AC$1:$AC$400,_xlfn.TEXTJOIN(",",TRUE,B63:E63),SF_Output!$Q$1:$Q$400,"monthly"))</f>
        <v>510</v>
      </c>
      <c r="W63" s="112" cm="1">
        <f t="array" ref="W63">_xlfn.IFS(OR(B63=0,B63="",V63=0),"",AF63&lt;&gt;"exclusion",MAX($W$9,$W$7,(-(SUMIFS(SF_Output!$T$1:$T$400,SF_Output!$AC$1:$AC$400,_xlfn.TEXTJOIN(",",TRUE,$B63:$E63),SF_Output!$Q$1:$Q$400,"monthly"))/V63)),AF63="exclusion",-(SUMIFS(SF_Output!$T$1:$T$400,SF_Output!$AC$1:$AC$400,_xlfn.TEXTJOIN(",",TRUE,$B63:$E63),SF_Output!$Q$1:$Q$400,"monthly"))/V63)</f>
        <v>0.25</v>
      </c>
      <c r="X63" s="6" cm="1">
        <f t="array" ref="X63">IFERROR(_xlfn.IFS(V63=0,0,V63="","",W63=0,V63,OR(V63&lt;&gt;0,V63&lt;&gt;""),H63*I63),V63*(1-W63))</f>
        <v>382.5</v>
      </c>
    </row>
    <row r="64" spans="2:24" x14ac:dyDescent="0.25">
      <c r="B64" t="s">
        <v>1598</v>
      </c>
      <c r="C64" t="s">
        <v>2122</v>
      </c>
      <c r="D64" t="s">
        <v>2164</v>
      </c>
      <c r="E64" t="s">
        <v>2124</v>
      </c>
      <c r="F64" s="116" t="str">
        <f t="shared" si="0"/>
        <v>Included</v>
      </c>
      <c r="G64" t="str">
        <f>IF(B64="","",INDEX(SF_Output!$K$1:$K$400,MATCH(B64,SF_Output!$M$1:$M$400,0)))</f>
        <v>Synergy</v>
      </c>
      <c r="H64" cm="1">
        <f t="array" ref="H64">_xlfn.IFS(B64="","",(SUMIFS(SF_Output!$F$1:$F$400,SF_Output!$AC$1:$AC$400,_xlfn.TEXTJOIN(",",TRUE,B64:E64))+SUMIFS(SF_Output!$G$1:$G$400,SF_Output!$AC$1:$AC$400,_xlfn.TEXTJOIN(",",TRUE,B64:E64)))&lt;&gt;0,SF_Output!$Y$2,INDEX(SF_Output!$F$1:$F$400,MATCH(_xlfn.TEXTJOIN(",",TRUE,B64:E64),SF_Output!$AC$1:$AC$400,0))=0,INDEX(SF_Output!$R$1:$R$400,MATCH(_xlfn.TEXTJOIN(",",TRUE,B64:E64),SF_Output!$AC$1:$AC$400,0)))</f>
        <v>2</v>
      </c>
      <c r="I64" s="125" t="str">
        <f>IFERROR(IF(AND(H64&gt;1,H64&lt;&gt;""),ROUND(SUMIFS(SF_Output!$S$1:$S$400,SF_Output!$AC$1:$AC$400,_xlfn.TEXTJOIN(",",TRUE,B64:E64),SF_Output!$Q$1:$Q$400,"monthly")*(1-W64)/H64,4),""),"")</f>
        <v/>
      </c>
      <c r="J64" s="6">
        <f>IF(B64="","",SUMIFS(SF_Output!$S$1:$S$400,SF_Output!$AC$1:$AC$400,_xlfn.TEXTJOIN(",",TRUE,B64:E64),SF_Output!$Q$1:$Q$400,"One Time",SF_Output!$L$1:$L$400,"license fee")+SUMIFS(SF_Output!$S$1:$S$400,SF_Output!$AC$1:$AC$400,_xlfn.TEXTJOIN(",",TRUE,B64:E64),SF_Output!$Q$1:$Q$400,"One Time",SF_Output!$L$1:$L$400,"software license")+SUMIFS(SF_Output!$S$1:$S$400,SF_Output!$AC$1:$AC$400,_xlfn.TEXTJOIN(",",TRUE,B64:E64),SF_Output!$Q$1:$Q$400,"One Time",SF_Output!$L$1:$L$400,"hardware"))</f>
        <v>1000</v>
      </c>
      <c r="K64" s="112">
        <f>IF(OR(B64=0,B64="",G64="hardware",J64=0),"",IF(AF64&lt;&gt;"exclusion",MAX(K$9,-((SUMIFS(SF_Output!$T$1:$T$400,SF_Output!$AC$1:$AC$400,_xlfn.TEXTJOIN(",",TRUE,$B64:$E64),SF_Output!$Q$1:$Q$400,"One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license"))/J64)),-((SUMIFS(SF_Output!$T$1:$T$400,SF_Output!$AC$1:$AC$400,_xlfn.TEXTJOIN(",",TRUE,$B64:$E64),SF_Output!$Q$1:$Q$400,"One Time",SF_Output!$L$1:$L$400,"license fee")+SUMIFS(SF_Output!$T$1:$T$400,SF_Output!$AC$1:$AC$400,_xlfn.TEXTJOIN(",",TRUE,$B64:$E64),SF_Output!$Q$1:$Q$400,"One Time",SF_Output!$L$1:$L$400,"software license"))/J64)))</f>
        <v>0</v>
      </c>
      <c r="L64" s="6">
        <f t="shared" si="1"/>
        <v>1000</v>
      </c>
      <c r="N64" s="6">
        <f>IF(B64="","",SUMIFS(SF_Output!$S$1:$S$400,SF_Output!$AC$1:$AC$400,_xlfn.TEXTJOIN(",",TRUE,B64:E64),SF_Output!$Q$1:$Q$400,"One Time",SF_Output!$L$1:$L$400,"professional service"))</f>
        <v>0</v>
      </c>
      <c r="O64" s="112" t="str">
        <f>IF(OR(B64=0,B64="",N64=0),"",IF(AF64&lt;&gt;"exclusion",MAX(O$9,-(SUMIFS(SF_Output!$T$1:$T$400,SF_Output!$AC$1:$AC$400,_xlfn.TEXTJOIN(",",TRUE,$B64:$E64),SF_Output!$Q$1:$Q$400,"One Time",SF_Output!$L$1:$L$400,"professional service"))/N64),-((SUMIFS(SF_Output!$T$1:$T$400,SF_Output!$AC$1:$AC$400,_xlfn.TEXTJOIN(",",TRUE,$B64:$E64),SF_Output!$Q$1:$Q$400,"One Time",SF_Output!$L$1:$L$400,"professional service")/N64))))</f>
        <v/>
      </c>
      <c r="P64" s="6">
        <f t="shared" si="2"/>
        <v>0</v>
      </c>
      <c r="R64" s="6">
        <f>IF(B64="","",SUMIFS(SF_Output!$S$1:$S$400,SF_Output!$AC$1:$AC$400,_xlfn.TEXTJOIN(",",TRUE,B64:E64),SF_Output!$Q$1:$Q$400,"yearly")+SUMIFS(SF_Output!$S$1:$S$400,SF_Output!$AC$1:$AC$400,_xlfn.TEXTJOIN(",",TRUE,B64:E64),SF_Output!$Q$1:$Q$400,"quarterly")*4)</f>
        <v>0</v>
      </c>
      <c r="S64" s="112" t="str">
        <f>IF(OR(B64=0,B64="",G64="hardware",R64=0),"",IF(AF64&lt;&gt;"exclusion",MAX(S$9,-(SUMIFS(SF_Output!$T$1:$T$400,SF_Output!$AC$1:$AC$400,_xlfn.TEXTJOIN(",",TRUE,$B64:$E64),SF_Output!$Q$1:$Q$400,"yearly"))/R64),-((SUMIFS(SF_Output!$T$1:$T$400,SF_Output!$AC$1:$AC$400,_xlfn.TEXTJOIN(",",TRUE,$B64:$E64),SF_Output!$Q$1:$Q$400,"yearly")/R64))))</f>
        <v/>
      </c>
      <c r="T64" s="6">
        <f t="shared" si="3"/>
        <v>0</v>
      </c>
      <c r="V64" s="6" cm="1">
        <f t="array" ref="V64">_xlfn.IFS(B64="","",AND(B64&lt;&gt;"",H64=SF_Output!$Y$2,SUMIFS(SF_Output!$T$1:$T$400,SF_Output!$AC$1:$AC$400,_xlfn.TEXTJOIN(",",TRUE,B64:E64),SF_Output!$Q$1:$Q$400,"monthly")=0),(SUMIFS(SF_Output!$F$1:$F$400,SF_Output!$AC$1:$AC$400,_xlfn.TEXTJOIN(",",TRUE,B64:E64),SF_Output!$Q$1:$Q$400,"monthly")+SUMIFS(SF_Output!$G$1:$G$400,SF_Output!$AC$1:$AC$400,_xlfn.TEXTJOIN(",",TRUE,B64:E64),SF_Output!$Q$1:$Q$400,"monthly"))*H64,AND(B64&lt;&gt;"",H64=SF_Output!$Y$2,SUMIFS(SF_Output!$T$1:$T$400,SF_Output!$AC$1:$AC$400,_xlfn.TEXTJOIN(",",TRUE,B64:E64),SF_Output!$Q$1:$Q$400,"monthly")&lt;&gt;0),SUMIFS(SF_Output!$S$1:$S$400,SF_Output!$AC$1:$AC$400,_xlfn.TEXTJOIN(",",TRUE,B64:E64),SF_Output!$Q$1:$Q$400,"monthly"),AND(B64&lt;&gt;"",H64&lt;&gt;SF_Output!$Y$2),SUMIFS(SF_Output!$S$1:$S$400,SF_Output!$AC$1:$AC$400,_xlfn.TEXTJOIN(",",TRUE,B64:E64),SF_Output!$Q$1:$Q$400,"monthly"))</f>
        <v>0</v>
      </c>
      <c r="W64" s="112" t="str" cm="1">
        <f t="array" ref="W64">_xlfn.IFS(OR(B64=0,B64="",V64=0),"",AF64&lt;&gt;"exclusion",MAX($W$9,$W$7,(-(SUMIFS(SF_Output!$T$1:$T$400,SF_Output!$AC$1:$AC$400,_xlfn.TEXTJOIN(",",TRUE,$B64:$E64),SF_Output!$Q$1:$Q$400,"monthly"))/V64)),AF64="exclusion",-(SUMIFS(SF_Output!$T$1:$T$400,SF_Output!$AC$1:$AC$400,_xlfn.TEXTJOIN(",",TRUE,$B64:$E64),SF_Output!$Q$1:$Q$400,"monthly"))/V64)</f>
        <v/>
      </c>
      <c r="X64" s="6" cm="1">
        <f t="array" ref="X64">IFERROR(_xlfn.IFS(V64=0,0,V64="","",W64=0,V64,OR(V64&lt;&gt;0,V64&lt;&gt;""),H64*I64),V64*(1-W64))</f>
        <v>0</v>
      </c>
    </row>
    <row r="65" spans="2:24" x14ac:dyDescent="0.25">
      <c r="B65" t="s">
        <v>1572</v>
      </c>
      <c r="C65" t="s">
        <v>2122</v>
      </c>
      <c r="D65" t="s">
        <v>2123</v>
      </c>
      <c r="E65" t="s">
        <v>2150</v>
      </c>
      <c r="F65" s="116" t="str">
        <f t="shared" si="0"/>
        <v>Optional</v>
      </c>
      <c r="G65" t="str">
        <f>IF(B65="","",INDEX(SF_Output!$K$1:$K$400,MATCH(B65,SF_Output!$M$1:$M$400,0)))</f>
        <v>Synergy</v>
      </c>
      <c r="H65" cm="1">
        <f t="array" ref="H65">_xlfn.IFS(B65="","",(SUMIFS(SF_Output!$F$1:$F$400,SF_Output!$AC$1:$AC$400,_xlfn.TEXTJOIN(",",TRUE,B65:E65))+SUMIFS(SF_Output!$G$1:$G$400,SF_Output!$AC$1:$AC$400,_xlfn.TEXTJOIN(",",TRUE,B65:E65)))&lt;&gt;0,SF_Output!$Y$2,INDEX(SF_Output!$F$1:$F$400,MATCH(_xlfn.TEXTJOIN(",",TRUE,B65:E65),SF_Output!$AC$1:$AC$400,0))=0,INDEX(SF_Output!$R$1:$R$400,MATCH(_xlfn.TEXTJOIN(",",TRUE,B65:E65),SF_Output!$AC$1:$AC$400,0)))</f>
        <v>5000</v>
      </c>
      <c r="I65" s="125">
        <f>IFERROR(IF(AND(H65&gt;1,H65&lt;&gt;""),ROUND(SUMIFS(SF_Output!$S$1:$S$400,SF_Output!$AC$1:$AC$400,_xlfn.TEXTJOIN(",",TRUE,B65:E65),SF_Output!$Q$1:$Q$400,"monthly")*(1-W65)/H65,4),""),"")</f>
        <v>0.08</v>
      </c>
      <c r="J65" s="6">
        <f>IF(B65="","",SUMIFS(SF_Output!$S$1:$S$400,SF_Output!$AC$1:$AC$400,_xlfn.TEXTJOIN(",",TRUE,B65:E65),SF_Output!$Q$1:$Q$400,"One Time",SF_Output!$L$1:$L$400,"license fee")+SUMIFS(SF_Output!$S$1:$S$400,SF_Output!$AC$1:$AC$400,_xlfn.TEXTJOIN(",",TRUE,B65:E65),SF_Output!$Q$1:$Q$400,"One Time",SF_Output!$L$1:$L$400,"software license")+SUMIFS(SF_Output!$S$1:$S$400,SF_Output!$AC$1:$AC$400,_xlfn.TEXTJOIN(",",TRUE,B65:E65),SF_Output!$Q$1:$Q$400,"One Time",SF_Output!$L$1:$L$400,"hardware"))</f>
        <v>0</v>
      </c>
      <c r="K65" s="112" t="str">
        <f>IF(OR(B65=0,B65="",G65="hardware",J65=0),"",IF(AF65&lt;&gt;"exclusion",MAX(K$9,-((SUMIFS(SF_Output!$T$1:$T$400,SF_Output!$AC$1:$AC$400,_xlfn.TEXTJOIN(",",TRUE,$B65:$E65),SF_Output!$Q$1:$Q$400,"One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license"))/J65)),-((SUMIFS(SF_Output!$T$1:$T$400,SF_Output!$AC$1:$AC$400,_xlfn.TEXTJOIN(",",TRUE,$B65:$E65),SF_Output!$Q$1:$Q$400,"One Time",SF_Output!$L$1:$L$400,"license fee")+SUMIFS(SF_Output!$T$1:$T$400,SF_Output!$AC$1:$AC$400,_xlfn.TEXTJOIN(",",TRUE,$B65:$E65),SF_Output!$Q$1:$Q$400,"One Time",SF_Output!$L$1:$L$400,"software license"))/J65)))</f>
        <v/>
      </c>
      <c r="L65" s="6">
        <f t="shared" si="1"/>
        <v>0</v>
      </c>
      <c r="N65" s="6">
        <f>IF(B65="","",SUMIFS(SF_Output!$S$1:$S$400,SF_Output!$AC$1:$AC$400,_xlfn.TEXTJOIN(",",TRUE,B65:E65),SF_Output!$Q$1:$Q$400,"One Time",SF_Output!$L$1:$L$400,"professional service"))</f>
        <v>2800</v>
      </c>
      <c r="O65" s="112">
        <f>IF(OR(B65=0,B65="",N65=0),"",IF(AF65&lt;&gt;"exclusion",MAX(O$9,-(SUMIFS(SF_Output!$T$1:$T$400,SF_Output!$AC$1:$AC$400,_xlfn.TEXTJOIN(",",TRUE,$B65:$E65),SF_Output!$Q$1:$Q$400,"One Time",SF_Output!$L$1:$L$400,"professional service"))/N65),-((SUMIFS(SF_Output!$T$1:$T$400,SF_Output!$AC$1:$AC$400,_xlfn.TEXTJOIN(",",TRUE,$B65:$E65),SF_Output!$Q$1:$Q$400,"One Time",SF_Output!$L$1:$L$400,"professional service")/N65))))</f>
        <v>1</v>
      </c>
      <c r="P65" s="6">
        <f t="shared" si="2"/>
        <v>0</v>
      </c>
      <c r="R65" s="6">
        <f>IF(B65="","",SUMIFS(SF_Output!$S$1:$S$400,SF_Output!$AC$1:$AC$400,_xlfn.TEXTJOIN(",",TRUE,B65:E65),SF_Output!$Q$1:$Q$400,"yearly")+SUMIFS(SF_Output!$S$1:$S$400,SF_Output!$AC$1:$AC$400,_xlfn.TEXTJOIN(",",TRUE,B65:E65),SF_Output!$Q$1:$Q$400,"quarterly")*4)</f>
        <v>0</v>
      </c>
      <c r="S65" s="112" t="str">
        <f>IF(OR(B65=0,B65="",G65="hardware",R65=0),"",IF(AF65&lt;&gt;"exclusion",MAX(S$9,-(SUMIFS(SF_Output!$T$1:$T$400,SF_Output!$AC$1:$AC$400,_xlfn.TEXTJOIN(",",TRUE,$B65:$E65),SF_Output!$Q$1:$Q$400,"yearly"))/R65),-((SUMIFS(SF_Output!$T$1:$T$400,SF_Output!$AC$1:$AC$400,_xlfn.TEXTJOIN(",",TRUE,$B65:$E65),SF_Output!$Q$1:$Q$400,"yearly")/R65))))</f>
        <v/>
      </c>
      <c r="T65" s="6">
        <f t="shared" si="3"/>
        <v>0</v>
      </c>
      <c r="V65" s="6" cm="1">
        <f t="array" ref="V65">_xlfn.IFS(B65="","",AND(B65&lt;&gt;"",H65=SF_Output!$Y$2,SUMIFS(SF_Output!$T$1:$T$400,SF_Output!$AC$1:$AC$400,_xlfn.TEXTJOIN(",",TRUE,B65:E65),SF_Output!$Q$1:$Q$400,"monthly")=0),(SUMIFS(SF_Output!$F$1:$F$400,SF_Output!$AC$1:$AC$400,_xlfn.TEXTJOIN(",",TRUE,B65:E65),SF_Output!$Q$1:$Q$400,"monthly")+SUMIFS(SF_Output!$G$1:$G$400,SF_Output!$AC$1:$AC$400,_xlfn.TEXTJOIN(",",TRUE,B65:E65),SF_Output!$Q$1:$Q$400,"monthly"))*H65,AND(B65&lt;&gt;"",H65=SF_Output!$Y$2,SUMIFS(SF_Output!$T$1:$T$400,SF_Output!$AC$1:$AC$400,_xlfn.TEXTJOIN(",",TRUE,B65:E65),SF_Output!$Q$1:$Q$400,"monthly")&lt;&gt;0),SUMIFS(SF_Output!$S$1:$S$400,SF_Output!$AC$1:$AC$400,_xlfn.TEXTJOIN(",",TRUE,B65:E65),SF_Output!$Q$1:$Q$400,"monthly"),AND(B65&lt;&gt;"",H65&lt;&gt;SF_Output!$Y$2),SUMIFS(SF_Output!$S$1:$S$400,SF_Output!$AC$1:$AC$400,_xlfn.TEXTJOIN(",",TRUE,B65:E65),SF_Output!$Q$1:$Q$400,"monthly"))</f>
        <v>400</v>
      </c>
      <c r="W65" s="112" cm="1">
        <f t="array" ref="W65">_xlfn.IFS(OR(B65=0,B65="",V65=0),"",AF65&lt;&gt;"exclusion",MAX($W$9,$W$7,(-(SUMIFS(SF_Output!$T$1:$T$400,SF_Output!$AC$1:$AC$400,_xlfn.TEXTJOIN(",",TRUE,$B65:$E65),SF_Output!$Q$1:$Q$400,"monthly"))/V65)),AF65="exclusion",-(SUMIFS(SF_Output!$T$1:$T$400,SF_Output!$AC$1:$AC$400,_xlfn.TEXTJOIN(",",TRUE,$B65:$E65),SF_Output!$Q$1:$Q$400,"monthly"))/V65)</f>
        <v>0</v>
      </c>
      <c r="X65" s="6" cm="1">
        <f t="array" ref="X65">IFERROR(_xlfn.IFS(V65=0,0,V65="","",W65=0,V65,OR(V65&lt;&gt;0,V65&lt;&gt;""),H65*I65),V65*(1-W65))</f>
        <v>400</v>
      </c>
    </row>
    <row r="66" spans="2:24" x14ac:dyDescent="0.25">
      <c r="B66" t="s">
        <v>877</v>
      </c>
      <c r="C66" t="s">
        <v>2122</v>
      </c>
      <c r="D66" t="s">
        <v>2123</v>
      </c>
      <c r="E66" t="s">
        <v>2124</v>
      </c>
      <c r="F66" s="116" t="str">
        <f t="shared" si="0"/>
        <v>Included</v>
      </c>
      <c r="G66" t="str">
        <f>IF(B66="","",INDEX(SF_Output!$K$1:$K$400,MATCH(B66,SF_Output!$M$1:$M$400,0)))</f>
        <v>Synergy</v>
      </c>
      <c r="H66" cm="1">
        <f t="array" ref="H66">_xlfn.IFS(B66="","",(SUMIFS(SF_Output!$F$1:$F$400,SF_Output!$AC$1:$AC$400,_xlfn.TEXTJOIN(",",TRUE,B66:E66))+SUMIFS(SF_Output!$G$1:$G$400,SF_Output!$AC$1:$AC$400,_xlfn.TEXTJOIN(",",TRUE,B66:E66)))&lt;&gt;0,SF_Output!$Y$2,INDEX(SF_Output!$F$1:$F$400,MATCH(_xlfn.TEXTJOIN(",",TRUE,B66:E66),SF_Output!$AC$1:$AC$400,0))=0,INDEX(SF_Output!$R$1:$R$400,MATCH(_xlfn.TEXTJOIN(",",TRUE,B66:E66),SF_Output!$AC$1:$AC$400,0)))</f>
        <v>5000</v>
      </c>
      <c r="I66" s="125">
        <f>IFERROR(IF(AND(H66&gt;1,H66&lt;&gt;""),ROUND(SUMIFS(SF_Output!$S$1:$S$400,SF_Output!$AC$1:$AC$400,_xlfn.TEXTJOIN(",",TRUE,B66:E66),SF_Output!$Q$1:$Q$400,"monthly")*(1-W66)/H66,4),""),"")</f>
        <v>0.184</v>
      </c>
      <c r="J66" s="6">
        <f>IF(B66="","",SUMIFS(SF_Output!$S$1:$S$400,SF_Output!$AC$1:$AC$400,_xlfn.TEXTJOIN(",",TRUE,B66:E66),SF_Output!$Q$1:$Q$400,"One Time",SF_Output!$L$1:$L$400,"license fee")+SUMIFS(SF_Output!$S$1:$S$400,SF_Output!$AC$1:$AC$400,_xlfn.TEXTJOIN(",",TRUE,B66:E66),SF_Output!$Q$1:$Q$400,"One Time",SF_Output!$L$1:$L$400,"software license")+SUMIFS(SF_Output!$S$1:$S$400,SF_Output!$AC$1:$AC$400,_xlfn.TEXTJOIN(",",TRUE,B66:E66),SF_Output!$Q$1:$Q$400,"One Time",SF_Output!$L$1:$L$400,"hardware"))</f>
        <v>0</v>
      </c>
      <c r="K66" s="112" t="str">
        <f>IF(OR(B66=0,B66="",G66="hardware",J66=0),"",IF(AF66&lt;&gt;"exclusion",MAX(K$9,-((SUMIFS(SF_Output!$T$1:$T$400,SF_Output!$AC$1:$AC$400,_xlfn.TEXTJOIN(",",TRUE,$B66:$E66),SF_Output!$Q$1:$Q$400,"One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license"))/J66)),-((SUMIFS(SF_Output!$T$1:$T$400,SF_Output!$AC$1:$AC$400,_xlfn.TEXTJOIN(",",TRUE,$B66:$E66),SF_Output!$Q$1:$Q$400,"One Time",SF_Output!$L$1:$L$400,"license fee")+SUMIFS(SF_Output!$T$1:$T$400,SF_Output!$AC$1:$AC$400,_xlfn.TEXTJOIN(",",TRUE,$B66:$E66),SF_Output!$Q$1:$Q$400,"One Time",SF_Output!$L$1:$L$400,"software license"))/J66)))</f>
        <v/>
      </c>
      <c r="L66" s="6">
        <f t="shared" si="1"/>
        <v>0</v>
      </c>
      <c r="N66" s="6">
        <f>IF(B66="","",SUMIFS(SF_Output!$S$1:$S$400,SF_Output!$AC$1:$AC$400,_xlfn.TEXTJOIN(",",TRUE,B66:E66),SF_Output!$Q$1:$Q$400,"One Time",SF_Output!$L$1:$L$400,"professional service"))</f>
        <v>15750</v>
      </c>
      <c r="O66" s="112">
        <f>IF(OR(B66=0,B66="",N66=0),"",IF(AF66&lt;&gt;"exclusion",MAX(O$9,-(SUMIFS(SF_Output!$T$1:$T$400,SF_Output!$AC$1:$AC$400,_xlfn.TEXTJOIN(",",TRUE,$B66:$E66),SF_Output!$Q$1:$Q$400,"One Time",SF_Output!$L$1:$L$400,"professional service"))/N66),-((SUMIFS(SF_Output!$T$1:$T$400,SF_Output!$AC$1:$AC$400,_xlfn.TEXTJOIN(",",TRUE,$B66:$E66),SF_Output!$Q$1:$Q$400,"One Time",SF_Output!$L$1:$L$400,"professional service")/N66))))</f>
        <v>0</v>
      </c>
      <c r="P66" s="6">
        <f t="shared" si="2"/>
        <v>15750</v>
      </c>
      <c r="R66" s="6">
        <f>IF(B66="","",SUMIFS(SF_Output!$S$1:$S$400,SF_Output!$AC$1:$AC$400,_xlfn.TEXTJOIN(",",TRUE,B66:E66),SF_Output!$Q$1:$Q$400,"yearly")+SUMIFS(SF_Output!$S$1:$S$400,SF_Output!$AC$1:$AC$400,_xlfn.TEXTJOIN(",",TRUE,B66:E66),SF_Output!$Q$1:$Q$400,"quarterly")*4)</f>
        <v>0</v>
      </c>
      <c r="S66" s="112" t="str">
        <f>IF(OR(B66=0,B66="",G66="hardware",R66=0),"",IF(AF66&lt;&gt;"exclusion",MAX(S$9,-(SUMIFS(SF_Output!$T$1:$T$400,SF_Output!$AC$1:$AC$400,_xlfn.TEXTJOIN(",",TRUE,$B66:$E66),SF_Output!$Q$1:$Q$400,"yearly"))/R66),-((SUMIFS(SF_Output!$T$1:$T$400,SF_Output!$AC$1:$AC$400,_xlfn.TEXTJOIN(",",TRUE,$B66:$E66),SF_Output!$Q$1:$Q$400,"yearly")/R66))))</f>
        <v/>
      </c>
      <c r="T66" s="6">
        <f t="shared" si="3"/>
        <v>0</v>
      </c>
      <c r="V66" s="6" cm="1">
        <f t="array" ref="V66">_xlfn.IFS(B66="","",AND(B66&lt;&gt;"",H66=SF_Output!$Y$2,SUMIFS(SF_Output!$T$1:$T$400,SF_Output!$AC$1:$AC$400,_xlfn.TEXTJOIN(",",TRUE,B66:E66),SF_Output!$Q$1:$Q$400,"monthly")=0),(SUMIFS(SF_Output!$F$1:$F$400,SF_Output!$AC$1:$AC$400,_xlfn.TEXTJOIN(",",TRUE,B66:E66),SF_Output!$Q$1:$Q$400,"monthly")+SUMIFS(SF_Output!$G$1:$G$400,SF_Output!$AC$1:$AC$400,_xlfn.TEXTJOIN(",",TRUE,B66:E66),SF_Output!$Q$1:$Q$400,"monthly"))*H66,AND(B66&lt;&gt;"",H66=SF_Output!$Y$2,SUMIFS(SF_Output!$T$1:$T$400,SF_Output!$AC$1:$AC$400,_xlfn.TEXTJOIN(",",TRUE,B66:E66),SF_Output!$Q$1:$Q$400,"monthly")&lt;&gt;0),SUMIFS(SF_Output!$S$1:$S$400,SF_Output!$AC$1:$AC$400,_xlfn.TEXTJOIN(",",TRUE,B66:E66),SF_Output!$Q$1:$Q$400,"monthly"),AND(B66&lt;&gt;"",H66&lt;&gt;SF_Output!$Y$2),SUMIFS(SF_Output!$S$1:$S$400,SF_Output!$AC$1:$AC$400,_xlfn.TEXTJOIN(",",TRUE,B66:E66),SF_Output!$Q$1:$Q$400,"monthly"))</f>
        <v>920</v>
      </c>
      <c r="W66" s="112" cm="1">
        <f t="array" ref="W66">_xlfn.IFS(OR(B66=0,B66="",V66=0),"",AF66&lt;&gt;"exclusion",MAX($W$9,$W$7,(-(SUMIFS(SF_Output!$T$1:$T$400,SF_Output!$AC$1:$AC$400,_xlfn.TEXTJOIN(",",TRUE,$B66:$E66),SF_Output!$Q$1:$Q$400,"monthly"))/V66)),AF66="exclusion",-(SUMIFS(SF_Output!$T$1:$T$400,SF_Output!$AC$1:$AC$400,_xlfn.TEXTJOIN(",",TRUE,$B66:$E66),SF_Output!$Q$1:$Q$400,"monthly"))/V66)</f>
        <v>0</v>
      </c>
      <c r="X66" s="6" cm="1">
        <f t="array" ref="X66">IFERROR(_xlfn.IFS(V66=0,0,V66="","",W66=0,V66,OR(V66&lt;&gt;0,V66&lt;&gt;""),H66*I66),V66*(1-W66))</f>
        <v>920</v>
      </c>
    </row>
    <row r="67" spans="2:24" x14ac:dyDescent="0.25">
      <c r="B67" t="s">
        <v>1496</v>
      </c>
      <c r="C67" t="s">
        <v>2122</v>
      </c>
      <c r="D67" t="s">
        <v>2123</v>
      </c>
      <c r="E67" t="s">
        <v>2124</v>
      </c>
      <c r="F67" s="116" t="str">
        <f t="shared" si="0"/>
        <v>Included</v>
      </c>
      <c r="G67" t="str">
        <f>IF(B67="","",INDEX(SF_Output!$K$1:$K$400,MATCH(B67,SF_Output!$M$1:$M$400,0)))</f>
        <v>Synergy</v>
      </c>
      <c r="H67" cm="1">
        <f t="array" ref="H67">_xlfn.IFS(B67="","",(SUMIFS(SF_Output!$F$1:$F$400,SF_Output!$AC$1:$AC$400,_xlfn.TEXTJOIN(",",TRUE,B67:E67))+SUMIFS(SF_Output!$G$1:$G$400,SF_Output!$AC$1:$AC$400,_xlfn.TEXTJOIN(",",TRUE,B67:E67)))&lt;&gt;0,SF_Output!$Y$2,INDEX(SF_Output!$F$1:$F$400,MATCH(_xlfn.TEXTJOIN(",",TRUE,B67:E67),SF_Output!$AC$1:$AC$400,0))=0,INDEX(SF_Output!$R$1:$R$400,MATCH(_xlfn.TEXTJOIN(",",TRUE,B67:E67),SF_Output!$AC$1:$AC$400,0)))</f>
        <v>1</v>
      </c>
      <c r="I67" s="125" t="str">
        <f>IFERROR(IF(AND(H67&gt;1,H67&lt;&gt;""),ROUND(SUMIFS(SF_Output!$S$1:$S$400,SF_Output!$AC$1:$AC$400,_xlfn.TEXTJOIN(",",TRUE,B67:E67),SF_Output!$Q$1:$Q$400,"monthly")*(1-W67)/H67,4),""),"")</f>
        <v/>
      </c>
      <c r="J67" s="6">
        <f>IF(B67="","",SUMIFS(SF_Output!$S$1:$S$400,SF_Output!$AC$1:$AC$400,_xlfn.TEXTJOIN(",",TRUE,B67:E67),SF_Output!$Q$1:$Q$400,"One Time",SF_Output!$L$1:$L$400,"license fee")+SUMIFS(SF_Output!$S$1:$S$400,SF_Output!$AC$1:$AC$400,_xlfn.TEXTJOIN(",",TRUE,B67:E67),SF_Output!$Q$1:$Q$400,"One Time",SF_Output!$L$1:$L$400,"software license")+SUMIFS(SF_Output!$S$1:$S$400,SF_Output!$AC$1:$AC$400,_xlfn.TEXTJOIN(",",TRUE,B67:E67),SF_Output!$Q$1:$Q$400,"One Time",SF_Output!$L$1:$L$400,"hardware"))</f>
        <v>0</v>
      </c>
      <c r="K67" s="112" t="str">
        <f>IF(OR(B67=0,B67="",G67="hardware",J67=0),"",IF(AF67&lt;&gt;"exclusion",MAX(K$9,-((SUMIFS(SF_Output!$T$1:$T$400,SF_Output!$AC$1:$AC$400,_xlfn.TEXTJOIN(",",TRUE,$B67:$E67),SF_Output!$Q$1:$Q$400,"One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license"))/J67)),-((SUMIFS(SF_Output!$T$1:$T$400,SF_Output!$AC$1:$AC$400,_xlfn.TEXTJOIN(",",TRUE,$B67:$E67),SF_Output!$Q$1:$Q$400,"One Time",SF_Output!$L$1:$L$400,"license fee")+SUMIFS(SF_Output!$T$1:$T$400,SF_Output!$AC$1:$AC$400,_xlfn.TEXTJOIN(",",TRUE,$B67:$E67),SF_Output!$Q$1:$Q$400,"One Time",SF_Output!$L$1:$L$400,"software license"))/J67)))</f>
        <v/>
      </c>
      <c r="L67" s="6">
        <f t="shared" si="1"/>
        <v>0</v>
      </c>
      <c r="N67" s="6">
        <f>IF(B67="","",SUMIFS(SF_Output!$S$1:$S$400,SF_Output!$AC$1:$AC$400,_xlfn.TEXTJOIN(",",TRUE,B67:E67),SF_Output!$Q$1:$Q$400,"One Time",SF_Output!$L$1:$L$400,"professional service"))</f>
        <v>2600</v>
      </c>
      <c r="O67" s="112">
        <f>IF(OR(B67=0,B67="",N67=0),"",IF(AF67&lt;&gt;"exclusion",MAX(O$9,-(SUMIFS(SF_Output!$T$1:$T$400,SF_Output!$AC$1:$AC$400,_xlfn.TEXTJOIN(",",TRUE,$B67:$E67),SF_Output!$Q$1:$Q$400,"One Time",SF_Output!$L$1:$L$400,"professional service"))/N67),-((SUMIFS(SF_Output!$T$1:$T$400,SF_Output!$AC$1:$AC$400,_xlfn.TEXTJOIN(",",TRUE,$B67:$E67),SF_Output!$Q$1:$Q$400,"One Time",SF_Output!$L$1:$L$400,"professional service")/N67))))</f>
        <v>0</v>
      </c>
      <c r="P67" s="6">
        <f t="shared" si="2"/>
        <v>2600</v>
      </c>
      <c r="R67" s="6">
        <f>IF(B67="","",SUMIFS(SF_Output!$S$1:$S$400,SF_Output!$AC$1:$AC$400,_xlfn.TEXTJOIN(",",TRUE,B67:E67),SF_Output!$Q$1:$Q$400,"yearly")+SUMIFS(SF_Output!$S$1:$S$400,SF_Output!$AC$1:$AC$400,_xlfn.TEXTJOIN(",",TRUE,B67:E67),SF_Output!$Q$1:$Q$400,"quarterly")*4)</f>
        <v>0</v>
      </c>
      <c r="S67" s="112" t="str">
        <f>IF(OR(B67=0,B67="",G67="hardware",R67=0),"",IF(AF67&lt;&gt;"exclusion",MAX(S$9,-(SUMIFS(SF_Output!$T$1:$T$400,SF_Output!$AC$1:$AC$400,_xlfn.TEXTJOIN(",",TRUE,$B67:$E67),SF_Output!$Q$1:$Q$400,"yearly"))/R67),-((SUMIFS(SF_Output!$T$1:$T$400,SF_Output!$AC$1:$AC$400,_xlfn.TEXTJOIN(",",TRUE,$B67:$E67),SF_Output!$Q$1:$Q$400,"yearly")/R67))))</f>
        <v/>
      </c>
      <c r="T67" s="6">
        <f t="shared" si="3"/>
        <v>0</v>
      </c>
      <c r="V67" s="6" cm="1">
        <f t="array" ref="V67">_xlfn.IFS(B67="","",AND(B67&lt;&gt;"",H67=SF_Output!$Y$2,SUMIFS(SF_Output!$T$1:$T$400,SF_Output!$AC$1:$AC$400,_xlfn.TEXTJOIN(",",TRUE,B67:E67),SF_Output!$Q$1:$Q$400,"monthly")=0),(SUMIFS(SF_Output!$F$1:$F$400,SF_Output!$AC$1:$AC$400,_xlfn.TEXTJOIN(",",TRUE,B67:E67),SF_Output!$Q$1:$Q$400,"monthly")+SUMIFS(SF_Output!$G$1:$G$400,SF_Output!$AC$1:$AC$400,_xlfn.TEXTJOIN(",",TRUE,B67:E67),SF_Output!$Q$1:$Q$400,"monthly"))*H67,AND(B67&lt;&gt;"",H67=SF_Output!$Y$2,SUMIFS(SF_Output!$T$1:$T$400,SF_Output!$AC$1:$AC$400,_xlfn.TEXTJOIN(",",TRUE,B67:E67),SF_Output!$Q$1:$Q$400,"monthly")&lt;&gt;0),SUMIFS(SF_Output!$S$1:$S$400,SF_Output!$AC$1:$AC$400,_xlfn.TEXTJOIN(",",TRUE,B67:E67),SF_Output!$Q$1:$Q$400,"monthly"),AND(B67&lt;&gt;"",H67&lt;&gt;SF_Output!$Y$2),SUMIFS(SF_Output!$S$1:$S$400,SF_Output!$AC$1:$AC$400,_xlfn.TEXTJOIN(",",TRUE,B67:E67),SF_Output!$Q$1:$Q$400,"monthly"))</f>
        <v>0</v>
      </c>
      <c r="W67" s="112" t="str" cm="1">
        <f t="array" ref="W67">_xlfn.IFS(OR(B67=0,B67="",V67=0),"",AF67&lt;&gt;"exclusion",MAX($W$9,$W$7,(-(SUMIFS(SF_Output!$T$1:$T$400,SF_Output!$AC$1:$AC$400,_xlfn.TEXTJOIN(",",TRUE,$B67:$E67),SF_Output!$Q$1:$Q$400,"monthly"))/V67)),AF67="exclusion",-(SUMIFS(SF_Output!$T$1:$T$400,SF_Output!$AC$1:$AC$400,_xlfn.TEXTJOIN(",",TRUE,$B67:$E67),SF_Output!$Q$1:$Q$400,"monthly"))/V67)</f>
        <v/>
      </c>
      <c r="X67" s="6" cm="1">
        <f t="array" ref="X67">IFERROR(_xlfn.IFS(V67=0,0,V67="","",W67=0,V67,OR(V67&lt;&gt;0,V67&lt;&gt;""),H67*I67),V67*(1-W67))</f>
        <v>0</v>
      </c>
    </row>
    <row r="68" spans="2:24" x14ac:dyDescent="0.25">
      <c r="B68" t="s">
        <v>1500</v>
      </c>
      <c r="C68" t="s">
        <v>2122</v>
      </c>
      <c r="D68" t="s">
        <v>2123</v>
      </c>
      <c r="E68" t="s">
        <v>2124</v>
      </c>
      <c r="F68" s="116" t="str">
        <f t="shared" si="0"/>
        <v>Included</v>
      </c>
      <c r="G68" t="str">
        <f>IF(B68="","",INDEX(SF_Output!$K$1:$K$400,MATCH(B68,SF_Output!$M$1:$M$400,0)))</f>
        <v>Synergy</v>
      </c>
      <c r="H68" cm="1">
        <f t="array" ref="H68">_xlfn.IFS(B68="","",(SUMIFS(SF_Output!$F$1:$F$400,SF_Output!$AC$1:$AC$400,_xlfn.TEXTJOIN(",",TRUE,B68:E68))+SUMIFS(SF_Output!$G$1:$G$400,SF_Output!$AC$1:$AC$400,_xlfn.TEXTJOIN(",",TRUE,B68:E68)))&lt;&gt;0,SF_Output!$Y$2,INDEX(SF_Output!$F$1:$F$400,MATCH(_xlfn.TEXTJOIN(",",TRUE,B68:E68),SF_Output!$AC$1:$AC$400,0))=0,INDEX(SF_Output!$R$1:$R$400,MATCH(_xlfn.TEXTJOIN(",",TRUE,B68:E68),SF_Output!$AC$1:$AC$400,0)))</f>
        <v>1</v>
      </c>
      <c r="I68" s="125" t="str">
        <f>IFERROR(IF(AND(H68&gt;1,H68&lt;&gt;""),ROUND(SUMIFS(SF_Output!$S$1:$S$400,SF_Output!$AC$1:$AC$400,_xlfn.TEXTJOIN(",",TRUE,B68:E68),SF_Output!$Q$1:$Q$400,"monthly")*(1-W68)/H68,4),""),"")</f>
        <v/>
      </c>
      <c r="J68" s="6">
        <f>IF(B68="","",SUMIFS(SF_Output!$S$1:$S$400,SF_Output!$AC$1:$AC$400,_xlfn.TEXTJOIN(",",TRUE,B68:E68),SF_Output!$Q$1:$Q$400,"One Time",SF_Output!$L$1:$L$400,"license fee")+SUMIFS(SF_Output!$S$1:$S$400,SF_Output!$AC$1:$AC$400,_xlfn.TEXTJOIN(",",TRUE,B68:E68),SF_Output!$Q$1:$Q$400,"One Time",SF_Output!$L$1:$L$400,"software license")+SUMIFS(SF_Output!$S$1:$S$400,SF_Output!$AC$1:$AC$400,_xlfn.TEXTJOIN(",",TRUE,B68:E68),SF_Output!$Q$1:$Q$400,"One Time",SF_Output!$L$1:$L$400,"hardware"))</f>
        <v>0</v>
      </c>
      <c r="K68" s="112" t="str">
        <f>IF(OR(B68=0,B68="",G68="hardware",J68=0),"",IF(AF68&lt;&gt;"exclusion",MAX(K$9,-((SUMIFS(SF_Output!$T$1:$T$400,SF_Output!$AC$1:$AC$400,_xlfn.TEXTJOIN(",",TRUE,$B68:$E68),SF_Output!$Q$1:$Q$400,"One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license"))/J68)),-((SUMIFS(SF_Output!$T$1:$T$400,SF_Output!$AC$1:$AC$400,_xlfn.TEXTJOIN(",",TRUE,$B68:$E68),SF_Output!$Q$1:$Q$400,"One Time",SF_Output!$L$1:$L$400,"license fee")+SUMIFS(SF_Output!$T$1:$T$400,SF_Output!$AC$1:$AC$400,_xlfn.TEXTJOIN(",",TRUE,$B68:$E68),SF_Output!$Q$1:$Q$400,"One Time",SF_Output!$L$1:$L$400,"software license"))/J68)))</f>
        <v/>
      </c>
      <c r="L68" s="6">
        <f t="shared" si="1"/>
        <v>0</v>
      </c>
      <c r="N68" s="6">
        <f>IF(B68="","",SUMIFS(SF_Output!$S$1:$S$400,SF_Output!$AC$1:$AC$400,_xlfn.TEXTJOIN(",",TRUE,B68:E68),SF_Output!$Q$1:$Q$400,"One Time",SF_Output!$L$1:$L$400,"professional service"))</f>
        <v>3250</v>
      </c>
      <c r="O68" s="112">
        <f>IF(OR(B68=0,B68="",N68=0),"",IF(AF68&lt;&gt;"exclusion",MAX(O$9,-(SUMIFS(SF_Output!$T$1:$T$400,SF_Output!$AC$1:$AC$400,_xlfn.TEXTJOIN(",",TRUE,$B68:$E68),SF_Output!$Q$1:$Q$400,"One Time",SF_Output!$L$1:$L$400,"professional service"))/N68),-((SUMIFS(SF_Output!$T$1:$T$400,SF_Output!$AC$1:$AC$400,_xlfn.TEXTJOIN(",",TRUE,$B68:$E68),SF_Output!$Q$1:$Q$400,"One Time",SF_Output!$L$1:$L$400,"professional service")/N68))))</f>
        <v>0</v>
      </c>
      <c r="P68" s="6">
        <f t="shared" si="2"/>
        <v>3250</v>
      </c>
      <c r="R68" s="6">
        <f>IF(B68="","",SUMIFS(SF_Output!$S$1:$S$400,SF_Output!$AC$1:$AC$400,_xlfn.TEXTJOIN(",",TRUE,B68:E68),SF_Output!$Q$1:$Q$400,"yearly")+SUMIFS(SF_Output!$S$1:$S$400,SF_Output!$AC$1:$AC$400,_xlfn.TEXTJOIN(",",TRUE,B68:E68),SF_Output!$Q$1:$Q$400,"quarterly")*4)</f>
        <v>0</v>
      </c>
      <c r="S68" s="112" t="str">
        <f>IF(OR(B68=0,B68="",G68="hardware",R68=0),"",IF(AF68&lt;&gt;"exclusion",MAX(S$9,-(SUMIFS(SF_Output!$T$1:$T$400,SF_Output!$AC$1:$AC$400,_xlfn.TEXTJOIN(",",TRUE,$B68:$E68),SF_Output!$Q$1:$Q$400,"yearly"))/R68),-((SUMIFS(SF_Output!$T$1:$T$400,SF_Output!$AC$1:$AC$400,_xlfn.TEXTJOIN(",",TRUE,$B68:$E68),SF_Output!$Q$1:$Q$400,"yearly")/R68))))</f>
        <v/>
      </c>
      <c r="T68" s="6">
        <f t="shared" si="3"/>
        <v>0</v>
      </c>
      <c r="V68" s="6" cm="1">
        <f t="array" ref="V68">_xlfn.IFS(B68="","",AND(B68&lt;&gt;"",H68=SF_Output!$Y$2,SUMIFS(SF_Output!$T$1:$T$400,SF_Output!$AC$1:$AC$400,_xlfn.TEXTJOIN(",",TRUE,B68:E68),SF_Output!$Q$1:$Q$400,"monthly")=0),(SUMIFS(SF_Output!$F$1:$F$400,SF_Output!$AC$1:$AC$400,_xlfn.TEXTJOIN(",",TRUE,B68:E68),SF_Output!$Q$1:$Q$400,"monthly")+SUMIFS(SF_Output!$G$1:$G$400,SF_Output!$AC$1:$AC$400,_xlfn.TEXTJOIN(",",TRUE,B68:E68),SF_Output!$Q$1:$Q$400,"monthly"))*H68,AND(B68&lt;&gt;"",H68=SF_Output!$Y$2,SUMIFS(SF_Output!$T$1:$T$400,SF_Output!$AC$1:$AC$400,_xlfn.TEXTJOIN(",",TRUE,B68:E68),SF_Output!$Q$1:$Q$400,"monthly")&lt;&gt;0),SUMIFS(SF_Output!$S$1:$S$400,SF_Output!$AC$1:$AC$400,_xlfn.TEXTJOIN(",",TRUE,B68:E68),SF_Output!$Q$1:$Q$400,"monthly"),AND(B68&lt;&gt;"",H68&lt;&gt;SF_Output!$Y$2),SUMIFS(SF_Output!$S$1:$S$400,SF_Output!$AC$1:$AC$400,_xlfn.TEXTJOIN(",",TRUE,B68:E68),SF_Output!$Q$1:$Q$400,"monthly"))</f>
        <v>0</v>
      </c>
      <c r="W68" s="112" t="str" cm="1">
        <f t="array" ref="W68">_xlfn.IFS(OR(B68=0,B68="",V68=0),"",AF68&lt;&gt;"exclusion",MAX($W$9,$W$7,(-(SUMIFS(SF_Output!$T$1:$T$400,SF_Output!$AC$1:$AC$400,_xlfn.TEXTJOIN(",",TRUE,$B68:$E68),SF_Output!$Q$1:$Q$400,"monthly"))/V68)),AF68="exclusion",-(SUMIFS(SF_Output!$T$1:$T$400,SF_Output!$AC$1:$AC$400,_xlfn.TEXTJOIN(",",TRUE,$B68:$E68),SF_Output!$Q$1:$Q$400,"monthly"))/V68)</f>
        <v/>
      </c>
      <c r="X68" s="6" cm="1">
        <f t="array" ref="X68">IFERROR(_xlfn.IFS(V68=0,0,V68="","",W68=0,V68,OR(V68&lt;&gt;0,V68&lt;&gt;""),H68*I68),V68*(1-W68))</f>
        <v>0</v>
      </c>
    </row>
    <row r="69" spans="2:24" x14ac:dyDescent="0.25">
      <c r="B69" t="s">
        <v>1506</v>
      </c>
      <c r="C69" t="s">
        <v>2122</v>
      </c>
      <c r="D69" t="s">
        <v>2123</v>
      </c>
      <c r="E69" t="s">
        <v>2124</v>
      </c>
      <c r="F69" s="116" t="str">
        <f t="shared" si="0"/>
        <v>Included</v>
      </c>
      <c r="G69" t="str">
        <f>IF(B69="","",INDEX(SF_Output!$K$1:$K$400,MATCH(B69,SF_Output!$M$1:$M$400,0)))</f>
        <v>Synergy</v>
      </c>
      <c r="H69" cm="1">
        <f t="array" ref="H69">_xlfn.IFS(B69="","",(SUMIFS(SF_Output!$F$1:$F$400,SF_Output!$AC$1:$AC$400,_xlfn.TEXTJOIN(",",TRUE,B69:E69))+SUMIFS(SF_Output!$G$1:$G$400,SF_Output!$AC$1:$AC$400,_xlfn.TEXTJOIN(",",TRUE,B69:E69)))&lt;&gt;0,SF_Output!$Y$2,INDEX(SF_Output!$F$1:$F$400,MATCH(_xlfn.TEXTJOIN(",",TRUE,B69:E69),SF_Output!$AC$1:$AC$400,0))=0,INDEX(SF_Output!$R$1:$R$400,MATCH(_xlfn.TEXTJOIN(",",TRUE,B69:E69),SF_Output!$AC$1:$AC$400,0)))</f>
        <v>1</v>
      </c>
      <c r="I69" s="125" t="str">
        <f>IFERROR(IF(AND(H69&gt;1,H69&lt;&gt;""),ROUND(SUMIFS(SF_Output!$S$1:$S$400,SF_Output!$AC$1:$AC$400,_xlfn.TEXTJOIN(",",TRUE,B69:E69),SF_Output!$Q$1:$Q$400,"monthly")*(1-W69)/H69,4),""),"")</f>
        <v/>
      </c>
      <c r="J69" s="6">
        <f>IF(B69="","",SUMIFS(SF_Output!$S$1:$S$400,SF_Output!$AC$1:$AC$400,_xlfn.TEXTJOIN(",",TRUE,B69:E69),SF_Output!$Q$1:$Q$400,"One Time",SF_Output!$L$1:$L$400,"license fee")+SUMIFS(SF_Output!$S$1:$S$400,SF_Output!$AC$1:$AC$400,_xlfn.TEXTJOIN(",",TRUE,B69:E69),SF_Output!$Q$1:$Q$400,"One Time",SF_Output!$L$1:$L$400,"software license")+SUMIFS(SF_Output!$S$1:$S$400,SF_Output!$AC$1:$AC$400,_xlfn.TEXTJOIN(",",TRUE,B69:E69),SF_Output!$Q$1:$Q$400,"One Time",SF_Output!$L$1:$L$400,"hardware"))</f>
        <v>0</v>
      </c>
      <c r="K69" s="112" t="str">
        <f>IF(OR(B69=0,B69="",G69="hardware",J69=0),"",IF(AF69&lt;&gt;"exclusion",MAX(K$9,-((SUMIFS(SF_Output!$T$1:$T$400,SF_Output!$AC$1:$AC$400,_xlfn.TEXTJOIN(",",TRUE,$B69:$E69),SF_Output!$Q$1:$Q$400,"One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license"))/J69)),-((SUMIFS(SF_Output!$T$1:$T$400,SF_Output!$AC$1:$AC$400,_xlfn.TEXTJOIN(",",TRUE,$B69:$E69),SF_Output!$Q$1:$Q$400,"One Time",SF_Output!$L$1:$L$400,"license fee")+SUMIFS(SF_Output!$T$1:$T$400,SF_Output!$AC$1:$AC$400,_xlfn.TEXTJOIN(",",TRUE,$B69:$E69),SF_Output!$Q$1:$Q$400,"One Time",SF_Output!$L$1:$L$400,"software license"))/J69)))</f>
        <v/>
      </c>
      <c r="L69" s="6">
        <f t="shared" si="1"/>
        <v>0</v>
      </c>
      <c r="N69" s="6">
        <f>IF(B69="","",SUMIFS(SF_Output!$S$1:$S$400,SF_Output!$AC$1:$AC$400,_xlfn.TEXTJOIN(",",TRUE,B69:E69),SF_Output!$Q$1:$Q$400,"One Time",SF_Output!$L$1:$L$400,"professional service"))</f>
        <v>1150</v>
      </c>
      <c r="O69" s="112">
        <f>IF(OR(B69=0,B69="",N69=0),"",IF(AF69&lt;&gt;"exclusion",MAX(O$9,-(SUMIFS(SF_Output!$T$1:$T$400,SF_Output!$AC$1:$AC$400,_xlfn.TEXTJOIN(",",TRUE,$B69:$E69),SF_Output!$Q$1:$Q$400,"One Time",SF_Output!$L$1:$L$400,"professional service"))/N69),-((SUMIFS(SF_Output!$T$1:$T$400,SF_Output!$AC$1:$AC$400,_xlfn.TEXTJOIN(",",TRUE,$B69:$E69),SF_Output!$Q$1:$Q$400,"One Time",SF_Output!$L$1:$L$400,"professional service")/N69))))</f>
        <v>0</v>
      </c>
      <c r="P69" s="6">
        <f t="shared" si="2"/>
        <v>1150</v>
      </c>
      <c r="R69" s="6">
        <f>IF(B69="","",SUMIFS(SF_Output!$S$1:$S$400,SF_Output!$AC$1:$AC$400,_xlfn.TEXTJOIN(",",TRUE,B69:E69),SF_Output!$Q$1:$Q$400,"yearly")+SUMIFS(SF_Output!$S$1:$S$400,SF_Output!$AC$1:$AC$400,_xlfn.TEXTJOIN(",",TRUE,B69:E69),SF_Output!$Q$1:$Q$400,"quarterly")*4)</f>
        <v>0</v>
      </c>
      <c r="S69" s="112" t="str">
        <f>IF(OR(B69=0,B69="",G69="hardware",R69=0),"",IF(AF69&lt;&gt;"exclusion",MAX(S$9,-(SUMIFS(SF_Output!$T$1:$T$400,SF_Output!$AC$1:$AC$400,_xlfn.TEXTJOIN(",",TRUE,$B69:$E69),SF_Output!$Q$1:$Q$400,"yearly"))/R69),-((SUMIFS(SF_Output!$T$1:$T$400,SF_Output!$AC$1:$AC$400,_xlfn.TEXTJOIN(",",TRUE,$B69:$E69),SF_Output!$Q$1:$Q$400,"yearly")/R69))))</f>
        <v/>
      </c>
      <c r="T69" s="6">
        <f t="shared" si="3"/>
        <v>0</v>
      </c>
      <c r="V69" s="6" cm="1">
        <f t="array" ref="V69">_xlfn.IFS(B69="","",AND(B69&lt;&gt;"",H69=SF_Output!$Y$2,SUMIFS(SF_Output!$T$1:$T$400,SF_Output!$AC$1:$AC$400,_xlfn.TEXTJOIN(",",TRUE,B69:E69),SF_Output!$Q$1:$Q$400,"monthly")=0),(SUMIFS(SF_Output!$F$1:$F$400,SF_Output!$AC$1:$AC$400,_xlfn.TEXTJOIN(",",TRUE,B69:E69),SF_Output!$Q$1:$Q$400,"monthly")+SUMIFS(SF_Output!$G$1:$G$400,SF_Output!$AC$1:$AC$400,_xlfn.TEXTJOIN(",",TRUE,B69:E69),SF_Output!$Q$1:$Q$400,"monthly"))*H69,AND(B69&lt;&gt;"",H69=SF_Output!$Y$2,SUMIFS(SF_Output!$T$1:$T$400,SF_Output!$AC$1:$AC$400,_xlfn.TEXTJOIN(",",TRUE,B69:E69),SF_Output!$Q$1:$Q$400,"monthly")&lt;&gt;0),SUMIFS(SF_Output!$S$1:$S$400,SF_Output!$AC$1:$AC$400,_xlfn.TEXTJOIN(",",TRUE,B69:E69),SF_Output!$Q$1:$Q$400,"monthly"),AND(B69&lt;&gt;"",H69&lt;&gt;SF_Output!$Y$2),SUMIFS(SF_Output!$S$1:$S$400,SF_Output!$AC$1:$AC$400,_xlfn.TEXTJOIN(",",TRUE,B69:E69),SF_Output!$Q$1:$Q$400,"monthly"))</f>
        <v>0</v>
      </c>
      <c r="W69" s="112" t="str" cm="1">
        <f t="array" ref="W69">_xlfn.IFS(OR(B69=0,B69="",V69=0),"",AF69&lt;&gt;"exclusion",MAX($W$9,$W$7,(-(SUMIFS(SF_Output!$T$1:$T$400,SF_Output!$AC$1:$AC$400,_xlfn.TEXTJOIN(",",TRUE,$B69:$E69),SF_Output!$Q$1:$Q$400,"monthly"))/V69)),AF69="exclusion",-(SUMIFS(SF_Output!$T$1:$T$400,SF_Output!$AC$1:$AC$400,_xlfn.TEXTJOIN(",",TRUE,$B69:$E69),SF_Output!$Q$1:$Q$400,"monthly"))/V69)</f>
        <v/>
      </c>
      <c r="X69" s="6" cm="1">
        <f t="array" ref="X69">IFERROR(_xlfn.IFS(V69=0,0,V69="","",W69=0,V69,OR(V69&lt;&gt;0,V69&lt;&gt;""),H69*I69),V69*(1-W69))</f>
        <v>0</v>
      </c>
    </row>
    <row r="70" spans="2:24" x14ac:dyDescent="0.25">
      <c r="B70" t="s">
        <v>1510</v>
      </c>
      <c r="C70" t="s">
        <v>2122</v>
      </c>
      <c r="D70" t="s">
        <v>2123</v>
      </c>
      <c r="E70" t="s">
        <v>2150</v>
      </c>
      <c r="F70" s="116" t="str">
        <f t="shared" si="0"/>
        <v>Optional</v>
      </c>
      <c r="G70" t="str">
        <f>IF(B70="","",INDEX(SF_Output!$K$1:$K$400,MATCH(B70,SF_Output!$M$1:$M$400,0)))</f>
        <v>Synergy</v>
      </c>
      <c r="H70" cm="1">
        <f t="array" ref="H70">_xlfn.IFS(B70="","",(SUMIFS(SF_Output!$F$1:$F$400,SF_Output!$AC$1:$AC$400,_xlfn.TEXTJOIN(",",TRUE,B70:E70))+SUMIFS(SF_Output!$G$1:$G$400,SF_Output!$AC$1:$AC$400,_xlfn.TEXTJOIN(",",TRUE,B70:E70)))&lt;&gt;0,SF_Output!$Y$2,INDEX(SF_Output!$F$1:$F$400,MATCH(_xlfn.TEXTJOIN(",",TRUE,B70:E70),SF_Output!$AC$1:$AC$400,0))=0,INDEX(SF_Output!$R$1:$R$400,MATCH(_xlfn.TEXTJOIN(",",TRUE,B70:E70),SF_Output!$AC$1:$AC$400,0)))</f>
        <v>1</v>
      </c>
      <c r="I70" s="125" t="str">
        <f>IFERROR(IF(AND(H70&gt;1,H70&lt;&gt;""),ROUND(SUMIFS(SF_Output!$S$1:$S$400,SF_Output!$AC$1:$AC$400,_xlfn.TEXTJOIN(",",TRUE,B70:E70),SF_Output!$Q$1:$Q$400,"monthly")*(1-W70)/H70,4),""),"")</f>
        <v/>
      </c>
      <c r="J70" s="6">
        <f>IF(B70="","",SUMIFS(SF_Output!$S$1:$S$400,SF_Output!$AC$1:$AC$400,_xlfn.TEXTJOIN(",",TRUE,B70:E70),SF_Output!$Q$1:$Q$400,"One Time",SF_Output!$L$1:$L$400,"license fee")+SUMIFS(SF_Output!$S$1:$S$400,SF_Output!$AC$1:$AC$400,_xlfn.TEXTJOIN(",",TRUE,B70:E70),SF_Output!$Q$1:$Q$400,"One Time",SF_Output!$L$1:$L$400,"software license")+SUMIFS(SF_Output!$S$1:$S$400,SF_Output!$AC$1:$AC$400,_xlfn.TEXTJOIN(",",TRUE,B70:E70),SF_Output!$Q$1:$Q$400,"One Time",SF_Output!$L$1:$L$400,"hardware"))</f>
        <v>0</v>
      </c>
      <c r="K70" s="112" t="str">
        <f>IF(OR(B70=0,B70="",G70="hardware",J70=0),"",IF(AF70&lt;&gt;"exclusion",MAX(K$9,-((SUMIFS(SF_Output!$T$1:$T$400,SF_Output!$AC$1:$AC$400,_xlfn.TEXTJOIN(",",TRUE,$B70:$E70),SF_Output!$Q$1:$Q$400,"One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license"))/J70)),-((SUMIFS(SF_Output!$T$1:$T$400,SF_Output!$AC$1:$AC$400,_xlfn.TEXTJOIN(",",TRUE,$B70:$E70),SF_Output!$Q$1:$Q$400,"One Time",SF_Output!$L$1:$L$400,"license fee")+SUMIFS(SF_Output!$T$1:$T$400,SF_Output!$AC$1:$AC$400,_xlfn.TEXTJOIN(",",TRUE,$B70:$E70),SF_Output!$Q$1:$Q$400,"One Time",SF_Output!$L$1:$L$400,"software license"))/J70)))</f>
        <v/>
      </c>
      <c r="L70" s="6">
        <f t="shared" si="1"/>
        <v>0</v>
      </c>
      <c r="N70" s="6">
        <f>IF(B70="","",SUMIFS(SF_Output!$S$1:$S$400,SF_Output!$AC$1:$AC$400,_xlfn.TEXTJOIN(",",TRUE,B70:E70),SF_Output!$Q$1:$Q$400,"One Time",SF_Output!$L$1:$L$400,"professional service"))</f>
        <v>450</v>
      </c>
      <c r="O70" s="112">
        <f>IF(OR(B70=0,B70="",N70=0),"",IF(AF70&lt;&gt;"exclusion",MAX(O$9,-(SUMIFS(SF_Output!$T$1:$T$400,SF_Output!$AC$1:$AC$400,_xlfn.TEXTJOIN(",",TRUE,$B70:$E70),SF_Output!$Q$1:$Q$400,"One Time",SF_Output!$L$1:$L$400,"professional service"))/N70),-((SUMIFS(SF_Output!$T$1:$T$400,SF_Output!$AC$1:$AC$400,_xlfn.TEXTJOIN(",",TRUE,$B70:$E70),SF_Output!$Q$1:$Q$400,"One Time",SF_Output!$L$1:$L$400,"professional service")/N70))))</f>
        <v>0</v>
      </c>
      <c r="P70" s="6">
        <f t="shared" si="2"/>
        <v>450</v>
      </c>
      <c r="R70" s="6">
        <f>IF(B70="","",SUMIFS(SF_Output!$S$1:$S$400,SF_Output!$AC$1:$AC$400,_xlfn.TEXTJOIN(",",TRUE,B70:E70),SF_Output!$Q$1:$Q$400,"yearly")+SUMIFS(SF_Output!$S$1:$S$400,SF_Output!$AC$1:$AC$400,_xlfn.TEXTJOIN(",",TRUE,B70:E70),SF_Output!$Q$1:$Q$400,"quarterly")*4)</f>
        <v>0</v>
      </c>
      <c r="S70" s="112" t="str">
        <f>IF(OR(B70=0,B70="",G70="hardware",R70=0),"",IF(AF70&lt;&gt;"exclusion",MAX(S$9,-(SUMIFS(SF_Output!$T$1:$T$400,SF_Output!$AC$1:$AC$400,_xlfn.TEXTJOIN(",",TRUE,$B70:$E70),SF_Output!$Q$1:$Q$400,"yearly"))/R70),-((SUMIFS(SF_Output!$T$1:$T$400,SF_Output!$AC$1:$AC$400,_xlfn.TEXTJOIN(",",TRUE,$B70:$E70),SF_Output!$Q$1:$Q$400,"yearly")/R70))))</f>
        <v/>
      </c>
      <c r="T70" s="6">
        <f t="shared" si="3"/>
        <v>0</v>
      </c>
      <c r="V70" s="6" cm="1">
        <f t="array" ref="V70">_xlfn.IFS(B70="","",AND(B70&lt;&gt;"",H70=SF_Output!$Y$2,SUMIFS(SF_Output!$T$1:$T$400,SF_Output!$AC$1:$AC$400,_xlfn.TEXTJOIN(",",TRUE,B70:E70),SF_Output!$Q$1:$Q$400,"monthly")=0),(SUMIFS(SF_Output!$F$1:$F$400,SF_Output!$AC$1:$AC$400,_xlfn.TEXTJOIN(",",TRUE,B70:E70),SF_Output!$Q$1:$Q$400,"monthly")+SUMIFS(SF_Output!$G$1:$G$400,SF_Output!$AC$1:$AC$400,_xlfn.TEXTJOIN(",",TRUE,B70:E70),SF_Output!$Q$1:$Q$400,"monthly"))*H70,AND(B70&lt;&gt;"",H70=SF_Output!$Y$2,SUMIFS(SF_Output!$T$1:$T$400,SF_Output!$AC$1:$AC$400,_xlfn.TEXTJOIN(",",TRUE,B70:E70),SF_Output!$Q$1:$Q$400,"monthly")&lt;&gt;0),SUMIFS(SF_Output!$S$1:$S$400,SF_Output!$AC$1:$AC$400,_xlfn.TEXTJOIN(",",TRUE,B70:E70),SF_Output!$Q$1:$Q$400,"monthly"),AND(B70&lt;&gt;"",H70&lt;&gt;SF_Output!$Y$2),SUMIFS(SF_Output!$S$1:$S$400,SF_Output!$AC$1:$AC$400,_xlfn.TEXTJOIN(",",TRUE,B70:E70),SF_Output!$Q$1:$Q$400,"monthly"))</f>
        <v>0</v>
      </c>
      <c r="W70" s="112" t="str" cm="1">
        <f t="array" ref="W70">_xlfn.IFS(OR(B70=0,B70="",V70=0),"",AF70&lt;&gt;"exclusion",MAX($W$9,$W$7,(-(SUMIFS(SF_Output!$T$1:$T$400,SF_Output!$AC$1:$AC$400,_xlfn.TEXTJOIN(",",TRUE,$B70:$E70),SF_Output!$Q$1:$Q$400,"monthly"))/V70)),AF70="exclusion",-(SUMIFS(SF_Output!$T$1:$T$400,SF_Output!$AC$1:$AC$400,_xlfn.TEXTJOIN(",",TRUE,$B70:$E70),SF_Output!$Q$1:$Q$400,"monthly"))/V70)</f>
        <v/>
      </c>
      <c r="X70" s="6" cm="1">
        <f t="array" ref="X70">IFERROR(_xlfn.IFS(V70=0,0,V70="","",W70=0,V70,OR(V70&lt;&gt;0,V70&lt;&gt;""),H70*I70),V70*(1-W70))</f>
        <v>0</v>
      </c>
    </row>
    <row r="71" spans="2:24" x14ac:dyDescent="0.25">
      <c r="B71" t="s">
        <v>1516</v>
      </c>
      <c r="C71" t="s">
        <v>2122</v>
      </c>
      <c r="D71" t="s">
        <v>2123</v>
      </c>
      <c r="E71" t="s">
        <v>2124</v>
      </c>
      <c r="F71" s="116" t="str">
        <f t="shared" si="0"/>
        <v>Included</v>
      </c>
      <c r="G71" t="str">
        <f>IF(B71="","",INDEX(SF_Output!$K$1:$K$400,MATCH(B71,SF_Output!$M$1:$M$400,0)))</f>
        <v>Synergy</v>
      </c>
      <c r="H71" cm="1">
        <f t="array" ref="H71">_xlfn.IFS(B71="","",(SUMIFS(SF_Output!$F$1:$F$400,SF_Output!$AC$1:$AC$400,_xlfn.TEXTJOIN(",",TRUE,B71:E71))+SUMIFS(SF_Output!$G$1:$G$400,SF_Output!$AC$1:$AC$400,_xlfn.TEXTJOIN(",",TRUE,B71:E71)))&lt;&gt;0,SF_Output!$Y$2,INDEX(SF_Output!$F$1:$F$400,MATCH(_xlfn.TEXTJOIN(",",TRUE,B71:E71),SF_Output!$AC$1:$AC$400,0))=0,INDEX(SF_Output!$R$1:$R$400,MATCH(_xlfn.TEXTJOIN(",",TRUE,B71:E71),SF_Output!$AC$1:$AC$400,0)))</f>
        <v>1</v>
      </c>
      <c r="I71" s="125" t="str">
        <f>IFERROR(IF(AND(H71&gt;1,H71&lt;&gt;""),ROUND(SUMIFS(SF_Output!$S$1:$S$400,SF_Output!$AC$1:$AC$400,_xlfn.TEXTJOIN(",",TRUE,B71:E71),SF_Output!$Q$1:$Q$400,"monthly")*(1-W71)/H71,4),""),"")</f>
        <v/>
      </c>
      <c r="J71" s="6">
        <f>IF(B71="","",SUMIFS(SF_Output!$S$1:$S$400,SF_Output!$AC$1:$AC$400,_xlfn.TEXTJOIN(",",TRUE,B71:E71),SF_Output!$Q$1:$Q$400,"One Time",SF_Output!$L$1:$L$400,"license fee")+SUMIFS(SF_Output!$S$1:$S$400,SF_Output!$AC$1:$AC$400,_xlfn.TEXTJOIN(",",TRUE,B71:E71),SF_Output!$Q$1:$Q$400,"One Time",SF_Output!$L$1:$L$400,"software license")+SUMIFS(SF_Output!$S$1:$S$400,SF_Output!$AC$1:$AC$400,_xlfn.TEXTJOIN(",",TRUE,B71:E71),SF_Output!$Q$1:$Q$400,"One Time",SF_Output!$L$1:$L$400,"hardware"))</f>
        <v>0</v>
      </c>
      <c r="K71" s="112" t="str">
        <f>IF(OR(B71=0,B71="",G71="hardware",J71=0),"",IF(AF71&lt;&gt;"exclusion",MAX(K$9,-((SUMIFS(SF_Output!$T$1:$T$400,SF_Output!$AC$1:$AC$400,_xlfn.TEXTJOIN(",",TRUE,$B71:$E71),SF_Output!$Q$1:$Q$400,"One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license"))/J71)),-((SUMIFS(SF_Output!$T$1:$T$400,SF_Output!$AC$1:$AC$400,_xlfn.TEXTJOIN(",",TRUE,$B71:$E71),SF_Output!$Q$1:$Q$400,"One Time",SF_Output!$L$1:$L$400,"license fee")+SUMIFS(SF_Output!$T$1:$T$400,SF_Output!$AC$1:$AC$400,_xlfn.TEXTJOIN(",",TRUE,$B71:$E71),SF_Output!$Q$1:$Q$400,"One Time",SF_Output!$L$1:$L$400,"software license"))/J71)))</f>
        <v/>
      </c>
      <c r="L71" s="6">
        <f t="shared" si="1"/>
        <v>0</v>
      </c>
      <c r="N71" s="6">
        <f>IF(B71="","",SUMIFS(SF_Output!$S$1:$S$400,SF_Output!$AC$1:$AC$400,_xlfn.TEXTJOIN(",",TRUE,B71:E71),SF_Output!$Q$1:$Q$400,"One Time",SF_Output!$L$1:$L$400,"professional service"))</f>
        <v>1900</v>
      </c>
      <c r="O71" s="112">
        <f>IF(OR(B71=0,B71="",N71=0),"",IF(AF71&lt;&gt;"exclusion",MAX(O$9,-(SUMIFS(SF_Output!$T$1:$T$400,SF_Output!$AC$1:$AC$400,_xlfn.TEXTJOIN(",",TRUE,$B71:$E71),SF_Output!$Q$1:$Q$400,"One Time",SF_Output!$L$1:$L$400,"professional service"))/N71),-((SUMIFS(SF_Output!$T$1:$T$400,SF_Output!$AC$1:$AC$400,_xlfn.TEXTJOIN(",",TRUE,$B71:$E71),SF_Output!$Q$1:$Q$400,"One Time",SF_Output!$L$1:$L$400,"professional service")/N71))))</f>
        <v>0</v>
      </c>
      <c r="P71" s="6">
        <f t="shared" si="2"/>
        <v>1900</v>
      </c>
      <c r="R71" s="6">
        <f>IF(B71="","",SUMIFS(SF_Output!$S$1:$S$400,SF_Output!$AC$1:$AC$400,_xlfn.TEXTJOIN(",",TRUE,B71:E71),SF_Output!$Q$1:$Q$400,"yearly")+SUMIFS(SF_Output!$S$1:$S$400,SF_Output!$AC$1:$AC$400,_xlfn.TEXTJOIN(",",TRUE,B71:E71),SF_Output!$Q$1:$Q$400,"quarterly")*4)</f>
        <v>0</v>
      </c>
      <c r="S71" s="112" t="str">
        <f>IF(OR(B71=0,B71="",G71="hardware",R71=0),"",IF(AF71&lt;&gt;"exclusion",MAX(S$9,-(SUMIFS(SF_Output!$T$1:$T$400,SF_Output!$AC$1:$AC$400,_xlfn.TEXTJOIN(",",TRUE,$B71:$E71),SF_Output!$Q$1:$Q$400,"yearly"))/R71),-((SUMIFS(SF_Output!$T$1:$T$400,SF_Output!$AC$1:$AC$400,_xlfn.TEXTJOIN(",",TRUE,$B71:$E71),SF_Output!$Q$1:$Q$400,"yearly")/R71))))</f>
        <v/>
      </c>
      <c r="T71" s="6">
        <f t="shared" si="3"/>
        <v>0</v>
      </c>
      <c r="V71" s="6" cm="1">
        <f t="array" ref="V71">_xlfn.IFS(B71="","",AND(B71&lt;&gt;"",H71=SF_Output!$Y$2,SUMIFS(SF_Output!$T$1:$T$400,SF_Output!$AC$1:$AC$400,_xlfn.TEXTJOIN(",",TRUE,B71:E71),SF_Output!$Q$1:$Q$400,"monthly")=0),(SUMIFS(SF_Output!$F$1:$F$400,SF_Output!$AC$1:$AC$400,_xlfn.TEXTJOIN(",",TRUE,B71:E71),SF_Output!$Q$1:$Q$400,"monthly")+SUMIFS(SF_Output!$G$1:$G$400,SF_Output!$AC$1:$AC$400,_xlfn.TEXTJOIN(",",TRUE,B71:E71),SF_Output!$Q$1:$Q$400,"monthly"))*H71,AND(B71&lt;&gt;"",H71=SF_Output!$Y$2,SUMIFS(SF_Output!$T$1:$T$400,SF_Output!$AC$1:$AC$400,_xlfn.TEXTJOIN(",",TRUE,B71:E71),SF_Output!$Q$1:$Q$400,"monthly")&lt;&gt;0),SUMIFS(SF_Output!$S$1:$S$400,SF_Output!$AC$1:$AC$400,_xlfn.TEXTJOIN(",",TRUE,B71:E71),SF_Output!$Q$1:$Q$400,"monthly"),AND(B71&lt;&gt;"",H71&lt;&gt;SF_Output!$Y$2),SUMIFS(SF_Output!$S$1:$S$400,SF_Output!$AC$1:$AC$400,_xlfn.TEXTJOIN(",",TRUE,B71:E71),SF_Output!$Q$1:$Q$400,"monthly"))</f>
        <v>0</v>
      </c>
      <c r="W71" s="112" t="str" cm="1">
        <f t="array" ref="W71">_xlfn.IFS(OR(B71=0,B71="",V71=0),"",AF71&lt;&gt;"exclusion",MAX($W$9,$W$7,(-(SUMIFS(SF_Output!$T$1:$T$400,SF_Output!$AC$1:$AC$400,_xlfn.TEXTJOIN(",",TRUE,$B71:$E71),SF_Output!$Q$1:$Q$400,"monthly"))/V71)),AF71="exclusion",-(SUMIFS(SF_Output!$T$1:$T$400,SF_Output!$AC$1:$AC$400,_xlfn.TEXTJOIN(",",TRUE,$B71:$E71),SF_Output!$Q$1:$Q$400,"monthly"))/V71)</f>
        <v/>
      </c>
      <c r="X71" s="6" cm="1">
        <f t="array" ref="X71">IFERROR(_xlfn.IFS(V71=0,0,V71="","",W71=0,V71,OR(V71&lt;&gt;0,V71&lt;&gt;""),H71*I71),V71*(1-W71))</f>
        <v>0</v>
      </c>
    </row>
    <row r="72" spans="2:24" x14ac:dyDescent="0.25">
      <c r="B72" t="s">
        <v>1853</v>
      </c>
      <c r="C72" t="s">
        <v>2122</v>
      </c>
      <c r="D72" t="s">
        <v>2123</v>
      </c>
      <c r="E72" t="s">
        <v>2124</v>
      </c>
      <c r="F72" s="116" t="str">
        <f t="shared" si="0"/>
        <v>Included</v>
      </c>
      <c r="G72" t="str">
        <f>IF(B72="","",INDEX(SF_Output!$K$1:$K$400,MATCH(B72,SF_Output!$M$1:$M$400,0)))</f>
        <v>Synergy</v>
      </c>
      <c r="H72" cm="1">
        <f t="array" ref="H72">_xlfn.IFS(B72="","",(SUMIFS(SF_Output!$F$1:$F$400,SF_Output!$AC$1:$AC$400,_xlfn.TEXTJOIN(",",TRUE,B72:E72))+SUMIFS(SF_Output!$G$1:$G$400,SF_Output!$AC$1:$AC$400,_xlfn.TEXTJOIN(",",TRUE,B72:E72)))&lt;&gt;0,SF_Output!$Y$2,INDEX(SF_Output!$F$1:$F$400,MATCH(_xlfn.TEXTJOIN(",",TRUE,B72:E72),SF_Output!$AC$1:$AC$400,0))=0,INDEX(SF_Output!$R$1:$R$400,MATCH(_xlfn.TEXTJOIN(",",TRUE,B72:E72),SF_Output!$AC$1:$AC$400,0)))</f>
        <v>1</v>
      </c>
      <c r="I72" s="125" t="str">
        <f>IFERROR(IF(AND(H72&gt;1,H72&lt;&gt;""),ROUND(SUMIFS(SF_Output!$S$1:$S$400,SF_Output!$AC$1:$AC$400,_xlfn.TEXTJOIN(",",TRUE,B72:E72),SF_Output!$Q$1:$Q$400,"monthly")*(1-W72)/H72,4),""),"")</f>
        <v/>
      </c>
      <c r="J72" s="6">
        <f>IF(B72="","",SUMIFS(SF_Output!$S$1:$S$400,SF_Output!$AC$1:$AC$400,_xlfn.TEXTJOIN(",",TRUE,B72:E72),SF_Output!$Q$1:$Q$400,"One Time",SF_Output!$L$1:$L$400,"license fee")+SUMIFS(SF_Output!$S$1:$S$400,SF_Output!$AC$1:$AC$400,_xlfn.TEXTJOIN(",",TRUE,B72:E72),SF_Output!$Q$1:$Q$400,"One Time",SF_Output!$L$1:$L$400,"software license")+SUMIFS(SF_Output!$S$1:$S$400,SF_Output!$AC$1:$AC$400,_xlfn.TEXTJOIN(",",TRUE,B72:E72),SF_Output!$Q$1:$Q$400,"One Time",SF_Output!$L$1:$L$400,"hardware"))</f>
        <v>0</v>
      </c>
      <c r="K72" s="112" t="str">
        <f>IF(OR(B72=0,B72="",G72="hardware",J72=0),"",IF(AF72&lt;&gt;"exclusion",MAX(K$9,-((SUMIFS(SF_Output!$T$1:$T$400,SF_Output!$AC$1:$AC$400,_xlfn.TEXTJOIN(",",TRUE,$B72:$E72),SF_Output!$Q$1:$Q$400,"One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license"))/J72)),-((SUMIFS(SF_Output!$T$1:$T$400,SF_Output!$AC$1:$AC$400,_xlfn.TEXTJOIN(",",TRUE,$B72:$E72),SF_Output!$Q$1:$Q$400,"One Time",SF_Output!$L$1:$L$400,"license fee")+SUMIFS(SF_Output!$T$1:$T$400,SF_Output!$AC$1:$AC$400,_xlfn.TEXTJOIN(",",TRUE,$B72:$E72),SF_Output!$Q$1:$Q$400,"One Time",SF_Output!$L$1:$L$400,"software license"))/J72)))</f>
        <v/>
      </c>
      <c r="L72" s="6">
        <f t="shared" si="1"/>
        <v>0</v>
      </c>
      <c r="N72" s="6">
        <f>IF(B72="","",SUMIFS(SF_Output!$S$1:$S$400,SF_Output!$AC$1:$AC$400,_xlfn.TEXTJOIN(",",TRUE,B72:E72),SF_Output!$Q$1:$Q$400,"One Time",SF_Output!$L$1:$L$400,"professional service"))</f>
        <v>5200</v>
      </c>
      <c r="O72" s="112">
        <f>IF(OR(B72=0,B72="",N72=0),"",IF(AF72&lt;&gt;"exclusion",MAX(O$9,-(SUMIFS(SF_Output!$T$1:$T$400,SF_Output!$AC$1:$AC$400,_xlfn.TEXTJOIN(",",TRUE,$B72:$E72),SF_Output!$Q$1:$Q$400,"One Time",SF_Output!$L$1:$L$400,"professional service"))/N72),-((SUMIFS(SF_Output!$T$1:$T$400,SF_Output!$AC$1:$AC$400,_xlfn.TEXTJOIN(",",TRUE,$B72:$E72),SF_Output!$Q$1:$Q$400,"One Time",SF_Output!$L$1:$L$400,"professional service")/N72))))</f>
        <v>0</v>
      </c>
      <c r="P72" s="6">
        <f t="shared" si="2"/>
        <v>5200</v>
      </c>
      <c r="R72" s="6">
        <f>IF(B72="","",SUMIFS(SF_Output!$S$1:$S$400,SF_Output!$AC$1:$AC$400,_xlfn.TEXTJOIN(",",TRUE,B72:E72),SF_Output!$Q$1:$Q$400,"yearly")+SUMIFS(SF_Output!$S$1:$S$400,SF_Output!$AC$1:$AC$400,_xlfn.TEXTJOIN(",",TRUE,B72:E72),SF_Output!$Q$1:$Q$400,"quarterly")*4)</f>
        <v>0</v>
      </c>
      <c r="S72" s="112" t="str">
        <f>IF(OR(B72=0,B72="",G72="hardware",R72=0),"",IF(AF72&lt;&gt;"exclusion",MAX(S$9,-(SUMIFS(SF_Output!$T$1:$T$400,SF_Output!$AC$1:$AC$400,_xlfn.TEXTJOIN(",",TRUE,$B72:$E72),SF_Output!$Q$1:$Q$400,"yearly"))/R72),-((SUMIFS(SF_Output!$T$1:$T$400,SF_Output!$AC$1:$AC$400,_xlfn.TEXTJOIN(",",TRUE,$B72:$E72),SF_Output!$Q$1:$Q$400,"yearly")/R72))))</f>
        <v/>
      </c>
      <c r="T72" s="6">
        <f t="shared" si="3"/>
        <v>0</v>
      </c>
      <c r="V72" s="6" cm="1">
        <f t="array" ref="V72">_xlfn.IFS(B72="","",AND(B72&lt;&gt;"",H72=SF_Output!$Y$2,SUMIFS(SF_Output!$T$1:$T$400,SF_Output!$AC$1:$AC$400,_xlfn.TEXTJOIN(",",TRUE,B72:E72),SF_Output!$Q$1:$Q$400,"monthly")=0),(SUMIFS(SF_Output!$F$1:$F$400,SF_Output!$AC$1:$AC$400,_xlfn.TEXTJOIN(",",TRUE,B72:E72),SF_Output!$Q$1:$Q$400,"monthly")+SUMIFS(SF_Output!$G$1:$G$400,SF_Output!$AC$1:$AC$400,_xlfn.TEXTJOIN(",",TRUE,B72:E72),SF_Output!$Q$1:$Q$400,"monthly"))*H72,AND(B72&lt;&gt;"",H72=SF_Output!$Y$2,SUMIFS(SF_Output!$T$1:$T$400,SF_Output!$AC$1:$AC$400,_xlfn.TEXTJOIN(",",TRUE,B72:E72),SF_Output!$Q$1:$Q$400,"monthly")&lt;&gt;0),SUMIFS(SF_Output!$S$1:$S$400,SF_Output!$AC$1:$AC$400,_xlfn.TEXTJOIN(",",TRUE,B72:E72),SF_Output!$Q$1:$Q$400,"monthly"),AND(B72&lt;&gt;"",H72&lt;&gt;SF_Output!$Y$2),SUMIFS(SF_Output!$S$1:$S$400,SF_Output!$AC$1:$AC$400,_xlfn.TEXTJOIN(",",TRUE,B72:E72),SF_Output!$Q$1:$Q$400,"monthly"))</f>
        <v>0</v>
      </c>
      <c r="W72" s="112" t="str" cm="1">
        <f t="array" ref="W72">_xlfn.IFS(OR(B72=0,B72="",V72=0),"",AF72&lt;&gt;"exclusion",MAX($W$9,$W$7,(-(SUMIFS(SF_Output!$T$1:$T$400,SF_Output!$AC$1:$AC$400,_xlfn.TEXTJOIN(",",TRUE,$B72:$E72),SF_Output!$Q$1:$Q$400,"monthly"))/V72)),AF72="exclusion",-(SUMIFS(SF_Output!$T$1:$T$400,SF_Output!$AC$1:$AC$400,_xlfn.TEXTJOIN(",",TRUE,$B72:$E72),SF_Output!$Q$1:$Q$400,"monthly"))/V72)</f>
        <v/>
      </c>
      <c r="X72" s="6" cm="1">
        <f t="array" ref="X72">IFERROR(_xlfn.IFS(V72=0,0,V72="","",W72=0,V72,OR(V72&lt;&gt;0,V72&lt;&gt;""),H72*I72),V72*(1-W72))</f>
        <v>0</v>
      </c>
    </row>
    <row r="73" spans="2:24" x14ac:dyDescent="0.25">
      <c r="B73" t="s">
        <v>2130</v>
      </c>
      <c r="C73" t="s">
        <v>2122</v>
      </c>
      <c r="D73" t="s">
        <v>2123</v>
      </c>
      <c r="E73" t="s">
        <v>2124</v>
      </c>
      <c r="F73" s="116" t="str">
        <f t="shared" si="0"/>
        <v>Included</v>
      </c>
      <c r="G73" t="str">
        <f>IF(B73="","",INDEX(SF_Output!$K$1:$K$400,MATCH(B73,SF_Output!$M$1:$M$400,0)))</f>
        <v>iPay</v>
      </c>
      <c r="H73" cm="1">
        <f t="array" ref="H73">_xlfn.IFS(B73="","",(SUMIFS(SF_Output!$F$1:$F$400,SF_Output!$AC$1:$AC$400,_xlfn.TEXTJOIN(",",TRUE,B73:E73))+SUMIFS(SF_Output!$G$1:$G$400,SF_Output!$AC$1:$AC$400,_xlfn.TEXTJOIN(",",TRUE,B73:E73)))&lt;&gt;0,SF_Output!$Y$2,INDEX(SF_Output!$F$1:$F$400,MATCH(_xlfn.TEXTJOIN(",",TRUE,B73:E73),SF_Output!$AC$1:$AC$400,0))=0,INDEX(SF_Output!$R$1:$R$400,MATCH(_xlfn.TEXTJOIN(",",TRUE,B73:E73),SF_Output!$AC$1:$AC$400,0)))</f>
        <v>1</v>
      </c>
      <c r="I73" s="125" t="str">
        <f>IFERROR(IF(AND(H73&gt;1,H73&lt;&gt;""),ROUND(SUMIFS(SF_Output!$S$1:$S$400,SF_Output!$AC$1:$AC$400,_xlfn.TEXTJOIN(",",TRUE,B73:E73),SF_Output!$Q$1:$Q$400,"monthly")*(1-W73)/H73,4),""),"")</f>
        <v/>
      </c>
      <c r="J73" s="6">
        <f>IF(B73="","",SUMIFS(SF_Output!$S$1:$S$400,SF_Output!$AC$1:$AC$400,_xlfn.TEXTJOIN(",",TRUE,B73:E73),SF_Output!$Q$1:$Q$400,"One Time",SF_Output!$L$1:$L$400,"license fee")+SUMIFS(SF_Output!$S$1:$S$400,SF_Output!$AC$1:$AC$400,_xlfn.TEXTJOIN(",",TRUE,B73:E73),SF_Output!$Q$1:$Q$400,"One Time",SF_Output!$L$1:$L$400,"software license")+SUMIFS(SF_Output!$S$1:$S$400,SF_Output!$AC$1:$AC$400,_xlfn.TEXTJOIN(",",TRUE,B73:E73),SF_Output!$Q$1:$Q$400,"One Time",SF_Output!$L$1:$L$400,"hardware"))</f>
        <v>0</v>
      </c>
      <c r="K73" s="112" t="str">
        <f>IF(OR(B73=0,B73="",G73="hardware",J73=0),"",IF(AF73&lt;&gt;"exclusion",MAX(K$9,-((SUMIFS(SF_Output!$T$1:$T$400,SF_Output!$AC$1:$AC$400,_xlfn.TEXTJOIN(",",TRUE,$B73:$E73),SF_Output!$Q$1:$Q$400,"One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license"))/J73)),-((SUMIFS(SF_Output!$T$1:$T$400,SF_Output!$AC$1:$AC$400,_xlfn.TEXTJOIN(",",TRUE,$B73:$E73),SF_Output!$Q$1:$Q$400,"One Time",SF_Output!$L$1:$L$400,"license fee")+SUMIFS(SF_Output!$T$1:$T$400,SF_Output!$AC$1:$AC$400,_xlfn.TEXTJOIN(",",TRUE,$B73:$E73),SF_Output!$Q$1:$Q$400,"One Time",SF_Output!$L$1:$L$400,"software license"))/J73)))</f>
        <v/>
      </c>
      <c r="L73" s="6">
        <f t="shared" si="1"/>
        <v>0</v>
      </c>
      <c r="N73" s="6">
        <f>IF(B73="","",SUMIFS(SF_Output!$S$1:$S$400,SF_Output!$AC$1:$AC$400,_xlfn.TEXTJOIN(",",TRUE,B73:E73),SF_Output!$Q$1:$Q$400,"One Time",SF_Output!$L$1:$L$400,"professional service"))</f>
        <v>2500</v>
      </c>
      <c r="O73" s="112">
        <f>IF(OR(B73=0,B73="",N73=0),"",IF(AF73&lt;&gt;"exclusion",MAX(O$9,-(SUMIFS(SF_Output!$T$1:$T$400,SF_Output!$AC$1:$AC$400,_xlfn.TEXTJOIN(",",TRUE,$B73:$E73),SF_Output!$Q$1:$Q$400,"One Time",SF_Output!$L$1:$L$400,"professional service"))/N73),-((SUMIFS(SF_Output!$T$1:$T$400,SF_Output!$AC$1:$AC$400,_xlfn.TEXTJOIN(",",TRUE,$B73:$E73),SF_Output!$Q$1:$Q$400,"One Time",SF_Output!$L$1:$L$400,"professional service")/N73))))</f>
        <v>1</v>
      </c>
      <c r="P73" s="6">
        <f t="shared" si="2"/>
        <v>0</v>
      </c>
      <c r="R73" s="6">
        <f>IF(B73="","",SUMIFS(SF_Output!$S$1:$S$400,SF_Output!$AC$1:$AC$400,_xlfn.TEXTJOIN(",",TRUE,B73:E73),SF_Output!$Q$1:$Q$400,"yearly")+SUMIFS(SF_Output!$S$1:$S$400,SF_Output!$AC$1:$AC$400,_xlfn.TEXTJOIN(",",TRUE,B73:E73),SF_Output!$Q$1:$Q$400,"quarterly")*4)</f>
        <v>0</v>
      </c>
      <c r="S73" s="112" t="str">
        <f>IF(OR(B73=0,B73="",G73="hardware",R73=0),"",IF(AF73&lt;&gt;"exclusion",MAX(S$9,-(SUMIFS(SF_Output!$T$1:$T$400,SF_Output!$AC$1:$AC$400,_xlfn.TEXTJOIN(",",TRUE,$B73:$E73),SF_Output!$Q$1:$Q$400,"yearly"))/R73),-((SUMIFS(SF_Output!$T$1:$T$400,SF_Output!$AC$1:$AC$400,_xlfn.TEXTJOIN(",",TRUE,$B73:$E73),SF_Output!$Q$1:$Q$400,"yearly")/R73))))</f>
        <v/>
      </c>
      <c r="T73" s="6">
        <f t="shared" si="3"/>
        <v>0</v>
      </c>
      <c r="V73" s="6" cm="1">
        <f t="array" ref="V73">_xlfn.IFS(B73="","",AND(B73&lt;&gt;"",H73=SF_Output!$Y$2,SUMIFS(SF_Output!$T$1:$T$400,SF_Output!$AC$1:$AC$400,_xlfn.TEXTJOIN(",",TRUE,B73:E73),SF_Output!$Q$1:$Q$400,"monthly")=0),(SUMIFS(SF_Output!$F$1:$F$400,SF_Output!$AC$1:$AC$400,_xlfn.TEXTJOIN(",",TRUE,B73:E73),SF_Output!$Q$1:$Q$400,"monthly")+SUMIFS(SF_Output!$G$1:$G$400,SF_Output!$AC$1:$AC$400,_xlfn.TEXTJOIN(",",TRUE,B73:E73),SF_Output!$Q$1:$Q$400,"monthly"))*H73,AND(B73&lt;&gt;"",H73=SF_Output!$Y$2,SUMIFS(SF_Output!$T$1:$T$400,SF_Output!$AC$1:$AC$400,_xlfn.TEXTJOIN(",",TRUE,B73:E73),SF_Output!$Q$1:$Q$400,"monthly")&lt;&gt;0),SUMIFS(SF_Output!$S$1:$S$400,SF_Output!$AC$1:$AC$400,_xlfn.TEXTJOIN(",",TRUE,B73:E73),SF_Output!$Q$1:$Q$400,"monthly"),AND(B73&lt;&gt;"",H73&lt;&gt;SF_Output!$Y$2),SUMIFS(SF_Output!$S$1:$S$400,SF_Output!$AC$1:$AC$400,_xlfn.TEXTJOIN(",",TRUE,B73:E73),SF_Output!$Q$1:$Q$400,"monthly"))</f>
        <v>400</v>
      </c>
      <c r="W73" s="112" cm="1">
        <f t="array" ref="W73">_xlfn.IFS(OR(B73=0,B73="",V73=0),"",AF73&lt;&gt;"exclusion",MAX($W$9,$W$7,(-(SUMIFS(SF_Output!$T$1:$T$400,SF_Output!$AC$1:$AC$400,_xlfn.TEXTJOIN(",",TRUE,$B73:$E73),SF_Output!$Q$1:$Q$400,"monthly"))/V73)),AF73="exclusion",-(SUMIFS(SF_Output!$T$1:$T$400,SF_Output!$AC$1:$AC$400,_xlfn.TEXTJOIN(",",TRUE,$B73:$E73),SF_Output!$Q$1:$Q$400,"monthly"))/V73)</f>
        <v>0</v>
      </c>
      <c r="X73" s="6" cm="1">
        <f t="array" ref="X73">IFERROR(_xlfn.IFS(V73=0,0,V73="","",W73=0,V73,OR(V73&lt;&gt;0,V73&lt;&gt;""),H73*I73),V73*(1-W73))</f>
        <v>400</v>
      </c>
    </row>
    <row r="74" spans="2:24" x14ac:dyDescent="0.25">
      <c r="B74" t="s">
        <v>2134</v>
      </c>
      <c r="C74" t="s">
        <v>2122</v>
      </c>
      <c r="D74" t="s">
        <v>2123</v>
      </c>
      <c r="E74" t="s">
        <v>2124</v>
      </c>
      <c r="F74" s="116" t="str">
        <f t="shared" si="0"/>
        <v>Included</v>
      </c>
      <c r="G74" t="str">
        <f>IF(B74="","",INDEX(SF_Output!$K$1:$K$400,MATCH(B74,SF_Output!$M$1:$M$400,0)))</f>
        <v>iPay</v>
      </c>
      <c r="H74" cm="1">
        <f t="array" ref="H74">_xlfn.IFS(B74="","",(SUMIFS(SF_Output!$F$1:$F$400,SF_Output!$AC$1:$AC$400,_xlfn.TEXTJOIN(",",TRUE,B74:E74))+SUMIFS(SF_Output!$G$1:$G$400,SF_Output!$AC$1:$AC$400,_xlfn.TEXTJOIN(",",TRUE,B74:E74)))&lt;&gt;0,SF_Output!$Y$2,INDEX(SF_Output!$F$1:$F$400,MATCH(_xlfn.TEXTJOIN(",",TRUE,B74:E74),SF_Output!$AC$1:$AC$400,0))=0,INDEX(SF_Output!$R$1:$R$400,MATCH(_xlfn.TEXTJOIN(",",TRUE,B74:E74),SF_Output!$AC$1:$AC$400,0)))</f>
        <v>1</v>
      </c>
      <c r="I74" s="125" t="str">
        <f>IFERROR(IF(AND(H74&gt;1,H74&lt;&gt;""),ROUND(SUMIFS(SF_Output!$S$1:$S$400,SF_Output!$AC$1:$AC$400,_xlfn.TEXTJOIN(",",TRUE,B74:E74),SF_Output!$Q$1:$Q$400,"monthly")*(1-W74)/H74,4),""),"")</f>
        <v/>
      </c>
      <c r="J74" s="6">
        <f>IF(B74="","",SUMIFS(SF_Output!$S$1:$S$400,SF_Output!$AC$1:$AC$400,_xlfn.TEXTJOIN(",",TRUE,B74:E74),SF_Output!$Q$1:$Q$400,"One Time",SF_Output!$L$1:$L$400,"license fee")+SUMIFS(SF_Output!$S$1:$S$400,SF_Output!$AC$1:$AC$400,_xlfn.TEXTJOIN(",",TRUE,B74:E74),SF_Output!$Q$1:$Q$400,"One Time",SF_Output!$L$1:$L$400,"software license")+SUMIFS(SF_Output!$S$1:$S$400,SF_Output!$AC$1:$AC$400,_xlfn.TEXTJOIN(",",TRUE,B74:E74),SF_Output!$Q$1:$Q$400,"One Time",SF_Output!$L$1:$L$400,"hardware"))</f>
        <v>0</v>
      </c>
      <c r="K74" s="112" t="str">
        <f>IF(OR(B74=0,B74="",G74="hardware",J74=0),"",IF(AF74&lt;&gt;"exclusion",MAX(K$9,-((SUMIFS(SF_Output!$T$1:$T$400,SF_Output!$AC$1:$AC$400,_xlfn.TEXTJOIN(",",TRUE,$B74:$E74),SF_Output!$Q$1:$Q$400,"One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license"))/J74)),-((SUMIFS(SF_Output!$T$1:$T$400,SF_Output!$AC$1:$AC$400,_xlfn.TEXTJOIN(",",TRUE,$B74:$E74),SF_Output!$Q$1:$Q$400,"One Time",SF_Output!$L$1:$L$400,"license fee")+SUMIFS(SF_Output!$T$1:$T$400,SF_Output!$AC$1:$AC$400,_xlfn.TEXTJOIN(",",TRUE,$B74:$E74),SF_Output!$Q$1:$Q$400,"One Time",SF_Output!$L$1:$L$400,"software license"))/J74)))</f>
        <v/>
      </c>
      <c r="L74" s="6">
        <f t="shared" si="1"/>
        <v>0</v>
      </c>
      <c r="N74" s="6">
        <f>IF(B74="","",SUMIFS(SF_Output!$S$1:$S$400,SF_Output!$AC$1:$AC$400,_xlfn.TEXTJOIN(",",TRUE,B74:E74),SF_Output!$Q$1:$Q$400,"One Time",SF_Output!$L$1:$L$400,"professional service"))</f>
        <v>0</v>
      </c>
      <c r="O74" s="112" t="str">
        <f>IF(OR(B74=0,B74="",N74=0),"",IF(AF74&lt;&gt;"exclusion",MAX(O$9,-(SUMIFS(SF_Output!$T$1:$T$400,SF_Output!$AC$1:$AC$400,_xlfn.TEXTJOIN(",",TRUE,$B74:$E74),SF_Output!$Q$1:$Q$400,"One Time",SF_Output!$L$1:$L$400,"professional service"))/N74),-((SUMIFS(SF_Output!$T$1:$T$400,SF_Output!$AC$1:$AC$400,_xlfn.TEXTJOIN(",",TRUE,$B74:$E74),SF_Output!$Q$1:$Q$400,"One Time",SF_Output!$L$1:$L$400,"professional service")/N74))))</f>
        <v/>
      </c>
      <c r="P74" s="6">
        <f t="shared" si="2"/>
        <v>0</v>
      </c>
      <c r="R74" s="6">
        <f>IF(B74="","",SUMIFS(SF_Output!$S$1:$S$400,SF_Output!$AC$1:$AC$400,_xlfn.TEXTJOIN(",",TRUE,B74:E74),SF_Output!$Q$1:$Q$400,"yearly")+SUMIFS(SF_Output!$S$1:$S$400,SF_Output!$AC$1:$AC$400,_xlfn.TEXTJOIN(",",TRUE,B74:E74),SF_Output!$Q$1:$Q$400,"quarterly")*4)</f>
        <v>630</v>
      </c>
      <c r="S74" s="112">
        <f>IF(OR(B74=0,B74="",G74="hardware",R74=0),"",IF(AF74&lt;&gt;"exclusion",MAX(S$9,-(SUMIFS(SF_Output!$T$1:$T$400,SF_Output!$AC$1:$AC$400,_xlfn.TEXTJOIN(",",TRUE,$B74:$E74),SF_Output!$Q$1:$Q$400,"yearly"))/R74),-((SUMIFS(SF_Output!$T$1:$T$400,SF_Output!$AC$1:$AC$400,_xlfn.TEXTJOIN(",",TRUE,$B74:$E74),SF_Output!$Q$1:$Q$400,"yearly")/R74))))</f>
        <v>0</v>
      </c>
      <c r="T74" s="6">
        <f t="shared" si="3"/>
        <v>630</v>
      </c>
      <c r="V74" s="6" cm="1">
        <f t="array" ref="V74">_xlfn.IFS(B74="","",AND(B74&lt;&gt;"",H74=SF_Output!$Y$2,SUMIFS(SF_Output!$T$1:$T$400,SF_Output!$AC$1:$AC$400,_xlfn.TEXTJOIN(",",TRUE,B74:E74),SF_Output!$Q$1:$Q$400,"monthly")=0),(SUMIFS(SF_Output!$F$1:$F$400,SF_Output!$AC$1:$AC$400,_xlfn.TEXTJOIN(",",TRUE,B74:E74),SF_Output!$Q$1:$Q$400,"monthly")+SUMIFS(SF_Output!$G$1:$G$400,SF_Output!$AC$1:$AC$400,_xlfn.TEXTJOIN(",",TRUE,B74:E74),SF_Output!$Q$1:$Q$400,"monthly"))*H74,AND(B74&lt;&gt;"",H74=SF_Output!$Y$2,SUMIFS(SF_Output!$T$1:$T$400,SF_Output!$AC$1:$AC$400,_xlfn.TEXTJOIN(",",TRUE,B74:E74),SF_Output!$Q$1:$Q$400,"monthly")&lt;&gt;0),SUMIFS(SF_Output!$S$1:$S$400,SF_Output!$AC$1:$AC$400,_xlfn.TEXTJOIN(",",TRUE,B74:E74),SF_Output!$Q$1:$Q$400,"monthly"),AND(B74&lt;&gt;"",H74&lt;&gt;SF_Output!$Y$2),SUMIFS(SF_Output!$S$1:$S$400,SF_Output!$AC$1:$AC$400,_xlfn.TEXTJOIN(",",TRUE,B74:E74),SF_Output!$Q$1:$Q$400,"monthly"))</f>
        <v>0</v>
      </c>
      <c r="W74" s="112" t="str" cm="1">
        <f t="array" ref="W74">_xlfn.IFS(OR(B74=0,B74="",V74=0),"",AF74&lt;&gt;"exclusion",MAX($W$9,$W$7,(-(SUMIFS(SF_Output!$T$1:$T$400,SF_Output!$AC$1:$AC$400,_xlfn.TEXTJOIN(",",TRUE,$B74:$E74),SF_Output!$Q$1:$Q$400,"monthly"))/V74)),AF74="exclusion",-(SUMIFS(SF_Output!$T$1:$T$400,SF_Output!$AC$1:$AC$400,_xlfn.TEXTJOIN(",",TRUE,$B74:$E74),SF_Output!$Q$1:$Q$400,"monthly"))/V74)</f>
        <v/>
      </c>
      <c r="X74" s="6" cm="1">
        <f t="array" ref="X74">IFERROR(_xlfn.IFS(V74=0,0,V74="","",W74=0,V74,OR(V74&lt;&gt;0,V74&lt;&gt;""),H74*I74),V74*(1-W74))</f>
        <v>0</v>
      </c>
    </row>
    <row r="75" spans="2:24" x14ac:dyDescent="0.25">
      <c r="B75" t="s">
        <v>1161</v>
      </c>
      <c r="C75" t="s">
        <v>2122</v>
      </c>
      <c r="D75" t="s">
        <v>2123</v>
      </c>
      <c r="E75" t="s">
        <v>2124</v>
      </c>
      <c r="F75" s="116" t="str">
        <f t="shared" si="0"/>
        <v>Included</v>
      </c>
      <c r="G75" t="str">
        <f>IF(B75="","",INDEX(SF_Output!$K$1:$K$400,MATCH(B75,SF_Output!$M$1:$M$400,0)))</f>
        <v>iPay</v>
      </c>
      <c r="H75" cm="1">
        <f t="array" ref="H75">_xlfn.IFS(B75="","",(SUMIFS(SF_Output!$F$1:$F$400,SF_Output!$AC$1:$AC$400,_xlfn.TEXTJOIN(",",TRUE,B75:E75))+SUMIFS(SF_Output!$G$1:$G$400,SF_Output!$AC$1:$AC$400,_xlfn.TEXTJOIN(",",TRUE,B75:E75)))&lt;&gt;0,SF_Output!$Y$2,INDEX(SF_Output!$F$1:$F$400,MATCH(_xlfn.TEXTJOIN(",",TRUE,B75:E75),SF_Output!$AC$1:$AC$400,0))=0,INDEX(SF_Output!$R$1:$R$400,MATCH(_xlfn.TEXTJOIN(",",TRUE,B75:E75),SF_Output!$AC$1:$AC$400,0)))</f>
        <v>1</v>
      </c>
      <c r="I75" s="125" t="str">
        <f>IFERROR(IF(AND(H75&gt;1,H75&lt;&gt;""),ROUND(SUMIFS(SF_Output!$S$1:$S$400,SF_Output!$AC$1:$AC$400,_xlfn.TEXTJOIN(",",TRUE,B75:E75),SF_Output!$Q$1:$Q$400,"monthly")*(1-W75)/H75,4),""),"")</f>
        <v/>
      </c>
      <c r="J75" s="6">
        <f>IF(B75="","",SUMIFS(SF_Output!$S$1:$S$400,SF_Output!$AC$1:$AC$400,_xlfn.TEXTJOIN(",",TRUE,B75:E75),SF_Output!$Q$1:$Q$400,"One Time",SF_Output!$L$1:$L$400,"license fee")+SUMIFS(SF_Output!$S$1:$S$400,SF_Output!$AC$1:$AC$400,_xlfn.TEXTJOIN(",",TRUE,B75:E75),SF_Output!$Q$1:$Q$400,"One Time",SF_Output!$L$1:$L$400,"software license")+SUMIFS(SF_Output!$S$1:$S$400,SF_Output!$AC$1:$AC$400,_xlfn.TEXTJOIN(",",TRUE,B75:E75),SF_Output!$Q$1:$Q$400,"One Time",SF_Output!$L$1:$L$400,"hardware"))</f>
        <v>0</v>
      </c>
      <c r="K75" s="112" t="str">
        <f>IF(OR(B75=0,B75="",G75="hardware",J75=0),"",IF(AF75&lt;&gt;"exclusion",MAX(K$9,-((SUMIFS(SF_Output!$T$1:$T$400,SF_Output!$AC$1:$AC$400,_xlfn.TEXTJOIN(",",TRUE,$B75:$E75),SF_Output!$Q$1:$Q$400,"One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license"))/J75)),-((SUMIFS(SF_Output!$T$1:$T$400,SF_Output!$AC$1:$AC$400,_xlfn.TEXTJOIN(",",TRUE,$B75:$E75),SF_Output!$Q$1:$Q$400,"One Time",SF_Output!$L$1:$L$400,"license fee")+SUMIFS(SF_Output!$T$1:$T$400,SF_Output!$AC$1:$AC$400,_xlfn.TEXTJOIN(",",TRUE,$B75:$E75),SF_Output!$Q$1:$Q$400,"One Time",SF_Output!$L$1:$L$400,"software license"))/J75)))</f>
        <v/>
      </c>
      <c r="L75" s="6">
        <f t="shared" si="1"/>
        <v>0</v>
      </c>
      <c r="N75" s="6">
        <f>IF(B75="","",SUMIFS(SF_Output!$S$1:$S$400,SF_Output!$AC$1:$AC$400,_xlfn.TEXTJOIN(",",TRUE,B75:E75),SF_Output!$Q$1:$Q$400,"One Time",SF_Output!$L$1:$L$400,"professional service"))</f>
        <v>0</v>
      </c>
      <c r="O75" s="112" t="str">
        <f>IF(OR(B75=0,B75="",N75=0),"",IF(AF75&lt;&gt;"exclusion",MAX(O$9,-(SUMIFS(SF_Output!$T$1:$T$400,SF_Output!$AC$1:$AC$400,_xlfn.TEXTJOIN(",",TRUE,$B75:$E75),SF_Output!$Q$1:$Q$400,"One Time",SF_Output!$L$1:$L$400,"professional service"))/N75),-((SUMIFS(SF_Output!$T$1:$T$400,SF_Output!$AC$1:$AC$400,_xlfn.TEXTJOIN(",",TRUE,$B75:$E75),SF_Output!$Q$1:$Q$400,"One Time",SF_Output!$L$1:$L$400,"professional service")/N75))))</f>
        <v/>
      </c>
      <c r="P75" s="6">
        <f t="shared" si="2"/>
        <v>0</v>
      </c>
      <c r="R75" s="6">
        <f>IF(B75="","",SUMIFS(SF_Output!$S$1:$S$400,SF_Output!$AC$1:$AC$400,_xlfn.TEXTJOIN(",",TRUE,B75:E75),SF_Output!$Q$1:$Q$400,"yearly")+SUMIFS(SF_Output!$S$1:$S$400,SF_Output!$AC$1:$AC$400,_xlfn.TEXTJOIN(",",TRUE,B75:E75),SF_Output!$Q$1:$Q$400,"quarterly")*4)</f>
        <v>0</v>
      </c>
      <c r="S75" s="112" t="str">
        <f>IF(OR(B75=0,B75="",G75="hardware",R75=0),"",IF(AF75&lt;&gt;"exclusion",MAX(S$9,-(SUMIFS(SF_Output!$T$1:$T$400,SF_Output!$AC$1:$AC$400,_xlfn.TEXTJOIN(",",TRUE,$B75:$E75),SF_Output!$Q$1:$Q$400,"yearly"))/R75),-((SUMIFS(SF_Output!$T$1:$T$400,SF_Output!$AC$1:$AC$400,_xlfn.TEXTJOIN(",",TRUE,$B75:$E75),SF_Output!$Q$1:$Q$400,"yearly")/R75))))</f>
        <v/>
      </c>
      <c r="T75" s="6">
        <f t="shared" si="3"/>
        <v>0</v>
      </c>
      <c r="V75" s="6" cm="1">
        <f t="array" ref="V75">_xlfn.IFS(B75="","",AND(B75&lt;&gt;"",H75=SF_Output!$Y$2,SUMIFS(SF_Output!$T$1:$T$400,SF_Output!$AC$1:$AC$400,_xlfn.TEXTJOIN(",",TRUE,B75:E75),SF_Output!$Q$1:$Q$400,"monthly")=0),(SUMIFS(SF_Output!$F$1:$F$400,SF_Output!$AC$1:$AC$400,_xlfn.TEXTJOIN(",",TRUE,B75:E75),SF_Output!$Q$1:$Q$400,"monthly")+SUMIFS(SF_Output!$G$1:$G$400,SF_Output!$AC$1:$AC$400,_xlfn.TEXTJOIN(",",TRUE,B75:E75),SF_Output!$Q$1:$Q$400,"monthly"))*H75,AND(B75&lt;&gt;"",H75=SF_Output!$Y$2,SUMIFS(SF_Output!$T$1:$T$400,SF_Output!$AC$1:$AC$400,_xlfn.TEXTJOIN(",",TRUE,B75:E75),SF_Output!$Q$1:$Q$400,"monthly")&lt;&gt;0),SUMIFS(SF_Output!$S$1:$S$400,SF_Output!$AC$1:$AC$400,_xlfn.TEXTJOIN(",",TRUE,B75:E75),SF_Output!$Q$1:$Q$400,"monthly"),AND(B75&lt;&gt;"",H75&lt;&gt;SF_Output!$Y$2),SUMIFS(SF_Output!$S$1:$S$400,SF_Output!$AC$1:$AC$400,_xlfn.TEXTJOIN(",",TRUE,B75:E75),SF_Output!$Q$1:$Q$400,"monthly"))</f>
        <v>0</v>
      </c>
      <c r="W75" s="112" t="str" cm="1">
        <f t="array" ref="W75">_xlfn.IFS(OR(B75=0,B75="",V75=0),"",AF75&lt;&gt;"exclusion",MAX($W$9,$W$7,(-(SUMIFS(SF_Output!$T$1:$T$400,SF_Output!$AC$1:$AC$400,_xlfn.TEXTJOIN(",",TRUE,$B75:$E75),SF_Output!$Q$1:$Q$400,"monthly"))/V75)),AF75="exclusion",-(SUMIFS(SF_Output!$T$1:$T$400,SF_Output!$AC$1:$AC$400,_xlfn.TEXTJOIN(",",TRUE,$B75:$E75),SF_Output!$Q$1:$Q$400,"monthly"))/V75)</f>
        <v/>
      </c>
      <c r="X75" s="6" cm="1">
        <f t="array" ref="X75">IFERROR(_xlfn.IFS(V75=0,0,V75="","",W75=0,V75,OR(V75&lt;&gt;0,V75&lt;&gt;""),H75*I75),V75*(1-W75))</f>
        <v>0</v>
      </c>
    </row>
    <row r="76" spans="2:24" x14ac:dyDescent="0.25">
      <c r="B76" t="s">
        <v>2138</v>
      </c>
      <c r="C76" t="s">
        <v>2122</v>
      </c>
      <c r="D76" t="s">
        <v>2123</v>
      </c>
      <c r="E76" t="s">
        <v>2124</v>
      </c>
      <c r="F76" s="116" t="str">
        <f t="shared" si="0"/>
        <v>Included</v>
      </c>
      <c r="G76" t="str">
        <f>IF(B76="","",INDEX(SF_Output!$K$1:$K$400,MATCH(B76,SF_Output!$M$1:$M$400,0)))</f>
        <v>iPay</v>
      </c>
      <c r="H76" cm="1">
        <f t="array" ref="H76">_xlfn.IFS(B76="","",(SUMIFS(SF_Output!$F$1:$F$400,SF_Output!$AC$1:$AC$400,_xlfn.TEXTJOIN(",",TRUE,B76:E76))+SUMIFS(SF_Output!$G$1:$G$400,SF_Output!$AC$1:$AC$400,_xlfn.TEXTJOIN(",",TRUE,B76:E76)))&lt;&gt;0,SF_Output!$Y$2,INDEX(SF_Output!$F$1:$F$400,MATCH(_xlfn.TEXTJOIN(",",TRUE,B76:E76),SF_Output!$AC$1:$AC$400,0))=0,INDEX(SF_Output!$R$1:$R$400,MATCH(_xlfn.TEXTJOIN(",",TRUE,B76:E76),SF_Output!$AC$1:$AC$400,0)))</f>
        <v>1</v>
      </c>
      <c r="I76" s="125" t="str">
        <f>IFERROR(IF(AND(H76&gt;1,H76&lt;&gt;""),ROUND(SUMIFS(SF_Output!$S$1:$S$400,SF_Output!$AC$1:$AC$400,_xlfn.TEXTJOIN(",",TRUE,B76:E76),SF_Output!$Q$1:$Q$400,"monthly")*(1-W76)/H76,4),""),"")</f>
        <v/>
      </c>
      <c r="J76" s="6">
        <f>IF(B76="","",SUMIFS(SF_Output!$S$1:$S$400,SF_Output!$AC$1:$AC$400,_xlfn.TEXTJOIN(",",TRUE,B76:E76),SF_Output!$Q$1:$Q$400,"One Time",SF_Output!$L$1:$L$400,"license fee")+SUMIFS(SF_Output!$S$1:$S$400,SF_Output!$AC$1:$AC$400,_xlfn.TEXTJOIN(",",TRUE,B76:E76),SF_Output!$Q$1:$Q$400,"One Time",SF_Output!$L$1:$L$400,"software license")+SUMIFS(SF_Output!$S$1:$S$400,SF_Output!$AC$1:$AC$400,_xlfn.TEXTJOIN(",",TRUE,B76:E76),SF_Output!$Q$1:$Q$400,"One Time",SF_Output!$L$1:$L$400,"hardware"))</f>
        <v>0</v>
      </c>
      <c r="K76" s="112" t="str">
        <f>IF(OR(B76=0,B76="",G76="hardware",J76=0),"",IF(AF76&lt;&gt;"exclusion",MAX(K$9,-((SUMIFS(SF_Output!$T$1:$T$400,SF_Output!$AC$1:$AC$400,_xlfn.TEXTJOIN(",",TRUE,$B76:$E76),SF_Output!$Q$1:$Q$400,"One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license"))/J76)),-((SUMIFS(SF_Output!$T$1:$T$400,SF_Output!$AC$1:$AC$400,_xlfn.TEXTJOIN(",",TRUE,$B76:$E76),SF_Output!$Q$1:$Q$400,"One Time",SF_Output!$L$1:$L$400,"license fee")+SUMIFS(SF_Output!$T$1:$T$400,SF_Output!$AC$1:$AC$400,_xlfn.TEXTJOIN(",",TRUE,$B76:$E76),SF_Output!$Q$1:$Q$400,"One Time",SF_Output!$L$1:$L$400,"software license"))/J76)))</f>
        <v/>
      </c>
      <c r="L76" s="6">
        <f t="shared" si="1"/>
        <v>0</v>
      </c>
      <c r="N76" s="6">
        <f>IF(B76="","",SUMIFS(SF_Output!$S$1:$S$400,SF_Output!$AC$1:$AC$400,_xlfn.TEXTJOIN(",",TRUE,B76:E76),SF_Output!$Q$1:$Q$400,"One Time",SF_Output!$L$1:$L$400,"professional service"))</f>
        <v>10000</v>
      </c>
      <c r="O76" s="112">
        <f>IF(OR(B76=0,B76="",N76=0),"",IF(AF76&lt;&gt;"exclusion",MAX(O$9,-(SUMIFS(SF_Output!$T$1:$T$400,SF_Output!$AC$1:$AC$400,_xlfn.TEXTJOIN(",",TRUE,$B76:$E76),SF_Output!$Q$1:$Q$400,"One Time",SF_Output!$L$1:$L$400,"professional service"))/N76),-((SUMIFS(SF_Output!$T$1:$T$400,SF_Output!$AC$1:$AC$400,_xlfn.TEXTJOIN(",",TRUE,$B76:$E76),SF_Output!$Q$1:$Q$400,"One Time",SF_Output!$L$1:$L$400,"professional service")/N76))))</f>
        <v>1</v>
      </c>
      <c r="P76" s="6">
        <f t="shared" si="2"/>
        <v>0</v>
      </c>
      <c r="R76" s="6">
        <f>IF(B76="","",SUMIFS(SF_Output!$S$1:$S$400,SF_Output!$AC$1:$AC$400,_xlfn.TEXTJOIN(",",TRUE,B76:E76),SF_Output!$Q$1:$Q$400,"yearly")+SUMIFS(SF_Output!$S$1:$S$400,SF_Output!$AC$1:$AC$400,_xlfn.TEXTJOIN(",",TRUE,B76:E76),SF_Output!$Q$1:$Q$400,"quarterly")*4)</f>
        <v>0</v>
      </c>
      <c r="S76" s="112" t="str">
        <f>IF(OR(B76=0,B76="",G76="hardware",R76=0),"",IF(AF76&lt;&gt;"exclusion",MAX(S$9,-(SUMIFS(SF_Output!$T$1:$T$400,SF_Output!$AC$1:$AC$400,_xlfn.TEXTJOIN(",",TRUE,$B76:$E76),SF_Output!$Q$1:$Q$400,"yearly"))/R76),-((SUMIFS(SF_Output!$T$1:$T$400,SF_Output!$AC$1:$AC$400,_xlfn.TEXTJOIN(",",TRUE,$B76:$E76),SF_Output!$Q$1:$Q$400,"yearly")/R76))))</f>
        <v/>
      </c>
      <c r="T76" s="6">
        <f t="shared" si="3"/>
        <v>0</v>
      </c>
      <c r="V76" s="6" cm="1">
        <f t="array" ref="V76">_xlfn.IFS(B76="","",AND(B76&lt;&gt;"",H76=SF_Output!$Y$2,SUMIFS(SF_Output!$T$1:$T$400,SF_Output!$AC$1:$AC$400,_xlfn.TEXTJOIN(",",TRUE,B76:E76),SF_Output!$Q$1:$Q$400,"monthly")=0),(SUMIFS(SF_Output!$F$1:$F$400,SF_Output!$AC$1:$AC$400,_xlfn.TEXTJOIN(",",TRUE,B76:E76),SF_Output!$Q$1:$Q$400,"monthly")+SUMIFS(SF_Output!$G$1:$G$400,SF_Output!$AC$1:$AC$400,_xlfn.TEXTJOIN(",",TRUE,B76:E76),SF_Output!$Q$1:$Q$400,"monthly"))*H76,AND(B76&lt;&gt;"",H76=SF_Output!$Y$2,SUMIFS(SF_Output!$T$1:$T$400,SF_Output!$AC$1:$AC$400,_xlfn.TEXTJOIN(",",TRUE,B76:E76),SF_Output!$Q$1:$Q$400,"monthly")&lt;&gt;0),SUMIFS(SF_Output!$S$1:$S$400,SF_Output!$AC$1:$AC$400,_xlfn.TEXTJOIN(",",TRUE,B76:E76),SF_Output!$Q$1:$Q$400,"monthly"),AND(B76&lt;&gt;"",H76&lt;&gt;SF_Output!$Y$2),SUMIFS(SF_Output!$S$1:$S$400,SF_Output!$AC$1:$AC$400,_xlfn.TEXTJOIN(",",TRUE,B76:E76),SF_Output!$Q$1:$Q$400,"monthly"))</f>
        <v>0</v>
      </c>
      <c r="W76" s="112" t="str" cm="1">
        <f t="array" ref="W76">_xlfn.IFS(OR(B76=0,B76="",V76=0),"",AF76&lt;&gt;"exclusion",MAX($W$9,$W$7,(-(SUMIFS(SF_Output!$T$1:$T$400,SF_Output!$AC$1:$AC$400,_xlfn.TEXTJOIN(",",TRUE,$B76:$E76),SF_Output!$Q$1:$Q$400,"monthly"))/V76)),AF76="exclusion",-(SUMIFS(SF_Output!$T$1:$T$400,SF_Output!$AC$1:$AC$400,_xlfn.TEXTJOIN(",",TRUE,$B76:$E76),SF_Output!$Q$1:$Q$400,"monthly"))/V76)</f>
        <v/>
      </c>
      <c r="X76" s="6" cm="1">
        <f t="array" ref="X76">IFERROR(_xlfn.IFS(V76=0,0,V76="","",W76=0,V76,OR(V76&lt;&gt;0,V76&lt;&gt;""),H76*I76),V76*(1-W76))</f>
        <v>0</v>
      </c>
    </row>
    <row r="77" spans="2:24" x14ac:dyDescent="0.25">
      <c r="B77" t="s">
        <v>1001</v>
      </c>
      <c r="C77" t="s">
        <v>2122</v>
      </c>
      <c r="D77" t="s">
        <v>2123</v>
      </c>
      <c r="E77" t="s">
        <v>2124</v>
      </c>
      <c r="F77" s="116" t="str">
        <f t="shared" si="0"/>
        <v>Included</v>
      </c>
      <c r="G77" t="str">
        <f>IF(B77="","",INDEX(SF_Output!$K$1:$K$400,MATCH(B77,SF_Output!$M$1:$M$400,0)))</f>
        <v>DirectLine</v>
      </c>
      <c r="H77" cm="1">
        <f t="array" ref="H77">_xlfn.IFS(B77="","",(SUMIFS(SF_Output!$F$1:$F$400,SF_Output!$AC$1:$AC$400,_xlfn.TEXTJOIN(",",TRUE,B77:E77))+SUMIFS(SF_Output!$G$1:$G$400,SF_Output!$AC$1:$AC$400,_xlfn.TEXTJOIN(",",TRUE,B77:E77)))&lt;&gt;0,SF_Output!$Y$2,INDEX(SF_Output!$F$1:$F$400,MATCH(_xlfn.TEXTJOIN(",",TRUE,B77:E77),SF_Output!$AC$1:$AC$400,0))=0,INDEX(SF_Output!$R$1:$R$400,MATCH(_xlfn.TEXTJOIN(",",TRUE,B77:E77),SF_Output!$AC$1:$AC$400,0)))</f>
        <v>1</v>
      </c>
      <c r="I77" s="125" t="str">
        <f>IFERROR(IF(AND(H77&gt;1,H77&lt;&gt;""),ROUND(SUMIFS(SF_Output!$S$1:$S$400,SF_Output!$AC$1:$AC$400,_xlfn.TEXTJOIN(",",TRUE,B77:E77),SF_Output!$Q$1:$Q$400,"monthly")*(1-W77)/H77,4),""),"")</f>
        <v/>
      </c>
      <c r="J77" s="6">
        <f>IF(B77="","",SUMIFS(SF_Output!$S$1:$S$400,SF_Output!$AC$1:$AC$400,_xlfn.TEXTJOIN(",",TRUE,B77:E77),SF_Output!$Q$1:$Q$400,"One Time",SF_Output!$L$1:$L$400,"license fee")+SUMIFS(SF_Output!$S$1:$S$400,SF_Output!$AC$1:$AC$400,_xlfn.TEXTJOIN(",",TRUE,B77:E77),SF_Output!$Q$1:$Q$400,"One Time",SF_Output!$L$1:$L$400,"software license")+SUMIFS(SF_Output!$S$1:$S$400,SF_Output!$AC$1:$AC$400,_xlfn.TEXTJOIN(",",TRUE,B77:E77),SF_Output!$Q$1:$Q$400,"One Time",SF_Output!$L$1:$L$400,"hardware"))</f>
        <v>0</v>
      </c>
      <c r="K77" s="112" t="str">
        <f>IF(OR(B77=0,B77="",G77="hardware",J77=0),"",IF(AF77&lt;&gt;"exclusion",MAX(K$9,-((SUMIFS(SF_Output!$T$1:$T$400,SF_Output!$AC$1:$AC$400,_xlfn.TEXTJOIN(",",TRUE,$B77:$E77),SF_Output!$Q$1:$Q$400,"One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license"))/J77)),-((SUMIFS(SF_Output!$T$1:$T$400,SF_Output!$AC$1:$AC$400,_xlfn.TEXTJOIN(",",TRUE,$B77:$E77),SF_Output!$Q$1:$Q$400,"One Time",SF_Output!$L$1:$L$400,"license fee")+SUMIFS(SF_Output!$T$1:$T$400,SF_Output!$AC$1:$AC$400,_xlfn.TEXTJOIN(",",TRUE,$B77:$E77),SF_Output!$Q$1:$Q$400,"One Time",SF_Output!$L$1:$L$400,"software license"))/J77)))</f>
        <v/>
      </c>
      <c r="L77" s="6">
        <f t="shared" si="1"/>
        <v>0</v>
      </c>
      <c r="N77" s="6">
        <f>IF(B77="","",SUMIFS(SF_Output!$S$1:$S$400,SF_Output!$AC$1:$AC$400,_xlfn.TEXTJOIN(",",TRUE,B77:E77),SF_Output!$Q$1:$Q$400,"One Time",SF_Output!$L$1:$L$400,"professional service"))</f>
        <v>7500</v>
      </c>
      <c r="O77" s="112">
        <f>IF(OR(B77=0,B77="",N77=0),"",IF(AF77&lt;&gt;"exclusion",MAX(O$9,-(SUMIFS(SF_Output!$T$1:$T$400,SF_Output!$AC$1:$AC$400,_xlfn.TEXTJOIN(",",TRUE,$B77:$E77),SF_Output!$Q$1:$Q$400,"One Time",SF_Output!$L$1:$L$400,"professional service"))/N77),-((SUMIFS(SF_Output!$T$1:$T$400,SF_Output!$AC$1:$AC$400,_xlfn.TEXTJOIN(",",TRUE,$B77:$E77),SF_Output!$Q$1:$Q$400,"One Time",SF_Output!$L$1:$L$400,"professional service")/N77))))</f>
        <v>1</v>
      </c>
      <c r="P77" s="6">
        <f t="shared" si="2"/>
        <v>0</v>
      </c>
      <c r="R77" s="6">
        <f>IF(B77="","",SUMIFS(SF_Output!$S$1:$S$400,SF_Output!$AC$1:$AC$400,_xlfn.TEXTJOIN(",",TRUE,B77:E77),SF_Output!$Q$1:$Q$400,"yearly")+SUMIFS(SF_Output!$S$1:$S$400,SF_Output!$AC$1:$AC$400,_xlfn.TEXTJOIN(",",TRUE,B77:E77),SF_Output!$Q$1:$Q$400,"quarterly")*4)</f>
        <v>0</v>
      </c>
      <c r="S77" s="112" t="str">
        <f>IF(OR(B77=0,B77="",G77="hardware",R77=0),"",IF(AF77&lt;&gt;"exclusion",MAX(S$9,-(SUMIFS(SF_Output!$T$1:$T$400,SF_Output!$AC$1:$AC$400,_xlfn.TEXTJOIN(",",TRUE,$B77:$E77),SF_Output!$Q$1:$Q$400,"yearly"))/R77),-((SUMIFS(SF_Output!$T$1:$T$400,SF_Output!$AC$1:$AC$400,_xlfn.TEXTJOIN(",",TRUE,$B77:$E77),SF_Output!$Q$1:$Q$400,"yearly")/R77))))</f>
        <v/>
      </c>
      <c r="T77" s="6">
        <f t="shared" si="3"/>
        <v>0</v>
      </c>
      <c r="V77" s="6" cm="1">
        <f t="array" ref="V77">_xlfn.IFS(B77="","",AND(B77&lt;&gt;"",H77=SF_Output!$Y$2,SUMIFS(SF_Output!$T$1:$T$400,SF_Output!$AC$1:$AC$400,_xlfn.TEXTJOIN(",",TRUE,B77:E77),SF_Output!$Q$1:$Q$400,"monthly")=0),(SUMIFS(SF_Output!$F$1:$F$400,SF_Output!$AC$1:$AC$400,_xlfn.TEXTJOIN(",",TRUE,B77:E77),SF_Output!$Q$1:$Q$400,"monthly")+SUMIFS(SF_Output!$G$1:$G$400,SF_Output!$AC$1:$AC$400,_xlfn.TEXTJOIN(",",TRUE,B77:E77),SF_Output!$Q$1:$Q$400,"monthly"))*H77,AND(B77&lt;&gt;"",H77=SF_Output!$Y$2,SUMIFS(SF_Output!$T$1:$T$400,SF_Output!$AC$1:$AC$400,_xlfn.TEXTJOIN(",",TRUE,B77:E77),SF_Output!$Q$1:$Q$400,"monthly")&lt;&gt;0),SUMIFS(SF_Output!$S$1:$S$400,SF_Output!$AC$1:$AC$400,_xlfn.TEXTJOIN(",",TRUE,B77:E77),SF_Output!$Q$1:$Q$400,"monthly"),AND(B77&lt;&gt;"",H77&lt;&gt;SF_Output!$Y$2),SUMIFS(SF_Output!$S$1:$S$400,SF_Output!$AC$1:$AC$400,_xlfn.TEXTJOIN(",",TRUE,B77:E77),SF_Output!$Q$1:$Q$400,"monthly"))</f>
        <v>450</v>
      </c>
      <c r="W77" s="112" cm="1">
        <f t="array" ref="W77">_xlfn.IFS(OR(B77=0,B77="",V77=0),"",AF77&lt;&gt;"exclusion",MAX($W$9,$W$7,(-(SUMIFS(SF_Output!$T$1:$T$400,SF_Output!$AC$1:$AC$400,_xlfn.TEXTJOIN(",",TRUE,$B77:$E77),SF_Output!$Q$1:$Q$400,"monthly"))/V77)),AF77="exclusion",-(SUMIFS(SF_Output!$T$1:$T$400,SF_Output!$AC$1:$AC$400,_xlfn.TEXTJOIN(",",TRUE,$B77:$E77),SF_Output!$Q$1:$Q$400,"monthly"))/V77)</f>
        <v>0</v>
      </c>
      <c r="X77" s="6" cm="1">
        <f t="array" ref="X77">IFERROR(_xlfn.IFS(V77=0,0,V77="","",W77=0,V77,OR(V77&lt;&gt;0,V77&lt;&gt;""),H77*I77),V77*(1-W77))</f>
        <v>450</v>
      </c>
    </row>
    <row r="78" spans="2:24" x14ac:dyDescent="0.25">
      <c r="B78" t="s">
        <v>1837</v>
      </c>
      <c r="C78" t="s">
        <v>2122</v>
      </c>
      <c r="D78" t="s">
        <v>2123</v>
      </c>
      <c r="E78" t="s">
        <v>2124</v>
      </c>
      <c r="F78" s="116" t="str">
        <f t="shared" ref="F78:F141" si="4">IF(B78="","",IF(E78*1=0,"Included","Optional"))</f>
        <v>Included</v>
      </c>
      <c r="G78" t="str">
        <f>IF(B78="","",INDEX(SF_Output!$K$1:$K$400,MATCH(B78,SF_Output!$M$1:$M$400,0)))</f>
        <v>DirectLine</v>
      </c>
      <c r="H78" cm="1">
        <f t="array" ref="H78">_xlfn.IFS(B78="","",(SUMIFS(SF_Output!$F$1:$F$400,SF_Output!$AC$1:$AC$400,_xlfn.TEXTJOIN(",",TRUE,B78:E78))+SUMIFS(SF_Output!$G$1:$G$400,SF_Output!$AC$1:$AC$400,_xlfn.TEXTJOIN(",",TRUE,B78:E78)))&lt;&gt;0,SF_Output!$Y$2,INDEX(SF_Output!$F$1:$F$400,MATCH(_xlfn.TEXTJOIN(",",TRUE,B78:E78),SF_Output!$AC$1:$AC$400,0))=0,INDEX(SF_Output!$R$1:$R$400,MATCH(_xlfn.TEXTJOIN(",",TRUE,B78:E78),SF_Output!$AC$1:$AC$400,0)))</f>
        <v>1</v>
      </c>
      <c r="I78" s="125" t="str">
        <f>IFERROR(IF(AND(H78&gt;1,H78&lt;&gt;""),ROUND(SUMIFS(SF_Output!$S$1:$S$400,SF_Output!$AC$1:$AC$400,_xlfn.TEXTJOIN(",",TRUE,B78:E78),SF_Output!$Q$1:$Q$400,"monthly")*(1-W78)/H78,4),""),"")</f>
        <v/>
      </c>
      <c r="J78" s="6">
        <f>IF(B78="","",SUMIFS(SF_Output!$S$1:$S$400,SF_Output!$AC$1:$AC$400,_xlfn.TEXTJOIN(",",TRUE,B78:E78),SF_Output!$Q$1:$Q$400,"One Time",SF_Output!$L$1:$L$400,"license fee")+SUMIFS(SF_Output!$S$1:$S$400,SF_Output!$AC$1:$AC$400,_xlfn.TEXTJOIN(",",TRUE,B78:E78),SF_Output!$Q$1:$Q$400,"One Time",SF_Output!$L$1:$L$400,"software license")+SUMIFS(SF_Output!$S$1:$S$400,SF_Output!$AC$1:$AC$400,_xlfn.TEXTJOIN(",",TRUE,B78:E78),SF_Output!$Q$1:$Q$400,"One Time",SF_Output!$L$1:$L$400,"hardware"))</f>
        <v>0</v>
      </c>
      <c r="K78" s="112" t="str">
        <f>IF(OR(B78=0,B78="",G78="hardware",J78=0),"",IF(AF78&lt;&gt;"exclusion",MAX(K$9,-((SUMIFS(SF_Output!$T$1:$T$400,SF_Output!$AC$1:$AC$400,_xlfn.TEXTJOIN(",",TRUE,$B78:$E78),SF_Output!$Q$1:$Q$400,"One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license"))/J78)),-((SUMIFS(SF_Output!$T$1:$T$400,SF_Output!$AC$1:$AC$400,_xlfn.TEXTJOIN(",",TRUE,$B78:$E78),SF_Output!$Q$1:$Q$400,"One Time",SF_Output!$L$1:$L$400,"license fee")+SUMIFS(SF_Output!$T$1:$T$400,SF_Output!$AC$1:$AC$400,_xlfn.TEXTJOIN(",",TRUE,$B78:$E78),SF_Output!$Q$1:$Q$400,"One Time",SF_Output!$L$1:$L$400,"software license"))/J78)))</f>
        <v/>
      </c>
      <c r="L78" s="6">
        <f t="shared" ref="L78:L141" si="5">IF(K78="",J78,J78*(1-K78))</f>
        <v>0</v>
      </c>
      <c r="N78" s="6">
        <f>IF(B78="","",SUMIFS(SF_Output!$S$1:$S$400,SF_Output!$AC$1:$AC$400,_xlfn.TEXTJOIN(",",TRUE,B78:E78),SF_Output!$Q$1:$Q$400,"One Time",SF_Output!$L$1:$L$400,"professional service"))</f>
        <v>2500</v>
      </c>
      <c r="O78" s="112">
        <f>IF(OR(B78=0,B78="",N78=0),"",IF(AF78&lt;&gt;"exclusion",MAX(O$9,-(SUMIFS(SF_Output!$T$1:$T$400,SF_Output!$AC$1:$AC$400,_xlfn.TEXTJOIN(",",TRUE,$B78:$E78),SF_Output!$Q$1:$Q$400,"One Time",SF_Output!$L$1:$L$400,"professional service"))/N78),-((SUMIFS(SF_Output!$T$1:$T$400,SF_Output!$AC$1:$AC$400,_xlfn.TEXTJOIN(",",TRUE,$B78:$E78),SF_Output!$Q$1:$Q$400,"One Time",SF_Output!$L$1:$L$400,"professional service")/N78))))</f>
        <v>0</v>
      </c>
      <c r="P78" s="6">
        <f t="shared" ref="P78:P141" si="6">IF(O78="",N78,N78*(1-O78))</f>
        <v>2500</v>
      </c>
      <c r="R78" s="6">
        <f>IF(B78="","",SUMIFS(SF_Output!$S$1:$S$400,SF_Output!$AC$1:$AC$400,_xlfn.TEXTJOIN(",",TRUE,B78:E78),SF_Output!$Q$1:$Q$400,"yearly")+SUMIFS(SF_Output!$S$1:$S$400,SF_Output!$AC$1:$AC$400,_xlfn.TEXTJOIN(",",TRUE,B78:E78),SF_Output!$Q$1:$Q$400,"quarterly")*4)</f>
        <v>0</v>
      </c>
      <c r="S78" s="112" t="str">
        <f>IF(OR(B78=0,B78="",G78="hardware",R78=0),"",IF(AF78&lt;&gt;"exclusion",MAX(S$9,-(SUMIFS(SF_Output!$T$1:$T$400,SF_Output!$AC$1:$AC$400,_xlfn.TEXTJOIN(",",TRUE,$B78:$E78),SF_Output!$Q$1:$Q$400,"yearly"))/R78),-((SUMIFS(SF_Output!$T$1:$T$400,SF_Output!$AC$1:$AC$400,_xlfn.TEXTJOIN(",",TRUE,$B78:$E78),SF_Output!$Q$1:$Q$400,"yearly")/R78))))</f>
        <v/>
      </c>
      <c r="T78" s="6">
        <f t="shared" ref="T78:T141" si="7">IF(S78="",R78,R78*(1-S78))</f>
        <v>0</v>
      </c>
      <c r="V78" s="6" cm="1">
        <f t="array" ref="V78">_xlfn.IFS(B78="","",AND(B78&lt;&gt;"",H78=SF_Output!$Y$2,SUMIFS(SF_Output!$T$1:$T$400,SF_Output!$AC$1:$AC$400,_xlfn.TEXTJOIN(",",TRUE,B78:E78),SF_Output!$Q$1:$Q$400,"monthly")=0),(SUMIFS(SF_Output!$F$1:$F$400,SF_Output!$AC$1:$AC$400,_xlfn.TEXTJOIN(",",TRUE,B78:E78),SF_Output!$Q$1:$Q$400,"monthly")+SUMIFS(SF_Output!$G$1:$G$400,SF_Output!$AC$1:$AC$400,_xlfn.TEXTJOIN(",",TRUE,B78:E78),SF_Output!$Q$1:$Q$400,"monthly"))*H78,AND(B78&lt;&gt;"",H78=SF_Output!$Y$2,SUMIFS(SF_Output!$T$1:$T$400,SF_Output!$AC$1:$AC$400,_xlfn.TEXTJOIN(",",TRUE,B78:E78),SF_Output!$Q$1:$Q$400,"monthly")&lt;&gt;0),SUMIFS(SF_Output!$S$1:$S$400,SF_Output!$AC$1:$AC$400,_xlfn.TEXTJOIN(",",TRUE,B78:E78),SF_Output!$Q$1:$Q$400,"monthly"),AND(B78&lt;&gt;"",H78&lt;&gt;SF_Output!$Y$2),SUMIFS(SF_Output!$S$1:$S$400,SF_Output!$AC$1:$AC$400,_xlfn.TEXTJOIN(",",TRUE,B78:E78),SF_Output!$Q$1:$Q$400,"monthly"))</f>
        <v>300</v>
      </c>
      <c r="W78" s="112" cm="1">
        <f t="array" ref="W78">_xlfn.IFS(OR(B78=0,B78="",V78=0),"",AF78&lt;&gt;"exclusion",MAX($W$9,$W$7,(-(SUMIFS(SF_Output!$T$1:$T$400,SF_Output!$AC$1:$AC$400,_xlfn.TEXTJOIN(",",TRUE,$B78:$E78),SF_Output!$Q$1:$Q$400,"monthly"))/V78)),AF78="exclusion",-(SUMIFS(SF_Output!$T$1:$T$400,SF_Output!$AC$1:$AC$400,_xlfn.TEXTJOIN(",",TRUE,$B78:$E78),SF_Output!$Q$1:$Q$400,"monthly"))/V78)</f>
        <v>0</v>
      </c>
      <c r="X78" s="6" cm="1">
        <f t="array" ref="X78">IFERROR(_xlfn.IFS(V78=0,0,V78="","",W78=0,V78,OR(V78&lt;&gt;0,V78&lt;&gt;""),H78*I78),V78*(1-W78))</f>
        <v>300</v>
      </c>
    </row>
    <row r="79" spans="2:24" x14ac:dyDescent="0.25">
      <c r="B79" t="s">
        <v>2231</v>
      </c>
      <c r="C79" t="s">
        <v>2122</v>
      </c>
      <c r="D79" t="s">
        <v>2123</v>
      </c>
      <c r="E79" t="s">
        <v>2124</v>
      </c>
      <c r="F79" s="116" t="str">
        <f t="shared" si="4"/>
        <v>Included</v>
      </c>
      <c r="G79" t="str">
        <f>IF(B79="","",INDEX(SF_Output!$K$1:$K$400,MATCH(B79,SF_Output!$M$1:$M$400,0)))</f>
        <v>JHA Payment Center</v>
      </c>
      <c r="H79" cm="1">
        <f t="array" ref="H79">_xlfn.IFS(B79="","",(SUMIFS(SF_Output!$F$1:$F$400,SF_Output!$AC$1:$AC$400,_xlfn.TEXTJOIN(",",TRUE,B79:E79))+SUMIFS(SF_Output!$G$1:$G$400,SF_Output!$AC$1:$AC$400,_xlfn.TEXTJOIN(",",TRUE,B79:E79)))&lt;&gt;0,SF_Output!$Y$2,INDEX(SF_Output!$F$1:$F$400,MATCH(_xlfn.TEXTJOIN(",",TRUE,B79:E79),SF_Output!$AC$1:$AC$400,0))=0,INDEX(SF_Output!$R$1:$R$400,MATCH(_xlfn.TEXTJOIN(",",TRUE,B79:E79),SF_Output!$AC$1:$AC$400,0)))</f>
        <v>1</v>
      </c>
      <c r="I79" s="125" t="str">
        <f>IFERROR(IF(AND(H79&gt;1,H79&lt;&gt;""),ROUND(SUMIFS(SF_Output!$S$1:$S$400,SF_Output!$AC$1:$AC$400,_xlfn.TEXTJOIN(",",TRUE,B79:E79),SF_Output!$Q$1:$Q$400,"monthly")*(1-W79)/H79,4),""),"")</f>
        <v/>
      </c>
      <c r="J79" s="6">
        <f>IF(B79="","",SUMIFS(SF_Output!$S$1:$S$400,SF_Output!$AC$1:$AC$400,_xlfn.TEXTJOIN(",",TRUE,B79:E79),SF_Output!$Q$1:$Q$400,"One Time",SF_Output!$L$1:$L$400,"license fee")+SUMIFS(SF_Output!$S$1:$S$400,SF_Output!$AC$1:$AC$400,_xlfn.TEXTJOIN(",",TRUE,B79:E79),SF_Output!$Q$1:$Q$400,"One Time",SF_Output!$L$1:$L$400,"software license")+SUMIFS(SF_Output!$S$1:$S$400,SF_Output!$AC$1:$AC$400,_xlfn.TEXTJOIN(",",TRUE,B79:E79),SF_Output!$Q$1:$Q$400,"One Time",SF_Output!$L$1:$L$400,"hardware"))</f>
        <v>0</v>
      </c>
      <c r="K79" s="112" t="str">
        <f>IF(OR(B79=0,B79="",G79="hardware",J79=0),"",IF(AF79&lt;&gt;"exclusion",MAX(K$9,-((SUMIFS(SF_Output!$T$1:$T$400,SF_Output!$AC$1:$AC$400,_xlfn.TEXTJOIN(",",TRUE,$B79:$E79),SF_Output!$Q$1:$Q$400,"One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license"))/J79)),-((SUMIFS(SF_Output!$T$1:$T$400,SF_Output!$AC$1:$AC$400,_xlfn.TEXTJOIN(",",TRUE,$B79:$E79),SF_Output!$Q$1:$Q$400,"One Time",SF_Output!$L$1:$L$400,"license fee")+SUMIFS(SF_Output!$T$1:$T$400,SF_Output!$AC$1:$AC$400,_xlfn.TEXTJOIN(",",TRUE,$B79:$E79),SF_Output!$Q$1:$Q$400,"One Time",SF_Output!$L$1:$L$400,"software license"))/J79)))</f>
        <v/>
      </c>
      <c r="L79" s="6">
        <f t="shared" si="5"/>
        <v>0</v>
      </c>
      <c r="N79" s="6">
        <f>IF(B79="","",SUMIFS(SF_Output!$S$1:$S$400,SF_Output!$AC$1:$AC$400,_xlfn.TEXTJOIN(",",TRUE,B79:E79),SF_Output!$Q$1:$Q$400,"One Time",SF_Output!$L$1:$L$400,"professional service"))</f>
        <v>5000</v>
      </c>
      <c r="O79" s="112">
        <f>IF(OR(B79=0,B79="",N79=0),"",IF(AF79&lt;&gt;"exclusion",MAX(O$9,-(SUMIFS(SF_Output!$T$1:$T$400,SF_Output!$AC$1:$AC$400,_xlfn.TEXTJOIN(",",TRUE,$B79:$E79),SF_Output!$Q$1:$Q$400,"One Time",SF_Output!$L$1:$L$400,"professional service"))/N79),-((SUMIFS(SF_Output!$T$1:$T$400,SF_Output!$AC$1:$AC$400,_xlfn.TEXTJOIN(",",TRUE,$B79:$E79),SF_Output!$Q$1:$Q$400,"One Time",SF_Output!$L$1:$L$400,"professional service")/N79))))</f>
        <v>1</v>
      </c>
      <c r="P79" s="6">
        <f t="shared" si="6"/>
        <v>0</v>
      </c>
      <c r="R79" s="6">
        <f>IF(B79="","",SUMIFS(SF_Output!$S$1:$S$400,SF_Output!$AC$1:$AC$400,_xlfn.TEXTJOIN(",",TRUE,B79:E79),SF_Output!$Q$1:$Q$400,"yearly")+SUMIFS(SF_Output!$S$1:$S$400,SF_Output!$AC$1:$AC$400,_xlfn.TEXTJOIN(",",TRUE,B79:E79),SF_Output!$Q$1:$Q$400,"quarterly")*4)</f>
        <v>0</v>
      </c>
      <c r="S79" s="112" t="str">
        <f>IF(OR(B79=0,B79="",G79="hardware",R79=0),"",IF(AF79&lt;&gt;"exclusion",MAX(S$9,-(SUMIFS(SF_Output!$T$1:$T$400,SF_Output!$AC$1:$AC$400,_xlfn.TEXTJOIN(",",TRUE,$B79:$E79),SF_Output!$Q$1:$Q$400,"yearly"))/R79),-((SUMIFS(SF_Output!$T$1:$T$400,SF_Output!$AC$1:$AC$400,_xlfn.TEXTJOIN(",",TRUE,$B79:$E79),SF_Output!$Q$1:$Q$400,"yearly")/R79))))</f>
        <v/>
      </c>
      <c r="T79" s="6">
        <f t="shared" si="7"/>
        <v>0</v>
      </c>
      <c r="V79" s="6" cm="1">
        <f t="array" ref="V79">_xlfn.IFS(B79="","",AND(B79&lt;&gt;"",H79=SF_Output!$Y$2,SUMIFS(SF_Output!$T$1:$T$400,SF_Output!$AC$1:$AC$400,_xlfn.TEXTJOIN(",",TRUE,B79:E79),SF_Output!$Q$1:$Q$400,"monthly")=0),(SUMIFS(SF_Output!$F$1:$F$400,SF_Output!$AC$1:$AC$400,_xlfn.TEXTJOIN(",",TRUE,B79:E79),SF_Output!$Q$1:$Q$400,"monthly")+SUMIFS(SF_Output!$G$1:$G$400,SF_Output!$AC$1:$AC$400,_xlfn.TEXTJOIN(",",TRUE,B79:E79),SF_Output!$Q$1:$Q$400,"monthly"))*H79,AND(B79&lt;&gt;"",H79=SF_Output!$Y$2,SUMIFS(SF_Output!$T$1:$T$400,SF_Output!$AC$1:$AC$400,_xlfn.TEXTJOIN(",",TRUE,B79:E79),SF_Output!$Q$1:$Q$400,"monthly")&lt;&gt;0),SUMIFS(SF_Output!$S$1:$S$400,SF_Output!$AC$1:$AC$400,_xlfn.TEXTJOIN(",",TRUE,B79:E79),SF_Output!$Q$1:$Q$400,"monthly"),AND(B79&lt;&gt;"",H79&lt;&gt;SF_Output!$Y$2),SUMIFS(SF_Output!$S$1:$S$400,SF_Output!$AC$1:$AC$400,_xlfn.TEXTJOIN(",",TRUE,B79:E79),SF_Output!$Q$1:$Q$400,"monthly"))</f>
        <v>0</v>
      </c>
      <c r="W79" s="112" t="str" cm="1">
        <f t="array" ref="W79">_xlfn.IFS(OR(B79=0,B79="",V79=0),"",AF79&lt;&gt;"exclusion",MAX($W$9,$W$7,(-(SUMIFS(SF_Output!$T$1:$T$400,SF_Output!$AC$1:$AC$400,_xlfn.TEXTJOIN(",",TRUE,$B79:$E79),SF_Output!$Q$1:$Q$400,"monthly"))/V79)),AF79="exclusion",-(SUMIFS(SF_Output!$T$1:$T$400,SF_Output!$AC$1:$AC$400,_xlfn.TEXTJOIN(",",TRUE,$B79:$E79),SF_Output!$Q$1:$Q$400,"monthly"))/V79)</f>
        <v/>
      </c>
      <c r="X79" s="6" cm="1">
        <f t="array" ref="X79">IFERROR(_xlfn.IFS(V79=0,0,V79="","",W79=0,V79,OR(V79&lt;&gt;0,V79&lt;&gt;""),H79*I79),V79*(1-W79))</f>
        <v>0</v>
      </c>
    </row>
    <row r="80" spans="2:24" x14ac:dyDescent="0.25">
      <c r="B80" t="s">
        <v>1322</v>
      </c>
      <c r="C80" t="s">
        <v>2122</v>
      </c>
      <c r="D80" t="s">
        <v>2123</v>
      </c>
      <c r="E80" t="s">
        <v>2124</v>
      </c>
      <c r="F80" s="116" t="str">
        <f t="shared" si="4"/>
        <v>Included</v>
      </c>
      <c r="G80" t="str">
        <f>IF(B80="","",INDEX(SF_Output!$K$1:$K$400,MATCH(B80,SF_Output!$M$1:$M$400,0)))</f>
        <v>JHA Payment Center</v>
      </c>
      <c r="H80" cm="1">
        <f t="array" ref="H80">_xlfn.IFS(B80="","",(SUMIFS(SF_Output!$F$1:$F$400,SF_Output!$AC$1:$AC$400,_xlfn.TEXTJOIN(",",TRUE,B80:E80))+SUMIFS(SF_Output!$G$1:$G$400,SF_Output!$AC$1:$AC$400,_xlfn.TEXTJOIN(",",TRUE,B80:E80)))&lt;&gt;0,SF_Output!$Y$2,INDEX(SF_Output!$F$1:$F$400,MATCH(_xlfn.TEXTJOIN(",",TRUE,B80:E80),SF_Output!$AC$1:$AC$400,0))=0,INDEX(SF_Output!$R$1:$R$400,MATCH(_xlfn.TEXTJOIN(",",TRUE,B80:E80),SF_Output!$AC$1:$AC$400,0)))</f>
        <v>1</v>
      </c>
      <c r="I80" s="125" t="str">
        <f>IFERROR(IF(AND(H80&gt;1,H80&lt;&gt;""),ROUND(SUMIFS(SF_Output!$S$1:$S$400,SF_Output!$AC$1:$AC$400,_xlfn.TEXTJOIN(",",TRUE,B80:E80),SF_Output!$Q$1:$Q$400,"monthly")*(1-W80)/H80,4),""),"")</f>
        <v/>
      </c>
      <c r="J80" s="6">
        <f>IF(B80="","",SUMIFS(SF_Output!$S$1:$S$400,SF_Output!$AC$1:$AC$400,_xlfn.TEXTJOIN(",",TRUE,B80:E80),SF_Output!$Q$1:$Q$400,"One Time",SF_Output!$L$1:$L$400,"license fee")+SUMIFS(SF_Output!$S$1:$S$400,SF_Output!$AC$1:$AC$400,_xlfn.TEXTJOIN(",",TRUE,B80:E80),SF_Output!$Q$1:$Q$400,"One Time",SF_Output!$L$1:$L$400,"software license")+SUMIFS(SF_Output!$S$1:$S$400,SF_Output!$AC$1:$AC$400,_xlfn.TEXTJOIN(",",TRUE,B80:E80),SF_Output!$Q$1:$Q$400,"One Time",SF_Output!$L$1:$L$400,"hardware"))</f>
        <v>0</v>
      </c>
      <c r="K80" s="112" t="str">
        <f>IF(OR(B80=0,B80="",G80="hardware",J80=0),"",IF(AF80&lt;&gt;"exclusion",MAX(K$9,-((SUMIFS(SF_Output!$T$1:$T$400,SF_Output!$AC$1:$AC$400,_xlfn.TEXTJOIN(",",TRUE,$B80:$E80),SF_Output!$Q$1:$Q$400,"One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license"))/J80)),-((SUMIFS(SF_Output!$T$1:$T$400,SF_Output!$AC$1:$AC$400,_xlfn.TEXTJOIN(",",TRUE,$B80:$E80),SF_Output!$Q$1:$Q$400,"One Time",SF_Output!$L$1:$L$400,"license fee")+SUMIFS(SF_Output!$T$1:$T$400,SF_Output!$AC$1:$AC$400,_xlfn.TEXTJOIN(",",TRUE,$B80:$E80),SF_Output!$Q$1:$Q$400,"One Time",SF_Output!$L$1:$L$400,"software license"))/J80)))</f>
        <v/>
      </c>
      <c r="L80" s="6">
        <f t="shared" si="5"/>
        <v>0</v>
      </c>
      <c r="N80" s="6">
        <f>IF(B80="","",SUMIFS(SF_Output!$S$1:$S$400,SF_Output!$AC$1:$AC$400,_xlfn.TEXTJOIN(",",TRUE,B80:E80),SF_Output!$Q$1:$Q$400,"One Time",SF_Output!$L$1:$L$400,"professional service"))</f>
        <v>3000</v>
      </c>
      <c r="O80" s="112">
        <f>IF(OR(B80=0,B80="",N80=0),"",IF(AF80&lt;&gt;"exclusion",MAX(O$9,-(SUMIFS(SF_Output!$T$1:$T$400,SF_Output!$AC$1:$AC$400,_xlfn.TEXTJOIN(",",TRUE,$B80:$E80),SF_Output!$Q$1:$Q$400,"One Time",SF_Output!$L$1:$L$400,"professional service"))/N80),-((SUMIFS(SF_Output!$T$1:$T$400,SF_Output!$AC$1:$AC$400,_xlfn.TEXTJOIN(",",TRUE,$B80:$E80),SF_Output!$Q$1:$Q$400,"One Time",SF_Output!$L$1:$L$400,"professional service")/N80))))</f>
        <v>1</v>
      </c>
      <c r="P80" s="6">
        <f t="shared" si="6"/>
        <v>0</v>
      </c>
      <c r="R80" s="6">
        <f>IF(B80="","",SUMIFS(SF_Output!$S$1:$S$400,SF_Output!$AC$1:$AC$400,_xlfn.TEXTJOIN(",",TRUE,B80:E80),SF_Output!$Q$1:$Q$400,"yearly")+SUMIFS(SF_Output!$S$1:$S$400,SF_Output!$AC$1:$AC$400,_xlfn.TEXTJOIN(",",TRUE,B80:E80),SF_Output!$Q$1:$Q$400,"quarterly")*4)</f>
        <v>0</v>
      </c>
      <c r="S80" s="112" t="str">
        <f>IF(OR(B80=0,B80="",G80="hardware",R80=0),"",IF(AF80&lt;&gt;"exclusion",MAX(S$9,-(SUMIFS(SF_Output!$T$1:$T$400,SF_Output!$AC$1:$AC$400,_xlfn.TEXTJOIN(",",TRUE,$B80:$E80),SF_Output!$Q$1:$Q$400,"yearly"))/R80),-((SUMIFS(SF_Output!$T$1:$T$400,SF_Output!$AC$1:$AC$400,_xlfn.TEXTJOIN(",",TRUE,$B80:$E80),SF_Output!$Q$1:$Q$400,"yearly")/R80))))</f>
        <v/>
      </c>
      <c r="T80" s="6">
        <f t="shared" si="7"/>
        <v>0</v>
      </c>
      <c r="V80" s="6" cm="1">
        <f t="array" ref="V80">_xlfn.IFS(B80="","",AND(B80&lt;&gt;"",H80=SF_Output!$Y$2,SUMIFS(SF_Output!$T$1:$T$400,SF_Output!$AC$1:$AC$400,_xlfn.TEXTJOIN(",",TRUE,B80:E80),SF_Output!$Q$1:$Q$400,"monthly")=0),(SUMIFS(SF_Output!$F$1:$F$400,SF_Output!$AC$1:$AC$400,_xlfn.TEXTJOIN(",",TRUE,B80:E80),SF_Output!$Q$1:$Q$400,"monthly")+SUMIFS(SF_Output!$G$1:$G$400,SF_Output!$AC$1:$AC$400,_xlfn.TEXTJOIN(",",TRUE,B80:E80),SF_Output!$Q$1:$Q$400,"monthly"))*H80,AND(B80&lt;&gt;"",H80=SF_Output!$Y$2,SUMIFS(SF_Output!$T$1:$T$400,SF_Output!$AC$1:$AC$400,_xlfn.TEXTJOIN(",",TRUE,B80:E80),SF_Output!$Q$1:$Q$400,"monthly")&lt;&gt;0),SUMIFS(SF_Output!$S$1:$S$400,SF_Output!$AC$1:$AC$400,_xlfn.TEXTJOIN(",",TRUE,B80:E80),SF_Output!$Q$1:$Q$400,"monthly"),AND(B80&lt;&gt;"",H80&lt;&gt;SF_Output!$Y$2),SUMIFS(SF_Output!$S$1:$S$400,SF_Output!$AC$1:$AC$400,_xlfn.TEXTJOIN(",",TRUE,B80:E80),SF_Output!$Q$1:$Q$400,"monthly"))</f>
        <v>600</v>
      </c>
      <c r="W80" s="112" cm="1">
        <f t="array" ref="W80">_xlfn.IFS(OR(B80=0,B80="",V80=0),"",AF80&lt;&gt;"exclusion",MAX($W$9,$W$7,(-(SUMIFS(SF_Output!$T$1:$T$400,SF_Output!$AC$1:$AC$400,_xlfn.TEXTJOIN(",",TRUE,$B80:$E80),SF_Output!$Q$1:$Q$400,"monthly"))/V80)),AF80="exclusion",-(SUMIFS(SF_Output!$T$1:$T$400,SF_Output!$AC$1:$AC$400,_xlfn.TEXTJOIN(",",TRUE,$B80:$E80),SF_Output!$Q$1:$Q$400,"monthly"))/V80)</f>
        <v>0</v>
      </c>
      <c r="X80" s="6" cm="1">
        <f t="array" ref="X80">IFERROR(_xlfn.IFS(V80=0,0,V80="","",W80=0,V80,OR(V80&lt;&gt;0,V80&lt;&gt;""),H80*I80),V80*(1-W80))</f>
        <v>600</v>
      </c>
    </row>
    <row r="81" spans="2:24" x14ac:dyDescent="0.25">
      <c r="B81" t="s">
        <v>2235</v>
      </c>
      <c r="C81" t="s">
        <v>2122</v>
      </c>
      <c r="D81" t="s">
        <v>2123</v>
      </c>
      <c r="E81" t="s">
        <v>2124</v>
      </c>
      <c r="F81" s="116" t="str">
        <f t="shared" si="4"/>
        <v>Included</v>
      </c>
      <c r="G81" t="str">
        <f>IF(B81="","",INDEX(SF_Output!$K$1:$K$400,MATCH(B81,SF_Output!$M$1:$M$400,0)))</f>
        <v>JHA Payment Center</v>
      </c>
      <c r="H81" cm="1">
        <f t="array" ref="H81">_xlfn.IFS(B81="","",(SUMIFS(SF_Output!$F$1:$F$400,SF_Output!$AC$1:$AC$400,_xlfn.TEXTJOIN(",",TRUE,B81:E81))+SUMIFS(SF_Output!$G$1:$G$400,SF_Output!$AC$1:$AC$400,_xlfn.TEXTJOIN(",",TRUE,B81:E81)))&lt;&gt;0,SF_Output!$Y$2,INDEX(SF_Output!$F$1:$F$400,MATCH(_xlfn.TEXTJOIN(",",TRUE,B81:E81),SF_Output!$AC$1:$AC$400,0))=0,INDEX(SF_Output!$R$1:$R$400,MATCH(_xlfn.TEXTJOIN(",",TRUE,B81:E81),SF_Output!$AC$1:$AC$400,0)))</f>
        <v>1</v>
      </c>
      <c r="I81" s="125" t="str">
        <f>IFERROR(IF(AND(H81&gt;1,H81&lt;&gt;""),ROUND(SUMIFS(SF_Output!$S$1:$S$400,SF_Output!$AC$1:$AC$400,_xlfn.TEXTJOIN(",",TRUE,B81:E81),SF_Output!$Q$1:$Q$400,"monthly")*(1-W81)/H81,4),""),"")</f>
        <v/>
      </c>
      <c r="J81" s="6">
        <f>IF(B81="","",SUMIFS(SF_Output!$S$1:$S$400,SF_Output!$AC$1:$AC$400,_xlfn.TEXTJOIN(",",TRUE,B81:E81),SF_Output!$Q$1:$Q$400,"One Time",SF_Output!$L$1:$L$400,"license fee")+SUMIFS(SF_Output!$S$1:$S$400,SF_Output!$AC$1:$AC$400,_xlfn.TEXTJOIN(",",TRUE,B81:E81),SF_Output!$Q$1:$Q$400,"One Time",SF_Output!$L$1:$L$400,"software license")+SUMIFS(SF_Output!$S$1:$S$400,SF_Output!$AC$1:$AC$400,_xlfn.TEXTJOIN(",",TRUE,B81:E81),SF_Output!$Q$1:$Q$400,"One Time",SF_Output!$L$1:$L$400,"hardware"))</f>
        <v>0</v>
      </c>
      <c r="K81" s="112" t="str">
        <f>IF(OR(B81=0,B81="",G81="hardware",J81=0),"",IF(AF81&lt;&gt;"exclusion",MAX(K$9,-((SUMIFS(SF_Output!$T$1:$T$400,SF_Output!$AC$1:$AC$400,_xlfn.TEXTJOIN(",",TRUE,$B81:$E81),SF_Output!$Q$1:$Q$400,"One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license"))/J81)),-((SUMIFS(SF_Output!$T$1:$T$400,SF_Output!$AC$1:$AC$400,_xlfn.TEXTJOIN(",",TRUE,$B81:$E81),SF_Output!$Q$1:$Q$400,"One Time",SF_Output!$L$1:$L$400,"license fee")+SUMIFS(SF_Output!$T$1:$T$400,SF_Output!$AC$1:$AC$400,_xlfn.TEXTJOIN(",",TRUE,$B81:$E81),SF_Output!$Q$1:$Q$400,"One Time",SF_Output!$L$1:$L$400,"software license"))/J81)))</f>
        <v/>
      </c>
      <c r="L81" s="6">
        <f t="shared" si="5"/>
        <v>0</v>
      </c>
      <c r="N81" s="6">
        <f>IF(B81="","",SUMIFS(SF_Output!$S$1:$S$400,SF_Output!$AC$1:$AC$400,_xlfn.TEXTJOIN(",",TRUE,B81:E81),SF_Output!$Q$1:$Q$400,"One Time",SF_Output!$L$1:$L$400,"professional service"))</f>
        <v>1000</v>
      </c>
      <c r="O81" s="112">
        <f>IF(OR(B81=0,B81="",N81=0),"",IF(AF81&lt;&gt;"exclusion",MAX(O$9,-(SUMIFS(SF_Output!$T$1:$T$400,SF_Output!$AC$1:$AC$400,_xlfn.TEXTJOIN(",",TRUE,$B81:$E81),SF_Output!$Q$1:$Q$400,"One Time",SF_Output!$L$1:$L$400,"professional service"))/N81),-((SUMIFS(SF_Output!$T$1:$T$400,SF_Output!$AC$1:$AC$400,_xlfn.TEXTJOIN(",",TRUE,$B81:$E81),SF_Output!$Q$1:$Q$400,"One Time",SF_Output!$L$1:$L$400,"professional service")/N81))))</f>
        <v>1</v>
      </c>
      <c r="P81" s="6">
        <f t="shared" si="6"/>
        <v>0</v>
      </c>
      <c r="R81" s="6">
        <f>IF(B81="","",SUMIFS(SF_Output!$S$1:$S$400,SF_Output!$AC$1:$AC$400,_xlfn.TEXTJOIN(",",TRUE,B81:E81),SF_Output!$Q$1:$Q$400,"yearly")+SUMIFS(SF_Output!$S$1:$S$400,SF_Output!$AC$1:$AC$400,_xlfn.TEXTJOIN(",",TRUE,B81:E81),SF_Output!$Q$1:$Q$400,"quarterly")*4)</f>
        <v>0</v>
      </c>
      <c r="S81" s="112" t="str">
        <f>IF(OR(B81=0,B81="",G81="hardware",R81=0),"",IF(AF81&lt;&gt;"exclusion",MAX(S$9,-(SUMIFS(SF_Output!$T$1:$T$400,SF_Output!$AC$1:$AC$400,_xlfn.TEXTJOIN(",",TRUE,$B81:$E81),SF_Output!$Q$1:$Q$400,"yearly"))/R81),-((SUMIFS(SF_Output!$T$1:$T$400,SF_Output!$AC$1:$AC$400,_xlfn.TEXTJOIN(",",TRUE,$B81:$E81),SF_Output!$Q$1:$Q$400,"yearly")/R81))))</f>
        <v/>
      </c>
      <c r="T81" s="6">
        <f t="shared" si="7"/>
        <v>0</v>
      </c>
      <c r="V81" s="6" cm="1">
        <f t="array" ref="V81">_xlfn.IFS(B81="","",AND(B81&lt;&gt;"",H81=SF_Output!$Y$2,SUMIFS(SF_Output!$T$1:$T$400,SF_Output!$AC$1:$AC$400,_xlfn.TEXTJOIN(",",TRUE,B81:E81),SF_Output!$Q$1:$Q$400,"monthly")=0),(SUMIFS(SF_Output!$F$1:$F$400,SF_Output!$AC$1:$AC$400,_xlfn.TEXTJOIN(",",TRUE,B81:E81),SF_Output!$Q$1:$Q$400,"monthly")+SUMIFS(SF_Output!$G$1:$G$400,SF_Output!$AC$1:$AC$400,_xlfn.TEXTJOIN(",",TRUE,B81:E81),SF_Output!$Q$1:$Q$400,"monthly"))*H81,AND(B81&lt;&gt;"",H81=SF_Output!$Y$2,SUMIFS(SF_Output!$T$1:$T$400,SF_Output!$AC$1:$AC$400,_xlfn.TEXTJOIN(",",TRUE,B81:E81),SF_Output!$Q$1:$Q$400,"monthly")&lt;&gt;0),SUMIFS(SF_Output!$S$1:$S$400,SF_Output!$AC$1:$AC$400,_xlfn.TEXTJOIN(",",TRUE,B81:E81),SF_Output!$Q$1:$Q$400,"monthly"),AND(B81&lt;&gt;"",H81&lt;&gt;SF_Output!$Y$2),SUMIFS(SF_Output!$S$1:$S$400,SF_Output!$AC$1:$AC$400,_xlfn.TEXTJOIN(",",TRUE,B81:E81),SF_Output!$Q$1:$Q$400,"monthly"))</f>
        <v>400</v>
      </c>
      <c r="W81" s="112" cm="1">
        <f t="array" ref="W81">_xlfn.IFS(OR(B81=0,B81="",V81=0),"",AF81&lt;&gt;"exclusion",MAX($W$9,$W$7,(-(SUMIFS(SF_Output!$T$1:$T$400,SF_Output!$AC$1:$AC$400,_xlfn.TEXTJOIN(",",TRUE,$B81:$E81),SF_Output!$Q$1:$Q$400,"monthly"))/V81)),AF81="exclusion",-(SUMIFS(SF_Output!$T$1:$T$400,SF_Output!$AC$1:$AC$400,_xlfn.TEXTJOIN(",",TRUE,$B81:$E81),SF_Output!$Q$1:$Q$400,"monthly"))/V81)</f>
        <v>0</v>
      </c>
      <c r="X81" s="6" cm="1">
        <f t="array" ref="X81">IFERROR(_xlfn.IFS(V81=0,0,V81="","",W81=0,V81,OR(V81&lt;&gt;0,V81&lt;&gt;""),H81*I81),V81*(1-W81))</f>
        <v>400</v>
      </c>
    </row>
    <row r="82" spans="2:24" x14ac:dyDescent="0.25">
      <c r="B82" t="s">
        <v>2238</v>
      </c>
      <c r="C82" t="s">
        <v>2122</v>
      </c>
      <c r="D82" t="s">
        <v>2123</v>
      </c>
      <c r="E82" t="s">
        <v>2124</v>
      </c>
      <c r="F82" s="116" t="str">
        <f t="shared" si="4"/>
        <v>Included</v>
      </c>
      <c r="G82" t="str">
        <f>IF(B82="","",INDEX(SF_Output!$K$1:$K$400,MATCH(B82,SF_Output!$M$1:$M$400,0)))</f>
        <v>JHA Payment Center</v>
      </c>
      <c r="H82" cm="1">
        <f t="array" ref="H82">_xlfn.IFS(B82="","",(SUMIFS(SF_Output!$F$1:$F$400,SF_Output!$AC$1:$AC$400,_xlfn.TEXTJOIN(",",TRUE,B82:E82))+SUMIFS(SF_Output!$G$1:$G$400,SF_Output!$AC$1:$AC$400,_xlfn.TEXTJOIN(",",TRUE,B82:E82)))&lt;&gt;0,SF_Output!$Y$2,INDEX(SF_Output!$F$1:$F$400,MATCH(_xlfn.TEXTJOIN(",",TRUE,B82:E82),SF_Output!$AC$1:$AC$400,0))=0,INDEX(SF_Output!$R$1:$R$400,MATCH(_xlfn.TEXTJOIN(",",TRUE,B82:E82),SF_Output!$AC$1:$AC$400,0)))</f>
        <v>1</v>
      </c>
      <c r="I82" s="125" t="str">
        <f>IFERROR(IF(AND(H82&gt;1,H82&lt;&gt;""),ROUND(SUMIFS(SF_Output!$S$1:$S$400,SF_Output!$AC$1:$AC$400,_xlfn.TEXTJOIN(",",TRUE,B82:E82),SF_Output!$Q$1:$Q$400,"monthly")*(1-W82)/H82,4),""),"")</f>
        <v/>
      </c>
      <c r="J82" s="6">
        <f>IF(B82="","",SUMIFS(SF_Output!$S$1:$S$400,SF_Output!$AC$1:$AC$400,_xlfn.TEXTJOIN(",",TRUE,B82:E82),SF_Output!$Q$1:$Q$400,"One Time",SF_Output!$L$1:$L$400,"license fee")+SUMIFS(SF_Output!$S$1:$S$400,SF_Output!$AC$1:$AC$400,_xlfn.TEXTJOIN(",",TRUE,B82:E82),SF_Output!$Q$1:$Q$400,"One Time",SF_Output!$L$1:$L$400,"software license")+SUMIFS(SF_Output!$S$1:$S$400,SF_Output!$AC$1:$AC$400,_xlfn.TEXTJOIN(",",TRUE,B82:E82),SF_Output!$Q$1:$Q$400,"One Time",SF_Output!$L$1:$L$400,"hardware"))</f>
        <v>0</v>
      </c>
      <c r="K82" s="112" t="str">
        <f>IF(OR(B82=0,B82="",G82="hardware",J82=0),"",IF(AF82&lt;&gt;"exclusion",MAX(K$9,-((SUMIFS(SF_Output!$T$1:$T$400,SF_Output!$AC$1:$AC$400,_xlfn.TEXTJOIN(",",TRUE,$B82:$E82),SF_Output!$Q$1:$Q$400,"One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license"))/J82)),-((SUMIFS(SF_Output!$T$1:$T$400,SF_Output!$AC$1:$AC$400,_xlfn.TEXTJOIN(",",TRUE,$B82:$E82),SF_Output!$Q$1:$Q$400,"One Time",SF_Output!$L$1:$L$400,"license fee")+SUMIFS(SF_Output!$T$1:$T$400,SF_Output!$AC$1:$AC$400,_xlfn.TEXTJOIN(",",TRUE,$B82:$E82),SF_Output!$Q$1:$Q$400,"One Time",SF_Output!$L$1:$L$400,"software license"))/J82)))</f>
        <v/>
      </c>
      <c r="L82" s="6">
        <f t="shared" si="5"/>
        <v>0</v>
      </c>
      <c r="N82" s="6">
        <f>IF(B82="","",SUMIFS(SF_Output!$S$1:$S$400,SF_Output!$AC$1:$AC$400,_xlfn.TEXTJOIN(",",TRUE,B82:E82),SF_Output!$Q$1:$Q$400,"One Time",SF_Output!$L$1:$L$400,"professional service"))</f>
        <v>1000</v>
      </c>
      <c r="O82" s="112">
        <f>IF(OR(B82=0,B82="",N82=0),"",IF(AF82&lt;&gt;"exclusion",MAX(O$9,-(SUMIFS(SF_Output!$T$1:$T$400,SF_Output!$AC$1:$AC$400,_xlfn.TEXTJOIN(",",TRUE,$B82:$E82),SF_Output!$Q$1:$Q$400,"One Time",SF_Output!$L$1:$L$400,"professional service"))/N82),-((SUMIFS(SF_Output!$T$1:$T$400,SF_Output!$AC$1:$AC$400,_xlfn.TEXTJOIN(",",TRUE,$B82:$E82),SF_Output!$Q$1:$Q$400,"One Time",SF_Output!$L$1:$L$400,"professional service")/N82))))</f>
        <v>1</v>
      </c>
      <c r="P82" s="6">
        <f t="shared" si="6"/>
        <v>0</v>
      </c>
      <c r="R82" s="6">
        <f>IF(B82="","",SUMIFS(SF_Output!$S$1:$S$400,SF_Output!$AC$1:$AC$400,_xlfn.TEXTJOIN(",",TRUE,B82:E82),SF_Output!$Q$1:$Q$400,"yearly")+SUMIFS(SF_Output!$S$1:$S$400,SF_Output!$AC$1:$AC$400,_xlfn.TEXTJOIN(",",TRUE,B82:E82),SF_Output!$Q$1:$Q$400,"quarterly")*4)</f>
        <v>0</v>
      </c>
      <c r="S82" s="112" t="str">
        <f>IF(OR(B82=0,B82="",G82="hardware",R82=0),"",IF(AF82&lt;&gt;"exclusion",MAX(S$9,-(SUMIFS(SF_Output!$T$1:$T$400,SF_Output!$AC$1:$AC$400,_xlfn.TEXTJOIN(",",TRUE,$B82:$E82),SF_Output!$Q$1:$Q$400,"yearly"))/R82),-((SUMIFS(SF_Output!$T$1:$T$400,SF_Output!$AC$1:$AC$400,_xlfn.TEXTJOIN(",",TRUE,$B82:$E82),SF_Output!$Q$1:$Q$400,"yearly")/R82))))</f>
        <v/>
      </c>
      <c r="T82" s="6">
        <f t="shared" si="7"/>
        <v>0</v>
      </c>
      <c r="V82" s="6" cm="1">
        <f t="array" ref="V82">_xlfn.IFS(B82="","",AND(B82&lt;&gt;"",H82=SF_Output!$Y$2,SUMIFS(SF_Output!$T$1:$T$400,SF_Output!$AC$1:$AC$400,_xlfn.TEXTJOIN(",",TRUE,B82:E82),SF_Output!$Q$1:$Q$400,"monthly")=0),(SUMIFS(SF_Output!$F$1:$F$400,SF_Output!$AC$1:$AC$400,_xlfn.TEXTJOIN(",",TRUE,B82:E82),SF_Output!$Q$1:$Q$400,"monthly")+SUMIFS(SF_Output!$G$1:$G$400,SF_Output!$AC$1:$AC$400,_xlfn.TEXTJOIN(",",TRUE,B82:E82),SF_Output!$Q$1:$Q$400,"monthly"))*H82,AND(B82&lt;&gt;"",H82=SF_Output!$Y$2,SUMIFS(SF_Output!$T$1:$T$400,SF_Output!$AC$1:$AC$400,_xlfn.TEXTJOIN(",",TRUE,B82:E82),SF_Output!$Q$1:$Q$400,"monthly")&lt;&gt;0),SUMIFS(SF_Output!$S$1:$S$400,SF_Output!$AC$1:$AC$400,_xlfn.TEXTJOIN(",",TRUE,B82:E82),SF_Output!$Q$1:$Q$400,"monthly"),AND(B82&lt;&gt;"",H82&lt;&gt;SF_Output!$Y$2),SUMIFS(SF_Output!$S$1:$S$400,SF_Output!$AC$1:$AC$400,_xlfn.TEXTJOIN(",",TRUE,B82:E82),SF_Output!$Q$1:$Q$400,"monthly"))</f>
        <v>400</v>
      </c>
      <c r="W82" s="112" cm="1">
        <f t="array" ref="W82">_xlfn.IFS(OR(B82=0,B82="",V82=0),"",AF82&lt;&gt;"exclusion",MAX($W$9,$W$7,(-(SUMIFS(SF_Output!$T$1:$T$400,SF_Output!$AC$1:$AC$400,_xlfn.TEXTJOIN(",",TRUE,$B82:$E82),SF_Output!$Q$1:$Q$400,"monthly"))/V82)),AF82="exclusion",-(SUMIFS(SF_Output!$T$1:$T$400,SF_Output!$AC$1:$AC$400,_xlfn.TEXTJOIN(",",TRUE,$B82:$E82),SF_Output!$Q$1:$Q$400,"monthly"))/V82)</f>
        <v>0</v>
      </c>
      <c r="X82" s="6" cm="1">
        <f t="array" ref="X82">IFERROR(_xlfn.IFS(V82=0,0,V82="","",W82=0,V82,OR(V82&lt;&gt;0,V82&lt;&gt;""),H82*I82),V82*(1-W82))</f>
        <v>400</v>
      </c>
    </row>
    <row r="83" spans="2:24" x14ac:dyDescent="0.25">
      <c r="B83" t="s">
        <v>1122</v>
      </c>
      <c r="C83" t="s">
        <v>2122</v>
      </c>
      <c r="D83" t="s">
        <v>2123</v>
      </c>
      <c r="E83" t="s">
        <v>2124</v>
      </c>
      <c r="F83" s="116" t="str">
        <f t="shared" si="4"/>
        <v>Included</v>
      </c>
      <c r="G83" t="str">
        <f>IF(B83="","",INDEX(SF_Output!$K$1:$K$400,MATCH(B83,SF_Output!$M$1:$M$400,0)))</f>
        <v>Enterprise Payment Solutions (EPS)</v>
      </c>
      <c r="H83" cm="1">
        <f t="array" ref="H83">_xlfn.IFS(B83="","",(SUMIFS(SF_Output!$F$1:$F$400,SF_Output!$AC$1:$AC$400,_xlfn.TEXTJOIN(",",TRUE,B83:E83))+SUMIFS(SF_Output!$G$1:$G$400,SF_Output!$AC$1:$AC$400,_xlfn.TEXTJOIN(",",TRUE,B83:E83)))&lt;&gt;0,SF_Output!$Y$2,INDEX(SF_Output!$F$1:$F$400,MATCH(_xlfn.TEXTJOIN(",",TRUE,B83:E83),SF_Output!$AC$1:$AC$400,0))=0,INDEX(SF_Output!$R$1:$R$400,MATCH(_xlfn.TEXTJOIN(",",TRUE,B83:E83),SF_Output!$AC$1:$AC$400,0)))</f>
        <v>1</v>
      </c>
      <c r="I83" s="125" t="str">
        <f>IFERROR(IF(AND(H83&gt;1,H83&lt;&gt;""),ROUND(SUMIFS(SF_Output!$S$1:$S$400,SF_Output!$AC$1:$AC$400,_xlfn.TEXTJOIN(",",TRUE,B83:E83),SF_Output!$Q$1:$Q$400,"monthly")*(1-W83)/H83,4),""),"")</f>
        <v/>
      </c>
      <c r="J83" s="6">
        <f>IF(B83="","",SUMIFS(SF_Output!$S$1:$S$400,SF_Output!$AC$1:$AC$400,_xlfn.TEXTJOIN(",",TRUE,B83:E83),SF_Output!$Q$1:$Q$400,"One Time",SF_Output!$L$1:$L$400,"license fee")+SUMIFS(SF_Output!$S$1:$S$400,SF_Output!$AC$1:$AC$400,_xlfn.TEXTJOIN(",",TRUE,B83:E83),SF_Output!$Q$1:$Q$400,"One Time",SF_Output!$L$1:$L$400,"software license")+SUMIFS(SF_Output!$S$1:$S$400,SF_Output!$AC$1:$AC$400,_xlfn.TEXTJOIN(",",TRUE,B83:E83),SF_Output!$Q$1:$Q$400,"One Time",SF_Output!$L$1:$L$400,"hardware"))</f>
        <v>0</v>
      </c>
      <c r="K83" s="112" t="str">
        <f>IF(OR(B83=0,B83="",G83="hardware",J83=0),"",IF(AF83&lt;&gt;"exclusion",MAX(K$9,-((SUMIFS(SF_Output!$T$1:$T$400,SF_Output!$AC$1:$AC$400,_xlfn.TEXTJOIN(",",TRUE,$B83:$E83),SF_Output!$Q$1:$Q$400,"One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license"))/J83)),-((SUMIFS(SF_Output!$T$1:$T$400,SF_Output!$AC$1:$AC$400,_xlfn.TEXTJOIN(",",TRUE,$B83:$E83),SF_Output!$Q$1:$Q$400,"One Time",SF_Output!$L$1:$L$400,"license fee")+SUMIFS(SF_Output!$T$1:$T$400,SF_Output!$AC$1:$AC$400,_xlfn.TEXTJOIN(",",TRUE,$B83:$E83),SF_Output!$Q$1:$Q$400,"One Time",SF_Output!$L$1:$L$400,"software license"))/J83)))</f>
        <v/>
      </c>
      <c r="L83" s="6">
        <f t="shared" si="5"/>
        <v>0</v>
      </c>
      <c r="N83" s="6">
        <f>IF(B83="","",SUMIFS(SF_Output!$S$1:$S$400,SF_Output!$AC$1:$AC$400,_xlfn.TEXTJOIN(",",TRUE,B83:E83),SF_Output!$Q$1:$Q$400,"One Time",SF_Output!$L$1:$L$400,"professional service"))</f>
        <v>2500</v>
      </c>
      <c r="O83" s="112">
        <f>IF(OR(B83=0,B83="",N83=0),"",IF(AF83&lt;&gt;"exclusion",MAX(O$9,-(SUMIFS(SF_Output!$T$1:$T$400,SF_Output!$AC$1:$AC$400,_xlfn.TEXTJOIN(",",TRUE,$B83:$E83),SF_Output!$Q$1:$Q$400,"One Time",SF_Output!$L$1:$L$400,"professional service"))/N83),-((SUMIFS(SF_Output!$T$1:$T$400,SF_Output!$AC$1:$AC$400,_xlfn.TEXTJOIN(",",TRUE,$B83:$E83),SF_Output!$Q$1:$Q$400,"One Time",SF_Output!$L$1:$L$400,"professional service")/N83))))</f>
        <v>1</v>
      </c>
      <c r="P83" s="6">
        <f t="shared" si="6"/>
        <v>0</v>
      </c>
      <c r="R83" s="6">
        <f>IF(B83="","",SUMIFS(SF_Output!$S$1:$S$400,SF_Output!$AC$1:$AC$400,_xlfn.TEXTJOIN(",",TRUE,B83:E83),SF_Output!$Q$1:$Q$400,"yearly")+SUMIFS(SF_Output!$S$1:$S$400,SF_Output!$AC$1:$AC$400,_xlfn.TEXTJOIN(",",TRUE,B83:E83),SF_Output!$Q$1:$Q$400,"quarterly")*4)</f>
        <v>0</v>
      </c>
      <c r="S83" s="112" t="str">
        <f>IF(OR(B83=0,B83="",G83="hardware",R83=0),"",IF(AF83&lt;&gt;"exclusion",MAX(S$9,-(SUMIFS(SF_Output!$T$1:$T$400,SF_Output!$AC$1:$AC$400,_xlfn.TEXTJOIN(",",TRUE,$B83:$E83),SF_Output!$Q$1:$Q$400,"yearly"))/R83),-((SUMIFS(SF_Output!$T$1:$T$400,SF_Output!$AC$1:$AC$400,_xlfn.TEXTJOIN(",",TRUE,$B83:$E83),SF_Output!$Q$1:$Q$400,"yearly")/R83))))</f>
        <v/>
      </c>
      <c r="T83" s="6">
        <f t="shared" si="7"/>
        <v>0</v>
      </c>
      <c r="V83" s="6" cm="1">
        <f t="array" ref="V83">_xlfn.IFS(B83="","",AND(B83&lt;&gt;"",H83=SF_Output!$Y$2,SUMIFS(SF_Output!$T$1:$T$400,SF_Output!$AC$1:$AC$400,_xlfn.TEXTJOIN(",",TRUE,B83:E83),SF_Output!$Q$1:$Q$400,"monthly")=0),(SUMIFS(SF_Output!$F$1:$F$400,SF_Output!$AC$1:$AC$400,_xlfn.TEXTJOIN(",",TRUE,B83:E83),SF_Output!$Q$1:$Q$400,"monthly")+SUMIFS(SF_Output!$G$1:$G$400,SF_Output!$AC$1:$AC$400,_xlfn.TEXTJOIN(",",TRUE,B83:E83),SF_Output!$Q$1:$Q$400,"monthly"))*H83,AND(B83&lt;&gt;"",H83=SF_Output!$Y$2,SUMIFS(SF_Output!$T$1:$T$400,SF_Output!$AC$1:$AC$400,_xlfn.TEXTJOIN(",",TRUE,B83:E83),SF_Output!$Q$1:$Q$400,"monthly")&lt;&gt;0),SUMIFS(SF_Output!$S$1:$S$400,SF_Output!$AC$1:$AC$400,_xlfn.TEXTJOIN(",",TRUE,B83:E83),SF_Output!$Q$1:$Q$400,"monthly"),AND(B83&lt;&gt;"",H83&lt;&gt;SF_Output!$Y$2),SUMIFS(SF_Output!$S$1:$S$400,SF_Output!$AC$1:$AC$400,_xlfn.TEXTJOIN(",",TRUE,B83:E83),SF_Output!$Q$1:$Q$400,"monthly"))</f>
        <v>0</v>
      </c>
      <c r="W83" s="112" t="str" cm="1">
        <f t="array" ref="W83">_xlfn.IFS(OR(B83=0,B83="",V83=0),"",AF83&lt;&gt;"exclusion",MAX($W$9,$W$7,(-(SUMIFS(SF_Output!$T$1:$T$400,SF_Output!$AC$1:$AC$400,_xlfn.TEXTJOIN(",",TRUE,$B83:$E83),SF_Output!$Q$1:$Q$400,"monthly"))/V83)),AF83="exclusion",-(SUMIFS(SF_Output!$T$1:$T$400,SF_Output!$AC$1:$AC$400,_xlfn.TEXTJOIN(",",TRUE,$B83:$E83),SF_Output!$Q$1:$Q$400,"monthly"))/V83)</f>
        <v/>
      </c>
      <c r="X83" s="6" cm="1">
        <f t="array" ref="X83">IFERROR(_xlfn.IFS(V83=0,0,V83="","",W83=0,V83,OR(V83&lt;&gt;0,V83&lt;&gt;""),H83*I83),V83*(1-W83))</f>
        <v>0</v>
      </c>
    </row>
    <row r="84" spans="2:24" x14ac:dyDescent="0.25">
      <c r="B84" t="s">
        <v>1479</v>
      </c>
      <c r="C84" t="s">
        <v>2122</v>
      </c>
      <c r="D84" t="s">
        <v>2123</v>
      </c>
      <c r="E84" t="s">
        <v>2124</v>
      </c>
      <c r="F84" s="116" t="str">
        <f t="shared" si="4"/>
        <v>Included</v>
      </c>
      <c r="G84" t="str">
        <f>IF(B84="","",INDEX(SF_Output!$K$1:$K$400,MATCH(B84,SF_Output!$M$1:$M$400,0)))</f>
        <v>Enterprise Payment Solutions (EPS)</v>
      </c>
      <c r="H84" cm="1">
        <f t="array" ref="H84">_xlfn.IFS(B84="","",(SUMIFS(SF_Output!$F$1:$F$400,SF_Output!$AC$1:$AC$400,_xlfn.TEXTJOIN(",",TRUE,B84:E84))+SUMIFS(SF_Output!$G$1:$G$400,SF_Output!$AC$1:$AC$400,_xlfn.TEXTJOIN(",",TRUE,B84:E84)))&lt;&gt;0,SF_Output!$Y$2,INDEX(SF_Output!$F$1:$F$400,MATCH(_xlfn.TEXTJOIN(",",TRUE,B84:E84),SF_Output!$AC$1:$AC$400,0))=0,INDEX(SF_Output!$R$1:$R$400,MATCH(_xlfn.TEXTJOIN(",",TRUE,B84:E84),SF_Output!$AC$1:$AC$400,0)))</f>
        <v>1</v>
      </c>
      <c r="I84" s="125" t="str">
        <f>IFERROR(IF(AND(H84&gt;1,H84&lt;&gt;""),ROUND(SUMIFS(SF_Output!$S$1:$S$400,SF_Output!$AC$1:$AC$400,_xlfn.TEXTJOIN(",",TRUE,B84:E84),SF_Output!$Q$1:$Q$400,"monthly")*(1-W84)/H84,4),""),"")</f>
        <v/>
      </c>
      <c r="J84" s="6">
        <f>IF(B84="","",SUMIFS(SF_Output!$S$1:$S$400,SF_Output!$AC$1:$AC$400,_xlfn.TEXTJOIN(",",TRUE,B84:E84),SF_Output!$Q$1:$Q$400,"One Time",SF_Output!$L$1:$L$400,"license fee")+SUMIFS(SF_Output!$S$1:$S$400,SF_Output!$AC$1:$AC$400,_xlfn.TEXTJOIN(",",TRUE,B84:E84),SF_Output!$Q$1:$Q$400,"One Time",SF_Output!$L$1:$L$400,"software license")+SUMIFS(SF_Output!$S$1:$S$400,SF_Output!$AC$1:$AC$400,_xlfn.TEXTJOIN(",",TRUE,B84:E84),SF_Output!$Q$1:$Q$400,"One Time",SF_Output!$L$1:$L$400,"hardware"))</f>
        <v>0</v>
      </c>
      <c r="K84" s="112" t="str">
        <f>IF(OR(B84=0,B84="",G84="hardware",J84=0),"",IF(AF84&lt;&gt;"exclusion",MAX(K$9,-((SUMIFS(SF_Output!$T$1:$T$400,SF_Output!$AC$1:$AC$400,_xlfn.TEXTJOIN(",",TRUE,$B84:$E84),SF_Output!$Q$1:$Q$400,"One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license"))/J84)),-((SUMIFS(SF_Output!$T$1:$T$400,SF_Output!$AC$1:$AC$400,_xlfn.TEXTJOIN(",",TRUE,$B84:$E84),SF_Output!$Q$1:$Q$400,"One Time",SF_Output!$L$1:$L$400,"license fee")+SUMIFS(SF_Output!$T$1:$T$400,SF_Output!$AC$1:$AC$400,_xlfn.TEXTJOIN(",",TRUE,$B84:$E84),SF_Output!$Q$1:$Q$400,"One Time",SF_Output!$L$1:$L$400,"software license"))/J84)))</f>
        <v/>
      </c>
      <c r="L84" s="6">
        <f t="shared" si="5"/>
        <v>0</v>
      </c>
      <c r="N84" s="6">
        <f>IF(B84="","",SUMIFS(SF_Output!$S$1:$S$400,SF_Output!$AC$1:$AC$400,_xlfn.TEXTJOIN(",",TRUE,B84:E84),SF_Output!$Q$1:$Q$400,"One Time",SF_Output!$L$1:$L$400,"professional service"))</f>
        <v>1000</v>
      </c>
      <c r="O84" s="112">
        <f>IF(OR(B84=0,B84="",N84=0),"",IF(AF84&lt;&gt;"exclusion",MAX(O$9,-(SUMIFS(SF_Output!$T$1:$T$400,SF_Output!$AC$1:$AC$400,_xlfn.TEXTJOIN(",",TRUE,$B84:$E84),SF_Output!$Q$1:$Q$400,"One Time",SF_Output!$L$1:$L$400,"professional service"))/N84),-((SUMIFS(SF_Output!$T$1:$T$400,SF_Output!$AC$1:$AC$400,_xlfn.TEXTJOIN(",",TRUE,$B84:$E84),SF_Output!$Q$1:$Q$400,"One Time",SF_Output!$L$1:$L$400,"professional service")/N84))))</f>
        <v>1</v>
      </c>
      <c r="P84" s="6">
        <f t="shared" si="6"/>
        <v>0</v>
      </c>
      <c r="R84" s="6">
        <f>IF(B84="","",SUMIFS(SF_Output!$S$1:$S$400,SF_Output!$AC$1:$AC$400,_xlfn.TEXTJOIN(",",TRUE,B84:E84),SF_Output!$Q$1:$Q$400,"yearly")+SUMIFS(SF_Output!$S$1:$S$400,SF_Output!$AC$1:$AC$400,_xlfn.TEXTJOIN(",",TRUE,B84:E84),SF_Output!$Q$1:$Q$400,"quarterly")*4)</f>
        <v>0</v>
      </c>
      <c r="S84" s="112" t="str">
        <f>IF(OR(B84=0,B84="",G84="hardware",R84=0),"",IF(AF84&lt;&gt;"exclusion",MAX(S$9,-(SUMIFS(SF_Output!$T$1:$T$400,SF_Output!$AC$1:$AC$400,_xlfn.TEXTJOIN(",",TRUE,$B84:$E84),SF_Output!$Q$1:$Q$400,"yearly"))/R84),-((SUMIFS(SF_Output!$T$1:$T$400,SF_Output!$AC$1:$AC$400,_xlfn.TEXTJOIN(",",TRUE,$B84:$E84),SF_Output!$Q$1:$Q$400,"yearly")/R84))))</f>
        <v/>
      </c>
      <c r="T84" s="6">
        <f t="shared" si="7"/>
        <v>0</v>
      </c>
      <c r="V84" s="6" cm="1">
        <f t="array" ref="V84">_xlfn.IFS(B84="","",AND(B84&lt;&gt;"",H84=SF_Output!$Y$2,SUMIFS(SF_Output!$T$1:$T$400,SF_Output!$AC$1:$AC$400,_xlfn.TEXTJOIN(",",TRUE,B84:E84),SF_Output!$Q$1:$Q$400,"monthly")=0),(SUMIFS(SF_Output!$F$1:$F$400,SF_Output!$AC$1:$AC$400,_xlfn.TEXTJOIN(",",TRUE,B84:E84),SF_Output!$Q$1:$Q$400,"monthly")+SUMIFS(SF_Output!$G$1:$G$400,SF_Output!$AC$1:$AC$400,_xlfn.TEXTJOIN(",",TRUE,B84:E84),SF_Output!$Q$1:$Q$400,"monthly"))*H84,AND(B84&lt;&gt;"",H84=SF_Output!$Y$2,SUMIFS(SF_Output!$T$1:$T$400,SF_Output!$AC$1:$AC$400,_xlfn.TEXTJOIN(",",TRUE,B84:E84),SF_Output!$Q$1:$Q$400,"monthly")&lt;&gt;0),SUMIFS(SF_Output!$S$1:$S$400,SF_Output!$AC$1:$AC$400,_xlfn.TEXTJOIN(",",TRUE,B84:E84),SF_Output!$Q$1:$Q$400,"monthly"),AND(B84&lt;&gt;"",H84&lt;&gt;SF_Output!$Y$2),SUMIFS(SF_Output!$S$1:$S$400,SF_Output!$AC$1:$AC$400,_xlfn.TEXTJOIN(",",TRUE,B84:E84),SF_Output!$Q$1:$Q$400,"monthly"))</f>
        <v>350</v>
      </c>
      <c r="W84" s="112" cm="1">
        <f t="array" ref="W84">_xlfn.IFS(OR(B84=0,B84="",V84=0),"",AF84&lt;&gt;"exclusion",MAX($W$9,$W$7,(-(SUMIFS(SF_Output!$T$1:$T$400,SF_Output!$AC$1:$AC$400,_xlfn.TEXTJOIN(",",TRUE,$B84:$E84),SF_Output!$Q$1:$Q$400,"monthly"))/V84)),AF84="exclusion",-(SUMIFS(SF_Output!$T$1:$T$400,SF_Output!$AC$1:$AC$400,_xlfn.TEXTJOIN(",",TRUE,$B84:$E84),SF_Output!$Q$1:$Q$400,"monthly"))/V84)</f>
        <v>0</v>
      </c>
      <c r="X84" s="6" cm="1">
        <f t="array" ref="X84">IFERROR(_xlfn.IFS(V84=0,0,V84="","",W84=0,V84,OR(V84&lt;&gt;0,V84&lt;&gt;""),H84*I84),V84*(1-W84))</f>
        <v>350</v>
      </c>
    </row>
    <row r="85" spans="2:24" x14ac:dyDescent="0.25">
      <c r="B85" t="s">
        <v>1476</v>
      </c>
      <c r="C85" t="s">
        <v>2122</v>
      </c>
      <c r="D85" t="s">
        <v>2123</v>
      </c>
      <c r="E85" t="s">
        <v>2124</v>
      </c>
      <c r="F85" s="116" t="str">
        <f t="shared" si="4"/>
        <v>Included</v>
      </c>
      <c r="G85" t="str">
        <f>IF(B85="","",INDEX(SF_Output!$K$1:$K$400,MATCH(B85,SF_Output!$M$1:$M$400,0)))</f>
        <v>Enterprise Payment Solutions (EPS)</v>
      </c>
      <c r="H85" cm="1">
        <f t="array" ref="H85">_xlfn.IFS(B85="","",(SUMIFS(SF_Output!$F$1:$F$400,SF_Output!$AC$1:$AC$400,_xlfn.TEXTJOIN(",",TRUE,B85:E85))+SUMIFS(SF_Output!$G$1:$G$400,SF_Output!$AC$1:$AC$400,_xlfn.TEXTJOIN(",",TRUE,B85:E85)))&lt;&gt;0,SF_Output!$Y$2,INDEX(SF_Output!$F$1:$F$400,MATCH(_xlfn.TEXTJOIN(",",TRUE,B85:E85),SF_Output!$AC$1:$AC$400,0))=0,INDEX(SF_Output!$R$1:$R$400,MATCH(_xlfn.TEXTJOIN(",",TRUE,B85:E85),SF_Output!$AC$1:$AC$400,0)))</f>
        <v>1</v>
      </c>
      <c r="I85" s="125" t="str">
        <f>IFERROR(IF(AND(H85&gt;1,H85&lt;&gt;""),ROUND(SUMIFS(SF_Output!$S$1:$S$400,SF_Output!$AC$1:$AC$400,_xlfn.TEXTJOIN(",",TRUE,B85:E85),SF_Output!$Q$1:$Q$400,"monthly")*(1-W85)/H85,4),""),"")</f>
        <v/>
      </c>
      <c r="J85" s="6">
        <f>IF(B85="","",SUMIFS(SF_Output!$S$1:$S$400,SF_Output!$AC$1:$AC$400,_xlfn.TEXTJOIN(",",TRUE,B85:E85),SF_Output!$Q$1:$Q$400,"One Time",SF_Output!$L$1:$L$400,"license fee")+SUMIFS(SF_Output!$S$1:$S$400,SF_Output!$AC$1:$AC$400,_xlfn.TEXTJOIN(",",TRUE,B85:E85),SF_Output!$Q$1:$Q$400,"One Time",SF_Output!$L$1:$L$400,"software license")+SUMIFS(SF_Output!$S$1:$S$400,SF_Output!$AC$1:$AC$400,_xlfn.TEXTJOIN(",",TRUE,B85:E85),SF_Output!$Q$1:$Q$400,"One Time",SF_Output!$L$1:$L$400,"hardware"))</f>
        <v>0</v>
      </c>
      <c r="K85" s="112" t="str">
        <f>IF(OR(B85=0,B85="",G85="hardware",J85=0),"",IF(AF85&lt;&gt;"exclusion",MAX(K$9,-((SUMIFS(SF_Output!$T$1:$T$400,SF_Output!$AC$1:$AC$400,_xlfn.TEXTJOIN(",",TRUE,$B85:$E85),SF_Output!$Q$1:$Q$400,"One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license"))/J85)),-((SUMIFS(SF_Output!$T$1:$T$400,SF_Output!$AC$1:$AC$400,_xlfn.TEXTJOIN(",",TRUE,$B85:$E85),SF_Output!$Q$1:$Q$400,"One Time",SF_Output!$L$1:$L$400,"license fee")+SUMIFS(SF_Output!$T$1:$T$400,SF_Output!$AC$1:$AC$400,_xlfn.TEXTJOIN(",",TRUE,$B85:$E85),SF_Output!$Q$1:$Q$400,"One Time",SF_Output!$L$1:$L$400,"software license"))/J85)))</f>
        <v/>
      </c>
      <c r="L85" s="6">
        <f t="shared" si="5"/>
        <v>0</v>
      </c>
      <c r="N85" s="6">
        <f>IF(B85="","",SUMIFS(SF_Output!$S$1:$S$400,SF_Output!$AC$1:$AC$400,_xlfn.TEXTJOIN(",",TRUE,B85:E85),SF_Output!$Q$1:$Q$400,"One Time",SF_Output!$L$1:$L$400,"professional service"))</f>
        <v>2500</v>
      </c>
      <c r="O85" s="112">
        <f>IF(OR(B85=0,B85="",N85=0),"",IF(AF85&lt;&gt;"exclusion",MAX(O$9,-(SUMIFS(SF_Output!$T$1:$T$400,SF_Output!$AC$1:$AC$400,_xlfn.TEXTJOIN(",",TRUE,$B85:$E85),SF_Output!$Q$1:$Q$400,"One Time",SF_Output!$L$1:$L$400,"professional service"))/N85),-((SUMIFS(SF_Output!$T$1:$T$400,SF_Output!$AC$1:$AC$400,_xlfn.TEXTJOIN(",",TRUE,$B85:$E85),SF_Output!$Q$1:$Q$400,"One Time",SF_Output!$L$1:$L$400,"professional service")/N85))))</f>
        <v>1</v>
      </c>
      <c r="P85" s="6">
        <f t="shared" si="6"/>
        <v>0</v>
      </c>
      <c r="R85" s="6">
        <f>IF(B85="","",SUMIFS(SF_Output!$S$1:$S$400,SF_Output!$AC$1:$AC$400,_xlfn.TEXTJOIN(",",TRUE,B85:E85),SF_Output!$Q$1:$Q$400,"yearly")+SUMIFS(SF_Output!$S$1:$S$400,SF_Output!$AC$1:$AC$400,_xlfn.TEXTJOIN(",",TRUE,B85:E85),SF_Output!$Q$1:$Q$400,"quarterly")*4)</f>
        <v>0</v>
      </c>
      <c r="S85" s="112" t="str">
        <f>IF(OR(B85=0,B85="",G85="hardware",R85=0),"",IF(AF85&lt;&gt;"exclusion",MAX(S$9,-(SUMIFS(SF_Output!$T$1:$T$400,SF_Output!$AC$1:$AC$400,_xlfn.TEXTJOIN(",",TRUE,$B85:$E85),SF_Output!$Q$1:$Q$400,"yearly"))/R85),-((SUMIFS(SF_Output!$T$1:$T$400,SF_Output!$AC$1:$AC$400,_xlfn.TEXTJOIN(",",TRUE,$B85:$E85),SF_Output!$Q$1:$Q$400,"yearly")/R85))))</f>
        <v/>
      </c>
      <c r="T85" s="6">
        <f t="shared" si="7"/>
        <v>0</v>
      </c>
      <c r="V85" s="6" cm="1">
        <f t="array" ref="V85">_xlfn.IFS(B85="","",AND(B85&lt;&gt;"",H85=SF_Output!$Y$2,SUMIFS(SF_Output!$T$1:$T$400,SF_Output!$AC$1:$AC$400,_xlfn.TEXTJOIN(",",TRUE,B85:E85),SF_Output!$Q$1:$Q$400,"monthly")=0),(SUMIFS(SF_Output!$F$1:$F$400,SF_Output!$AC$1:$AC$400,_xlfn.TEXTJOIN(",",TRUE,B85:E85),SF_Output!$Q$1:$Q$400,"monthly")+SUMIFS(SF_Output!$G$1:$G$400,SF_Output!$AC$1:$AC$400,_xlfn.TEXTJOIN(",",TRUE,B85:E85),SF_Output!$Q$1:$Q$400,"monthly"))*H85,AND(B85&lt;&gt;"",H85=SF_Output!$Y$2,SUMIFS(SF_Output!$T$1:$T$400,SF_Output!$AC$1:$AC$400,_xlfn.TEXTJOIN(",",TRUE,B85:E85),SF_Output!$Q$1:$Q$400,"monthly")&lt;&gt;0),SUMIFS(SF_Output!$S$1:$S$400,SF_Output!$AC$1:$AC$400,_xlfn.TEXTJOIN(",",TRUE,B85:E85),SF_Output!$Q$1:$Q$400,"monthly"),AND(B85&lt;&gt;"",H85&lt;&gt;SF_Output!$Y$2),SUMIFS(SF_Output!$S$1:$S$400,SF_Output!$AC$1:$AC$400,_xlfn.TEXTJOIN(",",TRUE,B85:E85),SF_Output!$Q$1:$Q$400,"monthly"))</f>
        <v>500</v>
      </c>
      <c r="W85" s="112" cm="1">
        <f t="array" ref="W85">_xlfn.IFS(OR(B85=0,B85="",V85=0),"",AF85&lt;&gt;"exclusion",MAX($W$9,$W$7,(-(SUMIFS(SF_Output!$T$1:$T$400,SF_Output!$AC$1:$AC$400,_xlfn.TEXTJOIN(",",TRUE,$B85:$E85),SF_Output!$Q$1:$Q$400,"monthly"))/V85)),AF85="exclusion",-(SUMIFS(SF_Output!$T$1:$T$400,SF_Output!$AC$1:$AC$400,_xlfn.TEXTJOIN(",",TRUE,$B85:$E85),SF_Output!$Q$1:$Q$400,"monthly"))/V85)</f>
        <v>0</v>
      </c>
      <c r="X85" s="6" cm="1">
        <f t="array" ref="X85">IFERROR(_xlfn.IFS(V85=0,0,V85="","",W85=0,V85,OR(V85&lt;&gt;0,V85&lt;&gt;""),H85*I85),V85*(1-W85))</f>
        <v>500</v>
      </c>
    </row>
    <row r="86" spans="2:24" x14ac:dyDescent="0.25">
      <c r="B86" t="s">
        <v>1306</v>
      </c>
      <c r="C86" t="s">
        <v>2122</v>
      </c>
      <c r="D86" t="s">
        <v>2123</v>
      </c>
      <c r="E86" t="s">
        <v>2124</v>
      </c>
      <c r="F86" s="116" t="str">
        <f t="shared" si="4"/>
        <v>Included</v>
      </c>
      <c r="G86" t="str">
        <f>IF(B86="","",INDEX(SF_Output!$K$1:$K$400,MATCH(B86,SF_Output!$M$1:$M$400,0)))</f>
        <v>Enterprise Payment Solutions (EPS)</v>
      </c>
      <c r="H86" cm="1">
        <f t="array" ref="H86">_xlfn.IFS(B86="","",(SUMIFS(SF_Output!$F$1:$F$400,SF_Output!$AC$1:$AC$400,_xlfn.TEXTJOIN(",",TRUE,B86:E86))+SUMIFS(SF_Output!$G$1:$G$400,SF_Output!$AC$1:$AC$400,_xlfn.TEXTJOIN(",",TRUE,B86:E86)))&lt;&gt;0,SF_Output!$Y$2,INDEX(SF_Output!$F$1:$F$400,MATCH(_xlfn.TEXTJOIN(",",TRUE,B86:E86),SF_Output!$AC$1:$AC$400,0))=0,INDEX(SF_Output!$R$1:$R$400,MATCH(_xlfn.TEXTJOIN(",",TRUE,B86:E86),SF_Output!$AC$1:$AC$400,0)))</f>
        <v>1</v>
      </c>
      <c r="I86" s="125" t="str">
        <f>IFERROR(IF(AND(H86&gt;1,H86&lt;&gt;""),ROUND(SUMIFS(SF_Output!$S$1:$S$400,SF_Output!$AC$1:$AC$400,_xlfn.TEXTJOIN(",",TRUE,B86:E86),SF_Output!$Q$1:$Q$400,"monthly")*(1-W86)/H86,4),""),"")</f>
        <v/>
      </c>
      <c r="J86" s="6">
        <f>IF(B86="","",SUMIFS(SF_Output!$S$1:$S$400,SF_Output!$AC$1:$AC$400,_xlfn.TEXTJOIN(",",TRUE,B86:E86),SF_Output!$Q$1:$Q$400,"One Time",SF_Output!$L$1:$L$400,"license fee")+SUMIFS(SF_Output!$S$1:$S$400,SF_Output!$AC$1:$AC$400,_xlfn.TEXTJOIN(",",TRUE,B86:E86),SF_Output!$Q$1:$Q$400,"One Time",SF_Output!$L$1:$L$400,"software license")+SUMIFS(SF_Output!$S$1:$S$400,SF_Output!$AC$1:$AC$400,_xlfn.TEXTJOIN(",",TRUE,B86:E86),SF_Output!$Q$1:$Q$400,"One Time",SF_Output!$L$1:$L$400,"hardware"))</f>
        <v>0</v>
      </c>
      <c r="K86" s="112" t="str">
        <f>IF(OR(B86=0,B86="",G86="hardware",J86=0),"",IF(AF86&lt;&gt;"exclusion",MAX(K$9,-((SUMIFS(SF_Output!$T$1:$T$400,SF_Output!$AC$1:$AC$400,_xlfn.TEXTJOIN(",",TRUE,$B86:$E86),SF_Output!$Q$1:$Q$400,"One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license"))/J86)),-((SUMIFS(SF_Output!$T$1:$T$400,SF_Output!$AC$1:$AC$400,_xlfn.TEXTJOIN(",",TRUE,$B86:$E86),SF_Output!$Q$1:$Q$400,"One Time",SF_Output!$L$1:$L$400,"license fee")+SUMIFS(SF_Output!$T$1:$T$400,SF_Output!$AC$1:$AC$400,_xlfn.TEXTJOIN(",",TRUE,$B86:$E86),SF_Output!$Q$1:$Q$400,"One Time",SF_Output!$L$1:$L$400,"software license"))/J86)))</f>
        <v/>
      </c>
      <c r="L86" s="6">
        <f t="shared" si="5"/>
        <v>0</v>
      </c>
      <c r="N86" s="6">
        <f>IF(B86="","",SUMIFS(SF_Output!$S$1:$S$400,SF_Output!$AC$1:$AC$400,_xlfn.TEXTJOIN(",",TRUE,B86:E86),SF_Output!$Q$1:$Q$400,"One Time",SF_Output!$L$1:$L$400,"professional service"))</f>
        <v>1000</v>
      </c>
      <c r="O86" s="112">
        <f>IF(OR(B86=0,B86="",N86=0),"",IF(AF86&lt;&gt;"exclusion",MAX(O$9,-(SUMIFS(SF_Output!$T$1:$T$400,SF_Output!$AC$1:$AC$400,_xlfn.TEXTJOIN(",",TRUE,$B86:$E86),SF_Output!$Q$1:$Q$400,"One Time",SF_Output!$L$1:$L$400,"professional service"))/N86),-((SUMIFS(SF_Output!$T$1:$T$400,SF_Output!$AC$1:$AC$400,_xlfn.TEXTJOIN(",",TRUE,$B86:$E86),SF_Output!$Q$1:$Q$400,"One Time",SF_Output!$L$1:$L$400,"professional service")/N86))))</f>
        <v>1</v>
      </c>
      <c r="P86" s="6">
        <f t="shared" si="6"/>
        <v>0</v>
      </c>
      <c r="R86" s="6">
        <f>IF(B86="","",SUMIFS(SF_Output!$S$1:$S$400,SF_Output!$AC$1:$AC$400,_xlfn.TEXTJOIN(",",TRUE,B86:E86),SF_Output!$Q$1:$Q$400,"yearly")+SUMIFS(SF_Output!$S$1:$S$400,SF_Output!$AC$1:$AC$400,_xlfn.TEXTJOIN(",",TRUE,B86:E86),SF_Output!$Q$1:$Q$400,"quarterly")*4)</f>
        <v>0</v>
      </c>
      <c r="S86" s="112" t="str">
        <f>IF(OR(B86=0,B86="",G86="hardware",R86=0),"",IF(AF86&lt;&gt;"exclusion",MAX(S$9,-(SUMIFS(SF_Output!$T$1:$T$400,SF_Output!$AC$1:$AC$400,_xlfn.TEXTJOIN(",",TRUE,$B86:$E86),SF_Output!$Q$1:$Q$400,"yearly"))/R86),-((SUMIFS(SF_Output!$T$1:$T$400,SF_Output!$AC$1:$AC$400,_xlfn.TEXTJOIN(",",TRUE,$B86:$E86),SF_Output!$Q$1:$Q$400,"yearly")/R86))))</f>
        <v/>
      </c>
      <c r="T86" s="6">
        <f t="shared" si="7"/>
        <v>0</v>
      </c>
      <c r="V86" s="6" cm="1">
        <f t="array" ref="V86">_xlfn.IFS(B86="","",AND(B86&lt;&gt;"",H86=SF_Output!$Y$2,SUMIFS(SF_Output!$T$1:$T$400,SF_Output!$AC$1:$AC$400,_xlfn.TEXTJOIN(",",TRUE,B86:E86),SF_Output!$Q$1:$Q$400,"monthly")=0),(SUMIFS(SF_Output!$F$1:$F$400,SF_Output!$AC$1:$AC$400,_xlfn.TEXTJOIN(",",TRUE,B86:E86),SF_Output!$Q$1:$Q$400,"monthly")+SUMIFS(SF_Output!$G$1:$G$400,SF_Output!$AC$1:$AC$400,_xlfn.TEXTJOIN(",",TRUE,B86:E86),SF_Output!$Q$1:$Q$400,"monthly"))*H86,AND(B86&lt;&gt;"",H86=SF_Output!$Y$2,SUMIFS(SF_Output!$T$1:$T$400,SF_Output!$AC$1:$AC$400,_xlfn.TEXTJOIN(",",TRUE,B86:E86),SF_Output!$Q$1:$Q$400,"monthly")&lt;&gt;0),SUMIFS(SF_Output!$S$1:$S$400,SF_Output!$AC$1:$AC$400,_xlfn.TEXTJOIN(",",TRUE,B86:E86),SF_Output!$Q$1:$Q$400,"monthly"),AND(B86&lt;&gt;"",H86&lt;&gt;SF_Output!$Y$2),SUMIFS(SF_Output!$S$1:$S$400,SF_Output!$AC$1:$AC$400,_xlfn.TEXTJOIN(",",TRUE,B86:E86),SF_Output!$Q$1:$Q$400,"monthly"))</f>
        <v>350</v>
      </c>
      <c r="W86" s="112" cm="1">
        <f t="array" ref="W86">_xlfn.IFS(OR(B86=0,B86="",V86=0),"",AF86&lt;&gt;"exclusion",MAX($W$9,$W$7,(-(SUMIFS(SF_Output!$T$1:$T$400,SF_Output!$AC$1:$AC$400,_xlfn.TEXTJOIN(",",TRUE,$B86:$E86),SF_Output!$Q$1:$Q$400,"monthly"))/V86)),AF86="exclusion",-(SUMIFS(SF_Output!$T$1:$T$400,SF_Output!$AC$1:$AC$400,_xlfn.TEXTJOIN(",",TRUE,$B86:$E86),SF_Output!$Q$1:$Q$400,"monthly"))/V86)</f>
        <v>0.5</v>
      </c>
      <c r="X86" s="6" cm="1">
        <f t="array" ref="X86">IFERROR(_xlfn.IFS(V86=0,0,V86="","",W86=0,V86,OR(V86&lt;&gt;0,V86&lt;&gt;""),H86*I86),V86*(1-W86))</f>
        <v>175</v>
      </c>
    </row>
    <row r="87" spans="2:24" x14ac:dyDescent="0.25">
      <c r="B87" t="s">
        <v>1109</v>
      </c>
      <c r="C87" t="s">
        <v>2122</v>
      </c>
      <c r="D87" t="s">
        <v>2123</v>
      </c>
      <c r="E87" t="s">
        <v>2124</v>
      </c>
      <c r="F87" s="116" t="str">
        <f t="shared" si="4"/>
        <v>Included</v>
      </c>
      <c r="G87" t="str">
        <f>IF(B87="","",INDEX(SF_Output!$K$1:$K$400,MATCH(B87,SF_Output!$M$1:$M$400,0)))</f>
        <v>Enterprise Payment Solutions (EPS)</v>
      </c>
      <c r="H87" cm="1">
        <f t="array" ref="H87">_xlfn.IFS(B87="","",(SUMIFS(SF_Output!$F$1:$F$400,SF_Output!$AC$1:$AC$400,_xlfn.TEXTJOIN(",",TRUE,B87:E87))+SUMIFS(SF_Output!$G$1:$G$400,SF_Output!$AC$1:$AC$400,_xlfn.TEXTJOIN(",",TRUE,B87:E87)))&lt;&gt;0,SF_Output!$Y$2,INDEX(SF_Output!$F$1:$F$400,MATCH(_xlfn.TEXTJOIN(",",TRUE,B87:E87),SF_Output!$AC$1:$AC$400,0))=0,INDEX(SF_Output!$R$1:$R$400,MATCH(_xlfn.TEXTJOIN(",",TRUE,B87:E87),SF_Output!$AC$1:$AC$400,0)))</f>
        <v>1</v>
      </c>
      <c r="I87" s="125" t="str">
        <f>IFERROR(IF(AND(H87&gt;1,H87&lt;&gt;""),ROUND(SUMIFS(SF_Output!$S$1:$S$400,SF_Output!$AC$1:$AC$400,_xlfn.TEXTJOIN(",",TRUE,B87:E87),SF_Output!$Q$1:$Q$400,"monthly")*(1-W87)/H87,4),""),"")</f>
        <v/>
      </c>
      <c r="J87" s="6">
        <f>IF(B87="","",SUMIFS(SF_Output!$S$1:$S$400,SF_Output!$AC$1:$AC$400,_xlfn.TEXTJOIN(",",TRUE,B87:E87),SF_Output!$Q$1:$Q$400,"One Time",SF_Output!$L$1:$L$400,"license fee")+SUMIFS(SF_Output!$S$1:$S$400,SF_Output!$AC$1:$AC$400,_xlfn.TEXTJOIN(",",TRUE,B87:E87),SF_Output!$Q$1:$Q$400,"One Time",SF_Output!$L$1:$L$400,"software license")+SUMIFS(SF_Output!$S$1:$S$400,SF_Output!$AC$1:$AC$400,_xlfn.TEXTJOIN(",",TRUE,B87:E87),SF_Output!$Q$1:$Q$400,"One Time",SF_Output!$L$1:$L$400,"hardware"))</f>
        <v>0</v>
      </c>
      <c r="K87" s="112" t="str">
        <f>IF(OR(B87=0,B87="",G87="hardware",J87=0),"",IF(AF87&lt;&gt;"exclusion",MAX(K$9,-((SUMIFS(SF_Output!$T$1:$T$400,SF_Output!$AC$1:$AC$400,_xlfn.TEXTJOIN(",",TRUE,$B87:$E87),SF_Output!$Q$1:$Q$400,"One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license"))/J87)),-((SUMIFS(SF_Output!$T$1:$T$400,SF_Output!$AC$1:$AC$400,_xlfn.TEXTJOIN(",",TRUE,$B87:$E87),SF_Output!$Q$1:$Q$400,"One Time",SF_Output!$L$1:$L$400,"license fee")+SUMIFS(SF_Output!$T$1:$T$400,SF_Output!$AC$1:$AC$400,_xlfn.TEXTJOIN(",",TRUE,$B87:$E87),SF_Output!$Q$1:$Q$400,"One Time",SF_Output!$L$1:$L$400,"software license"))/J87)))</f>
        <v/>
      </c>
      <c r="L87" s="6">
        <f t="shared" si="5"/>
        <v>0</v>
      </c>
      <c r="N87" s="6">
        <f>IF(B87="","",SUMIFS(SF_Output!$S$1:$S$400,SF_Output!$AC$1:$AC$400,_xlfn.TEXTJOIN(",",TRUE,B87:E87),SF_Output!$Q$1:$Q$400,"One Time",SF_Output!$L$1:$L$400,"professional service"))</f>
        <v>1500</v>
      </c>
      <c r="O87" s="112">
        <f>IF(OR(B87=0,B87="",N87=0),"",IF(AF87&lt;&gt;"exclusion",MAX(O$9,-(SUMIFS(SF_Output!$T$1:$T$400,SF_Output!$AC$1:$AC$400,_xlfn.TEXTJOIN(",",TRUE,$B87:$E87),SF_Output!$Q$1:$Q$400,"One Time",SF_Output!$L$1:$L$400,"professional service"))/N87),-((SUMIFS(SF_Output!$T$1:$T$400,SF_Output!$AC$1:$AC$400,_xlfn.TEXTJOIN(",",TRUE,$B87:$E87),SF_Output!$Q$1:$Q$400,"One Time",SF_Output!$L$1:$L$400,"professional service")/N87))))</f>
        <v>1</v>
      </c>
      <c r="P87" s="6">
        <f t="shared" si="6"/>
        <v>0</v>
      </c>
      <c r="R87" s="6">
        <f>IF(B87="","",SUMIFS(SF_Output!$S$1:$S$400,SF_Output!$AC$1:$AC$400,_xlfn.TEXTJOIN(",",TRUE,B87:E87),SF_Output!$Q$1:$Q$400,"yearly")+SUMIFS(SF_Output!$S$1:$S$400,SF_Output!$AC$1:$AC$400,_xlfn.TEXTJOIN(",",TRUE,B87:E87),SF_Output!$Q$1:$Q$400,"quarterly")*4)</f>
        <v>0</v>
      </c>
      <c r="S87" s="112" t="str">
        <f>IF(OR(B87=0,B87="",G87="hardware",R87=0),"",IF(AF87&lt;&gt;"exclusion",MAX(S$9,-(SUMIFS(SF_Output!$T$1:$T$400,SF_Output!$AC$1:$AC$400,_xlfn.TEXTJOIN(",",TRUE,$B87:$E87),SF_Output!$Q$1:$Q$400,"yearly"))/R87),-((SUMIFS(SF_Output!$T$1:$T$400,SF_Output!$AC$1:$AC$400,_xlfn.TEXTJOIN(",",TRUE,$B87:$E87),SF_Output!$Q$1:$Q$400,"yearly")/R87))))</f>
        <v/>
      </c>
      <c r="T87" s="6">
        <f t="shared" si="7"/>
        <v>0</v>
      </c>
      <c r="V87" s="6" cm="1">
        <f t="array" ref="V87">_xlfn.IFS(B87="","",AND(B87&lt;&gt;"",H87=SF_Output!$Y$2,SUMIFS(SF_Output!$T$1:$T$400,SF_Output!$AC$1:$AC$400,_xlfn.TEXTJOIN(",",TRUE,B87:E87),SF_Output!$Q$1:$Q$400,"monthly")=0),(SUMIFS(SF_Output!$F$1:$F$400,SF_Output!$AC$1:$AC$400,_xlfn.TEXTJOIN(",",TRUE,B87:E87),SF_Output!$Q$1:$Q$400,"monthly")+SUMIFS(SF_Output!$G$1:$G$400,SF_Output!$AC$1:$AC$400,_xlfn.TEXTJOIN(",",TRUE,B87:E87),SF_Output!$Q$1:$Q$400,"monthly"))*H87,AND(B87&lt;&gt;"",H87=SF_Output!$Y$2,SUMIFS(SF_Output!$T$1:$T$400,SF_Output!$AC$1:$AC$400,_xlfn.TEXTJOIN(",",TRUE,B87:E87),SF_Output!$Q$1:$Q$400,"monthly")&lt;&gt;0),SUMIFS(SF_Output!$S$1:$S$400,SF_Output!$AC$1:$AC$400,_xlfn.TEXTJOIN(",",TRUE,B87:E87),SF_Output!$Q$1:$Q$400,"monthly"),AND(B87&lt;&gt;"",H87&lt;&gt;SF_Output!$Y$2),SUMIFS(SF_Output!$S$1:$S$400,SF_Output!$AC$1:$AC$400,_xlfn.TEXTJOIN(",",TRUE,B87:E87),SF_Output!$Q$1:$Q$400,"monthly"))</f>
        <v>300</v>
      </c>
      <c r="W87" s="112" cm="1">
        <f t="array" ref="W87">_xlfn.IFS(OR(B87=0,B87="",V87=0),"",AF87&lt;&gt;"exclusion",MAX($W$9,$W$7,(-(SUMIFS(SF_Output!$T$1:$T$400,SF_Output!$AC$1:$AC$400,_xlfn.TEXTJOIN(",",TRUE,$B87:$E87),SF_Output!$Q$1:$Q$400,"monthly"))/V87)),AF87="exclusion",-(SUMIFS(SF_Output!$T$1:$T$400,SF_Output!$AC$1:$AC$400,_xlfn.TEXTJOIN(",",TRUE,$B87:$E87),SF_Output!$Q$1:$Q$400,"monthly"))/V87)</f>
        <v>0</v>
      </c>
      <c r="X87" s="6" cm="1">
        <f t="array" ref="X87">IFERROR(_xlfn.IFS(V87=0,0,V87="","",W87=0,V87,OR(V87&lt;&gt;0,V87&lt;&gt;""),H87*I87),V87*(1-W87))</f>
        <v>300</v>
      </c>
    </row>
    <row r="88" spans="2:24" x14ac:dyDescent="0.25">
      <c r="B88" t="s">
        <v>1451</v>
      </c>
      <c r="C88" t="s">
        <v>2122</v>
      </c>
      <c r="D88" t="s">
        <v>2123</v>
      </c>
      <c r="E88" t="s">
        <v>2124</v>
      </c>
      <c r="F88" s="116" t="str">
        <f t="shared" si="4"/>
        <v>Included</v>
      </c>
      <c r="G88" t="str">
        <f>IF(B88="","",INDEX(SF_Output!$K$1:$K$400,MATCH(B88,SF_Output!$M$1:$M$400,0)))</f>
        <v>Enterprise Payment Solutions (EPS)</v>
      </c>
      <c r="H88" cm="1">
        <f t="array" ref="H88">_xlfn.IFS(B88="","",(SUMIFS(SF_Output!$F$1:$F$400,SF_Output!$AC$1:$AC$400,_xlfn.TEXTJOIN(",",TRUE,B88:E88))+SUMIFS(SF_Output!$G$1:$G$400,SF_Output!$AC$1:$AC$400,_xlfn.TEXTJOIN(",",TRUE,B88:E88)))&lt;&gt;0,SF_Output!$Y$2,INDEX(SF_Output!$F$1:$F$400,MATCH(_xlfn.TEXTJOIN(",",TRUE,B88:E88),SF_Output!$AC$1:$AC$400,0))=0,INDEX(SF_Output!$R$1:$R$400,MATCH(_xlfn.TEXTJOIN(",",TRUE,B88:E88),SF_Output!$AC$1:$AC$400,0)))</f>
        <v>1</v>
      </c>
      <c r="I88" s="125" t="str">
        <f>IFERROR(IF(AND(H88&gt;1,H88&lt;&gt;""),ROUND(SUMIFS(SF_Output!$S$1:$S$400,SF_Output!$AC$1:$AC$400,_xlfn.TEXTJOIN(",",TRUE,B88:E88),SF_Output!$Q$1:$Q$400,"monthly")*(1-W88)/H88,4),""),"")</f>
        <v/>
      </c>
      <c r="J88" s="6">
        <f>IF(B88="","",SUMIFS(SF_Output!$S$1:$S$400,SF_Output!$AC$1:$AC$400,_xlfn.TEXTJOIN(",",TRUE,B88:E88),SF_Output!$Q$1:$Q$400,"One Time",SF_Output!$L$1:$L$400,"license fee")+SUMIFS(SF_Output!$S$1:$S$400,SF_Output!$AC$1:$AC$400,_xlfn.TEXTJOIN(",",TRUE,B88:E88),SF_Output!$Q$1:$Q$400,"One Time",SF_Output!$L$1:$L$400,"software license")+SUMIFS(SF_Output!$S$1:$S$400,SF_Output!$AC$1:$AC$400,_xlfn.TEXTJOIN(",",TRUE,B88:E88),SF_Output!$Q$1:$Q$400,"One Time",SF_Output!$L$1:$L$400,"hardware"))</f>
        <v>0</v>
      </c>
      <c r="K88" s="112" t="str">
        <f>IF(OR(B88=0,B88="",G88="hardware",J88=0),"",IF(AF88&lt;&gt;"exclusion",MAX(K$9,-((SUMIFS(SF_Output!$T$1:$T$400,SF_Output!$AC$1:$AC$400,_xlfn.TEXTJOIN(",",TRUE,$B88:$E88),SF_Output!$Q$1:$Q$400,"One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license"))/J88)),-((SUMIFS(SF_Output!$T$1:$T$400,SF_Output!$AC$1:$AC$400,_xlfn.TEXTJOIN(",",TRUE,$B88:$E88),SF_Output!$Q$1:$Q$400,"One Time",SF_Output!$L$1:$L$400,"license fee")+SUMIFS(SF_Output!$T$1:$T$400,SF_Output!$AC$1:$AC$400,_xlfn.TEXTJOIN(",",TRUE,$B88:$E88),SF_Output!$Q$1:$Q$400,"One Time",SF_Output!$L$1:$L$400,"software license"))/J88)))</f>
        <v/>
      </c>
      <c r="L88" s="6">
        <f t="shared" si="5"/>
        <v>0</v>
      </c>
      <c r="N88" s="6">
        <f>IF(B88="","",SUMIFS(SF_Output!$S$1:$S$400,SF_Output!$AC$1:$AC$400,_xlfn.TEXTJOIN(",",TRUE,B88:E88),SF_Output!$Q$1:$Q$400,"One Time",SF_Output!$L$1:$L$400,"professional service"))</f>
        <v>0</v>
      </c>
      <c r="O88" s="112" t="str">
        <f>IF(OR(B88=0,B88="",N88=0),"",IF(AF88&lt;&gt;"exclusion",MAX(O$9,-(SUMIFS(SF_Output!$T$1:$T$400,SF_Output!$AC$1:$AC$400,_xlfn.TEXTJOIN(",",TRUE,$B88:$E88),SF_Output!$Q$1:$Q$400,"One Time",SF_Output!$L$1:$L$400,"professional service"))/N88),-((SUMIFS(SF_Output!$T$1:$T$400,SF_Output!$AC$1:$AC$400,_xlfn.TEXTJOIN(",",TRUE,$B88:$E88),SF_Output!$Q$1:$Q$400,"One Time",SF_Output!$L$1:$L$400,"professional service")/N88))))</f>
        <v/>
      </c>
      <c r="P88" s="6">
        <f t="shared" si="6"/>
        <v>0</v>
      </c>
      <c r="R88" s="6">
        <f>IF(B88="","",SUMIFS(SF_Output!$S$1:$S$400,SF_Output!$AC$1:$AC$400,_xlfn.TEXTJOIN(",",TRUE,B88:E88),SF_Output!$Q$1:$Q$400,"yearly")+SUMIFS(SF_Output!$S$1:$S$400,SF_Output!$AC$1:$AC$400,_xlfn.TEXTJOIN(",",TRUE,B88:E88),SF_Output!$Q$1:$Q$400,"quarterly")*4)</f>
        <v>0</v>
      </c>
      <c r="S88" s="112" t="str">
        <f>IF(OR(B88=0,B88="",G88="hardware",R88=0),"",IF(AF88&lt;&gt;"exclusion",MAX(S$9,-(SUMIFS(SF_Output!$T$1:$T$400,SF_Output!$AC$1:$AC$400,_xlfn.TEXTJOIN(",",TRUE,$B88:$E88),SF_Output!$Q$1:$Q$400,"yearly"))/R88),-((SUMIFS(SF_Output!$T$1:$T$400,SF_Output!$AC$1:$AC$400,_xlfn.TEXTJOIN(",",TRUE,$B88:$E88),SF_Output!$Q$1:$Q$400,"yearly")/R88))))</f>
        <v/>
      </c>
      <c r="T88" s="6">
        <f t="shared" si="7"/>
        <v>0</v>
      </c>
      <c r="V88" s="6" cm="1">
        <f t="array" ref="V88">_xlfn.IFS(B88="","",AND(B88&lt;&gt;"",H88=SF_Output!$Y$2,SUMIFS(SF_Output!$T$1:$T$400,SF_Output!$AC$1:$AC$400,_xlfn.TEXTJOIN(",",TRUE,B88:E88),SF_Output!$Q$1:$Q$400,"monthly")=0),(SUMIFS(SF_Output!$F$1:$F$400,SF_Output!$AC$1:$AC$400,_xlfn.TEXTJOIN(",",TRUE,B88:E88),SF_Output!$Q$1:$Q$400,"monthly")+SUMIFS(SF_Output!$G$1:$G$400,SF_Output!$AC$1:$AC$400,_xlfn.TEXTJOIN(",",TRUE,B88:E88),SF_Output!$Q$1:$Q$400,"monthly"))*H88,AND(B88&lt;&gt;"",H88=SF_Output!$Y$2,SUMIFS(SF_Output!$T$1:$T$400,SF_Output!$AC$1:$AC$400,_xlfn.TEXTJOIN(",",TRUE,B88:E88),SF_Output!$Q$1:$Q$400,"monthly")&lt;&gt;0),SUMIFS(SF_Output!$S$1:$S$400,SF_Output!$AC$1:$AC$400,_xlfn.TEXTJOIN(",",TRUE,B88:E88),SF_Output!$Q$1:$Q$400,"monthly"),AND(B88&lt;&gt;"",H88&lt;&gt;SF_Output!$Y$2),SUMIFS(SF_Output!$S$1:$S$400,SF_Output!$AC$1:$AC$400,_xlfn.TEXTJOIN(",",TRUE,B88:E88),SF_Output!$Q$1:$Q$400,"monthly"))</f>
        <v>100</v>
      </c>
      <c r="W88" s="112" cm="1">
        <f t="array" ref="W88">_xlfn.IFS(OR(B88=0,B88="",V88=0),"",AF88&lt;&gt;"exclusion",MAX($W$9,$W$7,(-(SUMIFS(SF_Output!$T$1:$T$400,SF_Output!$AC$1:$AC$400,_xlfn.TEXTJOIN(",",TRUE,$B88:$E88),SF_Output!$Q$1:$Q$400,"monthly"))/V88)),AF88="exclusion",-(SUMIFS(SF_Output!$T$1:$T$400,SF_Output!$AC$1:$AC$400,_xlfn.TEXTJOIN(",",TRUE,$B88:$E88),SF_Output!$Q$1:$Q$400,"monthly"))/V88)</f>
        <v>0</v>
      </c>
      <c r="X88" s="6" cm="1">
        <f t="array" ref="X88">IFERROR(_xlfn.IFS(V88=0,0,V88="","",W88=0,V88,OR(V88&lt;&gt;0,V88&lt;&gt;""),H88*I88),V88*(1-W88))</f>
        <v>100</v>
      </c>
    </row>
    <row r="89" spans="2:24" x14ac:dyDescent="0.25">
      <c r="B89" t="s">
        <v>673</v>
      </c>
      <c r="C89" t="s">
        <v>2122</v>
      </c>
      <c r="D89" t="s">
        <v>2207</v>
      </c>
      <c r="E89" t="s">
        <v>2124</v>
      </c>
      <c r="F89" s="116" t="str">
        <f t="shared" si="4"/>
        <v>Included</v>
      </c>
      <c r="G89" t="str">
        <f>IF(B89="","",INDEX(SF_Output!$K$1:$K$400,MATCH(B89,SF_Output!$M$1:$M$400,0)))</f>
        <v>Card Processing Solutions (CPS)</v>
      </c>
      <c r="H89" cm="1">
        <f t="array" ref="H89">_xlfn.IFS(B89="","",(SUMIFS(SF_Output!$F$1:$F$400,SF_Output!$AC$1:$AC$400,_xlfn.TEXTJOIN(",",TRUE,B89:E89))+SUMIFS(SF_Output!$G$1:$G$400,SF_Output!$AC$1:$AC$400,_xlfn.TEXTJOIN(",",TRUE,B89:E89)))&lt;&gt;0,SF_Output!$Y$2,INDEX(SF_Output!$F$1:$F$400,MATCH(_xlfn.TEXTJOIN(",",TRUE,B89:E89),SF_Output!$AC$1:$AC$400,0))=0,INDEX(SF_Output!$R$1:$R$400,MATCH(_xlfn.TEXTJOIN(",",TRUE,B89:E89),SF_Output!$AC$1:$AC$400,0)))</f>
        <v>1</v>
      </c>
      <c r="I89" s="125" t="str">
        <f>IFERROR(IF(AND(H89&gt;1,H89&lt;&gt;""),ROUND(SUMIFS(SF_Output!$S$1:$S$400,SF_Output!$AC$1:$AC$400,_xlfn.TEXTJOIN(",",TRUE,B89:E89),SF_Output!$Q$1:$Q$400,"monthly")*(1-W89)/H89,4),""),"")</f>
        <v/>
      </c>
      <c r="J89" s="6">
        <f>IF(B89="","",SUMIFS(SF_Output!$S$1:$S$400,SF_Output!$AC$1:$AC$400,_xlfn.TEXTJOIN(",",TRUE,B89:E89),SF_Output!$Q$1:$Q$400,"One Time",SF_Output!$L$1:$L$400,"license fee")+SUMIFS(SF_Output!$S$1:$S$400,SF_Output!$AC$1:$AC$400,_xlfn.TEXTJOIN(",",TRUE,B89:E89),SF_Output!$Q$1:$Q$400,"One Time",SF_Output!$L$1:$L$400,"software license")+SUMIFS(SF_Output!$S$1:$S$400,SF_Output!$AC$1:$AC$400,_xlfn.TEXTJOIN(",",TRUE,B89:E89),SF_Output!$Q$1:$Q$400,"One Time",SF_Output!$L$1:$L$400,"hardware"))</f>
        <v>0</v>
      </c>
      <c r="K89" s="112" t="str">
        <f>IF(OR(B89=0,B89="",G89="hardware",J89=0),"",IF(AF89&lt;&gt;"exclusion",MAX(K$9,-((SUMIFS(SF_Output!$T$1:$T$400,SF_Output!$AC$1:$AC$400,_xlfn.TEXTJOIN(",",TRUE,$B89:$E89),SF_Output!$Q$1:$Q$400,"One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license"))/J89)),-((SUMIFS(SF_Output!$T$1:$T$400,SF_Output!$AC$1:$AC$400,_xlfn.TEXTJOIN(",",TRUE,$B89:$E89),SF_Output!$Q$1:$Q$400,"One Time",SF_Output!$L$1:$L$400,"license fee")+SUMIFS(SF_Output!$T$1:$T$400,SF_Output!$AC$1:$AC$400,_xlfn.TEXTJOIN(",",TRUE,$B89:$E89),SF_Output!$Q$1:$Q$400,"One Time",SF_Output!$L$1:$L$400,"software license"))/J89)))</f>
        <v/>
      </c>
      <c r="L89" s="6">
        <f t="shared" si="5"/>
        <v>0</v>
      </c>
      <c r="N89" s="6">
        <f>IF(B89="","",SUMIFS(SF_Output!$S$1:$S$400,SF_Output!$AC$1:$AC$400,_xlfn.TEXTJOIN(",",TRUE,B89:E89),SF_Output!$Q$1:$Q$400,"One Time",SF_Output!$L$1:$L$400,"professional service"))</f>
        <v>12500</v>
      </c>
      <c r="O89" s="112">
        <f>IF(OR(B89=0,B89="",N89=0),"",IF(AF89&lt;&gt;"exclusion",MAX(O$9,-(SUMIFS(SF_Output!$T$1:$T$400,SF_Output!$AC$1:$AC$400,_xlfn.TEXTJOIN(",",TRUE,$B89:$E89),SF_Output!$Q$1:$Q$400,"One Time",SF_Output!$L$1:$L$400,"professional service"))/N89),-((SUMIFS(SF_Output!$T$1:$T$400,SF_Output!$AC$1:$AC$400,_xlfn.TEXTJOIN(",",TRUE,$B89:$E89),SF_Output!$Q$1:$Q$400,"One Time",SF_Output!$L$1:$L$400,"professional service")/N89))))</f>
        <v>1</v>
      </c>
      <c r="P89" s="6">
        <f t="shared" si="6"/>
        <v>0</v>
      </c>
      <c r="R89" s="6">
        <f>IF(B89="","",SUMIFS(SF_Output!$S$1:$S$400,SF_Output!$AC$1:$AC$400,_xlfn.TEXTJOIN(",",TRUE,B89:E89),SF_Output!$Q$1:$Q$400,"yearly")+SUMIFS(SF_Output!$S$1:$S$400,SF_Output!$AC$1:$AC$400,_xlfn.TEXTJOIN(",",TRUE,B89:E89),SF_Output!$Q$1:$Q$400,"quarterly")*4)</f>
        <v>0</v>
      </c>
      <c r="S89" s="112" t="str">
        <f>IF(OR(B89=0,B89="",G89="hardware",R89=0),"",IF(AF89&lt;&gt;"exclusion",MAX(S$9,-(SUMIFS(SF_Output!$T$1:$T$400,SF_Output!$AC$1:$AC$400,_xlfn.TEXTJOIN(",",TRUE,$B89:$E89),SF_Output!$Q$1:$Q$400,"yearly"))/R89),-((SUMIFS(SF_Output!$T$1:$T$400,SF_Output!$AC$1:$AC$400,_xlfn.TEXTJOIN(",",TRUE,$B89:$E89),SF_Output!$Q$1:$Q$400,"yearly")/R89))))</f>
        <v/>
      </c>
      <c r="T89" s="6">
        <f t="shared" si="7"/>
        <v>0</v>
      </c>
      <c r="V89" s="6" cm="1">
        <f t="array" ref="V89">_xlfn.IFS(B89="","",AND(B89&lt;&gt;"",H89=SF_Output!$Y$2,SUMIFS(SF_Output!$T$1:$T$400,SF_Output!$AC$1:$AC$400,_xlfn.TEXTJOIN(",",TRUE,B89:E89),SF_Output!$Q$1:$Q$400,"monthly")=0),(SUMIFS(SF_Output!$F$1:$F$400,SF_Output!$AC$1:$AC$400,_xlfn.TEXTJOIN(",",TRUE,B89:E89),SF_Output!$Q$1:$Q$400,"monthly")+SUMIFS(SF_Output!$G$1:$G$400,SF_Output!$AC$1:$AC$400,_xlfn.TEXTJOIN(",",TRUE,B89:E89),SF_Output!$Q$1:$Q$400,"monthly"))*H89,AND(B89&lt;&gt;"",H89=SF_Output!$Y$2,SUMIFS(SF_Output!$T$1:$T$400,SF_Output!$AC$1:$AC$400,_xlfn.TEXTJOIN(",",TRUE,B89:E89),SF_Output!$Q$1:$Q$400,"monthly")&lt;&gt;0),SUMIFS(SF_Output!$S$1:$S$400,SF_Output!$AC$1:$AC$400,_xlfn.TEXTJOIN(",",TRUE,B89:E89),SF_Output!$Q$1:$Q$400,"monthly"),AND(B89&lt;&gt;"",H89&lt;&gt;SF_Output!$Y$2),SUMIFS(SF_Output!$S$1:$S$400,SF_Output!$AC$1:$AC$400,_xlfn.TEXTJOIN(",",TRUE,B89:E89),SF_Output!$Q$1:$Q$400,"monthly"))</f>
        <v>650</v>
      </c>
      <c r="W89" s="112" cm="1">
        <f t="array" ref="W89">_xlfn.IFS(OR(B89=0,B89="",V89=0),"",AF89&lt;&gt;"exclusion",MAX($W$9,$W$7,(-(SUMIFS(SF_Output!$T$1:$T$400,SF_Output!$AC$1:$AC$400,_xlfn.TEXTJOIN(",",TRUE,$B89:$E89),SF_Output!$Q$1:$Q$400,"monthly"))/V89)),AF89="exclusion",-(SUMIFS(SF_Output!$T$1:$T$400,SF_Output!$AC$1:$AC$400,_xlfn.TEXTJOIN(",",TRUE,$B89:$E89),SF_Output!$Q$1:$Q$400,"monthly"))/V89)</f>
        <v>0</v>
      </c>
      <c r="X89" s="6" cm="1">
        <f t="array" ref="X89">IFERROR(_xlfn.IFS(V89=0,0,V89="","",W89=0,V89,OR(V89&lt;&gt;0,V89&lt;&gt;""),H89*I89),V89*(1-W89))</f>
        <v>650</v>
      </c>
    </row>
    <row r="90" spans="2:24" x14ac:dyDescent="0.25">
      <c r="B90" t="s">
        <v>2343</v>
      </c>
      <c r="C90" t="s">
        <v>2122</v>
      </c>
      <c r="D90" t="s">
        <v>2207</v>
      </c>
      <c r="E90" t="s">
        <v>2124</v>
      </c>
      <c r="F90" s="116" t="str">
        <f t="shared" si="4"/>
        <v>Included</v>
      </c>
      <c r="G90" t="str">
        <f>IF(B90="","",INDEX(SF_Output!$K$1:$K$400,MATCH(B90,SF_Output!$M$1:$M$400,0)))</f>
        <v>Card Processing Solutions (CPS)</v>
      </c>
      <c r="H90" cm="1">
        <f t="array" ref="H90">_xlfn.IFS(B90="","",(SUMIFS(SF_Output!$F$1:$F$400,SF_Output!$AC$1:$AC$400,_xlfn.TEXTJOIN(",",TRUE,B90:E90))+SUMIFS(SF_Output!$G$1:$G$400,SF_Output!$AC$1:$AC$400,_xlfn.TEXTJOIN(",",TRUE,B90:E90)))&lt;&gt;0,SF_Output!$Y$2,INDEX(SF_Output!$F$1:$F$400,MATCH(_xlfn.TEXTJOIN(",",TRUE,B90:E90),SF_Output!$AC$1:$AC$400,0))=0,INDEX(SF_Output!$R$1:$R$400,MATCH(_xlfn.TEXTJOIN(",",TRUE,B90:E90),SF_Output!$AC$1:$AC$400,0)))</f>
        <v>1</v>
      </c>
      <c r="I90" s="125" t="str">
        <f>IFERROR(IF(AND(H90&gt;1,H90&lt;&gt;""),ROUND(SUMIFS(SF_Output!$S$1:$S$400,SF_Output!$AC$1:$AC$400,_xlfn.TEXTJOIN(",",TRUE,B90:E90),SF_Output!$Q$1:$Q$400,"monthly")*(1-W90)/H90,4),""),"")</f>
        <v/>
      </c>
      <c r="J90" s="6">
        <f>IF(B90="","",SUMIFS(SF_Output!$S$1:$S$400,SF_Output!$AC$1:$AC$400,_xlfn.TEXTJOIN(",",TRUE,B90:E90),SF_Output!$Q$1:$Q$400,"One Time",SF_Output!$L$1:$L$400,"license fee")+SUMIFS(SF_Output!$S$1:$S$400,SF_Output!$AC$1:$AC$400,_xlfn.TEXTJOIN(",",TRUE,B90:E90),SF_Output!$Q$1:$Q$400,"One Time",SF_Output!$L$1:$L$400,"software license")+SUMIFS(SF_Output!$S$1:$S$400,SF_Output!$AC$1:$AC$400,_xlfn.TEXTJOIN(",",TRUE,B90:E90),SF_Output!$Q$1:$Q$400,"One Time",SF_Output!$L$1:$L$400,"hardware"))</f>
        <v>0</v>
      </c>
      <c r="K90" s="112" t="str">
        <f>IF(OR(B90=0,B90="",G90="hardware",J90=0),"",IF(AF90&lt;&gt;"exclusion",MAX(K$9,-((SUMIFS(SF_Output!$T$1:$T$400,SF_Output!$AC$1:$AC$400,_xlfn.TEXTJOIN(",",TRUE,$B90:$E90),SF_Output!$Q$1:$Q$400,"One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license"))/J90)),-((SUMIFS(SF_Output!$T$1:$T$400,SF_Output!$AC$1:$AC$400,_xlfn.TEXTJOIN(",",TRUE,$B90:$E90),SF_Output!$Q$1:$Q$400,"One Time",SF_Output!$L$1:$L$400,"license fee")+SUMIFS(SF_Output!$T$1:$T$400,SF_Output!$AC$1:$AC$400,_xlfn.TEXTJOIN(",",TRUE,$B90:$E90),SF_Output!$Q$1:$Q$400,"One Time",SF_Output!$L$1:$L$400,"software license"))/J90)))</f>
        <v/>
      </c>
      <c r="L90" s="6">
        <f t="shared" si="5"/>
        <v>0</v>
      </c>
      <c r="N90" s="6">
        <f>IF(B90="","",SUMIFS(SF_Output!$S$1:$S$400,SF_Output!$AC$1:$AC$400,_xlfn.TEXTJOIN(",",TRUE,B90:E90),SF_Output!$Q$1:$Q$400,"One Time",SF_Output!$L$1:$L$400,"professional service"))</f>
        <v>0</v>
      </c>
      <c r="O90" s="112" t="str">
        <f>IF(OR(B90=0,B90="",N90=0),"",IF(AF90&lt;&gt;"exclusion",MAX(O$9,-(SUMIFS(SF_Output!$T$1:$T$400,SF_Output!$AC$1:$AC$400,_xlfn.TEXTJOIN(",",TRUE,$B90:$E90),SF_Output!$Q$1:$Q$400,"One Time",SF_Output!$L$1:$L$400,"professional service"))/N90),-((SUMIFS(SF_Output!$T$1:$T$400,SF_Output!$AC$1:$AC$400,_xlfn.TEXTJOIN(",",TRUE,$B90:$E90),SF_Output!$Q$1:$Q$400,"One Time",SF_Output!$L$1:$L$400,"professional service")/N90))))</f>
        <v/>
      </c>
      <c r="P90" s="6">
        <f t="shared" si="6"/>
        <v>0</v>
      </c>
      <c r="R90" s="6">
        <f>IF(B90="","",SUMIFS(SF_Output!$S$1:$S$400,SF_Output!$AC$1:$AC$400,_xlfn.TEXTJOIN(",",TRUE,B90:E90),SF_Output!$Q$1:$Q$400,"yearly")+SUMIFS(SF_Output!$S$1:$S$400,SF_Output!$AC$1:$AC$400,_xlfn.TEXTJOIN(",",TRUE,B90:E90),SF_Output!$Q$1:$Q$400,"quarterly")*4)</f>
        <v>0</v>
      </c>
      <c r="S90" s="112" t="str">
        <f>IF(OR(B90=0,B90="",G90="hardware",R90=0),"",IF(AF90&lt;&gt;"exclusion",MAX(S$9,-(SUMIFS(SF_Output!$T$1:$T$400,SF_Output!$AC$1:$AC$400,_xlfn.TEXTJOIN(",",TRUE,$B90:$E90),SF_Output!$Q$1:$Q$400,"yearly"))/R90),-((SUMIFS(SF_Output!$T$1:$T$400,SF_Output!$AC$1:$AC$400,_xlfn.TEXTJOIN(",",TRUE,$B90:$E90),SF_Output!$Q$1:$Q$400,"yearly")/R90))))</f>
        <v/>
      </c>
      <c r="T90" s="6">
        <f t="shared" si="7"/>
        <v>0</v>
      </c>
      <c r="V90" s="6" cm="1">
        <f t="array" ref="V90">_xlfn.IFS(B90="","",AND(B90&lt;&gt;"",H90=SF_Output!$Y$2,SUMIFS(SF_Output!$T$1:$T$400,SF_Output!$AC$1:$AC$400,_xlfn.TEXTJOIN(",",TRUE,B90:E90),SF_Output!$Q$1:$Q$400,"monthly")=0),(SUMIFS(SF_Output!$F$1:$F$400,SF_Output!$AC$1:$AC$400,_xlfn.TEXTJOIN(",",TRUE,B90:E90),SF_Output!$Q$1:$Q$400,"monthly")+SUMIFS(SF_Output!$G$1:$G$400,SF_Output!$AC$1:$AC$400,_xlfn.TEXTJOIN(",",TRUE,B90:E90),SF_Output!$Q$1:$Q$400,"monthly"))*H90,AND(B90&lt;&gt;"",H90=SF_Output!$Y$2,SUMIFS(SF_Output!$T$1:$T$400,SF_Output!$AC$1:$AC$400,_xlfn.TEXTJOIN(",",TRUE,B90:E90),SF_Output!$Q$1:$Q$400,"monthly")&lt;&gt;0),SUMIFS(SF_Output!$S$1:$S$400,SF_Output!$AC$1:$AC$400,_xlfn.TEXTJOIN(",",TRUE,B90:E90),SF_Output!$Q$1:$Q$400,"monthly"),AND(B90&lt;&gt;"",H90&lt;&gt;SF_Output!$Y$2),SUMIFS(SF_Output!$S$1:$S$400,SF_Output!$AC$1:$AC$400,_xlfn.TEXTJOIN(",",TRUE,B90:E90),SF_Output!$Q$1:$Q$400,"monthly"))</f>
        <v>250</v>
      </c>
      <c r="W90" s="112" cm="1">
        <f t="array" ref="W90">_xlfn.IFS(OR(B90=0,B90="",V90=0),"",AF90&lt;&gt;"exclusion",MAX($W$9,$W$7,(-(SUMIFS(SF_Output!$T$1:$T$400,SF_Output!$AC$1:$AC$400,_xlfn.TEXTJOIN(",",TRUE,$B90:$E90),SF_Output!$Q$1:$Q$400,"monthly"))/V90)),AF90="exclusion",-(SUMIFS(SF_Output!$T$1:$T$400,SF_Output!$AC$1:$AC$400,_xlfn.TEXTJOIN(",",TRUE,$B90:$E90),SF_Output!$Q$1:$Q$400,"monthly"))/V90)</f>
        <v>0</v>
      </c>
      <c r="X90" s="6" cm="1">
        <f t="array" ref="X90">IFERROR(_xlfn.IFS(V90=0,0,V90="","",W90=0,V90,OR(V90&lt;&gt;0,V90&lt;&gt;""),H90*I90),V90*(1-W90))</f>
        <v>250</v>
      </c>
    </row>
    <row r="91" spans="2:24" x14ac:dyDescent="0.25">
      <c r="B91" t="s">
        <v>679</v>
      </c>
      <c r="C91" t="s">
        <v>2122</v>
      </c>
      <c r="D91" t="s">
        <v>2207</v>
      </c>
      <c r="E91" t="s">
        <v>2124</v>
      </c>
      <c r="F91" s="116" t="str">
        <f t="shared" si="4"/>
        <v>Included</v>
      </c>
      <c r="G91" t="str">
        <f>IF(B91="","",INDEX(SF_Output!$K$1:$K$400,MATCH(B91,SF_Output!$M$1:$M$400,0)))</f>
        <v>Card Processing Solutions (CPS)</v>
      </c>
      <c r="H91" cm="1">
        <f t="array" ref="H91">_xlfn.IFS(B91="","",(SUMIFS(SF_Output!$F$1:$F$400,SF_Output!$AC$1:$AC$400,_xlfn.TEXTJOIN(",",TRUE,B91:E91))+SUMIFS(SF_Output!$G$1:$G$400,SF_Output!$AC$1:$AC$400,_xlfn.TEXTJOIN(",",TRUE,B91:E91)))&lt;&gt;0,SF_Output!$Y$2,INDEX(SF_Output!$F$1:$F$400,MATCH(_xlfn.TEXTJOIN(",",TRUE,B91:E91),SF_Output!$AC$1:$AC$400,0))=0,INDEX(SF_Output!$R$1:$R$400,MATCH(_xlfn.TEXTJOIN(",",TRUE,B91:E91),SF_Output!$AC$1:$AC$400,0)))</f>
        <v>0</v>
      </c>
      <c r="I91" s="125" t="str">
        <f>IFERROR(IF(AND(H91&gt;1,H91&lt;&gt;""),ROUND(SUMIFS(SF_Output!$S$1:$S$400,SF_Output!$AC$1:$AC$400,_xlfn.TEXTJOIN(",",TRUE,B91:E91),SF_Output!$Q$1:$Q$400,"monthly")*(1-W91)/H91,4),""),"")</f>
        <v/>
      </c>
      <c r="J91" s="6">
        <f>IF(B91="","",SUMIFS(SF_Output!$S$1:$S$400,SF_Output!$AC$1:$AC$400,_xlfn.TEXTJOIN(",",TRUE,B91:E91),SF_Output!$Q$1:$Q$400,"One Time",SF_Output!$L$1:$L$400,"license fee")+SUMIFS(SF_Output!$S$1:$S$400,SF_Output!$AC$1:$AC$400,_xlfn.TEXTJOIN(",",TRUE,B91:E91),SF_Output!$Q$1:$Q$400,"One Time",SF_Output!$L$1:$L$400,"software license")+SUMIFS(SF_Output!$S$1:$S$400,SF_Output!$AC$1:$AC$400,_xlfn.TEXTJOIN(",",TRUE,B91:E91),SF_Output!$Q$1:$Q$400,"One Time",SF_Output!$L$1:$L$400,"hardware"))</f>
        <v>0</v>
      </c>
      <c r="K91" s="112" t="str">
        <f>IF(OR(B91=0,B91="",G91="hardware",J91=0),"",IF(AF91&lt;&gt;"exclusion",MAX(K$9,-((SUMIFS(SF_Output!$T$1:$T$400,SF_Output!$AC$1:$AC$400,_xlfn.TEXTJOIN(",",TRUE,$B91:$E91),SF_Output!$Q$1:$Q$400,"One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license"))/J91)),-((SUMIFS(SF_Output!$T$1:$T$400,SF_Output!$AC$1:$AC$400,_xlfn.TEXTJOIN(",",TRUE,$B91:$E91),SF_Output!$Q$1:$Q$400,"One Time",SF_Output!$L$1:$L$400,"license fee")+SUMIFS(SF_Output!$T$1:$T$400,SF_Output!$AC$1:$AC$400,_xlfn.TEXTJOIN(",",TRUE,$B91:$E91),SF_Output!$Q$1:$Q$400,"One Time",SF_Output!$L$1:$L$400,"software license"))/J91)))</f>
        <v/>
      </c>
      <c r="L91" s="6">
        <f t="shared" si="5"/>
        <v>0</v>
      </c>
      <c r="N91" s="6">
        <f>IF(B91="","",SUMIFS(SF_Output!$S$1:$S$400,SF_Output!$AC$1:$AC$400,_xlfn.TEXTJOIN(",",TRUE,B91:E91),SF_Output!$Q$1:$Q$400,"One Time",SF_Output!$L$1:$L$400,"professional service"))</f>
        <v>0</v>
      </c>
      <c r="O91" s="112" t="str">
        <f>IF(OR(B91=0,B91="",N91=0),"",IF(AF91&lt;&gt;"exclusion",MAX(O$9,-(SUMIFS(SF_Output!$T$1:$T$400,SF_Output!$AC$1:$AC$400,_xlfn.TEXTJOIN(",",TRUE,$B91:$E91),SF_Output!$Q$1:$Q$400,"One Time",SF_Output!$L$1:$L$400,"professional service"))/N91),-((SUMIFS(SF_Output!$T$1:$T$400,SF_Output!$AC$1:$AC$400,_xlfn.TEXTJOIN(",",TRUE,$B91:$E91),SF_Output!$Q$1:$Q$400,"One Time",SF_Output!$L$1:$L$400,"professional service")/N91))))</f>
        <v/>
      </c>
      <c r="P91" s="6">
        <f t="shared" si="6"/>
        <v>0</v>
      </c>
      <c r="R91" s="6">
        <f>IF(B91="","",SUMIFS(SF_Output!$S$1:$S$400,SF_Output!$AC$1:$AC$400,_xlfn.TEXTJOIN(",",TRUE,B91:E91),SF_Output!$Q$1:$Q$400,"yearly")+SUMIFS(SF_Output!$S$1:$S$400,SF_Output!$AC$1:$AC$400,_xlfn.TEXTJOIN(",",TRUE,B91:E91),SF_Output!$Q$1:$Q$400,"quarterly")*4)</f>
        <v>0</v>
      </c>
      <c r="S91" s="112" t="str">
        <f>IF(OR(B91=0,B91="",G91="hardware",R91=0),"",IF(AF91&lt;&gt;"exclusion",MAX(S$9,-(SUMIFS(SF_Output!$T$1:$T$400,SF_Output!$AC$1:$AC$400,_xlfn.TEXTJOIN(",",TRUE,$B91:$E91),SF_Output!$Q$1:$Q$400,"yearly"))/R91),-((SUMIFS(SF_Output!$T$1:$T$400,SF_Output!$AC$1:$AC$400,_xlfn.TEXTJOIN(",",TRUE,$B91:$E91),SF_Output!$Q$1:$Q$400,"yearly")/R91))))</f>
        <v/>
      </c>
      <c r="T91" s="6">
        <f t="shared" si="7"/>
        <v>0</v>
      </c>
      <c r="V91" s="6" cm="1">
        <f t="array" ref="V91">_xlfn.IFS(B91="","",AND(B91&lt;&gt;"",H91=SF_Output!$Y$2,SUMIFS(SF_Output!$T$1:$T$400,SF_Output!$AC$1:$AC$400,_xlfn.TEXTJOIN(",",TRUE,B91:E91),SF_Output!$Q$1:$Q$400,"monthly")=0),(SUMIFS(SF_Output!$F$1:$F$400,SF_Output!$AC$1:$AC$400,_xlfn.TEXTJOIN(",",TRUE,B91:E91),SF_Output!$Q$1:$Q$400,"monthly")+SUMIFS(SF_Output!$G$1:$G$400,SF_Output!$AC$1:$AC$400,_xlfn.TEXTJOIN(",",TRUE,B91:E91),SF_Output!$Q$1:$Q$400,"monthly"))*H91,AND(B91&lt;&gt;"",H91=SF_Output!$Y$2,SUMIFS(SF_Output!$T$1:$T$400,SF_Output!$AC$1:$AC$400,_xlfn.TEXTJOIN(",",TRUE,B91:E91),SF_Output!$Q$1:$Q$400,"monthly")&lt;&gt;0),SUMIFS(SF_Output!$S$1:$S$400,SF_Output!$AC$1:$AC$400,_xlfn.TEXTJOIN(",",TRUE,B91:E91),SF_Output!$Q$1:$Q$400,"monthly"),AND(B91&lt;&gt;"",H91&lt;&gt;SF_Output!$Y$2),SUMIFS(SF_Output!$S$1:$S$400,SF_Output!$AC$1:$AC$400,_xlfn.TEXTJOIN(",",TRUE,B91:E91),SF_Output!$Q$1:$Q$400,"monthly"))</f>
        <v>0</v>
      </c>
      <c r="W91" s="112" t="str" cm="1">
        <f t="array" ref="W91">_xlfn.IFS(OR(B91=0,B91="",V91=0),"",AF91&lt;&gt;"exclusion",MAX($W$9,$W$7,(-(SUMIFS(SF_Output!$T$1:$T$400,SF_Output!$AC$1:$AC$400,_xlfn.TEXTJOIN(",",TRUE,$B91:$E91),SF_Output!$Q$1:$Q$400,"monthly"))/V91)),AF91="exclusion",-(SUMIFS(SF_Output!$T$1:$T$400,SF_Output!$AC$1:$AC$400,_xlfn.TEXTJOIN(",",TRUE,$B91:$E91),SF_Output!$Q$1:$Q$400,"monthly"))/V91)</f>
        <v/>
      </c>
      <c r="X91" s="6" cm="1">
        <f t="array" ref="X91">IFERROR(_xlfn.IFS(V91=0,0,V91="","",W91=0,V91,OR(V91&lt;&gt;0,V91&lt;&gt;""),H91*I91),V91*(1-W91))</f>
        <v>0</v>
      </c>
    </row>
    <row r="92" spans="2:24" x14ac:dyDescent="0.25">
      <c r="B92" t="s">
        <v>681</v>
      </c>
      <c r="C92" t="s">
        <v>2122</v>
      </c>
      <c r="D92" t="s">
        <v>2207</v>
      </c>
      <c r="E92" t="s">
        <v>2124</v>
      </c>
      <c r="F92" s="116" t="str">
        <f t="shared" si="4"/>
        <v>Included</v>
      </c>
      <c r="G92" t="str">
        <f>IF(B92="","",INDEX(SF_Output!$K$1:$K$400,MATCH(B92,SF_Output!$M$1:$M$400,0)))</f>
        <v>Card Processing Solutions (CPS)</v>
      </c>
      <c r="H92" cm="1">
        <f t="array" ref="H92">_xlfn.IFS(B92="","",(SUMIFS(SF_Output!$F$1:$F$400,SF_Output!$AC$1:$AC$400,_xlfn.TEXTJOIN(",",TRUE,B92:E92))+SUMIFS(SF_Output!$G$1:$G$400,SF_Output!$AC$1:$AC$400,_xlfn.TEXTJOIN(",",TRUE,B92:E92)))&lt;&gt;0,SF_Output!$Y$2,INDEX(SF_Output!$F$1:$F$400,MATCH(_xlfn.TEXTJOIN(",",TRUE,B92:E92),SF_Output!$AC$1:$AC$400,0))=0,INDEX(SF_Output!$R$1:$R$400,MATCH(_xlfn.TEXTJOIN(",",TRUE,B92:E92),SF_Output!$AC$1:$AC$400,0)))</f>
        <v>0</v>
      </c>
      <c r="I92" s="125" t="str">
        <f>IFERROR(IF(AND(H92&gt;1,H92&lt;&gt;""),ROUND(SUMIFS(SF_Output!$S$1:$S$400,SF_Output!$AC$1:$AC$400,_xlfn.TEXTJOIN(",",TRUE,B92:E92),SF_Output!$Q$1:$Q$400,"monthly")*(1-W92)/H92,4),""),"")</f>
        <v/>
      </c>
      <c r="J92" s="6">
        <f>IF(B92="","",SUMIFS(SF_Output!$S$1:$S$400,SF_Output!$AC$1:$AC$400,_xlfn.TEXTJOIN(",",TRUE,B92:E92),SF_Output!$Q$1:$Q$400,"One Time",SF_Output!$L$1:$L$400,"license fee")+SUMIFS(SF_Output!$S$1:$S$400,SF_Output!$AC$1:$AC$400,_xlfn.TEXTJOIN(",",TRUE,B92:E92),SF_Output!$Q$1:$Q$400,"One Time",SF_Output!$L$1:$L$400,"software license")+SUMIFS(SF_Output!$S$1:$S$400,SF_Output!$AC$1:$AC$400,_xlfn.TEXTJOIN(",",TRUE,B92:E92),SF_Output!$Q$1:$Q$400,"One Time",SF_Output!$L$1:$L$400,"hardware"))</f>
        <v>0</v>
      </c>
      <c r="K92" s="112" t="str">
        <f>IF(OR(B92=0,B92="",G92="hardware",J92=0),"",IF(AF92&lt;&gt;"exclusion",MAX(K$9,-((SUMIFS(SF_Output!$T$1:$T$400,SF_Output!$AC$1:$AC$400,_xlfn.TEXTJOIN(",",TRUE,$B92:$E92),SF_Output!$Q$1:$Q$400,"One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license"))/J92)),-((SUMIFS(SF_Output!$T$1:$T$400,SF_Output!$AC$1:$AC$400,_xlfn.TEXTJOIN(",",TRUE,$B92:$E92),SF_Output!$Q$1:$Q$400,"One Time",SF_Output!$L$1:$L$400,"license fee")+SUMIFS(SF_Output!$T$1:$T$400,SF_Output!$AC$1:$AC$400,_xlfn.TEXTJOIN(",",TRUE,$B92:$E92),SF_Output!$Q$1:$Q$400,"One Time",SF_Output!$L$1:$L$400,"software license"))/J92)))</f>
        <v/>
      </c>
      <c r="L92" s="6">
        <f t="shared" si="5"/>
        <v>0</v>
      </c>
      <c r="N92" s="6">
        <f>IF(B92="","",SUMIFS(SF_Output!$S$1:$S$400,SF_Output!$AC$1:$AC$400,_xlfn.TEXTJOIN(",",TRUE,B92:E92),SF_Output!$Q$1:$Q$400,"One Time",SF_Output!$L$1:$L$400,"professional service"))</f>
        <v>0</v>
      </c>
      <c r="O92" s="112" t="str">
        <f>IF(OR(B92=0,B92="",N92=0),"",IF(AF92&lt;&gt;"exclusion",MAX(O$9,-(SUMIFS(SF_Output!$T$1:$T$400,SF_Output!$AC$1:$AC$400,_xlfn.TEXTJOIN(",",TRUE,$B92:$E92),SF_Output!$Q$1:$Q$400,"One Time",SF_Output!$L$1:$L$400,"professional service"))/N92),-((SUMIFS(SF_Output!$T$1:$T$400,SF_Output!$AC$1:$AC$400,_xlfn.TEXTJOIN(",",TRUE,$B92:$E92),SF_Output!$Q$1:$Q$400,"One Time",SF_Output!$L$1:$L$400,"professional service")/N92))))</f>
        <v/>
      </c>
      <c r="P92" s="6">
        <f t="shared" si="6"/>
        <v>0</v>
      </c>
      <c r="R92" s="6">
        <f>IF(B92="","",SUMIFS(SF_Output!$S$1:$S$400,SF_Output!$AC$1:$AC$400,_xlfn.TEXTJOIN(",",TRUE,B92:E92),SF_Output!$Q$1:$Q$400,"yearly")+SUMIFS(SF_Output!$S$1:$S$400,SF_Output!$AC$1:$AC$400,_xlfn.TEXTJOIN(",",TRUE,B92:E92),SF_Output!$Q$1:$Q$400,"quarterly")*4)</f>
        <v>0</v>
      </c>
      <c r="S92" s="112" t="str">
        <f>IF(OR(B92=0,B92="",G92="hardware",R92=0),"",IF(AF92&lt;&gt;"exclusion",MAX(S$9,-(SUMIFS(SF_Output!$T$1:$T$400,SF_Output!$AC$1:$AC$400,_xlfn.TEXTJOIN(",",TRUE,$B92:$E92),SF_Output!$Q$1:$Q$400,"yearly"))/R92),-((SUMIFS(SF_Output!$T$1:$T$400,SF_Output!$AC$1:$AC$400,_xlfn.TEXTJOIN(",",TRUE,$B92:$E92),SF_Output!$Q$1:$Q$400,"yearly")/R92))))</f>
        <v/>
      </c>
      <c r="T92" s="6">
        <f t="shared" si="7"/>
        <v>0</v>
      </c>
      <c r="V92" s="6" cm="1">
        <f t="array" ref="V92">_xlfn.IFS(B92="","",AND(B92&lt;&gt;"",H92=SF_Output!$Y$2,SUMIFS(SF_Output!$T$1:$T$400,SF_Output!$AC$1:$AC$400,_xlfn.TEXTJOIN(",",TRUE,B92:E92),SF_Output!$Q$1:$Q$400,"monthly")=0),(SUMIFS(SF_Output!$F$1:$F$400,SF_Output!$AC$1:$AC$400,_xlfn.TEXTJOIN(",",TRUE,B92:E92),SF_Output!$Q$1:$Q$400,"monthly")+SUMIFS(SF_Output!$G$1:$G$400,SF_Output!$AC$1:$AC$400,_xlfn.TEXTJOIN(",",TRUE,B92:E92),SF_Output!$Q$1:$Q$400,"monthly"))*H92,AND(B92&lt;&gt;"",H92=SF_Output!$Y$2,SUMIFS(SF_Output!$T$1:$T$400,SF_Output!$AC$1:$AC$400,_xlfn.TEXTJOIN(",",TRUE,B92:E92),SF_Output!$Q$1:$Q$400,"monthly")&lt;&gt;0),SUMIFS(SF_Output!$S$1:$S$400,SF_Output!$AC$1:$AC$400,_xlfn.TEXTJOIN(",",TRUE,B92:E92),SF_Output!$Q$1:$Q$400,"monthly"),AND(B92&lt;&gt;"",H92&lt;&gt;SF_Output!$Y$2),SUMIFS(SF_Output!$S$1:$S$400,SF_Output!$AC$1:$AC$400,_xlfn.TEXTJOIN(",",TRUE,B92:E92),SF_Output!$Q$1:$Q$400,"monthly"))</f>
        <v>0</v>
      </c>
      <c r="W92" s="112" t="str" cm="1">
        <f t="array" ref="W92">_xlfn.IFS(OR(B92=0,B92="",V92=0),"",AF92&lt;&gt;"exclusion",MAX($W$9,$W$7,(-(SUMIFS(SF_Output!$T$1:$T$400,SF_Output!$AC$1:$AC$400,_xlfn.TEXTJOIN(",",TRUE,$B92:$E92),SF_Output!$Q$1:$Q$400,"monthly"))/V92)),AF92="exclusion",-(SUMIFS(SF_Output!$T$1:$T$400,SF_Output!$AC$1:$AC$400,_xlfn.TEXTJOIN(",",TRUE,$B92:$E92),SF_Output!$Q$1:$Q$400,"monthly"))/V92)</f>
        <v/>
      </c>
      <c r="X92" s="6" cm="1">
        <f t="array" ref="X92">IFERROR(_xlfn.IFS(V92=0,0,V92="","",W92=0,V92,OR(V92&lt;&gt;0,V92&lt;&gt;""),H92*I92),V92*(1-W92))</f>
        <v>0</v>
      </c>
    </row>
    <row r="93" spans="2:24" x14ac:dyDescent="0.25">
      <c r="B93" t="s">
        <v>2347</v>
      </c>
      <c r="C93" t="s">
        <v>2122</v>
      </c>
      <c r="D93" t="s">
        <v>2207</v>
      </c>
      <c r="E93" t="s">
        <v>2124</v>
      </c>
      <c r="F93" s="116" t="str">
        <f t="shared" si="4"/>
        <v>Included</v>
      </c>
      <c r="G93" t="str">
        <f>IF(B93="","",INDEX(SF_Output!$K$1:$K$400,MATCH(B93,SF_Output!$M$1:$M$400,0)))</f>
        <v>Card Processing Solutions (CPS)</v>
      </c>
      <c r="H93" cm="1">
        <f t="array" ref="H93">_xlfn.IFS(B93="","",(SUMIFS(SF_Output!$F$1:$F$400,SF_Output!$AC$1:$AC$400,_xlfn.TEXTJOIN(",",TRUE,B93:E93))+SUMIFS(SF_Output!$G$1:$G$400,SF_Output!$AC$1:$AC$400,_xlfn.TEXTJOIN(",",TRUE,B93:E93)))&lt;&gt;0,SF_Output!$Y$2,INDEX(SF_Output!$F$1:$F$400,MATCH(_xlfn.TEXTJOIN(",",TRUE,B93:E93),SF_Output!$AC$1:$AC$400,0))=0,INDEX(SF_Output!$R$1:$R$400,MATCH(_xlfn.TEXTJOIN(",",TRUE,B93:E93),SF_Output!$AC$1:$AC$400,0)))</f>
        <v>0</v>
      </c>
      <c r="I93" s="125" t="str">
        <f>IFERROR(IF(AND(H93&gt;1,H93&lt;&gt;""),ROUND(SUMIFS(SF_Output!$S$1:$S$400,SF_Output!$AC$1:$AC$400,_xlfn.TEXTJOIN(",",TRUE,B93:E93),SF_Output!$Q$1:$Q$400,"monthly")*(1-W93)/H93,4),""),"")</f>
        <v/>
      </c>
      <c r="J93" s="6">
        <f>IF(B93="","",SUMIFS(SF_Output!$S$1:$S$400,SF_Output!$AC$1:$AC$400,_xlfn.TEXTJOIN(",",TRUE,B93:E93),SF_Output!$Q$1:$Q$400,"One Time",SF_Output!$L$1:$L$400,"license fee")+SUMIFS(SF_Output!$S$1:$S$400,SF_Output!$AC$1:$AC$400,_xlfn.TEXTJOIN(",",TRUE,B93:E93),SF_Output!$Q$1:$Q$400,"One Time",SF_Output!$L$1:$L$400,"software license")+SUMIFS(SF_Output!$S$1:$S$400,SF_Output!$AC$1:$AC$400,_xlfn.TEXTJOIN(",",TRUE,B93:E93),SF_Output!$Q$1:$Q$400,"One Time",SF_Output!$L$1:$L$400,"hardware"))</f>
        <v>0</v>
      </c>
      <c r="K93" s="112" t="str">
        <f>IF(OR(B93=0,B93="",G93="hardware",J93=0),"",IF(AF93&lt;&gt;"exclusion",MAX(K$9,-((SUMIFS(SF_Output!$T$1:$T$400,SF_Output!$AC$1:$AC$400,_xlfn.TEXTJOIN(",",TRUE,$B93:$E93),SF_Output!$Q$1:$Q$400,"One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license"))/J93)),-((SUMIFS(SF_Output!$T$1:$T$400,SF_Output!$AC$1:$AC$400,_xlfn.TEXTJOIN(",",TRUE,$B93:$E93),SF_Output!$Q$1:$Q$400,"One Time",SF_Output!$L$1:$L$400,"license fee")+SUMIFS(SF_Output!$T$1:$T$400,SF_Output!$AC$1:$AC$400,_xlfn.TEXTJOIN(",",TRUE,$B93:$E93),SF_Output!$Q$1:$Q$400,"One Time",SF_Output!$L$1:$L$400,"software license"))/J93)))</f>
        <v/>
      </c>
      <c r="L93" s="6">
        <f t="shared" si="5"/>
        <v>0</v>
      </c>
      <c r="N93" s="6">
        <f>IF(B93="","",SUMIFS(SF_Output!$S$1:$S$400,SF_Output!$AC$1:$AC$400,_xlfn.TEXTJOIN(",",TRUE,B93:E93),SF_Output!$Q$1:$Q$400,"One Time",SF_Output!$L$1:$L$400,"professional service"))</f>
        <v>0</v>
      </c>
      <c r="O93" s="112" t="str">
        <f>IF(OR(B93=0,B93="",N93=0),"",IF(AF93&lt;&gt;"exclusion",MAX(O$9,-(SUMIFS(SF_Output!$T$1:$T$400,SF_Output!$AC$1:$AC$400,_xlfn.TEXTJOIN(",",TRUE,$B93:$E93),SF_Output!$Q$1:$Q$400,"One Time",SF_Output!$L$1:$L$400,"professional service"))/N93),-((SUMIFS(SF_Output!$T$1:$T$400,SF_Output!$AC$1:$AC$400,_xlfn.TEXTJOIN(",",TRUE,$B93:$E93),SF_Output!$Q$1:$Q$400,"One Time",SF_Output!$L$1:$L$400,"professional service")/N93))))</f>
        <v/>
      </c>
      <c r="P93" s="6">
        <f t="shared" si="6"/>
        <v>0</v>
      </c>
      <c r="R93" s="6">
        <f>IF(B93="","",SUMIFS(SF_Output!$S$1:$S$400,SF_Output!$AC$1:$AC$400,_xlfn.TEXTJOIN(",",TRUE,B93:E93),SF_Output!$Q$1:$Q$400,"yearly")+SUMIFS(SF_Output!$S$1:$S$400,SF_Output!$AC$1:$AC$400,_xlfn.TEXTJOIN(",",TRUE,B93:E93),SF_Output!$Q$1:$Q$400,"quarterly")*4)</f>
        <v>0</v>
      </c>
      <c r="S93" s="112" t="str">
        <f>IF(OR(B93=0,B93="",G93="hardware",R93=0),"",IF(AF93&lt;&gt;"exclusion",MAX(S$9,-(SUMIFS(SF_Output!$T$1:$T$400,SF_Output!$AC$1:$AC$400,_xlfn.TEXTJOIN(",",TRUE,$B93:$E93),SF_Output!$Q$1:$Q$400,"yearly"))/R93),-((SUMIFS(SF_Output!$T$1:$T$400,SF_Output!$AC$1:$AC$400,_xlfn.TEXTJOIN(",",TRUE,$B93:$E93),SF_Output!$Q$1:$Q$400,"yearly")/R93))))</f>
        <v/>
      </c>
      <c r="T93" s="6">
        <f t="shared" si="7"/>
        <v>0</v>
      </c>
      <c r="V93" s="6" cm="1">
        <f t="array" ref="V93">_xlfn.IFS(B93="","",AND(B93&lt;&gt;"",H93=SF_Output!$Y$2,SUMIFS(SF_Output!$T$1:$T$400,SF_Output!$AC$1:$AC$400,_xlfn.TEXTJOIN(",",TRUE,B93:E93),SF_Output!$Q$1:$Q$400,"monthly")=0),(SUMIFS(SF_Output!$F$1:$F$400,SF_Output!$AC$1:$AC$400,_xlfn.TEXTJOIN(",",TRUE,B93:E93),SF_Output!$Q$1:$Q$400,"monthly")+SUMIFS(SF_Output!$G$1:$G$400,SF_Output!$AC$1:$AC$400,_xlfn.TEXTJOIN(",",TRUE,B93:E93),SF_Output!$Q$1:$Q$400,"monthly"))*H93,AND(B93&lt;&gt;"",H93=SF_Output!$Y$2,SUMIFS(SF_Output!$T$1:$T$400,SF_Output!$AC$1:$AC$400,_xlfn.TEXTJOIN(",",TRUE,B93:E93),SF_Output!$Q$1:$Q$400,"monthly")&lt;&gt;0),SUMIFS(SF_Output!$S$1:$S$400,SF_Output!$AC$1:$AC$400,_xlfn.TEXTJOIN(",",TRUE,B93:E93),SF_Output!$Q$1:$Q$400,"monthly"),AND(B93&lt;&gt;"",H93&lt;&gt;SF_Output!$Y$2),SUMIFS(SF_Output!$S$1:$S$400,SF_Output!$AC$1:$AC$400,_xlfn.TEXTJOIN(",",TRUE,B93:E93),SF_Output!$Q$1:$Q$400,"monthly"))</f>
        <v>0</v>
      </c>
      <c r="W93" s="112" t="str" cm="1">
        <f t="array" ref="W93">_xlfn.IFS(OR(B93=0,B93="",V93=0),"",AF93&lt;&gt;"exclusion",MAX($W$9,$W$7,(-(SUMIFS(SF_Output!$T$1:$T$400,SF_Output!$AC$1:$AC$400,_xlfn.TEXTJOIN(",",TRUE,$B93:$E93),SF_Output!$Q$1:$Q$400,"monthly"))/V93)),AF93="exclusion",-(SUMIFS(SF_Output!$T$1:$T$400,SF_Output!$AC$1:$AC$400,_xlfn.TEXTJOIN(",",TRUE,$B93:$E93),SF_Output!$Q$1:$Q$400,"monthly"))/V93)</f>
        <v/>
      </c>
      <c r="X93" s="6" cm="1">
        <f t="array" ref="X93">IFERROR(_xlfn.IFS(V93=0,0,V93="","",W93=0,V93,OR(V93&lt;&gt;0,V93&lt;&gt;""),H93*I93),V93*(1-W93))</f>
        <v>0</v>
      </c>
    </row>
    <row r="94" spans="2:24" x14ac:dyDescent="0.25">
      <c r="B94" t="s">
        <v>686</v>
      </c>
      <c r="C94" t="s">
        <v>2122</v>
      </c>
      <c r="D94" t="s">
        <v>2207</v>
      </c>
      <c r="E94" t="s">
        <v>2124</v>
      </c>
      <c r="F94" s="116" t="str">
        <f t="shared" si="4"/>
        <v>Included</v>
      </c>
      <c r="G94" t="str">
        <f>IF(B94="","",INDEX(SF_Output!$K$1:$K$400,MATCH(B94,SF_Output!$M$1:$M$400,0)))</f>
        <v>Card Processing Solutions (CPS)</v>
      </c>
      <c r="H94" cm="1">
        <f t="array" ref="H94">_xlfn.IFS(B94="","",(SUMIFS(SF_Output!$F$1:$F$400,SF_Output!$AC$1:$AC$400,_xlfn.TEXTJOIN(",",TRUE,B94:E94))+SUMIFS(SF_Output!$G$1:$G$400,SF_Output!$AC$1:$AC$400,_xlfn.TEXTJOIN(",",TRUE,B94:E94)))&lt;&gt;0,SF_Output!$Y$2,INDEX(SF_Output!$F$1:$F$400,MATCH(_xlfn.TEXTJOIN(",",TRUE,B94:E94),SF_Output!$AC$1:$AC$400,0))=0,INDEX(SF_Output!$R$1:$R$400,MATCH(_xlfn.TEXTJOIN(",",TRUE,B94:E94),SF_Output!$AC$1:$AC$400,0)))</f>
        <v>0</v>
      </c>
      <c r="I94" s="125" t="str">
        <f>IFERROR(IF(AND(H94&gt;1,H94&lt;&gt;""),ROUND(SUMIFS(SF_Output!$S$1:$S$400,SF_Output!$AC$1:$AC$400,_xlfn.TEXTJOIN(",",TRUE,B94:E94),SF_Output!$Q$1:$Q$400,"monthly")*(1-W94)/H94,4),""),"")</f>
        <v/>
      </c>
      <c r="J94" s="6">
        <f>IF(B94="","",SUMIFS(SF_Output!$S$1:$S$400,SF_Output!$AC$1:$AC$400,_xlfn.TEXTJOIN(",",TRUE,B94:E94),SF_Output!$Q$1:$Q$400,"One Time",SF_Output!$L$1:$L$400,"license fee")+SUMIFS(SF_Output!$S$1:$S$400,SF_Output!$AC$1:$AC$400,_xlfn.TEXTJOIN(",",TRUE,B94:E94),SF_Output!$Q$1:$Q$400,"One Time",SF_Output!$L$1:$L$400,"software license")+SUMIFS(SF_Output!$S$1:$S$400,SF_Output!$AC$1:$AC$400,_xlfn.TEXTJOIN(",",TRUE,B94:E94),SF_Output!$Q$1:$Q$400,"One Time",SF_Output!$L$1:$L$400,"hardware"))</f>
        <v>0</v>
      </c>
      <c r="K94" s="112" t="str">
        <f>IF(OR(B94=0,B94="",G94="hardware",J94=0),"",IF(AF94&lt;&gt;"exclusion",MAX(K$9,-((SUMIFS(SF_Output!$T$1:$T$400,SF_Output!$AC$1:$AC$400,_xlfn.TEXTJOIN(",",TRUE,$B94:$E94),SF_Output!$Q$1:$Q$400,"One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license"))/J94)),-((SUMIFS(SF_Output!$T$1:$T$400,SF_Output!$AC$1:$AC$400,_xlfn.TEXTJOIN(",",TRUE,$B94:$E94),SF_Output!$Q$1:$Q$400,"One Time",SF_Output!$L$1:$L$400,"license fee")+SUMIFS(SF_Output!$T$1:$T$400,SF_Output!$AC$1:$AC$400,_xlfn.TEXTJOIN(",",TRUE,$B94:$E94),SF_Output!$Q$1:$Q$400,"One Time",SF_Output!$L$1:$L$400,"software license"))/J94)))</f>
        <v/>
      </c>
      <c r="L94" s="6">
        <f t="shared" si="5"/>
        <v>0</v>
      </c>
      <c r="N94" s="6">
        <f>IF(B94="","",SUMIFS(SF_Output!$S$1:$S$400,SF_Output!$AC$1:$AC$400,_xlfn.TEXTJOIN(",",TRUE,B94:E94),SF_Output!$Q$1:$Q$400,"One Time",SF_Output!$L$1:$L$400,"professional service"))</f>
        <v>0</v>
      </c>
      <c r="O94" s="112" t="str">
        <f>IF(OR(B94=0,B94="",N94=0),"",IF(AF94&lt;&gt;"exclusion",MAX(O$9,-(SUMIFS(SF_Output!$T$1:$T$400,SF_Output!$AC$1:$AC$400,_xlfn.TEXTJOIN(",",TRUE,$B94:$E94),SF_Output!$Q$1:$Q$400,"One Time",SF_Output!$L$1:$L$400,"professional service"))/N94),-((SUMIFS(SF_Output!$T$1:$T$400,SF_Output!$AC$1:$AC$400,_xlfn.TEXTJOIN(",",TRUE,$B94:$E94),SF_Output!$Q$1:$Q$400,"One Time",SF_Output!$L$1:$L$400,"professional service")/N94))))</f>
        <v/>
      </c>
      <c r="P94" s="6">
        <f t="shared" si="6"/>
        <v>0</v>
      </c>
      <c r="R94" s="6">
        <f>IF(B94="","",SUMIFS(SF_Output!$S$1:$S$400,SF_Output!$AC$1:$AC$400,_xlfn.TEXTJOIN(",",TRUE,B94:E94),SF_Output!$Q$1:$Q$400,"yearly")+SUMIFS(SF_Output!$S$1:$S$400,SF_Output!$AC$1:$AC$400,_xlfn.TEXTJOIN(",",TRUE,B94:E94),SF_Output!$Q$1:$Q$400,"quarterly")*4)</f>
        <v>0</v>
      </c>
      <c r="S94" s="112" t="str">
        <f>IF(OR(B94=0,B94="",G94="hardware",R94=0),"",IF(AF94&lt;&gt;"exclusion",MAX(S$9,-(SUMIFS(SF_Output!$T$1:$T$400,SF_Output!$AC$1:$AC$400,_xlfn.TEXTJOIN(",",TRUE,$B94:$E94),SF_Output!$Q$1:$Q$400,"yearly"))/R94),-((SUMIFS(SF_Output!$T$1:$T$400,SF_Output!$AC$1:$AC$400,_xlfn.TEXTJOIN(",",TRUE,$B94:$E94),SF_Output!$Q$1:$Q$400,"yearly")/R94))))</f>
        <v/>
      </c>
      <c r="T94" s="6">
        <f t="shared" si="7"/>
        <v>0</v>
      </c>
      <c r="V94" s="6" cm="1">
        <f t="array" ref="V94">_xlfn.IFS(B94="","",AND(B94&lt;&gt;"",H94=SF_Output!$Y$2,SUMIFS(SF_Output!$T$1:$T$400,SF_Output!$AC$1:$AC$400,_xlfn.TEXTJOIN(",",TRUE,B94:E94),SF_Output!$Q$1:$Q$400,"monthly")=0),(SUMIFS(SF_Output!$F$1:$F$400,SF_Output!$AC$1:$AC$400,_xlfn.TEXTJOIN(",",TRUE,B94:E94),SF_Output!$Q$1:$Q$400,"monthly")+SUMIFS(SF_Output!$G$1:$G$400,SF_Output!$AC$1:$AC$400,_xlfn.TEXTJOIN(",",TRUE,B94:E94),SF_Output!$Q$1:$Q$400,"monthly"))*H94,AND(B94&lt;&gt;"",H94=SF_Output!$Y$2,SUMIFS(SF_Output!$T$1:$T$400,SF_Output!$AC$1:$AC$400,_xlfn.TEXTJOIN(",",TRUE,B94:E94),SF_Output!$Q$1:$Q$400,"monthly")&lt;&gt;0),SUMIFS(SF_Output!$S$1:$S$400,SF_Output!$AC$1:$AC$400,_xlfn.TEXTJOIN(",",TRUE,B94:E94),SF_Output!$Q$1:$Q$400,"monthly"),AND(B94&lt;&gt;"",H94&lt;&gt;SF_Output!$Y$2),SUMIFS(SF_Output!$S$1:$S$400,SF_Output!$AC$1:$AC$400,_xlfn.TEXTJOIN(",",TRUE,B94:E94),SF_Output!$Q$1:$Q$400,"monthly"))</f>
        <v>0</v>
      </c>
      <c r="W94" s="112" t="str" cm="1">
        <f t="array" ref="W94">_xlfn.IFS(OR(B94=0,B94="",V94=0),"",AF94&lt;&gt;"exclusion",MAX($W$9,$W$7,(-(SUMIFS(SF_Output!$T$1:$T$400,SF_Output!$AC$1:$AC$400,_xlfn.TEXTJOIN(",",TRUE,$B94:$E94),SF_Output!$Q$1:$Q$400,"monthly"))/V94)),AF94="exclusion",-(SUMIFS(SF_Output!$T$1:$T$400,SF_Output!$AC$1:$AC$400,_xlfn.TEXTJOIN(",",TRUE,$B94:$E94),SF_Output!$Q$1:$Q$400,"monthly"))/V94)</f>
        <v/>
      </c>
      <c r="X94" s="6" cm="1">
        <f t="array" ref="X94">IFERROR(_xlfn.IFS(V94=0,0,V94="","",W94=0,V94,OR(V94&lt;&gt;0,V94&lt;&gt;""),H94*I94),V94*(1-W94))</f>
        <v>0</v>
      </c>
    </row>
    <row r="95" spans="2:24" x14ac:dyDescent="0.25">
      <c r="B95" t="s">
        <v>1729</v>
      </c>
      <c r="C95" t="s">
        <v>2122</v>
      </c>
      <c r="D95" t="s">
        <v>2207</v>
      </c>
      <c r="E95" t="s">
        <v>2124</v>
      </c>
      <c r="F95" s="116" t="str">
        <f t="shared" si="4"/>
        <v>Included</v>
      </c>
      <c r="G95" t="str">
        <f>IF(B95="","",INDEX(SF_Output!$K$1:$K$400,MATCH(B95,SF_Output!$M$1:$M$400,0)))</f>
        <v>Card Processing Solutions (CPS)</v>
      </c>
      <c r="H95" cm="1">
        <f t="array" ref="H95">_xlfn.IFS(B95="","",(SUMIFS(SF_Output!$F$1:$F$400,SF_Output!$AC$1:$AC$400,_xlfn.TEXTJOIN(",",TRUE,B95:E95))+SUMIFS(SF_Output!$G$1:$G$400,SF_Output!$AC$1:$AC$400,_xlfn.TEXTJOIN(",",TRUE,B95:E95)))&lt;&gt;0,SF_Output!$Y$2,INDEX(SF_Output!$F$1:$F$400,MATCH(_xlfn.TEXTJOIN(",",TRUE,B95:E95),SF_Output!$AC$1:$AC$400,0))=0,INDEX(SF_Output!$R$1:$R$400,MATCH(_xlfn.TEXTJOIN(",",TRUE,B95:E95),SF_Output!$AC$1:$AC$400,0)))</f>
        <v>0</v>
      </c>
      <c r="I95" s="125" t="str">
        <f>IFERROR(IF(AND(H95&gt;1,H95&lt;&gt;""),ROUND(SUMIFS(SF_Output!$S$1:$S$400,SF_Output!$AC$1:$AC$400,_xlfn.TEXTJOIN(",",TRUE,B95:E95),SF_Output!$Q$1:$Q$400,"monthly")*(1-W95)/H95,4),""),"")</f>
        <v/>
      </c>
      <c r="J95" s="6">
        <f>IF(B95="","",SUMIFS(SF_Output!$S$1:$S$400,SF_Output!$AC$1:$AC$400,_xlfn.TEXTJOIN(",",TRUE,B95:E95),SF_Output!$Q$1:$Q$400,"One Time",SF_Output!$L$1:$L$400,"license fee")+SUMIFS(SF_Output!$S$1:$S$400,SF_Output!$AC$1:$AC$400,_xlfn.TEXTJOIN(",",TRUE,B95:E95),SF_Output!$Q$1:$Q$400,"One Time",SF_Output!$L$1:$L$400,"software license")+SUMIFS(SF_Output!$S$1:$S$400,SF_Output!$AC$1:$AC$400,_xlfn.TEXTJOIN(",",TRUE,B95:E95),SF_Output!$Q$1:$Q$400,"One Time",SF_Output!$L$1:$L$400,"hardware"))</f>
        <v>0</v>
      </c>
      <c r="K95" s="112" t="str">
        <f>IF(OR(B95=0,B95="",G95="hardware",J95=0),"",IF(AF95&lt;&gt;"exclusion",MAX(K$9,-((SUMIFS(SF_Output!$T$1:$T$400,SF_Output!$AC$1:$AC$400,_xlfn.TEXTJOIN(",",TRUE,$B95:$E95),SF_Output!$Q$1:$Q$400,"One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license"))/J95)),-((SUMIFS(SF_Output!$T$1:$T$400,SF_Output!$AC$1:$AC$400,_xlfn.TEXTJOIN(",",TRUE,$B95:$E95),SF_Output!$Q$1:$Q$400,"One Time",SF_Output!$L$1:$L$400,"license fee")+SUMIFS(SF_Output!$T$1:$T$400,SF_Output!$AC$1:$AC$400,_xlfn.TEXTJOIN(",",TRUE,$B95:$E95),SF_Output!$Q$1:$Q$400,"One Time",SF_Output!$L$1:$L$400,"software license"))/J95)))</f>
        <v/>
      </c>
      <c r="L95" s="6">
        <f t="shared" si="5"/>
        <v>0</v>
      </c>
      <c r="N95" s="6">
        <f>IF(B95="","",SUMIFS(SF_Output!$S$1:$S$400,SF_Output!$AC$1:$AC$400,_xlfn.TEXTJOIN(",",TRUE,B95:E95),SF_Output!$Q$1:$Q$400,"One Time",SF_Output!$L$1:$L$400,"professional service"))</f>
        <v>0</v>
      </c>
      <c r="O95" s="112" t="str">
        <f>IF(OR(B95=0,B95="",N95=0),"",IF(AF95&lt;&gt;"exclusion",MAX(O$9,-(SUMIFS(SF_Output!$T$1:$T$400,SF_Output!$AC$1:$AC$400,_xlfn.TEXTJOIN(",",TRUE,$B95:$E95),SF_Output!$Q$1:$Q$400,"One Time",SF_Output!$L$1:$L$400,"professional service"))/N95),-((SUMIFS(SF_Output!$T$1:$T$400,SF_Output!$AC$1:$AC$400,_xlfn.TEXTJOIN(",",TRUE,$B95:$E95),SF_Output!$Q$1:$Q$400,"One Time",SF_Output!$L$1:$L$400,"professional service")/N95))))</f>
        <v/>
      </c>
      <c r="P95" s="6">
        <f t="shared" si="6"/>
        <v>0</v>
      </c>
      <c r="R95" s="6">
        <f>IF(B95="","",SUMIFS(SF_Output!$S$1:$S$400,SF_Output!$AC$1:$AC$400,_xlfn.TEXTJOIN(",",TRUE,B95:E95),SF_Output!$Q$1:$Q$400,"yearly")+SUMIFS(SF_Output!$S$1:$S$400,SF_Output!$AC$1:$AC$400,_xlfn.TEXTJOIN(",",TRUE,B95:E95),SF_Output!$Q$1:$Q$400,"quarterly")*4)</f>
        <v>0</v>
      </c>
      <c r="S95" s="112" t="str">
        <f>IF(OR(B95=0,B95="",G95="hardware",R95=0),"",IF(AF95&lt;&gt;"exclusion",MAX(S$9,-(SUMIFS(SF_Output!$T$1:$T$400,SF_Output!$AC$1:$AC$400,_xlfn.TEXTJOIN(",",TRUE,$B95:$E95),SF_Output!$Q$1:$Q$400,"yearly"))/R95),-((SUMIFS(SF_Output!$T$1:$T$400,SF_Output!$AC$1:$AC$400,_xlfn.TEXTJOIN(",",TRUE,$B95:$E95),SF_Output!$Q$1:$Q$400,"yearly")/R95))))</f>
        <v/>
      </c>
      <c r="T95" s="6">
        <f t="shared" si="7"/>
        <v>0</v>
      </c>
      <c r="V95" s="6" cm="1">
        <f t="array" ref="V95">_xlfn.IFS(B95="","",AND(B95&lt;&gt;"",H95=SF_Output!$Y$2,SUMIFS(SF_Output!$T$1:$T$400,SF_Output!$AC$1:$AC$400,_xlfn.TEXTJOIN(",",TRUE,B95:E95),SF_Output!$Q$1:$Q$400,"monthly")=0),(SUMIFS(SF_Output!$F$1:$F$400,SF_Output!$AC$1:$AC$400,_xlfn.TEXTJOIN(",",TRUE,B95:E95),SF_Output!$Q$1:$Q$400,"monthly")+SUMIFS(SF_Output!$G$1:$G$400,SF_Output!$AC$1:$AC$400,_xlfn.TEXTJOIN(",",TRUE,B95:E95),SF_Output!$Q$1:$Q$400,"monthly"))*H95,AND(B95&lt;&gt;"",H95=SF_Output!$Y$2,SUMIFS(SF_Output!$T$1:$T$400,SF_Output!$AC$1:$AC$400,_xlfn.TEXTJOIN(",",TRUE,B95:E95),SF_Output!$Q$1:$Q$400,"monthly")&lt;&gt;0),SUMIFS(SF_Output!$S$1:$S$400,SF_Output!$AC$1:$AC$400,_xlfn.TEXTJOIN(",",TRUE,B95:E95),SF_Output!$Q$1:$Q$400,"monthly"),AND(B95&lt;&gt;"",H95&lt;&gt;SF_Output!$Y$2),SUMIFS(SF_Output!$S$1:$S$400,SF_Output!$AC$1:$AC$400,_xlfn.TEXTJOIN(",",TRUE,B95:E95),SF_Output!$Q$1:$Q$400,"monthly"))</f>
        <v>0</v>
      </c>
      <c r="W95" s="112" t="str" cm="1">
        <f t="array" ref="W95">_xlfn.IFS(OR(B95=0,B95="",V95=0),"",AF95&lt;&gt;"exclusion",MAX($W$9,$W$7,(-(SUMIFS(SF_Output!$T$1:$T$400,SF_Output!$AC$1:$AC$400,_xlfn.TEXTJOIN(",",TRUE,$B95:$E95),SF_Output!$Q$1:$Q$400,"monthly"))/V95)),AF95="exclusion",-(SUMIFS(SF_Output!$T$1:$T$400,SF_Output!$AC$1:$AC$400,_xlfn.TEXTJOIN(",",TRUE,$B95:$E95),SF_Output!$Q$1:$Q$400,"monthly"))/V95)</f>
        <v/>
      </c>
      <c r="X95" s="6" cm="1">
        <f t="array" ref="X95">IFERROR(_xlfn.IFS(V95=0,0,V95="","",W95=0,V95,OR(V95&lt;&gt;0,V95&lt;&gt;""),H95*I95),V95*(1-W95))</f>
        <v>0</v>
      </c>
    </row>
    <row r="96" spans="2:24" x14ac:dyDescent="0.25">
      <c r="B96" t="s">
        <v>708</v>
      </c>
      <c r="C96" t="s">
        <v>2122</v>
      </c>
      <c r="D96" t="s">
        <v>2207</v>
      </c>
      <c r="E96" t="s">
        <v>2124</v>
      </c>
      <c r="F96" s="116" t="str">
        <f t="shared" si="4"/>
        <v>Included</v>
      </c>
      <c r="G96" t="str">
        <f>IF(B96="","",INDEX(SF_Output!$K$1:$K$400,MATCH(B96,SF_Output!$M$1:$M$400,0)))</f>
        <v>Card Processing Solutions (CPS)</v>
      </c>
      <c r="H96" cm="1">
        <f t="array" ref="H96">_xlfn.IFS(B96="","",(SUMIFS(SF_Output!$F$1:$F$400,SF_Output!$AC$1:$AC$400,_xlfn.TEXTJOIN(",",TRUE,B96:E96))+SUMIFS(SF_Output!$G$1:$G$400,SF_Output!$AC$1:$AC$400,_xlfn.TEXTJOIN(",",TRUE,B96:E96)))&lt;&gt;0,SF_Output!$Y$2,INDEX(SF_Output!$F$1:$F$400,MATCH(_xlfn.TEXTJOIN(",",TRUE,B96:E96),SF_Output!$AC$1:$AC$400,0))=0,INDEX(SF_Output!$R$1:$R$400,MATCH(_xlfn.TEXTJOIN(",",TRUE,B96:E96),SF_Output!$AC$1:$AC$400,0)))</f>
        <v>1</v>
      </c>
      <c r="I96" s="125" t="str">
        <f>IFERROR(IF(AND(H96&gt;1,H96&lt;&gt;""),ROUND(SUMIFS(SF_Output!$S$1:$S$400,SF_Output!$AC$1:$AC$400,_xlfn.TEXTJOIN(",",TRUE,B96:E96),SF_Output!$Q$1:$Q$400,"monthly")*(1-W96)/H96,4),""),"")</f>
        <v/>
      </c>
      <c r="J96" s="6">
        <f>IF(B96="","",SUMIFS(SF_Output!$S$1:$S$400,SF_Output!$AC$1:$AC$400,_xlfn.TEXTJOIN(",",TRUE,B96:E96),SF_Output!$Q$1:$Q$400,"One Time",SF_Output!$L$1:$L$400,"license fee")+SUMIFS(SF_Output!$S$1:$S$400,SF_Output!$AC$1:$AC$400,_xlfn.TEXTJOIN(",",TRUE,B96:E96),SF_Output!$Q$1:$Q$400,"One Time",SF_Output!$L$1:$L$400,"software license")+SUMIFS(SF_Output!$S$1:$S$400,SF_Output!$AC$1:$AC$400,_xlfn.TEXTJOIN(",",TRUE,B96:E96),SF_Output!$Q$1:$Q$400,"One Time",SF_Output!$L$1:$L$400,"hardware"))</f>
        <v>0</v>
      </c>
      <c r="K96" s="112" t="str">
        <f>IF(OR(B96=0,B96="",G96="hardware",J96=0),"",IF(AF96&lt;&gt;"exclusion",MAX(K$9,-((SUMIFS(SF_Output!$T$1:$T$400,SF_Output!$AC$1:$AC$400,_xlfn.TEXTJOIN(",",TRUE,$B96:$E96),SF_Output!$Q$1:$Q$400,"One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license"))/J96)),-((SUMIFS(SF_Output!$T$1:$T$400,SF_Output!$AC$1:$AC$400,_xlfn.TEXTJOIN(",",TRUE,$B96:$E96),SF_Output!$Q$1:$Q$400,"One Time",SF_Output!$L$1:$L$400,"license fee")+SUMIFS(SF_Output!$T$1:$T$400,SF_Output!$AC$1:$AC$400,_xlfn.TEXTJOIN(",",TRUE,$B96:$E96),SF_Output!$Q$1:$Q$400,"One Time",SF_Output!$L$1:$L$400,"software license"))/J96)))</f>
        <v/>
      </c>
      <c r="L96" s="6">
        <f t="shared" si="5"/>
        <v>0</v>
      </c>
      <c r="N96" s="6">
        <f>IF(B96="","",SUMIFS(SF_Output!$S$1:$S$400,SF_Output!$AC$1:$AC$400,_xlfn.TEXTJOIN(",",TRUE,B96:E96),SF_Output!$Q$1:$Q$400,"One Time",SF_Output!$L$1:$L$400,"professional service"))</f>
        <v>3000</v>
      </c>
      <c r="O96" s="112">
        <f>IF(OR(B96=0,B96="",N96=0),"",IF(AF96&lt;&gt;"exclusion",MAX(O$9,-(SUMIFS(SF_Output!$T$1:$T$400,SF_Output!$AC$1:$AC$400,_xlfn.TEXTJOIN(",",TRUE,$B96:$E96),SF_Output!$Q$1:$Q$400,"One Time",SF_Output!$L$1:$L$400,"professional service"))/N96),-((SUMIFS(SF_Output!$T$1:$T$400,SF_Output!$AC$1:$AC$400,_xlfn.TEXTJOIN(",",TRUE,$B96:$E96),SF_Output!$Q$1:$Q$400,"One Time",SF_Output!$L$1:$L$400,"professional service")/N96))))</f>
        <v>1</v>
      </c>
      <c r="P96" s="6">
        <f t="shared" si="6"/>
        <v>0</v>
      </c>
      <c r="R96" s="6">
        <f>IF(B96="","",SUMIFS(SF_Output!$S$1:$S$400,SF_Output!$AC$1:$AC$400,_xlfn.TEXTJOIN(",",TRUE,B96:E96),SF_Output!$Q$1:$Q$400,"yearly")+SUMIFS(SF_Output!$S$1:$S$400,SF_Output!$AC$1:$AC$400,_xlfn.TEXTJOIN(",",TRUE,B96:E96),SF_Output!$Q$1:$Q$400,"quarterly")*4)</f>
        <v>0</v>
      </c>
      <c r="S96" s="112" t="str">
        <f>IF(OR(B96=0,B96="",G96="hardware",R96=0),"",IF(AF96&lt;&gt;"exclusion",MAX(S$9,-(SUMIFS(SF_Output!$T$1:$T$400,SF_Output!$AC$1:$AC$400,_xlfn.TEXTJOIN(",",TRUE,$B96:$E96),SF_Output!$Q$1:$Q$400,"yearly"))/R96),-((SUMIFS(SF_Output!$T$1:$T$400,SF_Output!$AC$1:$AC$400,_xlfn.TEXTJOIN(",",TRUE,$B96:$E96),SF_Output!$Q$1:$Q$400,"yearly")/R96))))</f>
        <v/>
      </c>
      <c r="T96" s="6">
        <f t="shared" si="7"/>
        <v>0</v>
      </c>
      <c r="V96" s="6" cm="1">
        <f t="array" ref="V96">_xlfn.IFS(B96="","",AND(B96&lt;&gt;"",H96=SF_Output!$Y$2,SUMIFS(SF_Output!$T$1:$T$400,SF_Output!$AC$1:$AC$400,_xlfn.TEXTJOIN(",",TRUE,B96:E96),SF_Output!$Q$1:$Q$400,"monthly")=0),(SUMIFS(SF_Output!$F$1:$F$400,SF_Output!$AC$1:$AC$400,_xlfn.TEXTJOIN(",",TRUE,B96:E96),SF_Output!$Q$1:$Q$400,"monthly")+SUMIFS(SF_Output!$G$1:$G$400,SF_Output!$AC$1:$AC$400,_xlfn.TEXTJOIN(",",TRUE,B96:E96),SF_Output!$Q$1:$Q$400,"monthly"))*H96,AND(B96&lt;&gt;"",H96=SF_Output!$Y$2,SUMIFS(SF_Output!$T$1:$T$400,SF_Output!$AC$1:$AC$400,_xlfn.TEXTJOIN(",",TRUE,B96:E96),SF_Output!$Q$1:$Q$400,"monthly")&lt;&gt;0),SUMIFS(SF_Output!$S$1:$S$400,SF_Output!$AC$1:$AC$400,_xlfn.TEXTJOIN(",",TRUE,B96:E96),SF_Output!$Q$1:$Q$400,"monthly"),AND(B96&lt;&gt;"",H96&lt;&gt;SF_Output!$Y$2),SUMIFS(SF_Output!$S$1:$S$400,SF_Output!$AC$1:$AC$400,_xlfn.TEXTJOIN(",",TRUE,B96:E96),SF_Output!$Q$1:$Q$400,"monthly"))</f>
        <v>500</v>
      </c>
      <c r="W96" s="112" cm="1">
        <f t="array" ref="W96">_xlfn.IFS(OR(B96=0,B96="",V96=0),"",AF96&lt;&gt;"exclusion",MAX($W$9,$W$7,(-(SUMIFS(SF_Output!$T$1:$T$400,SF_Output!$AC$1:$AC$400,_xlfn.TEXTJOIN(",",TRUE,$B96:$E96),SF_Output!$Q$1:$Q$400,"monthly"))/V96)),AF96="exclusion",-(SUMIFS(SF_Output!$T$1:$T$400,SF_Output!$AC$1:$AC$400,_xlfn.TEXTJOIN(",",TRUE,$B96:$E96),SF_Output!$Q$1:$Q$400,"monthly"))/V96)</f>
        <v>0</v>
      </c>
      <c r="X96" s="6" cm="1">
        <f t="array" ref="X96">IFERROR(_xlfn.IFS(V96=0,0,V96="","",W96=0,V96,OR(V96&lt;&gt;0,V96&lt;&gt;""),H96*I96),V96*(1-W96))</f>
        <v>500</v>
      </c>
    </row>
    <row r="97" spans="2:24" x14ac:dyDescent="0.25">
      <c r="B97" t="s">
        <v>2353</v>
      </c>
      <c r="C97" t="s">
        <v>2122</v>
      </c>
      <c r="D97" t="s">
        <v>2207</v>
      </c>
      <c r="E97" t="s">
        <v>2124</v>
      </c>
      <c r="F97" s="116" t="str">
        <f t="shared" si="4"/>
        <v>Included</v>
      </c>
      <c r="G97" t="str">
        <f>IF(B97="","",INDEX(SF_Output!$K$1:$K$400,MATCH(B97,SF_Output!$M$1:$M$400,0)))</f>
        <v>Card Processing Solutions (CPS)</v>
      </c>
      <c r="H97" cm="1">
        <f t="array" ref="H97">_xlfn.IFS(B97="","",(SUMIFS(SF_Output!$F$1:$F$400,SF_Output!$AC$1:$AC$400,_xlfn.TEXTJOIN(",",TRUE,B97:E97))+SUMIFS(SF_Output!$G$1:$G$400,SF_Output!$AC$1:$AC$400,_xlfn.TEXTJOIN(",",TRUE,B97:E97)))&lt;&gt;0,SF_Output!$Y$2,INDEX(SF_Output!$F$1:$F$400,MATCH(_xlfn.TEXTJOIN(",",TRUE,B97:E97),SF_Output!$AC$1:$AC$400,0))=0,INDEX(SF_Output!$R$1:$R$400,MATCH(_xlfn.TEXTJOIN(",",TRUE,B97:E97),SF_Output!$AC$1:$AC$400,0)))</f>
        <v>1</v>
      </c>
      <c r="I97" s="125" t="str">
        <f>IFERROR(IF(AND(H97&gt;1,H97&lt;&gt;""),ROUND(SUMIFS(SF_Output!$S$1:$S$400,SF_Output!$AC$1:$AC$400,_xlfn.TEXTJOIN(",",TRUE,B97:E97),SF_Output!$Q$1:$Q$400,"monthly")*(1-W97)/H97,4),""),"")</f>
        <v/>
      </c>
      <c r="J97" s="6">
        <f>IF(B97="","",SUMIFS(SF_Output!$S$1:$S$400,SF_Output!$AC$1:$AC$400,_xlfn.TEXTJOIN(",",TRUE,B97:E97),SF_Output!$Q$1:$Q$400,"One Time",SF_Output!$L$1:$L$400,"license fee")+SUMIFS(SF_Output!$S$1:$S$400,SF_Output!$AC$1:$AC$400,_xlfn.TEXTJOIN(",",TRUE,B97:E97),SF_Output!$Q$1:$Q$400,"One Time",SF_Output!$L$1:$L$400,"software license")+SUMIFS(SF_Output!$S$1:$S$400,SF_Output!$AC$1:$AC$400,_xlfn.TEXTJOIN(",",TRUE,B97:E97),SF_Output!$Q$1:$Q$400,"One Time",SF_Output!$L$1:$L$400,"hardware"))</f>
        <v>0</v>
      </c>
      <c r="K97" s="112" t="str">
        <f>IF(OR(B97=0,B97="",G97="hardware",J97=0),"",IF(AF97&lt;&gt;"exclusion",MAX(K$9,-((SUMIFS(SF_Output!$T$1:$T$400,SF_Output!$AC$1:$AC$400,_xlfn.TEXTJOIN(",",TRUE,$B97:$E97),SF_Output!$Q$1:$Q$400,"One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license"))/J97)),-((SUMIFS(SF_Output!$T$1:$T$400,SF_Output!$AC$1:$AC$400,_xlfn.TEXTJOIN(",",TRUE,$B97:$E97),SF_Output!$Q$1:$Q$400,"One Time",SF_Output!$L$1:$L$400,"license fee")+SUMIFS(SF_Output!$T$1:$T$400,SF_Output!$AC$1:$AC$400,_xlfn.TEXTJOIN(",",TRUE,$B97:$E97),SF_Output!$Q$1:$Q$400,"One Time",SF_Output!$L$1:$L$400,"software license"))/J97)))</f>
        <v/>
      </c>
      <c r="L97" s="6">
        <f t="shared" si="5"/>
        <v>0</v>
      </c>
      <c r="N97" s="6">
        <f>IF(B97="","",SUMIFS(SF_Output!$S$1:$S$400,SF_Output!$AC$1:$AC$400,_xlfn.TEXTJOIN(",",TRUE,B97:E97),SF_Output!$Q$1:$Q$400,"One Time",SF_Output!$L$1:$L$400,"professional service"))</f>
        <v>0</v>
      </c>
      <c r="O97" s="112" t="str">
        <f>IF(OR(B97=0,B97="",N97=0),"",IF(AF97&lt;&gt;"exclusion",MAX(O$9,-(SUMIFS(SF_Output!$T$1:$T$400,SF_Output!$AC$1:$AC$400,_xlfn.TEXTJOIN(",",TRUE,$B97:$E97),SF_Output!$Q$1:$Q$400,"One Time",SF_Output!$L$1:$L$400,"professional service"))/N97),-((SUMIFS(SF_Output!$T$1:$T$400,SF_Output!$AC$1:$AC$400,_xlfn.TEXTJOIN(",",TRUE,$B97:$E97),SF_Output!$Q$1:$Q$400,"One Time",SF_Output!$L$1:$L$400,"professional service")/N97))))</f>
        <v/>
      </c>
      <c r="P97" s="6">
        <f t="shared" si="6"/>
        <v>0</v>
      </c>
      <c r="R97" s="6">
        <f>IF(B97="","",SUMIFS(SF_Output!$S$1:$S$400,SF_Output!$AC$1:$AC$400,_xlfn.TEXTJOIN(",",TRUE,B97:E97),SF_Output!$Q$1:$Q$400,"yearly")+SUMIFS(SF_Output!$S$1:$S$400,SF_Output!$AC$1:$AC$400,_xlfn.TEXTJOIN(",",TRUE,B97:E97),SF_Output!$Q$1:$Q$400,"quarterly")*4)</f>
        <v>0</v>
      </c>
      <c r="S97" s="112" t="str">
        <f>IF(OR(B97=0,B97="",G97="hardware",R97=0),"",IF(AF97&lt;&gt;"exclusion",MAX(S$9,-(SUMIFS(SF_Output!$T$1:$T$400,SF_Output!$AC$1:$AC$400,_xlfn.TEXTJOIN(",",TRUE,$B97:$E97),SF_Output!$Q$1:$Q$400,"yearly"))/R97),-((SUMIFS(SF_Output!$T$1:$T$400,SF_Output!$AC$1:$AC$400,_xlfn.TEXTJOIN(",",TRUE,$B97:$E97),SF_Output!$Q$1:$Q$400,"yearly")/R97))))</f>
        <v/>
      </c>
      <c r="T97" s="6">
        <f t="shared" si="7"/>
        <v>0</v>
      </c>
      <c r="V97" s="6" cm="1">
        <f t="array" ref="V97">_xlfn.IFS(B97="","",AND(B97&lt;&gt;"",H97=SF_Output!$Y$2,SUMIFS(SF_Output!$T$1:$T$400,SF_Output!$AC$1:$AC$400,_xlfn.TEXTJOIN(",",TRUE,B97:E97),SF_Output!$Q$1:$Q$400,"monthly")=0),(SUMIFS(SF_Output!$F$1:$F$400,SF_Output!$AC$1:$AC$400,_xlfn.TEXTJOIN(",",TRUE,B97:E97),SF_Output!$Q$1:$Q$400,"monthly")+SUMIFS(SF_Output!$G$1:$G$400,SF_Output!$AC$1:$AC$400,_xlfn.TEXTJOIN(",",TRUE,B97:E97),SF_Output!$Q$1:$Q$400,"monthly"))*H97,AND(B97&lt;&gt;"",H97=SF_Output!$Y$2,SUMIFS(SF_Output!$T$1:$T$400,SF_Output!$AC$1:$AC$400,_xlfn.TEXTJOIN(",",TRUE,B97:E97),SF_Output!$Q$1:$Q$400,"monthly")&lt;&gt;0),SUMIFS(SF_Output!$S$1:$S$400,SF_Output!$AC$1:$AC$400,_xlfn.TEXTJOIN(",",TRUE,B97:E97),SF_Output!$Q$1:$Q$400,"monthly"),AND(B97&lt;&gt;"",H97&lt;&gt;SF_Output!$Y$2),SUMIFS(SF_Output!$S$1:$S$400,SF_Output!$AC$1:$AC$400,_xlfn.TEXTJOIN(",",TRUE,B97:E97),SF_Output!$Q$1:$Q$400,"monthly"))</f>
        <v>250</v>
      </c>
      <c r="W97" s="112" cm="1">
        <f t="array" ref="W97">_xlfn.IFS(OR(B97=0,B97="",V97=0),"",AF97&lt;&gt;"exclusion",MAX($W$9,$W$7,(-(SUMIFS(SF_Output!$T$1:$T$400,SF_Output!$AC$1:$AC$400,_xlfn.TEXTJOIN(",",TRUE,$B97:$E97),SF_Output!$Q$1:$Q$400,"monthly"))/V97)),AF97="exclusion",-(SUMIFS(SF_Output!$T$1:$T$400,SF_Output!$AC$1:$AC$400,_xlfn.TEXTJOIN(",",TRUE,$B97:$E97),SF_Output!$Q$1:$Q$400,"monthly"))/V97)</f>
        <v>0</v>
      </c>
      <c r="X97" s="6" cm="1">
        <f t="array" ref="X97">IFERROR(_xlfn.IFS(V97=0,0,V97="","",W97=0,V97,OR(V97&lt;&gt;0,V97&lt;&gt;""),H97*I97),V97*(1-W97))</f>
        <v>250</v>
      </c>
    </row>
    <row r="98" spans="2:24" x14ac:dyDescent="0.25">
      <c r="B98" t="s">
        <v>687</v>
      </c>
      <c r="C98" t="s">
        <v>2122</v>
      </c>
      <c r="D98" t="s">
        <v>2207</v>
      </c>
      <c r="E98" t="s">
        <v>2124</v>
      </c>
      <c r="F98" s="116" t="str">
        <f t="shared" si="4"/>
        <v>Included</v>
      </c>
      <c r="G98" t="str">
        <f>IF(B98="","",INDEX(SF_Output!$K$1:$K$400,MATCH(B98,SF_Output!$M$1:$M$400,0)))</f>
        <v>Card Processing Solutions (CPS)</v>
      </c>
      <c r="H98" cm="1">
        <f t="array" ref="H98">_xlfn.IFS(B98="","",(SUMIFS(SF_Output!$F$1:$F$400,SF_Output!$AC$1:$AC$400,_xlfn.TEXTJOIN(",",TRUE,B98:E98))+SUMIFS(SF_Output!$G$1:$G$400,SF_Output!$AC$1:$AC$400,_xlfn.TEXTJOIN(",",TRUE,B98:E98)))&lt;&gt;0,SF_Output!$Y$2,INDEX(SF_Output!$F$1:$F$400,MATCH(_xlfn.TEXTJOIN(",",TRUE,B98:E98),SF_Output!$AC$1:$AC$400,0))=0,INDEX(SF_Output!$R$1:$R$400,MATCH(_xlfn.TEXTJOIN(",",TRUE,B98:E98),SF_Output!$AC$1:$AC$400,0)))</f>
        <v>0</v>
      </c>
      <c r="I98" s="125" t="str">
        <f>IFERROR(IF(AND(H98&gt;1,H98&lt;&gt;""),ROUND(SUMIFS(SF_Output!$S$1:$S$400,SF_Output!$AC$1:$AC$400,_xlfn.TEXTJOIN(",",TRUE,B98:E98),SF_Output!$Q$1:$Q$400,"monthly")*(1-W98)/H98,4),""),"")</f>
        <v/>
      </c>
      <c r="J98" s="6">
        <f>IF(B98="","",SUMIFS(SF_Output!$S$1:$S$400,SF_Output!$AC$1:$AC$400,_xlfn.TEXTJOIN(",",TRUE,B98:E98),SF_Output!$Q$1:$Q$400,"One Time",SF_Output!$L$1:$L$400,"license fee")+SUMIFS(SF_Output!$S$1:$S$400,SF_Output!$AC$1:$AC$400,_xlfn.TEXTJOIN(",",TRUE,B98:E98),SF_Output!$Q$1:$Q$400,"One Time",SF_Output!$L$1:$L$400,"software license")+SUMIFS(SF_Output!$S$1:$S$400,SF_Output!$AC$1:$AC$400,_xlfn.TEXTJOIN(",",TRUE,B98:E98),SF_Output!$Q$1:$Q$400,"One Time",SF_Output!$L$1:$L$400,"hardware"))</f>
        <v>0</v>
      </c>
      <c r="K98" s="112" t="str">
        <f>IF(OR(B98=0,B98="",G98="hardware",J98=0),"",IF(AF98&lt;&gt;"exclusion",MAX(K$9,-((SUMIFS(SF_Output!$T$1:$T$400,SF_Output!$AC$1:$AC$400,_xlfn.TEXTJOIN(",",TRUE,$B98:$E98),SF_Output!$Q$1:$Q$400,"One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license"))/J98)),-((SUMIFS(SF_Output!$T$1:$T$400,SF_Output!$AC$1:$AC$400,_xlfn.TEXTJOIN(",",TRUE,$B98:$E98),SF_Output!$Q$1:$Q$400,"One Time",SF_Output!$L$1:$L$400,"license fee")+SUMIFS(SF_Output!$T$1:$T$400,SF_Output!$AC$1:$AC$400,_xlfn.TEXTJOIN(",",TRUE,$B98:$E98),SF_Output!$Q$1:$Q$400,"One Time",SF_Output!$L$1:$L$400,"software license"))/J98)))</f>
        <v/>
      </c>
      <c r="L98" s="6">
        <f t="shared" si="5"/>
        <v>0</v>
      </c>
      <c r="N98" s="6">
        <f>IF(B98="","",SUMIFS(SF_Output!$S$1:$S$400,SF_Output!$AC$1:$AC$400,_xlfn.TEXTJOIN(",",TRUE,B98:E98),SF_Output!$Q$1:$Q$400,"One Time",SF_Output!$L$1:$L$400,"professional service"))</f>
        <v>0</v>
      </c>
      <c r="O98" s="112" t="str">
        <f>IF(OR(B98=0,B98="",N98=0),"",IF(AF98&lt;&gt;"exclusion",MAX(O$9,-(SUMIFS(SF_Output!$T$1:$T$400,SF_Output!$AC$1:$AC$400,_xlfn.TEXTJOIN(",",TRUE,$B98:$E98),SF_Output!$Q$1:$Q$400,"One Time",SF_Output!$L$1:$L$400,"professional service"))/N98),-((SUMIFS(SF_Output!$T$1:$T$400,SF_Output!$AC$1:$AC$400,_xlfn.TEXTJOIN(",",TRUE,$B98:$E98),SF_Output!$Q$1:$Q$400,"One Time",SF_Output!$L$1:$L$400,"professional service")/N98))))</f>
        <v/>
      </c>
      <c r="P98" s="6">
        <f t="shared" si="6"/>
        <v>0</v>
      </c>
      <c r="R98" s="6">
        <f>IF(B98="","",SUMIFS(SF_Output!$S$1:$S$400,SF_Output!$AC$1:$AC$400,_xlfn.TEXTJOIN(",",TRUE,B98:E98),SF_Output!$Q$1:$Q$400,"yearly")+SUMIFS(SF_Output!$S$1:$S$400,SF_Output!$AC$1:$AC$400,_xlfn.TEXTJOIN(",",TRUE,B98:E98),SF_Output!$Q$1:$Q$400,"quarterly")*4)</f>
        <v>0</v>
      </c>
      <c r="S98" s="112" t="str">
        <f>IF(OR(B98=0,B98="",G98="hardware",R98=0),"",IF(AF98&lt;&gt;"exclusion",MAX(S$9,-(SUMIFS(SF_Output!$T$1:$T$400,SF_Output!$AC$1:$AC$400,_xlfn.TEXTJOIN(",",TRUE,$B98:$E98),SF_Output!$Q$1:$Q$400,"yearly"))/R98),-((SUMIFS(SF_Output!$T$1:$T$400,SF_Output!$AC$1:$AC$400,_xlfn.TEXTJOIN(",",TRUE,$B98:$E98),SF_Output!$Q$1:$Q$400,"yearly")/R98))))</f>
        <v/>
      </c>
      <c r="T98" s="6">
        <f t="shared" si="7"/>
        <v>0</v>
      </c>
      <c r="V98" s="6" cm="1">
        <f t="array" ref="V98">_xlfn.IFS(B98="","",AND(B98&lt;&gt;"",H98=SF_Output!$Y$2,SUMIFS(SF_Output!$T$1:$T$400,SF_Output!$AC$1:$AC$400,_xlfn.TEXTJOIN(",",TRUE,B98:E98),SF_Output!$Q$1:$Q$400,"monthly")=0),(SUMIFS(SF_Output!$F$1:$F$400,SF_Output!$AC$1:$AC$400,_xlfn.TEXTJOIN(",",TRUE,B98:E98),SF_Output!$Q$1:$Q$400,"monthly")+SUMIFS(SF_Output!$G$1:$G$400,SF_Output!$AC$1:$AC$400,_xlfn.TEXTJOIN(",",TRUE,B98:E98),SF_Output!$Q$1:$Q$400,"monthly"))*H98,AND(B98&lt;&gt;"",H98=SF_Output!$Y$2,SUMIFS(SF_Output!$T$1:$T$400,SF_Output!$AC$1:$AC$400,_xlfn.TEXTJOIN(",",TRUE,B98:E98),SF_Output!$Q$1:$Q$400,"monthly")&lt;&gt;0),SUMIFS(SF_Output!$S$1:$S$400,SF_Output!$AC$1:$AC$400,_xlfn.TEXTJOIN(",",TRUE,B98:E98),SF_Output!$Q$1:$Q$400,"monthly"),AND(B98&lt;&gt;"",H98&lt;&gt;SF_Output!$Y$2),SUMIFS(SF_Output!$S$1:$S$400,SF_Output!$AC$1:$AC$400,_xlfn.TEXTJOIN(",",TRUE,B98:E98),SF_Output!$Q$1:$Q$400,"monthly"))</f>
        <v>0</v>
      </c>
      <c r="W98" s="112" t="str" cm="1">
        <f t="array" ref="W98">_xlfn.IFS(OR(B98=0,B98="",V98=0),"",AF98&lt;&gt;"exclusion",MAX($W$9,$W$7,(-(SUMIFS(SF_Output!$T$1:$T$400,SF_Output!$AC$1:$AC$400,_xlfn.TEXTJOIN(",",TRUE,$B98:$E98),SF_Output!$Q$1:$Q$400,"monthly"))/V98)),AF98="exclusion",-(SUMIFS(SF_Output!$T$1:$T$400,SF_Output!$AC$1:$AC$400,_xlfn.TEXTJOIN(",",TRUE,$B98:$E98),SF_Output!$Q$1:$Q$400,"monthly"))/V98)</f>
        <v/>
      </c>
      <c r="X98" s="6" cm="1">
        <f t="array" ref="X98">IFERROR(_xlfn.IFS(V98=0,0,V98="","",W98=0,V98,OR(V98&lt;&gt;0,V98&lt;&gt;""),H98*I98),V98*(1-W98))</f>
        <v>0</v>
      </c>
    </row>
    <row r="99" spans="2:24" x14ac:dyDescent="0.25">
      <c r="B99" t="s">
        <v>694</v>
      </c>
      <c r="C99" t="s">
        <v>2122</v>
      </c>
      <c r="D99" t="s">
        <v>2207</v>
      </c>
      <c r="E99" t="s">
        <v>2124</v>
      </c>
      <c r="F99" s="116" t="str">
        <f t="shared" si="4"/>
        <v>Included</v>
      </c>
      <c r="G99" t="str">
        <f>IF(B99="","",INDEX(SF_Output!$K$1:$K$400,MATCH(B99,SF_Output!$M$1:$M$400,0)))</f>
        <v>Card Processing Solutions (CPS)</v>
      </c>
      <c r="H99" cm="1">
        <f t="array" ref="H99">_xlfn.IFS(B99="","",(SUMIFS(SF_Output!$F$1:$F$400,SF_Output!$AC$1:$AC$400,_xlfn.TEXTJOIN(",",TRUE,B99:E99))+SUMIFS(SF_Output!$G$1:$G$400,SF_Output!$AC$1:$AC$400,_xlfn.TEXTJOIN(",",TRUE,B99:E99)))&lt;&gt;0,SF_Output!$Y$2,INDEX(SF_Output!$F$1:$F$400,MATCH(_xlfn.TEXTJOIN(",",TRUE,B99:E99),SF_Output!$AC$1:$AC$400,0))=0,INDEX(SF_Output!$R$1:$R$400,MATCH(_xlfn.TEXTJOIN(",",TRUE,B99:E99),SF_Output!$AC$1:$AC$400,0)))</f>
        <v>1</v>
      </c>
      <c r="I99" s="125" t="str">
        <f>IFERROR(IF(AND(H99&gt;1,H99&lt;&gt;""),ROUND(SUMIFS(SF_Output!$S$1:$S$400,SF_Output!$AC$1:$AC$400,_xlfn.TEXTJOIN(",",TRUE,B99:E99),SF_Output!$Q$1:$Q$400,"monthly")*(1-W99)/H99,4),""),"")</f>
        <v/>
      </c>
      <c r="J99" s="6">
        <f>IF(B99="","",SUMIFS(SF_Output!$S$1:$S$400,SF_Output!$AC$1:$AC$400,_xlfn.TEXTJOIN(",",TRUE,B99:E99),SF_Output!$Q$1:$Q$400,"One Time",SF_Output!$L$1:$L$400,"license fee")+SUMIFS(SF_Output!$S$1:$S$400,SF_Output!$AC$1:$AC$400,_xlfn.TEXTJOIN(",",TRUE,B99:E99),SF_Output!$Q$1:$Q$400,"One Time",SF_Output!$L$1:$L$400,"software license")+SUMIFS(SF_Output!$S$1:$S$400,SF_Output!$AC$1:$AC$400,_xlfn.TEXTJOIN(",",TRUE,B99:E99),SF_Output!$Q$1:$Q$400,"One Time",SF_Output!$L$1:$L$400,"hardware"))</f>
        <v>0</v>
      </c>
      <c r="K99" s="112" t="str">
        <f>IF(OR(B99=0,B99="",G99="hardware",J99=0),"",IF(AF99&lt;&gt;"exclusion",MAX(K$9,-((SUMIFS(SF_Output!$T$1:$T$400,SF_Output!$AC$1:$AC$400,_xlfn.TEXTJOIN(",",TRUE,$B99:$E99),SF_Output!$Q$1:$Q$400,"One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license"))/J99)),-((SUMIFS(SF_Output!$T$1:$T$400,SF_Output!$AC$1:$AC$400,_xlfn.TEXTJOIN(",",TRUE,$B99:$E99),SF_Output!$Q$1:$Q$400,"One Time",SF_Output!$L$1:$L$400,"license fee")+SUMIFS(SF_Output!$T$1:$T$400,SF_Output!$AC$1:$AC$400,_xlfn.TEXTJOIN(",",TRUE,$B99:$E99),SF_Output!$Q$1:$Q$400,"One Time",SF_Output!$L$1:$L$400,"software license"))/J99)))</f>
        <v/>
      </c>
      <c r="L99" s="6">
        <f t="shared" si="5"/>
        <v>0</v>
      </c>
      <c r="N99" s="6">
        <f>IF(B99="","",SUMIFS(SF_Output!$S$1:$S$400,SF_Output!$AC$1:$AC$400,_xlfn.TEXTJOIN(",",TRUE,B99:E99),SF_Output!$Q$1:$Q$400,"One Time",SF_Output!$L$1:$L$400,"professional service"))</f>
        <v>145</v>
      </c>
      <c r="O99" s="112">
        <f>IF(OR(B99=0,B99="",N99=0),"",IF(AF99&lt;&gt;"exclusion",MAX(O$9,-(SUMIFS(SF_Output!$T$1:$T$400,SF_Output!$AC$1:$AC$400,_xlfn.TEXTJOIN(",",TRUE,$B99:$E99),SF_Output!$Q$1:$Q$400,"One Time",SF_Output!$L$1:$L$400,"professional service"))/N99),-((SUMIFS(SF_Output!$T$1:$T$400,SF_Output!$AC$1:$AC$400,_xlfn.TEXTJOIN(",",TRUE,$B99:$E99),SF_Output!$Q$1:$Q$400,"One Time",SF_Output!$L$1:$L$400,"professional service")/N99))))</f>
        <v>1</v>
      </c>
      <c r="P99" s="6">
        <f t="shared" si="6"/>
        <v>0</v>
      </c>
      <c r="R99" s="6">
        <f>IF(B99="","",SUMIFS(SF_Output!$S$1:$S$400,SF_Output!$AC$1:$AC$400,_xlfn.TEXTJOIN(",",TRUE,B99:E99),SF_Output!$Q$1:$Q$400,"yearly")+SUMIFS(SF_Output!$S$1:$S$400,SF_Output!$AC$1:$AC$400,_xlfn.TEXTJOIN(",",TRUE,B99:E99),SF_Output!$Q$1:$Q$400,"quarterly")*4)</f>
        <v>0</v>
      </c>
      <c r="S99" s="112" t="str">
        <f>IF(OR(B99=0,B99="",G99="hardware",R99=0),"",IF(AF99&lt;&gt;"exclusion",MAX(S$9,-(SUMIFS(SF_Output!$T$1:$T$400,SF_Output!$AC$1:$AC$400,_xlfn.TEXTJOIN(",",TRUE,$B99:$E99),SF_Output!$Q$1:$Q$400,"yearly"))/R99),-((SUMIFS(SF_Output!$T$1:$T$400,SF_Output!$AC$1:$AC$400,_xlfn.TEXTJOIN(",",TRUE,$B99:$E99),SF_Output!$Q$1:$Q$400,"yearly")/R99))))</f>
        <v/>
      </c>
      <c r="T99" s="6">
        <f t="shared" si="7"/>
        <v>0</v>
      </c>
      <c r="V99" s="6" cm="1">
        <f t="array" ref="V99">_xlfn.IFS(B99="","",AND(B99&lt;&gt;"",H99=SF_Output!$Y$2,SUMIFS(SF_Output!$T$1:$T$400,SF_Output!$AC$1:$AC$400,_xlfn.TEXTJOIN(",",TRUE,B99:E99),SF_Output!$Q$1:$Q$400,"monthly")=0),(SUMIFS(SF_Output!$F$1:$F$400,SF_Output!$AC$1:$AC$400,_xlfn.TEXTJOIN(",",TRUE,B99:E99),SF_Output!$Q$1:$Q$400,"monthly")+SUMIFS(SF_Output!$G$1:$G$400,SF_Output!$AC$1:$AC$400,_xlfn.TEXTJOIN(",",TRUE,B99:E99),SF_Output!$Q$1:$Q$400,"monthly"))*H99,AND(B99&lt;&gt;"",H99=SF_Output!$Y$2,SUMIFS(SF_Output!$T$1:$T$400,SF_Output!$AC$1:$AC$400,_xlfn.TEXTJOIN(",",TRUE,B99:E99),SF_Output!$Q$1:$Q$400,"monthly")&lt;&gt;0),SUMIFS(SF_Output!$S$1:$S$400,SF_Output!$AC$1:$AC$400,_xlfn.TEXTJOIN(",",TRUE,B99:E99),SF_Output!$Q$1:$Q$400,"monthly"),AND(B99&lt;&gt;"",H99&lt;&gt;SF_Output!$Y$2),SUMIFS(SF_Output!$S$1:$S$400,SF_Output!$AC$1:$AC$400,_xlfn.TEXTJOIN(",",TRUE,B99:E99),SF_Output!$Q$1:$Q$400,"monthly"))</f>
        <v>0</v>
      </c>
      <c r="W99" s="112" t="str" cm="1">
        <f t="array" ref="W99">_xlfn.IFS(OR(B99=0,B99="",V99=0),"",AF99&lt;&gt;"exclusion",MAX($W$9,$W$7,(-(SUMIFS(SF_Output!$T$1:$T$400,SF_Output!$AC$1:$AC$400,_xlfn.TEXTJOIN(",",TRUE,$B99:$E99),SF_Output!$Q$1:$Q$400,"monthly"))/V99)),AF99="exclusion",-(SUMIFS(SF_Output!$T$1:$T$400,SF_Output!$AC$1:$AC$400,_xlfn.TEXTJOIN(",",TRUE,$B99:$E99),SF_Output!$Q$1:$Q$400,"monthly"))/V99)</f>
        <v/>
      </c>
      <c r="X99" s="6" cm="1">
        <f t="array" ref="X99">IFERROR(_xlfn.IFS(V99=0,0,V99="","",W99=0,V99,OR(V99&lt;&gt;0,V99&lt;&gt;""),H99*I99),V99*(1-W99))</f>
        <v>0</v>
      </c>
    </row>
    <row r="100" spans="2:24" x14ac:dyDescent="0.25">
      <c r="B100" t="s">
        <v>2357</v>
      </c>
      <c r="C100" t="s">
        <v>2122</v>
      </c>
      <c r="D100" t="s">
        <v>2207</v>
      </c>
      <c r="E100" t="s">
        <v>2124</v>
      </c>
      <c r="F100" s="116" t="str">
        <f t="shared" si="4"/>
        <v>Included</v>
      </c>
      <c r="G100" t="str">
        <f>IF(B100="","",INDEX(SF_Output!$K$1:$K$400,MATCH(B100,SF_Output!$M$1:$M$400,0)))</f>
        <v>Card Processing Solutions (CPS)</v>
      </c>
      <c r="H100" cm="1">
        <f t="array" ref="H100">_xlfn.IFS(B100="","",(SUMIFS(SF_Output!$F$1:$F$400,SF_Output!$AC$1:$AC$400,_xlfn.TEXTJOIN(",",TRUE,B100:E100))+SUMIFS(SF_Output!$G$1:$G$400,SF_Output!$AC$1:$AC$400,_xlfn.TEXTJOIN(",",TRUE,B100:E100)))&lt;&gt;0,SF_Output!$Y$2,INDEX(SF_Output!$F$1:$F$400,MATCH(_xlfn.TEXTJOIN(",",TRUE,B100:E100),SF_Output!$AC$1:$AC$400,0))=0,INDEX(SF_Output!$R$1:$R$400,MATCH(_xlfn.TEXTJOIN(",",TRUE,B100:E100),SF_Output!$AC$1:$AC$400,0)))</f>
        <v>1</v>
      </c>
      <c r="I100" s="125" t="str">
        <f>IFERROR(IF(AND(H100&gt;1,H100&lt;&gt;""),ROUND(SUMIFS(SF_Output!$S$1:$S$400,SF_Output!$AC$1:$AC$400,_xlfn.TEXTJOIN(",",TRUE,B100:E100),SF_Output!$Q$1:$Q$400,"monthly")*(1-W100)/H100,4),""),"")</f>
        <v/>
      </c>
      <c r="J100" s="6">
        <f>IF(B100="","",SUMIFS(SF_Output!$S$1:$S$400,SF_Output!$AC$1:$AC$400,_xlfn.TEXTJOIN(",",TRUE,B100:E100),SF_Output!$Q$1:$Q$400,"One Time",SF_Output!$L$1:$L$400,"license fee")+SUMIFS(SF_Output!$S$1:$S$400,SF_Output!$AC$1:$AC$400,_xlfn.TEXTJOIN(",",TRUE,B100:E100),SF_Output!$Q$1:$Q$400,"One Time",SF_Output!$L$1:$L$400,"software license")+SUMIFS(SF_Output!$S$1:$S$400,SF_Output!$AC$1:$AC$400,_xlfn.TEXTJOIN(",",TRUE,B100:E100),SF_Output!$Q$1:$Q$400,"One Time",SF_Output!$L$1:$L$400,"hardware"))</f>
        <v>0</v>
      </c>
      <c r="K100" s="112" t="str">
        <f>IF(OR(B100=0,B100="",G100="hardware",J100=0),"",IF(AF100&lt;&gt;"exclusion",MAX(K$9,-((SUMIFS(SF_Output!$T$1:$T$400,SF_Output!$AC$1:$AC$400,_xlfn.TEXTJOIN(",",TRUE,$B100:$E100),SF_Output!$Q$1:$Q$400,"One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license"))/J100)),-((SUMIFS(SF_Output!$T$1:$T$400,SF_Output!$AC$1:$AC$400,_xlfn.TEXTJOIN(",",TRUE,$B100:$E100),SF_Output!$Q$1:$Q$400,"One Time",SF_Output!$L$1:$L$400,"license fee")+SUMIFS(SF_Output!$T$1:$T$400,SF_Output!$AC$1:$AC$400,_xlfn.TEXTJOIN(",",TRUE,$B100:$E100),SF_Output!$Q$1:$Q$400,"One Time",SF_Output!$L$1:$L$400,"software license"))/J100)))</f>
        <v/>
      </c>
      <c r="L100" s="6">
        <f t="shared" si="5"/>
        <v>0</v>
      </c>
      <c r="N100" s="6">
        <f>IF(B100="","",SUMIFS(SF_Output!$S$1:$S$400,SF_Output!$AC$1:$AC$400,_xlfn.TEXTJOIN(",",TRUE,B100:E100),SF_Output!$Q$1:$Q$400,"One Time",SF_Output!$L$1:$L$400,"professional service"))</f>
        <v>0</v>
      </c>
      <c r="O100" s="112" t="str">
        <f>IF(OR(B100=0,B100="",N100=0),"",IF(AF100&lt;&gt;"exclusion",MAX(O$9,-(SUMIFS(SF_Output!$T$1:$T$400,SF_Output!$AC$1:$AC$400,_xlfn.TEXTJOIN(",",TRUE,$B100:$E100),SF_Output!$Q$1:$Q$400,"One Time",SF_Output!$L$1:$L$400,"professional service"))/N100),-((SUMIFS(SF_Output!$T$1:$T$400,SF_Output!$AC$1:$AC$400,_xlfn.TEXTJOIN(",",TRUE,$B100:$E100),SF_Output!$Q$1:$Q$400,"One Time",SF_Output!$L$1:$L$400,"professional service")/N100))))</f>
        <v/>
      </c>
      <c r="P100" s="6">
        <f t="shared" si="6"/>
        <v>0</v>
      </c>
      <c r="R100" s="6">
        <f>IF(B100="","",SUMIFS(SF_Output!$S$1:$S$400,SF_Output!$AC$1:$AC$400,_xlfn.TEXTJOIN(",",TRUE,B100:E100),SF_Output!$Q$1:$Q$400,"yearly")+SUMIFS(SF_Output!$S$1:$S$400,SF_Output!$AC$1:$AC$400,_xlfn.TEXTJOIN(",",TRUE,B100:E100),SF_Output!$Q$1:$Q$400,"quarterly")*4)</f>
        <v>0</v>
      </c>
      <c r="S100" s="112" t="str">
        <f>IF(OR(B100=0,B100="",G100="hardware",R100=0),"",IF(AF100&lt;&gt;"exclusion",MAX(S$9,-(SUMIFS(SF_Output!$T$1:$T$400,SF_Output!$AC$1:$AC$400,_xlfn.TEXTJOIN(",",TRUE,$B100:$E100),SF_Output!$Q$1:$Q$400,"yearly"))/R100),-((SUMIFS(SF_Output!$T$1:$T$400,SF_Output!$AC$1:$AC$400,_xlfn.TEXTJOIN(",",TRUE,$B100:$E100),SF_Output!$Q$1:$Q$400,"yearly")/R100))))</f>
        <v/>
      </c>
      <c r="T100" s="6">
        <f t="shared" si="7"/>
        <v>0</v>
      </c>
      <c r="V100" s="6" cm="1">
        <f t="array" ref="V100">_xlfn.IFS(B100="","",AND(B100&lt;&gt;"",H100=SF_Output!$Y$2,SUMIFS(SF_Output!$T$1:$T$400,SF_Output!$AC$1:$AC$400,_xlfn.TEXTJOIN(",",TRUE,B100:E100),SF_Output!$Q$1:$Q$400,"monthly")=0),(SUMIFS(SF_Output!$F$1:$F$400,SF_Output!$AC$1:$AC$400,_xlfn.TEXTJOIN(",",TRUE,B100:E100),SF_Output!$Q$1:$Q$400,"monthly")+SUMIFS(SF_Output!$G$1:$G$400,SF_Output!$AC$1:$AC$400,_xlfn.TEXTJOIN(",",TRUE,B100:E100),SF_Output!$Q$1:$Q$400,"monthly"))*H100,AND(B100&lt;&gt;"",H100=SF_Output!$Y$2,SUMIFS(SF_Output!$T$1:$T$400,SF_Output!$AC$1:$AC$400,_xlfn.TEXTJOIN(",",TRUE,B100:E100),SF_Output!$Q$1:$Q$400,"monthly")&lt;&gt;0),SUMIFS(SF_Output!$S$1:$S$400,SF_Output!$AC$1:$AC$400,_xlfn.TEXTJOIN(",",TRUE,B100:E100),SF_Output!$Q$1:$Q$400,"monthly"),AND(B100&lt;&gt;"",H100&lt;&gt;SF_Output!$Y$2),SUMIFS(SF_Output!$S$1:$S$400,SF_Output!$AC$1:$AC$400,_xlfn.TEXTJOIN(",",TRUE,B100:E100),SF_Output!$Q$1:$Q$400,"monthly"))</f>
        <v>100</v>
      </c>
      <c r="W100" s="112" cm="1">
        <f t="array" ref="W100">_xlfn.IFS(OR(B100=0,B100="",V100=0),"",AF100&lt;&gt;"exclusion",MAX($W$9,$W$7,(-(SUMIFS(SF_Output!$T$1:$T$400,SF_Output!$AC$1:$AC$400,_xlfn.TEXTJOIN(",",TRUE,$B100:$E100),SF_Output!$Q$1:$Q$400,"monthly"))/V100)),AF100="exclusion",-(SUMIFS(SF_Output!$T$1:$T$400,SF_Output!$AC$1:$AC$400,_xlfn.TEXTJOIN(",",TRUE,$B100:$E100),SF_Output!$Q$1:$Q$400,"monthly"))/V100)</f>
        <v>0</v>
      </c>
      <c r="X100" s="6" cm="1">
        <f t="array" ref="X100">IFERROR(_xlfn.IFS(V100=0,0,V100="","",W100=0,V100,OR(V100&lt;&gt;0,V100&lt;&gt;""),H100*I100),V100*(1-W100))</f>
        <v>100</v>
      </c>
    </row>
    <row r="101" spans="2:24" x14ac:dyDescent="0.25">
      <c r="B101" t="s">
        <v>715</v>
      </c>
      <c r="C101" t="s">
        <v>2122</v>
      </c>
      <c r="D101" t="s">
        <v>2207</v>
      </c>
      <c r="E101" t="s">
        <v>2124</v>
      </c>
      <c r="F101" s="116" t="str">
        <f t="shared" si="4"/>
        <v>Included</v>
      </c>
      <c r="G101" t="str">
        <f>IF(B101="","",INDEX(SF_Output!$K$1:$K$400,MATCH(B101,SF_Output!$M$1:$M$400,0)))</f>
        <v>Card Processing Solutions (CPS)</v>
      </c>
      <c r="H101" cm="1">
        <f t="array" ref="H101">_xlfn.IFS(B101="","",(SUMIFS(SF_Output!$F$1:$F$400,SF_Output!$AC$1:$AC$400,_xlfn.TEXTJOIN(",",TRUE,B101:E101))+SUMIFS(SF_Output!$G$1:$G$400,SF_Output!$AC$1:$AC$400,_xlfn.TEXTJOIN(",",TRUE,B101:E101)))&lt;&gt;0,SF_Output!$Y$2,INDEX(SF_Output!$F$1:$F$400,MATCH(_xlfn.TEXTJOIN(",",TRUE,B101:E101),SF_Output!$AC$1:$AC$400,0))=0,INDEX(SF_Output!$R$1:$R$400,MATCH(_xlfn.TEXTJOIN(",",TRUE,B101:E101),SF_Output!$AC$1:$AC$400,0)))</f>
        <v>1</v>
      </c>
      <c r="I101" s="125" t="str">
        <f>IFERROR(IF(AND(H101&gt;1,H101&lt;&gt;""),ROUND(SUMIFS(SF_Output!$S$1:$S$400,SF_Output!$AC$1:$AC$400,_xlfn.TEXTJOIN(",",TRUE,B101:E101),SF_Output!$Q$1:$Q$400,"monthly")*(1-W101)/H101,4),""),"")</f>
        <v/>
      </c>
      <c r="J101" s="6">
        <f>IF(B101="","",SUMIFS(SF_Output!$S$1:$S$400,SF_Output!$AC$1:$AC$400,_xlfn.TEXTJOIN(",",TRUE,B101:E101),SF_Output!$Q$1:$Q$400,"One Time",SF_Output!$L$1:$L$400,"license fee")+SUMIFS(SF_Output!$S$1:$S$400,SF_Output!$AC$1:$AC$400,_xlfn.TEXTJOIN(",",TRUE,B101:E101),SF_Output!$Q$1:$Q$400,"One Time",SF_Output!$L$1:$L$400,"software license")+SUMIFS(SF_Output!$S$1:$S$400,SF_Output!$AC$1:$AC$400,_xlfn.TEXTJOIN(",",TRUE,B101:E101),SF_Output!$Q$1:$Q$400,"One Time",SF_Output!$L$1:$L$400,"hardware"))</f>
        <v>0</v>
      </c>
      <c r="K101" s="112" t="str">
        <f>IF(OR(B101=0,B101="",G101="hardware",J101=0),"",IF(AF101&lt;&gt;"exclusion",MAX(K$9,-((SUMIFS(SF_Output!$T$1:$T$400,SF_Output!$AC$1:$AC$400,_xlfn.TEXTJOIN(",",TRUE,$B101:$E101),SF_Output!$Q$1:$Q$400,"One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license"))/J101)),-((SUMIFS(SF_Output!$T$1:$T$400,SF_Output!$AC$1:$AC$400,_xlfn.TEXTJOIN(",",TRUE,$B101:$E101),SF_Output!$Q$1:$Q$400,"One Time",SF_Output!$L$1:$L$400,"license fee")+SUMIFS(SF_Output!$T$1:$T$400,SF_Output!$AC$1:$AC$400,_xlfn.TEXTJOIN(",",TRUE,$B101:$E101),SF_Output!$Q$1:$Q$400,"One Time",SF_Output!$L$1:$L$400,"software license"))/J101)))</f>
        <v/>
      </c>
      <c r="L101" s="6">
        <f t="shared" si="5"/>
        <v>0</v>
      </c>
      <c r="N101" s="6">
        <f>IF(B101="","",SUMIFS(SF_Output!$S$1:$S$400,SF_Output!$AC$1:$AC$400,_xlfn.TEXTJOIN(",",TRUE,B101:E101),SF_Output!$Q$1:$Q$400,"One Time",SF_Output!$L$1:$L$400,"professional service"))</f>
        <v>500</v>
      </c>
      <c r="O101" s="112">
        <f>IF(OR(B101=0,B101="",N101=0),"",IF(AF101&lt;&gt;"exclusion",MAX(O$9,-(SUMIFS(SF_Output!$T$1:$T$400,SF_Output!$AC$1:$AC$400,_xlfn.TEXTJOIN(",",TRUE,$B101:$E101),SF_Output!$Q$1:$Q$400,"One Time",SF_Output!$L$1:$L$400,"professional service"))/N101),-((SUMIFS(SF_Output!$T$1:$T$400,SF_Output!$AC$1:$AC$400,_xlfn.TEXTJOIN(",",TRUE,$B101:$E101),SF_Output!$Q$1:$Q$400,"One Time",SF_Output!$L$1:$L$400,"professional service")/N101))))</f>
        <v>1</v>
      </c>
      <c r="P101" s="6">
        <f t="shared" si="6"/>
        <v>0</v>
      </c>
      <c r="R101" s="6">
        <f>IF(B101="","",SUMIFS(SF_Output!$S$1:$S$400,SF_Output!$AC$1:$AC$400,_xlfn.TEXTJOIN(",",TRUE,B101:E101),SF_Output!$Q$1:$Q$400,"yearly")+SUMIFS(SF_Output!$S$1:$S$400,SF_Output!$AC$1:$AC$400,_xlfn.TEXTJOIN(",",TRUE,B101:E101),SF_Output!$Q$1:$Q$400,"quarterly")*4)</f>
        <v>0</v>
      </c>
      <c r="S101" s="112" t="str">
        <f>IF(OR(B101=0,B101="",G101="hardware",R101=0),"",IF(AF101&lt;&gt;"exclusion",MAX(S$9,-(SUMIFS(SF_Output!$T$1:$T$400,SF_Output!$AC$1:$AC$400,_xlfn.TEXTJOIN(",",TRUE,$B101:$E101),SF_Output!$Q$1:$Q$400,"yearly"))/R101),-((SUMIFS(SF_Output!$T$1:$T$400,SF_Output!$AC$1:$AC$400,_xlfn.TEXTJOIN(",",TRUE,$B101:$E101),SF_Output!$Q$1:$Q$400,"yearly")/R101))))</f>
        <v/>
      </c>
      <c r="T101" s="6">
        <f t="shared" si="7"/>
        <v>0</v>
      </c>
      <c r="V101" s="6" cm="1">
        <f t="array" ref="V101">_xlfn.IFS(B101="","",AND(B101&lt;&gt;"",H101=SF_Output!$Y$2,SUMIFS(SF_Output!$T$1:$T$400,SF_Output!$AC$1:$AC$400,_xlfn.TEXTJOIN(",",TRUE,B101:E101),SF_Output!$Q$1:$Q$400,"monthly")=0),(SUMIFS(SF_Output!$F$1:$F$400,SF_Output!$AC$1:$AC$400,_xlfn.TEXTJOIN(",",TRUE,B101:E101),SF_Output!$Q$1:$Q$400,"monthly")+SUMIFS(SF_Output!$G$1:$G$400,SF_Output!$AC$1:$AC$400,_xlfn.TEXTJOIN(",",TRUE,B101:E101),SF_Output!$Q$1:$Q$400,"monthly"))*H101,AND(B101&lt;&gt;"",H101=SF_Output!$Y$2,SUMIFS(SF_Output!$T$1:$T$400,SF_Output!$AC$1:$AC$400,_xlfn.TEXTJOIN(",",TRUE,B101:E101),SF_Output!$Q$1:$Q$400,"monthly")&lt;&gt;0),SUMIFS(SF_Output!$S$1:$S$400,SF_Output!$AC$1:$AC$400,_xlfn.TEXTJOIN(",",TRUE,B101:E101),SF_Output!$Q$1:$Q$400,"monthly"),AND(B101&lt;&gt;"",H101&lt;&gt;SF_Output!$Y$2),SUMIFS(SF_Output!$S$1:$S$400,SF_Output!$AC$1:$AC$400,_xlfn.TEXTJOIN(",",TRUE,B101:E101),SF_Output!$Q$1:$Q$400,"monthly"))</f>
        <v>75</v>
      </c>
      <c r="W101" s="112" cm="1">
        <f t="array" ref="W101">_xlfn.IFS(OR(B101=0,B101="",V101=0),"",AF101&lt;&gt;"exclusion",MAX($W$9,$W$7,(-(SUMIFS(SF_Output!$T$1:$T$400,SF_Output!$AC$1:$AC$400,_xlfn.TEXTJOIN(",",TRUE,$B101:$E101),SF_Output!$Q$1:$Q$400,"monthly"))/V101)),AF101="exclusion",-(SUMIFS(SF_Output!$T$1:$T$400,SF_Output!$AC$1:$AC$400,_xlfn.TEXTJOIN(",",TRUE,$B101:$E101),SF_Output!$Q$1:$Q$400,"monthly"))/V101)</f>
        <v>0</v>
      </c>
      <c r="X101" s="6" cm="1">
        <f t="array" ref="X101">IFERROR(_xlfn.IFS(V101=0,0,V101="","",W101=0,V101,OR(V101&lt;&gt;0,V101&lt;&gt;""),H101*I101),V101*(1-W101))</f>
        <v>75</v>
      </c>
    </row>
    <row r="102" spans="2:24" x14ac:dyDescent="0.25">
      <c r="B102" t="s">
        <v>716</v>
      </c>
      <c r="C102" t="s">
        <v>2122</v>
      </c>
      <c r="D102" t="s">
        <v>2207</v>
      </c>
      <c r="E102" t="s">
        <v>2124</v>
      </c>
      <c r="F102" s="116" t="str">
        <f t="shared" si="4"/>
        <v>Included</v>
      </c>
      <c r="G102" t="str">
        <f>IF(B102="","",INDEX(SF_Output!$K$1:$K$400,MATCH(B102,SF_Output!$M$1:$M$400,0)))</f>
        <v>Card Processing Solutions (CPS)</v>
      </c>
      <c r="H102" cm="1">
        <f t="array" ref="H102">_xlfn.IFS(B102="","",(SUMIFS(SF_Output!$F$1:$F$400,SF_Output!$AC$1:$AC$400,_xlfn.TEXTJOIN(",",TRUE,B102:E102))+SUMIFS(SF_Output!$G$1:$G$400,SF_Output!$AC$1:$AC$400,_xlfn.TEXTJOIN(",",TRUE,B102:E102)))&lt;&gt;0,SF_Output!$Y$2,INDEX(SF_Output!$F$1:$F$400,MATCH(_xlfn.TEXTJOIN(",",TRUE,B102:E102),SF_Output!$AC$1:$AC$400,0))=0,INDEX(SF_Output!$R$1:$R$400,MATCH(_xlfn.TEXTJOIN(",",TRUE,B102:E102),SF_Output!$AC$1:$AC$400,0)))</f>
        <v>3</v>
      </c>
      <c r="I102" s="125">
        <f>IFERROR(IF(AND(H102&gt;1,H102&lt;&gt;""),ROUND(SUMIFS(SF_Output!$S$1:$S$400,SF_Output!$AC$1:$AC$400,_xlfn.TEXTJOIN(",",TRUE,B102:E102),SF_Output!$Q$1:$Q$400,"monthly")*(1-W102)/H102,4),""),"")</f>
        <v>75</v>
      </c>
      <c r="J102" s="6">
        <f>IF(B102="","",SUMIFS(SF_Output!$S$1:$S$400,SF_Output!$AC$1:$AC$400,_xlfn.TEXTJOIN(",",TRUE,B102:E102),SF_Output!$Q$1:$Q$400,"One Time",SF_Output!$L$1:$L$400,"license fee")+SUMIFS(SF_Output!$S$1:$S$400,SF_Output!$AC$1:$AC$400,_xlfn.TEXTJOIN(",",TRUE,B102:E102),SF_Output!$Q$1:$Q$400,"One Time",SF_Output!$L$1:$L$400,"software license")+SUMIFS(SF_Output!$S$1:$S$400,SF_Output!$AC$1:$AC$400,_xlfn.TEXTJOIN(",",TRUE,B102:E102),SF_Output!$Q$1:$Q$400,"One Time",SF_Output!$L$1:$L$400,"hardware"))</f>
        <v>0</v>
      </c>
      <c r="K102" s="112" t="str">
        <f>IF(OR(B102=0,B102="",G102="hardware",J102=0),"",IF(AF102&lt;&gt;"exclusion",MAX(K$9,-((SUMIFS(SF_Output!$T$1:$T$400,SF_Output!$AC$1:$AC$400,_xlfn.TEXTJOIN(",",TRUE,$B102:$E102),SF_Output!$Q$1:$Q$400,"One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license"))/J102)),-((SUMIFS(SF_Output!$T$1:$T$400,SF_Output!$AC$1:$AC$400,_xlfn.TEXTJOIN(",",TRUE,$B102:$E102),SF_Output!$Q$1:$Q$400,"One Time",SF_Output!$L$1:$L$400,"license fee")+SUMIFS(SF_Output!$T$1:$T$400,SF_Output!$AC$1:$AC$400,_xlfn.TEXTJOIN(",",TRUE,$B102:$E102),SF_Output!$Q$1:$Q$400,"One Time",SF_Output!$L$1:$L$400,"software license"))/J102)))</f>
        <v/>
      </c>
      <c r="L102" s="6">
        <f t="shared" si="5"/>
        <v>0</v>
      </c>
      <c r="N102" s="6">
        <f>IF(B102="","",SUMIFS(SF_Output!$S$1:$S$400,SF_Output!$AC$1:$AC$400,_xlfn.TEXTJOIN(",",TRUE,B102:E102),SF_Output!$Q$1:$Q$400,"One Time",SF_Output!$L$1:$L$400,"professional service"))</f>
        <v>1500</v>
      </c>
      <c r="O102" s="112">
        <f>IF(OR(B102=0,B102="",N102=0),"",IF(AF102&lt;&gt;"exclusion",MAX(O$9,-(SUMIFS(SF_Output!$T$1:$T$400,SF_Output!$AC$1:$AC$400,_xlfn.TEXTJOIN(",",TRUE,$B102:$E102),SF_Output!$Q$1:$Q$400,"One Time",SF_Output!$L$1:$L$400,"professional service"))/N102),-((SUMIFS(SF_Output!$T$1:$T$400,SF_Output!$AC$1:$AC$400,_xlfn.TEXTJOIN(",",TRUE,$B102:$E102),SF_Output!$Q$1:$Q$400,"One Time",SF_Output!$L$1:$L$400,"professional service")/N102))))</f>
        <v>1</v>
      </c>
      <c r="P102" s="6">
        <f t="shared" si="6"/>
        <v>0</v>
      </c>
      <c r="R102" s="6">
        <f>IF(B102="","",SUMIFS(SF_Output!$S$1:$S$400,SF_Output!$AC$1:$AC$400,_xlfn.TEXTJOIN(",",TRUE,B102:E102),SF_Output!$Q$1:$Q$400,"yearly")+SUMIFS(SF_Output!$S$1:$S$400,SF_Output!$AC$1:$AC$400,_xlfn.TEXTJOIN(",",TRUE,B102:E102),SF_Output!$Q$1:$Q$400,"quarterly")*4)</f>
        <v>0</v>
      </c>
      <c r="S102" s="112" t="str">
        <f>IF(OR(B102=0,B102="",G102="hardware",R102=0),"",IF(AF102&lt;&gt;"exclusion",MAX(S$9,-(SUMIFS(SF_Output!$T$1:$T$400,SF_Output!$AC$1:$AC$400,_xlfn.TEXTJOIN(",",TRUE,$B102:$E102),SF_Output!$Q$1:$Q$400,"yearly"))/R102),-((SUMIFS(SF_Output!$T$1:$T$400,SF_Output!$AC$1:$AC$400,_xlfn.TEXTJOIN(",",TRUE,$B102:$E102),SF_Output!$Q$1:$Q$400,"yearly")/R102))))</f>
        <v/>
      </c>
      <c r="T102" s="6">
        <f t="shared" si="7"/>
        <v>0</v>
      </c>
      <c r="V102" s="6" cm="1">
        <f t="array" ref="V102">_xlfn.IFS(B102="","",AND(B102&lt;&gt;"",H102=SF_Output!$Y$2,SUMIFS(SF_Output!$T$1:$T$400,SF_Output!$AC$1:$AC$400,_xlfn.TEXTJOIN(",",TRUE,B102:E102),SF_Output!$Q$1:$Q$400,"monthly")=0),(SUMIFS(SF_Output!$F$1:$F$400,SF_Output!$AC$1:$AC$400,_xlfn.TEXTJOIN(",",TRUE,B102:E102),SF_Output!$Q$1:$Q$400,"monthly")+SUMIFS(SF_Output!$G$1:$G$400,SF_Output!$AC$1:$AC$400,_xlfn.TEXTJOIN(",",TRUE,B102:E102),SF_Output!$Q$1:$Q$400,"monthly"))*H102,AND(B102&lt;&gt;"",H102=SF_Output!$Y$2,SUMIFS(SF_Output!$T$1:$T$400,SF_Output!$AC$1:$AC$400,_xlfn.TEXTJOIN(",",TRUE,B102:E102),SF_Output!$Q$1:$Q$400,"monthly")&lt;&gt;0),SUMIFS(SF_Output!$S$1:$S$400,SF_Output!$AC$1:$AC$400,_xlfn.TEXTJOIN(",",TRUE,B102:E102),SF_Output!$Q$1:$Q$400,"monthly"),AND(B102&lt;&gt;"",H102&lt;&gt;SF_Output!$Y$2),SUMIFS(SF_Output!$S$1:$S$400,SF_Output!$AC$1:$AC$400,_xlfn.TEXTJOIN(",",TRUE,B102:E102),SF_Output!$Q$1:$Q$400,"monthly"))</f>
        <v>225</v>
      </c>
      <c r="W102" s="112" cm="1">
        <f t="array" ref="W102">_xlfn.IFS(OR(B102=0,B102="",V102=0),"",AF102&lt;&gt;"exclusion",MAX($W$9,$W$7,(-(SUMIFS(SF_Output!$T$1:$T$400,SF_Output!$AC$1:$AC$400,_xlfn.TEXTJOIN(",",TRUE,$B102:$E102),SF_Output!$Q$1:$Q$400,"monthly"))/V102)),AF102="exclusion",-(SUMIFS(SF_Output!$T$1:$T$400,SF_Output!$AC$1:$AC$400,_xlfn.TEXTJOIN(",",TRUE,$B102:$E102),SF_Output!$Q$1:$Q$400,"monthly"))/V102)</f>
        <v>0</v>
      </c>
      <c r="X102" s="6" cm="1">
        <f t="array" ref="X102">IFERROR(_xlfn.IFS(V102=0,0,V102="","",W102=0,V102,OR(V102&lt;&gt;0,V102&lt;&gt;""),H102*I102),V102*(1-W102))</f>
        <v>225</v>
      </c>
    </row>
    <row r="103" spans="2:24" x14ac:dyDescent="0.25">
      <c r="B103" t="s">
        <v>2363</v>
      </c>
      <c r="C103" t="s">
        <v>2122</v>
      </c>
      <c r="D103" t="s">
        <v>2207</v>
      </c>
      <c r="E103" t="s">
        <v>2124</v>
      </c>
      <c r="F103" s="116" t="str">
        <f t="shared" si="4"/>
        <v>Included</v>
      </c>
      <c r="G103" t="str">
        <f>IF(B103="","",INDEX(SF_Output!$K$1:$K$400,MATCH(B103,SF_Output!$M$1:$M$400,0)))</f>
        <v>Card Processing Solutions (CPS)</v>
      </c>
      <c r="H103" cm="1">
        <f t="array" ref="H103">_xlfn.IFS(B103="","",(SUMIFS(SF_Output!$F$1:$F$400,SF_Output!$AC$1:$AC$400,_xlfn.TEXTJOIN(",",TRUE,B103:E103))+SUMIFS(SF_Output!$G$1:$G$400,SF_Output!$AC$1:$AC$400,_xlfn.TEXTJOIN(",",TRUE,B103:E103)))&lt;&gt;0,SF_Output!$Y$2,INDEX(SF_Output!$F$1:$F$400,MATCH(_xlfn.TEXTJOIN(",",TRUE,B103:E103),SF_Output!$AC$1:$AC$400,0))=0,INDEX(SF_Output!$R$1:$R$400,MATCH(_xlfn.TEXTJOIN(",",TRUE,B103:E103),SF_Output!$AC$1:$AC$400,0)))</f>
        <v>0</v>
      </c>
      <c r="I103" s="125" t="str">
        <f>IFERROR(IF(AND(H103&gt;1,H103&lt;&gt;""),ROUND(SUMIFS(SF_Output!$S$1:$S$400,SF_Output!$AC$1:$AC$400,_xlfn.TEXTJOIN(",",TRUE,B103:E103),SF_Output!$Q$1:$Q$400,"monthly")*(1-W103)/H103,4),""),"")</f>
        <v/>
      </c>
      <c r="J103" s="6">
        <f>IF(B103="","",SUMIFS(SF_Output!$S$1:$S$400,SF_Output!$AC$1:$AC$400,_xlfn.TEXTJOIN(",",TRUE,B103:E103),SF_Output!$Q$1:$Q$400,"One Time",SF_Output!$L$1:$L$400,"license fee")+SUMIFS(SF_Output!$S$1:$S$400,SF_Output!$AC$1:$AC$400,_xlfn.TEXTJOIN(",",TRUE,B103:E103),SF_Output!$Q$1:$Q$400,"One Time",SF_Output!$L$1:$L$400,"software license")+SUMIFS(SF_Output!$S$1:$S$400,SF_Output!$AC$1:$AC$400,_xlfn.TEXTJOIN(",",TRUE,B103:E103),SF_Output!$Q$1:$Q$400,"One Time",SF_Output!$L$1:$L$400,"hardware"))</f>
        <v>0</v>
      </c>
      <c r="K103" s="112" t="str">
        <f>IF(OR(B103=0,B103="",G103="hardware",J103=0),"",IF(AF103&lt;&gt;"exclusion",MAX(K$9,-((SUMIFS(SF_Output!$T$1:$T$400,SF_Output!$AC$1:$AC$400,_xlfn.TEXTJOIN(",",TRUE,$B103:$E103),SF_Output!$Q$1:$Q$400,"One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license"))/J103)),-((SUMIFS(SF_Output!$T$1:$T$400,SF_Output!$AC$1:$AC$400,_xlfn.TEXTJOIN(",",TRUE,$B103:$E103),SF_Output!$Q$1:$Q$400,"One Time",SF_Output!$L$1:$L$400,"license fee")+SUMIFS(SF_Output!$T$1:$T$400,SF_Output!$AC$1:$AC$400,_xlfn.TEXTJOIN(",",TRUE,$B103:$E103),SF_Output!$Q$1:$Q$400,"One Time",SF_Output!$L$1:$L$400,"software license"))/J103)))</f>
        <v/>
      </c>
      <c r="L103" s="6">
        <f t="shared" si="5"/>
        <v>0</v>
      </c>
      <c r="N103" s="6">
        <f>IF(B103="","",SUMIFS(SF_Output!$S$1:$S$400,SF_Output!$AC$1:$AC$400,_xlfn.TEXTJOIN(",",TRUE,B103:E103),SF_Output!$Q$1:$Q$400,"One Time",SF_Output!$L$1:$L$400,"professional service"))</f>
        <v>200</v>
      </c>
      <c r="O103" s="112">
        <f>IF(OR(B103=0,B103="",N103=0),"",IF(AF103&lt;&gt;"exclusion",MAX(O$9,-(SUMIFS(SF_Output!$T$1:$T$400,SF_Output!$AC$1:$AC$400,_xlfn.TEXTJOIN(",",TRUE,$B103:$E103),SF_Output!$Q$1:$Q$400,"One Time",SF_Output!$L$1:$L$400,"professional service"))/N103),-((SUMIFS(SF_Output!$T$1:$T$400,SF_Output!$AC$1:$AC$400,_xlfn.TEXTJOIN(",",TRUE,$B103:$E103),SF_Output!$Q$1:$Q$400,"One Time",SF_Output!$L$1:$L$400,"professional service")/N103))))</f>
        <v>1</v>
      </c>
      <c r="P103" s="6">
        <f t="shared" si="6"/>
        <v>0</v>
      </c>
      <c r="R103" s="6">
        <f>IF(B103="","",SUMIFS(SF_Output!$S$1:$S$400,SF_Output!$AC$1:$AC$400,_xlfn.TEXTJOIN(",",TRUE,B103:E103),SF_Output!$Q$1:$Q$400,"yearly")+SUMIFS(SF_Output!$S$1:$S$400,SF_Output!$AC$1:$AC$400,_xlfn.TEXTJOIN(",",TRUE,B103:E103),SF_Output!$Q$1:$Q$400,"quarterly")*4)</f>
        <v>0</v>
      </c>
      <c r="S103" s="112" t="str">
        <f>IF(OR(B103=0,B103="",G103="hardware",R103=0),"",IF(AF103&lt;&gt;"exclusion",MAX(S$9,-(SUMIFS(SF_Output!$T$1:$T$400,SF_Output!$AC$1:$AC$400,_xlfn.TEXTJOIN(",",TRUE,$B103:$E103),SF_Output!$Q$1:$Q$400,"yearly"))/R103),-((SUMIFS(SF_Output!$T$1:$T$400,SF_Output!$AC$1:$AC$400,_xlfn.TEXTJOIN(",",TRUE,$B103:$E103),SF_Output!$Q$1:$Q$400,"yearly")/R103))))</f>
        <v/>
      </c>
      <c r="T103" s="6">
        <f t="shared" si="7"/>
        <v>0</v>
      </c>
      <c r="V103" s="6" cm="1">
        <f t="array" ref="V103">_xlfn.IFS(B103="","",AND(B103&lt;&gt;"",H103=SF_Output!$Y$2,SUMIFS(SF_Output!$T$1:$T$400,SF_Output!$AC$1:$AC$400,_xlfn.TEXTJOIN(",",TRUE,B103:E103),SF_Output!$Q$1:$Q$400,"monthly")=0),(SUMIFS(SF_Output!$F$1:$F$400,SF_Output!$AC$1:$AC$400,_xlfn.TEXTJOIN(",",TRUE,B103:E103),SF_Output!$Q$1:$Q$400,"monthly")+SUMIFS(SF_Output!$G$1:$G$400,SF_Output!$AC$1:$AC$400,_xlfn.TEXTJOIN(",",TRUE,B103:E103),SF_Output!$Q$1:$Q$400,"monthly"))*H103,AND(B103&lt;&gt;"",H103=SF_Output!$Y$2,SUMIFS(SF_Output!$T$1:$T$400,SF_Output!$AC$1:$AC$400,_xlfn.TEXTJOIN(",",TRUE,B103:E103),SF_Output!$Q$1:$Q$400,"monthly")&lt;&gt;0),SUMIFS(SF_Output!$S$1:$S$400,SF_Output!$AC$1:$AC$400,_xlfn.TEXTJOIN(",",TRUE,B103:E103),SF_Output!$Q$1:$Q$400,"monthly"),AND(B103&lt;&gt;"",H103&lt;&gt;SF_Output!$Y$2),SUMIFS(SF_Output!$S$1:$S$400,SF_Output!$AC$1:$AC$400,_xlfn.TEXTJOIN(",",TRUE,B103:E103),SF_Output!$Q$1:$Q$400,"monthly"))</f>
        <v>0</v>
      </c>
      <c r="W103" s="112" t="str" cm="1">
        <f t="array" ref="W103">_xlfn.IFS(OR(B103=0,B103="",V103=0),"",AF103&lt;&gt;"exclusion",MAX($W$9,$W$7,(-(SUMIFS(SF_Output!$T$1:$T$400,SF_Output!$AC$1:$AC$400,_xlfn.TEXTJOIN(",",TRUE,$B103:$E103),SF_Output!$Q$1:$Q$400,"monthly"))/V103)),AF103="exclusion",-(SUMIFS(SF_Output!$T$1:$T$400,SF_Output!$AC$1:$AC$400,_xlfn.TEXTJOIN(",",TRUE,$B103:$E103),SF_Output!$Q$1:$Q$400,"monthly"))/V103)</f>
        <v/>
      </c>
      <c r="X103" s="6" cm="1">
        <f t="array" ref="X103">IFERROR(_xlfn.IFS(V103=0,0,V103="","",W103=0,V103,OR(V103&lt;&gt;0,V103&lt;&gt;""),H103*I103),V103*(1-W103))</f>
        <v>0</v>
      </c>
    </row>
    <row r="104" spans="2:24" x14ac:dyDescent="0.25">
      <c r="B104" t="s">
        <v>1730</v>
      </c>
      <c r="C104" t="s">
        <v>2122</v>
      </c>
      <c r="D104" t="s">
        <v>2207</v>
      </c>
      <c r="E104" t="s">
        <v>2124</v>
      </c>
      <c r="F104" s="116" t="str">
        <f t="shared" si="4"/>
        <v>Included</v>
      </c>
      <c r="G104" t="str">
        <f>IF(B104="","",INDEX(SF_Output!$K$1:$K$400,MATCH(B104,SF_Output!$M$1:$M$400,0)))</f>
        <v>Card Processing Solutions (CPS)</v>
      </c>
      <c r="H104" cm="1">
        <f t="array" ref="H104">_xlfn.IFS(B104="","",(SUMIFS(SF_Output!$F$1:$F$400,SF_Output!$AC$1:$AC$400,_xlfn.TEXTJOIN(",",TRUE,B104:E104))+SUMIFS(SF_Output!$G$1:$G$400,SF_Output!$AC$1:$AC$400,_xlfn.TEXTJOIN(",",TRUE,B104:E104)))&lt;&gt;0,SF_Output!$Y$2,INDEX(SF_Output!$F$1:$F$400,MATCH(_xlfn.TEXTJOIN(",",TRUE,B104:E104),SF_Output!$AC$1:$AC$400,0))=0,INDEX(SF_Output!$R$1:$R$400,MATCH(_xlfn.TEXTJOIN(",",TRUE,B104:E104),SF_Output!$AC$1:$AC$400,0)))</f>
        <v>0</v>
      </c>
      <c r="I104" s="125" t="str">
        <f>IFERROR(IF(AND(H104&gt;1,H104&lt;&gt;""),ROUND(SUMIFS(SF_Output!$S$1:$S$400,SF_Output!$AC$1:$AC$400,_xlfn.TEXTJOIN(",",TRUE,B104:E104),SF_Output!$Q$1:$Q$400,"monthly")*(1-W104)/H104,4),""),"")</f>
        <v/>
      </c>
      <c r="J104" s="6">
        <f>IF(B104="","",SUMIFS(SF_Output!$S$1:$S$400,SF_Output!$AC$1:$AC$400,_xlfn.TEXTJOIN(",",TRUE,B104:E104),SF_Output!$Q$1:$Q$400,"One Time",SF_Output!$L$1:$L$400,"license fee")+SUMIFS(SF_Output!$S$1:$S$400,SF_Output!$AC$1:$AC$400,_xlfn.TEXTJOIN(",",TRUE,B104:E104),SF_Output!$Q$1:$Q$400,"One Time",SF_Output!$L$1:$L$400,"software license")+SUMIFS(SF_Output!$S$1:$S$400,SF_Output!$AC$1:$AC$400,_xlfn.TEXTJOIN(",",TRUE,B104:E104),SF_Output!$Q$1:$Q$400,"One Time",SF_Output!$L$1:$L$400,"hardware"))</f>
        <v>0</v>
      </c>
      <c r="K104" s="112" t="str">
        <f>IF(OR(B104=0,B104="",G104="hardware",J104=0),"",IF(AF104&lt;&gt;"exclusion",MAX(K$9,-((SUMIFS(SF_Output!$T$1:$T$400,SF_Output!$AC$1:$AC$400,_xlfn.TEXTJOIN(",",TRUE,$B104:$E104),SF_Output!$Q$1:$Q$400,"One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license"))/J104)),-((SUMIFS(SF_Output!$T$1:$T$400,SF_Output!$AC$1:$AC$400,_xlfn.TEXTJOIN(",",TRUE,$B104:$E104),SF_Output!$Q$1:$Q$400,"One Time",SF_Output!$L$1:$L$400,"license fee")+SUMIFS(SF_Output!$T$1:$T$400,SF_Output!$AC$1:$AC$400,_xlfn.TEXTJOIN(",",TRUE,$B104:$E104),SF_Output!$Q$1:$Q$400,"One Time",SF_Output!$L$1:$L$400,"software license"))/J104)))</f>
        <v/>
      </c>
      <c r="L104" s="6">
        <f t="shared" si="5"/>
        <v>0</v>
      </c>
      <c r="N104" s="6">
        <f>IF(B104="","",SUMIFS(SF_Output!$S$1:$S$400,SF_Output!$AC$1:$AC$400,_xlfn.TEXTJOIN(",",TRUE,B104:E104),SF_Output!$Q$1:$Q$400,"One Time",SF_Output!$L$1:$L$400,"professional service"))</f>
        <v>0</v>
      </c>
      <c r="O104" s="112" t="str">
        <f>IF(OR(B104=0,B104="",N104=0),"",IF(AF104&lt;&gt;"exclusion",MAX(O$9,-(SUMIFS(SF_Output!$T$1:$T$400,SF_Output!$AC$1:$AC$400,_xlfn.TEXTJOIN(",",TRUE,$B104:$E104),SF_Output!$Q$1:$Q$400,"One Time",SF_Output!$L$1:$L$400,"professional service"))/N104),-((SUMIFS(SF_Output!$T$1:$T$400,SF_Output!$AC$1:$AC$400,_xlfn.TEXTJOIN(",",TRUE,$B104:$E104),SF_Output!$Q$1:$Q$400,"One Time",SF_Output!$L$1:$L$400,"professional service")/N104))))</f>
        <v/>
      </c>
      <c r="P104" s="6">
        <f t="shared" si="6"/>
        <v>0</v>
      </c>
      <c r="R104" s="6">
        <f>IF(B104="","",SUMIFS(SF_Output!$S$1:$S$400,SF_Output!$AC$1:$AC$400,_xlfn.TEXTJOIN(",",TRUE,B104:E104),SF_Output!$Q$1:$Q$400,"yearly")+SUMIFS(SF_Output!$S$1:$S$400,SF_Output!$AC$1:$AC$400,_xlfn.TEXTJOIN(",",TRUE,B104:E104),SF_Output!$Q$1:$Q$400,"quarterly")*4)</f>
        <v>0</v>
      </c>
      <c r="S104" s="112" t="str">
        <f>IF(OR(B104=0,B104="",G104="hardware",R104=0),"",IF(AF104&lt;&gt;"exclusion",MAX(S$9,-(SUMIFS(SF_Output!$T$1:$T$400,SF_Output!$AC$1:$AC$400,_xlfn.TEXTJOIN(",",TRUE,$B104:$E104),SF_Output!$Q$1:$Q$400,"yearly"))/R104),-((SUMIFS(SF_Output!$T$1:$T$400,SF_Output!$AC$1:$AC$400,_xlfn.TEXTJOIN(",",TRUE,$B104:$E104),SF_Output!$Q$1:$Q$400,"yearly")/R104))))</f>
        <v/>
      </c>
      <c r="T104" s="6">
        <f t="shared" si="7"/>
        <v>0</v>
      </c>
      <c r="V104" s="6" cm="1">
        <f t="array" ref="V104">_xlfn.IFS(B104="","",AND(B104&lt;&gt;"",H104=SF_Output!$Y$2,SUMIFS(SF_Output!$T$1:$T$400,SF_Output!$AC$1:$AC$400,_xlfn.TEXTJOIN(",",TRUE,B104:E104),SF_Output!$Q$1:$Q$400,"monthly")=0),(SUMIFS(SF_Output!$F$1:$F$400,SF_Output!$AC$1:$AC$400,_xlfn.TEXTJOIN(",",TRUE,B104:E104),SF_Output!$Q$1:$Q$400,"monthly")+SUMIFS(SF_Output!$G$1:$G$400,SF_Output!$AC$1:$AC$400,_xlfn.TEXTJOIN(",",TRUE,B104:E104),SF_Output!$Q$1:$Q$400,"monthly"))*H104,AND(B104&lt;&gt;"",H104=SF_Output!$Y$2,SUMIFS(SF_Output!$T$1:$T$400,SF_Output!$AC$1:$AC$400,_xlfn.TEXTJOIN(",",TRUE,B104:E104),SF_Output!$Q$1:$Q$400,"monthly")&lt;&gt;0),SUMIFS(SF_Output!$S$1:$S$400,SF_Output!$AC$1:$AC$400,_xlfn.TEXTJOIN(",",TRUE,B104:E104),SF_Output!$Q$1:$Q$400,"monthly"),AND(B104&lt;&gt;"",H104&lt;&gt;SF_Output!$Y$2),SUMIFS(SF_Output!$S$1:$S$400,SF_Output!$AC$1:$AC$400,_xlfn.TEXTJOIN(",",TRUE,B104:E104),SF_Output!$Q$1:$Q$400,"monthly"))</f>
        <v>0</v>
      </c>
      <c r="W104" s="112" t="str" cm="1">
        <f t="array" ref="W104">_xlfn.IFS(OR(B104=0,B104="",V104=0),"",AF104&lt;&gt;"exclusion",MAX($W$9,$W$7,(-(SUMIFS(SF_Output!$T$1:$T$400,SF_Output!$AC$1:$AC$400,_xlfn.TEXTJOIN(",",TRUE,$B104:$E104),SF_Output!$Q$1:$Q$400,"monthly"))/V104)),AF104="exclusion",-(SUMIFS(SF_Output!$T$1:$T$400,SF_Output!$AC$1:$AC$400,_xlfn.TEXTJOIN(",",TRUE,$B104:$E104),SF_Output!$Q$1:$Q$400,"monthly"))/V104)</f>
        <v/>
      </c>
      <c r="X104" s="6" cm="1">
        <f t="array" ref="X104">IFERROR(_xlfn.IFS(V104=0,0,V104="","",W104=0,V104,OR(V104&lt;&gt;0,V104&lt;&gt;""),H104*I104),V104*(1-W104))</f>
        <v>0</v>
      </c>
    </row>
    <row r="105" spans="2:24" x14ac:dyDescent="0.25">
      <c r="B105" t="s">
        <v>2367</v>
      </c>
      <c r="C105" t="s">
        <v>2122</v>
      </c>
      <c r="D105" t="s">
        <v>2207</v>
      </c>
      <c r="E105" t="s">
        <v>2124</v>
      </c>
      <c r="F105" s="116" t="str">
        <f t="shared" si="4"/>
        <v>Included</v>
      </c>
      <c r="G105" t="str">
        <f>IF(B105="","",INDEX(SF_Output!$K$1:$K$400,MATCH(B105,SF_Output!$M$1:$M$400,0)))</f>
        <v>Card Processing Solutions (CPS)</v>
      </c>
      <c r="H105" cm="1">
        <f t="array" ref="H105">_xlfn.IFS(B105="","",(SUMIFS(SF_Output!$F$1:$F$400,SF_Output!$AC$1:$AC$400,_xlfn.TEXTJOIN(",",TRUE,B105:E105))+SUMIFS(SF_Output!$G$1:$G$400,SF_Output!$AC$1:$AC$400,_xlfn.TEXTJOIN(",",TRUE,B105:E105)))&lt;&gt;0,SF_Output!$Y$2,INDEX(SF_Output!$F$1:$F$400,MATCH(_xlfn.TEXTJOIN(",",TRUE,B105:E105),SF_Output!$AC$1:$AC$400,0))=0,INDEX(SF_Output!$R$1:$R$400,MATCH(_xlfn.TEXTJOIN(",",TRUE,B105:E105),SF_Output!$AC$1:$AC$400,0)))</f>
        <v>1</v>
      </c>
      <c r="I105" s="125" t="str">
        <f>IFERROR(IF(AND(H105&gt;1,H105&lt;&gt;""),ROUND(SUMIFS(SF_Output!$S$1:$S$400,SF_Output!$AC$1:$AC$400,_xlfn.TEXTJOIN(",",TRUE,B105:E105),SF_Output!$Q$1:$Q$400,"monthly")*(1-W105)/H105,4),""),"")</f>
        <v/>
      </c>
      <c r="J105" s="6">
        <f>IF(B105="","",SUMIFS(SF_Output!$S$1:$S$400,SF_Output!$AC$1:$AC$400,_xlfn.TEXTJOIN(",",TRUE,B105:E105),SF_Output!$Q$1:$Q$400,"One Time",SF_Output!$L$1:$L$400,"license fee")+SUMIFS(SF_Output!$S$1:$S$400,SF_Output!$AC$1:$AC$400,_xlfn.TEXTJOIN(",",TRUE,B105:E105),SF_Output!$Q$1:$Q$400,"One Time",SF_Output!$L$1:$L$400,"software license")+SUMIFS(SF_Output!$S$1:$S$400,SF_Output!$AC$1:$AC$400,_xlfn.TEXTJOIN(",",TRUE,B105:E105),SF_Output!$Q$1:$Q$400,"One Time",SF_Output!$L$1:$L$400,"hardware"))</f>
        <v>0</v>
      </c>
      <c r="K105" s="112" t="str">
        <f>IF(OR(B105=0,B105="",G105="hardware",J105=0),"",IF(AF105&lt;&gt;"exclusion",MAX(K$9,-((SUMIFS(SF_Output!$T$1:$T$400,SF_Output!$AC$1:$AC$400,_xlfn.TEXTJOIN(",",TRUE,$B105:$E105),SF_Output!$Q$1:$Q$400,"One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license"))/J105)),-((SUMIFS(SF_Output!$T$1:$T$400,SF_Output!$AC$1:$AC$400,_xlfn.TEXTJOIN(",",TRUE,$B105:$E105),SF_Output!$Q$1:$Q$400,"One Time",SF_Output!$L$1:$L$400,"license fee")+SUMIFS(SF_Output!$T$1:$T$400,SF_Output!$AC$1:$AC$400,_xlfn.TEXTJOIN(",",TRUE,$B105:$E105),SF_Output!$Q$1:$Q$400,"One Time",SF_Output!$L$1:$L$400,"software license"))/J105)))</f>
        <v/>
      </c>
      <c r="L105" s="6">
        <f t="shared" si="5"/>
        <v>0</v>
      </c>
      <c r="N105" s="6">
        <f>IF(B105="","",SUMIFS(SF_Output!$S$1:$S$400,SF_Output!$AC$1:$AC$400,_xlfn.TEXTJOIN(",",TRUE,B105:E105),SF_Output!$Q$1:$Q$400,"One Time",SF_Output!$L$1:$L$400,"professional service"))</f>
        <v>4000</v>
      </c>
      <c r="O105" s="112">
        <f>IF(OR(B105=0,B105="",N105=0),"",IF(AF105&lt;&gt;"exclusion",MAX(O$9,-(SUMIFS(SF_Output!$T$1:$T$400,SF_Output!$AC$1:$AC$400,_xlfn.TEXTJOIN(",",TRUE,$B105:$E105),SF_Output!$Q$1:$Q$400,"One Time",SF_Output!$L$1:$L$400,"professional service"))/N105),-((SUMIFS(SF_Output!$T$1:$T$400,SF_Output!$AC$1:$AC$400,_xlfn.TEXTJOIN(",",TRUE,$B105:$E105),SF_Output!$Q$1:$Q$400,"One Time",SF_Output!$L$1:$L$400,"professional service")/N105))))</f>
        <v>1</v>
      </c>
      <c r="P105" s="6">
        <f t="shared" si="6"/>
        <v>0</v>
      </c>
      <c r="R105" s="6">
        <f>IF(B105="","",SUMIFS(SF_Output!$S$1:$S$400,SF_Output!$AC$1:$AC$400,_xlfn.TEXTJOIN(",",TRUE,B105:E105),SF_Output!$Q$1:$Q$400,"yearly")+SUMIFS(SF_Output!$S$1:$S$400,SF_Output!$AC$1:$AC$400,_xlfn.TEXTJOIN(",",TRUE,B105:E105),SF_Output!$Q$1:$Q$400,"quarterly")*4)</f>
        <v>0</v>
      </c>
      <c r="S105" s="112" t="str">
        <f>IF(OR(B105=0,B105="",G105="hardware",R105=0),"",IF(AF105&lt;&gt;"exclusion",MAX(S$9,-(SUMIFS(SF_Output!$T$1:$T$400,SF_Output!$AC$1:$AC$400,_xlfn.TEXTJOIN(",",TRUE,$B105:$E105),SF_Output!$Q$1:$Q$400,"yearly"))/R105),-((SUMIFS(SF_Output!$T$1:$T$400,SF_Output!$AC$1:$AC$400,_xlfn.TEXTJOIN(",",TRUE,$B105:$E105),SF_Output!$Q$1:$Q$400,"yearly")/R105))))</f>
        <v/>
      </c>
      <c r="T105" s="6">
        <f t="shared" si="7"/>
        <v>0</v>
      </c>
      <c r="V105" s="6" cm="1">
        <f t="array" ref="V105">_xlfn.IFS(B105="","",AND(B105&lt;&gt;"",H105=SF_Output!$Y$2,SUMIFS(SF_Output!$T$1:$T$400,SF_Output!$AC$1:$AC$400,_xlfn.TEXTJOIN(",",TRUE,B105:E105),SF_Output!$Q$1:$Q$400,"monthly")=0),(SUMIFS(SF_Output!$F$1:$F$400,SF_Output!$AC$1:$AC$400,_xlfn.TEXTJOIN(",",TRUE,B105:E105),SF_Output!$Q$1:$Q$400,"monthly")+SUMIFS(SF_Output!$G$1:$G$400,SF_Output!$AC$1:$AC$400,_xlfn.TEXTJOIN(",",TRUE,B105:E105),SF_Output!$Q$1:$Q$400,"monthly"))*H105,AND(B105&lt;&gt;"",H105=SF_Output!$Y$2,SUMIFS(SF_Output!$T$1:$T$400,SF_Output!$AC$1:$AC$400,_xlfn.TEXTJOIN(",",TRUE,B105:E105),SF_Output!$Q$1:$Q$400,"monthly")&lt;&gt;0),SUMIFS(SF_Output!$S$1:$S$400,SF_Output!$AC$1:$AC$400,_xlfn.TEXTJOIN(",",TRUE,B105:E105),SF_Output!$Q$1:$Q$400,"monthly"),AND(B105&lt;&gt;"",H105&lt;&gt;SF_Output!$Y$2),SUMIFS(SF_Output!$S$1:$S$400,SF_Output!$AC$1:$AC$400,_xlfn.TEXTJOIN(",",TRUE,B105:E105),SF_Output!$Q$1:$Q$400,"monthly"))</f>
        <v>0</v>
      </c>
      <c r="W105" s="112" t="str" cm="1">
        <f t="array" ref="W105">_xlfn.IFS(OR(B105=0,B105="",V105=0),"",AF105&lt;&gt;"exclusion",MAX($W$9,$W$7,(-(SUMIFS(SF_Output!$T$1:$T$400,SF_Output!$AC$1:$AC$400,_xlfn.TEXTJOIN(",",TRUE,$B105:$E105),SF_Output!$Q$1:$Q$400,"monthly"))/V105)),AF105="exclusion",-(SUMIFS(SF_Output!$T$1:$T$400,SF_Output!$AC$1:$AC$400,_xlfn.TEXTJOIN(",",TRUE,$B105:$E105),SF_Output!$Q$1:$Q$400,"monthly"))/V105)</f>
        <v/>
      </c>
      <c r="X105" s="6" cm="1">
        <f t="array" ref="X105">IFERROR(_xlfn.IFS(V105=0,0,V105="","",W105=0,V105,OR(V105&lt;&gt;0,V105&lt;&gt;""),H105*I105),V105*(1-W105))</f>
        <v>0</v>
      </c>
    </row>
    <row r="106" spans="2:24" x14ac:dyDescent="0.25">
      <c r="B106" t="s">
        <v>2369</v>
      </c>
      <c r="C106" t="s">
        <v>2122</v>
      </c>
      <c r="D106" t="s">
        <v>2207</v>
      </c>
      <c r="E106" t="s">
        <v>2124</v>
      </c>
      <c r="F106" s="116" t="str">
        <f t="shared" si="4"/>
        <v>Included</v>
      </c>
      <c r="G106" t="str">
        <f>IF(B106="","",INDEX(SF_Output!$K$1:$K$400,MATCH(B106,SF_Output!$M$1:$M$400,0)))</f>
        <v>Card Processing Solutions (CPS)</v>
      </c>
      <c r="H106" cm="1">
        <f t="array" ref="H106">_xlfn.IFS(B106="","",(SUMIFS(SF_Output!$F$1:$F$400,SF_Output!$AC$1:$AC$400,_xlfn.TEXTJOIN(",",TRUE,B106:E106))+SUMIFS(SF_Output!$G$1:$G$400,SF_Output!$AC$1:$AC$400,_xlfn.TEXTJOIN(",",TRUE,B106:E106)))&lt;&gt;0,SF_Output!$Y$2,INDEX(SF_Output!$F$1:$F$400,MATCH(_xlfn.TEXTJOIN(",",TRUE,B106:E106),SF_Output!$AC$1:$AC$400,0))=0,INDEX(SF_Output!$R$1:$R$400,MATCH(_xlfn.TEXTJOIN(",",TRUE,B106:E106),SF_Output!$AC$1:$AC$400,0)))</f>
        <v>1</v>
      </c>
      <c r="I106" s="125" t="str">
        <f>IFERROR(IF(AND(H106&gt;1,H106&lt;&gt;""),ROUND(SUMIFS(SF_Output!$S$1:$S$400,SF_Output!$AC$1:$AC$400,_xlfn.TEXTJOIN(",",TRUE,B106:E106),SF_Output!$Q$1:$Q$400,"monthly")*(1-W106)/H106,4),""),"")</f>
        <v/>
      </c>
      <c r="J106" s="6">
        <f>IF(B106="","",SUMIFS(SF_Output!$S$1:$S$400,SF_Output!$AC$1:$AC$400,_xlfn.TEXTJOIN(",",TRUE,B106:E106),SF_Output!$Q$1:$Q$400,"One Time",SF_Output!$L$1:$L$400,"license fee")+SUMIFS(SF_Output!$S$1:$S$400,SF_Output!$AC$1:$AC$400,_xlfn.TEXTJOIN(",",TRUE,B106:E106),SF_Output!$Q$1:$Q$400,"One Time",SF_Output!$L$1:$L$400,"software license")+SUMIFS(SF_Output!$S$1:$S$400,SF_Output!$AC$1:$AC$400,_xlfn.TEXTJOIN(",",TRUE,B106:E106),SF_Output!$Q$1:$Q$400,"One Time",SF_Output!$L$1:$L$400,"hardware"))</f>
        <v>0</v>
      </c>
      <c r="K106" s="112" t="str">
        <f>IF(OR(B106=0,B106="",G106="hardware",J106=0),"",IF(AF106&lt;&gt;"exclusion",MAX(K$9,-((SUMIFS(SF_Output!$T$1:$T$400,SF_Output!$AC$1:$AC$400,_xlfn.TEXTJOIN(",",TRUE,$B106:$E106),SF_Output!$Q$1:$Q$400,"One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license"))/J106)),-((SUMIFS(SF_Output!$T$1:$T$400,SF_Output!$AC$1:$AC$400,_xlfn.TEXTJOIN(",",TRUE,$B106:$E106),SF_Output!$Q$1:$Q$400,"One Time",SF_Output!$L$1:$L$400,"license fee")+SUMIFS(SF_Output!$T$1:$T$400,SF_Output!$AC$1:$AC$400,_xlfn.TEXTJOIN(",",TRUE,$B106:$E106),SF_Output!$Q$1:$Q$400,"One Time",SF_Output!$L$1:$L$400,"software license"))/J106)))</f>
        <v/>
      </c>
      <c r="L106" s="6">
        <f t="shared" si="5"/>
        <v>0</v>
      </c>
      <c r="N106" s="6">
        <f>IF(B106="","",SUMIFS(SF_Output!$S$1:$S$400,SF_Output!$AC$1:$AC$400,_xlfn.TEXTJOIN(",",TRUE,B106:E106),SF_Output!$Q$1:$Q$400,"One Time",SF_Output!$L$1:$L$400,"professional service"))</f>
        <v>2000</v>
      </c>
      <c r="O106" s="112">
        <f>IF(OR(B106=0,B106="",N106=0),"",IF(AF106&lt;&gt;"exclusion",MAX(O$9,-(SUMIFS(SF_Output!$T$1:$T$400,SF_Output!$AC$1:$AC$400,_xlfn.TEXTJOIN(",",TRUE,$B106:$E106),SF_Output!$Q$1:$Q$400,"One Time",SF_Output!$L$1:$L$400,"professional service"))/N106),-((SUMIFS(SF_Output!$T$1:$T$400,SF_Output!$AC$1:$AC$400,_xlfn.TEXTJOIN(",",TRUE,$B106:$E106),SF_Output!$Q$1:$Q$400,"One Time",SF_Output!$L$1:$L$400,"professional service")/N106))))</f>
        <v>1</v>
      </c>
      <c r="P106" s="6">
        <f t="shared" si="6"/>
        <v>0</v>
      </c>
      <c r="R106" s="6">
        <f>IF(B106="","",SUMIFS(SF_Output!$S$1:$S$400,SF_Output!$AC$1:$AC$400,_xlfn.TEXTJOIN(",",TRUE,B106:E106),SF_Output!$Q$1:$Q$400,"yearly")+SUMIFS(SF_Output!$S$1:$S$400,SF_Output!$AC$1:$AC$400,_xlfn.TEXTJOIN(",",TRUE,B106:E106),SF_Output!$Q$1:$Q$400,"quarterly")*4)</f>
        <v>0</v>
      </c>
      <c r="S106" s="112" t="str">
        <f>IF(OR(B106=0,B106="",G106="hardware",R106=0),"",IF(AF106&lt;&gt;"exclusion",MAX(S$9,-(SUMIFS(SF_Output!$T$1:$T$400,SF_Output!$AC$1:$AC$400,_xlfn.TEXTJOIN(",",TRUE,$B106:$E106),SF_Output!$Q$1:$Q$400,"yearly"))/R106),-((SUMIFS(SF_Output!$T$1:$T$400,SF_Output!$AC$1:$AC$400,_xlfn.TEXTJOIN(",",TRUE,$B106:$E106),SF_Output!$Q$1:$Q$400,"yearly")/R106))))</f>
        <v/>
      </c>
      <c r="T106" s="6">
        <f t="shared" si="7"/>
        <v>0</v>
      </c>
      <c r="V106" s="6" cm="1">
        <f t="array" ref="V106">_xlfn.IFS(B106="","",AND(B106&lt;&gt;"",H106=SF_Output!$Y$2,SUMIFS(SF_Output!$T$1:$T$400,SF_Output!$AC$1:$AC$400,_xlfn.TEXTJOIN(",",TRUE,B106:E106),SF_Output!$Q$1:$Q$400,"monthly")=0),(SUMIFS(SF_Output!$F$1:$F$400,SF_Output!$AC$1:$AC$400,_xlfn.TEXTJOIN(",",TRUE,B106:E106),SF_Output!$Q$1:$Q$400,"monthly")+SUMIFS(SF_Output!$G$1:$G$400,SF_Output!$AC$1:$AC$400,_xlfn.TEXTJOIN(",",TRUE,B106:E106),SF_Output!$Q$1:$Q$400,"monthly"))*H106,AND(B106&lt;&gt;"",H106=SF_Output!$Y$2,SUMIFS(SF_Output!$T$1:$T$400,SF_Output!$AC$1:$AC$400,_xlfn.TEXTJOIN(",",TRUE,B106:E106),SF_Output!$Q$1:$Q$400,"monthly")&lt;&gt;0),SUMIFS(SF_Output!$S$1:$S$400,SF_Output!$AC$1:$AC$400,_xlfn.TEXTJOIN(",",TRUE,B106:E106),SF_Output!$Q$1:$Q$400,"monthly"),AND(B106&lt;&gt;"",H106&lt;&gt;SF_Output!$Y$2),SUMIFS(SF_Output!$S$1:$S$400,SF_Output!$AC$1:$AC$400,_xlfn.TEXTJOIN(",",TRUE,B106:E106),SF_Output!$Q$1:$Q$400,"monthly"))</f>
        <v>0</v>
      </c>
      <c r="W106" s="112" t="str" cm="1">
        <f t="array" ref="W106">_xlfn.IFS(OR(B106=0,B106="",V106=0),"",AF106&lt;&gt;"exclusion",MAX($W$9,$W$7,(-(SUMIFS(SF_Output!$T$1:$T$400,SF_Output!$AC$1:$AC$400,_xlfn.TEXTJOIN(",",TRUE,$B106:$E106),SF_Output!$Q$1:$Q$400,"monthly"))/V106)),AF106="exclusion",-(SUMIFS(SF_Output!$T$1:$T$400,SF_Output!$AC$1:$AC$400,_xlfn.TEXTJOIN(",",TRUE,$B106:$E106),SF_Output!$Q$1:$Q$400,"monthly"))/V106)</f>
        <v/>
      </c>
      <c r="X106" s="6" cm="1">
        <f t="array" ref="X106">IFERROR(_xlfn.IFS(V106=0,0,V106="","",W106=0,V106,OR(V106&lt;&gt;0,V106&lt;&gt;""),H106*I106),V106*(1-W106))</f>
        <v>0</v>
      </c>
    </row>
    <row r="107" spans="2:24" x14ac:dyDescent="0.25">
      <c r="B107" t="s">
        <v>2472</v>
      </c>
      <c r="C107" t="s">
        <v>2122</v>
      </c>
      <c r="D107" t="s">
        <v>2207</v>
      </c>
      <c r="E107" t="s">
        <v>2124</v>
      </c>
      <c r="F107" s="116" t="str">
        <f t="shared" si="4"/>
        <v>Included</v>
      </c>
      <c r="G107" t="str">
        <f>IF(B107="","",INDEX(SF_Output!$K$1:$K$400,MATCH(B107,SF_Output!$M$1:$M$400,0)))</f>
        <v>Card Processing Solutions (CPS)</v>
      </c>
      <c r="H107" cm="1">
        <f t="array" ref="H107">_xlfn.IFS(B107="","",(SUMIFS(SF_Output!$F$1:$F$400,SF_Output!$AC$1:$AC$400,_xlfn.TEXTJOIN(",",TRUE,B107:E107))+SUMIFS(SF_Output!$G$1:$G$400,SF_Output!$AC$1:$AC$400,_xlfn.TEXTJOIN(",",TRUE,B107:E107)))&lt;&gt;0,SF_Output!$Y$2,INDEX(SF_Output!$F$1:$F$400,MATCH(_xlfn.TEXTJOIN(",",TRUE,B107:E107),SF_Output!$AC$1:$AC$400,0))=0,INDEX(SF_Output!$R$1:$R$400,MATCH(_xlfn.TEXTJOIN(",",TRUE,B107:E107),SF_Output!$AC$1:$AC$400,0)))</f>
        <v>1</v>
      </c>
      <c r="I107" s="125" t="str">
        <f>IFERROR(IF(AND(H107&gt;1,H107&lt;&gt;""),ROUND(SUMIFS(SF_Output!$S$1:$S$400,SF_Output!$AC$1:$AC$400,_xlfn.TEXTJOIN(",",TRUE,B107:E107),SF_Output!$Q$1:$Q$400,"monthly")*(1-W107)/H107,4),""),"")</f>
        <v/>
      </c>
      <c r="J107" s="6">
        <f>IF(B107="","",SUMIFS(SF_Output!$S$1:$S$400,SF_Output!$AC$1:$AC$400,_xlfn.TEXTJOIN(",",TRUE,B107:E107),SF_Output!$Q$1:$Q$400,"One Time",SF_Output!$L$1:$L$400,"license fee")+SUMIFS(SF_Output!$S$1:$S$400,SF_Output!$AC$1:$AC$400,_xlfn.TEXTJOIN(",",TRUE,B107:E107),SF_Output!$Q$1:$Q$400,"One Time",SF_Output!$L$1:$L$400,"software license")+SUMIFS(SF_Output!$S$1:$S$400,SF_Output!$AC$1:$AC$400,_xlfn.TEXTJOIN(",",TRUE,B107:E107),SF_Output!$Q$1:$Q$400,"One Time",SF_Output!$L$1:$L$400,"hardware"))</f>
        <v>0</v>
      </c>
      <c r="K107" s="112" t="str">
        <f>IF(OR(B107=0,B107="",G107="hardware",J107=0),"",IF(AF107&lt;&gt;"exclusion",MAX(K$9,-((SUMIFS(SF_Output!$T$1:$T$400,SF_Output!$AC$1:$AC$400,_xlfn.TEXTJOIN(",",TRUE,$B107:$E107),SF_Output!$Q$1:$Q$400,"One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license"))/J107)),-((SUMIFS(SF_Output!$T$1:$T$400,SF_Output!$AC$1:$AC$400,_xlfn.TEXTJOIN(",",TRUE,$B107:$E107),SF_Output!$Q$1:$Q$400,"One Time",SF_Output!$L$1:$L$400,"license fee")+SUMIFS(SF_Output!$T$1:$T$400,SF_Output!$AC$1:$AC$400,_xlfn.TEXTJOIN(",",TRUE,$B107:$E107),SF_Output!$Q$1:$Q$400,"One Time",SF_Output!$L$1:$L$400,"software license"))/J107)))</f>
        <v/>
      </c>
      <c r="L107" s="6">
        <f t="shared" si="5"/>
        <v>0</v>
      </c>
      <c r="N107" s="6">
        <f>IF(B107="","",SUMIFS(SF_Output!$S$1:$S$400,SF_Output!$AC$1:$AC$400,_xlfn.TEXTJOIN(",",TRUE,B107:E107),SF_Output!$Q$1:$Q$400,"One Time",SF_Output!$L$1:$L$400,"professional service"))</f>
        <v>250</v>
      </c>
      <c r="O107" s="112">
        <f>IF(OR(B107=0,B107="",N107=0),"",IF(AF107&lt;&gt;"exclusion",MAX(O$9,-(SUMIFS(SF_Output!$T$1:$T$400,SF_Output!$AC$1:$AC$400,_xlfn.TEXTJOIN(",",TRUE,$B107:$E107),SF_Output!$Q$1:$Q$400,"One Time",SF_Output!$L$1:$L$400,"professional service"))/N107),-((SUMIFS(SF_Output!$T$1:$T$400,SF_Output!$AC$1:$AC$400,_xlfn.TEXTJOIN(",",TRUE,$B107:$E107),SF_Output!$Q$1:$Q$400,"One Time",SF_Output!$L$1:$L$400,"professional service")/N107))))</f>
        <v>1</v>
      </c>
      <c r="P107" s="6">
        <f t="shared" si="6"/>
        <v>0</v>
      </c>
      <c r="R107" s="6">
        <f>IF(B107="","",SUMIFS(SF_Output!$S$1:$S$400,SF_Output!$AC$1:$AC$400,_xlfn.TEXTJOIN(",",TRUE,B107:E107),SF_Output!$Q$1:$Q$400,"yearly")+SUMIFS(SF_Output!$S$1:$S$400,SF_Output!$AC$1:$AC$400,_xlfn.TEXTJOIN(",",TRUE,B107:E107),SF_Output!$Q$1:$Q$400,"quarterly")*4)</f>
        <v>0</v>
      </c>
      <c r="S107" s="112" t="str">
        <f>IF(OR(B107=0,B107="",G107="hardware",R107=0),"",IF(AF107&lt;&gt;"exclusion",MAX(S$9,-(SUMIFS(SF_Output!$T$1:$T$400,SF_Output!$AC$1:$AC$400,_xlfn.TEXTJOIN(",",TRUE,$B107:$E107),SF_Output!$Q$1:$Q$400,"yearly"))/R107),-((SUMIFS(SF_Output!$T$1:$T$400,SF_Output!$AC$1:$AC$400,_xlfn.TEXTJOIN(",",TRUE,$B107:$E107),SF_Output!$Q$1:$Q$400,"yearly")/R107))))</f>
        <v/>
      </c>
      <c r="T107" s="6">
        <f t="shared" si="7"/>
        <v>0</v>
      </c>
      <c r="V107" s="6" cm="1">
        <f t="array" ref="V107">_xlfn.IFS(B107="","",AND(B107&lt;&gt;"",H107=SF_Output!$Y$2,SUMIFS(SF_Output!$T$1:$T$400,SF_Output!$AC$1:$AC$400,_xlfn.TEXTJOIN(",",TRUE,B107:E107),SF_Output!$Q$1:$Q$400,"monthly")=0),(SUMIFS(SF_Output!$F$1:$F$400,SF_Output!$AC$1:$AC$400,_xlfn.TEXTJOIN(",",TRUE,B107:E107),SF_Output!$Q$1:$Q$400,"monthly")+SUMIFS(SF_Output!$G$1:$G$400,SF_Output!$AC$1:$AC$400,_xlfn.TEXTJOIN(",",TRUE,B107:E107),SF_Output!$Q$1:$Q$400,"monthly"))*H107,AND(B107&lt;&gt;"",H107=SF_Output!$Y$2,SUMIFS(SF_Output!$T$1:$T$400,SF_Output!$AC$1:$AC$400,_xlfn.TEXTJOIN(",",TRUE,B107:E107),SF_Output!$Q$1:$Q$400,"monthly")&lt;&gt;0),SUMIFS(SF_Output!$S$1:$S$400,SF_Output!$AC$1:$AC$400,_xlfn.TEXTJOIN(",",TRUE,B107:E107),SF_Output!$Q$1:$Q$400,"monthly"),AND(B107&lt;&gt;"",H107&lt;&gt;SF_Output!$Y$2),SUMIFS(SF_Output!$S$1:$S$400,SF_Output!$AC$1:$AC$400,_xlfn.TEXTJOIN(",",TRUE,B107:E107),SF_Output!$Q$1:$Q$400,"monthly"))</f>
        <v>0</v>
      </c>
      <c r="W107" s="112" t="str" cm="1">
        <f t="array" ref="W107">_xlfn.IFS(OR(B107=0,B107="",V107=0),"",AF107&lt;&gt;"exclusion",MAX($W$9,$W$7,(-(SUMIFS(SF_Output!$T$1:$T$400,SF_Output!$AC$1:$AC$400,_xlfn.TEXTJOIN(",",TRUE,$B107:$E107),SF_Output!$Q$1:$Q$400,"monthly"))/V107)),AF107="exclusion",-(SUMIFS(SF_Output!$T$1:$T$400,SF_Output!$AC$1:$AC$400,_xlfn.TEXTJOIN(",",TRUE,$B107:$E107),SF_Output!$Q$1:$Q$400,"monthly"))/V107)</f>
        <v/>
      </c>
      <c r="X107" s="6" cm="1">
        <f t="array" ref="X107">IFERROR(_xlfn.IFS(V107=0,0,V107="","",W107=0,V107,OR(V107&lt;&gt;0,V107&lt;&gt;""),H107*I107),V107*(1-W107))</f>
        <v>0</v>
      </c>
    </row>
    <row r="108" spans="2:24" x14ac:dyDescent="0.25">
      <c r="B108" t="s">
        <v>1823</v>
      </c>
      <c r="C108" t="s">
        <v>2122</v>
      </c>
      <c r="D108" t="s">
        <v>2207</v>
      </c>
      <c r="E108" t="s">
        <v>2124</v>
      </c>
      <c r="F108" s="116" t="str">
        <f t="shared" si="4"/>
        <v>Included</v>
      </c>
      <c r="G108" t="str">
        <f>IF(B108="","",INDEX(SF_Output!$K$1:$K$400,MATCH(B108,SF_Output!$M$1:$M$400,0)))</f>
        <v>Card Processing Solutions (CPS)</v>
      </c>
      <c r="H108" cm="1">
        <f t="array" ref="H108">_xlfn.IFS(B108="","",(SUMIFS(SF_Output!$F$1:$F$400,SF_Output!$AC$1:$AC$400,_xlfn.TEXTJOIN(",",TRUE,B108:E108))+SUMIFS(SF_Output!$G$1:$G$400,SF_Output!$AC$1:$AC$400,_xlfn.TEXTJOIN(",",TRUE,B108:E108)))&lt;&gt;0,SF_Output!$Y$2,INDEX(SF_Output!$F$1:$F$400,MATCH(_xlfn.TEXTJOIN(",",TRUE,B108:E108),SF_Output!$AC$1:$AC$400,0))=0,INDEX(SF_Output!$R$1:$R$400,MATCH(_xlfn.TEXTJOIN(",",TRUE,B108:E108),SF_Output!$AC$1:$AC$400,0)))</f>
        <v>0</v>
      </c>
      <c r="I108" s="125" t="str">
        <f>IFERROR(IF(AND(H108&gt;1,H108&lt;&gt;""),ROUND(SUMIFS(SF_Output!$S$1:$S$400,SF_Output!$AC$1:$AC$400,_xlfn.TEXTJOIN(",",TRUE,B108:E108),SF_Output!$Q$1:$Q$400,"monthly")*(1-W108)/H108,4),""),"")</f>
        <v/>
      </c>
      <c r="J108" s="6">
        <f>IF(B108="","",SUMIFS(SF_Output!$S$1:$S$400,SF_Output!$AC$1:$AC$400,_xlfn.TEXTJOIN(",",TRUE,B108:E108),SF_Output!$Q$1:$Q$400,"One Time",SF_Output!$L$1:$L$400,"license fee")+SUMIFS(SF_Output!$S$1:$S$400,SF_Output!$AC$1:$AC$400,_xlfn.TEXTJOIN(",",TRUE,B108:E108),SF_Output!$Q$1:$Q$400,"One Time",SF_Output!$L$1:$L$400,"software license")+SUMIFS(SF_Output!$S$1:$S$400,SF_Output!$AC$1:$AC$400,_xlfn.TEXTJOIN(",",TRUE,B108:E108),SF_Output!$Q$1:$Q$400,"One Time",SF_Output!$L$1:$L$400,"hardware"))</f>
        <v>0</v>
      </c>
      <c r="K108" s="112" t="str">
        <f>IF(OR(B108=0,B108="",G108="hardware",J108=0),"",IF(AF108&lt;&gt;"exclusion",MAX(K$9,-((SUMIFS(SF_Output!$T$1:$T$400,SF_Output!$AC$1:$AC$400,_xlfn.TEXTJOIN(",",TRUE,$B108:$E108),SF_Output!$Q$1:$Q$400,"One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license"))/J108)),-((SUMIFS(SF_Output!$T$1:$T$400,SF_Output!$AC$1:$AC$400,_xlfn.TEXTJOIN(",",TRUE,$B108:$E108),SF_Output!$Q$1:$Q$400,"One Time",SF_Output!$L$1:$L$400,"license fee")+SUMIFS(SF_Output!$T$1:$T$400,SF_Output!$AC$1:$AC$400,_xlfn.TEXTJOIN(",",TRUE,$B108:$E108),SF_Output!$Q$1:$Q$400,"One Time",SF_Output!$L$1:$L$400,"software license"))/J108)))</f>
        <v/>
      </c>
      <c r="L108" s="6">
        <f t="shared" si="5"/>
        <v>0</v>
      </c>
      <c r="N108" s="6">
        <f>IF(B108="","",SUMIFS(SF_Output!$S$1:$S$400,SF_Output!$AC$1:$AC$400,_xlfn.TEXTJOIN(",",TRUE,B108:E108),SF_Output!$Q$1:$Q$400,"One Time",SF_Output!$L$1:$L$400,"professional service"))</f>
        <v>0</v>
      </c>
      <c r="O108" s="112" t="str">
        <f>IF(OR(B108=0,B108="",N108=0),"",IF(AF108&lt;&gt;"exclusion",MAX(O$9,-(SUMIFS(SF_Output!$T$1:$T$400,SF_Output!$AC$1:$AC$400,_xlfn.TEXTJOIN(",",TRUE,$B108:$E108),SF_Output!$Q$1:$Q$400,"One Time",SF_Output!$L$1:$L$400,"professional service"))/N108),-((SUMIFS(SF_Output!$T$1:$T$400,SF_Output!$AC$1:$AC$400,_xlfn.TEXTJOIN(",",TRUE,$B108:$E108),SF_Output!$Q$1:$Q$400,"One Time",SF_Output!$L$1:$L$400,"professional service")/N108))))</f>
        <v/>
      </c>
      <c r="P108" s="6">
        <f t="shared" si="6"/>
        <v>0</v>
      </c>
      <c r="R108" s="6">
        <f>IF(B108="","",SUMIFS(SF_Output!$S$1:$S$400,SF_Output!$AC$1:$AC$400,_xlfn.TEXTJOIN(",",TRUE,B108:E108),SF_Output!$Q$1:$Q$400,"yearly")+SUMIFS(SF_Output!$S$1:$S$400,SF_Output!$AC$1:$AC$400,_xlfn.TEXTJOIN(",",TRUE,B108:E108),SF_Output!$Q$1:$Q$400,"quarterly")*4)</f>
        <v>0</v>
      </c>
      <c r="S108" s="112" t="str">
        <f>IF(OR(B108=0,B108="",G108="hardware",R108=0),"",IF(AF108&lt;&gt;"exclusion",MAX(S$9,-(SUMIFS(SF_Output!$T$1:$T$400,SF_Output!$AC$1:$AC$400,_xlfn.TEXTJOIN(",",TRUE,$B108:$E108),SF_Output!$Q$1:$Q$400,"yearly"))/R108),-((SUMIFS(SF_Output!$T$1:$T$400,SF_Output!$AC$1:$AC$400,_xlfn.TEXTJOIN(",",TRUE,$B108:$E108),SF_Output!$Q$1:$Q$400,"yearly")/R108))))</f>
        <v/>
      </c>
      <c r="T108" s="6">
        <f t="shared" si="7"/>
        <v>0</v>
      </c>
      <c r="V108" s="6" cm="1">
        <f t="array" ref="V108">_xlfn.IFS(B108="","",AND(B108&lt;&gt;"",H108=SF_Output!$Y$2,SUMIFS(SF_Output!$T$1:$T$400,SF_Output!$AC$1:$AC$400,_xlfn.TEXTJOIN(",",TRUE,B108:E108),SF_Output!$Q$1:$Q$400,"monthly")=0),(SUMIFS(SF_Output!$F$1:$F$400,SF_Output!$AC$1:$AC$400,_xlfn.TEXTJOIN(",",TRUE,B108:E108),SF_Output!$Q$1:$Q$400,"monthly")+SUMIFS(SF_Output!$G$1:$G$400,SF_Output!$AC$1:$AC$400,_xlfn.TEXTJOIN(",",TRUE,B108:E108),SF_Output!$Q$1:$Q$400,"monthly"))*H108,AND(B108&lt;&gt;"",H108=SF_Output!$Y$2,SUMIFS(SF_Output!$T$1:$T$400,SF_Output!$AC$1:$AC$400,_xlfn.TEXTJOIN(",",TRUE,B108:E108),SF_Output!$Q$1:$Q$400,"monthly")&lt;&gt;0),SUMIFS(SF_Output!$S$1:$S$400,SF_Output!$AC$1:$AC$400,_xlfn.TEXTJOIN(",",TRUE,B108:E108),SF_Output!$Q$1:$Q$400,"monthly"),AND(B108&lt;&gt;"",H108&lt;&gt;SF_Output!$Y$2),SUMIFS(SF_Output!$S$1:$S$400,SF_Output!$AC$1:$AC$400,_xlfn.TEXTJOIN(",",TRUE,B108:E108),SF_Output!$Q$1:$Q$400,"monthly"))</f>
        <v>0</v>
      </c>
      <c r="W108" s="112" t="str" cm="1">
        <f t="array" ref="W108">_xlfn.IFS(OR(B108=0,B108="",V108=0),"",AF108&lt;&gt;"exclusion",MAX($W$9,$W$7,(-(SUMIFS(SF_Output!$T$1:$T$400,SF_Output!$AC$1:$AC$400,_xlfn.TEXTJOIN(",",TRUE,$B108:$E108),SF_Output!$Q$1:$Q$400,"monthly"))/V108)),AF108="exclusion",-(SUMIFS(SF_Output!$T$1:$T$400,SF_Output!$AC$1:$AC$400,_xlfn.TEXTJOIN(",",TRUE,$B108:$E108),SF_Output!$Q$1:$Q$400,"monthly"))/V108)</f>
        <v/>
      </c>
      <c r="X108" s="6" cm="1">
        <f t="array" ref="X108">IFERROR(_xlfn.IFS(V108=0,0,V108="","",W108=0,V108,OR(V108&lt;&gt;0,V108&lt;&gt;""),H108*I108),V108*(1-W108))</f>
        <v>0</v>
      </c>
    </row>
    <row r="109" spans="2:24" x14ac:dyDescent="0.25">
      <c r="B109" t="s">
        <v>2373</v>
      </c>
      <c r="C109" t="s">
        <v>2122</v>
      </c>
      <c r="D109" t="s">
        <v>2207</v>
      </c>
      <c r="E109" t="s">
        <v>2124</v>
      </c>
      <c r="F109" s="116" t="str">
        <f t="shared" si="4"/>
        <v>Included</v>
      </c>
      <c r="G109" t="str">
        <f>IF(B109="","",INDEX(SF_Output!$K$1:$K$400,MATCH(B109,SF_Output!$M$1:$M$400,0)))</f>
        <v>Card Processing Solutions (CPS)</v>
      </c>
      <c r="H109" cm="1">
        <f t="array" ref="H109">_xlfn.IFS(B109="","",(SUMIFS(SF_Output!$F$1:$F$400,SF_Output!$AC$1:$AC$400,_xlfn.TEXTJOIN(",",TRUE,B109:E109))+SUMIFS(SF_Output!$G$1:$G$400,SF_Output!$AC$1:$AC$400,_xlfn.TEXTJOIN(",",TRUE,B109:E109)))&lt;&gt;0,SF_Output!$Y$2,INDEX(SF_Output!$F$1:$F$400,MATCH(_xlfn.TEXTJOIN(",",TRUE,B109:E109),SF_Output!$AC$1:$AC$400,0))=0,INDEX(SF_Output!$R$1:$R$400,MATCH(_xlfn.TEXTJOIN(",",TRUE,B109:E109),SF_Output!$AC$1:$AC$400,0)))</f>
        <v>0</v>
      </c>
      <c r="I109" s="125" t="str">
        <f>IFERROR(IF(AND(H109&gt;1,H109&lt;&gt;""),ROUND(SUMIFS(SF_Output!$S$1:$S$400,SF_Output!$AC$1:$AC$400,_xlfn.TEXTJOIN(",",TRUE,B109:E109),SF_Output!$Q$1:$Q$400,"monthly")*(1-W109)/H109,4),""),"")</f>
        <v/>
      </c>
      <c r="J109" s="6">
        <f>IF(B109="","",SUMIFS(SF_Output!$S$1:$S$400,SF_Output!$AC$1:$AC$400,_xlfn.TEXTJOIN(",",TRUE,B109:E109),SF_Output!$Q$1:$Q$400,"One Time",SF_Output!$L$1:$L$400,"license fee")+SUMIFS(SF_Output!$S$1:$S$400,SF_Output!$AC$1:$AC$400,_xlfn.TEXTJOIN(",",TRUE,B109:E109),SF_Output!$Q$1:$Q$400,"One Time",SF_Output!$L$1:$L$400,"software license")+SUMIFS(SF_Output!$S$1:$S$400,SF_Output!$AC$1:$AC$400,_xlfn.TEXTJOIN(",",TRUE,B109:E109),SF_Output!$Q$1:$Q$400,"One Time",SF_Output!$L$1:$L$400,"hardware"))</f>
        <v>0</v>
      </c>
      <c r="K109" s="112" t="str">
        <f>IF(OR(B109=0,B109="",G109="hardware",J109=0),"",IF(AF109&lt;&gt;"exclusion",MAX(K$9,-((SUMIFS(SF_Output!$T$1:$T$400,SF_Output!$AC$1:$AC$400,_xlfn.TEXTJOIN(",",TRUE,$B109:$E109),SF_Output!$Q$1:$Q$400,"One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license"))/J109)),-((SUMIFS(SF_Output!$T$1:$T$400,SF_Output!$AC$1:$AC$400,_xlfn.TEXTJOIN(",",TRUE,$B109:$E109),SF_Output!$Q$1:$Q$400,"One Time",SF_Output!$L$1:$L$400,"license fee")+SUMIFS(SF_Output!$T$1:$T$400,SF_Output!$AC$1:$AC$400,_xlfn.TEXTJOIN(",",TRUE,$B109:$E109),SF_Output!$Q$1:$Q$400,"One Time",SF_Output!$L$1:$L$400,"software license"))/J109)))</f>
        <v/>
      </c>
      <c r="L109" s="6">
        <f t="shared" si="5"/>
        <v>0</v>
      </c>
      <c r="N109" s="6">
        <f>IF(B109="","",SUMIFS(SF_Output!$S$1:$S$400,SF_Output!$AC$1:$AC$400,_xlfn.TEXTJOIN(",",TRUE,B109:E109),SF_Output!$Q$1:$Q$400,"One Time",SF_Output!$L$1:$L$400,"professional service"))</f>
        <v>0</v>
      </c>
      <c r="O109" s="112" t="str">
        <f>IF(OR(B109=0,B109="",N109=0),"",IF(AF109&lt;&gt;"exclusion",MAX(O$9,-(SUMIFS(SF_Output!$T$1:$T$400,SF_Output!$AC$1:$AC$400,_xlfn.TEXTJOIN(",",TRUE,$B109:$E109),SF_Output!$Q$1:$Q$400,"One Time",SF_Output!$L$1:$L$400,"professional service"))/N109),-((SUMIFS(SF_Output!$T$1:$T$400,SF_Output!$AC$1:$AC$400,_xlfn.TEXTJOIN(",",TRUE,$B109:$E109),SF_Output!$Q$1:$Q$400,"One Time",SF_Output!$L$1:$L$400,"professional service")/N109))))</f>
        <v/>
      </c>
      <c r="P109" s="6">
        <f t="shared" si="6"/>
        <v>0</v>
      </c>
      <c r="R109" s="6">
        <f>IF(B109="","",SUMIFS(SF_Output!$S$1:$S$400,SF_Output!$AC$1:$AC$400,_xlfn.TEXTJOIN(",",TRUE,B109:E109),SF_Output!$Q$1:$Q$400,"yearly")+SUMIFS(SF_Output!$S$1:$S$400,SF_Output!$AC$1:$AC$400,_xlfn.TEXTJOIN(",",TRUE,B109:E109),SF_Output!$Q$1:$Q$400,"quarterly")*4)</f>
        <v>0</v>
      </c>
      <c r="S109" s="112" t="str">
        <f>IF(OR(B109=0,B109="",G109="hardware",R109=0),"",IF(AF109&lt;&gt;"exclusion",MAX(S$9,-(SUMIFS(SF_Output!$T$1:$T$400,SF_Output!$AC$1:$AC$400,_xlfn.TEXTJOIN(",",TRUE,$B109:$E109),SF_Output!$Q$1:$Q$400,"yearly"))/R109),-((SUMIFS(SF_Output!$T$1:$T$400,SF_Output!$AC$1:$AC$400,_xlfn.TEXTJOIN(",",TRUE,$B109:$E109),SF_Output!$Q$1:$Q$400,"yearly")/R109))))</f>
        <v/>
      </c>
      <c r="T109" s="6">
        <f t="shared" si="7"/>
        <v>0</v>
      </c>
      <c r="V109" s="6" cm="1">
        <f t="array" ref="V109">_xlfn.IFS(B109="","",AND(B109&lt;&gt;"",H109=SF_Output!$Y$2,SUMIFS(SF_Output!$T$1:$T$400,SF_Output!$AC$1:$AC$400,_xlfn.TEXTJOIN(",",TRUE,B109:E109),SF_Output!$Q$1:$Q$400,"monthly")=0),(SUMIFS(SF_Output!$F$1:$F$400,SF_Output!$AC$1:$AC$400,_xlfn.TEXTJOIN(",",TRUE,B109:E109),SF_Output!$Q$1:$Q$400,"monthly")+SUMIFS(SF_Output!$G$1:$G$400,SF_Output!$AC$1:$AC$400,_xlfn.TEXTJOIN(",",TRUE,B109:E109),SF_Output!$Q$1:$Q$400,"monthly"))*H109,AND(B109&lt;&gt;"",H109=SF_Output!$Y$2,SUMIFS(SF_Output!$T$1:$T$400,SF_Output!$AC$1:$AC$400,_xlfn.TEXTJOIN(",",TRUE,B109:E109),SF_Output!$Q$1:$Q$400,"monthly")&lt;&gt;0),SUMIFS(SF_Output!$S$1:$S$400,SF_Output!$AC$1:$AC$400,_xlfn.TEXTJOIN(",",TRUE,B109:E109),SF_Output!$Q$1:$Q$400,"monthly"),AND(B109&lt;&gt;"",H109&lt;&gt;SF_Output!$Y$2),SUMIFS(SF_Output!$S$1:$S$400,SF_Output!$AC$1:$AC$400,_xlfn.TEXTJOIN(",",TRUE,B109:E109),SF_Output!$Q$1:$Q$400,"monthly"))</f>
        <v>0</v>
      </c>
      <c r="W109" s="112" t="str" cm="1">
        <f t="array" ref="W109">_xlfn.IFS(OR(B109=0,B109="",V109=0),"",AF109&lt;&gt;"exclusion",MAX($W$9,$W$7,(-(SUMIFS(SF_Output!$T$1:$T$400,SF_Output!$AC$1:$AC$400,_xlfn.TEXTJOIN(",",TRUE,$B109:$E109),SF_Output!$Q$1:$Q$400,"monthly"))/V109)),AF109="exclusion",-(SUMIFS(SF_Output!$T$1:$T$400,SF_Output!$AC$1:$AC$400,_xlfn.TEXTJOIN(",",TRUE,$B109:$E109),SF_Output!$Q$1:$Q$400,"monthly"))/V109)</f>
        <v/>
      </c>
      <c r="X109" s="6" cm="1">
        <f t="array" ref="X109">IFERROR(_xlfn.IFS(V109=0,0,V109="","",W109=0,V109,OR(V109&lt;&gt;0,V109&lt;&gt;""),H109*I109),V109*(1-W109))</f>
        <v>0</v>
      </c>
    </row>
    <row r="110" spans="2:24" x14ac:dyDescent="0.25">
      <c r="B110" t="s">
        <v>2375</v>
      </c>
      <c r="C110" t="s">
        <v>2122</v>
      </c>
      <c r="D110" t="s">
        <v>2207</v>
      </c>
      <c r="E110" t="s">
        <v>2124</v>
      </c>
      <c r="F110" s="116" t="str">
        <f t="shared" si="4"/>
        <v>Included</v>
      </c>
      <c r="G110" t="str">
        <f>IF(B110="","",INDEX(SF_Output!$K$1:$K$400,MATCH(B110,SF_Output!$M$1:$M$400,0)))</f>
        <v>Card Processing Solutions (CPS)</v>
      </c>
      <c r="H110" cm="1">
        <f t="array" ref="H110">_xlfn.IFS(B110="","",(SUMIFS(SF_Output!$F$1:$F$400,SF_Output!$AC$1:$AC$400,_xlfn.TEXTJOIN(",",TRUE,B110:E110))+SUMIFS(SF_Output!$G$1:$G$400,SF_Output!$AC$1:$AC$400,_xlfn.TEXTJOIN(",",TRUE,B110:E110)))&lt;&gt;0,SF_Output!$Y$2,INDEX(SF_Output!$F$1:$F$400,MATCH(_xlfn.TEXTJOIN(",",TRUE,B110:E110),SF_Output!$AC$1:$AC$400,0))=0,INDEX(SF_Output!$R$1:$R$400,MATCH(_xlfn.TEXTJOIN(",",TRUE,B110:E110),SF_Output!$AC$1:$AC$400,0)))</f>
        <v>1</v>
      </c>
      <c r="I110" s="125" t="str">
        <f>IFERROR(IF(AND(H110&gt;1,H110&lt;&gt;""),ROUND(SUMIFS(SF_Output!$S$1:$S$400,SF_Output!$AC$1:$AC$400,_xlfn.TEXTJOIN(",",TRUE,B110:E110),SF_Output!$Q$1:$Q$400,"monthly")*(1-W110)/H110,4),""),"")</f>
        <v/>
      </c>
      <c r="J110" s="6">
        <f>IF(B110="","",SUMIFS(SF_Output!$S$1:$S$400,SF_Output!$AC$1:$AC$400,_xlfn.TEXTJOIN(",",TRUE,B110:E110),SF_Output!$Q$1:$Q$400,"One Time",SF_Output!$L$1:$L$400,"license fee")+SUMIFS(SF_Output!$S$1:$S$400,SF_Output!$AC$1:$AC$400,_xlfn.TEXTJOIN(",",TRUE,B110:E110),SF_Output!$Q$1:$Q$400,"One Time",SF_Output!$L$1:$L$400,"software license")+SUMIFS(SF_Output!$S$1:$S$400,SF_Output!$AC$1:$AC$400,_xlfn.TEXTJOIN(",",TRUE,B110:E110),SF_Output!$Q$1:$Q$400,"One Time",SF_Output!$L$1:$L$400,"hardware"))</f>
        <v>0</v>
      </c>
      <c r="K110" s="112" t="str">
        <f>IF(OR(B110=0,B110="",G110="hardware",J110=0),"",IF(AF110&lt;&gt;"exclusion",MAX(K$9,-((SUMIFS(SF_Output!$T$1:$T$400,SF_Output!$AC$1:$AC$400,_xlfn.TEXTJOIN(",",TRUE,$B110:$E110),SF_Output!$Q$1:$Q$400,"One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license"))/J110)),-((SUMIFS(SF_Output!$T$1:$T$400,SF_Output!$AC$1:$AC$400,_xlfn.TEXTJOIN(",",TRUE,$B110:$E110),SF_Output!$Q$1:$Q$400,"One Time",SF_Output!$L$1:$L$400,"license fee")+SUMIFS(SF_Output!$T$1:$T$400,SF_Output!$AC$1:$AC$400,_xlfn.TEXTJOIN(",",TRUE,$B110:$E110),SF_Output!$Q$1:$Q$400,"One Time",SF_Output!$L$1:$L$400,"software license"))/J110)))</f>
        <v/>
      </c>
      <c r="L110" s="6">
        <f t="shared" si="5"/>
        <v>0</v>
      </c>
      <c r="N110" s="6">
        <f>IF(B110="","",SUMIFS(SF_Output!$S$1:$S$400,SF_Output!$AC$1:$AC$400,_xlfn.TEXTJOIN(",",TRUE,B110:E110),SF_Output!$Q$1:$Q$400,"One Time",SF_Output!$L$1:$L$400,"professional service"))</f>
        <v>1900</v>
      </c>
      <c r="O110" s="112">
        <f>IF(OR(B110=0,B110="",N110=0),"",IF(AF110&lt;&gt;"exclusion",MAX(O$9,-(SUMIFS(SF_Output!$T$1:$T$400,SF_Output!$AC$1:$AC$400,_xlfn.TEXTJOIN(",",TRUE,$B110:$E110),SF_Output!$Q$1:$Q$400,"One Time",SF_Output!$L$1:$L$400,"professional service"))/N110),-((SUMIFS(SF_Output!$T$1:$T$400,SF_Output!$AC$1:$AC$400,_xlfn.TEXTJOIN(",",TRUE,$B110:$E110),SF_Output!$Q$1:$Q$400,"One Time",SF_Output!$L$1:$L$400,"professional service")/N110))))</f>
        <v>1</v>
      </c>
      <c r="P110" s="6">
        <f t="shared" si="6"/>
        <v>0</v>
      </c>
      <c r="R110" s="6">
        <f>IF(B110="","",SUMIFS(SF_Output!$S$1:$S$400,SF_Output!$AC$1:$AC$400,_xlfn.TEXTJOIN(",",TRUE,B110:E110),SF_Output!$Q$1:$Q$400,"yearly")+SUMIFS(SF_Output!$S$1:$S$400,SF_Output!$AC$1:$AC$400,_xlfn.TEXTJOIN(",",TRUE,B110:E110),SF_Output!$Q$1:$Q$400,"quarterly")*4)</f>
        <v>0</v>
      </c>
      <c r="S110" s="112" t="str">
        <f>IF(OR(B110=0,B110="",G110="hardware",R110=0),"",IF(AF110&lt;&gt;"exclusion",MAX(S$9,-(SUMIFS(SF_Output!$T$1:$T$400,SF_Output!$AC$1:$AC$400,_xlfn.TEXTJOIN(",",TRUE,$B110:$E110),SF_Output!$Q$1:$Q$400,"yearly"))/R110),-((SUMIFS(SF_Output!$T$1:$T$400,SF_Output!$AC$1:$AC$400,_xlfn.TEXTJOIN(",",TRUE,$B110:$E110),SF_Output!$Q$1:$Q$400,"yearly")/R110))))</f>
        <v/>
      </c>
      <c r="T110" s="6">
        <f t="shared" si="7"/>
        <v>0</v>
      </c>
      <c r="V110" s="6" cm="1">
        <f t="array" ref="V110">_xlfn.IFS(B110="","",AND(B110&lt;&gt;"",H110=SF_Output!$Y$2,SUMIFS(SF_Output!$T$1:$T$400,SF_Output!$AC$1:$AC$400,_xlfn.TEXTJOIN(",",TRUE,B110:E110),SF_Output!$Q$1:$Q$400,"monthly")=0),(SUMIFS(SF_Output!$F$1:$F$400,SF_Output!$AC$1:$AC$400,_xlfn.TEXTJOIN(",",TRUE,B110:E110),SF_Output!$Q$1:$Q$400,"monthly")+SUMIFS(SF_Output!$G$1:$G$400,SF_Output!$AC$1:$AC$400,_xlfn.TEXTJOIN(",",TRUE,B110:E110),SF_Output!$Q$1:$Q$400,"monthly"))*H110,AND(B110&lt;&gt;"",H110=SF_Output!$Y$2,SUMIFS(SF_Output!$T$1:$T$400,SF_Output!$AC$1:$AC$400,_xlfn.TEXTJOIN(",",TRUE,B110:E110),SF_Output!$Q$1:$Q$400,"monthly")&lt;&gt;0),SUMIFS(SF_Output!$S$1:$S$400,SF_Output!$AC$1:$AC$400,_xlfn.TEXTJOIN(",",TRUE,B110:E110),SF_Output!$Q$1:$Q$400,"monthly"),AND(B110&lt;&gt;"",H110&lt;&gt;SF_Output!$Y$2),SUMIFS(SF_Output!$S$1:$S$400,SF_Output!$AC$1:$AC$400,_xlfn.TEXTJOIN(",",TRUE,B110:E110),SF_Output!$Q$1:$Q$400,"monthly"))</f>
        <v>0</v>
      </c>
      <c r="W110" s="112" t="str" cm="1">
        <f t="array" ref="W110">_xlfn.IFS(OR(B110=0,B110="",V110=0),"",AF110&lt;&gt;"exclusion",MAX($W$9,$W$7,(-(SUMIFS(SF_Output!$T$1:$T$400,SF_Output!$AC$1:$AC$400,_xlfn.TEXTJOIN(",",TRUE,$B110:$E110),SF_Output!$Q$1:$Q$400,"monthly"))/V110)),AF110="exclusion",-(SUMIFS(SF_Output!$T$1:$T$400,SF_Output!$AC$1:$AC$400,_xlfn.TEXTJOIN(",",TRUE,$B110:$E110),SF_Output!$Q$1:$Q$400,"monthly"))/V110)</f>
        <v/>
      </c>
      <c r="X110" s="6" cm="1">
        <f t="array" ref="X110">IFERROR(_xlfn.IFS(V110=0,0,V110="","",W110=0,V110,OR(V110&lt;&gt;0,V110&lt;&gt;""),H110*I110),V110*(1-W110))</f>
        <v>0</v>
      </c>
    </row>
    <row r="111" spans="2:24" x14ac:dyDescent="0.25">
      <c r="B111" t="s">
        <v>2377</v>
      </c>
      <c r="C111" t="s">
        <v>2122</v>
      </c>
      <c r="D111" t="s">
        <v>2207</v>
      </c>
      <c r="E111" t="s">
        <v>2124</v>
      </c>
      <c r="F111" s="116" t="str">
        <f t="shared" si="4"/>
        <v>Included</v>
      </c>
      <c r="G111" t="str">
        <f>IF(B111="","",INDEX(SF_Output!$K$1:$K$400,MATCH(B111,SF_Output!$M$1:$M$400,0)))</f>
        <v>Card Processing Solutions (CPS)</v>
      </c>
      <c r="H111" cm="1">
        <f t="array" ref="H111">_xlfn.IFS(B111="","",(SUMIFS(SF_Output!$F$1:$F$400,SF_Output!$AC$1:$AC$400,_xlfn.TEXTJOIN(",",TRUE,B111:E111))+SUMIFS(SF_Output!$G$1:$G$400,SF_Output!$AC$1:$AC$400,_xlfn.TEXTJOIN(",",TRUE,B111:E111)))&lt;&gt;0,SF_Output!$Y$2,INDEX(SF_Output!$F$1:$F$400,MATCH(_xlfn.TEXTJOIN(",",TRUE,B111:E111),SF_Output!$AC$1:$AC$400,0))=0,INDEX(SF_Output!$R$1:$R$400,MATCH(_xlfn.TEXTJOIN(",",TRUE,B111:E111),SF_Output!$AC$1:$AC$400,0)))</f>
        <v>1</v>
      </c>
      <c r="I111" s="125" t="str">
        <f>IFERROR(IF(AND(H111&gt;1,H111&lt;&gt;""),ROUND(SUMIFS(SF_Output!$S$1:$S$400,SF_Output!$AC$1:$AC$400,_xlfn.TEXTJOIN(",",TRUE,B111:E111),SF_Output!$Q$1:$Q$400,"monthly")*(1-W111)/H111,4),""),"")</f>
        <v/>
      </c>
      <c r="J111" s="6">
        <f>IF(B111="","",SUMIFS(SF_Output!$S$1:$S$400,SF_Output!$AC$1:$AC$400,_xlfn.TEXTJOIN(",",TRUE,B111:E111),SF_Output!$Q$1:$Q$400,"One Time",SF_Output!$L$1:$L$400,"license fee")+SUMIFS(SF_Output!$S$1:$S$400,SF_Output!$AC$1:$AC$400,_xlfn.TEXTJOIN(",",TRUE,B111:E111),SF_Output!$Q$1:$Q$400,"One Time",SF_Output!$L$1:$L$400,"software license")+SUMIFS(SF_Output!$S$1:$S$400,SF_Output!$AC$1:$AC$400,_xlfn.TEXTJOIN(",",TRUE,B111:E111),SF_Output!$Q$1:$Q$400,"One Time",SF_Output!$L$1:$L$400,"hardware"))</f>
        <v>0</v>
      </c>
      <c r="K111" s="112" t="str">
        <f>IF(OR(B111=0,B111="",G111="hardware",J111=0),"",IF(AF111&lt;&gt;"exclusion",MAX(K$9,-((SUMIFS(SF_Output!$T$1:$T$400,SF_Output!$AC$1:$AC$400,_xlfn.TEXTJOIN(",",TRUE,$B111:$E111),SF_Output!$Q$1:$Q$400,"One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license"))/J111)),-((SUMIFS(SF_Output!$T$1:$T$400,SF_Output!$AC$1:$AC$400,_xlfn.TEXTJOIN(",",TRUE,$B111:$E111),SF_Output!$Q$1:$Q$400,"One Time",SF_Output!$L$1:$L$400,"license fee")+SUMIFS(SF_Output!$T$1:$T$400,SF_Output!$AC$1:$AC$400,_xlfn.TEXTJOIN(",",TRUE,$B111:$E111),SF_Output!$Q$1:$Q$400,"One Time",SF_Output!$L$1:$L$400,"software license"))/J111)))</f>
        <v/>
      </c>
      <c r="L111" s="6">
        <f t="shared" si="5"/>
        <v>0</v>
      </c>
      <c r="N111" s="6">
        <f>IF(B111="","",SUMIFS(SF_Output!$S$1:$S$400,SF_Output!$AC$1:$AC$400,_xlfn.TEXTJOIN(",",TRUE,B111:E111),SF_Output!$Q$1:$Q$400,"One Time",SF_Output!$L$1:$L$400,"professional service"))</f>
        <v>0</v>
      </c>
      <c r="O111" s="112" t="str">
        <f>IF(OR(B111=0,B111="",N111=0),"",IF(AF111&lt;&gt;"exclusion",MAX(O$9,-(SUMIFS(SF_Output!$T$1:$T$400,SF_Output!$AC$1:$AC$400,_xlfn.TEXTJOIN(",",TRUE,$B111:$E111),SF_Output!$Q$1:$Q$400,"One Time",SF_Output!$L$1:$L$400,"professional service"))/N111),-((SUMIFS(SF_Output!$T$1:$T$400,SF_Output!$AC$1:$AC$400,_xlfn.TEXTJOIN(",",TRUE,$B111:$E111),SF_Output!$Q$1:$Q$400,"One Time",SF_Output!$L$1:$L$400,"professional service")/N111))))</f>
        <v/>
      </c>
      <c r="P111" s="6">
        <f t="shared" si="6"/>
        <v>0</v>
      </c>
      <c r="R111" s="6">
        <f>IF(B111="","",SUMIFS(SF_Output!$S$1:$S$400,SF_Output!$AC$1:$AC$400,_xlfn.TEXTJOIN(",",TRUE,B111:E111),SF_Output!$Q$1:$Q$400,"yearly")+SUMIFS(SF_Output!$S$1:$S$400,SF_Output!$AC$1:$AC$400,_xlfn.TEXTJOIN(",",TRUE,B111:E111),SF_Output!$Q$1:$Q$400,"quarterly")*4)</f>
        <v>0</v>
      </c>
      <c r="S111" s="112" t="str">
        <f>IF(OR(B111=0,B111="",G111="hardware",R111=0),"",IF(AF111&lt;&gt;"exclusion",MAX(S$9,-(SUMIFS(SF_Output!$T$1:$T$400,SF_Output!$AC$1:$AC$400,_xlfn.TEXTJOIN(",",TRUE,$B111:$E111),SF_Output!$Q$1:$Q$400,"yearly"))/R111),-((SUMIFS(SF_Output!$T$1:$T$400,SF_Output!$AC$1:$AC$400,_xlfn.TEXTJOIN(",",TRUE,$B111:$E111),SF_Output!$Q$1:$Q$400,"yearly")/R111))))</f>
        <v/>
      </c>
      <c r="T111" s="6">
        <f t="shared" si="7"/>
        <v>0</v>
      </c>
      <c r="V111" s="6" cm="1">
        <f t="array" ref="V111">_xlfn.IFS(B111="","",AND(B111&lt;&gt;"",H111=SF_Output!$Y$2,SUMIFS(SF_Output!$T$1:$T$400,SF_Output!$AC$1:$AC$400,_xlfn.TEXTJOIN(",",TRUE,B111:E111),SF_Output!$Q$1:$Q$400,"monthly")=0),(SUMIFS(SF_Output!$F$1:$F$400,SF_Output!$AC$1:$AC$400,_xlfn.TEXTJOIN(",",TRUE,B111:E111),SF_Output!$Q$1:$Q$400,"monthly")+SUMIFS(SF_Output!$G$1:$G$400,SF_Output!$AC$1:$AC$400,_xlfn.TEXTJOIN(",",TRUE,B111:E111),SF_Output!$Q$1:$Q$400,"monthly"))*H111,AND(B111&lt;&gt;"",H111=SF_Output!$Y$2,SUMIFS(SF_Output!$T$1:$T$400,SF_Output!$AC$1:$AC$400,_xlfn.TEXTJOIN(",",TRUE,B111:E111),SF_Output!$Q$1:$Q$400,"monthly")&lt;&gt;0),SUMIFS(SF_Output!$S$1:$S$400,SF_Output!$AC$1:$AC$400,_xlfn.TEXTJOIN(",",TRUE,B111:E111),SF_Output!$Q$1:$Q$400,"monthly"),AND(B111&lt;&gt;"",H111&lt;&gt;SF_Output!$Y$2),SUMIFS(SF_Output!$S$1:$S$400,SF_Output!$AC$1:$AC$400,_xlfn.TEXTJOIN(",",TRUE,B111:E111),SF_Output!$Q$1:$Q$400,"monthly"))</f>
        <v>350</v>
      </c>
      <c r="W111" s="112" cm="1">
        <f t="array" ref="W111">_xlfn.IFS(OR(B111=0,B111="",V111=0),"",AF111&lt;&gt;"exclusion",MAX($W$9,$W$7,(-(SUMIFS(SF_Output!$T$1:$T$400,SF_Output!$AC$1:$AC$400,_xlfn.TEXTJOIN(",",TRUE,$B111:$E111),SF_Output!$Q$1:$Q$400,"monthly"))/V111)),AF111="exclusion",-(SUMIFS(SF_Output!$T$1:$T$400,SF_Output!$AC$1:$AC$400,_xlfn.TEXTJOIN(",",TRUE,$B111:$E111),SF_Output!$Q$1:$Q$400,"monthly"))/V111)</f>
        <v>0</v>
      </c>
      <c r="X111" s="6" cm="1">
        <f t="array" ref="X111">IFERROR(_xlfn.IFS(V111=0,0,V111="","",W111=0,V111,OR(V111&lt;&gt;0,V111&lt;&gt;""),H111*I111),V111*(1-W111))</f>
        <v>350</v>
      </c>
    </row>
    <row r="112" spans="2:24" x14ac:dyDescent="0.25">
      <c r="B112" t="s">
        <v>2379</v>
      </c>
      <c r="C112" t="s">
        <v>2122</v>
      </c>
      <c r="D112" t="s">
        <v>2207</v>
      </c>
      <c r="E112" t="s">
        <v>2124</v>
      </c>
      <c r="F112" s="116" t="str">
        <f t="shared" si="4"/>
        <v>Included</v>
      </c>
      <c r="G112" t="str">
        <f>IF(B112="","",INDEX(SF_Output!$K$1:$K$400,MATCH(B112,SF_Output!$M$1:$M$400,0)))</f>
        <v>Card Processing Solutions (CPS)</v>
      </c>
      <c r="H112" cm="1">
        <f t="array" ref="H112">_xlfn.IFS(B112="","",(SUMIFS(SF_Output!$F$1:$F$400,SF_Output!$AC$1:$AC$400,_xlfn.TEXTJOIN(",",TRUE,B112:E112))+SUMIFS(SF_Output!$G$1:$G$400,SF_Output!$AC$1:$AC$400,_xlfn.TEXTJOIN(",",TRUE,B112:E112)))&lt;&gt;0,SF_Output!$Y$2,INDEX(SF_Output!$F$1:$F$400,MATCH(_xlfn.TEXTJOIN(",",TRUE,B112:E112),SF_Output!$AC$1:$AC$400,0))=0,INDEX(SF_Output!$R$1:$R$400,MATCH(_xlfn.TEXTJOIN(",",TRUE,B112:E112),SF_Output!$AC$1:$AC$400,0)))</f>
        <v>1</v>
      </c>
      <c r="I112" s="125" t="str">
        <f>IFERROR(IF(AND(H112&gt;1,H112&lt;&gt;""),ROUND(SUMIFS(SF_Output!$S$1:$S$400,SF_Output!$AC$1:$AC$400,_xlfn.TEXTJOIN(",",TRUE,B112:E112),SF_Output!$Q$1:$Q$400,"monthly")*(1-W112)/H112,4),""),"")</f>
        <v/>
      </c>
      <c r="J112" s="6">
        <f>IF(B112="","",SUMIFS(SF_Output!$S$1:$S$400,SF_Output!$AC$1:$AC$400,_xlfn.TEXTJOIN(",",TRUE,B112:E112),SF_Output!$Q$1:$Q$400,"One Time",SF_Output!$L$1:$L$400,"license fee")+SUMIFS(SF_Output!$S$1:$S$400,SF_Output!$AC$1:$AC$400,_xlfn.TEXTJOIN(",",TRUE,B112:E112),SF_Output!$Q$1:$Q$400,"One Time",SF_Output!$L$1:$L$400,"software license")+SUMIFS(SF_Output!$S$1:$S$400,SF_Output!$AC$1:$AC$400,_xlfn.TEXTJOIN(",",TRUE,B112:E112),SF_Output!$Q$1:$Q$400,"One Time",SF_Output!$L$1:$L$400,"hardware"))</f>
        <v>0</v>
      </c>
      <c r="K112" s="112" t="str">
        <f>IF(OR(B112=0,B112="",G112="hardware",J112=0),"",IF(AF112&lt;&gt;"exclusion",MAX(K$9,-((SUMIFS(SF_Output!$T$1:$T$400,SF_Output!$AC$1:$AC$400,_xlfn.TEXTJOIN(",",TRUE,$B112:$E112),SF_Output!$Q$1:$Q$400,"One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license"))/J112)),-((SUMIFS(SF_Output!$T$1:$T$400,SF_Output!$AC$1:$AC$400,_xlfn.TEXTJOIN(",",TRUE,$B112:$E112),SF_Output!$Q$1:$Q$400,"One Time",SF_Output!$L$1:$L$400,"license fee")+SUMIFS(SF_Output!$T$1:$T$400,SF_Output!$AC$1:$AC$400,_xlfn.TEXTJOIN(",",TRUE,$B112:$E112),SF_Output!$Q$1:$Q$400,"One Time",SF_Output!$L$1:$L$400,"software license"))/J112)))</f>
        <v/>
      </c>
      <c r="L112" s="6">
        <f t="shared" si="5"/>
        <v>0</v>
      </c>
      <c r="N112" s="6">
        <f>IF(B112="","",SUMIFS(SF_Output!$S$1:$S$400,SF_Output!$AC$1:$AC$400,_xlfn.TEXTJOIN(",",TRUE,B112:E112),SF_Output!$Q$1:$Q$400,"One Time",SF_Output!$L$1:$L$400,"professional service"))</f>
        <v>1500</v>
      </c>
      <c r="O112" s="112">
        <f>IF(OR(B112=0,B112="",N112=0),"",IF(AF112&lt;&gt;"exclusion",MAX(O$9,-(SUMIFS(SF_Output!$T$1:$T$400,SF_Output!$AC$1:$AC$400,_xlfn.TEXTJOIN(",",TRUE,$B112:$E112),SF_Output!$Q$1:$Q$400,"One Time",SF_Output!$L$1:$L$400,"professional service"))/N112),-((SUMIFS(SF_Output!$T$1:$T$400,SF_Output!$AC$1:$AC$400,_xlfn.TEXTJOIN(",",TRUE,$B112:$E112),SF_Output!$Q$1:$Q$400,"One Time",SF_Output!$L$1:$L$400,"professional service")/N112))))</f>
        <v>1</v>
      </c>
      <c r="P112" s="6">
        <f t="shared" si="6"/>
        <v>0</v>
      </c>
      <c r="R112" s="6">
        <f>IF(B112="","",SUMIFS(SF_Output!$S$1:$S$400,SF_Output!$AC$1:$AC$400,_xlfn.TEXTJOIN(",",TRUE,B112:E112),SF_Output!$Q$1:$Q$400,"yearly")+SUMIFS(SF_Output!$S$1:$S$400,SF_Output!$AC$1:$AC$400,_xlfn.TEXTJOIN(",",TRUE,B112:E112),SF_Output!$Q$1:$Q$400,"quarterly")*4)</f>
        <v>0</v>
      </c>
      <c r="S112" s="112" t="str">
        <f>IF(OR(B112=0,B112="",G112="hardware",R112=0),"",IF(AF112&lt;&gt;"exclusion",MAX(S$9,-(SUMIFS(SF_Output!$T$1:$T$400,SF_Output!$AC$1:$AC$400,_xlfn.TEXTJOIN(",",TRUE,$B112:$E112),SF_Output!$Q$1:$Q$400,"yearly"))/R112),-((SUMIFS(SF_Output!$T$1:$T$400,SF_Output!$AC$1:$AC$400,_xlfn.TEXTJOIN(",",TRUE,$B112:$E112),SF_Output!$Q$1:$Q$400,"yearly")/R112))))</f>
        <v/>
      </c>
      <c r="T112" s="6">
        <f t="shared" si="7"/>
        <v>0</v>
      </c>
      <c r="V112" s="6" cm="1">
        <f t="array" ref="V112">_xlfn.IFS(B112="","",AND(B112&lt;&gt;"",H112=SF_Output!$Y$2,SUMIFS(SF_Output!$T$1:$T$400,SF_Output!$AC$1:$AC$400,_xlfn.TEXTJOIN(",",TRUE,B112:E112),SF_Output!$Q$1:$Q$400,"monthly")=0),(SUMIFS(SF_Output!$F$1:$F$400,SF_Output!$AC$1:$AC$400,_xlfn.TEXTJOIN(",",TRUE,B112:E112),SF_Output!$Q$1:$Q$400,"monthly")+SUMIFS(SF_Output!$G$1:$G$400,SF_Output!$AC$1:$AC$400,_xlfn.TEXTJOIN(",",TRUE,B112:E112),SF_Output!$Q$1:$Q$400,"monthly"))*H112,AND(B112&lt;&gt;"",H112=SF_Output!$Y$2,SUMIFS(SF_Output!$T$1:$T$400,SF_Output!$AC$1:$AC$400,_xlfn.TEXTJOIN(",",TRUE,B112:E112),SF_Output!$Q$1:$Q$400,"monthly")&lt;&gt;0),SUMIFS(SF_Output!$S$1:$S$400,SF_Output!$AC$1:$AC$400,_xlfn.TEXTJOIN(",",TRUE,B112:E112),SF_Output!$Q$1:$Q$400,"monthly"),AND(B112&lt;&gt;"",H112&lt;&gt;SF_Output!$Y$2),SUMIFS(SF_Output!$S$1:$S$400,SF_Output!$AC$1:$AC$400,_xlfn.TEXTJOIN(",",TRUE,B112:E112),SF_Output!$Q$1:$Q$400,"monthly"))</f>
        <v>350</v>
      </c>
      <c r="W112" s="112" cm="1">
        <f t="array" ref="W112">_xlfn.IFS(OR(B112=0,B112="",V112=0),"",AF112&lt;&gt;"exclusion",MAX($W$9,$W$7,(-(SUMIFS(SF_Output!$T$1:$T$400,SF_Output!$AC$1:$AC$400,_xlfn.TEXTJOIN(",",TRUE,$B112:$E112),SF_Output!$Q$1:$Q$400,"monthly"))/V112)),AF112="exclusion",-(SUMIFS(SF_Output!$T$1:$T$400,SF_Output!$AC$1:$AC$400,_xlfn.TEXTJOIN(",",TRUE,$B112:$E112),SF_Output!$Q$1:$Q$400,"monthly"))/V112)</f>
        <v>0</v>
      </c>
      <c r="X112" s="6" cm="1">
        <f t="array" ref="X112">IFERROR(_xlfn.IFS(V112=0,0,V112="","",W112=0,V112,OR(V112&lt;&gt;0,V112&lt;&gt;""),H112*I112),V112*(1-W112))</f>
        <v>350</v>
      </c>
    </row>
    <row r="113" spans="2:24" x14ac:dyDescent="0.25">
      <c r="B113" t="s">
        <v>2382</v>
      </c>
      <c r="C113" t="s">
        <v>2122</v>
      </c>
      <c r="D113" t="s">
        <v>2207</v>
      </c>
      <c r="E113" t="s">
        <v>2124</v>
      </c>
      <c r="F113" s="116" t="str">
        <f t="shared" si="4"/>
        <v>Included</v>
      </c>
      <c r="G113" t="str">
        <f>IF(B113="","",INDEX(SF_Output!$K$1:$K$400,MATCH(B113,SF_Output!$M$1:$M$400,0)))</f>
        <v>Card Processing Solutions (CPS)</v>
      </c>
      <c r="H113" cm="1">
        <f t="array" ref="H113">_xlfn.IFS(B113="","",(SUMIFS(SF_Output!$F$1:$F$400,SF_Output!$AC$1:$AC$400,_xlfn.TEXTJOIN(",",TRUE,B113:E113))+SUMIFS(SF_Output!$G$1:$G$400,SF_Output!$AC$1:$AC$400,_xlfn.TEXTJOIN(",",TRUE,B113:E113)))&lt;&gt;0,SF_Output!$Y$2,INDEX(SF_Output!$F$1:$F$400,MATCH(_xlfn.TEXTJOIN(",",TRUE,B113:E113),SF_Output!$AC$1:$AC$400,0))=0,INDEX(SF_Output!$R$1:$R$400,MATCH(_xlfn.TEXTJOIN(",",TRUE,B113:E113),SF_Output!$AC$1:$AC$400,0)))</f>
        <v>1</v>
      </c>
      <c r="I113" s="125" t="str">
        <f>IFERROR(IF(AND(H113&gt;1,H113&lt;&gt;""),ROUND(SUMIFS(SF_Output!$S$1:$S$400,SF_Output!$AC$1:$AC$400,_xlfn.TEXTJOIN(",",TRUE,B113:E113),SF_Output!$Q$1:$Q$400,"monthly")*(1-W113)/H113,4),""),"")</f>
        <v/>
      </c>
      <c r="J113" s="6">
        <f>IF(B113="","",SUMIFS(SF_Output!$S$1:$S$400,SF_Output!$AC$1:$AC$400,_xlfn.TEXTJOIN(",",TRUE,B113:E113),SF_Output!$Q$1:$Q$400,"One Time",SF_Output!$L$1:$L$400,"license fee")+SUMIFS(SF_Output!$S$1:$S$400,SF_Output!$AC$1:$AC$400,_xlfn.TEXTJOIN(",",TRUE,B113:E113),SF_Output!$Q$1:$Q$400,"One Time",SF_Output!$L$1:$L$400,"software license")+SUMIFS(SF_Output!$S$1:$S$400,SF_Output!$AC$1:$AC$400,_xlfn.TEXTJOIN(",",TRUE,B113:E113),SF_Output!$Q$1:$Q$400,"One Time",SF_Output!$L$1:$L$400,"hardware"))</f>
        <v>0</v>
      </c>
      <c r="K113" s="112" t="str">
        <f>IF(OR(B113=0,B113="",G113="hardware",J113=0),"",IF(AF113&lt;&gt;"exclusion",MAX(K$9,-((SUMIFS(SF_Output!$T$1:$T$400,SF_Output!$AC$1:$AC$400,_xlfn.TEXTJOIN(",",TRUE,$B113:$E113),SF_Output!$Q$1:$Q$400,"One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license"))/J113)),-((SUMIFS(SF_Output!$T$1:$T$400,SF_Output!$AC$1:$AC$400,_xlfn.TEXTJOIN(",",TRUE,$B113:$E113),SF_Output!$Q$1:$Q$400,"One Time",SF_Output!$L$1:$L$400,"license fee")+SUMIFS(SF_Output!$T$1:$T$400,SF_Output!$AC$1:$AC$400,_xlfn.TEXTJOIN(",",TRUE,$B113:$E113),SF_Output!$Q$1:$Q$400,"One Time",SF_Output!$L$1:$L$400,"software license"))/J113)))</f>
        <v/>
      </c>
      <c r="L113" s="6">
        <f t="shared" si="5"/>
        <v>0</v>
      </c>
      <c r="N113" s="6">
        <f>IF(B113="","",SUMIFS(SF_Output!$S$1:$S$400,SF_Output!$AC$1:$AC$400,_xlfn.TEXTJOIN(",",TRUE,B113:E113),SF_Output!$Q$1:$Q$400,"One Time",SF_Output!$L$1:$L$400,"professional service"))</f>
        <v>0</v>
      </c>
      <c r="O113" s="112" t="str">
        <f>IF(OR(B113=0,B113="",N113=0),"",IF(AF113&lt;&gt;"exclusion",MAX(O$9,-(SUMIFS(SF_Output!$T$1:$T$400,SF_Output!$AC$1:$AC$400,_xlfn.TEXTJOIN(",",TRUE,$B113:$E113),SF_Output!$Q$1:$Q$400,"One Time",SF_Output!$L$1:$L$400,"professional service"))/N113),-((SUMIFS(SF_Output!$T$1:$T$400,SF_Output!$AC$1:$AC$400,_xlfn.TEXTJOIN(",",TRUE,$B113:$E113),SF_Output!$Q$1:$Q$400,"One Time",SF_Output!$L$1:$L$400,"professional service")/N113))))</f>
        <v/>
      </c>
      <c r="P113" s="6">
        <f t="shared" si="6"/>
        <v>0</v>
      </c>
      <c r="R113" s="6">
        <f>IF(B113="","",SUMIFS(SF_Output!$S$1:$S$400,SF_Output!$AC$1:$AC$400,_xlfn.TEXTJOIN(",",TRUE,B113:E113),SF_Output!$Q$1:$Q$400,"yearly")+SUMIFS(SF_Output!$S$1:$S$400,SF_Output!$AC$1:$AC$400,_xlfn.TEXTJOIN(",",TRUE,B113:E113),SF_Output!$Q$1:$Q$400,"quarterly")*4)</f>
        <v>0</v>
      </c>
      <c r="S113" s="112" t="str">
        <f>IF(OR(B113=0,B113="",G113="hardware",R113=0),"",IF(AF113&lt;&gt;"exclusion",MAX(S$9,-(SUMIFS(SF_Output!$T$1:$T$400,SF_Output!$AC$1:$AC$400,_xlfn.TEXTJOIN(",",TRUE,$B113:$E113),SF_Output!$Q$1:$Q$400,"yearly"))/R113),-((SUMIFS(SF_Output!$T$1:$T$400,SF_Output!$AC$1:$AC$400,_xlfn.TEXTJOIN(",",TRUE,$B113:$E113),SF_Output!$Q$1:$Q$400,"yearly")/R113))))</f>
        <v/>
      </c>
      <c r="T113" s="6">
        <f t="shared" si="7"/>
        <v>0</v>
      </c>
      <c r="V113" s="6" cm="1">
        <f t="array" ref="V113">_xlfn.IFS(B113="","",AND(B113&lt;&gt;"",H113=SF_Output!$Y$2,SUMIFS(SF_Output!$T$1:$T$400,SF_Output!$AC$1:$AC$400,_xlfn.TEXTJOIN(",",TRUE,B113:E113),SF_Output!$Q$1:$Q$400,"monthly")=0),(SUMIFS(SF_Output!$F$1:$F$400,SF_Output!$AC$1:$AC$400,_xlfn.TEXTJOIN(",",TRUE,B113:E113),SF_Output!$Q$1:$Q$400,"monthly")+SUMIFS(SF_Output!$G$1:$G$400,SF_Output!$AC$1:$AC$400,_xlfn.TEXTJOIN(",",TRUE,B113:E113),SF_Output!$Q$1:$Q$400,"monthly"))*H113,AND(B113&lt;&gt;"",H113=SF_Output!$Y$2,SUMIFS(SF_Output!$T$1:$T$400,SF_Output!$AC$1:$AC$400,_xlfn.TEXTJOIN(",",TRUE,B113:E113),SF_Output!$Q$1:$Q$400,"monthly")&lt;&gt;0),SUMIFS(SF_Output!$S$1:$S$400,SF_Output!$AC$1:$AC$400,_xlfn.TEXTJOIN(",",TRUE,B113:E113),SF_Output!$Q$1:$Q$400,"monthly"),AND(B113&lt;&gt;"",H113&lt;&gt;SF_Output!$Y$2),SUMIFS(SF_Output!$S$1:$S$400,SF_Output!$AC$1:$AC$400,_xlfn.TEXTJOIN(",",TRUE,B113:E113),SF_Output!$Q$1:$Q$400,"monthly"))</f>
        <v>150</v>
      </c>
      <c r="W113" s="112" cm="1">
        <f t="array" ref="W113">_xlfn.IFS(OR(B113=0,B113="",V113=0),"",AF113&lt;&gt;"exclusion",MAX($W$9,$W$7,(-(SUMIFS(SF_Output!$T$1:$T$400,SF_Output!$AC$1:$AC$400,_xlfn.TEXTJOIN(",",TRUE,$B113:$E113),SF_Output!$Q$1:$Q$400,"monthly"))/V113)),AF113="exclusion",-(SUMIFS(SF_Output!$T$1:$T$400,SF_Output!$AC$1:$AC$400,_xlfn.TEXTJOIN(",",TRUE,$B113:$E113),SF_Output!$Q$1:$Q$400,"monthly"))/V113)</f>
        <v>0</v>
      </c>
      <c r="X113" s="6" cm="1">
        <f t="array" ref="X113">IFERROR(_xlfn.IFS(V113=0,0,V113="","",W113=0,V113,OR(V113&lt;&gt;0,V113&lt;&gt;""),H113*I113),V113*(1-W113))</f>
        <v>150</v>
      </c>
    </row>
    <row r="114" spans="2:24" x14ac:dyDescent="0.25">
      <c r="B114" t="s">
        <v>2384</v>
      </c>
      <c r="C114" t="s">
        <v>2122</v>
      </c>
      <c r="D114" t="s">
        <v>2207</v>
      </c>
      <c r="E114" t="s">
        <v>2124</v>
      </c>
      <c r="F114" s="116" t="str">
        <f t="shared" si="4"/>
        <v>Included</v>
      </c>
      <c r="G114" t="str">
        <f>IF(B114="","",INDEX(SF_Output!$K$1:$K$400,MATCH(B114,SF_Output!$M$1:$M$400,0)))</f>
        <v>Card Processing Solutions (CPS)</v>
      </c>
      <c r="H114" cm="1">
        <f t="array" ref="H114">_xlfn.IFS(B114="","",(SUMIFS(SF_Output!$F$1:$F$400,SF_Output!$AC$1:$AC$400,_xlfn.TEXTJOIN(",",TRUE,B114:E114))+SUMIFS(SF_Output!$G$1:$G$400,SF_Output!$AC$1:$AC$400,_xlfn.TEXTJOIN(",",TRUE,B114:E114)))&lt;&gt;0,SF_Output!$Y$2,INDEX(SF_Output!$F$1:$F$400,MATCH(_xlfn.TEXTJOIN(",",TRUE,B114:E114),SF_Output!$AC$1:$AC$400,0))=0,INDEX(SF_Output!$R$1:$R$400,MATCH(_xlfn.TEXTJOIN(",",TRUE,B114:E114),SF_Output!$AC$1:$AC$400,0)))</f>
        <v>0</v>
      </c>
      <c r="I114" s="125" t="str">
        <f>IFERROR(IF(AND(H114&gt;1,H114&lt;&gt;""),ROUND(SUMIFS(SF_Output!$S$1:$S$400,SF_Output!$AC$1:$AC$400,_xlfn.TEXTJOIN(",",TRUE,B114:E114),SF_Output!$Q$1:$Q$400,"monthly")*(1-W114)/H114,4),""),"")</f>
        <v/>
      </c>
      <c r="J114" s="6">
        <f>IF(B114="","",SUMIFS(SF_Output!$S$1:$S$400,SF_Output!$AC$1:$AC$400,_xlfn.TEXTJOIN(",",TRUE,B114:E114),SF_Output!$Q$1:$Q$400,"One Time",SF_Output!$L$1:$L$400,"license fee")+SUMIFS(SF_Output!$S$1:$S$400,SF_Output!$AC$1:$AC$400,_xlfn.TEXTJOIN(",",TRUE,B114:E114),SF_Output!$Q$1:$Q$400,"One Time",SF_Output!$L$1:$L$400,"software license")+SUMIFS(SF_Output!$S$1:$S$400,SF_Output!$AC$1:$AC$400,_xlfn.TEXTJOIN(",",TRUE,B114:E114),SF_Output!$Q$1:$Q$400,"One Time",SF_Output!$L$1:$L$400,"hardware"))</f>
        <v>0</v>
      </c>
      <c r="K114" s="112" t="str">
        <f>IF(OR(B114=0,B114="",G114="hardware",J114=0),"",IF(AF114&lt;&gt;"exclusion",MAX(K$9,-((SUMIFS(SF_Output!$T$1:$T$400,SF_Output!$AC$1:$AC$400,_xlfn.TEXTJOIN(",",TRUE,$B114:$E114),SF_Output!$Q$1:$Q$400,"One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license"))/J114)),-((SUMIFS(SF_Output!$T$1:$T$400,SF_Output!$AC$1:$AC$400,_xlfn.TEXTJOIN(",",TRUE,$B114:$E114),SF_Output!$Q$1:$Q$400,"One Time",SF_Output!$L$1:$L$400,"license fee")+SUMIFS(SF_Output!$T$1:$T$400,SF_Output!$AC$1:$AC$400,_xlfn.TEXTJOIN(",",TRUE,$B114:$E114),SF_Output!$Q$1:$Q$400,"One Time",SF_Output!$L$1:$L$400,"software license"))/J114)))</f>
        <v/>
      </c>
      <c r="L114" s="6">
        <f t="shared" si="5"/>
        <v>0</v>
      </c>
      <c r="N114" s="6">
        <f>IF(B114="","",SUMIFS(SF_Output!$S$1:$S$400,SF_Output!$AC$1:$AC$400,_xlfn.TEXTJOIN(",",TRUE,B114:E114),SF_Output!$Q$1:$Q$400,"One Time",SF_Output!$L$1:$L$400,"professional service"))</f>
        <v>0</v>
      </c>
      <c r="O114" s="112" t="str">
        <f>IF(OR(B114=0,B114="",N114=0),"",IF(AF114&lt;&gt;"exclusion",MAX(O$9,-(SUMIFS(SF_Output!$T$1:$T$400,SF_Output!$AC$1:$AC$400,_xlfn.TEXTJOIN(",",TRUE,$B114:$E114),SF_Output!$Q$1:$Q$400,"One Time",SF_Output!$L$1:$L$400,"professional service"))/N114),-((SUMIFS(SF_Output!$T$1:$T$400,SF_Output!$AC$1:$AC$400,_xlfn.TEXTJOIN(",",TRUE,$B114:$E114),SF_Output!$Q$1:$Q$400,"One Time",SF_Output!$L$1:$L$400,"professional service")/N114))))</f>
        <v/>
      </c>
      <c r="P114" s="6">
        <f t="shared" si="6"/>
        <v>0</v>
      </c>
      <c r="R114" s="6">
        <f>IF(B114="","",SUMIFS(SF_Output!$S$1:$S$400,SF_Output!$AC$1:$AC$400,_xlfn.TEXTJOIN(",",TRUE,B114:E114),SF_Output!$Q$1:$Q$400,"yearly")+SUMIFS(SF_Output!$S$1:$S$400,SF_Output!$AC$1:$AC$400,_xlfn.TEXTJOIN(",",TRUE,B114:E114),SF_Output!$Q$1:$Q$400,"quarterly")*4)</f>
        <v>0</v>
      </c>
      <c r="S114" s="112" t="str">
        <f>IF(OR(B114=0,B114="",G114="hardware",R114=0),"",IF(AF114&lt;&gt;"exclusion",MAX(S$9,-(SUMIFS(SF_Output!$T$1:$T$400,SF_Output!$AC$1:$AC$400,_xlfn.TEXTJOIN(",",TRUE,$B114:$E114),SF_Output!$Q$1:$Q$400,"yearly"))/R114),-((SUMIFS(SF_Output!$T$1:$T$400,SF_Output!$AC$1:$AC$400,_xlfn.TEXTJOIN(",",TRUE,$B114:$E114),SF_Output!$Q$1:$Q$400,"yearly")/R114))))</f>
        <v/>
      </c>
      <c r="T114" s="6">
        <f t="shared" si="7"/>
        <v>0</v>
      </c>
      <c r="V114" s="6" cm="1">
        <f t="array" ref="V114">_xlfn.IFS(B114="","",AND(B114&lt;&gt;"",H114=SF_Output!$Y$2,SUMIFS(SF_Output!$T$1:$T$400,SF_Output!$AC$1:$AC$400,_xlfn.TEXTJOIN(",",TRUE,B114:E114),SF_Output!$Q$1:$Q$400,"monthly")=0),(SUMIFS(SF_Output!$F$1:$F$400,SF_Output!$AC$1:$AC$400,_xlfn.TEXTJOIN(",",TRUE,B114:E114),SF_Output!$Q$1:$Q$400,"monthly")+SUMIFS(SF_Output!$G$1:$G$400,SF_Output!$AC$1:$AC$400,_xlfn.TEXTJOIN(",",TRUE,B114:E114),SF_Output!$Q$1:$Q$400,"monthly"))*H114,AND(B114&lt;&gt;"",H114=SF_Output!$Y$2,SUMIFS(SF_Output!$T$1:$T$400,SF_Output!$AC$1:$AC$400,_xlfn.TEXTJOIN(",",TRUE,B114:E114),SF_Output!$Q$1:$Q$400,"monthly")&lt;&gt;0),SUMIFS(SF_Output!$S$1:$S$400,SF_Output!$AC$1:$AC$400,_xlfn.TEXTJOIN(",",TRUE,B114:E114),SF_Output!$Q$1:$Q$400,"monthly"),AND(B114&lt;&gt;"",H114&lt;&gt;SF_Output!$Y$2),SUMIFS(SF_Output!$S$1:$S$400,SF_Output!$AC$1:$AC$400,_xlfn.TEXTJOIN(",",TRUE,B114:E114),SF_Output!$Q$1:$Q$400,"monthly"))</f>
        <v>0</v>
      </c>
      <c r="W114" s="112" t="str" cm="1">
        <f t="array" ref="W114">_xlfn.IFS(OR(B114=0,B114="",V114=0),"",AF114&lt;&gt;"exclusion",MAX($W$9,$W$7,(-(SUMIFS(SF_Output!$T$1:$T$400,SF_Output!$AC$1:$AC$400,_xlfn.TEXTJOIN(",",TRUE,$B114:$E114),SF_Output!$Q$1:$Q$400,"monthly"))/V114)),AF114="exclusion",-(SUMIFS(SF_Output!$T$1:$T$400,SF_Output!$AC$1:$AC$400,_xlfn.TEXTJOIN(",",TRUE,$B114:$E114),SF_Output!$Q$1:$Q$400,"monthly"))/V114)</f>
        <v/>
      </c>
      <c r="X114" s="6" cm="1">
        <f t="array" ref="X114">IFERROR(_xlfn.IFS(V114=0,0,V114="","",W114=0,V114,OR(V114&lt;&gt;0,V114&lt;&gt;""),H114*I114),V114*(1-W114))</f>
        <v>0</v>
      </c>
    </row>
    <row r="115" spans="2:24" x14ac:dyDescent="0.25">
      <c r="B115" t="s">
        <v>2386</v>
      </c>
      <c r="C115" t="s">
        <v>2122</v>
      </c>
      <c r="D115" t="s">
        <v>2207</v>
      </c>
      <c r="E115" t="s">
        <v>2124</v>
      </c>
      <c r="F115" s="116" t="str">
        <f t="shared" si="4"/>
        <v>Included</v>
      </c>
      <c r="G115" t="str">
        <f>IF(B115="","",INDEX(SF_Output!$K$1:$K$400,MATCH(B115,SF_Output!$M$1:$M$400,0)))</f>
        <v>Card Processing Solutions (CPS)</v>
      </c>
      <c r="H115" cm="1">
        <f t="array" ref="H115">_xlfn.IFS(B115="","",(SUMIFS(SF_Output!$F$1:$F$400,SF_Output!$AC$1:$AC$400,_xlfn.TEXTJOIN(",",TRUE,B115:E115))+SUMIFS(SF_Output!$G$1:$G$400,SF_Output!$AC$1:$AC$400,_xlfn.TEXTJOIN(",",TRUE,B115:E115)))&lt;&gt;0,SF_Output!$Y$2,INDEX(SF_Output!$F$1:$F$400,MATCH(_xlfn.TEXTJOIN(",",TRUE,B115:E115),SF_Output!$AC$1:$AC$400,0))=0,INDEX(SF_Output!$R$1:$R$400,MATCH(_xlfn.TEXTJOIN(",",TRUE,B115:E115),SF_Output!$AC$1:$AC$400,0)))</f>
        <v>1</v>
      </c>
      <c r="I115" s="125" t="str">
        <f>IFERROR(IF(AND(H115&gt;1,H115&lt;&gt;""),ROUND(SUMIFS(SF_Output!$S$1:$S$400,SF_Output!$AC$1:$AC$400,_xlfn.TEXTJOIN(",",TRUE,B115:E115),SF_Output!$Q$1:$Q$400,"monthly")*(1-W115)/H115,4),""),"")</f>
        <v/>
      </c>
      <c r="J115" s="6">
        <f>IF(B115="","",SUMIFS(SF_Output!$S$1:$S$400,SF_Output!$AC$1:$AC$400,_xlfn.TEXTJOIN(",",TRUE,B115:E115),SF_Output!$Q$1:$Q$400,"One Time",SF_Output!$L$1:$L$400,"license fee")+SUMIFS(SF_Output!$S$1:$S$400,SF_Output!$AC$1:$AC$400,_xlfn.TEXTJOIN(",",TRUE,B115:E115),SF_Output!$Q$1:$Q$400,"One Time",SF_Output!$L$1:$L$400,"software license")+SUMIFS(SF_Output!$S$1:$S$400,SF_Output!$AC$1:$AC$400,_xlfn.TEXTJOIN(",",TRUE,B115:E115),SF_Output!$Q$1:$Q$400,"One Time",SF_Output!$L$1:$L$400,"hardware"))</f>
        <v>0</v>
      </c>
      <c r="K115" s="112" t="str">
        <f>IF(OR(B115=0,B115="",G115="hardware",J115=0),"",IF(AF115&lt;&gt;"exclusion",MAX(K$9,-((SUMIFS(SF_Output!$T$1:$T$400,SF_Output!$AC$1:$AC$400,_xlfn.TEXTJOIN(",",TRUE,$B115:$E115),SF_Output!$Q$1:$Q$400,"One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license"))/J115)),-((SUMIFS(SF_Output!$T$1:$T$400,SF_Output!$AC$1:$AC$400,_xlfn.TEXTJOIN(",",TRUE,$B115:$E115),SF_Output!$Q$1:$Q$400,"One Time",SF_Output!$L$1:$L$400,"license fee")+SUMIFS(SF_Output!$T$1:$T$400,SF_Output!$AC$1:$AC$400,_xlfn.TEXTJOIN(",",TRUE,$B115:$E115),SF_Output!$Q$1:$Q$400,"One Time",SF_Output!$L$1:$L$400,"software license"))/J115)))</f>
        <v/>
      </c>
      <c r="L115" s="6">
        <f t="shared" si="5"/>
        <v>0</v>
      </c>
      <c r="N115" s="6">
        <f>IF(B115="","",SUMIFS(SF_Output!$S$1:$S$400,SF_Output!$AC$1:$AC$400,_xlfn.TEXTJOIN(",",TRUE,B115:E115),SF_Output!$Q$1:$Q$400,"One Time",SF_Output!$L$1:$L$400,"professional service"))</f>
        <v>3000</v>
      </c>
      <c r="O115" s="112">
        <f>IF(OR(B115=0,B115="",N115=0),"",IF(AF115&lt;&gt;"exclusion",MAX(O$9,-(SUMIFS(SF_Output!$T$1:$T$400,SF_Output!$AC$1:$AC$400,_xlfn.TEXTJOIN(",",TRUE,$B115:$E115),SF_Output!$Q$1:$Q$400,"One Time",SF_Output!$L$1:$L$400,"professional service"))/N115),-((SUMIFS(SF_Output!$T$1:$T$400,SF_Output!$AC$1:$AC$400,_xlfn.TEXTJOIN(",",TRUE,$B115:$E115),SF_Output!$Q$1:$Q$400,"One Time",SF_Output!$L$1:$L$400,"professional service")/N115))))</f>
        <v>1</v>
      </c>
      <c r="P115" s="6">
        <f t="shared" si="6"/>
        <v>0</v>
      </c>
      <c r="R115" s="6">
        <f>IF(B115="","",SUMIFS(SF_Output!$S$1:$S$400,SF_Output!$AC$1:$AC$400,_xlfn.TEXTJOIN(",",TRUE,B115:E115),SF_Output!$Q$1:$Q$400,"yearly")+SUMIFS(SF_Output!$S$1:$S$400,SF_Output!$AC$1:$AC$400,_xlfn.TEXTJOIN(",",TRUE,B115:E115),SF_Output!$Q$1:$Q$400,"quarterly")*4)</f>
        <v>0</v>
      </c>
      <c r="S115" s="112" t="str">
        <f>IF(OR(B115=0,B115="",G115="hardware",R115=0),"",IF(AF115&lt;&gt;"exclusion",MAX(S$9,-(SUMIFS(SF_Output!$T$1:$T$400,SF_Output!$AC$1:$AC$400,_xlfn.TEXTJOIN(",",TRUE,$B115:$E115),SF_Output!$Q$1:$Q$400,"yearly"))/R115),-((SUMIFS(SF_Output!$T$1:$T$400,SF_Output!$AC$1:$AC$400,_xlfn.TEXTJOIN(",",TRUE,$B115:$E115),SF_Output!$Q$1:$Q$400,"yearly")/R115))))</f>
        <v/>
      </c>
      <c r="T115" s="6">
        <f t="shared" si="7"/>
        <v>0</v>
      </c>
      <c r="V115" s="6" cm="1">
        <f t="array" ref="V115">_xlfn.IFS(B115="","",AND(B115&lt;&gt;"",H115=SF_Output!$Y$2,SUMIFS(SF_Output!$T$1:$T$400,SF_Output!$AC$1:$AC$400,_xlfn.TEXTJOIN(",",TRUE,B115:E115),SF_Output!$Q$1:$Q$400,"monthly")=0),(SUMIFS(SF_Output!$F$1:$F$400,SF_Output!$AC$1:$AC$400,_xlfn.TEXTJOIN(",",TRUE,B115:E115),SF_Output!$Q$1:$Q$400,"monthly")+SUMIFS(SF_Output!$G$1:$G$400,SF_Output!$AC$1:$AC$400,_xlfn.TEXTJOIN(",",TRUE,B115:E115),SF_Output!$Q$1:$Q$400,"monthly"))*H115,AND(B115&lt;&gt;"",H115=SF_Output!$Y$2,SUMIFS(SF_Output!$T$1:$T$400,SF_Output!$AC$1:$AC$400,_xlfn.TEXTJOIN(",",TRUE,B115:E115),SF_Output!$Q$1:$Q$400,"monthly")&lt;&gt;0),SUMIFS(SF_Output!$S$1:$S$400,SF_Output!$AC$1:$AC$400,_xlfn.TEXTJOIN(",",TRUE,B115:E115),SF_Output!$Q$1:$Q$400,"monthly"),AND(B115&lt;&gt;"",H115&lt;&gt;SF_Output!$Y$2),SUMIFS(SF_Output!$S$1:$S$400,SF_Output!$AC$1:$AC$400,_xlfn.TEXTJOIN(",",TRUE,B115:E115),SF_Output!$Q$1:$Q$400,"monthly"))</f>
        <v>250</v>
      </c>
      <c r="W115" s="112" cm="1">
        <f t="array" ref="W115">_xlfn.IFS(OR(B115=0,B115="",V115=0),"",AF115&lt;&gt;"exclusion",MAX($W$9,$W$7,(-(SUMIFS(SF_Output!$T$1:$T$400,SF_Output!$AC$1:$AC$400,_xlfn.TEXTJOIN(",",TRUE,$B115:$E115),SF_Output!$Q$1:$Q$400,"monthly"))/V115)),AF115="exclusion",-(SUMIFS(SF_Output!$T$1:$T$400,SF_Output!$AC$1:$AC$400,_xlfn.TEXTJOIN(",",TRUE,$B115:$E115),SF_Output!$Q$1:$Q$400,"monthly"))/V115)</f>
        <v>0</v>
      </c>
      <c r="X115" s="6" cm="1">
        <f t="array" ref="X115">IFERROR(_xlfn.IFS(V115=0,0,V115="","",W115=0,V115,OR(V115&lt;&gt;0,V115&lt;&gt;""),H115*I115),V115*(1-W115))</f>
        <v>250</v>
      </c>
    </row>
    <row r="116" spans="2:24" x14ac:dyDescent="0.25">
      <c r="B116" t="s">
        <v>2389</v>
      </c>
      <c r="C116" t="s">
        <v>2122</v>
      </c>
      <c r="D116" t="s">
        <v>2207</v>
      </c>
      <c r="E116" t="s">
        <v>2124</v>
      </c>
      <c r="F116" s="116" t="str">
        <f t="shared" si="4"/>
        <v>Included</v>
      </c>
      <c r="G116" t="str">
        <f>IF(B116="","",INDEX(SF_Output!$K$1:$K$400,MATCH(B116,SF_Output!$M$1:$M$400,0)))</f>
        <v>Card Processing Solutions (CPS)</v>
      </c>
      <c r="H116" cm="1">
        <f t="array" ref="H116">_xlfn.IFS(B116="","",(SUMIFS(SF_Output!$F$1:$F$400,SF_Output!$AC$1:$AC$400,_xlfn.TEXTJOIN(",",TRUE,B116:E116))+SUMIFS(SF_Output!$G$1:$G$400,SF_Output!$AC$1:$AC$400,_xlfn.TEXTJOIN(",",TRUE,B116:E116)))&lt;&gt;0,SF_Output!$Y$2,INDEX(SF_Output!$F$1:$F$400,MATCH(_xlfn.TEXTJOIN(",",TRUE,B116:E116),SF_Output!$AC$1:$AC$400,0))=0,INDEX(SF_Output!$R$1:$R$400,MATCH(_xlfn.TEXTJOIN(",",TRUE,B116:E116),SF_Output!$AC$1:$AC$400,0)))</f>
        <v>0</v>
      </c>
      <c r="I116" s="125" t="str">
        <f>IFERROR(IF(AND(H116&gt;1,H116&lt;&gt;""),ROUND(SUMIFS(SF_Output!$S$1:$S$400,SF_Output!$AC$1:$AC$400,_xlfn.TEXTJOIN(",",TRUE,B116:E116),SF_Output!$Q$1:$Q$400,"monthly")*(1-W116)/H116,4),""),"")</f>
        <v/>
      </c>
      <c r="J116" s="6">
        <f>IF(B116="","",SUMIFS(SF_Output!$S$1:$S$400,SF_Output!$AC$1:$AC$400,_xlfn.TEXTJOIN(",",TRUE,B116:E116),SF_Output!$Q$1:$Q$400,"One Time",SF_Output!$L$1:$L$400,"license fee")+SUMIFS(SF_Output!$S$1:$S$400,SF_Output!$AC$1:$AC$400,_xlfn.TEXTJOIN(",",TRUE,B116:E116),SF_Output!$Q$1:$Q$400,"One Time",SF_Output!$L$1:$L$400,"software license")+SUMIFS(SF_Output!$S$1:$S$400,SF_Output!$AC$1:$AC$400,_xlfn.TEXTJOIN(",",TRUE,B116:E116),SF_Output!$Q$1:$Q$400,"One Time",SF_Output!$L$1:$L$400,"hardware"))</f>
        <v>0</v>
      </c>
      <c r="K116" s="112" t="str">
        <f>IF(OR(B116=0,B116="",G116="hardware",J116=0),"",IF(AF116&lt;&gt;"exclusion",MAX(K$9,-((SUMIFS(SF_Output!$T$1:$T$400,SF_Output!$AC$1:$AC$400,_xlfn.TEXTJOIN(",",TRUE,$B116:$E116),SF_Output!$Q$1:$Q$400,"One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license"))/J116)),-((SUMIFS(SF_Output!$T$1:$T$400,SF_Output!$AC$1:$AC$400,_xlfn.TEXTJOIN(",",TRUE,$B116:$E116),SF_Output!$Q$1:$Q$400,"One Time",SF_Output!$L$1:$L$400,"license fee")+SUMIFS(SF_Output!$T$1:$T$400,SF_Output!$AC$1:$AC$400,_xlfn.TEXTJOIN(",",TRUE,$B116:$E116),SF_Output!$Q$1:$Q$400,"One Time",SF_Output!$L$1:$L$400,"software license"))/J116)))</f>
        <v/>
      </c>
      <c r="L116" s="6">
        <f t="shared" si="5"/>
        <v>0</v>
      </c>
      <c r="N116" s="6">
        <f>IF(B116="","",SUMIFS(SF_Output!$S$1:$S$400,SF_Output!$AC$1:$AC$400,_xlfn.TEXTJOIN(",",TRUE,B116:E116),SF_Output!$Q$1:$Q$400,"One Time",SF_Output!$L$1:$L$400,"professional service"))</f>
        <v>0</v>
      </c>
      <c r="O116" s="112" t="str">
        <f>IF(OR(B116=0,B116="",N116=0),"",IF(AF116&lt;&gt;"exclusion",MAX(O$9,-(SUMIFS(SF_Output!$T$1:$T$400,SF_Output!$AC$1:$AC$400,_xlfn.TEXTJOIN(",",TRUE,$B116:$E116),SF_Output!$Q$1:$Q$400,"One Time",SF_Output!$L$1:$L$400,"professional service"))/N116),-((SUMIFS(SF_Output!$T$1:$T$400,SF_Output!$AC$1:$AC$400,_xlfn.TEXTJOIN(",",TRUE,$B116:$E116),SF_Output!$Q$1:$Q$400,"One Time",SF_Output!$L$1:$L$400,"professional service")/N116))))</f>
        <v/>
      </c>
      <c r="P116" s="6">
        <f t="shared" si="6"/>
        <v>0</v>
      </c>
      <c r="R116" s="6">
        <f>IF(B116="","",SUMIFS(SF_Output!$S$1:$S$400,SF_Output!$AC$1:$AC$400,_xlfn.TEXTJOIN(",",TRUE,B116:E116),SF_Output!$Q$1:$Q$400,"yearly")+SUMIFS(SF_Output!$S$1:$S$400,SF_Output!$AC$1:$AC$400,_xlfn.TEXTJOIN(",",TRUE,B116:E116),SF_Output!$Q$1:$Q$400,"quarterly")*4)</f>
        <v>0</v>
      </c>
      <c r="S116" s="112" t="str">
        <f>IF(OR(B116=0,B116="",G116="hardware",R116=0),"",IF(AF116&lt;&gt;"exclusion",MAX(S$9,-(SUMIFS(SF_Output!$T$1:$T$400,SF_Output!$AC$1:$AC$400,_xlfn.TEXTJOIN(",",TRUE,$B116:$E116),SF_Output!$Q$1:$Q$400,"yearly"))/R116),-((SUMIFS(SF_Output!$T$1:$T$400,SF_Output!$AC$1:$AC$400,_xlfn.TEXTJOIN(",",TRUE,$B116:$E116),SF_Output!$Q$1:$Q$400,"yearly")/R116))))</f>
        <v/>
      </c>
      <c r="T116" s="6">
        <f t="shared" si="7"/>
        <v>0</v>
      </c>
      <c r="V116" s="6" cm="1">
        <f t="array" ref="V116">_xlfn.IFS(B116="","",AND(B116&lt;&gt;"",H116=SF_Output!$Y$2,SUMIFS(SF_Output!$T$1:$T$400,SF_Output!$AC$1:$AC$400,_xlfn.TEXTJOIN(",",TRUE,B116:E116),SF_Output!$Q$1:$Q$400,"monthly")=0),(SUMIFS(SF_Output!$F$1:$F$400,SF_Output!$AC$1:$AC$400,_xlfn.TEXTJOIN(",",TRUE,B116:E116),SF_Output!$Q$1:$Q$400,"monthly")+SUMIFS(SF_Output!$G$1:$G$400,SF_Output!$AC$1:$AC$400,_xlfn.TEXTJOIN(",",TRUE,B116:E116),SF_Output!$Q$1:$Q$400,"monthly"))*H116,AND(B116&lt;&gt;"",H116=SF_Output!$Y$2,SUMIFS(SF_Output!$T$1:$T$400,SF_Output!$AC$1:$AC$400,_xlfn.TEXTJOIN(",",TRUE,B116:E116),SF_Output!$Q$1:$Q$400,"monthly")&lt;&gt;0),SUMIFS(SF_Output!$S$1:$S$400,SF_Output!$AC$1:$AC$400,_xlfn.TEXTJOIN(",",TRUE,B116:E116),SF_Output!$Q$1:$Q$400,"monthly"),AND(B116&lt;&gt;"",H116&lt;&gt;SF_Output!$Y$2),SUMIFS(SF_Output!$S$1:$S$400,SF_Output!$AC$1:$AC$400,_xlfn.TEXTJOIN(",",TRUE,B116:E116),SF_Output!$Q$1:$Q$400,"monthly"))</f>
        <v>0</v>
      </c>
      <c r="W116" s="112" t="str" cm="1">
        <f t="array" ref="W116">_xlfn.IFS(OR(B116=0,B116="",V116=0),"",AF116&lt;&gt;"exclusion",MAX($W$9,$W$7,(-(SUMIFS(SF_Output!$T$1:$T$400,SF_Output!$AC$1:$AC$400,_xlfn.TEXTJOIN(",",TRUE,$B116:$E116),SF_Output!$Q$1:$Q$400,"monthly"))/V116)),AF116="exclusion",-(SUMIFS(SF_Output!$T$1:$T$400,SF_Output!$AC$1:$AC$400,_xlfn.TEXTJOIN(",",TRUE,$B116:$E116),SF_Output!$Q$1:$Q$400,"monthly"))/V116)</f>
        <v/>
      </c>
      <c r="X116" s="6" cm="1">
        <f t="array" ref="X116">IFERROR(_xlfn.IFS(V116=0,0,V116="","",W116=0,V116,OR(V116&lt;&gt;0,V116&lt;&gt;""),H116*I116),V116*(1-W116))</f>
        <v>0</v>
      </c>
    </row>
    <row r="117" spans="2:24" x14ac:dyDescent="0.25">
      <c r="B117" t="s">
        <v>2391</v>
      </c>
      <c r="C117" t="s">
        <v>2122</v>
      </c>
      <c r="D117" t="s">
        <v>2207</v>
      </c>
      <c r="E117" t="s">
        <v>2124</v>
      </c>
      <c r="F117" s="116" t="str">
        <f t="shared" si="4"/>
        <v>Included</v>
      </c>
      <c r="G117" t="str">
        <f>IF(B117="","",INDEX(SF_Output!$K$1:$K$400,MATCH(B117,SF_Output!$M$1:$M$400,0)))</f>
        <v>Card Processing Solutions (CPS)</v>
      </c>
      <c r="H117" cm="1">
        <f t="array" ref="H117">_xlfn.IFS(B117="","",(SUMIFS(SF_Output!$F$1:$F$400,SF_Output!$AC$1:$AC$400,_xlfn.TEXTJOIN(",",TRUE,B117:E117))+SUMIFS(SF_Output!$G$1:$G$400,SF_Output!$AC$1:$AC$400,_xlfn.TEXTJOIN(",",TRUE,B117:E117)))&lt;&gt;0,SF_Output!$Y$2,INDEX(SF_Output!$F$1:$F$400,MATCH(_xlfn.TEXTJOIN(",",TRUE,B117:E117),SF_Output!$AC$1:$AC$400,0))=0,INDEX(SF_Output!$R$1:$R$400,MATCH(_xlfn.TEXTJOIN(",",TRUE,B117:E117),SF_Output!$AC$1:$AC$400,0)))</f>
        <v>1</v>
      </c>
      <c r="I117" s="125" t="str">
        <f>IFERROR(IF(AND(H117&gt;1,H117&lt;&gt;""),ROUND(SUMIFS(SF_Output!$S$1:$S$400,SF_Output!$AC$1:$AC$400,_xlfn.TEXTJOIN(",",TRUE,B117:E117),SF_Output!$Q$1:$Q$400,"monthly")*(1-W117)/H117,4),""),"")</f>
        <v/>
      </c>
      <c r="J117" s="6">
        <f>IF(B117="","",SUMIFS(SF_Output!$S$1:$S$400,SF_Output!$AC$1:$AC$400,_xlfn.TEXTJOIN(",",TRUE,B117:E117),SF_Output!$Q$1:$Q$400,"One Time",SF_Output!$L$1:$L$400,"license fee")+SUMIFS(SF_Output!$S$1:$S$400,SF_Output!$AC$1:$AC$400,_xlfn.TEXTJOIN(",",TRUE,B117:E117),SF_Output!$Q$1:$Q$400,"One Time",SF_Output!$L$1:$L$400,"software license")+SUMIFS(SF_Output!$S$1:$S$400,SF_Output!$AC$1:$AC$400,_xlfn.TEXTJOIN(",",TRUE,B117:E117),SF_Output!$Q$1:$Q$400,"One Time",SF_Output!$L$1:$L$400,"hardware"))</f>
        <v>0</v>
      </c>
      <c r="K117" s="112" t="str">
        <f>IF(OR(B117=0,B117="",G117="hardware",J117=0),"",IF(AF117&lt;&gt;"exclusion",MAX(K$9,-((SUMIFS(SF_Output!$T$1:$T$400,SF_Output!$AC$1:$AC$400,_xlfn.TEXTJOIN(",",TRUE,$B117:$E117),SF_Output!$Q$1:$Q$400,"One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license"))/J117)),-((SUMIFS(SF_Output!$T$1:$T$400,SF_Output!$AC$1:$AC$400,_xlfn.TEXTJOIN(",",TRUE,$B117:$E117),SF_Output!$Q$1:$Q$400,"One Time",SF_Output!$L$1:$L$400,"license fee")+SUMIFS(SF_Output!$T$1:$T$400,SF_Output!$AC$1:$AC$400,_xlfn.TEXTJOIN(",",TRUE,$B117:$E117),SF_Output!$Q$1:$Q$400,"One Time",SF_Output!$L$1:$L$400,"software license"))/J117)))</f>
        <v/>
      </c>
      <c r="L117" s="6">
        <f t="shared" si="5"/>
        <v>0</v>
      </c>
      <c r="N117" s="6">
        <f>IF(B117="","",SUMIFS(SF_Output!$S$1:$S$400,SF_Output!$AC$1:$AC$400,_xlfn.TEXTJOIN(",",TRUE,B117:E117),SF_Output!$Q$1:$Q$400,"One Time",SF_Output!$L$1:$L$400,"professional service"))</f>
        <v>4500</v>
      </c>
      <c r="O117" s="112">
        <f>IF(OR(B117=0,B117="",N117=0),"",IF(AF117&lt;&gt;"exclusion",MAX(O$9,-(SUMIFS(SF_Output!$T$1:$T$400,SF_Output!$AC$1:$AC$400,_xlfn.TEXTJOIN(",",TRUE,$B117:$E117),SF_Output!$Q$1:$Q$400,"One Time",SF_Output!$L$1:$L$400,"professional service"))/N117),-((SUMIFS(SF_Output!$T$1:$T$400,SF_Output!$AC$1:$AC$400,_xlfn.TEXTJOIN(",",TRUE,$B117:$E117),SF_Output!$Q$1:$Q$400,"One Time",SF_Output!$L$1:$L$400,"professional service")/N117))))</f>
        <v>1</v>
      </c>
      <c r="P117" s="6">
        <f t="shared" si="6"/>
        <v>0</v>
      </c>
      <c r="R117" s="6">
        <f>IF(B117="","",SUMIFS(SF_Output!$S$1:$S$400,SF_Output!$AC$1:$AC$400,_xlfn.TEXTJOIN(",",TRUE,B117:E117),SF_Output!$Q$1:$Q$400,"yearly")+SUMIFS(SF_Output!$S$1:$S$400,SF_Output!$AC$1:$AC$400,_xlfn.TEXTJOIN(",",TRUE,B117:E117),SF_Output!$Q$1:$Q$400,"quarterly")*4)</f>
        <v>0</v>
      </c>
      <c r="S117" s="112" t="str">
        <f>IF(OR(B117=0,B117="",G117="hardware",R117=0),"",IF(AF117&lt;&gt;"exclusion",MAX(S$9,-(SUMIFS(SF_Output!$T$1:$T$400,SF_Output!$AC$1:$AC$400,_xlfn.TEXTJOIN(",",TRUE,$B117:$E117),SF_Output!$Q$1:$Q$400,"yearly"))/R117),-((SUMIFS(SF_Output!$T$1:$T$400,SF_Output!$AC$1:$AC$400,_xlfn.TEXTJOIN(",",TRUE,$B117:$E117),SF_Output!$Q$1:$Q$400,"yearly")/R117))))</f>
        <v/>
      </c>
      <c r="T117" s="6">
        <f t="shared" si="7"/>
        <v>0</v>
      </c>
      <c r="V117" s="6" cm="1">
        <f t="array" ref="V117">_xlfn.IFS(B117="","",AND(B117&lt;&gt;"",H117=SF_Output!$Y$2,SUMIFS(SF_Output!$T$1:$T$400,SF_Output!$AC$1:$AC$400,_xlfn.TEXTJOIN(",",TRUE,B117:E117),SF_Output!$Q$1:$Q$400,"monthly")=0),(SUMIFS(SF_Output!$F$1:$F$400,SF_Output!$AC$1:$AC$400,_xlfn.TEXTJOIN(",",TRUE,B117:E117),SF_Output!$Q$1:$Q$400,"monthly")+SUMIFS(SF_Output!$G$1:$G$400,SF_Output!$AC$1:$AC$400,_xlfn.TEXTJOIN(",",TRUE,B117:E117),SF_Output!$Q$1:$Q$400,"monthly"))*H117,AND(B117&lt;&gt;"",H117=SF_Output!$Y$2,SUMIFS(SF_Output!$T$1:$T$400,SF_Output!$AC$1:$AC$400,_xlfn.TEXTJOIN(",",TRUE,B117:E117),SF_Output!$Q$1:$Q$400,"monthly")&lt;&gt;0),SUMIFS(SF_Output!$S$1:$S$400,SF_Output!$AC$1:$AC$400,_xlfn.TEXTJOIN(",",TRUE,B117:E117),SF_Output!$Q$1:$Q$400,"monthly"),AND(B117&lt;&gt;"",H117&lt;&gt;SF_Output!$Y$2),SUMIFS(SF_Output!$S$1:$S$400,SF_Output!$AC$1:$AC$400,_xlfn.TEXTJOIN(",",TRUE,B117:E117),SF_Output!$Q$1:$Q$400,"monthly"))</f>
        <v>75</v>
      </c>
      <c r="W117" s="112" cm="1">
        <f t="array" ref="W117">_xlfn.IFS(OR(B117=0,B117="",V117=0),"",AF117&lt;&gt;"exclusion",MAX($W$9,$W$7,(-(SUMIFS(SF_Output!$T$1:$T$400,SF_Output!$AC$1:$AC$400,_xlfn.TEXTJOIN(",",TRUE,$B117:$E117),SF_Output!$Q$1:$Q$400,"monthly"))/V117)),AF117="exclusion",-(SUMIFS(SF_Output!$T$1:$T$400,SF_Output!$AC$1:$AC$400,_xlfn.TEXTJOIN(",",TRUE,$B117:$E117),SF_Output!$Q$1:$Q$400,"monthly"))/V117)</f>
        <v>0</v>
      </c>
      <c r="X117" s="6" cm="1">
        <f t="array" ref="X117">IFERROR(_xlfn.IFS(V117=0,0,V117="","",W117=0,V117,OR(V117&lt;&gt;0,V117&lt;&gt;""),H117*I117),V117*(1-W117))</f>
        <v>75</v>
      </c>
    </row>
    <row r="118" spans="2:24" x14ac:dyDescent="0.25">
      <c r="B118" t="s">
        <v>2394</v>
      </c>
      <c r="C118" t="s">
        <v>2122</v>
      </c>
      <c r="D118" t="s">
        <v>2207</v>
      </c>
      <c r="E118" t="s">
        <v>2124</v>
      </c>
      <c r="F118" s="116" t="str">
        <f t="shared" si="4"/>
        <v>Included</v>
      </c>
      <c r="G118" t="str">
        <f>IF(B118="","",INDEX(SF_Output!$K$1:$K$400,MATCH(B118,SF_Output!$M$1:$M$400,0)))</f>
        <v>Card Processing Solutions (CPS)</v>
      </c>
      <c r="H118" cm="1">
        <f t="array" ref="H118">_xlfn.IFS(B118="","",(SUMIFS(SF_Output!$F$1:$F$400,SF_Output!$AC$1:$AC$400,_xlfn.TEXTJOIN(",",TRUE,B118:E118))+SUMIFS(SF_Output!$G$1:$G$400,SF_Output!$AC$1:$AC$400,_xlfn.TEXTJOIN(",",TRUE,B118:E118)))&lt;&gt;0,SF_Output!$Y$2,INDEX(SF_Output!$F$1:$F$400,MATCH(_xlfn.TEXTJOIN(",",TRUE,B118:E118),SF_Output!$AC$1:$AC$400,0))=0,INDEX(SF_Output!$R$1:$R$400,MATCH(_xlfn.TEXTJOIN(",",TRUE,B118:E118),SF_Output!$AC$1:$AC$400,0)))</f>
        <v>0</v>
      </c>
      <c r="I118" s="125" t="str">
        <f>IFERROR(IF(AND(H118&gt;1,H118&lt;&gt;""),ROUND(SUMIFS(SF_Output!$S$1:$S$400,SF_Output!$AC$1:$AC$400,_xlfn.TEXTJOIN(",",TRUE,B118:E118),SF_Output!$Q$1:$Q$400,"monthly")*(1-W118)/H118,4),""),"")</f>
        <v/>
      </c>
      <c r="J118" s="6">
        <f>IF(B118="","",SUMIFS(SF_Output!$S$1:$S$400,SF_Output!$AC$1:$AC$400,_xlfn.TEXTJOIN(",",TRUE,B118:E118),SF_Output!$Q$1:$Q$400,"One Time",SF_Output!$L$1:$L$400,"license fee")+SUMIFS(SF_Output!$S$1:$S$400,SF_Output!$AC$1:$AC$400,_xlfn.TEXTJOIN(",",TRUE,B118:E118),SF_Output!$Q$1:$Q$400,"One Time",SF_Output!$L$1:$L$400,"software license")+SUMIFS(SF_Output!$S$1:$S$400,SF_Output!$AC$1:$AC$400,_xlfn.TEXTJOIN(",",TRUE,B118:E118),SF_Output!$Q$1:$Q$400,"One Time",SF_Output!$L$1:$L$400,"hardware"))</f>
        <v>0</v>
      </c>
      <c r="K118" s="112" t="str">
        <f>IF(OR(B118=0,B118="",G118="hardware",J118=0),"",IF(AF118&lt;&gt;"exclusion",MAX(K$9,-((SUMIFS(SF_Output!$T$1:$T$400,SF_Output!$AC$1:$AC$400,_xlfn.TEXTJOIN(",",TRUE,$B118:$E118),SF_Output!$Q$1:$Q$400,"One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license"))/J118)),-((SUMIFS(SF_Output!$T$1:$T$400,SF_Output!$AC$1:$AC$400,_xlfn.TEXTJOIN(",",TRUE,$B118:$E118),SF_Output!$Q$1:$Q$400,"One Time",SF_Output!$L$1:$L$400,"license fee")+SUMIFS(SF_Output!$T$1:$T$400,SF_Output!$AC$1:$AC$400,_xlfn.TEXTJOIN(",",TRUE,$B118:$E118),SF_Output!$Q$1:$Q$400,"One Time",SF_Output!$L$1:$L$400,"software license"))/J118)))</f>
        <v/>
      </c>
      <c r="L118" s="6">
        <f t="shared" si="5"/>
        <v>0</v>
      </c>
      <c r="N118" s="6">
        <f>IF(B118="","",SUMIFS(SF_Output!$S$1:$S$400,SF_Output!$AC$1:$AC$400,_xlfn.TEXTJOIN(",",TRUE,B118:E118),SF_Output!$Q$1:$Q$400,"One Time",SF_Output!$L$1:$L$400,"professional service"))</f>
        <v>0</v>
      </c>
      <c r="O118" s="112" t="str">
        <f>IF(OR(B118=0,B118="",N118=0),"",IF(AF118&lt;&gt;"exclusion",MAX(O$9,-(SUMIFS(SF_Output!$T$1:$T$400,SF_Output!$AC$1:$AC$400,_xlfn.TEXTJOIN(",",TRUE,$B118:$E118),SF_Output!$Q$1:$Q$400,"One Time",SF_Output!$L$1:$L$400,"professional service"))/N118),-((SUMIFS(SF_Output!$T$1:$T$400,SF_Output!$AC$1:$AC$400,_xlfn.TEXTJOIN(",",TRUE,$B118:$E118),SF_Output!$Q$1:$Q$400,"One Time",SF_Output!$L$1:$L$400,"professional service")/N118))))</f>
        <v/>
      </c>
      <c r="P118" s="6">
        <f t="shared" si="6"/>
        <v>0</v>
      </c>
      <c r="R118" s="6">
        <f>IF(B118="","",SUMIFS(SF_Output!$S$1:$S$400,SF_Output!$AC$1:$AC$400,_xlfn.TEXTJOIN(",",TRUE,B118:E118),SF_Output!$Q$1:$Q$400,"yearly")+SUMIFS(SF_Output!$S$1:$S$400,SF_Output!$AC$1:$AC$400,_xlfn.TEXTJOIN(",",TRUE,B118:E118),SF_Output!$Q$1:$Q$400,"quarterly")*4)</f>
        <v>0</v>
      </c>
      <c r="S118" s="112" t="str">
        <f>IF(OR(B118=0,B118="",G118="hardware",R118=0),"",IF(AF118&lt;&gt;"exclusion",MAX(S$9,-(SUMIFS(SF_Output!$T$1:$T$400,SF_Output!$AC$1:$AC$400,_xlfn.TEXTJOIN(",",TRUE,$B118:$E118),SF_Output!$Q$1:$Q$400,"yearly"))/R118),-((SUMIFS(SF_Output!$T$1:$T$400,SF_Output!$AC$1:$AC$400,_xlfn.TEXTJOIN(",",TRUE,$B118:$E118),SF_Output!$Q$1:$Q$400,"yearly")/R118))))</f>
        <v/>
      </c>
      <c r="T118" s="6">
        <f t="shared" si="7"/>
        <v>0</v>
      </c>
      <c r="V118" s="6" cm="1">
        <f t="array" ref="V118">_xlfn.IFS(B118="","",AND(B118&lt;&gt;"",H118=SF_Output!$Y$2,SUMIFS(SF_Output!$T$1:$T$400,SF_Output!$AC$1:$AC$400,_xlfn.TEXTJOIN(",",TRUE,B118:E118),SF_Output!$Q$1:$Q$400,"monthly")=0),(SUMIFS(SF_Output!$F$1:$F$400,SF_Output!$AC$1:$AC$400,_xlfn.TEXTJOIN(",",TRUE,B118:E118),SF_Output!$Q$1:$Q$400,"monthly")+SUMIFS(SF_Output!$G$1:$G$400,SF_Output!$AC$1:$AC$400,_xlfn.TEXTJOIN(",",TRUE,B118:E118),SF_Output!$Q$1:$Q$400,"monthly"))*H118,AND(B118&lt;&gt;"",H118=SF_Output!$Y$2,SUMIFS(SF_Output!$T$1:$T$400,SF_Output!$AC$1:$AC$400,_xlfn.TEXTJOIN(",",TRUE,B118:E118),SF_Output!$Q$1:$Q$400,"monthly")&lt;&gt;0),SUMIFS(SF_Output!$S$1:$S$400,SF_Output!$AC$1:$AC$400,_xlfn.TEXTJOIN(",",TRUE,B118:E118),SF_Output!$Q$1:$Q$400,"monthly"),AND(B118&lt;&gt;"",H118&lt;&gt;SF_Output!$Y$2),SUMIFS(SF_Output!$S$1:$S$400,SF_Output!$AC$1:$AC$400,_xlfn.TEXTJOIN(",",TRUE,B118:E118),SF_Output!$Q$1:$Q$400,"monthly"))</f>
        <v>0</v>
      </c>
      <c r="W118" s="112" t="str" cm="1">
        <f t="array" ref="W118">_xlfn.IFS(OR(B118=0,B118="",V118=0),"",AF118&lt;&gt;"exclusion",MAX($W$9,$W$7,(-(SUMIFS(SF_Output!$T$1:$T$400,SF_Output!$AC$1:$AC$400,_xlfn.TEXTJOIN(",",TRUE,$B118:$E118),SF_Output!$Q$1:$Q$400,"monthly"))/V118)),AF118="exclusion",-(SUMIFS(SF_Output!$T$1:$T$400,SF_Output!$AC$1:$AC$400,_xlfn.TEXTJOIN(",",TRUE,$B118:$E118),SF_Output!$Q$1:$Q$400,"monthly"))/V118)</f>
        <v/>
      </c>
      <c r="X118" s="6" cm="1">
        <f t="array" ref="X118">IFERROR(_xlfn.IFS(V118=0,0,V118="","",W118=0,V118,OR(V118&lt;&gt;0,V118&lt;&gt;""),H118*I118),V118*(1-W118))</f>
        <v>0</v>
      </c>
    </row>
    <row r="119" spans="2:24" x14ac:dyDescent="0.25">
      <c r="B119" t="s">
        <v>2396</v>
      </c>
      <c r="C119" t="s">
        <v>2122</v>
      </c>
      <c r="D119" t="s">
        <v>2207</v>
      </c>
      <c r="E119" t="s">
        <v>2124</v>
      </c>
      <c r="F119" s="116" t="str">
        <f t="shared" si="4"/>
        <v>Included</v>
      </c>
      <c r="G119" t="str">
        <f>IF(B119="","",INDEX(SF_Output!$K$1:$K$400,MATCH(B119,SF_Output!$M$1:$M$400,0)))</f>
        <v>Card Processing Solutions (CPS)</v>
      </c>
      <c r="H119" cm="1">
        <f t="array" ref="H119">_xlfn.IFS(B119="","",(SUMIFS(SF_Output!$F$1:$F$400,SF_Output!$AC$1:$AC$400,_xlfn.TEXTJOIN(",",TRUE,B119:E119))+SUMIFS(SF_Output!$G$1:$G$400,SF_Output!$AC$1:$AC$400,_xlfn.TEXTJOIN(",",TRUE,B119:E119)))&lt;&gt;0,SF_Output!$Y$2,INDEX(SF_Output!$F$1:$F$400,MATCH(_xlfn.TEXTJOIN(",",TRUE,B119:E119),SF_Output!$AC$1:$AC$400,0))=0,INDEX(SF_Output!$R$1:$R$400,MATCH(_xlfn.TEXTJOIN(",",TRUE,B119:E119),SF_Output!$AC$1:$AC$400,0)))</f>
        <v>0</v>
      </c>
      <c r="I119" s="125" t="str">
        <f>IFERROR(IF(AND(H119&gt;1,H119&lt;&gt;""),ROUND(SUMIFS(SF_Output!$S$1:$S$400,SF_Output!$AC$1:$AC$400,_xlfn.TEXTJOIN(",",TRUE,B119:E119),SF_Output!$Q$1:$Q$400,"monthly")*(1-W119)/H119,4),""),"")</f>
        <v/>
      </c>
      <c r="J119" s="6">
        <f>IF(B119="","",SUMIFS(SF_Output!$S$1:$S$400,SF_Output!$AC$1:$AC$400,_xlfn.TEXTJOIN(",",TRUE,B119:E119),SF_Output!$Q$1:$Q$400,"One Time",SF_Output!$L$1:$L$400,"license fee")+SUMIFS(SF_Output!$S$1:$S$400,SF_Output!$AC$1:$AC$400,_xlfn.TEXTJOIN(",",TRUE,B119:E119),SF_Output!$Q$1:$Q$400,"One Time",SF_Output!$L$1:$L$400,"software license")+SUMIFS(SF_Output!$S$1:$S$400,SF_Output!$AC$1:$AC$400,_xlfn.TEXTJOIN(",",TRUE,B119:E119),SF_Output!$Q$1:$Q$400,"One Time",SF_Output!$L$1:$L$400,"hardware"))</f>
        <v>0</v>
      </c>
      <c r="K119" s="112" t="str">
        <f>IF(OR(B119=0,B119="",G119="hardware",J119=0),"",IF(AF119&lt;&gt;"exclusion",MAX(K$9,-((SUMIFS(SF_Output!$T$1:$T$400,SF_Output!$AC$1:$AC$400,_xlfn.TEXTJOIN(",",TRUE,$B119:$E119),SF_Output!$Q$1:$Q$400,"One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license"))/J119)),-((SUMIFS(SF_Output!$T$1:$T$400,SF_Output!$AC$1:$AC$400,_xlfn.TEXTJOIN(",",TRUE,$B119:$E119),SF_Output!$Q$1:$Q$400,"One Time",SF_Output!$L$1:$L$400,"license fee")+SUMIFS(SF_Output!$T$1:$T$400,SF_Output!$AC$1:$AC$400,_xlfn.TEXTJOIN(",",TRUE,$B119:$E119),SF_Output!$Q$1:$Q$400,"One Time",SF_Output!$L$1:$L$400,"software license"))/J119)))</f>
        <v/>
      </c>
      <c r="L119" s="6">
        <f t="shared" si="5"/>
        <v>0</v>
      </c>
      <c r="N119" s="6">
        <f>IF(B119="","",SUMIFS(SF_Output!$S$1:$S$400,SF_Output!$AC$1:$AC$400,_xlfn.TEXTJOIN(",",TRUE,B119:E119),SF_Output!$Q$1:$Q$400,"One Time",SF_Output!$L$1:$L$400,"professional service"))</f>
        <v>0</v>
      </c>
      <c r="O119" s="112" t="str">
        <f>IF(OR(B119=0,B119="",N119=0),"",IF(AF119&lt;&gt;"exclusion",MAX(O$9,-(SUMIFS(SF_Output!$T$1:$T$400,SF_Output!$AC$1:$AC$400,_xlfn.TEXTJOIN(",",TRUE,$B119:$E119),SF_Output!$Q$1:$Q$400,"One Time",SF_Output!$L$1:$L$400,"professional service"))/N119),-((SUMIFS(SF_Output!$T$1:$T$400,SF_Output!$AC$1:$AC$400,_xlfn.TEXTJOIN(",",TRUE,$B119:$E119),SF_Output!$Q$1:$Q$400,"One Time",SF_Output!$L$1:$L$400,"professional service")/N119))))</f>
        <v/>
      </c>
      <c r="P119" s="6">
        <f t="shared" si="6"/>
        <v>0</v>
      </c>
      <c r="R119" s="6">
        <f>IF(B119="","",SUMIFS(SF_Output!$S$1:$S$400,SF_Output!$AC$1:$AC$400,_xlfn.TEXTJOIN(",",TRUE,B119:E119),SF_Output!$Q$1:$Q$400,"yearly")+SUMIFS(SF_Output!$S$1:$S$400,SF_Output!$AC$1:$AC$400,_xlfn.TEXTJOIN(",",TRUE,B119:E119),SF_Output!$Q$1:$Q$400,"quarterly")*4)</f>
        <v>0</v>
      </c>
      <c r="S119" s="112" t="str">
        <f>IF(OR(B119=0,B119="",G119="hardware",R119=0),"",IF(AF119&lt;&gt;"exclusion",MAX(S$9,-(SUMIFS(SF_Output!$T$1:$T$400,SF_Output!$AC$1:$AC$400,_xlfn.TEXTJOIN(",",TRUE,$B119:$E119),SF_Output!$Q$1:$Q$400,"yearly"))/R119),-((SUMIFS(SF_Output!$T$1:$T$400,SF_Output!$AC$1:$AC$400,_xlfn.TEXTJOIN(",",TRUE,$B119:$E119),SF_Output!$Q$1:$Q$400,"yearly")/R119))))</f>
        <v/>
      </c>
      <c r="T119" s="6">
        <f t="shared" si="7"/>
        <v>0</v>
      </c>
      <c r="V119" s="6" cm="1">
        <f t="array" ref="V119">_xlfn.IFS(B119="","",AND(B119&lt;&gt;"",H119=SF_Output!$Y$2,SUMIFS(SF_Output!$T$1:$T$400,SF_Output!$AC$1:$AC$400,_xlfn.TEXTJOIN(",",TRUE,B119:E119),SF_Output!$Q$1:$Q$400,"monthly")=0),(SUMIFS(SF_Output!$F$1:$F$400,SF_Output!$AC$1:$AC$400,_xlfn.TEXTJOIN(",",TRUE,B119:E119),SF_Output!$Q$1:$Q$400,"monthly")+SUMIFS(SF_Output!$G$1:$G$400,SF_Output!$AC$1:$AC$400,_xlfn.TEXTJOIN(",",TRUE,B119:E119),SF_Output!$Q$1:$Q$400,"monthly"))*H119,AND(B119&lt;&gt;"",H119=SF_Output!$Y$2,SUMIFS(SF_Output!$T$1:$T$400,SF_Output!$AC$1:$AC$400,_xlfn.TEXTJOIN(",",TRUE,B119:E119),SF_Output!$Q$1:$Q$400,"monthly")&lt;&gt;0),SUMIFS(SF_Output!$S$1:$S$400,SF_Output!$AC$1:$AC$400,_xlfn.TEXTJOIN(",",TRUE,B119:E119),SF_Output!$Q$1:$Q$400,"monthly"),AND(B119&lt;&gt;"",H119&lt;&gt;SF_Output!$Y$2),SUMIFS(SF_Output!$S$1:$S$400,SF_Output!$AC$1:$AC$400,_xlfn.TEXTJOIN(",",TRUE,B119:E119),SF_Output!$Q$1:$Q$400,"monthly"))</f>
        <v>0</v>
      </c>
      <c r="W119" s="112" t="str" cm="1">
        <f t="array" ref="W119">_xlfn.IFS(OR(B119=0,B119="",V119=0),"",AF119&lt;&gt;"exclusion",MAX($W$9,$W$7,(-(SUMIFS(SF_Output!$T$1:$T$400,SF_Output!$AC$1:$AC$400,_xlfn.TEXTJOIN(",",TRUE,$B119:$E119),SF_Output!$Q$1:$Q$400,"monthly"))/V119)),AF119="exclusion",-(SUMIFS(SF_Output!$T$1:$T$400,SF_Output!$AC$1:$AC$400,_xlfn.TEXTJOIN(",",TRUE,$B119:$E119),SF_Output!$Q$1:$Q$400,"monthly"))/V119)</f>
        <v/>
      </c>
      <c r="X119" s="6" cm="1">
        <f t="array" ref="X119">IFERROR(_xlfn.IFS(V119=0,0,V119="","",W119=0,V119,OR(V119&lt;&gt;0,V119&lt;&gt;""),H119*I119),V119*(1-W119))</f>
        <v>0</v>
      </c>
    </row>
    <row r="120" spans="2:24" x14ac:dyDescent="0.25">
      <c r="B120" t="s">
        <v>2398</v>
      </c>
      <c r="C120" t="s">
        <v>2122</v>
      </c>
      <c r="D120" t="s">
        <v>2207</v>
      </c>
      <c r="E120" t="s">
        <v>2124</v>
      </c>
      <c r="F120" s="116" t="str">
        <f t="shared" si="4"/>
        <v>Included</v>
      </c>
      <c r="G120" t="str">
        <f>IF(B120="","",INDEX(SF_Output!$K$1:$K$400,MATCH(B120,SF_Output!$M$1:$M$400,0)))</f>
        <v>Card Processing Solutions (CPS)</v>
      </c>
      <c r="H120" cm="1">
        <f t="array" ref="H120">_xlfn.IFS(B120="","",(SUMIFS(SF_Output!$F$1:$F$400,SF_Output!$AC$1:$AC$400,_xlfn.TEXTJOIN(",",TRUE,B120:E120))+SUMIFS(SF_Output!$G$1:$G$400,SF_Output!$AC$1:$AC$400,_xlfn.TEXTJOIN(",",TRUE,B120:E120)))&lt;&gt;0,SF_Output!$Y$2,INDEX(SF_Output!$F$1:$F$400,MATCH(_xlfn.TEXTJOIN(",",TRUE,B120:E120),SF_Output!$AC$1:$AC$400,0))=0,INDEX(SF_Output!$R$1:$R$400,MATCH(_xlfn.TEXTJOIN(",",TRUE,B120:E120),SF_Output!$AC$1:$AC$400,0)))</f>
        <v>0</v>
      </c>
      <c r="I120" s="125" t="str">
        <f>IFERROR(IF(AND(H120&gt;1,H120&lt;&gt;""),ROUND(SUMIFS(SF_Output!$S$1:$S$400,SF_Output!$AC$1:$AC$400,_xlfn.TEXTJOIN(",",TRUE,B120:E120),SF_Output!$Q$1:$Q$400,"monthly")*(1-W120)/H120,4),""),"")</f>
        <v/>
      </c>
      <c r="J120" s="6">
        <f>IF(B120="","",SUMIFS(SF_Output!$S$1:$S$400,SF_Output!$AC$1:$AC$400,_xlfn.TEXTJOIN(",",TRUE,B120:E120),SF_Output!$Q$1:$Q$400,"One Time",SF_Output!$L$1:$L$400,"license fee")+SUMIFS(SF_Output!$S$1:$S$400,SF_Output!$AC$1:$AC$400,_xlfn.TEXTJOIN(",",TRUE,B120:E120),SF_Output!$Q$1:$Q$400,"One Time",SF_Output!$L$1:$L$400,"software license")+SUMIFS(SF_Output!$S$1:$S$400,SF_Output!$AC$1:$AC$400,_xlfn.TEXTJOIN(",",TRUE,B120:E120),SF_Output!$Q$1:$Q$400,"One Time",SF_Output!$L$1:$L$400,"hardware"))</f>
        <v>0</v>
      </c>
      <c r="K120" s="112" t="str">
        <f>IF(OR(B120=0,B120="",G120="hardware",J120=0),"",IF(AF120&lt;&gt;"exclusion",MAX(K$9,-((SUMIFS(SF_Output!$T$1:$T$400,SF_Output!$AC$1:$AC$400,_xlfn.TEXTJOIN(",",TRUE,$B120:$E120),SF_Output!$Q$1:$Q$400,"One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license"))/J120)),-((SUMIFS(SF_Output!$T$1:$T$400,SF_Output!$AC$1:$AC$400,_xlfn.TEXTJOIN(",",TRUE,$B120:$E120),SF_Output!$Q$1:$Q$400,"One Time",SF_Output!$L$1:$L$400,"license fee")+SUMIFS(SF_Output!$T$1:$T$400,SF_Output!$AC$1:$AC$400,_xlfn.TEXTJOIN(",",TRUE,$B120:$E120),SF_Output!$Q$1:$Q$400,"One Time",SF_Output!$L$1:$L$400,"software license"))/J120)))</f>
        <v/>
      </c>
      <c r="L120" s="6">
        <f t="shared" si="5"/>
        <v>0</v>
      </c>
      <c r="N120" s="6">
        <f>IF(B120="","",SUMIFS(SF_Output!$S$1:$S$400,SF_Output!$AC$1:$AC$400,_xlfn.TEXTJOIN(",",TRUE,B120:E120),SF_Output!$Q$1:$Q$400,"One Time",SF_Output!$L$1:$L$400,"professional service"))</f>
        <v>0</v>
      </c>
      <c r="O120" s="112" t="str">
        <f>IF(OR(B120=0,B120="",N120=0),"",IF(AF120&lt;&gt;"exclusion",MAX(O$9,-(SUMIFS(SF_Output!$T$1:$T$400,SF_Output!$AC$1:$AC$400,_xlfn.TEXTJOIN(",",TRUE,$B120:$E120),SF_Output!$Q$1:$Q$400,"One Time",SF_Output!$L$1:$L$400,"professional service"))/N120),-((SUMIFS(SF_Output!$T$1:$T$400,SF_Output!$AC$1:$AC$400,_xlfn.TEXTJOIN(",",TRUE,$B120:$E120),SF_Output!$Q$1:$Q$400,"One Time",SF_Output!$L$1:$L$400,"professional service")/N120))))</f>
        <v/>
      </c>
      <c r="P120" s="6">
        <f t="shared" si="6"/>
        <v>0</v>
      </c>
      <c r="R120" s="6">
        <f>IF(B120="","",SUMIFS(SF_Output!$S$1:$S$400,SF_Output!$AC$1:$AC$400,_xlfn.TEXTJOIN(",",TRUE,B120:E120),SF_Output!$Q$1:$Q$400,"yearly")+SUMIFS(SF_Output!$S$1:$S$400,SF_Output!$AC$1:$AC$400,_xlfn.TEXTJOIN(",",TRUE,B120:E120),SF_Output!$Q$1:$Q$400,"quarterly")*4)</f>
        <v>0</v>
      </c>
      <c r="S120" s="112" t="str">
        <f>IF(OR(B120=0,B120="",G120="hardware",R120=0),"",IF(AF120&lt;&gt;"exclusion",MAX(S$9,-(SUMIFS(SF_Output!$T$1:$T$400,SF_Output!$AC$1:$AC$400,_xlfn.TEXTJOIN(",",TRUE,$B120:$E120),SF_Output!$Q$1:$Q$400,"yearly"))/R120),-((SUMIFS(SF_Output!$T$1:$T$400,SF_Output!$AC$1:$AC$400,_xlfn.TEXTJOIN(",",TRUE,$B120:$E120),SF_Output!$Q$1:$Q$400,"yearly")/R120))))</f>
        <v/>
      </c>
      <c r="T120" s="6">
        <f t="shared" si="7"/>
        <v>0</v>
      </c>
      <c r="V120" s="6" cm="1">
        <f t="array" ref="V120">_xlfn.IFS(B120="","",AND(B120&lt;&gt;"",H120=SF_Output!$Y$2,SUMIFS(SF_Output!$T$1:$T$400,SF_Output!$AC$1:$AC$400,_xlfn.TEXTJOIN(",",TRUE,B120:E120),SF_Output!$Q$1:$Q$400,"monthly")=0),(SUMIFS(SF_Output!$F$1:$F$400,SF_Output!$AC$1:$AC$400,_xlfn.TEXTJOIN(",",TRUE,B120:E120),SF_Output!$Q$1:$Q$400,"monthly")+SUMIFS(SF_Output!$G$1:$G$400,SF_Output!$AC$1:$AC$400,_xlfn.TEXTJOIN(",",TRUE,B120:E120),SF_Output!$Q$1:$Q$400,"monthly"))*H120,AND(B120&lt;&gt;"",H120=SF_Output!$Y$2,SUMIFS(SF_Output!$T$1:$T$400,SF_Output!$AC$1:$AC$400,_xlfn.TEXTJOIN(",",TRUE,B120:E120),SF_Output!$Q$1:$Q$400,"monthly")&lt;&gt;0),SUMIFS(SF_Output!$S$1:$S$400,SF_Output!$AC$1:$AC$400,_xlfn.TEXTJOIN(",",TRUE,B120:E120),SF_Output!$Q$1:$Q$400,"monthly"),AND(B120&lt;&gt;"",H120&lt;&gt;SF_Output!$Y$2),SUMIFS(SF_Output!$S$1:$S$400,SF_Output!$AC$1:$AC$400,_xlfn.TEXTJOIN(",",TRUE,B120:E120),SF_Output!$Q$1:$Q$400,"monthly"))</f>
        <v>0</v>
      </c>
      <c r="W120" s="112" t="str" cm="1">
        <f t="array" ref="W120">_xlfn.IFS(OR(B120=0,B120="",V120=0),"",AF120&lt;&gt;"exclusion",MAX($W$9,$W$7,(-(SUMIFS(SF_Output!$T$1:$T$400,SF_Output!$AC$1:$AC$400,_xlfn.TEXTJOIN(",",TRUE,$B120:$E120),SF_Output!$Q$1:$Q$400,"monthly"))/V120)),AF120="exclusion",-(SUMIFS(SF_Output!$T$1:$T$400,SF_Output!$AC$1:$AC$400,_xlfn.TEXTJOIN(",",TRUE,$B120:$E120),SF_Output!$Q$1:$Q$400,"monthly"))/V120)</f>
        <v/>
      </c>
      <c r="X120" s="6" cm="1">
        <f t="array" ref="X120">IFERROR(_xlfn.IFS(V120=0,0,V120="","",W120=0,V120,OR(V120&lt;&gt;0,V120&lt;&gt;""),H120*I120),V120*(1-W120))</f>
        <v>0</v>
      </c>
    </row>
    <row r="121" spans="2:24" x14ac:dyDescent="0.25">
      <c r="B121" t="s">
        <v>2400</v>
      </c>
      <c r="C121" t="s">
        <v>2122</v>
      </c>
      <c r="D121" t="s">
        <v>2207</v>
      </c>
      <c r="E121" t="s">
        <v>2124</v>
      </c>
      <c r="F121" s="116" t="str">
        <f t="shared" si="4"/>
        <v>Included</v>
      </c>
      <c r="G121" t="str">
        <f>IF(B121="","",INDEX(SF_Output!$K$1:$K$400,MATCH(B121,SF_Output!$M$1:$M$400,0)))</f>
        <v>Card Processing Solutions (CPS)</v>
      </c>
      <c r="H121" cm="1">
        <f t="array" ref="H121">_xlfn.IFS(B121="","",(SUMIFS(SF_Output!$F$1:$F$400,SF_Output!$AC$1:$AC$400,_xlfn.TEXTJOIN(",",TRUE,B121:E121))+SUMIFS(SF_Output!$G$1:$G$400,SF_Output!$AC$1:$AC$400,_xlfn.TEXTJOIN(",",TRUE,B121:E121)))&lt;&gt;0,SF_Output!$Y$2,INDEX(SF_Output!$F$1:$F$400,MATCH(_xlfn.TEXTJOIN(",",TRUE,B121:E121),SF_Output!$AC$1:$AC$400,0))=0,INDEX(SF_Output!$R$1:$R$400,MATCH(_xlfn.TEXTJOIN(",",TRUE,B121:E121),SF_Output!$AC$1:$AC$400,0)))</f>
        <v>1</v>
      </c>
      <c r="I121" s="125" t="str">
        <f>IFERROR(IF(AND(H121&gt;1,H121&lt;&gt;""),ROUND(SUMIFS(SF_Output!$S$1:$S$400,SF_Output!$AC$1:$AC$400,_xlfn.TEXTJOIN(",",TRUE,B121:E121),SF_Output!$Q$1:$Q$400,"monthly")*(1-W121)/H121,4),""),"")</f>
        <v/>
      </c>
      <c r="J121" s="6">
        <f>IF(B121="","",SUMIFS(SF_Output!$S$1:$S$400,SF_Output!$AC$1:$AC$400,_xlfn.TEXTJOIN(",",TRUE,B121:E121),SF_Output!$Q$1:$Q$400,"One Time",SF_Output!$L$1:$L$400,"license fee")+SUMIFS(SF_Output!$S$1:$S$400,SF_Output!$AC$1:$AC$400,_xlfn.TEXTJOIN(",",TRUE,B121:E121),SF_Output!$Q$1:$Q$400,"One Time",SF_Output!$L$1:$L$400,"software license")+SUMIFS(SF_Output!$S$1:$S$400,SF_Output!$AC$1:$AC$400,_xlfn.TEXTJOIN(",",TRUE,B121:E121),SF_Output!$Q$1:$Q$400,"One Time",SF_Output!$L$1:$L$400,"hardware"))</f>
        <v>0</v>
      </c>
      <c r="K121" s="112" t="str">
        <f>IF(OR(B121=0,B121="",G121="hardware",J121=0),"",IF(AF121&lt;&gt;"exclusion",MAX(K$9,-((SUMIFS(SF_Output!$T$1:$T$400,SF_Output!$AC$1:$AC$400,_xlfn.TEXTJOIN(",",TRUE,$B121:$E121),SF_Output!$Q$1:$Q$400,"One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license"))/J121)),-((SUMIFS(SF_Output!$T$1:$T$400,SF_Output!$AC$1:$AC$400,_xlfn.TEXTJOIN(",",TRUE,$B121:$E121),SF_Output!$Q$1:$Q$400,"One Time",SF_Output!$L$1:$L$400,"license fee")+SUMIFS(SF_Output!$T$1:$T$400,SF_Output!$AC$1:$AC$400,_xlfn.TEXTJOIN(",",TRUE,$B121:$E121),SF_Output!$Q$1:$Q$400,"One Time",SF_Output!$L$1:$L$400,"software license"))/J121)))</f>
        <v/>
      </c>
      <c r="L121" s="6">
        <f t="shared" si="5"/>
        <v>0</v>
      </c>
      <c r="N121" s="6">
        <f>IF(B121="","",SUMIFS(SF_Output!$S$1:$S$400,SF_Output!$AC$1:$AC$400,_xlfn.TEXTJOIN(",",TRUE,B121:E121),SF_Output!$Q$1:$Q$400,"One Time",SF_Output!$L$1:$L$400,"professional service"))</f>
        <v>16000</v>
      </c>
      <c r="O121" s="112">
        <f>IF(OR(B121=0,B121="",N121=0),"",IF(AF121&lt;&gt;"exclusion",MAX(O$9,-(SUMIFS(SF_Output!$T$1:$T$400,SF_Output!$AC$1:$AC$400,_xlfn.TEXTJOIN(",",TRUE,$B121:$E121),SF_Output!$Q$1:$Q$400,"One Time",SF_Output!$L$1:$L$400,"professional service"))/N121),-((SUMIFS(SF_Output!$T$1:$T$400,SF_Output!$AC$1:$AC$400,_xlfn.TEXTJOIN(",",TRUE,$B121:$E121),SF_Output!$Q$1:$Q$400,"One Time",SF_Output!$L$1:$L$400,"professional service")/N121))))</f>
        <v>1</v>
      </c>
      <c r="P121" s="6">
        <f t="shared" si="6"/>
        <v>0</v>
      </c>
      <c r="R121" s="6">
        <f>IF(B121="","",SUMIFS(SF_Output!$S$1:$S$400,SF_Output!$AC$1:$AC$400,_xlfn.TEXTJOIN(",",TRUE,B121:E121),SF_Output!$Q$1:$Q$400,"yearly")+SUMIFS(SF_Output!$S$1:$S$400,SF_Output!$AC$1:$AC$400,_xlfn.TEXTJOIN(",",TRUE,B121:E121),SF_Output!$Q$1:$Q$400,"quarterly")*4)</f>
        <v>0</v>
      </c>
      <c r="S121" s="112" t="str">
        <f>IF(OR(B121=0,B121="",G121="hardware",R121=0),"",IF(AF121&lt;&gt;"exclusion",MAX(S$9,-(SUMIFS(SF_Output!$T$1:$T$400,SF_Output!$AC$1:$AC$400,_xlfn.TEXTJOIN(",",TRUE,$B121:$E121),SF_Output!$Q$1:$Q$400,"yearly"))/R121),-((SUMIFS(SF_Output!$T$1:$T$400,SF_Output!$AC$1:$AC$400,_xlfn.TEXTJOIN(",",TRUE,$B121:$E121),SF_Output!$Q$1:$Q$400,"yearly")/R121))))</f>
        <v/>
      </c>
      <c r="T121" s="6">
        <f t="shared" si="7"/>
        <v>0</v>
      </c>
      <c r="V121" s="6" cm="1">
        <f t="array" ref="V121">_xlfn.IFS(B121="","",AND(B121&lt;&gt;"",H121=SF_Output!$Y$2,SUMIFS(SF_Output!$T$1:$T$400,SF_Output!$AC$1:$AC$400,_xlfn.TEXTJOIN(",",TRUE,B121:E121),SF_Output!$Q$1:$Q$400,"monthly")=0),(SUMIFS(SF_Output!$F$1:$F$400,SF_Output!$AC$1:$AC$400,_xlfn.TEXTJOIN(",",TRUE,B121:E121),SF_Output!$Q$1:$Q$400,"monthly")+SUMIFS(SF_Output!$G$1:$G$400,SF_Output!$AC$1:$AC$400,_xlfn.TEXTJOIN(",",TRUE,B121:E121),SF_Output!$Q$1:$Q$400,"monthly"))*H121,AND(B121&lt;&gt;"",H121=SF_Output!$Y$2,SUMIFS(SF_Output!$T$1:$T$400,SF_Output!$AC$1:$AC$400,_xlfn.TEXTJOIN(",",TRUE,B121:E121),SF_Output!$Q$1:$Q$400,"monthly")&lt;&gt;0),SUMIFS(SF_Output!$S$1:$S$400,SF_Output!$AC$1:$AC$400,_xlfn.TEXTJOIN(",",TRUE,B121:E121),SF_Output!$Q$1:$Q$400,"monthly"),AND(B121&lt;&gt;"",H121&lt;&gt;SF_Output!$Y$2),SUMIFS(SF_Output!$S$1:$S$400,SF_Output!$AC$1:$AC$400,_xlfn.TEXTJOIN(",",TRUE,B121:E121),SF_Output!$Q$1:$Q$400,"monthly"))</f>
        <v>0</v>
      </c>
      <c r="W121" s="112" t="str" cm="1">
        <f t="array" ref="W121">_xlfn.IFS(OR(B121=0,B121="",V121=0),"",AF121&lt;&gt;"exclusion",MAX($W$9,$W$7,(-(SUMIFS(SF_Output!$T$1:$T$400,SF_Output!$AC$1:$AC$400,_xlfn.TEXTJOIN(",",TRUE,$B121:$E121),SF_Output!$Q$1:$Q$400,"monthly"))/V121)),AF121="exclusion",-(SUMIFS(SF_Output!$T$1:$T$400,SF_Output!$AC$1:$AC$400,_xlfn.TEXTJOIN(",",TRUE,$B121:$E121),SF_Output!$Q$1:$Q$400,"monthly"))/V121)</f>
        <v/>
      </c>
      <c r="X121" s="6" cm="1">
        <f t="array" ref="X121">IFERROR(_xlfn.IFS(V121=0,0,V121="","",W121=0,V121,OR(V121&lt;&gt;0,V121&lt;&gt;""),H121*I121),V121*(1-W121))</f>
        <v>0</v>
      </c>
    </row>
    <row r="122" spans="2:24" x14ac:dyDescent="0.25">
      <c r="B122" t="s">
        <v>2402</v>
      </c>
      <c r="C122" t="s">
        <v>2122</v>
      </c>
      <c r="D122" t="s">
        <v>2207</v>
      </c>
      <c r="E122" t="s">
        <v>2124</v>
      </c>
      <c r="F122" s="116" t="str">
        <f t="shared" si="4"/>
        <v>Included</v>
      </c>
      <c r="G122" t="str">
        <f>IF(B122="","",INDEX(SF_Output!$K$1:$K$400,MATCH(B122,SF_Output!$M$1:$M$400,0)))</f>
        <v>Card Processing Solutions (CPS)</v>
      </c>
      <c r="H122" cm="1">
        <f t="array" ref="H122">_xlfn.IFS(B122="","",(SUMIFS(SF_Output!$F$1:$F$400,SF_Output!$AC$1:$AC$400,_xlfn.TEXTJOIN(",",TRUE,B122:E122))+SUMIFS(SF_Output!$G$1:$G$400,SF_Output!$AC$1:$AC$400,_xlfn.TEXTJOIN(",",TRUE,B122:E122)))&lt;&gt;0,SF_Output!$Y$2,INDEX(SF_Output!$F$1:$F$400,MATCH(_xlfn.TEXTJOIN(",",TRUE,B122:E122),SF_Output!$AC$1:$AC$400,0))=0,INDEX(SF_Output!$R$1:$R$400,MATCH(_xlfn.TEXTJOIN(",",TRUE,B122:E122),SF_Output!$AC$1:$AC$400,0)))</f>
        <v>2</v>
      </c>
      <c r="I122" s="125" t="str">
        <f>IFERROR(IF(AND(H122&gt;1,H122&lt;&gt;""),ROUND(SUMIFS(SF_Output!$S$1:$S$400,SF_Output!$AC$1:$AC$400,_xlfn.TEXTJOIN(",",TRUE,B122:E122),SF_Output!$Q$1:$Q$400,"monthly")*(1-W122)/H122,4),""),"")</f>
        <v/>
      </c>
      <c r="J122" s="6">
        <f>IF(B122="","",SUMIFS(SF_Output!$S$1:$S$400,SF_Output!$AC$1:$AC$400,_xlfn.TEXTJOIN(",",TRUE,B122:E122),SF_Output!$Q$1:$Q$400,"One Time",SF_Output!$L$1:$L$400,"license fee")+SUMIFS(SF_Output!$S$1:$S$400,SF_Output!$AC$1:$AC$400,_xlfn.TEXTJOIN(",",TRUE,B122:E122),SF_Output!$Q$1:$Q$400,"One Time",SF_Output!$L$1:$L$400,"software license")+SUMIFS(SF_Output!$S$1:$S$400,SF_Output!$AC$1:$AC$400,_xlfn.TEXTJOIN(",",TRUE,B122:E122),SF_Output!$Q$1:$Q$400,"One Time",SF_Output!$L$1:$L$400,"hardware"))</f>
        <v>0</v>
      </c>
      <c r="K122" s="112" t="str">
        <f>IF(OR(B122=0,B122="",G122="hardware",J122=0),"",IF(AF122&lt;&gt;"exclusion",MAX(K$9,-((SUMIFS(SF_Output!$T$1:$T$400,SF_Output!$AC$1:$AC$400,_xlfn.TEXTJOIN(",",TRUE,$B122:$E122),SF_Output!$Q$1:$Q$400,"One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license"))/J122)),-((SUMIFS(SF_Output!$T$1:$T$400,SF_Output!$AC$1:$AC$400,_xlfn.TEXTJOIN(",",TRUE,$B122:$E122),SF_Output!$Q$1:$Q$400,"One Time",SF_Output!$L$1:$L$400,"license fee")+SUMIFS(SF_Output!$T$1:$T$400,SF_Output!$AC$1:$AC$400,_xlfn.TEXTJOIN(",",TRUE,$B122:$E122),SF_Output!$Q$1:$Q$400,"One Time",SF_Output!$L$1:$L$400,"software license"))/J122)))</f>
        <v/>
      </c>
      <c r="L122" s="6">
        <f t="shared" si="5"/>
        <v>0</v>
      </c>
      <c r="N122" s="6">
        <f>IF(B122="","",SUMIFS(SF_Output!$S$1:$S$400,SF_Output!$AC$1:$AC$400,_xlfn.TEXTJOIN(",",TRUE,B122:E122),SF_Output!$Q$1:$Q$400,"One Time",SF_Output!$L$1:$L$400,"professional service"))</f>
        <v>3000</v>
      </c>
      <c r="O122" s="112">
        <f>IF(OR(B122=0,B122="",N122=0),"",IF(AF122&lt;&gt;"exclusion",MAX(O$9,-(SUMIFS(SF_Output!$T$1:$T$400,SF_Output!$AC$1:$AC$400,_xlfn.TEXTJOIN(",",TRUE,$B122:$E122),SF_Output!$Q$1:$Q$400,"One Time",SF_Output!$L$1:$L$400,"professional service"))/N122),-((SUMIFS(SF_Output!$T$1:$T$400,SF_Output!$AC$1:$AC$400,_xlfn.TEXTJOIN(",",TRUE,$B122:$E122),SF_Output!$Q$1:$Q$400,"One Time",SF_Output!$L$1:$L$400,"professional service")/N122))))</f>
        <v>1</v>
      </c>
      <c r="P122" s="6">
        <f t="shared" si="6"/>
        <v>0</v>
      </c>
      <c r="R122" s="6">
        <f>IF(B122="","",SUMIFS(SF_Output!$S$1:$S$400,SF_Output!$AC$1:$AC$400,_xlfn.TEXTJOIN(",",TRUE,B122:E122),SF_Output!$Q$1:$Q$400,"yearly")+SUMIFS(SF_Output!$S$1:$S$400,SF_Output!$AC$1:$AC$400,_xlfn.TEXTJOIN(",",TRUE,B122:E122),SF_Output!$Q$1:$Q$400,"quarterly")*4)</f>
        <v>0</v>
      </c>
      <c r="S122" s="112" t="str">
        <f>IF(OR(B122=0,B122="",G122="hardware",R122=0),"",IF(AF122&lt;&gt;"exclusion",MAX(S$9,-(SUMIFS(SF_Output!$T$1:$T$400,SF_Output!$AC$1:$AC$400,_xlfn.TEXTJOIN(",",TRUE,$B122:$E122),SF_Output!$Q$1:$Q$400,"yearly"))/R122),-((SUMIFS(SF_Output!$T$1:$T$400,SF_Output!$AC$1:$AC$400,_xlfn.TEXTJOIN(",",TRUE,$B122:$E122),SF_Output!$Q$1:$Q$400,"yearly")/R122))))</f>
        <v/>
      </c>
      <c r="T122" s="6">
        <f t="shared" si="7"/>
        <v>0</v>
      </c>
      <c r="V122" s="6" cm="1">
        <f t="array" ref="V122">_xlfn.IFS(B122="","",AND(B122&lt;&gt;"",H122=SF_Output!$Y$2,SUMIFS(SF_Output!$T$1:$T$400,SF_Output!$AC$1:$AC$400,_xlfn.TEXTJOIN(",",TRUE,B122:E122),SF_Output!$Q$1:$Q$400,"monthly")=0),(SUMIFS(SF_Output!$F$1:$F$400,SF_Output!$AC$1:$AC$400,_xlfn.TEXTJOIN(",",TRUE,B122:E122),SF_Output!$Q$1:$Q$400,"monthly")+SUMIFS(SF_Output!$G$1:$G$400,SF_Output!$AC$1:$AC$400,_xlfn.TEXTJOIN(",",TRUE,B122:E122),SF_Output!$Q$1:$Q$400,"monthly"))*H122,AND(B122&lt;&gt;"",H122=SF_Output!$Y$2,SUMIFS(SF_Output!$T$1:$T$400,SF_Output!$AC$1:$AC$400,_xlfn.TEXTJOIN(",",TRUE,B122:E122),SF_Output!$Q$1:$Q$400,"monthly")&lt;&gt;0),SUMIFS(SF_Output!$S$1:$S$400,SF_Output!$AC$1:$AC$400,_xlfn.TEXTJOIN(",",TRUE,B122:E122),SF_Output!$Q$1:$Q$400,"monthly"),AND(B122&lt;&gt;"",H122&lt;&gt;SF_Output!$Y$2),SUMIFS(SF_Output!$S$1:$S$400,SF_Output!$AC$1:$AC$400,_xlfn.TEXTJOIN(",",TRUE,B122:E122),SF_Output!$Q$1:$Q$400,"monthly"))</f>
        <v>0</v>
      </c>
      <c r="W122" s="112" t="str" cm="1">
        <f t="array" ref="W122">_xlfn.IFS(OR(B122=0,B122="",V122=0),"",AF122&lt;&gt;"exclusion",MAX($W$9,$W$7,(-(SUMIFS(SF_Output!$T$1:$T$400,SF_Output!$AC$1:$AC$400,_xlfn.TEXTJOIN(",",TRUE,$B122:$E122),SF_Output!$Q$1:$Q$400,"monthly"))/V122)),AF122="exclusion",-(SUMIFS(SF_Output!$T$1:$T$400,SF_Output!$AC$1:$AC$400,_xlfn.TEXTJOIN(",",TRUE,$B122:$E122),SF_Output!$Q$1:$Q$400,"monthly"))/V122)</f>
        <v/>
      </c>
      <c r="X122" s="6" cm="1">
        <f t="array" ref="X122">IFERROR(_xlfn.IFS(V122=0,0,V122="","",W122=0,V122,OR(V122&lt;&gt;0,V122&lt;&gt;""),H122*I122),V122*(1-W122))</f>
        <v>0</v>
      </c>
    </row>
    <row r="123" spans="2:24" x14ac:dyDescent="0.25">
      <c r="B123" t="s">
        <v>2473</v>
      </c>
      <c r="C123" t="s">
        <v>2122</v>
      </c>
      <c r="D123" t="s">
        <v>2207</v>
      </c>
      <c r="E123" t="s">
        <v>2124</v>
      </c>
      <c r="F123" s="116" t="str">
        <f t="shared" si="4"/>
        <v>Included</v>
      </c>
      <c r="G123" t="str">
        <f>IF(B123="","",INDEX(SF_Output!$K$1:$K$400,MATCH(B123,SF_Output!$M$1:$M$400,0)))</f>
        <v>Card Processing Solutions (CPS)</v>
      </c>
      <c r="H123" cm="1">
        <f t="array" ref="H123">_xlfn.IFS(B123="","",(SUMIFS(SF_Output!$F$1:$F$400,SF_Output!$AC$1:$AC$400,_xlfn.TEXTJOIN(",",TRUE,B123:E123))+SUMIFS(SF_Output!$G$1:$G$400,SF_Output!$AC$1:$AC$400,_xlfn.TEXTJOIN(",",TRUE,B123:E123)))&lt;&gt;0,SF_Output!$Y$2,INDEX(SF_Output!$F$1:$F$400,MATCH(_xlfn.TEXTJOIN(",",TRUE,B123:E123),SF_Output!$AC$1:$AC$400,0))=0,INDEX(SF_Output!$R$1:$R$400,MATCH(_xlfn.TEXTJOIN(",",TRUE,B123:E123),SF_Output!$AC$1:$AC$400,0)))</f>
        <v>1</v>
      </c>
      <c r="I123" s="125" t="str">
        <f>IFERROR(IF(AND(H123&gt;1,H123&lt;&gt;""),ROUND(SUMIFS(SF_Output!$S$1:$S$400,SF_Output!$AC$1:$AC$400,_xlfn.TEXTJOIN(",",TRUE,B123:E123),SF_Output!$Q$1:$Q$400,"monthly")*(1-W123)/H123,4),""),"")</f>
        <v/>
      </c>
      <c r="J123" s="6">
        <f>IF(B123="","",SUMIFS(SF_Output!$S$1:$S$400,SF_Output!$AC$1:$AC$400,_xlfn.TEXTJOIN(",",TRUE,B123:E123),SF_Output!$Q$1:$Q$400,"One Time",SF_Output!$L$1:$L$400,"license fee")+SUMIFS(SF_Output!$S$1:$S$400,SF_Output!$AC$1:$AC$400,_xlfn.TEXTJOIN(",",TRUE,B123:E123),SF_Output!$Q$1:$Q$400,"One Time",SF_Output!$L$1:$L$400,"software license")+SUMIFS(SF_Output!$S$1:$S$400,SF_Output!$AC$1:$AC$400,_xlfn.TEXTJOIN(",",TRUE,B123:E123),SF_Output!$Q$1:$Q$400,"One Time",SF_Output!$L$1:$L$400,"hardware"))</f>
        <v>0</v>
      </c>
      <c r="K123" s="112" t="str">
        <f>IF(OR(B123=0,B123="",G123="hardware",J123=0),"",IF(AF123&lt;&gt;"exclusion",MAX(K$9,-((SUMIFS(SF_Output!$T$1:$T$400,SF_Output!$AC$1:$AC$400,_xlfn.TEXTJOIN(",",TRUE,$B123:$E123),SF_Output!$Q$1:$Q$400,"One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license"))/J123)),-((SUMIFS(SF_Output!$T$1:$T$400,SF_Output!$AC$1:$AC$400,_xlfn.TEXTJOIN(",",TRUE,$B123:$E123),SF_Output!$Q$1:$Q$400,"One Time",SF_Output!$L$1:$L$400,"license fee")+SUMIFS(SF_Output!$T$1:$T$400,SF_Output!$AC$1:$AC$400,_xlfn.TEXTJOIN(",",TRUE,$B123:$E123),SF_Output!$Q$1:$Q$400,"One Time",SF_Output!$L$1:$L$400,"software license"))/J123)))</f>
        <v/>
      </c>
      <c r="L123" s="6">
        <f t="shared" si="5"/>
        <v>0</v>
      </c>
      <c r="N123" s="6">
        <f>IF(B123="","",SUMIFS(SF_Output!$S$1:$S$400,SF_Output!$AC$1:$AC$400,_xlfn.TEXTJOIN(",",TRUE,B123:E123),SF_Output!$Q$1:$Q$400,"One Time",SF_Output!$L$1:$L$400,"professional service"))</f>
        <v>5500</v>
      </c>
      <c r="O123" s="112">
        <f>IF(OR(B123=0,B123="",N123=0),"",IF(AF123&lt;&gt;"exclusion",MAX(O$9,-(SUMIFS(SF_Output!$T$1:$T$400,SF_Output!$AC$1:$AC$400,_xlfn.TEXTJOIN(",",TRUE,$B123:$E123),SF_Output!$Q$1:$Q$400,"One Time",SF_Output!$L$1:$L$400,"professional service"))/N123),-((SUMIFS(SF_Output!$T$1:$T$400,SF_Output!$AC$1:$AC$400,_xlfn.TEXTJOIN(",",TRUE,$B123:$E123),SF_Output!$Q$1:$Q$400,"One Time",SF_Output!$L$1:$L$400,"professional service")/N123))))</f>
        <v>1</v>
      </c>
      <c r="P123" s="6">
        <f t="shared" si="6"/>
        <v>0</v>
      </c>
      <c r="R123" s="6">
        <f>IF(B123="","",SUMIFS(SF_Output!$S$1:$S$400,SF_Output!$AC$1:$AC$400,_xlfn.TEXTJOIN(",",TRUE,B123:E123),SF_Output!$Q$1:$Q$400,"yearly")+SUMIFS(SF_Output!$S$1:$S$400,SF_Output!$AC$1:$AC$400,_xlfn.TEXTJOIN(",",TRUE,B123:E123),SF_Output!$Q$1:$Q$400,"quarterly")*4)</f>
        <v>0</v>
      </c>
      <c r="S123" s="112" t="str">
        <f>IF(OR(B123=0,B123="",G123="hardware",R123=0),"",IF(AF123&lt;&gt;"exclusion",MAX(S$9,-(SUMIFS(SF_Output!$T$1:$T$400,SF_Output!$AC$1:$AC$400,_xlfn.TEXTJOIN(",",TRUE,$B123:$E123),SF_Output!$Q$1:$Q$400,"yearly"))/R123),-((SUMIFS(SF_Output!$T$1:$T$400,SF_Output!$AC$1:$AC$400,_xlfn.TEXTJOIN(",",TRUE,$B123:$E123),SF_Output!$Q$1:$Q$400,"yearly")/R123))))</f>
        <v/>
      </c>
      <c r="T123" s="6">
        <f t="shared" si="7"/>
        <v>0</v>
      </c>
      <c r="V123" s="6" cm="1">
        <f t="array" ref="V123">_xlfn.IFS(B123="","",AND(B123&lt;&gt;"",H123=SF_Output!$Y$2,SUMIFS(SF_Output!$T$1:$T$400,SF_Output!$AC$1:$AC$400,_xlfn.TEXTJOIN(",",TRUE,B123:E123),SF_Output!$Q$1:$Q$400,"monthly")=0),(SUMIFS(SF_Output!$F$1:$F$400,SF_Output!$AC$1:$AC$400,_xlfn.TEXTJOIN(",",TRUE,B123:E123),SF_Output!$Q$1:$Q$400,"monthly")+SUMIFS(SF_Output!$G$1:$G$400,SF_Output!$AC$1:$AC$400,_xlfn.TEXTJOIN(",",TRUE,B123:E123),SF_Output!$Q$1:$Q$400,"monthly"))*H123,AND(B123&lt;&gt;"",H123=SF_Output!$Y$2,SUMIFS(SF_Output!$T$1:$T$400,SF_Output!$AC$1:$AC$400,_xlfn.TEXTJOIN(",",TRUE,B123:E123),SF_Output!$Q$1:$Q$400,"monthly")&lt;&gt;0),SUMIFS(SF_Output!$S$1:$S$400,SF_Output!$AC$1:$AC$400,_xlfn.TEXTJOIN(",",TRUE,B123:E123),SF_Output!$Q$1:$Q$400,"monthly"),AND(B123&lt;&gt;"",H123&lt;&gt;SF_Output!$Y$2),SUMIFS(SF_Output!$S$1:$S$400,SF_Output!$AC$1:$AC$400,_xlfn.TEXTJOIN(",",TRUE,B123:E123),SF_Output!$Q$1:$Q$400,"monthly"))</f>
        <v>405</v>
      </c>
      <c r="W123" s="112" cm="1">
        <f t="array" ref="W123">_xlfn.IFS(OR(B123=0,B123="",V123=0),"",AF123&lt;&gt;"exclusion",MAX($W$9,$W$7,(-(SUMIFS(SF_Output!$T$1:$T$400,SF_Output!$AC$1:$AC$400,_xlfn.TEXTJOIN(",",TRUE,$B123:$E123),SF_Output!$Q$1:$Q$400,"monthly"))/V123)),AF123="exclusion",-(SUMIFS(SF_Output!$T$1:$T$400,SF_Output!$AC$1:$AC$400,_xlfn.TEXTJOIN(",",TRUE,$B123:$E123),SF_Output!$Q$1:$Q$400,"monthly"))/V123)</f>
        <v>0</v>
      </c>
      <c r="X123" s="6" cm="1">
        <f t="array" ref="X123">IFERROR(_xlfn.IFS(V123=0,0,V123="","",W123=0,V123,OR(V123&lt;&gt;0,V123&lt;&gt;""),H123*I123),V123*(1-W123))</f>
        <v>405</v>
      </c>
    </row>
    <row r="124" spans="2:24" x14ac:dyDescent="0.25">
      <c r="B124" t="s">
        <v>2406</v>
      </c>
      <c r="C124" t="s">
        <v>2122</v>
      </c>
      <c r="D124" t="s">
        <v>2207</v>
      </c>
      <c r="E124" t="s">
        <v>2124</v>
      </c>
      <c r="F124" s="116" t="str">
        <f t="shared" si="4"/>
        <v>Included</v>
      </c>
      <c r="G124" t="str">
        <f>IF(B124="","",INDEX(SF_Output!$K$1:$K$400,MATCH(B124,SF_Output!$M$1:$M$400,0)))</f>
        <v>Card Processing Solutions (CPS)</v>
      </c>
      <c r="H124" cm="1">
        <f t="array" ref="H124">_xlfn.IFS(B124="","",(SUMIFS(SF_Output!$F$1:$F$400,SF_Output!$AC$1:$AC$400,_xlfn.TEXTJOIN(",",TRUE,B124:E124))+SUMIFS(SF_Output!$G$1:$G$400,SF_Output!$AC$1:$AC$400,_xlfn.TEXTJOIN(",",TRUE,B124:E124)))&lt;&gt;0,SF_Output!$Y$2,INDEX(SF_Output!$F$1:$F$400,MATCH(_xlfn.TEXTJOIN(",",TRUE,B124:E124),SF_Output!$AC$1:$AC$400,0))=0,INDEX(SF_Output!$R$1:$R$400,MATCH(_xlfn.TEXTJOIN(",",TRUE,B124:E124),SF_Output!$AC$1:$AC$400,0)))</f>
        <v>0</v>
      </c>
      <c r="I124" s="125" t="str">
        <f>IFERROR(IF(AND(H124&gt;1,H124&lt;&gt;""),ROUND(SUMIFS(SF_Output!$S$1:$S$400,SF_Output!$AC$1:$AC$400,_xlfn.TEXTJOIN(",",TRUE,B124:E124),SF_Output!$Q$1:$Q$400,"monthly")*(1-W124)/H124,4),""),"")</f>
        <v/>
      </c>
      <c r="J124" s="6">
        <f>IF(B124="","",SUMIFS(SF_Output!$S$1:$S$400,SF_Output!$AC$1:$AC$400,_xlfn.TEXTJOIN(",",TRUE,B124:E124),SF_Output!$Q$1:$Q$400,"One Time",SF_Output!$L$1:$L$400,"license fee")+SUMIFS(SF_Output!$S$1:$S$400,SF_Output!$AC$1:$AC$400,_xlfn.TEXTJOIN(",",TRUE,B124:E124),SF_Output!$Q$1:$Q$400,"One Time",SF_Output!$L$1:$L$400,"software license")+SUMIFS(SF_Output!$S$1:$S$400,SF_Output!$AC$1:$AC$400,_xlfn.TEXTJOIN(",",TRUE,B124:E124),SF_Output!$Q$1:$Q$400,"One Time",SF_Output!$L$1:$L$400,"hardware"))</f>
        <v>0</v>
      </c>
      <c r="K124" s="112" t="str">
        <f>IF(OR(B124=0,B124="",G124="hardware",J124=0),"",IF(AF124&lt;&gt;"exclusion",MAX(K$9,-((SUMIFS(SF_Output!$T$1:$T$400,SF_Output!$AC$1:$AC$400,_xlfn.TEXTJOIN(",",TRUE,$B124:$E124),SF_Output!$Q$1:$Q$400,"One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license"))/J124)),-((SUMIFS(SF_Output!$T$1:$T$400,SF_Output!$AC$1:$AC$400,_xlfn.TEXTJOIN(",",TRUE,$B124:$E124),SF_Output!$Q$1:$Q$400,"One Time",SF_Output!$L$1:$L$400,"license fee")+SUMIFS(SF_Output!$T$1:$T$400,SF_Output!$AC$1:$AC$400,_xlfn.TEXTJOIN(",",TRUE,$B124:$E124),SF_Output!$Q$1:$Q$400,"One Time",SF_Output!$L$1:$L$400,"software license"))/J124)))</f>
        <v/>
      </c>
      <c r="L124" s="6">
        <f t="shared" si="5"/>
        <v>0</v>
      </c>
      <c r="N124" s="6">
        <f>IF(B124="","",SUMIFS(SF_Output!$S$1:$S$400,SF_Output!$AC$1:$AC$400,_xlfn.TEXTJOIN(",",TRUE,B124:E124),SF_Output!$Q$1:$Q$400,"One Time",SF_Output!$L$1:$L$400,"professional service"))</f>
        <v>0</v>
      </c>
      <c r="O124" s="112" t="str">
        <f>IF(OR(B124=0,B124="",N124=0),"",IF(AF124&lt;&gt;"exclusion",MAX(O$9,-(SUMIFS(SF_Output!$T$1:$T$400,SF_Output!$AC$1:$AC$400,_xlfn.TEXTJOIN(",",TRUE,$B124:$E124),SF_Output!$Q$1:$Q$400,"One Time",SF_Output!$L$1:$L$400,"professional service"))/N124),-((SUMIFS(SF_Output!$T$1:$T$400,SF_Output!$AC$1:$AC$400,_xlfn.TEXTJOIN(",",TRUE,$B124:$E124),SF_Output!$Q$1:$Q$400,"One Time",SF_Output!$L$1:$L$400,"professional service")/N124))))</f>
        <v/>
      </c>
      <c r="P124" s="6">
        <f t="shared" si="6"/>
        <v>0</v>
      </c>
      <c r="R124" s="6">
        <f>IF(B124="","",SUMIFS(SF_Output!$S$1:$S$400,SF_Output!$AC$1:$AC$400,_xlfn.TEXTJOIN(",",TRUE,B124:E124),SF_Output!$Q$1:$Q$400,"yearly")+SUMIFS(SF_Output!$S$1:$S$400,SF_Output!$AC$1:$AC$400,_xlfn.TEXTJOIN(",",TRUE,B124:E124),SF_Output!$Q$1:$Q$400,"quarterly")*4)</f>
        <v>0</v>
      </c>
      <c r="S124" s="112" t="str">
        <f>IF(OR(B124=0,B124="",G124="hardware",R124=0),"",IF(AF124&lt;&gt;"exclusion",MAX(S$9,-(SUMIFS(SF_Output!$T$1:$T$400,SF_Output!$AC$1:$AC$400,_xlfn.TEXTJOIN(",",TRUE,$B124:$E124),SF_Output!$Q$1:$Q$400,"yearly"))/R124),-((SUMIFS(SF_Output!$T$1:$T$400,SF_Output!$AC$1:$AC$400,_xlfn.TEXTJOIN(",",TRUE,$B124:$E124),SF_Output!$Q$1:$Q$400,"yearly")/R124))))</f>
        <v/>
      </c>
      <c r="T124" s="6">
        <f t="shared" si="7"/>
        <v>0</v>
      </c>
      <c r="V124" s="6" cm="1">
        <f t="array" ref="V124">_xlfn.IFS(B124="","",AND(B124&lt;&gt;"",H124=SF_Output!$Y$2,SUMIFS(SF_Output!$T$1:$T$400,SF_Output!$AC$1:$AC$400,_xlfn.TEXTJOIN(",",TRUE,B124:E124),SF_Output!$Q$1:$Q$400,"monthly")=0),(SUMIFS(SF_Output!$F$1:$F$400,SF_Output!$AC$1:$AC$400,_xlfn.TEXTJOIN(",",TRUE,B124:E124),SF_Output!$Q$1:$Q$400,"monthly")+SUMIFS(SF_Output!$G$1:$G$400,SF_Output!$AC$1:$AC$400,_xlfn.TEXTJOIN(",",TRUE,B124:E124),SF_Output!$Q$1:$Q$400,"monthly"))*H124,AND(B124&lt;&gt;"",H124=SF_Output!$Y$2,SUMIFS(SF_Output!$T$1:$T$400,SF_Output!$AC$1:$AC$400,_xlfn.TEXTJOIN(",",TRUE,B124:E124),SF_Output!$Q$1:$Q$400,"monthly")&lt;&gt;0),SUMIFS(SF_Output!$S$1:$S$400,SF_Output!$AC$1:$AC$400,_xlfn.TEXTJOIN(",",TRUE,B124:E124),SF_Output!$Q$1:$Q$400,"monthly"),AND(B124&lt;&gt;"",H124&lt;&gt;SF_Output!$Y$2),SUMIFS(SF_Output!$S$1:$S$400,SF_Output!$AC$1:$AC$400,_xlfn.TEXTJOIN(",",TRUE,B124:E124),SF_Output!$Q$1:$Q$400,"monthly"))</f>
        <v>0</v>
      </c>
      <c r="W124" s="112" t="str" cm="1">
        <f t="array" ref="W124">_xlfn.IFS(OR(B124=0,B124="",V124=0),"",AF124&lt;&gt;"exclusion",MAX($W$9,$W$7,(-(SUMIFS(SF_Output!$T$1:$T$400,SF_Output!$AC$1:$AC$400,_xlfn.TEXTJOIN(",",TRUE,$B124:$E124),SF_Output!$Q$1:$Q$400,"monthly"))/V124)),AF124="exclusion",-(SUMIFS(SF_Output!$T$1:$T$400,SF_Output!$AC$1:$AC$400,_xlfn.TEXTJOIN(",",TRUE,$B124:$E124),SF_Output!$Q$1:$Q$400,"monthly"))/V124)</f>
        <v/>
      </c>
      <c r="X124" s="6" cm="1">
        <f t="array" ref="X124">IFERROR(_xlfn.IFS(V124=0,0,V124="","",W124=0,V124,OR(V124&lt;&gt;0,V124&lt;&gt;""),H124*I124),V124*(1-W124))</f>
        <v>0</v>
      </c>
    </row>
    <row r="125" spans="2:24" x14ac:dyDescent="0.25">
      <c r="B125" t="s">
        <v>2408</v>
      </c>
      <c r="C125" t="s">
        <v>2122</v>
      </c>
      <c r="D125" t="s">
        <v>2207</v>
      </c>
      <c r="E125" t="s">
        <v>2124</v>
      </c>
      <c r="F125" s="116" t="str">
        <f t="shared" si="4"/>
        <v>Included</v>
      </c>
      <c r="G125" t="str">
        <f>IF(B125="","",INDEX(SF_Output!$K$1:$K$400,MATCH(B125,SF_Output!$M$1:$M$400,0)))</f>
        <v>Card Processing Solutions (CPS)</v>
      </c>
      <c r="H125" cm="1">
        <f t="array" ref="H125">_xlfn.IFS(B125="","",(SUMIFS(SF_Output!$F$1:$F$400,SF_Output!$AC$1:$AC$400,_xlfn.TEXTJOIN(",",TRUE,B125:E125))+SUMIFS(SF_Output!$G$1:$G$400,SF_Output!$AC$1:$AC$400,_xlfn.TEXTJOIN(",",TRUE,B125:E125)))&lt;&gt;0,SF_Output!$Y$2,INDEX(SF_Output!$F$1:$F$400,MATCH(_xlfn.TEXTJOIN(",",TRUE,B125:E125),SF_Output!$AC$1:$AC$400,0))=0,INDEX(SF_Output!$R$1:$R$400,MATCH(_xlfn.TEXTJOIN(",",TRUE,B125:E125),SF_Output!$AC$1:$AC$400,0)))</f>
        <v>0</v>
      </c>
      <c r="I125" s="125" t="str">
        <f>IFERROR(IF(AND(H125&gt;1,H125&lt;&gt;""),ROUND(SUMIFS(SF_Output!$S$1:$S$400,SF_Output!$AC$1:$AC$400,_xlfn.TEXTJOIN(",",TRUE,B125:E125),SF_Output!$Q$1:$Q$400,"monthly")*(1-W125)/H125,4),""),"")</f>
        <v/>
      </c>
      <c r="J125" s="6">
        <f>IF(B125="","",SUMIFS(SF_Output!$S$1:$S$400,SF_Output!$AC$1:$AC$400,_xlfn.TEXTJOIN(",",TRUE,B125:E125),SF_Output!$Q$1:$Q$400,"One Time",SF_Output!$L$1:$L$400,"license fee")+SUMIFS(SF_Output!$S$1:$S$400,SF_Output!$AC$1:$AC$400,_xlfn.TEXTJOIN(",",TRUE,B125:E125),SF_Output!$Q$1:$Q$400,"One Time",SF_Output!$L$1:$L$400,"software license")+SUMIFS(SF_Output!$S$1:$S$400,SF_Output!$AC$1:$AC$400,_xlfn.TEXTJOIN(",",TRUE,B125:E125),SF_Output!$Q$1:$Q$400,"One Time",SF_Output!$L$1:$L$400,"hardware"))</f>
        <v>0</v>
      </c>
      <c r="K125" s="112" t="str">
        <f>IF(OR(B125=0,B125="",G125="hardware",J125=0),"",IF(AF125&lt;&gt;"exclusion",MAX(K$9,-((SUMIFS(SF_Output!$T$1:$T$400,SF_Output!$AC$1:$AC$400,_xlfn.TEXTJOIN(",",TRUE,$B125:$E125),SF_Output!$Q$1:$Q$400,"One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license"))/J125)),-((SUMIFS(SF_Output!$T$1:$T$400,SF_Output!$AC$1:$AC$400,_xlfn.TEXTJOIN(",",TRUE,$B125:$E125),SF_Output!$Q$1:$Q$400,"One Time",SF_Output!$L$1:$L$400,"license fee")+SUMIFS(SF_Output!$T$1:$T$400,SF_Output!$AC$1:$AC$400,_xlfn.TEXTJOIN(",",TRUE,$B125:$E125),SF_Output!$Q$1:$Q$400,"One Time",SF_Output!$L$1:$L$400,"software license"))/J125)))</f>
        <v/>
      </c>
      <c r="L125" s="6">
        <f t="shared" si="5"/>
        <v>0</v>
      </c>
      <c r="N125" s="6">
        <f>IF(B125="","",SUMIFS(SF_Output!$S$1:$S$400,SF_Output!$AC$1:$AC$400,_xlfn.TEXTJOIN(",",TRUE,B125:E125),SF_Output!$Q$1:$Q$400,"One Time",SF_Output!$L$1:$L$400,"professional service"))</f>
        <v>0</v>
      </c>
      <c r="O125" s="112" t="str">
        <f>IF(OR(B125=0,B125="",N125=0),"",IF(AF125&lt;&gt;"exclusion",MAX(O$9,-(SUMIFS(SF_Output!$T$1:$T$400,SF_Output!$AC$1:$AC$400,_xlfn.TEXTJOIN(",",TRUE,$B125:$E125),SF_Output!$Q$1:$Q$400,"One Time",SF_Output!$L$1:$L$400,"professional service"))/N125),-((SUMIFS(SF_Output!$T$1:$T$400,SF_Output!$AC$1:$AC$400,_xlfn.TEXTJOIN(",",TRUE,$B125:$E125),SF_Output!$Q$1:$Q$400,"One Time",SF_Output!$L$1:$L$400,"professional service")/N125))))</f>
        <v/>
      </c>
      <c r="P125" s="6">
        <f t="shared" si="6"/>
        <v>0</v>
      </c>
      <c r="R125" s="6">
        <f>IF(B125="","",SUMIFS(SF_Output!$S$1:$S$400,SF_Output!$AC$1:$AC$400,_xlfn.TEXTJOIN(",",TRUE,B125:E125),SF_Output!$Q$1:$Q$400,"yearly")+SUMIFS(SF_Output!$S$1:$S$400,SF_Output!$AC$1:$AC$400,_xlfn.TEXTJOIN(",",TRUE,B125:E125),SF_Output!$Q$1:$Q$400,"quarterly")*4)</f>
        <v>0</v>
      </c>
      <c r="S125" s="112" t="str">
        <f>IF(OR(B125=0,B125="",G125="hardware",R125=0),"",IF(AF125&lt;&gt;"exclusion",MAX(S$9,-(SUMIFS(SF_Output!$T$1:$T$400,SF_Output!$AC$1:$AC$400,_xlfn.TEXTJOIN(",",TRUE,$B125:$E125),SF_Output!$Q$1:$Q$400,"yearly"))/R125),-((SUMIFS(SF_Output!$T$1:$T$400,SF_Output!$AC$1:$AC$400,_xlfn.TEXTJOIN(",",TRUE,$B125:$E125),SF_Output!$Q$1:$Q$400,"yearly")/R125))))</f>
        <v/>
      </c>
      <c r="T125" s="6">
        <f t="shared" si="7"/>
        <v>0</v>
      </c>
      <c r="V125" s="6" cm="1">
        <f t="array" ref="V125">_xlfn.IFS(B125="","",AND(B125&lt;&gt;"",H125=SF_Output!$Y$2,SUMIFS(SF_Output!$T$1:$T$400,SF_Output!$AC$1:$AC$400,_xlfn.TEXTJOIN(",",TRUE,B125:E125),SF_Output!$Q$1:$Q$400,"monthly")=0),(SUMIFS(SF_Output!$F$1:$F$400,SF_Output!$AC$1:$AC$400,_xlfn.TEXTJOIN(",",TRUE,B125:E125),SF_Output!$Q$1:$Q$400,"monthly")+SUMIFS(SF_Output!$G$1:$G$400,SF_Output!$AC$1:$AC$400,_xlfn.TEXTJOIN(",",TRUE,B125:E125),SF_Output!$Q$1:$Q$400,"monthly"))*H125,AND(B125&lt;&gt;"",H125=SF_Output!$Y$2,SUMIFS(SF_Output!$T$1:$T$400,SF_Output!$AC$1:$AC$400,_xlfn.TEXTJOIN(",",TRUE,B125:E125),SF_Output!$Q$1:$Q$400,"monthly")&lt;&gt;0),SUMIFS(SF_Output!$S$1:$S$400,SF_Output!$AC$1:$AC$400,_xlfn.TEXTJOIN(",",TRUE,B125:E125),SF_Output!$Q$1:$Q$400,"monthly"),AND(B125&lt;&gt;"",H125&lt;&gt;SF_Output!$Y$2),SUMIFS(SF_Output!$S$1:$S$400,SF_Output!$AC$1:$AC$400,_xlfn.TEXTJOIN(",",TRUE,B125:E125),SF_Output!$Q$1:$Q$400,"monthly"))</f>
        <v>0</v>
      </c>
      <c r="W125" s="112" t="str" cm="1">
        <f t="array" ref="W125">_xlfn.IFS(OR(B125=0,B125="",V125=0),"",AF125&lt;&gt;"exclusion",MAX($W$9,$W$7,(-(SUMIFS(SF_Output!$T$1:$T$400,SF_Output!$AC$1:$AC$400,_xlfn.TEXTJOIN(",",TRUE,$B125:$E125),SF_Output!$Q$1:$Q$400,"monthly"))/V125)),AF125="exclusion",-(SUMIFS(SF_Output!$T$1:$T$400,SF_Output!$AC$1:$AC$400,_xlfn.TEXTJOIN(",",TRUE,$B125:$E125),SF_Output!$Q$1:$Q$400,"monthly"))/V125)</f>
        <v/>
      </c>
      <c r="X125" s="6" cm="1">
        <f t="array" ref="X125">IFERROR(_xlfn.IFS(V125=0,0,V125="","",W125=0,V125,OR(V125&lt;&gt;0,V125&lt;&gt;""),H125*I125),V125*(1-W125))</f>
        <v>0</v>
      </c>
    </row>
    <row r="126" spans="2:24" x14ac:dyDescent="0.25">
      <c r="B126" t="s">
        <v>2410</v>
      </c>
      <c r="C126" t="s">
        <v>2122</v>
      </c>
      <c r="D126" t="s">
        <v>2207</v>
      </c>
      <c r="E126" t="s">
        <v>2124</v>
      </c>
      <c r="F126" s="116" t="str">
        <f t="shared" si="4"/>
        <v>Included</v>
      </c>
      <c r="G126" t="str">
        <f>IF(B126="","",INDEX(SF_Output!$K$1:$K$400,MATCH(B126,SF_Output!$M$1:$M$400,0)))</f>
        <v>Card Processing Solutions (CPS)</v>
      </c>
      <c r="H126" cm="1">
        <f t="array" ref="H126">_xlfn.IFS(B126="","",(SUMIFS(SF_Output!$F$1:$F$400,SF_Output!$AC$1:$AC$400,_xlfn.TEXTJOIN(",",TRUE,B126:E126))+SUMIFS(SF_Output!$G$1:$G$400,SF_Output!$AC$1:$AC$400,_xlfn.TEXTJOIN(",",TRUE,B126:E126)))&lt;&gt;0,SF_Output!$Y$2,INDEX(SF_Output!$F$1:$F$400,MATCH(_xlfn.TEXTJOIN(",",TRUE,B126:E126),SF_Output!$AC$1:$AC$400,0))=0,INDEX(SF_Output!$R$1:$R$400,MATCH(_xlfn.TEXTJOIN(",",TRUE,B126:E126),SF_Output!$AC$1:$AC$400,0)))</f>
        <v>1</v>
      </c>
      <c r="I126" s="125" t="str">
        <f>IFERROR(IF(AND(H126&gt;1,H126&lt;&gt;""),ROUND(SUMIFS(SF_Output!$S$1:$S$400,SF_Output!$AC$1:$AC$400,_xlfn.TEXTJOIN(",",TRUE,B126:E126),SF_Output!$Q$1:$Q$400,"monthly")*(1-W126)/H126,4),""),"")</f>
        <v/>
      </c>
      <c r="J126" s="6">
        <f>IF(B126="","",SUMIFS(SF_Output!$S$1:$S$400,SF_Output!$AC$1:$AC$400,_xlfn.TEXTJOIN(",",TRUE,B126:E126),SF_Output!$Q$1:$Q$400,"One Time",SF_Output!$L$1:$L$400,"license fee")+SUMIFS(SF_Output!$S$1:$S$400,SF_Output!$AC$1:$AC$400,_xlfn.TEXTJOIN(",",TRUE,B126:E126),SF_Output!$Q$1:$Q$400,"One Time",SF_Output!$L$1:$L$400,"software license")+SUMIFS(SF_Output!$S$1:$S$400,SF_Output!$AC$1:$AC$400,_xlfn.TEXTJOIN(",",TRUE,B126:E126),SF_Output!$Q$1:$Q$400,"One Time",SF_Output!$L$1:$L$400,"hardware"))</f>
        <v>0</v>
      </c>
      <c r="K126" s="112" t="str">
        <f>IF(OR(B126=0,B126="",G126="hardware",J126=0),"",IF(AF126&lt;&gt;"exclusion",MAX(K$9,-((SUMIFS(SF_Output!$T$1:$T$400,SF_Output!$AC$1:$AC$400,_xlfn.TEXTJOIN(",",TRUE,$B126:$E126),SF_Output!$Q$1:$Q$400,"One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license"))/J126)),-((SUMIFS(SF_Output!$T$1:$T$400,SF_Output!$AC$1:$AC$400,_xlfn.TEXTJOIN(",",TRUE,$B126:$E126),SF_Output!$Q$1:$Q$400,"One Time",SF_Output!$L$1:$L$400,"license fee")+SUMIFS(SF_Output!$T$1:$T$400,SF_Output!$AC$1:$AC$400,_xlfn.TEXTJOIN(",",TRUE,$B126:$E126),SF_Output!$Q$1:$Q$400,"One Time",SF_Output!$L$1:$L$400,"software license"))/J126)))</f>
        <v/>
      </c>
      <c r="L126" s="6">
        <f t="shared" si="5"/>
        <v>0</v>
      </c>
      <c r="N126" s="6">
        <f>IF(B126="","",SUMIFS(SF_Output!$S$1:$S$400,SF_Output!$AC$1:$AC$400,_xlfn.TEXTJOIN(",",TRUE,B126:E126),SF_Output!$Q$1:$Q$400,"One Time",SF_Output!$L$1:$L$400,"professional service"))</f>
        <v>1500</v>
      </c>
      <c r="O126" s="112">
        <f>IF(OR(B126=0,B126="",N126=0),"",IF(AF126&lt;&gt;"exclusion",MAX(O$9,-(SUMIFS(SF_Output!$T$1:$T$400,SF_Output!$AC$1:$AC$400,_xlfn.TEXTJOIN(",",TRUE,$B126:$E126),SF_Output!$Q$1:$Q$400,"One Time",SF_Output!$L$1:$L$400,"professional service"))/N126),-((SUMIFS(SF_Output!$T$1:$T$400,SF_Output!$AC$1:$AC$400,_xlfn.TEXTJOIN(",",TRUE,$B126:$E126),SF_Output!$Q$1:$Q$400,"One Time",SF_Output!$L$1:$L$400,"professional service")/N126))))</f>
        <v>1</v>
      </c>
      <c r="P126" s="6">
        <f t="shared" si="6"/>
        <v>0</v>
      </c>
      <c r="R126" s="6">
        <f>IF(B126="","",SUMIFS(SF_Output!$S$1:$S$400,SF_Output!$AC$1:$AC$400,_xlfn.TEXTJOIN(",",TRUE,B126:E126),SF_Output!$Q$1:$Q$400,"yearly")+SUMIFS(SF_Output!$S$1:$S$400,SF_Output!$AC$1:$AC$400,_xlfn.TEXTJOIN(",",TRUE,B126:E126),SF_Output!$Q$1:$Q$400,"quarterly")*4)</f>
        <v>0</v>
      </c>
      <c r="S126" s="112" t="str">
        <f>IF(OR(B126=0,B126="",G126="hardware",R126=0),"",IF(AF126&lt;&gt;"exclusion",MAX(S$9,-(SUMIFS(SF_Output!$T$1:$T$400,SF_Output!$AC$1:$AC$400,_xlfn.TEXTJOIN(",",TRUE,$B126:$E126),SF_Output!$Q$1:$Q$400,"yearly"))/R126),-((SUMIFS(SF_Output!$T$1:$T$400,SF_Output!$AC$1:$AC$400,_xlfn.TEXTJOIN(",",TRUE,$B126:$E126),SF_Output!$Q$1:$Q$400,"yearly")/R126))))</f>
        <v/>
      </c>
      <c r="T126" s="6">
        <f t="shared" si="7"/>
        <v>0</v>
      </c>
      <c r="V126" s="6" cm="1">
        <f t="array" ref="V126">_xlfn.IFS(B126="","",AND(B126&lt;&gt;"",H126=SF_Output!$Y$2,SUMIFS(SF_Output!$T$1:$T$400,SF_Output!$AC$1:$AC$400,_xlfn.TEXTJOIN(",",TRUE,B126:E126),SF_Output!$Q$1:$Q$400,"monthly")=0),(SUMIFS(SF_Output!$F$1:$F$400,SF_Output!$AC$1:$AC$400,_xlfn.TEXTJOIN(",",TRUE,B126:E126),SF_Output!$Q$1:$Q$400,"monthly")+SUMIFS(SF_Output!$G$1:$G$400,SF_Output!$AC$1:$AC$400,_xlfn.TEXTJOIN(",",TRUE,B126:E126),SF_Output!$Q$1:$Q$400,"monthly"))*H126,AND(B126&lt;&gt;"",H126=SF_Output!$Y$2,SUMIFS(SF_Output!$T$1:$T$400,SF_Output!$AC$1:$AC$400,_xlfn.TEXTJOIN(",",TRUE,B126:E126),SF_Output!$Q$1:$Q$400,"monthly")&lt;&gt;0),SUMIFS(SF_Output!$S$1:$S$400,SF_Output!$AC$1:$AC$400,_xlfn.TEXTJOIN(",",TRUE,B126:E126),SF_Output!$Q$1:$Q$400,"monthly"),AND(B126&lt;&gt;"",H126&lt;&gt;SF_Output!$Y$2),SUMIFS(SF_Output!$S$1:$S$400,SF_Output!$AC$1:$AC$400,_xlfn.TEXTJOIN(",",TRUE,B126:E126),SF_Output!$Q$1:$Q$400,"monthly"))</f>
        <v>150</v>
      </c>
      <c r="W126" s="112" cm="1">
        <f t="array" ref="W126">_xlfn.IFS(OR(B126=0,B126="",V126=0),"",AF126&lt;&gt;"exclusion",MAX($W$9,$W$7,(-(SUMIFS(SF_Output!$T$1:$T$400,SF_Output!$AC$1:$AC$400,_xlfn.TEXTJOIN(",",TRUE,$B126:$E126),SF_Output!$Q$1:$Q$400,"monthly"))/V126)),AF126="exclusion",-(SUMIFS(SF_Output!$T$1:$T$400,SF_Output!$AC$1:$AC$400,_xlfn.TEXTJOIN(",",TRUE,$B126:$E126),SF_Output!$Q$1:$Q$400,"monthly"))/V126)</f>
        <v>1</v>
      </c>
      <c r="X126" s="6" cm="1">
        <f t="array" ref="X126">IFERROR(_xlfn.IFS(V126=0,0,V126="","",W126=0,V126,OR(V126&lt;&gt;0,V126&lt;&gt;""),H126*I126),V126*(1-W126))</f>
        <v>0</v>
      </c>
    </row>
    <row r="127" spans="2:24" x14ac:dyDescent="0.25">
      <c r="B127" t="s">
        <v>2413</v>
      </c>
      <c r="C127" t="s">
        <v>2122</v>
      </c>
      <c r="D127" t="s">
        <v>2207</v>
      </c>
      <c r="E127" t="s">
        <v>2124</v>
      </c>
      <c r="F127" s="116" t="str">
        <f t="shared" si="4"/>
        <v>Included</v>
      </c>
      <c r="G127" t="str">
        <f>IF(B127="","",INDEX(SF_Output!$K$1:$K$400,MATCH(B127,SF_Output!$M$1:$M$400,0)))</f>
        <v>Card Processing Solutions (CPS)</v>
      </c>
      <c r="H127" cm="1">
        <f t="array" ref="H127">_xlfn.IFS(B127="","",(SUMIFS(SF_Output!$F$1:$F$400,SF_Output!$AC$1:$AC$400,_xlfn.TEXTJOIN(",",TRUE,B127:E127))+SUMIFS(SF_Output!$G$1:$G$400,SF_Output!$AC$1:$AC$400,_xlfn.TEXTJOIN(",",TRUE,B127:E127)))&lt;&gt;0,SF_Output!$Y$2,INDEX(SF_Output!$F$1:$F$400,MATCH(_xlfn.TEXTJOIN(",",TRUE,B127:E127),SF_Output!$AC$1:$AC$400,0))=0,INDEX(SF_Output!$R$1:$R$400,MATCH(_xlfn.TEXTJOIN(",",TRUE,B127:E127),SF_Output!$AC$1:$AC$400,0)))</f>
        <v>0</v>
      </c>
      <c r="I127" s="125" t="str">
        <f>IFERROR(IF(AND(H127&gt;1,H127&lt;&gt;""),ROUND(SUMIFS(SF_Output!$S$1:$S$400,SF_Output!$AC$1:$AC$400,_xlfn.TEXTJOIN(",",TRUE,B127:E127),SF_Output!$Q$1:$Q$400,"monthly")*(1-W127)/H127,4),""),"")</f>
        <v/>
      </c>
      <c r="J127" s="6">
        <f>IF(B127="","",SUMIFS(SF_Output!$S$1:$S$400,SF_Output!$AC$1:$AC$400,_xlfn.TEXTJOIN(",",TRUE,B127:E127),SF_Output!$Q$1:$Q$400,"One Time",SF_Output!$L$1:$L$400,"license fee")+SUMIFS(SF_Output!$S$1:$S$400,SF_Output!$AC$1:$AC$400,_xlfn.TEXTJOIN(",",TRUE,B127:E127),SF_Output!$Q$1:$Q$400,"One Time",SF_Output!$L$1:$L$400,"software license")+SUMIFS(SF_Output!$S$1:$S$400,SF_Output!$AC$1:$AC$400,_xlfn.TEXTJOIN(",",TRUE,B127:E127),SF_Output!$Q$1:$Q$400,"One Time",SF_Output!$L$1:$L$400,"hardware"))</f>
        <v>0</v>
      </c>
      <c r="K127" s="112" t="str">
        <f>IF(OR(B127=0,B127="",G127="hardware",J127=0),"",IF(AF127&lt;&gt;"exclusion",MAX(K$9,-((SUMIFS(SF_Output!$T$1:$T$400,SF_Output!$AC$1:$AC$400,_xlfn.TEXTJOIN(",",TRUE,$B127:$E127),SF_Output!$Q$1:$Q$400,"One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license"))/J127)),-((SUMIFS(SF_Output!$T$1:$T$400,SF_Output!$AC$1:$AC$400,_xlfn.TEXTJOIN(",",TRUE,$B127:$E127),SF_Output!$Q$1:$Q$400,"One Time",SF_Output!$L$1:$L$400,"license fee")+SUMIFS(SF_Output!$T$1:$T$400,SF_Output!$AC$1:$AC$400,_xlfn.TEXTJOIN(",",TRUE,$B127:$E127),SF_Output!$Q$1:$Q$400,"One Time",SF_Output!$L$1:$L$400,"software license"))/J127)))</f>
        <v/>
      </c>
      <c r="L127" s="6">
        <f t="shared" si="5"/>
        <v>0</v>
      </c>
      <c r="N127" s="6">
        <f>IF(B127="","",SUMIFS(SF_Output!$S$1:$S$400,SF_Output!$AC$1:$AC$400,_xlfn.TEXTJOIN(",",TRUE,B127:E127),SF_Output!$Q$1:$Q$400,"One Time",SF_Output!$L$1:$L$400,"professional service"))</f>
        <v>0</v>
      </c>
      <c r="O127" s="112" t="str">
        <f>IF(OR(B127=0,B127="",N127=0),"",IF(AF127&lt;&gt;"exclusion",MAX(O$9,-(SUMIFS(SF_Output!$T$1:$T$400,SF_Output!$AC$1:$AC$400,_xlfn.TEXTJOIN(",",TRUE,$B127:$E127),SF_Output!$Q$1:$Q$400,"One Time",SF_Output!$L$1:$L$400,"professional service"))/N127),-((SUMIFS(SF_Output!$T$1:$T$400,SF_Output!$AC$1:$AC$400,_xlfn.TEXTJOIN(",",TRUE,$B127:$E127),SF_Output!$Q$1:$Q$400,"One Time",SF_Output!$L$1:$L$400,"professional service")/N127))))</f>
        <v/>
      </c>
      <c r="P127" s="6">
        <f t="shared" si="6"/>
        <v>0</v>
      </c>
      <c r="R127" s="6">
        <f>IF(B127="","",SUMIFS(SF_Output!$S$1:$S$400,SF_Output!$AC$1:$AC$400,_xlfn.TEXTJOIN(",",TRUE,B127:E127),SF_Output!$Q$1:$Q$400,"yearly")+SUMIFS(SF_Output!$S$1:$S$400,SF_Output!$AC$1:$AC$400,_xlfn.TEXTJOIN(",",TRUE,B127:E127),SF_Output!$Q$1:$Q$400,"quarterly")*4)</f>
        <v>0</v>
      </c>
      <c r="S127" s="112" t="str">
        <f>IF(OR(B127=0,B127="",G127="hardware",R127=0),"",IF(AF127&lt;&gt;"exclusion",MAX(S$9,-(SUMIFS(SF_Output!$T$1:$T$400,SF_Output!$AC$1:$AC$400,_xlfn.TEXTJOIN(",",TRUE,$B127:$E127),SF_Output!$Q$1:$Q$400,"yearly"))/R127),-((SUMIFS(SF_Output!$T$1:$T$400,SF_Output!$AC$1:$AC$400,_xlfn.TEXTJOIN(",",TRUE,$B127:$E127),SF_Output!$Q$1:$Q$400,"yearly")/R127))))</f>
        <v/>
      </c>
      <c r="T127" s="6">
        <f t="shared" si="7"/>
        <v>0</v>
      </c>
      <c r="V127" s="6" cm="1">
        <f t="array" ref="V127">_xlfn.IFS(B127="","",AND(B127&lt;&gt;"",H127=SF_Output!$Y$2,SUMIFS(SF_Output!$T$1:$T$400,SF_Output!$AC$1:$AC$400,_xlfn.TEXTJOIN(",",TRUE,B127:E127),SF_Output!$Q$1:$Q$400,"monthly")=0),(SUMIFS(SF_Output!$F$1:$F$400,SF_Output!$AC$1:$AC$400,_xlfn.TEXTJOIN(",",TRUE,B127:E127),SF_Output!$Q$1:$Q$400,"monthly")+SUMIFS(SF_Output!$G$1:$G$400,SF_Output!$AC$1:$AC$400,_xlfn.TEXTJOIN(",",TRUE,B127:E127),SF_Output!$Q$1:$Q$400,"monthly"))*H127,AND(B127&lt;&gt;"",H127=SF_Output!$Y$2,SUMIFS(SF_Output!$T$1:$T$400,SF_Output!$AC$1:$AC$400,_xlfn.TEXTJOIN(",",TRUE,B127:E127),SF_Output!$Q$1:$Q$400,"monthly")&lt;&gt;0),SUMIFS(SF_Output!$S$1:$S$400,SF_Output!$AC$1:$AC$400,_xlfn.TEXTJOIN(",",TRUE,B127:E127),SF_Output!$Q$1:$Q$400,"monthly"),AND(B127&lt;&gt;"",H127&lt;&gt;SF_Output!$Y$2),SUMIFS(SF_Output!$S$1:$S$400,SF_Output!$AC$1:$AC$400,_xlfn.TEXTJOIN(",",TRUE,B127:E127),SF_Output!$Q$1:$Q$400,"monthly"))</f>
        <v>0</v>
      </c>
      <c r="W127" s="112" t="str" cm="1">
        <f t="array" ref="W127">_xlfn.IFS(OR(B127=0,B127="",V127=0),"",AF127&lt;&gt;"exclusion",MAX($W$9,$W$7,(-(SUMIFS(SF_Output!$T$1:$T$400,SF_Output!$AC$1:$AC$400,_xlfn.TEXTJOIN(",",TRUE,$B127:$E127),SF_Output!$Q$1:$Q$400,"monthly"))/V127)),AF127="exclusion",-(SUMIFS(SF_Output!$T$1:$T$400,SF_Output!$AC$1:$AC$400,_xlfn.TEXTJOIN(",",TRUE,$B127:$E127),SF_Output!$Q$1:$Q$400,"monthly"))/V127)</f>
        <v/>
      </c>
      <c r="X127" s="6" cm="1">
        <f t="array" ref="X127">IFERROR(_xlfn.IFS(V127=0,0,V127="","",W127=0,V127,OR(V127&lt;&gt;0,V127&lt;&gt;""),H127*I127),V127*(1-W127))</f>
        <v>0</v>
      </c>
    </row>
    <row r="128" spans="2:24" x14ac:dyDescent="0.25">
      <c r="B128" t="s">
        <v>2415</v>
      </c>
      <c r="C128" t="s">
        <v>2122</v>
      </c>
      <c r="D128" t="s">
        <v>2207</v>
      </c>
      <c r="E128" t="s">
        <v>2124</v>
      </c>
      <c r="F128" s="116" t="str">
        <f t="shared" si="4"/>
        <v>Included</v>
      </c>
      <c r="G128" t="str">
        <f>IF(B128="","",INDEX(SF_Output!$K$1:$K$400,MATCH(B128,SF_Output!$M$1:$M$400,0)))</f>
        <v>Card Processing Solutions (CPS)</v>
      </c>
      <c r="H128" cm="1">
        <f t="array" ref="H128">_xlfn.IFS(B128="","",(SUMIFS(SF_Output!$F$1:$F$400,SF_Output!$AC$1:$AC$400,_xlfn.TEXTJOIN(",",TRUE,B128:E128))+SUMIFS(SF_Output!$G$1:$G$400,SF_Output!$AC$1:$AC$400,_xlfn.TEXTJOIN(",",TRUE,B128:E128)))&lt;&gt;0,SF_Output!$Y$2,INDEX(SF_Output!$F$1:$F$400,MATCH(_xlfn.TEXTJOIN(",",TRUE,B128:E128),SF_Output!$AC$1:$AC$400,0))=0,INDEX(SF_Output!$R$1:$R$400,MATCH(_xlfn.TEXTJOIN(",",TRUE,B128:E128),SF_Output!$AC$1:$AC$400,0)))</f>
        <v>1</v>
      </c>
      <c r="I128" s="125" t="str">
        <f>IFERROR(IF(AND(H128&gt;1,H128&lt;&gt;""),ROUND(SUMIFS(SF_Output!$S$1:$S$400,SF_Output!$AC$1:$AC$400,_xlfn.TEXTJOIN(",",TRUE,B128:E128),SF_Output!$Q$1:$Q$400,"monthly")*(1-W128)/H128,4),""),"")</f>
        <v/>
      </c>
      <c r="J128" s="6">
        <f>IF(B128="","",SUMIFS(SF_Output!$S$1:$S$400,SF_Output!$AC$1:$AC$400,_xlfn.TEXTJOIN(",",TRUE,B128:E128),SF_Output!$Q$1:$Q$400,"One Time",SF_Output!$L$1:$L$400,"license fee")+SUMIFS(SF_Output!$S$1:$S$400,SF_Output!$AC$1:$AC$400,_xlfn.TEXTJOIN(",",TRUE,B128:E128),SF_Output!$Q$1:$Q$400,"One Time",SF_Output!$L$1:$L$400,"software license")+SUMIFS(SF_Output!$S$1:$S$400,SF_Output!$AC$1:$AC$400,_xlfn.TEXTJOIN(",",TRUE,B128:E128),SF_Output!$Q$1:$Q$400,"One Time",SF_Output!$L$1:$L$400,"hardware"))</f>
        <v>0</v>
      </c>
      <c r="K128" s="112" t="str">
        <f>IF(OR(B128=0,B128="",G128="hardware",J128=0),"",IF(AF128&lt;&gt;"exclusion",MAX(K$9,-((SUMIFS(SF_Output!$T$1:$T$400,SF_Output!$AC$1:$AC$400,_xlfn.TEXTJOIN(",",TRUE,$B128:$E128),SF_Output!$Q$1:$Q$400,"One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license"))/J128)),-((SUMIFS(SF_Output!$T$1:$T$400,SF_Output!$AC$1:$AC$400,_xlfn.TEXTJOIN(",",TRUE,$B128:$E128),SF_Output!$Q$1:$Q$400,"One Time",SF_Output!$L$1:$L$400,"license fee")+SUMIFS(SF_Output!$T$1:$T$400,SF_Output!$AC$1:$AC$400,_xlfn.TEXTJOIN(",",TRUE,$B128:$E128),SF_Output!$Q$1:$Q$400,"One Time",SF_Output!$L$1:$L$400,"software license"))/J128)))</f>
        <v/>
      </c>
      <c r="L128" s="6">
        <f t="shared" si="5"/>
        <v>0</v>
      </c>
      <c r="N128" s="6">
        <f>IF(B128="","",SUMIFS(SF_Output!$S$1:$S$400,SF_Output!$AC$1:$AC$400,_xlfn.TEXTJOIN(",",TRUE,B128:E128),SF_Output!$Q$1:$Q$400,"One Time",SF_Output!$L$1:$L$400,"professional service"))</f>
        <v>1500</v>
      </c>
      <c r="O128" s="112">
        <f>IF(OR(B128=0,B128="",N128=0),"",IF(AF128&lt;&gt;"exclusion",MAX(O$9,-(SUMIFS(SF_Output!$T$1:$T$400,SF_Output!$AC$1:$AC$400,_xlfn.TEXTJOIN(",",TRUE,$B128:$E128),SF_Output!$Q$1:$Q$400,"One Time",SF_Output!$L$1:$L$400,"professional service"))/N128),-((SUMIFS(SF_Output!$T$1:$T$400,SF_Output!$AC$1:$AC$400,_xlfn.TEXTJOIN(",",TRUE,$B128:$E128),SF_Output!$Q$1:$Q$400,"One Time",SF_Output!$L$1:$L$400,"professional service")/N128))))</f>
        <v>1</v>
      </c>
      <c r="P128" s="6">
        <f t="shared" si="6"/>
        <v>0</v>
      </c>
      <c r="R128" s="6">
        <f>IF(B128="","",SUMIFS(SF_Output!$S$1:$S$400,SF_Output!$AC$1:$AC$400,_xlfn.TEXTJOIN(",",TRUE,B128:E128),SF_Output!$Q$1:$Q$400,"yearly")+SUMIFS(SF_Output!$S$1:$S$400,SF_Output!$AC$1:$AC$400,_xlfn.TEXTJOIN(",",TRUE,B128:E128),SF_Output!$Q$1:$Q$400,"quarterly")*4)</f>
        <v>0</v>
      </c>
      <c r="S128" s="112" t="str">
        <f>IF(OR(B128=0,B128="",G128="hardware",R128=0),"",IF(AF128&lt;&gt;"exclusion",MAX(S$9,-(SUMIFS(SF_Output!$T$1:$T$400,SF_Output!$AC$1:$AC$400,_xlfn.TEXTJOIN(",",TRUE,$B128:$E128),SF_Output!$Q$1:$Q$400,"yearly"))/R128),-((SUMIFS(SF_Output!$T$1:$T$400,SF_Output!$AC$1:$AC$400,_xlfn.TEXTJOIN(",",TRUE,$B128:$E128),SF_Output!$Q$1:$Q$400,"yearly")/R128))))</f>
        <v/>
      </c>
      <c r="T128" s="6">
        <f t="shared" si="7"/>
        <v>0</v>
      </c>
      <c r="V128" s="6" cm="1">
        <f t="array" ref="V128">_xlfn.IFS(B128="","",AND(B128&lt;&gt;"",H128=SF_Output!$Y$2,SUMIFS(SF_Output!$T$1:$T$400,SF_Output!$AC$1:$AC$400,_xlfn.TEXTJOIN(",",TRUE,B128:E128),SF_Output!$Q$1:$Q$400,"monthly")=0),(SUMIFS(SF_Output!$F$1:$F$400,SF_Output!$AC$1:$AC$400,_xlfn.TEXTJOIN(",",TRUE,B128:E128),SF_Output!$Q$1:$Q$400,"monthly")+SUMIFS(SF_Output!$G$1:$G$400,SF_Output!$AC$1:$AC$400,_xlfn.TEXTJOIN(",",TRUE,B128:E128),SF_Output!$Q$1:$Q$400,"monthly"))*H128,AND(B128&lt;&gt;"",H128=SF_Output!$Y$2,SUMIFS(SF_Output!$T$1:$T$400,SF_Output!$AC$1:$AC$400,_xlfn.TEXTJOIN(",",TRUE,B128:E128),SF_Output!$Q$1:$Q$400,"monthly")&lt;&gt;0),SUMIFS(SF_Output!$S$1:$S$400,SF_Output!$AC$1:$AC$400,_xlfn.TEXTJOIN(",",TRUE,B128:E128),SF_Output!$Q$1:$Q$400,"monthly"),AND(B128&lt;&gt;"",H128&lt;&gt;SF_Output!$Y$2),SUMIFS(SF_Output!$S$1:$S$400,SF_Output!$AC$1:$AC$400,_xlfn.TEXTJOIN(",",TRUE,B128:E128),SF_Output!$Q$1:$Q$400,"monthly"))</f>
        <v>150</v>
      </c>
      <c r="W128" s="112" cm="1">
        <f t="array" ref="W128">_xlfn.IFS(OR(B128=0,B128="",V128=0),"",AF128&lt;&gt;"exclusion",MAX($W$9,$W$7,(-(SUMIFS(SF_Output!$T$1:$T$400,SF_Output!$AC$1:$AC$400,_xlfn.TEXTJOIN(",",TRUE,$B128:$E128),SF_Output!$Q$1:$Q$400,"monthly"))/V128)),AF128="exclusion",-(SUMIFS(SF_Output!$T$1:$T$400,SF_Output!$AC$1:$AC$400,_xlfn.TEXTJOIN(",",TRUE,$B128:$E128),SF_Output!$Q$1:$Q$400,"monthly"))/V128)</f>
        <v>0</v>
      </c>
      <c r="X128" s="6" cm="1">
        <f t="array" ref="X128">IFERROR(_xlfn.IFS(V128=0,0,V128="","",W128=0,V128,OR(V128&lt;&gt;0,V128&lt;&gt;""),H128*I128),V128*(1-W128))</f>
        <v>150</v>
      </c>
    </row>
    <row r="129" spans="2:24" x14ac:dyDescent="0.25">
      <c r="B129" t="s">
        <v>2418</v>
      </c>
      <c r="C129" t="s">
        <v>2122</v>
      </c>
      <c r="D129" t="s">
        <v>2207</v>
      </c>
      <c r="E129" t="s">
        <v>2124</v>
      </c>
      <c r="F129" s="116" t="str">
        <f t="shared" si="4"/>
        <v>Included</v>
      </c>
      <c r="G129" t="str">
        <f>IF(B129="","",INDEX(SF_Output!$K$1:$K$400,MATCH(B129,SF_Output!$M$1:$M$400,0)))</f>
        <v>Card Processing Solutions (CPS)</v>
      </c>
      <c r="H129" cm="1">
        <f t="array" ref="H129">_xlfn.IFS(B129="","",(SUMIFS(SF_Output!$F$1:$F$400,SF_Output!$AC$1:$AC$400,_xlfn.TEXTJOIN(",",TRUE,B129:E129))+SUMIFS(SF_Output!$G$1:$G$400,SF_Output!$AC$1:$AC$400,_xlfn.TEXTJOIN(",",TRUE,B129:E129)))&lt;&gt;0,SF_Output!$Y$2,INDEX(SF_Output!$F$1:$F$400,MATCH(_xlfn.TEXTJOIN(",",TRUE,B129:E129),SF_Output!$AC$1:$AC$400,0))=0,INDEX(SF_Output!$R$1:$R$400,MATCH(_xlfn.TEXTJOIN(",",TRUE,B129:E129),SF_Output!$AC$1:$AC$400,0)))</f>
        <v>0</v>
      </c>
      <c r="I129" s="125" t="str">
        <f>IFERROR(IF(AND(H129&gt;1,H129&lt;&gt;""),ROUND(SUMIFS(SF_Output!$S$1:$S$400,SF_Output!$AC$1:$AC$400,_xlfn.TEXTJOIN(",",TRUE,B129:E129),SF_Output!$Q$1:$Q$400,"monthly")*(1-W129)/H129,4),""),"")</f>
        <v/>
      </c>
      <c r="J129" s="6">
        <f>IF(B129="","",SUMIFS(SF_Output!$S$1:$S$400,SF_Output!$AC$1:$AC$400,_xlfn.TEXTJOIN(",",TRUE,B129:E129),SF_Output!$Q$1:$Q$400,"One Time",SF_Output!$L$1:$L$400,"license fee")+SUMIFS(SF_Output!$S$1:$S$400,SF_Output!$AC$1:$AC$400,_xlfn.TEXTJOIN(",",TRUE,B129:E129),SF_Output!$Q$1:$Q$400,"One Time",SF_Output!$L$1:$L$400,"software license")+SUMIFS(SF_Output!$S$1:$S$400,SF_Output!$AC$1:$AC$400,_xlfn.TEXTJOIN(",",TRUE,B129:E129),SF_Output!$Q$1:$Q$400,"One Time",SF_Output!$L$1:$L$400,"hardware"))</f>
        <v>0</v>
      </c>
      <c r="K129" s="112" t="str">
        <f>IF(OR(B129=0,B129="",G129="hardware",J129=0),"",IF(AF129&lt;&gt;"exclusion",MAX(K$9,-((SUMIFS(SF_Output!$T$1:$T$400,SF_Output!$AC$1:$AC$400,_xlfn.TEXTJOIN(",",TRUE,$B129:$E129),SF_Output!$Q$1:$Q$400,"One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license"))/J129)),-((SUMIFS(SF_Output!$T$1:$T$400,SF_Output!$AC$1:$AC$400,_xlfn.TEXTJOIN(",",TRUE,$B129:$E129),SF_Output!$Q$1:$Q$400,"One Time",SF_Output!$L$1:$L$400,"license fee")+SUMIFS(SF_Output!$T$1:$T$400,SF_Output!$AC$1:$AC$400,_xlfn.TEXTJOIN(",",TRUE,$B129:$E129),SF_Output!$Q$1:$Q$400,"One Time",SF_Output!$L$1:$L$400,"software license"))/J129)))</f>
        <v/>
      </c>
      <c r="L129" s="6">
        <f t="shared" si="5"/>
        <v>0</v>
      </c>
      <c r="N129" s="6">
        <f>IF(B129="","",SUMIFS(SF_Output!$S$1:$S$400,SF_Output!$AC$1:$AC$400,_xlfn.TEXTJOIN(",",TRUE,B129:E129),SF_Output!$Q$1:$Q$400,"One Time",SF_Output!$L$1:$L$400,"professional service"))</f>
        <v>0</v>
      </c>
      <c r="O129" s="112" t="str">
        <f>IF(OR(B129=0,B129="",N129=0),"",IF(AF129&lt;&gt;"exclusion",MAX(O$9,-(SUMIFS(SF_Output!$T$1:$T$400,SF_Output!$AC$1:$AC$400,_xlfn.TEXTJOIN(",",TRUE,$B129:$E129),SF_Output!$Q$1:$Q$400,"One Time",SF_Output!$L$1:$L$400,"professional service"))/N129),-((SUMIFS(SF_Output!$T$1:$T$400,SF_Output!$AC$1:$AC$400,_xlfn.TEXTJOIN(",",TRUE,$B129:$E129),SF_Output!$Q$1:$Q$400,"One Time",SF_Output!$L$1:$L$400,"professional service")/N129))))</f>
        <v/>
      </c>
      <c r="P129" s="6">
        <f t="shared" si="6"/>
        <v>0</v>
      </c>
      <c r="R129" s="6">
        <f>IF(B129="","",SUMIFS(SF_Output!$S$1:$S$400,SF_Output!$AC$1:$AC$400,_xlfn.TEXTJOIN(",",TRUE,B129:E129),SF_Output!$Q$1:$Q$400,"yearly")+SUMIFS(SF_Output!$S$1:$S$400,SF_Output!$AC$1:$AC$400,_xlfn.TEXTJOIN(",",TRUE,B129:E129),SF_Output!$Q$1:$Q$400,"quarterly")*4)</f>
        <v>0</v>
      </c>
      <c r="S129" s="112" t="str">
        <f>IF(OR(B129=0,B129="",G129="hardware",R129=0),"",IF(AF129&lt;&gt;"exclusion",MAX(S$9,-(SUMIFS(SF_Output!$T$1:$T$400,SF_Output!$AC$1:$AC$400,_xlfn.TEXTJOIN(",",TRUE,$B129:$E129),SF_Output!$Q$1:$Q$400,"yearly"))/R129),-((SUMIFS(SF_Output!$T$1:$T$400,SF_Output!$AC$1:$AC$400,_xlfn.TEXTJOIN(",",TRUE,$B129:$E129),SF_Output!$Q$1:$Q$400,"yearly")/R129))))</f>
        <v/>
      </c>
      <c r="T129" s="6">
        <f t="shared" si="7"/>
        <v>0</v>
      </c>
      <c r="V129" s="6" cm="1">
        <f t="array" ref="V129">_xlfn.IFS(B129="","",AND(B129&lt;&gt;"",H129=SF_Output!$Y$2,SUMIFS(SF_Output!$T$1:$T$400,SF_Output!$AC$1:$AC$400,_xlfn.TEXTJOIN(",",TRUE,B129:E129),SF_Output!$Q$1:$Q$400,"monthly")=0),(SUMIFS(SF_Output!$F$1:$F$400,SF_Output!$AC$1:$AC$400,_xlfn.TEXTJOIN(",",TRUE,B129:E129),SF_Output!$Q$1:$Q$400,"monthly")+SUMIFS(SF_Output!$G$1:$G$400,SF_Output!$AC$1:$AC$400,_xlfn.TEXTJOIN(",",TRUE,B129:E129),SF_Output!$Q$1:$Q$400,"monthly"))*H129,AND(B129&lt;&gt;"",H129=SF_Output!$Y$2,SUMIFS(SF_Output!$T$1:$T$400,SF_Output!$AC$1:$AC$400,_xlfn.TEXTJOIN(",",TRUE,B129:E129),SF_Output!$Q$1:$Q$400,"monthly")&lt;&gt;0),SUMIFS(SF_Output!$S$1:$S$400,SF_Output!$AC$1:$AC$400,_xlfn.TEXTJOIN(",",TRUE,B129:E129),SF_Output!$Q$1:$Q$400,"monthly"),AND(B129&lt;&gt;"",H129&lt;&gt;SF_Output!$Y$2),SUMIFS(SF_Output!$S$1:$S$400,SF_Output!$AC$1:$AC$400,_xlfn.TEXTJOIN(",",TRUE,B129:E129),SF_Output!$Q$1:$Q$400,"monthly"))</f>
        <v>0</v>
      </c>
      <c r="W129" s="112" t="str" cm="1">
        <f t="array" ref="W129">_xlfn.IFS(OR(B129=0,B129="",V129=0),"",AF129&lt;&gt;"exclusion",MAX($W$9,$W$7,(-(SUMIFS(SF_Output!$T$1:$T$400,SF_Output!$AC$1:$AC$400,_xlfn.TEXTJOIN(",",TRUE,$B129:$E129),SF_Output!$Q$1:$Q$400,"monthly"))/V129)),AF129="exclusion",-(SUMIFS(SF_Output!$T$1:$T$400,SF_Output!$AC$1:$AC$400,_xlfn.TEXTJOIN(",",TRUE,$B129:$E129),SF_Output!$Q$1:$Q$400,"monthly"))/V129)</f>
        <v/>
      </c>
      <c r="X129" s="6" cm="1">
        <f t="array" ref="X129">IFERROR(_xlfn.IFS(V129=0,0,V129="","",W129=0,V129,OR(V129&lt;&gt;0,V129&lt;&gt;""),H129*I129),V129*(1-W129))</f>
        <v>0</v>
      </c>
    </row>
    <row r="130" spans="2:24" x14ac:dyDescent="0.25">
      <c r="B130" t="s">
        <v>2420</v>
      </c>
      <c r="C130" t="s">
        <v>2122</v>
      </c>
      <c r="D130" t="s">
        <v>2207</v>
      </c>
      <c r="E130" t="s">
        <v>2124</v>
      </c>
      <c r="F130" s="116" t="str">
        <f t="shared" si="4"/>
        <v>Included</v>
      </c>
      <c r="G130" t="str">
        <f>IF(B130="","",INDEX(SF_Output!$K$1:$K$400,MATCH(B130,SF_Output!$M$1:$M$400,0)))</f>
        <v>Card Processing Solutions (CPS)</v>
      </c>
      <c r="H130" cm="1">
        <f t="array" ref="H130">_xlfn.IFS(B130="","",(SUMIFS(SF_Output!$F$1:$F$400,SF_Output!$AC$1:$AC$400,_xlfn.TEXTJOIN(",",TRUE,B130:E130))+SUMIFS(SF_Output!$G$1:$G$400,SF_Output!$AC$1:$AC$400,_xlfn.TEXTJOIN(",",TRUE,B130:E130)))&lt;&gt;0,SF_Output!$Y$2,INDEX(SF_Output!$F$1:$F$400,MATCH(_xlfn.TEXTJOIN(",",TRUE,B130:E130),SF_Output!$AC$1:$AC$400,0))=0,INDEX(SF_Output!$R$1:$R$400,MATCH(_xlfn.TEXTJOIN(",",TRUE,B130:E130),SF_Output!$AC$1:$AC$400,0)))</f>
        <v>0</v>
      </c>
      <c r="I130" s="125" t="str">
        <f>IFERROR(IF(AND(H130&gt;1,H130&lt;&gt;""),ROUND(SUMIFS(SF_Output!$S$1:$S$400,SF_Output!$AC$1:$AC$400,_xlfn.TEXTJOIN(",",TRUE,B130:E130),SF_Output!$Q$1:$Q$400,"monthly")*(1-W130)/H130,4),""),"")</f>
        <v/>
      </c>
      <c r="J130" s="6">
        <f>IF(B130="","",SUMIFS(SF_Output!$S$1:$S$400,SF_Output!$AC$1:$AC$400,_xlfn.TEXTJOIN(",",TRUE,B130:E130),SF_Output!$Q$1:$Q$400,"One Time",SF_Output!$L$1:$L$400,"license fee")+SUMIFS(SF_Output!$S$1:$S$400,SF_Output!$AC$1:$AC$400,_xlfn.TEXTJOIN(",",TRUE,B130:E130),SF_Output!$Q$1:$Q$400,"One Time",SF_Output!$L$1:$L$400,"software license")+SUMIFS(SF_Output!$S$1:$S$400,SF_Output!$AC$1:$AC$400,_xlfn.TEXTJOIN(",",TRUE,B130:E130),SF_Output!$Q$1:$Q$400,"One Time",SF_Output!$L$1:$L$400,"hardware"))</f>
        <v>0</v>
      </c>
      <c r="K130" s="112" t="str">
        <f>IF(OR(B130=0,B130="",G130="hardware",J130=0),"",IF(AF130&lt;&gt;"exclusion",MAX(K$9,-((SUMIFS(SF_Output!$T$1:$T$400,SF_Output!$AC$1:$AC$400,_xlfn.TEXTJOIN(",",TRUE,$B130:$E130),SF_Output!$Q$1:$Q$400,"One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license"))/J130)),-((SUMIFS(SF_Output!$T$1:$T$400,SF_Output!$AC$1:$AC$400,_xlfn.TEXTJOIN(",",TRUE,$B130:$E130),SF_Output!$Q$1:$Q$400,"One Time",SF_Output!$L$1:$L$400,"license fee")+SUMIFS(SF_Output!$T$1:$T$400,SF_Output!$AC$1:$AC$400,_xlfn.TEXTJOIN(",",TRUE,$B130:$E130),SF_Output!$Q$1:$Q$400,"One Time",SF_Output!$L$1:$L$400,"software license"))/J130)))</f>
        <v/>
      </c>
      <c r="L130" s="6">
        <f t="shared" si="5"/>
        <v>0</v>
      </c>
      <c r="N130" s="6">
        <f>IF(B130="","",SUMIFS(SF_Output!$S$1:$S$400,SF_Output!$AC$1:$AC$400,_xlfn.TEXTJOIN(",",TRUE,B130:E130),SF_Output!$Q$1:$Q$400,"One Time",SF_Output!$L$1:$L$400,"professional service"))</f>
        <v>1000</v>
      </c>
      <c r="O130" s="112">
        <f>IF(OR(B130=0,B130="",N130=0),"",IF(AF130&lt;&gt;"exclusion",MAX(O$9,-(SUMIFS(SF_Output!$T$1:$T$400,SF_Output!$AC$1:$AC$400,_xlfn.TEXTJOIN(",",TRUE,$B130:$E130),SF_Output!$Q$1:$Q$400,"One Time",SF_Output!$L$1:$L$400,"professional service"))/N130),-((SUMIFS(SF_Output!$T$1:$T$400,SF_Output!$AC$1:$AC$400,_xlfn.TEXTJOIN(",",TRUE,$B130:$E130),SF_Output!$Q$1:$Q$400,"One Time",SF_Output!$L$1:$L$400,"professional service")/N130))))</f>
        <v>1</v>
      </c>
      <c r="P130" s="6">
        <f t="shared" si="6"/>
        <v>0</v>
      </c>
      <c r="R130" s="6">
        <f>IF(B130="","",SUMIFS(SF_Output!$S$1:$S$400,SF_Output!$AC$1:$AC$400,_xlfn.TEXTJOIN(",",TRUE,B130:E130),SF_Output!$Q$1:$Q$400,"yearly")+SUMIFS(SF_Output!$S$1:$S$400,SF_Output!$AC$1:$AC$400,_xlfn.TEXTJOIN(",",TRUE,B130:E130),SF_Output!$Q$1:$Q$400,"quarterly")*4)</f>
        <v>0</v>
      </c>
      <c r="S130" s="112" t="str">
        <f>IF(OR(B130=0,B130="",G130="hardware",R130=0),"",IF(AF130&lt;&gt;"exclusion",MAX(S$9,-(SUMIFS(SF_Output!$T$1:$T$400,SF_Output!$AC$1:$AC$400,_xlfn.TEXTJOIN(",",TRUE,$B130:$E130),SF_Output!$Q$1:$Q$400,"yearly"))/R130),-((SUMIFS(SF_Output!$T$1:$T$400,SF_Output!$AC$1:$AC$400,_xlfn.TEXTJOIN(",",TRUE,$B130:$E130),SF_Output!$Q$1:$Q$400,"yearly")/R130))))</f>
        <v/>
      </c>
      <c r="T130" s="6">
        <f t="shared" si="7"/>
        <v>0</v>
      </c>
      <c r="V130" s="6" cm="1">
        <f t="array" ref="V130">_xlfn.IFS(B130="","",AND(B130&lt;&gt;"",H130=SF_Output!$Y$2,SUMIFS(SF_Output!$T$1:$T$400,SF_Output!$AC$1:$AC$400,_xlfn.TEXTJOIN(",",TRUE,B130:E130),SF_Output!$Q$1:$Q$400,"monthly")=0),(SUMIFS(SF_Output!$F$1:$F$400,SF_Output!$AC$1:$AC$400,_xlfn.TEXTJOIN(",",TRUE,B130:E130),SF_Output!$Q$1:$Q$400,"monthly")+SUMIFS(SF_Output!$G$1:$G$400,SF_Output!$AC$1:$AC$400,_xlfn.TEXTJOIN(",",TRUE,B130:E130),SF_Output!$Q$1:$Q$400,"monthly"))*H130,AND(B130&lt;&gt;"",H130=SF_Output!$Y$2,SUMIFS(SF_Output!$T$1:$T$400,SF_Output!$AC$1:$AC$400,_xlfn.TEXTJOIN(",",TRUE,B130:E130),SF_Output!$Q$1:$Q$400,"monthly")&lt;&gt;0),SUMIFS(SF_Output!$S$1:$S$400,SF_Output!$AC$1:$AC$400,_xlfn.TEXTJOIN(",",TRUE,B130:E130),SF_Output!$Q$1:$Q$400,"monthly"),AND(B130&lt;&gt;"",H130&lt;&gt;SF_Output!$Y$2),SUMIFS(SF_Output!$S$1:$S$400,SF_Output!$AC$1:$AC$400,_xlfn.TEXTJOIN(",",TRUE,B130:E130),SF_Output!$Q$1:$Q$400,"monthly"))</f>
        <v>0</v>
      </c>
      <c r="W130" s="112" t="str" cm="1">
        <f t="array" ref="W130">_xlfn.IFS(OR(B130=0,B130="",V130=0),"",AF130&lt;&gt;"exclusion",MAX($W$9,$W$7,(-(SUMIFS(SF_Output!$T$1:$T$400,SF_Output!$AC$1:$AC$400,_xlfn.TEXTJOIN(",",TRUE,$B130:$E130),SF_Output!$Q$1:$Q$400,"monthly"))/V130)),AF130="exclusion",-(SUMIFS(SF_Output!$T$1:$T$400,SF_Output!$AC$1:$AC$400,_xlfn.TEXTJOIN(",",TRUE,$B130:$E130),SF_Output!$Q$1:$Q$400,"monthly"))/V130)</f>
        <v/>
      </c>
      <c r="X130" s="6" cm="1">
        <f t="array" ref="X130">IFERROR(_xlfn.IFS(V130=0,0,V130="","",W130=0,V130,OR(V130&lt;&gt;0,V130&lt;&gt;""),H130*I130),V130*(1-W130))</f>
        <v>0</v>
      </c>
    </row>
    <row r="131" spans="2:24" x14ac:dyDescent="0.25">
      <c r="B131" t="s">
        <v>2423</v>
      </c>
      <c r="C131" t="s">
        <v>2122</v>
      </c>
      <c r="D131" t="s">
        <v>2207</v>
      </c>
      <c r="E131" t="s">
        <v>2124</v>
      </c>
      <c r="F131" s="116" t="str">
        <f t="shared" si="4"/>
        <v>Included</v>
      </c>
      <c r="G131" t="str">
        <f>IF(B131="","",INDEX(SF_Output!$K$1:$K$400,MATCH(B131,SF_Output!$M$1:$M$400,0)))</f>
        <v>Card Processing Solutions (CPS)</v>
      </c>
      <c r="H131" cm="1">
        <f t="array" ref="H131">_xlfn.IFS(B131="","",(SUMIFS(SF_Output!$F$1:$F$400,SF_Output!$AC$1:$AC$400,_xlfn.TEXTJOIN(",",TRUE,B131:E131))+SUMIFS(SF_Output!$G$1:$G$400,SF_Output!$AC$1:$AC$400,_xlfn.TEXTJOIN(",",TRUE,B131:E131)))&lt;&gt;0,SF_Output!$Y$2,INDEX(SF_Output!$F$1:$F$400,MATCH(_xlfn.TEXTJOIN(",",TRUE,B131:E131),SF_Output!$AC$1:$AC$400,0))=0,INDEX(SF_Output!$R$1:$R$400,MATCH(_xlfn.TEXTJOIN(",",TRUE,B131:E131),SF_Output!$AC$1:$AC$400,0)))</f>
        <v>0</v>
      </c>
      <c r="I131" s="125" t="str">
        <f>IFERROR(IF(AND(H131&gt;1,H131&lt;&gt;""),ROUND(SUMIFS(SF_Output!$S$1:$S$400,SF_Output!$AC$1:$AC$400,_xlfn.TEXTJOIN(",",TRUE,B131:E131),SF_Output!$Q$1:$Q$400,"monthly")*(1-W131)/H131,4),""),"")</f>
        <v/>
      </c>
      <c r="J131" s="6">
        <f>IF(B131="","",SUMIFS(SF_Output!$S$1:$S$400,SF_Output!$AC$1:$AC$400,_xlfn.TEXTJOIN(",",TRUE,B131:E131),SF_Output!$Q$1:$Q$400,"One Time",SF_Output!$L$1:$L$400,"license fee")+SUMIFS(SF_Output!$S$1:$S$400,SF_Output!$AC$1:$AC$400,_xlfn.TEXTJOIN(",",TRUE,B131:E131),SF_Output!$Q$1:$Q$400,"One Time",SF_Output!$L$1:$L$400,"software license")+SUMIFS(SF_Output!$S$1:$S$400,SF_Output!$AC$1:$AC$400,_xlfn.TEXTJOIN(",",TRUE,B131:E131),SF_Output!$Q$1:$Q$400,"One Time",SF_Output!$L$1:$L$400,"hardware"))</f>
        <v>0</v>
      </c>
      <c r="K131" s="112" t="str">
        <f>IF(OR(B131=0,B131="",G131="hardware",J131=0),"",IF(AF131&lt;&gt;"exclusion",MAX(K$9,-((SUMIFS(SF_Output!$T$1:$T$400,SF_Output!$AC$1:$AC$400,_xlfn.TEXTJOIN(",",TRUE,$B131:$E131),SF_Output!$Q$1:$Q$400,"One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license"))/J131)),-((SUMIFS(SF_Output!$T$1:$T$400,SF_Output!$AC$1:$AC$400,_xlfn.TEXTJOIN(",",TRUE,$B131:$E131),SF_Output!$Q$1:$Q$400,"One Time",SF_Output!$L$1:$L$400,"license fee")+SUMIFS(SF_Output!$T$1:$T$400,SF_Output!$AC$1:$AC$400,_xlfn.TEXTJOIN(",",TRUE,$B131:$E131),SF_Output!$Q$1:$Q$400,"One Time",SF_Output!$L$1:$L$400,"software license"))/J131)))</f>
        <v/>
      </c>
      <c r="L131" s="6">
        <f t="shared" si="5"/>
        <v>0</v>
      </c>
      <c r="N131" s="6">
        <f>IF(B131="","",SUMIFS(SF_Output!$S$1:$S$400,SF_Output!$AC$1:$AC$400,_xlfn.TEXTJOIN(",",TRUE,B131:E131),SF_Output!$Q$1:$Q$400,"One Time",SF_Output!$L$1:$L$400,"professional service"))</f>
        <v>0</v>
      </c>
      <c r="O131" s="112" t="str">
        <f>IF(OR(B131=0,B131="",N131=0),"",IF(AF131&lt;&gt;"exclusion",MAX(O$9,-(SUMIFS(SF_Output!$T$1:$T$400,SF_Output!$AC$1:$AC$400,_xlfn.TEXTJOIN(",",TRUE,$B131:$E131),SF_Output!$Q$1:$Q$400,"One Time",SF_Output!$L$1:$L$400,"professional service"))/N131),-((SUMIFS(SF_Output!$T$1:$T$400,SF_Output!$AC$1:$AC$400,_xlfn.TEXTJOIN(",",TRUE,$B131:$E131),SF_Output!$Q$1:$Q$400,"One Time",SF_Output!$L$1:$L$400,"professional service")/N131))))</f>
        <v/>
      </c>
      <c r="P131" s="6">
        <f t="shared" si="6"/>
        <v>0</v>
      </c>
      <c r="R131" s="6">
        <f>IF(B131="","",SUMIFS(SF_Output!$S$1:$S$400,SF_Output!$AC$1:$AC$400,_xlfn.TEXTJOIN(",",TRUE,B131:E131),SF_Output!$Q$1:$Q$400,"yearly")+SUMIFS(SF_Output!$S$1:$S$400,SF_Output!$AC$1:$AC$400,_xlfn.TEXTJOIN(",",TRUE,B131:E131),SF_Output!$Q$1:$Q$400,"quarterly")*4)</f>
        <v>0</v>
      </c>
      <c r="S131" s="112" t="str">
        <f>IF(OR(B131=0,B131="",G131="hardware",R131=0),"",IF(AF131&lt;&gt;"exclusion",MAX(S$9,-(SUMIFS(SF_Output!$T$1:$T$400,SF_Output!$AC$1:$AC$400,_xlfn.TEXTJOIN(",",TRUE,$B131:$E131),SF_Output!$Q$1:$Q$400,"yearly"))/R131),-((SUMIFS(SF_Output!$T$1:$T$400,SF_Output!$AC$1:$AC$400,_xlfn.TEXTJOIN(",",TRUE,$B131:$E131),SF_Output!$Q$1:$Q$400,"yearly")/R131))))</f>
        <v/>
      </c>
      <c r="T131" s="6">
        <f t="shared" si="7"/>
        <v>0</v>
      </c>
      <c r="V131" s="6" cm="1">
        <f t="array" ref="V131">_xlfn.IFS(B131="","",AND(B131&lt;&gt;"",H131=SF_Output!$Y$2,SUMIFS(SF_Output!$T$1:$T$400,SF_Output!$AC$1:$AC$400,_xlfn.TEXTJOIN(",",TRUE,B131:E131),SF_Output!$Q$1:$Q$400,"monthly")=0),(SUMIFS(SF_Output!$F$1:$F$400,SF_Output!$AC$1:$AC$400,_xlfn.TEXTJOIN(",",TRUE,B131:E131),SF_Output!$Q$1:$Q$400,"monthly")+SUMIFS(SF_Output!$G$1:$G$400,SF_Output!$AC$1:$AC$400,_xlfn.TEXTJOIN(",",TRUE,B131:E131),SF_Output!$Q$1:$Q$400,"monthly"))*H131,AND(B131&lt;&gt;"",H131=SF_Output!$Y$2,SUMIFS(SF_Output!$T$1:$T$400,SF_Output!$AC$1:$AC$400,_xlfn.TEXTJOIN(",",TRUE,B131:E131),SF_Output!$Q$1:$Q$400,"monthly")&lt;&gt;0),SUMIFS(SF_Output!$S$1:$S$400,SF_Output!$AC$1:$AC$400,_xlfn.TEXTJOIN(",",TRUE,B131:E131),SF_Output!$Q$1:$Q$400,"monthly"),AND(B131&lt;&gt;"",H131&lt;&gt;SF_Output!$Y$2),SUMIFS(SF_Output!$S$1:$S$400,SF_Output!$AC$1:$AC$400,_xlfn.TEXTJOIN(",",TRUE,B131:E131),SF_Output!$Q$1:$Q$400,"monthly"))</f>
        <v>0</v>
      </c>
      <c r="W131" s="112" t="str" cm="1">
        <f t="array" ref="W131">_xlfn.IFS(OR(B131=0,B131="",V131=0),"",AF131&lt;&gt;"exclusion",MAX($W$9,$W$7,(-(SUMIFS(SF_Output!$T$1:$T$400,SF_Output!$AC$1:$AC$400,_xlfn.TEXTJOIN(",",TRUE,$B131:$E131),SF_Output!$Q$1:$Q$400,"monthly"))/V131)),AF131="exclusion",-(SUMIFS(SF_Output!$T$1:$T$400,SF_Output!$AC$1:$AC$400,_xlfn.TEXTJOIN(",",TRUE,$B131:$E131),SF_Output!$Q$1:$Q$400,"monthly"))/V131)</f>
        <v/>
      </c>
      <c r="X131" s="6" cm="1">
        <f t="array" ref="X131">IFERROR(_xlfn.IFS(V131=0,0,V131="","",W131=0,V131,OR(V131&lt;&gt;0,V131&lt;&gt;""),H131*I131),V131*(1-W131))</f>
        <v>0</v>
      </c>
    </row>
    <row r="132" spans="2:24" x14ac:dyDescent="0.25">
      <c r="B132" t="s">
        <v>2425</v>
      </c>
      <c r="C132" t="s">
        <v>2122</v>
      </c>
      <c r="D132" t="s">
        <v>2207</v>
      </c>
      <c r="E132" t="s">
        <v>2124</v>
      </c>
      <c r="F132" s="116" t="str">
        <f t="shared" si="4"/>
        <v>Included</v>
      </c>
      <c r="G132" t="str">
        <f>IF(B132="","",INDEX(SF_Output!$K$1:$K$400,MATCH(B132,SF_Output!$M$1:$M$400,0)))</f>
        <v>Card Processing Solutions (CPS)</v>
      </c>
      <c r="H132" cm="1">
        <f t="array" ref="H132">_xlfn.IFS(B132="","",(SUMIFS(SF_Output!$F$1:$F$400,SF_Output!$AC$1:$AC$400,_xlfn.TEXTJOIN(",",TRUE,B132:E132))+SUMIFS(SF_Output!$G$1:$G$400,SF_Output!$AC$1:$AC$400,_xlfn.TEXTJOIN(",",TRUE,B132:E132)))&lt;&gt;0,SF_Output!$Y$2,INDEX(SF_Output!$F$1:$F$400,MATCH(_xlfn.TEXTJOIN(",",TRUE,B132:E132),SF_Output!$AC$1:$AC$400,0))=0,INDEX(SF_Output!$R$1:$R$400,MATCH(_xlfn.TEXTJOIN(",",TRUE,B132:E132),SF_Output!$AC$1:$AC$400,0)))</f>
        <v>0</v>
      </c>
      <c r="I132" s="125" t="str">
        <f>IFERROR(IF(AND(H132&gt;1,H132&lt;&gt;""),ROUND(SUMIFS(SF_Output!$S$1:$S$400,SF_Output!$AC$1:$AC$400,_xlfn.TEXTJOIN(",",TRUE,B132:E132),SF_Output!$Q$1:$Q$400,"monthly")*(1-W132)/H132,4),""),"")</f>
        <v/>
      </c>
      <c r="J132" s="6">
        <f>IF(B132="","",SUMIFS(SF_Output!$S$1:$S$400,SF_Output!$AC$1:$AC$400,_xlfn.TEXTJOIN(",",TRUE,B132:E132),SF_Output!$Q$1:$Q$400,"One Time",SF_Output!$L$1:$L$400,"license fee")+SUMIFS(SF_Output!$S$1:$S$400,SF_Output!$AC$1:$AC$400,_xlfn.TEXTJOIN(",",TRUE,B132:E132),SF_Output!$Q$1:$Q$400,"One Time",SF_Output!$L$1:$L$400,"software license")+SUMIFS(SF_Output!$S$1:$S$400,SF_Output!$AC$1:$AC$400,_xlfn.TEXTJOIN(",",TRUE,B132:E132),SF_Output!$Q$1:$Q$400,"One Time",SF_Output!$L$1:$L$400,"hardware"))</f>
        <v>0</v>
      </c>
      <c r="K132" s="112" t="str">
        <f>IF(OR(B132=0,B132="",G132="hardware",J132=0),"",IF(AF132&lt;&gt;"exclusion",MAX(K$9,-((SUMIFS(SF_Output!$T$1:$T$400,SF_Output!$AC$1:$AC$400,_xlfn.TEXTJOIN(",",TRUE,$B132:$E132),SF_Output!$Q$1:$Q$400,"One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license"))/J132)),-((SUMIFS(SF_Output!$T$1:$T$400,SF_Output!$AC$1:$AC$400,_xlfn.TEXTJOIN(",",TRUE,$B132:$E132),SF_Output!$Q$1:$Q$400,"One Time",SF_Output!$L$1:$L$400,"license fee")+SUMIFS(SF_Output!$T$1:$T$400,SF_Output!$AC$1:$AC$400,_xlfn.TEXTJOIN(",",TRUE,$B132:$E132),SF_Output!$Q$1:$Q$400,"One Time",SF_Output!$L$1:$L$400,"software license"))/J132)))</f>
        <v/>
      </c>
      <c r="L132" s="6">
        <f t="shared" si="5"/>
        <v>0</v>
      </c>
      <c r="N132" s="6">
        <f>IF(B132="","",SUMIFS(SF_Output!$S$1:$S$400,SF_Output!$AC$1:$AC$400,_xlfn.TEXTJOIN(",",TRUE,B132:E132),SF_Output!$Q$1:$Q$400,"One Time",SF_Output!$L$1:$L$400,"professional service"))</f>
        <v>0</v>
      </c>
      <c r="O132" s="112" t="str">
        <f>IF(OR(B132=0,B132="",N132=0),"",IF(AF132&lt;&gt;"exclusion",MAX(O$9,-(SUMIFS(SF_Output!$T$1:$T$400,SF_Output!$AC$1:$AC$400,_xlfn.TEXTJOIN(",",TRUE,$B132:$E132),SF_Output!$Q$1:$Q$400,"One Time",SF_Output!$L$1:$L$400,"professional service"))/N132),-((SUMIFS(SF_Output!$T$1:$T$400,SF_Output!$AC$1:$AC$400,_xlfn.TEXTJOIN(",",TRUE,$B132:$E132),SF_Output!$Q$1:$Q$400,"One Time",SF_Output!$L$1:$L$400,"professional service")/N132))))</f>
        <v/>
      </c>
      <c r="P132" s="6">
        <f t="shared" si="6"/>
        <v>0</v>
      </c>
      <c r="R132" s="6">
        <f>IF(B132="","",SUMIFS(SF_Output!$S$1:$S$400,SF_Output!$AC$1:$AC$400,_xlfn.TEXTJOIN(",",TRUE,B132:E132),SF_Output!$Q$1:$Q$400,"yearly")+SUMIFS(SF_Output!$S$1:$S$400,SF_Output!$AC$1:$AC$400,_xlfn.TEXTJOIN(",",TRUE,B132:E132),SF_Output!$Q$1:$Q$400,"quarterly")*4)</f>
        <v>0</v>
      </c>
      <c r="S132" s="112" t="str">
        <f>IF(OR(B132=0,B132="",G132="hardware",R132=0),"",IF(AF132&lt;&gt;"exclusion",MAX(S$9,-(SUMIFS(SF_Output!$T$1:$T$400,SF_Output!$AC$1:$AC$400,_xlfn.TEXTJOIN(",",TRUE,$B132:$E132),SF_Output!$Q$1:$Q$400,"yearly"))/R132),-((SUMIFS(SF_Output!$T$1:$T$400,SF_Output!$AC$1:$AC$400,_xlfn.TEXTJOIN(",",TRUE,$B132:$E132),SF_Output!$Q$1:$Q$400,"yearly")/R132))))</f>
        <v/>
      </c>
      <c r="T132" s="6">
        <f t="shared" si="7"/>
        <v>0</v>
      </c>
      <c r="V132" s="6" cm="1">
        <f t="array" ref="V132">_xlfn.IFS(B132="","",AND(B132&lt;&gt;"",H132=SF_Output!$Y$2,SUMIFS(SF_Output!$T$1:$T$400,SF_Output!$AC$1:$AC$400,_xlfn.TEXTJOIN(",",TRUE,B132:E132),SF_Output!$Q$1:$Q$400,"monthly")=0),(SUMIFS(SF_Output!$F$1:$F$400,SF_Output!$AC$1:$AC$400,_xlfn.TEXTJOIN(",",TRUE,B132:E132),SF_Output!$Q$1:$Q$400,"monthly")+SUMIFS(SF_Output!$G$1:$G$400,SF_Output!$AC$1:$AC$400,_xlfn.TEXTJOIN(",",TRUE,B132:E132),SF_Output!$Q$1:$Q$400,"monthly"))*H132,AND(B132&lt;&gt;"",H132=SF_Output!$Y$2,SUMIFS(SF_Output!$T$1:$T$400,SF_Output!$AC$1:$AC$400,_xlfn.TEXTJOIN(",",TRUE,B132:E132),SF_Output!$Q$1:$Q$400,"monthly")&lt;&gt;0),SUMIFS(SF_Output!$S$1:$S$400,SF_Output!$AC$1:$AC$400,_xlfn.TEXTJOIN(",",TRUE,B132:E132),SF_Output!$Q$1:$Q$400,"monthly"),AND(B132&lt;&gt;"",H132&lt;&gt;SF_Output!$Y$2),SUMIFS(SF_Output!$S$1:$S$400,SF_Output!$AC$1:$AC$400,_xlfn.TEXTJOIN(",",TRUE,B132:E132),SF_Output!$Q$1:$Q$400,"monthly"))</f>
        <v>0</v>
      </c>
      <c r="W132" s="112" t="str" cm="1">
        <f t="array" ref="W132">_xlfn.IFS(OR(B132=0,B132="",V132=0),"",AF132&lt;&gt;"exclusion",MAX($W$9,$W$7,(-(SUMIFS(SF_Output!$T$1:$T$400,SF_Output!$AC$1:$AC$400,_xlfn.TEXTJOIN(",",TRUE,$B132:$E132),SF_Output!$Q$1:$Q$400,"monthly"))/V132)),AF132="exclusion",-(SUMIFS(SF_Output!$T$1:$T$400,SF_Output!$AC$1:$AC$400,_xlfn.TEXTJOIN(",",TRUE,$B132:$E132),SF_Output!$Q$1:$Q$400,"monthly"))/V132)</f>
        <v/>
      </c>
      <c r="X132" s="6" cm="1">
        <f t="array" ref="X132">IFERROR(_xlfn.IFS(V132=0,0,V132="","",W132=0,V132,OR(V132&lt;&gt;0,V132&lt;&gt;""),H132*I132),V132*(1-W132))</f>
        <v>0</v>
      </c>
    </row>
    <row r="133" spans="2:24" x14ac:dyDescent="0.25">
      <c r="B133" t="s">
        <v>2427</v>
      </c>
      <c r="C133" t="s">
        <v>2122</v>
      </c>
      <c r="D133" t="s">
        <v>2207</v>
      </c>
      <c r="E133" t="s">
        <v>2124</v>
      </c>
      <c r="F133" s="116" t="str">
        <f t="shared" si="4"/>
        <v>Included</v>
      </c>
      <c r="G133" t="str">
        <f>IF(B133="","",INDEX(SF_Output!$K$1:$K$400,MATCH(B133,SF_Output!$M$1:$M$400,0)))</f>
        <v>Card Processing Solutions (CPS)</v>
      </c>
      <c r="H133" cm="1">
        <f t="array" ref="H133">_xlfn.IFS(B133="","",(SUMIFS(SF_Output!$F$1:$F$400,SF_Output!$AC$1:$AC$400,_xlfn.TEXTJOIN(",",TRUE,B133:E133))+SUMIFS(SF_Output!$G$1:$G$400,SF_Output!$AC$1:$AC$400,_xlfn.TEXTJOIN(",",TRUE,B133:E133)))&lt;&gt;0,SF_Output!$Y$2,INDEX(SF_Output!$F$1:$F$400,MATCH(_xlfn.TEXTJOIN(",",TRUE,B133:E133),SF_Output!$AC$1:$AC$400,0))=0,INDEX(SF_Output!$R$1:$R$400,MATCH(_xlfn.TEXTJOIN(",",TRUE,B133:E133),SF_Output!$AC$1:$AC$400,0)))</f>
        <v>1</v>
      </c>
      <c r="I133" s="125" t="str">
        <f>IFERROR(IF(AND(H133&gt;1,H133&lt;&gt;""),ROUND(SUMIFS(SF_Output!$S$1:$S$400,SF_Output!$AC$1:$AC$400,_xlfn.TEXTJOIN(",",TRUE,B133:E133),SF_Output!$Q$1:$Q$400,"monthly")*(1-W133)/H133,4),""),"")</f>
        <v/>
      </c>
      <c r="J133" s="6">
        <f>IF(B133="","",SUMIFS(SF_Output!$S$1:$S$400,SF_Output!$AC$1:$AC$400,_xlfn.TEXTJOIN(",",TRUE,B133:E133),SF_Output!$Q$1:$Q$400,"One Time",SF_Output!$L$1:$L$400,"license fee")+SUMIFS(SF_Output!$S$1:$S$400,SF_Output!$AC$1:$AC$400,_xlfn.TEXTJOIN(",",TRUE,B133:E133),SF_Output!$Q$1:$Q$400,"One Time",SF_Output!$L$1:$L$400,"software license")+SUMIFS(SF_Output!$S$1:$S$400,SF_Output!$AC$1:$AC$400,_xlfn.TEXTJOIN(",",TRUE,B133:E133),SF_Output!$Q$1:$Q$400,"One Time",SF_Output!$L$1:$L$400,"hardware"))</f>
        <v>0</v>
      </c>
      <c r="K133" s="112" t="str">
        <f>IF(OR(B133=0,B133="",G133="hardware",J133=0),"",IF(AF133&lt;&gt;"exclusion",MAX(K$9,-((SUMIFS(SF_Output!$T$1:$T$400,SF_Output!$AC$1:$AC$400,_xlfn.TEXTJOIN(",",TRUE,$B133:$E133),SF_Output!$Q$1:$Q$400,"One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license"))/J133)),-((SUMIFS(SF_Output!$T$1:$T$400,SF_Output!$AC$1:$AC$400,_xlfn.TEXTJOIN(",",TRUE,$B133:$E133),SF_Output!$Q$1:$Q$400,"One Time",SF_Output!$L$1:$L$400,"license fee")+SUMIFS(SF_Output!$T$1:$T$400,SF_Output!$AC$1:$AC$400,_xlfn.TEXTJOIN(",",TRUE,$B133:$E133),SF_Output!$Q$1:$Q$400,"One Time",SF_Output!$L$1:$L$400,"software license"))/J133)))</f>
        <v/>
      </c>
      <c r="L133" s="6">
        <f t="shared" si="5"/>
        <v>0</v>
      </c>
      <c r="N133" s="6">
        <f>IF(B133="","",SUMIFS(SF_Output!$S$1:$S$400,SF_Output!$AC$1:$AC$400,_xlfn.TEXTJOIN(",",TRUE,B133:E133),SF_Output!$Q$1:$Q$400,"One Time",SF_Output!$L$1:$L$400,"professional service"))</f>
        <v>600</v>
      </c>
      <c r="O133" s="112">
        <f>IF(OR(B133=0,B133="",N133=0),"",IF(AF133&lt;&gt;"exclusion",MAX(O$9,-(SUMIFS(SF_Output!$T$1:$T$400,SF_Output!$AC$1:$AC$400,_xlfn.TEXTJOIN(",",TRUE,$B133:$E133),SF_Output!$Q$1:$Q$400,"One Time",SF_Output!$L$1:$L$400,"professional service"))/N133),-((SUMIFS(SF_Output!$T$1:$T$400,SF_Output!$AC$1:$AC$400,_xlfn.TEXTJOIN(",",TRUE,$B133:$E133),SF_Output!$Q$1:$Q$400,"One Time",SF_Output!$L$1:$L$400,"professional service")/N133))))</f>
        <v>1</v>
      </c>
      <c r="P133" s="6">
        <f t="shared" si="6"/>
        <v>0</v>
      </c>
      <c r="R133" s="6">
        <f>IF(B133="","",SUMIFS(SF_Output!$S$1:$S$400,SF_Output!$AC$1:$AC$400,_xlfn.TEXTJOIN(",",TRUE,B133:E133),SF_Output!$Q$1:$Q$400,"yearly")+SUMIFS(SF_Output!$S$1:$S$400,SF_Output!$AC$1:$AC$400,_xlfn.TEXTJOIN(",",TRUE,B133:E133),SF_Output!$Q$1:$Q$400,"quarterly")*4)</f>
        <v>0</v>
      </c>
      <c r="S133" s="112" t="str">
        <f>IF(OR(B133=0,B133="",G133="hardware",R133=0),"",IF(AF133&lt;&gt;"exclusion",MAX(S$9,-(SUMIFS(SF_Output!$T$1:$T$400,SF_Output!$AC$1:$AC$400,_xlfn.TEXTJOIN(",",TRUE,$B133:$E133),SF_Output!$Q$1:$Q$400,"yearly"))/R133),-((SUMIFS(SF_Output!$T$1:$T$400,SF_Output!$AC$1:$AC$400,_xlfn.TEXTJOIN(",",TRUE,$B133:$E133),SF_Output!$Q$1:$Q$400,"yearly")/R133))))</f>
        <v/>
      </c>
      <c r="T133" s="6">
        <f t="shared" si="7"/>
        <v>0</v>
      </c>
      <c r="V133" s="6" cm="1">
        <f t="array" ref="V133">_xlfn.IFS(B133="","",AND(B133&lt;&gt;"",H133=SF_Output!$Y$2,SUMIFS(SF_Output!$T$1:$T$400,SF_Output!$AC$1:$AC$400,_xlfn.TEXTJOIN(",",TRUE,B133:E133),SF_Output!$Q$1:$Q$400,"monthly")=0),(SUMIFS(SF_Output!$F$1:$F$400,SF_Output!$AC$1:$AC$400,_xlfn.TEXTJOIN(",",TRUE,B133:E133),SF_Output!$Q$1:$Q$400,"monthly")+SUMIFS(SF_Output!$G$1:$G$400,SF_Output!$AC$1:$AC$400,_xlfn.TEXTJOIN(",",TRUE,B133:E133),SF_Output!$Q$1:$Q$400,"monthly"))*H133,AND(B133&lt;&gt;"",H133=SF_Output!$Y$2,SUMIFS(SF_Output!$T$1:$T$400,SF_Output!$AC$1:$AC$400,_xlfn.TEXTJOIN(",",TRUE,B133:E133),SF_Output!$Q$1:$Q$400,"monthly")&lt;&gt;0),SUMIFS(SF_Output!$S$1:$S$400,SF_Output!$AC$1:$AC$400,_xlfn.TEXTJOIN(",",TRUE,B133:E133),SF_Output!$Q$1:$Q$400,"monthly"),AND(B133&lt;&gt;"",H133&lt;&gt;SF_Output!$Y$2),SUMIFS(SF_Output!$S$1:$S$400,SF_Output!$AC$1:$AC$400,_xlfn.TEXTJOIN(",",TRUE,B133:E133),SF_Output!$Q$1:$Q$400,"monthly"))</f>
        <v>50</v>
      </c>
      <c r="W133" s="112" cm="1">
        <f t="array" ref="W133">_xlfn.IFS(OR(B133=0,B133="",V133=0),"",AF133&lt;&gt;"exclusion",MAX($W$9,$W$7,(-(SUMIFS(SF_Output!$T$1:$T$400,SF_Output!$AC$1:$AC$400,_xlfn.TEXTJOIN(",",TRUE,$B133:$E133),SF_Output!$Q$1:$Q$400,"monthly"))/V133)),AF133="exclusion",-(SUMIFS(SF_Output!$T$1:$T$400,SF_Output!$AC$1:$AC$400,_xlfn.TEXTJOIN(",",TRUE,$B133:$E133),SF_Output!$Q$1:$Q$400,"monthly"))/V133)</f>
        <v>0</v>
      </c>
      <c r="X133" s="6" cm="1">
        <f t="array" ref="X133">IFERROR(_xlfn.IFS(V133=0,0,V133="","",W133=0,V133,OR(V133&lt;&gt;0,V133&lt;&gt;""),H133*I133),V133*(1-W133))</f>
        <v>50</v>
      </c>
    </row>
    <row r="134" spans="2:24" x14ac:dyDescent="0.25">
      <c r="B134" t="s">
        <v>1825</v>
      </c>
      <c r="C134" t="s">
        <v>2122</v>
      </c>
      <c r="D134" t="s">
        <v>2207</v>
      </c>
      <c r="E134" t="s">
        <v>2124</v>
      </c>
      <c r="F134" s="116" t="str">
        <f t="shared" si="4"/>
        <v>Included</v>
      </c>
      <c r="G134" t="str">
        <f>IF(B134="","",INDEX(SF_Output!$K$1:$K$400,MATCH(B134,SF_Output!$M$1:$M$400,0)))</f>
        <v>Card Processing Solutions (CPS)</v>
      </c>
      <c r="H134" cm="1">
        <f t="array" ref="H134">_xlfn.IFS(B134="","",(SUMIFS(SF_Output!$F$1:$F$400,SF_Output!$AC$1:$AC$400,_xlfn.TEXTJOIN(",",TRUE,B134:E134))+SUMIFS(SF_Output!$G$1:$G$400,SF_Output!$AC$1:$AC$400,_xlfn.TEXTJOIN(",",TRUE,B134:E134)))&lt;&gt;0,SF_Output!$Y$2,INDEX(SF_Output!$F$1:$F$400,MATCH(_xlfn.TEXTJOIN(",",TRUE,B134:E134),SF_Output!$AC$1:$AC$400,0))=0,INDEX(SF_Output!$R$1:$R$400,MATCH(_xlfn.TEXTJOIN(",",TRUE,B134:E134),SF_Output!$AC$1:$AC$400,0)))</f>
        <v>1</v>
      </c>
      <c r="I134" s="125" t="str">
        <f>IFERROR(IF(AND(H134&gt;1,H134&lt;&gt;""),ROUND(SUMIFS(SF_Output!$S$1:$S$400,SF_Output!$AC$1:$AC$400,_xlfn.TEXTJOIN(",",TRUE,B134:E134),SF_Output!$Q$1:$Q$400,"monthly")*(1-W134)/H134,4),""),"")</f>
        <v/>
      </c>
      <c r="J134" s="6">
        <f>IF(B134="","",SUMIFS(SF_Output!$S$1:$S$400,SF_Output!$AC$1:$AC$400,_xlfn.TEXTJOIN(",",TRUE,B134:E134),SF_Output!$Q$1:$Q$400,"One Time",SF_Output!$L$1:$L$400,"license fee")+SUMIFS(SF_Output!$S$1:$S$400,SF_Output!$AC$1:$AC$400,_xlfn.TEXTJOIN(",",TRUE,B134:E134),SF_Output!$Q$1:$Q$400,"One Time",SF_Output!$L$1:$L$400,"software license")+SUMIFS(SF_Output!$S$1:$S$400,SF_Output!$AC$1:$AC$400,_xlfn.TEXTJOIN(",",TRUE,B134:E134),SF_Output!$Q$1:$Q$400,"One Time",SF_Output!$L$1:$L$400,"hardware"))</f>
        <v>0</v>
      </c>
      <c r="K134" s="112" t="str">
        <f>IF(OR(B134=0,B134="",G134="hardware",J134=0),"",IF(AF134&lt;&gt;"exclusion",MAX(K$9,-((SUMIFS(SF_Output!$T$1:$T$400,SF_Output!$AC$1:$AC$400,_xlfn.TEXTJOIN(",",TRUE,$B134:$E134),SF_Output!$Q$1:$Q$400,"One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license"))/J134)),-((SUMIFS(SF_Output!$T$1:$T$400,SF_Output!$AC$1:$AC$400,_xlfn.TEXTJOIN(",",TRUE,$B134:$E134),SF_Output!$Q$1:$Q$400,"One Time",SF_Output!$L$1:$L$400,"license fee")+SUMIFS(SF_Output!$T$1:$T$400,SF_Output!$AC$1:$AC$400,_xlfn.TEXTJOIN(",",TRUE,$B134:$E134),SF_Output!$Q$1:$Q$400,"One Time",SF_Output!$L$1:$L$400,"software license"))/J134)))</f>
        <v/>
      </c>
      <c r="L134" s="6">
        <f t="shared" si="5"/>
        <v>0</v>
      </c>
      <c r="N134" s="6">
        <f>IF(B134="","",SUMIFS(SF_Output!$S$1:$S$400,SF_Output!$AC$1:$AC$400,_xlfn.TEXTJOIN(",",TRUE,B134:E134),SF_Output!$Q$1:$Q$400,"One Time",SF_Output!$L$1:$L$400,"professional service"))</f>
        <v>1500</v>
      </c>
      <c r="O134" s="112">
        <f>IF(OR(B134=0,B134="",N134=0),"",IF(AF134&lt;&gt;"exclusion",MAX(O$9,-(SUMIFS(SF_Output!$T$1:$T$400,SF_Output!$AC$1:$AC$400,_xlfn.TEXTJOIN(",",TRUE,$B134:$E134),SF_Output!$Q$1:$Q$400,"One Time",SF_Output!$L$1:$L$400,"professional service"))/N134),-((SUMIFS(SF_Output!$T$1:$T$400,SF_Output!$AC$1:$AC$400,_xlfn.TEXTJOIN(",",TRUE,$B134:$E134),SF_Output!$Q$1:$Q$400,"One Time",SF_Output!$L$1:$L$400,"professional service")/N134))))</f>
        <v>1</v>
      </c>
      <c r="P134" s="6">
        <f t="shared" si="6"/>
        <v>0</v>
      </c>
      <c r="R134" s="6">
        <f>IF(B134="","",SUMIFS(SF_Output!$S$1:$S$400,SF_Output!$AC$1:$AC$400,_xlfn.TEXTJOIN(",",TRUE,B134:E134),SF_Output!$Q$1:$Q$400,"yearly")+SUMIFS(SF_Output!$S$1:$S$400,SF_Output!$AC$1:$AC$400,_xlfn.TEXTJOIN(",",TRUE,B134:E134),SF_Output!$Q$1:$Q$400,"quarterly")*4)</f>
        <v>0</v>
      </c>
      <c r="S134" s="112" t="str">
        <f>IF(OR(B134=0,B134="",G134="hardware",R134=0),"",IF(AF134&lt;&gt;"exclusion",MAX(S$9,-(SUMIFS(SF_Output!$T$1:$T$400,SF_Output!$AC$1:$AC$400,_xlfn.TEXTJOIN(",",TRUE,$B134:$E134),SF_Output!$Q$1:$Q$400,"yearly"))/R134),-((SUMIFS(SF_Output!$T$1:$T$400,SF_Output!$AC$1:$AC$400,_xlfn.TEXTJOIN(",",TRUE,$B134:$E134),SF_Output!$Q$1:$Q$400,"yearly")/R134))))</f>
        <v/>
      </c>
      <c r="T134" s="6">
        <f t="shared" si="7"/>
        <v>0</v>
      </c>
      <c r="V134" s="6" cm="1">
        <f t="array" ref="V134">_xlfn.IFS(B134="","",AND(B134&lt;&gt;"",H134=SF_Output!$Y$2,SUMIFS(SF_Output!$T$1:$T$400,SF_Output!$AC$1:$AC$400,_xlfn.TEXTJOIN(",",TRUE,B134:E134),SF_Output!$Q$1:$Q$400,"monthly")=0),(SUMIFS(SF_Output!$F$1:$F$400,SF_Output!$AC$1:$AC$400,_xlfn.TEXTJOIN(",",TRUE,B134:E134),SF_Output!$Q$1:$Q$400,"monthly")+SUMIFS(SF_Output!$G$1:$G$400,SF_Output!$AC$1:$AC$400,_xlfn.TEXTJOIN(",",TRUE,B134:E134),SF_Output!$Q$1:$Q$400,"monthly"))*H134,AND(B134&lt;&gt;"",H134=SF_Output!$Y$2,SUMIFS(SF_Output!$T$1:$T$400,SF_Output!$AC$1:$AC$400,_xlfn.TEXTJOIN(",",TRUE,B134:E134),SF_Output!$Q$1:$Q$400,"monthly")&lt;&gt;0),SUMIFS(SF_Output!$S$1:$S$400,SF_Output!$AC$1:$AC$400,_xlfn.TEXTJOIN(",",TRUE,B134:E134),SF_Output!$Q$1:$Q$400,"monthly"),AND(B134&lt;&gt;"",H134&lt;&gt;SF_Output!$Y$2),SUMIFS(SF_Output!$S$1:$S$400,SF_Output!$AC$1:$AC$400,_xlfn.TEXTJOIN(",",TRUE,B134:E134),SF_Output!$Q$1:$Q$400,"monthly"))</f>
        <v>150</v>
      </c>
      <c r="W134" s="112" cm="1">
        <f t="array" ref="W134">_xlfn.IFS(OR(B134=0,B134="",V134=0),"",AF134&lt;&gt;"exclusion",MAX($W$9,$W$7,(-(SUMIFS(SF_Output!$T$1:$T$400,SF_Output!$AC$1:$AC$400,_xlfn.TEXTJOIN(",",TRUE,$B134:$E134),SF_Output!$Q$1:$Q$400,"monthly"))/V134)),AF134="exclusion",-(SUMIFS(SF_Output!$T$1:$T$400,SF_Output!$AC$1:$AC$400,_xlfn.TEXTJOIN(",",TRUE,$B134:$E134),SF_Output!$Q$1:$Q$400,"monthly"))/V134)</f>
        <v>0</v>
      </c>
      <c r="X134" s="6" cm="1">
        <f t="array" ref="X134">IFERROR(_xlfn.IFS(V134=0,0,V134="","",W134=0,V134,OR(V134&lt;&gt;0,V134&lt;&gt;""),H134*I134),V134*(1-W134))</f>
        <v>150</v>
      </c>
    </row>
    <row r="135" spans="2:24" x14ac:dyDescent="0.25">
      <c r="B135" t="s">
        <v>2432</v>
      </c>
      <c r="C135" t="s">
        <v>2122</v>
      </c>
      <c r="D135" t="s">
        <v>2207</v>
      </c>
      <c r="E135" t="s">
        <v>2124</v>
      </c>
      <c r="F135" s="116" t="str">
        <f t="shared" si="4"/>
        <v>Included</v>
      </c>
      <c r="G135" t="str">
        <f>IF(B135="","",INDEX(SF_Output!$K$1:$K$400,MATCH(B135,SF_Output!$M$1:$M$400,0)))</f>
        <v>Card Processing Solutions (CPS)</v>
      </c>
      <c r="H135" cm="1">
        <f t="array" ref="H135">_xlfn.IFS(B135="","",(SUMIFS(SF_Output!$F$1:$F$400,SF_Output!$AC$1:$AC$400,_xlfn.TEXTJOIN(",",TRUE,B135:E135))+SUMIFS(SF_Output!$G$1:$G$400,SF_Output!$AC$1:$AC$400,_xlfn.TEXTJOIN(",",TRUE,B135:E135)))&lt;&gt;0,SF_Output!$Y$2,INDEX(SF_Output!$F$1:$F$400,MATCH(_xlfn.TEXTJOIN(",",TRUE,B135:E135),SF_Output!$AC$1:$AC$400,0))=0,INDEX(SF_Output!$R$1:$R$400,MATCH(_xlfn.TEXTJOIN(",",TRUE,B135:E135),SF_Output!$AC$1:$AC$400,0)))</f>
        <v>0</v>
      </c>
      <c r="I135" s="125" t="str">
        <f>IFERROR(IF(AND(H135&gt;1,H135&lt;&gt;""),ROUND(SUMIFS(SF_Output!$S$1:$S$400,SF_Output!$AC$1:$AC$400,_xlfn.TEXTJOIN(",",TRUE,B135:E135),SF_Output!$Q$1:$Q$400,"monthly")*(1-W135)/H135,4),""),"")</f>
        <v/>
      </c>
      <c r="J135" s="6">
        <f>IF(B135="","",SUMIFS(SF_Output!$S$1:$S$400,SF_Output!$AC$1:$AC$400,_xlfn.TEXTJOIN(",",TRUE,B135:E135),SF_Output!$Q$1:$Q$400,"One Time",SF_Output!$L$1:$L$400,"license fee")+SUMIFS(SF_Output!$S$1:$S$400,SF_Output!$AC$1:$AC$400,_xlfn.TEXTJOIN(",",TRUE,B135:E135),SF_Output!$Q$1:$Q$400,"One Time",SF_Output!$L$1:$L$400,"software license")+SUMIFS(SF_Output!$S$1:$S$400,SF_Output!$AC$1:$AC$400,_xlfn.TEXTJOIN(",",TRUE,B135:E135),SF_Output!$Q$1:$Q$400,"One Time",SF_Output!$L$1:$L$400,"hardware"))</f>
        <v>0</v>
      </c>
      <c r="K135" s="112" t="str">
        <f>IF(OR(B135=0,B135="",G135="hardware",J135=0),"",IF(AF135&lt;&gt;"exclusion",MAX(K$9,-((SUMIFS(SF_Output!$T$1:$T$400,SF_Output!$AC$1:$AC$400,_xlfn.TEXTJOIN(",",TRUE,$B135:$E135),SF_Output!$Q$1:$Q$400,"One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license"))/J135)),-((SUMIFS(SF_Output!$T$1:$T$400,SF_Output!$AC$1:$AC$400,_xlfn.TEXTJOIN(",",TRUE,$B135:$E135),SF_Output!$Q$1:$Q$400,"One Time",SF_Output!$L$1:$L$400,"license fee")+SUMIFS(SF_Output!$T$1:$T$400,SF_Output!$AC$1:$AC$400,_xlfn.TEXTJOIN(",",TRUE,$B135:$E135),SF_Output!$Q$1:$Q$400,"One Time",SF_Output!$L$1:$L$400,"software license"))/J135)))</f>
        <v/>
      </c>
      <c r="L135" s="6">
        <f t="shared" si="5"/>
        <v>0</v>
      </c>
      <c r="N135" s="6">
        <f>IF(B135="","",SUMIFS(SF_Output!$S$1:$S$400,SF_Output!$AC$1:$AC$400,_xlfn.TEXTJOIN(",",TRUE,B135:E135),SF_Output!$Q$1:$Q$400,"One Time",SF_Output!$L$1:$L$400,"professional service"))</f>
        <v>0</v>
      </c>
      <c r="O135" s="112" t="str">
        <f>IF(OR(B135=0,B135="",N135=0),"",IF(AF135&lt;&gt;"exclusion",MAX(O$9,-(SUMIFS(SF_Output!$T$1:$T$400,SF_Output!$AC$1:$AC$400,_xlfn.TEXTJOIN(",",TRUE,$B135:$E135),SF_Output!$Q$1:$Q$400,"One Time",SF_Output!$L$1:$L$400,"professional service"))/N135),-((SUMIFS(SF_Output!$T$1:$T$400,SF_Output!$AC$1:$AC$400,_xlfn.TEXTJOIN(",",TRUE,$B135:$E135),SF_Output!$Q$1:$Q$400,"One Time",SF_Output!$L$1:$L$400,"professional service")/N135))))</f>
        <v/>
      </c>
      <c r="P135" s="6">
        <f t="shared" si="6"/>
        <v>0</v>
      </c>
      <c r="R135" s="6">
        <f>IF(B135="","",SUMIFS(SF_Output!$S$1:$S$400,SF_Output!$AC$1:$AC$400,_xlfn.TEXTJOIN(",",TRUE,B135:E135),SF_Output!$Q$1:$Q$400,"yearly")+SUMIFS(SF_Output!$S$1:$S$400,SF_Output!$AC$1:$AC$400,_xlfn.TEXTJOIN(",",TRUE,B135:E135),SF_Output!$Q$1:$Q$400,"quarterly")*4)</f>
        <v>0</v>
      </c>
      <c r="S135" s="112" t="str">
        <f>IF(OR(B135=0,B135="",G135="hardware",R135=0),"",IF(AF135&lt;&gt;"exclusion",MAX(S$9,-(SUMIFS(SF_Output!$T$1:$T$400,SF_Output!$AC$1:$AC$400,_xlfn.TEXTJOIN(",",TRUE,$B135:$E135),SF_Output!$Q$1:$Q$400,"yearly"))/R135),-((SUMIFS(SF_Output!$T$1:$T$400,SF_Output!$AC$1:$AC$400,_xlfn.TEXTJOIN(",",TRUE,$B135:$E135),SF_Output!$Q$1:$Q$400,"yearly")/R135))))</f>
        <v/>
      </c>
      <c r="T135" s="6">
        <f t="shared" si="7"/>
        <v>0</v>
      </c>
      <c r="V135" s="6" cm="1">
        <f t="array" ref="V135">_xlfn.IFS(B135="","",AND(B135&lt;&gt;"",H135=SF_Output!$Y$2,SUMIFS(SF_Output!$T$1:$T$400,SF_Output!$AC$1:$AC$400,_xlfn.TEXTJOIN(",",TRUE,B135:E135),SF_Output!$Q$1:$Q$400,"monthly")=0),(SUMIFS(SF_Output!$F$1:$F$400,SF_Output!$AC$1:$AC$400,_xlfn.TEXTJOIN(",",TRUE,B135:E135),SF_Output!$Q$1:$Q$400,"monthly")+SUMIFS(SF_Output!$G$1:$G$400,SF_Output!$AC$1:$AC$400,_xlfn.TEXTJOIN(",",TRUE,B135:E135),SF_Output!$Q$1:$Q$400,"monthly"))*H135,AND(B135&lt;&gt;"",H135=SF_Output!$Y$2,SUMIFS(SF_Output!$T$1:$T$400,SF_Output!$AC$1:$AC$400,_xlfn.TEXTJOIN(",",TRUE,B135:E135),SF_Output!$Q$1:$Q$400,"monthly")&lt;&gt;0),SUMIFS(SF_Output!$S$1:$S$400,SF_Output!$AC$1:$AC$400,_xlfn.TEXTJOIN(",",TRUE,B135:E135),SF_Output!$Q$1:$Q$400,"monthly"),AND(B135&lt;&gt;"",H135&lt;&gt;SF_Output!$Y$2),SUMIFS(SF_Output!$S$1:$S$400,SF_Output!$AC$1:$AC$400,_xlfn.TEXTJOIN(",",TRUE,B135:E135),SF_Output!$Q$1:$Q$400,"monthly"))</f>
        <v>0</v>
      </c>
      <c r="W135" s="112" t="str" cm="1">
        <f t="array" ref="W135">_xlfn.IFS(OR(B135=0,B135="",V135=0),"",AF135&lt;&gt;"exclusion",MAX($W$9,$W$7,(-(SUMIFS(SF_Output!$T$1:$T$400,SF_Output!$AC$1:$AC$400,_xlfn.TEXTJOIN(",",TRUE,$B135:$E135),SF_Output!$Q$1:$Q$400,"monthly"))/V135)),AF135="exclusion",-(SUMIFS(SF_Output!$T$1:$T$400,SF_Output!$AC$1:$AC$400,_xlfn.TEXTJOIN(",",TRUE,$B135:$E135),SF_Output!$Q$1:$Q$400,"monthly"))/V135)</f>
        <v/>
      </c>
      <c r="X135" s="6" cm="1">
        <f t="array" ref="X135">IFERROR(_xlfn.IFS(V135=0,0,V135="","",W135=0,V135,OR(V135&lt;&gt;0,V135&lt;&gt;""),H135*I135),V135*(1-W135))</f>
        <v>0</v>
      </c>
    </row>
    <row r="136" spans="2:24" x14ac:dyDescent="0.25">
      <c r="B136" t="s">
        <v>2434</v>
      </c>
      <c r="C136" t="s">
        <v>2122</v>
      </c>
      <c r="D136" t="s">
        <v>2207</v>
      </c>
      <c r="E136" t="s">
        <v>2124</v>
      </c>
      <c r="F136" s="116" t="str">
        <f t="shared" si="4"/>
        <v>Included</v>
      </c>
      <c r="G136" t="str">
        <f>IF(B136="","",INDEX(SF_Output!$K$1:$K$400,MATCH(B136,SF_Output!$M$1:$M$400,0)))</f>
        <v>Card Processing Solutions (CPS)</v>
      </c>
      <c r="H136" cm="1">
        <f t="array" ref="H136">_xlfn.IFS(B136="","",(SUMIFS(SF_Output!$F$1:$F$400,SF_Output!$AC$1:$AC$400,_xlfn.TEXTJOIN(",",TRUE,B136:E136))+SUMIFS(SF_Output!$G$1:$G$400,SF_Output!$AC$1:$AC$400,_xlfn.TEXTJOIN(",",TRUE,B136:E136)))&lt;&gt;0,SF_Output!$Y$2,INDEX(SF_Output!$F$1:$F$400,MATCH(_xlfn.TEXTJOIN(",",TRUE,B136:E136),SF_Output!$AC$1:$AC$400,0))=0,INDEX(SF_Output!$R$1:$R$400,MATCH(_xlfn.TEXTJOIN(",",TRUE,B136:E136),SF_Output!$AC$1:$AC$400,0)))</f>
        <v>0</v>
      </c>
      <c r="I136" s="125" t="str">
        <f>IFERROR(IF(AND(H136&gt;1,H136&lt;&gt;""),ROUND(SUMIFS(SF_Output!$S$1:$S$400,SF_Output!$AC$1:$AC$400,_xlfn.TEXTJOIN(",",TRUE,B136:E136),SF_Output!$Q$1:$Q$400,"monthly")*(1-W136)/H136,4),""),"")</f>
        <v/>
      </c>
      <c r="J136" s="6">
        <f>IF(B136="","",SUMIFS(SF_Output!$S$1:$S$400,SF_Output!$AC$1:$AC$400,_xlfn.TEXTJOIN(",",TRUE,B136:E136),SF_Output!$Q$1:$Q$400,"One Time",SF_Output!$L$1:$L$400,"license fee")+SUMIFS(SF_Output!$S$1:$S$400,SF_Output!$AC$1:$AC$400,_xlfn.TEXTJOIN(",",TRUE,B136:E136),SF_Output!$Q$1:$Q$400,"One Time",SF_Output!$L$1:$L$400,"software license")+SUMIFS(SF_Output!$S$1:$S$400,SF_Output!$AC$1:$AC$400,_xlfn.TEXTJOIN(",",TRUE,B136:E136),SF_Output!$Q$1:$Q$400,"One Time",SF_Output!$L$1:$L$400,"hardware"))</f>
        <v>0</v>
      </c>
      <c r="K136" s="112" t="str">
        <f>IF(OR(B136=0,B136="",G136="hardware",J136=0),"",IF(AF136&lt;&gt;"exclusion",MAX(K$9,-((SUMIFS(SF_Output!$T$1:$T$400,SF_Output!$AC$1:$AC$400,_xlfn.TEXTJOIN(",",TRUE,$B136:$E136),SF_Output!$Q$1:$Q$400,"One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license"))/J136)),-((SUMIFS(SF_Output!$T$1:$T$400,SF_Output!$AC$1:$AC$400,_xlfn.TEXTJOIN(",",TRUE,$B136:$E136),SF_Output!$Q$1:$Q$400,"One Time",SF_Output!$L$1:$L$400,"license fee")+SUMIFS(SF_Output!$T$1:$T$400,SF_Output!$AC$1:$AC$400,_xlfn.TEXTJOIN(",",TRUE,$B136:$E136),SF_Output!$Q$1:$Q$400,"One Time",SF_Output!$L$1:$L$400,"software license"))/J136)))</f>
        <v/>
      </c>
      <c r="L136" s="6">
        <f t="shared" si="5"/>
        <v>0</v>
      </c>
      <c r="N136" s="6">
        <f>IF(B136="","",SUMIFS(SF_Output!$S$1:$S$400,SF_Output!$AC$1:$AC$400,_xlfn.TEXTJOIN(",",TRUE,B136:E136),SF_Output!$Q$1:$Q$400,"One Time",SF_Output!$L$1:$L$400,"professional service"))</f>
        <v>0</v>
      </c>
      <c r="O136" s="112" t="str">
        <f>IF(OR(B136=0,B136="",N136=0),"",IF(AF136&lt;&gt;"exclusion",MAX(O$9,-(SUMIFS(SF_Output!$T$1:$T$400,SF_Output!$AC$1:$AC$400,_xlfn.TEXTJOIN(",",TRUE,$B136:$E136),SF_Output!$Q$1:$Q$400,"One Time",SF_Output!$L$1:$L$400,"professional service"))/N136),-((SUMIFS(SF_Output!$T$1:$T$400,SF_Output!$AC$1:$AC$400,_xlfn.TEXTJOIN(",",TRUE,$B136:$E136),SF_Output!$Q$1:$Q$400,"One Time",SF_Output!$L$1:$L$400,"professional service")/N136))))</f>
        <v/>
      </c>
      <c r="P136" s="6">
        <f t="shared" si="6"/>
        <v>0</v>
      </c>
      <c r="R136" s="6">
        <f>IF(B136="","",SUMIFS(SF_Output!$S$1:$S$400,SF_Output!$AC$1:$AC$400,_xlfn.TEXTJOIN(",",TRUE,B136:E136),SF_Output!$Q$1:$Q$400,"yearly")+SUMIFS(SF_Output!$S$1:$S$400,SF_Output!$AC$1:$AC$400,_xlfn.TEXTJOIN(",",TRUE,B136:E136),SF_Output!$Q$1:$Q$400,"quarterly")*4)</f>
        <v>0</v>
      </c>
      <c r="S136" s="112" t="str">
        <f>IF(OR(B136=0,B136="",G136="hardware",R136=0),"",IF(AF136&lt;&gt;"exclusion",MAX(S$9,-(SUMIFS(SF_Output!$T$1:$T$400,SF_Output!$AC$1:$AC$400,_xlfn.TEXTJOIN(",",TRUE,$B136:$E136),SF_Output!$Q$1:$Q$400,"yearly"))/R136),-((SUMIFS(SF_Output!$T$1:$T$400,SF_Output!$AC$1:$AC$400,_xlfn.TEXTJOIN(",",TRUE,$B136:$E136),SF_Output!$Q$1:$Q$400,"yearly")/R136))))</f>
        <v/>
      </c>
      <c r="T136" s="6">
        <f t="shared" si="7"/>
        <v>0</v>
      </c>
      <c r="V136" s="6" cm="1">
        <f t="array" ref="V136">_xlfn.IFS(B136="","",AND(B136&lt;&gt;"",H136=SF_Output!$Y$2,SUMIFS(SF_Output!$T$1:$T$400,SF_Output!$AC$1:$AC$400,_xlfn.TEXTJOIN(",",TRUE,B136:E136),SF_Output!$Q$1:$Q$400,"monthly")=0),(SUMIFS(SF_Output!$F$1:$F$400,SF_Output!$AC$1:$AC$400,_xlfn.TEXTJOIN(",",TRUE,B136:E136),SF_Output!$Q$1:$Q$400,"monthly")+SUMIFS(SF_Output!$G$1:$G$400,SF_Output!$AC$1:$AC$400,_xlfn.TEXTJOIN(",",TRUE,B136:E136),SF_Output!$Q$1:$Q$400,"monthly"))*H136,AND(B136&lt;&gt;"",H136=SF_Output!$Y$2,SUMIFS(SF_Output!$T$1:$T$400,SF_Output!$AC$1:$AC$400,_xlfn.TEXTJOIN(",",TRUE,B136:E136),SF_Output!$Q$1:$Q$400,"monthly")&lt;&gt;0),SUMIFS(SF_Output!$S$1:$S$400,SF_Output!$AC$1:$AC$400,_xlfn.TEXTJOIN(",",TRUE,B136:E136),SF_Output!$Q$1:$Q$400,"monthly"),AND(B136&lt;&gt;"",H136&lt;&gt;SF_Output!$Y$2),SUMIFS(SF_Output!$S$1:$S$400,SF_Output!$AC$1:$AC$400,_xlfn.TEXTJOIN(",",TRUE,B136:E136),SF_Output!$Q$1:$Q$400,"monthly"))</f>
        <v>0</v>
      </c>
      <c r="W136" s="112" t="str" cm="1">
        <f t="array" ref="W136">_xlfn.IFS(OR(B136=0,B136="",V136=0),"",AF136&lt;&gt;"exclusion",MAX($W$9,$W$7,(-(SUMIFS(SF_Output!$T$1:$T$400,SF_Output!$AC$1:$AC$400,_xlfn.TEXTJOIN(",",TRUE,$B136:$E136),SF_Output!$Q$1:$Q$400,"monthly"))/V136)),AF136="exclusion",-(SUMIFS(SF_Output!$T$1:$T$400,SF_Output!$AC$1:$AC$400,_xlfn.TEXTJOIN(",",TRUE,$B136:$E136),SF_Output!$Q$1:$Q$400,"monthly"))/V136)</f>
        <v/>
      </c>
      <c r="X136" s="6" cm="1">
        <f t="array" ref="X136">IFERROR(_xlfn.IFS(V136=0,0,V136="","",W136=0,V136,OR(V136&lt;&gt;0,V136&lt;&gt;""),H136*I136),V136*(1-W136))</f>
        <v>0</v>
      </c>
    </row>
    <row r="137" spans="2:24" x14ac:dyDescent="0.25">
      <c r="B137" t="s">
        <v>2436</v>
      </c>
      <c r="C137" t="s">
        <v>2122</v>
      </c>
      <c r="D137" t="s">
        <v>2207</v>
      </c>
      <c r="E137" t="s">
        <v>2124</v>
      </c>
      <c r="F137" s="116" t="str">
        <f t="shared" si="4"/>
        <v>Included</v>
      </c>
      <c r="G137" t="str">
        <f>IF(B137="","",INDEX(SF_Output!$K$1:$K$400,MATCH(B137,SF_Output!$M$1:$M$400,0)))</f>
        <v>Card Processing Solutions (CPS)</v>
      </c>
      <c r="H137" cm="1">
        <f t="array" ref="H137">_xlfn.IFS(B137="","",(SUMIFS(SF_Output!$F$1:$F$400,SF_Output!$AC$1:$AC$400,_xlfn.TEXTJOIN(",",TRUE,B137:E137))+SUMIFS(SF_Output!$G$1:$G$400,SF_Output!$AC$1:$AC$400,_xlfn.TEXTJOIN(",",TRUE,B137:E137)))&lt;&gt;0,SF_Output!$Y$2,INDEX(SF_Output!$F$1:$F$400,MATCH(_xlfn.TEXTJOIN(",",TRUE,B137:E137),SF_Output!$AC$1:$AC$400,0))=0,INDEX(SF_Output!$R$1:$R$400,MATCH(_xlfn.TEXTJOIN(",",TRUE,B137:E137),SF_Output!$AC$1:$AC$400,0)))</f>
        <v>0</v>
      </c>
      <c r="I137" s="125" t="str">
        <f>IFERROR(IF(AND(H137&gt;1,H137&lt;&gt;""),ROUND(SUMIFS(SF_Output!$S$1:$S$400,SF_Output!$AC$1:$AC$400,_xlfn.TEXTJOIN(",",TRUE,B137:E137),SF_Output!$Q$1:$Q$400,"monthly")*(1-W137)/H137,4),""),"")</f>
        <v/>
      </c>
      <c r="J137" s="6">
        <f>IF(B137="","",SUMIFS(SF_Output!$S$1:$S$400,SF_Output!$AC$1:$AC$400,_xlfn.TEXTJOIN(",",TRUE,B137:E137),SF_Output!$Q$1:$Q$400,"One Time",SF_Output!$L$1:$L$400,"license fee")+SUMIFS(SF_Output!$S$1:$S$400,SF_Output!$AC$1:$AC$400,_xlfn.TEXTJOIN(",",TRUE,B137:E137),SF_Output!$Q$1:$Q$400,"One Time",SF_Output!$L$1:$L$400,"software license")+SUMIFS(SF_Output!$S$1:$S$400,SF_Output!$AC$1:$AC$400,_xlfn.TEXTJOIN(",",TRUE,B137:E137),SF_Output!$Q$1:$Q$400,"One Time",SF_Output!$L$1:$L$400,"hardware"))</f>
        <v>0</v>
      </c>
      <c r="K137" s="112" t="str">
        <f>IF(OR(B137=0,B137="",G137="hardware",J137=0),"",IF(AF137&lt;&gt;"exclusion",MAX(K$9,-((SUMIFS(SF_Output!$T$1:$T$400,SF_Output!$AC$1:$AC$400,_xlfn.TEXTJOIN(",",TRUE,$B137:$E137),SF_Output!$Q$1:$Q$400,"One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license"))/J137)),-((SUMIFS(SF_Output!$T$1:$T$400,SF_Output!$AC$1:$AC$400,_xlfn.TEXTJOIN(",",TRUE,$B137:$E137),SF_Output!$Q$1:$Q$400,"One Time",SF_Output!$L$1:$L$400,"license fee")+SUMIFS(SF_Output!$T$1:$T$400,SF_Output!$AC$1:$AC$400,_xlfn.TEXTJOIN(",",TRUE,$B137:$E137),SF_Output!$Q$1:$Q$400,"One Time",SF_Output!$L$1:$L$400,"software license"))/J137)))</f>
        <v/>
      </c>
      <c r="L137" s="6">
        <f t="shared" si="5"/>
        <v>0</v>
      </c>
      <c r="N137" s="6">
        <f>IF(B137="","",SUMIFS(SF_Output!$S$1:$S$400,SF_Output!$AC$1:$AC$400,_xlfn.TEXTJOIN(",",TRUE,B137:E137),SF_Output!$Q$1:$Q$400,"One Time",SF_Output!$L$1:$L$400,"professional service"))</f>
        <v>0</v>
      </c>
      <c r="O137" s="112" t="str">
        <f>IF(OR(B137=0,B137="",N137=0),"",IF(AF137&lt;&gt;"exclusion",MAX(O$9,-(SUMIFS(SF_Output!$T$1:$T$400,SF_Output!$AC$1:$AC$400,_xlfn.TEXTJOIN(",",TRUE,$B137:$E137),SF_Output!$Q$1:$Q$400,"One Time",SF_Output!$L$1:$L$400,"professional service"))/N137),-((SUMIFS(SF_Output!$T$1:$T$400,SF_Output!$AC$1:$AC$400,_xlfn.TEXTJOIN(",",TRUE,$B137:$E137),SF_Output!$Q$1:$Q$400,"One Time",SF_Output!$L$1:$L$400,"professional service")/N137))))</f>
        <v/>
      </c>
      <c r="P137" s="6">
        <f t="shared" si="6"/>
        <v>0</v>
      </c>
      <c r="R137" s="6">
        <f>IF(B137="","",SUMIFS(SF_Output!$S$1:$S$400,SF_Output!$AC$1:$AC$400,_xlfn.TEXTJOIN(",",TRUE,B137:E137),SF_Output!$Q$1:$Q$400,"yearly")+SUMIFS(SF_Output!$S$1:$S$400,SF_Output!$AC$1:$AC$400,_xlfn.TEXTJOIN(",",TRUE,B137:E137),SF_Output!$Q$1:$Q$400,"quarterly")*4)</f>
        <v>0</v>
      </c>
      <c r="S137" s="112" t="str">
        <f>IF(OR(B137=0,B137="",G137="hardware",R137=0),"",IF(AF137&lt;&gt;"exclusion",MAX(S$9,-(SUMIFS(SF_Output!$T$1:$T$400,SF_Output!$AC$1:$AC$400,_xlfn.TEXTJOIN(",",TRUE,$B137:$E137),SF_Output!$Q$1:$Q$400,"yearly"))/R137),-((SUMIFS(SF_Output!$T$1:$T$400,SF_Output!$AC$1:$AC$400,_xlfn.TEXTJOIN(",",TRUE,$B137:$E137),SF_Output!$Q$1:$Q$400,"yearly")/R137))))</f>
        <v/>
      </c>
      <c r="T137" s="6">
        <f t="shared" si="7"/>
        <v>0</v>
      </c>
      <c r="V137" s="6" cm="1">
        <f t="array" ref="V137">_xlfn.IFS(B137="","",AND(B137&lt;&gt;"",H137=SF_Output!$Y$2,SUMIFS(SF_Output!$T$1:$T$400,SF_Output!$AC$1:$AC$400,_xlfn.TEXTJOIN(",",TRUE,B137:E137),SF_Output!$Q$1:$Q$400,"monthly")=0),(SUMIFS(SF_Output!$F$1:$F$400,SF_Output!$AC$1:$AC$400,_xlfn.TEXTJOIN(",",TRUE,B137:E137),SF_Output!$Q$1:$Q$400,"monthly")+SUMIFS(SF_Output!$G$1:$G$400,SF_Output!$AC$1:$AC$400,_xlfn.TEXTJOIN(",",TRUE,B137:E137),SF_Output!$Q$1:$Q$400,"monthly"))*H137,AND(B137&lt;&gt;"",H137=SF_Output!$Y$2,SUMIFS(SF_Output!$T$1:$T$400,SF_Output!$AC$1:$AC$400,_xlfn.TEXTJOIN(",",TRUE,B137:E137),SF_Output!$Q$1:$Q$400,"monthly")&lt;&gt;0),SUMIFS(SF_Output!$S$1:$S$400,SF_Output!$AC$1:$AC$400,_xlfn.TEXTJOIN(",",TRUE,B137:E137),SF_Output!$Q$1:$Q$400,"monthly"),AND(B137&lt;&gt;"",H137&lt;&gt;SF_Output!$Y$2),SUMIFS(SF_Output!$S$1:$S$400,SF_Output!$AC$1:$AC$400,_xlfn.TEXTJOIN(",",TRUE,B137:E137),SF_Output!$Q$1:$Q$400,"monthly"))</f>
        <v>0</v>
      </c>
      <c r="W137" s="112" t="str" cm="1">
        <f t="array" ref="W137">_xlfn.IFS(OR(B137=0,B137="",V137=0),"",AF137&lt;&gt;"exclusion",MAX($W$9,$W$7,(-(SUMIFS(SF_Output!$T$1:$T$400,SF_Output!$AC$1:$AC$400,_xlfn.TEXTJOIN(",",TRUE,$B137:$E137),SF_Output!$Q$1:$Q$400,"monthly"))/V137)),AF137="exclusion",-(SUMIFS(SF_Output!$T$1:$T$400,SF_Output!$AC$1:$AC$400,_xlfn.TEXTJOIN(",",TRUE,$B137:$E137),SF_Output!$Q$1:$Q$400,"monthly"))/V137)</f>
        <v/>
      </c>
      <c r="X137" s="6" cm="1">
        <f t="array" ref="X137">IFERROR(_xlfn.IFS(V137=0,0,V137="","",W137=0,V137,OR(V137&lt;&gt;0,V137&lt;&gt;""),H137*I137),V137*(1-W137))</f>
        <v>0</v>
      </c>
    </row>
    <row r="138" spans="2:24" x14ac:dyDescent="0.25">
      <c r="B138" t="s">
        <v>2438</v>
      </c>
      <c r="C138" t="s">
        <v>2122</v>
      </c>
      <c r="D138" t="s">
        <v>2207</v>
      </c>
      <c r="E138" t="s">
        <v>2124</v>
      </c>
      <c r="F138" s="116" t="str">
        <f t="shared" si="4"/>
        <v>Included</v>
      </c>
      <c r="G138" t="str">
        <f>IF(B138="","",INDEX(SF_Output!$K$1:$K$400,MATCH(B138,SF_Output!$M$1:$M$400,0)))</f>
        <v>Card Processing Solutions (CPS)</v>
      </c>
      <c r="H138" cm="1">
        <f t="array" ref="H138">_xlfn.IFS(B138="","",(SUMIFS(SF_Output!$F$1:$F$400,SF_Output!$AC$1:$AC$400,_xlfn.TEXTJOIN(",",TRUE,B138:E138))+SUMIFS(SF_Output!$G$1:$G$400,SF_Output!$AC$1:$AC$400,_xlfn.TEXTJOIN(",",TRUE,B138:E138)))&lt;&gt;0,SF_Output!$Y$2,INDEX(SF_Output!$F$1:$F$400,MATCH(_xlfn.TEXTJOIN(",",TRUE,B138:E138),SF_Output!$AC$1:$AC$400,0))=0,INDEX(SF_Output!$R$1:$R$400,MATCH(_xlfn.TEXTJOIN(",",TRUE,B138:E138),SF_Output!$AC$1:$AC$400,0)))</f>
        <v>0</v>
      </c>
      <c r="I138" s="125" t="str">
        <f>IFERROR(IF(AND(H138&gt;1,H138&lt;&gt;""),ROUND(SUMIFS(SF_Output!$S$1:$S$400,SF_Output!$AC$1:$AC$400,_xlfn.TEXTJOIN(",",TRUE,B138:E138),SF_Output!$Q$1:$Q$400,"monthly")*(1-W138)/H138,4),""),"")</f>
        <v/>
      </c>
      <c r="J138" s="6">
        <f>IF(B138="","",SUMIFS(SF_Output!$S$1:$S$400,SF_Output!$AC$1:$AC$400,_xlfn.TEXTJOIN(",",TRUE,B138:E138),SF_Output!$Q$1:$Q$400,"One Time",SF_Output!$L$1:$L$400,"license fee")+SUMIFS(SF_Output!$S$1:$S$400,SF_Output!$AC$1:$AC$400,_xlfn.TEXTJOIN(",",TRUE,B138:E138),SF_Output!$Q$1:$Q$400,"One Time",SF_Output!$L$1:$L$400,"software license")+SUMIFS(SF_Output!$S$1:$S$400,SF_Output!$AC$1:$AC$400,_xlfn.TEXTJOIN(",",TRUE,B138:E138),SF_Output!$Q$1:$Q$400,"One Time",SF_Output!$L$1:$L$400,"hardware"))</f>
        <v>0</v>
      </c>
      <c r="K138" s="112" t="str">
        <f>IF(OR(B138=0,B138="",G138="hardware",J138=0),"",IF(AF138&lt;&gt;"exclusion",MAX(K$9,-((SUMIFS(SF_Output!$T$1:$T$400,SF_Output!$AC$1:$AC$400,_xlfn.TEXTJOIN(",",TRUE,$B138:$E138),SF_Output!$Q$1:$Q$400,"One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license"))/J138)),-((SUMIFS(SF_Output!$T$1:$T$400,SF_Output!$AC$1:$AC$400,_xlfn.TEXTJOIN(",",TRUE,$B138:$E138),SF_Output!$Q$1:$Q$400,"One Time",SF_Output!$L$1:$L$400,"license fee")+SUMIFS(SF_Output!$T$1:$T$400,SF_Output!$AC$1:$AC$400,_xlfn.TEXTJOIN(",",TRUE,$B138:$E138),SF_Output!$Q$1:$Q$400,"One Time",SF_Output!$L$1:$L$400,"software license"))/J138)))</f>
        <v/>
      </c>
      <c r="L138" s="6">
        <f t="shared" si="5"/>
        <v>0</v>
      </c>
      <c r="N138" s="6">
        <f>IF(B138="","",SUMIFS(SF_Output!$S$1:$S$400,SF_Output!$AC$1:$AC$400,_xlfn.TEXTJOIN(",",TRUE,B138:E138),SF_Output!$Q$1:$Q$400,"One Time",SF_Output!$L$1:$L$400,"professional service"))</f>
        <v>2500</v>
      </c>
      <c r="O138" s="112">
        <f>IF(OR(B138=0,B138="",N138=0),"",IF(AF138&lt;&gt;"exclusion",MAX(O$9,-(SUMIFS(SF_Output!$T$1:$T$400,SF_Output!$AC$1:$AC$400,_xlfn.TEXTJOIN(",",TRUE,$B138:$E138),SF_Output!$Q$1:$Q$400,"One Time",SF_Output!$L$1:$L$400,"professional service"))/N138),-((SUMIFS(SF_Output!$T$1:$T$400,SF_Output!$AC$1:$AC$400,_xlfn.TEXTJOIN(",",TRUE,$B138:$E138),SF_Output!$Q$1:$Q$400,"One Time",SF_Output!$L$1:$L$400,"professional service")/N138))))</f>
        <v>1</v>
      </c>
      <c r="P138" s="6">
        <f t="shared" si="6"/>
        <v>0</v>
      </c>
      <c r="R138" s="6">
        <f>IF(B138="","",SUMIFS(SF_Output!$S$1:$S$400,SF_Output!$AC$1:$AC$400,_xlfn.TEXTJOIN(",",TRUE,B138:E138),SF_Output!$Q$1:$Q$400,"yearly")+SUMIFS(SF_Output!$S$1:$S$400,SF_Output!$AC$1:$AC$400,_xlfn.TEXTJOIN(",",TRUE,B138:E138),SF_Output!$Q$1:$Q$400,"quarterly")*4)</f>
        <v>0</v>
      </c>
      <c r="S138" s="112" t="str">
        <f>IF(OR(B138=0,B138="",G138="hardware",R138=0),"",IF(AF138&lt;&gt;"exclusion",MAX(S$9,-(SUMIFS(SF_Output!$T$1:$T$400,SF_Output!$AC$1:$AC$400,_xlfn.TEXTJOIN(",",TRUE,$B138:$E138),SF_Output!$Q$1:$Q$400,"yearly"))/R138),-((SUMIFS(SF_Output!$T$1:$T$400,SF_Output!$AC$1:$AC$400,_xlfn.TEXTJOIN(",",TRUE,$B138:$E138),SF_Output!$Q$1:$Q$400,"yearly")/R138))))</f>
        <v/>
      </c>
      <c r="T138" s="6">
        <f t="shared" si="7"/>
        <v>0</v>
      </c>
      <c r="V138" s="6" cm="1">
        <f t="array" ref="V138">_xlfn.IFS(B138="","",AND(B138&lt;&gt;"",H138=SF_Output!$Y$2,SUMIFS(SF_Output!$T$1:$T$400,SF_Output!$AC$1:$AC$400,_xlfn.TEXTJOIN(",",TRUE,B138:E138),SF_Output!$Q$1:$Q$400,"monthly")=0),(SUMIFS(SF_Output!$F$1:$F$400,SF_Output!$AC$1:$AC$400,_xlfn.TEXTJOIN(",",TRUE,B138:E138),SF_Output!$Q$1:$Q$400,"monthly")+SUMIFS(SF_Output!$G$1:$G$400,SF_Output!$AC$1:$AC$400,_xlfn.TEXTJOIN(",",TRUE,B138:E138),SF_Output!$Q$1:$Q$400,"monthly"))*H138,AND(B138&lt;&gt;"",H138=SF_Output!$Y$2,SUMIFS(SF_Output!$T$1:$T$400,SF_Output!$AC$1:$AC$400,_xlfn.TEXTJOIN(",",TRUE,B138:E138),SF_Output!$Q$1:$Q$400,"monthly")&lt;&gt;0),SUMIFS(SF_Output!$S$1:$S$400,SF_Output!$AC$1:$AC$400,_xlfn.TEXTJOIN(",",TRUE,B138:E138),SF_Output!$Q$1:$Q$400,"monthly"),AND(B138&lt;&gt;"",H138&lt;&gt;SF_Output!$Y$2),SUMIFS(SF_Output!$S$1:$S$400,SF_Output!$AC$1:$AC$400,_xlfn.TEXTJOIN(",",TRUE,B138:E138),SF_Output!$Q$1:$Q$400,"monthly"))</f>
        <v>100</v>
      </c>
      <c r="W138" s="112" cm="1">
        <f t="array" ref="W138">_xlfn.IFS(OR(B138=0,B138="",V138=0),"",AF138&lt;&gt;"exclusion",MAX($W$9,$W$7,(-(SUMIFS(SF_Output!$T$1:$T$400,SF_Output!$AC$1:$AC$400,_xlfn.TEXTJOIN(",",TRUE,$B138:$E138),SF_Output!$Q$1:$Q$400,"monthly"))/V138)),AF138="exclusion",-(SUMIFS(SF_Output!$T$1:$T$400,SF_Output!$AC$1:$AC$400,_xlfn.TEXTJOIN(",",TRUE,$B138:$E138),SF_Output!$Q$1:$Q$400,"monthly"))/V138)</f>
        <v>0</v>
      </c>
      <c r="X138" s="6" cm="1">
        <f t="array" ref="X138">IFERROR(_xlfn.IFS(V138=0,0,V138="","",W138=0,V138,OR(V138&lt;&gt;0,V138&lt;&gt;""),H138*I138),V138*(1-W138))</f>
        <v>100</v>
      </c>
    </row>
    <row r="139" spans="2:24" x14ac:dyDescent="0.25">
      <c r="B139" t="s">
        <v>2441</v>
      </c>
      <c r="C139" t="s">
        <v>2122</v>
      </c>
      <c r="D139" t="s">
        <v>2207</v>
      </c>
      <c r="E139" t="s">
        <v>2124</v>
      </c>
      <c r="F139" s="116" t="str">
        <f t="shared" si="4"/>
        <v>Included</v>
      </c>
      <c r="G139" t="str">
        <f>IF(B139="","",INDEX(SF_Output!$K$1:$K$400,MATCH(B139,SF_Output!$M$1:$M$400,0)))</f>
        <v>Card Processing Solutions (CPS)</v>
      </c>
      <c r="H139" cm="1">
        <f t="array" ref="H139">_xlfn.IFS(B139="","",(SUMIFS(SF_Output!$F$1:$F$400,SF_Output!$AC$1:$AC$400,_xlfn.TEXTJOIN(",",TRUE,B139:E139))+SUMIFS(SF_Output!$G$1:$G$400,SF_Output!$AC$1:$AC$400,_xlfn.TEXTJOIN(",",TRUE,B139:E139)))&lt;&gt;0,SF_Output!$Y$2,INDEX(SF_Output!$F$1:$F$400,MATCH(_xlfn.TEXTJOIN(",",TRUE,B139:E139),SF_Output!$AC$1:$AC$400,0))=0,INDEX(SF_Output!$R$1:$R$400,MATCH(_xlfn.TEXTJOIN(",",TRUE,B139:E139),SF_Output!$AC$1:$AC$400,0)))</f>
        <v>1</v>
      </c>
      <c r="I139" s="125" t="str">
        <f>IFERROR(IF(AND(H139&gt;1,H139&lt;&gt;""),ROUND(SUMIFS(SF_Output!$S$1:$S$400,SF_Output!$AC$1:$AC$400,_xlfn.TEXTJOIN(",",TRUE,B139:E139),SF_Output!$Q$1:$Q$400,"monthly")*(1-W139)/H139,4),""),"")</f>
        <v/>
      </c>
      <c r="J139" s="6">
        <f>IF(B139="","",SUMIFS(SF_Output!$S$1:$S$400,SF_Output!$AC$1:$AC$400,_xlfn.TEXTJOIN(",",TRUE,B139:E139),SF_Output!$Q$1:$Q$400,"One Time",SF_Output!$L$1:$L$400,"license fee")+SUMIFS(SF_Output!$S$1:$S$400,SF_Output!$AC$1:$AC$400,_xlfn.TEXTJOIN(",",TRUE,B139:E139),SF_Output!$Q$1:$Q$400,"One Time",SF_Output!$L$1:$L$400,"software license")+SUMIFS(SF_Output!$S$1:$S$400,SF_Output!$AC$1:$AC$400,_xlfn.TEXTJOIN(",",TRUE,B139:E139),SF_Output!$Q$1:$Q$400,"One Time",SF_Output!$L$1:$L$400,"hardware"))</f>
        <v>0</v>
      </c>
      <c r="K139" s="112" t="str">
        <f>IF(OR(B139=0,B139="",G139="hardware",J139=0),"",IF(AF139&lt;&gt;"exclusion",MAX(K$9,-((SUMIFS(SF_Output!$T$1:$T$400,SF_Output!$AC$1:$AC$400,_xlfn.TEXTJOIN(",",TRUE,$B139:$E139),SF_Output!$Q$1:$Q$400,"One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license"))/J139)),-((SUMIFS(SF_Output!$T$1:$T$400,SF_Output!$AC$1:$AC$400,_xlfn.TEXTJOIN(",",TRUE,$B139:$E139),SF_Output!$Q$1:$Q$400,"One Time",SF_Output!$L$1:$L$400,"license fee")+SUMIFS(SF_Output!$T$1:$T$400,SF_Output!$AC$1:$AC$400,_xlfn.TEXTJOIN(",",TRUE,$B139:$E139),SF_Output!$Q$1:$Q$400,"One Time",SF_Output!$L$1:$L$400,"software license"))/J139)))</f>
        <v/>
      </c>
      <c r="L139" s="6">
        <f t="shared" si="5"/>
        <v>0</v>
      </c>
      <c r="N139" s="6">
        <f>IF(B139="","",SUMIFS(SF_Output!$S$1:$S$400,SF_Output!$AC$1:$AC$400,_xlfn.TEXTJOIN(",",TRUE,B139:E139),SF_Output!$Q$1:$Q$400,"One Time",SF_Output!$L$1:$L$400,"professional service"))</f>
        <v>500</v>
      </c>
      <c r="O139" s="112">
        <f>IF(OR(B139=0,B139="",N139=0),"",IF(AF139&lt;&gt;"exclusion",MAX(O$9,-(SUMIFS(SF_Output!$T$1:$T$400,SF_Output!$AC$1:$AC$400,_xlfn.TEXTJOIN(",",TRUE,$B139:$E139),SF_Output!$Q$1:$Q$400,"One Time",SF_Output!$L$1:$L$400,"professional service"))/N139),-((SUMIFS(SF_Output!$T$1:$T$400,SF_Output!$AC$1:$AC$400,_xlfn.TEXTJOIN(",",TRUE,$B139:$E139),SF_Output!$Q$1:$Q$400,"One Time",SF_Output!$L$1:$L$400,"professional service")/N139))))</f>
        <v>1</v>
      </c>
      <c r="P139" s="6">
        <f t="shared" si="6"/>
        <v>0</v>
      </c>
      <c r="R139" s="6">
        <f>IF(B139="","",SUMIFS(SF_Output!$S$1:$S$400,SF_Output!$AC$1:$AC$400,_xlfn.TEXTJOIN(",",TRUE,B139:E139),SF_Output!$Q$1:$Q$400,"yearly")+SUMIFS(SF_Output!$S$1:$S$400,SF_Output!$AC$1:$AC$400,_xlfn.TEXTJOIN(",",TRUE,B139:E139),SF_Output!$Q$1:$Q$400,"quarterly")*4)</f>
        <v>0</v>
      </c>
      <c r="S139" s="112" t="str">
        <f>IF(OR(B139=0,B139="",G139="hardware",R139=0),"",IF(AF139&lt;&gt;"exclusion",MAX(S$9,-(SUMIFS(SF_Output!$T$1:$T$400,SF_Output!$AC$1:$AC$400,_xlfn.TEXTJOIN(",",TRUE,$B139:$E139),SF_Output!$Q$1:$Q$400,"yearly"))/R139),-((SUMIFS(SF_Output!$T$1:$T$400,SF_Output!$AC$1:$AC$400,_xlfn.TEXTJOIN(",",TRUE,$B139:$E139),SF_Output!$Q$1:$Q$400,"yearly")/R139))))</f>
        <v/>
      </c>
      <c r="T139" s="6">
        <f t="shared" si="7"/>
        <v>0</v>
      </c>
      <c r="V139" s="6" cm="1">
        <f t="array" ref="V139">_xlfn.IFS(B139="","",AND(B139&lt;&gt;"",H139=SF_Output!$Y$2,SUMIFS(SF_Output!$T$1:$T$400,SF_Output!$AC$1:$AC$400,_xlfn.TEXTJOIN(",",TRUE,B139:E139),SF_Output!$Q$1:$Q$400,"monthly")=0),(SUMIFS(SF_Output!$F$1:$F$400,SF_Output!$AC$1:$AC$400,_xlfn.TEXTJOIN(",",TRUE,B139:E139),SF_Output!$Q$1:$Q$400,"monthly")+SUMIFS(SF_Output!$G$1:$G$400,SF_Output!$AC$1:$AC$400,_xlfn.TEXTJOIN(",",TRUE,B139:E139),SF_Output!$Q$1:$Q$400,"monthly"))*H139,AND(B139&lt;&gt;"",H139=SF_Output!$Y$2,SUMIFS(SF_Output!$T$1:$T$400,SF_Output!$AC$1:$AC$400,_xlfn.TEXTJOIN(",",TRUE,B139:E139),SF_Output!$Q$1:$Q$400,"monthly")&lt;&gt;0),SUMIFS(SF_Output!$S$1:$S$400,SF_Output!$AC$1:$AC$400,_xlfn.TEXTJOIN(",",TRUE,B139:E139),SF_Output!$Q$1:$Q$400,"monthly"),AND(B139&lt;&gt;"",H139&lt;&gt;SF_Output!$Y$2),SUMIFS(SF_Output!$S$1:$S$400,SF_Output!$AC$1:$AC$400,_xlfn.TEXTJOIN(",",TRUE,B139:E139),SF_Output!$Q$1:$Q$400,"monthly"))</f>
        <v>100</v>
      </c>
      <c r="W139" s="112" cm="1">
        <f t="array" ref="W139">_xlfn.IFS(OR(B139=0,B139="",V139=0),"",AF139&lt;&gt;"exclusion",MAX($W$9,$W$7,(-(SUMIFS(SF_Output!$T$1:$T$400,SF_Output!$AC$1:$AC$400,_xlfn.TEXTJOIN(",",TRUE,$B139:$E139),SF_Output!$Q$1:$Q$400,"monthly"))/V139)),AF139="exclusion",-(SUMIFS(SF_Output!$T$1:$T$400,SF_Output!$AC$1:$AC$400,_xlfn.TEXTJOIN(",",TRUE,$B139:$E139),SF_Output!$Q$1:$Q$400,"monthly"))/V139)</f>
        <v>0</v>
      </c>
      <c r="X139" s="6" cm="1">
        <f t="array" ref="X139">IFERROR(_xlfn.IFS(V139=0,0,V139="","",W139=0,V139,OR(V139&lt;&gt;0,V139&lt;&gt;""),H139*I139),V139*(1-W139))</f>
        <v>100</v>
      </c>
    </row>
    <row r="140" spans="2:24" x14ac:dyDescent="0.25">
      <c r="B140" t="s">
        <v>2444</v>
      </c>
      <c r="C140" t="s">
        <v>2122</v>
      </c>
      <c r="D140" t="s">
        <v>2207</v>
      </c>
      <c r="E140" t="s">
        <v>2124</v>
      </c>
      <c r="F140" s="116" t="str">
        <f t="shared" si="4"/>
        <v>Included</v>
      </c>
      <c r="G140" t="str">
        <f>IF(B140="","",INDEX(SF_Output!$K$1:$K$400,MATCH(B140,SF_Output!$M$1:$M$400,0)))</f>
        <v>Card Processing Solutions (CPS)</v>
      </c>
      <c r="H140" cm="1">
        <f t="array" ref="H140">_xlfn.IFS(B140="","",(SUMIFS(SF_Output!$F$1:$F$400,SF_Output!$AC$1:$AC$400,_xlfn.TEXTJOIN(",",TRUE,B140:E140))+SUMIFS(SF_Output!$G$1:$G$400,SF_Output!$AC$1:$AC$400,_xlfn.TEXTJOIN(",",TRUE,B140:E140)))&lt;&gt;0,SF_Output!$Y$2,INDEX(SF_Output!$F$1:$F$400,MATCH(_xlfn.TEXTJOIN(",",TRUE,B140:E140),SF_Output!$AC$1:$AC$400,0))=0,INDEX(SF_Output!$R$1:$R$400,MATCH(_xlfn.TEXTJOIN(",",TRUE,B140:E140),SF_Output!$AC$1:$AC$400,0)))</f>
        <v>0</v>
      </c>
      <c r="I140" s="125" t="str">
        <f>IFERROR(IF(AND(H140&gt;1,H140&lt;&gt;""),ROUND(SUMIFS(SF_Output!$S$1:$S$400,SF_Output!$AC$1:$AC$400,_xlfn.TEXTJOIN(",",TRUE,B140:E140),SF_Output!$Q$1:$Q$400,"monthly")*(1-W140)/H140,4),""),"")</f>
        <v/>
      </c>
      <c r="J140" s="6">
        <f>IF(B140="","",SUMIFS(SF_Output!$S$1:$S$400,SF_Output!$AC$1:$AC$400,_xlfn.TEXTJOIN(",",TRUE,B140:E140),SF_Output!$Q$1:$Q$400,"One Time",SF_Output!$L$1:$L$400,"license fee")+SUMIFS(SF_Output!$S$1:$S$400,SF_Output!$AC$1:$AC$400,_xlfn.TEXTJOIN(",",TRUE,B140:E140),SF_Output!$Q$1:$Q$400,"One Time",SF_Output!$L$1:$L$400,"software license")+SUMIFS(SF_Output!$S$1:$S$400,SF_Output!$AC$1:$AC$400,_xlfn.TEXTJOIN(",",TRUE,B140:E140),SF_Output!$Q$1:$Q$400,"One Time",SF_Output!$L$1:$L$400,"hardware"))</f>
        <v>0</v>
      </c>
      <c r="K140" s="112" t="str">
        <f>IF(OR(B140=0,B140="",G140="hardware",J140=0),"",IF(AF140&lt;&gt;"exclusion",MAX(K$9,-((SUMIFS(SF_Output!$T$1:$T$400,SF_Output!$AC$1:$AC$400,_xlfn.TEXTJOIN(",",TRUE,$B140:$E140),SF_Output!$Q$1:$Q$400,"One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license"))/J140)),-((SUMIFS(SF_Output!$T$1:$T$400,SF_Output!$AC$1:$AC$400,_xlfn.TEXTJOIN(",",TRUE,$B140:$E140),SF_Output!$Q$1:$Q$400,"One Time",SF_Output!$L$1:$L$400,"license fee")+SUMIFS(SF_Output!$T$1:$T$400,SF_Output!$AC$1:$AC$400,_xlfn.TEXTJOIN(",",TRUE,$B140:$E140),SF_Output!$Q$1:$Q$400,"One Time",SF_Output!$L$1:$L$400,"software license"))/J140)))</f>
        <v/>
      </c>
      <c r="L140" s="6">
        <f t="shared" si="5"/>
        <v>0</v>
      </c>
      <c r="N140" s="6">
        <f>IF(B140="","",SUMIFS(SF_Output!$S$1:$S$400,SF_Output!$AC$1:$AC$400,_xlfn.TEXTJOIN(",",TRUE,B140:E140),SF_Output!$Q$1:$Q$400,"One Time",SF_Output!$L$1:$L$400,"professional service"))</f>
        <v>0</v>
      </c>
      <c r="O140" s="112" t="str">
        <f>IF(OR(B140=0,B140="",N140=0),"",IF(AF140&lt;&gt;"exclusion",MAX(O$9,-(SUMIFS(SF_Output!$T$1:$T$400,SF_Output!$AC$1:$AC$400,_xlfn.TEXTJOIN(",",TRUE,$B140:$E140),SF_Output!$Q$1:$Q$400,"One Time",SF_Output!$L$1:$L$400,"professional service"))/N140),-((SUMIFS(SF_Output!$T$1:$T$400,SF_Output!$AC$1:$AC$400,_xlfn.TEXTJOIN(",",TRUE,$B140:$E140),SF_Output!$Q$1:$Q$400,"One Time",SF_Output!$L$1:$L$400,"professional service")/N140))))</f>
        <v/>
      </c>
      <c r="P140" s="6">
        <f t="shared" si="6"/>
        <v>0</v>
      </c>
      <c r="R140" s="6">
        <f>IF(B140="","",SUMIFS(SF_Output!$S$1:$S$400,SF_Output!$AC$1:$AC$400,_xlfn.TEXTJOIN(",",TRUE,B140:E140),SF_Output!$Q$1:$Q$400,"yearly")+SUMIFS(SF_Output!$S$1:$S$400,SF_Output!$AC$1:$AC$400,_xlfn.TEXTJOIN(",",TRUE,B140:E140),SF_Output!$Q$1:$Q$400,"quarterly")*4)</f>
        <v>0</v>
      </c>
      <c r="S140" s="112" t="str">
        <f>IF(OR(B140=0,B140="",G140="hardware",R140=0),"",IF(AF140&lt;&gt;"exclusion",MAX(S$9,-(SUMIFS(SF_Output!$T$1:$T$400,SF_Output!$AC$1:$AC$400,_xlfn.TEXTJOIN(",",TRUE,$B140:$E140),SF_Output!$Q$1:$Q$400,"yearly"))/R140),-((SUMIFS(SF_Output!$T$1:$T$400,SF_Output!$AC$1:$AC$400,_xlfn.TEXTJOIN(",",TRUE,$B140:$E140),SF_Output!$Q$1:$Q$400,"yearly")/R140))))</f>
        <v/>
      </c>
      <c r="T140" s="6">
        <f t="shared" si="7"/>
        <v>0</v>
      </c>
      <c r="V140" s="6" cm="1">
        <f t="array" ref="V140">_xlfn.IFS(B140="","",AND(B140&lt;&gt;"",H140=SF_Output!$Y$2,SUMIFS(SF_Output!$T$1:$T$400,SF_Output!$AC$1:$AC$400,_xlfn.TEXTJOIN(",",TRUE,B140:E140),SF_Output!$Q$1:$Q$400,"monthly")=0),(SUMIFS(SF_Output!$F$1:$F$400,SF_Output!$AC$1:$AC$400,_xlfn.TEXTJOIN(",",TRUE,B140:E140),SF_Output!$Q$1:$Q$400,"monthly")+SUMIFS(SF_Output!$G$1:$G$400,SF_Output!$AC$1:$AC$400,_xlfn.TEXTJOIN(",",TRUE,B140:E140),SF_Output!$Q$1:$Q$400,"monthly"))*H140,AND(B140&lt;&gt;"",H140=SF_Output!$Y$2,SUMIFS(SF_Output!$T$1:$T$400,SF_Output!$AC$1:$AC$400,_xlfn.TEXTJOIN(",",TRUE,B140:E140),SF_Output!$Q$1:$Q$400,"monthly")&lt;&gt;0),SUMIFS(SF_Output!$S$1:$S$400,SF_Output!$AC$1:$AC$400,_xlfn.TEXTJOIN(",",TRUE,B140:E140),SF_Output!$Q$1:$Q$400,"monthly"),AND(B140&lt;&gt;"",H140&lt;&gt;SF_Output!$Y$2),SUMIFS(SF_Output!$S$1:$S$400,SF_Output!$AC$1:$AC$400,_xlfn.TEXTJOIN(",",TRUE,B140:E140),SF_Output!$Q$1:$Q$400,"monthly"))</f>
        <v>0</v>
      </c>
      <c r="W140" s="112" t="str" cm="1">
        <f t="array" ref="W140">_xlfn.IFS(OR(B140=0,B140="",V140=0),"",AF140&lt;&gt;"exclusion",MAX($W$9,$W$7,(-(SUMIFS(SF_Output!$T$1:$T$400,SF_Output!$AC$1:$AC$400,_xlfn.TEXTJOIN(",",TRUE,$B140:$E140),SF_Output!$Q$1:$Q$400,"monthly"))/V140)),AF140="exclusion",-(SUMIFS(SF_Output!$T$1:$T$400,SF_Output!$AC$1:$AC$400,_xlfn.TEXTJOIN(",",TRUE,$B140:$E140),SF_Output!$Q$1:$Q$400,"monthly"))/V140)</f>
        <v/>
      </c>
      <c r="X140" s="6" cm="1">
        <f t="array" ref="X140">IFERROR(_xlfn.IFS(V140=0,0,V140="","",W140=0,V140,OR(V140&lt;&gt;0,V140&lt;&gt;""),H140*I140),V140*(1-W140))</f>
        <v>0</v>
      </c>
    </row>
    <row r="141" spans="2:24" x14ac:dyDescent="0.25">
      <c r="B141" t="s">
        <v>2446</v>
      </c>
      <c r="C141" t="s">
        <v>2122</v>
      </c>
      <c r="D141" t="s">
        <v>2207</v>
      </c>
      <c r="E141" t="s">
        <v>2124</v>
      </c>
      <c r="F141" s="116" t="str">
        <f t="shared" si="4"/>
        <v>Included</v>
      </c>
      <c r="G141" t="str">
        <f>IF(B141="","",INDEX(SF_Output!$K$1:$K$400,MATCH(B141,SF_Output!$M$1:$M$400,0)))</f>
        <v>Card Processing Solutions (CPS)</v>
      </c>
      <c r="H141" cm="1">
        <f t="array" ref="H141">_xlfn.IFS(B141="","",(SUMIFS(SF_Output!$F$1:$F$400,SF_Output!$AC$1:$AC$400,_xlfn.TEXTJOIN(",",TRUE,B141:E141))+SUMIFS(SF_Output!$G$1:$G$400,SF_Output!$AC$1:$AC$400,_xlfn.TEXTJOIN(",",TRUE,B141:E141)))&lt;&gt;0,SF_Output!$Y$2,INDEX(SF_Output!$F$1:$F$400,MATCH(_xlfn.TEXTJOIN(",",TRUE,B141:E141),SF_Output!$AC$1:$AC$400,0))=0,INDEX(SF_Output!$R$1:$R$400,MATCH(_xlfn.TEXTJOIN(",",TRUE,B141:E141),SF_Output!$AC$1:$AC$400,0)))</f>
        <v>0</v>
      </c>
      <c r="I141" s="125" t="str">
        <f>IFERROR(IF(AND(H141&gt;1,H141&lt;&gt;""),ROUND(SUMIFS(SF_Output!$S$1:$S$400,SF_Output!$AC$1:$AC$400,_xlfn.TEXTJOIN(",",TRUE,B141:E141),SF_Output!$Q$1:$Q$400,"monthly")*(1-W141)/H141,4),""),"")</f>
        <v/>
      </c>
      <c r="J141" s="6">
        <f>IF(B141="","",SUMIFS(SF_Output!$S$1:$S$400,SF_Output!$AC$1:$AC$400,_xlfn.TEXTJOIN(",",TRUE,B141:E141),SF_Output!$Q$1:$Q$400,"One Time",SF_Output!$L$1:$L$400,"license fee")+SUMIFS(SF_Output!$S$1:$S$400,SF_Output!$AC$1:$AC$400,_xlfn.TEXTJOIN(",",TRUE,B141:E141),SF_Output!$Q$1:$Q$400,"One Time",SF_Output!$L$1:$L$400,"software license")+SUMIFS(SF_Output!$S$1:$S$400,SF_Output!$AC$1:$AC$400,_xlfn.TEXTJOIN(",",TRUE,B141:E141),SF_Output!$Q$1:$Q$400,"One Time",SF_Output!$L$1:$L$400,"hardware"))</f>
        <v>0</v>
      </c>
      <c r="K141" s="112" t="str">
        <f>IF(OR(B141=0,B141="",G141="hardware",J141=0),"",IF(AF141&lt;&gt;"exclusion",MAX(K$9,-((SUMIFS(SF_Output!$T$1:$T$400,SF_Output!$AC$1:$AC$400,_xlfn.TEXTJOIN(",",TRUE,$B141:$E141),SF_Output!$Q$1:$Q$400,"One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license"))/J141)),-((SUMIFS(SF_Output!$T$1:$T$400,SF_Output!$AC$1:$AC$400,_xlfn.TEXTJOIN(",",TRUE,$B141:$E141),SF_Output!$Q$1:$Q$400,"One Time",SF_Output!$L$1:$L$400,"license fee")+SUMIFS(SF_Output!$T$1:$T$400,SF_Output!$AC$1:$AC$400,_xlfn.TEXTJOIN(",",TRUE,$B141:$E141),SF_Output!$Q$1:$Q$400,"One Time",SF_Output!$L$1:$L$400,"software license"))/J141)))</f>
        <v/>
      </c>
      <c r="L141" s="6">
        <f t="shared" si="5"/>
        <v>0</v>
      </c>
      <c r="N141" s="6">
        <f>IF(B141="","",SUMIFS(SF_Output!$S$1:$S$400,SF_Output!$AC$1:$AC$400,_xlfn.TEXTJOIN(",",TRUE,B141:E141),SF_Output!$Q$1:$Q$400,"One Time",SF_Output!$L$1:$L$400,"professional service"))</f>
        <v>4000</v>
      </c>
      <c r="O141" s="112">
        <f>IF(OR(B141=0,B141="",N141=0),"",IF(AF141&lt;&gt;"exclusion",MAX(O$9,-(SUMIFS(SF_Output!$T$1:$T$400,SF_Output!$AC$1:$AC$400,_xlfn.TEXTJOIN(",",TRUE,$B141:$E141),SF_Output!$Q$1:$Q$400,"One Time",SF_Output!$L$1:$L$400,"professional service"))/N141),-((SUMIFS(SF_Output!$T$1:$T$400,SF_Output!$AC$1:$AC$400,_xlfn.TEXTJOIN(",",TRUE,$B141:$E141),SF_Output!$Q$1:$Q$400,"One Time",SF_Output!$L$1:$L$400,"professional service")/N141))))</f>
        <v>1</v>
      </c>
      <c r="P141" s="6">
        <f t="shared" si="6"/>
        <v>0</v>
      </c>
      <c r="R141" s="6">
        <f>IF(B141="","",SUMIFS(SF_Output!$S$1:$S$400,SF_Output!$AC$1:$AC$400,_xlfn.TEXTJOIN(",",TRUE,B141:E141),SF_Output!$Q$1:$Q$400,"yearly")+SUMIFS(SF_Output!$S$1:$S$400,SF_Output!$AC$1:$AC$400,_xlfn.TEXTJOIN(",",TRUE,B141:E141),SF_Output!$Q$1:$Q$400,"quarterly")*4)</f>
        <v>0</v>
      </c>
      <c r="S141" s="112" t="str">
        <f>IF(OR(B141=0,B141="",G141="hardware",R141=0),"",IF(AF141&lt;&gt;"exclusion",MAX(S$9,-(SUMIFS(SF_Output!$T$1:$T$400,SF_Output!$AC$1:$AC$400,_xlfn.TEXTJOIN(",",TRUE,$B141:$E141),SF_Output!$Q$1:$Q$400,"yearly"))/R141),-((SUMIFS(SF_Output!$T$1:$T$400,SF_Output!$AC$1:$AC$400,_xlfn.TEXTJOIN(",",TRUE,$B141:$E141),SF_Output!$Q$1:$Q$400,"yearly")/R141))))</f>
        <v/>
      </c>
      <c r="T141" s="6">
        <f t="shared" si="7"/>
        <v>0</v>
      </c>
      <c r="V141" s="6" cm="1">
        <f t="array" ref="V141">_xlfn.IFS(B141="","",AND(B141&lt;&gt;"",H141=SF_Output!$Y$2,SUMIFS(SF_Output!$T$1:$T$400,SF_Output!$AC$1:$AC$400,_xlfn.TEXTJOIN(",",TRUE,B141:E141),SF_Output!$Q$1:$Q$400,"monthly")=0),(SUMIFS(SF_Output!$F$1:$F$400,SF_Output!$AC$1:$AC$400,_xlfn.TEXTJOIN(",",TRUE,B141:E141),SF_Output!$Q$1:$Q$400,"monthly")+SUMIFS(SF_Output!$G$1:$G$400,SF_Output!$AC$1:$AC$400,_xlfn.TEXTJOIN(",",TRUE,B141:E141),SF_Output!$Q$1:$Q$400,"monthly"))*H141,AND(B141&lt;&gt;"",H141=SF_Output!$Y$2,SUMIFS(SF_Output!$T$1:$T$400,SF_Output!$AC$1:$AC$400,_xlfn.TEXTJOIN(",",TRUE,B141:E141),SF_Output!$Q$1:$Q$400,"monthly")&lt;&gt;0),SUMIFS(SF_Output!$S$1:$S$400,SF_Output!$AC$1:$AC$400,_xlfn.TEXTJOIN(",",TRUE,B141:E141),SF_Output!$Q$1:$Q$400,"monthly"),AND(B141&lt;&gt;"",H141&lt;&gt;SF_Output!$Y$2),SUMIFS(SF_Output!$S$1:$S$400,SF_Output!$AC$1:$AC$400,_xlfn.TEXTJOIN(",",TRUE,B141:E141),SF_Output!$Q$1:$Q$400,"monthly"))</f>
        <v>0</v>
      </c>
      <c r="W141" s="112" t="str" cm="1">
        <f t="array" ref="W141">_xlfn.IFS(OR(B141=0,B141="",V141=0),"",AF141&lt;&gt;"exclusion",MAX($W$9,$W$7,(-(SUMIFS(SF_Output!$T$1:$T$400,SF_Output!$AC$1:$AC$400,_xlfn.TEXTJOIN(",",TRUE,$B141:$E141),SF_Output!$Q$1:$Q$400,"monthly"))/V141)),AF141="exclusion",-(SUMIFS(SF_Output!$T$1:$T$400,SF_Output!$AC$1:$AC$400,_xlfn.TEXTJOIN(",",TRUE,$B141:$E141),SF_Output!$Q$1:$Q$400,"monthly"))/V141)</f>
        <v/>
      </c>
      <c r="X141" s="6" cm="1">
        <f t="array" ref="X141">IFERROR(_xlfn.IFS(V141=0,0,V141="","",W141=0,V141,OR(V141&lt;&gt;0,V141&lt;&gt;""),H141*I141),V141*(1-W141))</f>
        <v>0</v>
      </c>
    </row>
    <row r="142" spans="2:24" x14ac:dyDescent="0.25">
      <c r="B142" t="s">
        <v>2449</v>
      </c>
      <c r="C142" t="s">
        <v>2122</v>
      </c>
      <c r="D142" t="s">
        <v>2207</v>
      </c>
      <c r="E142" t="s">
        <v>2124</v>
      </c>
      <c r="F142" s="116" t="str">
        <f t="shared" ref="F142:F205" si="8">IF(B142="","",IF(E142*1=0,"Included","Optional"))</f>
        <v>Included</v>
      </c>
      <c r="G142" t="str">
        <f>IF(B142="","",INDEX(SF_Output!$K$1:$K$400,MATCH(B142,SF_Output!$M$1:$M$400,0)))</f>
        <v>Card Processing Solutions (CPS)</v>
      </c>
      <c r="H142" cm="1">
        <f t="array" ref="H142">_xlfn.IFS(B142="","",(SUMIFS(SF_Output!$F$1:$F$400,SF_Output!$AC$1:$AC$400,_xlfn.TEXTJOIN(",",TRUE,B142:E142))+SUMIFS(SF_Output!$G$1:$G$400,SF_Output!$AC$1:$AC$400,_xlfn.TEXTJOIN(",",TRUE,B142:E142)))&lt;&gt;0,SF_Output!$Y$2,INDEX(SF_Output!$F$1:$F$400,MATCH(_xlfn.TEXTJOIN(",",TRUE,B142:E142),SF_Output!$AC$1:$AC$400,0))=0,INDEX(SF_Output!$R$1:$R$400,MATCH(_xlfn.TEXTJOIN(",",TRUE,B142:E142),SF_Output!$AC$1:$AC$400,0)))</f>
        <v>0</v>
      </c>
      <c r="I142" s="125" t="str">
        <f>IFERROR(IF(AND(H142&gt;1,H142&lt;&gt;""),ROUND(SUMIFS(SF_Output!$S$1:$S$400,SF_Output!$AC$1:$AC$400,_xlfn.TEXTJOIN(",",TRUE,B142:E142),SF_Output!$Q$1:$Q$400,"monthly")*(1-W142)/H142,4),""),"")</f>
        <v/>
      </c>
      <c r="J142" s="6">
        <f>IF(B142="","",SUMIFS(SF_Output!$S$1:$S$400,SF_Output!$AC$1:$AC$400,_xlfn.TEXTJOIN(",",TRUE,B142:E142),SF_Output!$Q$1:$Q$400,"One Time",SF_Output!$L$1:$L$400,"license fee")+SUMIFS(SF_Output!$S$1:$S$400,SF_Output!$AC$1:$AC$400,_xlfn.TEXTJOIN(",",TRUE,B142:E142),SF_Output!$Q$1:$Q$400,"One Time",SF_Output!$L$1:$L$400,"software license")+SUMIFS(SF_Output!$S$1:$S$400,SF_Output!$AC$1:$AC$400,_xlfn.TEXTJOIN(",",TRUE,B142:E142),SF_Output!$Q$1:$Q$400,"One Time",SF_Output!$L$1:$L$400,"hardware"))</f>
        <v>0</v>
      </c>
      <c r="K142" s="112" t="str">
        <f>IF(OR(B142=0,B142="",G142="hardware",J142=0),"",IF(AF142&lt;&gt;"exclusion",MAX(K$9,-((SUMIFS(SF_Output!$T$1:$T$400,SF_Output!$AC$1:$AC$400,_xlfn.TEXTJOIN(",",TRUE,$B142:$E142),SF_Output!$Q$1:$Q$400,"One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license"))/J142)),-((SUMIFS(SF_Output!$T$1:$T$400,SF_Output!$AC$1:$AC$400,_xlfn.TEXTJOIN(",",TRUE,$B142:$E142),SF_Output!$Q$1:$Q$400,"One Time",SF_Output!$L$1:$L$400,"license fee")+SUMIFS(SF_Output!$T$1:$T$400,SF_Output!$AC$1:$AC$400,_xlfn.TEXTJOIN(",",TRUE,$B142:$E142),SF_Output!$Q$1:$Q$400,"One Time",SF_Output!$L$1:$L$400,"software license"))/J142)))</f>
        <v/>
      </c>
      <c r="L142" s="6">
        <f t="shared" ref="L142:L205" si="9">IF(K142="",J142,J142*(1-K142))</f>
        <v>0</v>
      </c>
      <c r="N142" s="6">
        <f>IF(B142="","",SUMIFS(SF_Output!$S$1:$S$400,SF_Output!$AC$1:$AC$400,_xlfn.TEXTJOIN(",",TRUE,B142:E142),SF_Output!$Q$1:$Q$400,"One Time",SF_Output!$L$1:$L$400,"professional service"))</f>
        <v>0</v>
      </c>
      <c r="O142" s="112" t="str">
        <f>IF(OR(B142=0,B142="",N142=0),"",IF(AF142&lt;&gt;"exclusion",MAX(O$9,-(SUMIFS(SF_Output!$T$1:$T$400,SF_Output!$AC$1:$AC$400,_xlfn.TEXTJOIN(",",TRUE,$B142:$E142),SF_Output!$Q$1:$Q$400,"One Time",SF_Output!$L$1:$L$400,"professional service"))/N142),-((SUMIFS(SF_Output!$T$1:$T$400,SF_Output!$AC$1:$AC$400,_xlfn.TEXTJOIN(",",TRUE,$B142:$E142),SF_Output!$Q$1:$Q$400,"One Time",SF_Output!$L$1:$L$400,"professional service")/N142))))</f>
        <v/>
      </c>
      <c r="P142" s="6">
        <f t="shared" ref="P142:P205" si="10">IF(O142="",N142,N142*(1-O142))</f>
        <v>0</v>
      </c>
      <c r="R142" s="6">
        <f>IF(B142="","",SUMIFS(SF_Output!$S$1:$S$400,SF_Output!$AC$1:$AC$400,_xlfn.TEXTJOIN(",",TRUE,B142:E142),SF_Output!$Q$1:$Q$400,"yearly")+SUMIFS(SF_Output!$S$1:$S$400,SF_Output!$AC$1:$AC$400,_xlfn.TEXTJOIN(",",TRUE,B142:E142),SF_Output!$Q$1:$Q$400,"quarterly")*4)</f>
        <v>0</v>
      </c>
      <c r="S142" s="112" t="str">
        <f>IF(OR(B142=0,B142="",G142="hardware",R142=0),"",IF(AF142&lt;&gt;"exclusion",MAX(S$9,-(SUMIFS(SF_Output!$T$1:$T$400,SF_Output!$AC$1:$AC$400,_xlfn.TEXTJOIN(",",TRUE,$B142:$E142),SF_Output!$Q$1:$Q$400,"yearly"))/R142),-((SUMIFS(SF_Output!$T$1:$T$400,SF_Output!$AC$1:$AC$400,_xlfn.TEXTJOIN(",",TRUE,$B142:$E142),SF_Output!$Q$1:$Q$400,"yearly")/R142))))</f>
        <v/>
      </c>
      <c r="T142" s="6">
        <f t="shared" ref="T142:T205" si="11">IF(S142="",R142,R142*(1-S142))</f>
        <v>0</v>
      </c>
      <c r="V142" s="6" cm="1">
        <f t="array" ref="V142">_xlfn.IFS(B142="","",AND(B142&lt;&gt;"",H142=SF_Output!$Y$2,SUMIFS(SF_Output!$T$1:$T$400,SF_Output!$AC$1:$AC$400,_xlfn.TEXTJOIN(",",TRUE,B142:E142),SF_Output!$Q$1:$Q$400,"monthly")=0),(SUMIFS(SF_Output!$F$1:$F$400,SF_Output!$AC$1:$AC$400,_xlfn.TEXTJOIN(",",TRUE,B142:E142),SF_Output!$Q$1:$Q$400,"monthly")+SUMIFS(SF_Output!$G$1:$G$400,SF_Output!$AC$1:$AC$400,_xlfn.TEXTJOIN(",",TRUE,B142:E142),SF_Output!$Q$1:$Q$400,"monthly"))*H142,AND(B142&lt;&gt;"",H142=SF_Output!$Y$2,SUMIFS(SF_Output!$T$1:$T$400,SF_Output!$AC$1:$AC$400,_xlfn.TEXTJOIN(",",TRUE,B142:E142),SF_Output!$Q$1:$Q$400,"monthly")&lt;&gt;0),SUMIFS(SF_Output!$S$1:$S$400,SF_Output!$AC$1:$AC$400,_xlfn.TEXTJOIN(",",TRUE,B142:E142),SF_Output!$Q$1:$Q$400,"monthly"),AND(B142&lt;&gt;"",H142&lt;&gt;SF_Output!$Y$2),SUMIFS(SF_Output!$S$1:$S$400,SF_Output!$AC$1:$AC$400,_xlfn.TEXTJOIN(",",TRUE,B142:E142),SF_Output!$Q$1:$Q$400,"monthly"))</f>
        <v>0</v>
      </c>
      <c r="W142" s="112" t="str" cm="1">
        <f t="array" ref="W142">_xlfn.IFS(OR(B142=0,B142="",V142=0),"",AF142&lt;&gt;"exclusion",MAX($W$9,$W$7,(-(SUMIFS(SF_Output!$T$1:$T$400,SF_Output!$AC$1:$AC$400,_xlfn.TEXTJOIN(",",TRUE,$B142:$E142),SF_Output!$Q$1:$Q$400,"monthly"))/V142)),AF142="exclusion",-(SUMIFS(SF_Output!$T$1:$T$400,SF_Output!$AC$1:$AC$400,_xlfn.TEXTJOIN(",",TRUE,$B142:$E142),SF_Output!$Q$1:$Q$400,"monthly"))/V142)</f>
        <v/>
      </c>
      <c r="X142" s="6" cm="1">
        <f t="array" ref="X142">IFERROR(_xlfn.IFS(V142=0,0,V142="","",W142=0,V142,OR(V142&lt;&gt;0,V142&lt;&gt;""),H142*I142),V142*(1-W142))</f>
        <v>0</v>
      </c>
    </row>
    <row r="143" spans="2:24" x14ac:dyDescent="0.25">
      <c r="B143" t="s">
        <v>2451</v>
      </c>
      <c r="C143" t="s">
        <v>2122</v>
      </c>
      <c r="D143" t="s">
        <v>2207</v>
      </c>
      <c r="E143" t="s">
        <v>2124</v>
      </c>
      <c r="F143" s="116" t="str">
        <f t="shared" si="8"/>
        <v>Included</v>
      </c>
      <c r="G143" t="str">
        <f>IF(B143="","",INDEX(SF_Output!$K$1:$K$400,MATCH(B143,SF_Output!$M$1:$M$400,0)))</f>
        <v>Card Processing Solutions (CPS)</v>
      </c>
      <c r="H143" cm="1">
        <f t="array" ref="H143">_xlfn.IFS(B143="","",(SUMIFS(SF_Output!$F$1:$F$400,SF_Output!$AC$1:$AC$400,_xlfn.TEXTJOIN(",",TRUE,B143:E143))+SUMIFS(SF_Output!$G$1:$G$400,SF_Output!$AC$1:$AC$400,_xlfn.TEXTJOIN(",",TRUE,B143:E143)))&lt;&gt;0,SF_Output!$Y$2,INDEX(SF_Output!$F$1:$F$400,MATCH(_xlfn.TEXTJOIN(",",TRUE,B143:E143),SF_Output!$AC$1:$AC$400,0))=0,INDEX(SF_Output!$R$1:$R$400,MATCH(_xlfn.TEXTJOIN(",",TRUE,B143:E143),SF_Output!$AC$1:$AC$400,0)))</f>
        <v>0</v>
      </c>
      <c r="I143" s="125" t="str">
        <f>IFERROR(IF(AND(H143&gt;1,H143&lt;&gt;""),ROUND(SUMIFS(SF_Output!$S$1:$S$400,SF_Output!$AC$1:$AC$400,_xlfn.TEXTJOIN(",",TRUE,B143:E143),SF_Output!$Q$1:$Q$400,"monthly")*(1-W143)/H143,4),""),"")</f>
        <v/>
      </c>
      <c r="J143" s="6">
        <f>IF(B143="","",SUMIFS(SF_Output!$S$1:$S$400,SF_Output!$AC$1:$AC$400,_xlfn.TEXTJOIN(",",TRUE,B143:E143),SF_Output!$Q$1:$Q$400,"One Time",SF_Output!$L$1:$L$400,"license fee")+SUMIFS(SF_Output!$S$1:$S$400,SF_Output!$AC$1:$AC$400,_xlfn.TEXTJOIN(",",TRUE,B143:E143),SF_Output!$Q$1:$Q$400,"One Time",SF_Output!$L$1:$L$400,"software license")+SUMIFS(SF_Output!$S$1:$S$400,SF_Output!$AC$1:$AC$400,_xlfn.TEXTJOIN(",",TRUE,B143:E143),SF_Output!$Q$1:$Q$400,"One Time",SF_Output!$L$1:$L$400,"hardware"))</f>
        <v>0</v>
      </c>
      <c r="K143" s="112" t="str">
        <f>IF(OR(B143=0,B143="",G143="hardware",J143=0),"",IF(AF143&lt;&gt;"exclusion",MAX(K$9,-((SUMIFS(SF_Output!$T$1:$T$400,SF_Output!$AC$1:$AC$400,_xlfn.TEXTJOIN(",",TRUE,$B143:$E143),SF_Output!$Q$1:$Q$400,"One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license"))/J143)),-((SUMIFS(SF_Output!$T$1:$T$400,SF_Output!$AC$1:$AC$400,_xlfn.TEXTJOIN(",",TRUE,$B143:$E143),SF_Output!$Q$1:$Q$400,"One Time",SF_Output!$L$1:$L$400,"license fee")+SUMIFS(SF_Output!$T$1:$T$400,SF_Output!$AC$1:$AC$400,_xlfn.TEXTJOIN(",",TRUE,$B143:$E143),SF_Output!$Q$1:$Q$400,"One Time",SF_Output!$L$1:$L$400,"software license"))/J143)))</f>
        <v/>
      </c>
      <c r="L143" s="6">
        <f t="shared" si="9"/>
        <v>0</v>
      </c>
      <c r="N143" s="6">
        <f>IF(B143="","",SUMIFS(SF_Output!$S$1:$S$400,SF_Output!$AC$1:$AC$400,_xlfn.TEXTJOIN(",",TRUE,B143:E143),SF_Output!$Q$1:$Q$400,"One Time",SF_Output!$L$1:$L$400,"professional service"))</f>
        <v>0</v>
      </c>
      <c r="O143" s="112" t="str">
        <f>IF(OR(B143=0,B143="",N143=0),"",IF(AF143&lt;&gt;"exclusion",MAX(O$9,-(SUMIFS(SF_Output!$T$1:$T$400,SF_Output!$AC$1:$AC$400,_xlfn.TEXTJOIN(",",TRUE,$B143:$E143),SF_Output!$Q$1:$Q$400,"One Time",SF_Output!$L$1:$L$400,"professional service"))/N143),-((SUMIFS(SF_Output!$T$1:$T$400,SF_Output!$AC$1:$AC$400,_xlfn.TEXTJOIN(",",TRUE,$B143:$E143),SF_Output!$Q$1:$Q$400,"One Time",SF_Output!$L$1:$L$400,"professional service")/N143))))</f>
        <v/>
      </c>
      <c r="P143" s="6">
        <f t="shared" si="10"/>
        <v>0</v>
      </c>
      <c r="R143" s="6">
        <f>IF(B143="","",SUMIFS(SF_Output!$S$1:$S$400,SF_Output!$AC$1:$AC$400,_xlfn.TEXTJOIN(",",TRUE,B143:E143),SF_Output!$Q$1:$Q$400,"yearly")+SUMIFS(SF_Output!$S$1:$S$400,SF_Output!$AC$1:$AC$400,_xlfn.TEXTJOIN(",",TRUE,B143:E143),SF_Output!$Q$1:$Q$400,"quarterly")*4)</f>
        <v>0</v>
      </c>
      <c r="S143" s="112" t="str">
        <f>IF(OR(B143=0,B143="",G143="hardware",R143=0),"",IF(AF143&lt;&gt;"exclusion",MAX(S$9,-(SUMIFS(SF_Output!$T$1:$T$400,SF_Output!$AC$1:$AC$400,_xlfn.TEXTJOIN(",",TRUE,$B143:$E143),SF_Output!$Q$1:$Q$400,"yearly"))/R143),-((SUMIFS(SF_Output!$T$1:$T$400,SF_Output!$AC$1:$AC$400,_xlfn.TEXTJOIN(",",TRUE,$B143:$E143),SF_Output!$Q$1:$Q$400,"yearly")/R143))))</f>
        <v/>
      </c>
      <c r="T143" s="6">
        <f t="shared" si="11"/>
        <v>0</v>
      </c>
      <c r="V143" s="6" cm="1">
        <f t="array" ref="V143">_xlfn.IFS(B143="","",AND(B143&lt;&gt;"",H143=SF_Output!$Y$2,SUMIFS(SF_Output!$T$1:$T$400,SF_Output!$AC$1:$AC$400,_xlfn.TEXTJOIN(",",TRUE,B143:E143),SF_Output!$Q$1:$Q$400,"monthly")=0),(SUMIFS(SF_Output!$F$1:$F$400,SF_Output!$AC$1:$AC$400,_xlfn.TEXTJOIN(",",TRUE,B143:E143),SF_Output!$Q$1:$Q$400,"monthly")+SUMIFS(SF_Output!$G$1:$G$400,SF_Output!$AC$1:$AC$400,_xlfn.TEXTJOIN(",",TRUE,B143:E143),SF_Output!$Q$1:$Q$400,"monthly"))*H143,AND(B143&lt;&gt;"",H143=SF_Output!$Y$2,SUMIFS(SF_Output!$T$1:$T$400,SF_Output!$AC$1:$AC$400,_xlfn.TEXTJOIN(",",TRUE,B143:E143),SF_Output!$Q$1:$Q$400,"monthly")&lt;&gt;0),SUMIFS(SF_Output!$S$1:$S$400,SF_Output!$AC$1:$AC$400,_xlfn.TEXTJOIN(",",TRUE,B143:E143),SF_Output!$Q$1:$Q$400,"monthly"),AND(B143&lt;&gt;"",H143&lt;&gt;SF_Output!$Y$2),SUMIFS(SF_Output!$S$1:$S$400,SF_Output!$AC$1:$AC$400,_xlfn.TEXTJOIN(",",TRUE,B143:E143),SF_Output!$Q$1:$Q$400,"monthly"))</f>
        <v>0</v>
      </c>
      <c r="W143" s="112" t="str" cm="1">
        <f t="array" ref="W143">_xlfn.IFS(OR(B143=0,B143="",V143=0),"",AF143&lt;&gt;"exclusion",MAX($W$9,$W$7,(-(SUMIFS(SF_Output!$T$1:$T$400,SF_Output!$AC$1:$AC$400,_xlfn.TEXTJOIN(",",TRUE,$B143:$E143),SF_Output!$Q$1:$Q$400,"monthly"))/V143)),AF143="exclusion",-(SUMIFS(SF_Output!$T$1:$T$400,SF_Output!$AC$1:$AC$400,_xlfn.TEXTJOIN(",",TRUE,$B143:$E143),SF_Output!$Q$1:$Q$400,"monthly"))/V143)</f>
        <v/>
      </c>
      <c r="X143" s="6" cm="1">
        <f t="array" ref="X143">IFERROR(_xlfn.IFS(V143=0,0,V143="","",W143=0,V143,OR(V143&lt;&gt;0,V143&lt;&gt;""),H143*I143),V143*(1-W143))</f>
        <v>0</v>
      </c>
    </row>
    <row r="144" spans="2:24" x14ac:dyDescent="0.25">
      <c r="B144" t="s">
        <v>2453</v>
      </c>
      <c r="C144" t="s">
        <v>2122</v>
      </c>
      <c r="D144" t="s">
        <v>2207</v>
      </c>
      <c r="E144" t="s">
        <v>2124</v>
      </c>
      <c r="F144" s="116" t="str">
        <f t="shared" si="8"/>
        <v>Included</v>
      </c>
      <c r="G144" t="str">
        <f>IF(B144="","",INDEX(SF_Output!$K$1:$K$400,MATCH(B144,SF_Output!$M$1:$M$400,0)))</f>
        <v>Card Processing Solutions (CPS)</v>
      </c>
      <c r="H144" cm="1">
        <f t="array" ref="H144">_xlfn.IFS(B144="","",(SUMIFS(SF_Output!$F$1:$F$400,SF_Output!$AC$1:$AC$400,_xlfn.TEXTJOIN(",",TRUE,B144:E144))+SUMIFS(SF_Output!$G$1:$G$400,SF_Output!$AC$1:$AC$400,_xlfn.TEXTJOIN(",",TRUE,B144:E144)))&lt;&gt;0,SF_Output!$Y$2,INDEX(SF_Output!$F$1:$F$400,MATCH(_xlfn.TEXTJOIN(",",TRUE,B144:E144),SF_Output!$AC$1:$AC$400,0))=0,INDEX(SF_Output!$R$1:$R$400,MATCH(_xlfn.TEXTJOIN(",",TRUE,B144:E144),SF_Output!$AC$1:$AC$400,0)))</f>
        <v>0</v>
      </c>
      <c r="I144" s="125" t="str">
        <f>IFERROR(IF(AND(H144&gt;1,H144&lt;&gt;""),ROUND(SUMIFS(SF_Output!$S$1:$S$400,SF_Output!$AC$1:$AC$400,_xlfn.TEXTJOIN(",",TRUE,B144:E144),SF_Output!$Q$1:$Q$400,"monthly")*(1-W144)/H144,4),""),"")</f>
        <v/>
      </c>
      <c r="J144" s="6">
        <f>IF(B144="","",SUMIFS(SF_Output!$S$1:$S$400,SF_Output!$AC$1:$AC$400,_xlfn.TEXTJOIN(",",TRUE,B144:E144),SF_Output!$Q$1:$Q$400,"One Time",SF_Output!$L$1:$L$400,"license fee")+SUMIFS(SF_Output!$S$1:$S$400,SF_Output!$AC$1:$AC$400,_xlfn.TEXTJOIN(",",TRUE,B144:E144),SF_Output!$Q$1:$Q$400,"One Time",SF_Output!$L$1:$L$400,"software license")+SUMIFS(SF_Output!$S$1:$S$400,SF_Output!$AC$1:$AC$400,_xlfn.TEXTJOIN(",",TRUE,B144:E144),SF_Output!$Q$1:$Q$400,"One Time",SF_Output!$L$1:$L$400,"hardware"))</f>
        <v>0</v>
      </c>
      <c r="K144" s="112" t="str">
        <f>IF(OR(B144=0,B144="",G144="hardware",J144=0),"",IF(AF144&lt;&gt;"exclusion",MAX(K$9,-((SUMIFS(SF_Output!$T$1:$T$400,SF_Output!$AC$1:$AC$400,_xlfn.TEXTJOIN(",",TRUE,$B144:$E144),SF_Output!$Q$1:$Q$400,"One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license"))/J144)),-((SUMIFS(SF_Output!$T$1:$T$400,SF_Output!$AC$1:$AC$400,_xlfn.TEXTJOIN(",",TRUE,$B144:$E144),SF_Output!$Q$1:$Q$400,"One Time",SF_Output!$L$1:$L$400,"license fee")+SUMIFS(SF_Output!$T$1:$T$400,SF_Output!$AC$1:$AC$400,_xlfn.TEXTJOIN(",",TRUE,$B144:$E144),SF_Output!$Q$1:$Q$400,"One Time",SF_Output!$L$1:$L$400,"software license"))/J144)))</f>
        <v/>
      </c>
      <c r="L144" s="6">
        <f t="shared" si="9"/>
        <v>0</v>
      </c>
      <c r="N144" s="6">
        <f>IF(B144="","",SUMIFS(SF_Output!$S$1:$S$400,SF_Output!$AC$1:$AC$400,_xlfn.TEXTJOIN(",",TRUE,B144:E144),SF_Output!$Q$1:$Q$400,"One Time",SF_Output!$L$1:$L$400,"professional service"))</f>
        <v>1500</v>
      </c>
      <c r="O144" s="112">
        <f>IF(OR(B144=0,B144="",N144=0),"",IF(AF144&lt;&gt;"exclusion",MAX(O$9,-(SUMIFS(SF_Output!$T$1:$T$400,SF_Output!$AC$1:$AC$400,_xlfn.TEXTJOIN(",",TRUE,$B144:$E144),SF_Output!$Q$1:$Q$400,"One Time",SF_Output!$L$1:$L$400,"professional service"))/N144),-((SUMIFS(SF_Output!$T$1:$T$400,SF_Output!$AC$1:$AC$400,_xlfn.TEXTJOIN(",",TRUE,$B144:$E144),SF_Output!$Q$1:$Q$400,"One Time",SF_Output!$L$1:$L$400,"professional service")/N144))))</f>
        <v>1</v>
      </c>
      <c r="P144" s="6">
        <f t="shared" si="10"/>
        <v>0</v>
      </c>
      <c r="R144" s="6">
        <f>IF(B144="","",SUMIFS(SF_Output!$S$1:$S$400,SF_Output!$AC$1:$AC$400,_xlfn.TEXTJOIN(",",TRUE,B144:E144),SF_Output!$Q$1:$Q$400,"yearly")+SUMIFS(SF_Output!$S$1:$S$400,SF_Output!$AC$1:$AC$400,_xlfn.TEXTJOIN(",",TRUE,B144:E144),SF_Output!$Q$1:$Q$400,"quarterly")*4)</f>
        <v>0</v>
      </c>
      <c r="S144" s="112" t="str">
        <f>IF(OR(B144=0,B144="",G144="hardware",R144=0),"",IF(AF144&lt;&gt;"exclusion",MAX(S$9,-(SUMIFS(SF_Output!$T$1:$T$400,SF_Output!$AC$1:$AC$400,_xlfn.TEXTJOIN(",",TRUE,$B144:$E144),SF_Output!$Q$1:$Q$400,"yearly"))/R144),-((SUMIFS(SF_Output!$T$1:$T$400,SF_Output!$AC$1:$AC$400,_xlfn.TEXTJOIN(",",TRUE,$B144:$E144),SF_Output!$Q$1:$Q$400,"yearly")/R144))))</f>
        <v/>
      </c>
      <c r="T144" s="6">
        <f t="shared" si="11"/>
        <v>0</v>
      </c>
      <c r="V144" s="6" cm="1">
        <f t="array" ref="V144">_xlfn.IFS(B144="","",AND(B144&lt;&gt;"",H144=SF_Output!$Y$2,SUMIFS(SF_Output!$T$1:$T$400,SF_Output!$AC$1:$AC$400,_xlfn.TEXTJOIN(",",TRUE,B144:E144),SF_Output!$Q$1:$Q$400,"monthly")=0),(SUMIFS(SF_Output!$F$1:$F$400,SF_Output!$AC$1:$AC$400,_xlfn.TEXTJOIN(",",TRUE,B144:E144),SF_Output!$Q$1:$Q$400,"monthly")+SUMIFS(SF_Output!$G$1:$G$400,SF_Output!$AC$1:$AC$400,_xlfn.TEXTJOIN(",",TRUE,B144:E144),SF_Output!$Q$1:$Q$400,"monthly"))*H144,AND(B144&lt;&gt;"",H144=SF_Output!$Y$2,SUMIFS(SF_Output!$T$1:$T$400,SF_Output!$AC$1:$AC$400,_xlfn.TEXTJOIN(",",TRUE,B144:E144),SF_Output!$Q$1:$Q$400,"monthly")&lt;&gt;0),SUMIFS(SF_Output!$S$1:$S$400,SF_Output!$AC$1:$AC$400,_xlfn.TEXTJOIN(",",TRUE,B144:E144),SF_Output!$Q$1:$Q$400,"monthly"),AND(B144&lt;&gt;"",H144&lt;&gt;SF_Output!$Y$2),SUMIFS(SF_Output!$S$1:$S$400,SF_Output!$AC$1:$AC$400,_xlfn.TEXTJOIN(",",TRUE,B144:E144),SF_Output!$Q$1:$Q$400,"monthly"))</f>
        <v>250</v>
      </c>
      <c r="W144" s="112" cm="1">
        <f t="array" ref="W144">_xlfn.IFS(OR(B144=0,B144="",V144=0),"",AF144&lt;&gt;"exclusion",MAX($W$9,$W$7,(-(SUMIFS(SF_Output!$T$1:$T$400,SF_Output!$AC$1:$AC$400,_xlfn.TEXTJOIN(",",TRUE,$B144:$E144),SF_Output!$Q$1:$Q$400,"monthly"))/V144)),AF144="exclusion",-(SUMIFS(SF_Output!$T$1:$T$400,SF_Output!$AC$1:$AC$400,_xlfn.TEXTJOIN(",",TRUE,$B144:$E144),SF_Output!$Q$1:$Q$400,"monthly"))/V144)</f>
        <v>0</v>
      </c>
      <c r="X144" s="6" cm="1">
        <f t="array" ref="X144">IFERROR(_xlfn.IFS(V144=0,0,V144="","",W144=0,V144,OR(V144&lt;&gt;0,V144&lt;&gt;""),H144*I144),V144*(1-W144))</f>
        <v>250</v>
      </c>
    </row>
    <row r="145" spans="2:24" x14ac:dyDescent="0.25">
      <c r="B145" t="s">
        <v>2457</v>
      </c>
      <c r="C145" t="s">
        <v>2122</v>
      </c>
      <c r="D145" t="s">
        <v>2123</v>
      </c>
      <c r="E145" t="s">
        <v>2124</v>
      </c>
      <c r="F145" s="116" t="str">
        <f t="shared" si="8"/>
        <v>Included</v>
      </c>
      <c r="G145" t="str">
        <f>IF(B145="","",INDEX(SF_Output!$K$1:$K$400,MATCH(B145,SF_Output!$M$1:$M$400,0)))</f>
        <v>Payrailz</v>
      </c>
      <c r="H145" cm="1">
        <f t="array" ref="H145">_xlfn.IFS(B145="","",(SUMIFS(SF_Output!$F$1:$F$400,SF_Output!$AC$1:$AC$400,_xlfn.TEXTJOIN(",",TRUE,B145:E145))+SUMIFS(SF_Output!$G$1:$G$400,SF_Output!$AC$1:$AC$400,_xlfn.TEXTJOIN(",",TRUE,B145:E145)))&lt;&gt;0,SF_Output!$Y$2,INDEX(SF_Output!$F$1:$F$400,MATCH(_xlfn.TEXTJOIN(",",TRUE,B145:E145),SF_Output!$AC$1:$AC$400,0))=0,INDEX(SF_Output!$R$1:$R$400,MATCH(_xlfn.TEXTJOIN(",",TRUE,B145:E145),SF_Output!$AC$1:$AC$400,0)))</f>
        <v>1</v>
      </c>
      <c r="I145" s="125" t="str">
        <f>IFERROR(IF(AND(H145&gt;1,H145&lt;&gt;""),ROUND(SUMIFS(SF_Output!$S$1:$S$400,SF_Output!$AC$1:$AC$400,_xlfn.TEXTJOIN(",",TRUE,B145:E145),SF_Output!$Q$1:$Q$400,"monthly")*(1-W145)/H145,4),""),"")</f>
        <v/>
      </c>
      <c r="J145" s="6">
        <f>IF(B145="","",SUMIFS(SF_Output!$S$1:$S$400,SF_Output!$AC$1:$AC$400,_xlfn.TEXTJOIN(",",TRUE,B145:E145),SF_Output!$Q$1:$Q$400,"One Time",SF_Output!$L$1:$L$400,"license fee")+SUMIFS(SF_Output!$S$1:$S$400,SF_Output!$AC$1:$AC$400,_xlfn.TEXTJOIN(",",TRUE,B145:E145),SF_Output!$Q$1:$Q$400,"One Time",SF_Output!$L$1:$L$400,"software license")+SUMIFS(SF_Output!$S$1:$S$400,SF_Output!$AC$1:$AC$400,_xlfn.TEXTJOIN(",",TRUE,B145:E145),SF_Output!$Q$1:$Q$400,"One Time",SF_Output!$L$1:$L$400,"hardware"))</f>
        <v>0</v>
      </c>
      <c r="K145" s="112" t="str">
        <f>IF(OR(B145=0,B145="",G145="hardware",J145=0),"",IF(AF145&lt;&gt;"exclusion",MAX(K$9,-((SUMIFS(SF_Output!$T$1:$T$400,SF_Output!$AC$1:$AC$400,_xlfn.TEXTJOIN(",",TRUE,$B145:$E145),SF_Output!$Q$1:$Q$400,"One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license"))/J145)),-((SUMIFS(SF_Output!$T$1:$T$400,SF_Output!$AC$1:$AC$400,_xlfn.TEXTJOIN(",",TRUE,$B145:$E145),SF_Output!$Q$1:$Q$400,"One Time",SF_Output!$L$1:$L$400,"license fee")+SUMIFS(SF_Output!$T$1:$T$400,SF_Output!$AC$1:$AC$400,_xlfn.TEXTJOIN(",",TRUE,$B145:$E145),SF_Output!$Q$1:$Q$400,"One Time",SF_Output!$L$1:$L$400,"software license"))/J145)))</f>
        <v/>
      </c>
      <c r="L145" s="6">
        <f t="shared" si="9"/>
        <v>0</v>
      </c>
      <c r="N145" s="6">
        <f>IF(B145="","",SUMIFS(SF_Output!$S$1:$S$400,SF_Output!$AC$1:$AC$400,_xlfn.TEXTJOIN(",",TRUE,B145:E145),SF_Output!$Q$1:$Q$400,"One Time",SF_Output!$L$1:$L$400,"professional service"))</f>
        <v>5000</v>
      </c>
      <c r="O145" s="112">
        <f>IF(OR(B145=0,B145="",N145=0),"",IF(AF145&lt;&gt;"exclusion",MAX(O$9,-(SUMIFS(SF_Output!$T$1:$T$400,SF_Output!$AC$1:$AC$400,_xlfn.TEXTJOIN(",",TRUE,$B145:$E145),SF_Output!$Q$1:$Q$400,"One Time",SF_Output!$L$1:$L$400,"professional service"))/N145),-((SUMIFS(SF_Output!$T$1:$T$400,SF_Output!$AC$1:$AC$400,_xlfn.TEXTJOIN(",",TRUE,$B145:$E145),SF_Output!$Q$1:$Q$400,"One Time",SF_Output!$L$1:$L$400,"professional service")/N145))))</f>
        <v>1</v>
      </c>
      <c r="P145" s="6">
        <f t="shared" si="10"/>
        <v>0</v>
      </c>
      <c r="R145" s="6">
        <f>IF(B145="","",SUMIFS(SF_Output!$S$1:$S$400,SF_Output!$AC$1:$AC$400,_xlfn.TEXTJOIN(",",TRUE,B145:E145),SF_Output!$Q$1:$Q$400,"yearly")+SUMIFS(SF_Output!$S$1:$S$400,SF_Output!$AC$1:$AC$400,_xlfn.TEXTJOIN(",",TRUE,B145:E145),SF_Output!$Q$1:$Q$400,"quarterly")*4)</f>
        <v>0</v>
      </c>
      <c r="S145" s="112" t="str">
        <f>IF(OR(B145=0,B145="",G145="hardware",R145=0),"",IF(AF145&lt;&gt;"exclusion",MAX(S$9,-(SUMIFS(SF_Output!$T$1:$T$400,SF_Output!$AC$1:$AC$400,_xlfn.TEXTJOIN(",",TRUE,$B145:$E145),SF_Output!$Q$1:$Q$400,"yearly"))/R145),-((SUMIFS(SF_Output!$T$1:$T$400,SF_Output!$AC$1:$AC$400,_xlfn.TEXTJOIN(",",TRUE,$B145:$E145),SF_Output!$Q$1:$Q$400,"yearly")/R145))))</f>
        <v/>
      </c>
      <c r="T145" s="6">
        <f t="shared" si="11"/>
        <v>0</v>
      </c>
      <c r="V145" s="6" cm="1">
        <f t="array" ref="V145">_xlfn.IFS(B145="","",AND(B145&lt;&gt;"",H145=SF_Output!$Y$2,SUMIFS(SF_Output!$T$1:$T$400,SF_Output!$AC$1:$AC$400,_xlfn.TEXTJOIN(",",TRUE,B145:E145),SF_Output!$Q$1:$Q$400,"monthly")=0),(SUMIFS(SF_Output!$F$1:$F$400,SF_Output!$AC$1:$AC$400,_xlfn.TEXTJOIN(",",TRUE,B145:E145),SF_Output!$Q$1:$Q$400,"monthly")+SUMIFS(SF_Output!$G$1:$G$400,SF_Output!$AC$1:$AC$400,_xlfn.TEXTJOIN(",",TRUE,B145:E145),SF_Output!$Q$1:$Q$400,"monthly"))*H145,AND(B145&lt;&gt;"",H145=SF_Output!$Y$2,SUMIFS(SF_Output!$T$1:$T$400,SF_Output!$AC$1:$AC$400,_xlfn.TEXTJOIN(",",TRUE,B145:E145),SF_Output!$Q$1:$Q$400,"monthly")&lt;&gt;0),SUMIFS(SF_Output!$S$1:$S$400,SF_Output!$AC$1:$AC$400,_xlfn.TEXTJOIN(",",TRUE,B145:E145),SF_Output!$Q$1:$Q$400,"monthly"),AND(B145&lt;&gt;"",H145&lt;&gt;SF_Output!$Y$2),SUMIFS(SF_Output!$S$1:$S$400,SF_Output!$AC$1:$AC$400,_xlfn.TEXTJOIN(",",TRUE,B145:E145),SF_Output!$Q$1:$Q$400,"monthly"))</f>
        <v>350</v>
      </c>
      <c r="W145" s="112" cm="1">
        <f t="array" ref="W145">_xlfn.IFS(OR(B145=0,B145="",V145=0),"",AF145&lt;&gt;"exclusion",MAX($W$9,$W$7,(-(SUMIFS(SF_Output!$T$1:$T$400,SF_Output!$AC$1:$AC$400,_xlfn.TEXTJOIN(",",TRUE,$B145:$E145),SF_Output!$Q$1:$Q$400,"monthly"))/V145)),AF145="exclusion",-(SUMIFS(SF_Output!$T$1:$T$400,SF_Output!$AC$1:$AC$400,_xlfn.TEXTJOIN(",",TRUE,$B145:$E145),SF_Output!$Q$1:$Q$400,"monthly"))/V145)</f>
        <v>0</v>
      </c>
      <c r="X145" s="6" cm="1">
        <f t="array" ref="X145">IFERROR(_xlfn.IFS(V145=0,0,V145="","",W145=0,V145,OR(V145&lt;&gt;0,V145&lt;&gt;""),H145*I145),V145*(1-W145))</f>
        <v>350</v>
      </c>
    </row>
    <row r="146" spans="2:24" x14ac:dyDescent="0.25">
      <c r="B146" t="s">
        <v>2461</v>
      </c>
      <c r="C146" t="s">
        <v>2122</v>
      </c>
      <c r="D146" t="s">
        <v>2123</v>
      </c>
      <c r="E146" t="s">
        <v>2124</v>
      </c>
      <c r="F146" s="116" t="str">
        <f t="shared" si="8"/>
        <v>Included</v>
      </c>
      <c r="G146" t="str">
        <f>IF(B146="","",INDEX(SF_Output!$K$1:$K$400,MATCH(B146,SF_Output!$M$1:$M$400,0)))</f>
        <v>Payrailz</v>
      </c>
      <c r="H146" cm="1">
        <f t="array" ref="H146">_xlfn.IFS(B146="","",(SUMIFS(SF_Output!$F$1:$F$400,SF_Output!$AC$1:$AC$400,_xlfn.TEXTJOIN(",",TRUE,B146:E146))+SUMIFS(SF_Output!$G$1:$G$400,SF_Output!$AC$1:$AC$400,_xlfn.TEXTJOIN(",",TRUE,B146:E146)))&lt;&gt;0,SF_Output!$Y$2,INDEX(SF_Output!$F$1:$F$400,MATCH(_xlfn.TEXTJOIN(",",TRUE,B146:E146),SF_Output!$AC$1:$AC$400,0))=0,INDEX(SF_Output!$R$1:$R$400,MATCH(_xlfn.TEXTJOIN(",",TRUE,B146:E146),SF_Output!$AC$1:$AC$400,0)))</f>
        <v>500</v>
      </c>
      <c r="I146" s="125">
        <f>IFERROR(IF(AND(H146&gt;1,H146&lt;&gt;""),ROUND(SUMIFS(SF_Output!$S$1:$S$400,SF_Output!$AC$1:$AC$400,_xlfn.TEXTJOIN(",",TRUE,B146:E146),SF_Output!$Q$1:$Q$400,"monthly")*(1-W146)/H146,4),""),"")</f>
        <v>0.62</v>
      </c>
      <c r="J146" s="6">
        <f>IF(B146="","",SUMIFS(SF_Output!$S$1:$S$400,SF_Output!$AC$1:$AC$400,_xlfn.TEXTJOIN(",",TRUE,B146:E146),SF_Output!$Q$1:$Q$400,"One Time",SF_Output!$L$1:$L$400,"license fee")+SUMIFS(SF_Output!$S$1:$S$400,SF_Output!$AC$1:$AC$400,_xlfn.TEXTJOIN(",",TRUE,B146:E146),SF_Output!$Q$1:$Q$400,"One Time",SF_Output!$L$1:$L$400,"software license")+SUMIFS(SF_Output!$S$1:$S$400,SF_Output!$AC$1:$AC$400,_xlfn.TEXTJOIN(",",TRUE,B146:E146),SF_Output!$Q$1:$Q$400,"One Time",SF_Output!$L$1:$L$400,"hardware"))</f>
        <v>0</v>
      </c>
      <c r="K146" s="112" t="str">
        <f>IF(OR(B146=0,B146="",G146="hardware",J146=0),"",IF(AF146&lt;&gt;"exclusion",MAX(K$9,-((SUMIFS(SF_Output!$T$1:$T$400,SF_Output!$AC$1:$AC$400,_xlfn.TEXTJOIN(",",TRUE,$B146:$E146),SF_Output!$Q$1:$Q$400,"One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license"))/J146)),-((SUMIFS(SF_Output!$T$1:$T$400,SF_Output!$AC$1:$AC$400,_xlfn.TEXTJOIN(",",TRUE,$B146:$E146),SF_Output!$Q$1:$Q$400,"One Time",SF_Output!$L$1:$L$400,"license fee")+SUMIFS(SF_Output!$T$1:$T$400,SF_Output!$AC$1:$AC$400,_xlfn.TEXTJOIN(",",TRUE,$B146:$E146),SF_Output!$Q$1:$Q$400,"One Time",SF_Output!$L$1:$L$400,"software license"))/J146)))</f>
        <v/>
      </c>
      <c r="L146" s="6">
        <f t="shared" si="9"/>
        <v>0</v>
      </c>
      <c r="N146" s="6">
        <f>IF(B146="","",SUMIFS(SF_Output!$S$1:$S$400,SF_Output!$AC$1:$AC$400,_xlfn.TEXTJOIN(",",TRUE,B146:E146),SF_Output!$Q$1:$Q$400,"One Time",SF_Output!$L$1:$L$400,"professional service"))</f>
        <v>0</v>
      </c>
      <c r="O146" s="112" t="str">
        <f>IF(OR(B146=0,B146="",N146=0),"",IF(AF146&lt;&gt;"exclusion",MAX(O$9,-(SUMIFS(SF_Output!$T$1:$T$400,SF_Output!$AC$1:$AC$400,_xlfn.TEXTJOIN(",",TRUE,$B146:$E146),SF_Output!$Q$1:$Q$400,"One Time",SF_Output!$L$1:$L$400,"professional service"))/N146),-((SUMIFS(SF_Output!$T$1:$T$400,SF_Output!$AC$1:$AC$400,_xlfn.TEXTJOIN(",",TRUE,$B146:$E146),SF_Output!$Q$1:$Q$400,"One Time",SF_Output!$L$1:$L$400,"professional service")/N146))))</f>
        <v/>
      </c>
      <c r="P146" s="6">
        <f t="shared" si="10"/>
        <v>0</v>
      </c>
      <c r="R146" s="6">
        <f>IF(B146="","",SUMIFS(SF_Output!$S$1:$S$400,SF_Output!$AC$1:$AC$400,_xlfn.TEXTJOIN(",",TRUE,B146:E146),SF_Output!$Q$1:$Q$400,"yearly")+SUMIFS(SF_Output!$S$1:$S$400,SF_Output!$AC$1:$AC$400,_xlfn.TEXTJOIN(",",TRUE,B146:E146),SF_Output!$Q$1:$Q$400,"quarterly")*4)</f>
        <v>0</v>
      </c>
      <c r="S146" s="112" t="str">
        <f>IF(OR(B146=0,B146="",G146="hardware",R146=0),"",IF(AF146&lt;&gt;"exclusion",MAX(S$9,-(SUMIFS(SF_Output!$T$1:$T$400,SF_Output!$AC$1:$AC$400,_xlfn.TEXTJOIN(",",TRUE,$B146:$E146),SF_Output!$Q$1:$Q$400,"yearly"))/R146),-((SUMIFS(SF_Output!$T$1:$T$400,SF_Output!$AC$1:$AC$400,_xlfn.TEXTJOIN(",",TRUE,$B146:$E146),SF_Output!$Q$1:$Q$400,"yearly")/R146))))</f>
        <v/>
      </c>
      <c r="T146" s="6">
        <f t="shared" si="11"/>
        <v>0</v>
      </c>
      <c r="V146" s="6" cm="1">
        <f t="array" ref="V146">_xlfn.IFS(B146="","",AND(B146&lt;&gt;"",H146=SF_Output!$Y$2,SUMIFS(SF_Output!$T$1:$T$400,SF_Output!$AC$1:$AC$400,_xlfn.TEXTJOIN(",",TRUE,B146:E146),SF_Output!$Q$1:$Q$400,"monthly")=0),(SUMIFS(SF_Output!$F$1:$F$400,SF_Output!$AC$1:$AC$400,_xlfn.TEXTJOIN(",",TRUE,B146:E146),SF_Output!$Q$1:$Q$400,"monthly")+SUMIFS(SF_Output!$G$1:$G$400,SF_Output!$AC$1:$AC$400,_xlfn.TEXTJOIN(",",TRUE,B146:E146),SF_Output!$Q$1:$Q$400,"monthly"))*H146,AND(B146&lt;&gt;"",H146=SF_Output!$Y$2,SUMIFS(SF_Output!$T$1:$T$400,SF_Output!$AC$1:$AC$400,_xlfn.TEXTJOIN(",",TRUE,B146:E146),SF_Output!$Q$1:$Q$400,"monthly")&lt;&gt;0),SUMIFS(SF_Output!$S$1:$S$400,SF_Output!$AC$1:$AC$400,_xlfn.TEXTJOIN(",",TRUE,B146:E146),SF_Output!$Q$1:$Q$400,"monthly"),AND(B146&lt;&gt;"",H146&lt;&gt;SF_Output!$Y$2),SUMIFS(SF_Output!$S$1:$S$400,SF_Output!$AC$1:$AC$400,_xlfn.TEXTJOIN(",",TRUE,B146:E146),SF_Output!$Q$1:$Q$400,"monthly"))</f>
        <v>310</v>
      </c>
      <c r="W146" s="112" cm="1">
        <f t="array" ref="W146">_xlfn.IFS(OR(B146=0,B146="",V146=0),"",AF146&lt;&gt;"exclusion",MAX($W$9,$W$7,(-(SUMIFS(SF_Output!$T$1:$T$400,SF_Output!$AC$1:$AC$400,_xlfn.TEXTJOIN(",",TRUE,$B146:$E146),SF_Output!$Q$1:$Q$400,"monthly"))/V146)),AF146="exclusion",-(SUMIFS(SF_Output!$T$1:$T$400,SF_Output!$AC$1:$AC$400,_xlfn.TEXTJOIN(",",TRUE,$B146:$E146),SF_Output!$Q$1:$Q$400,"monthly"))/V146)</f>
        <v>0</v>
      </c>
      <c r="X146" s="6" cm="1">
        <f t="array" ref="X146">IFERROR(_xlfn.IFS(V146=0,0,V146="","",W146=0,V146,OR(V146&lt;&gt;0,V146&lt;&gt;""),H146*I146),V146*(1-W146))</f>
        <v>310</v>
      </c>
    </row>
    <row r="147" spans="2:24" x14ac:dyDescent="0.25">
      <c r="B147" t="s">
        <v>2465</v>
      </c>
      <c r="C147" t="s">
        <v>2122</v>
      </c>
      <c r="D147" t="s">
        <v>2123</v>
      </c>
      <c r="E147" t="s">
        <v>2124</v>
      </c>
      <c r="F147" s="116" t="str">
        <f t="shared" si="8"/>
        <v>Included</v>
      </c>
      <c r="G147" t="str">
        <f>IF(B147="","",INDEX(SF_Output!$K$1:$K$400,MATCH(B147,SF_Output!$M$1:$M$400,0)))</f>
        <v>Payrailz</v>
      </c>
      <c r="H147" cm="1">
        <f t="array" ref="H147">_xlfn.IFS(B147="","",(SUMIFS(SF_Output!$F$1:$F$400,SF_Output!$AC$1:$AC$400,_xlfn.TEXTJOIN(",",TRUE,B147:E147))+SUMIFS(SF_Output!$G$1:$G$400,SF_Output!$AC$1:$AC$400,_xlfn.TEXTJOIN(",",TRUE,B147:E147)))&lt;&gt;0,SF_Output!$Y$2,INDEX(SF_Output!$F$1:$F$400,MATCH(_xlfn.TEXTJOIN(",",TRUE,B147:E147),SF_Output!$AC$1:$AC$400,0))=0,INDEX(SF_Output!$R$1:$R$400,MATCH(_xlfn.TEXTJOIN(",",TRUE,B147:E147),SF_Output!$AC$1:$AC$400,0)))</f>
        <v>1</v>
      </c>
      <c r="I147" s="125" t="str">
        <f>IFERROR(IF(AND(H147&gt;1,H147&lt;&gt;""),ROUND(SUMIFS(SF_Output!$S$1:$S$400,SF_Output!$AC$1:$AC$400,_xlfn.TEXTJOIN(",",TRUE,B147:E147),SF_Output!$Q$1:$Q$400,"monthly")*(1-W147)/H147,4),""),"")</f>
        <v/>
      </c>
      <c r="J147" s="6">
        <f>IF(B147="","",SUMIFS(SF_Output!$S$1:$S$400,SF_Output!$AC$1:$AC$400,_xlfn.TEXTJOIN(",",TRUE,B147:E147),SF_Output!$Q$1:$Q$400,"One Time",SF_Output!$L$1:$L$400,"license fee")+SUMIFS(SF_Output!$S$1:$S$400,SF_Output!$AC$1:$AC$400,_xlfn.TEXTJOIN(",",TRUE,B147:E147),SF_Output!$Q$1:$Q$400,"One Time",SF_Output!$L$1:$L$400,"software license")+SUMIFS(SF_Output!$S$1:$S$400,SF_Output!$AC$1:$AC$400,_xlfn.TEXTJOIN(",",TRUE,B147:E147),SF_Output!$Q$1:$Q$400,"One Time",SF_Output!$L$1:$L$400,"hardware"))</f>
        <v>0</v>
      </c>
      <c r="K147" s="112" t="str">
        <f>IF(OR(B147=0,B147="",G147="hardware",J147=0),"",IF(AF147&lt;&gt;"exclusion",MAX(K$9,-((SUMIFS(SF_Output!$T$1:$T$400,SF_Output!$AC$1:$AC$400,_xlfn.TEXTJOIN(",",TRUE,$B147:$E147),SF_Output!$Q$1:$Q$400,"One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license"))/J147)),-((SUMIFS(SF_Output!$T$1:$T$400,SF_Output!$AC$1:$AC$400,_xlfn.TEXTJOIN(",",TRUE,$B147:$E147),SF_Output!$Q$1:$Q$400,"One Time",SF_Output!$L$1:$L$400,"license fee")+SUMIFS(SF_Output!$T$1:$T$400,SF_Output!$AC$1:$AC$400,_xlfn.TEXTJOIN(",",TRUE,$B147:$E147),SF_Output!$Q$1:$Q$400,"One Time",SF_Output!$L$1:$L$400,"software license"))/J147)))</f>
        <v/>
      </c>
      <c r="L147" s="6">
        <f t="shared" si="9"/>
        <v>0</v>
      </c>
      <c r="N147" s="6">
        <f>IF(B147="","",SUMIFS(SF_Output!$S$1:$S$400,SF_Output!$AC$1:$AC$400,_xlfn.TEXTJOIN(",",TRUE,B147:E147),SF_Output!$Q$1:$Q$400,"One Time",SF_Output!$L$1:$L$400,"professional service"))</f>
        <v>3000</v>
      </c>
      <c r="O147" s="112">
        <f>IF(OR(B147=0,B147="",N147=0),"",IF(AF147&lt;&gt;"exclusion",MAX(O$9,-(SUMIFS(SF_Output!$T$1:$T$400,SF_Output!$AC$1:$AC$400,_xlfn.TEXTJOIN(",",TRUE,$B147:$E147),SF_Output!$Q$1:$Q$400,"One Time",SF_Output!$L$1:$L$400,"professional service"))/N147),-((SUMIFS(SF_Output!$T$1:$T$400,SF_Output!$AC$1:$AC$400,_xlfn.TEXTJOIN(",",TRUE,$B147:$E147),SF_Output!$Q$1:$Q$400,"One Time",SF_Output!$L$1:$L$400,"professional service")/N147))))</f>
        <v>1</v>
      </c>
      <c r="P147" s="6">
        <f t="shared" si="10"/>
        <v>0</v>
      </c>
      <c r="R147" s="6">
        <f>IF(B147="","",SUMIFS(SF_Output!$S$1:$S$400,SF_Output!$AC$1:$AC$400,_xlfn.TEXTJOIN(",",TRUE,B147:E147),SF_Output!$Q$1:$Q$400,"yearly")+SUMIFS(SF_Output!$S$1:$S$400,SF_Output!$AC$1:$AC$400,_xlfn.TEXTJOIN(",",TRUE,B147:E147),SF_Output!$Q$1:$Q$400,"quarterly")*4)</f>
        <v>0</v>
      </c>
      <c r="S147" s="112" t="str">
        <f>IF(OR(B147=0,B147="",G147="hardware",R147=0),"",IF(AF147&lt;&gt;"exclusion",MAX(S$9,-(SUMIFS(SF_Output!$T$1:$T$400,SF_Output!$AC$1:$AC$400,_xlfn.TEXTJOIN(",",TRUE,$B147:$E147),SF_Output!$Q$1:$Q$400,"yearly"))/R147),-((SUMIFS(SF_Output!$T$1:$T$400,SF_Output!$AC$1:$AC$400,_xlfn.TEXTJOIN(",",TRUE,$B147:$E147),SF_Output!$Q$1:$Q$400,"yearly")/R147))))</f>
        <v/>
      </c>
      <c r="T147" s="6">
        <f t="shared" si="11"/>
        <v>0</v>
      </c>
      <c r="V147" s="6" cm="1">
        <f t="array" ref="V147">_xlfn.IFS(B147="","",AND(B147&lt;&gt;"",H147=SF_Output!$Y$2,SUMIFS(SF_Output!$T$1:$T$400,SF_Output!$AC$1:$AC$400,_xlfn.TEXTJOIN(",",TRUE,B147:E147),SF_Output!$Q$1:$Q$400,"monthly")=0),(SUMIFS(SF_Output!$F$1:$F$400,SF_Output!$AC$1:$AC$400,_xlfn.TEXTJOIN(",",TRUE,B147:E147),SF_Output!$Q$1:$Q$400,"monthly")+SUMIFS(SF_Output!$G$1:$G$400,SF_Output!$AC$1:$AC$400,_xlfn.TEXTJOIN(",",TRUE,B147:E147),SF_Output!$Q$1:$Q$400,"monthly"))*H147,AND(B147&lt;&gt;"",H147=SF_Output!$Y$2,SUMIFS(SF_Output!$T$1:$T$400,SF_Output!$AC$1:$AC$400,_xlfn.TEXTJOIN(",",TRUE,B147:E147),SF_Output!$Q$1:$Q$400,"monthly")&lt;&gt;0),SUMIFS(SF_Output!$S$1:$S$400,SF_Output!$AC$1:$AC$400,_xlfn.TEXTJOIN(",",TRUE,B147:E147),SF_Output!$Q$1:$Q$400,"monthly"),AND(B147&lt;&gt;"",H147&lt;&gt;SF_Output!$Y$2),SUMIFS(SF_Output!$S$1:$S$400,SF_Output!$AC$1:$AC$400,_xlfn.TEXTJOIN(",",TRUE,B147:E147),SF_Output!$Q$1:$Q$400,"monthly"))</f>
        <v>750</v>
      </c>
      <c r="W147" s="112" cm="1">
        <f t="array" ref="W147">_xlfn.IFS(OR(B147=0,B147="",V147=0),"",AF147&lt;&gt;"exclusion",MAX($W$9,$W$7,(-(SUMIFS(SF_Output!$T$1:$T$400,SF_Output!$AC$1:$AC$400,_xlfn.TEXTJOIN(",",TRUE,$B147:$E147),SF_Output!$Q$1:$Q$400,"monthly"))/V147)),AF147="exclusion",-(SUMIFS(SF_Output!$T$1:$T$400,SF_Output!$AC$1:$AC$400,_xlfn.TEXTJOIN(",",TRUE,$B147:$E147),SF_Output!$Q$1:$Q$400,"monthly"))/V147)</f>
        <v>1</v>
      </c>
      <c r="X147" s="6" cm="1">
        <f t="array" ref="X147">IFERROR(_xlfn.IFS(V147=0,0,V147="","",W147=0,V147,OR(V147&lt;&gt;0,V147&lt;&gt;""),H147*I147),V147*(1-W147))</f>
        <v>0</v>
      </c>
    </row>
    <row r="148" spans="2:24" x14ac:dyDescent="0.25">
      <c r="B148" t="s">
        <v>2469</v>
      </c>
      <c r="C148" t="s">
        <v>2122</v>
      </c>
      <c r="D148" t="s">
        <v>2123</v>
      </c>
      <c r="E148" t="s">
        <v>2150</v>
      </c>
      <c r="F148" s="116" t="str">
        <f t="shared" si="8"/>
        <v>Optional</v>
      </c>
      <c r="G148" t="str">
        <f>IF(B148="","",INDEX(SF_Output!$K$1:$K$400,MATCH(B148,SF_Output!$M$1:$M$400,0)))</f>
        <v>ProfitStars RemitPlus</v>
      </c>
      <c r="H148" cm="1">
        <f t="array" ref="H148">_xlfn.IFS(B148="","",(SUMIFS(SF_Output!$F$1:$F$400,SF_Output!$AC$1:$AC$400,_xlfn.TEXTJOIN(",",TRUE,B148:E148))+SUMIFS(SF_Output!$G$1:$G$400,SF_Output!$AC$1:$AC$400,_xlfn.TEXTJOIN(",",TRUE,B148:E148)))&lt;&gt;0,SF_Output!$Y$2,INDEX(SF_Output!$F$1:$F$400,MATCH(_xlfn.TEXTJOIN(",",TRUE,B148:E148),SF_Output!$AC$1:$AC$400,0))=0,INDEX(SF_Output!$R$1:$R$400,MATCH(_xlfn.TEXTJOIN(",",TRUE,B148:E148),SF_Output!$AC$1:$AC$400,0)))</f>
        <v>1</v>
      </c>
      <c r="I148" s="125" t="str">
        <f>IFERROR(IF(AND(H148&gt;1,H148&lt;&gt;""),ROUND(SUMIFS(SF_Output!$S$1:$S$400,SF_Output!$AC$1:$AC$400,_xlfn.TEXTJOIN(",",TRUE,B148:E148),SF_Output!$Q$1:$Q$400,"monthly")*(1-W148)/H148,4),""),"")</f>
        <v/>
      </c>
      <c r="J148" s="6">
        <f>IF(B148="","",SUMIFS(SF_Output!$S$1:$S$400,SF_Output!$AC$1:$AC$400,_xlfn.TEXTJOIN(",",TRUE,B148:E148),SF_Output!$Q$1:$Q$400,"One Time",SF_Output!$L$1:$L$400,"license fee")+SUMIFS(SF_Output!$S$1:$S$400,SF_Output!$AC$1:$AC$400,_xlfn.TEXTJOIN(",",TRUE,B148:E148),SF_Output!$Q$1:$Q$400,"One Time",SF_Output!$L$1:$L$400,"software license")+SUMIFS(SF_Output!$S$1:$S$400,SF_Output!$AC$1:$AC$400,_xlfn.TEXTJOIN(",",TRUE,B148:E148),SF_Output!$Q$1:$Q$400,"One Time",SF_Output!$L$1:$L$400,"hardware"))</f>
        <v>0</v>
      </c>
      <c r="K148" s="112" t="str">
        <f>IF(OR(B148=0,B148="",G148="hardware",J148=0),"",IF(AF148&lt;&gt;"exclusion",MAX(K$9,-((SUMIFS(SF_Output!$T$1:$T$400,SF_Output!$AC$1:$AC$400,_xlfn.TEXTJOIN(",",TRUE,$B148:$E148),SF_Output!$Q$1:$Q$400,"One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license"))/J148)),-((SUMIFS(SF_Output!$T$1:$T$400,SF_Output!$AC$1:$AC$400,_xlfn.TEXTJOIN(",",TRUE,$B148:$E148),SF_Output!$Q$1:$Q$400,"One Time",SF_Output!$L$1:$L$400,"license fee")+SUMIFS(SF_Output!$T$1:$T$400,SF_Output!$AC$1:$AC$400,_xlfn.TEXTJOIN(",",TRUE,$B148:$E148),SF_Output!$Q$1:$Q$400,"One Time",SF_Output!$L$1:$L$400,"software license"))/J148)))</f>
        <v/>
      </c>
      <c r="L148" s="6">
        <f t="shared" si="9"/>
        <v>0</v>
      </c>
      <c r="N148" s="6">
        <f>IF(B148="","",SUMIFS(SF_Output!$S$1:$S$400,SF_Output!$AC$1:$AC$400,_xlfn.TEXTJOIN(",",TRUE,B148:E148),SF_Output!$Q$1:$Q$400,"One Time",SF_Output!$L$1:$L$400,"professional service"))</f>
        <v>3000</v>
      </c>
      <c r="O148" s="112">
        <f>IF(OR(B148=0,B148="",N148=0),"",IF(AF148&lt;&gt;"exclusion",MAX(O$9,-(SUMIFS(SF_Output!$T$1:$T$400,SF_Output!$AC$1:$AC$400,_xlfn.TEXTJOIN(",",TRUE,$B148:$E148),SF_Output!$Q$1:$Q$400,"One Time",SF_Output!$L$1:$L$400,"professional service"))/N148),-((SUMIFS(SF_Output!$T$1:$T$400,SF_Output!$AC$1:$AC$400,_xlfn.TEXTJOIN(",",TRUE,$B148:$E148),SF_Output!$Q$1:$Q$400,"One Time",SF_Output!$L$1:$L$400,"professional service")/N148))))</f>
        <v>0</v>
      </c>
      <c r="P148" s="6">
        <f t="shared" si="10"/>
        <v>3000</v>
      </c>
      <c r="R148" s="6">
        <f>IF(B148="","",SUMIFS(SF_Output!$S$1:$S$400,SF_Output!$AC$1:$AC$400,_xlfn.TEXTJOIN(",",TRUE,B148:E148),SF_Output!$Q$1:$Q$400,"yearly")+SUMIFS(SF_Output!$S$1:$S$400,SF_Output!$AC$1:$AC$400,_xlfn.TEXTJOIN(",",TRUE,B148:E148),SF_Output!$Q$1:$Q$400,"quarterly")*4)</f>
        <v>0</v>
      </c>
      <c r="S148" s="112" t="str">
        <f>IF(OR(B148=0,B148="",G148="hardware",R148=0),"",IF(AF148&lt;&gt;"exclusion",MAX(S$9,-(SUMIFS(SF_Output!$T$1:$T$400,SF_Output!$AC$1:$AC$400,_xlfn.TEXTJOIN(",",TRUE,$B148:$E148),SF_Output!$Q$1:$Q$400,"yearly"))/R148),-((SUMIFS(SF_Output!$T$1:$T$400,SF_Output!$AC$1:$AC$400,_xlfn.TEXTJOIN(",",TRUE,$B148:$E148),SF_Output!$Q$1:$Q$400,"yearly")/R148))))</f>
        <v/>
      </c>
      <c r="T148" s="6">
        <f t="shared" si="11"/>
        <v>0</v>
      </c>
      <c r="V148" s="6" cm="1">
        <f t="array" ref="V148">_xlfn.IFS(B148="","",AND(B148&lt;&gt;"",H148=SF_Output!$Y$2,SUMIFS(SF_Output!$T$1:$T$400,SF_Output!$AC$1:$AC$400,_xlfn.TEXTJOIN(",",TRUE,B148:E148),SF_Output!$Q$1:$Q$400,"monthly")=0),(SUMIFS(SF_Output!$F$1:$F$400,SF_Output!$AC$1:$AC$400,_xlfn.TEXTJOIN(",",TRUE,B148:E148),SF_Output!$Q$1:$Q$400,"monthly")+SUMIFS(SF_Output!$G$1:$G$400,SF_Output!$AC$1:$AC$400,_xlfn.TEXTJOIN(",",TRUE,B148:E148),SF_Output!$Q$1:$Q$400,"monthly"))*H148,AND(B148&lt;&gt;"",H148=SF_Output!$Y$2,SUMIFS(SF_Output!$T$1:$T$400,SF_Output!$AC$1:$AC$400,_xlfn.TEXTJOIN(",",TRUE,B148:E148),SF_Output!$Q$1:$Q$400,"monthly")&lt;&gt;0),SUMIFS(SF_Output!$S$1:$S$400,SF_Output!$AC$1:$AC$400,_xlfn.TEXTJOIN(",",TRUE,B148:E148),SF_Output!$Q$1:$Q$400,"monthly"),AND(B148&lt;&gt;"",H148&lt;&gt;SF_Output!$Y$2),SUMIFS(SF_Output!$S$1:$S$400,SF_Output!$AC$1:$AC$400,_xlfn.TEXTJOIN(",",TRUE,B148:E148),SF_Output!$Q$1:$Q$400,"monthly"))</f>
        <v>100</v>
      </c>
      <c r="W148" s="112" cm="1">
        <f t="array" ref="W148">_xlfn.IFS(OR(B148=0,B148="",V148=0),"",AF148&lt;&gt;"exclusion",MAX($W$9,$W$7,(-(SUMIFS(SF_Output!$T$1:$T$400,SF_Output!$AC$1:$AC$400,_xlfn.TEXTJOIN(",",TRUE,$B148:$E148),SF_Output!$Q$1:$Q$400,"monthly"))/V148)),AF148="exclusion",-(SUMIFS(SF_Output!$T$1:$T$400,SF_Output!$AC$1:$AC$400,_xlfn.TEXTJOIN(",",TRUE,$B148:$E148),SF_Output!$Q$1:$Q$400,"monthly"))/V148)</f>
        <v>0</v>
      </c>
      <c r="X148" s="6" cm="1">
        <f t="array" ref="X148">IFERROR(_xlfn.IFS(V148=0,0,V148="","",W148=0,V148,OR(V148&lt;&gt;0,V148&lt;&gt;""),H148*I148),V148*(1-W148))</f>
        <v>100</v>
      </c>
    </row>
    <row r="149" spans="2:24" x14ac:dyDescent="0.25">
      <c r="B149" t="s">
        <v>870</v>
      </c>
      <c r="C149" t="s">
        <v>2122</v>
      </c>
      <c r="D149" t="s">
        <v>2123</v>
      </c>
      <c r="E149" t="s">
        <v>2124</v>
      </c>
      <c r="F149" s="116" t="str">
        <f t="shared" si="8"/>
        <v>Included</v>
      </c>
      <c r="G149" t="str">
        <f>IF(B149="","",INDEX(SF_Output!$K$1:$K$400,MATCH(B149,SF_Output!$M$1:$M$400,0)))</f>
        <v>Centurion</v>
      </c>
      <c r="H149" cm="1">
        <f t="array" ref="H149">_xlfn.IFS(B149="","",(SUMIFS(SF_Output!$F$1:$F$400,SF_Output!$AC$1:$AC$400,_xlfn.TEXTJOIN(",",TRUE,B149:E149))+SUMIFS(SF_Output!$G$1:$G$400,SF_Output!$AC$1:$AC$400,_xlfn.TEXTJOIN(",",TRUE,B149:E149)))&lt;&gt;0,SF_Output!$Y$2,INDEX(SF_Output!$F$1:$F$400,MATCH(_xlfn.TEXTJOIN(",",TRUE,B149:E149),SF_Output!$AC$1:$AC$400,0))=0,INDEX(SF_Output!$R$1:$R$400,MATCH(_xlfn.TEXTJOIN(",",TRUE,B149:E149),SF_Output!$AC$1:$AC$400,0)))</f>
        <v>1</v>
      </c>
      <c r="I149" s="125" t="str">
        <f>IFERROR(IF(AND(H149&gt;1,H149&lt;&gt;""),ROUND(SUMIFS(SF_Output!$S$1:$S$400,SF_Output!$AC$1:$AC$400,_xlfn.TEXTJOIN(",",TRUE,B149:E149),SF_Output!$Q$1:$Q$400,"monthly")*(1-W149)/H149,4),""),"")</f>
        <v/>
      </c>
      <c r="J149" s="6">
        <f>IF(B149="","",SUMIFS(SF_Output!$S$1:$S$400,SF_Output!$AC$1:$AC$400,_xlfn.TEXTJOIN(",",TRUE,B149:E149),SF_Output!$Q$1:$Q$400,"One Time",SF_Output!$L$1:$L$400,"license fee")+SUMIFS(SF_Output!$S$1:$S$400,SF_Output!$AC$1:$AC$400,_xlfn.TEXTJOIN(",",TRUE,B149:E149),SF_Output!$Q$1:$Q$400,"One Time",SF_Output!$L$1:$L$400,"software license")+SUMIFS(SF_Output!$S$1:$S$400,SF_Output!$AC$1:$AC$400,_xlfn.TEXTJOIN(",",TRUE,B149:E149),SF_Output!$Q$1:$Q$400,"One Time",SF_Output!$L$1:$L$400,"hardware"))</f>
        <v>0</v>
      </c>
      <c r="K149" s="112" t="str">
        <f>IF(OR(B149=0,B149="",G149="hardware",J149=0),"",IF(AF149&lt;&gt;"exclusion",MAX(K$9,-((SUMIFS(SF_Output!$T$1:$T$400,SF_Output!$AC$1:$AC$400,_xlfn.TEXTJOIN(",",TRUE,$B149:$E149),SF_Output!$Q$1:$Q$400,"One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license"))/J149)),-((SUMIFS(SF_Output!$T$1:$T$400,SF_Output!$AC$1:$AC$400,_xlfn.TEXTJOIN(",",TRUE,$B149:$E149),SF_Output!$Q$1:$Q$400,"One Time",SF_Output!$L$1:$L$400,"license fee")+SUMIFS(SF_Output!$T$1:$T$400,SF_Output!$AC$1:$AC$400,_xlfn.TEXTJOIN(",",TRUE,$B149:$E149),SF_Output!$Q$1:$Q$400,"One Time",SF_Output!$L$1:$L$400,"software license"))/J149)))</f>
        <v/>
      </c>
      <c r="L149" s="6">
        <f t="shared" si="9"/>
        <v>0</v>
      </c>
      <c r="N149" s="6">
        <f>IF(B149="","",SUMIFS(SF_Output!$S$1:$S$400,SF_Output!$AC$1:$AC$400,_xlfn.TEXTJOIN(",",TRUE,B149:E149),SF_Output!$Q$1:$Q$400,"One Time",SF_Output!$L$1:$L$400,"professional service"))</f>
        <v>0</v>
      </c>
      <c r="O149" s="112" t="str">
        <f>IF(OR(B149=0,B149="",N149=0),"",IF(AF149&lt;&gt;"exclusion",MAX(O$9,-(SUMIFS(SF_Output!$T$1:$T$400,SF_Output!$AC$1:$AC$400,_xlfn.TEXTJOIN(",",TRUE,$B149:$E149),SF_Output!$Q$1:$Q$400,"One Time",SF_Output!$L$1:$L$400,"professional service"))/N149),-((SUMIFS(SF_Output!$T$1:$T$400,SF_Output!$AC$1:$AC$400,_xlfn.TEXTJOIN(",",TRUE,$B149:$E149),SF_Output!$Q$1:$Q$400,"One Time",SF_Output!$L$1:$L$400,"professional service")/N149))))</f>
        <v/>
      </c>
      <c r="P149" s="6">
        <f t="shared" si="10"/>
        <v>0</v>
      </c>
      <c r="R149" s="6">
        <f>IF(B149="","",SUMIFS(SF_Output!$S$1:$S$400,SF_Output!$AC$1:$AC$400,_xlfn.TEXTJOIN(",",TRUE,B149:E149),SF_Output!$Q$1:$Q$400,"yearly")+SUMIFS(SF_Output!$S$1:$S$400,SF_Output!$AC$1:$AC$400,_xlfn.TEXTJOIN(",",TRUE,B149:E149),SF_Output!$Q$1:$Q$400,"quarterly")*4)</f>
        <v>1880</v>
      </c>
      <c r="S149" s="112">
        <f>IF(OR(B149=0,B149="",G149="hardware",R149=0),"",IF(AF149&lt;&gt;"exclusion",MAX(S$9,-(SUMIFS(SF_Output!$T$1:$T$400,SF_Output!$AC$1:$AC$400,_xlfn.TEXTJOIN(",",TRUE,$B149:$E149),SF_Output!$Q$1:$Q$400,"yearly"))/R149),-((SUMIFS(SF_Output!$T$1:$T$400,SF_Output!$AC$1:$AC$400,_xlfn.TEXTJOIN(",",TRUE,$B149:$E149),SF_Output!$Q$1:$Q$400,"yearly")/R149))))</f>
        <v>0</v>
      </c>
      <c r="T149" s="6">
        <f t="shared" si="11"/>
        <v>1880</v>
      </c>
      <c r="V149" s="6" cm="1">
        <f t="array" ref="V149">_xlfn.IFS(B149="","",AND(B149&lt;&gt;"",H149=SF_Output!$Y$2,SUMIFS(SF_Output!$T$1:$T$400,SF_Output!$AC$1:$AC$400,_xlfn.TEXTJOIN(",",TRUE,B149:E149),SF_Output!$Q$1:$Q$400,"monthly")=0),(SUMIFS(SF_Output!$F$1:$F$400,SF_Output!$AC$1:$AC$400,_xlfn.TEXTJOIN(",",TRUE,B149:E149),SF_Output!$Q$1:$Q$400,"monthly")+SUMIFS(SF_Output!$G$1:$G$400,SF_Output!$AC$1:$AC$400,_xlfn.TEXTJOIN(",",TRUE,B149:E149),SF_Output!$Q$1:$Q$400,"monthly"))*H149,AND(B149&lt;&gt;"",H149=SF_Output!$Y$2,SUMIFS(SF_Output!$T$1:$T$400,SF_Output!$AC$1:$AC$400,_xlfn.TEXTJOIN(",",TRUE,B149:E149),SF_Output!$Q$1:$Q$400,"monthly")&lt;&gt;0),SUMIFS(SF_Output!$S$1:$S$400,SF_Output!$AC$1:$AC$400,_xlfn.TEXTJOIN(",",TRUE,B149:E149),SF_Output!$Q$1:$Q$400,"monthly"),AND(B149&lt;&gt;"",H149&lt;&gt;SF_Output!$Y$2),SUMIFS(SF_Output!$S$1:$S$400,SF_Output!$AC$1:$AC$400,_xlfn.TEXTJOIN(",",TRUE,B149:E149),SF_Output!$Q$1:$Q$400,"monthly"))</f>
        <v>0</v>
      </c>
      <c r="W149" s="112" t="str" cm="1">
        <f t="array" ref="W149">_xlfn.IFS(OR(B149=0,B149="",V149=0),"",AF149&lt;&gt;"exclusion",MAX($W$9,$W$7,(-(SUMIFS(SF_Output!$T$1:$T$400,SF_Output!$AC$1:$AC$400,_xlfn.TEXTJOIN(",",TRUE,$B149:$E149),SF_Output!$Q$1:$Q$400,"monthly"))/V149)),AF149="exclusion",-(SUMIFS(SF_Output!$T$1:$T$400,SF_Output!$AC$1:$AC$400,_xlfn.TEXTJOIN(",",TRUE,$B149:$E149),SF_Output!$Q$1:$Q$400,"monthly"))/V149)</f>
        <v/>
      </c>
      <c r="X149" s="6" cm="1">
        <f t="array" ref="X149">IFERROR(_xlfn.IFS(V149=0,0,V149="","",W149=0,V149,OR(V149&lt;&gt;0,V149&lt;&gt;""),H149*I149),V149*(1-W149))</f>
        <v>0</v>
      </c>
    </row>
    <row r="150" spans="2:24" x14ac:dyDescent="0.25">
      <c r="B150" t="s">
        <v>1833</v>
      </c>
      <c r="C150" t="s">
        <v>2122</v>
      </c>
      <c r="D150" t="s">
        <v>2123</v>
      </c>
      <c r="E150" t="s">
        <v>2124</v>
      </c>
      <c r="F150" s="116" t="str">
        <f t="shared" si="8"/>
        <v>Included</v>
      </c>
      <c r="G150" t="str">
        <f>IF(B150="","",INDEX(SF_Output!$K$1:$K$400,MATCH(B150,SF_Output!$M$1:$M$400,0)))</f>
        <v>Centurion</v>
      </c>
      <c r="H150" cm="1">
        <f t="array" ref="H150">_xlfn.IFS(B150="","",(SUMIFS(SF_Output!$F$1:$F$400,SF_Output!$AC$1:$AC$400,_xlfn.TEXTJOIN(",",TRUE,B150:E150))+SUMIFS(SF_Output!$G$1:$G$400,SF_Output!$AC$1:$AC$400,_xlfn.TEXTJOIN(",",TRUE,B150:E150)))&lt;&gt;0,SF_Output!$Y$2,INDEX(SF_Output!$F$1:$F$400,MATCH(_xlfn.TEXTJOIN(",",TRUE,B150:E150),SF_Output!$AC$1:$AC$400,0))=0,INDEX(SF_Output!$R$1:$R$400,MATCH(_xlfn.TEXTJOIN(",",TRUE,B150:E150),SF_Output!$AC$1:$AC$400,0)))</f>
        <v>1</v>
      </c>
      <c r="I150" s="125" t="str">
        <f>IFERROR(IF(AND(H150&gt;1,H150&lt;&gt;""),ROUND(SUMIFS(SF_Output!$S$1:$S$400,SF_Output!$AC$1:$AC$400,_xlfn.TEXTJOIN(",",TRUE,B150:E150),SF_Output!$Q$1:$Q$400,"monthly")*(1-W150)/H150,4),""),"")</f>
        <v/>
      </c>
      <c r="J150" s="6">
        <f>IF(B150="","",SUMIFS(SF_Output!$S$1:$S$400,SF_Output!$AC$1:$AC$400,_xlfn.TEXTJOIN(",",TRUE,B150:E150),SF_Output!$Q$1:$Q$400,"One Time",SF_Output!$L$1:$L$400,"license fee")+SUMIFS(SF_Output!$S$1:$S$400,SF_Output!$AC$1:$AC$400,_xlfn.TEXTJOIN(",",TRUE,B150:E150),SF_Output!$Q$1:$Q$400,"One Time",SF_Output!$L$1:$L$400,"software license")+SUMIFS(SF_Output!$S$1:$S$400,SF_Output!$AC$1:$AC$400,_xlfn.TEXTJOIN(",",TRUE,B150:E150),SF_Output!$Q$1:$Q$400,"One Time",SF_Output!$L$1:$L$400,"hardware"))</f>
        <v>0</v>
      </c>
      <c r="K150" s="112" t="str">
        <f>IF(OR(B150=0,B150="",G150="hardware",J150=0),"",IF(AF150&lt;&gt;"exclusion",MAX(K$9,-((SUMIFS(SF_Output!$T$1:$T$400,SF_Output!$AC$1:$AC$400,_xlfn.TEXTJOIN(",",TRUE,$B150:$E150),SF_Output!$Q$1:$Q$400,"One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license"))/J150)),-((SUMIFS(SF_Output!$T$1:$T$400,SF_Output!$AC$1:$AC$400,_xlfn.TEXTJOIN(",",TRUE,$B150:$E150),SF_Output!$Q$1:$Q$400,"One Time",SF_Output!$L$1:$L$400,"license fee")+SUMIFS(SF_Output!$T$1:$T$400,SF_Output!$AC$1:$AC$400,_xlfn.TEXTJOIN(",",TRUE,$B150:$E150),SF_Output!$Q$1:$Q$400,"One Time",SF_Output!$L$1:$L$400,"software license"))/J150)))</f>
        <v/>
      </c>
      <c r="L150" s="6">
        <f t="shared" si="9"/>
        <v>0</v>
      </c>
      <c r="N150" s="6">
        <f>IF(B150="","",SUMIFS(SF_Output!$S$1:$S$400,SF_Output!$AC$1:$AC$400,_xlfn.TEXTJOIN(",",TRUE,B150:E150),SF_Output!$Q$1:$Q$400,"One Time",SF_Output!$L$1:$L$400,"professional service"))</f>
        <v>0</v>
      </c>
      <c r="O150" s="112" t="str">
        <f>IF(OR(B150=0,B150="",N150=0),"",IF(AF150&lt;&gt;"exclusion",MAX(O$9,-(SUMIFS(SF_Output!$T$1:$T$400,SF_Output!$AC$1:$AC$400,_xlfn.TEXTJOIN(",",TRUE,$B150:$E150),SF_Output!$Q$1:$Q$400,"One Time",SF_Output!$L$1:$L$400,"professional service"))/N150),-((SUMIFS(SF_Output!$T$1:$T$400,SF_Output!$AC$1:$AC$400,_xlfn.TEXTJOIN(",",TRUE,$B150:$E150),SF_Output!$Q$1:$Q$400,"One Time",SF_Output!$L$1:$L$400,"professional service")/N150))))</f>
        <v/>
      </c>
      <c r="P150" s="6">
        <f t="shared" si="10"/>
        <v>0</v>
      </c>
      <c r="R150" s="6">
        <f>IF(B150="","",SUMIFS(SF_Output!$S$1:$S$400,SF_Output!$AC$1:$AC$400,_xlfn.TEXTJOIN(",",TRUE,B150:E150),SF_Output!$Q$1:$Q$400,"yearly")+SUMIFS(SF_Output!$S$1:$S$400,SF_Output!$AC$1:$AC$400,_xlfn.TEXTJOIN(",",TRUE,B150:E150),SF_Output!$Q$1:$Q$400,"quarterly")*4)</f>
        <v>0</v>
      </c>
      <c r="S150" s="112" t="str">
        <f>IF(OR(B150=0,B150="",G150="hardware",R150=0),"",IF(AF150&lt;&gt;"exclusion",MAX(S$9,-(SUMIFS(SF_Output!$T$1:$T$400,SF_Output!$AC$1:$AC$400,_xlfn.TEXTJOIN(",",TRUE,$B150:$E150),SF_Output!$Q$1:$Q$400,"yearly"))/R150),-((SUMIFS(SF_Output!$T$1:$T$400,SF_Output!$AC$1:$AC$400,_xlfn.TEXTJOIN(",",TRUE,$B150:$E150),SF_Output!$Q$1:$Q$400,"yearly")/R150))))</f>
        <v/>
      </c>
      <c r="T150" s="6">
        <f t="shared" si="11"/>
        <v>0</v>
      </c>
      <c r="V150" s="6" cm="1">
        <f t="array" ref="V150">_xlfn.IFS(B150="","",AND(B150&lt;&gt;"",H150=SF_Output!$Y$2,SUMIFS(SF_Output!$T$1:$T$400,SF_Output!$AC$1:$AC$400,_xlfn.TEXTJOIN(",",TRUE,B150:E150),SF_Output!$Q$1:$Q$400,"monthly")=0),(SUMIFS(SF_Output!$F$1:$F$400,SF_Output!$AC$1:$AC$400,_xlfn.TEXTJOIN(",",TRUE,B150:E150),SF_Output!$Q$1:$Q$400,"monthly")+SUMIFS(SF_Output!$G$1:$G$400,SF_Output!$AC$1:$AC$400,_xlfn.TEXTJOIN(",",TRUE,B150:E150),SF_Output!$Q$1:$Q$400,"monthly"))*H150,AND(B150&lt;&gt;"",H150=SF_Output!$Y$2,SUMIFS(SF_Output!$T$1:$T$400,SF_Output!$AC$1:$AC$400,_xlfn.TEXTJOIN(",",TRUE,B150:E150),SF_Output!$Q$1:$Q$400,"monthly")&lt;&gt;0),SUMIFS(SF_Output!$S$1:$S$400,SF_Output!$AC$1:$AC$400,_xlfn.TEXTJOIN(",",TRUE,B150:E150),SF_Output!$Q$1:$Q$400,"monthly"),AND(B150&lt;&gt;"",H150&lt;&gt;SF_Output!$Y$2),SUMIFS(SF_Output!$S$1:$S$400,SF_Output!$AC$1:$AC$400,_xlfn.TEXTJOIN(",",TRUE,B150:E150),SF_Output!$Q$1:$Q$400,"monthly"))</f>
        <v>200</v>
      </c>
      <c r="W150" s="112" cm="1">
        <f t="array" ref="W150">_xlfn.IFS(OR(B150=0,B150="",V150=0),"",AF150&lt;&gt;"exclusion",MAX($W$9,$W$7,(-(SUMIFS(SF_Output!$T$1:$T$400,SF_Output!$AC$1:$AC$400,_xlfn.TEXTJOIN(",",TRUE,$B150:$E150),SF_Output!$Q$1:$Q$400,"monthly"))/V150)),AF150="exclusion",-(SUMIFS(SF_Output!$T$1:$T$400,SF_Output!$AC$1:$AC$400,_xlfn.TEXTJOIN(",",TRUE,$B150:$E150),SF_Output!$Q$1:$Q$400,"monthly"))/V150)</f>
        <v>0</v>
      </c>
      <c r="X150" s="6" cm="1">
        <f t="array" ref="X150">IFERROR(_xlfn.IFS(V150=0,0,V150="","",W150=0,V150,OR(V150&lt;&gt;0,V150&lt;&gt;""),H150*I150),V150*(1-W150))</f>
        <v>200</v>
      </c>
    </row>
    <row r="151" spans="2:24" x14ac:dyDescent="0.25">
      <c r="B151" t="s">
        <v>2289</v>
      </c>
      <c r="C151" t="s">
        <v>2122</v>
      </c>
      <c r="D151" t="s">
        <v>2123</v>
      </c>
      <c r="E151" t="s">
        <v>2124</v>
      </c>
      <c r="F151" s="116" t="str">
        <f t="shared" si="8"/>
        <v>Included</v>
      </c>
      <c r="G151" t="str">
        <f>IF(B151="","",INDEX(SF_Output!$K$1:$K$400,MATCH(B151,SF_Output!$M$1:$M$400,0)))</f>
        <v>Fraud</v>
      </c>
      <c r="H151" cm="1">
        <f t="array" ref="H151">_xlfn.IFS(B151="","",(SUMIFS(SF_Output!$F$1:$F$400,SF_Output!$AC$1:$AC$400,_xlfn.TEXTJOIN(",",TRUE,B151:E151))+SUMIFS(SF_Output!$G$1:$G$400,SF_Output!$AC$1:$AC$400,_xlfn.TEXTJOIN(",",TRUE,B151:E151)))&lt;&gt;0,SF_Output!$Y$2,INDEX(SF_Output!$F$1:$F$400,MATCH(_xlfn.TEXTJOIN(",",TRUE,B151:E151),SF_Output!$AC$1:$AC$400,0))=0,INDEX(SF_Output!$R$1:$R$400,MATCH(_xlfn.TEXTJOIN(",",TRUE,B151:E151),SF_Output!$AC$1:$AC$400,0)))</f>
        <v>5000</v>
      </c>
      <c r="I151" s="125">
        <f>IFERROR(IF(AND(H151&gt;1,H151&lt;&gt;""),ROUND(SUMIFS(SF_Output!$S$1:$S$400,SF_Output!$AC$1:$AC$400,_xlfn.TEXTJOIN(",",TRUE,B151:E151),SF_Output!$Q$1:$Q$400,"monthly")*(1-W151)/H151,4),""),"")</f>
        <v>0.71640000000000004</v>
      </c>
      <c r="J151" s="6">
        <f>IF(B151="","",SUMIFS(SF_Output!$S$1:$S$400,SF_Output!$AC$1:$AC$400,_xlfn.TEXTJOIN(",",TRUE,B151:E151),SF_Output!$Q$1:$Q$400,"One Time",SF_Output!$L$1:$L$400,"license fee")+SUMIFS(SF_Output!$S$1:$S$400,SF_Output!$AC$1:$AC$400,_xlfn.TEXTJOIN(",",TRUE,B151:E151),SF_Output!$Q$1:$Q$400,"One Time",SF_Output!$L$1:$L$400,"software license")+SUMIFS(SF_Output!$S$1:$S$400,SF_Output!$AC$1:$AC$400,_xlfn.TEXTJOIN(",",TRUE,B151:E151),SF_Output!$Q$1:$Q$400,"One Time",SF_Output!$L$1:$L$400,"hardware"))</f>
        <v>0</v>
      </c>
      <c r="K151" s="112" t="str">
        <f>IF(OR(B151=0,B151="",G151="hardware",J151=0),"",IF(AF151&lt;&gt;"exclusion",MAX(K$9,-((SUMIFS(SF_Output!$T$1:$T$400,SF_Output!$AC$1:$AC$400,_xlfn.TEXTJOIN(",",TRUE,$B151:$E151),SF_Output!$Q$1:$Q$400,"One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license"))/J151)),-((SUMIFS(SF_Output!$T$1:$T$400,SF_Output!$AC$1:$AC$400,_xlfn.TEXTJOIN(",",TRUE,$B151:$E151),SF_Output!$Q$1:$Q$400,"One Time",SF_Output!$L$1:$L$400,"license fee")+SUMIFS(SF_Output!$T$1:$T$400,SF_Output!$AC$1:$AC$400,_xlfn.TEXTJOIN(",",TRUE,$B151:$E151),SF_Output!$Q$1:$Q$400,"One Time",SF_Output!$L$1:$L$400,"software license"))/J151)))</f>
        <v/>
      </c>
      <c r="L151" s="6">
        <f t="shared" si="9"/>
        <v>0</v>
      </c>
      <c r="N151" s="6">
        <f>IF(B151="","",SUMIFS(SF_Output!$S$1:$S$400,SF_Output!$AC$1:$AC$400,_xlfn.TEXTJOIN(",",TRUE,B151:E151),SF_Output!$Q$1:$Q$400,"One Time",SF_Output!$L$1:$L$400,"professional service"))</f>
        <v>18890</v>
      </c>
      <c r="O151" s="112">
        <f>IF(OR(B151=0,B151="",N151=0),"",IF(AF151&lt;&gt;"exclusion",MAX(O$9,-(SUMIFS(SF_Output!$T$1:$T$400,SF_Output!$AC$1:$AC$400,_xlfn.TEXTJOIN(",",TRUE,$B151:$E151),SF_Output!$Q$1:$Q$400,"One Time",SF_Output!$L$1:$L$400,"professional service"))/N151),-((SUMIFS(SF_Output!$T$1:$T$400,SF_Output!$AC$1:$AC$400,_xlfn.TEXTJOIN(",",TRUE,$B151:$E151),SF_Output!$Q$1:$Q$400,"One Time",SF_Output!$L$1:$L$400,"professional service")/N151))))</f>
        <v>0.25</v>
      </c>
      <c r="P151" s="6">
        <f t="shared" si="10"/>
        <v>14167.5</v>
      </c>
      <c r="R151" s="6">
        <f>IF(B151="","",SUMIFS(SF_Output!$S$1:$S$400,SF_Output!$AC$1:$AC$400,_xlfn.TEXTJOIN(",",TRUE,B151:E151),SF_Output!$Q$1:$Q$400,"yearly")+SUMIFS(SF_Output!$S$1:$S$400,SF_Output!$AC$1:$AC$400,_xlfn.TEXTJOIN(",",TRUE,B151:E151),SF_Output!$Q$1:$Q$400,"quarterly")*4)</f>
        <v>0</v>
      </c>
      <c r="S151" s="112" t="str">
        <f>IF(OR(B151=0,B151="",G151="hardware",R151=0),"",IF(AF151&lt;&gt;"exclusion",MAX(S$9,-(SUMIFS(SF_Output!$T$1:$T$400,SF_Output!$AC$1:$AC$400,_xlfn.TEXTJOIN(",",TRUE,$B151:$E151),SF_Output!$Q$1:$Q$400,"yearly"))/R151),-((SUMIFS(SF_Output!$T$1:$T$400,SF_Output!$AC$1:$AC$400,_xlfn.TEXTJOIN(",",TRUE,$B151:$E151),SF_Output!$Q$1:$Q$400,"yearly")/R151))))</f>
        <v/>
      </c>
      <c r="T151" s="6">
        <f t="shared" si="11"/>
        <v>0</v>
      </c>
      <c r="V151" s="6" cm="1">
        <f t="array" ref="V151">_xlfn.IFS(B151="","",AND(B151&lt;&gt;"",H151=SF_Output!$Y$2,SUMIFS(SF_Output!$T$1:$T$400,SF_Output!$AC$1:$AC$400,_xlfn.TEXTJOIN(",",TRUE,B151:E151),SF_Output!$Q$1:$Q$400,"monthly")=0),(SUMIFS(SF_Output!$F$1:$F$400,SF_Output!$AC$1:$AC$400,_xlfn.TEXTJOIN(",",TRUE,B151:E151),SF_Output!$Q$1:$Q$400,"monthly")+SUMIFS(SF_Output!$G$1:$G$400,SF_Output!$AC$1:$AC$400,_xlfn.TEXTJOIN(",",TRUE,B151:E151),SF_Output!$Q$1:$Q$400,"monthly"))*H151,AND(B151&lt;&gt;"",H151=SF_Output!$Y$2,SUMIFS(SF_Output!$T$1:$T$400,SF_Output!$AC$1:$AC$400,_xlfn.TEXTJOIN(",",TRUE,B151:E151),SF_Output!$Q$1:$Q$400,"monthly")&lt;&gt;0),SUMIFS(SF_Output!$S$1:$S$400,SF_Output!$AC$1:$AC$400,_xlfn.TEXTJOIN(",",TRUE,B151:E151),SF_Output!$Q$1:$Q$400,"monthly"),AND(B151&lt;&gt;"",H151&lt;&gt;SF_Output!$Y$2),SUMIFS(SF_Output!$S$1:$S$400,SF_Output!$AC$1:$AC$400,_xlfn.TEXTJOIN(",",TRUE,B151:E151),SF_Output!$Q$1:$Q$400,"monthly"))</f>
        <v>3980</v>
      </c>
      <c r="W151" s="112" cm="1">
        <f t="array" ref="W151">_xlfn.IFS(OR(B151=0,B151="",V151=0),"",AF151&lt;&gt;"exclusion",MAX($W$9,$W$7,(-(SUMIFS(SF_Output!$T$1:$T$400,SF_Output!$AC$1:$AC$400,_xlfn.TEXTJOIN(",",TRUE,$B151:$E151),SF_Output!$Q$1:$Q$400,"monthly"))/V151)),AF151="exclusion",-(SUMIFS(SF_Output!$T$1:$T$400,SF_Output!$AC$1:$AC$400,_xlfn.TEXTJOIN(",",TRUE,$B151:$E151),SF_Output!$Q$1:$Q$400,"monthly"))/V151)</f>
        <v>0.1</v>
      </c>
      <c r="X151" s="6" cm="1">
        <f t="array" ref="X151">IFERROR(_xlfn.IFS(V151=0,0,V151="","",W151=0,V151,OR(V151&lt;&gt;0,V151&lt;&gt;""),H151*I151),V151*(1-W151))</f>
        <v>3582</v>
      </c>
    </row>
    <row r="152" spans="2:24" x14ac:dyDescent="0.25">
      <c r="B152" t="s">
        <v>2292</v>
      </c>
      <c r="C152" t="s">
        <v>2122</v>
      </c>
      <c r="D152" t="s">
        <v>2123</v>
      </c>
      <c r="E152" t="s">
        <v>2124</v>
      </c>
      <c r="F152" s="116" t="str">
        <f t="shared" si="8"/>
        <v>Included</v>
      </c>
      <c r="G152" t="str">
        <f>IF(B152="","",INDEX(SF_Output!$K$1:$K$400,MATCH(B152,SF_Output!$M$1:$M$400,0)))</f>
        <v>Fraud</v>
      </c>
      <c r="H152" cm="1">
        <f t="array" ref="H152">_xlfn.IFS(B152="","",(SUMIFS(SF_Output!$F$1:$F$400,SF_Output!$AC$1:$AC$400,_xlfn.TEXTJOIN(",",TRUE,B152:E152))+SUMIFS(SF_Output!$G$1:$G$400,SF_Output!$AC$1:$AC$400,_xlfn.TEXTJOIN(",",TRUE,B152:E152)))&lt;&gt;0,SF_Output!$Y$2,INDEX(SF_Output!$F$1:$F$400,MATCH(_xlfn.TEXTJOIN(",",TRUE,B152:E152),SF_Output!$AC$1:$AC$400,0))=0,INDEX(SF_Output!$R$1:$R$400,MATCH(_xlfn.TEXTJOIN(",",TRUE,B152:E152),SF_Output!$AC$1:$AC$400,0)))</f>
        <v>1</v>
      </c>
      <c r="I152" s="125" t="str">
        <f>IFERROR(IF(AND(H152&gt;1,H152&lt;&gt;""),ROUND(SUMIFS(SF_Output!$S$1:$S$400,SF_Output!$AC$1:$AC$400,_xlfn.TEXTJOIN(",",TRUE,B152:E152),SF_Output!$Q$1:$Q$400,"monthly")*(1-W152)/H152,4),""),"")</f>
        <v/>
      </c>
      <c r="J152" s="6">
        <f>IF(B152="","",SUMIFS(SF_Output!$S$1:$S$400,SF_Output!$AC$1:$AC$400,_xlfn.TEXTJOIN(",",TRUE,B152:E152),SF_Output!$Q$1:$Q$400,"One Time",SF_Output!$L$1:$L$400,"license fee")+SUMIFS(SF_Output!$S$1:$S$400,SF_Output!$AC$1:$AC$400,_xlfn.TEXTJOIN(",",TRUE,B152:E152),SF_Output!$Q$1:$Q$400,"One Time",SF_Output!$L$1:$L$400,"software license")+SUMIFS(SF_Output!$S$1:$S$400,SF_Output!$AC$1:$AC$400,_xlfn.TEXTJOIN(",",TRUE,B152:E152),SF_Output!$Q$1:$Q$400,"One Time",SF_Output!$L$1:$L$400,"hardware"))</f>
        <v>0</v>
      </c>
      <c r="K152" s="112" t="str">
        <f>IF(OR(B152=0,B152="",G152="hardware",J152=0),"",IF(AF152&lt;&gt;"exclusion",MAX(K$9,-((SUMIFS(SF_Output!$T$1:$T$400,SF_Output!$AC$1:$AC$400,_xlfn.TEXTJOIN(",",TRUE,$B152:$E152),SF_Output!$Q$1:$Q$400,"One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license"))/J152)),-((SUMIFS(SF_Output!$T$1:$T$400,SF_Output!$AC$1:$AC$400,_xlfn.TEXTJOIN(",",TRUE,$B152:$E152),SF_Output!$Q$1:$Q$400,"One Time",SF_Output!$L$1:$L$400,"license fee")+SUMIFS(SF_Output!$T$1:$T$400,SF_Output!$AC$1:$AC$400,_xlfn.TEXTJOIN(",",TRUE,$B152:$E152),SF_Output!$Q$1:$Q$400,"One Time",SF_Output!$L$1:$L$400,"software license"))/J152)))</f>
        <v/>
      </c>
      <c r="L152" s="6">
        <f t="shared" si="9"/>
        <v>0</v>
      </c>
      <c r="N152" s="6">
        <f>IF(B152="","",SUMIFS(SF_Output!$S$1:$S$400,SF_Output!$AC$1:$AC$400,_xlfn.TEXTJOIN(",",TRUE,B152:E152),SF_Output!$Q$1:$Q$400,"One Time",SF_Output!$L$1:$L$400,"professional service"))</f>
        <v>6000</v>
      </c>
      <c r="O152" s="112">
        <f>IF(OR(B152=0,B152="",N152=0),"",IF(AF152&lt;&gt;"exclusion",MAX(O$9,-(SUMIFS(SF_Output!$T$1:$T$400,SF_Output!$AC$1:$AC$400,_xlfn.TEXTJOIN(",",TRUE,$B152:$E152),SF_Output!$Q$1:$Q$400,"One Time",SF_Output!$L$1:$L$400,"professional service"))/N152),-((SUMIFS(SF_Output!$T$1:$T$400,SF_Output!$AC$1:$AC$400,_xlfn.TEXTJOIN(",",TRUE,$B152:$E152),SF_Output!$Q$1:$Q$400,"One Time",SF_Output!$L$1:$L$400,"professional service")/N152))))</f>
        <v>0</v>
      </c>
      <c r="P152" s="6">
        <f t="shared" si="10"/>
        <v>6000</v>
      </c>
      <c r="R152" s="6">
        <f>IF(B152="","",SUMIFS(SF_Output!$S$1:$S$400,SF_Output!$AC$1:$AC$400,_xlfn.TEXTJOIN(",",TRUE,B152:E152),SF_Output!$Q$1:$Q$400,"yearly")+SUMIFS(SF_Output!$S$1:$S$400,SF_Output!$AC$1:$AC$400,_xlfn.TEXTJOIN(",",TRUE,B152:E152),SF_Output!$Q$1:$Q$400,"quarterly")*4)</f>
        <v>0</v>
      </c>
      <c r="S152" s="112" t="str">
        <f>IF(OR(B152=0,B152="",G152="hardware",R152=0),"",IF(AF152&lt;&gt;"exclusion",MAX(S$9,-(SUMIFS(SF_Output!$T$1:$T$400,SF_Output!$AC$1:$AC$400,_xlfn.TEXTJOIN(",",TRUE,$B152:$E152),SF_Output!$Q$1:$Q$400,"yearly"))/R152),-((SUMIFS(SF_Output!$T$1:$T$400,SF_Output!$AC$1:$AC$400,_xlfn.TEXTJOIN(",",TRUE,$B152:$E152),SF_Output!$Q$1:$Q$400,"yearly")/R152))))</f>
        <v/>
      </c>
      <c r="T152" s="6">
        <f t="shared" si="11"/>
        <v>0</v>
      </c>
      <c r="V152" s="6" cm="1">
        <f t="array" ref="V152">_xlfn.IFS(B152="","",AND(B152&lt;&gt;"",H152=SF_Output!$Y$2,SUMIFS(SF_Output!$T$1:$T$400,SF_Output!$AC$1:$AC$400,_xlfn.TEXTJOIN(",",TRUE,B152:E152),SF_Output!$Q$1:$Q$400,"monthly")=0),(SUMIFS(SF_Output!$F$1:$F$400,SF_Output!$AC$1:$AC$400,_xlfn.TEXTJOIN(",",TRUE,B152:E152),SF_Output!$Q$1:$Q$400,"monthly")+SUMIFS(SF_Output!$G$1:$G$400,SF_Output!$AC$1:$AC$400,_xlfn.TEXTJOIN(",",TRUE,B152:E152),SF_Output!$Q$1:$Q$400,"monthly"))*H152,AND(B152&lt;&gt;"",H152=SF_Output!$Y$2,SUMIFS(SF_Output!$T$1:$T$400,SF_Output!$AC$1:$AC$400,_xlfn.TEXTJOIN(",",TRUE,B152:E152),SF_Output!$Q$1:$Q$400,"monthly")&lt;&gt;0),SUMIFS(SF_Output!$S$1:$S$400,SF_Output!$AC$1:$AC$400,_xlfn.TEXTJOIN(",",TRUE,B152:E152),SF_Output!$Q$1:$Q$400,"monthly"),AND(B152&lt;&gt;"",H152&lt;&gt;SF_Output!$Y$2),SUMIFS(SF_Output!$S$1:$S$400,SF_Output!$AC$1:$AC$400,_xlfn.TEXTJOIN(",",TRUE,B152:E152),SF_Output!$Q$1:$Q$400,"monthly"))</f>
        <v>2000</v>
      </c>
      <c r="W152" s="112" cm="1">
        <f t="array" ref="W152">_xlfn.IFS(OR(B152=0,B152="",V152=0),"",AF152&lt;&gt;"exclusion",MAX($W$9,$W$7,(-(SUMIFS(SF_Output!$T$1:$T$400,SF_Output!$AC$1:$AC$400,_xlfn.TEXTJOIN(",",TRUE,$B152:$E152),SF_Output!$Q$1:$Q$400,"monthly"))/V152)),AF152="exclusion",-(SUMIFS(SF_Output!$T$1:$T$400,SF_Output!$AC$1:$AC$400,_xlfn.TEXTJOIN(",",TRUE,$B152:$E152),SF_Output!$Q$1:$Q$400,"monthly"))/V152)</f>
        <v>0</v>
      </c>
      <c r="X152" s="6" cm="1">
        <f t="array" ref="X152">IFERROR(_xlfn.IFS(V152=0,0,V152="","",W152=0,V152,OR(V152&lt;&gt;0,V152&lt;&gt;""),H152*I152),V152*(1-W152))</f>
        <v>2000</v>
      </c>
    </row>
    <row r="153" spans="2:24" x14ac:dyDescent="0.25">
      <c r="B153" t="s">
        <v>1762</v>
      </c>
      <c r="C153" t="s">
        <v>2122</v>
      </c>
      <c r="D153" t="s">
        <v>2123</v>
      </c>
      <c r="E153" t="s">
        <v>2124</v>
      </c>
      <c r="F153" s="116" t="str">
        <f t="shared" si="8"/>
        <v>Included</v>
      </c>
      <c r="G153" t="str">
        <f>IF(B153="","",INDEX(SF_Output!$K$1:$K$400,MATCH(B153,SF_Output!$M$1:$M$400,0)))</f>
        <v>Fraud</v>
      </c>
      <c r="H153" cm="1">
        <f t="array" ref="H153">_xlfn.IFS(B153="","",(SUMIFS(SF_Output!$F$1:$F$400,SF_Output!$AC$1:$AC$400,_xlfn.TEXTJOIN(",",TRUE,B153:E153))+SUMIFS(SF_Output!$G$1:$G$400,SF_Output!$AC$1:$AC$400,_xlfn.TEXTJOIN(",",TRUE,B153:E153)))&lt;&gt;0,SF_Output!$Y$2,INDEX(SF_Output!$F$1:$F$400,MATCH(_xlfn.TEXTJOIN(",",TRUE,B153:E153),SF_Output!$AC$1:$AC$400,0))=0,INDEX(SF_Output!$R$1:$R$400,MATCH(_xlfn.TEXTJOIN(",",TRUE,B153:E153),SF_Output!$AC$1:$AC$400,0)))</f>
        <v>1</v>
      </c>
      <c r="I153" s="125" t="str">
        <f>IFERROR(IF(AND(H153&gt;1,H153&lt;&gt;""),ROUND(SUMIFS(SF_Output!$S$1:$S$400,SF_Output!$AC$1:$AC$400,_xlfn.TEXTJOIN(",",TRUE,B153:E153),SF_Output!$Q$1:$Q$400,"monthly")*(1-W153)/H153,4),""),"")</f>
        <v/>
      </c>
      <c r="J153" s="6">
        <f>IF(B153="","",SUMIFS(SF_Output!$S$1:$S$400,SF_Output!$AC$1:$AC$400,_xlfn.TEXTJOIN(",",TRUE,B153:E153),SF_Output!$Q$1:$Q$400,"One Time",SF_Output!$L$1:$L$400,"license fee")+SUMIFS(SF_Output!$S$1:$S$400,SF_Output!$AC$1:$AC$400,_xlfn.TEXTJOIN(",",TRUE,B153:E153),SF_Output!$Q$1:$Q$400,"One Time",SF_Output!$L$1:$L$400,"software license")+SUMIFS(SF_Output!$S$1:$S$400,SF_Output!$AC$1:$AC$400,_xlfn.TEXTJOIN(",",TRUE,B153:E153),SF_Output!$Q$1:$Q$400,"One Time",SF_Output!$L$1:$L$400,"hardware"))</f>
        <v>0</v>
      </c>
      <c r="K153" s="112" t="str">
        <f>IF(OR(B153=0,B153="",G153="hardware",J153=0),"",IF(AF153&lt;&gt;"exclusion",MAX(K$9,-((SUMIFS(SF_Output!$T$1:$T$400,SF_Output!$AC$1:$AC$400,_xlfn.TEXTJOIN(",",TRUE,$B153:$E153),SF_Output!$Q$1:$Q$400,"One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license"))/J153)),-((SUMIFS(SF_Output!$T$1:$T$400,SF_Output!$AC$1:$AC$400,_xlfn.TEXTJOIN(",",TRUE,$B153:$E153),SF_Output!$Q$1:$Q$400,"One Time",SF_Output!$L$1:$L$400,"license fee")+SUMIFS(SF_Output!$T$1:$T$400,SF_Output!$AC$1:$AC$400,_xlfn.TEXTJOIN(",",TRUE,$B153:$E153),SF_Output!$Q$1:$Q$400,"One Time",SF_Output!$L$1:$L$400,"software license"))/J153)))</f>
        <v/>
      </c>
      <c r="L153" s="6">
        <f t="shared" si="9"/>
        <v>0</v>
      </c>
      <c r="N153" s="6">
        <f>IF(B153="","",SUMIFS(SF_Output!$S$1:$S$400,SF_Output!$AC$1:$AC$400,_xlfn.TEXTJOIN(",",TRUE,B153:E153),SF_Output!$Q$1:$Q$400,"One Time",SF_Output!$L$1:$L$400,"professional service"))</f>
        <v>28500</v>
      </c>
      <c r="O153" s="112">
        <f>IF(OR(B153=0,B153="",N153=0),"",IF(AF153&lt;&gt;"exclusion",MAX(O$9,-(SUMIFS(SF_Output!$T$1:$T$400,SF_Output!$AC$1:$AC$400,_xlfn.TEXTJOIN(",",TRUE,$B153:$E153),SF_Output!$Q$1:$Q$400,"One Time",SF_Output!$L$1:$L$400,"professional service"))/N153),-((SUMIFS(SF_Output!$T$1:$T$400,SF_Output!$AC$1:$AC$400,_xlfn.TEXTJOIN(",",TRUE,$B153:$E153),SF_Output!$Q$1:$Q$400,"One Time",SF_Output!$L$1:$L$400,"professional service")/N153))))</f>
        <v>0</v>
      </c>
      <c r="P153" s="6">
        <f t="shared" si="10"/>
        <v>28500</v>
      </c>
      <c r="R153" s="6">
        <f>IF(B153="","",SUMIFS(SF_Output!$S$1:$S$400,SF_Output!$AC$1:$AC$400,_xlfn.TEXTJOIN(",",TRUE,B153:E153),SF_Output!$Q$1:$Q$400,"yearly")+SUMIFS(SF_Output!$S$1:$S$400,SF_Output!$AC$1:$AC$400,_xlfn.TEXTJOIN(",",TRUE,B153:E153),SF_Output!$Q$1:$Q$400,"quarterly")*4)</f>
        <v>0</v>
      </c>
      <c r="S153" s="112" t="str">
        <f>IF(OR(B153=0,B153="",G153="hardware",R153=0),"",IF(AF153&lt;&gt;"exclusion",MAX(S$9,-(SUMIFS(SF_Output!$T$1:$T$400,SF_Output!$AC$1:$AC$400,_xlfn.TEXTJOIN(",",TRUE,$B153:$E153),SF_Output!$Q$1:$Q$400,"yearly"))/R153),-((SUMIFS(SF_Output!$T$1:$T$400,SF_Output!$AC$1:$AC$400,_xlfn.TEXTJOIN(",",TRUE,$B153:$E153),SF_Output!$Q$1:$Q$400,"yearly")/R153))))</f>
        <v/>
      </c>
      <c r="T153" s="6">
        <f t="shared" si="11"/>
        <v>0</v>
      </c>
      <c r="V153" s="6" cm="1">
        <f t="array" ref="V153">_xlfn.IFS(B153="","",AND(B153&lt;&gt;"",H153=SF_Output!$Y$2,SUMIFS(SF_Output!$T$1:$T$400,SF_Output!$AC$1:$AC$400,_xlfn.TEXTJOIN(",",TRUE,B153:E153),SF_Output!$Q$1:$Q$400,"monthly")=0),(SUMIFS(SF_Output!$F$1:$F$400,SF_Output!$AC$1:$AC$400,_xlfn.TEXTJOIN(",",TRUE,B153:E153),SF_Output!$Q$1:$Q$400,"monthly")+SUMIFS(SF_Output!$G$1:$G$400,SF_Output!$AC$1:$AC$400,_xlfn.TEXTJOIN(",",TRUE,B153:E153),SF_Output!$Q$1:$Q$400,"monthly"))*H153,AND(B153&lt;&gt;"",H153=SF_Output!$Y$2,SUMIFS(SF_Output!$T$1:$T$400,SF_Output!$AC$1:$AC$400,_xlfn.TEXTJOIN(",",TRUE,B153:E153),SF_Output!$Q$1:$Q$400,"monthly")&lt;&gt;0),SUMIFS(SF_Output!$S$1:$S$400,SF_Output!$AC$1:$AC$400,_xlfn.TEXTJOIN(",",TRUE,B153:E153),SF_Output!$Q$1:$Q$400,"monthly"),AND(B153&lt;&gt;"",H153&lt;&gt;SF_Output!$Y$2),SUMIFS(SF_Output!$S$1:$S$400,SF_Output!$AC$1:$AC$400,_xlfn.TEXTJOIN(",",TRUE,B153:E153),SF_Output!$Q$1:$Q$400,"monthly"))</f>
        <v>0</v>
      </c>
      <c r="W153" s="112" t="str" cm="1">
        <f t="array" ref="W153">_xlfn.IFS(OR(B153=0,B153="",V153=0),"",AF153&lt;&gt;"exclusion",MAX($W$9,$W$7,(-(SUMIFS(SF_Output!$T$1:$T$400,SF_Output!$AC$1:$AC$400,_xlfn.TEXTJOIN(",",TRUE,$B153:$E153),SF_Output!$Q$1:$Q$400,"monthly"))/V153)),AF153="exclusion",-(SUMIFS(SF_Output!$T$1:$T$400,SF_Output!$AC$1:$AC$400,_xlfn.TEXTJOIN(",",TRUE,$B153:$E153),SF_Output!$Q$1:$Q$400,"monthly"))/V153)</f>
        <v/>
      </c>
      <c r="X153" s="6" cm="1">
        <f t="array" ref="X153">IFERROR(_xlfn.IFS(V153=0,0,V153="","",W153=0,V153,OR(V153&lt;&gt;0,V153&lt;&gt;""),H153*I153),V153*(1-W153))</f>
        <v>0</v>
      </c>
    </row>
    <row r="154" spans="2:24" x14ac:dyDescent="0.25">
      <c r="B154" t="s">
        <v>640</v>
      </c>
      <c r="C154" t="s">
        <v>2122</v>
      </c>
      <c r="D154" t="s">
        <v>2306</v>
      </c>
      <c r="E154" t="s">
        <v>2124</v>
      </c>
      <c r="F154" s="116" t="str">
        <f t="shared" si="8"/>
        <v>Included</v>
      </c>
      <c r="G154" t="str">
        <f>IF(B154="","",INDEX(SF_Output!$K$1:$K$400,MATCH(B154,SF_Output!$M$1:$M$400,0)))</f>
        <v>jhaEnterprise Workflow</v>
      </c>
      <c r="H154" cm="1">
        <f t="array" ref="H154">_xlfn.IFS(B154="","",(SUMIFS(SF_Output!$F$1:$F$400,SF_Output!$AC$1:$AC$400,_xlfn.TEXTJOIN(",",TRUE,B154:E154))+SUMIFS(SF_Output!$G$1:$G$400,SF_Output!$AC$1:$AC$400,_xlfn.TEXTJOIN(",",TRUE,B154:E154)))&lt;&gt;0,SF_Output!$Y$2,INDEX(SF_Output!$F$1:$F$400,MATCH(_xlfn.TEXTJOIN(",",TRUE,B154:E154),SF_Output!$AC$1:$AC$400,0))=0,INDEX(SF_Output!$R$1:$R$400,MATCH(_xlfn.TEXTJOIN(",",TRUE,B154:E154),SF_Output!$AC$1:$AC$400,0)))</f>
        <v>5000</v>
      </c>
      <c r="I154" s="125">
        <f>IFERROR(IF(AND(H154&gt;1,H154&lt;&gt;""),ROUND(SUMIFS(SF_Output!$S$1:$S$400,SF_Output!$AC$1:$AC$400,_xlfn.TEXTJOIN(",",TRUE,B154:E154),SF_Output!$Q$1:$Q$400,"monthly")*(1-W154)/H154,4),""),"")</f>
        <v>0.1605</v>
      </c>
      <c r="J154" s="6">
        <f>IF(B154="","",SUMIFS(SF_Output!$S$1:$S$400,SF_Output!$AC$1:$AC$400,_xlfn.TEXTJOIN(",",TRUE,B154:E154),SF_Output!$Q$1:$Q$400,"One Time",SF_Output!$L$1:$L$400,"license fee")+SUMIFS(SF_Output!$S$1:$S$400,SF_Output!$AC$1:$AC$400,_xlfn.TEXTJOIN(",",TRUE,B154:E154),SF_Output!$Q$1:$Q$400,"One Time",SF_Output!$L$1:$L$400,"software license")+SUMIFS(SF_Output!$S$1:$S$400,SF_Output!$AC$1:$AC$400,_xlfn.TEXTJOIN(",",TRUE,B154:E154),SF_Output!$Q$1:$Q$400,"One Time",SF_Output!$L$1:$L$400,"hardware"))</f>
        <v>0</v>
      </c>
      <c r="K154" s="112" t="str">
        <f>IF(OR(B154=0,B154="",G154="hardware",J154=0),"",IF(AF154&lt;&gt;"exclusion",MAX(K$9,-((SUMIFS(SF_Output!$T$1:$T$400,SF_Output!$AC$1:$AC$400,_xlfn.TEXTJOIN(",",TRUE,$B154:$E154),SF_Output!$Q$1:$Q$400,"One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license"))/J154)),-((SUMIFS(SF_Output!$T$1:$T$400,SF_Output!$AC$1:$AC$400,_xlfn.TEXTJOIN(",",TRUE,$B154:$E154),SF_Output!$Q$1:$Q$400,"One Time",SF_Output!$L$1:$L$400,"license fee")+SUMIFS(SF_Output!$T$1:$T$400,SF_Output!$AC$1:$AC$400,_xlfn.TEXTJOIN(",",TRUE,$B154:$E154),SF_Output!$Q$1:$Q$400,"One Time",SF_Output!$L$1:$L$400,"software license"))/J154)))</f>
        <v/>
      </c>
      <c r="L154" s="6">
        <f t="shared" si="9"/>
        <v>0</v>
      </c>
      <c r="N154" s="6">
        <f>IF(B154="","",SUMIFS(SF_Output!$S$1:$S$400,SF_Output!$AC$1:$AC$400,_xlfn.TEXTJOIN(",",TRUE,B154:E154),SF_Output!$Q$1:$Q$400,"One Time",SF_Output!$L$1:$L$400,"professional service"))</f>
        <v>10000</v>
      </c>
      <c r="O154" s="112">
        <f>IF(OR(B154=0,B154="",N154=0),"",IF(AF154&lt;&gt;"exclusion",MAX(O$9,-(SUMIFS(SF_Output!$T$1:$T$400,SF_Output!$AC$1:$AC$400,_xlfn.TEXTJOIN(",",TRUE,$B154:$E154),SF_Output!$Q$1:$Q$400,"One Time",SF_Output!$L$1:$L$400,"professional service"))/N154),-((SUMIFS(SF_Output!$T$1:$T$400,SF_Output!$AC$1:$AC$400,_xlfn.TEXTJOIN(",",TRUE,$B154:$E154),SF_Output!$Q$1:$Q$400,"One Time",SF_Output!$L$1:$L$400,"professional service")/N154))))</f>
        <v>1</v>
      </c>
      <c r="P154" s="6">
        <f t="shared" si="10"/>
        <v>0</v>
      </c>
      <c r="R154" s="6">
        <f>IF(B154="","",SUMIFS(SF_Output!$S$1:$S$400,SF_Output!$AC$1:$AC$400,_xlfn.TEXTJOIN(",",TRUE,B154:E154),SF_Output!$Q$1:$Q$400,"yearly")+SUMIFS(SF_Output!$S$1:$S$400,SF_Output!$AC$1:$AC$400,_xlfn.TEXTJOIN(",",TRUE,B154:E154),SF_Output!$Q$1:$Q$400,"quarterly")*4)</f>
        <v>0</v>
      </c>
      <c r="S154" s="112" t="str">
        <f>IF(OR(B154=0,B154="",G154="hardware",R154=0),"",IF(AF154&lt;&gt;"exclusion",MAX(S$9,-(SUMIFS(SF_Output!$T$1:$T$400,SF_Output!$AC$1:$AC$400,_xlfn.TEXTJOIN(",",TRUE,$B154:$E154),SF_Output!$Q$1:$Q$400,"yearly"))/R154),-((SUMIFS(SF_Output!$T$1:$T$400,SF_Output!$AC$1:$AC$400,_xlfn.TEXTJOIN(",",TRUE,$B154:$E154),SF_Output!$Q$1:$Q$400,"yearly")/R154))))</f>
        <v/>
      </c>
      <c r="T154" s="6">
        <f t="shared" si="11"/>
        <v>0</v>
      </c>
      <c r="V154" s="6" cm="1">
        <f t="array" ref="V154">_xlfn.IFS(B154="","",AND(B154&lt;&gt;"",H154=SF_Output!$Y$2,SUMIFS(SF_Output!$T$1:$T$400,SF_Output!$AC$1:$AC$400,_xlfn.TEXTJOIN(",",TRUE,B154:E154),SF_Output!$Q$1:$Q$400,"monthly")=0),(SUMIFS(SF_Output!$F$1:$F$400,SF_Output!$AC$1:$AC$400,_xlfn.TEXTJOIN(",",TRUE,B154:E154),SF_Output!$Q$1:$Q$400,"monthly")+SUMIFS(SF_Output!$G$1:$G$400,SF_Output!$AC$1:$AC$400,_xlfn.TEXTJOIN(",",TRUE,B154:E154),SF_Output!$Q$1:$Q$400,"monthly"))*H154,AND(B154&lt;&gt;"",H154=SF_Output!$Y$2,SUMIFS(SF_Output!$T$1:$T$400,SF_Output!$AC$1:$AC$400,_xlfn.TEXTJOIN(",",TRUE,B154:E154),SF_Output!$Q$1:$Q$400,"monthly")&lt;&gt;0),SUMIFS(SF_Output!$S$1:$S$400,SF_Output!$AC$1:$AC$400,_xlfn.TEXTJOIN(",",TRUE,B154:E154),SF_Output!$Q$1:$Q$400,"monthly"),AND(B154&lt;&gt;"",H154&lt;&gt;SF_Output!$Y$2),SUMIFS(SF_Output!$S$1:$S$400,SF_Output!$AC$1:$AC$400,_xlfn.TEXTJOIN(",",TRUE,B154:E154),SF_Output!$Q$1:$Q$400,"monthly"))</f>
        <v>1070</v>
      </c>
      <c r="W154" s="112" cm="1">
        <f t="array" ref="W154">_xlfn.IFS(OR(B154=0,B154="",V154=0),"",AF154&lt;&gt;"exclusion",MAX($W$9,$W$7,(-(SUMIFS(SF_Output!$T$1:$T$400,SF_Output!$AC$1:$AC$400,_xlfn.TEXTJOIN(",",TRUE,$B154:$E154),SF_Output!$Q$1:$Q$400,"monthly"))/V154)),AF154="exclusion",-(SUMIFS(SF_Output!$T$1:$T$400,SF_Output!$AC$1:$AC$400,_xlfn.TEXTJOIN(",",TRUE,$B154:$E154),SF_Output!$Q$1:$Q$400,"monthly"))/V154)</f>
        <v>0.25</v>
      </c>
      <c r="X154" s="6" cm="1">
        <f t="array" ref="X154">IFERROR(_xlfn.IFS(V154=0,0,V154="","",W154=0,V154,OR(V154&lt;&gt;0,V154&lt;&gt;""),H154*I154),V154*(1-W154))</f>
        <v>802.5</v>
      </c>
    </row>
    <row r="155" spans="2:24" x14ac:dyDescent="0.25">
      <c r="B155" t="s">
        <v>2310</v>
      </c>
      <c r="C155" t="s">
        <v>2122</v>
      </c>
      <c r="D155" t="s">
        <v>2306</v>
      </c>
      <c r="E155" t="s">
        <v>2124</v>
      </c>
      <c r="F155" s="116" t="str">
        <f t="shared" si="8"/>
        <v>Included</v>
      </c>
      <c r="G155" t="str">
        <f>IF(B155="","",INDEX(SF_Output!$K$1:$K$400,MATCH(B155,SF_Output!$M$1:$M$400,0)))</f>
        <v>jhaEnterprise Workflow</v>
      </c>
      <c r="H155" cm="1">
        <f t="array" ref="H155">_xlfn.IFS(B155="","",(SUMIFS(SF_Output!$F$1:$F$400,SF_Output!$AC$1:$AC$400,_xlfn.TEXTJOIN(",",TRUE,B155:E155))+SUMIFS(SF_Output!$G$1:$G$400,SF_Output!$AC$1:$AC$400,_xlfn.TEXTJOIN(",",TRUE,B155:E155)))&lt;&gt;0,SF_Output!$Y$2,INDEX(SF_Output!$F$1:$F$400,MATCH(_xlfn.TEXTJOIN(",",TRUE,B155:E155),SF_Output!$AC$1:$AC$400,0))=0,INDEX(SF_Output!$R$1:$R$400,MATCH(_xlfn.TEXTJOIN(",",TRUE,B155:E155),SF_Output!$AC$1:$AC$400,0)))</f>
        <v>5000</v>
      </c>
      <c r="I155" s="125">
        <f>IFERROR(IF(AND(H155&gt;1,H155&lt;&gt;""),ROUND(SUMIFS(SF_Output!$S$1:$S$400,SF_Output!$AC$1:$AC$400,_xlfn.TEXTJOIN(",",TRUE,B155:E155),SF_Output!$Q$1:$Q$400,"monthly")*(1-W155)/H155,4),""),"")</f>
        <v>0.1605</v>
      </c>
      <c r="J155" s="6">
        <f>IF(B155="","",SUMIFS(SF_Output!$S$1:$S$400,SF_Output!$AC$1:$AC$400,_xlfn.TEXTJOIN(",",TRUE,B155:E155),SF_Output!$Q$1:$Q$400,"One Time",SF_Output!$L$1:$L$400,"license fee")+SUMIFS(SF_Output!$S$1:$S$400,SF_Output!$AC$1:$AC$400,_xlfn.TEXTJOIN(",",TRUE,B155:E155),SF_Output!$Q$1:$Q$400,"One Time",SF_Output!$L$1:$L$400,"software license")+SUMIFS(SF_Output!$S$1:$S$400,SF_Output!$AC$1:$AC$400,_xlfn.TEXTJOIN(",",TRUE,B155:E155),SF_Output!$Q$1:$Q$400,"One Time",SF_Output!$L$1:$L$400,"hardware"))</f>
        <v>0</v>
      </c>
      <c r="K155" s="112" t="str">
        <f>IF(OR(B155=0,B155="",G155="hardware",J155=0),"",IF(AF155&lt;&gt;"exclusion",MAX(K$9,-((SUMIFS(SF_Output!$T$1:$T$400,SF_Output!$AC$1:$AC$400,_xlfn.TEXTJOIN(",",TRUE,$B155:$E155),SF_Output!$Q$1:$Q$400,"One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license"))/J155)),-((SUMIFS(SF_Output!$T$1:$T$400,SF_Output!$AC$1:$AC$400,_xlfn.TEXTJOIN(",",TRUE,$B155:$E155),SF_Output!$Q$1:$Q$400,"One Time",SF_Output!$L$1:$L$400,"license fee")+SUMIFS(SF_Output!$T$1:$T$400,SF_Output!$AC$1:$AC$400,_xlfn.TEXTJOIN(",",TRUE,$B155:$E155),SF_Output!$Q$1:$Q$400,"One Time",SF_Output!$L$1:$L$400,"software license"))/J155)))</f>
        <v/>
      </c>
      <c r="L155" s="6">
        <f t="shared" si="9"/>
        <v>0</v>
      </c>
      <c r="N155" s="6">
        <f>IF(B155="","",SUMIFS(SF_Output!$S$1:$S$400,SF_Output!$AC$1:$AC$400,_xlfn.TEXTJOIN(",",TRUE,B155:E155),SF_Output!$Q$1:$Q$400,"One Time",SF_Output!$L$1:$L$400,"professional service"))</f>
        <v>10000</v>
      </c>
      <c r="O155" s="112">
        <f>IF(OR(B155=0,B155="",N155=0),"",IF(AF155&lt;&gt;"exclusion",MAX(O$9,-(SUMIFS(SF_Output!$T$1:$T$400,SF_Output!$AC$1:$AC$400,_xlfn.TEXTJOIN(",",TRUE,$B155:$E155),SF_Output!$Q$1:$Q$400,"One Time",SF_Output!$L$1:$L$400,"professional service"))/N155),-((SUMIFS(SF_Output!$T$1:$T$400,SF_Output!$AC$1:$AC$400,_xlfn.TEXTJOIN(",",TRUE,$B155:$E155),SF_Output!$Q$1:$Q$400,"One Time",SF_Output!$L$1:$L$400,"professional service")/N155))))</f>
        <v>1</v>
      </c>
      <c r="P155" s="6">
        <f t="shared" si="10"/>
        <v>0</v>
      </c>
      <c r="R155" s="6">
        <f>IF(B155="","",SUMIFS(SF_Output!$S$1:$S$400,SF_Output!$AC$1:$AC$400,_xlfn.TEXTJOIN(",",TRUE,B155:E155),SF_Output!$Q$1:$Q$400,"yearly")+SUMIFS(SF_Output!$S$1:$S$400,SF_Output!$AC$1:$AC$400,_xlfn.TEXTJOIN(",",TRUE,B155:E155),SF_Output!$Q$1:$Q$400,"quarterly")*4)</f>
        <v>0</v>
      </c>
      <c r="S155" s="112" t="str">
        <f>IF(OR(B155=0,B155="",G155="hardware",R155=0),"",IF(AF155&lt;&gt;"exclusion",MAX(S$9,-(SUMIFS(SF_Output!$T$1:$T$400,SF_Output!$AC$1:$AC$400,_xlfn.TEXTJOIN(",",TRUE,$B155:$E155),SF_Output!$Q$1:$Q$400,"yearly"))/R155),-((SUMIFS(SF_Output!$T$1:$T$400,SF_Output!$AC$1:$AC$400,_xlfn.TEXTJOIN(",",TRUE,$B155:$E155),SF_Output!$Q$1:$Q$400,"yearly")/R155))))</f>
        <v/>
      </c>
      <c r="T155" s="6">
        <f t="shared" si="11"/>
        <v>0</v>
      </c>
      <c r="V155" s="6" cm="1">
        <f t="array" ref="V155">_xlfn.IFS(B155="","",AND(B155&lt;&gt;"",H155=SF_Output!$Y$2,SUMIFS(SF_Output!$T$1:$T$400,SF_Output!$AC$1:$AC$400,_xlfn.TEXTJOIN(",",TRUE,B155:E155),SF_Output!$Q$1:$Q$400,"monthly")=0),(SUMIFS(SF_Output!$F$1:$F$400,SF_Output!$AC$1:$AC$400,_xlfn.TEXTJOIN(",",TRUE,B155:E155),SF_Output!$Q$1:$Q$400,"monthly")+SUMIFS(SF_Output!$G$1:$G$400,SF_Output!$AC$1:$AC$400,_xlfn.TEXTJOIN(",",TRUE,B155:E155),SF_Output!$Q$1:$Q$400,"monthly"))*H155,AND(B155&lt;&gt;"",H155=SF_Output!$Y$2,SUMIFS(SF_Output!$T$1:$T$400,SF_Output!$AC$1:$AC$400,_xlfn.TEXTJOIN(",",TRUE,B155:E155),SF_Output!$Q$1:$Q$400,"monthly")&lt;&gt;0),SUMIFS(SF_Output!$S$1:$S$400,SF_Output!$AC$1:$AC$400,_xlfn.TEXTJOIN(",",TRUE,B155:E155),SF_Output!$Q$1:$Q$400,"monthly"),AND(B155&lt;&gt;"",H155&lt;&gt;SF_Output!$Y$2),SUMIFS(SF_Output!$S$1:$S$400,SF_Output!$AC$1:$AC$400,_xlfn.TEXTJOIN(",",TRUE,B155:E155),SF_Output!$Q$1:$Q$400,"monthly"))</f>
        <v>1070</v>
      </c>
      <c r="W155" s="112" cm="1">
        <f t="array" ref="W155">_xlfn.IFS(OR(B155=0,B155="",V155=0),"",AF155&lt;&gt;"exclusion",MAX($W$9,$W$7,(-(SUMIFS(SF_Output!$T$1:$T$400,SF_Output!$AC$1:$AC$400,_xlfn.TEXTJOIN(",",TRUE,$B155:$E155),SF_Output!$Q$1:$Q$400,"monthly"))/V155)),AF155="exclusion",-(SUMIFS(SF_Output!$T$1:$T$400,SF_Output!$AC$1:$AC$400,_xlfn.TEXTJOIN(",",TRUE,$B155:$E155),SF_Output!$Q$1:$Q$400,"monthly"))/V155)</f>
        <v>0.25</v>
      </c>
      <c r="X155" s="6" cm="1">
        <f t="array" ref="X155">IFERROR(_xlfn.IFS(V155=0,0,V155="","",W155=0,V155,OR(V155&lt;&gt;0,V155&lt;&gt;""),H155*I155),V155*(1-W155))</f>
        <v>802.5</v>
      </c>
    </row>
    <row r="156" spans="2:24" x14ac:dyDescent="0.25">
      <c r="B156" t="s">
        <v>1073</v>
      </c>
      <c r="C156" t="s">
        <v>2122</v>
      </c>
      <c r="D156" t="s">
        <v>2306</v>
      </c>
      <c r="E156" t="s">
        <v>2124</v>
      </c>
      <c r="F156" s="116" t="str">
        <f t="shared" si="8"/>
        <v>Included</v>
      </c>
      <c r="G156" t="str">
        <f>IF(B156="","",INDEX(SF_Output!$K$1:$K$400,MATCH(B156,SF_Output!$M$1:$M$400,0)))</f>
        <v>jhaEnterprise Workflow</v>
      </c>
      <c r="H156" cm="1">
        <f t="array" ref="H156">_xlfn.IFS(B156="","",(SUMIFS(SF_Output!$F$1:$F$400,SF_Output!$AC$1:$AC$400,_xlfn.TEXTJOIN(",",TRUE,B156:E156))+SUMIFS(SF_Output!$G$1:$G$400,SF_Output!$AC$1:$AC$400,_xlfn.TEXTJOIN(",",TRUE,B156:E156)))&lt;&gt;0,SF_Output!$Y$2,INDEX(SF_Output!$F$1:$F$400,MATCH(_xlfn.TEXTJOIN(",",TRUE,B156:E156),SF_Output!$AC$1:$AC$400,0))=0,INDEX(SF_Output!$R$1:$R$400,MATCH(_xlfn.TEXTJOIN(",",TRUE,B156:E156),SF_Output!$AC$1:$AC$400,0)))</f>
        <v>1</v>
      </c>
      <c r="I156" s="125" t="str">
        <f>IFERROR(IF(AND(H156&gt;1,H156&lt;&gt;""),ROUND(SUMIFS(SF_Output!$S$1:$S$400,SF_Output!$AC$1:$AC$400,_xlfn.TEXTJOIN(",",TRUE,B156:E156),SF_Output!$Q$1:$Q$400,"monthly")*(1-W156)/H156,4),""),"")</f>
        <v/>
      </c>
      <c r="J156" s="6">
        <f>IF(B156="","",SUMIFS(SF_Output!$S$1:$S$400,SF_Output!$AC$1:$AC$400,_xlfn.TEXTJOIN(",",TRUE,B156:E156),SF_Output!$Q$1:$Q$400,"One Time",SF_Output!$L$1:$L$400,"license fee")+SUMIFS(SF_Output!$S$1:$S$400,SF_Output!$AC$1:$AC$400,_xlfn.TEXTJOIN(",",TRUE,B156:E156),SF_Output!$Q$1:$Q$400,"One Time",SF_Output!$L$1:$L$400,"software license")+SUMIFS(SF_Output!$S$1:$S$400,SF_Output!$AC$1:$AC$400,_xlfn.TEXTJOIN(",",TRUE,B156:E156),SF_Output!$Q$1:$Q$400,"One Time",SF_Output!$L$1:$L$400,"hardware"))</f>
        <v>0</v>
      </c>
      <c r="K156" s="112" t="str">
        <f>IF(OR(B156=0,B156="",G156="hardware",J156=0),"",IF(AF156&lt;&gt;"exclusion",MAX(K$9,-((SUMIFS(SF_Output!$T$1:$T$400,SF_Output!$AC$1:$AC$400,_xlfn.TEXTJOIN(",",TRUE,$B156:$E156),SF_Output!$Q$1:$Q$400,"One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license"))/J156)),-((SUMIFS(SF_Output!$T$1:$T$400,SF_Output!$AC$1:$AC$400,_xlfn.TEXTJOIN(",",TRUE,$B156:$E156),SF_Output!$Q$1:$Q$400,"One Time",SF_Output!$L$1:$L$400,"license fee")+SUMIFS(SF_Output!$T$1:$T$400,SF_Output!$AC$1:$AC$400,_xlfn.TEXTJOIN(",",TRUE,$B156:$E156),SF_Output!$Q$1:$Q$400,"One Time",SF_Output!$L$1:$L$400,"software license"))/J156)))</f>
        <v/>
      </c>
      <c r="L156" s="6">
        <f t="shared" si="9"/>
        <v>0</v>
      </c>
      <c r="N156" s="6">
        <f>IF(B156="","",SUMIFS(SF_Output!$S$1:$S$400,SF_Output!$AC$1:$AC$400,_xlfn.TEXTJOIN(",",TRUE,B156:E156),SF_Output!$Q$1:$Q$400,"One Time",SF_Output!$L$1:$L$400,"professional service"))</f>
        <v>12500</v>
      </c>
      <c r="O156" s="112">
        <f>IF(OR(B156=0,B156="",N156=0),"",IF(AF156&lt;&gt;"exclusion",MAX(O$9,-(SUMIFS(SF_Output!$T$1:$T$400,SF_Output!$AC$1:$AC$400,_xlfn.TEXTJOIN(",",TRUE,$B156:$E156),SF_Output!$Q$1:$Q$400,"One Time",SF_Output!$L$1:$L$400,"professional service"))/N156),-((SUMIFS(SF_Output!$T$1:$T$400,SF_Output!$AC$1:$AC$400,_xlfn.TEXTJOIN(",",TRUE,$B156:$E156),SF_Output!$Q$1:$Q$400,"One Time",SF_Output!$L$1:$L$400,"professional service")/N156))))</f>
        <v>0</v>
      </c>
      <c r="P156" s="6">
        <f t="shared" si="10"/>
        <v>12500</v>
      </c>
      <c r="R156" s="6">
        <f>IF(B156="","",SUMIFS(SF_Output!$S$1:$S$400,SF_Output!$AC$1:$AC$400,_xlfn.TEXTJOIN(",",TRUE,B156:E156),SF_Output!$Q$1:$Q$400,"yearly")+SUMIFS(SF_Output!$S$1:$S$400,SF_Output!$AC$1:$AC$400,_xlfn.TEXTJOIN(",",TRUE,B156:E156),SF_Output!$Q$1:$Q$400,"quarterly")*4)</f>
        <v>0</v>
      </c>
      <c r="S156" s="112" t="str">
        <f>IF(OR(B156=0,B156="",G156="hardware",R156=0),"",IF(AF156&lt;&gt;"exclusion",MAX(S$9,-(SUMIFS(SF_Output!$T$1:$T$400,SF_Output!$AC$1:$AC$400,_xlfn.TEXTJOIN(",",TRUE,$B156:$E156),SF_Output!$Q$1:$Q$400,"yearly"))/R156),-((SUMIFS(SF_Output!$T$1:$T$400,SF_Output!$AC$1:$AC$400,_xlfn.TEXTJOIN(",",TRUE,$B156:$E156),SF_Output!$Q$1:$Q$400,"yearly")/R156))))</f>
        <v/>
      </c>
      <c r="T156" s="6">
        <f t="shared" si="11"/>
        <v>0</v>
      </c>
      <c r="V156" s="6" cm="1">
        <f t="array" ref="V156">_xlfn.IFS(B156="","",AND(B156&lt;&gt;"",H156=SF_Output!$Y$2,SUMIFS(SF_Output!$T$1:$T$400,SF_Output!$AC$1:$AC$400,_xlfn.TEXTJOIN(",",TRUE,B156:E156),SF_Output!$Q$1:$Q$400,"monthly")=0),(SUMIFS(SF_Output!$F$1:$F$400,SF_Output!$AC$1:$AC$400,_xlfn.TEXTJOIN(",",TRUE,B156:E156),SF_Output!$Q$1:$Q$400,"monthly")+SUMIFS(SF_Output!$G$1:$G$400,SF_Output!$AC$1:$AC$400,_xlfn.TEXTJOIN(",",TRUE,B156:E156),SF_Output!$Q$1:$Q$400,"monthly"))*H156,AND(B156&lt;&gt;"",H156=SF_Output!$Y$2,SUMIFS(SF_Output!$T$1:$T$400,SF_Output!$AC$1:$AC$400,_xlfn.TEXTJOIN(",",TRUE,B156:E156),SF_Output!$Q$1:$Q$400,"monthly")&lt;&gt;0),SUMIFS(SF_Output!$S$1:$S$400,SF_Output!$AC$1:$AC$400,_xlfn.TEXTJOIN(",",TRUE,B156:E156),SF_Output!$Q$1:$Q$400,"monthly"),AND(B156&lt;&gt;"",H156&lt;&gt;SF_Output!$Y$2),SUMIFS(SF_Output!$S$1:$S$400,SF_Output!$AC$1:$AC$400,_xlfn.TEXTJOIN(",",TRUE,B156:E156),SF_Output!$Q$1:$Q$400,"monthly"))</f>
        <v>0</v>
      </c>
      <c r="W156" s="112" t="str" cm="1">
        <f t="array" ref="W156">_xlfn.IFS(OR(B156=0,B156="",V156=0),"",AF156&lt;&gt;"exclusion",MAX($W$9,$W$7,(-(SUMIFS(SF_Output!$T$1:$T$400,SF_Output!$AC$1:$AC$400,_xlfn.TEXTJOIN(",",TRUE,$B156:$E156),SF_Output!$Q$1:$Q$400,"monthly"))/V156)),AF156="exclusion",-(SUMIFS(SF_Output!$T$1:$T$400,SF_Output!$AC$1:$AC$400,_xlfn.TEXTJOIN(",",TRUE,$B156:$E156),SF_Output!$Q$1:$Q$400,"monthly"))/V156)</f>
        <v/>
      </c>
      <c r="X156" s="6" cm="1">
        <f t="array" ref="X156">IFERROR(_xlfn.IFS(V156=0,0,V156="","",W156=0,V156,OR(V156&lt;&gt;0,V156&lt;&gt;""),H156*I156),V156*(1-W156))</f>
        <v>0</v>
      </c>
    </row>
    <row r="157" spans="2:24" x14ac:dyDescent="0.25">
      <c r="B157" t="s">
        <v>2312</v>
      </c>
      <c r="C157" t="s">
        <v>2122</v>
      </c>
      <c r="D157" t="s">
        <v>2306</v>
      </c>
      <c r="E157" t="s">
        <v>2124</v>
      </c>
      <c r="F157" s="116" t="str">
        <f t="shared" si="8"/>
        <v>Included</v>
      </c>
      <c r="G157" t="str">
        <f>IF(B157="","",INDEX(SF_Output!$K$1:$K$400,MATCH(B157,SF_Output!$M$1:$M$400,0)))</f>
        <v>jhaEnterprise Workflow</v>
      </c>
      <c r="H157" cm="1">
        <f t="array" ref="H157">_xlfn.IFS(B157="","",(SUMIFS(SF_Output!$F$1:$F$400,SF_Output!$AC$1:$AC$400,_xlfn.TEXTJOIN(",",TRUE,B157:E157))+SUMIFS(SF_Output!$G$1:$G$400,SF_Output!$AC$1:$AC$400,_xlfn.TEXTJOIN(",",TRUE,B157:E157)))&lt;&gt;0,SF_Output!$Y$2,INDEX(SF_Output!$F$1:$F$400,MATCH(_xlfn.TEXTJOIN(",",TRUE,B157:E157),SF_Output!$AC$1:$AC$400,0))=0,INDEX(SF_Output!$R$1:$R$400,MATCH(_xlfn.TEXTJOIN(",",TRUE,B157:E157),SF_Output!$AC$1:$AC$400,0)))</f>
        <v>2</v>
      </c>
      <c r="I157" s="125" t="str">
        <f>IFERROR(IF(AND(H157&gt;1,H157&lt;&gt;""),ROUND(SUMIFS(SF_Output!$S$1:$S$400,SF_Output!$AC$1:$AC$400,_xlfn.TEXTJOIN(",",TRUE,B157:E157),SF_Output!$Q$1:$Q$400,"monthly")*(1-W157)/H157,4),""),"")</f>
        <v/>
      </c>
      <c r="J157" s="6">
        <f>IF(B157="","",SUMIFS(SF_Output!$S$1:$S$400,SF_Output!$AC$1:$AC$400,_xlfn.TEXTJOIN(",",TRUE,B157:E157),SF_Output!$Q$1:$Q$400,"One Time",SF_Output!$L$1:$L$400,"license fee")+SUMIFS(SF_Output!$S$1:$S$400,SF_Output!$AC$1:$AC$400,_xlfn.TEXTJOIN(",",TRUE,B157:E157),SF_Output!$Q$1:$Q$400,"One Time",SF_Output!$L$1:$L$400,"software license")+SUMIFS(SF_Output!$S$1:$S$400,SF_Output!$AC$1:$AC$400,_xlfn.TEXTJOIN(",",TRUE,B157:E157),SF_Output!$Q$1:$Q$400,"One Time",SF_Output!$L$1:$L$400,"hardware"))</f>
        <v>0</v>
      </c>
      <c r="K157" s="112" t="str">
        <f>IF(OR(B157=0,B157="",G157="hardware",J157=0),"",IF(AF157&lt;&gt;"exclusion",MAX(K$9,-((SUMIFS(SF_Output!$T$1:$T$400,SF_Output!$AC$1:$AC$400,_xlfn.TEXTJOIN(",",TRUE,$B157:$E157),SF_Output!$Q$1:$Q$400,"One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license"))/J157)),-((SUMIFS(SF_Output!$T$1:$T$400,SF_Output!$AC$1:$AC$400,_xlfn.TEXTJOIN(",",TRUE,$B157:$E157),SF_Output!$Q$1:$Q$400,"One Time",SF_Output!$L$1:$L$400,"license fee")+SUMIFS(SF_Output!$T$1:$T$400,SF_Output!$AC$1:$AC$400,_xlfn.TEXTJOIN(",",TRUE,$B157:$E157),SF_Output!$Q$1:$Q$400,"One Time",SF_Output!$L$1:$L$400,"software license"))/J157)))</f>
        <v/>
      </c>
      <c r="L157" s="6">
        <f t="shared" si="9"/>
        <v>0</v>
      </c>
      <c r="N157" s="6">
        <f>IF(B157="","",SUMIFS(SF_Output!$S$1:$S$400,SF_Output!$AC$1:$AC$400,_xlfn.TEXTJOIN(",",TRUE,B157:E157),SF_Output!$Q$1:$Q$400,"One Time",SF_Output!$L$1:$L$400,"professional service"))</f>
        <v>3600</v>
      </c>
      <c r="O157" s="112">
        <f>IF(OR(B157=0,B157="",N157=0),"",IF(AF157&lt;&gt;"exclusion",MAX(O$9,-(SUMIFS(SF_Output!$T$1:$T$400,SF_Output!$AC$1:$AC$400,_xlfn.TEXTJOIN(",",TRUE,$B157:$E157),SF_Output!$Q$1:$Q$400,"One Time",SF_Output!$L$1:$L$400,"professional service"))/N157),-((SUMIFS(SF_Output!$T$1:$T$400,SF_Output!$AC$1:$AC$400,_xlfn.TEXTJOIN(",",TRUE,$B157:$E157),SF_Output!$Q$1:$Q$400,"One Time",SF_Output!$L$1:$L$400,"professional service")/N157))))</f>
        <v>0</v>
      </c>
      <c r="P157" s="6">
        <f t="shared" si="10"/>
        <v>3600</v>
      </c>
      <c r="R157" s="6">
        <f>IF(B157="","",SUMIFS(SF_Output!$S$1:$S$400,SF_Output!$AC$1:$AC$400,_xlfn.TEXTJOIN(",",TRUE,B157:E157),SF_Output!$Q$1:$Q$400,"yearly")+SUMIFS(SF_Output!$S$1:$S$400,SF_Output!$AC$1:$AC$400,_xlfn.TEXTJOIN(",",TRUE,B157:E157),SF_Output!$Q$1:$Q$400,"quarterly")*4)</f>
        <v>0</v>
      </c>
      <c r="S157" s="112" t="str">
        <f>IF(OR(B157=0,B157="",G157="hardware",R157=0),"",IF(AF157&lt;&gt;"exclusion",MAX(S$9,-(SUMIFS(SF_Output!$T$1:$T$400,SF_Output!$AC$1:$AC$400,_xlfn.TEXTJOIN(",",TRUE,$B157:$E157),SF_Output!$Q$1:$Q$400,"yearly"))/R157),-((SUMIFS(SF_Output!$T$1:$T$400,SF_Output!$AC$1:$AC$400,_xlfn.TEXTJOIN(",",TRUE,$B157:$E157),SF_Output!$Q$1:$Q$400,"yearly")/R157))))</f>
        <v/>
      </c>
      <c r="T157" s="6">
        <f t="shared" si="11"/>
        <v>0</v>
      </c>
      <c r="V157" s="6" cm="1">
        <f t="array" ref="V157">_xlfn.IFS(B157="","",AND(B157&lt;&gt;"",H157=SF_Output!$Y$2,SUMIFS(SF_Output!$T$1:$T$400,SF_Output!$AC$1:$AC$400,_xlfn.TEXTJOIN(",",TRUE,B157:E157),SF_Output!$Q$1:$Q$400,"monthly")=0),(SUMIFS(SF_Output!$F$1:$F$400,SF_Output!$AC$1:$AC$400,_xlfn.TEXTJOIN(",",TRUE,B157:E157),SF_Output!$Q$1:$Q$400,"monthly")+SUMIFS(SF_Output!$G$1:$G$400,SF_Output!$AC$1:$AC$400,_xlfn.TEXTJOIN(",",TRUE,B157:E157),SF_Output!$Q$1:$Q$400,"monthly"))*H157,AND(B157&lt;&gt;"",H157=SF_Output!$Y$2,SUMIFS(SF_Output!$T$1:$T$400,SF_Output!$AC$1:$AC$400,_xlfn.TEXTJOIN(",",TRUE,B157:E157),SF_Output!$Q$1:$Q$400,"monthly")&lt;&gt;0),SUMIFS(SF_Output!$S$1:$S$400,SF_Output!$AC$1:$AC$400,_xlfn.TEXTJOIN(",",TRUE,B157:E157),SF_Output!$Q$1:$Q$400,"monthly"),AND(B157&lt;&gt;"",H157&lt;&gt;SF_Output!$Y$2),SUMIFS(SF_Output!$S$1:$S$400,SF_Output!$AC$1:$AC$400,_xlfn.TEXTJOIN(",",TRUE,B157:E157),SF_Output!$Q$1:$Q$400,"monthly"))</f>
        <v>0</v>
      </c>
      <c r="W157" s="112" t="str" cm="1">
        <f t="array" ref="W157">_xlfn.IFS(OR(B157=0,B157="",V157=0),"",AF157&lt;&gt;"exclusion",MAX($W$9,$W$7,(-(SUMIFS(SF_Output!$T$1:$T$400,SF_Output!$AC$1:$AC$400,_xlfn.TEXTJOIN(",",TRUE,$B157:$E157),SF_Output!$Q$1:$Q$400,"monthly"))/V157)),AF157="exclusion",-(SUMIFS(SF_Output!$T$1:$T$400,SF_Output!$AC$1:$AC$400,_xlfn.TEXTJOIN(",",TRUE,$B157:$E157),SF_Output!$Q$1:$Q$400,"monthly"))/V157)</f>
        <v/>
      </c>
      <c r="X157" s="6" cm="1">
        <f t="array" ref="X157">IFERROR(_xlfn.IFS(V157=0,0,V157="","",W157=0,V157,OR(V157&lt;&gt;0,V157&lt;&gt;""),H157*I157),V157*(1-W157))</f>
        <v>0</v>
      </c>
    </row>
    <row r="158" spans="2:24" x14ac:dyDescent="0.25">
      <c r="B158" t="s">
        <v>626</v>
      </c>
      <c r="C158" t="s">
        <v>2122</v>
      </c>
      <c r="D158" t="s">
        <v>2123</v>
      </c>
      <c r="E158" t="s">
        <v>2124</v>
      </c>
      <c r="F158" s="116" t="str">
        <f t="shared" si="8"/>
        <v>Included</v>
      </c>
      <c r="G158" t="str">
        <f>IF(B158="","",INDEX(SF_Output!$K$1:$K$400,MATCH(B158,SF_Output!$M$1:$M$400,0)))</f>
        <v>jConnect</v>
      </c>
      <c r="H158" cm="1">
        <f t="array" ref="H158">_xlfn.IFS(B158="","",(SUMIFS(SF_Output!$F$1:$F$400,SF_Output!$AC$1:$AC$400,_xlfn.TEXTJOIN(",",TRUE,B158:E158))+SUMIFS(SF_Output!$G$1:$G$400,SF_Output!$AC$1:$AC$400,_xlfn.TEXTJOIN(",",TRUE,B158:E158)))&lt;&gt;0,SF_Output!$Y$2,INDEX(SF_Output!$F$1:$F$400,MATCH(_xlfn.TEXTJOIN(",",TRUE,B158:E158),SF_Output!$AC$1:$AC$400,0))=0,INDEX(SF_Output!$R$1:$R$400,MATCH(_xlfn.TEXTJOIN(",",TRUE,B158:E158),SF_Output!$AC$1:$AC$400,0)))</f>
        <v>1</v>
      </c>
      <c r="I158" s="125" t="str">
        <f>IFERROR(IF(AND(H158&gt;1,H158&lt;&gt;""),ROUND(SUMIFS(SF_Output!$S$1:$S$400,SF_Output!$AC$1:$AC$400,_xlfn.TEXTJOIN(",",TRUE,B158:E158),SF_Output!$Q$1:$Q$400,"monthly")*(1-W158)/H158,4),""),"")</f>
        <v/>
      </c>
      <c r="J158" s="6">
        <f>IF(B158="","",SUMIFS(SF_Output!$S$1:$S$400,SF_Output!$AC$1:$AC$400,_xlfn.TEXTJOIN(",",TRUE,B158:E158),SF_Output!$Q$1:$Q$400,"One Time",SF_Output!$L$1:$L$400,"license fee")+SUMIFS(SF_Output!$S$1:$S$400,SF_Output!$AC$1:$AC$400,_xlfn.TEXTJOIN(",",TRUE,B158:E158),SF_Output!$Q$1:$Q$400,"One Time",SF_Output!$L$1:$L$400,"software license")+SUMIFS(SF_Output!$S$1:$S$400,SF_Output!$AC$1:$AC$400,_xlfn.TEXTJOIN(",",TRUE,B158:E158),SF_Output!$Q$1:$Q$400,"One Time",SF_Output!$L$1:$L$400,"hardware"))</f>
        <v>0</v>
      </c>
      <c r="K158" s="112" t="str">
        <f>IF(OR(B158=0,B158="",G158="hardware",J158=0),"",IF(AF158&lt;&gt;"exclusion",MAX(K$9,-((SUMIFS(SF_Output!$T$1:$T$400,SF_Output!$AC$1:$AC$400,_xlfn.TEXTJOIN(",",TRUE,$B158:$E158),SF_Output!$Q$1:$Q$400,"One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license"))/J158)),-((SUMIFS(SF_Output!$T$1:$T$400,SF_Output!$AC$1:$AC$400,_xlfn.TEXTJOIN(",",TRUE,$B158:$E158),SF_Output!$Q$1:$Q$400,"One Time",SF_Output!$L$1:$L$400,"license fee")+SUMIFS(SF_Output!$T$1:$T$400,SF_Output!$AC$1:$AC$400,_xlfn.TEXTJOIN(",",TRUE,$B158:$E158),SF_Output!$Q$1:$Q$400,"One Time",SF_Output!$L$1:$L$400,"software license"))/J158)))</f>
        <v/>
      </c>
      <c r="L158" s="6">
        <f t="shared" si="9"/>
        <v>0</v>
      </c>
      <c r="N158" s="6">
        <f>IF(B158="","",SUMIFS(SF_Output!$S$1:$S$400,SF_Output!$AC$1:$AC$400,_xlfn.TEXTJOIN(",",TRUE,B158:E158),SF_Output!$Q$1:$Q$400,"One Time",SF_Output!$L$1:$L$400,"professional service"))</f>
        <v>0</v>
      </c>
      <c r="O158" s="112" t="str">
        <f>IF(OR(B158=0,B158="",N158=0),"",IF(AF158&lt;&gt;"exclusion",MAX(O$9,-(SUMIFS(SF_Output!$T$1:$T$400,SF_Output!$AC$1:$AC$400,_xlfn.TEXTJOIN(",",TRUE,$B158:$E158),SF_Output!$Q$1:$Q$400,"One Time",SF_Output!$L$1:$L$400,"professional service"))/N158),-((SUMIFS(SF_Output!$T$1:$T$400,SF_Output!$AC$1:$AC$400,_xlfn.TEXTJOIN(",",TRUE,$B158:$E158),SF_Output!$Q$1:$Q$400,"One Time",SF_Output!$L$1:$L$400,"professional service")/N158))))</f>
        <v/>
      </c>
      <c r="P158" s="6">
        <f t="shared" si="10"/>
        <v>0</v>
      </c>
      <c r="R158" s="6">
        <f>IF(B158="","",SUMIFS(SF_Output!$S$1:$S$400,SF_Output!$AC$1:$AC$400,_xlfn.TEXTJOIN(",",TRUE,B158:E158),SF_Output!$Q$1:$Q$400,"yearly")+SUMIFS(SF_Output!$S$1:$S$400,SF_Output!$AC$1:$AC$400,_xlfn.TEXTJOIN(",",TRUE,B158:E158),SF_Output!$Q$1:$Q$400,"quarterly")*4)</f>
        <v>0</v>
      </c>
      <c r="S158" s="112" t="str">
        <f>IF(OR(B158=0,B158="",G158="hardware",R158=0),"",IF(AF158&lt;&gt;"exclusion",MAX(S$9,-(SUMIFS(SF_Output!$T$1:$T$400,SF_Output!$AC$1:$AC$400,_xlfn.TEXTJOIN(",",TRUE,$B158:$E158),SF_Output!$Q$1:$Q$400,"yearly"))/R158),-((SUMIFS(SF_Output!$T$1:$T$400,SF_Output!$AC$1:$AC$400,_xlfn.TEXTJOIN(",",TRUE,$B158:$E158),SF_Output!$Q$1:$Q$400,"yearly")/R158))))</f>
        <v/>
      </c>
      <c r="T158" s="6">
        <f t="shared" si="11"/>
        <v>0</v>
      </c>
      <c r="V158" s="6" cm="1">
        <f t="array" ref="V158">_xlfn.IFS(B158="","",AND(B158&lt;&gt;"",H158=SF_Output!$Y$2,SUMIFS(SF_Output!$T$1:$T$400,SF_Output!$AC$1:$AC$400,_xlfn.TEXTJOIN(",",TRUE,B158:E158),SF_Output!$Q$1:$Q$400,"monthly")=0),(SUMIFS(SF_Output!$F$1:$F$400,SF_Output!$AC$1:$AC$400,_xlfn.TEXTJOIN(",",TRUE,B158:E158),SF_Output!$Q$1:$Q$400,"monthly")+SUMIFS(SF_Output!$G$1:$G$400,SF_Output!$AC$1:$AC$400,_xlfn.TEXTJOIN(",",TRUE,B158:E158),SF_Output!$Q$1:$Q$400,"monthly"))*H158,AND(B158&lt;&gt;"",H158=SF_Output!$Y$2,SUMIFS(SF_Output!$T$1:$T$400,SF_Output!$AC$1:$AC$400,_xlfn.TEXTJOIN(",",TRUE,B158:E158),SF_Output!$Q$1:$Q$400,"monthly")&lt;&gt;0),SUMIFS(SF_Output!$S$1:$S$400,SF_Output!$AC$1:$AC$400,_xlfn.TEXTJOIN(",",TRUE,B158:E158),SF_Output!$Q$1:$Q$400,"monthly"),AND(B158&lt;&gt;"",H158&lt;&gt;SF_Output!$Y$2),SUMIFS(SF_Output!$S$1:$S$400,SF_Output!$AC$1:$AC$400,_xlfn.TEXTJOIN(",",TRUE,B158:E158),SF_Output!$Q$1:$Q$400,"monthly"))</f>
        <v>1000</v>
      </c>
      <c r="W158" s="112" cm="1">
        <f t="array" ref="W158">_xlfn.IFS(OR(B158=0,B158="",V158=0),"",AF158&lt;&gt;"exclusion",MAX($W$9,$W$7,(-(SUMIFS(SF_Output!$T$1:$T$400,SF_Output!$AC$1:$AC$400,_xlfn.TEXTJOIN(",",TRUE,$B158:$E158),SF_Output!$Q$1:$Q$400,"monthly"))/V158)),AF158="exclusion",-(SUMIFS(SF_Output!$T$1:$T$400,SF_Output!$AC$1:$AC$400,_xlfn.TEXTJOIN(",",TRUE,$B158:$E158),SF_Output!$Q$1:$Q$400,"monthly"))/V158)</f>
        <v>0</v>
      </c>
      <c r="X158" s="6" cm="1">
        <f t="array" ref="X158">IFERROR(_xlfn.IFS(V158=0,0,V158="","",W158=0,V158,OR(V158&lt;&gt;0,V158&lt;&gt;""),H158*I158),V158*(1-W158))</f>
        <v>1000</v>
      </c>
    </row>
    <row r="159" spans="2:24" x14ac:dyDescent="0.25">
      <c r="B159" t="s">
        <v>1855</v>
      </c>
      <c r="C159" t="s">
        <v>2122</v>
      </c>
      <c r="D159" t="s">
        <v>2207</v>
      </c>
      <c r="E159" t="s">
        <v>2124</v>
      </c>
      <c r="F159" s="116" t="str">
        <f t="shared" si="8"/>
        <v>Included</v>
      </c>
      <c r="G159" t="str">
        <f>IF(B159="","",INDEX(SF_Output!$K$1:$K$400,MATCH(B159,SF_Output!$M$1:$M$400,0)))</f>
        <v>Core</v>
      </c>
      <c r="H159" cm="1">
        <f t="array" ref="H159">_xlfn.IFS(B159="","",(SUMIFS(SF_Output!$F$1:$F$400,SF_Output!$AC$1:$AC$400,_xlfn.TEXTJOIN(",",TRUE,B159:E159))+SUMIFS(SF_Output!$G$1:$G$400,SF_Output!$AC$1:$AC$400,_xlfn.TEXTJOIN(",",TRUE,B159:E159)))&lt;&gt;0,SF_Output!$Y$2,INDEX(SF_Output!$F$1:$F$400,MATCH(_xlfn.TEXTJOIN(",",TRUE,B159:E159),SF_Output!$AC$1:$AC$400,0))=0,INDEX(SF_Output!$R$1:$R$400,MATCH(_xlfn.TEXTJOIN(",",TRUE,B159:E159),SF_Output!$AC$1:$AC$400,0)))</f>
        <v>1</v>
      </c>
      <c r="I159" s="125" t="str">
        <f>IFERROR(IF(AND(H159&gt;1,H159&lt;&gt;""),ROUND(SUMIFS(SF_Output!$S$1:$S$400,SF_Output!$AC$1:$AC$400,_xlfn.TEXTJOIN(",",TRUE,B159:E159),SF_Output!$Q$1:$Q$400,"monthly")*(1-W159)/H159,4),""),"")</f>
        <v/>
      </c>
      <c r="J159" s="6">
        <f>IF(B159="","",SUMIFS(SF_Output!$S$1:$S$400,SF_Output!$AC$1:$AC$400,_xlfn.TEXTJOIN(",",TRUE,B159:E159),SF_Output!$Q$1:$Q$400,"One Time",SF_Output!$L$1:$L$400,"license fee")+SUMIFS(SF_Output!$S$1:$S$400,SF_Output!$AC$1:$AC$400,_xlfn.TEXTJOIN(",",TRUE,B159:E159),SF_Output!$Q$1:$Q$400,"One Time",SF_Output!$L$1:$L$400,"software license")+SUMIFS(SF_Output!$S$1:$S$400,SF_Output!$AC$1:$AC$400,_xlfn.TEXTJOIN(",",TRUE,B159:E159),SF_Output!$Q$1:$Q$400,"One Time",SF_Output!$L$1:$L$400,"hardware"))</f>
        <v>0</v>
      </c>
      <c r="K159" s="112" t="str">
        <f>IF(OR(B159=0,B159="",G159="hardware",J159=0),"",IF(AF159&lt;&gt;"exclusion",MAX(K$9,-((SUMIFS(SF_Output!$T$1:$T$400,SF_Output!$AC$1:$AC$400,_xlfn.TEXTJOIN(",",TRUE,$B159:$E159),SF_Output!$Q$1:$Q$400,"One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license"))/J159)),-((SUMIFS(SF_Output!$T$1:$T$400,SF_Output!$AC$1:$AC$400,_xlfn.TEXTJOIN(",",TRUE,$B159:$E159),SF_Output!$Q$1:$Q$400,"One Time",SF_Output!$L$1:$L$400,"license fee")+SUMIFS(SF_Output!$T$1:$T$400,SF_Output!$AC$1:$AC$400,_xlfn.TEXTJOIN(",",TRUE,$B159:$E159),SF_Output!$Q$1:$Q$400,"One Time",SF_Output!$L$1:$L$400,"software license"))/J159)))</f>
        <v/>
      </c>
      <c r="L159" s="6">
        <f t="shared" si="9"/>
        <v>0</v>
      </c>
      <c r="N159" s="6">
        <f>IF(B159="","",SUMIFS(SF_Output!$S$1:$S$400,SF_Output!$AC$1:$AC$400,_xlfn.TEXTJOIN(",",TRUE,B159:E159),SF_Output!$Q$1:$Q$400,"One Time",SF_Output!$L$1:$L$400,"professional service"))</f>
        <v>16625</v>
      </c>
      <c r="O159" s="112">
        <f>IF(OR(B159=0,B159="",N159=0),"",IF(AF159&lt;&gt;"exclusion",MAX(O$9,-(SUMIFS(SF_Output!$T$1:$T$400,SF_Output!$AC$1:$AC$400,_xlfn.TEXTJOIN(",",TRUE,$B159:$E159),SF_Output!$Q$1:$Q$400,"One Time",SF_Output!$L$1:$L$400,"professional service"))/N159),-((SUMIFS(SF_Output!$T$1:$T$400,SF_Output!$AC$1:$AC$400,_xlfn.TEXTJOIN(",",TRUE,$B159:$E159),SF_Output!$Q$1:$Q$400,"One Time",SF_Output!$L$1:$L$400,"professional service")/N159))))</f>
        <v>1</v>
      </c>
      <c r="P159" s="6">
        <f t="shared" si="10"/>
        <v>0</v>
      </c>
      <c r="R159" s="6">
        <f>IF(B159="","",SUMIFS(SF_Output!$S$1:$S$400,SF_Output!$AC$1:$AC$400,_xlfn.TEXTJOIN(",",TRUE,B159:E159),SF_Output!$Q$1:$Q$400,"yearly")+SUMIFS(SF_Output!$S$1:$S$400,SF_Output!$AC$1:$AC$400,_xlfn.TEXTJOIN(",",TRUE,B159:E159),SF_Output!$Q$1:$Q$400,"quarterly")*4)</f>
        <v>0</v>
      </c>
      <c r="S159" s="112" t="str">
        <f>IF(OR(B159=0,B159="",G159="hardware",R159=0),"",IF(AF159&lt;&gt;"exclusion",MAX(S$9,-(SUMIFS(SF_Output!$T$1:$T$400,SF_Output!$AC$1:$AC$400,_xlfn.TEXTJOIN(",",TRUE,$B159:$E159),SF_Output!$Q$1:$Q$400,"yearly"))/R159),-((SUMIFS(SF_Output!$T$1:$T$400,SF_Output!$AC$1:$AC$400,_xlfn.TEXTJOIN(",",TRUE,$B159:$E159),SF_Output!$Q$1:$Q$400,"yearly")/R159))))</f>
        <v/>
      </c>
      <c r="T159" s="6">
        <f t="shared" si="11"/>
        <v>0</v>
      </c>
      <c r="V159" s="6" cm="1">
        <f t="array" ref="V159">_xlfn.IFS(B159="","",AND(B159&lt;&gt;"",H159=SF_Output!$Y$2,SUMIFS(SF_Output!$T$1:$T$400,SF_Output!$AC$1:$AC$400,_xlfn.TEXTJOIN(",",TRUE,B159:E159),SF_Output!$Q$1:$Q$400,"monthly")=0),(SUMIFS(SF_Output!$F$1:$F$400,SF_Output!$AC$1:$AC$400,_xlfn.TEXTJOIN(",",TRUE,B159:E159),SF_Output!$Q$1:$Q$400,"monthly")+SUMIFS(SF_Output!$G$1:$G$400,SF_Output!$AC$1:$AC$400,_xlfn.TEXTJOIN(",",TRUE,B159:E159),SF_Output!$Q$1:$Q$400,"monthly"))*H159,AND(B159&lt;&gt;"",H159=SF_Output!$Y$2,SUMIFS(SF_Output!$T$1:$T$400,SF_Output!$AC$1:$AC$400,_xlfn.TEXTJOIN(",",TRUE,B159:E159),SF_Output!$Q$1:$Q$400,"monthly")&lt;&gt;0),SUMIFS(SF_Output!$S$1:$S$400,SF_Output!$AC$1:$AC$400,_xlfn.TEXTJOIN(",",TRUE,B159:E159),SF_Output!$Q$1:$Q$400,"monthly"),AND(B159&lt;&gt;"",H159&lt;&gt;SF_Output!$Y$2),SUMIFS(SF_Output!$S$1:$S$400,SF_Output!$AC$1:$AC$400,_xlfn.TEXTJOIN(",",TRUE,B159:E159),SF_Output!$Q$1:$Q$400,"monthly"))</f>
        <v>500</v>
      </c>
      <c r="W159" s="112" cm="1">
        <f t="array" ref="W159">_xlfn.IFS(OR(B159=0,B159="",V159=0),"",AF159&lt;&gt;"exclusion",MAX($W$9,$W$7,(-(SUMIFS(SF_Output!$T$1:$T$400,SF_Output!$AC$1:$AC$400,_xlfn.TEXTJOIN(",",TRUE,$B159:$E159),SF_Output!$Q$1:$Q$400,"monthly"))/V159)),AF159="exclusion",-(SUMIFS(SF_Output!$T$1:$T$400,SF_Output!$AC$1:$AC$400,_xlfn.TEXTJOIN(",",TRUE,$B159:$E159),SF_Output!$Q$1:$Q$400,"monthly"))/V159)</f>
        <v>0</v>
      </c>
      <c r="X159" s="6" cm="1">
        <f t="array" ref="X159">IFERROR(_xlfn.IFS(V159=0,0,V159="","",W159=0,V159,OR(V159&lt;&gt;0,V159&lt;&gt;""),H159*I159),V159*(1-W159))</f>
        <v>500</v>
      </c>
    </row>
    <row r="160" spans="2:24" x14ac:dyDescent="0.25">
      <c r="B160" t="s">
        <v>1857</v>
      </c>
      <c r="C160" t="s">
        <v>2122</v>
      </c>
      <c r="D160" t="s">
        <v>2207</v>
      </c>
      <c r="E160" t="s">
        <v>2124</v>
      </c>
      <c r="F160" s="116" t="str">
        <f t="shared" si="8"/>
        <v>Included</v>
      </c>
      <c r="G160" t="str">
        <f>IF(B160="","",INDEX(SF_Output!$K$1:$K$400,MATCH(B160,SF_Output!$M$1:$M$400,0)))</f>
        <v>Core</v>
      </c>
      <c r="H160" cm="1">
        <f t="array" ref="H160">_xlfn.IFS(B160="","",(SUMIFS(SF_Output!$F$1:$F$400,SF_Output!$AC$1:$AC$400,_xlfn.TEXTJOIN(",",TRUE,B160:E160))+SUMIFS(SF_Output!$G$1:$G$400,SF_Output!$AC$1:$AC$400,_xlfn.TEXTJOIN(",",TRUE,B160:E160)))&lt;&gt;0,SF_Output!$Y$2,INDEX(SF_Output!$F$1:$F$400,MATCH(_xlfn.TEXTJOIN(",",TRUE,B160:E160),SF_Output!$AC$1:$AC$400,0))=0,INDEX(SF_Output!$R$1:$R$400,MATCH(_xlfn.TEXTJOIN(",",TRUE,B160:E160),SF_Output!$AC$1:$AC$400,0)))</f>
        <v>1</v>
      </c>
      <c r="I160" s="125" t="str">
        <f>IFERROR(IF(AND(H160&gt;1,H160&lt;&gt;""),ROUND(SUMIFS(SF_Output!$S$1:$S$400,SF_Output!$AC$1:$AC$400,_xlfn.TEXTJOIN(",",TRUE,B160:E160),SF_Output!$Q$1:$Q$400,"monthly")*(1-W160)/H160,4),""),"")</f>
        <v/>
      </c>
      <c r="J160" s="6">
        <f>IF(B160="","",SUMIFS(SF_Output!$S$1:$S$400,SF_Output!$AC$1:$AC$400,_xlfn.TEXTJOIN(",",TRUE,B160:E160),SF_Output!$Q$1:$Q$400,"One Time",SF_Output!$L$1:$L$400,"license fee")+SUMIFS(SF_Output!$S$1:$S$400,SF_Output!$AC$1:$AC$400,_xlfn.TEXTJOIN(",",TRUE,B160:E160),SF_Output!$Q$1:$Q$400,"One Time",SF_Output!$L$1:$L$400,"software license")+SUMIFS(SF_Output!$S$1:$S$400,SF_Output!$AC$1:$AC$400,_xlfn.TEXTJOIN(",",TRUE,B160:E160),SF_Output!$Q$1:$Q$400,"One Time",SF_Output!$L$1:$L$400,"hardware"))</f>
        <v>0</v>
      </c>
      <c r="K160" s="112" t="str">
        <f>IF(OR(B160=0,B160="",G160="hardware",J160=0),"",IF(AF160&lt;&gt;"exclusion",MAX(K$9,-((SUMIFS(SF_Output!$T$1:$T$400,SF_Output!$AC$1:$AC$400,_xlfn.TEXTJOIN(",",TRUE,$B160:$E160),SF_Output!$Q$1:$Q$400,"One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license"))/J160)),-((SUMIFS(SF_Output!$T$1:$T$400,SF_Output!$AC$1:$AC$400,_xlfn.TEXTJOIN(",",TRUE,$B160:$E160),SF_Output!$Q$1:$Q$400,"One Time",SF_Output!$L$1:$L$400,"license fee")+SUMIFS(SF_Output!$T$1:$T$400,SF_Output!$AC$1:$AC$400,_xlfn.TEXTJOIN(",",TRUE,$B160:$E160),SF_Output!$Q$1:$Q$400,"One Time",SF_Output!$L$1:$L$400,"software license"))/J160)))</f>
        <v/>
      </c>
      <c r="L160" s="6">
        <f t="shared" si="9"/>
        <v>0</v>
      </c>
      <c r="N160" s="6">
        <f>IF(B160="","",SUMIFS(SF_Output!$S$1:$S$400,SF_Output!$AC$1:$AC$400,_xlfn.TEXTJOIN(",",TRUE,B160:E160),SF_Output!$Q$1:$Q$400,"One Time",SF_Output!$L$1:$L$400,"professional service"))</f>
        <v>0</v>
      </c>
      <c r="O160" s="112" t="str">
        <f>IF(OR(B160=0,B160="",N160=0),"",IF(AF160&lt;&gt;"exclusion",MAX(O$9,-(SUMIFS(SF_Output!$T$1:$T$400,SF_Output!$AC$1:$AC$400,_xlfn.TEXTJOIN(",",TRUE,$B160:$E160),SF_Output!$Q$1:$Q$400,"One Time",SF_Output!$L$1:$L$400,"professional service"))/N160),-((SUMIFS(SF_Output!$T$1:$T$400,SF_Output!$AC$1:$AC$400,_xlfn.TEXTJOIN(",",TRUE,$B160:$E160),SF_Output!$Q$1:$Q$400,"One Time",SF_Output!$L$1:$L$400,"professional service")/N160))))</f>
        <v/>
      </c>
      <c r="P160" s="6">
        <f t="shared" si="10"/>
        <v>0</v>
      </c>
      <c r="R160" s="6">
        <f>IF(B160="","",SUMIFS(SF_Output!$S$1:$S$400,SF_Output!$AC$1:$AC$400,_xlfn.TEXTJOIN(",",TRUE,B160:E160),SF_Output!$Q$1:$Q$400,"yearly")+SUMIFS(SF_Output!$S$1:$S$400,SF_Output!$AC$1:$AC$400,_xlfn.TEXTJOIN(",",TRUE,B160:E160),SF_Output!$Q$1:$Q$400,"quarterly")*4)</f>
        <v>0</v>
      </c>
      <c r="S160" s="112" t="str">
        <f>IF(OR(B160=0,B160="",G160="hardware",R160=0),"",IF(AF160&lt;&gt;"exclusion",MAX(S$9,-(SUMIFS(SF_Output!$T$1:$T$400,SF_Output!$AC$1:$AC$400,_xlfn.TEXTJOIN(",",TRUE,$B160:$E160),SF_Output!$Q$1:$Q$400,"yearly"))/R160),-((SUMIFS(SF_Output!$T$1:$T$400,SF_Output!$AC$1:$AC$400,_xlfn.TEXTJOIN(",",TRUE,$B160:$E160),SF_Output!$Q$1:$Q$400,"yearly")/R160))))</f>
        <v/>
      </c>
      <c r="T160" s="6">
        <f t="shared" si="11"/>
        <v>0</v>
      </c>
      <c r="V160" s="6" cm="1">
        <f t="array" ref="V160">_xlfn.IFS(B160="","",AND(B160&lt;&gt;"",H160=SF_Output!$Y$2,SUMIFS(SF_Output!$T$1:$T$400,SF_Output!$AC$1:$AC$400,_xlfn.TEXTJOIN(",",TRUE,B160:E160),SF_Output!$Q$1:$Q$400,"monthly")=0),(SUMIFS(SF_Output!$F$1:$F$400,SF_Output!$AC$1:$AC$400,_xlfn.TEXTJOIN(",",TRUE,B160:E160),SF_Output!$Q$1:$Q$400,"monthly")+SUMIFS(SF_Output!$G$1:$G$400,SF_Output!$AC$1:$AC$400,_xlfn.TEXTJOIN(",",TRUE,B160:E160),SF_Output!$Q$1:$Q$400,"monthly"))*H160,AND(B160&lt;&gt;"",H160=SF_Output!$Y$2,SUMIFS(SF_Output!$T$1:$T$400,SF_Output!$AC$1:$AC$400,_xlfn.TEXTJOIN(",",TRUE,B160:E160),SF_Output!$Q$1:$Q$400,"monthly")&lt;&gt;0),SUMIFS(SF_Output!$S$1:$S$400,SF_Output!$AC$1:$AC$400,_xlfn.TEXTJOIN(",",TRUE,B160:E160),SF_Output!$Q$1:$Q$400,"monthly"),AND(B160&lt;&gt;"",H160&lt;&gt;SF_Output!$Y$2),SUMIFS(SF_Output!$S$1:$S$400,SF_Output!$AC$1:$AC$400,_xlfn.TEXTJOIN(",",TRUE,B160:E160),SF_Output!$Q$1:$Q$400,"monthly"))</f>
        <v>1000</v>
      </c>
      <c r="W160" s="112" cm="1">
        <f t="array" ref="W160">_xlfn.IFS(OR(B160=0,B160="",V160=0),"",AF160&lt;&gt;"exclusion",MAX($W$9,$W$7,(-(SUMIFS(SF_Output!$T$1:$T$400,SF_Output!$AC$1:$AC$400,_xlfn.TEXTJOIN(",",TRUE,$B160:$E160),SF_Output!$Q$1:$Q$400,"monthly"))/V160)),AF160="exclusion",-(SUMIFS(SF_Output!$T$1:$T$400,SF_Output!$AC$1:$AC$400,_xlfn.TEXTJOIN(",",TRUE,$B160:$E160),SF_Output!$Q$1:$Q$400,"monthly"))/V160)</f>
        <v>0</v>
      </c>
      <c r="X160" s="6" cm="1">
        <f t="array" ref="X160">IFERROR(_xlfn.IFS(V160=0,0,V160="","",W160=0,V160,OR(V160&lt;&gt;0,V160&lt;&gt;""),H160*I160),V160*(1-W160))</f>
        <v>1000</v>
      </c>
    </row>
    <row r="161" spans="2:24" x14ac:dyDescent="0.25">
      <c r="B161" t="s">
        <v>1260</v>
      </c>
      <c r="C161" t="s">
        <v>2122</v>
      </c>
      <c r="D161" t="s">
        <v>2123</v>
      </c>
      <c r="E161" t="s">
        <v>2150</v>
      </c>
      <c r="F161" s="116" t="str">
        <f t="shared" si="8"/>
        <v>Optional</v>
      </c>
      <c r="G161" t="str">
        <f>IF(B161="","",INDEX(SF_Output!$K$1:$K$400,MATCH(B161,SF_Output!$M$1:$M$400,0)))</f>
        <v>jhaKnow</v>
      </c>
      <c r="H161" cm="1">
        <f t="array" ref="H161">_xlfn.IFS(B161="","",(SUMIFS(SF_Output!$F$1:$F$400,SF_Output!$AC$1:$AC$400,_xlfn.TEXTJOIN(",",TRUE,B161:E161))+SUMIFS(SF_Output!$G$1:$G$400,SF_Output!$AC$1:$AC$400,_xlfn.TEXTJOIN(",",TRUE,B161:E161)))&lt;&gt;0,SF_Output!$Y$2,INDEX(SF_Output!$F$1:$F$400,MATCH(_xlfn.TEXTJOIN(",",TRUE,B161:E161),SF_Output!$AC$1:$AC$400,0))=0,INDEX(SF_Output!$R$1:$R$400,MATCH(_xlfn.TEXTJOIN(",",TRUE,B161:E161),SF_Output!$AC$1:$AC$400,0)))</f>
        <v>5000</v>
      </c>
      <c r="I161" s="125">
        <f>IFERROR(IF(AND(H161&gt;1,H161&lt;&gt;""),ROUND(SUMIFS(SF_Output!$S$1:$S$400,SF_Output!$AC$1:$AC$400,_xlfn.TEXTJOIN(",",TRUE,B161:E161),SF_Output!$Q$1:$Q$400,"monthly")*(1-W161)/H161,4),""),"")</f>
        <v>0.24979999999999999</v>
      </c>
      <c r="J161" s="6">
        <f>IF(B161="","",SUMIFS(SF_Output!$S$1:$S$400,SF_Output!$AC$1:$AC$400,_xlfn.TEXTJOIN(",",TRUE,B161:E161),SF_Output!$Q$1:$Q$400,"One Time",SF_Output!$L$1:$L$400,"license fee")+SUMIFS(SF_Output!$S$1:$S$400,SF_Output!$AC$1:$AC$400,_xlfn.TEXTJOIN(",",TRUE,B161:E161),SF_Output!$Q$1:$Q$400,"One Time",SF_Output!$L$1:$L$400,"software license")+SUMIFS(SF_Output!$S$1:$S$400,SF_Output!$AC$1:$AC$400,_xlfn.TEXTJOIN(",",TRUE,B161:E161),SF_Output!$Q$1:$Q$400,"One Time",SF_Output!$L$1:$L$400,"hardware"))</f>
        <v>0</v>
      </c>
      <c r="K161" s="112" t="str">
        <f>IF(OR(B161=0,B161="",G161="hardware",J161=0),"",IF(AF161&lt;&gt;"exclusion",MAX(K$9,-((SUMIFS(SF_Output!$T$1:$T$400,SF_Output!$AC$1:$AC$400,_xlfn.TEXTJOIN(",",TRUE,$B161:$E161),SF_Output!$Q$1:$Q$400,"One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license"))/J161)),-((SUMIFS(SF_Output!$T$1:$T$400,SF_Output!$AC$1:$AC$400,_xlfn.TEXTJOIN(",",TRUE,$B161:$E161),SF_Output!$Q$1:$Q$400,"One Time",SF_Output!$L$1:$L$400,"license fee")+SUMIFS(SF_Output!$T$1:$T$400,SF_Output!$AC$1:$AC$400,_xlfn.TEXTJOIN(",",TRUE,$B161:$E161),SF_Output!$Q$1:$Q$400,"One Time",SF_Output!$L$1:$L$400,"software license"))/J161)))</f>
        <v/>
      </c>
      <c r="L161" s="6">
        <f t="shared" si="9"/>
        <v>0</v>
      </c>
      <c r="N161" s="6">
        <f>IF(B161="","",SUMIFS(SF_Output!$S$1:$S$400,SF_Output!$AC$1:$AC$400,_xlfn.TEXTJOIN(",",TRUE,B161:E161),SF_Output!$Q$1:$Q$400,"One Time",SF_Output!$L$1:$L$400,"professional service"))</f>
        <v>7500</v>
      </c>
      <c r="O161" s="112">
        <f>IF(OR(B161=0,B161="",N161=0),"",IF(AF161&lt;&gt;"exclusion",MAX(O$9,-(SUMIFS(SF_Output!$T$1:$T$400,SF_Output!$AC$1:$AC$400,_xlfn.TEXTJOIN(",",TRUE,$B161:$E161),SF_Output!$Q$1:$Q$400,"One Time",SF_Output!$L$1:$L$400,"professional service"))/N161),-((SUMIFS(SF_Output!$T$1:$T$400,SF_Output!$AC$1:$AC$400,_xlfn.TEXTJOIN(",",TRUE,$B161:$E161),SF_Output!$Q$1:$Q$400,"One Time",SF_Output!$L$1:$L$400,"professional service")/N161))))</f>
        <v>1</v>
      </c>
      <c r="P161" s="6">
        <f t="shared" si="10"/>
        <v>0</v>
      </c>
      <c r="R161" s="6">
        <f>IF(B161="","",SUMIFS(SF_Output!$S$1:$S$400,SF_Output!$AC$1:$AC$400,_xlfn.TEXTJOIN(",",TRUE,B161:E161),SF_Output!$Q$1:$Q$400,"yearly")+SUMIFS(SF_Output!$S$1:$S$400,SF_Output!$AC$1:$AC$400,_xlfn.TEXTJOIN(",",TRUE,B161:E161),SF_Output!$Q$1:$Q$400,"quarterly")*4)</f>
        <v>0</v>
      </c>
      <c r="S161" s="112" t="str">
        <f>IF(OR(B161=0,B161="",G161="hardware",R161=0),"",IF(AF161&lt;&gt;"exclusion",MAX(S$9,-(SUMIFS(SF_Output!$T$1:$T$400,SF_Output!$AC$1:$AC$400,_xlfn.TEXTJOIN(",",TRUE,$B161:$E161),SF_Output!$Q$1:$Q$400,"yearly"))/R161),-((SUMIFS(SF_Output!$T$1:$T$400,SF_Output!$AC$1:$AC$400,_xlfn.TEXTJOIN(",",TRUE,$B161:$E161),SF_Output!$Q$1:$Q$400,"yearly")/R161))))</f>
        <v/>
      </c>
      <c r="T161" s="6">
        <f t="shared" si="11"/>
        <v>0</v>
      </c>
      <c r="V161" s="6" cm="1">
        <f t="array" ref="V161">_xlfn.IFS(B161="","",AND(B161&lt;&gt;"",H161=SF_Output!$Y$2,SUMIFS(SF_Output!$T$1:$T$400,SF_Output!$AC$1:$AC$400,_xlfn.TEXTJOIN(",",TRUE,B161:E161),SF_Output!$Q$1:$Q$400,"monthly")=0),(SUMIFS(SF_Output!$F$1:$F$400,SF_Output!$AC$1:$AC$400,_xlfn.TEXTJOIN(",",TRUE,B161:E161),SF_Output!$Q$1:$Q$400,"monthly")+SUMIFS(SF_Output!$G$1:$G$400,SF_Output!$AC$1:$AC$400,_xlfn.TEXTJOIN(",",TRUE,B161:E161),SF_Output!$Q$1:$Q$400,"monthly"))*H161,AND(B161&lt;&gt;"",H161=SF_Output!$Y$2,SUMIFS(SF_Output!$T$1:$T$400,SF_Output!$AC$1:$AC$400,_xlfn.TEXTJOIN(",",TRUE,B161:E161),SF_Output!$Q$1:$Q$400,"monthly")&lt;&gt;0),SUMIFS(SF_Output!$S$1:$S$400,SF_Output!$AC$1:$AC$400,_xlfn.TEXTJOIN(",",TRUE,B161:E161),SF_Output!$Q$1:$Q$400,"monthly"),AND(B161&lt;&gt;"",H161&lt;&gt;SF_Output!$Y$2),SUMIFS(SF_Output!$S$1:$S$400,SF_Output!$AC$1:$AC$400,_xlfn.TEXTJOIN(",",TRUE,B161:E161),SF_Output!$Q$1:$Q$400,"monthly"))</f>
        <v>1665</v>
      </c>
      <c r="W161" s="112" cm="1">
        <f t="array" ref="W161">_xlfn.IFS(OR(B161=0,B161="",V161=0),"",AF161&lt;&gt;"exclusion",MAX($W$9,$W$7,(-(SUMIFS(SF_Output!$T$1:$T$400,SF_Output!$AC$1:$AC$400,_xlfn.TEXTJOIN(",",TRUE,$B161:$E161),SF_Output!$Q$1:$Q$400,"monthly"))/V161)),AF161="exclusion",-(SUMIFS(SF_Output!$T$1:$T$400,SF_Output!$AC$1:$AC$400,_xlfn.TEXTJOIN(",",TRUE,$B161:$E161),SF_Output!$Q$1:$Q$400,"monthly"))/V161)</f>
        <v>0.25</v>
      </c>
      <c r="X161" s="6" cm="1">
        <f t="array" ref="X161">IFERROR(_xlfn.IFS(V161=0,0,V161="","",W161=0,V161,OR(V161&lt;&gt;0,V161&lt;&gt;""),H161*I161),V161*(1-W161))</f>
        <v>1249</v>
      </c>
    </row>
    <row r="162" spans="2:24" x14ac:dyDescent="0.25">
      <c r="B162" t="s">
        <v>646</v>
      </c>
      <c r="C162" t="s">
        <v>2122</v>
      </c>
      <c r="D162" t="s">
        <v>2123</v>
      </c>
      <c r="E162" t="s">
        <v>2124</v>
      </c>
      <c r="F162" s="116" t="str">
        <f t="shared" si="8"/>
        <v>Included</v>
      </c>
      <c r="G162" t="str">
        <f>IF(B162="","",INDEX(SF_Output!$K$1:$K$400,MATCH(B162,SF_Output!$M$1:$M$400,0)))</f>
        <v>Cognos</v>
      </c>
      <c r="H162" cm="1">
        <f t="array" ref="H162">_xlfn.IFS(B162="","",(SUMIFS(SF_Output!$F$1:$F$400,SF_Output!$AC$1:$AC$400,_xlfn.TEXTJOIN(",",TRUE,B162:E162))+SUMIFS(SF_Output!$G$1:$G$400,SF_Output!$AC$1:$AC$400,_xlfn.TEXTJOIN(",",TRUE,B162:E162)))&lt;&gt;0,SF_Output!$Y$2,INDEX(SF_Output!$F$1:$F$400,MATCH(_xlfn.TEXTJOIN(",",TRUE,B162:E162),SF_Output!$AC$1:$AC$400,0))=0,INDEX(SF_Output!$R$1:$R$400,MATCH(_xlfn.TEXTJOIN(",",TRUE,B162:E162),SF_Output!$AC$1:$AC$400,0)))</f>
        <v>1</v>
      </c>
      <c r="I162" s="125" t="str">
        <f>IFERROR(IF(AND(H162&gt;1,H162&lt;&gt;""),ROUND(SUMIFS(SF_Output!$S$1:$S$400,SF_Output!$AC$1:$AC$400,_xlfn.TEXTJOIN(",",TRUE,B162:E162),SF_Output!$Q$1:$Q$400,"monthly")*(1-W162)/H162,4),""),"")</f>
        <v/>
      </c>
      <c r="J162" s="6">
        <f>IF(B162="","",SUMIFS(SF_Output!$S$1:$S$400,SF_Output!$AC$1:$AC$400,_xlfn.TEXTJOIN(",",TRUE,B162:E162),SF_Output!$Q$1:$Q$400,"One Time",SF_Output!$L$1:$L$400,"license fee")+SUMIFS(SF_Output!$S$1:$S$400,SF_Output!$AC$1:$AC$400,_xlfn.TEXTJOIN(",",TRUE,B162:E162),SF_Output!$Q$1:$Q$400,"One Time",SF_Output!$L$1:$L$400,"software license")+SUMIFS(SF_Output!$S$1:$S$400,SF_Output!$AC$1:$AC$400,_xlfn.TEXTJOIN(",",TRUE,B162:E162),SF_Output!$Q$1:$Q$400,"One Time",SF_Output!$L$1:$L$400,"hardware"))</f>
        <v>0</v>
      </c>
      <c r="K162" s="112" t="str">
        <f>IF(OR(B162=0,B162="",G162="hardware",J162=0),"",IF(AF162&lt;&gt;"exclusion",MAX(K$9,-((SUMIFS(SF_Output!$T$1:$T$400,SF_Output!$AC$1:$AC$400,_xlfn.TEXTJOIN(",",TRUE,$B162:$E162),SF_Output!$Q$1:$Q$400,"One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license"))/J162)),-((SUMIFS(SF_Output!$T$1:$T$400,SF_Output!$AC$1:$AC$400,_xlfn.TEXTJOIN(",",TRUE,$B162:$E162),SF_Output!$Q$1:$Q$400,"One Time",SF_Output!$L$1:$L$400,"license fee")+SUMIFS(SF_Output!$T$1:$T$400,SF_Output!$AC$1:$AC$400,_xlfn.TEXTJOIN(",",TRUE,$B162:$E162),SF_Output!$Q$1:$Q$400,"One Time",SF_Output!$L$1:$L$400,"software license"))/J162)))</f>
        <v/>
      </c>
      <c r="L162" s="6">
        <f t="shared" si="9"/>
        <v>0</v>
      </c>
      <c r="N162" s="6">
        <f>IF(B162="","",SUMIFS(SF_Output!$S$1:$S$400,SF_Output!$AC$1:$AC$400,_xlfn.TEXTJOIN(",",TRUE,B162:E162),SF_Output!$Q$1:$Q$400,"One Time",SF_Output!$L$1:$L$400,"professional service"))</f>
        <v>5500</v>
      </c>
      <c r="O162" s="112">
        <f>IF(OR(B162=0,B162="",N162=0),"",IF(AF162&lt;&gt;"exclusion",MAX(O$9,-(SUMIFS(SF_Output!$T$1:$T$400,SF_Output!$AC$1:$AC$400,_xlfn.TEXTJOIN(",",TRUE,$B162:$E162),SF_Output!$Q$1:$Q$400,"One Time",SF_Output!$L$1:$L$400,"professional service"))/N162),-((SUMIFS(SF_Output!$T$1:$T$400,SF_Output!$AC$1:$AC$400,_xlfn.TEXTJOIN(",",TRUE,$B162:$E162),SF_Output!$Q$1:$Q$400,"One Time",SF_Output!$L$1:$L$400,"professional service")/N162))))</f>
        <v>0</v>
      </c>
      <c r="P162" s="6">
        <f t="shared" si="10"/>
        <v>5500</v>
      </c>
      <c r="R162" s="6">
        <f>IF(B162="","",SUMIFS(SF_Output!$S$1:$S$400,SF_Output!$AC$1:$AC$400,_xlfn.TEXTJOIN(",",TRUE,B162:E162),SF_Output!$Q$1:$Q$400,"yearly")+SUMIFS(SF_Output!$S$1:$S$400,SF_Output!$AC$1:$AC$400,_xlfn.TEXTJOIN(",",TRUE,B162:E162),SF_Output!$Q$1:$Q$400,"quarterly")*4)</f>
        <v>0</v>
      </c>
      <c r="S162" s="112" t="str">
        <f>IF(OR(B162=0,B162="",G162="hardware",R162=0),"",IF(AF162&lt;&gt;"exclusion",MAX(S$9,-(SUMIFS(SF_Output!$T$1:$T$400,SF_Output!$AC$1:$AC$400,_xlfn.TEXTJOIN(",",TRUE,$B162:$E162),SF_Output!$Q$1:$Q$400,"yearly"))/R162),-((SUMIFS(SF_Output!$T$1:$T$400,SF_Output!$AC$1:$AC$400,_xlfn.TEXTJOIN(",",TRUE,$B162:$E162),SF_Output!$Q$1:$Q$400,"yearly")/R162))))</f>
        <v/>
      </c>
      <c r="T162" s="6">
        <f t="shared" si="11"/>
        <v>0</v>
      </c>
      <c r="V162" s="6" cm="1">
        <f t="array" ref="V162">_xlfn.IFS(B162="","",AND(B162&lt;&gt;"",H162=SF_Output!$Y$2,SUMIFS(SF_Output!$T$1:$T$400,SF_Output!$AC$1:$AC$400,_xlfn.TEXTJOIN(",",TRUE,B162:E162),SF_Output!$Q$1:$Q$400,"monthly")=0),(SUMIFS(SF_Output!$F$1:$F$400,SF_Output!$AC$1:$AC$400,_xlfn.TEXTJOIN(",",TRUE,B162:E162),SF_Output!$Q$1:$Q$400,"monthly")+SUMIFS(SF_Output!$G$1:$G$400,SF_Output!$AC$1:$AC$400,_xlfn.TEXTJOIN(",",TRUE,B162:E162),SF_Output!$Q$1:$Q$400,"monthly"))*H162,AND(B162&lt;&gt;"",H162=SF_Output!$Y$2,SUMIFS(SF_Output!$T$1:$T$400,SF_Output!$AC$1:$AC$400,_xlfn.TEXTJOIN(",",TRUE,B162:E162),SF_Output!$Q$1:$Q$400,"monthly")&lt;&gt;0),SUMIFS(SF_Output!$S$1:$S$400,SF_Output!$AC$1:$AC$400,_xlfn.TEXTJOIN(",",TRUE,B162:E162),SF_Output!$Q$1:$Q$400,"monthly"),AND(B162&lt;&gt;"",H162&lt;&gt;SF_Output!$Y$2),SUMIFS(SF_Output!$S$1:$S$400,SF_Output!$AC$1:$AC$400,_xlfn.TEXTJOIN(",",TRUE,B162:E162),SF_Output!$Q$1:$Q$400,"monthly"))</f>
        <v>665</v>
      </c>
      <c r="W162" s="112" cm="1">
        <f t="array" ref="W162">_xlfn.IFS(OR(B162=0,B162="",V162=0),"",AF162&lt;&gt;"exclusion",MAX($W$9,$W$7,(-(SUMIFS(SF_Output!$T$1:$T$400,SF_Output!$AC$1:$AC$400,_xlfn.TEXTJOIN(",",TRUE,$B162:$E162),SF_Output!$Q$1:$Q$400,"monthly"))/V162)),AF162="exclusion",-(SUMIFS(SF_Output!$T$1:$T$400,SF_Output!$AC$1:$AC$400,_xlfn.TEXTJOIN(",",TRUE,$B162:$E162),SF_Output!$Q$1:$Q$400,"monthly"))/V162)</f>
        <v>0</v>
      </c>
      <c r="X162" s="6" cm="1">
        <f t="array" ref="X162">IFERROR(_xlfn.IFS(V162=0,0,V162="","",W162=0,V162,OR(V162&lt;&gt;0,V162&lt;&gt;""),H162*I162),V162*(1-W162))</f>
        <v>665</v>
      </c>
    </row>
    <row r="163" spans="2:24" x14ac:dyDescent="0.25">
      <c r="B163" t="s">
        <v>2300</v>
      </c>
      <c r="C163" t="s">
        <v>2122</v>
      </c>
      <c r="D163" t="s">
        <v>2123</v>
      </c>
      <c r="E163" t="s">
        <v>2124</v>
      </c>
      <c r="F163" s="116" t="str">
        <f t="shared" si="8"/>
        <v>Included</v>
      </c>
      <c r="G163" t="str">
        <f>IF(B163="","",INDEX(SF_Output!$K$1:$K$400,MATCH(B163,SF_Output!$M$1:$M$400,0)))</f>
        <v>Cognos</v>
      </c>
      <c r="H163" cm="1">
        <f t="array" ref="H163">_xlfn.IFS(B163="","",(SUMIFS(SF_Output!$F$1:$F$400,SF_Output!$AC$1:$AC$400,_xlfn.TEXTJOIN(",",TRUE,B163:E163))+SUMIFS(SF_Output!$G$1:$G$400,SF_Output!$AC$1:$AC$400,_xlfn.TEXTJOIN(",",TRUE,B163:E163)))&lt;&gt;0,SF_Output!$Y$2,INDEX(SF_Output!$F$1:$F$400,MATCH(_xlfn.TEXTJOIN(",",TRUE,B163:E163),SF_Output!$AC$1:$AC$400,0))=0,INDEX(SF_Output!$R$1:$R$400,MATCH(_xlfn.TEXTJOIN(",",TRUE,B163:E163),SF_Output!$AC$1:$AC$400,0)))</f>
        <v>5000</v>
      </c>
      <c r="I163" s="125">
        <f>IFERROR(IF(AND(H163&gt;1,H163&lt;&gt;""),ROUND(SUMIFS(SF_Output!$S$1:$S$400,SF_Output!$AC$1:$AC$400,_xlfn.TEXTJOIN(",",TRUE,B163:E163),SF_Output!$Q$1:$Q$400,"monthly")*(1-W163)/H163,4),""),"")</f>
        <v>1.5800000000000002E-2</v>
      </c>
      <c r="J163" s="6">
        <f>IF(B163="","",SUMIFS(SF_Output!$S$1:$S$400,SF_Output!$AC$1:$AC$400,_xlfn.TEXTJOIN(",",TRUE,B163:E163),SF_Output!$Q$1:$Q$400,"One Time",SF_Output!$L$1:$L$400,"license fee")+SUMIFS(SF_Output!$S$1:$S$400,SF_Output!$AC$1:$AC$400,_xlfn.TEXTJOIN(",",TRUE,B163:E163),SF_Output!$Q$1:$Q$400,"One Time",SF_Output!$L$1:$L$400,"software license")+SUMIFS(SF_Output!$S$1:$S$400,SF_Output!$AC$1:$AC$400,_xlfn.TEXTJOIN(",",TRUE,B163:E163),SF_Output!$Q$1:$Q$400,"One Time",SF_Output!$L$1:$L$400,"hardware"))</f>
        <v>0</v>
      </c>
      <c r="K163" s="112" t="str">
        <f>IF(OR(B163=0,B163="",G163="hardware",J163=0),"",IF(AF163&lt;&gt;"exclusion",MAX(K$9,-((SUMIFS(SF_Output!$T$1:$T$400,SF_Output!$AC$1:$AC$400,_xlfn.TEXTJOIN(",",TRUE,$B163:$E163),SF_Output!$Q$1:$Q$400,"One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license"))/J163)),-((SUMIFS(SF_Output!$T$1:$T$400,SF_Output!$AC$1:$AC$400,_xlfn.TEXTJOIN(",",TRUE,$B163:$E163),SF_Output!$Q$1:$Q$400,"One Time",SF_Output!$L$1:$L$400,"license fee")+SUMIFS(SF_Output!$T$1:$T$400,SF_Output!$AC$1:$AC$400,_xlfn.TEXTJOIN(",",TRUE,$B163:$E163),SF_Output!$Q$1:$Q$400,"One Time",SF_Output!$L$1:$L$400,"software license"))/J163)))</f>
        <v/>
      </c>
      <c r="L163" s="6">
        <f t="shared" si="9"/>
        <v>0</v>
      </c>
      <c r="N163" s="6">
        <f>IF(B163="","",SUMIFS(SF_Output!$S$1:$S$400,SF_Output!$AC$1:$AC$400,_xlfn.TEXTJOIN(",",TRUE,B163:E163),SF_Output!$Q$1:$Q$400,"One Time",SF_Output!$L$1:$L$400,"professional service"))</f>
        <v>750</v>
      </c>
      <c r="O163" s="112">
        <f>IF(OR(B163=0,B163="",N163=0),"",IF(AF163&lt;&gt;"exclusion",MAX(O$9,-(SUMIFS(SF_Output!$T$1:$T$400,SF_Output!$AC$1:$AC$400,_xlfn.TEXTJOIN(",",TRUE,$B163:$E163),SF_Output!$Q$1:$Q$400,"One Time",SF_Output!$L$1:$L$400,"professional service"))/N163),-((SUMIFS(SF_Output!$T$1:$T$400,SF_Output!$AC$1:$AC$400,_xlfn.TEXTJOIN(",",TRUE,$B163:$E163),SF_Output!$Q$1:$Q$400,"One Time",SF_Output!$L$1:$L$400,"professional service")/N163))))</f>
        <v>1</v>
      </c>
      <c r="P163" s="6">
        <f t="shared" si="10"/>
        <v>0</v>
      </c>
      <c r="R163" s="6">
        <f>IF(B163="","",SUMIFS(SF_Output!$S$1:$S$400,SF_Output!$AC$1:$AC$400,_xlfn.TEXTJOIN(",",TRUE,B163:E163),SF_Output!$Q$1:$Q$400,"yearly")+SUMIFS(SF_Output!$S$1:$S$400,SF_Output!$AC$1:$AC$400,_xlfn.TEXTJOIN(",",TRUE,B163:E163),SF_Output!$Q$1:$Q$400,"quarterly")*4)</f>
        <v>0</v>
      </c>
      <c r="S163" s="112" t="str">
        <f>IF(OR(B163=0,B163="",G163="hardware",R163=0),"",IF(AF163&lt;&gt;"exclusion",MAX(S$9,-(SUMIFS(SF_Output!$T$1:$T$400,SF_Output!$AC$1:$AC$400,_xlfn.TEXTJOIN(",",TRUE,$B163:$E163),SF_Output!$Q$1:$Q$400,"yearly"))/R163),-((SUMIFS(SF_Output!$T$1:$T$400,SF_Output!$AC$1:$AC$400,_xlfn.TEXTJOIN(",",TRUE,$B163:$E163),SF_Output!$Q$1:$Q$400,"yearly")/R163))))</f>
        <v/>
      </c>
      <c r="T163" s="6">
        <f t="shared" si="11"/>
        <v>0</v>
      </c>
      <c r="V163" s="6" cm="1">
        <f t="array" ref="V163">_xlfn.IFS(B163="","",AND(B163&lt;&gt;"",H163=SF_Output!$Y$2,SUMIFS(SF_Output!$T$1:$T$400,SF_Output!$AC$1:$AC$400,_xlfn.TEXTJOIN(",",TRUE,B163:E163),SF_Output!$Q$1:$Q$400,"monthly")=0),(SUMIFS(SF_Output!$F$1:$F$400,SF_Output!$AC$1:$AC$400,_xlfn.TEXTJOIN(",",TRUE,B163:E163),SF_Output!$Q$1:$Q$400,"monthly")+SUMIFS(SF_Output!$G$1:$G$400,SF_Output!$AC$1:$AC$400,_xlfn.TEXTJOIN(",",TRUE,B163:E163),SF_Output!$Q$1:$Q$400,"monthly"))*H163,AND(B163&lt;&gt;"",H163=SF_Output!$Y$2,SUMIFS(SF_Output!$T$1:$T$400,SF_Output!$AC$1:$AC$400,_xlfn.TEXTJOIN(",",TRUE,B163:E163),SF_Output!$Q$1:$Q$400,"monthly")&lt;&gt;0),SUMIFS(SF_Output!$S$1:$S$400,SF_Output!$AC$1:$AC$400,_xlfn.TEXTJOIN(",",TRUE,B163:E163),SF_Output!$Q$1:$Q$400,"monthly"),AND(B163&lt;&gt;"",H163&lt;&gt;SF_Output!$Y$2),SUMIFS(SF_Output!$S$1:$S$400,SF_Output!$AC$1:$AC$400,_xlfn.TEXTJOIN(",",TRUE,B163:E163),SF_Output!$Q$1:$Q$400,"monthly"))</f>
        <v>105</v>
      </c>
      <c r="W163" s="112" cm="1">
        <f t="array" ref="W163">_xlfn.IFS(OR(B163=0,B163="",V163=0),"",AF163&lt;&gt;"exclusion",MAX($W$9,$W$7,(-(SUMIFS(SF_Output!$T$1:$T$400,SF_Output!$AC$1:$AC$400,_xlfn.TEXTJOIN(",",TRUE,$B163:$E163),SF_Output!$Q$1:$Q$400,"monthly"))/V163)),AF163="exclusion",-(SUMIFS(SF_Output!$T$1:$T$400,SF_Output!$AC$1:$AC$400,_xlfn.TEXTJOIN(",",TRUE,$B163:$E163),SF_Output!$Q$1:$Q$400,"monthly"))/V163)</f>
        <v>0.25</v>
      </c>
      <c r="X163" s="6" cm="1">
        <f t="array" ref="X163">IFERROR(_xlfn.IFS(V163=0,0,V163="","",W163=0,V163,OR(V163&lt;&gt;0,V163&lt;&gt;""),H163*I163),V163*(1-W163))</f>
        <v>79.000000000000014</v>
      </c>
    </row>
    <row r="164" spans="2:24" x14ac:dyDescent="0.25">
      <c r="B164" t="s">
        <v>2303</v>
      </c>
      <c r="C164" t="s">
        <v>2122</v>
      </c>
      <c r="D164" t="s">
        <v>2123</v>
      </c>
      <c r="E164" t="s">
        <v>2124</v>
      </c>
      <c r="F164" s="116" t="str">
        <f t="shared" si="8"/>
        <v>Included</v>
      </c>
      <c r="G164" t="str">
        <f>IF(B164="","",INDEX(SF_Output!$K$1:$K$400,MATCH(B164,SF_Output!$M$1:$M$400,0)))</f>
        <v>Cognos</v>
      </c>
      <c r="H164" cm="1">
        <f t="array" ref="H164">_xlfn.IFS(B164="","",(SUMIFS(SF_Output!$F$1:$F$400,SF_Output!$AC$1:$AC$400,_xlfn.TEXTJOIN(",",TRUE,B164:E164))+SUMIFS(SF_Output!$G$1:$G$400,SF_Output!$AC$1:$AC$400,_xlfn.TEXTJOIN(",",TRUE,B164:E164)))&lt;&gt;0,SF_Output!$Y$2,INDEX(SF_Output!$F$1:$F$400,MATCH(_xlfn.TEXTJOIN(",",TRUE,B164:E164),SF_Output!$AC$1:$AC$400,0))=0,INDEX(SF_Output!$R$1:$R$400,MATCH(_xlfn.TEXTJOIN(",",TRUE,B164:E164),SF_Output!$AC$1:$AC$400,0)))</f>
        <v>5000</v>
      </c>
      <c r="I164" s="125">
        <f>IFERROR(IF(AND(H164&gt;1,H164&lt;&gt;""),ROUND(SUMIFS(SF_Output!$S$1:$S$400,SF_Output!$AC$1:$AC$400,_xlfn.TEXTJOIN(",",TRUE,B164:E164),SF_Output!$Q$1:$Q$400,"monthly")*(1-W164)/H164,4),""),"")</f>
        <v>1.5800000000000002E-2</v>
      </c>
      <c r="J164" s="6">
        <f>IF(B164="","",SUMIFS(SF_Output!$S$1:$S$400,SF_Output!$AC$1:$AC$400,_xlfn.TEXTJOIN(",",TRUE,B164:E164),SF_Output!$Q$1:$Q$400,"One Time",SF_Output!$L$1:$L$400,"license fee")+SUMIFS(SF_Output!$S$1:$S$400,SF_Output!$AC$1:$AC$400,_xlfn.TEXTJOIN(",",TRUE,B164:E164),SF_Output!$Q$1:$Q$400,"One Time",SF_Output!$L$1:$L$400,"software license")+SUMIFS(SF_Output!$S$1:$S$400,SF_Output!$AC$1:$AC$400,_xlfn.TEXTJOIN(",",TRUE,B164:E164),SF_Output!$Q$1:$Q$400,"One Time",SF_Output!$L$1:$L$400,"hardware"))</f>
        <v>0</v>
      </c>
      <c r="K164" s="112" t="str">
        <f>IF(OR(B164=0,B164="",G164="hardware",J164=0),"",IF(AF164&lt;&gt;"exclusion",MAX(K$9,-((SUMIFS(SF_Output!$T$1:$T$400,SF_Output!$AC$1:$AC$400,_xlfn.TEXTJOIN(",",TRUE,$B164:$E164),SF_Output!$Q$1:$Q$400,"One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license"))/J164)),-((SUMIFS(SF_Output!$T$1:$T$400,SF_Output!$AC$1:$AC$400,_xlfn.TEXTJOIN(",",TRUE,$B164:$E164),SF_Output!$Q$1:$Q$400,"One Time",SF_Output!$L$1:$L$400,"license fee")+SUMIFS(SF_Output!$T$1:$T$400,SF_Output!$AC$1:$AC$400,_xlfn.TEXTJOIN(",",TRUE,$B164:$E164),SF_Output!$Q$1:$Q$400,"One Time",SF_Output!$L$1:$L$400,"software license"))/J164)))</f>
        <v/>
      </c>
      <c r="L164" s="6">
        <f t="shared" si="9"/>
        <v>0</v>
      </c>
      <c r="N164" s="6">
        <f>IF(B164="","",SUMIFS(SF_Output!$S$1:$S$400,SF_Output!$AC$1:$AC$400,_xlfn.TEXTJOIN(",",TRUE,B164:E164),SF_Output!$Q$1:$Q$400,"One Time",SF_Output!$L$1:$L$400,"professional service"))</f>
        <v>0</v>
      </c>
      <c r="O164" s="112" t="str">
        <f>IF(OR(B164=0,B164="",N164=0),"",IF(AF164&lt;&gt;"exclusion",MAX(O$9,-(SUMIFS(SF_Output!$T$1:$T$400,SF_Output!$AC$1:$AC$400,_xlfn.TEXTJOIN(",",TRUE,$B164:$E164),SF_Output!$Q$1:$Q$400,"One Time",SF_Output!$L$1:$L$400,"professional service"))/N164),-((SUMIFS(SF_Output!$T$1:$T$400,SF_Output!$AC$1:$AC$400,_xlfn.TEXTJOIN(",",TRUE,$B164:$E164),SF_Output!$Q$1:$Q$400,"One Time",SF_Output!$L$1:$L$400,"professional service")/N164))))</f>
        <v/>
      </c>
      <c r="P164" s="6">
        <f t="shared" si="10"/>
        <v>0</v>
      </c>
      <c r="R164" s="6">
        <f>IF(B164="","",SUMIFS(SF_Output!$S$1:$S$400,SF_Output!$AC$1:$AC$400,_xlfn.TEXTJOIN(",",TRUE,B164:E164),SF_Output!$Q$1:$Q$400,"yearly")+SUMIFS(SF_Output!$S$1:$S$400,SF_Output!$AC$1:$AC$400,_xlfn.TEXTJOIN(",",TRUE,B164:E164),SF_Output!$Q$1:$Q$400,"quarterly")*4)</f>
        <v>0</v>
      </c>
      <c r="S164" s="112" t="str">
        <f>IF(OR(B164=0,B164="",G164="hardware",R164=0),"",IF(AF164&lt;&gt;"exclusion",MAX(S$9,-(SUMIFS(SF_Output!$T$1:$T$400,SF_Output!$AC$1:$AC$400,_xlfn.TEXTJOIN(",",TRUE,$B164:$E164),SF_Output!$Q$1:$Q$400,"yearly"))/R164),-((SUMIFS(SF_Output!$T$1:$T$400,SF_Output!$AC$1:$AC$400,_xlfn.TEXTJOIN(",",TRUE,$B164:$E164),SF_Output!$Q$1:$Q$400,"yearly")/R164))))</f>
        <v/>
      </c>
      <c r="T164" s="6">
        <f t="shared" si="11"/>
        <v>0</v>
      </c>
      <c r="V164" s="6" cm="1">
        <f t="array" ref="V164">_xlfn.IFS(B164="","",AND(B164&lt;&gt;"",H164=SF_Output!$Y$2,SUMIFS(SF_Output!$T$1:$T$400,SF_Output!$AC$1:$AC$400,_xlfn.TEXTJOIN(",",TRUE,B164:E164),SF_Output!$Q$1:$Q$400,"monthly")=0),(SUMIFS(SF_Output!$F$1:$F$400,SF_Output!$AC$1:$AC$400,_xlfn.TEXTJOIN(",",TRUE,B164:E164),SF_Output!$Q$1:$Q$400,"monthly")+SUMIFS(SF_Output!$G$1:$G$400,SF_Output!$AC$1:$AC$400,_xlfn.TEXTJOIN(",",TRUE,B164:E164),SF_Output!$Q$1:$Q$400,"monthly"))*H164,AND(B164&lt;&gt;"",H164=SF_Output!$Y$2,SUMIFS(SF_Output!$T$1:$T$400,SF_Output!$AC$1:$AC$400,_xlfn.TEXTJOIN(",",TRUE,B164:E164),SF_Output!$Q$1:$Q$400,"monthly")&lt;&gt;0),SUMIFS(SF_Output!$S$1:$S$400,SF_Output!$AC$1:$AC$400,_xlfn.TEXTJOIN(",",TRUE,B164:E164),SF_Output!$Q$1:$Q$400,"monthly"),AND(B164&lt;&gt;"",H164&lt;&gt;SF_Output!$Y$2),SUMIFS(SF_Output!$S$1:$S$400,SF_Output!$AC$1:$AC$400,_xlfn.TEXTJOIN(",",TRUE,B164:E164),SF_Output!$Q$1:$Q$400,"monthly"))</f>
        <v>105</v>
      </c>
      <c r="W164" s="112" cm="1">
        <f t="array" ref="W164">_xlfn.IFS(OR(B164=0,B164="",V164=0),"",AF164&lt;&gt;"exclusion",MAX($W$9,$W$7,(-(SUMIFS(SF_Output!$T$1:$T$400,SF_Output!$AC$1:$AC$400,_xlfn.TEXTJOIN(",",TRUE,$B164:$E164),SF_Output!$Q$1:$Q$400,"monthly"))/V164)),AF164="exclusion",-(SUMIFS(SF_Output!$T$1:$T$400,SF_Output!$AC$1:$AC$400,_xlfn.TEXTJOIN(",",TRUE,$B164:$E164),SF_Output!$Q$1:$Q$400,"monthly"))/V164)</f>
        <v>0.25</v>
      </c>
      <c r="X164" s="6" cm="1">
        <f t="array" ref="X164">IFERROR(_xlfn.IFS(V164=0,0,V164="","",W164=0,V164,OR(V164&lt;&gt;0,V164&lt;&gt;""),H164*I164),V164*(1-W164))</f>
        <v>79.000000000000014</v>
      </c>
    </row>
    <row r="165" spans="2:24" x14ac:dyDescent="0.25">
      <c r="B165" t="s">
        <v>2304</v>
      </c>
      <c r="C165" t="s">
        <v>2122</v>
      </c>
      <c r="D165" t="s">
        <v>2123</v>
      </c>
      <c r="E165" t="s">
        <v>2124</v>
      </c>
      <c r="F165" s="116" t="str">
        <f t="shared" si="8"/>
        <v>Included</v>
      </c>
      <c r="G165" t="str">
        <f>IF(B165="","",INDEX(SF_Output!$K$1:$K$400,MATCH(B165,SF_Output!$M$1:$M$400,0)))</f>
        <v>Cognos</v>
      </c>
      <c r="H165" cm="1">
        <f t="array" ref="H165">_xlfn.IFS(B165="","",(SUMIFS(SF_Output!$F$1:$F$400,SF_Output!$AC$1:$AC$400,_xlfn.TEXTJOIN(",",TRUE,B165:E165))+SUMIFS(SF_Output!$G$1:$G$400,SF_Output!$AC$1:$AC$400,_xlfn.TEXTJOIN(",",TRUE,B165:E165)))&lt;&gt;0,SF_Output!$Y$2,INDEX(SF_Output!$F$1:$F$400,MATCH(_xlfn.TEXTJOIN(",",TRUE,B165:E165),SF_Output!$AC$1:$AC$400,0))=0,INDEX(SF_Output!$R$1:$R$400,MATCH(_xlfn.TEXTJOIN(",",TRUE,B165:E165),SF_Output!$AC$1:$AC$400,0)))</f>
        <v>5000</v>
      </c>
      <c r="I165" s="125">
        <f>IFERROR(IF(AND(H165&gt;1,H165&lt;&gt;""),ROUND(SUMIFS(SF_Output!$S$1:$S$400,SF_Output!$AC$1:$AC$400,_xlfn.TEXTJOIN(",",TRUE,B165:E165),SF_Output!$Q$1:$Q$400,"monthly")*(1-W165)/H165,4),""),"")</f>
        <v>1.5800000000000002E-2</v>
      </c>
      <c r="J165" s="6">
        <f>IF(B165="","",SUMIFS(SF_Output!$S$1:$S$400,SF_Output!$AC$1:$AC$400,_xlfn.TEXTJOIN(",",TRUE,B165:E165),SF_Output!$Q$1:$Q$400,"One Time",SF_Output!$L$1:$L$400,"license fee")+SUMIFS(SF_Output!$S$1:$S$400,SF_Output!$AC$1:$AC$400,_xlfn.TEXTJOIN(",",TRUE,B165:E165),SF_Output!$Q$1:$Q$400,"One Time",SF_Output!$L$1:$L$400,"software license")+SUMIFS(SF_Output!$S$1:$S$400,SF_Output!$AC$1:$AC$400,_xlfn.TEXTJOIN(",",TRUE,B165:E165),SF_Output!$Q$1:$Q$400,"One Time",SF_Output!$L$1:$L$400,"hardware"))</f>
        <v>0</v>
      </c>
      <c r="K165" s="112" t="str">
        <f>IF(OR(B165=0,B165="",G165="hardware",J165=0),"",IF(AF165&lt;&gt;"exclusion",MAX(K$9,-((SUMIFS(SF_Output!$T$1:$T$400,SF_Output!$AC$1:$AC$400,_xlfn.TEXTJOIN(",",TRUE,$B165:$E165),SF_Output!$Q$1:$Q$400,"One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license"))/J165)),-((SUMIFS(SF_Output!$T$1:$T$400,SF_Output!$AC$1:$AC$400,_xlfn.TEXTJOIN(",",TRUE,$B165:$E165),SF_Output!$Q$1:$Q$400,"One Time",SF_Output!$L$1:$L$400,"license fee")+SUMIFS(SF_Output!$T$1:$T$400,SF_Output!$AC$1:$AC$400,_xlfn.TEXTJOIN(",",TRUE,$B165:$E165),SF_Output!$Q$1:$Q$400,"One Time",SF_Output!$L$1:$L$400,"software license"))/J165)))</f>
        <v/>
      </c>
      <c r="L165" s="6">
        <f t="shared" si="9"/>
        <v>0</v>
      </c>
      <c r="N165" s="6">
        <f>IF(B165="","",SUMIFS(SF_Output!$S$1:$S$400,SF_Output!$AC$1:$AC$400,_xlfn.TEXTJOIN(",",TRUE,B165:E165),SF_Output!$Q$1:$Q$400,"One Time",SF_Output!$L$1:$L$400,"professional service"))</f>
        <v>1500</v>
      </c>
      <c r="O165" s="112">
        <f>IF(OR(B165=0,B165="",N165=0),"",IF(AF165&lt;&gt;"exclusion",MAX(O$9,-(SUMIFS(SF_Output!$T$1:$T$400,SF_Output!$AC$1:$AC$400,_xlfn.TEXTJOIN(",",TRUE,$B165:$E165),SF_Output!$Q$1:$Q$400,"One Time",SF_Output!$L$1:$L$400,"professional service"))/N165),-((SUMIFS(SF_Output!$T$1:$T$400,SF_Output!$AC$1:$AC$400,_xlfn.TEXTJOIN(",",TRUE,$B165:$E165),SF_Output!$Q$1:$Q$400,"One Time",SF_Output!$L$1:$L$400,"professional service")/N165))))</f>
        <v>1</v>
      </c>
      <c r="P165" s="6">
        <f t="shared" si="10"/>
        <v>0</v>
      </c>
      <c r="R165" s="6">
        <f>IF(B165="","",SUMIFS(SF_Output!$S$1:$S$400,SF_Output!$AC$1:$AC$400,_xlfn.TEXTJOIN(",",TRUE,B165:E165),SF_Output!$Q$1:$Q$400,"yearly")+SUMIFS(SF_Output!$S$1:$S$400,SF_Output!$AC$1:$AC$400,_xlfn.TEXTJOIN(",",TRUE,B165:E165),SF_Output!$Q$1:$Q$400,"quarterly")*4)</f>
        <v>0</v>
      </c>
      <c r="S165" s="112" t="str">
        <f>IF(OR(B165=0,B165="",G165="hardware",R165=0),"",IF(AF165&lt;&gt;"exclusion",MAX(S$9,-(SUMIFS(SF_Output!$T$1:$T$400,SF_Output!$AC$1:$AC$400,_xlfn.TEXTJOIN(",",TRUE,$B165:$E165),SF_Output!$Q$1:$Q$400,"yearly"))/R165),-((SUMIFS(SF_Output!$T$1:$T$400,SF_Output!$AC$1:$AC$400,_xlfn.TEXTJOIN(",",TRUE,$B165:$E165),SF_Output!$Q$1:$Q$400,"yearly")/R165))))</f>
        <v/>
      </c>
      <c r="T165" s="6">
        <f t="shared" si="11"/>
        <v>0</v>
      </c>
      <c r="V165" s="6" cm="1">
        <f t="array" ref="V165">_xlfn.IFS(B165="","",AND(B165&lt;&gt;"",H165=SF_Output!$Y$2,SUMIFS(SF_Output!$T$1:$T$400,SF_Output!$AC$1:$AC$400,_xlfn.TEXTJOIN(",",TRUE,B165:E165),SF_Output!$Q$1:$Q$400,"monthly")=0),(SUMIFS(SF_Output!$F$1:$F$400,SF_Output!$AC$1:$AC$400,_xlfn.TEXTJOIN(",",TRUE,B165:E165),SF_Output!$Q$1:$Q$400,"monthly")+SUMIFS(SF_Output!$G$1:$G$400,SF_Output!$AC$1:$AC$400,_xlfn.TEXTJOIN(",",TRUE,B165:E165),SF_Output!$Q$1:$Q$400,"monthly"))*H165,AND(B165&lt;&gt;"",H165=SF_Output!$Y$2,SUMIFS(SF_Output!$T$1:$T$400,SF_Output!$AC$1:$AC$400,_xlfn.TEXTJOIN(",",TRUE,B165:E165),SF_Output!$Q$1:$Q$400,"monthly")&lt;&gt;0),SUMIFS(SF_Output!$S$1:$S$400,SF_Output!$AC$1:$AC$400,_xlfn.TEXTJOIN(",",TRUE,B165:E165),SF_Output!$Q$1:$Q$400,"monthly"),AND(B165&lt;&gt;"",H165&lt;&gt;SF_Output!$Y$2),SUMIFS(SF_Output!$S$1:$S$400,SF_Output!$AC$1:$AC$400,_xlfn.TEXTJOIN(",",TRUE,B165:E165),SF_Output!$Q$1:$Q$400,"monthly"))</f>
        <v>105</v>
      </c>
      <c r="W165" s="112" cm="1">
        <f t="array" ref="W165">_xlfn.IFS(OR(B165=0,B165="",V165=0),"",AF165&lt;&gt;"exclusion",MAX($W$9,$W$7,(-(SUMIFS(SF_Output!$T$1:$T$400,SF_Output!$AC$1:$AC$400,_xlfn.TEXTJOIN(",",TRUE,$B165:$E165),SF_Output!$Q$1:$Q$400,"monthly"))/V165)),AF165="exclusion",-(SUMIFS(SF_Output!$T$1:$T$400,SF_Output!$AC$1:$AC$400,_xlfn.TEXTJOIN(",",TRUE,$B165:$E165),SF_Output!$Q$1:$Q$400,"monthly"))/V165)</f>
        <v>0.25</v>
      </c>
      <c r="X165" s="6" cm="1">
        <f t="array" ref="X165">IFERROR(_xlfn.IFS(V165=0,0,V165="","",W165=0,V165,OR(V165&lt;&gt;0,V165&lt;&gt;""),H165*I165),V165*(1-W165))</f>
        <v>79.000000000000014</v>
      </c>
    </row>
    <row r="166" spans="2:24" x14ac:dyDescent="0.25">
      <c r="B166" t="s">
        <v>2305</v>
      </c>
      <c r="C166" t="s">
        <v>2122</v>
      </c>
      <c r="D166" t="s">
        <v>2123</v>
      </c>
      <c r="E166" t="s">
        <v>2124</v>
      </c>
      <c r="F166" s="116" t="str">
        <f t="shared" si="8"/>
        <v>Included</v>
      </c>
      <c r="G166" t="str">
        <f>IF(B166="","",INDEX(SF_Output!$K$1:$K$400,MATCH(B166,SF_Output!$M$1:$M$400,0)))</f>
        <v>Cognos</v>
      </c>
      <c r="H166" cm="1">
        <f t="array" ref="H166">_xlfn.IFS(B166="","",(SUMIFS(SF_Output!$F$1:$F$400,SF_Output!$AC$1:$AC$400,_xlfn.TEXTJOIN(",",TRUE,B166:E166))+SUMIFS(SF_Output!$G$1:$G$400,SF_Output!$AC$1:$AC$400,_xlfn.TEXTJOIN(",",TRUE,B166:E166)))&lt;&gt;0,SF_Output!$Y$2,INDEX(SF_Output!$F$1:$F$400,MATCH(_xlfn.TEXTJOIN(",",TRUE,B166:E166),SF_Output!$AC$1:$AC$400,0))=0,INDEX(SF_Output!$R$1:$R$400,MATCH(_xlfn.TEXTJOIN(",",TRUE,B166:E166),SF_Output!$AC$1:$AC$400,0)))</f>
        <v>5000</v>
      </c>
      <c r="I166" s="125">
        <f>IFERROR(IF(AND(H166&gt;1,H166&lt;&gt;""),ROUND(SUMIFS(SF_Output!$S$1:$S$400,SF_Output!$AC$1:$AC$400,_xlfn.TEXTJOIN(",",TRUE,B166:E166),SF_Output!$Q$1:$Q$400,"monthly")*(1-W166)/H166,4),""),"")</f>
        <v>1.5800000000000002E-2</v>
      </c>
      <c r="J166" s="6">
        <f>IF(B166="","",SUMIFS(SF_Output!$S$1:$S$400,SF_Output!$AC$1:$AC$400,_xlfn.TEXTJOIN(",",TRUE,B166:E166),SF_Output!$Q$1:$Q$400,"One Time",SF_Output!$L$1:$L$400,"license fee")+SUMIFS(SF_Output!$S$1:$S$400,SF_Output!$AC$1:$AC$400,_xlfn.TEXTJOIN(",",TRUE,B166:E166),SF_Output!$Q$1:$Q$400,"One Time",SF_Output!$L$1:$L$400,"software license")+SUMIFS(SF_Output!$S$1:$S$400,SF_Output!$AC$1:$AC$400,_xlfn.TEXTJOIN(",",TRUE,B166:E166),SF_Output!$Q$1:$Q$400,"One Time",SF_Output!$L$1:$L$400,"hardware"))</f>
        <v>0</v>
      </c>
      <c r="K166" s="112" t="str">
        <f>IF(OR(B166=0,B166="",G166="hardware",J166=0),"",IF(AF166&lt;&gt;"exclusion",MAX(K$9,-((SUMIFS(SF_Output!$T$1:$T$400,SF_Output!$AC$1:$AC$400,_xlfn.TEXTJOIN(",",TRUE,$B166:$E166),SF_Output!$Q$1:$Q$400,"One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license"))/J166)),-((SUMIFS(SF_Output!$T$1:$T$400,SF_Output!$AC$1:$AC$400,_xlfn.TEXTJOIN(",",TRUE,$B166:$E166),SF_Output!$Q$1:$Q$400,"One Time",SF_Output!$L$1:$L$400,"license fee")+SUMIFS(SF_Output!$T$1:$T$400,SF_Output!$AC$1:$AC$400,_xlfn.TEXTJOIN(",",TRUE,$B166:$E166),SF_Output!$Q$1:$Q$400,"One Time",SF_Output!$L$1:$L$400,"software license"))/J166)))</f>
        <v/>
      </c>
      <c r="L166" s="6">
        <f t="shared" si="9"/>
        <v>0</v>
      </c>
      <c r="N166" s="6">
        <f>IF(B166="","",SUMIFS(SF_Output!$S$1:$S$400,SF_Output!$AC$1:$AC$400,_xlfn.TEXTJOIN(",",TRUE,B166:E166),SF_Output!$Q$1:$Q$400,"One Time",SF_Output!$L$1:$L$400,"professional service"))</f>
        <v>0</v>
      </c>
      <c r="O166" s="112" t="str">
        <f>IF(OR(B166=0,B166="",N166=0),"",IF(AF166&lt;&gt;"exclusion",MAX(O$9,-(SUMIFS(SF_Output!$T$1:$T$400,SF_Output!$AC$1:$AC$400,_xlfn.TEXTJOIN(",",TRUE,$B166:$E166),SF_Output!$Q$1:$Q$400,"One Time",SF_Output!$L$1:$L$400,"professional service"))/N166),-((SUMIFS(SF_Output!$T$1:$T$400,SF_Output!$AC$1:$AC$400,_xlfn.TEXTJOIN(",",TRUE,$B166:$E166),SF_Output!$Q$1:$Q$400,"One Time",SF_Output!$L$1:$L$400,"professional service")/N166))))</f>
        <v/>
      </c>
      <c r="P166" s="6">
        <f t="shared" si="10"/>
        <v>0</v>
      </c>
      <c r="R166" s="6">
        <f>IF(B166="","",SUMIFS(SF_Output!$S$1:$S$400,SF_Output!$AC$1:$AC$400,_xlfn.TEXTJOIN(",",TRUE,B166:E166),SF_Output!$Q$1:$Q$400,"yearly")+SUMIFS(SF_Output!$S$1:$S$400,SF_Output!$AC$1:$AC$400,_xlfn.TEXTJOIN(",",TRUE,B166:E166),SF_Output!$Q$1:$Q$400,"quarterly")*4)</f>
        <v>0</v>
      </c>
      <c r="S166" s="112" t="str">
        <f>IF(OR(B166=0,B166="",G166="hardware",R166=0),"",IF(AF166&lt;&gt;"exclusion",MAX(S$9,-(SUMIFS(SF_Output!$T$1:$T$400,SF_Output!$AC$1:$AC$400,_xlfn.TEXTJOIN(",",TRUE,$B166:$E166),SF_Output!$Q$1:$Q$400,"yearly"))/R166),-((SUMIFS(SF_Output!$T$1:$T$400,SF_Output!$AC$1:$AC$400,_xlfn.TEXTJOIN(",",TRUE,$B166:$E166),SF_Output!$Q$1:$Q$400,"yearly")/R166))))</f>
        <v/>
      </c>
      <c r="T166" s="6">
        <f t="shared" si="11"/>
        <v>0</v>
      </c>
      <c r="V166" s="6" cm="1">
        <f t="array" ref="V166">_xlfn.IFS(B166="","",AND(B166&lt;&gt;"",H166=SF_Output!$Y$2,SUMIFS(SF_Output!$T$1:$T$400,SF_Output!$AC$1:$AC$400,_xlfn.TEXTJOIN(",",TRUE,B166:E166),SF_Output!$Q$1:$Q$400,"monthly")=0),(SUMIFS(SF_Output!$F$1:$F$400,SF_Output!$AC$1:$AC$400,_xlfn.TEXTJOIN(",",TRUE,B166:E166),SF_Output!$Q$1:$Q$400,"monthly")+SUMIFS(SF_Output!$G$1:$G$400,SF_Output!$AC$1:$AC$400,_xlfn.TEXTJOIN(",",TRUE,B166:E166),SF_Output!$Q$1:$Q$400,"monthly"))*H166,AND(B166&lt;&gt;"",H166=SF_Output!$Y$2,SUMIFS(SF_Output!$T$1:$T$400,SF_Output!$AC$1:$AC$400,_xlfn.TEXTJOIN(",",TRUE,B166:E166),SF_Output!$Q$1:$Q$400,"monthly")&lt;&gt;0),SUMIFS(SF_Output!$S$1:$S$400,SF_Output!$AC$1:$AC$400,_xlfn.TEXTJOIN(",",TRUE,B166:E166),SF_Output!$Q$1:$Q$400,"monthly"),AND(B166&lt;&gt;"",H166&lt;&gt;SF_Output!$Y$2),SUMIFS(SF_Output!$S$1:$S$400,SF_Output!$AC$1:$AC$400,_xlfn.TEXTJOIN(",",TRUE,B166:E166),SF_Output!$Q$1:$Q$400,"monthly"))</f>
        <v>105</v>
      </c>
      <c r="W166" s="112" cm="1">
        <f t="array" ref="W166">_xlfn.IFS(OR(B166=0,B166="",V166=0),"",AF166&lt;&gt;"exclusion",MAX($W$9,$W$7,(-(SUMIFS(SF_Output!$T$1:$T$400,SF_Output!$AC$1:$AC$400,_xlfn.TEXTJOIN(",",TRUE,$B166:$E166),SF_Output!$Q$1:$Q$400,"monthly"))/V166)),AF166="exclusion",-(SUMIFS(SF_Output!$T$1:$T$400,SF_Output!$AC$1:$AC$400,_xlfn.TEXTJOIN(",",TRUE,$B166:$E166),SF_Output!$Q$1:$Q$400,"monthly"))/V166)</f>
        <v>0.25</v>
      </c>
      <c r="X166" s="6" cm="1">
        <f t="array" ref="X166">IFERROR(_xlfn.IFS(V166=0,0,V166="","",W166=0,V166,OR(V166&lt;&gt;0,V166&lt;&gt;""),H166*I166),V166*(1-W166))</f>
        <v>79.000000000000014</v>
      </c>
    </row>
    <row r="167" spans="2:24" x14ac:dyDescent="0.25">
      <c r="B167" t="s">
        <v>1457</v>
      </c>
      <c r="C167" t="s">
        <v>2122</v>
      </c>
      <c r="D167" t="s">
        <v>2207</v>
      </c>
      <c r="E167" t="s">
        <v>2124</v>
      </c>
      <c r="F167" s="116" t="str">
        <f t="shared" si="8"/>
        <v>Included</v>
      </c>
      <c r="G167" t="str">
        <f>IF(B167="","",INDEX(SF_Output!$K$1:$K$400,MATCH(B167,SF_Output!$M$1:$M$400,0)))</f>
        <v>ProfitStars Financial Performance</v>
      </c>
      <c r="H167" cm="1">
        <f t="array" ref="H167">_xlfn.IFS(B167="","",(SUMIFS(SF_Output!$F$1:$F$400,SF_Output!$AC$1:$AC$400,_xlfn.TEXTJOIN(",",TRUE,B167:E167))+SUMIFS(SF_Output!$G$1:$G$400,SF_Output!$AC$1:$AC$400,_xlfn.TEXTJOIN(",",TRUE,B167:E167)))&lt;&gt;0,SF_Output!$Y$2,INDEX(SF_Output!$F$1:$F$400,MATCH(_xlfn.TEXTJOIN(",",TRUE,B167:E167),SF_Output!$AC$1:$AC$400,0))=0,INDEX(SF_Output!$R$1:$R$400,MATCH(_xlfn.TEXTJOIN(",",TRUE,B167:E167),SF_Output!$AC$1:$AC$400,0)))</f>
        <v>5000</v>
      </c>
      <c r="I167" s="125">
        <f>IFERROR(IF(AND(H167&gt;1,H167&lt;&gt;""),ROUND(SUMIFS(SF_Output!$S$1:$S$400,SF_Output!$AC$1:$AC$400,_xlfn.TEXTJOIN(",",TRUE,B167:E167),SF_Output!$Q$1:$Q$400,"monthly")*(1-W167)/H167,4),""),"")</f>
        <v>2.7799999999999998E-2</v>
      </c>
      <c r="J167" s="6">
        <f>IF(B167="","",SUMIFS(SF_Output!$S$1:$S$400,SF_Output!$AC$1:$AC$400,_xlfn.TEXTJOIN(",",TRUE,B167:E167),SF_Output!$Q$1:$Q$400,"One Time",SF_Output!$L$1:$L$400,"license fee")+SUMIFS(SF_Output!$S$1:$S$400,SF_Output!$AC$1:$AC$400,_xlfn.TEXTJOIN(",",TRUE,B167:E167),SF_Output!$Q$1:$Q$400,"One Time",SF_Output!$L$1:$L$400,"software license")+SUMIFS(SF_Output!$S$1:$S$400,SF_Output!$AC$1:$AC$400,_xlfn.TEXTJOIN(",",TRUE,B167:E167),SF_Output!$Q$1:$Q$400,"One Time",SF_Output!$L$1:$L$400,"hardware"))</f>
        <v>0</v>
      </c>
      <c r="K167" s="112" t="str">
        <f>IF(OR(B167=0,B167="",G167="hardware",J167=0),"",IF(AF167&lt;&gt;"exclusion",MAX(K$9,-((SUMIFS(SF_Output!$T$1:$T$400,SF_Output!$AC$1:$AC$400,_xlfn.TEXTJOIN(",",TRUE,$B167:$E167),SF_Output!$Q$1:$Q$400,"One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license"))/J167)),-((SUMIFS(SF_Output!$T$1:$T$400,SF_Output!$AC$1:$AC$400,_xlfn.TEXTJOIN(",",TRUE,$B167:$E167),SF_Output!$Q$1:$Q$400,"One Time",SF_Output!$L$1:$L$400,"license fee")+SUMIFS(SF_Output!$T$1:$T$400,SF_Output!$AC$1:$AC$400,_xlfn.TEXTJOIN(",",TRUE,$B167:$E167),SF_Output!$Q$1:$Q$400,"One Time",SF_Output!$L$1:$L$400,"software license"))/J167)))</f>
        <v/>
      </c>
      <c r="L167" s="6">
        <f t="shared" si="9"/>
        <v>0</v>
      </c>
      <c r="N167" s="6">
        <f>IF(B167="","",SUMIFS(SF_Output!$S$1:$S$400,SF_Output!$AC$1:$AC$400,_xlfn.TEXTJOIN(",",TRUE,B167:E167),SF_Output!$Q$1:$Q$400,"One Time",SF_Output!$L$1:$L$400,"professional service"))</f>
        <v>0</v>
      </c>
      <c r="O167" s="112" t="str">
        <f>IF(OR(B167=0,B167="",N167=0),"",IF(AF167&lt;&gt;"exclusion",MAX(O$9,-(SUMIFS(SF_Output!$T$1:$T$400,SF_Output!$AC$1:$AC$400,_xlfn.TEXTJOIN(",",TRUE,$B167:$E167),SF_Output!$Q$1:$Q$400,"One Time",SF_Output!$L$1:$L$400,"professional service"))/N167),-((SUMIFS(SF_Output!$T$1:$T$400,SF_Output!$AC$1:$AC$400,_xlfn.TEXTJOIN(",",TRUE,$B167:$E167),SF_Output!$Q$1:$Q$400,"One Time",SF_Output!$L$1:$L$400,"professional service")/N167))))</f>
        <v/>
      </c>
      <c r="P167" s="6">
        <f t="shared" si="10"/>
        <v>0</v>
      </c>
      <c r="R167" s="6">
        <f>IF(B167="","",SUMIFS(SF_Output!$S$1:$S$400,SF_Output!$AC$1:$AC$400,_xlfn.TEXTJOIN(",",TRUE,B167:E167),SF_Output!$Q$1:$Q$400,"yearly")+SUMIFS(SF_Output!$S$1:$S$400,SF_Output!$AC$1:$AC$400,_xlfn.TEXTJOIN(",",TRUE,B167:E167),SF_Output!$Q$1:$Q$400,"quarterly")*4)</f>
        <v>0</v>
      </c>
      <c r="S167" s="112" t="str">
        <f>IF(OR(B167=0,B167="",G167="hardware",R167=0),"",IF(AF167&lt;&gt;"exclusion",MAX(S$9,-(SUMIFS(SF_Output!$T$1:$T$400,SF_Output!$AC$1:$AC$400,_xlfn.TEXTJOIN(",",TRUE,$B167:$E167),SF_Output!$Q$1:$Q$400,"yearly"))/R167),-((SUMIFS(SF_Output!$T$1:$T$400,SF_Output!$AC$1:$AC$400,_xlfn.TEXTJOIN(",",TRUE,$B167:$E167),SF_Output!$Q$1:$Q$400,"yearly")/R167))))</f>
        <v/>
      </c>
      <c r="T167" s="6">
        <f t="shared" si="11"/>
        <v>0</v>
      </c>
      <c r="V167" s="6" cm="1">
        <f t="array" ref="V167">_xlfn.IFS(B167="","",AND(B167&lt;&gt;"",H167=SF_Output!$Y$2,SUMIFS(SF_Output!$T$1:$T$400,SF_Output!$AC$1:$AC$400,_xlfn.TEXTJOIN(",",TRUE,B167:E167),SF_Output!$Q$1:$Q$400,"monthly")=0),(SUMIFS(SF_Output!$F$1:$F$400,SF_Output!$AC$1:$AC$400,_xlfn.TEXTJOIN(",",TRUE,B167:E167),SF_Output!$Q$1:$Q$400,"monthly")+SUMIFS(SF_Output!$G$1:$G$400,SF_Output!$AC$1:$AC$400,_xlfn.TEXTJOIN(",",TRUE,B167:E167),SF_Output!$Q$1:$Q$400,"monthly"))*H167,AND(B167&lt;&gt;"",H167=SF_Output!$Y$2,SUMIFS(SF_Output!$T$1:$T$400,SF_Output!$AC$1:$AC$400,_xlfn.TEXTJOIN(",",TRUE,B167:E167),SF_Output!$Q$1:$Q$400,"monthly")&lt;&gt;0),SUMIFS(SF_Output!$S$1:$S$400,SF_Output!$AC$1:$AC$400,_xlfn.TEXTJOIN(",",TRUE,B167:E167),SF_Output!$Q$1:$Q$400,"monthly"),AND(B167&lt;&gt;"",H167&lt;&gt;SF_Output!$Y$2),SUMIFS(SF_Output!$S$1:$S$400,SF_Output!$AC$1:$AC$400,_xlfn.TEXTJOIN(",",TRUE,B167:E167),SF_Output!$Q$1:$Q$400,"monthly"))</f>
        <v>185</v>
      </c>
      <c r="W167" s="112" cm="1">
        <f t="array" ref="W167">_xlfn.IFS(OR(B167=0,B167="",V167=0),"",AF167&lt;&gt;"exclusion",MAX($W$9,$W$7,(-(SUMIFS(SF_Output!$T$1:$T$400,SF_Output!$AC$1:$AC$400,_xlfn.TEXTJOIN(",",TRUE,$B167:$E167),SF_Output!$Q$1:$Q$400,"monthly"))/V167)),AF167="exclusion",-(SUMIFS(SF_Output!$T$1:$T$400,SF_Output!$AC$1:$AC$400,_xlfn.TEXTJOIN(",",TRUE,$B167:$E167),SF_Output!$Q$1:$Q$400,"monthly"))/V167)</f>
        <v>0.25</v>
      </c>
      <c r="X167" s="6" cm="1">
        <f t="array" ref="X167">IFERROR(_xlfn.IFS(V167=0,0,V167="","",W167=0,V167,OR(V167&lt;&gt;0,V167&lt;&gt;""),H167*I167),V167*(1-W167))</f>
        <v>139</v>
      </c>
    </row>
    <row r="168" spans="2:24" x14ac:dyDescent="0.25">
      <c r="B168" t="s">
        <v>1458</v>
      </c>
      <c r="C168" t="s">
        <v>2122</v>
      </c>
      <c r="D168" t="s">
        <v>2207</v>
      </c>
      <c r="E168" t="s">
        <v>2124</v>
      </c>
      <c r="F168" s="116" t="str">
        <f t="shared" si="8"/>
        <v>Included</v>
      </c>
      <c r="G168" t="str">
        <f>IF(B168="","",INDEX(SF_Output!$K$1:$K$400,MATCH(B168,SF_Output!$M$1:$M$400,0)))</f>
        <v>ProfitStars Financial Performance</v>
      </c>
      <c r="H168" cm="1">
        <f t="array" ref="H168">_xlfn.IFS(B168="","",(SUMIFS(SF_Output!$F$1:$F$400,SF_Output!$AC$1:$AC$400,_xlfn.TEXTJOIN(",",TRUE,B168:E168))+SUMIFS(SF_Output!$G$1:$G$400,SF_Output!$AC$1:$AC$400,_xlfn.TEXTJOIN(",",TRUE,B168:E168)))&lt;&gt;0,SF_Output!$Y$2,INDEX(SF_Output!$F$1:$F$400,MATCH(_xlfn.TEXTJOIN(",",TRUE,B168:E168),SF_Output!$AC$1:$AC$400,0))=0,INDEX(SF_Output!$R$1:$R$400,MATCH(_xlfn.TEXTJOIN(",",TRUE,B168:E168),SF_Output!$AC$1:$AC$400,0)))</f>
        <v>5000</v>
      </c>
      <c r="I168" s="125">
        <f>IFERROR(IF(AND(H168&gt;1,H168&lt;&gt;""),ROUND(SUMIFS(SF_Output!$S$1:$S$400,SF_Output!$AC$1:$AC$400,_xlfn.TEXTJOIN(",",TRUE,B168:E168),SF_Output!$Q$1:$Q$400,"monthly")*(1-W168)/H168,4),""),"")</f>
        <v>3.0800000000000001E-2</v>
      </c>
      <c r="J168" s="6">
        <f>IF(B168="","",SUMIFS(SF_Output!$S$1:$S$400,SF_Output!$AC$1:$AC$400,_xlfn.TEXTJOIN(",",TRUE,B168:E168),SF_Output!$Q$1:$Q$400,"One Time",SF_Output!$L$1:$L$400,"license fee")+SUMIFS(SF_Output!$S$1:$S$400,SF_Output!$AC$1:$AC$400,_xlfn.TEXTJOIN(",",TRUE,B168:E168),SF_Output!$Q$1:$Q$400,"One Time",SF_Output!$L$1:$L$400,"software license")+SUMIFS(SF_Output!$S$1:$S$400,SF_Output!$AC$1:$AC$400,_xlfn.TEXTJOIN(",",TRUE,B168:E168),SF_Output!$Q$1:$Q$400,"One Time",SF_Output!$L$1:$L$400,"hardware"))</f>
        <v>0</v>
      </c>
      <c r="K168" s="112" t="str">
        <f>IF(OR(B168=0,B168="",G168="hardware",J168=0),"",IF(AF168&lt;&gt;"exclusion",MAX(K$9,-((SUMIFS(SF_Output!$T$1:$T$400,SF_Output!$AC$1:$AC$400,_xlfn.TEXTJOIN(",",TRUE,$B168:$E168),SF_Output!$Q$1:$Q$400,"One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license"))/J168)),-((SUMIFS(SF_Output!$T$1:$T$400,SF_Output!$AC$1:$AC$400,_xlfn.TEXTJOIN(",",TRUE,$B168:$E168),SF_Output!$Q$1:$Q$400,"One Time",SF_Output!$L$1:$L$400,"license fee")+SUMIFS(SF_Output!$T$1:$T$400,SF_Output!$AC$1:$AC$400,_xlfn.TEXTJOIN(",",TRUE,$B168:$E168),SF_Output!$Q$1:$Q$400,"One Time",SF_Output!$L$1:$L$400,"software license"))/J168)))</f>
        <v/>
      </c>
      <c r="L168" s="6">
        <f t="shared" si="9"/>
        <v>0</v>
      </c>
      <c r="N168" s="6">
        <f>IF(B168="","",SUMIFS(SF_Output!$S$1:$S$400,SF_Output!$AC$1:$AC$400,_xlfn.TEXTJOIN(",",TRUE,B168:E168),SF_Output!$Q$1:$Q$400,"One Time",SF_Output!$L$1:$L$400,"professional service"))</f>
        <v>4000</v>
      </c>
      <c r="O168" s="112">
        <f>IF(OR(B168=0,B168="",N168=0),"",IF(AF168&lt;&gt;"exclusion",MAX(O$9,-(SUMIFS(SF_Output!$T$1:$T$400,SF_Output!$AC$1:$AC$400,_xlfn.TEXTJOIN(",",TRUE,$B168:$E168),SF_Output!$Q$1:$Q$400,"One Time",SF_Output!$L$1:$L$400,"professional service"))/N168),-((SUMIFS(SF_Output!$T$1:$T$400,SF_Output!$AC$1:$AC$400,_xlfn.TEXTJOIN(",",TRUE,$B168:$E168),SF_Output!$Q$1:$Q$400,"One Time",SF_Output!$L$1:$L$400,"professional service")/N168))))</f>
        <v>1</v>
      </c>
      <c r="P168" s="6">
        <f t="shared" si="10"/>
        <v>0</v>
      </c>
      <c r="R168" s="6">
        <f>IF(B168="","",SUMIFS(SF_Output!$S$1:$S$400,SF_Output!$AC$1:$AC$400,_xlfn.TEXTJOIN(",",TRUE,B168:E168),SF_Output!$Q$1:$Q$400,"yearly")+SUMIFS(SF_Output!$S$1:$S$400,SF_Output!$AC$1:$AC$400,_xlfn.TEXTJOIN(",",TRUE,B168:E168),SF_Output!$Q$1:$Q$400,"quarterly")*4)</f>
        <v>0</v>
      </c>
      <c r="S168" s="112" t="str">
        <f>IF(OR(B168=0,B168="",G168="hardware",R168=0),"",IF(AF168&lt;&gt;"exclusion",MAX(S$9,-(SUMIFS(SF_Output!$T$1:$T$400,SF_Output!$AC$1:$AC$400,_xlfn.TEXTJOIN(",",TRUE,$B168:$E168),SF_Output!$Q$1:$Q$400,"yearly"))/R168),-((SUMIFS(SF_Output!$T$1:$T$400,SF_Output!$AC$1:$AC$400,_xlfn.TEXTJOIN(",",TRUE,$B168:$E168),SF_Output!$Q$1:$Q$400,"yearly")/R168))))</f>
        <v/>
      </c>
      <c r="T168" s="6">
        <f t="shared" si="11"/>
        <v>0</v>
      </c>
      <c r="V168" s="6" cm="1">
        <f t="array" ref="V168">_xlfn.IFS(B168="","",AND(B168&lt;&gt;"",H168=SF_Output!$Y$2,SUMIFS(SF_Output!$T$1:$T$400,SF_Output!$AC$1:$AC$400,_xlfn.TEXTJOIN(",",TRUE,B168:E168),SF_Output!$Q$1:$Q$400,"monthly")=0),(SUMIFS(SF_Output!$F$1:$F$400,SF_Output!$AC$1:$AC$400,_xlfn.TEXTJOIN(",",TRUE,B168:E168),SF_Output!$Q$1:$Q$400,"monthly")+SUMIFS(SF_Output!$G$1:$G$400,SF_Output!$AC$1:$AC$400,_xlfn.TEXTJOIN(",",TRUE,B168:E168),SF_Output!$Q$1:$Q$400,"monthly"))*H168,AND(B168&lt;&gt;"",H168=SF_Output!$Y$2,SUMIFS(SF_Output!$T$1:$T$400,SF_Output!$AC$1:$AC$400,_xlfn.TEXTJOIN(",",TRUE,B168:E168),SF_Output!$Q$1:$Q$400,"monthly")&lt;&gt;0),SUMIFS(SF_Output!$S$1:$S$400,SF_Output!$AC$1:$AC$400,_xlfn.TEXTJOIN(",",TRUE,B168:E168),SF_Output!$Q$1:$Q$400,"monthly"),AND(B168&lt;&gt;"",H168&lt;&gt;SF_Output!$Y$2),SUMIFS(SF_Output!$S$1:$S$400,SF_Output!$AC$1:$AC$400,_xlfn.TEXTJOIN(",",TRUE,B168:E168),SF_Output!$Q$1:$Q$400,"monthly"))</f>
        <v>205</v>
      </c>
      <c r="W168" s="112" cm="1">
        <f t="array" ref="W168">_xlfn.IFS(OR(B168=0,B168="",V168=0),"",AF168&lt;&gt;"exclusion",MAX($W$9,$W$7,(-(SUMIFS(SF_Output!$T$1:$T$400,SF_Output!$AC$1:$AC$400,_xlfn.TEXTJOIN(",",TRUE,$B168:$E168),SF_Output!$Q$1:$Q$400,"monthly"))/V168)),AF168="exclusion",-(SUMIFS(SF_Output!$T$1:$T$400,SF_Output!$AC$1:$AC$400,_xlfn.TEXTJOIN(",",TRUE,$B168:$E168),SF_Output!$Q$1:$Q$400,"monthly"))/V168)</f>
        <v>0.25</v>
      </c>
      <c r="X168" s="6" cm="1">
        <f t="array" ref="X168">IFERROR(_xlfn.IFS(V168=0,0,V168="","",W168=0,V168,OR(V168&lt;&gt;0,V168&lt;&gt;""),H168*I168),V168*(1-W168))</f>
        <v>154</v>
      </c>
    </row>
    <row r="169" spans="2:24" x14ac:dyDescent="0.25">
      <c r="B169" t="s">
        <v>2337</v>
      </c>
      <c r="C169" t="s">
        <v>2122</v>
      </c>
      <c r="D169" t="s">
        <v>2123</v>
      </c>
      <c r="E169" t="s">
        <v>2124</v>
      </c>
      <c r="F169" s="116" t="str">
        <f t="shared" si="8"/>
        <v>Included</v>
      </c>
      <c r="G169" t="str">
        <f>IF(B169="","",INDEX(SF_Output!$K$1:$K$400,MATCH(B169,SF_Output!$M$1:$M$400,0)))</f>
        <v>ProfitStars Financial Performance</v>
      </c>
      <c r="H169" cm="1">
        <f t="array" ref="H169">_xlfn.IFS(B169="","",(SUMIFS(SF_Output!$F$1:$F$400,SF_Output!$AC$1:$AC$400,_xlfn.TEXTJOIN(",",TRUE,B169:E169))+SUMIFS(SF_Output!$G$1:$G$400,SF_Output!$AC$1:$AC$400,_xlfn.TEXTJOIN(",",TRUE,B169:E169)))&lt;&gt;0,SF_Output!$Y$2,INDEX(SF_Output!$F$1:$F$400,MATCH(_xlfn.TEXTJOIN(",",TRUE,B169:E169),SF_Output!$AC$1:$AC$400,0))=0,INDEX(SF_Output!$R$1:$R$400,MATCH(_xlfn.TEXTJOIN(",",TRUE,B169:E169),SF_Output!$AC$1:$AC$400,0)))</f>
        <v>1</v>
      </c>
      <c r="I169" s="125" t="str">
        <f>IFERROR(IF(AND(H169&gt;1,H169&lt;&gt;""),ROUND(SUMIFS(SF_Output!$S$1:$S$400,SF_Output!$AC$1:$AC$400,_xlfn.TEXTJOIN(",",TRUE,B169:E169),SF_Output!$Q$1:$Q$400,"monthly")*(1-W169)/H169,4),""),"")</f>
        <v/>
      </c>
      <c r="J169" s="6">
        <f>IF(B169="","",SUMIFS(SF_Output!$S$1:$S$400,SF_Output!$AC$1:$AC$400,_xlfn.TEXTJOIN(",",TRUE,B169:E169),SF_Output!$Q$1:$Q$400,"One Time",SF_Output!$L$1:$L$400,"license fee")+SUMIFS(SF_Output!$S$1:$S$400,SF_Output!$AC$1:$AC$400,_xlfn.TEXTJOIN(",",TRUE,B169:E169),SF_Output!$Q$1:$Q$400,"One Time",SF_Output!$L$1:$L$400,"software license")+SUMIFS(SF_Output!$S$1:$S$400,SF_Output!$AC$1:$AC$400,_xlfn.TEXTJOIN(",",TRUE,B169:E169),SF_Output!$Q$1:$Q$400,"One Time",SF_Output!$L$1:$L$400,"hardware"))</f>
        <v>0</v>
      </c>
      <c r="K169" s="112" t="str">
        <f>IF(OR(B169=0,B169="",G169="hardware",J169=0),"",IF(AF169&lt;&gt;"exclusion",MAX(K$9,-((SUMIFS(SF_Output!$T$1:$T$400,SF_Output!$AC$1:$AC$400,_xlfn.TEXTJOIN(",",TRUE,$B169:$E169),SF_Output!$Q$1:$Q$400,"One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license"))/J169)),-((SUMIFS(SF_Output!$T$1:$T$400,SF_Output!$AC$1:$AC$400,_xlfn.TEXTJOIN(",",TRUE,$B169:$E169),SF_Output!$Q$1:$Q$400,"One Time",SF_Output!$L$1:$L$400,"license fee")+SUMIFS(SF_Output!$T$1:$T$400,SF_Output!$AC$1:$AC$400,_xlfn.TEXTJOIN(",",TRUE,$B169:$E169),SF_Output!$Q$1:$Q$400,"One Time",SF_Output!$L$1:$L$400,"software license"))/J169)))</f>
        <v/>
      </c>
      <c r="L169" s="6">
        <f t="shared" si="9"/>
        <v>0</v>
      </c>
      <c r="N169" s="6">
        <f>IF(B169="","",SUMIFS(SF_Output!$S$1:$S$400,SF_Output!$AC$1:$AC$400,_xlfn.TEXTJOIN(",",TRUE,B169:E169),SF_Output!$Q$1:$Q$400,"One Time",SF_Output!$L$1:$L$400,"professional service"))</f>
        <v>3200</v>
      </c>
      <c r="O169" s="112">
        <f>IF(OR(B169=0,B169="",N169=0),"",IF(AF169&lt;&gt;"exclusion",MAX(O$9,-(SUMIFS(SF_Output!$T$1:$T$400,SF_Output!$AC$1:$AC$400,_xlfn.TEXTJOIN(",",TRUE,$B169:$E169),SF_Output!$Q$1:$Q$400,"One Time",SF_Output!$L$1:$L$400,"professional service"))/N169),-((SUMIFS(SF_Output!$T$1:$T$400,SF_Output!$AC$1:$AC$400,_xlfn.TEXTJOIN(",",TRUE,$B169:$E169),SF_Output!$Q$1:$Q$400,"One Time",SF_Output!$L$1:$L$400,"professional service")/N169))))</f>
        <v>1</v>
      </c>
      <c r="P169" s="6">
        <f t="shared" si="10"/>
        <v>0</v>
      </c>
      <c r="R169" s="6">
        <f>IF(B169="","",SUMIFS(SF_Output!$S$1:$S$400,SF_Output!$AC$1:$AC$400,_xlfn.TEXTJOIN(",",TRUE,B169:E169),SF_Output!$Q$1:$Q$400,"yearly")+SUMIFS(SF_Output!$S$1:$S$400,SF_Output!$AC$1:$AC$400,_xlfn.TEXTJOIN(",",TRUE,B169:E169),SF_Output!$Q$1:$Q$400,"quarterly")*4)</f>
        <v>4940</v>
      </c>
      <c r="S169" s="112">
        <f>IF(OR(B169=0,B169="",G169="hardware",R169=0),"",IF(AF169&lt;&gt;"exclusion",MAX(S$9,-(SUMIFS(SF_Output!$T$1:$T$400,SF_Output!$AC$1:$AC$400,_xlfn.TEXTJOIN(",",TRUE,$B169:$E169),SF_Output!$Q$1:$Q$400,"yearly"))/R169),-((SUMIFS(SF_Output!$T$1:$T$400,SF_Output!$AC$1:$AC$400,_xlfn.TEXTJOIN(",",TRUE,$B169:$E169),SF_Output!$Q$1:$Q$400,"yearly")/R169))))</f>
        <v>0</v>
      </c>
      <c r="T169" s="6">
        <f t="shared" si="11"/>
        <v>4940</v>
      </c>
      <c r="V169" s="6" cm="1">
        <f t="array" ref="V169">_xlfn.IFS(B169="","",AND(B169&lt;&gt;"",H169=SF_Output!$Y$2,SUMIFS(SF_Output!$T$1:$T$400,SF_Output!$AC$1:$AC$400,_xlfn.TEXTJOIN(",",TRUE,B169:E169),SF_Output!$Q$1:$Q$400,"monthly")=0),(SUMIFS(SF_Output!$F$1:$F$400,SF_Output!$AC$1:$AC$400,_xlfn.TEXTJOIN(",",TRUE,B169:E169),SF_Output!$Q$1:$Q$400,"monthly")+SUMIFS(SF_Output!$G$1:$G$400,SF_Output!$AC$1:$AC$400,_xlfn.TEXTJOIN(",",TRUE,B169:E169),SF_Output!$Q$1:$Q$400,"monthly"))*H169,AND(B169&lt;&gt;"",H169=SF_Output!$Y$2,SUMIFS(SF_Output!$T$1:$T$400,SF_Output!$AC$1:$AC$400,_xlfn.TEXTJOIN(",",TRUE,B169:E169),SF_Output!$Q$1:$Q$400,"monthly")&lt;&gt;0),SUMIFS(SF_Output!$S$1:$S$400,SF_Output!$AC$1:$AC$400,_xlfn.TEXTJOIN(",",TRUE,B169:E169),SF_Output!$Q$1:$Q$400,"monthly"),AND(B169&lt;&gt;"",H169&lt;&gt;SF_Output!$Y$2),SUMIFS(SF_Output!$S$1:$S$400,SF_Output!$AC$1:$AC$400,_xlfn.TEXTJOIN(",",TRUE,B169:E169),SF_Output!$Q$1:$Q$400,"monthly"))</f>
        <v>0</v>
      </c>
      <c r="W169" s="112" t="str" cm="1">
        <f t="array" ref="W169">_xlfn.IFS(OR(B169=0,B169="",V169=0),"",AF169&lt;&gt;"exclusion",MAX($W$9,$W$7,(-(SUMIFS(SF_Output!$T$1:$T$400,SF_Output!$AC$1:$AC$400,_xlfn.TEXTJOIN(",",TRUE,$B169:$E169),SF_Output!$Q$1:$Q$400,"monthly"))/V169)),AF169="exclusion",-(SUMIFS(SF_Output!$T$1:$T$400,SF_Output!$AC$1:$AC$400,_xlfn.TEXTJOIN(",",TRUE,$B169:$E169),SF_Output!$Q$1:$Q$400,"monthly"))/V169)</f>
        <v/>
      </c>
      <c r="X169" s="6" cm="1">
        <f t="array" ref="X169">IFERROR(_xlfn.IFS(V169=0,0,V169="","",W169=0,V169,OR(V169&lt;&gt;0,V169&lt;&gt;""),H169*I169),V169*(1-W169))</f>
        <v>0</v>
      </c>
    </row>
    <row r="170" spans="2:24" x14ac:dyDescent="0.25">
      <c r="B170" t="s">
        <v>1434</v>
      </c>
      <c r="C170" t="s">
        <v>2122</v>
      </c>
      <c r="D170" t="s">
        <v>2123</v>
      </c>
      <c r="E170" t="s">
        <v>2124</v>
      </c>
      <c r="F170" s="116" t="str">
        <f t="shared" si="8"/>
        <v>Included</v>
      </c>
      <c r="G170" t="str">
        <f>IF(B170="","",INDEX(SF_Output!$K$1:$K$400,MATCH(B170,SF_Output!$M$1:$M$400,0)))</f>
        <v>SilverLake</v>
      </c>
      <c r="H170" cm="1">
        <f t="array" ref="H170">_xlfn.IFS(B170="","",(SUMIFS(SF_Output!$F$1:$F$400,SF_Output!$AC$1:$AC$400,_xlfn.TEXTJOIN(",",TRUE,B170:E170))+SUMIFS(SF_Output!$G$1:$G$400,SF_Output!$AC$1:$AC$400,_xlfn.TEXTJOIN(",",TRUE,B170:E170)))&lt;&gt;0,SF_Output!$Y$2,INDEX(SF_Output!$F$1:$F$400,MATCH(_xlfn.TEXTJOIN(",",TRUE,B170:E170),SF_Output!$AC$1:$AC$400,0))=0,INDEX(SF_Output!$R$1:$R$400,MATCH(_xlfn.TEXTJOIN(",",TRUE,B170:E170),SF_Output!$AC$1:$AC$400,0)))</f>
        <v>1</v>
      </c>
      <c r="I170" s="125" t="str">
        <f>IFERROR(IF(AND(H170&gt;1,H170&lt;&gt;""),ROUND(SUMIFS(SF_Output!$S$1:$S$400,SF_Output!$AC$1:$AC$400,_xlfn.TEXTJOIN(",",TRUE,B170:E170),SF_Output!$Q$1:$Q$400,"monthly")*(1-W170)/H170,4),""),"")</f>
        <v/>
      </c>
      <c r="J170" s="6">
        <f>IF(B170="","",SUMIFS(SF_Output!$S$1:$S$400,SF_Output!$AC$1:$AC$400,_xlfn.TEXTJOIN(",",TRUE,B170:E170),SF_Output!$Q$1:$Q$400,"One Time",SF_Output!$L$1:$L$400,"license fee")+SUMIFS(SF_Output!$S$1:$S$400,SF_Output!$AC$1:$AC$400,_xlfn.TEXTJOIN(",",TRUE,B170:E170),SF_Output!$Q$1:$Q$400,"One Time",SF_Output!$L$1:$L$400,"software license")+SUMIFS(SF_Output!$S$1:$S$400,SF_Output!$AC$1:$AC$400,_xlfn.TEXTJOIN(",",TRUE,B170:E170),SF_Output!$Q$1:$Q$400,"One Time",SF_Output!$L$1:$L$400,"hardware"))</f>
        <v>0</v>
      </c>
      <c r="K170" s="112" t="str">
        <f>IF(OR(B170=0,B170="",G170="hardware",J170=0),"",IF(AF170&lt;&gt;"exclusion",MAX(K$9,-((SUMIFS(SF_Output!$T$1:$T$400,SF_Output!$AC$1:$AC$400,_xlfn.TEXTJOIN(",",TRUE,$B170:$E170),SF_Output!$Q$1:$Q$400,"One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license"))/J170)),-((SUMIFS(SF_Output!$T$1:$T$400,SF_Output!$AC$1:$AC$400,_xlfn.TEXTJOIN(",",TRUE,$B170:$E170),SF_Output!$Q$1:$Q$400,"One Time",SF_Output!$L$1:$L$400,"license fee")+SUMIFS(SF_Output!$T$1:$T$400,SF_Output!$AC$1:$AC$400,_xlfn.TEXTJOIN(",",TRUE,$B170:$E170),SF_Output!$Q$1:$Q$400,"One Time",SF_Output!$L$1:$L$400,"software license"))/J170)))</f>
        <v/>
      </c>
      <c r="L170" s="6">
        <f t="shared" si="9"/>
        <v>0</v>
      </c>
      <c r="N170" s="6">
        <f>IF(B170="","",SUMIFS(SF_Output!$S$1:$S$400,SF_Output!$AC$1:$AC$400,_xlfn.TEXTJOIN(",",TRUE,B170:E170),SF_Output!$Q$1:$Q$400,"One Time",SF_Output!$L$1:$L$400,"professional service"))</f>
        <v>30000</v>
      </c>
      <c r="O170" s="112">
        <f>IF(OR(B170=0,B170="",N170=0),"",IF(AF170&lt;&gt;"exclusion",MAX(O$9,-(SUMIFS(SF_Output!$T$1:$T$400,SF_Output!$AC$1:$AC$400,_xlfn.TEXTJOIN(",",TRUE,$B170:$E170),SF_Output!$Q$1:$Q$400,"One Time",SF_Output!$L$1:$L$400,"professional service"))/N170),-((SUMIFS(SF_Output!$T$1:$T$400,SF_Output!$AC$1:$AC$400,_xlfn.TEXTJOIN(",",TRUE,$B170:$E170),SF_Output!$Q$1:$Q$400,"One Time",SF_Output!$L$1:$L$400,"professional service")/N170))))</f>
        <v>0</v>
      </c>
      <c r="P170" s="6">
        <f t="shared" si="10"/>
        <v>30000</v>
      </c>
      <c r="R170" s="6">
        <f>IF(B170="","",SUMIFS(SF_Output!$S$1:$S$400,SF_Output!$AC$1:$AC$400,_xlfn.TEXTJOIN(",",TRUE,B170:E170),SF_Output!$Q$1:$Q$400,"yearly")+SUMIFS(SF_Output!$S$1:$S$400,SF_Output!$AC$1:$AC$400,_xlfn.TEXTJOIN(",",TRUE,B170:E170),SF_Output!$Q$1:$Q$400,"quarterly")*4)</f>
        <v>0</v>
      </c>
      <c r="S170" s="112" t="str">
        <f>IF(OR(B170=0,B170="",G170="hardware",R170=0),"",IF(AF170&lt;&gt;"exclusion",MAX(S$9,-(SUMIFS(SF_Output!$T$1:$T$400,SF_Output!$AC$1:$AC$400,_xlfn.TEXTJOIN(",",TRUE,$B170:$E170),SF_Output!$Q$1:$Q$400,"yearly"))/R170),-((SUMIFS(SF_Output!$T$1:$T$400,SF_Output!$AC$1:$AC$400,_xlfn.TEXTJOIN(",",TRUE,$B170:$E170),SF_Output!$Q$1:$Q$400,"yearly")/R170))))</f>
        <v/>
      </c>
      <c r="T170" s="6">
        <f t="shared" si="11"/>
        <v>0</v>
      </c>
      <c r="V170" s="6" cm="1">
        <f t="array" ref="V170">_xlfn.IFS(B170="","",AND(B170&lt;&gt;"",H170=SF_Output!$Y$2,SUMIFS(SF_Output!$T$1:$T$400,SF_Output!$AC$1:$AC$400,_xlfn.TEXTJOIN(",",TRUE,B170:E170),SF_Output!$Q$1:$Q$400,"monthly")=0),(SUMIFS(SF_Output!$F$1:$F$400,SF_Output!$AC$1:$AC$400,_xlfn.TEXTJOIN(",",TRUE,B170:E170),SF_Output!$Q$1:$Q$400,"monthly")+SUMIFS(SF_Output!$G$1:$G$400,SF_Output!$AC$1:$AC$400,_xlfn.TEXTJOIN(",",TRUE,B170:E170),SF_Output!$Q$1:$Q$400,"monthly"))*H170,AND(B170&lt;&gt;"",H170=SF_Output!$Y$2,SUMIFS(SF_Output!$T$1:$T$400,SF_Output!$AC$1:$AC$400,_xlfn.TEXTJOIN(",",TRUE,B170:E170),SF_Output!$Q$1:$Q$400,"monthly")&lt;&gt;0),SUMIFS(SF_Output!$S$1:$S$400,SF_Output!$AC$1:$AC$400,_xlfn.TEXTJOIN(",",TRUE,B170:E170),SF_Output!$Q$1:$Q$400,"monthly"),AND(B170&lt;&gt;"",H170&lt;&gt;SF_Output!$Y$2),SUMIFS(SF_Output!$S$1:$S$400,SF_Output!$AC$1:$AC$400,_xlfn.TEXTJOIN(",",TRUE,B170:E170),SF_Output!$Q$1:$Q$400,"monthly"))</f>
        <v>0</v>
      </c>
      <c r="W170" s="112" t="str" cm="1">
        <f t="array" ref="W170">_xlfn.IFS(OR(B170=0,B170="",V170=0),"",AF170&lt;&gt;"exclusion",MAX($W$9,$W$7,(-(SUMIFS(SF_Output!$T$1:$T$400,SF_Output!$AC$1:$AC$400,_xlfn.TEXTJOIN(",",TRUE,$B170:$E170),SF_Output!$Q$1:$Q$400,"monthly"))/V170)),AF170="exclusion",-(SUMIFS(SF_Output!$T$1:$T$400,SF_Output!$AC$1:$AC$400,_xlfn.TEXTJOIN(",",TRUE,$B170:$E170),SF_Output!$Q$1:$Q$400,"monthly"))/V170)</f>
        <v/>
      </c>
      <c r="X170" s="6" cm="1">
        <f t="array" ref="X170">IFERROR(_xlfn.IFS(V170=0,0,V170="","",W170=0,V170,OR(V170&lt;&gt;0,V170&lt;&gt;""),H170*I170),V170*(1-W170))</f>
        <v>0</v>
      </c>
    </row>
    <row r="171" spans="2:24" x14ac:dyDescent="0.25">
      <c r="B171" t="s">
        <v>2147</v>
      </c>
      <c r="C171" t="s">
        <v>2122</v>
      </c>
      <c r="D171" t="s">
        <v>2123</v>
      </c>
      <c r="E171" t="s">
        <v>2124</v>
      </c>
      <c r="F171" s="116" t="str">
        <f t="shared" si="8"/>
        <v>Included</v>
      </c>
      <c r="G171" t="str">
        <f>IF(B171="","",INDEX(SF_Output!$K$1:$K$400,MATCH(B171,SF_Output!$M$1:$M$400,0)))</f>
        <v>SilverLake</v>
      </c>
      <c r="H171" cm="1">
        <f t="array" ref="H171">_xlfn.IFS(B171="","",(SUMIFS(SF_Output!$F$1:$F$400,SF_Output!$AC$1:$AC$400,_xlfn.TEXTJOIN(",",TRUE,B171:E171))+SUMIFS(SF_Output!$G$1:$G$400,SF_Output!$AC$1:$AC$400,_xlfn.TEXTJOIN(",",TRUE,B171:E171)))&lt;&gt;0,SF_Output!$Y$2,INDEX(SF_Output!$F$1:$F$400,MATCH(_xlfn.TEXTJOIN(",",TRUE,B171:E171),SF_Output!$AC$1:$AC$400,0))=0,INDEX(SF_Output!$R$1:$R$400,MATCH(_xlfn.TEXTJOIN(",",TRUE,B171:E171),SF_Output!$AC$1:$AC$400,0)))</f>
        <v>1</v>
      </c>
      <c r="I171" s="125" t="str">
        <f>IFERROR(IF(AND(H171&gt;1,H171&lt;&gt;""),ROUND(SUMIFS(SF_Output!$S$1:$S$400,SF_Output!$AC$1:$AC$400,_xlfn.TEXTJOIN(",",TRUE,B171:E171),SF_Output!$Q$1:$Q$400,"monthly")*(1-W171)/H171,4),""),"")</f>
        <v/>
      </c>
      <c r="J171" s="6">
        <f>IF(B171="","",SUMIFS(SF_Output!$S$1:$S$400,SF_Output!$AC$1:$AC$400,_xlfn.TEXTJOIN(",",TRUE,B171:E171),SF_Output!$Q$1:$Q$400,"One Time",SF_Output!$L$1:$L$400,"license fee")+SUMIFS(SF_Output!$S$1:$S$400,SF_Output!$AC$1:$AC$400,_xlfn.TEXTJOIN(",",TRUE,B171:E171),SF_Output!$Q$1:$Q$400,"One Time",SF_Output!$L$1:$L$400,"software license")+SUMIFS(SF_Output!$S$1:$S$400,SF_Output!$AC$1:$AC$400,_xlfn.TEXTJOIN(",",TRUE,B171:E171),SF_Output!$Q$1:$Q$400,"One Time",SF_Output!$L$1:$L$400,"hardware"))</f>
        <v>0</v>
      </c>
      <c r="K171" s="112" t="str">
        <f>IF(OR(B171=0,B171="",G171="hardware",J171=0),"",IF(AF171&lt;&gt;"exclusion",MAX(K$9,-((SUMIFS(SF_Output!$T$1:$T$400,SF_Output!$AC$1:$AC$400,_xlfn.TEXTJOIN(",",TRUE,$B171:$E171),SF_Output!$Q$1:$Q$400,"One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license"))/J171)),-((SUMIFS(SF_Output!$T$1:$T$400,SF_Output!$AC$1:$AC$400,_xlfn.TEXTJOIN(",",TRUE,$B171:$E171),SF_Output!$Q$1:$Q$400,"One Time",SF_Output!$L$1:$L$400,"license fee")+SUMIFS(SF_Output!$T$1:$T$400,SF_Output!$AC$1:$AC$400,_xlfn.TEXTJOIN(",",TRUE,$B171:$E171),SF_Output!$Q$1:$Q$400,"One Time",SF_Output!$L$1:$L$400,"software license"))/J171)))</f>
        <v/>
      </c>
      <c r="L171" s="6">
        <f t="shared" si="9"/>
        <v>0</v>
      </c>
      <c r="N171" s="6">
        <f>IF(B171="","",SUMIFS(SF_Output!$S$1:$S$400,SF_Output!$AC$1:$AC$400,_xlfn.TEXTJOIN(",",TRUE,B171:E171),SF_Output!$Q$1:$Q$400,"One Time",SF_Output!$L$1:$L$400,"professional service"))</f>
        <v>5000</v>
      </c>
      <c r="O171" s="112">
        <f>IF(OR(B171=0,B171="",N171=0),"",IF(AF171&lt;&gt;"exclusion",MAX(O$9,-(SUMIFS(SF_Output!$T$1:$T$400,SF_Output!$AC$1:$AC$400,_xlfn.TEXTJOIN(",",TRUE,$B171:$E171),SF_Output!$Q$1:$Q$400,"One Time",SF_Output!$L$1:$L$400,"professional service"))/N171),-((SUMIFS(SF_Output!$T$1:$T$400,SF_Output!$AC$1:$AC$400,_xlfn.TEXTJOIN(",",TRUE,$B171:$E171),SF_Output!$Q$1:$Q$400,"One Time",SF_Output!$L$1:$L$400,"professional service")/N171))))</f>
        <v>0</v>
      </c>
      <c r="P171" s="6">
        <f t="shared" si="10"/>
        <v>5000</v>
      </c>
      <c r="R171" s="6">
        <f>IF(B171="","",SUMIFS(SF_Output!$S$1:$S$400,SF_Output!$AC$1:$AC$400,_xlfn.TEXTJOIN(",",TRUE,B171:E171),SF_Output!$Q$1:$Q$400,"yearly")+SUMIFS(SF_Output!$S$1:$S$400,SF_Output!$AC$1:$AC$400,_xlfn.TEXTJOIN(",",TRUE,B171:E171),SF_Output!$Q$1:$Q$400,"quarterly")*4)</f>
        <v>0</v>
      </c>
      <c r="S171" s="112" t="str">
        <f>IF(OR(B171=0,B171="",G171="hardware",R171=0),"",IF(AF171&lt;&gt;"exclusion",MAX(S$9,-(SUMIFS(SF_Output!$T$1:$T$400,SF_Output!$AC$1:$AC$400,_xlfn.TEXTJOIN(",",TRUE,$B171:$E171),SF_Output!$Q$1:$Q$400,"yearly"))/R171),-((SUMIFS(SF_Output!$T$1:$T$400,SF_Output!$AC$1:$AC$400,_xlfn.TEXTJOIN(",",TRUE,$B171:$E171),SF_Output!$Q$1:$Q$400,"yearly")/R171))))</f>
        <v/>
      </c>
      <c r="T171" s="6">
        <f t="shared" si="11"/>
        <v>0</v>
      </c>
      <c r="V171" s="6" cm="1">
        <f t="array" ref="V171">_xlfn.IFS(B171="","",AND(B171&lt;&gt;"",H171=SF_Output!$Y$2,SUMIFS(SF_Output!$T$1:$T$400,SF_Output!$AC$1:$AC$400,_xlfn.TEXTJOIN(",",TRUE,B171:E171),SF_Output!$Q$1:$Q$400,"monthly")=0),(SUMIFS(SF_Output!$F$1:$F$400,SF_Output!$AC$1:$AC$400,_xlfn.TEXTJOIN(",",TRUE,B171:E171),SF_Output!$Q$1:$Q$400,"monthly")+SUMIFS(SF_Output!$G$1:$G$400,SF_Output!$AC$1:$AC$400,_xlfn.TEXTJOIN(",",TRUE,B171:E171),SF_Output!$Q$1:$Q$400,"monthly"))*H171,AND(B171&lt;&gt;"",H171=SF_Output!$Y$2,SUMIFS(SF_Output!$T$1:$T$400,SF_Output!$AC$1:$AC$400,_xlfn.TEXTJOIN(",",TRUE,B171:E171),SF_Output!$Q$1:$Q$400,"monthly")&lt;&gt;0),SUMIFS(SF_Output!$S$1:$S$400,SF_Output!$AC$1:$AC$400,_xlfn.TEXTJOIN(",",TRUE,B171:E171),SF_Output!$Q$1:$Q$400,"monthly"),AND(B171&lt;&gt;"",H171&lt;&gt;SF_Output!$Y$2),SUMIFS(SF_Output!$S$1:$S$400,SF_Output!$AC$1:$AC$400,_xlfn.TEXTJOIN(",",TRUE,B171:E171),SF_Output!$Q$1:$Q$400,"monthly"))</f>
        <v>0</v>
      </c>
      <c r="W171" s="112" t="str" cm="1">
        <f t="array" ref="W171">_xlfn.IFS(OR(B171=0,B171="",V171=0),"",AF171&lt;&gt;"exclusion",MAX($W$9,$W$7,(-(SUMIFS(SF_Output!$T$1:$T$400,SF_Output!$AC$1:$AC$400,_xlfn.TEXTJOIN(",",TRUE,$B171:$E171),SF_Output!$Q$1:$Q$400,"monthly"))/V171)),AF171="exclusion",-(SUMIFS(SF_Output!$T$1:$T$400,SF_Output!$AC$1:$AC$400,_xlfn.TEXTJOIN(",",TRUE,$B171:$E171),SF_Output!$Q$1:$Q$400,"monthly"))/V171)</f>
        <v/>
      </c>
      <c r="X171" s="6" cm="1">
        <f t="array" ref="X171">IFERROR(_xlfn.IFS(V171=0,0,V171="","",W171=0,V171,OR(V171&lt;&gt;0,V171&lt;&gt;""),H171*I171),V171*(1-W171))</f>
        <v>0</v>
      </c>
    </row>
    <row r="172" spans="2:24" x14ac:dyDescent="0.25">
      <c r="B172" t="s">
        <v>1758</v>
      </c>
      <c r="C172" t="s">
        <v>2122</v>
      </c>
      <c r="D172" t="s">
        <v>2123</v>
      </c>
      <c r="E172" t="s">
        <v>2124</v>
      </c>
      <c r="F172" s="116" t="str">
        <f t="shared" si="8"/>
        <v>Included</v>
      </c>
      <c r="G172" t="str">
        <f>IF(B172="","",INDEX(SF_Output!$K$1:$K$400,MATCH(B172,SF_Output!$M$1:$M$400,0)))</f>
        <v>SilverLake</v>
      </c>
      <c r="H172" cm="1">
        <f t="array" ref="H172">_xlfn.IFS(B172="","",(SUMIFS(SF_Output!$F$1:$F$400,SF_Output!$AC$1:$AC$400,_xlfn.TEXTJOIN(",",TRUE,B172:E172))+SUMIFS(SF_Output!$G$1:$G$400,SF_Output!$AC$1:$AC$400,_xlfn.TEXTJOIN(",",TRUE,B172:E172)))&lt;&gt;0,SF_Output!$Y$2,INDEX(SF_Output!$F$1:$F$400,MATCH(_xlfn.TEXTJOIN(",",TRUE,B172:E172),SF_Output!$AC$1:$AC$400,0))=0,INDEX(SF_Output!$R$1:$R$400,MATCH(_xlfn.TEXTJOIN(",",TRUE,B172:E172),SF_Output!$AC$1:$AC$400,0)))</f>
        <v>1</v>
      </c>
      <c r="I172" s="125" t="str">
        <f>IFERROR(IF(AND(H172&gt;1,H172&lt;&gt;""),ROUND(SUMIFS(SF_Output!$S$1:$S$400,SF_Output!$AC$1:$AC$400,_xlfn.TEXTJOIN(",",TRUE,B172:E172),SF_Output!$Q$1:$Q$400,"monthly")*(1-W172)/H172,4),""),"")</f>
        <v/>
      </c>
      <c r="J172" s="6">
        <f>IF(B172="","",SUMIFS(SF_Output!$S$1:$S$400,SF_Output!$AC$1:$AC$400,_xlfn.TEXTJOIN(",",TRUE,B172:E172),SF_Output!$Q$1:$Q$400,"One Time",SF_Output!$L$1:$L$400,"license fee")+SUMIFS(SF_Output!$S$1:$S$400,SF_Output!$AC$1:$AC$400,_xlfn.TEXTJOIN(",",TRUE,B172:E172),SF_Output!$Q$1:$Q$400,"One Time",SF_Output!$L$1:$L$400,"software license")+SUMIFS(SF_Output!$S$1:$S$400,SF_Output!$AC$1:$AC$400,_xlfn.TEXTJOIN(",",TRUE,B172:E172),SF_Output!$Q$1:$Q$400,"One Time",SF_Output!$L$1:$L$400,"hardware"))</f>
        <v>0</v>
      </c>
      <c r="K172" s="112" t="str">
        <f>IF(OR(B172=0,B172="",G172="hardware",J172=0),"",IF(AF172&lt;&gt;"exclusion",MAX(K$9,-((SUMIFS(SF_Output!$T$1:$T$400,SF_Output!$AC$1:$AC$400,_xlfn.TEXTJOIN(",",TRUE,$B172:$E172),SF_Output!$Q$1:$Q$400,"One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license"))/J172)),-((SUMIFS(SF_Output!$T$1:$T$400,SF_Output!$AC$1:$AC$400,_xlfn.TEXTJOIN(",",TRUE,$B172:$E172),SF_Output!$Q$1:$Q$400,"One Time",SF_Output!$L$1:$L$400,"license fee")+SUMIFS(SF_Output!$T$1:$T$400,SF_Output!$AC$1:$AC$400,_xlfn.TEXTJOIN(",",TRUE,$B172:$E172),SF_Output!$Q$1:$Q$400,"One Time",SF_Output!$L$1:$L$400,"software license"))/J172)))</f>
        <v/>
      </c>
      <c r="L172" s="6">
        <f t="shared" si="9"/>
        <v>0</v>
      </c>
      <c r="N172" s="6">
        <f>IF(B172="","",SUMIFS(SF_Output!$S$1:$S$400,SF_Output!$AC$1:$AC$400,_xlfn.TEXTJOIN(",",TRUE,B172:E172),SF_Output!$Q$1:$Q$400,"One Time",SF_Output!$L$1:$L$400,"professional service"))</f>
        <v>10000</v>
      </c>
      <c r="O172" s="112">
        <f>IF(OR(B172=0,B172="",N172=0),"",IF(AF172&lt;&gt;"exclusion",MAX(O$9,-(SUMIFS(SF_Output!$T$1:$T$400,SF_Output!$AC$1:$AC$400,_xlfn.TEXTJOIN(",",TRUE,$B172:$E172),SF_Output!$Q$1:$Q$400,"One Time",SF_Output!$L$1:$L$400,"professional service"))/N172),-((SUMIFS(SF_Output!$T$1:$T$400,SF_Output!$AC$1:$AC$400,_xlfn.TEXTJOIN(",",TRUE,$B172:$E172),SF_Output!$Q$1:$Q$400,"One Time",SF_Output!$L$1:$L$400,"professional service")/N172))))</f>
        <v>0</v>
      </c>
      <c r="P172" s="6">
        <f t="shared" si="10"/>
        <v>10000</v>
      </c>
      <c r="R172" s="6">
        <f>IF(B172="","",SUMIFS(SF_Output!$S$1:$S$400,SF_Output!$AC$1:$AC$400,_xlfn.TEXTJOIN(",",TRUE,B172:E172),SF_Output!$Q$1:$Q$400,"yearly")+SUMIFS(SF_Output!$S$1:$S$400,SF_Output!$AC$1:$AC$400,_xlfn.TEXTJOIN(",",TRUE,B172:E172),SF_Output!$Q$1:$Q$400,"quarterly")*4)</f>
        <v>0</v>
      </c>
      <c r="S172" s="112" t="str">
        <f>IF(OR(B172=0,B172="",G172="hardware",R172=0),"",IF(AF172&lt;&gt;"exclusion",MAX(S$9,-(SUMIFS(SF_Output!$T$1:$T$400,SF_Output!$AC$1:$AC$400,_xlfn.TEXTJOIN(",",TRUE,$B172:$E172),SF_Output!$Q$1:$Q$400,"yearly"))/R172),-((SUMIFS(SF_Output!$T$1:$T$400,SF_Output!$AC$1:$AC$400,_xlfn.TEXTJOIN(",",TRUE,$B172:$E172),SF_Output!$Q$1:$Q$400,"yearly")/R172))))</f>
        <v/>
      </c>
      <c r="T172" s="6">
        <f t="shared" si="11"/>
        <v>0</v>
      </c>
      <c r="V172" s="6" cm="1">
        <f t="array" ref="V172">_xlfn.IFS(B172="","",AND(B172&lt;&gt;"",H172=SF_Output!$Y$2,SUMIFS(SF_Output!$T$1:$T$400,SF_Output!$AC$1:$AC$400,_xlfn.TEXTJOIN(",",TRUE,B172:E172),SF_Output!$Q$1:$Q$400,"monthly")=0),(SUMIFS(SF_Output!$F$1:$F$400,SF_Output!$AC$1:$AC$400,_xlfn.TEXTJOIN(",",TRUE,B172:E172),SF_Output!$Q$1:$Q$400,"monthly")+SUMIFS(SF_Output!$G$1:$G$400,SF_Output!$AC$1:$AC$400,_xlfn.TEXTJOIN(",",TRUE,B172:E172),SF_Output!$Q$1:$Q$400,"monthly"))*H172,AND(B172&lt;&gt;"",H172=SF_Output!$Y$2,SUMIFS(SF_Output!$T$1:$T$400,SF_Output!$AC$1:$AC$400,_xlfn.TEXTJOIN(",",TRUE,B172:E172),SF_Output!$Q$1:$Q$400,"monthly")&lt;&gt;0),SUMIFS(SF_Output!$S$1:$S$400,SF_Output!$AC$1:$AC$400,_xlfn.TEXTJOIN(",",TRUE,B172:E172),SF_Output!$Q$1:$Q$400,"monthly"),AND(B172&lt;&gt;"",H172&lt;&gt;SF_Output!$Y$2),SUMIFS(SF_Output!$S$1:$S$400,SF_Output!$AC$1:$AC$400,_xlfn.TEXTJOIN(",",TRUE,B172:E172),SF_Output!$Q$1:$Q$400,"monthly"))</f>
        <v>0</v>
      </c>
      <c r="W172" s="112" t="str" cm="1">
        <f t="array" ref="W172">_xlfn.IFS(OR(B172=0,B172="",V172=0),"",AF172&lt;&gt;"exclusion",MAX($W$9,$W$7,(-(SUMIFS(SF_Output!$T$1:$T$400,SF_Output!$AC$1:$AC$400,_xlfn.TEXTJOIN(",",TRUE,$B172:$E172),SF_Output!$Q$1:$Q$400,"monthly"))/V172)),AF172="exclusion",-(SUMIFS(SF_Output!$T$1:$T$400,SF_Output!$AC$1:$AC$400,_xlfn.TEXTJOIN(",",TRUE,$B172:$E172),SF_Output!$Q$1:$Q$400,"monthly"))/V172)</f>
        <v/>
      </c>
      <c r="X172" s="6" cm="1">
        <f t="array" ref="X172">IFERROR(_xlfn.IFS(V172=0,0,V172="","",W172=0,V172,OR(V172&lt;&gt;0,V172&lt;&gt;""),H172*I172),V172*(1-W172))</f>
        <v>0</v>
      </c>
    </row>
    <row r="173" spans="2:24" x14ac:dyDescent="0.25">
      <c r="B173" t="s">
        <v>2212</v>
      </c>
      <c r="C173" t="s">
        <v>2122</v>
      </c>
      <c r="D173" t="s">
        <v>2207</v>
      </c>
      <c r="E173" t="s">
        <v>2150</v>
      </c>
      <c r="F173" s="116" t="str">
        <f t="shared" si="8"/>
        <v>Optional</v>
      </c>
      <c r="G173" t="str">
        <f>IF(B173="","",INDEX(SF_Output!$K$1:$K$400,MATCH(B173,SF_Output!$M$1:$M$400,0)))</f>
        <v>Core</v>
      </c>
      <c r="H173" cm="1">
        <f t="array" ref="H173">_xlfn.IFS(B173="","",(SUMIFS(SF_Output!$F$1:$F$400,SF_Output!$AC$1:$AC$400,_xlfn.TEXTJOIN(",",TRUE,B173:E173))+SUMIFS(SF_Output!$G$1:$G$400,SF_Output!$AC$1:$AC$400,_xlfn.TEXTJOIN(",",TRUE,B173:E173)))&lt;&gt;0,SF_Output!$Y$2,INDEX(SF_Output!$F$1:$F$400,MATCH(_xlfn.TEXTJOIN(",",TRUE,B173:E173),SF_Output!$AC$1:$AC$400,0))=0,INDEX(SF_Output!$R$1:$R$400,MATCH(_xlfn.TEXTJOIN(",",TRUE,B173:E173),SF_Output!$AC$1:$AC$400,0)))</f>
        <v>1</v>
      </c>
      <c r="I173" s="125" t="str">
        <f>IFERROR(IF(AND(H173&gt;1,H173&lt;&gt;""),ROUND(SUMIFS(SF_Output!$S$1:$S$400,SF_Output!$AC$1:$AC$400,_xlfn.TEXTJOIN(",",TRUE,B173:E173),SF_Output!$Q$1:$Q$400,"monthly")*(1-W173)/H173,4),""),"")</f>
        <v/>
      </c>
      <c r="J173" s="6">
        <f>IF(B173="","",SUMIFS(SF_Output!$S$1:$S$400,SF_Output!$AC$1:$AC$400,_xlfn.TEXTJOIN(",",TRUE,B173:E173),SF_Output!$Q$1:$Q$400,"One Time",SF_Output!$L$1:$L$400,"license fee")+SUMIFS(SF_Output!$S$1:$S$400,SF_Output!$AC$1:$AC$400,_xlfn.TEXTJOIN(",",TRUE,B173:E173),SF_Output!$Q$1:$Q$400,"One Time",SF_Output!$L$1:$L$400,"software license")+SUMIFS(SF_Output!$S$1:$S$400,SF_Output!$AC$1:$AC$400,_xlfn.TEXTJOIN(",",TRUE,B173:E173),SF_Output!$Q$1:$Q$400,"One Time",SF_Output!$L$1:$L$400,"hardware"))</f>
        <v>0</v>
      </c>
      <c r="K173" s="112" t="str">
        <f>IF(OR(B173=0,B173="",G173="hardware",J173=0),"",IF(AF173&lt;&gt;"exclusion",MAX(K$9,-((SUMIFS(SF_Output!$T$1:$T$400,SF_Output!$AC$1:$AC$400,_xlfn.TEXTJOIN(",",TRUE,$B173:$E173),SF_Output!$Q$1:$Q$400,"One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license"))/J173)),-((SUMIFS(SF_Output!$T$1:$T$400,SF_Output!$AC$1:$AC$400,_xlfn.TEXTJOIN(",",TRUE,$B173:$E173),SF_Output!$Q$1:$Q$400,"One Time",SF_Output!$L$1:$L$400,"license fee")+SUMIFS(SF_Output!$T$1:$T$400,SF_Output!$AC$1:$AC$400,_xlfn.TEXTJOIN(",",TRUE,$B173:$E173),SF_Output!$Q$1:$Q$400,"One Time",SF_Output!$L$1:$L$400,"software license"))/J173)))</f>
        <v/>
      </c>
      <c r="L173" s="6">
        <f t="shared" si="9"/>
        <v>0</v>
      </c>
      <c r="N173" s="6">
        <f>IF(B173="","",SUMIFS(SF_Output!$S$1:$S$400,SF_Output!$AC$1:$AC$400,_xlfn.TEXTJOIN(",",TRUE,B173:E173),SF_Output!$Q$1:$Q$400,"One Time",SF_Output!$L$1:$L$400,"professional service"))</f>
        <v>18000</v>
      </c>
      <c r="O173" s="112">
        <f>IF(OR(B173=0,B173="",N173=0),"",IF(AF173&lt;&gt;"exclusion",MAX(O$9,-(SUMIFS(SF_Output!$T$1:$T$400,SF_Output!$AC$1:$AC$400,_xlfn.TEXTJOIN(",",TRUE,$B173:$E173),SF_Output!$Q$1:$Q$400,"One Time",SF_Output!$L$1:$L$400,"professional service"))/N173),-((SUMIFS(SF_Output!$T$1:$T$400,SF_Output!$AC$1:$AC$400,_xlfn.TEXTJOIN(",",TRUE,$B173:$E173),SF_Output!$Q$1:$Q$400,"One Time",SF_Output!$L$1:$L$400,"professional service")/N173))))</f>
        <v>0</v>
      </c>
      <c r="P173" s="6">
        <f t="shared" si="10"/>
        <v>18000</v>
      </c>
      <c r="R173" s="6">
        <f>IF(B173="","",SUMIFS(SF_Output!$S$1:$S$400,SF_Output!$AC$1:$AC$400,_xlfn.TEXTJOIN(",",TRUE,B173:E173),SF_Output!$Q$1:$Q$400,"yearly")+SUMIFS(SF_Output!$S$1:$S$400,SF_Output!$AC$1:$AC$400,_xlfn.TEXTJOIN(",",TRUE,B173:E173),SF_Output!$Q$1:$Q$400,"quarterly")*4)</f>
        <v>0</v>
      </c>
      <c r="S173" s="112" t="str">
        <f>IF(OR(B173=0,B173="",G173="hardware",R173=0),"",IF(AF173&lt;&gt;"exclusion",MAX(S$9,-(SUMIFS(SF_Output!$T$1:$T$400,SF_Output!$AC$1:$AC$400,_xlfn.TEXTJOIN(",",TRUE,$B173:$E173),SF_Output!$Q$1:$Q$400,"yearly"))/R173),-((SUMIFS(SF_Output!$T$1:$T$400,SF_Output!$AC$1:$AC$400,_xlfn.TEXTJOIN(",",TRUE,$B173:$E173),SF_Output!$Q$1:$Q$400,"yearly")/R173))))</f>
        <v/>
      </c>
      <c r="T173" s="6">
        <f t="shared" si="11"/>
        <v>0</v>
      </c>
      <c r="V173" s="6" cm="1">
        <f t="array" ref="V173">_xlfn.IFS(B173="","",AND(B173&lt;&gt;"",H173=SF_Output!$Y$2,SUMIFS(SF_Output!$T$1:$T$400,SF_Output!$AC$1:$AC$400,_xlfn.TEXTJOIN(",",TRUE,B173:E173),SF_Output!$Q$1:$Q$400,"monthly")=0),(SUMIFS(SF_Output!$F$1:$F$400,SF_Output!$AC$1:$AC$400,_xlfn.TEXTJOIN(",",TRUE,B173:E173),SF_Output!$Q$1:$Q$400,"monthly")+SUMIFS(SF_Output!$G$1:$G$400,SF_Output!$AC$1:$AC$400,_xlfn.TEXTJOIN(",",TRUE,B173:E173),SF_Output!$Q$1:$Q$400,"monthly"))*H173,AND(B173&lt;&gt;"",H173=SF_Output!$Y$2,SUMIFS(SF_Output!$T$1:$T$400,SF_Output!$AC$1:$AC$400,_xlfn.TEXTJOIN(",",TRUE,B173:E173),SF_Output!$Q$1:$Q$400,"monthly")&lt;&gt;0),SUMIFS(SF_Output!$S$1:$S$400,SF_Output!$AC$1:$AC$400,_xlfn.TEXTJOIN(",",TRUE,B173:E173),SF_Output!$Q$1:$Q$400,"monthly"),AND(B173&lt;&gt;"",H173&lt;&gt;SF_Output!$Y$2),SUMIFS(SF_Output!$S$1:$S$400,SF_Output!$AC$1:$AC$400,_xlfn.TEXTJOIN(",",TRUE,B173:E173),SF_Output!$Q$1:$Q$400,"monthly"))</f>
        <v>0</v>
      </c>
      <c r="W173" s="112" t="str" cm="1">
        <f t="array" ref="W173">_xlfn.IFS(OR(B173=0,B173="",V173=0),"",AF173&lt;&gt;"exclusion",MAX($W$9,$W$7,(-(SUMIFS(SF_Output!$T$1:$T$400,SF_Output!$AC$1:$AC$400,_xlfn.TEXTJOIN(",",TRUE,$B173:$E173),SF_Output!$Q$1:$Q$400,"monthly"))/V173)),AF173="exclusion",-(SUMIFS(SF_Output!$T$1:$T$400,SF_Output!$AC$1:$AC$400,_xlfn.TEXTJOIN(",",TRUE,$B173:$E173),SF_Output!$Q$1:$Q$400,"monthly"))/V173)</f>
        <v/>
      </c>
      <c r="X173" s="6" cm="1">
        <f t="array" ref="X173">IFERROR(_xlfn.IFS(V173=0,0,V173="","",W173=0,V173,OR(V173&lt;&gt;0,V173&lt;&gt;""),H173*I173),V173*(1-W173))</f>
        <v>0</v>
      </c>
    </row>
    <row r="174" spans="2:24" x14ac:dyDescent="0.25">
      <c r="B174" t="s">
        <v>2215</v>
      </c>
      <c r="C174" t="s">
        <v>2122</v>
      </c>
      <c r="D174" t="s">
        <v>2207</v>
      </c>
      <c r="E174" t="s">
        <v>2150</v>
      </c>
      <c r="F174" s="116" t="str">
        <f t="shared" si="8"/>
        <v>Optional</v>
      </c>
      <c r="G174" t="str">
        <f>IF(B174="","",INDEX(SF_Output!$K$1:$K$400,MATCH(B174,SF_Output!$M$1:$M$400,0)))</f>
        <v>Core</v>
      </c>
      <c r="H174" cm="1">
        <f t="array" ref="H174">_xlfn.IFS(B174="","",(SUMIFS(SF_Output!$F$1:$F$400,SF_Output!$AC$1:$AC$400,_xlfn.TEXTJOIN(",",TRUE,B174:E174))+SUMIFS(SF_Output!$G$1:$G$400,SF_Output!$AC$1:$AC$400,_xlfn.TEXTJOIN(",",TRUE,B174:E174)))&lt;&gt;0,SF_Output!$Y$2,INDEX(SF_Output!$F$1:$F$400,MATCH(_xlfn.TEXTJOIN(",",TRUE,B174:E174),SF_Output!$AC$1:$AC$400,0))=0,INDEX(SF_Output!$R$1:$R$400,MATCH(_xlfn.TEXTJOIN(",",TRUE,B174:E174),SF_Output!$AC$1:$AC$400,0)))</f>
        <v>1</v>
      </c>
      <c r="I174" s="125" t="str">
        <f>IFERROR(IF(AND(H174&gt;1,H174&lt;&gt;""),ROUND(SUMIFS(SF_Output!$S$1:$S$400,SF_Output!$AC$1:$AC$400,_xlfn.TEXTJOIN(",",TRUE,B174:E174),SF_Output!$Q$1:$Q$400,"monthly")*(1-W174)/H174,4),""),"")</f>
        <v/>
      </c>
      <c r="J174" s="6">
        <f>IF(B174="","",SUMIFS(SF_Output!$S$1:$S$400,SF_Output!$AC$1:$AC$400,_xlfn.TEXTJOIN(",",TRUE,B174:E174),SF_Output!$Q$1:$Q$400,"One Time",SF_Output!$L$1:$L$400,"license fee")+SUMIFS(SF_Output!$S$1:$S$400,SF_Output!$AC$1:$AC$400,_xlfn.TEXTJOIN(",",TRUE,B174:E174),SF_Output!$Q$1:$Q$400,"One Time",SF_Output!$L$1:$L$400,"software license")+SUMIFS(SF_Output!$S$1:$S$400,SF_Output!$AC$1:$AC$400,_xlfn.TEXTJOIN(",",TRUE,B174:E174),SF_Output!$Q$1:$Q$400,"One Time",SF_Output!$L$1:$L$400,"hardware"))</f>
        <v>0</v>
      </c>
      <c r="K174" s="112" t="str">
        <f>IF(OR(B174=0,B174="",G174="hardware",J174=0),"",IF(AF174&lt;&gt;"exclusion",MAX(K$9,-((SUMIFS(SF_Output!$T$1:$T$400,SF_Output!$AC$1:$AC$400,_xlfn.TEXTJOIN(",",TRUE,$B174:$E174),SF_Output!$Q$1:$Q$400,"One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license"))/J174)),-((SUMIFS(SF_Output!$T$1:$T$400,SF_Output!$AC$1:$AC$400,_xlfn.TEXTJOIN(",",TRUE,$B174:$E174),SF_Output!$Q$1:$Q$400,"One Time",SF_Output!$L$1:$L$400,"license fee")+SUMIFS(SF_Output!$T$1:$T$400,SF_Output!$AC$1:$AC$400,_xlfn.TEXTJOIN(",",TRUE,$B174:$E174),SF_Output!$Q$1:$Q$400,"One Time",SF_Output!$L$1:$L$400,"software license"))/J174)))</f>
        <v/>
      </c>
      <c r="L174" s="6">
        <f t="shared" si="9"/>
        <v>0</v>
      </c>
      <c r="N174" s="6">
        <f>IF(B174="","",SUMIFS(SF_Output!$S$1:$S$400,SF_Output!$AC$1:$AC$400,_xlfn.TEXTJOIN(",",TRUE,B174:E174),SF_Output!$Q$1:$Q$400,"One Time",SF_Output!$L$1:$L$400,"professional service"))</f>
        <v>0</v>
      </c>
      <c r="O174" s="112" t="str">
        <f>IF(OR(B174=0,B174="",N174=0),"",IF(AF174&lt;&gt;"exclusion",MAX(O$9,-(SUMIFS(SF_Output!$T$1:$T$400,SF_Output!$AC$1:$AC$400,_xlfn.TEXTJOIN(",",TRUE,$B174:$E174),SF_Output!$Q$1:$Q$400,"One Time",SF_Output!$L$1:$L$400,"professional service"))/N174),-((SUMIFS(SF_Output!$T$1:$T$400,SF_Output!$AC$1:$AC$400,_xlfn.TEXTJOIN(",",TRUE,$B174:$E174),SF_Output!$Q$1:$Q$400,"One Time",SF_Output!$L$1:$L$400,"professional service")/N174))))</f>
        <v/>
      </c>
      <c r="P174" s="6">
        <f t="shared" si="10"/>
        <v>0</v>
      </c>
      <c r="R174" s="6">
        <f>IF(B174="","",SUMIFS(SF_Output!$S$1:$S$400,SF_Output!$AC$1:$AC$400,_xlfn.TEXTJOIN(",",TRUE,B174:E174),SF_Output!$Q$1:$Q$400,"yearly")+SUMIFS(SF_Output!$S$1:$S$400,SF_Output!$AC$1:$AC$400,_xlfn.TEXTJOIN(",",TRUE,B174:E174),SF_Output!$Q$1:$Q$400,"quarterly")*4)</f>
        <v>3500</v>
      </c>
      <c r="S174" s="112">
        <f>IF(OR(B174=0,B174="",G174="hardware",R174=0),"",IF(AF174&lt;&gt;"exclusion",MAX(S$9,-(SUMIFS(SF_Output!$T$1:$T$400,SF_Output!$AC$1:$AC$400,_xlfn.TEXTJOIN(",",TRUE,$B174:$E174),SF_Output!$Q$1:$Q$400,"yearly"))/R174),-((SUMIFS(SF_Output!$T$1:$T$400,SF_Output!$AC$1:$AC$400,_xlfn.TEXTJOIN(",",TRUE,$B174:$E174),SF_Output!$Q$1:$Q$400,"yearly")/R174))))</f>
        <v>0</v>
      </c>
      <c r="T174" s="6">
        <f t="shared" si="11"/>
        <v>3500</v>
      </c>
      <c r="V174" s="6" cm="1">
        <f t="array" ref="V174">_xlfn.IFS(B174="","",AND(B174&lt;&gt;"",H174=SF_Output!$Y$2,SUMIFS(SF_Output!$T$1:$T$400,SF_Output!$AC$1:$AC$400,_xlfn.TEXTJOIN(",",TRUE,B174:E174),SF_Output!$Q$1:$Q$400,"monthly")=0),(SUMIFS(SF_Output!$F$1:$F$400,SF_Output!$AC$1:$AC$400,_xlfn.TEXTJOIN(",",TRUE,B174:E174),SF_Output!$Q$1:$Q$400,"monthly")+SUMIFS(SF_Output!$G$1:$G$400,SF_Output!$AC$1:$AC$400,_xlfn.TEXTJOIN(",",TRUE,B174:E174),SF_Output!$Q$1:$Q$400,"monthly"))*H174,AND(B174&lt;&gt;"",H174=SF_Output!$Y$2,SUMIFS(SF_Output!$T$1:$T$400,SF_Output!$AC$1:$AC$400,_xlfn.TEXTJOIN(",",TRUE,B174:E174),SF_Output!$Q$1:$Q$400,"monthly")&lt;&gt;0),SUMIFS(SF_Output!$S$1:$S$400,SF_Output!$AC$1:$AC$400,_xlfn.TEXTJOIN(",",TRUE,B174:E174),SF_Output!$Q$1:$Q$400,"monthly"),AND(B174&lt;&gt;"",H174&lt;&gt;SF_Output!$Y$2),SUMIFS(SF_Output!$S$1:$S$400,SF_Output!$AC$1:$AC$400,_xlfn.TEXTJOIN(",",TRUE,B174:E174),SF_Output!$Q$1:$Q$400,"monthly"))</f>
        <v>0</v>
      </c>
      <c r="W174" s="112" t="str" cm="1">
        <f t="array" ref="W174">_xlfn.IFS(OR(B174=0,B174="",V174=0),"",AF174&lt;&gt;"exclusion",MAX($W$9,$W$7,(-(SUMIFS(SF_Output!$T$1:$T$400,SF_Output!$AC$1:$AC$400,_xlfn.TEXTJOIN(",",TRUE,$B174:$E174),SF_Output!$Q$1:$Q$400,"monthly"))/V174)),AF174="exclusion",-(SUMIFS(SF_Output!$T$1:$T$400,SF_Output!$AC$1:$AC$400,_xlfn.TEXTJOIN(",",TRUE,$B174:$E174),SF_Output!$Q$1:$Q$400,"monthly"))/V174)</f>
        <v/>
      </c>
      <c r="X174" s="6" cm="1">
        <f t="array" ref="X174">IFERROR(_xlfn.IFS(V174=0,0,V174="","",W174=0,V174,OR(V174&lt;&gt;0,V174&lt;&gt;""),H174*I174),V174*(1-W174))</f>
        <v>0</v>
      </c>
    </row>
    <row r="175" spans="2:24" x14ac:dyDescent="0.25">
      <c r="B175" t="s">
        <v>2315</v>
      </c>
      <c r="C175" t="s">
        <v>2122</v>
      </c>
      <c r="D175" t="s">
        <v>2306</v>
      </c>
      <c r="E175" t="s">
        <v>2150</v>
      </c>
      <c r="F175" s="116" t="str">
        <f t="shared" si="8"/>
        <v>Optional</v>
      </c>
      <c r="G175" t="str">
        <f>IF(B175="","",INDEX(SF_Output!$K$1:$K$400,MATCH(B175,SF_Output!$M$1:$M$400,0)))</f>
        <v>jhaEnterprise Workflow</v>
      </c>
      <c r="H175" cm="1">
        <f t="array" ref="H175">_xlfn.IFS(B175="","",(SUMIFS(SF_Output!$F$1:$F$400,SF_Output!$AC$1:$AC$400,_xlfn.TEXTJOIN(",",TRUE,B175:E175))+SUMIFS(SF_Output!$G$1:$G$400,SF_Output!$AC$1:$AC$400,_xlfn.TEXTJOIN(",",TRUE,B175:E175)))&lt;&gt;0,SF_Output!$Y$2,INDEX(SF_Output!$F$1:$F$400,MATCH(_xlfn.TEXTJOIN(",",TRUE,B175:E175),SF_Output!$AC$1:$AC$400,0))=0,INDEX(SF_Output!$R$1:$R$400,MATCH(_xlfn.TEXTJOIN(",",TRUE,B175:E175),SF_Output!$AC$1:$AC$400,0)))</f>
        <v>1</v>
      </c>
      <c r="I175" s="125" t="str">
        <f>IFERROR(IF(AND(H175&gt;1,H175&lt;&gt;""),ROUND(SUMIFS(SF_Output!$S$1:$S$400,SF_Output!$AC$1:$AC$400,_xlfn.TEXTJOIN(",",TRUE,B175:E175),SF_Output!$Q$1:$Q$400,"monthly")*(1-W175)/H175,4),""),"")</f>
        <v/>
      </c>
      <c r="J175" s="6">
        <f>IF(B175="","",SUMIFS(SF_Output!$S$1:$S$400,SF_Output!$AC$1:$AC$400,_xlfn.TEXTJOIN(",",TRUE,B175:E175),SF_Output!$Q$1:$Q$400,"One Time",SF_Output!$L$1:$L$400,"license fee")+SUMIFS(SF_Output!$S$1:$S$400,SF_Output!$AC$1:$AC$400,_xlfn.TEXTJOIN(",",TRUE,B175:E175),SF_Output!$Q$1:$Q$400,"One Time",SF_Output!$L$1:$L$400,"software license")+SUMIFS(SF_Output!$S$1:$S$400,SF_Output!$AC$1:$AC$400,_xlfn.TEXTJOIN(",",TRUE,B175:E175),SF_Output!$Q$1:$Q$400,"One Time",SF_Output!$L$1:$L$400,"hardware"))</f>
        <v>0</v>
      </c>
      <c r="K175" s="112" t="str">
        <f>IF(OR(B175=0,B175="",G175="hardware",J175=0),"",IF(AF175&lt;&gt;"exclusion",MAX(K$9,-((SUMIFS(SF_Output!$T$1:$T$400,SF_Output!$AC$1:$AC$400,_xlfn.TEXTJOIN(",",TRUE,$B175:$E175),SF_Output!$Q$1:$Q$400,"One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license"))/J175)),-((SUMIFS(SF_Output!$T$1:$T$400,SF_Output!$AC$1:$AC$400,_xlfn.TEXTJOIN(",",TRUE,$B175:$E175),SF_Output!$Q$1:$Q$400,"One Time",SF_Output!$L$1:$L$400,"license fee")+SUMIFS(SF_Output!$T$1:$T$400,SF_Output!$AC$1:$AC$400,_xlfn.TEXTJOIN(",",TRUE,$B175:$E175),SF_Output!$Q$1:$Q$400,"One Time",SF_Output!$L$1:$L$400,"software license"))/J175)))</f>
        <v/>
      </c>
      <c r="L175" s="6">
        <f t="shared" si="9"/>
        <v>0</v>
      </c>
      <c r="N175" s="6">
        <f>IF(B175="","",SUMIFS(SF_Output!$S$1:$S$400,SF_Output!$AC$1:$AC$400,_xlfn.TEXTJOIN(",",TRUE,B175:E175),SF_Output!$Q$1:$Q$400,"One Time",SF_Output!$L$1:$L$400,"professional service"))</f>
        <v>15000</v>
      </c>
      <c r="O175" s="112">
        <f>IF(OR(B175=0,B175="",N175=0),"",IF(AF175&lt;&gt;"exclusion",MAX(O$9,-(SUMIFS(SF_Output!$T$1:$T$400,SF_Output!$AC$1:$AC$400,_xlfn.TEXTJOIN(",",TRUE,$B175:$E175),SF_Output!$Q$1:$Q$400,"One Time",SF_Output!$L$1:$L$400,"professional service"))/N175),-((SUMIFS(SF_Output!$T$1:$T$400,SF_Output!$AC$1:$AC$400,_xlfn.TEXTJOIN(",",TRUE,$B175:$E175),SF_Output!$Q$1:$Q$400,"One Time",SF_Output!$L$1:$L$400,"professional service")/N175))))</f>
        <v>0</v>
      </c>
      <c r="P175" s="6">
        <f t="shared" si="10"/>
        <v>15000</v>
      </c>
      <c r="R175" s="6">
        <f>IF(B175="","",SUMIFS(SF_Output!$S$1:$S$400,SF_Output!$AC$1:$AC$400,_xlfn.TEXTJOIN(",",TRUE,B175:E175),SF_Output!$Q$1:$Q$400,"yearly")+SUMIFS(SF_Output!$S$1:$S$400,SF_Output!$AC$1:$AC$400,_xlfn.TEXTJOIN(",",TRUE,B175:E175),SF_Output!$Q$1:$Q$400,"quarterly")*4)</f>
        <v>0</v>
      </c>
      <c r="S175" s="112" t="str">
        <f>IF(OR(B175=0,B175="",G175="hardware",R175=0),"",IF(AF175&lt;&gt;"exclusion",MAX(S$9,-(SUMIFS(SF_Output!$T$1:$T$400,SF_Output!$AC$1:$AC$400,_xlfn.TEXTJOIN(",",TRUE,$B175:$E175),SF_Output!$Q$1:$Q$400,"yearly"))/R175),-((SUMIFS(SF_Output!$T$1:$T$400,SF_Output!$AC$1:$AC$400,_xlfn.TEXTJOIN(",",TRUE,$B175:$E175),SF_Output!$Q$1:$Q$400,"yearly")/R175))))</f>
        <v/>
      </c>
      <c r="T175" s="6">
        <f t="shared" si="11"/>
        <v>0</v>
      </c>
      <c r="V175" s="6" cm="1">
        <f t="array" ref="V175">_xlfn.IFS(B175="","",AND(B175&lt;&gt;"",H175=SF_Output!$Y$2,SUMIFS(SF_Output!$T$1:$T$400,SF_Output!$AC$1:$AC$400,_xlfn.TEXTJOIN(",",TRUE,B175:E175),SF_Output!$Q$1:$Q$400,"monthly")=0),(SUMIFS(SF_Output!$F$1:$F$400,SF_Output!$AC$1:$AC$400,_xlfn.TEXTJOIN(",",TRUE,B175:E175),SF_Output!$Q$1:$Q$400,"monthly")+SUMIFS(SF_Output!$G$1:$G$400,SF_Output!$AC$1:$AC$400,_xlfn.TEXTJOIN(",",TRUE,B175:E175),SF_Output!$Q$1:$Q$400,"monthly"))*H175,AND(B175&lt;&gt;"",H175=SF_Output!$Y$2,SUMIFS(SF_Output!$T$1:$T$400,SF_Output!$AC$1:$AC$400,_xlfn.TEXTJOIN(",",TRUE,B175:E175),SF_Output!$Q$1:$Q$400,"monthly")&lt;&gt;0),SUMIFS(SF_Output!$S$1:$S$400,SF_Output!$AC$1:$AC$400,_xlfn.TEXTJOIN(",",TRUE,B175:E175),SF_Output!$Q$1:$Q$400,"monthly"),AND(B175&lt;&gt;"",H175&lt;&gt;SF_Output!$Y$2),SUMIFS(SF_Output!$S$1:$S$400,SF_Output!$AC$1:$AC$400,_xlfn.TEXTJOIN(",",TRUE,B175:E175),SF_Output!$Q$1:$Q$400,"monthly"))</f>
        <v>0</v>
      </c>
      <c r="W175" s="112" t="str" cm="1">
        <f t="array" ref="W175">_xlfn.IFS(OR(B175=0,B175="",V175=0),"",AF175&lt;&gt;"exclusion",MAX($W$9,$W$7,(-(SUMIFS(SF_Output!$T$1:$T$400,SF_Output!$AC$1:$AC$400,_xlfn.TEXTJOIN(",",TRUE,$B175:$E175),SF_Output!$Q$1:$Q$400,"monthly"))/V175)),AF175="exclusion",-(SUMIFS(SF_Output!$T$1:$T$400,SF_Output!$AC$1:$AC$400,_xlfn.TEXTJOIN(",",TRUE,$B175:$E175),SF_Output!$Q$1:$Q$400,"monthly"))/V175)</f>
        <v/>
      </c>
      <c r="X175" s="6" cm="1">
        <f t="array" ref="X175">IFERROR(_xlfn.IFS(V175=0,0,V175="","",W175=0,V175,OR(V175&lt;&gt;0,V175&lt;&gt;""),H175*I175),V175*(1-W175))</f>
        <v>0</v>
      </c>
    </row>
    <row r="176" spans="2:24" x14ac:dyDescent="0.25">
      <c r="B176" t="s">
        <v>2318</v>
      </c>
      <c r="C176" t="s">
        <v>2122</v>
      </c>
      <c r="D176" t="s">
        <v>2306</v>
      </c>
      <c r="E176" t="s">
        <v>2150</v>
      </c>
      <c r="F176" s="116" t="str">
        <f t="shared" si="8"/>
        <v>Optional</v>
      </c>
      <c r="G176" t="str">
        <f>IF(B176="","",INDEX(SF_Output!$K$1:$K$400,MATCH(B176,SF_Output!$M$1:$M$400,0)))</f>
        <v>jhaEnterprise Workflow</v>
      </c>
      <c r="H176" cm="1">
        <f t="array" ref="H176">_xlfn.IFS(B176="","",(SUMIFS(SF_Output!$F$1:$F$400,SF_Output!$AC$1:$AC$400,_xlfn.TEXTJOIN(",",TRUE,B176:E176))+SUMIFS(SF_Output!$G$1:$G$400,SF_Output!$AC$1:$AC$400,_xlfn.TEXTJOIN(",",TRUE,B176:E176)))&lt;&gt;0,SF_Output!$Y$2,INDEX(SF_Output!$F$1:$F$400,MATCH(_xlfn.TEXTJOIN(",",TRUE,B176:E176),SF_Output!$AC$1:$AC$400,0))=0,INDEX(SF_Output!$R$1:$R$400,MATCH(_xlfn.TEXTJOIN(",",TRUE,B176:E176),SF_Output!$AC$1:$AC$400,0)))</f>
        <v>1</v>
      </c>
      <c r="I176" s="125" t="str">
        <f>IFERROR(IF(AND(H176&gt;1,H176&lt;&gt;""),ROUND(SUMIFS(SF_Output!$S$1:$S$400,SF_Output!$AC$1:$AC$400,_xlfn.TEXTJOIN(",",TRUE,B176:E176),SF_Output!$Q$1:$Q$400,"monthly")*(1-W176)/H176,4),""),"")</f>
        <v/>
      </c>
      <c r="J176" s="6">
        <f>IF(B176="","",SUMIFS(SF_Output!$S$1:$S$400,SF_Output!$AC$1:$AC$400,_xlfn.TEXTJOIN(",",TRUE,B176:E176),SF_Output!$Q$1:$Q$400,"One Time",SF_Output!$L$1:$L$400,"license fee")+SUMIFS(SF_Output!$S$1:$S$400,SF_Output!$AC$1:$AC$400,_xlfn.TEXTJOIN(",",TRUE,B176:E176),SF_Output!$Q$1:$Q$400,"One Time",SF_Output!$L$1:$L$400,"software license")+SUMIFS(SF_Output!$S$1:$S$400,SF_Output!$AC$1:$AC$400,_xlfn.TEXTJOIN(",",TRUE,B176:E176),SF_Output!$Q$1:$Q$400,"One Time",SF_Output!$L$1:$L$400,"hardware"))</f>
        <v>0</v>
      </c>
      <c r="K176" s="112" t="str">
        <f>IF(OR(B176=0,B176="",G176="hardware",J176=0),"",IF(AF176&lt;&gt;"exclusion",MAX(K$9,-((SUMIFS(SF_Output!$T$1:$T$400,SF_Output!$AC$1:$AC$400,_xlfn.TEXTJOIN(",",TRUE,$B176:$E176),SF_Output!$Q$1:$Q$400,"One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license"))/J176)),-((SUMIFS(SF_Output!$T$1:$T$400,SF_Output!$AC$1:$AC$400,_xlfn.TEXTJOIN(",",TRUE,$B176:$E176),SF_Output!$Q$1:$Q$400,"One Time",SF_Output!$L$1:$L$400,"license fee")+SUMIFS(SF_Output!$T$1:$T$400,SF_Output!$AC$1:$AC$400,_xlfn.TEXTJOIN(",",TRUE,$B176:$E176),SF_Output!$Q$1:$Q$400,"One Time",SF_Output!$L$1:$L$400,"software license"))/J176)))</f>
        <v/>
      </c>
      <c r="L176" s="6">
        <f t="shared" si="9"/>
        <v>0</v>
      </c>
      <c r="N176" s="6">
        <f>IF(B176="","",SUMIFS(SF_Output!$S$1:$S$400,SF_Output!$AC$1:$AC$400,_xlfn.TEXTJOIN(",",TRUE,B176:E176),SF_Output!$Q$1:$Q$400,"One Time",SF_Output!$L$1:$L$400,"professional service"))</f>
        <v>25000</v>
      </c>
      <c r="O176" s="112">
        <f>IF(OR(B176=0,B176="",N176=0),"",IF(AF176&lt;&gt;"exclusion",MAX(O$9,-(SUMIFS(SF_Output!$T$1:$T$400,SF_Output!$AC$1:$AC$400,_xlfn.TEXTJOIN(",",TRUE,$B176:$E176),SF_Output!$Q$1:$Q$400,"One Time",SF_Output!$L$1:$L$400,"professional service"))/N176),-((SUMIFS(SF_Output!$T$1:$T$400,SF_Output!$AC$1:$AC$400,_xlfn.TEXTJOIN(",",TRUE,$B176:$E176),SF_Output!$Q$1:$Q$400,"One Time",SF_Output!$L$1:$L$400,"professional service")/N176))))</f>
        <v>0</v>
      </c>
      <c r="P176" s="6">
        <f t="shared" si="10"/>
        <v>25000</v>
      </c>
      <c r="R176" s="6">
        <f>IF(B176="","",SUMIFS(SF_Output!$S$1:$S$400,SF_Output!$AC$1:$AC$400,_xlfn.TEXTJOIN(",",TRUE,B176:E176),SF_Output!$Q$1:$Q$400,"yearly")+SUMIFS(SF_Output!$S$1:$S$400,SF_Output!$AC$1:$AC$400,_xlfn.TEXTJOIN(",",TRUE,B176:E176),SF_Output!$Q$1:$Q$400,"quarterly")*4)</f>
        <v>0</v>
      </c>
      <c r="S176" s="112" t="str">
        <f>IF(OR(B176=0,B176="",G176="hardware",R176=0),"",IF(AF176&lt;&gt;"exclusion",MAX(S$9,-(SUMIFS(SF_Output!$T$1:$T$400,SF_Output!$AC$1:$AC$400,_xlfn.TEXTJOIN(",",TRUE,$B176:$E176),SF_Output!$Q$1:$Q$400,"yearly"))/R176),-((SUMIFS(SF_Output!$T$1:$T$400,SF_Output!$AC$1:$AC$400,_xlfn.TEXTJOIN(",",TRUE,$B176:$E176),SF_Output!$Q$1:$Q$400,"yearly")/R176))))</f>
        <v/>
      </c>
      <c r="T176" s="6">
        <f t="shared" si="11"/>
        <v>0</v>
      </c>
      <c r="V176" s="6" cm="1">
        <f t="array" ref="V176">_xlfn.IFS(B176="","",AND(B176&lt;&gt;"",H176=SF_Output!$Y$2,SUMIFS(SF_Output!$T$1:$T$400,SF_Output!$AC$1:$AC$400,_xlfn.TEXTJOIN(",",TRUE,B176:E176),SF_Output!$Q$1:$Q$400,"monthly")=0),(SUMIFS(SF_Output!$F$1:$F$400,SF_Output!$AC$1:$AC$400,_xlfn.TEXTJOIN(",",TRUE,B176:E176),SF_Output!$Q$1:$Q$400,"monthly")+SUMIFS(SF_Output!$G$1:$G$400,SF_Output!$AC$1:$AC$400,_xlfn.TEXTJOIN(",",TRUE,B176:E176),SF_Output!$Q$1:$Q$400,"monthly"))*H176,AND(B176&lt;&gt;"",H176=SF_Output!$Y$2,SUMIFS(SF_Output!$T$1:$T$400,SF_Output!$AC$1:$AC$400,_xlfn.TEXTJOIN(",",TRUE,B176:E176),SF_Output!$Q$1:$Q$400,"monthly")&lt;&gt;0),SUMIFS(SF_Output!$S$1:$S$400,SF_Output!$AC$1:$AC$400,_xlfn.TEXTJOIN(",",TRUE,B176:E176),SF_Output!$Q$1:$Q$400,"monthly"),AND(B176&lt;&gt;"",H176&lt;&gt;SF_Output!$Y$2),SUMIFS(SF_Output!$S$1:$S$400,SF_Output!$AC$1:$AC$400,_xlfn.TEXTJOIN(",",TRUE,B176:E176),SF_Output!$Q$1:$Q$400,"monthly"))</f>
        <v>0</v>
      </c>
      <c r="W176" s="112" t="str" cm="1">
        <f t="array" ref="W176">_xlfn.IFS(OR(B176=0,B176="",V176=0),"",AF176&lt;&gt;"exclusion",MAX($W$9,$W$7,(-(SUMIFS(SF_Output!$T$1:$T$400,SF_Output!$AC$1:$AC$400,_xlfn.TEXTJOIN(",",TRUE,$B176:$E176),SF_Output!$Q$1:$Q$400,"monthly"))/V176)),AF176="exclusion",-(SUMIFS(SF_Output!$T$1:$T$400,SF_Output!$AC$1:$AC$400,_xlfn.TEXTJOIN(",",TRUE,$B176:$E176),SF_Output!$Q$1:$Q$400,"monthly"))/V176)</f>
        <v/>
      </c>
      <c r="X176" s="6" cm="1">
        <f t="array" ref="X176">IFERROR(_xlfn.IFS(V176=0,0,V176="","",W176=0,V176,OR(V176&lt;&gt;0,V176&lt;&gt;""),H176*I176),V176*(1-W176))</f>
        <v>0</v>
      </c>
    </row>
    <row r="177" spans="2:24" x14ac:dyDescent="0.25">
      <c r="B177" t="s">
        <v>1300</v>
      </c>
      <c r="C177" t="s">
        <v>2122</v>
      </c>
      <c r="D177" t="s">
        <v>2123</v>
      </c>
      <c r="E177" t="s">
        <v>2124</v>
      </c>
      <c r="F177" s="116" t="str">
        <f t="shared" si="8"/>
        <v>Included</v>
      </c>
      <c r="G177" t="str">
        <f>IF(B177="","",INDEX(SF_Output!$K$1:$K$400,MATCH(B177,SF_Output!$M$1:$M$400,0)))</f>
        <v>Know-It-All</v>
      </c>
      <c r="H177" cm="1">
        <f t="array" ref="H177">_xlfn.IFS(B177="","",(SUMIFS(SF_Output!$F$1:$F$400,SF_Output!$AC$1:$AC$400,_xlfn.TEXTJOIN(",",TRUE,B177:E177))+SUMIFS(SF_Output!$G$1:$G$400,SF_Output!$AC$1:$AC$400,_xlfn.TEXTJOIN(",",TRUE,B177:E177)))&lt;&gt;0,SF_Output!$Y$2,INDEX(SF_Output!$F$1:$F$400,MATCH(_xlfn.TEXTJOIN(",",TRUE,B177:E177),SF_Output!$AC$1:$AC$400,0))=0,INDEX(SF_Output!$R$1:$R$400,MATCH(_xlfn.TEXTJOIN(",",TRUE,B177:E177),SF_Output!$AC$1:$AC$400,0)))</f>
        <v>1</v>
      </c>
      <c r="I177" s="125" t="str">
        <f>IFERROR(IF(AND(H177&gt;1,H177&lt;&gt;""),ROUND(SUMIFS(SF_Output!$S$1:$S$400,SF_Output!$AC$1:$AC$400,_xlfn.TEXTJOIN(",",TRUE,B177:E177),SF_Output!$Q$1:$Q$400,"monthly")*(1-W177)/H177,4),""),"")</f>
        <v/>
      </c>
      <c r="J177" s="6">
        <f>IF(B177="","",SUMIFS(SF_Output!$S$1:$S$400,SF_Output!$AC$1:$AC$400,_xlfn.TEXTJOIN(",",TRUE,B177:E177),SF_Output!$Q$1:$Q$400,"One Time",SF_Output!$L$1:$L$400,"license fee")+SUMIFS(SF_Output!$S$1:$S$400,SF_Output!$AC$1:$AC$400,_xlfn.TEXTJOIN(",",TRUE,B177:E177),SF_Output!$Q$1:$Q$400,"One Time",SF_Output!$L$1:$L$400,"software license")+SUMIFS(SF_Output!$S$1:$S$400,SF_Output!$AC$1:$AC$400,_xlfn.TEXTJOIN(",",TRUE,B177:E177),SF_Output!$Q$1:$Q$400,"One Time",SF_Output!$L$1:$L$400,"hardware"))</f>
        <v>0</v>
      </c>
      <c r="K177" s="112" t="str">
        <f>IF(OR(B177=0,B177="",G177="hardware",J177=0),"",IF(AF177&lt;&gt;"exclusion",MAX(K$9,-((SUMIFS(SF_Output!$T$1:$T$400,SF_Output!$AC$1:$AC$400,_xlfn.TEXTJOIN(",",TRUE,$B177:$E177),SF_Output!$Q$1:$Q$400,"One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license"))/J177)),-((SUMIFS(SF_Output!$T$1:$T$400,SF_Output!$AC$1:$AC$400,_xlfn.TEXTJOIN(",",TRUE,$B177:$E177),SF_Output!$Q$1:$Q$400,"One Time",SF_Output!$L$1:$L$400,"license fee")+SUMIFS(SF_Output!$T$1:$T$400,SF_Output!$AC$1:$AC$400,_xlfn.TEXTJOIN(",",TRUE,$B177:$E177),SF_Output!$Q$1:$Q$400,"One Time",SF_Output!$L$1:$L$400,"software license"))/J177)))</f>
        <v/>
      </c>
      <c r="L177" s="6">
        <f t="shared" si="9"/>
        <v>0</v>
      </c>
      <c r="N177" s="6">
        <f>IF(B177="","",SUMIFS(SF_Output!$S$1:$S$400,SF_Output!$AC$1:$AC$400,_xlfn.TEXTJOIN(",",TRUE,B177:E177),SF_Output!$Q$1:$Q$400,"One Time",SF_Output!$L$1:$L$400,"professional service"))</f>
        <v>0</v>
      </c>
      <c r="O177" s="112" t="str">
        <f>IF(OR(B177=0,B177="",N177=0),"",IF(AF177&lt;&gt;"exclusion",MAX(O$9,-(SUMIFS(SF_Output!$T$1:$T$400,SF_Output!$AC$1:$AC$400,_xlfn.TEXTJOIN(",",TRUE,$B177:$E177),SF_Output!$Q$1:$Q$400,"One Time",SF_Output!$L$1:$L$400,"professional service"))/N177),-((SUMIFS(SF_Output!$T$1:$T$400,SF_Output!$AC$1:$AC$400,_xlfn.TEXTJOIN(",",TRUE,$B177:$E177),SF_Output!$Q$1:$Q$400,"One Time",SF_Output!$L$1:$L$400,"professional service")/N177))))</f>
        <v/>
      </c>
      <c r="P177" s="6">
        <f t="shared" si="10"/>
        <v>0</v>
      </c>
      <c r="R177" s="6">
        <f>IF(B177="","",SUMIFS(SF_Output!$S$1:$S$400,SF_Output!$AC$1:$AC$400,_xlfn.TEXTJOIN(",",TRUE,B177:E177),SF_Output!$Q$1:$Q$400,"yearly")+SUMIFS(SF_Output!$S$1:$S$400,SF_Output!$AC$1:$AC$400,_xlfn.TEXTJOIN(",",TRUE,B177:E177),SF_Output!$Q$1:$Q$400,"quarterly")*4)</f>
        <v>3500</v>
      </c>
      <c r="S177" s="112">
        <f>IF(OR(B177=0,B177="",G177="hardware",R177=0),"",IF(AF177&lt;&gt;"exclusion",MAX(S$9,-(SUMIFS(SF_Output!$T$1:$T$400,SF_Output!$AC$1:$AC$400,_xlfn.TEXTJOIN(",",TRUE,$B177:$E177),SF_Output!$Q$1:$Q$400,"yearly"))/R177),-((SUMIFS(SF_Output!$T$1:$T$400,SF_Output!$AC$1:$AC$400,_xlfn.TEXTJOIN(",",TRUE,$B177:$E177),SF_Output!$Q$1:$Q$400,"yearly")/R177))))</f>
        <v>0</v>
      </c>
      <c r="T177" s="6">
        <f t="shared" si="11"/>
        <v>3500</v>
      </c>
      <c r="V177" s="6" cm="1">
        <f t="array" ref="V177">_xlfn.IFS(B177="","",AND(B177&lt;&gt;"",H177=SF_Output!$Y$2,SUMIFS(SF_Output!$T$1:$T$400,SF_Output!$AC$1:$AC$400,_xlfn.TEXTJOIN(",",TRUE,B177:E177),SF_Output!$Q$1:$Q$400,"monthly")=0),(SUMIFS(SF_Output!$F$1:$F$400,SF_Output!$AC$1:$AC$400,_xlfn.TEXTJOIN(",",TRUE,B177:E177),SF_Output!$Q$1:$Q$400,"monthly")+SUMIFS(SF_Output!$G$1:$G$400,SF_Output!$AC$1:$AC$400,_xlfn.TEXTJOIN(",",TRUE,B177:E177),SF_Output!$Q$1:$Q$400,"monthly"))*H177,AND(B177&lt;&gt;"",H177=SF_Output!$Y$2,SUMIFS(SF_Output!$T$1:$T$400,SF_Output!$AC$1:$AC$400,_xlfn.TEXTJOIN(",",TRUE,B177:E177),SF_Output!$Q$1:$Q$400,"monthly")&lt;&gt;0),SUMIFS(SF_Output!$S$1:$S$400,SF_Output!$AC$1:$AC$400,_xlfn.TEXTJOIN(",",TRUE,B177:E177),SF_Output!$Q$1:$Q$400,"monthly"),AND(B177&lt;&gt;"",H177&lt;&gt;SF_Output!$Y$2),SUMIFS(SF_Output!$S$1:$S$400,SF_Output!$AC$1:$AC$400,_xlfn.TEXTJOIN(",",TRUE,B177:E177),SF_Output!$Q$1:$Q$400,"monthly"))</f>
        <v>0</v>
      </c>
      <c r="W177" s="112" t="str" cm="1">
        <f t="array" ref="W177">_xlfn.IFS(OR(B177=0,B177="",V177=0),"",AF177&lt;&gt;"exclusion",MAX($W$9,$W$7,(-(SUMIFS(SF_Output!$T$1:$T$400,SF_Output!$AC$1:$AC$400,_xlfn.TEXTJOIN(",",TRUE,$B177:$E177),SF_Output!$Q$1:$Q$400,"monthly"))/V177)),AF177="exclusion",-(SUMIFS(SF_Output!$T$1:$T$400,SF_Output!$AC$1:$AC$400,_xlfn.TEXTJOIN(",",TRUE,$B177:$E177),SF_Output!$Q$1:$Q$400,"monthly"))/V177)</f>
        <v/>
      </c>
      <c r="X177" s="6" cm="1">
        <f t="array" ref="X177">IFERROR(_xlfn.IFS(V177=0,0,V177="","",W177=0,V177,OR(V177&lt;&gt;0,V177&lt;&gt;""),H177*I177),V177*(1-W177))</f>
        <v>0</v>
      </c>
    </row>
    <row r="178" spans="2:24" x14ac:dyDescent="0.25">
      <c r="B178" t="s">
        <v>2474</v>
      </c>
      <c r="C178" t="s">
        <v>2474</v>
      </c>
      <c r="D178" t="s">
        <v>2474</v>
      </c>
      <c r="E178" t="s">
        <v>2474</v>
      </c>
      <c r="F178" s="116" t="str">
        <f t="shared" si="8"/>
        <v/>
      </c>
      <c r="G178" t="str">
        <f>IF(B178="","",INDEX(SF_Output!$K$1:$K$400,MATCH(B178,SF_Output!$M$1:$M$400,0)))</f>
        <v/>
      </c>
      <c r="H178" t="str" cm="1">
        <f t="array" ref="H178">_xlfn.IFS(B178="","",(SUMIFS(SF_Output!$F$1:$F$400,SF_Output!$AC$1:$AC$400,_xlfn.TEXTJOIN(",",TRUE,B178:E178))+SUMIFS(SF_Output!$G$1:$G$400,SF_Output!$AC$1:$AC$400,_xlfn.TEXTJOIN(",",TRUE,B178:E178)))&lt;&gt;0,SF_Output!$Y$2,INDEX(SF_Output!$F$1:$F$400,MATCH(_xlfn.TEXTJOIN(",",TRUE,B178:E178),SF_Output!$AC$1:$AC$400,0))=0,INDEX(SF_Output!$R$1:$R$400,MATCH(_xlfn.TEXTJOIN(",",TRUE,B178:E178),SF_Output!$AC$1:$AC$400,0)))</f>
        <v/>
      </c>
      <c r="I178" s="125" t="str">
        <f>IFERROR(IF(AND(H178&gt;1,H178&lt;&gt;""),ROUND(SUMIFS(SF_Output!$S$1:$S$400,SF_Output!$AC$1:$AC$400,_xlfn.TEXTJOIN(",",TRUE,B178:E178),SF_Output!$Q$1:$Q$400,"monthly")*(1-W178)/H178,4),""),"")</f>
        <v/>
      </c>
      <c r="J178" s="6" t="str">
        <f>IF(B178="","",SUMIFS(SF_Output!$S$1:$S$400,SF_Output!$AC$1:$AC$400,_xlfn.TEXTJOIN(",",TRUE,B178:E178),SF_Output!$Q$1:$Q$400,"One Time",SF_Output!$L$1:$L$400,"license fee")+SUMIFS(SF_Output!$S$1:$S$400,SF_Output!$AC$1:$AC$400,_xlfn.TEXTJOIN(",",TRUE,B178:E178),SF_Output!$Q$1:$Q$400,"One Time",SF_Output!$L$1:$L$400,"software license")+SUMIFS(SF_Output!$S$1:$S$400,SF_Output!$AC$1:$AC$400,_xlfn.TEXTJOIN(",",TRUE,B178:E178),SF_Output!$Q$1:$Q$400,"One Time",SF_Output!$L$1:$L$400,"hardware"))</f>
        <v/>
      </c>
      <c r="K178" s="112" t="str">
        <f>IF(OR(B178=0,B178="",G178="hardware",J178=0),"",IF(AF178&lt;&gt;"exclusion",MAX(K$9,-((SUMIFS(SF_Output!$T$1:$T$400,SF_Output!$AC$1:$AC$400,_xlfn.TEXTJOIN(",",TRUE,$B178:$E178),SF_Output!$Q$1:$Q$400,"One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license"))/J178)),-((SUMIFS(SF_Output!$T$1:$T$400,SF_Output!$AC$1:$AC$400,_xlfn.TEXTJOIN(",",TRUE,$B178:$E178),SF_Output!$Q$1:$Q$400,"One Time",SF_Output!$L$1:$L$400,"license fee")+SUMIFS(SF_Output!$T$1:$T$400,SF_Output!$AC$1:$AC$400,_xlfn.TEXTJOIN(",",TRUE,$B178:$E178),SF_Output!$Q$1:$Q$400,"One Time",SF_Output!$L$1:$L$400,"software license"))/J178)))</f>
        <v/>
      </c>
      <c r="L178" s="6" t="str">
        <f t="shared" si="9"/>
        <v/>
      </c>
      <c r="N178" s="6" t="str">
        <f>IF(B178="","",SUMIFS(SF_Output!$S$1:$S$400,SF_Output!$AC$1:$AC$400,_xlfn.TEXTJOIN(",",TRUE,B178:E178),SF_Output!$Q$1:$Q$400,"One Time",SF_Output!$L$1:$L$400,"professional service"))</f>
        <v/>
      </c>
      <c r="O178" s="112" t="str">
        <f>IF(OR(B178=0,B178="",N178=0),"",IF(AF178&lt;&gt;"exclusion",MAX(O$9,-(SUMIFS(SF_Output!$T$1:$T$400,SF_Output!$AC$1:$AC$400,_xlfn.TEXTJOIN(",",TRUE,$B178:$E178),SF_Output!$Q$1:$Q$400,"One Time",SF_Output!$L$1:$L$400,"professional service"))/N178),-((SUMIFS(SF_Output!$T$1:$T$400,SF_Output!$AC$1:$AC$400,_xlfn.TEXTJOIN(",",TRUE,$B178:$E178),SF_Output!$Q$1:$Q$400,"One Time",SF_Output!$L$1:$L$400,"professional service")/N178))))</f>
        <v/>
      </c>
      <c r="P178" s="6" t="str">
        <f t="shared" si="10"/>
        <v/>
      </c>
      <c r="R178" s="6" t="str">
        <f>IF(B178="","",SUMIFS(SF_Output!$S$1:$S$400,SF_Output!$AC$1:$AC$400,_xlfn.TEXTJOIN(",",TRUE,B178:E178),SF_Output!$Q$1:$Q$400,"yearly")+SUMIFS(SF_Output!$S$1:$S$400,SF_Output!$AC$1:$AC$400,_xlfn.TEXTJOIN(",",TRUE,B178:E178),SF_Output!$Q$1:$Q$400,"quarterly")*4)</f>
        <v/>
      </c>
      <c r="S178" s="112" t="str">
        <f>IF(OR(B178=0,B178="",G178="hardware",R178=0),"",IF(AF178&lt;&gt;"exclusion",MAX(S$9,-(SUMIFS(SF_Output!$T$1:$T$400,SF_Output!$AC$1:$AC$400,_xlfn.TEXTJOIN(",",TRUE,$B178:$E178),SF_Output!$Q$1:$Q$400,"yearly"))/R178),-((SUMIFS(SF_Output!$T$1:$T$400,SF_Output!$AC$1:$AC$400,_xlfn.TEXTJOIN(",",TRUE,$B178:$E178),SF_Output!$Q$1:$Q$400,"yearly")/R178))))</f>
        <v/>
      </c>
      <c r="T178" s="6" t="str">
        <f t="shared" si="11"/>
        <v/>
      </c>
      <c r="V178" s="6" t="str" cm="1">
        <f t="array" ref="V178">_xlfn.IFS(B178="","",AND(B178&lt;&gt;"",H178=SF_Output!$Y$2,SUMIFS(SF_Output!$T$1:$T$400,SF_Output!$AC$1:$AC$400,_xlfn.TEXTJOIN(",",TRUE,B178:E178),SF_Output!$Q$1:$Q$400,"monthly")=0),(SUMIFS(SF_Output!$F$1:$F$400,SF_Output!$AC$1:$AC$400,_xlfn.TEXTJOIN(",",TRUE,B178:E178),SF_Output!$Q$1:$Q$400,"monthly")+SUMIFS(SF_Output!$G$1:$G$400,SF_Output!$AC$1:$AC$400,_xlfn.TEXTJOIN(",",TRUE,B178:E178),SF_Output!$Q$1:$Q$400,"monthly"))*H178,AND(B178&lt;&gt;"",H178=SF_Output!$Y$2,SUMIFS(SF_Output!$T$1:$T$400,SF_Output!$AC$1:$AC$400,_xlfn.TEXTJOIN(",",TRUE,B178:E178),SF_Output!$Q$1:$Q$400,"monthly")&lt;&gt;0),SUMIFS(SF_Output!$S$1:$S$400,SF_Output!$AC$1:$AC$400,_xlfn.TEXTJOIN(",",TRUE,B178:E178),SF_Output!$Q$1:$Q$400,"monthly"),AND(B178&lt;&gt;"",H178&lt;&gt;SF_Output!$Y$2),SUMIFS(SF_Output!$S$1:$S$400,SF_Output!$AC$1:$AC$400,_xlfn.TEXTJOIN(",",TRUE,B178:E178),SF_Output!$Q$1:$Q$400,"monthly"))</f>
        <v/>
      </c>
      <c r="W178" s="112" t="str" cm="1">
        <f t="array" ref="W178">_xlfn.IFS(OR(B178=0,B178="",V178=0),"",AF178&lt;&gt;"exclusion",MAX($W$9,$W$7,(-(SUMIFS(SF_Output!$T$1:$T$400,SF_Output!$AC$1:$AC$400,_xlfn.TEXTJOIN(",",TRUE,$B178:$E178),SF_Output!$Q$1:$Q$400,"monthly"))/V178)),AF178="exclusion",-(SUMIFS(SF_Output!$T$1:$T$400,SF_Output!$AC$1:$AC$400,_xlfn.TEXTJOIN(",",TRUE,$B178:$E178),SF_Output!$Q$1:$Q$400,"monthly"))/V178)</f>
        <v/>
      </c>
      <c r="X178" s="6" t="str" cm="1">
        <f t="array" ref="X178">IFERROR(_xlfn.IFS(V178=0,0,V178="","",W178=0,V178,OR(V178&lt;&gt;0,V178&lt;&gt;""),H178*I178),V178*(1-W178))</f>
        <v/>
      </c>
    </row>
    <row r="179" spans="2:24" x14ac:dyDescent="0.25">
      <c r="F179" s="116" t="str">
        <f t="shared" si="8"/>
        <v/>
      </c>
      <c r="G179" t="str">
        <f>IF(B179="","",INDEX(SF_Output!$K$1:$K$400,MATCH(B179,SF_Output!$M$1:$M$400,0)))</f>
        <v/>
      </c>
      <c r="H179" t="str" cm="1">
        <f t="array" ref="H179">_xlfn.IFS(B179="","",(SUMIFS(SF_Output!$F$1:$F$400,SF_Output!$AC$1:$AC$400,_xlfn.TEXTJOIN(",",TRUE,B179:E179))+SUMIFS(SF_Output!$G$1:$G$400,SF_Output!$AC$1:$AC$400,_xlfn.TEXTJOIN(",",TRUE,B179:E179)))&lt;&gt;0,SF_Output!$Y$2,INDEX(SF_Output!$F$1:$F$400,MATCH(_xlfn.TEXTJOIN(",",TRUE,B179:E179),SF_Output!$AC$1:$AC$400,0))=0,INDEX(SF_Output!$R$1:$R$400,MATCH(_xlfn.TEXTJOIN(",",TRUE,B179:E179),SF_Output!$AC$1:$AC$400,0)))</f>
        <v/>
      </c>
      <c r="I179" s="125" t="str">
        <f>IFERROR(IF(AND(H179&gt;1,H179&lt;&gt;""),ROUND(SUMIFS(SF_Output!$S$1:$S$400,SF_Output!$AC$1:$AC$400,_xlfn.TEXTJOIN(",",TRUE,B179:E179),SF_Output!$Q$1:$Q$400,"monthly")*(1-W179)/H179,4),""),"")</f>
        <v/>
      </c>
      <c r="J179" s="6" t="str">
        <f>IF(B179="","",SUMIFS(SF_Output!$S$1:$S$400,SF_Output!$AC$1:$AC$400,_xlfn.TEXTJOIN(",",TRUE,B179:E179),SF_Output!$Q$1:$Q$400,"One Time",SF_Output!$L$1:$L$400,"license fee")+SUMIFS(SF_Output!$S$1:$S$400,SF_Output!$AC$1:$AC$400,_xlfn.TEXTJOIN(",",TRUE,B179:E179),SF_Output!$Q$1:$Q$400,"One Time",SF_Output!$L$1:$L$400,"software license")+SUMIFS(SF_Output!$S$1:$S$400,SF_Output!$AC$1:$AC$400,_xlfn.TEXTJOIN(",",TRUE,B179:E179),SF_Output!$Q$1:$Q$400,"One Time",SF_Output!$L$1:$L$400,"hardware"))</f>
        <v/>
      </c>
      <c r="K179" s="112" t="str">
        <f>IF(OR(B179=0,B179="",G179="hardware",J179=0),"",IF(AF179&lt;&gt;"exclusion",MAX(K$9,-((SUMIFS(SF_Output!$T$1:$T$400,SF_Output!$AC$1:$AC$400,_xlfn.TEXTJOIN(",",TRUE,$B179:$E179),SF_Output!$Q$1:$Q$400,"One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license"))/J179)),-((SUMIFS(SF_Output!$T$1:$T$400,SF_Output!$AC$1:$AC$400,_xlfn.TEXTJOIN(",",TRUE,$B179:$E179),SF_Output!$Q$1:$Q$400,"One Time",SF_Output!$L$1:$L$400,"license fee")+SUMIFS(SF_Output!$T$1:$T$400,SF_Output!$AC$1:$AC$400,_xlfn.TEXTJOIN(",",TRUE,$B179:$E179),SF_Output!$Q$1:$Q$400,"One Time",SF_Output!$L$1:$L$400,"software license"))/J179)))</f>
        <v/>
      </c>
      <c r="L179" s="6" t="str">
        <f t="shared" si="9"/>
        <v/>
      </c>
      <c r="N179" s="6" t="str">
        <f>IF(B179="","",SUMIFS(SF_Output!$S$1:$S$400,SF_Output!$AC$1:$AC$400,_xlfn.TEXTJOIN(",",TRUE,B179:E179),SF_Output!$Q$1:$Q$400,"One Time",SF_Output!$L$1:$L$400,"professional service"))</f>
        <v/>
      </c>
      <c r="O179" s="112" t="str">
        <f>IF(OR(B179=0,B179="",N179=0),"",IF(AF179&lt;&gt;"exclusion",MAX(O$9,-(SUMIFS(SF_Output!$T$1:$T$400,SF_Output!$AC$1:$AC$400,_xlfn.TEXTJOIN(",",TRUE,$B179:$E179),SF_Output!$Q$1:$Q$400,"One Time",SF_Output!$L$1:$L$400,"professional service"))/N179),-((SUMIFS(SF_Output!$T$1:$T$400,SF_Output!$AC$1:$AC$400,_xlfn.TEXTJOIN(",",TRUE,$B179:$E179),SF_Output!$Q$1:$Q$400,"One Time",SF_Output!$L$1:$L$400,"professional service")/N179))))</f>
        <v/>
      </c>
      <c r="P179" s="6" t="str">
        <f t="shared" si="10"/>
        <v/>
      </c>
      <c r="R179" s="6" t="str">
        <f>IF(B179="","",SUMIFS(SF_Output!$S$1:$S$400,SF_Output!$AC$1:$AC$400,_xlfn.TEXTJOIN(",",TRUE,B179:E179),SF_Output!$Q$1:$Q$400,"yearly")+SUMIFS(SF_Output!$S$1:$S$400,SF_Output!$AC$1:$AC$400,_xlfn.TEXTJOIN(",",TRUE,B179:E179),SF_Output!$Q$1:$Q$400,"quarterly")*4)</f>
        <v/>
      </c>
      <c r="S179" s="112" t="str">
        <f>IF(OR(B179=0,B179="",G179="hardware",R179=0),"",IF(AF179&lt;&gt;"exclusion",MAX(S$9,-(SUMIFS(SF_Output!$T$1:$T$400,SF_Output!$AC$1:$AC$400,_xlfn.TEXTJOIN(",",TRUE,$B179:$E179),SF_Output!$Q$1:$Q$400,"yearly"))/R179),-((SUMIFS(SF_Output!$T$1:$T$400,SF_Output!$AC$1:$AC$400,_xlfn.TEXTJOIN(",",TRUE,$B179:$E179),SF_Output!$Q$1:$Q$400,"yearly")/R179))))</f>
        <v/>
      </c>
      <c r="T179" s="6" t="str">
        <f t="shared" si="11"/>
        <v/>
      </c>
      <c r="V179" s="6" t="str" cm="1">
        <f t="array" ref="V179">_xlfn.IFS(B179="","",AND(B179&lt;&gt;"",H179=SF_Output!$Y$2,SUMIFS(SF_Output!$T$1:$T$400,SF_Output!$AC$1:$AC$400,_xlfn.TEXTJOIN(",",TRUE,B179:E179),SF_Output!$Q$1:$Q$400,"monthly")=0),(SUMIFS(SF_Output!$F$1:$F$400,SF_Output!$AC$1:$AC$400,_xlfn.TEXTJOIN(",",TRUE,B179:E179),SF_Output!$Q$1:$Q$400,"monthly")+SUMIFS(SF_Output!$G$1:$G$400,SF_Output!$AC$1:$AC$400,_xlfn.TEXTJOIN(",",TRUE,B179:E179),SF_Output!$Q$1:$Q$400,"monthly"))*H179,AND(B179&lt;&gt;"",H179=SF_Output!$Y$2,SUMIFS(SF_Output!$T$1:$T$400,SF_Output!$AC$1:$AC$400,_xlfn.TEXTJOIN(",",TRUE,B179:E179),SF_Output!$Q$1:$Q$400,"monthly")&lt;&gt;0),SUMIFS(SF_Output!$S$1:$S$400,SF_Output!$AC$1:$AC$400,_xlfn.TEXTJOIN(",",TRUE,B179:E179),SF_Output!$Q$1:$Q$400,"monthly"),AND(B179&lt;&gt;"",H179&lt;&gt;SF_Output!$Y$2),SUMIFS(SF_Output!$S$1:$S$400,SF_Output!$AC$1:$AC$400,_xlfn.TEXTJOIN(",",TRUE,B179:E179),SF_Output!$Q$1:$Q$400,"monthly"))</f>
        <v/>
      </c>
      <c r="W179" s="112" t="str" cm="1">
        <f t="array" ref="W179">_xlfn.IFS(OR(B179=0,B179="",V179=0),"",AF179&lt;&gt;"exclusion",MAX($W$9,$W$7,(-(SUMIFS(SF_Output!$T$1:$T$400,SF_Output!$AC$1:$AC$400,_xlfn.TEXTJOIN(",",TRUE,$B179:$E179),SF_Output!$Q$1:$Q$400,"monthly"))/V179)),AF179="exclusion",-(SUMIFS(SF_Output!$T$1:$T$400,SF_Output!$AC$1:$AC$400,_xlfn.TEXTJOIN(",",TRUE,$B179:$E179),SF_Output!$Q$1:$Q$400,"monthly"))/V179)</f>
        <v/>
      </c>
      <c r="X179" s="6" t="str" cm="1">
        <f t="array" ref="X179">IFERROR(_xlfn.IFS(V179=0,0,V179="","",W179=0,V179,OR(V179&lt;&gt;0,V179&lt;&gt;""),H179*I179),V179*(1-W179))</f>
        <v/>
      </c>
    </row>
    <row r="180" spans="2:24" x14ac:dyDescent="0.25">
      <c r="F180" s="116" t="str">
        <f t="shared" si="8"/>
        <v/>
      </c>
      <c r="G180" t="str">
        <f>IF(B180="","",INDEX(SF_Output!$K$1:$K$400,MATCH(B180,SF_Output!$M$1:$M$400,0)))</f>
        <v/>
      </c>
      <c r="H180" t="str" cm="1">
        <f t="array" ref="H180">_xlfn.IFS(B180="","",(SUMIFS(SF_Output!$F$1:$F$400,SF_Output!$AC$1:$AC$400,_xlfn.TEXTJOIN(",",TRUE,B180:E180))+SUMIFS(SF_Output!$G$1:$G$400,SF_Output!$AC$1:$AC$400,_xlfn.TEXTJOIN(",",TRUE,B180:E180)))&lt;&gt;0,SF_Output!$Y$2,INDEX(SF_Output!$F$1:$F$400,MATCH(_xlfn.TEXTJOIN(",",TRUE,B180:E180),SF_Output!$AC$1:$AC$400,0))=0,INDEX(SF_Output!$R$1:$R$400,MATCH(_xlfn.TEXTJOIN(",",TRUE,B180:E180),SF_Output!$AC$1:$AC$400,0)))</f>
        <v/>
      </c>
      <c r="I180" s="125" t="str">
        <f>IFERROR(IF(AND(H180&gt;1,H180&lt;&gt;""),ROUND(SUMIFS(SF_Output!$S$1:$S$400,SF_Output!$AC$1:$AC$400,_xlfn.TEXTJOIN(",",TRUE,B180:E180),SF_Output!$Q$1:$Q$400,"monthly")*(1-W180)/H180,4),""),"")</f>
        <v/>
      </c>
      <c r="J180" s="6" t="str">
        <f>IF(B180="","",SUMIFS(SF_Output!$S$1:$S$400,SF_Output!$AC$1:$AC$400,_xlfn.TEXTJOIN(",",TRUE,B180:E180),SF_Output!$Q$1:$Q$400,"One Time",SF_Output!$L$1:$L$400,"license fee")+SUMIFS(SF_Output!$S$1:$S$400,SF_Output!$AC$1:$AC$400,_xlfn.TEXTJOIN(",",TRUE,B180:E180),SF_Output!$Q$1:$Q$400,"One Time",SF_Output!$L$1:$L$400,"software license")+SUMIFS(SF_Output!$S$1:$S$400,SF_Output!$AC$1:$AC$400,_xlfn.TEXTJOIN(",",TRUE,B180:E180),SF_Output!$Q$1:$Q$400,"One Time",SF_Output!$L$1:$L$400,"hardware"))</f>
        <v/>
      </c>
      <c r="K180" s="112" t="str">
        <f>IF(OR(B180=0,B180="",G180="hardware",J180=0),"",IF(AF180&lt;&gt;"exclusion",MAX(K$9,-((SUMIFS(SF_Output!$T$1:$T$400,SF_Output!$AC$1:$AC$400,_xlfn.TEXTJOIN(",",TRUE,$B180:$E180),SF_Output!$Q$1:$Q$400,"One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license"))/J180)),-((SUMIFS(SF_Output!$T$1:$T$400,SF_Output!$AC$1:$AC$400,_xlfn.TEXTJOIN(",",TRUE,$B180:$E180),SF_Output!$Q$1:$Q$400,"One Time",SF_Output!$L$1:$L$400,"license fee")+SUMIFS(SF_Output!$T$1:$T$400,SF_Output!$AC$1:$AC$400,_xlfn.TEXTJOIN(",",TRUE,$B180:$E180),SF_Output!$Q$1:$Q$400,"One Time",SF_Output!$L$1:$L$400,"software license"))/J180)))</f>
        <v/>
      </c>
      <c r="L180" s="6" t="str">
        <f t="shared" si="9"/>
        <v/>
      </c>
      <c r="N180" s="6" t="str">
        <f>IF(B180="","",SUMIFS(SF_Output!$S$1:$S$400,SF_Output!$AC$1:$AC$400,_xlfn.TEXTJOIN(",",TRUE,B180:E180),SF_Output!$Q$1:$Q$400,"One Time",SF_Output!$L$1:$L$400,"professional service"))</f>
        <v/>
      </c>
      <c r="O180" s="112" t="str">
        <f>IF(OR(B180=0,B180="",N180=0),"",IF(AF180&lt;&gt;"exclusion",MAX(O$9,-(SUMIFS(SF_Output!$T$1:$T$400,SF_Output!$AC$1:$AC$400,_xlfn.TEXTJOIN(",",TRUE,$B180:$E180),SF_Output!$Q$1:$Q$400,"One Time",SF_Output!$L$1:$L$400,"professional service"))/N180),-((SUMIFS(SF_Output!$T$1:$T$400,SF_Output!$AC$1:$AC$400,_xlfn.TEXTJOIN(",",TRUE,$B180:$E180),SF_Output!$Q$1:$Q$400,"One Time",SF_Output!$L$1:$L$400,"professional service")/N180))))</f>
        <v/>
      </c>
      <c r="P180" s="6" t="str">
        <f t="shared" si="10"/>
        <v/>
      </c>
      <c r="R180" s="6" t="str">
        <f>IF(B180="","",SUMIFS(SF_Output!$S$1:$S$400,SF_Output!$AC$1:$AC$400,_xlfn.TEXTJOIN(",",TRUE,B180:E180),SF_Output!$Q$1:$Q$400,"yearly")+SUMIFS(SF_Output!$S$1:$S$400,SF_Output!$AC$1:$AC$400,_xlfn.TEXTJOIN(",",TRUE,B180:E180),SF_Output!$Q$1:$Q$400,"quarterly")*4)</f>
        <v/>
      </c>
      <c r="S180" s="112" t="str">
        <f>IF(OR(B180=0,B180="",G180="hardware",R180=0),"",IF(AF180&lt;&gt;"exclusion",MAX(S$9,-(SUMIFS(SF_Output!$T$1:$T$400,SF_Output!$AC$1:$AC$400,_xlfn.TEXTJOIN(",",TRUE,$B180:$E180),SF_Output!$Q$1:$Q$400,"yearly"))/R180),-((SUMIFS(SF_Output!$T$1:$T$400,SF_Output!$AC$1:$AC$400,_xlfn.TEXTJOIN(",",TRUE,$B180:$E180),SF_Output!$Q$1:$Q$400,"yearly")/R180))))</f>
        <v/>
      </c>
      <c r="T180" s="6" t="str">
        <f t="shared" si="11"/>
        <v/>
      </c>
      <c r="V180" s="6" t="str" cm="1">
        <f t="array" ref="V180">_xlfn.IFS(B180="","",AND(B180&lt;&gt;"",H180=SF_Output!$Y$2,SUMIFS(SF_Output!$T$1:$T$400,SF_Output!$AC$1:$AC$400,_xlfn.TEXTJOIN(",",TRUE,B180:E180),SF_Output!$Q$1:$Q$400,"monthly")=0),(SUMIFS(SF_Output!$F$1:$F$400,SF_Output!$AC$1:$AC$400,_xlfn.TEXTJOIN(",",TRUE,B180:E180),SF_Output!$Q$1:$Q$400,"monthly")+SUMIFS(SF_Output!$G$1:$G$400,SF_Output!$AC$1:$AC$400,_xlfn.TEXTJOIN(",",TRUE,B180:E180),SF_Output!$Q$1:$Q$400,"monthly"))*H180,AND(B180&lt;&gt;"",H180=SF_Output!$Y$2,SUMIFS(SF_Output!$T$1:$T$400,SF_Output!$AC$1:$AC$400,_xlfn.TEXTJOIN(",",TRUE,B180:E180),SF_Output!$Q$1:$Q$400,"monthly")&lt;&gt;0),SUMIFS(SF_Output!$S$1:$S$400,SF_Output!$AC$1:$AC$400,_xlfn.TEXTJOIN(",",TRUE,B180:E180),SF_Output!$Q$1:$Q$400,"monthly"),AND(B180&lt;&gt;"",H180&lt;&gt;SF_Output!$Y$2),SUMIFS(SF_Output!$S$1:$S$400,SF_Output!$AC$1:$AC$400,_xlfn.TEXTJOIN(",",TRUE,B180:E180),SF_Output!$Q$1:$Q$400,"monthly"))</f>
        <v/>
      </c>
      <c r="W180" s="112" t="str" cm="1">
        <f t="array" ref="W180">_xlfn.IFS(OR(B180=0,B180="",V180=0),"",AF180&lt;&gt;"exclusion",MAX($W$9,$W$7,(-(SUMIFS(SF_Output!$T$1:$T$400,SF_Output!$AC$1:$AC$400,_xlfn.TEXTJOIN(",",TRUE,$B180:$E180),SF_Output!$Q$1:$Q$400,"monthly"))/V180)),AF180="exclusion",-(SUMIFS(SF_Output!$T$1:$T$400,SF_Output!$AC$1:$AC$400,_xlfn.TEXTJOIN(",",TRUE,$B180:$E180),SF_Output!$Q$1:$Q$400,"monthly"))/V180)</f>
        <v/>
      </c>
      <c r="X180" s="6" t="str" cm="1">
        <f t="array" ref="X180">IFERROR(_xlfn.IFS(V180=0,0,V180="","",W180=0,V180,OR(V180&lt;&gt;0,V180&lt;&gt;""),H180*I180),V180*(1-W180))</f>
        <v/>
      </c>
    </row>
    <row r="181" spans="2:24" x14ac:dyDescent="0.25">
      <c r="F181" s="116" t="str">
        <f t="shared" si="8"/>
        <v/>
      </c>
      <c r="G181" t="str">
        <f>IF(B181="","",INDEX(SF_Output!$K$1:$K$400,MATCH(B181,SF_Output!$M$1:$M$400,0)))</f>
        <v/>
      </c>
      <c r="H181" t="str" cm="1">
        <f t="array" ref="H181">_xlfn.IFS(B181="","",(SUMIFS(SF_Output!$F$1:$F$400,SF_Output!$AC$1:$AC$400,_xlfn.TEXTJOIN(",",TRUE,B181:E181))+SUMIFS(SF_Output!$G$1:$G$400,SF_Output!$AC$1:$AC$400,_xlfn.TEXTJOIN(",",TRUE,B181:E181)))&lt;&gt;0,SF_Output!$Y$2,INDEX(SF_Output!$F$1:$F$400,MATCH(_xlfn.TEXTJOIN(",",TRUE,B181:E181),SF_Output!$AC$1:$AC$400,0))=0,INDEX(SF_Output!$R$1:$R$400,MATCH(_xlfn.TEXTJOIN(",",TRUE,B181:E181),SF_Output!$AC$1:$AC$400,0)))</f>
        <v/>
      </c>
      <c r="I181" s="125" t="str">
        <f>IFERROR(IF(AND(H181&gt;1,H181&lt;&gt;""),ROUND(SUMIFS(SF_Output!$S$1:$S$400,SF_Output!$AC$1:$AC$400,_xlfn.TEXTJOIN(",",TRUE,B181:E181),SF_Output!$Q$1:$Q$400,"monthly")*(1-W181)/H181,4),""),"")</f>
        <v/>
      </c>
      <c r="J181" s="6" t="str">
        <f>IF(B181="","",SUMIFS(SF_Output!$S$1:$S$400,SF_Output!$AC$1:$AC$400,_xlfn.TEXTJOIN(",",TRUE,B181:E181),SF_Output!$Q$1:$Q$400,"One Time",SF_Output!$L$1:$L$400,"license fee")+SUMIFS(SF_Output!$S$1:$S$400,SF_Output!$AC$1:$AC$400,_xlfn.TEXTJOIN(",",TRUE,B181:E181),SF_Output!$Q$1:$Q$400,"One Time",SF_Output!$L$1:$L$400,"software license")+SUMIFS(SF_Output!$S$1:$S$400,SF_Output!$AC$1:$AC$400,_xlfn.TEXTJOIN(",",TRUE,B181:E181),SF_Output!$Q$1:$Q$400,"One Time",SF_Output!$L$1:$L$400,"hardware"))</f>
        <v/>
      </c>
      <c r="K181" s="112" t="str">
        <f>IF(OR(B181=0,B181="",G181="hardware",J181=0),"",IF(AF181&lt;&gt;"exclusion",MAX(K$9,-((SUMIFS(SF_Output!$T$1:$T$400,SF_Output!$AC$1:$AC$400,_xlfn.TEXTJOIN(",",TRUE,$B181:$E181),SF_Output!$Q$1:$Q$400,"One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license"))/J181)),-((SUMIFS(SF_Output!$T$1:$T$400,SF_Output!$AC$1:$AC$400,_xlfn.TEXTJOIN(",",TRUE,$B181:$E181),SF_Output!$Q$1:$Q$400,"One Time",SF_Output!$L$1:$L$400,"license fee")+SUMIFS(SF_Output!$T$1:$T$400,SF_Output!$AC$1:$AC$400,_xlfn.TEXTJOIN(",",TRUE,$B181:$E181),SF_Output!$Q$1:$Q$400,"One Time",SF_Output!$L$1:$L$400,"software license"))/J181)))</f>
        <v/>
      </c>
      <c r="L181" s="6" t="str">
        <f t="shared" si="9"/>
        <v/>
      </c>
      <c r="N181" s="6" t="str">
        <f>IF(B181="","",SUMIFS(SF_Output!$S$1:$S$400,SF_Output!$AC$1:$AC$400,_xlfn.TEXTJOIN(",",TRUE,B181:E181),SF_Output!$Q$1:$Q$400,"One Time",SF_Output!$L$1:$L$400,"professional service"))</f>
        <v/>
      </c>
      <c r="O181" s="112" t="str">
        <f>IF(OR(B181=0,B181="",N181=0),"",IF(AF181&lt;&gt;"exclusion",MAX(O$9,-(SUMIFS(SF_Output!$T$1:$T$400,SF_Output!$AC$1:$AC$400,_xlfn.TEXTJOIN(",",TRUE,$B181:$E181),SF_Output!$Q$1:$Q$400,"One Time",SF_Output!$L$1:$L$400,"professional service"))/N181),-((SUMIFS(SF_Output!$T$1:$T$400,SF_Output!$AC$1:$AC$400,_xlfn.TEXTJOIN(",",TRUE,$B181:$E181),SF_Output!$Q$1:$Q$400,"One Time",SF_Output!$L$1:$L$400,"professional service")/N181))))</f>
        <v/>
      </c>
      <c r="P181" s="6" t="str">
        <f t="shared" si="10"/>
        <v/>
      </c>
      <c r="R181" s="6" t="str">
        <f>IF(B181="","",SUMIFS(SF_Output!$S$1:$S$400,SF_Output!$AC$1:$AC$400,_xlfn.TEXTJOIN(",",TRUE,B181:E181),SF_Output!$Q$1:$Q$400,"yearly")+SUMIFS(SF_Output!$S$1:$S$400,SF_Output!$AC$1:$AC$400,_xlfn.TEXTJOIN(",",TRUE,B181:E181),SF_Output!$Q$1:$Q$400,"quarterly")*4)</f>
        <v/>
      </c>
      <c r="S181" s="112" t="str">
        <f>IF(OR(B181=0,B181="",G181="hardware",R181=0),"",IF(AF181&lt;&gt;"exclusion",MAX(S$9,-(SUMIFS(SF_Output!$T$1:$T$400,SF_Output!$AC$1:$AC$400,_xlfn.TEXTJOIN(",",TRUE,$B181:$E181),SF_Output!$Q$1:$Q$400,"yearly"))/R181),-((SUMIFS(SF_Output!$T$1:$T$400,SF_Output!$AC$1:$AC$400,_xlfn.TEXTJOIN(",",TRUE,$B181:$E181),SF_Output!$Q$1:$Q$400,"yearly")/R181))))</f>
        <v/>
      </c>
      <c r="T181" s="6" t="str">
        <f t="shared" si="11"/>
        <v/>
      </c>
      <c r="V181" s="6" t="str" cm="1">
        <f t="array" ref="V181">_xlfn.IFS(B181="","",AND(B181&lt;&gt;"",H181=SF_Output!$Y$2,SUMIFS(SF_Output!$T$1:$T$400,SF_Output!$AC$1:$AC$400,_xlfn.TEXTJOIN(",",TRUE,B181:E181),SF_Output!$Q$1:$Q$400,"monthly")=0),(SUMIFS(SF_Output!$F$1:$F$400,SF_Output!$AC$1:$AC$400,_xlfn.TEXTJOIN(",",TRUE,B181:E181),SF_Output!$Q$1:$Q$400,"monthly")+SUMIFS(SF_Output!$G$1:$G$400,SF_Output!$AC$1:$AC$400,_xlfn.TEXTJOIN(",",TRUE,B181:E181),SF_Output!$Q$1:$Q$400,"monthly"))*H181,AND(B181&lt;&gt;"",H181=SF_Output!$Y$2,SUMIFS(SF_Output!$T$1:$T$400,SF_Output!$AC$1:$AC$400,_xlfn.TEXTJOIN(",",TRUE,B181:E181),SF_Output!$Q$1:$Q$400,"monthly")&lt;&gt;0),SUMIFS(SF_Output!$S$1:$S$400,SF_Output!$AC$1:$AC$400,_xlfn.TEXTJOIN(",",TRUE,B181:E181),SF_Output!$Q$1:$Q$400,"monthly"),AND(B181&lt;&gt;"",H181&lt;&gt;SF_Output!$Y$2),SUMIFS(SF_Output!$S$1:$S$400,SF_Output!$AC$1:$AC$400,_xlfn.TEXTJOIN(",",TRUE,B181:E181),SF_Output!$Q$1:$Q$400,"monthly"))</f>
        <v/>
      </c>
      <c r="W181" s="112" t="str" cm="1">
        <f t="array" ref="W181">_xlfn.IFS(OR(B181=0,B181="",V181=0),"",AF181&lt;&gt;"exclusion",MAX($W$9,$W$7,(-(SUMIFS(SF_Output!$T$1:$T$400,SF_Output!$AC$1:$AC$400,_xlfn.TEXTJOIN(",",TRUE,$B181:$E181),SF_Output!$Q$1:$Q$400,"monthly"))/V181)),AF181="exclusion",-(SUMIFS(SF_Output!$T$1:$T$400,SF_Output!$AC$1:$AC$400,_xlfn.TEXTJOIN(",",TRUE,$B181:$E181),SF_Output!$Q$1:$Q$400,"monthly"))/V181)</f>
        <v/>
      </c>
      <c r="X181" s="6" t="str" cm="1">
        <f t="array" ref="X181">IFERROR(_xlfn.IFS(V181=0,0,V181="","",W181=0,V181,OR(V181&lt;&gt;0,V181&lt;&gt;""),H181*I181),V181*(1-W181))</f>
        <v/>
      </c>
    </row>
    <row r="182" spans="2:24" x14ac:dyDescent="0.25">
      <c r="F182" s="116" t="str">
        <f t="shared" si="8"/>
        <v/>
      </c>
      <c r="G182" t="str">
        <f>IF(B182="","",INDEX(SF_Output!$K$1:$K$400,MATCH(B182,SF_Output!$M$1:$M$400,0)))</f>
        <v/>
      </c>
      <c r="H182" t="str" cm="1">
        <f t="array" ref="H182">_xlfn.IFS(B182="","",(SUMIFS(SF_Output!$F$1:$F$400,SF_Output!$AC$1:$AC$400,_xlfn.TEXTJOIN(",",TRUE,B182:E182))+SUMIFS(SF_Output!$G$1:$G$400,SF_Output!$AC$1:$AC$400,_xlfn.TEXTJOIN(",",TRUE,B182:E182)))&lt;&gt;0,SF_Output!$Y$2,INDEX(SF_Output!$F$1:$F$400,MATCH(_xlfn.TEXTJOIN(",",TRUE,B182:E182),SF_Output!$AC$1:$AC$400,0))=0,INDEX(SF_Output!$R$1:$R$400,MATCH(_xlfn.TEXTJOIN(",",TRUE,B182:E182),SF_Output!$AC$1:$AC$400,0)))</f>
        <v/>
      </c>
      <c r="I182" s="125" t="str">
        <f>IFERROR(IF(AND(H182&gt;1,H182&lt;&gt;""),ROUND(SUMIFS(SF_Output!$S$1:$S$400,SF_Output!$AC$1:$AC$400,_xlfn.TEXTJOIN(",",TRUE,B182:E182),SF_Output!$Q$1:$Q$400,"monthly")*(1-W182)/H182,4),""),"")</f>
        <v/>
      </c>
      <c r="J182" s="6" t="str">
        <f>IF(B182="","",SUMIFS(SF_Output!$S$1:$S$400,SF_Output!$AC$1:$AC$400,_xlfn.TEXTJOIN(",",TRUE,B182:E182),SF_Output!$Q$1:$Q$400,"One Time",SF_Output!$L$1:$L$400,"license fee")+SUMIFS(SF_Output!$S$1:$S$400,SF_Output!$AC$1:$AC$400,_xlfn.TEXTJOIN(",",TRUE,B182:E182),SF_Output!$Q$1:$Q$400,"One Time",SF_Output!$L$1:$L$400,"software license")+SUMIFS(SF_Output!$S$1:$S$400,SF_Output!$AC$1:$AC$400,_xlfn.TEXTJOIN(",",TRUE,B182:E182),SF_Output!$Q$1:$Q$400,"One Time",SF_Output!$L$1:$L$400,"hardware"))</f>
        <v/>
      </c>
      <c r="K182" s="112" t="str">
        <f>IF(OR(B182=0,B182="",G182="hardware",J182=0),"",IF(AF182&lt;&gt;"exclusion",MAX(K$9,-((SUMIFS(SF_Output!$T$1:$T$400,SF_Output!$AC$1:$AC$400,_xlfn.TEXTJOIN(",",TRUE,$B182:$E182),SF_Output!$Q$1:$Q$400,"One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license"))/J182)),-((SUMIFS(SF_Output!$T$1:$T$400,SF_Output!$AC$1:$AC$400,_xlfn.TEXTJOIN(",",TRUE,$B182:$E182),SF_Output!$Q$1:$Q$400,"One Time",SF_Output!$L$1:$L$400,"license fee")+SUMIFS(SF_Output!$T$1:$T$400,SF_Output!$AC$1:$AC$400,_xlfn.TEXTJOIN(",",TRUE,$B182:$E182),SF_Output!$Q$1:$Q$400,"One Time",SF_Output!$L$1:$L$400,"software license"))/J182)))</f>
        <v/>
      </c>
      <c r="L182" s="6" t="str">
        <f t="shared" si="9"/>
        <v/>
      </c>
      <c r="N182" s="6" t="str">
        <f>IF(B182="","",SUMIFS(SF_Output!$S$1:$S$400,SF_Output!$AC$1:$AC$400,_xlfn.TEXTJOIN(",",TRUE,B182:E182),SF_Output!$Q$1:$Q$400,"One Time",SF_Output!$L$1:$L$400,"professional service"))</f>
        <v/>
      </c>
      <c r="O182" s="112" t="str">
        <f>IF(OR(B182=0,B182="",N182=0),"",IF(AF182&lt;&gt;"exclusion",MAX(O$9,-(SUMIFS(SF_Output!$T$1:$T$400,SF_Output!$AC$1:$AC$400,_xlfn.TEXTJOIN(",",TRUE,$B182:$E182),SF_Output!$Q$1:$Q$400,"One Time",SF_Output!$L$1:$L$400,"professional service"))/N182),-((SUMIFS(SF_Output!$T$1:$T$400,SF_Output!$AC$1:$AC$400,_xlfn.TEXTJOIN(",",TRUE,$B182:$E182),SF_Output!$Q$1:$Q$400,"One Time",SF_Output!$L$1:$L$400,"professional service")/N182))))</f>
        <v/>
      </c>
      <c r="P182" s="6" t="str">
        <f t="shared" si="10"/>
        <v/>
      </c>
      <c r="R182" s="6" t="str">
        <f>IF(B182="","",SUMIFS(SF_Output!$S$1:$S$400,SF_Output!$AC$1:$AC$400,_xlfn.TEXTJOIN(",",TRUE,B182:E182),SF_Output!$Q$1:$Q$400,"yearly")+SUMIFS(SF_Output!$S$1:$S$400,SF_Output!$AC$1:$AC$400,_xlfn.TEXTJOIN(",",TRUE,B182:E182),SF_Output!$Q$1:$Q$400,"quarterly")*4)</f>
        <v/>
      </c>
      <c r="S182" s="112" t="str">
        <f>IF(OR(B182=0,B182="",G182="hardware",R182=0),"",IF(AF182&lt;&gt;"exclusion",MAX(S$9,-(SUMIFS(SF_Output!$T$1:$T$400,SF_Output!$AC$1:$AC$400,_xlfn.TEXTJOIN(",",TRUE,$B182:$E182),SF_Output!$Q$1:$Q$400,"yearly"))/R182),-((SUMIFS(SF_Output!$T$1:$T$400,SF_Output!$AC$1:$AC$400,_xlfn.TEXTJOIN(",",TRUE,$B182:$E182),SF_Output!$Q$1:$Q$400,"yearly")/R182))))</f>
        <v/>
      </c>
      <c r="T182" s="6" t="str">
        <f t="shared" si="11"/>
        <v/>
      </c>
      <c r="V182" s="6" t="str" cm="1">
        <f t="array" ref="V182">_xlfn.IFS(B182="","",AND(B182&lt;&gt;"",H182=SF_Output!$Y$2,SUMIFS(SF_Output!$T$1:$T$400,SF_Output!$AC$1:$AC$400,_xlfn.TEXTJOIN(",",TRUE,B182:E182),SF_Output!$Q$1:$Q$400,"monthly")=0),(SUMIFS(SF_Output!$F$1:$F$400,SF_Output!$AC$1:$AC$400,_xlfn.TEXTJOIN(",",TRUE,B182:E182),SF_Output!$Q$1:$Q$400,"monthly")+SUMIFS(SF_Output!$G$1:$G$400,SF_Output!$AC$1:$AC$400,_xlfn.TEXTJOIN(",",TRUE,B182:E182),SF_Output!$Q$1:$Q$400,"monthly"))*H182,AND(B182&lt;&gt;"",H182=SF_Output!$Y$2,SUMIFS(SF_Output!$T$1:$T$400,SF_Output!$AC$1:$AC$400,_xlfn.TEXTJOIN(",",TRUE,B182:E182),SF_Output!$Q$1:$Q$400,"monthly")&lt;&gt;0),SUMIFS(SF_Output!$S$1:$S$400,SF_Output!$AC$1:$AC$400,_xlfn.TEXTJOIN(",",TRUE,B182:E182),SF_Output!$Q$1:$Q$400,"monthly"),AND(B182&lt;&gt;"",H182&lt;&gt;SF_Output!$Y$2),SUMIFS(SF_Output!$S$1:$S$400,SF_Output!$AC$1:$AC$400,_xlfn.TEXTJOIN(",",TRUE,B182:E182),SF_Output!$Q$1:$Q$400,"monthly"))</f>
        <v/>
      </c>
      <c r="W182" s="112" t="str" cm="1">
        <f t="array" ref="W182">_xlfn.IFS(OR(B182=0,B182="",V182=0),"",AF182&lt;&gt;"exclusion",MAX($W$9,$W$7,(-(SUMIFS(SF_Output!$T$1:$T$400,SF_Output!$AC$1:$AC$400,_xlfn.TEXTJOIN(",",TRUE,$B182:$E182),SF_Output!$Q$1:$Q$400,"monthly"))/V182)),AF182="exclusion",-(SUMIFS(SF_Output!$T$1:$T$400,SF_Output!$AC$1:$AC$400,_xlfn.TEXTJOIN(",",TRUE,$B182:$E182),SF_Output!$Q$1:$Q$400,"monthly"))/V182)</f>
        <v/>
      </c>
      <c r="X182" s="6" t="str" cm="1">
        <f t="array" ref="X182">IFERROR(_xlfn.IFS(V182=0,0,V182="","",W182=0,V182,OR(V182&lt;&gt;0,V182&lt;&gt;""),H182*I182),V182*(1-W182))</f>
        <v/>
      </c>
    </row>
    <row r="183" spans="2:24" x14ac:dyDescent="0.25">
      <c r="F183" s="116" t="str">
        <f t="shared" si="8"/>
        <v/>
      </c>
      <c r="G183" t="str">
        <f>IF(B183="","",INDEX(SF_Output!$K$1:$K$400,MATCH(B183,SF_Output!$M$1:$M$400,0)))</f>
        <v/>
      </c>
      <c r="H183" t="str" cm="1">
        <f t="array" ref="H183">_xlfn.IFS(B183="","",(SUMIFS(SF_Output!$F$1:$F$400,SF_Output!$AC$1:$AC$400,_xlfn.TEXTJOIN(",",TRUE,B183:E183))+SUMIFS(SF_Output!$G$1:$G$400,SF_Output!$AC$1:$AC$400,_xlfn.TEXTJOIN(",",TRUE,B183:E183)))&lt;&gt;0,SF_Output!$Y$2,INDEX(SF_Output!$F$1:$F$400,MATCH(_xlfn.TEXTJOIN(",",TRUE,B183:E183),SF_Output!$AC$1:$AC$400,0))=0,INDEX(SF_Output!$R$1:$R$400,MATCH(_xlfn.TEXTJOIN(",",TRUE,B183:E183),SF_Output!$AC$1:$AC$400,0)))</f>
        <v/>
      </c>
      <c r="I183" s="125" t="str">
        <f>IFERROR(IF(AND(H183&gt;1,H183&lt;&gt;""),ROUND(SUMIFS(SF_Output!$S$1:$S$400,SF_Output!$AC$1:$AC$400,_xlfn.TEXTJOIN(",",TRUE,B183:E183),SF_Output!$Q$1:$Q$400,"monthly")*(1-W183)/H183,4),""),"")</f>
        <v/>
      </c>
      <c r="J183" s="6" t="str">
        <f>IF(B183="","",SUMIFS(SF_Output!$S$1:$S$400,SF_Output!$AC$1:$AC$400,_xlfn.TEXTJOIN(",",TRUE,B183:E183),SF_Output!$Q$1:$Q$400,"One Time",SF_Output!$L$1:$L$400,"license fee")+SUMIFS(SF_Output!$S$1:$S$400,SF_Output!$AC$1:$AC$400,_xlfn.TEXTJOIN(",",TRUE,B183:E183),SF_Output!$Q$1:$Q$400,"One Time",SF_Output!$L$1:$L$400,"software license")+SUMIFS(SF_Output!$S$1:$S$400,SF_Output!$AC$1:$AC$400,_xlfn.TEXTJOIN(",",TRUE,B183:E183),SF_Output!$Q$1:$Q$400,"One Time",SF_Output!$L$1:$L$400,"hardware"))</f>
        <v/>
      </c>
      <c r="K183" s="112" t="str">
        <f>IF(OR(B183=0,B183="",G183="hardware",J183=0),"",IF(AF183&lt;&gt;"exclusion",MAX(K$9,-((SUMIFS(SF_Output!$T$1:$T$400,SF_Output!$AC$1:$AC$400,_xlfn.TEXTJOIN(",",TRUE,$B183:$E183),SF_Output!$Q$1:$Q$400,"One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license"))/J183)),-((SUMIFS(SF_Output!$T$1:$T$400,SF_Output!$AC$1:$AC$400,_xlfn.TEXTJOIN(",",TRUE,$B183:$E183),SF_Output!$Q$1:$Q$400,"One Time",SF_Output!$L$1:$L$400,"license fee")+SUMIFS(SF_Output!$T$1:$T$400,SF_Output!$AC$1:$AC$400,_xlfn.TEXTJOIN(",",TRUE,$B183:$E183),SF_Output!$Q$1:$Q$400,"One Time",SF_Output!$L$1:$L$400,"software license"))/J183)))</f>
        <v/>
      </c>
      <c r="L183" s="6" t="str">
        <f t="shared" si="9"/>
        <v/>
      </c>
      <c r="N183" s="6" t="str">
        <f>IF(B183="","",SUMIFS(SF_Output!$S$1:$S$400,SF_Output!$AC$1:$AC$400,_xlfn.TEXTJOIN(",",TRUE,B183:E183),SF_Output!$Q$1:$Q$400,"One Time",SF_Output!$L$1:$L$400,"professional service"))</f>
        <v/>
      </c>
      <c r="O183" s="112" t="str">
        <f>IF(OR(B183=0,B183="",N183=0),"",IF(AF183&lt;&gt;"exclusion",MAX(O$9,-(SUMIFS(SF_Output!$T$1:$T$400,SF_Output!$AC$1:$AC$400,_xlfn.TEXTJOIN(",",TRUE,$B183:$E183),SF_Output!$Q$1:$Q$400,"One Time",SF_Output!$L$1:$L$400,"professional service"))/N183),-((SUMIFS(SF_Output!$T$1:$T$400,SF_Output!$AC$1:$AC$400,_xlfn.TEXTJOIN(",",TRUE,$B183:$E183),SF_Output!$Q$1:$Q$400,"One Time",SF_Output!$L$1:$L$400,"professional service")/N183))))</f>
        <v/>
      </c>
      <c r="P183" s="6" t="str">
        <f t="shared" si="10"/>
        <v/>
      </c>
      <c r="R183" s="6" t="str">
        <f>IF(B183="","",SUMIFS(SF_Output!$S$1:$S$400,SF_Output!$AC$1:$AC$400,_xlfn.TEXTJOIN(",",TRUE,B183:E183),SF_Output!$Q$1:$Q$400,"yearly")+SUMIFS(SF_Output!$S$1:$S$400,SF_Output!$AC$1:$AC$400,_xlfn.TEXTJOIN(",",TRUE,B183:E183),SF_Output!$Q$1:$Q$400,"quarterly")*4)</f>
        <v/>
      </c>
      <c r="S183" s="112" t="str">
        <f>IF(OR(B183=0,B183="",G183="hardware",R183=0),"",IF(AF183&lt;&gt;"exclusion",MAX(S$9,-(SUMIFS(SF_Output!$T$1:$T$400,SF_Output!$AC$1:$AC$400,_xlfn.TEXTJOIN(",",TRUE,$B183:$E183),SF_Output!$Q$1:$Q$400,"yearly"))/R183),-((SUMIFS(SF_Output!$T$1:$T$400,SF_Output!$AC$1:$AC$400,_xlfn.TEXTJOIN(",",TRUE,$B183:$E183),SF_Output!$Q$1:$Q$400,"yearly")/R183))))</f>
        <v/>
      </c>
      <c r="T183" s="6" t="str">
        <f t="shared" si="11"/>
        <v/>
      </c>
      <c r="V183" s="6" t="str" cm="1">
        <f t="array" ref="V183">_xlfn.IFS(B183="","",AND(B183&lt;&gt;"",H183=SF_Output!$Y$2,SUMIFS(SF_Output!$T$1:$T$400,SF_Output!$AC$1:$AC$400,_xlfn.TEXTJOIN(",",TRUE,B183:E183),SF_Output!$Q$1:$Q$400,"monthly")=0),(SUMIFS(SF_Output!$F$1:$F$400,SF_Output!$AC$1:$AC$400,_xlfn.TEXTJOIN(",",TRUE,B183:E183),SF_Output!$Q$1:$Q$400,"monthly")+SUMIFS(SF_Output!$G$1:$G$400,SF_Output!$AC$1:$AC$400,_xlfn.TEXTJOIN(",",TRUE,B183:E183),SF_Output!$Q$1:$Q$400,"monthly"))*H183,AND(B183&lt;&gt;"",H183=SF_Output!$Y$2,SUMIFS(SF_Output!$T$1:$T$400,SF_Output!$AC$1:$AC$400,_xlfn.TEXTJOIN(",",TRUE,B183:E183),SF_Output!$Q$1:$Q$400,"monthly")&lt;&gt;0),SUMIFS(SF_Output!$S$1:$S$400,SF_Output!$AC$1:$AC$400,_xlfn.TEXTJOIN(",",TRUE,B183:E183),SF_Output!$Q$1:$Q$400,"monthly"),AND(B183&lt;&gt;"",H183&lt;&gt;SF_Output!$Y$2),SUMIFS(SF_Output!$S$1:$S$400,SF_Output!$AC$1:$AC$400,_xlfn.TEXTJOIN(",",TRUE,B183:E183),SF_Output!$Q$1:$Q$400,"monthly"))</f>
        <v/>
      </c>
      <c r="W183" s="112" t="str" cm="1">
        <f t="array" ref="W183">_xlfn.IFS(OR(B183=0,B183="",V183=0),"",AF183&lt;&gt;"exclusion",MAX($W$9,$W$7,(-(SUMIFS(SF_Output!$T$1:$T$400,SF_Output!$AC$1:$AC$400,_xlfn.TEXTJOIN(",",TRUE,$B183:$E183),SF_Output!$Q$1:$Q$400,"monthly"))/V183)),AF183="exclusion",-(SUMIFS(SF_Output!$T$1:$T$400,SF_Output!$AC$1:$AC$400,_xlfn.TEXTJOIN(",",TRUE,$B183:$E183),SF_Output!$Q$1:$Q$400,"monthly"))/V183)</f>
        <v/>
      </c>
      <c r="X183" s="6" t="str" cm="1">
        <f t="array" ref="X183">IFERROR(_xlfn.IFS(V183=0,0,V183="","",W183=0,V183,OR(V183&lt;&gt;0,V183&lt;&gt;""),H183*I183),V183*(1-W183))</f>
        <v/>
      </c>
    </row>
    <row r="184" spans="2:24" x14ac:dyDescent="0.25">
      <c r="F184" s="116" t="str">
        <f t="shared" si="8"/>
        <v/>
      </c>
      <c r="G184" t="str">
        <f>IF(B184="","",INDEX(SF_Output!$K$1:$K$400,MATCH(B184,SF_Output!$M$1:$M$400,0)))</f>
        <v/>
      </c>
      <c r="H184" t="str" cm="1">
        <f t="array" ref="H184">_xlfn.IFS(B184="","",(SUMIFS(SF_Output!$F$1:$F$400,SF_Output!$AC$1:$AC$400,_xlfn.TEXTJOIN(",",TRUE,B184:E184))+SUMIFS(SF_Output!$G$1:$G$400,SF_Output!$AC$1:$AC$400,_xlfn.TEXTJOIN(",",TRUE,B184:E184)))&lt;&gt;0,SF_Output!$Y$2,INDEX(SF_Output!$F$1:$F$400,MATCH(_xlfn.TEXTJOIN(",",TRUE,B184:E184),SF_Output!$AC$1:$AC$400,0))=0,INDEX(SF_Output!$R$1:$R$400,MATCH(_xlfn.TEXTJOIN(",",TRUE,B184:E184),SF_Output!$AC$1:$AC$400,0)))</f>
        <v/>
      </c>
      <c r="I184" s="125" t="str">
        <f>IFERROR(IF(AND(H184&gt;1,H184&lt;&gt;""),ROUND(SUMIFS(SF_Output!$S$1:$S$400,SF_Output!$AC$1:$AC$400,_xlfn.TEXTJOIN(",",TRUE,B184:E184),SF_Output!$Q$1:$Q$400,"monthly")*(1-W184)/H184,4),""),"")</f>
        <v/>
      </c>
      <c r="J184" s="6" t="str">
        <f>IF(B184="","",SUMIFS(SF_Output!$S$1:$S$400,SF_Output!$AC$1:$AC$400,_xlfn.TEXTJOIN(",",TRUE,B184:E184),SF_Output!$Q$1:$Q$400,"One Time",SF_Output!$L$1:$L$400,"license fee")+SUMIFS(SF_Output!$S$1:$S$400,SF_Output!$AC$1:$AC$400,_xlfn.TEXTJOIN(",",TRUE,B184:E184),SF_Output!$Q$1:$Q$400,"One Time",SF_Output!$L$1:$L$400,"software license")+SUMIFS(SF_Output!$S$1:$S$400,SF_Output!$AC$1:$AC$400,_xlfn.TEXTJOIN(",",TRUE,B184:E184),SF_Output!$Q$1:$Q$400,"One Time",SF_Output!$L$1:$L$400,"hardware"))</f>
        <v/>
      </c>
      <c r="K184" s="112" t="str">
        <f>IF(OR(B184=0,B184="",G184="hardware",J184=0),"",IF(AF184&lt;&gt;"exclusion",MAX(K$9,-((SUMIFS(SF_Output!$T$1:$T$400,SF_Output!$AC$1:$AC$400,_xlfn.TEXTJOIN(",",TRUE,$B184:$E184),SF_Output!$Q$1:$Q$400,"One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license"))/J184)),-((SUMIFS(SF_Output!$T$1:$T$400,SF_Output!$AC$1:$AC$400,_xlfn.TEXTJOIN(",",TRUE,$B184:$E184),SF_Output!$Q$1:$Q$400,"One Time",SF_Output!$L$1:$L$400,"license fee")+SUMIFS(SF_Output!$T$1:$T$400,SF_Output!$AC$1:$AC$400,_xlfn.TEXTJOIN(",",TRUE,$B184:$E184),SF_Output!$Q$1:$Q$400,"One Time",SF_Output!$L$1:$L$400,"software license"))/J184)))</f>
        <v/>
      </c>
      <c r="L184" s="6" t="str">
        <f t="shared" si="9"/>
        <v/>
      </c>
      <c r="N184" s="6" t="str">
        <f>IF(B184="","",SUMIFS(SF_Output!$S$1:$S$400,SF_Output!$AC$1:$AC$400,_xlfn.TEXTJOIN(",",TRUE,B184:E184),SF_Output!$Q$1:$Q$400,"One Time",SF_Output!$L$1:$L$400,"professional service"))</f>
        <v/>
      </c>
      <c r="O184" s="112" t="str">
        <f>IF(OR(B184=0,B184="",N184=0),"",IF(AF184&lt;&gt;"exclusion",MAX(O$9,-(SUMIFS(SF_Output!$T$1:$T$400,SF_Output!$AC$1:$AC$400,_xlfn.TEXTJOIN(",",TRUE,$B184:$E184),SF_Output!$Q$1:$Q$400,"One Time",SF_Output!$L$1:$L$400,"professional service"))/N184),-((SUMIFS(SF_Output!$T$1:$T$400,SF_Output!$AC$1:$AC$400,_xlfn.TEXTJOIN(",",TRUE,$B184:$E184),SF_Output!$Q$1:$Q$400,"One Time",SF_Output!$L$1:$L$400,"professional service")/N184))))</f>
        <v/>
      </c>
      <c r="P184" s="6" t="str">
        <f t="shared" si="10"/>
        <v/>
      </c>
      <c r="R184" s="6" t="str">
        <f>IF(B184="","",SUMIFS(SF_Output!$S$1:$S$400,SF_Output!$AC$1:$AC$400,_xlfn.TEXTJOIN(",",TRUE,B184:E184),SF_Output!$Q$1:$Q$400,"yearly")+SUMIFS(SF_Output!$S$1:$S$400,SF_Output!$AC$1:$AC$400,_xlfn.TEXTJOIN(",",TRUE,B184:E184),SF_Output!$Q$1:$Q$400,"quarterly")*4)</f>
        <v/>
      </c>
      <c r="S184" s="112" t="str">
        <f>IF(OR(B184=0,B184="",G184="hardware",R184=0),"",IF(AF184&lt;&gt;"exclusion",MAX(S$9,-(SUMIFS(SF_Output!$T$1:$T$400,SF_Output!$AC$1:$AC$400,_xlfn.TEXTJOIN(",",TRUE,$B184:$E184),SF_Output!$Q$1:$Q$400,"yearly"))/R184),-((SUMIFS(SF_Output!$T$1:$T$400,SF_Output!$AC$1:$AC$400,_xlfn.TEXTJOIN(",",TRUE,$B184:$E184),SF_Output!$Q$1:$Q$400,"yearly")/R184))))</f>
        <v/>
      </c>
      <c r="T184" s="6" t="str">
        <f t="shared" si="11"/>
        <v/>
      </c>
      <c r="V184" s="6" t="str" cm="1">
        <f t="array" ref="V184">_xlfn.IFS(B184="","",AND(B184&lt;&gt;"",H184=SF_Output!$Y$2,SUMIFS(SF_Output!$T$1:$T$400,SF_Output!$AC$1:$AC$400,_xlfn.TEXTJOIN(",",TRUE,B184:E184),SF_Output!$Q$1:$Q$400,"monthly")=0),(SUMIFS(SF_Output!$F$1:$F$400,SF_Output!$AC$1:$AC$400,_xlfn.TEXTJOIN(",",TRUE,B184:E184),SF_Output!$Q$1:$Q$400,"monthly")+SUMIFS(SF_Output!$G$1:$G$400,SF_Output!$AC$1:$AC$400,_xlfn.TEXTJOIN(",",TRUE,B184:E184),SF_Output!$Q$1:$Q$400,"monthly"))*H184,AND(B184&lt;&gt;"",H184=SF_Output!$Y$2,SUMIFS(SF_Output!$T$1:$T$400,SF_Output!$AC$1:$AC$400,_xlfn.TEXTJOIN(",",TRUE,B184:E184),SF_Output!$Q$1:$Q$400,"monthly")&lt;&gt;0),SUMIFS(SF_Output!$S$1:$S$400,SF_Output!$AC$1:$AC$400,_xlfn.TEXTJOIN(",",TRUE,B184:E184),SF_Output!$Q$1:$Q$400,"monthly"),AND(B184&lt;&gt;"",H184&lt;&gt;SF_Output!$Y$2),SUMIFS(SF_Output!$S$1:$S$400,SF_Output!$AC$1:$AC$400,_xlfn.TEXTJOIN(",",TRUE,B184:E184),SF_Output!$Q$1:$Q$400,"monthly"))</f>
        <v/>
      </c>
      <c r="W184" s="112" t="str" cm="1">
        <f t="array" ref="W184">_xlfn.IFS(OR(B184=0,B184="",V184=0),"",AF184&lt;&gt;"exclusion",MAX($W$9,$W$7,(-(SUMIFS(SF_Output!$T$1:$T$400,SF_Output!$AC$1:$AC$400,_xlfn.TEXTJOIN(",",TRUE,$B184:$E184),SF_Output!$Q$1:$Q$400,"monthly"))/V184)),AF184="exclusion",-(SUMIFS(SF_Output!$T$1:$T$400,SF_Output!$AC$1:$AC$400,_xlfn.TEXTJOIN(",",TRUE,$B184:$E184),SF_Output!$Q$1:$Q$400,"monthly"))/V184)</f>
        <v/>
      </c>
      <c r="X184" s="6" t="str" cm="1">
        <f t="array" ref="X184">IFERROR(_xlfn.IFS(V184=0,0,V184="","",W184=0,V184,OR(V184&lt;&gt;0,V184&lt;&gt;""),H184*I184),V184*(1-W184))</f>
        <v/>
      </c>
    </row>
    <row r="185" spans="2:24" x14ac:dyDescent="0.25">
      <c r="F185" s="116" t="str">
        <f t="shared" si="8"/>
        <v/>
      </c>
      <c r="G185" t="str">
        <f>IF(B185="","",INDEX(SF_Output!$K$1:$K$400,MATCH(B185,SF_Output!$M$1:$M$400,0)))</f>
        <v/>
      </c>
      <c r="H185" t="str" cm="1">
        <f t="array" ref="H185">_xlfn.IFS(B185="","",(SUMIFS(SF_Output!$F$1:$F$400,SF_Output!$AC$1:$AC$400,_xlfn.TEXTJOIN(",",TRUE,B185:E185))+SUMIFS(SF_Output!$G$1:$G$400,SF_Output!$AC$1:$AC$400,_xlfn.TEXTJOIN(",",TRUE,B185:E185)))&lt;&gt;0,SF_Output!$Y$2,INDEX(SF_Output!$F$1:$F$400,MATCH(_xlfn.TEXTJOIN(",",TRUE,B185:E185),SF_Output!$AC$1:$AC$400,0))=0,INDEX(SF_Output!$R$1:$R$400,MATCH(_xlfn.TEXTJOIN(",",TRUE,B185:E185),SF_Output!$AC$1:$AC$400,0)))</f>
        <v/>
      </c>
      <c r="I185" s="125" t="str">
        <f>IFERROR(IF(AND(H185&gt;1,H185&lt;&gt;""),ROUND(SUMIFS(SF_Output!$S$1:$S$400,SF_Output!$AC$1:$AC$400,_xlfn.TEXTJOIN(",",TRUE,B185:E185),SF_Output!$Q$1:$Q$400,"monthly")*(1-W185)/H185,4),""),"")</f>
        <v/>
      </c>
      <c r="J185" s="6" t="str">
        <f>IF(B185="","",SUMIFS(SF_Output!$S$1:$S$400,SF_Output!$AC$1:$AC$400,_xlfn.TEXTJOIN(",",TRUE,B185:E185),SF_Output!$Q$1:$Q$400,"One Time",SF_Output!$L$1:$L$400,"license fee")+SUMIFS(SF_Output!$S$1:$S$400,SF_Output!$AC$1:$AC$400,_xlfn.TEXTJOIN(",",TRUE,B185:E185),SF_Output!$Q$1:$Q$400,"One Time",SF_Output!$L$1:$L$400,"software license")+SUMIFS(SF_Output!$S$1:$S$400,SF_Output!$AC$1:$AC$400,_xlfn.TEXTJOIN(",",TRUE,B185:E185),SF_Output!$Q$1:$Q$400,"One Time",SF_Output!$L$1:$L$400,"hardware"))</f>
        <v/>
      </c>
      <c r="K185" s="112" t="str">
        <f>IF(OR(B185=0,B185="",G185="hardware",J185=0),"",IF(AF185&lt;&gt;"exclusion",MAX(K$9,-((SUMIFS(SF_Output!$T$1:$T$400,SF_Output!$AC$1:$AC$400,_xlfn.TEXTJOIN(",",TRUE,$B185:$E185),SF_Output!$Q$1:$Q$400,"One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license"))/J185)),-((SUMIFS(SF_Output!$T$1:$T$400,SF_Output!$AC$1:$AC$400,_xlfn.TEXTJOIN(",",TRUE,$B185:$E185),SF_Output!$Q$1:$Q$400,"One Time",SF_Output!$L$1:$L$400,"license fee")+SUMIFS(SF_Output!$T$1:$T$400,SF_Output!$AC$1:$AC$400,_xlfn.TEXTJOIN(",",TRUE,$B185:$E185),SF_Output!$Q$1:$Q$400,"One Time",SF_Output!$L$1:$L$400,"software license"))/J185)))</f>
        <v/>
      </c>
      <c r="L185" s="6" t="str">
        <f t="shared" si="9"/>
        <v/>
      </c>
      <c r="N185" s="6" t="str">
        <f>IF(B185="","",SUMIFS(SF_Output!$S$1:$S$400,SF_Output!$AC$1:$AC$400,_xlfn.TEXTJOIN(",",TRUE,B185:E185),SF_Output!$Q$1:$Q$400,"One Time",SF_Output!$L$1:$L$400,"professional service"))</f>
        <v/>
      </c>
      <c r="O185" s="112" t="str">
        <f>IF(OR(B185=0,B185="",N185=0),"",IF(AF185&lt;&gt;"exclusion",MAX(O$9,-(SUMIFS(SF_Output!$T$1:$T$400,SF_Output!$AC$1:$AC$400,_xlfn.TEXTJOIN(",",TRUE,$B185:$E185),SF_Output!$Q$1:$Q$400,"One Time",SF_Output!$L$1:$L$400,"professional service"))/N185),-((SUMIFS(SF_Output!$T$1:$T$400,SF_Output!$AC$1:$AC$400,_xlfn.TEXTJOIN(",",TRUE,$B185:$E185),SF_Output!$Q$1:$Q$400,"One Time",SF_Output!$L$1:$L$400,"professional service")/N185))))</f>
        <v/>
      </c>
      <c r="P185" s="6" t="str">
        <f t="shared" si="10"/>
        <v/>
      </c>
      <c r="R185" s="6" t="str">
        <f>IF(B185="","",SUMIFS(SF_Output!$S$1:$S$400,SF_Output!$AC$1:$AC$400,_xlfn.TEXTJOIN(",",TRUE,B185:E185),SF_Output!$Q$1:$Q$400,"yearly")+SUMIFS(SF_Output!$S$1:$S$400,SF_Output!$AC$1:$AC$400,_xlfn.TEXTJOIN(",",TRUE,B185:E185),SF_Output!$Q$1:$Q$400,"quarterly")*4)</f>
        <v/>
      </c>
      <c r="S185" s="112" t="str">
        <f>IF(OR(B185=0,B185="",G185="hardware",R185=0),"",IF(AF185&lt;&gt;"exclusion",MAX(S$9,-(SUMIFS(SF_Output!$T$1:$T$400,SF_Output!$AC$1:$AC$400,_xlfn.TEXTJOIN(",",TRUE,$B185:$E185),SF_Output!$Q$1:$Q$400,"yearly"))/R185),-((SUMIFS(SF_Output!$T$1:$T$400,SF_Output!$AC$1:$AC$400,_xlfn.TEXTJOIN(",",TRUE,$B185:$E185),SF_Output!$Q$1:$Q$400,"yearly")/R185))))</f>
        <v/>
      </c>
      <c r="T185" s="6" t="str">
        <f t="shared" si="11"/>
        <v/>
      </c>
      <c r="V185" s="6" t="str" cm="1">
        <f t="array" ref="V185">_xlfn.IFS(B185="","",AND(B185&lt;&gt;"",H185=SF_Output!$Y$2,SUMIFS(SF_Output!$T$1:$T$400,SF_Output!$AC$1:$AC$400,_xlfn.TEXTJOIN(",",TRUE,B185:E185),SF_Output!$Q$1:$Q$400,"monthly")=0),(SUMIFS(SF_Output!$F$1:$F$400,SF_Output!$AC$1:$AC$400,_xlfn.TEXTJOIN(",",TRUE,B185:E185),SF_Output!$Q$1:$Q$400,"monthly")+SUMIFS(SF_Output!$G$1:$G$400,SF_Output!$AC$1:$AC$400,_xlfn.TEXTJOIN(",",TRUE,B185:E185),SF_Output!$Q$1:$Q$400,"monthly"))*H185,AND(B185&lt;&gt;"",H185=SF_Output!$Y$2,SUMIFS(SF_Output!$T$1:$T$400,SF_Output!$AC$1:$AC$400,_xlfn.TEXTJOIN(",",TRUE,B185:E185),SF_Output!$Q$1:$Q$400,"monthly")&lt;&gt;0),SUMIFS(SF_Output!$S$1:$S$400,SF_Output!$AC$1:$AC$400,_xlfn.TEXTJOIN(",",TRUE,B185:E185),SF_Output!$Q$1:$Q$400,"monthly"),AND(B185&lt;&gt;"",H185&lt;&gt;SF_Output!$Y$2),SUMIFS(SF_Output!$S$1:$S$400,SF_Output!$AC$1:$AC$400,_xlfn.TEXTJOIN(",",TRUE,B185:E185),SF_Output!$Q$1:$Q$400,"monthly"))</f>
        <v/>
      </c>
      <c r="W185" s="112" t="str" cm="1">
        <f t="array" ref="W185">_xlfn.IFS(OR(B185=0,B185="",V185=0),"",AF185&lt;&gt;"exclusion",MAX($W$9,$W$7,(-(SUMIFS(SF_Output!$T$1:$T$400,SF_Output!$AC$1:$AC$400,_xlfn.TEXTJOIN(",",TRUE,$B185:$E185),SF_Output!$Q$1:$Q$400,"monthly"))/V185)),AF185="exclusion",-(SUMIFS(SF_Output!$T$1:$T$400,SF_Output!$AC$1:$AC$400,_xlfn.TEXTJOIN(",",TRUE,$B185:$E185),SF_Output!$Q$1:$Q$400,"monthly"))/V185)</f>
        <v/>
      </c>
      <c r="X185" s="6" t="str" cm="1">
        <f t="array" ref="X185">IFERROR(_xlfn.IFS(V185=0,0,V185="","",W185=0,V185,OR(V185&lt;&gt;0,V185&lt;&gt;""),H185*I185),V185*(1-W185))</f>
        <v/>
      </c>
    </row>
    <row r="186" spans="2:24" x14ac:dyDescent="0.25">
      <c r="F186" s="116" t="str">
        <f t="shared" si="8"/>
        <v/>
      </c>
      <c r="G186" t="str">
        <f>IF(B186="","",INDEX(SF_Output!$K$1:$K$400,MATCH(B186,SF_Output!$M$1:$M$400,0)))</f>
        <v/>
      </c>
      <c r="H186" t="str" cm="1">
        <f t="array" ref="H186">_xlfn.IFS(B186="","",(SUMIFS(SF_Output!$F$1:$F$400,SF_Output!$AC$1:$AC$400,_xlfn.TEXTJOIN(",",TRUE,B186:E186))+SUMIFS(SF_Output!$G$1:$G$400,SF_Output!$AC$1:$AC$400,_xlfn.TEXTJOIN(",",TRUE,B186:E186)))&lt;&gt;0,SF_Output!$Y$2,INDEX(SF_Output!$F$1:$F$400,MATCH(_xlfn.TEXTJOIN(",",TRUE,B186:E186),SF_Output!$AC$1:$AC$400,0))=0,INDEX(SF_Output!$R$1:$R$400,MATCH(_xlfn.TEXTJOIN(",",TRUE,B186:E186),SF_Output!$AC$1:$AC$400,0)))</f>
        <v/>
      </c>
      <c r="I186" s="125" t="str">
        <f>IFERROR(IF(AND(H186&gt;1,H186&lt;&gt;""),ROUND(SUMIFS(SF_Output!$S$1:$S$400,SF_Output!$AC$1:$AC$400,_xlfn.TEXTJOIN(",",TRUE,B186:E186),SF_Output!$Q$1:$Q$400,"monthly")*(1-W186)/H186,4),""),"")</f>
        <v/>
      </c>
      <c r="J186" s="6" t="str">
        <f>IF(B186="","",SUMIFS(SF_Output!$S$1:$S$400,SF_Output!$AC$1:$AC$400,_xlfn.TEXTJOIN(",",TRUE,B186:E186),SF_Output!$Q$1:$Q$400,"One Time",SF_Output!$L$1:$L$400,"license fee")+SUMIFS(SF_Output!$S$1:$S$400,SF_Output!$AC$1:$AC$400,_xlfn.TEXTJOIN(",",TRUE,B186:E186),SF_Output!$Q$1:$Q$400,"One Time",SF_Output!$L$1:$L$400,"software license")+SUMIFS(SF_Output!$S$1:$S$400,SF_Output!$AC$1:$AC$400,_xlfn.TEXTJOIN(",",TRUE,B186:E186),SF_Output!$Q$1:$Q$400,"One Time",SF_Output!$L$1:$L$400,"hardware"))</f>
        <v/>
      </c>
      <c r="K186" s="112" t="str">
        <f>IF(OR(B186=0,B186="",G186="hardware",J186=0),"",IF(AF186&lt;&gt;"exclusion",MAX(K$9,-((SUMIFS(SF_Output!$T$1:$T$400,SF_Output!$AC$1:$AC$400,_xlfn.TEXTJOIN(",",TRUE,$B186:$E186),SF_Output!$Q$1:$Q$400,"One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license"))/J186)),-((SUMIFS(SF_Output!$T$1:$T$400,SF_Output!$AC$1:$AC$400,_xlfn.TEXTJOIN(",",TRUE,$B186:$E186),SF_Output!$Q$1:$Q$400,"One Time",SF_Output!$L$1:$L$400,"license fee")+SUMIFS(SF_Output!$T$1:$T$400,SF_Output!$AC$1:$AC$400,_xlfn.TEXTJOIN(",",TRUE,$B186:$E186),SF_Output!$Q$1:$Q$400,"One Time",SF_Output!$L$1:$L$400,"software license"))/J186)))</f>
        <v/>
      </c>
      <c r="L186" s="6" t="str">
        <f t="shared" si="9"/>
        <v/>
      </c>
      <c r="N186" s="6" t="str">
        <f>IF(B186="","",SUMIFS(SF_Output!$S$1:$S$400,SF_Output!$AC$1:$AC$400,_xlfn.TEXTJOIN(",",TRUE,B186:E186),SF_Output!$Q$1:$Q$400,"One Time",SF_Output!$L$1:$L$400,"professional service"))</f>
        <v/>
      </c>
      <c r="O186" s="112" t="str">
        <f>IF(OR(B186=0,B186="",N186=0),"",IF(AF186&lt;&gt;"exclusion",MAX(O$9,-(SUMIFS(SF_Output!$T$1:$T$400,SF_Output!$AC$1:$AC$400,_xlfn.TEXTJOIN(",",TRUE,$B186:$E186),SF_Output!$Q$1:$Q$400,"One Time",SF_Output!$L$1:$L$400,"professional service"))/N186),-((SUMIFS(SF_Output!$T$1:$T$400,SF_Output!$AC$1:$AC$400,_xlfn.TEXTJOIN(",",TRUE,$B186:$E186),SF_Output!$Q$1:$Q$400,"One Time",SF_Output!$L$1:$L$400,"professional service")/N186))))</f>
        <v/>
      </c>
      <c r="P186" s="6" t="str">
        <f t="shared" si="10"/>
        <v/>
      </c>
      <c r="R186" s="6" t="str">
        <f>IF(B186="","",SUMIFS(SF_Output!$S$1:$S$400,SF_Output!$AC$1:$AC$400,_xlfn.TEXTJOIN(",",TRUE,B186:E186),SF_Output!$Q$1:$Q$400,"yearly")+SUMIFS(SF_Output!$S$1:$S$400,SF_Output!$AC$1:$AC$400,_xlfn.TEXTJOIN(",",TRUE,B186:E186),SF_Output!$Q$1:$Q$400,"quarterly")*4)</f>
        <v/>
      </c>
      <c r="S186" s="112" t="str">
        <f>IF(OR(B186=0,B186="",G186="hardware",R186=0),"",IF(AF186&lt;&gt;"exclusion",MAX(S$9,-(SUMIFS(SF_Output!$T$1:$T$400,SF_Output!$AC$1:$AC$400,_xlfn.TEXTJOIN(",",TRUE,$B186:$E186),SF_Output!$Q$1:$Q$400,"yearly"))/R186),-((SUMIFS(SF_Output!$T$1:$T$400,SF_Output!$AC$1:$AC$400,_xlfn.TEXTJOIN(",",TRUE,$B186:$E186),SF_Output!$Q$1:$Q$400,"yearly")/R186))))</f>
        <v/>
      </c>
      <c r="T186" s="6" t="str">
        <f t="shared" si="11"/>
        <v/>
      </c>
      <c r="V186" s="6" t="str" cm="1">
        <f t="array" ref="V186">_xlfn.IFS(B186="","",AND(B186&lt;&gt;"",H186=SF_Output!$Y$2,SUMIFS(SF_Output!$T$1:$T$400,SF_Output!$AC$1:$AC$400,_xlfn.TEXTJOIN(",",TRUE,B186:E186),SF_Output!$Q$1:$Q$400,"monthly")=0),(SUMIFS(SF_Output!$F$1:$F$400,SF_Output!$AC$1:$AC$400,_xlfn.TEXTJOIN(",",TRUE,B186:E186),SF_Output!$Q$1:$Q$400,"monthly")+SUMIFS(SF_Output!$G$1:$G$400,SF_Output!$AC$1:$AC$400,_xlfn.TEXTJOIN(",",TRUE,B186:E186),SF_Output!$Q$1:$Q$400,"monthly"))*H186,AND(B186&lt;&gt;"",H186=SF_Output!$Y$2,SUMIFS(SF_Output!$T$1:$T$400,SF_Output!$AC$1:$AC$400,_xlfn.TEXTJOIN(",",TRUE,B186:E186),SF_Output!$Q$1:$Q$400,"monthly")&lt;&gt;0),SUMIFS(SF_Output!$S$1:$S$400,SF_Output!$AC$1:$AC$400,_xlfn.TEXTJOIN(",",TRUE,B186:E186),SF_Output!$Q$1:$Q$400,"monthly"),AND(B186&lt;&gt;"",H186&lt;&gt;SF_Output!$Y$2),SUMIFS(SF_Output!$S$1:$S$400,SF_Output!$AC$1:$AC$400,_xlfn.TEXTJOIN(",",TRUE,B186:E186),SF_Output!$Q$1:$Q$400,"monthly"))</f>
        <v/>
      </c>
      <c r="W186" s="112" t="str" cm="1">
        <f t="array" ref="W186">_xlfn.IFS(OR(B186=0,B186="",V186=0),"",AF186&lt;&gt;"exclusion",MAX($W$9,$W$7,(-(SUMIFS(SF_Output!$T$1:$T$400,SF_Output!$AC$1:$AC$400,_xlfn.TEXTJOIN(",",TRUE,$B186:$E186),SF_Output!$Q$1:$Q$400,"monthly"))/V186)),AF186="exclusion",-(SUMIFS(SF_Output!$T$1:$T$400,SF_Output!$AC$1:$AC$400,_xlfn.TEXTJOIN(",",TRUE,$B186:$E186),SF_Output!$Q$1:$Q$400,"monthly"))/V186)</f>
        <v/>
      </c>
      <c r="X186" s="6" t="str" cm="1">
        <f t="array" ref="X186">IFERROR(_xlfn.IFS(V186=0,0,V186="","",W186=0,V186,OR(V186&lt;&gt;0,V186&lt;&gt;""),H186*I186),V186*(1-W186))</f>
        <v/>
      </c>
    </row>
    <row r="187" spans="2:24" x14ac:dyDescent="0.25">
      <c r="F187" s="116" t="str">
        <f t="shared" si="8"/>
        <v/>
      </c>
      <c r="G187" t="str">
        <f>IF(B187="","",INDEX(SF_Output!$K$1:$K$400,MATCH(B187,SF_Output!$M$1:$M$400,0)))</f>
        <v/>
      </c>
      <c r="H187" t="str" cm="1">
        <f t="array" ref="H187">_xlfn.IFS(B187="","",(SUMIFS(SF_Output!$F$1:$F$400,SF_Output!$AC$1:$AC$400,_xlfn.TEXTJOIN(",",TRUE,B187:E187))+SUMIFS(SF_Output!$G$1:$G$400,SF_Output!$AC$1:$AC$400,_xlfn.TEXTJOIN(",",TRUE,B187:E187)))&lt;&gt;0,SF_Output!$Y$2,INDEX(SF_Output!$F$1:$F$400,MATCH(_xlfn.TEXTJOIN(",",TRUE,B187:E187),SF_Output!$AC$1:$AC$400,0))=0,INDEX(SF_Output!$R$1:$R$400,MATCH(_xlfn.TEXTJOIN(",",TRUE,B187:E187),SF_Output!$AC$1:$AC$400,0)))</f>
        <v/>
      </c>
      <c r="I187" s="125" t="str">
        <f>IFERROR(IF(AND(H187&gt;1,H187&lt;&gt;""),ROUND(SUMIFS(SF_Output!$S$1:$S$400,SF_Output!$AC$1:$AC$400,_xlfn.TEXTJOIN(",",TRUE,B187:E187),SF_Output!$Q$1:$Q$400,"monthly")*(1-W187)/H187,4),""),"")</f>
        <v/>
      </c>
      <c r="J187" s="6" t="str">
        <f>IF(B187="","",SUMIFS(SF_Output!$S$1:$S$400,SF_Output!$AC$1:$AC$400,_xlfn.TEXTJOIN(",",TRUE,B187:E187),SF_Output!$Q$1:$Q$400,"One Time",SF_Output!$L$1:$L$400,"license fee")+SUMIFS(SF_Output!$S$1:$S$400,SF_Output!$AC$1:$AC$400,_xlfn.TEXTJOIN(",",TRUE,B187:E187),SF_Output!$Q$1:$Q$400,"One Time",SF_Output!$L$1:$L$400,"software license")+SUMIFS(SF_Output!$S$1:$S$400,SF_Output!$AC$1:$AC$400,_xlfn.TEXTJOIN(",",TRUE,B187:E187),SF_Output!$Q$1:$Q$400,"One Time",SF_Output!$L$1:$L$400,"hardware"))</f>
        <v/>
      </c>
      <c r="K187" s="112" t="str">
        <f>IF(OR(B187=0,B187="",G187="hardware",J187=0),"",IF(AF187&lt;&gt;"exclusion",MAX(K$9,-((SUMIFS(SF_Output!$T$1:$T$400,SF_Output!$AC$1:$AC$400,_xlfn.TEXTJOIN(",",TRUE,$B187:$E187),SF_Output!$Q$1:$Q$400,"One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license"))/J187)),-((SUMIFS(SF_Output!$T$1:$T$400,SF_Output!$AC$1:$AC$400,_xlfn.TEXTJOIN(",",TRUE,$B187:$E187),SF_Output!$Q$1:$Q$400,"One Time",SF_Output!$L$1:$L$400,"license fee")+SUMIFS(SF_Output!$T$1:$T$400,SF_Output!$AC$1:$AC$400,_xlfn.TEXTJOIN(",",TRUE,$B187:$E187),SF_Output!$Q$1:$Q$400,"One Time",SF_Output!$L$1:$L$400,"software license"))/J187)))</f>
        <v/>
      </c>
      <c r="L187" s="6" t="str">
        <f t="shared" si="9"/>
        <v/>
      </c>
      <c r="N187" s="6" t="str">
        <f>IF(B187="","",SUMIFS(SF_Output!$S$1:$S$400,SF_Output!$AC$1:$AC$400,_xlfn.TEXTJOIN(",",TRUE,B187:E187),SF_Output!$Q$1:$Q$400,"One Time",SF_Output!$L$1:$L$400,"professional service"))</f>
        <v/>
      </c>
      <c r="O187" s="112" t="str">
        <f>IF(OR(B187=0,B187="",N187=0),"",IF(AF187&lt;&gt;"exclusion",MAX(O$9,-(SUMIFS(SF_Output!$T$1:$T$400,SF_Output!$AC$1:$AC$400,_xlfn.TEXTJOIN(",",TRUE,$B187:$E187),SF_Output!$Q$1:$Q$400,"One Time",SF_Output!$L$1:$L$400,"professional service"))/N187),-((SUMIFS(SF_Output!$T$1:$T$400,SF_Output!$AC$1:$AC$400,_xlfn.TEXTJOIN(",",TRUE,$B187:$E187),SF_Output!$Q$1:$Q$400,"One Time",SF_Output!$L$1:$L$400,"professional service")/N187))))</f>
        <v/>
      </c>
      <c r="P187" s="6" t="str">
        <f t="shared" si="10"/>
        <v/>
      </c>
      <c r="R187" s="6" t="str">
        <f>IF(B187="","",SUMIFS(SF_Output!$S$1:$S$400,SF_Output!$AC$1:$AC$400,_xlfn.TEXTJOIN(",",TRUE,B187:E187),SF_Output!$Q$1:$Q$400,"yearly")+SUMIFS(SF_Output!$S$1:$S$400,SF_Output!$AC$1:$AC$400,_xlfn.TEXTJOIN(",",TRUE,B187:E187),SF_Output!$Q$1:$Q$400,"quarterly")*4)</f>
        <v/>
      </c>
      <c r="S187" s="112" t="str">
        <f>IF(OR(B187=0,B187="",G187="hardware",R187=0),"",IF(AF187&lt;&gt;"exclusion",MAX(S$9,-(SUMIFS(SF_Output!$T$1:$T$400,SF_Output!$AC$1:$AC$400,_xlfn.TEXTJOIN(",",TRUE,$B187:$E187),SF_Output!$Q$1:$Q$400,"yearly"))/R187),-((SUMIFS(SF_Output!$T$1:$T$400,SF_Output!$AC$1:$AC$400,_xlfn.TEXTJOIN(",",TRUE,$B187:$E187),SF_Output!$Q$1:$Q$400,"yearly")/R187))))</f>
        <v/>
      </c>
      <c r="T187" s="6" t="str">
        <f t="shared" si="11"/>
        <v/>
      </c>
      <c r="V187" s="6" t="str" cm="1">
        <f t="array" ref="V187">_xlfn.IFS(B187="","",AND(B187&lt;&gt;"",H187=SF_Output!$Y$2,SUMIFS(SF_Output!$T$1:$T$400,SF_Output!$AC$1:$AC$400,_xlfn.TEXTJOIN(",",TRUE,B187:E187),SF_Output!$Q$1:$Q$400,"monthly")=0),(SUMIFS(SF_Output!$F$1:$F$400,SF_Output!$AC$1:$AC$400,_xlfn.TEXTJOIN(",",TRUE,B187:E187),SF_Output!$Q$1:$Q$400,"monthly")+SUMIFS(SF_Output!$G$1:$G$400,SF_Output!$AC$1:$AC$400,_xlfn.TEXTJOIN(",",TRUE,B187:E187),SF_Output!$Q$1:$Q$400,"monthly"))*H187,AND(B187&lt;&gt;"",H187=SF_Output!$Y$2,SUMIFS(SF_Output!$T$1:$T$400,SF_Output!$AC$1:$AC$400,_xlfn.TEXTJOIN(",",TRUE,B187:E187),SF_Output!$Q$1:$Q$400,"monthly")&lt;&gt;0),SUMIFS(SF_Output!$S$1:$S$400,SF_Output!$AC$1:$AC$400,_xlfn.TEXTJOIN(",",TRUE,B187:E187),SF_Output!$Q$1:$Q$400,"monthly"),AND(B187&lt;&gt;"",H187&lt;&gt;SF_Output!$Y$2),SUMIFS(SF_Output!$S$1:$S$400,SF_Output!$AC$1:$AC$400,_xlfn.TEXTJOIN(",",TRUE,B187:E187),SF_Output!$Q$1:$Q$400,"monthly"))</f>
        <v/>
      </c>
      <c r="W187" s="112" t="str" cm="1">
        <f t="array" ref="W187">_xlfn.IFS(OR(B187=0,B187="",V187=0),"",AF187&lt;&gt;"exclusion",MAX($W$9,$W$7,(-(SUMIFS(SF_Output!$T$1:$T$400,SF_Output!$AC$1:$AC$400,_xlfn.TEXTJOIN(",",TRUE,$B187:$E187),SF_Output!$Q$1:$Q$400,"monthly"))/V187)),AF187="exclusion",-(SUMIFS(SF_Output!$T$1:$T$400,SF_Output!$AC$1:$AC$400,_xlfn.TEXTJOIN(",",TRUE,$B187:$E187),SF_Output!$Q$1:$Q$400,"monthly"))/V187)</f>
        <v/>
      </c>
      <c r="X187" s="6" t="str" cm="1">
        <f t="array" ref="X187">IFERROR(_xlfn.IFS(V187=0,0,V187="","",W187=0,V187,OR(V187&lt;&gt;0,V187&lt;&gt;""),H187*I187),V187*(1-W187))</f>
        <v/>
      </c>
    </row>
    <row r="188" spans="2:24" x14ac:dyDescent="0.25">
      <c r="F188" s="116" t="str">
        <f t="shared" si="8"/>
        <v/>
      </c>
      <c r="G188" t="str">
        <f>IF(B188="","",INDEX(SF_Output!$K$1:$K$400,MATCH(B188,SF_Output!$M$1:$M$400,0)))</f>
        <v/>
      </c>
      <c r="H188" t="str" cm="1">
        <f t="array" ref="H188">_xlfn.IFS(B188="","",(SUMIFS(SF_Output!$F$1:$F$400,SF_Output!$AC$1:$AC$400,_xlfn.TEXTJOIN(",",TRUE,B188:E188))+SUMIFS(SF_Output!$G$1:$G$400,SF_Output!$AC$1:$AC$400,_xlfn.TEXTJOIN(",",TRUE,B188:E188)))&lt;&gt;0,SF_Output!$Y$2,INDEX(SF_Output!$F$1:$F$400,MATCH(_xlfn.TEXTJOIN(",",TRUE,B188:E188),SF_Output!$AC$1:$AC$400,0))=0,INDEX(SF_Output!$R$1:$R$400,MATCH(_xlfn.TEXTJOIN(",",TRUE,B188:E188),SF_Output!$AC$1:$AC$400,0)))</f>
        <v/>
      </c>
      <c r="I188" s="125" t="str">
        <f>IFERROR(IF(AND(H188&gt;1,H188&lt;&gt;""),ROUND(SUMIFS(SF_Output!$S$1:$S$400,SF_Output!$AC$1:$AC$400,_xlfn.TEXTJOIN(",",TRUE,B188:E188),SF_Output!$Q$1:$Q$400,"monthly")*(1-W188)/H188,4),""),"")</f>
        <v/>
      </c>
      <c r="J188" s="6" t="str">
        <f>IF(B188="","",SUMIFS(SF_Output!$S$1:$S$400,SF_Output!$AC$1:$AC$400,_xlfn.TEXTJOIN(",",TRUE,B188:E188),SF_Output!$Q$1:$Q$400,"One Time",SF_Output!$L$1:$L$400,"license fee")+SUMIFS(SF_Output!$S$1:$S$400,SF_Output!$AC$1:$AC$400,_xlfn.TEXTJOIN(",",TRUE,B188:E188),SF_Output!$Q$1:$Q$400,"One Time",SF_Output!$L$1:$L$400,"software license")+SUMIFS(SF_Output!$S$1:$S$400,SF_Output!$AC$1:$AC$400,_xlfn.TEXTJOIN(",",TRUE,B188:E188),SF_Output!$Q$1:$Q$400,"One Time",SF_Output!$L$1:$L$400,"hardware"))</f>
        <v/>
      </c>
      <c r="K188" s="112" t="str">
        <f>IF(OR(B188=0,B188="",G188="hardware",J188=0),"",IF(AF188&lt;&gt;"exclusion",MAX(K$9,-((SUMIFS(SF_Output!$T$1:$T$400,SF_Output!$AC$1:$AC$400,_xlfn.TEXTJOIN(",",TRUE,$B188:$E188),SF_Output!$Q$1:$Q$400,"One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license"))/J188)),-((SUMIFS(SF_Output!$T$1:$T$400,SF_Output!$AC$1:$AC$400,_xlfn.TEXTJOIN(",",TRUE,$B188:$E188),SF_Output!$Q$1:$Q$400,"One Time",SF_Output!$L$1:$L$400,"license fee")+SUMIFS(SF_Output!$T$1:$T$400,SF_Output!$AC$1:$AC$400,_xlfn.TEXTJOIN(",",TRUE,$B188:$E188),SF_Output!$Q$1:$Q$400,"One Time",SF_Output!$L$1:$L$400,"software license"))/J188)))</f>
        <v/>
      </c>
      <c r="L188" s="6" t="str">
        <f t="shared" si="9"/>
        <v/>
      </c>
      <c r="N188" s="6" t="str">
        <f>IF(B188="","",SUMIFS(SF_Output!$S$1:$S$400,SF_Output!$AC$1:$AC$400,_xlfn.TEXTJOIN(",",TRUE,B188:E188),SF_Output!$Q$1:$Q$400,"One Time",SF_Output!$L$1:$L$400,"professional service"))</f>
        <v/>
      </c>
      <c r="O188" s="112" t="str">
        <f>IF(OR(B188=0,B188="",N188=0),"",IF(AF188&lt;&gt;"exclusion",MAX(O$9,-(SUMIFS(SF_Output!$T$1:$T$400,SF_Output!$AC$1:$AC$400,_xlfn.TEXTJOIN(",",TRUE,$B188:$E188),SF_Output!$Q$1:$Q$400,"One Time",SF_Output!$L$1:$L$400,"professional service"))/N188),-((SUMIFS(SF_Output!$T$1:$T$400,SF_Output!$AC$1:$AC$400,_xlfn.TEXTJOIN(",",TRUE,$B188:$E188),SF_Output!$Q$1:$Q$400,"One Time",SF_Output!$L$1:$L$400,"professional service")/N188))))</f>
        <v/>
      </c>
      <c r="P188" s="6" t="str">
        <f t="shared" si="10"/>
        <v/>
      </c>
      <c r="R188" s="6" t="str">
        <f>IF(B188="","",SUMIFS(SF_Output!$S$1:$S$400,SF_Output!$AC$1:$AC$400,_xlfn.TEXTJOIN(",",TRUE,B188:E188),SF_Output!$Q$1:$Q$400,"yearly")+SUMIFS(SF_Output!$S$1:$S$400,SF_Output!$AC$1:$AC$400,_xlfn.TEXTJOIN(",",TRUE,B188:E188),SF_Output!$Q$1:$Q$400,"quarterly")*4)</f>
        <v/>
      </c>
      <c r="S188" s="112" t="str">
        <f>IF(OR(B188=0,B188="",G188="hardware",R188=0),"",IF(AF188&lt;&gt;"exclusion",MAX(S$9,-(SUMIFS(SF_Output!$T$1:$T$400,SF_Output!$AC$1:$AC$400,_xlfn.TEXTJOIN(",",TRUE,$B188:$E188),SF_Output!$Q$1:$Q$400,"yearly"))/R188),-((SUMIFS(SF_Output!$T$1:$T$400,SF_Output!$AC$1:$AC$400,_xlfn.TEXTJOIN(",",TRUE,$B188:$E188),SF_Output!$Q$1:$Q$400,"yearly")/R188))))</f>
        <v/>
      </c>
      <c r="T188" s="6" t="str">
        <f t="shared" si="11"/>
        <v/>
      </c>
      <c r="V188" s="6" t="str" cm="1">
        <f t="array" ref="V188">_xlfn.IFS(B188="","",AND(B188&lt;&gt;"",H188=SF_Output!$Y$2,SUMIFS(SF_Output!$T$1:$T$400,SF_Output!$AC$1:$AC$400,_xlfn.TEXTJOIN(",",TRUE,B188:E188),SF_Output!$Q$1:$Q$400,"monthly")=0),(SUMIFS(SF_Output!$F$1:$F$400,SF_Output!$AC$1:$AC$400,_xlfn.TEXTJOIN(",",TRUE,B188:E188),SF_Output!$Q$1:$Q$400,"monthly")+SUMIFS(SF_Output!$G$1:$G$400,SF_Output!$AC$1:$AC$400,_xlfn.TEXTJOIN(",",TRUE,B188:E188),SF_Output!$Q$1:$Q$400,"monthly"))*H188,AND(B188&lt;&gt;"",H188=SF_Output!$Y$2,SUMIFS(SF_Output!$T$1:$T$400,SF_Output!$AC$1:$AC$400,_xlfn.TEXTJOIN(",",TRUE,B188:E188),SF_Output!$Q$1:$Q$400,"monthly")&lt;&gt;0),SUMIFS(SF_Output!$S$1:$S$400,SF_Output!$AC$1:$AC$400,_xlfn.TEXTJOIN(",",TRUE,B188:E188),SF_Output!$Q$1:$Q$400,"monthly"),AND(B188&lt;&gt;"",H188&lt;&gt;SF_Output!$Y$2),SUMIFS(SF_Output!$S$1:$S$400,SF_Output!$AC$1:$AC$400,_xlfn.TEXTJOIN(",",TRUE,B188:E188),SF_Output!$Q$1:$Q$400,"monthly"))</f>
        <v/>
      </c>
      <c r="W188" s="112" t="str" cm="1">
        <f t="array" ref="W188">_xlfn.IFS(OR(B188=0,B188="",V188=0),"",AF188&lt;&gt;"exclusion",MAX($W$9,$W$7,(-(SUMIFS(SF_Output!$T$1:$T$400,SF_Output!$AC$1:$AC$400,_xlfn.TEXTJOIN(",",TRUE,$B188:$E188),SF_Output!$Q$1:$Q$400,"monthly"))/V188)),AF188="exclusion",-(SUMIFS(SF_Output!$T$1:$T$400,SF_Output!$AC$1:$AC$400,_xlfn.TEXTJOIN(",",TRUE,$B188:$E188),SF_Output!$Q$1:$Q$400,"monthly"))/V188)</f>
        <v/>
      </c>
      <c r="X188" s="6" t="str" cm="1">
        <f t="array" ref="X188">IFERROR(_xlfn.IFS(V188=0,0,V188="","",W188=0,V188,OR(V188&lt;&gt;0,V188&lt;&gt;""),H188*I188),V188*(1-W188))</f>
        <v/>
      </c>
    </row>
    <row r="189" spans="2:24" x14ac:dyDescent="0.25">
      <c r="F189" s="116" t="str">
        <f t="shared" si="8"/>
        <v/>
      </c>
      <c r="G189" t="str">
        <f>IF(B189="","",INDEX(SF_Output!$K$1:$K$400,MATCH(B189,SF_Output!$M$1:$M$400,0)))</f>
        <v/>
      </c>
      <c r="H189" t="str" cm="1">
        <f t="array" ref="H189">_xlfn.IFS(B189="","",(SUMIFS(SF_Output!$F$1:$F$400,SF_Output!$AC$1:$AC$400,_xlfn.TEXTJOIN(",",TRUE,B189:E189))+SUMIFS(SF_Output!$G$1:$G$400,SF_Output!$AC$1:$AC$400,_xlfn.TEXTJOIN(",",TRUE,B189:E189)))&lt;&gt;0,SF_Output!$Y$2,INDEX(SF_Output!$F$1:$F$400,MATCH(_xlfn.TEXTJOIN(",",TRUE,B189:E189),SF_Output!$AC$1:$AC$400,0))=0,INDEX(SF_Output!$R$1:$R$400,MATCH(_xlfn.TEXTJOIN(",",TRUE,B189:E189),SF_Output!$AC$1:$AC$400,0)))</f>
        <v/>
      </c>
      <c r="I189" s="125" t="str">
        <f>IFERROR(IF(AND(H189&gt;1,H189&lt;&gt;""),ROUND(SUMIFS(SF_Output!$S$1:$S$400,SF_Output!$AC$1:$AC$400,_xlfn.TEXTJOIN(",",TRUE,B189:E189),SF_Output!$Q$1:$Q$400,"monthly")*(1-W189)/H189,4),""),"")</f>
        <v/>
      </c>
      <c r="J189" s="6" t="str">
        <f>IF(B189="","",SUMIFS(SF_Output!$S$1:$S$400,SF_Output!$AC$1:$AC$400,_xlfn.TEXTJOIN(",",TRUE,B189:E189),SF_Output!$Q$1:$Q$400,"One Time",SF_Output!$L$1:$L$400,"license fee")+SUMIFS(SF_Output!$S$1:$S$400,SF_Output!$AC$1:$AC$400,_xlfn.TEXTJOIN(",",TRUE,B189:E189),SF_Output!$Q$1:$Q$400,"One Time",SF_Output!$L$1:$L$400,"software license")+SUMIFS(SF_Output!$S$1:$S$400,SF_Output!$AC$1:$AC$400,_xlfn.TEXTJOIN(",",TRUE,B189:E189),SF_Output!$Q$1:$Q$400,"One Time",SF_Output!$L$1:$L$400,"hardware"))</f>
        <v/>
      </c>
      <c r="K189" s="112" t="str">
        <f>IF(OR(B189=0,B189="",G189="hardware",J189=0),"",IF(AF189&lt;&gt;"exclusion",MAX(K$9,-((SUMIFS(SF_Output!$T$1:$T$400,SF_Output!$AC$1:$AC$400,_xlfn.TEXTJOIN(",",TRUE,$B189:$E189),SF_Output!$Q$1:$Q$400,"One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license"))/J189)),-((SUMIFS(SF_Output!$T$1:$T$400,SF_Output!$AC$1:$AC$400,_xlfn.TEXTJOIN(",",TRUE,$B189:$E189),SF_Output!$Q$1:$Q$400,"One Time",SF_Output!$L$1:$L$400,"license fee")+SUMIFS(SF_Output!$T$1:$T$400,SF_Output!$AC$1:$AC$400,_xlfn.TEXTJOIN(",",TRUE,$B189:$E189),SF_Output!$Q$1:$Q$400,"One Time",SF_Output!$L$1:$L$400,"software license"))/J189)))</f>
        <v/>
      </c>
      <c r="L189" s="6" t="str">
        <f t="shared" si="9"/>
        <v/>
      </c>
      <c r="N189" s="6" t="str">
        <f>IF(B189="","",SUMIFS(SF_Output!$S$1:$S$400,SF_Output!$AC$1:$AC$400,_xlfn.TEXTJOIN(",",TRUE,B189:E189),SF_Output!$Q$1:$Q$400,"One Time",SF_Output!$L$1:$L$400,"professional service"))</f>
        <v/>
      </c>
      <c r="O189" s="112" t="str">
        <f>IF(OR(B189=0,B189="",N189=0),"",IF(AF189&lt;&gt;"exclusion",MAX(O$9,-(SUMIFS(SF_Output!$T$1:$T$400,SF_Output!$AC$1:$AC$400,_xlfn.TEXTJOIN(",",TRUE,$B189:$E189),SF_Output!$Q$1:$Q$400,"One Time",SF_Output!$L$1:$L$400,"professional service"))/N189),-((SUMIFS(SF_Output!$T$1:$T$400,SF_Output!$AC$1:$AC$400,_xlfn.TEXTJOIN(",",TRUE,$B189:$E189),SF_Output!$Q$1:$Q$400,"One Time",SF_Output!$L$1:$L$400,"professional service")/N189))))</f>
        <v/>
      </c>
      <c r="P189" s="6" t="str">
        <f t="shared" si="10"/>
        <v/>
      </c>
      <c r="R189" s="6" t="str">
        <f>IF(B189="","",SUMIFS(SF_Output!$S$1:$S$400,SF_Output!$AC$1:$AC$400,_xlfn.TEXTJOIN(",",TRUE,B189:E189),SF_Output!$Q$1:$Q$400,"yearly")+SUMIFS(SF_Output!$S$1:$S$400,SF_Output!$AC$1:$AC$400,_xlfn.TEXTJOIN(",",TRUE,B189:E189),SF_Output!$Q$1:$Q$400,"quarterly")*4)</f>
        <v/>
      </c>
      <c r="S189" s="112" t="str">
        <f>IF(OR(B189=0,B189="",G189="hardware",R189=0),"",IF(AF189&lt;&gt;"exclusion",MAX(S$9,-(SUMIFS(SF_Output!$T$1:$T$400,SF_Output!$AC$1:$AC$400,_xlfn.TEXTJOIN(",",TRUE,$B189:$E189),SF_Output!$Q$1:$Q$400,"yearly"))/R189),-((SUMIFS(SF_Output!$T$1:$T$400,SF_Output!$AC$1:$AC$400,_xlfn.TEXTJOIN(",",TRUE,$B189:$E189),SF_Output!$Q$1:$Q$400,"yearly")/R189))))</f>
        <v/>
      </c>
      <c r="T189" s="6" t="str">
        <f t="shared" si="11"/>
        <v/>
      </c>
      <c r="V189" s="6" t="str" cm="1">
        <f t="array" ref="V189">_xlfn.IFS(B189="","",AND(B189&lt;&gt;"",H189=SF_Output!$Y$2,SUMIFS(SF_Output!$T$1:$T$400,SF_Output!$AC$1:$AC$400,_xlfn.TEXTJOIN(",",TRUE,B189:E189),SF_Output!$Q$1:$Q$400,"monthly")=0),(SUMIFS(SF_Output!$F$1:$F$400,SF_Output!$AC$1:$AC$400,_xlfn.TEXTJOIN(",",TRUE,B189:E189),SF_Output!$Q$1:$Q$400,"monthly")+SUMIFS(SF_Output!$G$1:$G$400,SF_Output!$AC$1:$AC$400,_xlfn.TEXTJOIN(",",TRUE,B189:E189),SF_Output!$Q$1:$Q$400,"monthly"))*H189,AND(B189&lt;&gt;"",H189=SF_Output!$Y$2,SUMIFS(SF_Output!$T$1:$T$400,SF_Output!$AC$1:$AC$400,_xlfn.TEXTJOIN(",",TRUE,B189:E189),SF_Output!$Q$1:$Q$400,"monthly")&lt;&gt;0),SUMIFS(SF_Output!$S$1:$S$400,SF_Output!$AC$1:$AC$400,_xlfn.TEXTJOIN(",",TRUE,B189:E189),SF_Output!$Q$1:$Q$400,"monthly"),AND(B189&lt;&gt;"",H189&lt;&gt;SF_Output!$Y$2),SUMIFS(SF_Output!$S$1:$S$400,SF_Output!$AC$1:$AC$400,_xlfn.TEXTJOIN(",",TRUE,B189:E189),SF_Output!$Q$1:$Q$400,"monthly"))</f>
        <v/>
      </c>
      <c r="W189" s="112" t="str" cm="1">
        <f t="array" ref="W189">_xlfn.IFS(OR(B189=0,B189="",V189=0),"",AF189&lt;&gt;"exclusion",MAX($W$9,$W$7,(-(SUMIFS(SF_Output!$T$1:$T$400,SF_Output!$AC$1:$AC$400,_xlfn.TEXTJOIN(",",TRUE,$B189:$E189),SF_Output!$Q$1:$Q$400,"monthly"))/V189)),AF189="exclusion",-(SUMIFS(SF_Output!$T$1:$T$400,SF_Output!$AC$1:$AC$400,_xlfn.TEXTJOIN(",",TRUE,$B189:$E189),SF_Output!$Q$1:$Q$400,"monthly"))/V189)</f>
        <v/>
      </c>
      <c r="X189" s="6" t="str" cm="1">
        <f t="array" ref="X189">IFERROR(_xlfn.IFS(V189=0,0,V189="","",W189=0,V189,OR(V189&lt;&gt;0,V189&lt;&gt;""),H189*I189),V189*(1-W189))</f>
        <v/>
      </c>
    </row>
    <row r="190" spans="2:24" x14ac:dyDescent="0.25">
      <c r="F190" s="116" t="str">
        <f t="shared" si="8"/>
        <v/>
      </c>
      <c r="G190" t="str">
        <f>IF(B190="","",INDEX(SF_Output!$K$1:$K$400,MATCH(B190,SF_Output!$M$1:$M$400,0)))</f>
        <v/>
      </c>
      <c r="H190" t="str" cm="1">
        <f t="array" ref="H190">_xlfn.IFS(B190="","",(SUMIFS(SF_Output!$F$1:$F$400,SF_Output!$AC$1:$AC$400,_xlfn.TEXTJOIN(",",TRUE,B190:E190))+SUMIFS(SF_Output!$G$1:$G$400,SF_Output!$AC$1:$AC$400,_xlfn.TEXTJOIN(",",TRUE,B190:E190)))&lt;&gt;0,SF_Output!$Y$2,INDEX(SF_Output!$F$1:$F$400,MATCH(_xlfn.TEXTJOIN(",",TRUE,B190:E190),SF_Output!$AC$1:$AC$400,0))=0,INDEX(SF_Output!$R$1:$R$400,MATCH(_xlfn.TEXTJOIN(",",TRUE,B190:E190),SF_Output!$AC$1:$AC$400,0)))</f>
        <v/>
      </c>
      <c r="I190" s="125" t="str">
        <f>IFERROR(IF(AND(H190&gt;1,H190&lt;&gt;""),ROUND(SUMIFS(SF_Output!$S$1:$S$400,SF_Output!$AC$1:$AC$400,_xlfn.TEXTJOIN(",",TRUE,B190:E190),SF_Output!$Q$1:$Q$400,"monthly")*(1-W190)/H190,4),""),"")</f>
        <v/>
      </c>
      <c r="J190" s="6" t="str">
        <f>IF(B190="","",SUMIFS(SF_Output!$S$1:$S$400,SF_Output!$AC$1:$AC$400,_xlfn.TEXTJOIN(",",TRUE,B190:E190),SF_Output!$Q$1:$Q$400,"One Time",SF_Output!$L$1:$L$400,"license fee")+SUMIFS(SF_Output!$S$1:$S$400,SF_Output!$AC$1:$AC$400,_xlfn.TEXTJOIN(",",TRUE,B190:E190),SF_Output!$Q$1:$Q$400,"One Time",SF_Output!$L$1:$L$400,"software license")+SUMIFS(SF_Output!$S$1:$S$400,SF_Output!$AC$1:$AC$400,_xlfn.TEXTJOIN(",",TRUE,B190:E190),SF_Output!$Q$1:$Q$400,"One Time",SF_Output!$L$1:$L$400,"hardware"))</f>
        <v/>
      </c>
      <c r="K190" s="112" t="str">
        <f>IF(OR(B190=0,B190="",G190="hardware",J190=0),"",IF(AF190&lt;&gt;"exclusion",MAX(K$9,-((SUMIFS(SF_Output!$T$1:$T$400,SF_Output!$AC$1:$AC$400,_xlfn.TEXTJOIN(",",TRUE,$B190:$E190),SF_Output!$Q$1:$Q$400,"One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license"))/J190)),-((SUMIFS(SF_Output!$T$1:$T$400,SF_Output!$AC$1:$AC$400,_xlfn.TEXTJOIN(",",TRUE,$B190:$E190),SF_Output!$Q$1:$Q$400,"One Time",SF_Output!$L$1:$L$400,"license fee")+SUMIFS(SF_Output!$T$1:$T$400,SF_Output!$AC$1:$AC$400,_xlfn.TEXTJOIN(",",TRUE,$B190:$E190),SF_Output!$Q$1:$Q$400,"One Time",SF_Output!$L$1:$L$400,"software license"))/J190)))</f>
        <v/>
      </c>
      <c r="L190" s="6" t="str">
        <f t="shared" si="9"/>
        <v/>
      </c>
      <c r="N190" s="6" t="str">
        <f>IF(B190="","",SUMIFS(SF_Output!$S$1:$S$400,SF_Output!$AC$1:$AC$400,_xlfn.TEXTJOIN(",",TRUE,B190:E190),SF_Output!$Q$1:$Q$400,"One Time",SF_Output!$L$1:$L$400,"professional service"))</f>
        <v/>
      </c>
      <c r="O190" s="112" t="str">
        <f>IF(OR(B190=0,B190="",N190=0),"",IF(AF190&lt;&gt;"exclusion",MAX(O$9,-(SUMIFS(SF_Output!$T$1:$T$400,SF_Output!$AC$1:$AC$400,_xlfn.TEXTJOIN(",",TRUE,$B190:$E190),SF_Output!$Q$1:$Q$400,"One Time",SF_Output!$L$1:$L$400,"professional service"))/N190),-((SUMIFS(SF_Output!$T$1:$T$400,SF_Output!$AC$1:$AC$400,_xlfn.TEXTJOIN(",",TRUE,$B190:$E190),SF_Output!$Q$1:$Q$400,"One Time",SF_Output!$L$1:$L$400,"professional service")/N190))))</f>
        <v/>
      </c>
      <c r="P190" s="6" t="str">
        <f t="shared" si="10"/>
        <v/>
      </c>
      <c r="R190" s="6" t="str">
        <f>IF(B190="","",SUMIFS(SF_Output!$S$1:$S$400,SF_Output!$AC$1:$AC$400,_xlfn.TEXTJOIN(",",TRUE,B190:E190),SF_Output!$Q$1:$Q$400,"yearly")+SUMIFS(SF_Output!$S$1:$S$400,SF_Output!$AC$1:$AC$400,_xlfn.TEXTJOIN(",",TRUE,B190:E190),SF_Output!$Q$1:$Q$400,"quarterly")*4)</f>
        <v/>
      </c>
      <c r="S190" s="112" t="str">
        <f>IF(OR(B190=0,B190="",G190="hardware",R190=0),"",IF(AF190&lt;&gt;"exclusion",MAX(S$9,-(SUMIFS(SF_Output!$T$1:$T$400,SF_Output!$AC$1:$AC$400,_xlfn.TEXTJOIN(",",TRUE,$B190:$E190),SF_Output!$Q$1:$Q$400,"yearly"))/R190),-((SUMIFS(SF_Output!$T$1:$T$400,SF_Output!$AC$1:$AC$400,_xlfn.TEXTJOIN(",",TRUE,$B190:$E190),SF_Output!$Q$1:$Q$400,"yearly")/R190))))</f>
        <v/>
      </c>
      <c r="T190" s="6" t="str">
        <f t="shared" si="11"/>
        <v/>
      </c>
      <c r="V190" s="6" t="str" cm="1">
        <f t="array" ref="V190">_xlfn.IFS(B190="","",AND(B190&lt;&gt;"",H190=SF_Output!$Y$2,SUMIFS(SF_Output!$T$1:$T$400,SF_Output!$AC$1:$AC$400,_xlfn.TEXTJOIN(",",TRUE,B190:E190),SF_Output!$Q$1:$Q$400,"monthly")=0),(SUMIFS(SF_Output!$F$1:$F$400,SF_Output!$AC$1:$AC$400,_xlfn.TEXTJOIN(",",TRUE,B190:E190),SF_Output!$Q$1:$Q$400,"monthly")+SUMIFS(SF_Output!$G$1:$G$400,SF_Output!$AC$1:$AC$400,_xlfn.TEXTJOIN(",",TRUE,B190:E190),SF_Output!$Q$1:$Q$400,"monthly"))*H190,AND(B190&lt;&gt;"",H190=SF_Output!$Y$2,SUMIFS(SF_Output!$T$1:$T$400,SF_Output!$AC$1:$AC$400,_xlfn.TEXTJOIN(",",TRUE,B190:E190),SF_Output!$Q$1:$Q$400,"monthly")&lt;&gt;0),SUMIFS(SF_Output!$S$1:$S$400,SF_Output!$AC$1:$AC$400,_xlfn.TEXTJOIN(",",TRUE,B190:E190),SF_Output!$Q$1:$Q$400,"monthly"),AND(B190&lt;&gt;"",H190&lt;&gt;SF_Output!$Y$2),SUMIFS(SF_Output!$S$1:$S$400,SF_Output!$AC$1:$AC$400,_xlfn.TEXTJOIN(",",TRUE,B190:E190),SF_Output!$Q$1:$Q$400,"monthly"))</f>
        <v/>
      </c>
      <c r="W190" s="112" t="str" cm="1">
        <f t="array" ref="W190">_xlfn.IFS(OR(B190=0,B190="",V190=0),"",AF190&lt;&gt;"exclusion",MAX($W$9,$W$7,(-(SUMIFS(SF_Output!$T$1:$T$400,SF_Output!$AC$1:$AC$400,_xlfn.TEXTJOIN(",",TRUE,$B190:$E190),SF_Output!$Q$1:$Q$400,"monthly"))/V190)),AF190="exclusion",-(SUMIFS(SF_Output!$T$1:$T$400,SF_Output!$AC$1:$AC$400,_xlfn.TEXTJOIN(",",TRUE,$B190:$E190),SF_Output!$Q$1:$Q$400,"monthly"))/V190)</f>
        <v/>
      </c>
      <c r="X190" s="6" t="str" cm="1">
        <f t="array" ref="X190">IFERROR(_xlfn.IFS(V190=0,0,V190="","",W190=0,V190,OR(V190&lt;&gt;0,V190&lt;&gt;""),H190*I190),V190*(1-W190))</f>
        <v/>
      </c>
    </row>
    <row r="191" spans="2:24" x14ac:dyDescent="0.25">
      <c r="F191" s="116" t="str">
        <f t="shared" si="8"/>
        <v/>
      </c>
      <c r="G191" t="str">
        <f>IF(B191="","",INDEX(SF_Output!$K$1:$K$400,MATCH(B191,SF_Output!$M$1:$M$400,0)))</f>
        <v/>
      </c>
      <c r="H191" t="str" cm="1">
        <f t="array" ref="H191">_xlfn.IFS(B191="","",(SUMIFS(SF_Output!$F$1:$F$400,SF_Output!$AC$1:$AC$400,_xlfn.TEXTJOIN(",",TRUE,B191:E191))+SUMIFS(SF_Output!$G$1:$G$400,SF_Output!$AC$1:$AC$400,_xlfn.TEXTJOIN(",",TRUE,B191:E191)))&lt;&gt;0,SF_Output!$Y$2,INDEX(SF_Output!$F$1:$F$400,MATCH(_xlfn.TEXTJOIN(",",TRUE,B191:E191),SF_Output!$AC$1:$AC$400,0))=0,INDEX(SF_Output!$R$1:$R$400,MATCH(_xlfn.TEXTJOIN(",",TRUE,B191:E191),SF_Output!$AC$1:$AC$400,0)))</f>
        <v/>
      </c>
      <c r="I191" s="125" t="str">
        <f>IFERROR(IF(AND(H191&gt;1,H191&lt;&gt;""),ROUND(SUMIFS(SF_Output!$S$1:$S$400,SF_Output!$AC$1:$AC$400,_xlfn.TEXTJOIN(",",TRUE,B191:E191),SF_Output!$Q$1:$Q$400,"monthly")*(1-W191)/H191,4),""),"")</f>
        <v/>
      </c>
      <c r="J191" s="6" t="str">
        <f>IF(B191="","",SUMIFS(SF_Output!$S$1:$S$400,SF_Output!$AC$1:$AC$400,_xlfn.TEXTJOIN(",",TRUE,B191:E191),SF_Output!$Q$1:$Q$400,"One Time",SF_Output!$L$1:$L$400,"license fee")+SUMIFS(SF_Output!$S$1:$S$400,SF_Output!$AC$1:$AC$400,_xlfn.TEXTJOIN(",",TRUE,B191:E191),SF_Output!$Q$1:$Q$400,"One Time",SF_Output!$L$1:$L$400,"software license")+SUMIFS(SF_Output!$S$1:$S$400,SF_Output!$AC$1:$AC$400,_xlfn.TEXTJOIN(",",TRUE,B191:E191),SF_Output!$Q$1:$Q$400,"One Time",SF_Output!$L$1:$L$400,"hardware"))</f>
        <v/>
      </c>
      <c r="K191" s="112" t="str">
        <f>IF(OR(B191=0,B191="",G191="hardware",J191=0),"",IF(AF191&lt;&gt;"exclusion",MAX(K$9,-((SUMIFS(SF_Output!$T$1:$T$400,SF_Output!$AC$1:$AC$400,_xlfn.TEXTJOIN(",",TRUE,$B191:$E191),SF_Output!$Q$1:$Q$400,"One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license"))/J191)),-((SUMIFS(SF_Output!$T$1:$T$400,SF_Output!$AC$1:$AC$400,_xlfn.TEXTJOIN(",",TRUE,$B191:$E191),SF_Output!$Q$1:$Q$400,"One Time",SF_Output!$L$1:$L$400,"license fee")+SUMIFS(SF_Output!$T$1:$T$400,SF_Output!$AC$1:$AC$400,_xlfn.TEXTJOIN(",",TRUE,$B191:$E191),SF_Output!$Q$1:$Q$400,"One Time",SF_Output!$L$1:$L$400,"software license"))/J191)))</f>
        <v/>
      </c>
      <c r="L191" s="6" t="str">
        <f t="shared" si="9"/>
        <v/>
      </c>
      <c r="N191" s="6" t="str">
        <f>IF(B191="","",SUMIFS(SF_Output!$S$1:$S$400,SF_Output!$AC$1:$AC$400,_xlfn.TEXTJOIN(",",TRUE,B191:E191),SF_Output!$Q$1:$Q$400,"One Time",SF_Output!$L$1:$L$400,"professional service"))</f>
        <v/>
      </c>
      <c r="O191" s="112" t="str">
        <f>IF(OR(B191=0,B191="",N191=0),"",IF(AF191&lt;&gt;"exclusion",MAX(O$9,-(SUMIFS(SF_Output!$T$1:$T$400,SF_Output!$AC$1:$AC$400,_xlfn.TEXTJOIN(",",TRUE,$B191:$E191),SF_Output!$Q$1:$Q$400,"One Time",SF_Output!$L$1:$L$400,"professional service"))/N191),-((SUMIFS(SF_Output!$T$1:$T$400,SF_Output!$AC$1:$AC$400,_xlfn.TEXTJOIN(",",TRUE,$B191:$E191),SF_Output!$Q$1:$Q$400,"One Time",SF_Output!$L$1:$L$400,"professional service")/N191))))</f>
        <v/>
      </c>
      <c r="P191" s="6" t="str">
        <f t="shared" si="10"/>
        <v/>
      </c>
      <c r="R191" s="6" t="str">
        <f>IF(B191="","",SUMIFS(SF_Output!$S$1:$S$400,SF_Output!$AC$1:$AC$400,_xlfn.TEXTJOIN(",",TRUE,B191:E191),SF_Output!$Q$1:$Q$400,"yearly")+SUMIFS(SF_Output!$S$1:$S$400,SF_Output!$AC$1:$AC$400,_xlfn.TEXTJOIN(",",TRUE,B191:E191),SF_Output!$Q$1:$Q$400,"quarterly")*4)</f>
        <v/>
      </c>
      <c r="S191" s="112" t="str">
        <f>IF(OR(B191=0,B191="",G191="hardware",R191=0),"",IF(AF191&lt;&gt;"exclusion",MAX(S$9,-(SUMIFS(SF_Output!$T$1:$T$400,SF_Output!$AC$1:$AC$400,_xlfn.TEXTJOIN(",",TRUE,$B191:$E191),SF_Output!$Q$1:$Q$400,"yearly"))/R191),-((SUMIFS(SF_Output!$T$1:$T$400,SF_Output!$AC$1:$AC$400,_xlfn.TEXTJOIN(",",TRUE,$B191:$E191),SF_Output!$Q$1:$Q$400,"yearly")/R191))))</f>
        <v/>
      </c>
      <c r="T191" s="6" t="str">
        <f t="shared" si="11"/>
        <v/>
      </c>
      <c r="V191" s="6" t="str" cm="1">
        <f t="array" ref="V191">_xlfn.IFS(B191="","",AND(B191&lt;&gt;"",H191=SF_Output!$Y$2,SUMIFS(SF_Output!$T$1:$T$400,SF_Output!$AC$1:$AC$400,_xlfn.TEXTJOIN(",",TRUE,B191:E191),SF_Output!$Q$1:$Q$400,"monthly")=0),(SUMIFS(SF_Output!$F$1:$F$400,SF_Output!$AC$1:$AC$400,_xlfn.TEXTJOIN(",",TRUE,B191:E191),SF_Output!$Q$1:$Q$400,"monthly")+SUMIFS(SF_Output!$G$1:$G$400,SF_Output!$AC$1:$AC$400,_xlfn.TEXTJOIN(",",TRUE,B191:E191),SF_Output!$Q$1:$Q$400,"monthly"))*H191,AND(B191&lt;&gt;"",H191=SF_Output!$Y$2,SUMIFS(SF_Output!$T$1:$T$400,SF_Output!$AC$1:$AC$400,_xlfn.TEXTJOIN(",",TRUE,B191:E191),SF_Output!$Q$1:$Q$400,"monthly")&lt;&gt;0),SUMIFS(SF_Output!$S$1:$S$400,SF_Output!$AC$1:$AC$400,_xlfn.TEXTJOIN(",",TRUE,B191:E191),SF_Output!$Q$1:$Q$400,"monthly"),AND(B191&lt;&gt;"",H191&lt;&gt;SF_Output!$Y$2),SUMIFS(SF_Output!$S$1:$S$400,SF_Output!$AC$1:$AC$400,_xlfn.TEXTJOIN(",",TRUE,B191:E191),SF_Output!$Q$1:$Q$400,"monthly"))</f>
        <v/>
      </c>
      <c r="W191" s="112" t="str" cm="1">
        <f t="array" ref="W191">_xlfn.IFS(OR(B191=0,B191="",V191=0),"",AF191&lt;&gt;"exclusion",MAX($W$9,$W$7,(-(SUMIFS(SF_Output!$T$1:$T$400,SF_Output!$AC$1:$AC$400,_xlfn.TEXTJOIN(",",TRUE,$B191:$E191),SF_Output!$Q$1:$Q$400,"monthly"))/V191)),AF191="exclusion",-(SUMIFS(SF_Output!$T$1:$T$400,SF_Output!$AC$1:$AC$400,_xlfn.TEXTJOIN(",",TRUE,$B191:$E191),SF_Output!$Q$1:$Q$400,"monthly"))/V191)</f>
        <v/>
      </c>
      <c r="X191" s="6" t="str" cm="1">
        <f t="array" ref="X191">IFERROR(_xlfn.IFS(V191=0,0,V191="","",W191=0,V191,OR(V191&lt;&gt;0,V191&lt;&gt;""),H191*I191),V191*(1-W191))</f>
        <v/>
      </c>
    </row>
    <row r="192" spans="2:24" x14ac:dyDescent="0.25">
      <c r="F192" s="116" t="str">
        <f t="shared" si="8"/>
        <v/>
      </c>
      <c r="G192" t="str">
        <f>IF(B192="","",INDEX(SF_Output!$K$1:$K$400,MATCH(B192,SF_Output!$M$1:$M$400,0)))</f>
        <v/>
      </c>
      <c r="H192" t="str" cm="1">
        <f t="array" ref="H192">_xlfn.IFS(B192="","",(SUMIFS(SF_Output!$F$1:$F$400,SF_Output!$AC$1:$AC$400,_xlfn.TEXTJOIN(",",TRUE,B192:E192))+SUMIFS(SF_Output!$G$1:$G$400,SF_Output!$AC$1:$AC$400,_xlfn.TEXTJOIN(",",TRUE,B192:E192)))&lt;&gt;0,SF_Output!$Y$2,INDEX(SF_Output!$F$1:$F$400,MATCH(_xlfn.TEXTJOIN(",",TRUE,B192:E192),SF_Output!$AC$1:$AC$400,0))=0,INDEX(SF_Output!$R$1:$R$400,MATCH(_xlfn.TEXTJOIN(",",TRUE,B192:E192),SF_Output!$AC$1:$AC$400,0)))</f>
        <v/>
      </c>
      <c r="I192" s="125" t="str">
        <f>IFERROR(IF(AND(H192&gt;1,H192&lt;&gt;""),ROUND(SUMIFS(SF_Output!$S$1:$S$400,SF_Output!$AC$1:$AC$400,_xlfn.TEXTJOIN(",",TRUE,B192:E192),SF_Output!$Q$1:$Q$400,"monthly")*(1-W192)/H192,4),""),"")</f>
        <v/>
      </c>
      <c r="J192" s="6" t="str">
        <f>IF(B192="","",SUMIFS(SF_Output!$S$1:$S$400,SF_Output!$AC$1:$AC$400,_xlfn.TEXTJOIN(",",TRUE,B192:E192),SF_Output!$Q$1:$Q$400,"One Time",SF_Output!$L$1:$L$400,"license fee")+SUMIFS(SF_Output!$S$1:$S$400,SF_Output!$AC$1:$AC$400,_xlfn.TEXTJOIN(",",TRUE,B192:E192),SF_Output!$Q$1:$Q$400,"One Time",SF_Output!$L$1:$L$400,"software license")+SUMIFS(SF_Output!$S$1:$S$400,SF_Output!$AC$1:$AC$400,_xlfn.TEXTJOIN(",",TRUE,B192:E192),SF_Output!$Q$1:$Q$400,"One Time",SF_Output!$L$1:$L$400,"hardware"))</f>
        <v/>
      </c>
      <c r="K192" s="112" t="str">
        <f>IF(OR(B192=0,B192="",G192="hardware",J192=0),"",IF(AF192&lt;&gt;"exclusion",MAX(K$9,-((SUMIFS(SF_Output!$T$1:$T$400,SF_Output!$AC$1:$AC$400,_xlfn.TEXTJOIN(",",TRUE,$B192:$E192),SF_Output!$Q$1:$Q$400,"One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license"))/J192)),-((SUMIFS(SF_Output!$T$1:$T$400,SF_Output!$AC$1:$AC$400,_xlfn.TEXTJOIN(",",TRUE,$B192:$E192),SF_Output!$Q$1:$Q$400,"One Time",SF_Output!$L$1:$L$400,"license fee")+SUMIFS(SF_Output!$T$1:$T$400,SF_Output!$AC$1:$AC$400,_xlfn.TEXTJOIN(",",TRUE,$B192:$E192),SF_Output!$Q$1:$Q$400,"One Time",SF_Output!$L$1:$L$400,"software license"))/J192)))</f>
        <v/>
      </c>
      <c r="L192" s="6" t="str">
        <f t="shared" si="9"/>
        <v/>
      </c>
      <c r="N192" s="6" t="str">
        <f>IF(B192="","",SUMIFS(SF_Output!$S$1:$S$400,SF_Output!$AC$1:$AC$400,_xlfn.TEXTJOIN(",",TRUE,B192:E192),SF_Output!$Q$1:$Q$400,"One Time",SF_Output!$L$1:$L$400,"professional service"))</f>
        <v/>
      </c>
      <c r="O192" s="112" t="str">
        <f>IF(OR(B192=0,B192="",N192=0),"",IF(AF192&lt;&gt;"exclusion",MAX(O$9,-(SUMIFS(SF_Output!$T$1:$T$400,SF_Output!$AC$1:$AC$400,_xlfn.TEXTJOIN(",",TRUE,$B192:$E192),SF_Output!$Q$1:$Q$400,"One Time",SF_Output!$L$1:$L$400,"professional service"))/N192),-((SUMIFS(SF_Output!$T$1:$T$400,SF_Output!$AC$1:$AC$400,_xlfn.TEXTJOIN(",",TRUE,$B192:$E192),SF_Output!$Q$1:$Q$400,"One Time",SF_Output!$L$1:$L$400,"professional service")/N192))))</f>
        <v/>
      </c>
      <c r="P192" s="6" t="str">
        <f t="shared" si="10"/>
        <v/>
      </c>
      <c r="R192" s="6" t="str">
        <f>IF(B192="","",SUMIFS(SF_Output!$S$1:$S$400,SF_Output!$AC$1:$AC$400,_xlfn.TEXTJOIN(",",TRUE,B192:E192),SF_Output!$Q$1:$Q$400,"yearly")+SUMIFS(SF_Output!$S$1:$S$400,SF_Output!$AC$1:$AC$400,_xlfn.TEXTJOIN(",",TRUE,B192:E192),SF_Output!$Q$1:$Q$400,"quarterly")*4)</f>
        <v/>
      </c>
      <c r="S192" s="112" t="str">
        <f>IF(OR(B192=0,B192="",G192="hardware",R192=0),"",IF(AF192&lt;&gt;"exclusion",MAX(S$9,-(SUMIFS(SF_Output!$T$1:$T$400,SF_Output!$AC$1:$AC$400,_xlfn.TEXTJOIN(",",TRUE,$B192:$E192),SF_Output!$Q$1:$Q$400,"yearly"))/R192),-((SUMIFS(SF_Output!$T$1:$T$400,SF_Output!$AC$1:$AC$400,_xlfn.TEXTJOIN(",",TRUE,$B192:$E192),SF_Output!$Q$1:$Q$400,"yearly")/R192))))</f>
        <v/>
      </c>
      <c r="T192" s="6" t="str">
        <f t="shared" si="11"/>
        <v/>
      </c>
      <c r="V192" s="6" t="str" cm="1">
        <f t="array" ref="V192">_xlfn.IFS(B192="","",AND(B192&lt;&gt;"",H192=SF_Output!$Y$2,SUMIFS(SF_Output!$T$1:$T$400,SF_Output!$AC$1:$AC$400,_xlfn.TEXTJOIN(",",TRUE,B192:E192),SF_Output!$Q$1:$Q$400,"monthly")=0),(SUMIFS(SF_Output!$F$1:$F$400,SF_Output!$AC$1:$AC$400,_xlfn.TEXTJOIN(",",TRUE,B192:E192),SF_Output!$Q$1:$Q$400,"monthly")+SUMIFS(SF_Output!$G$1:$G$400,SF_Output!$AC$1:$AC$400,_xlfn.TEXTJOIN(",",TRUE,B192:E192),SF_Output!$Q$1:$Q$400,"monthly"))*H192,AND(B192&lt;&gt;"",H192=SF_Output!$Y$2,SUMIFS(SF_Output!$T$1:$T$400,SF_Output!$AC$1:$AC$400,_xlfn.TEXTJOIN(",",TRUE,B192:E192),SF_Output!$Q$1:$Q$400,"monthly")&lt;&gt;0),SUMIFS(SF_Output!$S$1:$S$400,SF_Output!$AC$1:$AC$400,_xlfn.TEXTJOIN(",",TRUE,B192:E192),SF_Output!$Q$1:$Q$400,"monthly"),AND(B192&lt;&gt;"",H192&lt;&gt;SF_Output!$Y$2),SUMIFS(SF_Output!$S$1:$S$400,SF_Output!$AC$1:$AC$400,_xlfn.TEXTJOIN(",",TRUE,B192:E192),SF_Output!$Q$1:$Q$400,"monthly"))</f>
        <v/>
      </c>
      <c r="W192" s="112" t="str" cm="1">
        <f t="array" ref="W192">_xlfn.IFS(OR(B192=0,B192="",V192=0),"",AF192&lt;&gt;"exclusion",MAX($W$9,$W$7,(-(SUMIFS(SF_Output!$T$1:$T$400,SF_Output!$AC$1:$AC$400,_xlfn.TEXTJOIN(",",TRUE,$B192:$E192),SF_Output!$Q$1:$Q$400,"monthly"))/V192)),AF192="exclusion",-(SUMIFS(SF_Output!$T$1:$T$400,SF_Output!$AC$1:$AC$400,_xlfn.TEXTJOIN(",",TRUE,$B192:$E192),SF_Output!$Q$1:$Q$400,"monthly"))/V192)</f>
        <v/>
      </c>
      <c r="X192" s="6" t="str" cm="1">
        <f t="array" ref="X192">IFERROR(_xlfn.IFS(V192=0,0,V192="","",W192=0,V192,OR(V192&lt;&gt;0,V192&lt;&gt;""),H192*I192),V192*(1-W192))</f>
        <v/>
      </c>
    </row>
    <row r="193" spans="6:24" x14ac:dyDescent="0.25">
      <c r="F193" s="116" t="str">
        <f t="shared" si="8"/>
        <v/>
      </c>
      <c r="G193" t="str">
        <f>IF(B193="","",INDEX(SF_Output!$K$1:$K$400,MATCH(B193,SF_Output!$M$1:$M$400,0)))</f>
        <v/>
      </c>
      <c r="H193" t="str" cm="1">
        <f t="array" ref="H193">_xlfn.IFS(B193="","",(SUMIFS(SF_Output!$F$1:$F$400,SF_Output!$AC$1:$AC$400,_xlfn.TEXTJOIN(",",TRUE,B193:E193))+SUMIFS(SF_Output!$G$1:$G$400,SF_Output!$AC$1:$AC$400,_xlfn.TEXTJOIN(",",TRUE,B193:E193)))&lt;&gt;0,SF_Output!$Y$2,INDEX(SF_Output!$F$1:$F$400,MATCH(_xlfn.TEXTJOIN(",",TRUE,B193:E193),SF_Output!$AC$1:$AC$400,0))=0,INDEX(SF_Output!$R$1:$R$400,MATCH(_xlfn.TEXTJOIN(",",TRUE,B193:E193),SF_Output!$AC$1:$AC$400,0)))</f>
        <v/>
      </c>
      <c r="I193" s="125" t="str">
        <f>IFERROR(IF(AND(H193&gt;1,H193&lt;&gt;""),ROUND(SUMIFS(SF_Output!$S$1:$S$400,SF_Output!$AC$1:$AC$400,_xlfn.TEXTJOIN(",",TRUE,B193:E193),SF_Output!$Q$1:$Q$400,"monthly")*(1-W193)/H193,4),""),"")</f>
        <v/>
      </c>
      <c r="J193" s="6" t="str">
        <f>IF(B193="","",SUMIFS(SF_Output!$S$1:$S$400,SF_Output!$AC$1:$AC$400,_xlfn.TEXTJOIN(",",TRUE,B193:E193),SF_Output!$Q$1:$Q$400,"One Time",SF_Output!$L$1:$L$400,"license fee")+SUMIFS(SF_Output!$S$1:$S$400,SF_Output!$AC$1:$AC$400,_xlfn.TEXTJOIN(",",TRUE,B193:E193),SF_Output!$Q$1:$Q$400,"One Time",SF_Output!$L$1:$L$400,"software license")+SUMIFS(SF_Output!$S$1:$S$400,SF_Output!$AC$1:$AC$400,_xlfn.TEXTJOIN(",",TRUE,B193:E193),SF_Output!$Q$1:$Q$400,"One Time",SF_Output!$L$1:$L$400,"hardware"))</f>
        <v/>
      </c>
      <c r="K193" s="112" t="str">
        <f>IF(OR(B193=0,B193="",G193="hardware",J193=0),"",IF(AF193&lt;&gt;"exclusion",MAX(K$9,-((SUMIFS(SF_Output!$T$1:$T$400,SF_Output!$AC$1:$AC$400,_xlfn.TEXTJOIN(",",TRUE,$B193:$E193),SF_Output!$Q$1:$Q$400,"One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license"))/J193)),-((SUMIFS(SF_Output!$T$1:$T$400,SF_Output!$AC$1:$AC$400,_xlfn.TEXTJOIN(",",TRUE,$B193:$E193),SF_Output!$Q$1:$Q$400,"One Time",SF_Output!$L$1:$L$400,"license fee")+SUMIFS(SF_Output!$T$1:$T$400,SF_Output!$AC$1:$AC$400,_xlfn.TEXTJOIN(",",TRUE,$B193:$E193),SF_Output!$Q$1:$Q$400,"One Time",SF_Output!$L$1:$L$400,"software license"))/J193)))</f>
        <v/>
      </c>
      <c r="L193" s="6" t="str">
        <f t="shared" si="9"/>
        <v/>
      </c>
      <c r="N193" s="6" t="str">
        <f>IF(B193="","",SUMIFS(SF_Output!$S$1:$S$400,SF_Output!$AC$1:$AC$400,_xlfn.TEXTJOIN(",",TRUE,B193:E193),SF_Output!$Q$1:$Q$400,"One Time",SF_Output!$L$1:$L$400,"professional service"))</f>
        <v/>
      </c>
      <c r="O193" s="112" t="str">
        <f>IF(OR(B193=0,B193="",N193=0),"",IF(AF193&lt;&gt;"exclusion",MAX(O$9,-(SUMIFS(SF_Output!$T$1:$T$400,SF_Output!$AC$1:$AC$400,_xlfn.TEXTJOIN(",",TRUE,$B193:$E193),SF_Output!$Q$1:$Q$400,"One Time",SF_Output!$L$1:$L$400,"professional service"))/N193),-((SUMIFS(SF_Output!$T$1:$T$400,SF_Output!$AC$1:$AC$400,_xlfn.TEXTJOIN(",",TRUE,$B193:$E193),SF_Output!$Q$1:$Q$400,"One Time",SF_Output!$L$1:$L$400,"professional service")/N193))))</f>
        <v/>
      </c>
      <c r="P193" s="6" t="str">
        <f t="shared" si="10"/>
        <v/>
      </c>
      <c r="R193" s="6" t="str">
        <f>IF(B193="","",SUMIFS(SF_Output!$S$1:$S$400,SF_Output!$AC$1:$AC$400,_xlfn.TEXTJOIN(",",TRUE,B193:E193),SF_Output!$Q$1:$Q$400,"yearly")+SUMIFS(SF_Output!$S$1:$S$400,SF_Output!$AC$1:$AC$400,_xlfn.TEXTJOIN(",",TRUE,B193:E193),SF_Output!$Q$1:$Q$400,"quarterly")*4)</f>
        <v/>
      </c>
      <c r="S193" s="112" t="str">
        <f>IF(OR(B193=0,B193="",G193="hardware",R193=0),"",IF(AF193&lt;&gt;"exclusion",MAX(S$9,-(SUMIFS(SF_Output!$T$1:$T$400,SF_Output!$AC$1:$AC$400,_xlfn.TEXTJOIN(",",TRUE,$B193:$E193),SF_Output!$Q$1:$Q$400,"yearly"))/R193),-((SUMIFS(SF_Output!$T$1:$T$400,SF_Output!$AC$1:$AC$400,_xlfn.TEXTJOIN(",",TRUE,$B193:$E193),SF_Output!$Q$1:$Q$400,"yearly")/R193))))</f>
        <v/>
      </c>
      <c r="T193" s="6" t="str">
        <f t="shared" si="11"/>
        <v/>
      </c>
      <c r="V193" s="6" t="str" cm="1">
        <f t="array" ref="V193">_xlfn.IFS(B193="","",AND(B193&lt;&gt;"",H193=SF_Output!$Y$2,SUMIFS(SF_Output!$T$1:$T$400,SF_Output!$AC$1:$AC$400,_xlfn.TEXTJOIN(",",TRUE,B193:E193),SF_Output!$Q$1:$Q$400,"monthly")=0),(SUMIFS(SF_Output!$F$1:$F$400,SF_Output!$AC$1:$AC$400,_xlfn.TEXTJOIN(",",TRUE,B193:E193),SF_Output!$Q$1:$Q$400,"monthly")+SUMIFS(SF_Output!$G$1:$G$400,SF_Output!$AC$1:$AC$400,_xlfn.TEXTJOIN(",",TRUE,B193:E193),SF_Output!$Q$1:$Q$400,"monthly"))*H193,AND(B193&lt;&gt;"",H193=SF_Output!$Y$2,SUMIFS(SF_Output!$T$1:$T$400,SF_Output!$AC$1:$AC$400,_xlfn.TEXTJOIN(",",TRUE,B193:E193),SF_Output!$Q$1:$Q$400,"monthly")&lt;&gt;0),SUMIFS(SF_Output!$S$1:$S$400,SF_Output!$AC$1:$AC$400,_xlfn.TEXTJOIN(",",TRUE,B193:E193),SF_Output!$Q$1:$Q$400,"monthly"),AND(B193&lt;&gt;"",H193&lt;&gt;SF_Output!$Y$2),SUMIFS(SF_Output!$S$1:$S$400,SF_Output!$AC$1:$AC$400,_xlfn.TEXTJOIN(",",TRUE,B193:E193),SF_Output!$Q$1:$Q$400,"monthly"))</f>
        <v/>
      </c>
      <c r="W193" s="112" t="str" cm="1">
        <f t="array" ref="W193">_xlfn.IFS(OR(B193=0,B193="",V193=0),"",AF193&lt;&gt;"exclusion",MAX($W$9,$W$7,(-(SUMIFS(SF_Output!$T$1:$T$400,SF_Output!$AC$1:$AC$400,_xlfn.TEXTJOIN(",",TRUE,$B193:$E193),SF_Output!$Q$1:$Q$400,"monthly"))/V193)),AF193="exclusion",-(SUMIFS(SF_Output!$T$1:$T$400,SF_Output!$AC$1:$AC$400,_xlfn.TEXTJOIN(",",TRUE,$B193:$E193),SF_Output!$Q$1:$Q$400,"monthly"))/V193)</f>
        <v/>
      </c>
      <c r="X193" s="6" t="str" cm="1">
        <f t="array" ref="X193">IFERROR(_xlfn.IFS(V193=0,0,V193="","",W193=0,V193,OR(V193&lt;&gt;0,V193&lt;&gt;""),H193*I193),V193*(1-W193))</f>
        <v/>
      </c>
    </row>
    <row r="194" spans="6:24" x14ac:dyDescent="0.25">
      <c r="F194" s="116" t="str">
        <f t="shared" si="8"/>
        <v/>
      </c>
      <c r="G194" t="str">
        <f>IF(B194="","",INDEX(SF_Output!$K$1:$K$400,MATCH(B194,SF_Output!$M$1:$M$400,0)))</f>
        <v/>
      </c>
      <c r="H194" t="str" cm="1">
        <f t="array" ref="H194">_xlfn.IFS(B194="","",(SUMIFS(SF_Output!$F$1:$F$400,SF_Output!$AC$1:$AC$400,_xlfn.TEXTJOIN(",",TRUE,B194:E194))+SUMIFS(SF_Output!$G$1:$G$400,SF_Output!$AC$1:$AC$400,_xlfn.TEXTJOIN(",",TRUE,B194:E194)))&lt;&gt;0,SF_Output!$Y$2,INDEX(SF_Output!$F$1:$F$400,MATCH(_xlfn.TEXTJOIN(",",TRUE,B194:E194),SF_Output!$AC$1:$AC$400,0))=0,INDEX(SF_Output!$R$1:$R$400,MATCH(_xlfn.TEXTJOIN(",",TRUE,B194:E194),SF_Output!$AC$1:$AC$400,0)))</f>
        <v/>
      </c>
      <c r="I194" s="125" t="str">
        <f>IFERROR(IF(AND(H194&gt;1,H194&lt;&gt;""),ROUND(SUMIFS(SF_Output!$S$1:$S$400,SF_Output!$AC$1:$AC$400,_xlfn.TEXTJOIN(",",TRUE,B194:E194),SF_Output!$Q$1:$Q$400,"monthly")*(1-W194)/H194,4),""),"")</f>
        <v/>
      </c>
      <c r="J194" s="6" t="str">
        <f>IF(B194="","",SUMIFS(SF_Output!$S$1:$S$400,SF_Output!$AC$1:$AC$400,_xlfn.TEXTJOIN(",",TRUE,B194:E194),SF_Output!$Q$1:$Q$400,"One Time",SF_Output!$L$1:$L$400,"license fee")+SUMIFS(SF_Output!$S$1:$S$400,SF_Output!$AC$1:$AC$400,_xlfn.TEXTJOIN(",",TRUE,B194:E194),SF_Output!$Q$1:$Q$400,"One Time",SF_Output!$L$1:$L$400,"software license")+SUMIFS(SF_Output!$S$1:$S$400,SF_Output!$AC$1:$AC$400,_xlfn.TEXTJOIN(",",TRUE,B194:E194),SF_Output!$Q$1:$Q$400,"One Time",SF_Output!$L$1:$L$400,"hardware"))</f>
        <v/>
      </c>
      <c r="K194" s="112" t="str">
        <f>IF(OR(B194=0,B194="",G194="hardware",J194=0),"",IF(AF194&lt;&gt;"exclusion",MAX(K$9,-((SUMIFS(SF_Output!$T$1:$T$400,SF_Output!$AC$1:$AC$400,_xlfn.TEXTJOIN(",",TRUE,$B194:$E194),SF_Output!$Q$1:$Q$400,"One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license"))/J194)),-((SUMIFS(SF_Output!$T$1:$T$400,SF_Output!$AC$1:$AC$400,_xlfn.TEXTJOIN(",",TRUE,$B194:$E194),SF_Output!$Q$1:$Q$400,"One Time",SF_Output!$L$1:$L$400,"license fee")+SUMIFS(SF_Output!$T$1:$T$400,SF_Output!$AC$1:$AC$400,_xlfn.TEXTJOIN(",",TRUE,$B194:$E194),SF_Output!$Q$1:$Q$400,"One Time",SF_Output!$L$1:$L$400,"software license"))/J194)))</f>
        <v/>
      </c>
      <c r="L194" s="6" t="str">
        <f t="shared" si="9"/>
        <v/>
      </c>
      <c r="N194" s="6" t="str">
        <f>IF(B194="","",SUMIFS(SF_Output!$S$1:$S$400,SF_Output!$AC$1:$AC$400,_xlfn.TEXTJOIN(",",TRUE,B194:E194),SF_Output!$Q$1:$Q$400,"One Time",SF_Output!$L$1:$L$400,"professional service"))</f>
        <v/>
      </c>
      <c r="O194" s="112" t="str">
        <f>IF(OR(B194=0,B194="",N194=0),"",IF(AF194&lt;&gt;"exclusion",MAX(O$9,-(SUMIFS(SF_Output!$T$1:$T$400,SF_Output!$AC$1:$AC$400,_xlfn.TEXTJOIN(",",TRUE,$B194:$E194),SF_Output!$Q$1:$Q$400,"One Time",SF_Output!$L$1:$L$400,"professional service"))/N194),-((SUMIFS(SF_Output!$T$1:$T$400,SF_Output!$AC$1:$AC$400,_xlfn.TEXTJOIN(",",TRUE,$B194:$E194),SF_Output!$Q$1:$Q$400,"One Time",SF_Output!$L$1:$L$400,"professional service")/N194))))</f>
        <v/>
      </c>
      <c r="P194" s="6" t="str">
        <f t="shared" si="10"/>
        <v/>
      </c>
      <c r="R194" s="6" t="str">
        <f>IF(B194="","",SUMIFS(SF_Output!$S$1:$S$400,SF_Output!$AC$1:$AC$400,_xlfn.TEXTJOIN(",",TRUE,B194:E194),SF_Output!$Q$1:$Q$400,"yearly")+SUMIFS(SF_Output!$S$1:$S$400,SF_Output!$AC$1:$AC$400,_xlfn.TEXTJOIN(",",TRUE,B194:E194),SF_Output!$Q$1:$Q$400,"quarterly")*4)</f>
        <v/>
      </c>
      <c r="S194" s="112" t="str">
        <f>IF(OR(B194=0,B194="",G194="hardware",R194=0),"",IF(AF194&lt;&gt;"exclusion",MAX(S$9,-(SUMIFS(SF_Output!$T$1:$T$400,SF_Output!$AC$1:$AC$400,_xlfn.TEXTJOIN(",",TRUE,$B194:$E194),SF_Output!$Q$1:$Q$400,"yearly"))/R194),-((SUMIFS(SF_Output!$T$1:$T$400,SF_Output!$AC$1:$AC$400,_xlfn.TEXTJOIN(",",TRUE,$B194:$E194),SF_Output!$Q$1:$Q$400,"yearly")/R194))))</f>
        <v/>
      </c>
      <c r="T194" s="6" t="str">
        <f t="shared" si="11"/>
        <v/>
      </c>
      <c r="V194" s="6" t="str" cm="1">
        <f t="array" ref="V194">_xlfn.IFS(B194="","",AND(B194&lt;&gt;"",H194=SF_Output!$Y$2,SUMIFS(SF_Output!$T$1:$T$400,SF_Output!$AC$1:$AC$400,_xlfn.TEXTJOIN(",",TRUE,B194:E194),SF_Output!$Q$1:$Q$400,"monthly")=0),(SUMIFS(SF_Output!$F$1:$F$400,SF_Output!$AC$1:$AC$400,_xlfn.TEXTJOIN(",",TRUE,B194:E194),SF_Output!$Q$1:$Q$400,"monthly")+SUMIFS(SF_Output!$G$1:$G$400,SF_Output!$AC$1:$AC$400,_xlfn.TEXTJOIN(",",TRUE,B194:E194),SF_Output!$Q$1:$Q$400,"monthly"))*H194,AND(B194&lt;&gt;"",H194=SF_Output!$Y$2,SUMIFS(SF_Output!$T$1:$T$400,SF_Output!$AC$1:$AC$400,_xlfn.TEXTJOIN(",",TRUE,B194:E194),SF_Output!$Q$1:$Q$400,"monthly")&lt;&gt;0),SUMIFS(SF_Output!$S$1:$S$400,SF_Output!$AC$1:$AC$400,_xlfn.TEXTJOIN(",",TRUE,B194:E194),SF_Output!$Q$1:$Q$400,"monthly"),AND(B194&lt;&gt;"",H194&lt;&gt;SF_Output!$Y$2),SUMIFS(SF_Output!$S$1:$S$400,SF_Output!$AC$1:$AC$400,_xlfn.TEXTJOIN(",",TRUE,B194:E194),SF_Output!$Q$1:$Q$400,"monthly"))</f>
        <v/>
      </c>
      <c r="W194" s="112" t="str" cm="1">
        <f t="array" ref="W194">_xlfn.IFS(OR(B194=0,B194="",V194=0),"",AF194&lt;&gt;"exclusion",MAX($W$9,$W$7,(-(SUMIFS(SF_Output!$T$1:$T$400,SF_Output!$AC$1:$AC$400,_xlfn.TEXTJOIN(",",TRUE,$B194:$E194),SF_Output!$Q$1:$Q$400,"monthly"))/V194)),AF194="exclusion",-(SUMIFS(SF_Output!$T$1:$T$400,SF_Output!$AC$1:$AC$400,_xlfn.TEXTJOIN(",",TRUE,$B194:$E194),SF_Output!$Q$1:$Q$400,"monthly"))/V194)</f>
        <v/>
      </c>
      <c r="X194" s="6" t="str" cm="1">
        <f t="array" ref="X194">IFERROR(_xlfn.IFS(V194=0,0,V194="","",W194=0,V194,OR(V194&lt;&gt;0,V194&lt;&gt;""),H194*I194),V194*(1-W194))</f>
        <v/>
      </c>
    </row>
    <row r="195" spans="6:24" x14ac:dyDescent="0.25">
      <c r="F195" s="116" t="str">
        <f t="shared" si="8"/>
        <v/>
      </c>
      <c r="G195" t="str">
        <f>IF(B195="","",INDEX(SF_Output!$K$1:$K$400,MATCH(B195,SF_Output!$M$1:$M$400,0)))</f>
        <v/>
      </c>
      <c r="H195" t="str" cm="1">
        <f t="array" ref="H195">_xlfn.IFS(B195="","",(SUMIFS(SF_Output!$F$1:$F$400,SF_Output!$AC$1:$AC$400,_xlfn.TEXTJOIN(",",TRUE,B195:E195))+SUMIFS(SF_Output!$G$1:$G$400,SF_Output!$AC$1:$AC$400,_xlfn.TEXTJOIN(",",TRUE,B195:E195)))&lt;&gt;0,SF_Output!$Y$2,INDEX(SF_Output!$F$1:$F$400,MATCH(_xlfn.TEXTJOIN(",",TRUE,B195:E195),SF_Output!$AC$1:$AC$400,0))=0,INDEX(SF_Output!$R$1:$R$400,MATCH(_xlfn.TEXTJOIN(",",TRUE,B195:E195),SF_Output!$AC$1:$AC$400,0)))</f>
        <v/>
      </c>
      <c r="I195" s="125" t="str">
        <f>IFERROR(IF(AND(H195&gt;1,H195&lt;&gt;""),ROUND(SUMIFS(SF_Output!$S$1:$S$400,SF_Output!$AC$1:$AC$400,_xlfn.TEXTJOIN(",",TRUE,B195:E195),SF_Output!$Q$1:$Q$400,"monthly")*(1-W195)/H195,4),""),"")</f>
        <v/>
      </c>
      <c r="J195" s="6" t="str">
        <f>IF(B195="","",SUMIFS(SF_Output!$S$1:$S$400,SF_Output!$AC$1:$AC$400,_xlfn.TEXTJOIN(",",TRUE,B195:E195),SF_Output!$Q$1:$Q$400,"One Time",SF_Output!$L$1:$L$400,"license fee")+SUMIFS(SF_Output!$S$1:$S$400,SF_Output!$AC$1:$AC$400,_xlfn.TEXTJOIN(",",TRUE,B195:E195),SF_Output!$Q$1:$Q$400,"One Time",SF_Output!$L$1:$L$400,"software license")+SUMIFS(SF_Output!$S$1:$S$400,SF_Output!$AC$1:$AC$400,_xlfn.TEXTJOIN(",",TRUE,B195:E195),SF_Output!$Q$1:$Q$400,"One Time",SF_Output!$L$1:$L$400,"hardware"))</f>
        <v/>
      </c>
      <c r="K195" s="112" t="str">
        <f>IF(OR(B195=0,B195="",G195="hardware",J195=0),"",IF(AF195&lt;&gt;"exclusion",MAX(K$9,-((SUMIFS(SF_Output!$T$1:$T$400,SF_Output!$AC$1:$AC$400,_xlfn.TEXTJOIN(",",TRUE,$B195:$E195),SF_Output!$Q$1:$Q$400,"One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license"))/J195)),-((SUMIFS(SF_Output!$T$1:$T$400,SF_Output!$AC$1:$AC$400,_xlfn.TEXTJOIN(",",TRUE,$B195:$E195),SF_Output!$Q$1:$Q$400,"One Time",SF_Output!$L$1:$L$400,"license fee")+SUMIFS(SF_Output!$T$1:$T$400,SF_Output!$AC$1:$AC$400,_xlfn.TEXTJOIN(",",TRUE,$B195:$E195),SF_Output!$Q$1:$Q$400,"One Time",SF_Output!$L$1:$L$400,"software license"))/J195)))</f>
        <v/>
      </c>
      <c r="L195" s="6" t="str">
        <f t="shared" si="9"/>
        <v/>
      </c>
      <c r="N195" s="6" t="str">
        <f>IF(B195="","",SUMIFS(SF_Output!$S$1:$S$400,SF_Output!$AC$1:$AC$400,_xlfn.TEXTJOIN(",",TRUE,B195:E195),SF_Output!$Q$1:$Q$400,"One Time",SF_Output!$L$1:$L$400,"professional service"))</f>
        <v/>
      </c>
      <c r="O195" s="112" t="str">
        <f>IF(OR(B195=0,B195="",N195=0),"",IF(AF195&lt;&gt;"exclusion",MAX(O$9,-(SUMIFS(SF_Output!$T$1:$T$400,SF_Output!$AC$1:$AC$400,_xlfn.TEXTJOIN(",",TRUE,$B195:$E195),SF_Output!$Q$1:$Q$400,"One Time",SF_Output!$L$1:$L$400,"professional service"))/N195),-((SUMIFS(SF_Output!$T$1:$T$400,SF_Output!$AC$1:$AC$400,_xlfn.TEXTJOIN(",",TRUE,$B195:$E195),SF_Output!$Q$1:$Q$400,"One Time",SF_Output!$L$1:$L$400,"professional service")/N195))))</f>
        <v/>
      </c>
      <c r="P195" s="6" t="str">
        <f t="shared" si="10"/>
        <v/>
      </c>
      <c r="R195" s="6" t="str">
        <f>IF(B195="","",SUMIFS(SF_Output!$S$1:$S$400,SF_Output!$AC$1:$AC$400,_xlfn.TEXTJOIN(",",TRUE,B195:E195),SF_Output!$Q$1:$Q$400,"yearly")+SUMIFS(SF_Output!$S$1:$S$400,SF_Output!$AC$1:$AC$400,_xlfn.TEXTJOIN(",",TRUE,B195:E195),SF_Output!$Q$1:$Q$400,"quarterly")*4)</f>
        <v/>
      </c>
      <c r="S195" s="112" t="str">
        <f>IF(OR(B195=0,B195="",G195="hardware",R195=0),"",IF(AF195&lt;&gt;"exclusion",MAX(S$9,-(SUMIFS(SF_Output!$T$1:$T$400,SF_Output!$AC$1:$AC$400,_xlfn.TEXTJOIN(",",TRUE,$B195:$E195),SF_Output!$Q$1:$Q$400,"yearly"))/R195),-((SUMIFS(SF_Output!$T$1:$T$400,SF_Output!$AC$1:$AC$400,_xlfn.TEXTJOIN(",",TRUE,$B195:$E195),SF_Output!$Q$1:$Q$400,"yearly")/R195))))</f>
        <v/>
      </c>
      <c r="T195" s="6" t="str">
        <f t="shared" si="11"/>
        <v/>
      </c>
      <c r="V195" s="6" t="str" cm="1">
        <f t="array" ref="V195">_xlfn.IFS(B195="","",AND(B195&lt;&gt;"",H195=SF_Output!$Y$2,SUMIFS(SF_Output!$T$1:$T$400,SF_Output!$AC$1:$AC$400,_xlfn.TEXTJOIN(",",TRUE,B195:E195),SF_Output!$Q$1:$Q$400,"monthly")=0),(SUMIFS(SF_Output!$F$1:$F$400,SF_Output!$AC$1:$AC$400,_xlfn.TEXTJOIN(",",TRUE,B195:E195),SF_Output!$Q$1:$Q$400,"monthly")+SUMIFS(SF_Output!$G$1:$G$400,SF_Output!$AC$1:$AC$400,_xlfn.TEXTJOIN(",",TRUE,B195:E195),SF_Output!$Q$1:$Q$400,"monthly"))*H195,AND(B195&lt;&gt;"",H195=SF_Output!$Y$2,SUMIFS(SF_Output!$T$1:$T$400,SF_Output!$AC$1:$AC$400,_xlfn.TEXTJOIN(",",TRUE,B195:E195),SF_Output!$Q$1:$Q$400,"monthly")&lt;&gt;0),SUMIFS(SF_Output!$S$1:$S$400,SF_Output!$AC$1:$AC$400,_xlfn.TEXTJOIN(",",TRUE,B195:E195),SF_Output!$Q$1:$Q$400,"monthly"),AND(B195&lt;&gt;"",H195&lt;&gt;SF_Output!$Y$2),SUMIFS(SF_Output!$S$1:$S$400,SF_Output!$AC$1:$AC$400,_xlfn.TEXTJOIN(",",TRUE,B195:E195),SF_Output!$Q$1:$Q$400,"monthly"))</f>
        <v/>
      </c>
      <c r="W195" s="112" t="str" cm="1">
        <f t="array" ref="W195">_xlfn.IFS(OR(B195=0,B195="",V195=0),"",AF195&lt;&gt;"exclusion",MAX($W$9,$W$7,(-(SUMIFS(SF_Output!$T$1:$T$400,SF_Output!$AC$1:$AC$400,_xlfn.TEXTJOIN(",",TRUE,$B195:$E195),SF_Output!$Q$1:$Q$400,"monthly"))/V195)),AF195="exclusion",-(SUMIFS(SF_Output!$T$1:$T$400,SF_Output!$AC$1:$AC$400,_xlfn.TEXTJOIN(",",TRUE,$B195:$E195),SF_Output!$Q$1:$Q$400,"monthly"))/V195)</f>
        <v/>
      </c>
      <c r="X195" s="6" t="str" cm="1">
        <f t="array" ref="X195">IFERROR(_xlfn.IFS(V195=0,0,V195="","",W195=0,V195,OR(V195&lt;&gt;0,V195&lt;&gt;""),H195*I195),V195*(1-W195))</f>
        <v/>
      </c>
    </row>
    <row r="196" spans="6:24" x14ac:dyDescent="0.25">
      <c r="F196" s="116" t="str">
        <f t="shared" si="8"/>
        <v/>
      </c>
      <c r="G196" t="str">
        <f>IF(B196="","",INDEX(SF_Output!$K$1:$K$400,MATCH(B196,SF_Output!$M$1:$M$400,0)))</f>
        <v/>
      </c>
      <c r="H196" t="str" cm="1">
        <f t="array" ref="H196">_xlfn.IFS(B196="","",(SUMIFS(SF_Output!$F$1:$F$400,SF_Output!$AC$1:$AC$400,_xlfn.TEXTJOIN(",",TRUE,B196:E196))+SUMIFS(SF_Output!$G$1:$G$400,SF_Output!$AC$1:$AC$400,_xlfn.TEXTJOIN(",",TRUE,B196:E196)))&lt;&gt;0,SF_Output!$Y$2,INDEX(SF_Output!$F$1:$F$400,MATCH(_xlfn.TEXTJOIN(",",TRUE,B196:E196),SF_Output!$AC$1:$AC$400,0))=0,INDEX(SF_Output!$R$1:$R$400,MATCH(_xlfn.TEXTJOIN(",",TRUE,B196:E196),SF_Output!$AC$1:$AC$400,0)))</f>
        <v/>
      </c>
      <c r="I196" s="125" t="str">
        <f>IFERROR(IF(AND(H196&gt;1,H196&lt;&gt;""),ROUND(SUMIFS(SF_Output!$S$1:$S$400,SF_Output!$AC$1:$AC$400,_xlfn.TEXTJOIN(",",TRUE,B196:E196),SF_Output!$Q$1:$Q$400,"monthly")*(1-W196)/H196,4),""),"")</f>
        <v/>
      </c>
      <c r="J196" s="6" t="str">
        <f>IF(B196="","",SUMIFS(SF_Output!$S$1:$S$400,SF_Output!$AC$1:$AC$400,_xlfn.TEXTJOIN(",",TRUE,B196:E196),SF_Output!$Q$1:$Q$400,"One Time",SF_Output!$L$1:$L$400,"license fee")+SUMIFS(SF_Output!$S$1:$S$400,SF_Output!$AC$1:$AC$400,_xlfn.TEXTJOIN(",",TRUE,B196:E196),SF_Output!$Q$1:$Q$400,"One Time",SF_Output!$L$1:$L$400,"software license")+SUMIFS(SF_Output!$S$1:$S$400,SF_Output!$AC$1:$AC$400,_xlfn.TEXTJOIN(",",TRUE,B196:E196),SF_Output!$Q$1:$Q$400,"One Time",SF_Output!$L$1:$L$400,"hardware"))</f>
        <v/>
      </c>
      <c r="K196" s="112" t="str">
        <f>IF(OR(B196=0,B196="",G196="hardware",J196=0),"",IF(AF196&lt;&gt;"exclusion",MAX(K$9,-((SUMIFS(SF_Output!$T$1:$T$400,SF_Output!$AC$1:$AC$400,_xlfn.TEXTJOIN(",",TRUE,$B196:$E196),SF_Output!$Q$1:$Q$400,"One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license"))/J196)),-((SUMIFS(SF_Output!$T$1:$T$400,SF_Output!$AC$1:$AC$400,_xlfn.TEXTJOIN(",",TRUE,$B196:$E196),SF_Output!$Q$1:$Q$400,"One Time",SF_Output!$L$1:$L$400,"license fee")+SUMIFS(SF_Output!$T$1:$T$400,SF_Output!$AC$1:$AC$400,_xlfn.TEXTJOIN(",",TRUE,$B196:$E196),SF_Output!$Q$1:$Q$400,"One Time",SF_Output!$L$1:$L$400,"software license"))/J196)))</f>
        <v/>
      </c>
      <c r="L196" s="6" t="str">
        <f t="shared" si="9"/>
        <v/>
      </c>
      <c r="N196" s="6" t="str">
        <f>IF(B196="","",SUMIFS(SF_Output!$S$1:$S$400,SF_Output!$AC$1:$AC$400,_xlfn.TEXTJOIN(",",TRUE,B196:E196),SF_Output!$Q$1:$Q$400,"One Time",SF_Output!$L$1:$L$400,"professional service"))</f>
        <v/>
      </c>
      <c r="O196" s="112" t="str">
        <f>IF(OR(B196=0,B196="",N196=0),"",IF(AF196&lt;&gt;"exclusion",MAX(O$9,-(SUMIFS(SF_Output!$T$1:$T$400,SF_Output!$AC$1:$AC$400,_xlfn.TEXTJOIN(",",TRUE,$B196:$E196),SF_Output!$Q$1:$Q$400,"One Time",SF_Output!$L$1:$L$400,"professional service"))/N196),-((SUMIFS(SF_Output!$T$1:$T$400,SF_Output!$AC$1:$AC$400,_xlfn.TEXTJOIN(",",TRUE,$B196:$E196),SF_Output!$Q$1:$Q$400,"One Time",SF_Output!$L$1:$L$400,"professional service")/N196))))</f>
        <v/>
      </c>
      <c r="P196" s="6" t="str">
        <f t="shared" si="10"/>
        <v/>
      </c>
      <c r="R196" s="6" t="str">
        <f>IF(B196="","",SUMIFS(SF_Output!$S$1:$S$400,SF_Output!$AC$1:$AC$400,_xlfn.TEXTJOIN(",",TRUE,B196:E196),SF_Output!$Q$1:$Q$400,"yearly")+SUMIFS(SF_Output!$S$1:$S$400,SF_Output!$AC$1:$AC$400,_xlfn.TEXTJOIN(",",TRUE,B196:E196),SF_Output!$Q$1:$Q$400,"quarterly")*4)</f>
        <v/>
      </c>
      <c r="S196" s="112" t="str">
        <f>IF(OR(B196=0,B196="",G196="hardware",R196=0),"",IF(AF196&lt;&gt;"exclusion",MAX(S$9,-(SUMIFS(SF_Output!$T$1:$T$400,SF_Output!$AC$1:$AC$400,_xlfn.TEXTJOIN(",",TRUE,$B196:$E196),SF_Output!$Q$1:$Q$400,"yearly"))/R196),-((SUMIFS(SF_Output!$T$1:$T$400,SF_Output!$AC$1:$AC$400,_xlfn.TEXTJOIN(",",TRUE,$B196:$E196),SF_Output!$Q$1:$Q$400,"yearly")/R196))))</f>
        <v/>
      </c>
      <c r="T196" s="6" t="str">
        <f t="shared" si="11"/>
        <v/>
      </c>
      <c r="V196" s="6" t="str" cm="1">
        <f t="array" ref="V196">_xlfn.IFS(B196="","",AND(B196&lt;&gt;"",H196=SF_Output!$Y$2,SUMIFS(SF_Output!$T$1:$T$400,SF_Output!$AC$1:$AC$400,_xlfn.TEXTJOIN(",",TRUE,B196:E196),SF_Output!$Q$1:$Q$400,"monthly")=0),(SUMIFS(SF_Output!$F$1:$F$400,SF_Output!$AC$1:$AC$400,_xlfn.TEXTJOIN(",",TRUE,B196:E196),SF_Output!$Q$1:$Q$400,"monthly")+SUMIFS(SF_Output!$G$1:$G$400,SF_Output!$AC$1:$AC$400,_xlfn.TEXTJOIN(",",TRUE,B196:E196),SF_Output!$Q$1:$Q$400,"monthly"))*H196,AND(B196&lt;&gt;"",H196=SF_Output!$Y$2,SUMIFS(SF_Output!$T$1:$T$400,SF_Output!$AC$1:$AC$400,_xlfn.TEXTJOIN(",",TRUE,B196:E196),SF_Output!$Q$1:$Q$400,"monthly")&lt;&gt;0),SUMIFS(SF_Output!$S$1:$S$400,SF_Output!$AC$1:$AC$400,_xlfn.TEXTJOIN(",",TRUE,B196:E196),SF_Output!$Q$1:$Q$400,"monthly"),AND(B196&lt;&gt;"",H196&lt;&gt;SF_Output!$Y$2),SUMIFS(SF_Output!$S$1:$S$400,SF_Output!$AC$1:$AC$400,_xlfn.TEXTJOIN(",",TRUE,B196:E196),SF_Output!$Q$1:$Q$400,"monthly"))</f>
        <v/>
      </c>
      <c r="W196" s="112" t="str" cm="1">
        <f t="array" ref="W196">_xlfn.IFS(OR(B196=0,B196="",V196=0),"",AF196&lt;&gt;"exclusion",MAX($W$9,$W$7,(-(SUMIFS(SF_Output!$T$1:$T$400,SF_Output!$AC$1:$AC$400,_xlfn.TEXTJOIN(",",TRUE,$B196:$E196),SF_Output!$Q$1:$Q$400,"monthly"))/V196)),AF196="exclusion",-(SUMIFS(SF_Output!$T$1:$T$400,SF_Output!$AC$1:$AC$400,_xlfn.TEXTJOIN(",",TRUE,$B196:$E196),SF_Output!$Q$1:$Q$400,"monthly"))/V196)</f>
        <v/>
      </c>
      <c r="X196" s="6" t="str" cm="1">
        <f t="array" ref="X196">IFERROR(_xlfn.IFS(V196=0,0,V196="","",W196=0,V196,OR(V196&lt;&gt;0,V196&lt;&gt;""),H196*I196),V196*(1-W196))</f>
        <v/>
      </c>
    </row>
    <row r="197" spans="6:24" x14ac:dyDescent="0.25">
      <c r="F197" s="116" t="str">
        <f t="shared" si="8"/>
        <v/>
      </c>
      <c r="G197" t="str">
        <f>IF(B197="","",INDEX(SF_Output!$K$1:$K$400,MATCH(B197,SF_Output!$M$1:$M$400,0)))</f>
        <v/>
      </c>
      <c r="H197" t="str" cm="1">
        <f t="array" ref="H197">_xlfn.IFS(B197="","",(SUMIFS(SF_Output!$F$1:$F$400,SF_Output!$AC$1:$AC$400,_xlfn.TEXTJOIN(",",TRUE,B197:E197))+SUMIFS(SF_Output!$G$1:$G$400,SF_Output!$AC$1:$AC$400,_xlfn.TEXTJOIN(",",TRUE,B197:E197)))&lt;&gt;0,SF_Output!$Y$2,INDEX(SF_Output!$F$1:$F$400,MATCH(_xlfn.TEXTJOIN(",",TRUE,B197:E197),SF_Output!$AC$1:$AC$400,0))=0,INDEX(SF_Output!$R$1:$R$400,MATCH(_xlfn.TEXTJOIN(",",TRUE,B197:E197),SF_Output!$AC$1:$AC$400,0)))</f>
        <v/>
      </c>
      <c r="I197" s="125" t="str">
        <f>IFERROR(IF(AND(H197&gt;1,H197&lt;&gt;""),ROUND(SUMIFS(SF_Output!$S$1:$S$400,SF_Output!$AC$1:$AC$400,_xlfn.TEXTJOIN(",",TRUE,B197:E197),SF_Output!$Q$1:$Q$400,"monthly")*(1-W197)/H197,4),""),"")</f>
        <v/>
      </c>
      <c r="J197" s="6" t="str">
        <f>IF(B197="","",SUMIFS(SF_Output!$S$1:$S$400,SF_Output!$AC$1:$AC$400,_xlfn.TEXTJOIN(",",TRUE,B197:E197),SF_Output!$Q$1:$Q$400,"One Time",SF_Output!$L$1:$L$400,"license fee")+SUMIFS(SF_Output!$S$1:$S$400,SF_Output!$AC$1:$AC$400,_xlfn.TEXTJOIN(",",TRUE,B197:E197),SF_Output!$Q$1:$Q$400,"One Time",SF_Output!$L$1:$L$400,"software license")+SUMIFS(SF_Output!$S$1:$S$400,SF_Output!$AC$1:$AC$400,_xlfn.TEXTJOIN(",",TRUE,B197:E197),SF_Output!$Q$1:$Q$400,"One Time",SF_Output!$L$1:$L$400,"hardware"))</f>
        <v/>
      </c>
      <c r="K197" s="112" t="str">
        <f>IF(OR(B197=0,B197="",G197="hardware",J197=0),"",IF(AF197&lt;&gt;"exclusion",MAX(K$9,-((SUMIFS(SF_Output!$T$1:$T$400,SF_Output!$AC$1:$AC$400,_xlfn.TEXTJOIN(",",TRUE,$B197:$E197),SF_Output!$Q$1:$Q$400,"One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license"))/J197)),-((SUMIFS(SF_Output!$T$1:$T$400,SF_Output!$AC$1:$AC$400,_xlfn.TEXTJOIN(",",TRUE,$B197:$E197),SF_Output!$Q$1:$Q$400,"One Time",SF_Output!$L$1:$L$400,"license fee")+SUMIFS(SF_Output!$T$1:$T$400,SF_Output!$AC$1:$AC$400,_xlfn.TEXTJOIN(",",TRUE,$B197:$E197),SF_Output!$Q$1:$Q$400,"One Time",SF_Output!$L$1:$L$400,"software license"))/J197)))</f>
        <v/>
      </c>
      <c r="L197" s="6" t="str">
        <f t="shared" si="9"/>
        <v/>
      </c>
      <c r="N197" s="6" t="str">
        <f>IF(B197="","",SUMIFS(SF_Output!$S$1:$S$400,SF_Output!$AC$1:$AC$400,_xlfn.TEXTJOIN(",",TRUE,B197:E197),SF_Output!$Q$1:$Q$400,"One Time",SF_Output!$L$1:$L$400,"professional service"))</f>
        <v/>
      </c>
      <c r="O197" s="112" t="str">
        <f>IF(OR(B197=0,B197="",N197=0),"",IF(AF197&lt;&gt;"exclusion",MAX(O$9,-(SUMIFS(SF_Output!$T$1:$T$400,SF_Output!$AC$1:$AC$400,_xlfn.TEXTJOIN(",",TRUE,$B197:$E197),SF_Output!$Q$1:$Q$400,"One Time",SF_Output!$L$1:$L$400,"professional service"))/N197),-((SUMIFS(SF_Output!$T$1:$T$400,SF_Output!$AC$1:$AC$400,_xlfn.TEXTJOIN(",",TRUE,$B197:$E197),SF_Output!$Q$1:$Q$400,"One Time",SF_Output!$L$1:$L$400,"professional service")/N197))))</f>
        <v/>
      </c>
      <c r="P197" s="6" t="str">
        <f t="shared" si="10"/>
        <v/>
      </c>
      <c r="R197" s="6" t="str">
        <f>IF(B197="","",SUMIFS(SF_Output!$S$1:$S$400,SF_Output!$AC$1:$AC$400,_xlfn.TEXTJOIN(",",TRUE,B197:E197),SF_Output!$Q$1:$Q$400,"yearly")+SUMIFS(SF_Output!$S$1:$S$400,SF_Output!$AC$1:$AC$400,_xlfn.TEXTJOIN(",",TRUE,B197:E197),SF_Output!$Q$1:$Q$400,"quarterly")*4)</f>
        <v/>
      </c>
      <c r="S197" s="112" t="str">
        <f>IF(OR(B197=0,B197="",G197="hardware",R197=0),"",IF(AF197&lt;&gt;"exclusion",MAX(S$9,-(SUMIFS(SF_Output!$T$1:$T$400,SF_Output!$AC$1:$AC$400,_xlfn.TEXTJOIN(",",TRUE,$B197:$E197),SF_Output!$Q$1:$Q$400,"yearly"))/R197),-((SUMIFS(SF_Output!$T$1:$T$400,SF_Output!$AC$1:$AC$400,_xlfn.TEXTJOIN(",",TRUE,$B197:$E197),SF_Output!$Q$1:$Q$400,"yearly")/R197))))</f>
        <v/>
      </c>
      <c r="T197" s="6" t="str">
        <f t="shared" si="11"/>
        <v/>
      </c>
      <c r="V197" s="6" t="str" cm="1">
        <f t="array" ref="V197">_xlfn.IFS(B197="","",AND(B197&lt;&gt;"",H197=SF_Output!$Y$2,SUMIFS(SF_Output!$T$1:$T$400,SF_Output!$AC$1:$AC$400,_xlfn.TEXTJOIN(",",TRUE,B197:E197),SF_Output!$Q$1:$Q$400,"monthly")=0),(SUMIFS(SF_Output!$F$1:$F$400,SF_Output!$AC$1:$AC$400,_xlfn.TEXTJOIN(",",TRUE,B197:E197),SF_Output!$Q$1:$Q$400,"monthly")+SUMIFS(SF_Output!$G$1:$G$400,SF_Output!$AC$1:$AC$400,_xlfn.TEXTJOIN(",",TRUE,B197:E197),SF_Output!$Q$1:$Q$400,"monthly"))*H197,AND(B197&lt;&gt;"",H197=SF_Output!$Y$2,SUMIFS(SF_Output!$T$1:$T$400,SF_Output!$AC$1:$AC$400,_xlfn.TEXTJOIN(",",TRUE,B197:E197),SF_Output!$Q$1:$Q$400,"monthly")&lt;&gt;0),SUMIFS(SF_Output!$S$1:$S$400,SF_Output!$AC$1:$AC$400,_xlfn.TEXTJOIN(",",TRUE,B197:E197),SF_Output!$Q$1:$Q$400,"monthly"),AND(B197&lt;&gt;"",H197&lt;&gt;SF_Output!$Y$2),SUMIFS(SF_Output!$S$1:$S$400,SF_Output!$AC$1:$AC$400,_xlfn.TEXTJOIN(",",TRUE,B197:E197),SF_Output!$Q$1:$Q$400,"monthly"))</f>
        <v/>
      </c>
      <c r="W197" s="112" t="str" cm="1">
        <f t="array" ref="W197">_xlfn.IFS(OR(B197=0,B197="",V197=0),"",AF197&lt;&gt;"exclusion",MAX($W$9,$W$7,(-(SUMIFS(SF_Output!$T$1:$T$400,SF_Output!$AC$1:$AC$400,_xlfn.TEXTJOIN(",",TRUE,$B197:$E197),SF_Output!$Q$1:$Q$400,"monthly"))/V197)),AF197="exclusion",-(SUMIFS(SF_Output!$T$1:$T$400,SF_Output!$AC$1:$AC$400,_xlfn.TEXTJOIN(",",TRUE,$B197:$E197),SF_Output!$Q$1:$Q$400,"monthly"))/V197)</f>
        <v/>
      </c>
      <c r="X197" s="6" t="str" cm="1">
        <f t="array" ref="X197">IFERROR(_xlfn.IFS(V197=0,0,V197="","",W197=0,V197,OR(V197&lt;&gt;0,V197&lt;&gt;""),H197*I197),V197*(1-W197))</f>
        <v/>
      </c>
    </row>
    <row r="198" spans="6:24" x14ac:dyDescent="0.25">
      <c r="F198" s="116" t="str">
        <f t="shared" si="8"/>
        <v/>
      </c>
      <c r="G198" t="str">
        <f>IF(B198="","",INDEX(SF_Output!$K$1:$K$400,MATCH(B198,SF_Output!$M$1:$M$400,0)))</f>
        <v/>
      </c>
      <c r="H198" t="str" cm="1">
        <f t="array" ref="H198">_xlfn.IFS(B198="","",(SUMIFS(SF_Output!$F$1:$F$400,SF_Output!$AC$1:$AC$400,_xlfn.TEXTJOIN(",",TRUE,B198:E198))+SUMIFS(SF_Output!$G$1:$G$400,SF_Output!$AC$1:$AC$400,_xlfn.TEXTJOIN(",",TRUE,B198:E198)))&lt;&gt;0,SF_Output!$Y$2,INDEX(SF_Output!$F$1:$F$400,MATCH(_xlfn.TEXTJOIN(",",TRUE,B198:E198),SF_Output!$AC$1:$AC$400,0))=0,INDEX(SF_Output!$R$1:$R$400,MATCH(_xlfn.TEXTJOIN(",",TRUE,B198:E198),SF_Output!$AC$1:$AC$400,0)))</f>
        <v/>
      </c>
      <c r="I198" s="125" t="str">
        <f>IFERROR(IF(AND(H198&gt;1,H198&lt;&gt;""),ROUND(SUMIFS(SF_Output!$S$1:$S$400,SF_Output!$AC$1:$AC$400,_xlfn.TEXTJOIN(",",TRUE,B198:E198),SF_Output!$Q$1:$Q$400,"monthly")*(1-W198)/H198,4),""),"")</f>
        <v/>
      </c>
      <c r="J198" s="6" t="str">
        <f>IF(B198="","",SUMIFS(SF_Output!$S$1:$S$400,SF_Output!$AC$1:$AC$400,_xlfn.TEXTJOIN(",",TRUE,B198:E198),SF_Output!$Q$1:$Q$400,"One Time",SF_Output!$L$1:$L$400,"license fee")+SUMIFS(SF_Output!$S$1:$S$400,SF_Output!$AC$1:$AC$400,_xlfn.TEXTJOIN(",",TRUE,B198:E198),SF_Output!$Q$1:$Q$400,"One Time",SF_Output!$L$1:$L$400,"software license")+SUMIFS(SF_Output!$S$1:$S$400,SF_Output!$AC$1:$AC$400,_xlfn.TEXTJOIN(",",TRUE,B198:E198),SF_Output!$Q$1:$Q$400,"One Time",SF_Output!$L$1:$L$400,"hardware"))</f>
        <v/>
      </c>
      <c r="K198" s="112" t="str">
        <f>IF(OR(B198=0,B198="",G198="hardware",J198=0),"",IF(AF198&lt;&gt;"exclusion",MAX(K$9,-((SUMIFS(SF_Output!$T$1:$T$400,SF_Output!$AC$1:$AC$400,_xlfn.TEXTJOIN(",",TRUE,$B198:$E198),SF_Output!$Q$1:$Q$400,"One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license"))/J198)),-((SUMIFS(SF_Output!$T$1:$T$400,SF_Output!$AC$1:$AC$400,_xlfn.TEXTJOIN(",",TRUE,$B198:$E198),SF_Output!$Q$1:$Q$400,"One Time",SF_Output!$L$1:$L$400,"license fee")+SUMIFS(SF_Output!$T$1:$T$400,SF_Output!$AC$1:$AC$400,_xlfn.TEXTJOIN(",",TRUE,$B198:$E198),SF_Output!$Q$1:$Q$400,"One Time",SF_Output!$L$1:$L$400,"software license"))/J198)))</f>
        <v/>
      </c>
      <c r="L198" s="6" t="str">
        <f t="shared" si="9"/>
        <v/>
      </c>
      <c r="N198" s="6" t="str">
        <f>IF(B198="","",SUMIFS(SF_Output!$S$1:$S$400,SF_Output!$AC$1:$AC$400,_xlfn.TEXTJOIN(",",TRUE,B198:E198),SF_Output!$Q$1:$Q$400,"One Time",SF_Output!$L$1:$L$400,"professional service"))</f>
        <v/>
      </c>
      <c r="O198" s="112" t="str">
        <f>IF(OR(B198=0,B198="",N198=0),"",IF(AF198&lt;&gt;"exclusion",MAX(O$9,-(SUMIFS(SF_Output!$T$1:$T$400,SF_Output!$AC$1:$AC$400,_xlfn.TEXTJOIN(",",TRUE,$B198:$E198),SF_Output!$Q$1:$Q$400,"One Time",SF_Output!$L$1:$L$400,"professional service"))/N198),-((SUMIFS(SF_Output!$T$1:$T$400,SF_Output!$AC$1:$AC$400,_xlfn.TEXTJOIN(",",TRUE,$B198:$E198),SF_Output!$Q$1:$Q$400,"One Time",SF_Output!$L$1:$L$400,"professional service")/N198))))</f>
        <v/>
      </c>
      <c r="P198" s="6" t="str">
        <f t="shared" si="10"/>
        <v/>
      </c>
      <c r="R198" s="6" t="str">
        <f>IF(B198="","",SUMIFS(SF_Output!$S$1:$S$400,SF_Output!$AC$1:$AC$400,_xlfn.TEXTJOIN(",",TRUE,B198:E198),SF_Output!$Q$1:$Q$400,"yearly")+SUMIFS(SF_Output!$S$1:$S$400,SF_Output!$AC$1:$AC$400,_xlfn.TEXTJOIN(",",TRUE,B198:E198),SF_Output!$Q$1:$Q$400,"quarterly")*4)</f>
        <v/>
      </c>
      <c r="S198" s="112" t="str">
        <f>IF(OR(B198=0,B198="",G198="hardware",R198=0),"",IF(AF198&lt;&gt;"exclusion",MAX(S$9,-(SUMIFS(SF_Output!$T$1:$T$400,SF_Output!$AC$1:$AC$400,_xlfn.TEXTJOIN(",",TRUE,$B198:$E198),SF_Output!$Q$1:$Q$400,"yearly"))/R198),-((SUMIFS(SF_Output!$T$1:$T$400,SF_Output!$AC$1:$AC$400,_xlfn.TEXTJOIN(",",TRUE,$B198:$E198),SF_Output!$Q$1:$Q$400,"yearly")/R198))))</f>
        <v/>
      </c>
      <c r="T198" s="6" t="str">
        <f t="shared" si="11"/>
        <v/>
      </c>
      <c r="V198" s="6" t="str" cm="1">
        <f t="array" ref="V198">_xlfn.IFS(B198="","",AND(B198&lt;&gt;"",H198=SF_Output!$Y$2,SUMIFS(SF_Output!$T$1:$T$400,SF_Output!$AC$1:$AC$400,_xlfn.TEXTJOIN(",",TRUE,B198:E198),SF_Output!$Q$1:$Q$400,"monthly")=0),(SUMIFS(SF_Output!$F$1:$F$400,SF_Output!$AC$1:$AC$400,_xlfn.TEXTJOIN(",",TRUE,B198:E198),SF_Output!$Q$1:$Q$400,"monthly")+SUMIFS(SF_Output!$G$1:$G$400,SF_Output!$AC$1:$AC$400,_xlfn.TEXTJOIN(",",TRUE,B198:E198),SF_Output!$Q$1:$Q$400,"monthly"))*H198,AND(B198&lt;&gt;"",H198=SF_Output!$Y$2,SUMIFS(SF_Output!$T$1:$T$400,SF_Output!$AC$1:$AC$400,_xlfn.TEXTJOIN(",",TRUE,B198:E198),SF_Output!$Q$1:$Q$400,"monthly")&lt;&gt;0),SUMIFS(SF_Output!$S$1:$S$400,SF_Output!$AC$1:$AC$400,_xlfn.TEXTJOIN(",",TRUE,B198:E198),SF_Output!$Q$1:$Q$400,"monthly"),AND(B198&lt;&gt;"",H198&lt;&gt;SF_Output!$Y$2),SUMIFS(SF_Output!$S$1:$S$400,SF_Output!$AC$1:$AC$400,_xlfn.TEXTJOIN(",",TRUE,B198:E198),SF_Output!$Q$1:$Q$400,"monthly"))</f>
        <v/>
      </c>
      <c r="W198" s="112" t="str" cm="1">
        <f t="array" ref="W198">_xlfn.IFS(OR(B198=0,B198="",V198=0),"",AF198&lt;&gt;"exclusion",MAX($W$9,$W$7,(-(SUMIFS(SF_Output!$T$1:$T$400,SF_Output!$AC$1:$AC$400,_xlfn.TEXTJOIN(",",TRUE,$B198:$E198),SF_Output!$Q$1:$Q$400,"monthly"))/V198)),AF198="exclusion",-(SUMIFS(SF_Output!$T$1:$T$400,SF_Output!$AC$1:$AC$400,_xlfn.TEXTJOIN(",",TRUE,$B198:$E198),SF_Output!$Q$1:$Q$400,"monthly"))/V198)</f>
        <v/>
      </c>
      <c r="X198" s="6" t="str" cm="1">
        <f t="array" ref="X198">IFERROR(_xlfn.IFS(V198=0,0,V198="","",W198=0,V198,OR(V198&lt;&gt;0,V198&lt;&gt;""),H198*I198),V198*(1-W198))</f>
        <v/>
      </c>
    </row>
    <row r="199" spans="6:24" x14ac:dyDescent="0.25">
      <c r="F199" s="116" t="str">
        <f t="shared" si="8"/>
        <v/>
      </c>
      <c r="G199" t="str">
        <f>IF(B199="","",INDEX(SF_Output!$K$1:$K$400,MATCH(B199,SF_Output!$M$1:$M$400,0)))</f>
        <v/>
      </c>
      <c r="H199" t="str" cm="1">
        <f t="array" ref="H199">_xlfn.IFS(B199="","",(SUMIFS(SF_Output!$F$1:$F$400,SF_Output!$AC$1:$AC$400,_xlfn.TEXTJOIN(",",TRUE,B199:E199))+SUMIFS(SF_Output!$G$1:$G$400,SF_Output!$AC$1:$AC$400,_xlfn.TEXTJOIN(",",TRUE,B199:E199)))&lt;&gt;0,SF_Output!$Y$2,INDEX(SF_Output!$F$1:$F$400,MATCH(_xlfn.TEXTJOIN(",",TRUE,B199:E199),SF_Output!$AC$1:$AC$400,0))=0,INDEX(SF_Output!$R$1:$R$400,MATCH(_xlfn.TEXTJOIN(",",TRUE,B199:E199),SF_Output!$AC$1:$AC$400,0)))</f>
        <v/>
      </c>
      <c r="I199" s="125" t="str">
        <f>IFERROR(IF(AND(H199&gt;1,H199&lt;&gt;""),ROUND(SUMIFS(SF_Output!$S$1:$S$400,SF_Output!$AC$1:$AC$400,_xlfn.TEXTJOIN(",",TRUE,B199:E199),SF_Output!$Q$1:$Q$400,"monthly")*(1-W199)/H199,4),""),"")</f>
        <v/>
      </c>
      <c r="J199" s="6" t="str">
        <f>IF(B199="","",SUMIFS(SF_Output!$S$1:$S$400,SF_Output!$AC$1:$AC$400,_xlfn.TEXTJOIN(",",TRUE,B199:E199),SF_Output!$Q$1:$Q$400,"One Time",SF_Output!$L$1:$L$400,"license fee")+SUMIFS(SF_Output!$S$1:$S$400,SF_Output!$AC$1:$AC$400,_xlfn.TEXTJOIN(",",TRUE,B199:E199),SF_Output!$Q$1:$Q$400,"One Time",SF_Output!$L$1:$L$400,"software license")+SUMIFS(SF_Output!$S$1:$S$400,SF_Output!$AC$1:$AC$400,_xlfn.TEXTJOIN(",",TRUE,B199:E199),SF_Output!$Q$1:$Q$400,"One Time",SF_Output!$L$1:$L$400,"hardware"))</f>
        <v/>
      </c>
      <c r="K199" s="112" t="str">
        <f>IF(OR(B199=0,B199="",G199="hardware",J199=0),"",IF(AF199&lt;&gt;"exclusion",MAX(K$9,-((SUMIFS(SF_Output!$T$1:$T$400,SF_Output!$AC$1:$AC$400,_xlfn.TEXTJOIN(",",TRUE,$B199:$E199),SF_Output!$Q$1:$Q$400,"One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license"))/J199)),-((SUMIFS(SF_Output!$T$1:$T$400,SF_Output!$AC$1:$AC$400,_xlfn.TEXTJOIN(",",TRUE,$B199:$E199),SF_Output!$Q$1:$Q$400,"One Time",SF_Output!$L$1:$L$400,"license fee")+SUMIFS(SF_Output!$T$1:$T$400,SF_Output!$AC$1:$AC$400,_xlfn.TEXTJOIN(",",TRUE,$B199:$E199),SF_Output!$Q$1:$Q$400,"One Time",SF_Output!$L$1:$L$400,"software license"))/J199)))</f>
        <v/>
      </c>
      <c r="L199" s="6" t="str">
        <f t="shared" si="9"/>
        <v/>
      </c>
      <c r="N199" s="6" t="str">
        <f>IF(B199="","",SUMIFS(SF_Output!$S$1:$S$400,SF_Output!$AC$1:$AC$400,_xlfn.TEXTJOIN(",",TRUE,B199:E199),SF_Output!$Q$1:$Q$400,"One Time",SF_Output!$L$1:$L$400,"professional service"))</f>
        <v/>
      </c>
      <c r="O199" s="112" t="str">
        <f>IF(OR(B199=0,B199="",N199=0),"",IF(AF199&lt;&gt;"exclusion",MAX(O$9,-(SUMIFS(SF_Output!$T$1:$T$400,SF_Output!$AC$1:$AC$400,_xlfn.TEXTJOIN(",",TRUE,$B199:$E199),SF_Output!$Q$1:$Q$400,"One Time",SF_Output!$L$1:$L$400,"professional service"))/N199),-((SUMIFS(SF_Output!$T$1:$T$400,SF_Output!$AC$1:$AC$400,_xlfn.TEXTJOIN(",",TRUE,$B199:$E199),SF_Output!$Q$1:$Q$400,"One Time",SF_Output!$L$1:$L$400,"professional service")/N199))))</f>
        <v/>
      </c>
      <c r="P199" s="6" t="str">
        <f t="shared" si="10"/>
        <v/>
      </c>
      <c r="R199" s="6" t="str">
        <f>IF(B199="","",SUMIFS(SF_Output!$S$1:$S$400,SF_Output!$AC$1:$AC$400,_xlfn.TEXTJOIN(",",TRUE,B199:E199),SF_Output!$Q$1:$Q$400,"yearly")+SUMIFS(SF_Output!$S$1:$S$400,SF_Output!$AC$1:$AC$400,_xlfn.TEXTJOIN(",",TRUE,B199:E199),SF_Output!$Q$1:$Q$400,"quarterly")*4)</f>
        <v/>
      </c>
      <c r="S199" s="112" t="str">
        <f>IF(OR(B199=0,B199="",G199="hardware",R199=0),"",IF(AF199&lt;&gt;"exclusion",MAX(S$9,-(SUMIFS(SF_Output!$T$1:$T$400,SF_Output!$AC$1:$AC$400,_xlfn.TEXTJOIN(",",TRUE,$B199:$E199),SF_Output!$Q$1:$Q$400,"yearly"))/R199),-((SUMIFS(SF_Output!$T$1:$T$400,SF_Output!$AC$1:$AC$400,_xlfn.TEXTJOIN(",",TRUE,$B199:$E199),SF_Output!$Q$1:$Q$400,"yearly")/R199))))</f>
        <v/>
      </c>
      <c r="T199" s="6" t="str">
        <f t="shared" si="11"/>
        <v/>
      </c>
      <c r="V199" s="6" t="str" cm="1">
        <f t="array" ref="V199">_xlfn.IFS(B199="","",AND(B199&lt;&gt;"",H199=SF_Output!$Y$2,SUMIFS(SF_Output!$T$1:$T$400,SF_Output!$AC$1:$AC$400,_xlfn.TEXTJOIN(",",TRUE,B199:E199),SF_Output!$Q$1:$Q$400,"monthly")=0),(SUMIFS(SF_Output!$F$1:$F$400,SF_Output!$AC$1:$AC$400,_xlfn.TEXTJOIN(",",TRUE,B199:E199),SF_Output!$Q$1:$Q$400,"monthly")+SUMIFS(SF_Output!$G$1:$G$400,SF_Output!$AC$1:$AC$400,_xlfn.TEXTJOIN(",",TRUE,B199:E199),SF_Output!$Q$1:$Q$400,"monthly"))*H199,AND(B199&lt;&gt;"",H199=SF_Output!$Y$2,SUMIFS(SF_Output!$T$1:$T$400,SF_Output!$AC$1:$AC$400,_xlfn.TEXTJOIN(",",TRUE,B199:E199),SF_Output!$Q$1:$Q$400,"monthly")&lt;&gt;0),SUMIFS(SF_Output!$S$1:$S$400,SF_Output!$AC$1:$AC$400,_xlfn.TEXTJOIN(",",TRUE,B199:E199),SF_Output!$Q$1:$Q$400,"monthly"),AND(B199&lt;&gt;"",H199&lt;&gt;SF_Output!$Y$2),SUMIFS(SF_Output!$S$1:$S$400,SF_Output!$AC$1:$AC$400,_xlfn.TEXTJOIN(",",TRUE,B199:E199),SF_Output!$Q$1:$Q$400,"monthly"))</f>
        <v/>
      </c>
      <c r="W199" s="112" t="str" cm="1">
        <f t="array" ref="W199">_xlfn.IFS(OR(B199=0,B199="",V199=0),"",AF199&lt;&gt;"exclusion",MAX($W$9,$W$7,(-(SUMIFS(SF_Output!$T$1:$T$400,SF_Output!$AC$1:$AC$400,_xlfn.TEXTJOIN(",",TRUE,$B199:$E199),SF_Output!$Q$1:$Q$400,"monthly"))/V199)),AF199="exclusion",-(SUMIFS(SF_Output!$T$1:$T$400,SF_Output!$AC$1:$AC$400,_xlfn.TEXTJOIN(",",TRUE,$B199:$E199),SF_Output!$Q$1:$Q$400,"monthly"))/V199)</f>
        <v/>
      </c>
      <c r="X199" s="6" t="str" cm="1">
        <f t="array" ref="X199">IFERROR(_xlfn.IFS(V199=0,0,V199="","",W199=0,V199,OR(V199&lt;&gt;0,V199&lt;&gt;""),H199*I199),V199*(1-W199))</f>
        <v/>
      </c>
    </row>
    <row r="200" spans="6:24" x14ac:dyDescent="0.25">
      <c r="F200" s="116" t="str">
        <f t="shared" si="8"/>
        <v/>
      </c>
      <c r="G200" t="str">
        <f>IF(B200="","",INDEX(SF_Output!$K$1:$K$400,MATCH(B200,SF_Output!$M$1:$M$400,0)))</f>
        <v/>
      </c>
      <c r="H200" t="str" cm="1">
        <f t="array" ref="H200">_xlfn.IFS(B200="","",(SUMIFS(SF_Output!$F$1:$F$400,SF_Output!$AC$1:$AC$400,_xlfn.TEXTJOIN(",",TRUE,B200:E200))+SUMIFS(SF_Output!$G$1:$G$400,SF_Output!$AC$1:$AC$400,_xlfn.TEXTJOIN(",",TRUE,B200:E200)))&lt;&gt;0,SF_Output!$Y$2,INDEX(SF_Output!$F$1:$F$400,MATCH(_xlfn.TEXTJOIN(",",TRUE,B200:E200),SF_Output!$AC$1:$AC$400,0))=0,INDEX(SF_Output!$R$1:$R$400,MATCH(_xlfn.TEXTJOIN(",",TRUE,B200:E200),SF_Output!$AC$1:$AC$400,0)))</f>
        <v/>
      </c>
      <c r="I200" s="125" t="str">
        <f>IFERROR(IF(AND(H200&gt;1,H200&lt;&gt;""),ROUND(SUMIFS(SF_Output!$S$1:$S$400,SF_Output!$AC$1:$AC$400,_xlfn.TEXTJOIN(",",TRUE,B200:E200),SF_Output!$Q$1:$Q$400,"monthly")*(1-W200)/H200,4),""),"")</f>
        <v/>
      </c>
      <c r="J200" s="6" t="str">
        <f>IF(B200="","",SUMIFS(SF_Output!$S$1:$S$400,SF_Output!$AC$1:$AC$400,_xlfn.TEXTJOIN(",",TRUE,B200:E200),SF_Output!$Q$1:$Q$400,"One Time",SF_Output!$L$1:$L$400,"license fee")+SUMIFS(SF_Output!$S$1:$S$400,SF_Output!$AC$1:$AC$400,_xlfn.TEXTJOIN(",",TRUE,B200:E200),SF_Output!$Q$1:$Q$400,"One Time",SF_Output!$L$1:$L$400,"software license")+SUMIFS(SF_Output!$S$1:$S$400,SF_Output!$AC$1:$AC$400,_xlfn.TEXTJOIN(",",TRUE,B200:E200),SF_Output!$Q$1:$Q$400,"One Time",SF_Output!$L$1:$L$400,"hardware"))</f>
        <v/>
      </c>
      <c r="K200" s="112" t="str">
        <f>IF(OR(B200=0,B200="",G200="hardware",J200=0),"",IF(AF200&lt;&gt;"exclusion",MAX(K$9,-((SUMIFS(SF_Output!$T$1:$T$400,SF_Output!$AC$1:$AC$400,_xlfn.TEXTJOIN(",",TRUE,$B200:$E200),SF_Output!$Q$1:$Q$400,"One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license"))/J200)),-((SUMIFS(SF_Output!$T$1:$T$400,SF_Output!$AC$1:$AC$400,_xlfn.TEXTJOIN(",",TRUE,$B200:$E200),SF_Output!$Q$1:$Q$400,"One Time",SF_Output!$L$1:$L$400,"license fee")+SUMIFS(SF_Output!$T$1:$T$400,SF_Output!$AC$1:$AC$400,_xlfn.TEXTJOIN(",",TRUE,$B200:$E200),SF_Output!$Q$1:$Q$400,"One Time",SF_Output!$L$1:$L$400,"software license"))/J200)))</f>
        <v/>
      </c>
      <c r="L200" s="6" t="str">
        <f t="shared" si="9"/>
        <v/>
      </c>
      <c r="N200" s="6" t="str">
        <f>IF(B200="","",SUMIFS(SF_Output!$S$1:$S$400,SF_Output!$AC$1:$AC$400,_xlfn.TEXTJOIN(",",TRUE,B200:E200),SF_Output!$Q$1:$Q$400,"One Time",SF_Output!$L$1:$L$400,"professional service"))</f>
        <v/>
      </c>
      <c r="O200" s="112" t="str">
        <f>IF(OR(B200=0,B200="",N200=0),"",IF(AF200&lt;&gt;"exclusion",MAX(O$9,-(SUMIFS(SF_Output!$T$1:$T$400,SF_Output!$AC$1:$AC$400,_xlfn.TEXTJOIN(",",TRUE,$B200:$E200),SF_Output!$Q$1:$Q$400,"One Time",SF_Output!$L$1:$L$400,"professional service"))/N200),-((SUMIFS(SF_Output!$T$1:$T$400,SF_Output!$AC$1:$AC$400,_xlfn.TEXTJOIN(",",TRUE,$B200:$E200),SF_Output!$Q$1:$Q$400,"One Time",SF_Output!$L$1:$L$400,"professional service")/N200))))</f>
        <v/>
      </c>
      <c r="P200" s="6" t="str">
        <f t="shared" si="10"/>
        <v/>
      </c>
      <c r="R200" s="6" t="str">
        <f>IF(B200="","",SUMIFS(SF_Output!$S$1:$S$400,SF_Output!$AC$1:$AC$400,_xlfn.TEXTJOIN(",",TRUE,B200:E200),SF_Output!$Q$1:$Q$400,"yearly")+SUMIFS(SF_Output!$S$1:$S$400,SF_Output!$AC$1:$AC$400,_xlfn.TEXTJOIN(",",TRUE,B200:E200),SF_Output!$Q$1:$Q$400,"quarterly")*4)</f>
        <v/>
      </c>
      <c r="S200" s="112" t="str">
        <f>IF(OR(B200=0,B200="",G200="hardware",R200=0),"",IF(AF200&lt;&gt;"exclusion",MAX(S$9,-(SUMIFS(SF_Output!$T$1:$T$400,SF_Output!$AC$1:$AC$400,_xlfn.TEXTJOIN(",",TRUE,$B200:$E200),SF_Output!$Q$1:$Q$400,"yearly"))/R200),-((SUMIFS(SF_Output!$T$1:$T$400,SF_Output!$AC$1:$AC$400,_xlfn.TEXTJOIN(",",TRUE,$B200:$E200),SF_Output!$Q$1:$Q$400,"yearly")/R200))))</f>
        <v/>
      </c>
      <c r="T200" s="6" t="str">
        <f t="shared" si="11"/>
        <v/>
      </c>
      <c r="V200" s="6" t="str" cm="1">
        <f t="array" ref="V200">_xlfn.IFS(B200="","",AND(B200&lt;&gt;"",H200=SF_Output!$Y$2,SUMIFS(SF_Output!$T$1:$T$400,SF_Output!$AC$1:$AC$400,_xlfn.TEXTJOIN(",",TRUE,B200:E200),SF_Output!$Q$1:$Q$400,"monthly")=0),(SUMIFS(SF_Output!$F$1:$F$400,SF_Output!$AC$1:$AC$400,_xlfn.TEXTJOIN(",",TRUE,B200:E200),SF_Output!$Q$1:$Q$400,"monthly")+SUMIFS(SF_Output!$G$1:$G$400,SF_Output!$AC$1:$AC$400,_xlfn.TEXTJOIN(",",TRUE,B200:E200),SF_Output!$Q$1:$Q$400,"monthly"))*H200,AND(B200&lt;&gt;"",H200=SF_Output!$Y$2,SUMIFS(SF_Output!$T$1:$T$400,SF_Output!$AC$1:$AC$400,_xlfn.TEXTJOIN(",",TRUE,B200:E200),SF_Output!$Q$1:$Q$400,"monthly")&lt;&gt;0),SUMIFS(SF_Output!$S$1:$S$400,SF_Output!$AC$1:$AC$400,_xlfn.TEXTJOIN(",",TRUE,B200:E200),SF_Output!$Q$1:$Q$400,"monthly"),AND(B200&lt;&gt;"",H200&lt;&gt;SF_Output!$Y$2),SUMIFS(SF_Output!$S$1:$S$400,SF_Output!$AC$1:$AC$400,_xlfn.TEXTJOIN(",",TRUE,B200:E200),SF_Output!$Q$1:$Q$400,"monthly"))</f>
        <v/>
      </c>
      <c r="W200" s="112" t="str" cm="1">
        <f t="array" ref="W200">_xlfn.IFS(OR(B200=0,B200="",V200=0),"",AF200&lt;&gt;"exclusion",MAX($W$9,$W$7,(-(SUMIFS(SF_Output!$T$1:$T$400,SF_Output!$AC$1:$AC$400,_xlfn.TEXTJOIN(",",TRUE,$B200:$E200),SF_Output!$Q$1:$Q$400,"monthly"))/V200)),AF200="exclusion",-(SUMIFS(SF_Output!$T$1:$T$400,SF_Output!$AC$1:$AC$400,_xlfn.TEXTJOIN(",",TRUE,$B200:$E200),SF_Output!$Q$1:$Q$400,"monthly"))/V200)</f>
        <v/>
      </c>
      <c r="X200" s="6" t="str" cm="1">
        <f t="array" ref="X200">IFERROR(_xlfn.IFS(V200=0,0,V200="","",W200=0,V200,OR(V200&lt;&gt;0,V200&lt;&gt;""),H200*I200),V200*(1-W200))</f>
        <v/>
      </c>
    </row>
    <row r="201" spans="6:24" x14ac:dyDescent="0.25">
      <c r="F201" s="116" t="str">
        <f t="shared" si="8"/>
        <v/>
      </c>
      <c r="G201" t="str">
        <f>IF(B201="","",INDEX(SF_Output!$K$1:$K$400,MATCH(B201,SF_Output!$M$1:$M$400,0)))</f>
        <v/>
      </c>
      <c r="H201" t="str" cm="1">
        <f t="array" ref="H201">_xlfn.IFS(B201="","",(SUMIFS(SF_Output!$F$1:$F$400,SF_Output!$AC$1:$AC$400,_xlfn.TEXTJOIN(",",TRUE,B201:E201))+SUMIFS(SF_Output!$G$1:$G$400,SF_Output!$AC$1:$AC$400,_xlfn.TEXTJOIN(",",TRUE,B201:E201)))&lt;&gt;0,SF_Output!$Y$2,INDEX(SF_Output!$F$1:$F$400,MATCH(_xlfn.TEXTJOIN(",",TRUE,B201:E201),SF_Output!$AC$1:$AC$400,0))=0,INDEX(SF_Output!$R$1:$R$400,MATCH(_xlfn.TEXTJOIN(",",TRUE,B201:E201),SF_Output!$AC$1:$AC$400,0)))</f>
        <v/>
      </c>
      <c r="I201" s="125" t="str">
        <f>IFERROR(IF(AND(H201&gt;1,H201&lt;&gt;""),ROUND(SUMIFS(SF_Output!$S$1:$S$400,SF_Output!$AC$1:$AC$400,_xlfn.TEXTJOIN(",",TRUE,B201:E201),SF_Output!$Q$1:$Q$400,"monthly")*(1-W201)/H201,4),""),"")</f>
        <v/>
      </c>
      <c r="J201" s="6" t="str">
        <f>IF(B201="","",SUMIFS(SF_Output!$S$1:$S$400,SF_Output!$AC$1:$AC$400,_xlfn.TEXTJOIN(",",TRUE,B201:E201),SF_Output!$Q$1:$Q$400,"One Time",SF_Output!$L$1:$L$400,"license fee")+SUMIFS(SF_Output!$S$1:$S$400,SF_Output!$AC$1:$AC$400,_xlfn.TEXTJOIN(",",TRUE,B201:E201),SF_Output!$Q$1:$Q$400,"One Time",SF_Output!$L$1:$L$400,"software license")+SUMIFS(SF_Output!$S$1:$S$400,SF_Output!$AC$1:$AC$400,_xlfn.TEXTJOIN(",",TRUE,B201:E201),SF_Output!$Q$1:$Q$400,"One Time",SF_Output!$L$1:$L$400,"hardware"))</f>
        <v/>
      </c>
      <c r="K201" s="112" t="str">
        <f>IF(OR(B201=0,B201="",G201="hardware",J201=0),"",IF(AF201&lt;&gt;"exclusion",MAX(K$9,-((SUMIFS(SF_Output!$T$1:$T$400,SF_Output!$AC$1:$AC$400,_xlfn.TEXTJOIN(",",TRUE,$B201:$E201),SF_Output!$Q$1:$Q$400,"One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license"))/J201)),-((SUMIFS(SF_Output!$T$1:$T$400,SF_Output!$AC$1:$AC$400,_xlfn.TEXTJOIN(",",TRUE,$B201:$E201),SF_Output!$Q$1:$Q$400,"One Time",SF_Output!$L$1:$L$400,"license fee")+SUMIFS(SF_Output!$T$1:$T$400,SF_Output!$AC$1:$AC$400,_xlfn.TEXTJOIN(",",TRUE,$B201:$E201),SF_Output!$Q$1:$Q$400,"One Time",SF_Output!$L$1:$L$400,"software license"))/J201)))</f>
        <v/>
      </c>
      <c r="L201" s="6" t="str">
        <f t="shared" si="9"/>
        <v/>
      </c>
      <c r="N201" s="6" t="str">
        <f>IF(B201="","",SUMIFS(SF_Output!$S$1:$S$400,SF_Output!$AC$1:$AC$400,_xlfn.TEXTJOIN(",",TRUE,B201:E201),SF_Output!$Q$1:$Q$400,"One Time",SF_Output!$L$1:$L$400,"professional service"))</f>
        <v/>
      </c>
      <c r="O201" s="112" t="str">
        <f>IF(OR(B201=0,B201="",N201=0),"",IF(AF201&lt;&gt;"exclusion",MAX(O$9,-(SUMIFS(SF_Output!$T$1:$T$400,SF_Output!$AC$1:$AC$400,_xlfn.TEXTJOIN(",",TRUE,$B201:$E201),SF_Output!$Q$1:$Q$400,"One Time",SF_Output!$L$1:$L$400,"professional service"))/N201),-((SUMIFS(SF_Output!$T$1:$T$400,SF_Output!$AC$1:$AC$400,_xlfn.TEXTJOIN(",",TRUE,$B201:$E201),SF_Output!$Q$1:$Q$400,"One Time",SF_Output!$L$1:$L$400,"professional service")/N201))))</f>
        <v/>
      </c>
      <c r="P201" s="6" t="str">
        <f t="shared" si="10"/>
        <v/>
      </c>
      <c r="R201" s="6" t="str">
        <f>IF(B201="","",SUMIFS(SF_Output!$S$1:$S$400,SF_Output!$AC$1:$AC$400,_xlfn.TEXTJOIN(",",TRUE,B201:E201),SF_Output!$Q$1:$Q$400,"yearly")+SUMIFS(SF_Output!$S$1:$S$400,SF_Output!$AC$1:$AC$400,_xlfn.TEXTJOIN(",",TRUE,B201:E201),SF_Output!$Q$1:$Q$400,"quarterly")*4)</f>
        <v/>
      </c>
      <c r="S201" s="112" t="str">
        <f>IF(OR(B201=0,B201="",G201="hardware",R201=0),"",IF(AF201&lt;&gt;"exclusion",MAX(S$9,-(SUMIFS(SF_Output!$T$1:$T$400,SF_Output!$AC$1:$AC$400,_xlfn.TEXTJOIN(",",TRUE,$B201:$E201),SF_Output!$Q$1:$Q$400,"yearly"))/R201),-((SUMIFS(SF_Output!$T$1:$T$400,SF_Output!$AC$1:$AC$400,_xlfn.TEXTJOIN(",",TRUE,$B201:$E201),SF_Output!$Q$1:$Q$400,"yearly")/R201))))</f>
        <v/>
      </c>
      <c r="T201" s="6" t="str">
        <f t="shared" si="11"/>
        <v/>
      </c>
      <c r="V201" s="6" t="str" cm="1">
        <f t="array" ref="V201">_xlfn.IFS(B201="","",AND(B201&lt;&gt;"",H201=SF_Output!$Y$2,SUMIFS(SF_Output!$T$1:$T$400,SF_Output!$AC$1:$AC$400,_xlfn.TEXTJOIN(",",TRUE,B201:E201),SF_Output!$Q$1:$Q$400,"monthly")=0),(SUMIFS(SF_Output!$F$1:$F$400,SF_Output!$AC$1:$AC$400,_xlfn.TEXTJOIN(",",TRUE,B201:E201),SF_Output!$Q$1:$Q$400,"monthly")+SUMIFS(SF_Output!$G$1:$G$400,SF_Output!$AC$1:$AC$400,_xlfn.TEXTJOIN(",",TRUE,B201:E201),SF_Output!$Q$1:$Q$400,"monthly"))*H201,AND(B201&lt;&gt;"",H201=SF_Output!$Y$2,SUMIFS(SF_Output!$T$1:$T$400,SF_Output!$AC$1:$AC$400,_xlfn.TEXTJOIN(",",TRUE,B201:E201),SF_Output!$Q$1:$Q$400,"monthly")&lt;&gt;0),SUMIFS(SF_Output!$S$1:$S$400,SF_Output!$AC$1:$AC$400,_xlfn.TEXTJOIN(",",TRUE,B201:E201),SF_Output!$Q$1:$Q$400,"monthly"),AND(B201&lt;&gt;"",H201&lt;&gt;SF_Output!$Y$2),SUMIFS(SF_Output!$S$1:$S$400,SF_Output!$AC$1:$AC$400,_xlfn.TEXTJOIN(",",TRUE,B201:E201),SF_Output!$Q$1:$Q$400,"monthly"))</f>
        <v/>
      </c>
      <c r="W201" s="112" t="str" cm="1">
        <f t="array" ref="W201">_xlfn.IFS(OR(B201=0,B201="",V201=0),"",AF201&lt;&gt;"exclusion",MAX($W$9,$W$7,(-(SUMIFS(SF_Output!$T$1:$T$400,SF_Output!$AC$1:$AC$400,_xlfn.TEXTJOIN(",",TRUE,$B201:$E201),SF_Output!$Q$1:$Q$400,"monthly"))/V201)),AF201="exclusion",-(SUMIFS(SF_Output!$T$1:$T$400,SF_Output!$AC$1:$AC$400,_xlfn.TEXTJOIN(",",TRUE,$B201:$E201),SF_Output!$Q$1:$Q$400,"monthly"))/V201)</f>
        <v/>
      </c>
      <c r="X201" s="6" t="str" cm="1">
        <f t="array" ref="X201">IFERROR(_xlfn.IFS(V201=0,0,V201="","",W201=0,V201,OR(V201&lt;&gt;0,V201&lt;&gt;""),H201*I201),V201*(1-W201))</f>
        <v/>
      </c>
    </row>
    <row r="202" spans="6:24" x14ac:dyDescent="0.25">
      <c r="F202" s="116" t="str">
        <f t="shared" si="8"/>
        <v/>
      </c>
      <c r="G202" t="str">
        <f>IF(B202="","",INDEX(SF_Output!$K$1:$K$400,MATCH(B202,SF_Output!$M$1:$M$400,0)))</f>
        <v/>
      </c>
      <c r="H202" t="str" cm="1">
        <f t="array" ref="H202">_xlfn.IFS(B202="","",(SUMIFS(SF_Output!$F$1:$F$400,SF_Output!$AC$1:$AC$400,_xlfn.TEXTJOIN(",",TRUE,B202:E202))+SUMIFS(SF_Output!$G$1:$G$400,SF_Output!$AC$1:$AC$400,_xlfn.TEXTJOIN(",",TRUE,B202:E202)))&lt;&gt;0,SF_Output!$Y$2,INDEX(SF_Output!$F$1:$F$400,MATCH(_xlfn.TEXTJOIN(",",TRUE,B202:E202),SF_Output!$AC$1:$AC$400,0))=0,INDEX(SF_Output!$R$1:$R$400,MATCH(_xlfn.TEXTJOIN(",",TRUE,B202:E202),SF_Output!$AC$1:$AC$400,0)))</f>
        <v/>
      </c>
      <c r="I202" s="125" t="str">
        <f>IFERROR(IF(AND(H202&gt;1,H202&lt;&gt;""),ROUND(SUMIFS(SF_Output!$S$1:$S$400,SF_Output!$AC$1:$AC$400,_xlfn.TEXTJOIN(",",TRUE,B202:E202),SF_Output!$Q$1:$Q$400,"monthly")*(1-W202)/H202,4),""),"")</f>
        <v/>
      </c>
      <c r="J202" s="6" t="str">
        <f>IF(B202="","",SUMIFS(SF_Output!$S$1:$S$400,SF_Output!$AC$1:$AC$400,_xlfn.TEXTJOIN(",",TRUE,B202:E202),SF_Output!$Q$1:$Q$400,"One Time",SF_Output!$L$1:$L$400,"license fee")+SUMIFS(SF_Output!$S$1:$S$400,SF_Output!$AC$1:$AC$400,_xlfn.TEXTJOIN(",",TRUE,B202:E202),SF_Output!$Q$1:$Q$400,"One Time",SF_Output!$L$1:$L$400,"software license")+SUMIFS(SF_Output!$S$1:$S$400,SF_Output!$AC$1:$AC$400,_xlfn.TEXTJOIN(",",TRUE,B202:E202),SF_Output!$Q$1:$Q$400,"One Time",SF_Output!$L$1:$L$400,"hardware"))</f>
        <v/>
      </c>
      <c r="K202" s="112" t="str">
        <f>IF(OR(B202=0,B202="",G202="hardware",J202=0),"",IF(AF202&lt;&gt;"exclusion",MAX(K$9,-((SUMIFS(SF_Output!$T$1:$T$400,SF_Output!$AC$1:$AC$400,_xlfn.TEXTJOIN(",",TRUE,$B202:$E202),SF_Output!$Q$1:$Q$400,"One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license"))/J202)),-((SUMIFS(SF_Output!$T$1:$T$400,SF_Output!$AC$1:$AC$400,_xlfn.TEXTJOIN(",",TRUE,$B202:$E202),SF_Output!$Q$1:$Q$400,"One Time",SF_Output!$L$1:$L$400,"license fee")+SUMIFS(SF_Output!$T$1:$T$400,SF_Output!$AC$1:$AC$400,_xlfn.TEXTJOIN(",",TRUE,$B202:$E202),SF_Output!$Q$1:$Q$400,"One Time",SF_Output!$L$1:$L$400,"software license"))/J202)))</f>
        <v/>
      </c>
      <c r="L202" s="6" t="str">
        <f t="shared" si="9"/>
        <v/>
      </c>
      <c r="N202" s="6" t="str">
        <f>IF(B202="","",SUMIFS(SF_Output!$S$1:$S$400,SF_Output!$AC$1:$AC$400,_xlfn.TEXTJOIN(",",TRUE,B202:E202),SF_Output!$Q$1:$Q$400,"One Time",SF_Output!$L$1:$L$400,"professional service"))</f>
        <v/>
      </c>
      <c r="O202" s="112" t="str">
        <f>IF(OR(B202=0,B202="",N202=0),"",IF(AF202&lt;&gt;"exclusion",MAX(O$9,-(SUMIFS(SF_Output!$T$1:$T$400,SF_Output!$AC$1:$AC$400,_xlfn.TEXTJOIN(",",TRUE,$B202:$E202),SF_Output!$Q$1:$Q$400,"One Time",SF_Output!$L$1:$L$400,"professional service"))/N202),-((SUMIFS(SF_Output!$T$1:$T$400,SF_Output!$AC$1:$AC$400,_xlfn.TEXTJOIN(",",TRUE,$B202:$E202),SF_Output!$Q$1:$Q$400,"One Time",SF_Output!$L$1:$L$400,"professional service")/N202))))</f>
        <v/>
      </c>
      <c r="P202" s="6" t="str">
        <f t="shared" si="10"/>
        <v/>
      </c>
      <c r="R202" s="6" t="str">
        <f>IF(B202="","",SUMIFS(SF_Output!$S$1:$S$400,SF_Output!$AC$1:$AC$400,_xlfn.TEXTJOIN(",",TRUE,B202:E202),SF_Output!$Q$1:$Q$400,"yearly")+SUMIFS(SF_Output!$S$1:$S$400,SF_Output!$AC$1:$AC$400,_xlfn.TEXTJOIN(",",TRUE,B202:E202),SF_Output!$Q$1:$Q$400,"quarterly")*4)</f>
        <v/>
      </c>
      <c r="S202" s="112" t="str">
        <f>IF(OR(B202=0,B202="",G202="hardware",R202=0),"",IF(AF202&lt;&gt;"exclusion",MAX(S$9,-(SUMIFS(SF_Output!$T$1:$T$400,SF_Output!$AC$1:$AC$400,_xlfn.TEXTJOIN(",",TRUE,$B202:$E202),SF_Output!$Q$1:$Q$400,"yearly"))/R202),-((SUMIFS(SF_Output!$T$1:$T$400,SF_Output!$AC$1:$AC$400,_xlfn.TEXTJOIN(",",TRUE,$B202:$E202),SF_Output!$Q$1:$Q$400,"yearly")/R202))))</f>
        <v/>
      </c>
      <c r="T202" s="6" t="str">
        <f t="shared" si="11"/>
        <v/>
      </c>
      <c r="V202" s="6" t="str" cm="1">
        <f t="array" ref="V202">_xlfn.IFS(B202="","",AND(B202&lt;&gt;"",H202=SF_Output!$Y$2,SUMIFS(SF_Output!$T$1:$T$400,SF_Output!$AC$1:$AC$400,_xlfn.TEXTJOIN(",",TRUE,B202:E202),SF_Output!$Q$1:$Q$400,"monthly")=0),(SUMIFS(SF_Output!$F$1:$F$400,SF_Output!$AC$1:$AC$400,_xlfn.TEXTJOIN(",",TRUE,B202:E202),SF_Output!$Q$1:$Q$400,"monthly")+SUMIFS(SF_Output!$G$1:$G$400,SF_Output!$AC$1:$AC$400,_xlfn.TEXTJOIN(",",TRUE,B202:E202),SF_Output!$Q$1:$Q$400,"monthly"))*H202,AND(B202&lt;&gt;"",H202=SF_Output!$Y$2,SUMIFS(SF_Output!$T$1:$T$400,SF_Output!$AC$1:$AC$400,_xlfn.TEXTJOIN(",",TRUE,B202:E202),SF_Output!$Q$1:$Q$400,"monthly")&lt;&gt;0),SUMIFS(SF_Output!$S$1:$S$400,SF_Output!$AC$1:$AC$400,_xlfn.TEXTJOIN(",",TRUE,B202:E202),SF_Output!$Q$1:$Q$400,"monthly"),AND(B202&lt;&gt;"",H202&lt;&gt;SF_Output!$Y$2),SUMIFS(SF_Output!$S$1:$S$400,SF_Output!$AC$1:$AC$400,_xlfn.TEXTJOIN(",",TRUE,B202:E202),SF_Output!$Q$1:$Q$400,"monthly"))</f>
        <v/>
      </c>
      <c r="W202" s="112" t="str" cm="1">
        <f t="array" ref="W202">_xlfn.IFS(OR(B202=0,B202="",V202=0),"",AF202&lt;&gt;"exclusion",MAX($W$9,$W$7,(-(SUMIFS(SF_Output!$T$1:$T$400,SF_Output!$AC$1:$AC$400,_xlfn.TEXTJOIN(",",TRUE,$B202:$E202),SF_Output!$Q$1:$Q$400,"monthly"))/V202)),AF202="exclusion",-(SUMIFS(SF_Output!$T$1:$T$400,SF_Output!$AC$1:$AC$400,_xlfn.TEXTJOIN(",",TRUE,$B202:$E202),SF_Output!$Q$1:$Q$400,"monthly"))/V202)</f>
        <v/>
      </c>
      <c r="X202" s="6" t="str" cm="1">
        <f t="array" ref="X202">IFERROR(_xlfn.IFS(V202=0,0,V202="","",W202=0,V202,OR(V202&lt;&gt;0,V202&lt;&gt;""),H202*I202),V202*(1-W202))</f>
        <v/>
      </c>
    </row>
    <row r="203" spans="6:24" x14ac:dyDescent="0.25">
      <c r="F203" s="116" t="str">
        <f t="shared" si="8"/>
        <v/>
      </c>
      <c r="G203" t="str">
        <f>IF(B203="","",INDEX(SF_Output!$K$1:$K$400,MATCH(B203,SF_Output!$M$1:$M$400,0)))</f>
        <v/>
      </c>
      <c r="H203" t="str" cm="1">
        <f t="array" ref="H203">_xlfn.IFS(B203="","",(SUMIFS(SF_Output!$F$1:$F$400,SF_Output!$AC$1:$AC$400,_xlfn.TEXTJOIN(",",TRUE,B203:E203))+SUMIFS(SF_Output!$G$1:$G$400,SF_Output!$AC$1:$AC$400,_xlfn.TEXTJOIN(",",TRUE,B203:E203)))&lt;&gt;0,SF_Output!$Y$2,INDEX(SF_Output!$F$1:$F$400,MATCH(_xlfn.TEXTJOIN(",",TRUE,B203:E203),SF_Output!$AC$1:$AC$400,0))=0,INDEX(SF_Output!$R$1:$R$400,MATCH(_xlfn.TEXTJOIN(",",TRUE,B203:E203),SF_Output!$AC$1:$AC$400,0)))</f>
        <v/>
      </c>
      <c r="I203" s="125" t="str">
        <f>IFERROR(IF(AND(H203&gt;1,H203&lt;&gt;""),ROUND(SUMIFS(SF_Output!$S$1:$S$400,SF_Output!$AC$1:$AC$400,_xlfn.TEXTJOIN(",",TRUE,B203:E203),SF_Output!$Q$1:$Q$400,"monthly")*(1-W203)/H203,4),""),"")</f>
        <v/>
      </c>
      <c r="J203" s="6" t="str">
        <f>IF(B203="","",SUMIFS(SF_Output!$S$1:$S$400,SF_Output!$AC$1:$AC$400,_xlfn.TEXTJOIN(",",TRUE,B203:E203),SF_Output!$Q$1:$Q$400,"One Time",SF_Output!$L$1:$L$400,"license fee")+SUMIFS(SF_Output!$S$1:$S$400,SF_Output!$AC$1:$AC$400,_xlfn.TEXTJOIN(",",TRUE,B203:E203),SF_Output!$Q$1:$Q$400,"One Time",SF_Output!$L$1:$L$400,"software license")+SUMIFS(SF_Output!$S$1:$S$400,SF_Output!$AC$1:$AC$400,_xlfn.TEXTJOIN(",",TRUE,B203:E203),SF_Output!$Q$1:$Q$400,"One Time",SF_Output!$L$1:$L$400,"hardware"))</f>
        <v/>
      </c>
      <c r="K203" s="112" t="str">
        <f>IF(OR(B203=0,B203="",G203="hardware",J203=0),"",IF(AF203&lt;&gt;"exclusion",MAX(K$9,-((SUMIFS(SF_Output!$T$1:$T$400,SF_Output!$AC$1:$AC$400,_xlfn.TEXTJOIN(",",TRUE,$B203:$E203),SF_Output!$Q$1:$Q$400,"One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license"))/J203)),-((SUMIFS(SF_Output!$T$1:$T$400,SF_Output!$AC$1:$AC$400,_xlfn.TEXTJOIN(",",TRUE,$B203:$E203),SF_Output!$Q$1:$Q$400,"One Time",SF_Output!$L$1:$L$400,"license fee")+SUMIFS(SF_Output!$T$1:$T$400,SF_Output!$AC$1:$AC$400,_xlfn.TEXTJOIN(",",TRUE,$B203:$E203),SF_Output!$Q$1:$Q$400,"One Time",SF_Output!$L$1:$L$400,"software license"))/J203)))</f>
        <v/>
      </c>
      <c r="L203" s="6" t="str">
        <f t="shared" si="9"/>
        <v/>
      </c>
      <c r="N203" s="6" t="str">
        <f>IF(B203="","",SUMIFS(SF_Output!$S$1:$S$400,SF_Output!$AC$1:$AC$400,_xlfn.TEXTJOIN(",",TRUE,B203:E203),SF_Output!$Q$1:$Q$400,"One Time",SF_Output!$L$1:$L$400,"professional service"))</f>
        <v/>
      </c>
      <c r="O203" s="112" t="str">
        <f>IF(OR(B203=0,B203="",N203=0),"",IF(AF203&lt;&gt;"exclusion",MAX(O$9,-(SUMIFS(SF_Output!$T$1:$T$400,SF_Output!$AC$1:$AC$400,_xlfn.TEXTJOIN(",",TRUE,$B203:$E203),SF_Output!$Q$1:$Q$400,"One Time",SF_Output!$L$1:$L$400,"professional service"))/N203),-((SUMIFS(SF_Output!$T$1:$T$400,SF_Output!$AC$1:$AC$400,_xlfn.TEXTJOIN(",",TRUE,$B203:$E203),SF_Output!$Q$1:$Q$400,"One Time",SF_Output!$L$1:$L$400,"professional service")/N203))))</f>
        <v/>
      </c>
      <c r="P203" s="6" t="str">
        <f t="shared" si="10"/>
        <v/>
      </c>
      <c r="R203" s="6" t="str">
        <f>IF(B203="","",SUMIFS(SF_Output!$S$1:$S$400,SF_Output!$AC$1:$AC$400,_xlfn.TEXTJOIN(",",TRUE,B203:E203),SF_Output!$Q$1:$Q$400,"yearly")+SUMIFS(SF_Output!$S$1:$S$400,SF_Output!$AC$1:$AC$400,_xlfn.TEXTJOIN(",",TRUE,B203:E203),SF_Output!$Q$1:$Q$400,"quarterly")*4)</f>
        <v/>
      </c>
      <c r="S203" s="112" t="str">
        <f>IF(OR(B203=0,B203="",G203="hardware",R203=0),"",IF(AF203&lt;&gt;"exclusion",MAX(S$9,-(SUMIFS(SF_Output!$T$1:$T$400,SF_Output!$AC$1:$AC$400,_xlfn.TEXTJOIN(",",TRUE,$B203:$E203),SF_Output!$Q$1:$Q$400,"yearly"))/R203),-((SUMIFS(SF_Output!$T$1:$T$400,SF_Output!$AC$1:$AC$400,_xlfn.TEXTJOIN(",",TRUE,$B203:$E203),SF_Output!$Q$1:$Q$400,"yearly")/R203))))</f>
        <v/>
      </c>
      <c r="T203" s="6" t="str">
        <f t="shared" si="11"/>
        <v/>
      </c>
      <c r="V203" s="6" t="str" cm="1">
        <f t="array" ref="V203">_xlfn.IFS(B203="","",AND(B203&lt;&gt;"",H203=SF_Output!$Y$2,SUMIFS(SF_Output!$T$1:$T$400,SF_Output!$AC$1:$AC$400,_xlfn.TEXTJOIN(",",TRUE,B203:E203),SF_Output!$Q$1:$Q$400,"monthly")=0),(SUMIFS(SF_Output!$F$1:$F$400,SF_Output!$AC$1:$AC$400,_xlfn.TEXTJOIN(",",TRUE,B203:E203),SF_Output!$Q$1:$Q$400,"monthly")+SUMIFS(SF_Output!$G$1:$G$400,SF_Output!$AC$1:$AC$400,_xlfn.TEXTJOIN(",",TRUE,B203:E203),SF_Output!$Q$1:$Q$400,"monthly"))*H203,AND(B203&lt;&gt;"",H203=SF_Output!$Y$2,SUMIFS(SF_Output!$T$1:$T$400,SF_Output!$AC$1:$AC$400,_xlfn.TEXTJOIN(",",TRUE,B203:E203),SF_Output!$Q$1:$Q$400,"monthly")&lt;&gt;0),SUMIFS(SF_Output!$S$1:$S$400,SF_Output!$AC$1:$AC$400,_xlfn.TEXTJOIN(",",TRUE,B203:E203),SF_Output!$Q$1:$Q$400,"monthly"),AND(B203&lt;&gt;"",H203&lt;&gt;SF_Output!$Y$2),SUMIFS(SF_Output!$S$1:$S$400,SF_Output!$AC$1:$AC$400,_xlfn.TEXTJOIN(",",TRUE,B203:E203),SF_Output!$Q$1:$Q$400,"monthly"))</f>
        <v/>
      </c>
      <c r="W203" s="112" t="str" cm="1">
        <f t="array" ref="W203">_xlfn.IFS(OR(B203=0,B203="",V203=0),"",AF203&lt;&gt;"exclusion",MAX($W$9,$W$7,(-(SUMIFS(SF_Output!$T$1:$T$400,SF_Output!$AC$1:$AC$400,_xlfn.TEXTJOIN(",",TRUE,$B203:$E203),SF_Output!$Q$1:$Q$400,"monthly"))/V203)),AF203="exclusion",-(SUMIFS(SF_Output!$T$1:$T$400,SF_Output!$AC$1:$AC$400,_xlfn.TEXTJOIN(",",TRUE,$B203:$E203),SF_Output!$Q$1:$Q$400,"monthly"))/V203)</f>
        <v/>
      </c>
      <c r="X203" s="6" t="str" cm="1">
        <f t="array" ref="X203">IFERROR(_xlfn.IFS(V203=0,0,V203="","",W203=0,V203,OR(V203&lt;&gt;0,V203&lt;&gt;""),H203*I203),V203*(1-W203))</f>
        <v/>
      </c>
    </row>
    <row r="204" spans="6:24" x14ac:dyDescent="0.25">
      <c r="F204" s="116" t="str">
        <f t="shared" si="8"/>
        <v/>
      </c>
      <c r="G204" t="str">
        <f>IF(B204="","",INDEX(SF_Output!$K$1:$K$400,MATCH(B204,SF_Output!$M$1:$M$400,0)))</f>
        <v/>
      </c>
      <c r="H204" t="str" cm="1">
        <f t="array" ref="H204">_xlfn.IFS(B204="","",(SUMIFS(SF_Output!$F$1:$F$400,SF_Output!$AC$1:$AC$400,_xlfn.TEXTJOIN(",",TRUE,B204:E204))+SUMIFS(SF_Output!$G$1:$G$400,SF_Output!$AC$1:$AC$400,_xlfn.TEXTJOIN(",",TRUE,B204:E204)))&lt;&gt;0,SF_Output!$Y$2,INDEX(SF_Output!$F$1:$F$400,MATCH(_xlfn.TEXTJOIN(",",TRUE,B204:E204),SF_Output!$AC$1:$AC$400,0))=0,INDEX(SF_Output!$R$1:$R$400,MATCH(_xlfn.TEXTJOIN(",",TRUE,B204:E204),SF_Output!$AC$1:$AC$400,0)))</f>
        <v/>
      </c>
      <c r="I204" s="125" t="str">
        <f>IFERROR(IF(AND(H204&gt;1,H204&lt;&gt;""),ROUND(SUMIFS(SF_Output!$S$1:$S$400,SF_Output!$AC$1:$AC$400,_xlfn.TEXTJOIN(",",TRUE,B204:E204),SF_Output!$Q$1:$Q$400,"monthly")*(1-W204)/H204,4),""),"")</f>
        <v/>
      </c>
      <c r="J204" s="6" t="str">
        <f>IF(B204="","",SUMIFS(SF_Output!$S$1:$S$400,SF_Output!$AC$1:$AC$400,_xlfn.TEXTJOIN(",",TRUE,B204:E204),SF_Output!$Q$1:$Q$400,"One Time",SF_Output!$L$1:$L$400,"license fee")+SUMIFS(SF_Output!$S$1:$S$400,SF_Output!$AC$1:$AC$400,_xlfn.TEXTJOIN(",",TRUE,B204:E204),SF_Output!$Q$1:$Q$400,"One Time",SF_Output!$L$1:$L$400,"software license")+SUMIFS(SF_Output!$S$1:$S$400,SF_Output!$AC$1:$AC$400,_xlfn.TEXTJOIN(",",TRUE,B204:E204),SF_Output!$Q$1:$Q$400,"One Time",SF_Output!$L$1:$L$400,"hardware"))</f>
        <v/>
      </c>
      <c r="K204" s="112" t="str">
        <f>IF(OR(B204=0,B204="",G204="hardware",J204=0),"",IF(AF204&lt;&gt;"exclusion",MAX(K$9,-((SUMIFS(SF_Output!$T$1:$T$400,SF_Output!$AC$1:$AC$400,_xlfn.TEXTJOIN(",",TRUE,$B204:$E204),SF_Output!$Q$1:$Q$400,"One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license"))/J204)),-((SUMIFS(SF_Output!$T$1:$T$400,SF_Output!$AC$1:$AC$400,_xlfn.TEXTJOIN(",",TRUE,$B204:$E204),SF_Output!$Q$1:$Q$400,"One Time",SF_Output!$L$1:$L$400,"license fee")+SUMIFS(SF_Output!$T$1:$T$400,SF_Output!$AC$1:$AC$400,_xlfn.TEXTJOIN(",",TRUE,$B204:$E204),SF_Output!$Q$1:$Q$400,"One Time",SF_Output!$L$1:$L$400,"software license"))/J204)))</f>
        <v/>
      </c>
      <c r="L204" s="6" t="str">
        <f t="shared" si="9"/>
        <v/>
      </c>
      <c r="N204" s="6" t="str">
        <f>IF(B204="","",SUMIFS(SF_Output!$S$1:$S$400,SF_Output!$AC$1:$AC$400,_xlfn.TEXTJOIN(",",TRUE,B204:E204),SF_Output!$Q$1:$Q$400,"One Time",SF_Output!$L$1:$L$400,"professional service"))</f>
        <v/>
      </c>
      <c r="O204" s="112" t="str">
        <f>IF(OR(B204=0,B204="",N204=0),"",IF(AF204&lt;&gt;"exclusion",MAX(O$9,-(SUMIFS(SF_Output!$T$1:$T$400,SF_Output!$AC$1:$AC$400,_xlfn.TEXTJOIN(",",TRUE,$B204:$E204),SF_Output!$Q$1:$Q$400,"One Time",SF_Output!$L$1:$L$400,"professional service"))/N204),-((SUMIFS(SF_Output!$T$1:$T$400,SF_Output!$AC$1:$AC$400,_xlfn.TEXTJOIN(",",TRUE,$B204:$E204),SF_Output!$Q$1:$Q$400,"One Time",SF_Output!$L$1:$L$400,"professional service")/N204))))</f>
        <v/>
      </c>
      <c r="P204" s="6" t="str">
        <f t="shared" si="10"/>
        <v/>
      </c>
      <c r="R204" s="6" t="str">
        <f>IF(B204="","",SUMIFS(SF_Output!$S$1:$S$400,SF_Output!$AC$1:$AC$400,_xlfn.TEXTJOIN(",",TRUE,B204:E204),SF_Output!$Q$1:$Q$400,"yearly")+SUMIFS(SF_Output!$S$1:$S$400,SF_Output!$AC$1:$AC$400,_xlfn.TEXTJOIN(",",TRUE,B204:E204),SF_Output!$Q$1:$Q$400,"quarterly")*4)</f>
        <v/>
      </c>
      <c r="S204" s="112" t="str">
        <f>IF(OR(B204=0,B204="",G204="hardware",R204=0),"",IF(AF204&lt;&gt;"exclusion",MAX(S$9,-(SUMIFS(SF_Output!$T$1:$T$400,SF_Output!$AC$1:$AC$400,_xlfn.TEXTJOIN(",",TRUE,$B204:$E204),SF_Output!$Q$1:$Q$400,"yearly"))/R204),-((SUMIFS(SF_Output!$T$1:$T$400,SF_Output!$AC$1:$AC$400,_xlfn.TEXTJOIN(",",TRUE,$B204:$E204),SF_Output!$Q$1:$Q$400,"yearly")/R204))))</f>
        <v/>
      </c>
      <c r="T204" s="6" t="str">
        <f t="shared" si="11"/>
        <v/>
      </c>
      <c r="V204" s="6" t="str" cm="1">
        <f t="array" ref="V204">_xlfn.IFS(B204="","",AND(B204&lt;&gt;"",H204=SF_Output!$Y$2,SUMIFS(SF_Output!$T$1:$T$400,SF_Output!$AC$1:$AC$400,_xlfn.TEXTJOIN(",",TRUE,B204:E204),SF_Output!$Q$1:$Q$400,"monthly")=0),(SUMIFS(SF_Output!$F$1:$F$400,SF_Output!$AC$1:$AC$400,_xlfn.TEXTJOIN(",",TRUE,B204:E204),SF_Output!$Q$1:$Q$400,"monthly")+SUMIFS(SF_Output!$G$1:$G$400,SF_Output!$AC$1:$AC$400,_xlfn.TEXTJOIN(",",TRUE,B204:E204),SF_Output!$Q$1:$Q$400,"monthly"))*H204,AND(B204&lt;&gt;"",H204=SF_Output!$Y$2,SUMIFS(SF_Output!$T$1:$T$400,SF_Output!$AC$1:$AC$400,_xlfn.TEXTJOIN(",",TRUE,B204:E204),SF_Output!$Q$1:$Q$400,"monthly")&lt;&gt;0),SUMIFS(SF_Output!$S$1:$S$400,SF_Output!$AC$1:$AC$400,_xlfn.TEXTJOIN(",",TRUE,B204:E204),SF_Output!$Q$1:$Q$400,"monthly"),AND(B204&lt;&gt;"",H204&lt;&gt;SF_Output!$Y$2),SUMIFS(SF_Output!$S$1:$S$400,SF_Output!$AC$1:$AC$400,_xlfn.TEXTJOIN(",",TRUE,B204:E204),SF_Output!$Q$1:$Q$400,"monthly"))</f>
        <v/>
      </c>
      <c r="W204" s="112" t="str" cm="1">
        <f t="array" ref="W204">_xlfn.IFS(OR(B204=0,B204="",V204=0),"",AF204&lt;&gt;"exclusion",MAX($W$9,$W$7,(-(SUMIFS(SF_Output!$T$1:$T$400,SF_Output!$AC$1:$AC$400,_xlfn.TEXTJOIN(",",TRUE,$B204:$E204),SF_Output!$Q$1:$Q$400,"monthly"))/V204)),AF204="exclusion",-(SUMIFS(SF_Output!$T$1:$T$400,SF_Output!$AC$1:$AC$400,_xlfn.TEXTJOIN(",",TRUE,$B204:$E204),SF_Output!$Q$1:$Q$400,"monthly"))/V204)</f>
        <v/>
      </c>
      <c r="X204" s="6" t="str" cm="1">
        <f t="array" ref="X204">IFERROR(_xlfn.IFS(V204=0,0,V204="","",W204=0,V204,OR(V204&lt;&gt;0,V204&lt;&gt;""),H204*I204),V204*(1-W204))</f>
        <v/>
      </c>
    </row>
    <row r="205" spans="6:24" x14ac:dyDescent="0.25">
      <c r="F205" s="116" t="str">
        <f t="shared" si="8"/>
        <v/>
      </c>
      <c r="G205" t="str">
        <f>IF(B205="","",INDEX(SF_Output!$K$1:$K$400,MATCH(B205,SF_Output!$M$1:$M$400,0)))</f>
        <v/>
      </c>
      <c r="H205" t="str" cm="1">
        <f t="array" ref="H205">_xlfn.IFS(B205="","",(SUMIFS(SF_Output!$F$1:$F$400,SF_Output!$AC$1:$AC$400,_xlfn.TEXTJOIN(",",TRUE,B205:E205))+SUMIFS(SF_Output!$G$1:$G$400,SF_Output!$AC$1:$AC$400,_xlfn.TEXTJOIN(",",TRUE,B205:E205)))&lt;&gt;0,SF_Output!$Y$2,INDEX(SF_Output!$F$1:$F$400,MATCH(_xlfn.TEXTJOIN(",",TRUE,B205:E205),SF_Output!$AC$1:$AC$400,0))=0,INDEX(SF_Output!$R$1:$R$400,MATCH(_xlfn.TEXTJOIN(",",TRUE,B205:E205),SF_Output!$AC$1:$AC$400,0)))</f>
        <v/>
      </c>
      <c r="I205" s="125" t="str">
        <f>IFERROR(IF(AND(H205&gt;1,H205&lt;&gt;""),ROUND(SUMIFS(SF_Output!$S$1:$S$400,SF_Output!$AC$1:$AC$400,_xlfn.TEXTJOIN(",",TRUE,B205:E205),SF_Output!$Q$1:$Q$400,"monthly")*(1-W205)/H205,4),""),"")</f>
        <v/>
      </c>
      <c r="J205" s="6" t="str">
        <f>IF(B205="","",SUMIFS(SF_Output!$S$1:$S$400,SF_Output!$AC$1:$AC$400,_xlfn.TEXTJOIN(",",TRUE,B205:E205),SF_Output!$Q$1:$Q$400,"One Time",SF_Output!$L$1:$L$400,"license fee")+SUMIFS(SF_Output!$S$1:$S$400,SF_Output!$AC$1:$AC$400,_xlfn.TEXTJOIN(",",TRUE,B205:E205),SF_Output!$Q$1:$Q$400,"One Time",SF_Output!$L$1:$L$400,"software license")+SUMIFS(SF_Output!$S$1:$S$400,SF_Output!$AC$1:$AC$400,_xlfn.TEXTJOIN(",",TRUE,B205:E205),SF_Output!$Q$1:$Q$400,"One Time",SF_Output!$L$1:$L$400,"hardware"))</f>
        <v/>
      </c>
      <c r="K205" s="112" t="str">
        <f>IF(OR(B205=0,B205="",G205="hardware",J205=0),"",IF(AF205&lt;&gt;"exclusion",MAX(K$9,-((SUMIFS(SF_Output!$T$1:$T$400,SF_Output!$AC$1:$AC$400,_xlfn.TEXTJOIN(",",TRUE,$B205:$E205),SF_Output!$Q$1:$Q$400,"One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license"))/J205)),-((SUMIFS(SF_Output!$T$1:$T$400,SF_Output!$AC$1:$AC$400,_xlfn.TEXTJOIN(",",TRUE,$B205:$E205),SF_Output!$Q$1:$Q$400,"One Time",SF_Output!$L$1:$L$400,"license fee")+SUMIFS(SF_Output!$T$1:$T$400,SF_Output!$AC$1:$AC$400,_xlfn.TEXTJOIN(",",TRUE,$B205:$E205),SF_Output!$Q$1:$Q$400,"One Time",SF_Output!$L$1:$L$400,"software license"))/J205)))</f>
        <v/>
      </c>
      <c r="L205" s="6" t="str">
        <f t="shared" si="9"/>
        <v/>
      </c>
      <c r="N205" s="6" t="str">
        <f>IF(B205="","",SUMIFS(SF_Output!$S$1:$S$400,SF_Output!$AC$1:$AC$400,_xlfn.TEXTJOIN(",",TRUE,B205:E205),SF_Output!$Q$1:$Q$400,"One Time",SF_Output!$L$1:$L$400,"professional service"))</f>
        <v/>
      </c>
      <c r="O205" s="112" t="str">
        <f>IF(OR(B205=0,B205="",N205=0),"",IF(AF205&lt;&gt;"exclusion",MAX(O$9,-(SUMIFS(SF_Output!$T$1:$T$400,SF_Output!$AC$1:$AC$400,_xlfn.TEXTJOIN(",",TRUE,$B205:$E205),SF_Output!$Q$1:$Q$400,"One Time",SF_Output!$L$1:$L$400,"professional service"))/N205),-((SUMIFS(SF_Output!$T$1:$T$400,SF_Output!$AC$1:$AC$400,_xlfn.TEXTJOIN(",",TRUE,$B205:$E205),SF_Output!$Q$1:$Q$400,"One Time",SF_Output!$L$1:$L$400,"professional service")/N205))))</f>
        <v/>
      </c>
      <c r="P205" s="6" t="str">
        <f t="shared" si="10"/>
        <v/>
      </c>
      <c r="R205" s="6" t="str">
        <f>IF(B205="","",SUMIFS(SF_Output!$S$1:$S$400,SF_Output!$AC$1:$AC$400,_xlfn.TEXTJOIN(",",TRUE,B205:E205),SF_Output!$Q$1:$Q$400,"yearly")+SUMIFS(SF_Output!$S$1:$S$400,SF_Output!$AC$1:$AC$400,_xlfn.TEXTJOIN(",",TRUE,B205:E205),SF_Output!$Q$1:$Q$400,"quarterly")*4)</f>
        <v/>
      </c>
      <c r="S205" s="112" t="str">
        <f>IF(OR(B205=0,B205="",G205="hardware",R205=0),"",IF(AF205&lt;&gt;"exclusion",MAX(S$9,-(SUMIFS(SF_Output!$T$1:$T$400,SF_Output!$AC$1:$AC$400,_xlfn.TEXTJOIN(",",TRUE,$B205:$E205),SF_Output!$Q$1:$Q$400,"yearly"))/R205),-((SUMIFS(SF_Output!$T$1:$T$400,SF_Output!$AC$1:$AC$400,_xlfn.TEXTJOIN(",",TRUE,$B205:$E205),SF_Output!$Q$1:$Q$400,"yearly")/R205))))</f>
        <v/>
      </c>
      <c r="T205" s="6" t="str">
        <f t="shared" si="11"/>
        <v/>
      </c>
      <c r="V205" s="6" t="str" cm="1">
        <f t="array" ref="V205">_xlfn.IFS(B205="","",AND(B205&lt;&gt;"",H205=SF_Output!$Y$2,SUMIFS(SF_Output!$T$1:$T$400,SF_Output!$AC$1:$AC$400,_xlfn.TEXTJOIN(",",TRUE,B205:E205),SF_Output!$Q$1:$Q$400,"monthly")=0),(SUMIFS(SF_Output!$F$1:$F$400,SF_Output!$AC$1:$AC$400,_xlfn.TEXTJOIN(",",TRUE,B205:E205),SF_Output!$Q$1:$Q$400,"monthly")+SUMIFS(SF_Output!$G$1:$G$400,SF_Output!$AC$1:$AC$400,_xlfn.TEXTJOIN(",",TRUE,B205:E205),SF_Output!$Q$1:$Q$400,"monthly"))*H205,AND(B205&lt;&gt;"",H205=SF_Output!$Y$2,SUMIFS(SF_Output!$T$1:$T$400,SF_Output!$AC$1:$AC$400,_xlfn.TEXTJOIN(",",TRUE,B205:E205),SF_Output!$Q$1:$Q$400,"monthly")&lt;&gt;0),SUMIFS(SF_Output!$S$1:$S$400,SF_Output!$AC$1:$AC$400,_xlfn.TEXTJOIN(",",TRUE,B205:E205),SF_Output!$Q$1:$Q$400,"monthly"),AND(B205&lt;&gt;"",H205&lt;&gt;SF_Output!$Y$2),SUMIFS(SF_Output!$S$1:$S$400,SF_Output!$AC$1:$AC$400,_xlfn.TEXTJOIN(",",TRUE,B205:E205),SF_Output!$Q$1:$Q$400,"monthly"))</f>
        <v/>
      </c>
      <c r="W205" s="112" t="str" cm="1">
        <f t="array" ref="W205">_xlfn.IFS(OR(B205=0,B205="",V205=0),"",AF205&lt;&gt;"exclusion",MAX($W$9,$W$7,(-(SUMIFS(SF_Output!$T$1:$T$400,SF_Output!$AC$1:$AC$400,_xlfn.TEXTJOIN(",",TRUE,$B205:$E205),SF_Output!$Q$1:$Q$400,"monthly"))/V205)),AF205="exclusion",-(SUMIFS(SF_Output!$T$1:$T$400,SF_Output!$AC$1:$AC$400,_xlfn.TEXTJOIN(",",TRUE,$B205:$E205),SF_Output!$Q$1:$Q$400,"monthly"))/V205)</f>
        <v/>
      </c>
      <c r="X205" s="6" t="str" cm="1">
        <f t="array" ref="X205">IFERROR(_xlfn.IFS(V205=0,0,V205="","",W205=0,V205,OR(V205&lt;&gt;0,V205&lt;&gt;""),H205*I205),V205*(1-W205))</f>
        <v/>
      </c>
    </row>
    <row r="206" spans="6:24" x14ac:dyDescent="0.25">
      <c r="F206" s="116" t="str">
        <f t="shared" ref="F206:F250" si="12">IF(B206="","",IF(E206*1=0,"Included","Optional"))</f>
        <v/>
      </c>
      <c r="G206" t="str">
        <f>IF(B206="","",INDEX(SF_Output!$K$1:$K$400,MATCH(B206,SF_Output!$M$1:$M$400,0)))</f>
        <v/>
      </c>
      <c r="H206" t="str" cm="1">
        <f t="array" ref="H206">_xlfn.IFS(B206="","",(SUMIFS(SF_Output!$F$1:$F$400,SF_Output!$AC$1:$AC$400,_xlfn.TEXTJOIN(",",TRUE,B206:E206))+SUMIFS(SF_Output!$G$1:$G$400,SF_Output!$AC$1:$AC$400,_xlfn.TEXTJOIN(",",TRUE,B206:E206)))&lt;&gt;0,SF_Output!$Y$2,INDEX(SF_Output!$F$1:$F$400,MATCH(_xlfn.TEXTJOIN(",",TRUE,B206:E206),SF_Output!$AC$1:$AC$400,0))=0,INDEX(SF_Output!$R$1:$R$400,MATCH(_xlfn.TEXTJOIN(",",TRUE,B206:E206),SF_Output!$AC$1:$AC$400,0)))</f>
        <v/>
      </c>
      <c r="I206" s="125" t="str">
        <f>IFERROR(IF(AND(H206&gt;1,H206&lt;&gt;""),ROUND(SUMIFS(SF_Output!$S$1:$S$400,SF_Output!$AC$1:$AC$400,_xlfn.TEXTJOIN(",",TRUE,B206:E206),SF_Output!$Q$1:$Q$400,"monthly")*(1-W206)/H206,4),""),"")</f>
        <v/>
      </c>
      <c r="J206" s="6" t="str">
        <f>IF(B206="","",SUMIFS(SF_Output!$S$1:$S$400,SF_Output!$AC$1:$AC$400,_xlfn.TEXTJOIN(",",TRUE,B206:E206),SF_Output!$Q$1:$Q$400,"One Time",SF_Output!$L$1:$L$400,"license fee")+SUMIFS(SF_Output!$S$1:$S$400,SF_Output!$AC$1:$AC$400,_xlfn.TEXTJOIN(",",TRUE,B206:E206),SF_Output!$Q$1:$Q$400,"One Time",SF_Output!$L$1:$L$400,"software license")+SUMIFS(SF_Output!$S$1:$S$400,SF_Output!$AC$1:$AC$400,_xlfn.TEXTJOIN(",",TRUE,B206:E206),SF_Output!$Q$1:$Q$400,"One Time",SF_Output!$L$1:$L$400,"hardware"))</f>
        <v/>
      </c>
      <c r="K206" s="112" t="str">
        <f>IF(OR(B206=0,B206="",G206="hardware",J206=0),"",IF(AF206&lt;&gt;"exclusion",MAX(K$9,-((SUMIFS(SF_Output!$T$1:$T$400,SF_Output!$AC$1:$AC$400,_xlfn.TEXTJOIN(",",TRUE,$B206:$E206),SF_Output!$Q$1:$Q$400,"One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license"))/J206)),-((SUMIFS(SF_Output!$T$1:$T$400,SF_Output!$AC$1:$AC$400,_xlfn.TEXTJOIN(",",TRUE,$B206:$E206),SF_Output!$Q$1:$Q$400,"One Time",SF_Output!$L$1:$L$400,"license fee")+SUMIFS(SF_Output!$T$1:$T$400,SF_Output!$AC$1:$AC$400,_xlfn.TEXTJOIN(",",TRUE,$B206:$E206),SF_Output!$Q$1:$Q$400,"One Time",SF_Output!$L$1:$L$400,"software license"))/J206)))</f>
        <v/>
      </c>
      <c r="L206" s="6" t="str">
        <f t="shared" ref="L206:L250" si="13">IF(K206="",J206,J206*(1-K206))</f>
        <v/>
      </c>
      <c r="N206" s="6" t="str">
        <f>IF(B206="","",SUMIFS(SF_Output!$S$1:$S$400,SF_Output!$AC$1:$AC$400,_xlfn.TEXTJOIN(",",TRUE,B206:E206),SF_Output!$Q$1:$Q$400,"One Time",SF_Output!$L$1:$L$400,"professional service"))</f>
        <v/>
      </c>
      <c r="O206" s="112" t="str">
        <f>IF(OR(B206=0,B206="",N206=0),"",IF(AF206&lt;&gt;"exclusion",MAX(O$9,-(SUMIFS(SF_Output!$T$1:$T$400,SF_Output!$AC$1:$AC$400,_xlfn.TEXTJOIN(",",TRUE,$B206:$E206),SF_Output!$Q$1:$Q$400,"One Time",SF_Output!$L$1:$L$400,"professional service"))/N206),-((SUMIFS(SF_Output!$T$1:$T$400,SF_Output!$AC$1:$AC$400,_xlfn.TEXTJOIN(",",TRUE,$B206:$E206),SF_Output!$Q$1:$Q$400,"One Time",SF_Output!$L$1:$L$400,"professional service")/N206))))</f>
        <v/>
      </c>
      <c r="P206" s="6" t="str">
        <f t="shared" ref="P206:P250" si="14">IF(O206="",N206,N206*(1-O206))</f>
        <v/>
      </c>
      <c r="R206" s="6" t="str">
        <f>IF(B206="","",SUMIFS(SF_Output!$S$1:$S$400,SF_Output!$AC$1:$AC$400,_xlfn.TEXTJOIN(",",TRUE,B206:E206),SF_Output!$Q$1:$Q$400,"yearly")+SUMIFS(SF_Output!$S$1:$S$400,SF_Output!$AC$1:$AC$400,_xlfn.TEXTJOIN(",",TRUE,B206:E206),SF_Output!$Q$1:$Q$400,"quarterly")*4)</f>
        <v/>
      </c>
      <c r="S206" s="112" t="str">
        <f>IF(OR(B206=0,B206="",G206="hardware",R206=0),"",IF(AF206&lt;&gt;"exclusion",MAX(S$9,-(SUMIFS(SF_Output!$T$1:$T$400,SF_Output!$AC$1:$AC$400,_xlfn.TEXTJOIN(",",TRUE,$B206:$E206),SF_Output!$Q$1:$Q$400,"yearly"))/R206),-((SUMIFS(SF_Output!$T$1:$T$400,SF_Output!$AC$1:$AC$400,_xlfn.TEXTJOIN(",",TRUE,$B206:$E206),SF_Output!$Q$1:$Q$400,"yearly")/R206))))</f>
        <v/>
      </c>
      <c r="T206" s="6" t="str">
        <f t="shared" ref="T206:T250" si="15">IF(S206="",R206,R206*(1-S206))</f>
        <v/>
      </c>
      <c r="V206" s="6" t="str" cm="1">
        <f t="array" ref="V206">_xlfn.IFS(B206="","",AND(B206&lt;&gt;"",H206=SF_Output!$Y$2,SUMIFS(SF_Output!$T$1:$T$400,SF_Output!$AC$1:$AC$400,_xlfn.TEXTJOIN(",",TRUE,B206:E206),SF_Output!$Q$1:$Q$400,"monthly")=0),(SUMIFS(SF_Output!$F$1:$F$400,SF_Output!$AC$1:$AC$400,_xlfn.TEXTJOIN(",",TRUE,B206:E206),SF_Output!$Q$1:$Q$400,"monthly")+SUMIFS(SF_Output!$G$1:$G$400,SF_Output!$AC$1:$AC$400,_xlfn.TEXTJOIN(",",TRUE,B206:E206),SF_Output!$Q$1:$Q$400,"monthly"))*H206,AND(B206&lt;&gt;"",H206=SF_Output!$Y$2,SUMIFS(SF_Output!$T$1:$T$400,SF_Output!$AC$1:$AC$400,_xlfn.TEXTJOIN(",",TRUE,B206:E206),SF_Output!$Q$1:$Q$400,"monthly")&lt;&gt;0),SUMIFS(SF_Output!$S$1:$S$400,SF_Output!$AC$1:$AC$400,_xlfn.TEXTJOIN(",",TRUE,B206:E206),SF_Output!$Q$1:$Q$400,"monthly"),AND(B206&lt;&gt;"",H206&lt;&gt;SF_Output!$Y$2),SUMIFS(SF_Output!$S$1:$S$400,SF_Output!$AC$1:$AC$400,_xlfn.TEXTJOIN(",",TRUE,B206:E206),SF_Output!$Q$1:$Q$400,"monthly"))</f>
        <v/>
      </c>
      <c r="W206" s="112" t="str" cm="1">
        <f t="array" ref="W206">_xlfn.IFS(OR(B206=0,B206="",V206=0),"",AF206&lt;&gt;"exclusion",MAX($W$9,$W$7,(-(SUMIFS(SF_Output!$T$1:$T$400,SF_Output!$AC$1:$AC$400,_xlfn.TEXTJOIN(",",TRUE,$B206:$E206),SF_Output!$Q$1:$Q$400,"monthly"))/V206)),AF206="exclusion",-(SUMIFS(SF_Output!$T$1:$T$400,SF_Output!$AC$1:$AC$400,_xlfn.TEXTJOIN(",",TRUE,$B206:$E206),SF_Output!$Q$1:$Q$400,"monthly"))/V206)</f>
        <v/>
      </c>
      <c r="X206" s="6" t="str" cm="1">
        <f t="array" ref="X206">IFERROR(_xlfn.IFS(V206=0,0,V206="","",W206=0,V206,OR(V206&lt;&gt;0,V206&lt;&gt;""),H206*I206),V206*(1-W206))</f>
        <v/>
      </c>
    </row>
    <row r="207" spans="6:24" x14ac:dyDescent="0.25">
      <c r="F207" s="116" t="str">
        <f t="shared" si="12"/>
        <v/>
      </c>
      <c r="G207" t="str">
        <f>IF(B207="","",INDEX(SF_Output!$K$1:$K$400,MATCH(B207,SF_Output!$M$1:$M$400,0)))</f>
        <v/>
      </c>
      <c r="H207" t="str" cm="1">
        <f t="array" ref="H207">_xlfn.IFS(B207="","",(SUMIFS(SF_Output!$F$1:$F$400,SF_Output!$AC$1:$AC$400,_xlfn.TEXTJOIN(",",TRUE,B207:E207))+SUMIFS(SF_Output!$G$1:$G$400,SF_Output!$AC$1:$AC$400,_xlfn.TEXTJOIN(",",TRUE,B207:E207)))&lt;&gt;0,SF_Output!$Y$2,INDEX(SF_Output!$F$1:$F$400,MATCH(_xlfn.TEXTJOIN(",",TRUE,B207:E207),SF_Output!$AC$1:$AC$400,0))=0,INDEX(SF_Output!$R$1:$R$400,MATCH(_xlfn.TEXTJOIN(",",TRUE,B207:E207),SF_Output!$AC$1:$AC$400,0)))</f>
        <v/>
      </c>
      <c r="I207" s="125" t="str">
        <f>IFERROR(IF(AND(H207&gt;1,H207&lt;&gt;""),ROUND(SUMIFS(SF_Output!$S$1:$S$400,SF_Output!$AC$1:$AC$400,_xlfn.TEXTJOIN(",",TRUE,B207:E207),SF_Output!$Q$1:$Q$400,"monthly")*(1-W207)/H207,4),""),"")</f>
        <v/>
      </c>
      <c r="J207" s="6" t="str">
        <f>IF(B207="","",SUMIFS(SF_Output!$S$1:$S$400,SF_Output!$AC$1:$AC$400,_xlfn.TEXTJOIN(",",TRUE,B207:E207),SF_Output!$Q$1:$Q$400,"One Time",SF_Output!$L$1:$L$400,"license fee")+SUMIFS(SF_Output!$S$1:$S$400,SF_Output!$AC$1:$AC$400,_xlfn.TEXTJOIN(",",TRUE,B207:E207),SF_Output!$Q$1:$Q$400,"One Time",SF_Output!$L$1:$L$400,"software license")+SUMIFS(SF_Output!$S$1:$S$400,SF_Output!$AC$1:$AC$400,_xlfn.TEXTJOIN(",",TRUE,B207:E207),SF_Output!$Q$1:$Q$400,"One Time",SF_Output!$L$1:$L$400,"hardware"))</f>
        <v/>
      </c>
      <c r="K207" s="112" t="str">
        <f>IF(OR(B207=0,B207="",G207="hardware",J207=0),"",IF(AF207&lt;&gt;"exclusion",MAX(K$9,-((SUMIFS(SF_Output!$T$1:$T$400,SF_Output!$AC$1:$AC$400,_xlfn.TEXTJOIN(",",TRUE,$B207:$E207),SF_Output!$Q$1:$Q$400,"One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license"))/J207)),-((SUMIFS(SF_Output!$T$1:$T$400,SF_Output!$AC$1:$AC$400,_xlfn.TEXTJOIN(",",TRUE,$B207:$E207),SF_Output!$Q$1:$Q$400,"One Time",SF_Output!$L$1:$L$400,"license fee")+SUMIFS(SF_Output!$T$1:$T$400,SF_Output!$AC$1:$AC$400,_xlfn.TEXTJOIN(",",TRUE,$B207:$E207),SF_Output!$Q$1:$Q$400,"One Time",SF_Output!$L$1:$L$400,"software license"))/J207)))</f>
        <v/>
      </c>
      <c r="L207" s="6" t="str">
        <f t="shared" si="13"/>
        <v/>
      </c>
      <c r="N207" s="6" t="str">
        <f>IF(B207="","",SUMIFS(SF_Output!$S$1:$S$400,SF_Output!$AC$1:$AC$400,_xlfn.TEXTJOIN(",",TRUE,B207:E207),SF_Output!$Q$1:$Q$400,"One Time",SF_Output!$L$1:$L$400,"professional service"))</f>
        <v/>
      </c>
      <c r="O207" s="112" t="str">
        <f>IF(OR(B207=0,B207="",N207=0),"",IF(AF207&lt;&gt;"exclusion",MAX(O$9,-(SUMIFS(SF_Output!$T$1:$T$400,SF_Output!$AC$1:$AC$400,_xlfn.TEXTJOIN(",",TRUE,$B207:$E207),SF_Output!$Q$1:$Q$400,"One Time",SF_Output!$L$1:$L$400,"professional service"))/N207),-((SUMIFS(SF_Output!$T$1:$T$400,SF_Output!$AC$1:$AC$400,_xlfn.TEXTJOIN(",",TRUE,$B207:$E207),SF_Output!$Q$1:$Q$400,"One Time",SF_Output!$L$1:$L$400,"professional service")/N207))))</f>
        <v/>
      </c>
      <c r="P207" s="6" t="str">
        <f t="shared" si="14"/>
        <v/>
      </c>
      <c r="R207" s="6" t="str">
        <f>IF(B207="","",SUMIFS(SF_Output!$S$1:$S$400,SF_Output!$AC$1:$AC$400,_xlfn.TEXTJOIN(",",TRUE,B207:E207),SF_Output!$Q$1:$Q$400,"yearly")+SUMIFS(SF_Output!$S$1:$S$400,SF_Output!$AC$1:$AC$400,_xlfn.TEXTJOIN(",",TRUE,B207:E207),SF_Output!$Q$1:$Q$400,"quarterly")*4)</f>
        <v/>
      </c>
      <c r="S207" s="112" t="str">
        <f>IF(OR(B207=0,B207="",G207="hardware",R207=0),"",IF(AF207&lt;&gt;"exclusion",MAX(S$9,-(SUMIFS(SF_Output!$T$1:$T$400,SF_Output!$AC$1:$AC$400,_xlfn.TEXTJOIN(",",TRUE,$B207:$E207),SF_Output!$Q$1:$Q$400,"yearly"))/R207),-((SUMIFS(SF_Output!$T$1:$T$400,SF_Output!$AC$1:$AC$400,_xlfn.TEXTJOIN(",",TRUE,$B207:$E207),SF_Output!$Q$1:$Q$400,"yearly")/R207))))</f>
        <v/>
      </c>
      <c r="T207" s="6" t="str">
        <f t="shared" si="15"/>
        <v/>
      </c>
      <c r="V207" s="6" t="str" cm="1">
        <f t="array" ref="V207">_xlfn.IFS(B207="","",AND(B207&lt;&gt;"",H207=SF_Output!$Y$2,SUMIFS(SF_Output!$T$1:$T$400,SF_Output!$AC$1:$AC$400,_xlfn.TEXTJOIN(",",TRUE,B207:E207),SF_Output!$Q$1:$Q$400,"monthly")=0),(SUMIFS(SF_Output!$F$1:$F$400,SF_Output!$AC$1:$AC$400,_xlfn.TEXTJOIN(",",TRUE,B207:E207),SF_Output!$Q$1:$Q$400,"monthly")+SUMIFS(SF_Output!$G$1:$G$400,SF_Output!$AC$1:$AC$400,_xlfn.TEXTJOIN(",",TRUE,B207:E207),SF_Output!$Q$1:$Q$400,"monthly"))*H207,AND(B207&lt;&gt;"",H207=SF_Output!$Y$2,SUMIFS(SF_Output!$T$1:$T$400,SF_Output!$AC$1:$AC$400,_xlfn.TEXTJOIN(",",TRUE,B207:E207),SF_Output!$Q$1:$Q$400,"monthly")&lt;&gt;0),SUMIFS(SF_Output!$S$1:$S$400,SF_Output!$AC$1:$AC$400,_xlfn.TEXTJOIN(",",TRUE,B207:E207),SF_Output!$Q$1:$Q$400,"monthly"),AND(B207&lt;&gt;"",H207&lt;&gt;SF_Output!$Y$2),SUMIFS(SF_Output!$S$1:$S$400,SF_Output!$AC$1:$AC$400,_xlfn.TEXTJOIN(",",TRUE,B207:E207),SF_Output!$Q$1:$Q$400,"monthly"))</f>
        <v/>
      </c>
      <c r="W207" s="112" t="str" cm="1">
        <f t="array" ref="W207">_xlfn.IFS(OR(B207=0,B207="",V207=0),"",AF207&lt;&gt;"exclusion",MAX($W$9,$W$7,(-(SUMIFS(SF_Output!$T$1:$T$400,SF_Output!$AC$1:$AC$400,_xlfn.TEXTJOIN(",",TRUE,$B207:$E207),SF_Output!$Q$1:$Q$400,"monthly"))/V207)),AF207="exclusion",-(SUMIFS(SF_Output!$T$1:$T$400,SF_Output!$AC$1:$AC$400,_xlfn.TEXTJOIN(",",TRUE,$B207:$E207),SF_Output!$Q$1:$Q$400,"monthly"))/V207)</f>
        <v/>
      </c>
      <c r="X207" s="6" t="str" cm="1">
        <f t="array" ref="X207">IFERROR(_xlfn.IFS(V207=0,0,V207="","",W207=0,V207,OR(V207&lt;&gt;0,V207&lt;&gt;""),H207*I207),V207*(1-W207))</f>
        <v/>
      </c>
    </row>
    <row r="208" spans="6:24" x14ac:dyDescent="0.25">
      <c r="F208" s="116" t="str">
        <f t="shared" si="12"/>
        <v/>
      </c>
      <c r="G208" t="str">
        <f>IF(B208="","",INDEX(SF_Output!$K$1:$K$400,MATCH(B208,SF_Output!$M$1:$M$400,0)))</f>
        <v/>
      </c>
      <c r="H208" t="str" cm="1">
        <f t="array" ref="H208">_xlfn.IFS(B208="","",(SUMIFS(SF_Output!$F$1:$F$400,SF_Output!$AC$1:$AC$400,_xlfn.TEXTJOIN(",",TRUE,B208:E208))+SUMIFS(SF_Output!$G$1:$G$400,SF_Output!$AC$1:$AC$400,_xlfn.TEXTJOIN(",",TRUE,B208:E208)))&lt;&gt;0,SF_Output!$Y$2,INDEX(SF_Output!$F$1:$F$400,MATCH(_xlfn.TEXTJOIN(",",TRUE,B208:E208),SF_Output!$AC$1:$AC$400,0))=0,INDEX(SF_Output!$R$1:$R$400,MATCH(_xlfn.TEXTJOIN(",",TRUE,B208:E208),SF_Output!$AC$1:$AC$400,0)))</f>
        <v/>
      </c>
      <c r="I208" s="125" t="str">
        <f>IFERROR(IF(AND(H208&gt;1,H208&lt;&gt;""),ROUND(SUMIFS(SF_Output!$S$1:$S$400,SF_Output!$AC$1:$AC$400,_xlfn.TEXTJOIN(",",TRUE,B208:E208),SF_Output!$Q$1:$Q$400,"monthly")*(1-W208)/H208,4),""),"")</f>
        <v/>
      </c>
      <c r="J208" s="6" t="str">
        <f>IF(B208="","",SUMIFS(SF_Output!$S$1:$S$400,SF_Output!$AC$1:$AC$400,_xlfn.TEXTJOIN(",",TRUE,B208:E208),SF_Output!$Q$1:$Q$400,"One Time",SF_Output!$L$1:$L$400,"license fee")+SUMIFS(SF_Output!$S$1:$S$400,SF_Output!$AC$1:$AC$400,_xlfn.TEXTJOIN(",",TRUE,B208:E208),SF_Output!$Q$1:$Q$400,"One Time",SF_Output!$L$1:$L$400,"software license")+SUMIFS(SF_Output!$S$1:$S$400,SF_Output!$AC$1:$AC$400,_xlfn.TEXTJOIN(",",TRUE,B208:E208),SF_Output!$Q$1:$Q$400,"One Time",SF_Output!$L$1:$L$400,"hardware"))</f>
        <v/>
      </c>
      <c r="K208" s="112" t="str">
        <f>IF(OR(B208=0,B208="",G208="hardware",J208=0),"",IF(AF208&lt;&gt;"exclusion",MAX(K$9,-((SUMIFS(SF_Output!$T$1:$T$400,SF_Output!$AC$1:$AC$400,_xlfn.TEXTJOIN(",",TRUE,$B208:$E208),SF_Output!$Q$1:$Q$400,"One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license"))/J208)),-((SUMIFS(SF_Output!$T$1:$T$400,SF_Output!$AC$1:$AC$400,_xlfn.TEXTJOIN(",",TRUE,$B208:$E208),SF_Output!$Q$1:$Q$400,"One Time",SF_Output!$L$1:$L$400,"license fee")+SUMIFS(SF_Output!$T$1:$T$400,SF_Output!$AC$1:$AC$400,_xlfn.TEXTJOIN(",",TRUE,$B208:$E208),SF_Output!$Q$1:$Q$400,"One Time",SF_Output!$L$1:$L$400,"software license"))/J208)))</f>
        <v/>
      </c>
      <c r="L208" s="6" t="str">
        <f t="shared" si="13"/>
        <v/>
      </c>
      <c r="N208" s="6" t="str">
        <f>IF(B208="","",SUMIFS(SF_Output!$S$1:$S$400,SF_Output!$AC$1:$AC$400,_xlfn.TEXTJOIN(",",TRUE,B208:E208),SF_Output!$Q$1:$Q$400,"One Time",SF_Output!$L$1:$L$400,"professional service"))</f>
        <v/>
      </c>
      <c r="O208" s="112" t="str">
        <f>IF(OR(B208=0,B208="",N208=0),"",IF(AF208&lt;&gt;"exclusion",MAX(O$9,-(SUMIFS(SF_Output!$T$1:$T$400,SF_Output!$AC$1:$AC$400,_xlfn.TEXTJOIN(",",TRUE,$B208:$E208),SF_Output!$Q$1:$Q$400,"One Time",SF_Output!$L$1:$L$400,"professional service"))/N208),-((SUMIFS(SF_Output!$T$1:$T$400,SF_Output!$AC$1:$AC$400,_xlfn.TEXTJOIN(",",TRUE,$B208:$E208),SF_Output!$Q$1:$Q$400,"One Time",SF_Output!$L$1:$L$400,"professional service")/N208))))</f>
        <v/>
      </c>
      <c r="P208" s="6" t="str">
        <f t="shared" si="14"/>
        <v/>
      </c>
      <c r="R208" s="6" t="str">
        <f>IF(B208="","",SUMIFS(SF_Output!$S$1:$S$400,SF_Output!$AC$1:$AC$400,_xlfn.TEXTJOIN(",",TRUE,B208:E208),SF_Output!$Q$1:$Q$400,"yearly")+SUMIFS(SF_Output!$S$1:$S$400,SF_Output!$AC$1:$AC$400,_xlfn.TEXTJOIN(",",TRUE,B208:E208),SF_Output!$Q$1:$Q$400,"quarterly")*4)</f>
        <v/>
      </c>
      <c r="S208" s="112" t="str">
        <f>IF(OR(B208=0,B208="",G208="hardware",R208=0),"",IF(AF208&lt;&gt;"exclusion",MAX(S$9,-(SUMIFS(SF_Output!$T$1:$T$400,SF_Output!$AC$1:$AC$400,_xlfn.TEXTJOIN(",",TRUE,$B208:$E208),SF_Output!$Q$1:$Q$400,"yearly"))/R208),-((SUMIFS(SF_Output!$T$1:$T$400,SF_Output!$AC$1:$AC$400,_xlfn.TEXTJOIN(",",TRUE,$B208:$E208),SF_Output!$Q$1:$Q$400,"yearly")/R208))))</f>
        <v/>
      </c>
      <c r="T208" s="6" t="str">
        <f t="shared" si="15"/>
        <v/>
      </c>
      <c r="V208" s="6" t="str" cm="1">
        <f t="array" ref="V208">_xlfn.IFS(B208="","",AND(B208&lt;&gt;"",H208=SF_Output!$Y$2,SUMIFS(SF_Output!$T$1:$T$400,SF_Output!$AC$1:$AC$400,_xlfn.TEXTJOIN(",",TRUE,B208:E208),SF_Output!$Q$1:$Q$400,"monthly")=0),(SUMIFS(SF_Output!$F$1:$F$400,SF_Output!$AC$1:$AC$400,_xlfn.TEXTJOIN(",",TRUE,B208:E208),SF_Output!$Q$1:$Q$400,"monthly")+SUMIFS(SF_Output!$G$1:$G$400,SF_Output!$AC$1:$AC$400,_xlfn.TEXTJOIN(",",TRUE,B208:E208),SF_Output!$Q$1:$Q$400,"monthly"))*H208,AND(B208&lt;&gt;"",H208=SF_Output!$Y$2,SUMIFS(SF_Output!$T$1:$T$400,SF_Output!$AC$1:$AC$400,_xlfn.TEXTJOIN(",",TRUE,B208:E208),SF_Output!$Q$1:$Q$400,"monthly")&lt;&gt;0),SUMIFS(SF_Output!$S$1:$S$400,SF_Output!$AC$1:$AC$400,_xlfn.TEXTJOIN(",",TRUE,B208:E208),SF_Output!$Q$1:$Q$400,"monthly"),AND(B208&lt;&gt;"",H208&lt;&gt;SF_Output!$Y$2),SUMIFS(SF_Output!$S$1:$S$400,SF_Output!$AC$1:$AC$400,_xlfn.TEXTJOIN(",",TRUE,B208:E208),SF_Output!$Q$1:$Q$400,"monthly"))</f>
        <v/>
      </c>
      <c r="W208" s="112" t="str" cm="1">
        <f t="array" ref="W208">_xlfn.IFS(OR(B208=0,B208="",V208=0),"",AF208&lt;&gt;"exclusion",MAX($W$9,$W$7,(-(SUMIFS(SF_Output!$T$1:$T$400,SF_Output!$AC$1:$AC$400,_xlfn.TEXTJOIN(",",TRUE,$B208:$E208),SF_Output!$Q$1:$Q$400,"monthly"))/V208)),AF208="exclusion",-(SUMIFS(SF_Output!$T$1:$T$400,SF_Output!$AC$1:$AC$400,_xlfn.TEXTJOIN(",",TRUE,$B208:$E208),SF_Output!$Q$1:$Q$400,"monthly"))/V208)</f>
        <v/>
      </c>
      <c r="X208" s="6" t="str" cm="1">
        <f t="array" ref="X208">IFERROR(_xlfn.IFS(V208=0,0,V208="","",W208=0,V208,OR(V208&lt;&gt;0,V208&lt;&gt;""),H208*I208),V208*(1-W208))</f>
        <v/>
      </c>
    </row>
    <row r="209" spans="6:24" x14ac:dyDescent="0.25">
      <c r="F209" s="116" t="str">
        <f t="shared" si="12"/>
        <v/>
      </c>
      <c r="G209" t="str">
        <f>IF(B209="","",INDEX(SF_Output!$K$1:$K$400,MATCH(B209,SF_Output!$M$1:$M$400,0)))</f>
        <v/>
      </c>
      <c r="H209" t="str" cm="1">
        <f t="array" ref="H209">_xlfn.IFS(B209="","",(SUMIFS(SF_Output!$F$1:$F$400,SF_Output!$AC$1:$AC$400,_xlfn.TEXTJOIN(",",TRUE,B209:E209))+SUMIFS(SF_Output!$G$1:$G$400,SF_Output!$AC$1:$AC$400,_xlfn.TEXTJOIN(",",TRUE,B209:E209)))&lt;&gt;0,SF_Output!$Y$2,INDEX(SF_Output!$F$1:$F$400,MATCH(_xlfn.TEXTJOIN(",",TRUE,B209:E209),SF_Output!$AC$1:$AC$400,0))=0,INDEX(SF_Output!$R$1:$R$400,MATCH(_xlfn.TEXTJOIN(",",TRUE,B209:E209),SF_Output!$AC$1:$AC$400,0)))</f>
        <v/>
      </c>
      <c r="I209" s="125" t="str">
        <f>IFERROR(IF(AND(H209&gt;1,H209&lt;&gt;""),ROUND(SUMIFS(SF_Output!$S$1:$S$400,SF_Output!$AC$1:$AC$400,_xlfn.TEXTJOIN(",",TRUE,B209:E209),SF_Output!$Q$1:$Q$400,"monthly")*(1-W209)/H209,4),""),"")</f>
        <v/>
      </c>
      <c r="J209" s="6" t="str">
        <f>IF(B209="","",SUMIFS(SF_Output!$S$1:$S$400,SF_Output!$AC$1:$AC$400,_xlfn.TEXTJOIN(",",TRUE,B209:E209),SF_Output!$Q$1:$Q$400,"One Time",SF_Output!$L$1:$L$400,"license fee")+SUMIFS(SF_Output!$S$1:$S$400,SF_Output!$AC$1:$AC$400,_xlfn.TEXTJOIN(",",TRUE,B209:E209),SF_Output!$Q$1:$Q$400,"One Time",SF_Output!$L$1:$L$400,"software license")+SUMIFS(SF_Output!$S$1:$S$400,SF_Output!$AC$1:$AC$400,_xlfn.TEXTJOIN(",",TRUE,B209:E209),SF_Output!$Q$1:$Q$400,"One Time",SF_Output!$L$1:$L$400,"hardware"))</f>
        <v/>
      </c>
      <c r="K209" s="112" t="str">
        <f>IF(OR(B209=0,B209="",G209="hardware",J209=0),"",IF(AF209&lt;&gt;"exclusion",MAX(K$9,-((SUMIFS(SF_Output!$T$1:$T$400,SF_Output!$AC$1:$AC$400,_xlfn.TEXTJOIN(",",TRUE,$B209:$E209),SF_Output!$Q$1:$Q$400,"One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license"))/J209)),-((SUMIFS(SF_Output!$T$1:$T$400,SF_Output!$AC$1:$AC$400,_xlfn.TEXTJOIN(",",TRUE,$B209:$E209),SF_Output!$Q$1:$Q$400,"One Time",SF_Output!$L$1:$L$400,"license fee")+SUMIFS(SF_Output!$T$1:$T$400,SF_Output!$AC$1:$AC$400,_xlfn.TEXTJOIN(",",TRUE,$B209:$E209),SF_Output!$Q$1:$Q$400,"One Time",SF_Output!$L$1:$L$400,"software license"))/J209)))</f>
        <v/>
      </c>
      <c r="L209" s="6" t="str">
        <f t="shared" si="13"/>
        <v/>
      </c>
      <c r="N209" s="6" t="str">
        <f>IF(B209="","",SUMIFS(SF_Output!$S$1:$S$400,SF_Output!$AC$1:$AC$400,_xlfn.TEXTJOIN(",",TRUE,B209:E209),SF_Output!$Q$1:$Q$400,"One Time",SF_Output!$L$1:$L$400,"professional service"))</f>
        <v/>
      </c>
      <c r="O209" s="112" t="str">
        <f>IF(OR(B209=0,B209="",N209=0),"",IF(AF209&lt;&gt;"exclusion",MAX(O$9,-(SUMIFS(SF_Output!$T$1:$T$400,SF_Output!$AC$1:$AC$400,_xlfn.TEXTJOIN(",",TRUE,$B209:$E209),SF_Output!$Q$1:$Q$400,"One Time",SF_Output!$L$1:$L$400,"professional service"))/N209),-((SUMIFS(SF_Output!$T$1:$T$400,SF_Output!$AC$1:$AC$400,_xlfn.TEXTJOIN(",",TRUE,$B209:$E209),SF_Output!$Q$1:$Q$400,"One Time",SF_Output!$L$1:$L$400,"professional service")/N209))))</f>
        <v/>
      </c>
      <c r="P209" s="6" t="str">
        <f t="shared" si="14"/>
        <v/>
      </c>
      <c r="R209" s="6" t="str">
        <f>IF(B209="","",SUMIFS(SF_Output!$S$1:$S$400,SF_Output!$AC$1:$AC$400,_xlfn.TEXTJOIN(",",TRUE,B209:E209),SF_Output!$Q$1:$Q$400,"yearly")+SUMIFS(SF_Output!$S$1:$S$400,SF_Output!$AC$1:$AC$400,_xlfn.TEXTJOIN(",",TRUE,B209:E209),SF_Output!$Q$1:$Q$400,"quarterly")*4)</f>
        <v/>
      </c>
      <c r="S209" s="112" t="str">
        <f>IF(OR(B209=0,B209="",G209="hardware",R209=0),"",IF(AF209&lt;&gt;"exclusion",MAX(S$9,-(SUMIFS(SF_Output!$T$1:$T$400,SF_Output!$AC$1:$AC$400,_xlfn.TEXTJOIN(",",TRUE,$B209:$E209),SF_Output!$Q$1:$Q$400,"yearly"))/R209),-((SUMIFS(SF_Output!$T$1:$T$400,SF_Output!$AC$1:$AC$400,_xlfn.TEXTJOIN(",",TRUE,$B209:$E209),SF_Output!$Q$1:$Q$400,"yearly")/R209))))</f>
        <v/>
      </c>
      <c r="T209" s="6" t="str">
        <f t="shared" si="15"/>
        <v/>
      </c>
      <c r="V209" s="6" t="str" cm="1">
        <f t="array" ref="V209">_xlfn.IFS(B209="","",AND(B209&lt;&gt;"",H209=SF_Output!$Y$2,SUMIFS(SF_Output!$T$1:$T$400,SF_Output!$AC$1:$AC$400,_xlfn.TEXTJOIN(",",TRUE,B209:E209),SF_Output!$Q$1:$Q$400,"monthly")=0),(SUMIFS(SF_Output!$F$1:$F$400,SF_Output!$AC$1:$AC$400,_xlfn.TEXTJOIN(",",TRUE,B209:E209),SF_Output!$Q$1:$Q$400,"monthly")+SUMIFS(SF_Output!$G$1:$G$400,SF_Output!$AC$1:$AC$400,_xlfn.TEXTJOIN(",",TRUE,B209:E209),SF_Output!$Q$1:$Q$400,"monthly"))*H209,AND(B209&lt;&gt;"",H209=SF_Output!$Y$2,SUMIFS(SF_Output!$T$1:$T$400,SF_Output!$AC$1:$AC$400,_xlfn.TEXTJOIN(",",TRUE,B209:E209),SF_Output!$Q$1:$Q$400,"monthly")&lt;&gt;0),SUMIFS(SF_Output!$S$1:$S$400,SF_Output!$AC$1:$AC$400,_xlfn.TEXTJOIN(",",TRUE,B209:E209),SF_Output!$Q$1:$Q$400,"monthly"),AND(B209&lt;&gt;"",H209&lt;&gt;SF_Output!$Y$2),SUMIFS(SF_Output!$S$1:$S$400,SF_Output!$AC$1:$AC$400,_xlfn.TEXTJOIN(",",TRUE,B209:E209),SF_Output!$Q$1:$Q$400,"monthly"))</f>
        <v/>
      </c>
      <c r="W209" s="112" t="str" cm="1">
        <f t="array" ref="W209">_xlfn.IFS(OR(B209=0,B209="",V209=0),"",AF209&lt;&gt;"exclusion",MAX($W$9,$W$7,(-(SUMIFS(SF_Output!$T$1:$T$400,SF_Output!$AC$1:$AC$400,_xlfn.TEXTJOIN(",",TRUE,$B209:$E209),SF_Output!$Q$1:$Q$400,"monthly"))/V209)),AF209="exclusion",-(SUMIFS(SF_Output!$T$1:$T$400,SF_Output!$AC$1:$AC$400,_xlfn.TEXTJOIN(",",TRUE,$B209:$E209),SF_Output!$Q$1:$Q$400,"monthly"))/V209)</f>
        <v/>
      </c>
      <c r="X209" s="6" t="str" cm="1">
        <f t="array" ref="X209">IFERROR(_xlfn.IFS(V209=0,0,V209="","",W209=0,V209,OR(V209&lt;&gt;0,V209&lt;&gt;""),H209*I209),V209*(1-W209))</f>
        <v/>
      </c>
    </row>
    <row r="210" spans="6:24" x14ac:dyDescent="0.25">
      <c r="F210" s="116" t="str">
        <f t="shared" si="12"/>
        <v/>
      </c>
      <c r="G210" t="str">
        <f>IF(B210="","",INDEX(SF_Output!$K$1:$K$400,MATCH(B210,SF_Output!$M$1:$M$400,0)))</f>
        <v/>
      </c>
      <c r="H210" t="str" cm="1">
        <f t="array" ref="H210">_xlfn.IFS(B210="","",(SUMIFS(SF_Output!$F$1:$F$400,SF_Output!$AC$1:$AC$400,_xlfn.TEXTJOIN(",",TRUE,B210:E210))+SUMIFS(SF_Output!$G$1:$G$400,SF_Output!$AC$1:$AC$400,_xlfn.TEXTJOIN(",",TRUE,B210:E210)))&lt;&gt;0,SF_Output!$Y$2,INDEX(SF_Output!$F$1:$F$400,MATCH(_xlfn.TEXTJOIN(",",TRUE,B210:E210),SF_Output!$AC$1:$AC$400,0))=0,INDEX(SF_Output!$R$1:$R$400,MATCH(_xlfn.TEXTJOIN(",",TRUE,B210:E210),SF_Output!$AC$1:$AC$400,0)))</f>
        <v/>
      </c>
      <c r="I210" s="125" t="str">
        <f>IFERROR(IF(AND(H210&gt;1,H210&lt;&gt;""),ROUND(SUMIFS(SF_Output!$S$1:$S$400,SF_Output!$AC$1:$AC$400,_xlfn.TEXTJOIN(",",TRUE,B210:E210),SF_Output!$Q$1:$Q$400,"monthly")*(1-W210)/H210,4),""),"")</f>
        <v/>
      </c>
      <c r="J210" s="6" t="str">
        <f>IF(B210="","",SUMIFS(SF_Output!$S$1:$S$400,SF_Output!$AC$1:$AC$400,_xlfn.TEXTJOIN(",",TRUE,B210:E210),SF_Output!$Q$1:$Q$400,"One Time",SF_Output!$L$1:$L$400,"license fee")+SUMIFS(SF_Output!$S$1:$S$400,SF_Output!$AC$1:$AC$400,_xlfn.TEXTJOIN(",",TRUE,B210:E210),SF_Output!$Q$1:$Q$400,"One Time",SF_Output!$L$1:$L$400,"software license")+SUMIFS(SF_Output!$S$1:$S$400,SF_Output!$AC$1:$AC$400,_xlfn.TEXTJOIN(",",TRUE,B210:E210),SF_Output!$Q$1:$Q$400,"One Time",SF_Output!$L$1:$L$400,"hardware"))</f>
        <v/>
      </c>
      <c r="K210" s="112" t="str">
        <f>IF(OR(B210=0,B210="",G210="hardware",J210=0),"",IF(AF210&lt;&gt;"exclusion",MAX(K$9,-((SUMIFS(SF_Output!$T$1:$T$400,SF_Output!$AC$1:$AC$400,_xlfn.TEXTJOIN(",",TRUE,$B210:$E210),SF_Output!$Q$1:$Q$400,"One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license"))/J210)),-((SUMIFS(SF_Output!$T$1:$T$400,SF_Output!$AC$1:$AC$400,_xlfn.TEXTJOIN(",",TRUE,$B210:$E210),SF_Output!$Q$1:$Q$400,"One Time",SF_Output!$L$1:$L$400,"license fee")+SUMIFS(SF_Output!$T$1:$T$400,SF_Output!$AC$1:$AC$400,_xlfn.TEXTJOIN(",",TRUE,$B210:$E210),SF_Output!$Q$1:$Q$400,"One Time",SF_Output!$L$1:$L$400,"software license"))/J210)))</f>
        <v/>
      </c>
      <c r="L210" s="6" t="str">
        <f t="shared" si="13"/>
        <v/>
      </c>
      <c r="N210" s="6" t="str">
        <f>IF(B210="","",SUMIFS(SF_Output!$S$1:$S$400,SF_Output!$AC$1:$AC$400,_xlfn.TEXTJOIN(",",TRUE,B210:E210),SF_Output!$Q$1:$Q$400,"One Time",SF_Output!$L$1:$L$400,"professional service"))</f>
        <v/>
      </c>
      <c r="O210" s="112" t="str">
        <f>IF(OR(B210=0,B210="",N210=0),"",IF(AF210&lt;&gt;"exclusion",MAX(O$9,-(SUMIFS(SF_Output!$T$1:$T$400,SF_Output!$AC$1:$AC$400,_xlfn.TEXTJOIN(",",TRUE,$B210:$E210),SF_Output!$Q$1:$Q$400,"One Time",SF_Output!$L$1:$L$400,"professional service"))/N210),-((SUMIFS(SF_Output!$T$1:$T$400,SF_Output!$AC$1:$AC$400,_xlfn.TEXTJOIN(",",TRUE,$B210:$E210),SF_Output!$Q$1:$Q$400,"One Time",SF_Output!$L$1:$L$400,"professional service")/N210))))</f>
        <v/>
      </c>
      <c r="P210" s="6" t="str">
        <f t="shared" si="14"/>
        <v/>
      </c>
      <c r="R210" s="6" t="str">
        <f>IF(B210="","",SUMIFS(SF_Output!$S$1:$S$400,SF_Output!$AC$1:$AC$400,_xlfn.TEXTJOIN(",",TRUE,B210:E210),SF_Output!$Q$1:$Q$400,"yearly")+SUMIFS(SF_Output!$S$1:$S$400,SF_Output!$AC$1:$AC$400,_xlfn.TEXTJOIN(",",TRUE,B210:E210),SF_Output!$Q$1:$Q$400,"quarterly")*4)</f>
        <v/>
      </c>
      <c r="S210" s="112" t="str">
        <f>IF(OR(B210=0,B210="",G210="hardware",R210=0),"",IF(AF210&lt;&gt;"exclusion",MAX(S$9,-(SUMIFS(SF_Output!$T$1:$T$400,SF_Output!$AC$1:$AC$400,_xlfn.TEXTJOIN(",",TRUE,$B210:$E210),SF_Output!$Q$1:$Q$400,"yearly"))/R210),-((SUMIFS(SF_Output!$T$1:$T$400,SF_Output!$AC$1:$AC$400,_xlfn.TEXTJOIN(",",TRUE,$B210:$E210),SF_Output!$Q$1:$Q$400,"yearly")/R210))))</f>
        <v/>
      </c>
      <c r="T210" s="6" t="str">
        <f t="shared" si="15"/>
        <v/>
      </c>
      <c r="V210" s="6" t="str" cm="1">
        <f t="array" ref="V210">_xlfn.IFS(B210="","",AND(B210&lt;&gt;"",H210=SF_Output!$Y$2,SUMIFS(SF_Output!$T$1:$T$400,SF_Output!$AC$1:$AC$400,_xlfn.TEXTJOIN(",",TRUE,B210:E210),SF_Output!$Q$1:$Q$400,"monthly")=0),(SUMIFS(SF_Output!$F$1:$F$400,SF_Output!$AC$1:$AC$400,_xlfn.TEXTJOIN(",",TRUE,B210:E210),SF_Output!$Q$1:$Q$400,"monthly")+SUMIFS(SF_Output!$G$1:$G$400,SF_Output!$AC$1:$AC$400,_xlfn.TEXTJOIN(",",TRUE,B210:E210),SF_Output!$Q$1:$Q$400,"monthly"))*H210,AND(B210&lt;&gt;"",H210=SF_Output!$Y$2,SUMIFS(SF_Output!$T$1:$T$400,SF_Output!$AC$1:$AC$400,_xlfn.TEXTJOIN(",",TRUE,B210:E210),SF_Output!$Q$1:$Q$400,"monthly")&lt;&gt;0),SUMIFS(SF_Output!$S$1:$S$400,SF_Output!$AC$1:$AC$400,_xlfn.TEXTJOIN(",",TRUE,B210:E210),SF_Output!$Q$1:$Q$400,"monthly"),AND(B210&lt;&gt;"",H210&lt;&gt;SF_Output!$Y$2),SUMIFS(SF_Output!$S$1:$S$400,SF_Output!$AC$1:$AC$400,_xlfn.TEXTJOIN(",",TRUE,B210:E210),SF_Output!$Q$1:$Q$400,"monthly"))</f>
        <v/>
      </c>
      <c r="W210" s="112" t="str" cm="1">
        <f t="array" ref="W210">_xlfn.IFS(OR(B210=0,B210="",V210=0),"",AF210&lt;&gt;"exclusion",MAX($W$9,$W$7,(-(SUMIFS(SF_Output!$T$1:$T$400,SF_Output!$AC$1:$AC$400,_xlfn.TEXTJOIN(",",TRUE,$B210:$E210),SF_Output!$Q$1:$Q$400,"monthly"))/V210)),AF210="exclusion",-(SUMIFS(SF_Output!$T$1:$T$400,SF_Output!$AC$1:$AC$400,_xlfn.TEXTJOIN(",",TRUE,$B210:$E210),SF_Output!$Q$1:$Q$400,"monthly"))/V210)</f>
        <v/>
      </c>
      <c r="X210" s="6" t="str" cm="1">
        <f t="array" ref="X210">IFERROR(_xlfn.IFS(V210=0,0,V210="","",W210=0,V210,OR(V210&lt;&gt;0,V210&lt;&gt;""),H210*I210),V210*(1-W210))</f>
        <v/>
      </c>
    </row>
    <row r="211" spans="6:24" x14ac:dyDescent="0.25">
      <c r="F211" s="116" t="str">
        <f t="shared" si="12"/>
        <v/>
      </c>
      <c r="G211" t="str">
        <f>IF(B211="","",INDEX(SF_Output!$K$1:$K$400,MATCH(B211,SF_Output!$M$1:$M$400,0)))</f>
        <v/>
      </c>
      <c r="H211" t="str" cm="1">
        <f t="array" ref="H211">_xlfn.IFS(B211="","",(SUMIFS(SF_Output!$F$1:$F$400,SF_Output!$AC$1:$AC$400,_xlfn.TEXTJOIN(",",TRUE,B211:E211))+SUMIFS(SF_Output!$G$1:$G$400,SF_Output!$AC$1:$AC$400,_xlfn.TEXTJOIN(",",TRUE,B211:E211)))&lt;&gt;0,SF_Output!$Y$2,INDEX(SF_Output!$F$1:$F$400,MATCH(_xlfn.TEXTJOIN(",",TRUE,B211:E211),SF_Output!$AC$1:$AC$400,0))=0,INDEX(SF_Output!$R$1:$R$400,MATCH(_xlfn.TEXTJOIN(",",TRUE,B211:E211),SF_Output!$AC$1:$AC$400,0)))</f>
        <v/>
      </c>
      <c r="I211" s="125" t="str">
        <f>IFERROR(IF(AND(H211&gt;1,H211&lt;&gt;""),ROUND(SUMIFS(SF_Output!$S$1:$S$400,SF_Output!$AC$1:$AC$400,_xlfn.TEXTJOIN(",",TRUE,B211:E211),SF_Output!$Q$1:$Q$400,"monthly")*(1-W211)/H211,4),""),"")</f>
        <v/>
      </c>
      <c r="J211" s="6" t="str">
        <f>IF(B211="","",SUMIFS(SF_Output!$S$1:$S$400,SF_Output!$AC$1:$AC$400,_xlfn.TEXTJOIN(",",TRUE,B211:E211),SF_Output!$Q$1:$Q$400,"One Time",SF_Output!$L$1:$L$400,"license fee")+SUMIFS(SF_Output!$S$1:$S$400,SF_Output!$AC$1:$AC$400,_xlfn.TEXTJOIN(",",TRUE,B211:E211),SF_Output!$Q$1:$Q$400,"One Time",SF_Output!$L$1:$L$400,"software license")+SUMIFS(SF_Output!$S$1:$S$400,SF_Output!$AC$1:$AC$400,_xlfn.TEXTJOIN(",",TRUE,B211:E211),SF_Output!$Q$1:$Q$400,"One Time",SF_Output!$L$1:$L$400,"hardware"))</f>
        <v/>
      </c>
      <c r="K211" s="112" t="str">
        <f>IF(OR(B211=0,B211="",G211="hardware",J211=0),"",IF(AF211&lt;&gt;"exclusion",MAX(K$9,-((SUMIFS(SF_Output!$T$1:$T$400,SF_Output!$AC$1:$AC$400,_xlfn.TEXTJOIN(",",TRUE,$B211:$E211),SF_Output!$Q$1:$Q$400,"One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license"))/J211)),-((SUMIFS(SF_Output!$T$1:$T$400,SF_Output!$AC$1:$AC$400,_xlfn.TEXTJOIN(",",TRUE,$B211:$E211),SF_Output!$Q$1:$Q$400,"One Time",SF_Output!$L$1:$L$400,"license fee")+SUMIFS(SF_Output!$T$1:$T$400,SF_Output!$AC$1:$AC$400,_xlfn.TEXTJOIN(",",TRUE,$B211:$E211),SF_Output!$Q$1:$Q$400,"One Time",SF_Output!$L$1:$L$400,"software license"))/J211)))</f>
        <v/>
      </c>
      <c r="L211" s="6" t="str">
        <f t="shared" si="13"/>
        <v/>
      </c>
      <c r="N211" s="6" t="str">
        <f>IF(B211="","",SUMIFS(SF_Output!$S$1:$S$400,SF_Output!$AC$1:$AC$400,_xlfn.TEXTJOIN(",",TRUE,B211:E211),SF_Output!$Q$1:$Q$400,"One Time",SF_Output!$L$1:$L$400,"professional service"))</f>
        <v/>
      </c>
      <c r="O211" s="112" t="str">
        <f>IF(OR(B211=0,B211="",N211=0),"",IF(AF211&lt;&gt;"exclusion",MAX(O$9,-(SUMIFS(SF_Output!$T$1:$T$400,SF_Output!$AC$1:$AC$400,_xlfn.TEXTJOIN(",",TRUE,$B211:$E211),SF_Output!$Q$1:$Q$400,"One Time",SF_Output!$L$1:$L$400,"professional service"))/N211),-((SUMIFS(SF_Output!$T$1:$T$400,SF_Output!$AC$1:$AC$400,_xlfn.TEXTJOIN(",",TRUE,$B211:$E211),SF_Output!$Q$1:$Q$400,"One Time",SF_Output!$L$1:$L$400,"professional service")/N211))))</f>
        <v/>
      </c>
      <c r="P211" s="6" t="str">
        <f t="shared" si="14"/>
        <v/>
      </c>
      <c r="R211" s="6" t="str">
        <f>IF(B211="","",SUMIFS(SF_Output!$S$1:$S$400,SF_Output!$AC$1:$AC$400,_xlfn.TEXTJOIN(",",TRUE,B211:E211),SF_Output!$Q$1:$Q$400,"yearly")+SUMIFS(SF_Output!$S$1:$S$400,SF_Output!$AC$1:$AC$400,_xlfn.TEXTJOIN(",",TRUE,B211:E211),SF_Output!$Q$1:$Q$400,"quarterly")*4)</f>
        <v/>
      </c>
      <c r="S211" s="112" t="str">
        <f>IF(OR(B211=0,B211="",G211="hardware",R211=0),"",IF(AF211&lt;&gt;"exclusion",MAX(S$9,-(SUMIFS(SF_Output!$T$1:$T$400,SF_Output!$AC$1:$AC$400,_xlfn.TEXTJOIN(",",TRUE,$B211:$E211),SF_Output!$Q$1:$Q$400,"yearly"))/R211),-((SUMIFS(SF_Output!$T$1:$T$400,SF_Output!$AC$1:$AC$400,_xlfn.TEXTJOIN(",",TRUE,$B211:$E211),SF_Output!$Q$1:$Q$400,"yearly")/R211))))</f>
        <v/>
      </c>
      <c r="T211" s="6" t="str">
        <f t="shared" si="15"/>
        <v/>
      </c>
      <c r="V211" s="6" t="str" cm="1">
        <f t="array" ref="V211">_xlfn.IFS(B211="","",AND(B211&lt;&gt;"",H211=SF_Output!$Y$2,SUMIFS(SF_Output!$T$1:$T$400,SF_Output!$AC$1:$AC$400,_xlfn.TEXTJOIN(",",TRUE,B211:E211),SF_Output!$Q$1:$Q$400,"monthly")=0),(SUMIFS(SF_Output!$F$1:$F$400,SF_Output!$AC$1:$AC$400,_xlfn.TEXTJOIN(",",TRUE,B211:E211),SF_Output!$Q$1:$Q$400,"monthly")+SUMIFS(SF_Output!$G$1:$G$400,SF_Output!$AC$1:$AC$400,_xlfn.TEXTJOIN(",",TRUE,B211:E211),SF_Output!$Q$1:$Q$400,"monthly"))*H211,AND(B211&lt;&gt;"",H211=SF_Output!$Y$2,SUMIFS(SF_Output!$T$1:$T$400,SF_Output!$AC$1:$AC$400,_xlfn.TEXTJOIN(",",TRUE,B211:E211),SF_Output!$Q$1:$Q$400,"monthly")&lt;&gt;0),SUMIFS(SF_Output!$S$1:$S$400,SF_Output!$AC$1:$AC$400,_xlfn.TEXTJOIN(",",TRUE,B211:E211),SF_Output!$Q$1:$Q$400,"monthly"),AND(B211&lt;&gt;"",H211&lt;&gt;SF_Output!$Y$2),SUMIFS(SF_Output!$S$1:$S$400,SF_Output!$AC$1:$AC$400,_xlfn.TEXTJOIN(",",TRUE,B211:E211),SF_Output!$Q$1:$Q$400,"monthly"))</f>
        <v/>
      </c>
      <c r="W211" s="112" t="str" cm="1">
        <f t="array" ref="W211">_xlfn.IFS(OR(B211=0,B211="",V211=0),"",AF211&lt;&gt;"exclusion",MAX($W$9,$W$7,(-(SUMIFS(SF_Output!$T$1:$T$400,SF_Output!$AC$1:$AC$400,_xlfn.TEXTJOIN(",",TRUE,$B211:$E211),SF_Output!$Q$1:$Q$400,"monthly"))/V211)),AF211="exclusion",-(SUMIFS(SF_Output!$T$1:$T$400,SF_Output!$AC$1:$AC$400,_xlfn.TEXTJOIN(",",TRUE,$B211:$E211),SF_Output!$Q$1:$Q$400,"monthly"))/V211)</f>
        <v/>
      </c>
      <c r="X211" s="6" t="str" cm="1">
        <f t="array" ref="X211">IFERROR(_xlfn.IFS(V211=0,0,V211="","",W211=0,V211,OR(V211&lt;&gt;0,V211&lt;&gt;""),H211*I211),V211*(1-W211))</f>
        <v/>
      </c>
    </row>
    <row r="212" spans="6:24" x14ac:dyDescent="0.25">
      <c r="F212" s="116" t="str">
        <f t="shared" si="12"/>
        <v/>
      </c>
      <c r="G212" t="str">
        <f>IF(B212="","",INDEX(SF_Output!$K$1:$K$400,MATCH(B212,SF_Output!$M$1:$M$400,0)))</f>
        <v/>
      </c>
      <c r="H212" t="str" cm="1">
        <f t="array" ref="H212">_xlfn.IFS(B212="","",(SUMIFS(SF_Output!$F$1:$F$400,SF_Output!$AC$1:$AC$400,_xlfn.TEXTJOIN(",",TRUE,B212:E212))+SUMIFS(SF_Output!$G$1:$G$400,SF_Output!$AC$1:$AC$400,_xlfn.TEXTJOIN(",",TRUE,B212:E212)))&lt;&gt;0,SF_Output!$Y$2,INDEX(SF_Output!$F$1:$F$400,MATCH(_xlfn.TEXTJOIN(",",TRUE,B212:E212),SF_Output!$AC$1:$AC$400,0))=0,INDEX(SF_Output!$R$1:$R$400,MATCH(_xlfn.TEXTJOIN(",",TRUE,B212:E212),SF_Output!$AC$1:$AC$400,0)))</f>
        <v/>
      </c>
      <c r="I212" s="125" t="str">
        <f>IFERROR(IF(AND(H212&gt;1,H212&lt;&gt;""),ROUND(SUMIFS(SF_Output!$S$1:$S$400,SF_Output!$AC$1:$AC$400,_xlfn.TEXTJOIN(",",TRUE,B212:E212),SF_Output!$Q$1:$Q$400,"monthly")*(1-W212)/H212,4),""),"")</f>
        <v/>
      </c>
      <c r="J212" s="6" t="str">
        <f>IF(B212="","",SUMIFS(SF_Output!$S$1:$S$400,SF_Output!$AC$1:$AC$400,_xlfn.TEXTJOIN(",",TRUE,B212:E212),SF_Output!$Q$1:$Q$400,"One Time",SF_Output!$L$1:$L$400,"license fee")+SUMIFS(SF_Output!$S$1:$S$400,SF_Output!$AC$1:$AC$400,_xlfn.TEXTJOIN(",",TRUE,B212:E212),SF_Output!$Q$1:$Q$400,"One Time",SF_Output!$L$1:$L$400,"software license")+SUMIFS(SF_Output!$S$1:$S$400,SF_Output!$AC$1:$AC$400,_xlfn.TEXTJOIN(",",TRUE,B212:E212),SF_Output!$Q$1:$Q$400,"One Time",SF_Output!$L$1:$L$400,"hardware"))</f>
        <v/>
      </c>
      <c r="K212" s="112" t="str">
        <f>IF(OR(B212=0,B212="",G212="hardware",J212=0),"",IF(AF212&lt;&gt;"exclusion",MAX(K$9,-((SUMIFS(SF_Output!$T$1:$T$400,SF_Output!$AC$1:$AC$400,_xlfn.TEXTJOIN(",",TRUE,$B212:$E212),SF_Output!$Q$1:$Q$400,"One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license"))/J212)),-((SUMIFS(SF_Output!$T$1:$T$400,SF_Output!$AC$1:$AC$400,_xlfn.TEXTJOIN(",",TRUE,$B212:$E212),SF_Output!$Q$1:$Q$400,"One Time",SF_Output!$L$1:$L$400,"license fee")+SUMIFS(SF_Output!$T$1:$T$400,SF_Output!$AC$1:$AC$400,_xlfn.TEXTJOIN(",",TRUE,$B212:$E212),SF_Output!$Q$1:$Q$400,"One Time",SF_Output!$L$1:$L$400,"software license"))/J212)))</f>
        <v/>
      </c>
      <c r="L212" s="6" t="str">
        <f t="shared" si="13"/>
        <v/>
      </c>
      <c r="N212" s="6" t="str">
        <f>IF(B212="","",SUMIFS(SF_Output!$S$1:$S$400,SF_Output!$AC$1:$AC$400,_xlfn.TEXTJOIN(",",TRUE,B212:E212),SF_Output!$Q$1:$Q$400,"One Time",SF_Output!$L$1:$L$400,"professional service"))</f>
        <v/>
      </c>
      <c r="O212" s="112" t="str">
        <f>IF(OR(B212=0,B212="",N212=0),"",IF(AF212&lt;&gt;"exclusion",MAX(O$9,-(SUMIFS(SF_Output!$T$1:$T$400,SF_Output!$AC$1:$AC$400,_xlfn.TEXTJOIN(",",TRUE,$B212:$E212),SF_Output!$Q$1:$Q$400,"One Time",SF_Output!$L$1:$L$400,"professional service"))/N212),-((SUMIFS(SF_Output!$T$1:$T$400,SF_Output!$AC$1:$AC$400,_xlfn.TEXTJOIN(",",TRUE,$B212:$E212),SF_Output!$Q$1:$Q$400,"One Time",SF_Output!$L$1:$L$400,"professional service")/N212))))</f>
        <v/>
      </c>
      <c r="P212" s="6" t="str">
        <f t="shared" si="14"/>
        <v/>
      </c>
      <c r="R212" s="6" t="str">
        <f>IF(B212="","",SUMIFS(SF_Output!$S$1:$S$400,SF_Output!$AC$1:$AC$400,_xlfn.TEXTJOIN(",",TRUE,B212:E212),SF_Output!$Q$1:$Q$400,"yearly")+SUMIFS(SF_Output!$S$1:$S$400,SF_Output!$AC$1:$AC$400,_xlfn.TEXTJOIN(",",TRUE,B212:E212),SF_Output!$Q$1:$Q$400,"quarterly")*4)</f>
        <v/>
      </c>
      <c r="S212" s="112" t="str">
        <f>IF(OR(B212=0,B212="",G212="hardware",R212=0),"",IF(AF212&lt;&gt;"exclusion",MAX(S$9,-(SUMIFS(SF_Output!$T$1:$T$400,SF_Output!$AC$1:$AC$400,_xlfn.TEXTJOIN(",",TRUE,$B212:$E212),SF_Output!$Q$1:$Q$400,"yearly"))/R212),-((SUMIFS(SF_Output!$T$1:$T$400,SF_Output!$AC$1:$AC$400,_xlfn.TEXTJOIN(",",TRUE,$B212:$E212),SF_Output!$Q$1:$Q$400,"yearly")/R212))))</f>
        <v/>
      </c>
      <c r="T212" s="6" t="str">
        <f t="shared" si="15"/>
        <v/>
      </c>
      <c r="V212" s="6" t="str" cm="1">
        <f t="array" ref="V212">_xlfn.IFS(B212="","",AND(B212&lt;&gt;"",H212=SF_Output!$Y$2,SUMIFS(SF_Output!$T$1:$T$400,SF_Output!$AC$1:$AC$400,_xlfn.TEXTJOIN(",",TRUE,B212:E212),SF_Output!$Q$1:$Q$400,"monthly")=0),(SUMIFS(SF_Output!$F$1:$F$400,SF_Output!$AC$1:$AC$400,_xlfn.TEXTJOIN(",",TRUE,B212:E212),SF_Output!$Q$1:$Q$400,"monthly")+SUMIFS(SF_Output!$G$1:$G$400,SF_Output!$AC$1:$AC$400,_xlfn.TEXTJOIN(",",TRUE,B212:E212),SF_Output!$Q$1:$Q$400,"monthly"))*H212,AND(B212&lt;&gt;"",H212=SF_Output!$Y$2,SUMIFS(SF_Output!$T$1:$T$400,SF_Output!$AC$1:$AC$400,_xlfn.TEXTJOIN(",",TRUE,B212:E212),SF_Output!$Q$1:$Q$400,"monthly")&lt;&gt;0),SUMIFS(SF_Output!$S$1:$S$400,SF_Output!$AC$1:$AC$400,_xlfn.TEXTJOIN(",",TRUE,B212:E212),SF_Output!$Q$1:$Q$400,"monthly"),AND(B212&lt;&gt;"",H212&lt;&gt;SF_Output!$Y$2),SUMIFS(SF_Output!$S$1:$S$400,SF_Output!$AC$1:$AC$400,_xlfn.TEXTJOIN(",",TRUE,B212:E212),SF_Output!$Q$1:$Q$400,"monthly"))</f>
        <v/>
      </c>
      <c r="W212" s="112" t="str" cm="1">
        <f t="array" ref="W212">_xlfn.IFS(OR(B212=0,B212="",V212=0),"",AF212&lt;&gt;"exclusion",MAX($W$9,$W$7,(-(SUMIFS(SF_Output!$T$1:$T$400,SF_Output!$AC$1:$AC$400,_xlfn.TEXTJOIN(",",TRUE,$B212:$E212),SF_Output!$Q$1:$Q$400,"monthly"))/V212)),AF212="exclusion",-(SUMIFS(SF_Output!$T$1:$T$400,SF_Output!$AC$1:$AC$400,_xlfn.TEXTJOIN(",",TRUE,$B212:$E212),SF_Output!$Q$1:$Q$400,"monthly"))/V212)</f>
        <v/>
      </c>
      <c r="X212" s="6" t="str" cm="1">
        <f t="array" ref="X212">IFERROR(_xlfn.IFS(V212=0,0,V212="","",W212=0,V212,OR(V212&lt;&gt;0,V212&lt;&gt;""),H212*I212),V212*(1-W212))</f>
        <v/>
      </c>
    </row>
    <row r="213" spans="6:24" x14ac:dyDescent="0.25">
      <c r="F213" s="116" t="str">
        <f t="shared" si="12"/>
        <v/>
      </c>
      <c r="G213" t="str">
        <f>IF(B213="","",INDEX(SF_Output!$K$1:$K$400,MATCH(B213,SF_Output!$M$1:$M$400,0)))</f>
        <v/>
      </c>
      <c r="H213" t="str" cm="1">
        <f t="array" ref="H213">_xlfn.IFS(B213="","",(SUMIFS(SF_Output!$F$1:$F$400,SF_Output!$AC$1:$AC$400,_xlfn.TEXTJOIN(",",TRUE,B213:E213))+SUMIFS(SF_Output!$G$1:$G$400,SF_Output!$AC$1:$AC$400,_xlfn.TEXTJOIN(",",TRUE,B213:E213)))&lt;&gt;0,SF_Output!$Y$2,INDEX(SF_Output!$F$1:$F$400,MATCH(_xlfn.TEXTJOIN(",",TRUE,B213:E213),SF_Output!$AC$1:$AC$400,0))=0,INDEX(SF_Output!$R$1:$R$400,MATCH(_xlfn.TEXTJOIN(",",TRUE,B213:E213),SF_Output!$AC$1:$AC$400,0)))</f>
        <v/>
      </c>
      <c r="I213" s="125" t="str">
        <f>IFERROR(IF(AND(H213&gt;1,H213&lt;&gt;""),ROUND(SUMIFS(SF_Output!$S$1:$S$400,SF_Output!$AC$1:$AC$400,_xlfn.TEXTJOIN(",",TRUE,B213:E213),SF_Output!$Q$1:$Q$400,"monthly")*(1-W213)/H213,4),""),"")</f>
        <v/>
      </c>
      <c r="J213" s="6" t="str">
        <f>IF(B213="","",SUMIFS(SF_Output!$S$1:$S$400,SF_Output!$AC$1:$AC$400,_xlfn.TEXTJOIN(",",TRUE,B213:E213),SF_Output!$Q$1:$Q$400,"One Time",SF_Output!$L$1:$L$400,"license fee")+SUMIFS(SF_Output!$S$1:$S$400,SF_Output!$AC$1:$AC$400,_xlfn.TEXTJOIN(",",TRUE,B213:E213),SF_Output!$Q$1:$Q$400,"One Time",SF_Output!$L$1:$L$400,"software license")+SUMIFS(SF_Output!$S$1:$S$400,SF_Output!$AC$1:$AC$400,_xlfn.TEXTJOIN(",",TRUE,B213:E213),SF_Output!$Q$1:$Q$400,"One Time",SF_Output!$L$1:$L$400,"hardware"))</f>
        <v/>
      </c>
      <c r="K213" s="112" t="str">
        <f>IF(OR(B213=0,B213="",G213="hardware",J213=0),"",IF(AF213&lt;&gt;"exclusion",MAX(K$9,-((SUMIFS(SF_Output!$T$1:$T$400,SF_Output!$AC$1:$AC$400,_xlfn.TEXTJOIN(",",TRUE,$B213:$E213),SF_Output!$Q$1:$Q$400,"One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license"))/J213)),-((SUMIFS(SF_Output!$T$1:$T$400,SF_Output!$AC$1:$AC$400,_xlfn.TEXTJOIN(",",TRUE,$B213:$E213),SF_Output!$Q$1:$Q$400,"One Time",SF_Output!$L$1:$L$400,"license fee")+SUMIFS(SF_Output!$T$1:$T$400,SF_Output!$AC$1:$AC$400,_xlfn.TEXTJOIN(",",TRUE,$B213:$E213),SF_Output!$Q$1:$Q$400,"One Time",SF_Output!$L$1:$L$400,"software license"))/J213)))</f>
        <v/>
      </c>
      <c r="L213" s="6" t="str">
        <f t="shared" si="13"/>
        <v/>
      </c>
      <c r="N213" s="6" t="str">
        <f>IF(B213="","",SUMIFS(SF_Output!$S$1:$S$400,SF_Output!$AC$1:$AC$400,_xlfn.TEXTJOIN(",",TRUE,B213:E213),SF_Output!$Q$1:$Q$400,"One Time",SF_Output!$L$1:$L$400,"professional service"))</f>
        <v/>
      </c>
      <c r="O213" s="112" t="str">
        <f>IF(OR(B213=0,B213="",N213=0),"",IF(AF213&lt;&gt;"exclusion",MAX(O$9,-(SUMIFS(SF_Output!$T$1:$T$400,SF_Output!$AC$1:$AC$400,_xlfn.TEXTJOIN(",",TRUE,$B213:$E213),SF_Output!$Q$1:$Q$400,"One Time",SF_Output!$L$1:$L$400,"professional service"))/N213),-((SUMIFS(SF_Output!$T$1:$T$400,SF_Output!$AC$1:$AC$400,_xlfn.TEXTJOIN(",",TRUE,$B213:$E213),SF_Output!$Q$1:$Q$400,"One Time",SF_Output!$L$1:$L$400,"professional service")/N213))))</f>
        <v/>
      </c>
      <c r="P213" s="6" t="str">
        <f t="shared" si="14"/>
        <v/>
      </c>
      <c r="R213" s="6" t="str">
        <f>IF(B213="","",SUMIFS(SF_Output!$S$1:$S$400,SF_Output!$AC$1:$AC$400,_xlfn.TEXTJOIN(",",TRUE,B213:E213),SF_Output!$Q$1:$Q$400,"yearly")+SUMIFS(SF_Output!$S$1:$S$400,SF_Output!$AC$1:$AC$400,_xlfn.TEXTJOIN(",",TRUE,B213:E213),SF_Output!$Q$1:$Q$400,"quarterly")*4)</f>
        <v/>
      </c>
      <c r="S213" s="112" t="str">
        <f>IF(OR(B213=0,B213="",G213="hardware",R213=0),"",IF(AF213&lt;&gt;"exclusion",MAX(S$9,-(SUMIFS(SF_Output!$T$1:$T$400,SF_Output!$AC$1:$AC$400,_xlfn.TEXTJOIN(",",TRUE,$B213:$E213),SF_Output!$Q$1:$Q$400,"yearly"))/R213),-((SUMIFS(SF_Output!$T$1:$T$400,SF_Output!$AC$1:$AC$400,_xlfn.TEXTJOIN(",",TRUE,$B213:$E213),SF_Output!$Q$1:$Q$400,"yearly")/R213))))</f>
        <v/>
      </c>
      <c r="T213" s="6" t="str">
        <f t="shared" si="15"/>
        <v/>
      </c>
      <c r="V213" s="6" t="str" cm="1">
        <f t="array" ref="V213">_xlfn.IFS(B213="","",AND(B213&lt;&gt;"",H213=SF_Output!$Y$2,SUMIFS(SF_Output!$T$1:$T$400,SF_Output!$AC$1:$AC$400,_xlfn.TEXTJOIN(",",TRUE,B213:E213),SF_Output!$Q$1:$Q$400,"monthly")=0),(SUMIFS(SF_Output!$F$1:$F$400,SF_Output!$AC$1:$AC$400,_xlfn.TEXTJOIN(",",TRUE,B213:E213),SF_Output!$Q$1:$Q$400,"monthly")+SUMIFS(SF_Output!$G$1:$G$400,SF_Output!$AC$1:$AC$400,_xlfn.TEXTJOIN(",",TRUE,B213:E213),SF_Output!$Q$1:$Q$400,"monthly"))*H213,AND(B213&lt;&gt;"",H213=SF_Output!$Y$2,SUMIFS(SF_Output!$T$1:$T$400,SF_Output!$AC$1:$AC$400,_xlfn.TEXTJOIN(",",TRUE,B213:E213),SF_Output!$Q$1:$Q$400,"monthly")&lt;&gt;0),SUMIFS(SF_Output!$S$1:$S$400,SF_Output!$AC$1:$AC$400,_xlfn.TEXTJOIN(",",TRUE,B213:E213),SF_Output!$Q$1:$Q$400,"monthly"),AND(B213&lt;&gt;"",H213&lt;&gt;SF_Output!$Y$2),SUMIFS(SF_Output!$S$1:$S$400,SF_Output!$AC$1:$AC$400,_xlfn.TEXTJOIN(",",TRUE,B213:E213),SF_Output!$Q$1:$Q$400,"monthly"))</f>
        <v/>
      </c>
      <c r="W213" s="112" t="str" cm="1">
        <f t="array" ref="W213">_xlfn.IFS(OR(B213=0,B213="",V213=0),"",AF213&lt;&gt;"exclusion",MAX($W$9,$W$7,(-(SUMIFS(SF_Output!$T$1:$T$400,SF_Output!$AC$1:$AC$400,_xlfn.TEXTJOIN(",",TRUE,$B213:$E213),SF_Output!$Q$1:$Q$400,"monthly"))/V213)),AF213="exclusion",-(SUMIFS(SF_Output!$T$1:$T$400,SF_Output!$AC$1:$AC$400,_xlfn.TEXTJOIN(",",TRUE,$B213:$E213),SF_Output!$Q$1:$Q$400,"monthly"))/V213)</f>
        <v/>
      </c>
      <c r="X213" s="6" t="str" cm="1">
        <f t="array" ref="X213">IFERROR(_xlfn.IFS(V213=0,0,V213="","",W213=0,V213,OR(V213&lt;&gt;0,V213&lt;&gt;""),H213*I213),V213*(1-W213))</f>
        <v/>
      </c>
    </row>
    <row r="214" spans="6:24" x14ac:dyDescent="0.25">
      <c r="F214" s="116" t="str">
        <f t="shared" si="12"/>
        <v/>
      </c>
      <c r="G214" t="str">
        <f>IF(B214="","",INDEX(SF_Output!$K$1:$K$400,MATCH(B214,SF_Output!$M$1:$M$400,0)))</f>
        <v/>
      </c>
      <c r="H214" t="str" cm="1">
        <f t="array" ref="H214">_xlfn.IFS(B214="","",(SUMIFS(SF_Output!$F$1:$F$400,SF_Output!$AC$1:$AC$400,_xlfn.TEXTJOIN(",",TRUE,B214:E214))+SUMIFS(SF_Output!$G$1:$G$400,SF_Output!$AC$1:$AC$400,_xlfn.TEXTJOIN(",",TRUE,B214:E214)))&lt;&gt;0,SF_Output!$Y$2,INDEX(SF_Output!$F$1:$F$400,MATCH(_xlfn.TEXTJOIN(",",TRUE,B214:E214),SF_Output!$AC$1:$AC$400,0))=0,INDEX(SF_Output!$R$1:$R$400,MATCH(_xlfn.TEXTJOIN(",",TRUE,B214:E214),SF_Output!$AC$1:$AC$400,0)))</f>
        <v/>
      </c>
      <c r="I214" s="125" t="str">
        <f>IFERROR(IF(AND(H214&gt;1,H214&lt;&gt;""),ROUND(SUMIFS(SF_Output!$S$1:$S$400,SF_Output!$AC$1:$AC$400,_xlfn.TEXTJOIN(",",TRUE,B214:E214),SF_Output!$Q$1:$Q$400,"monthly")*(1-W214)/H214,4),""),"")</f>
        <v/>
      </c>
      <c r="J214" s="6" t="str">
        <f>IF(B214="","",SUMIFS(SF_Output!$S$1:$S$400,SF_Output!$AC$1:$AC$400,_xlfn.TEXTJOIN(",",TRUE,B214:E214),SF_Output!$Q$1:$Q$400,"One Time",SF_Output!$L$1:$L$400,"license fee")+SUMIFS(SF_Output!$S$1:$S$400,SF_Output!$AC$1:$AC$400,_xlfn.TEXTJOIN(",",TRUE,B214:E214),SF_Output!$Q$1:$Q$400,"One Time",SF_Output!$L$1:$L$400,"software license")+SUMIFS(SF_Output!$S$1:$S$400,SF_Output!$AC$1:$AC$400,_xlfn.TEXTJOIN(",",TRUE,B214:E214),SF_Output!$Q$1:$Q$400,"One Time",SF_Output!$L$1:$L$400,"hardware"))</f>
        <v/>
      </c>
      <c r="K214" s="112" t="str">
        <f>IF(OR(B214=0,B214="",G214="hardware",J214=0),"",IF(AF214&lt;&gt;"exclusion",MAX(K$9,-((SUMIFS(SF_Output!$T$1:$T$400,SF_Output!$AC$1:$AC$400,_xlfn.TEXTJOIN(",",TRUE,$B214:$E214),SF_Output!$Q$1:$Q$400,"One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license"))/J214)),-((SUMIFS(SF_Output!$T$1:$T$400,SF_Output!$AC$1:$AC$400,_xlfn.TEXTJOIN(",",TRUE,$B214:$E214),SF_Output!$Q$1:$Q$400,"One Time",SF_Output!$L$1:$L$400,"license fee")+SUMIFS(SF_Output!$T$1:$T$400,SF_Output!$AC$1:$AC$400,_xlfn.TEXTJOIN(",",TRUE,$B214:$E214),SF_Output!$Q$1:$Q$400,"One Time",SF_Output!$L$1:$L$400,"software license"))/J214)))</f>
        <v/>
      </c>
      <c r="L214" s="6" t="str">
        <f t="shared" si="13"/>
        <v/>
      </c>
      <c r="N214" s="6" t="str">
        <f>IF(B214="","",SUMIFS(SF_Output!$S$1:$S$400,SF_Output!$AC$1:$AC$400,_xlfn.TEXTJOIN(",",TRUE,B214:E214),SF_Output!$Q$1:$Q$400,"One Time",SF_Output!$L$1:$L$400,"professional service"))</f>
        <v/>
      </c>
      <c r="O214" s="112" t="str">
        <f>IF(OR(B214=0,B214="",N214=0),"",IF(AF214&lt;&gt;"exclusion",MAX(O$9,-(SUMIFS(SF_Output!$T$1:$T$400,SF_Output!$AC$1:$AC$400,_xlfn.TEXTJOIN(",",TRUE,$B214:$E214),SF_Output!$Q$1:$Q$400,"One Time",SF_Output!$L$1:$L$400,"professional service"))/N214),-((SUMIFS(SF_Output!$T$1:$T$400,SF_Output!$AC$1:$AC$400,_xlfn.TEXTJOIN(",",TRUE,$B214:$E214),SF_Output!$Q$1:$Q$400,"One Time",SF_Output!$L$1:$L$400,"professional service")/N214))))</f>
        <v/>
      </c>
      <c r="P214" s="6" t="str">
        <f t="shared" si="14"/>
        <v/>
      </c>
      <c r="R214" s="6" t="str">
        <f>IF(B214="","",SUMIFS(SF_Output!$S$1:$S$400,SF_Output!$AC$1:$AC$400,_xlfn.TEXTJOIN(",",TRUE,B214:E214),SF_Output!$Q$1:$Q$400,"yearly")+SUMIFS(SF_Output!$S$1:$S$400,SF_Output!$AC$1:$AC$400,_xlfn.TEXTJOIN(",",TRUE,B214:E214),SF_Output!$Q$1:$Q$400,"quarterly")*4)</f>
        <v/>
      </c>
      <c r="S214" s="112" t="str">
        <f>IF(OR(B214=0,B214="",G214="hardware",R214=0),"",IF(AF214&lt;&gt;"exclusion",MAX(S$9,-(SUMIFS(SF_Output!$T$1:$T$400,SF_Output!$AC$1:$AC$400,_xlfn.TEXTJOIN(",",TRUE,$B214:$E214),SF_Output!$Q$1:$Q$400,"yearly"))/R214),-((SUMIFS(SF_Output!$T$1:$T$400,SF_Output!$AC$1:$AC$400,_xlfn.TEXTJOIN(",",TRUE,$B214:$E214),SF_Output!$Q$1:$Q$400,"yearly")/R214))))</f>
        <v/>
      </c>
      <c r="T214" s="6" t="str">
        <f t="shared" si="15"/>
        <v/>
      </c>
      <c r="V214" s="6" t="str" cm="1">
        <f t="array" ref="V214">_xlfn.IFS(B214="","",AND(B214&lt;&gt;"",H214=SF_Output!$Y$2,SUMIFS(SF_Output!$T$1:$T$400,SF_Output!$AC$1:$AC$400,_xlfn.TEXTJOIN(",",TRUE,B214:E214),SF_Output!$Q$1:$Q$400,"monthly")=0),(SUMIFS(SF_Output!$F$1:$F$400,SF_Output!$AC$1:$AC$400,_xlfn.TEXTJOIN(",",TRUE,B214:E214),SF_Output!$Q$1:$Q$400,"monthly")+SUMIFS(SF_Output!$G$1:$G$400,SF_Output!$AC$1:$AC$400,_xlfn.TEXTJOIN(",",TRUE,B214:E214),SF_Output!$Q$1:$Q$400,"monthly"))*H214,AND(B214&lt;&gt;"",H214=SF_Output!$Y$2,SUMIFS(SF_Output!$T$1:$T$400,SF_Output!$AC$1:$AC$400,_xlfn.TEXTJOIN(",",TRUE,B214:E214),SF_Output!$Q$1:$Q$400,"monthly")&lt;&gt;0),SUMIFS(SF_Output!$S$1:$S$400,SF_Output!$AC$1:$AC$400,_xlfn.TEXTJOIN(",",TRUE,B214:E214),SF_Output!$Q$1:$Q$400,"monthly"),AND(B214&lt;&gt;"",H214&lt;&gt;SF_Output!$Y$2),SUMIFS(SF_Output!$S$1:$S$400,SF_Output!$AC$1:$AC$400,_xlfn.TEXTJOIN(",",TRUE,B214:E214),SF_Output!$Q$1:$Q$400,"monthly"))</f>
        <v/>
      </c>
      <c r="W214" s="112" t="str" cm="1">
        <f t="array" ref="W214">_xlfn.IFS(OR(B214=0,B214="",V214=0),"",AF214&lt;&gt;"exclusion",MAX($W$9,$W$7,(-(SUMIFS(SF_Output!$T$1:$T$400,SF_Output!$AC$1:$AC$400,_xlfn.TEXTJOIN(",",TRUE,$B214:$E214),SF_Output!$Q$1:$Q$400,"monthly"))/V214)),AF214="exclusion",-(SUMIFS(SF_Output!$T$1:$T$400,SF_Output!$AC$1:$AC$400,_xlfn.TEXTJOIN(",",TRUE,$B214:$E214),SF_Output!$Q$1:$Q$400,"monthly"))/V214)</f>
        <v/>
      </c>
      <c r="X214" s="6" t="str" cm="1">
        <f t="array" ref="X214">IFERROR(_xlfn.IFS(V214=0,0,V214="","",W214=0,V214,OR(V214&lt;&gt;0,V214&lt;&gt;""),H214*I214),V214*(1-W214))</f>
        <v/>
      </c>
    </row>
    <row r="215" spans="6:24" x14ac:dyDescent="0.25">
      <c r="F215" s="116" t="str">
        <f t="shared" si="12"/>
        <v/>
      </c>
      <c r="G215" t="str">
        <f>IF(B215="","",INDEX(SF_Output!$K$1:$K$400,MATCH(B215,SF_Output!$M$1:$M$400,0)))</f>
        <v/>
      </c>
      <c r="H215" t="str" cm="1">
        <f t="array" ref="H215">_xlfn.IFS(B215="","",(SUMIFS(SF_Output!$F$1:$F$400,SF_Output!$AC$1:$AC$400,_xlfn.TEXTJOIN(",",TRUE,B215:E215))+SUMIFS(SF_Output!$G$1:$G$400,SF_Output!$AC$1:$AC$400,_xlfn.TEXTJOIN(",",TRUE,B215:E215)))&lt;&gt;0,SF_Output!$Y$2,INDEX(SF_Output!$F$1:$F$400,MATCH(_xlfn.TEXTJOIN(",",TRUE,B215:E215),SF_Output!$AC$1:$AC$400,0))=0,INDEX(SF_Output!$R$1:$R$400,MATCH(_xlfn.TEXTJOIN(",",TRUE,B215:E215),SF_Output!$AC$1:$AC$400,0)))</f>
        <v/>
      </c>
      <c r="I215" s="125" t="str">
        <f>IFERROR(IF(AND(H215&gt;1,H215&lt;&gt;""),ROUND(SUMIFS(SF_Output!$S$1:$S$400,SF_Output!$AC$1:$AC$400,_xlfn.TEXTJOIN(",",TRUE,B215:E215),SF_Output!$Q$1:$Q$400,"monthly")*(1-W215)/H215,4),""),"")</f>
        <v/>
      </c>
      <c r="J215" s="6" t="str">
        <f>IF(B215="","",SUMIFS(SF_Output!$S$1:$S$400,SF_Output!$AC$1:$AC$400,_xlfn.TEXTJOIN(",",TRUE,B215:E215),SF_Output!$Q$1:$Q$400,"One Time",SF_Output!$L$1:$L$400,"license fee")+SUMIFS(SF_Output!$S$1:$S$400,SF_Output!$AC$1:$AC$400,_xlfn.TEXTJOIN(",",TRUE,B215:E215),SF_Output!$Q$1:$Q$400,"One Time",SF_Output!$L$1:$L$400,"software license")+SUMIFS(SF_Output!$S$1:$S$400,SF_Output!$AC$1:$AC$400,_xlfn.TEXTJOIN(",",TRUE,B215:E215),SF_Output!$Q$1:$Q$400,"One Time",SF_Output!$L$1:$L$400,"hardware"))</f>
        <v/>
      </c>
      <c r="K215" s="112" t="str">
        <f>IF(OR(B215=0,B215="",G215="hardware",J215=0),"",IF(AF215&lt;&gt;"exclusion",MAX(K$9,-((SUMIFS(SF_Output!$T$1:$T$400,SF_Output!$AC$1:$AC$400,_xlfn.TEXTJOIN(",",TRUE,$B215:$E215),SF_Output!$Q$1:$Q$400,"One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license"))/J215)),-((SUMIFS(SF_Output!$T$1:$T$400,SF_Output!$AC$1:$AC$400,_xlfn.TEXTJOIN(",",TRUE,$B215:$E215),SF_Output!$Q$1:$Q$400,"One Time",SF_Output!$L$1:$L$400,"license fee")+SUMIFS(SF_Output!$T$1:$T$400,SF_Output!$AC$1:$AC$400,_xlfn.TEXTJOIN(",",TRUE,$B215:$E215),SF_Output!$Q$1:$Q$400,"One Time",SF_Output!$L$1:$L$400,"software license"))/J215)))</f>
        <v/>
      </c>
      <c r="L215" s="6" t="str">
        <f t="shared" si="13"/>
        <v/>
      </c>
      <c r="N215" s="6" t="str">
        <f>IF(B215="","",SUMIFS(SF_Output!$S$1:$S$400,SF_Output!$AC$1:$AC$400,_xlfn.TEXTJOIN(",",TRUE,B215:E215),SF_Output!$Q$1:$Q$400,"One Time",SF_Output!$L$1:$L$400,"professional service"))</f>
        <v/>
      </c>
      <c r="O215" s="112" t="str">
        <f>IF(OR(B215=0,B215="",N215=0),"",IF(AF215&lt;&gt;"exclusion",MAX(O$9,-(SUMIFS(SF_Output!$T$1:$T$400,SF_Output!$AC$1:$AC$400,_xlfn.TEXTJOIN(",",TRUE,$B215:$E215),SF_Output!$Q$1:$Q$400,"One Time",SF_Output!$L$1:$L$400,"professional service"))/N215),-((SUMIFS(SF_Output!$T$1:$T$400,SF_Output!$AC$1:$AC$400,_xlfn.TEXTJOIN(",",TRUE,$B215:$E215),SF_Output!$Q$1:$Q$400,"One Time",SF_Output!$L$1:$L$400,"professional service")/N215))))</f>
        <v/>
      </c>
      <c r="P215" s="6" t="str">
        <f t="shared" si="14"/>
        <v/>
      </c>
      <c r="R215" s="6" t="str">
        <f>IF(B215="","",SUMIFS(SF_Output!$S$1:$S$400,SF_Output!$AC$1:$AC$400,_xlfn.TEXTJOIN(",",TRUE,B215:E215),SF_Output!$Q$1:$Q$400,"yearly")+SUMIFS(SF_Output!$S$1:$S$400,SF_Output!$AC$1:$AC$400,_xlfn.TEXTJOIN(",",TRUE,B215:E215),SF_Output!$Q$1:$Q$400,"quarterly")*4)</f>
        <v/>
      </c>
      <c r="S215" s="112" t="str">
        <f>IF(OR(B215=0,B215="",G215="hardware",R215=0),"",IF(AF215&lt;&gt;"exclusion",MAX(S$9,-(SUMIFS(SF_Output!$T$1:$T$400,SF_Output!$AC$1:$AC$400,_xlfn.TEXTJOIN(",",TRUE,$B215:$E215),SF_Output!$Q$1:$Q$400,"yearly"))/R215),-((SUMIFS(SF_Output!$T$1:$T$400,SF_Output!$AC$1:$AC$400,_xlfn.TEXTJOIN(",",TRUE,$B215:$E215),SF_Output!$Q$1:$Q$400,"yearly")/R215))))</f>
        <v/>
      </c>
      <c r="T215" s="6" t="str">
        <f t="shared" si="15"/>
        <v/>
      </c>
      <c r="V215" s="6" t="str" cm="1">
        <f t="array" ref="V215">_xlfn.IFS(B215="","",AND(B215&lt;&gt;"",H215=SF_Output!$Y$2,SUMIFS(SF_Output!$T$1:$T$400,SF_Output!$AC$1:$AC$400,_xlfn.TEXTJOIN(",",TRUE,B215:E215),SF_Output!$Q$1:$Q$400,"monthly")=0),(SUMIFS(SF_Output!$F$1:$F$400,SF_Output!$AC$1:$AC$400,_xlfn.TEXTJOIN(",",TRUE,B215:E215),SF_Output!$Q$1:$Q$400,"monthly")+SUMIFS(SF_Output!$G$1:$G$400,SF_Output!$AC$1:$AC$400,_xlfn.TEXTJOIN(",",TRUE,B215:E215),SF_Output!$Q$1:$Q$400,"monthly"))*H215,AND(B215&lt;&gt;"",H215=SF_Output!$Y$2,SUMIFS(SF_Output!$T$1:$T$400,SF_Output!$AC$1:$AC$400,_xlfn.TEXTJOIN(",",TRUE,B215:E215),SF_Output!$Q$1:$Q$400,"monthly")&lt;&gt;0),SUMIFS(SF_Output!$S$1:$S$400,SF_Output!$AC$1:$AC$400,_xlfn.TEXTJOIN(",",TRUE,B215:E215),SF_Output!$Q$1:$Q$400,"monthly"),AND(B215&lt;&gt;"",H215&lt;&gt;SF_Output!$Y$2),SUMIFS(SF_Output!$S$1:$S$400,SF_Output!$AC$1:$AC$400,_xlfn.TEXTJOIN(",",TRUE,B215:E215),SF_Output!$Q$1:$Q$400,"monthly"))</f>
        <v/>
      </c>
      <c r="W215" s="112" t="str" cm="1">
        <f t="array" ref="W215">_xlfn.IFS(OR(B215=0,B215="",V215=0),"",AF215&lt;&gt;"exclusion",MAX($W$9,$W$7,(-(SUMIFS(SF_Output!$T$1:$T$400,SF_Output!$AC$1:$AC$400,_xlfn.TEXTJOIN(",",TRUE,$B215:$E215),SF_Output!$Q$1:$Q$400,"monthly"))/V215)),AF215="exclusion",-(SUMIFS(SF_Output!$T$1:$T$400,SF_Output!$AC$1:$AC$400,_xlfn.TEXTJOIN(",",TRUE,$B215:$E215),SF_Output!$Q$1:$Q$400,"monthly"))/V215)</f>
        <v/>
      </c>
      <c r="X215" s="6" t="str" cm="1">
        <f t="array" ref="X215">IFERROR(_xlfn.IFS(V215=0,0,V215="","",W215=0,V215,OR(V215&lt;&gt;0,V215&lt;&gt;""),H215*I215),V215*(1-W215))</f>
        <v/>
      </c>
    </row>
    <row r="216" spans="6:24" x14ac:dyDescent="0.25">
      <c r="F216" s="116" t="str">
        <f t="shared" si="12"/>
        <v/>
      </c>
      <c r="G216" t="str">
        <f>IF(B216="","",INDEX(SF_Output!$K$1:$K$400,MATCH(B216,SF_Output!$M$1:$M$400,0)))</f>
        <v/>
      </c>
      <c r="H216" t="str" cm="1">
        <f t="array" ref="H216">_xlfn.IFS(B216="","",(SUMIFS(SF_Output!$F$1:$F$400,SF_Output!$AC$1:$AC$400,_xlfn.TEXTJOIN(",",TRUE,B216:E216))+SUMIFS(SF_Output!$G$1:$G$400,SF_Output!$AC$1:$AC$400,_xlfn.TEXTJOIN(",",TRUE,B216:E216)))&lt;&gt;0,SF_Output!$Y$2,INDEX(SF_Output!$F$1:$F$400,MATCH(_xlfn.TEXTJOIN(",",TRUE,B216:E216),SF_Output!$AC$1:$AC$400,0))=0,INDEX(SF_Output!$R$1:$R$400,MATCH(_xlfn.TEXTJOIN(",",TRUE,B216:E216),SF_Output!$AC$1:$AC$400,0)))</f>
        <v/>
      </c>
      <c r="I216" s="125" t="str">
        <f>IFERROR(IF(AND(H216&gt;1,H216&lt;&gt;""),ROUND(SUMIFS(SF_Output!$S$1:$S$400,SF_Output!$AC$1:$AC$400,_xlfn.TEXTJOIN(",",TRUE,B216:E216),SF_Output!$Q$1:$Q$400,"monthly")*(1-W216)/H216,4),""),"")</f>
        <v/>
      </c>
      <c r="J216" s="6" t="str">
        <f>IF(B216="","",SUMIFS(SF_Output!$S$1:$S$400,SF_Output!$AC$1:$AC$400,_xlfn.TEXTJOIN(",",TRUE,B216:E216),SF_Output!$Q$1:$Q$400,"One Time",SF_Output!$L$1:$L$400,"license fee")+SUMIFS(SF_Output!$S$1:$S$400,SF_Output!$AC$1:$AC$400,_xlfn.TEXTJOIN(",",TRUE,B216:E216),SF_Output!$Q$1:$Q$400,"One Time",SF_Output!$L$1:$L$400,"software license")+SUMIFS(SF_Output!$S$1:$S$400,SF_Output!$AC$1:$AC$400,_xlfn.TEXTJOIN(",",TRUE,B216:E216),SF_Output!$Q$1:$Q$400,"One Time",SF_Output!$L$1:$L$400,"hardware"))</f>
        <v/>
      </c>
      <c r="K216" s="112" t="str">
        <f>IF(OR(B216=0,B216="",G216="hardware",J216=0),"",IF(AF216&lt;&gt;"exclusion",MAX(K$9,-((SUMIFS(SF_Output!$T$1:$T$400,SF_Output!$AC$1:$AC$400,_xlfn.TEXTJOIN(",",TRUE,$B216:$E216),SF_Output!$Q$1:$Q$400,"One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license"))/J216)),-((SUMIFS(SF_Output!$T$1:$T$400,SF_Output!$AC$1:$AC$400,_xlfn.TEXTJOIN(",",TRUE,$B216:$E216),SF_Output!$Q$1:$Q$400,"One Time",SF_Output!$L$1:$L$400,"license fee")+SUMIFS(SF_Output!$T$1:$T$400,SF_Output!$AC$1:$AC$400,_xlfn.TEXTJOIN(",",TRUE,$B216:$E216),SF_Output!$Q$1:$Q$400,"One Time",SF_Output!$L$1:$L$400,"software license"))/J216)))</f>
        <v/>
      </c>
      <c r="L216" s="6" t="str">
        <f t="shared" si="13"/>
        <v/>
      </c>
      <c r="N216" s="6" t="str">
        <f>IF(B216="","",SUMIFS(SF_Output!$S$1:$S$400,SF_Output!$AC$1:$AC$400,_xlfn.TEXTJOIN(",",TRUE,B216:E216),SF_Output!$Q$1:$Q$400,"One Time",SF_Output!$L$1:$L$400,"professional service"))</f>
        <v/>
      </c>
      <c r="O216" s="112" t="str">
        <f>IF(OR(B216=0,B216="",N216=0),"",IF(AF216&lt;&gt;"exclusion",MAX(O$9,-(SUMIFS(SF_Output!$T$1:$T$400,SF_Output!$AC$1:$AC$400,_xlfn.TEXTJOIN(",",TRUE,$B216:$E216),SF_Output!$Q$1:$Q$400,"One Time",SF_Output!$L$1:$L$400,"professional service"))/N216),-((SUMIFS(SF_Output!$T$1:$T$400,SF_Output!$AC$1:$AC$400,_xlfn.TEXTJOIN(",",TRUE,$B216:$E216),SF_Output!$Q$1:$Q$400,"One Time",SF_Output!$L$1:$L$400,"professional service")/N216))))</f>
        <v/>
      </c>
      <c r="P216" s="6" t="str">
        <f t="shared" si="14"/>
        <v/>
      </c>
      <c r="R216" s="6" t="str">
        <f>IF(B216="","",SUMIFS(SF_Output!$S$1:$S$400,SF_Output!$AC$1:$AC$400,_xlfn.TEXTJOIN(",",TRUE,B216:E216),SF_Output!$Q$1:$Q$400,"yearly")+SUMIFS(SF_Output!$S$1:$S$400,SF_Output!$AC$1:$AC$400,_xlfn.TEXTJOIN(",",TRUE,B216:E216),SF_Output!$Q$1:$Q$400,"quarterly")*4)</f>
        <v/>
      </c>
      <c r="S216" s="112" t="str">
        <f>IF(OR(B216=0,B216="",G216="hardware",R216=0),"",IF(AF216&lt;&gt;"exclusion",MAX(S$9,-(SUMIFS(SF_Output!$T$1:$T$400,SF_Output!$AC$1:$AC$400,_xlfn.TEXTJOIN(",",TRUE,$B216:$E216),SF_Output!$Q$1:$Q$400,"yearly"))/R216),-((SUMIFS(SF_Output!$T$1:$T$400,SF_Output!$AC$1:$AC$400,_xlfn.TEXTJOIN(",",TRUE,$B216:$E216),SF_Output!$Q$1:$Q$400,"yearly")/R216))))</f>
        <v/>
      </c>
      <c r="T216" s="6" t="str">
        <f t="shared" si="15"/>
        <v/>
      </c>
      <c r="V216" s="6" t="str" cm="1">
        <f t="array" ref="V216">_xlfn.IFS(B216="","",AND(B216&lt;&gt;"",H216=SF_Output!$Y$2,SUMIFS(SF_Output!$T$1:$T$400,SF_Output!$AC$1:$AC$400,_xlfn.TEXTJOIN(",",TRUE,B216:E216),SF_Output!$Q$1:$Q$400,"monthly")=0),(SUMIFS(SF_Output!$F$1:$F$400,SF_Output!$AC$1:$AC$400,_xlfn.TEXTJOIN(",",TRUE,B216:E216),SF_Output!$Q$1:$Q$400,"monthly")+SUMIFS(SF_Output!$G$1:$G$400,SF_Output!$AC$1:$AC$400,_xlfn.TEXTJOIN(",",TRUE,B216:E216),SF_Output!$Q$1:$Q$400,"monthly"))*H216,AND(B216&lt;&gt;"",H216=SF_Output!$Y$2,SUMIFS(SF_Output!$T$1:$T$400,SF_Output!$AC$1:$AC$400,_xlfn.TEXTJOIN(",",TRUE,B216:E216),SF_Output!$Q$1:$Q$400,"monthly")&lt;&gt;0),SUMIFS(SF_Output!$S$1:$S$400,SF_Output!$AC$1:$AC$400,_xlfn.TEXTJOIN(",",TRUE,B216:E216),SF_Output!$Q$1:$Q$400,"monthly"),AND(B216&lt;&gt;"",H216&lt;&gt;SF_Output!$Y$2),SUMIFS(SF_Output!$S$1:$S$400,SF_Output!$AC$1:$AC$400,_xlfn.TEXTJOIN(",",TRUE,B216:E216),SF_Output!$Q$1:$Q$400,"monthly"))</f>
        <v/>
      </c>
      <c r="W216" s="112" t="str" cm="1">
        <f t="array" ref="W216">_xlfn.IFS(OR(B216=0,B216="",V216=0),"",AF216&lt;&gt;"exclusion",MAX($W$9,$W$7,(-(SUMIFS(SF_Output!$T$1:$T$400,SF_Output!$AC$1:$AC$400,_xlfn.TEXTJOIN(",",TRUE,$B216:$E216),SF_Output!$Q$1:$Q$400,"monthly"))/V216)),AF216="exclusion",-(SUMIFS(SF_Output!$T$1:$T$400,SF_Output!$AC$1:$AC$400,_xlfn.TEXTJOIN(",",TRUE,$B216:$E216),SF_Output!$Q$1:$Q$400,"monthly"))/V216)</f>
        <v/>
      </c>
      <c r="X216" s="6" t="str" cm="1">
        <f t="array" ref="X216">IFERROR(_xlfn.IFS(V216=0,0,V216="","",W216=0,V216,OR(V216&lt;&gt;0,V216&lt;&gt;""),H216*I216),V216*(1-W216))</f>
        <v/>
      </c>
    </row>
    <row r="217" spans="6:24" x14ac:dyDescent="0.25">
      <c r="F217" s="116" t="str">
        <f t="shared" si="12"/>
        <v/>
      </c>
      <c r="G217" t="str">
        <f>IF(B217="","",INDEX(SF_Output!$K$1:$K$400,MATCH(B217,SF_Output!$M$1:$M$400,0)))</f>
        <v/>
      </c>
      <c r="H217" t="str" cm="1">
        <f t="array" ref="H217">_xlfn.IFS(B217="","",(SUMIFS(SF_Output!$F$1:$F$400,SF_Output!$AC$1:$AC$400,_xlfn.TEXTJOIN(",",TRUE,B217:E217))+SUMIFS(SF_Output!$G$1:$G$400,SF_Output!$AC$1:$AC$400,_xlfn.TEXTJOIN(",",TRUE,B217:E217)))&lt;&gt;0,SF_Output!$Y$2,INDEX(SF_Output!$F$1:$F$400,MATCH(_xlfn.TEXTJOIN(",",TRUE,B217:E217),SF_Output!$AC$1:$AC$400,0))=0,INDEX(SF_Output!$R$1:$R$400,MATCH(_xlfn.TEXTJOIN(",",TRUE,B217:E217),SF_Output!$AC$1:$AC$400,0)))</f>
        <v/>
      </c>
      <c r="I217" s="125" t="str">
        <f>IFERROR(IF(AND(H217&gt;1,H217&lt;&gt;""),ROUND(SUMIFS(SF_Output!$S$1:$S$400,SF_Output!$AC$1:$AC$400,_xlfn.TEXTJOIN(",",TRUE,B217:E217),SF_Output!$Q$1:$Q$400,"monthly")*(1-W217)/H217,4),""),"")</f>
        <v/>
      </c>
      <c r="J217" s="6" t="str">
        <f>IF(B217="","",SUMIFS(SF_Output!$S$1:$S$400,SF_Output!$AC$1:$AC$400,_xlfn.TEXTJOIN(",",TRUE,B217:E217),SF_Output!$Q$1:$Q$400,"One Time",SF_Output!$L$1:$L$400,"license fee")+SUMIFS(SF_Output!$S$1:$S$400,SF_Output!$AC$1:$AC$400,_xlfn.TEXTJOIN(",",TRUE,B217:E217),SF_Output!$Q$1:$Q$400,"One Time",SF_Output!$L$1:$L$400,"software license")+SUMIFS(SF_Output!$S$1:$S$400,SF_Output!$AC$1:$AC$400,_xlfn.TEXTJOIN(",",TRUE,B217:E217),SF_Output!$Q$1:$Q$400,"One Time",SF_Output!$L$1:$L$400,"hardware"))</f>
        <v/>
      </c>
      <c r="K217" s="112" t="str">
        <f>IF(OR(B217=0,B217="",G217="hardware",J217=0),"",IF(AF217&lt;&gt;"exclusion",MAX(K$9,-((SUMIFS(SF_Output!$T$1:$T$400,SF_Output!$AC$1:$AC$400,_xlfn.TEXTJOIN(",",TRUE,$B217:$E217),SF_Output!$Q$1:$Q$400,"One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license"))/J217)),-((SUMIFS(SF_Output!$T$1:$T$400,SF_Output!$AC$1:$AC$400,_xlfn.TEXTJOIN(",",TRUE,$B217:$E217),SF_Output!$Q$1:$Q$400,"One Time",SF_Output!$L$1:$L$400,"license fee")+SUMIFS(SF_Output!$T$1:$T$400,SF_Output!$AC$1:$AC$400,_xlfn.TEXTJOIN(",",TRUE,$B217:$E217),SF_Output!$Q$1:$Q$400,"One Time",SF_Output!$L$1:$L$400,"software license"))/J217)))</f>
        <v/>
      </c>
      <c r="L217" s="6" t="str">
        <f t="shared" si="13"/>
        <v/>
      </c>
      <c r="N217" s="6" t="str">
        <f>IF(B217="","",SUMIFS(SF_Output!$S$1:$S$400,SF_Output!$AC$1:$AC$400,_xlfn.TEXTJOIN(",",TRUE,B217:E217),SF_Output!$Q$1:$Q$400,"One Time",SF_Output!$L$1:$L$400,"professional service"))</f>
        <v/>
      </c>
      <c r="O217" s="112" t="str">
        <f>IF(OR(B217=0,B217="",N217=0),"",IF(AF217&lt;&gt;"exclusion",MAX(O$9,-(SUMIFS(SF_Output!$T$1:$T$400,SF_Output!$AC$1:$AC$400,_xlfn.TEXTJOIN(",",TRUE,$B217:$E217),SF_Output!$Q$1:$Q$400,"One Time",SF_Output!$L$1:$L$400,"professional service"))/N217),-((SUMIFS(SF_Output!$T$1:$T$400,SF_Output!$AC$1:$AC$400,_xlfn.TEXTJOIN(",",TRUE,$B217:$E217),SF_Output!$Q$1:$Q$400,"One Time",SF_Output!$L$1:$L$400,"professional service")/N217))))</f>
        <v/>
      </c>
      <c r="P217" s="6" t="str">
        <f t="shared" si="14"/>
        <v/>
      </c>
      <c r="R217" s="6" t="str">
        <f>IF(B217="","",SUMIFS(SF_Output!$S$1:$S$400,SF_Output!$AC$1:$AC$400,_xlfn.TEXTJOIN(",",TRUE,B217:E217),SF_Output!$Q$1:$Q$400,"yearly")+SUMIFS(SF_Output!$S$1:$S$400,SF_Output!$AC$1:$AC$400,_xlfn.TEXTJOIN(",",TRUE,B217:E217),SF_Output!$Q$1:$Q$400,"quarterly")*4)</f>
        <v/>
      </c>
      <c r="S217" s="112" t="str">
        <f>IF(OR(B217=0,B217="",G217="hardware",R217=0),"",IF(AF217&lt;&gt;"exclusion",MAX(S$9,-(SUMIFS(SF_Output!$T$1:$T$400,SF_Output!$AC$1:$AC$400,_xlfn.TEXTJOIN(",",TRUE,$B217:$E217),SF_Output!$Q$1:$Q$400,"yearly"))/R217),-((SUMIFS(SF_Output!$T$1:$T$400,SF_Output!$AC$1:$AC$400,_xlfn.TEXTJOIN(",",TRUE,$B217:$E217),SF_Output!$Q$1:$Q$400,"yearly")/R217))))</f>
        <v/>
      </c>
      <c r="T217" s="6" t="str">
        <f t="shared" si="15"/>
        <v/>
      </c>
      <c r="V217" s="6" t="str" cm="1">
        <f t="array" ref="V217">_xlfn.IFS(B217="","",AND(B217&lt;&gt;"",H217=SF_Output!$Y$2,SUMIFS(SF_Output!$T$1:$T$400,SF_Output!$AC$1:$AC$400,_xlfn.TEXTJOIN(",",TRUE,B217:E217),SF_Output!$Q$1:$Q$400,"monthly")=0),(SUMIFS(SF_Output!$F$1:$F$400,SF_Output!$AC$1:$AC$400,_xlfn.TEXTJOIN(",",TRUE,B217:E217),SF_Output!$Q$1:$Q$400,"monthly")+SUMIFS(SF_Output!$G$1:$G$400,SF_Output!$AC$1:$AC$400,_xlfn.TEXTJOIN(",",TRUE,B217:E217),SF_Output!$Q$1:$Q$400,"monthly"))*H217,AND(B217&lt;&gt;"",H217=SF_Output!$Y$2,SUMIFS(SF_Output!$T$1:$T$400,SF_Output!$AC$1:$AC$400,_xlfn.TEXTJOIN(",",TRUE,B217:E217),SF_Output!$Q$1:$Q$400,"monthly")&lt;&gt;0),SUMIFS(SF_Output!$S$1:$S$400,SF_Output!$AC$1:$AC$400,_xlfn.TEXTJOIN(",",TRUE,B217:E217),SF_Output!$Q$1:$Q$400,"monthly"),AND(B217&lt;&gt;"",H217&lt;&gt;SF_Output!$Y$2),SUMIFS(SF_Output!$S$1:$S$400,SF_Output!$AC$1:$AC$400,_xlfn.TEXTJOIN(",",TRUE,B217:E217),SF_Output!$Q$1:$Q$400,"monthly"))</f>
        <v/>
      </c>
      <c r="W217" s="112" t="str" cm="1">
        <f t="array" ref="W217">_xlfn.IFS(OR(B217=0,B217="",V217=0),"",AF217&lt;&gt;"exclusion",MAX($W$9,$W$7,(-(SUMIFS(SF_Output!$T$1:$T$400,SF_Output!$AC$1:$AC$400,_xlfn.TEXTJOIN(",",TRUE,$B217:$E217),SF_Output!$Q$1:$Q$400,"monthly"))/V217)),AF217="exclusion",-(SUMIFS(SF_Output!$T$1:$T$400,SF_Output!$AC$1:$AC$400,_xlfn.TEXTJOIN(",",TRUE,$B217:$E217),SF_Output!$Q$1:$Q$400,"monthly"))/V217)</f>
        <v/>
      </c>
      <c r="X217" s="6" t="str" cm="1">
        <f t="array" ref="X217">IFERROR(_xlfn.IFS(V217=0,0,V217="","",W217=0,V217,OR(V217&lt;&gt;0,V217&lt;&gt;""),H217*I217),V217*(1-W217))</f>
        <v/>
      </c>
    </row>
    <row r="218" spans="6:24" x14ac:dyDescent="0.25">
      <c r="F218" s="116" t="str">
        <f t="shared" si="12"/>
        <v/>
      </c>
      <c r="G218" t="str">
        <f>IF(B218="","",INDEX(SF_Output!$K$1:$K$400,MATCH(B218,SF_Output!$M$1:$M$400,0)))</f>
        <v/>
      </c>
      <c r="H218" t="str" cm="1">
        <f t="array" ref="H218">_xlfn.IFS(B218="","",(SUMIFS(SF_Output!$F$1:$F$400,SF_Output!$AC$1:$AC$400,_xlfn.TEXTJOIN(",",TRUE,B218:E218))+SUMIFS(SF_Output!$G$1:$G$400,SF_Output!$AC$1:$AC$400,_xlfn.TEXTJOIN(",",TRUE,B218:E218)))&lt;&gt;0,SF_Output!$Y$2,INDEX(SF_Output!$F$1:$F$400,MATCH(_xlfn.TEXTJOIN(",",TRUE,B218:E218),SF_Output!$AC$1:$AC$400,0))=0,INDEX(SF_Output!$R$1:$R$400,MATCH(_xlfn.TEXTJOIN(",",TRUE,B218:E218),SF_Output!$AC$1:$AC$400,0)))</f>
        <v/>
      </c>
      <c r="I218" s="125" t="str">
        <f>IFERROR(IF(AND(H218&gt;1,H218&lt;&gt;""),ROUND(SUMIFS(SF_Output!$S$1:$S$400,SF_Output!$AC$1:$AC$400,_xlfn.TEXTJOIN(",",TRUE,B218:E218),SF_Output!$Q$1:$Q$400,"monthly")*(1-W218)/H218,4),""),"")</f>
        <v/>
      </c>
      <c r="J218" s="6" t="str">
        <f>IF(B218="","",SUMIFS(SF_Output!$S$1:$S$400,SF_Output!$AC$1:$AC$400,_xlfn.TEXTJOIN(",",TRUE,B218:E218),SF_Output!$Q$1:$Q$400,"One Time",SF_Output!$L$1:$L$400,"license fee")+SUMIFS(SF_Output!$S$1:$S$400,SF_Output!$AC$1:$AC$400,_xlfn.TEXTJOIN(",",TRUE,B218:E218),SF_Output!$Q$1:$Q$400,"One Time",SF_Output!$L$1:$L$400,"software license")+SUMIFS(SF_Output!$S$1:$S$400,SF_Output!$AC$1:$AC$400,_xlfn.TEXTJOIN(",",TRUE,B218:E218),SF_Output!$Q$1:$Q$400,"One Time",SF_Output!$L$1:$L$400,"hardware"))</f>
        <v/>
      </c>
      <c r="K218" s="112" t="str">
        <f>IF(OR(B218=0,B218="",G218="hardware",J218=0),"",IF(AF218&lt;&gt;"exclusion",MAX(K$9,-((SUMIFS(SF_Output!$T$1:$T$400,SF_Output!$AC$1:$AC$400,_xlfn.TEXTJOIN(",",TRUE,$B218:$E218),SF_Output!$Q$1:$Q$400,"One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license"))/J218)),-((SUMIFS(SF_Output!$T$1:$T$400,SF_Output!$AC$1:$AC$400,_xlfn.TEXTJOIN(",",TRUE,$B218:$E218),SF_Output!$Q$1:$Q$400,"One Time",SF_Output!$L$1:$L$400,"license fee")+SUMIFS(SF_Output!$T$1:$T$400,SF_Output!$AC$1:$AC$400,_xlfn.TEXTJOIN(",",TRUE,$B218:$E218),SF_Output!$Q$1:$Q$400,"One Time",SF_Output!$L$1:$L$400,"software license"))/J218)))</f>
        <v/>
      </c>
      <c r="L218" s="6" t="str">
        <f t="shared" si="13"/>
        <v/>
      </c>
      <c r="N218" s="6" t="str">
        <f>IF(B218="","",SUMIFS(SF_Output!$S$1:$S$400,SF_Output!$AC$1:$AC$400,_xlfn.TEXTJOIN(",",TRUE,B218:E218),SF_Output!$Q$1:$Q$400,"One Time",SF_Output!$L$1:$L$400,"professional service"))</f>
        <v/>
      </c>
      <c r="O218" s="112" t="str">
        <f>IF(OR(B218=0,B218="",N218=0),"",IF(AF218&lt;&gt;"exclusion",MAX(O$9,-(SUMIFS(SF_Output!$T$1:$T$400,SF_Output!$AC$1:$AC$400,_xlfn.TEXTJOIN(",",TRUE,$B218:$E218),SF_Output!$Q$1:$Q$400,"One Time",SF_Output!$L$1:$L$400,"professional service"))/N218),-((SUMIFS(SF_Output!$T$1:$T$400,SF_Output!$AC$1:$AC$400,_xlfn.TEXTJOIN(",",TRUE,$B218:$E218),SF_Output!$Q$1:$Q$400,"One Time",SF_Output!$L$1:$L$400,"professional service")/N218))))</f>
        <v/>
      </c>
      <c r="P218" s="6" t="str">
        <f t="shared" si="14"/>
        <v/>
      </c>
      <c r="R218" s="6" t="str">
        <f>IF(B218="","",SUMIFS(SF_Output!$S$1:$S$400,SF_Output!$AC$1:$AC$400,_xlfn.TEXTJOIN(",",TRUE,B218:E218),SF_Output!$Q$1:$Q$400,"yearly")+SUMIFS(SF_Output!$S$1:$S$400,SF_Output!$AC$1:$AC$400,_xlfn.TEXTJOIN(",",TRUE,B218:E218),SF_Output!$Q$1:$Q$400,"quarterly")*4)</f>
        <v/>
      </c>
      <c r="S218" s="112" t="str">
        <f>IF(OR(B218=0,B218="",G218="hardware",R218=0),"",IF(AF218&lt;&gt;"exclusion",MAX(S$9,-(SUMIFS(SF_Output!$T$1:$T$400,SF_Output!$AC$1:$AC$400,_xlfn.TEXTJOIN(",",TRUE,$B218:$E218),SF_Output!$Q$1:$Q$400,"yearly"))/R218),-((SUMIFS(SF_Output!$T$1:$T$400,SF_Output!$AC$1:$AC$400,_xlfn.TEXTJOIN(",",TRUE,$B218:$E218),SF_Output!$Q$1:$Q$400,"yearly")/R218))))</f>
        <v/>
      </c>
      <c r="T218" s="6" t="str">
        <f t="shared" si="15"/>
        <v/>
      </c>
      <c r="V218" s="6" t="str" cm="1">
        <f t="array" ref="V218">_xlfn.IFS(B218="","",AND(B218&lt;&gt;"",H218=SF_Output!$Y$2,SUMIFS(SF_Output!$T$1:$T$400,SF_Output!$AC$1:$AC$400,_xlfn.TEXTJOIN(",",TRUE,B218:E218),SF_Output!$Q$1:$Q$400,"monthly")=0),(SUMIFS(SF_Output!$F$1:$F$400,SF_Output!$AC$1:$AC$400,_xlfn.TEXTJOIN(",",TRUE,B218:E218),SF_Output!$Q$1:$Q$400,"monthly")+SUMIFS(SF_Output!$G$1:$G$400,SF_Output!$AC$1:$AC$400,_xlfn.TEXTJOIN(",",TRUE,B218:E218),SF_Output!$Q$1:$Q$400,"monthly"))*H218,AND(B218&lt;&gt;"",H218=SF_Output!$Y$2,SUMIFS(SF_Output!$T$1:$T$400,SF_Output!$AC$1:$AC$400,_xlfn.TEXTJOIN(",",TRUE,B218:E218),SF_Output!$Q$1:$Q$400,"monthly")&lt;&gt;0),SUMIFS(SF_Output!$S$1:$S$400,SF_Output!$AC$1:$AC$400,_xlfn.TEXTJOIN(",",TRUE,B218:E218),SF_Output!$Q$1:$Q$400,"monthly"),AND(B218&lt;&gt;"",H218&lt;&gt;SF_Output!$Y$2),SUMIFS(SF_Output!$S$1:$S$400,SF_Output!$AC$1:$AC$400,_xlfn.TEXTJOIN(",",TRUE,B218:E218),SF_Output!$Q$1:$Q$400,"monthly"))</f>
        <v/>
      </c>
      <c r="W218" s="112" t="str" cm="1">
        <f t="array" ref="W218">_xlfn.IFS(OR(B218=0,B218="",V218=0),"",AF218&lt;&gt;"exclusion",MAX($W$9,$W$7,(-(SUMIFS(SF_Output!$T$1:$T$400,SF_Output!$AC$1:$AC$400,_xlfn.TEXTJOIN(",",TRUE,$B218:$E218),SF_Output!$Q$1:$Q$400,"monthly"))/V218)),AF218="exclusion",-(SUMIFS(SF_Output!$T$1:$T$400,SF_Output!$AC$1:$AC$400,_xlfn.TEXTJOIN(",",TRUE,$B218:$E218),SF_Output!$Q$1:$Q$400,"monthly"))/V218)</f>
        <v/>
      </c>
      <c r="X218" s="6" t="str" cm="1">
        <f t="array" ref="X218">IFERROR(_xlfn.IFS(V218=0,0,V218="","",W218=0,V218,OR(V218&lt;&gt;0,V218&lt;&gt;""),H218*I218),V218*(1-W218))</f>
        <v/>
      </c>
    </row>
    <row r="219" spans="6:24" x14ac:dyDescent="0.25">
      <c r="F219" s="116" t="str">
        <f t="shared" si="12"/>
        <v/>
      </c>
      <c r="G219" t="str">
        <f>IF(B219="","",INDEX(SF_Output!$K$1:$K$400,MATCH(B219,SF_Output!$M$1:$M$400,0)))</f>
        <v/>
      </c>
      <c r="H219" t="str" cm="1">
        <f t="array" ref="H219">_xlfn.IFS(B219="","",(SUMIFS(SF_Output!$F$1:$F$400,SF_Output!$AC$1:$AC$400,_xlfn.TEXTJOIN(",",TRUE,B219:E219))+SUMIFS(SF_Output!$G$1:$G$400,SF_Output!$AC$1:$AC$400,_xlfn.TEXTJOIN(",",TRUE,B219:E219)))&lt;&gt;0,SF_Output!$Y$2,INDEX(SF_Output!$F$1:$F$400,MATCH(_xlfn.TEXTJOIN(",",TRUE,B219:E219),SF_Output!$AC$1:$AC$400,0))=0,INDEX(SF_Output!$R$1:$R$400,MATCH(_xlfn.TEXTJOIN(",",TRUE,B219:E219),SF_Output!$AC$1:$AC$400,0)))</f>
        <v/>
      </c>
      <c r="I219" s="125" t="str">
        <f>IFERROR(IF(AND(H219&gt;1,H219&lt;&gt;""),ROUND(SUMIFS(SF_Output!$S$1:$S$400,SF_Output!$AC$1:$AC$400,_xlfn.TEXTJOIN(",",TRUE,B219:E219),SF_Output!$Q$1:$Q$400,"monthly")*(1-W219)/H219,4),""),"")</f>
        <v/>
      </c>
      <c r="J219" s="6" t="str">
        <f>IF(B219="","",SUMIFS(SF_Output!$S$1:$S$400,SF_Output!$AC$1:$AC$400,_xlfn.TEXTJOIN(",",TRUE,B219:E219),SF_Output!$Q$1:$Q$400,"One Time",SF_Output!$L$1:$L$400,"license fee")+SUMIFS(SF_Output!$S$1:$S$400,SF_Output!$AC$1:$AC$400,_xlfn.TEXTJOIN(",",TRUE,B219:E219),SF_Output!$Q$1:$Q$400,"One Time",SF_Output!$L$1:$L$400,"software license")+SUMIFS(SF_Output!$S$1:$S$400,SF_Output!$AC$1:$AC$400,_xlfn.TEXTJOIN(",",TRUE,B219:E219),SF_Output!$Q$1:$Q$400,"One Time",SF_Output!$L$1:$L$400,"hardware"))</f>
        <v/>
      </c>
      <c r="K219" s="112" t="str">
        <f>IF(OR(B219=0,B219="",G219="hardware",J219=0),"",IF(AF219&lt;&gt;"exclusion",MAX(K$9,-((SUMIFS(SF_Output!$T$1:$T$400,SF_Output!$AC$1:$AC$400,_xlfn.TEXTJOIN(",",TRUE,$B219:$E219),SF_Output!$Q$1:$Q$400,"One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license"))/J219)),-((SUMIFS(SF_Output!$T$1:$T$400,SF_Output!$AC$1:$AC$400,_xlfn.TEXTJOIN(",",TRUE,$B219:$E219),SF_Output!$Q$1:$Q$400,"One Time",SF_Output!$L$1:$L$400,"license fee")+SUMIFS(SF_Output!$T$1:$T$400,SF_Output!$AC$1:$AC$400,_xlfn.TEXTJOIN(",",TRUE,$B219:$E219),SF_Output!$Q$1:$Q$400,"One Time",SF_Output!$L$1:$L$400,"software license"))/J219)))</f>
        <v/>
      </c>
      <c r="L219" s="6" t="str">
        <f t="shared" si="13"/>
        <v/>
      </c>
      <c r="N219" s="6" t="str">
        <f>IF(B219="","",SUMIFS(SF_Output!$S$1:$S$400,SF_Output!$AC$1:$AC$400,_xlfn.TEXTJOIN(",",TRUE,B219:E219),SF_Output!$Q$1:$Q$400,"One Time",SF_Output!$L$1:$L$400,"professional service"))</f>
        <v/>
      </c>
      <c r="O219" s="112" t="str">
        <f>IF(OR(B219=0,B219="",N219=0),"",IF(AF219&lt;&gt;"exclusion",MAX(O$9,-(SUMIFS(SF_Output!$T$1:$T$400,SF_Output!$AC$1:$AC$400,_xlfn.TEXTJOIN(",",TRUE,$B219:$E219),SF_Output!$Q$1:$Q$400,"One Time",SF_Output!$L$1:$L$400,"professional service"))/N219),-((SUMIFS(SF_Output!$T$1:$T$400,SF_Output!$AC$1:$AC$400,_xlfn.TEXTJOIN(",",TRUE,$B219:$E219),SF_Output!$Q$1:$Q$400,"One Time",SF_Output!$L$1:$L$400,"professional service")/N219))))</f>
        <v/>
      </c>
      <c r="P219" s="6" t="str">
        <f t="shared" si="14"/>
        <v/>
      </c>
      <c r="R219" s="6" t="str">
        <f>IF(B219="","",SUMIFS(SF_Output!$S$1:$S$400,SF_Output!$AC$1:$AC$400,_xlfn.TEXTJOIN(",",TRUE,B219:E219),SF_Output!$Q$1:$Q$400,"yearly")+SUMIFS(SF_Output!$S$1:$S$400,SF_Output!$AC$1:$AC$400,_xlfn.TEXTJOIN(",",TRUE,B219:E219),SF_Output!$Q$1:$Q$400,"quarterly")*4)</f>
        <v/>
      </c>
      <c r="S219" s="112" t="str">
        <f>IF(OR(B219=0,B219="",G219="hardware",R219=0),"",IF(AF219&lt;&gt;"exclusion",MAX(S$9,-(SUMIFS(SF_Output!$T$1:$T$400,SF_Output!$AC$1:$AC$400,_xlfn.TEXTJOIN(",",TRUE,$B219:$E219),SF_Output!$Q$1:$Q$400,"yearly"))/R219),-((SUMIFS(SF_Output!$T$1:$T$400,SF_Output!$AC$1:$AC$400,_xlfn.TEXTJOIN(",",TRUE,$B219:$E219),SF_Output!$Q$1:$Q$400,"yearly")/R219))))</f>
        <v/>
      </c>
      <c r="T219" s="6" t="str">
        <f t="shared" si="15"/>
        <v/>
      </c>
      <c r="V219" s="6" t="str" cm="1">
        <f t="array" ref="V219">_xlfn.IFS(B219="","",AND(B219&lt;&gt;"",H219=SF_Output!$Y$2,SUMIFS(SF_Output!$T$1:$T$400,SF_Output!$AC$1:$AC$400,_xlfn.TEXTJOIN(",",TRUE,B219:E219),SF_Output!$Q$1:$Q$400,"monthly")=0),(SUMIFS(SF_Output!$F$1:$F$400,SF_Output!$AC$1:$AC$400,_xlfn.TEXTJOIN(",",TRUE,B219:E219),SF_Output!$Q$1:$Q$400,"monthly")+SUMIFS(SF_Output!$G$1:$G$400,SF_Output!$AC$1:$AC$400,_xlfn.TEXTJOIN(",",TRUE,B219:E219),SF_Output!$Q$1:$Q$400,"monthly"))*H219,AND(B219&lt;&gt;"",H219=SF_Output!$Y$2,SUMIFS(SF_Output!$T$1:$T$400,SF_Output!$AC$1:$AC$400,_xlfn.TEXTJOIN(",",TRUE,B219:E219),SF_Output!$Q$1:$Q$400,"monthly")&lt;&gt;0),SUMIFS(SF_Output!$S$1:$S$400,SF_Output!$AC$1:$AC$400,_xlfn.TEXTJOIN(",",TRUE,B219:E219),SF_Output!$Q$1:$Q$400,"monthly"),AND(B219&lt;&gt;"",H219&lt;&gt;SF_Output!$Y$2),SUMIFS(SF_Output!$S$1:$S$400,SF_Output!$AC$1:$AC$400,_xlfn.TEXTJOIN(",",TRUE,B219:E219),SF_Output!$Q$1:$Q$400,"monthly"))</f>
        <v/>
      </c>
      <c r="W219" s="112" t="str" cm="1">
        <f t="array" ref="W219">_xlfn.IFS(OR(B219=0,B219="",V219=0),"",AF219&lt;&gt;"exclusion",MAX($W$9,$W$7,(-(SUMIFS(SF_Output!$T$1:$T$400,SF_Output!$AC$1:$AC$400,_xlfn.TEXTJOIN(",",TRUE,$B219:$E219),SF_Output!$Q$1:$Q$400,"monthly"))/V219)),AF219="exclusion",-(SUMIFS(SF_Output!$T$1:$T$400,SF_Output!$AC$1:$AC$400,_xlfn.TEXTJOIN(",",TRUE,$B219:$E219),SF_Output!$Q$1:$Q$400,"monthly"))/V219)</f>
        <v/>
      </c>
      <c r="X219" s="6" t="str" cm="1">
        <f t="array" ref="X219">IFERROR(_xlfn.IFS(V219=0,0,V219="","",W219=0,V219,OR(V219&lt;&gt;0,V219&lt;&gt;""),H219*I219),V219*(1-W219))</f>
        <v/>
      </c>
    </row>
    <row r="220" spans="6:24" x14ac:dyDescent="0.25">
      <c r="F220" s="116" t="str">
        <f t="shared" si="12"/>
        <v/>
      </c>
      <c r="G220" t="str">
        <f>IF(B220="","",INDEX(SF_Output!$K$1:$K$400,MATCH(B220,SF_Output!$M$1:$M$400,0)))</f>
        <v/>
      </c>
      <c r="H220" t="str" cm="1">
        <f t="array" ref="H220">_xlfn.IFS(B220="","",(SUMIFS(SF_Output!$F$1:$F$400,SF_Output!$AC$1:$AC$400,_xlfn.TEXTJOIN(",",TRUE,B220:E220))+SUMIFS(SF_Output!$G$1:$G$400,SF_Output!$AC$1:$AC$400,_xlfn.TEXTJOIN(",",TRUE,B220:E220)))&lt;&gt;0,SF_Output!$Y$2,INDEX(SF_Output!$F$1:$F$400,MATCH(_xlfn.TEXTJOIN(",",TRUE,B220:E220),SF_Output!$AC$1:$AC$400,0))=0,INDEX(SF_Output!$R$1:$R$400,MATCH(_xlfn.TEXTJOIN(",",TRUE,B220:E220),SF_Output!$AC$1:$AC$400,0)))</f>
        <v/>
      </c>
      <c r="I220" s="125" t="str">
        <f>IFERROR(IF(AND(H220&gt;1,H220&lt;&gt;""),ROUND(SUMIFS(SF_Output!$S$1:$S$400,SF_Output!$AC$1:$AC$400,_xlfn.TEXTJOIN(",",TRUE,B220:E220),SF_Output!$Q$1:$Q$400,"monthly")*(1-W220)/H220,4),""),"")</f>
        <v/>
      </c>
      <c r="J220" s="6" t="str">
        <f>IF(B220="","",SUMIFS(SF_Output!$S$1:$S$400,SF_Output!$AC$1:$AC$400,_xlfn.TEXTJOIN(",",TRUE,B220:E220),SF_Output!$Q$1:$Q$400,"One Time",SF_Output!$L$1:$L$400,"license fee")+SUMIFS(SF_Output!$S$1:$S$400,SF_Output!$AC$1:$AC$400,_xlfn.TEXTJOIN(",",TRUE,B220:E220),SF_Output!$Q$1:$Q$400,"One Time",SF_Output!$L$1:$L$400,"software license")+SUMIFS(SF_Output!$S$1:$S$400,SF_Output!$AC$1:$AC$400,_xlfn.TEXTJOIN(",",TRUE,B220:E220),SF_Output!$Q$1:$Q$400,"One Time",SF_Output!$L$1:$L$400,"hardware"))</f>
        <v/>
      </c>
      <c r="K220" s="112" t="str">
        <f>IF(OR(B220=0,B220="",G220="hardware",J220=0),"",IF(AF220&lt;&gt;"exclusion",MAX(K$9,-((SUMIFS(SF_Output!$T$1:$T$400,SF_Output!$AC$1:$AC$400,_xlfn.TEXTJOIN(",",TRUE,$B220:$E220),SF_Output!$Q$1:$Q$400,"One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license"))/J220)),-((SUMIFS(SF_Output!$T$1:$T$400,SF_Output!$AC$1:$AC$400,_xlfn.TEXTJOIN(",",TRUE,$B220:$E220),SF_Output!$Q$1:$Q$400,"One Time",SF_Output!$L$1:$L$400,"license fee")+SUMIFS(SF_Output!$T$1:$T$400,SF_Output!$AC$1:$AC$400,_xlfn.TEXTJOIN(",",TRUE,$B220:$E220),SF_Output!$Q$1:$Q$400,"One Time",SF_Output!$L$1:$L$400,"software license"))/J220)))</f>
        <v/>
      </c>
      <c r="L220" s="6" t="str">
        <f t="shared" si="13"/>
        <v/>
      </c>
      <c r="N220" s="6" t="str">
        <f>IF(B220="","",SUMIFS(SF_Output!$S$1:$S$400,SF_Output!$AC$1:$AC$400,_xlfn.TEXTJOIN(",",TRUE,B220:E220),SF_Output!$Q$1:$Q$400,"One Time",SF_Output!$L$1:$L$400,"professional service"))</f>
        <v/>
      </c>
      <c r="O220" s="112" t="str">
        <f>IF(OR(B220=0,B220="",N220=0),"",IF(AF220&lt;&gt;"exclusion",MAX(O$9,-(SUMIFS(SF_Output!$T$1:$T$400,SF_Output!$AC$1:$AC$400,_xlfn.TEXTJOIN(",",TRUE,$B220:$E220),SF_Output!$Q$1:$Q$400,"One Time",SF_Output!$L$1:$L$400,"professional service"))/N220),-((SUMIFS(SF_Output!$T$1:$T$400,SF_Output!$AC$1:$AC$400,_xlfn.TEXTJOIN(",",TRUE,$B220:$E220),SF_Output!$Q$1:$Q$400,"One Time",SF_Output!$L$1:$L$400,"professional service")/N220))))</f>
        <v/>
      </c>
      <c r="P220" s="6" t="str">
        <f t="shared" si="14"/>
        <v/>
      </c>
      <c r="R220" s="6" t="str">
        <f>IF(B220="","",SUMIFS(SF_Output!$S$1:$S$400,SF_Output!$AC$1:$AC$400,_xlfn.TEXTJOIN(",",TRUE,B220:E220),SF_Output!$Q$1:$Q$400,"yearly")+SUMIFS(SF_Output!$S$1:$S$400,SF_Output!$AC$1:$AC$400,_xlfn.TEXTJOIN(",",TRUE,B220:E220),SF_Output!$Q$1:$Q$400,"quarterly")*4)</f>
        <v/>
      </c>
      <c r="S220" s="112" t="str">
        <f>IF(OR(B220=0,B220="",G220="hardware",R220=0),"",IF(AF220&lt;&gt;"exclusion",MAX(S$9,-(SUMIFS(SF_Output!$T$1:$T$400,SF_Output!$AC$1:$AC$400,_xlfn.TEXTJOIN(",",TRUE,$B220:$E220),SF_Output!$Q$1:$Q$400,"yearly"))/R220),-((SUMIFS(SF_Output!$T$1:$T$400,SF_Output!$AC$1:$AC$400,_xlfn.TEXTJOIN(",",TRUE,$B220:$E220),SF_Output!$Q$1:$Q$400,"yearly")/R220))))</f>
        <v/>
      </c>
      <c r="T220" s="6" t="str">
        <f t="shared" si="15"/>
        <v/>
      </c>
      <c r="V220" s="6" t="str" cm="1">
        <f t="array" ref="V220">_xlfn.IFS(B220="","",AND(B220&lt;&gt;"",H220=SF_Output!$Y$2,SUMIFS(SF_Output!$T$1:$T$400,SF_Output!$AC$1:$AC$400,_xlfn.TEXTJOIN(",",TRUE,B220:E220),SF_Output!$Q$1:$Q$400,"monthly")=0),(SUMIFS(SF_Output!$F$1:$F$400,SF_Output!$AC$1:$AC$400,_xlfn.TEXTJOIN(",",TRUE,B220:E220),SF_Output!$Q$1:$Q$400,"monthly")+SUMIFS(SF_Output!$G$1:$G$400,SF_Output!$AC$1:$AC$400,_xlfn.TEXTJOIN(",",TRUE,B220:E220),SF_Output!$Q$1:$Q$400,"monthly"))*H220,AND(B220&lt;&gt;"",H220=SF_Output!$Y$2,SUMIFS(SF_Output!$T$1:$T$400,SF_Output!$AC$1:$AC$400,_xlfn.TEXTJOIN(",",TRUE,B220:E220),SF_Output!$Q$1:$Q$400,"monthly")&lt;&gt;0),SUMIFS(SF_Output!$S$1:$S$400,SF_Output!$AC$1:$AC$400,_xlfn.TEXTJOIN(",",TRUE,B220:E220),SF_Output!$Q$1:$Q$400,"monthly"),AND(B220&lt;&gt;"",H220&lt;&gt;SF_Output!$Y$2),SUMIFS(SF_Output!$S$1:$S$400,SF_Output!$AC$1:$AC$400,_xlfn.TEXTJOIN(",",TRUE,B220:E220),SF_Output!$Q$1:$Q$400,"monthly"))</f>
        <v/>
      </c>
      <c r="W220" s="112" t="str" cm="1">
        <f t="array" ref="W220">_xlfn.IFS(OR(B220=0,B220="",V220=0),"",AF220&lt;&gt;"exclusion",MAX($W$9,$W$7,(-(SUMIFS(SF_Output!$T$1:$T$400,SF_Output!$AC$1:$AC$400,_xlfn.TEXTJOIN(",",TRUE,$B220:$E220),SF_Output!$Q$1:$Q$400,"monthly"))/V220)),AF220="exclusion",-(SUMIFS(SF_Output!$T$1:$T$400,SF_Output!$AC$1:$AC$400,_xlfn.TEXTJOIN(",",TRUE,$B220:$E220),SF_Output!$Q$1:$Q$400,"monthly"))/V220)</f>
        <v/>
      </c>
      <c r="X220" s="6" t="str" cm="1">
        <f t="array" ref="X220">IFERROR(_xlfn.IFS(V220=0,0,V220="","",W220=0,V220,OR(V220&lt;&gt;0,V220&lt;&gt;""),H220*I220),V220*(1-W220))</f>
        <v/>
      </c>
    </row>
    <row r="221" spans="6:24" x14ac:dyDescent="0.25">
      <c r="F221" s="116" t="str">
        <f t="shared" si="12"/>
        <v/>
      </c>
      <c r="G221" t="str">
        <f>IF(B221="","",INDEX(SF_Output!$K$1:$K$400,MATCH(B221,SF_Output!$M$1:$M$400,0)))</f>
        <v/>
      </c>
      <c r="H221" t="str" cm="1">
        <f t="array" ref="H221">_xlfn.IFS(B221="","",(SUMIFS(SF_Output!$F$1:$F$400,SF_Output!$AC$1:$AC$400,_xlfn.TEXTJOIN(",",TRUE,B221:E221))+SUMIFS(SF_Output!$G$1:$G$400,SF_Output!$AC$1:$AC$400,_xlfn.TEXTJOIN(",",TRUE,B221:E221)))&lt;&gt;0,SF_Output!$Y$2,INDEX(SF_Output!$F$1:$F$400,MATCH(_xlfn.TEXTJOIN(",",TRUE,B221:E221),SF_Output!$AC$1:$AC$400,0))=0,INDEX(SF_Output!$R$1:$R$400,MATCH(_xlfn.TEXTJOIN(",",TRUE,B221:E221),SF_Output!$AC$1:$AC$400,0)))</f>
        <v/>
      </c>
      <c r="I221" s="125" t="str">
        <f>IFERROR(IF(AND(H221&gt;1,H221&lt;&gt;""),ROUND(SUMIFS(SF_Output!$S$1:$S$400,SF_Output!$AC$1:$AC$400,_xlfn.TEXTJOIN(",",TRUE,B221:E221),SF_Output!$Q$1:$Q$400,"monthly")*(1-W221)/H221,4),""),"")</f>
        <v/>
      </c>
      <c r="J221" s="6" t="str">
        <f>IF(B221="","",SUMIFS(SF_Output!$S$1:$S$400,SF_Output!$AC$1:$AC$400,_xlfn.TEXTJOIN(",",TRUE,B221:E221),SF_Output!$Q$1:$Q$400,"One Time",SF_Output!$L$1:$L$400,"license fee")+SUMIFS(SF_Output!$S$1:$S$400,SF_Output!$AC$1:$AC$400,_xlfn.TEXTJOIN(",",TRUE,B221:E221),SF_Output!$Q$1:$Q$400,"One Time",SF_Output!$L$1:$L$400,"software license")+SUMIFS(SF_Output!$S$1:$S$400,SF_Output!$AC$1:$AC$400,_xlfn.TEXTJOIN(",",TRUE,B221:E221),SF_Output!$Q$1:$Q$400,"One Time",SF_Output!$L$1:$L$400,"hardware"))</f>
        <v/>
      </c>
      <c r="K221" s="112" t="str">
        <f>IF(OR(B221=0,B221="",G221="hardware",J221=0),"",IF(AF221&lt;&gt;"exclusion",MAX(K$9,-((SUMIFS(SF_Output!$T$1:$T$400,SF_Output!$AC$1:$AC$400,_xlfn.TEXTJOIN(",",TRUE,$B221:$E221),SF_Output!$Q$1:$Q$400,"One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license"))/J221)),-((SUMIFS(SF_Output!$T$1:$T$400,SF_Output!$AC$1:$AC$400,_xlfn.TEXTJOIN(",",TRUE,$B221:$E221),SF_Output!$Q$1:$Q$400,"One Time",SF_Output!$L$1:$L$400,"license fee")+SUMIFS(SF_Output!$T$1:$T$400,SF_Output!$AC$1:$AC$400,_xlfn.TEXTJOIN(",",TRUE,$B221:$E221),SF_Output!$Q$1:$Q$400,"One Time",SF_Output!$L$1:$L$400,"software license"))/J221)))</f>
        <v/>
      </c>
      <c r="L221" s="6" t="str">
        <f t="shared" si="13"/>
        <v/>
      </c>
      <c r="N221" s="6" t="str">
        <f>IF(B221="","",SUMIFS(SF_Output!$S$1:$S$400,SF_Output!$AC$1:$AC$400,_xlfn.TEXTJOIN(",",TRUE,B221:E221),SF_Output!$Q$1:$Q$400,"One Time",SF_Output!$L$1:$L$400,"professional service"))</f>
        <v/>
      </c>
      <c r="O221" s="112" t="str">
        <f>IF(OR(B221=0,B221="",N221=0),"",IF(AF221&lt;&gt;"exclusion",MAX(O$9,-(SUMIFS(SF_Output!$T$1:$T$400,SF_Output!$AC$1:$AC$400,_xlfn.TEXTJOIN(",",TRUE,$B221:$E221),SF_Output!$Q$1:$Q$400,"One Time",SF_Output!$L$1:$L$400,"professional service"))/N221),-((SUMIFS(SF_Output!$T$1:$T$400,SF_Output!$AC$1:$AC$400,_xlfn.TEXTJOIN(",",TRUE,$B221:$E221),SF_Output!$Q$1:$Q$400,"One Time",SF_Output!$L$1:$L$400,"professional service")/N221))))</f>
        <v/>
      </c>
      <c r="P221" s="6" t="str">
        <f t="shared" si="14"/>
        <v/>
      </c>
      <c r="R221" s="6" t="str">
        <f>IF(B221="","",SUMIFS(SF_Output!$S$1:$S$400,SF_Output!$AC$1:$AC$400,_xlfn.TEXTJOIN(",",TRUE,B221:E221),SF_Output!$Q$1:$Q$400,"yearly")+SUMIFS(SF_Output!$S$1:$S$400,SF_Output!$AC$1:$AC$400,_xlfn.TEXTJOIN(",",TRUE,B221:E221),SF_Output!$Q$1:$Q$400,"quarterly")*4)</f>
        <v/>
      </c>
      <c r="S221" s="112" t="str">
        <f>IF(OR(B221=0,B221="",G221="hardware",R221=0),"",IF(AF221&lt;&gt;"exclusion",MAX(S$9,-(SUMIFS(SF_Output!$T$1:$T$400,SF_Output!$AC$1:$AC$400,_xlfn.TEXTJOIN(",",TRUE,$B221:$E221),SF_Output!$Q$1:$Q$400,"yearly"))/R221),-((SUMIFS(SF_Output!$T$1:$T$400,SF_Output!$AC$1:$AC$400,_xlfn.TEXTJOIN(",",TRUE,$B221:$E221),SF_Output!$Q$1:$Q$400,"yearly")/R221))))</f>
        <v/>
      </c>
      <c r="T221" s="6" t="str">
        <f t="shared" si="15"/>
        <v/>
      </c>
      <c r="V221" s="6" t="str" cm="1">
        <f t="array" ref="V221">_xlfn.IFS(B221="","",AND(B221&lt;&gt;"",H221=SF_Output!$Y$2,SUMIFS(SF_Output!$T$1:$T$400,SF_Output!$AC$1:$AC$400,_xlfn.TEXTJOIN(",",TRUE,B221:E221),SF_Output!$Q$1:$Q$400,"monthly")=0),(SUMIFS(SF_Output!$F$1:$F$400,SF_Output!$AC$1:$AC$400,_xlfn.TEXTJOIN(",",TRUE,B221:E221),SF_Output!$Q$1:$Q$400,"monthly")+SUMIFS(SF_Output!$G$1:$G$400,SF_Output!$AC$1:$AC$400,_xlfn.TEXTJOIN(",",TRUE,B221:E221),SF_Output!$Q$1:$Q$400,"monthly"))*H221,AND(B221&lt;&gt;"",H221=SF_Output!$Y$2,SUMIFS(SF_Output!$T$1:$T$400,SF_Output!$AC$1:$AC$400,_xlfn.TEXTJOIN(",",TRUE,B221:E221),SF_Output!$Q$1:$Q$400,"monthly")&lt;&gt;0),SUMIFS(SF_Output!$S$1:$S$400,SF_Output!$AC$1:$AC$400,_xlfn.TEXTJOIN(",",TRUE,B221:E221),SF_Output!$Q$1:$Q$400,"monthly"),AND(B221&lt;&gt;"",H221&lt;&gt;SF_Output!$Y$2),SUMIFS(SF_Output!$S$1:$S$400,SF_Output!$AC$1:$AC$400,_xlfn.TEXTJOIN(",",TRUE,B221:E221),SF_Output!$Q$1:$Q$400,"monthly"))</f>
        <v/>
      </c>
      <c r="W221" s="112" t="str" cm="1">
        <f t="array" ref="W221">_xlfn.IFS(OR(B221=0,B221="",V221=0),"",AF221&lt;&gt;"exclusion",MAX($W$9,$W$7,(-(SUMIFS(SF_Output!$T$1:$T$400,SF_Output!$AC$1:$AC$400,_xlfn.TEXTJOIN(",",TRUE,$B221:$E221),SF_Output!$Q$1:$Q$400,"monthly"))/V221)),AF221="exclusion",-(SUMIFS(SF_Output!$T$1:$T$400,SF_Output!$AC$1:$AC$400,_xlfn.TEXTJOIN(",",TRUE,$B221:$E221),SF_Output!$Q$1:$Q$400,"monthly"))/V221)</f>
        <v/>
      </c>
      <c r="X221" s="6" t="str" cm="1">
        <f t="array" ref="X221">IFERROR(_xlfn.IFS(V221=0,0,V221="","",W221=0,V221,OR(V221&lt;&gt;0,V221&lt;&gt;""),H221*I221),V221*(1-W221))</f>
        <v/>
      </c>
    </row>
    <row r="222" spans="6:24" x14ac:dyDescent="0.25">
      <c r="F222" s="116" t="str">
        <f t="shared" si="12"/>
        <v/>
      </c>
      <c r="G222" t="str">
        <f>IF(B222="","",INDEX(SF_Output!$K$1:$K$400,MATCH(B222,SF_Output!$M$1:$M$400,0)))</f>
        <v/>
      </c>
      <c r="H222" t="str" cm="1">
        <f t="array" ref="H222">_xlfn.IFS(B222="","",(SUMIFS(SF_Output!$F$1:$F$400,SF_Output!$AC$1:$AC$400,_xlfn.TEXTJOIN(",",TRUE,B222:E222))+SUMIFS(SF_Output!$G$1:$G$400,SF_Output!$AC$1:$AC$400,_xlfn.TEXTJOIN(",",TRUE,B222:E222)))&lt;&gt;0,SF_Output!$Y$2,INDEX(SF_Output!$F$1:$F$400,MATCH(_xlfn.TEXTJOIN(",",TRUE,B222:E222),SF_Output!$AC$1:$AC$400,0))=0,INDEX(SF_Output!$R$1:$R$400,MATCH(_xlfn.TEXTJOIN(",",TRUE,B222:E222),SF_Output!$AC$1:$AC$400,0)))</f>
        <v/>
      </c>
      <c r="I222" s="125" t="str">
        <f>IFERROR(IF(AND(H222&gt;1,H222&lt;&gt;""),ROUND(SUMIFS(SF_Output!$S$1:$S$400,SF_Output!$AC$1:$AC$400,_xlfn.TEXTJOIN(",",TRUE,B222:E222),SF_Output!$Q$1:$Q$400,"monthly")*(1-W222)/H222,4),""),"")</f>
        <v/>
      </c>
      <c r="J222" s="6" t="str">
        <f>IF(B222="","",SUMIFS(SF_Output!$S$1:$S$400,SF_Output!$AC$1:$AC$400,_xlfn.TEXTJOIN(",",TRUE,B222:E222),SF_Output!$Q$1:$Q$400,"One Time",SF_Output!$L$1:$L$400,"license fee")+SUMIFS(SF_Output!$S$1:$S$400,SF_Output!$AC$1:$AC$400,_xlfn.TEXTJOIN(",",TRUE,B222:E222),SF_Output!$Q$1:$Q$400,"One Time",SF_Output!$L$1:$L$400,"software license")+SUMIFS(SF_Output!$S$1:$S$400,SF_Output!$AC$1:$AC$400,_xlfn.TEXTJOIN(",",TRUE,B222:E222),SF_Output!$Q$1:$Q$400,"One Time",SF_Output!$L$1:$L$400,"hardware"))</f>
        <v/>
      </c>
      <c r="K222" s="112" t="str">
        <f>IF(OR(B222=0,B222="",G222="hardware",J222=0),"",IF(AF222&lt;&gt;"exclusion",MAX(K$9,-((SUMIFS(SF_Output!$T$1:$T$400,SF_Output!$AC$1:$AC$400,_xlfn.TEXTJOIN(",",TRUE,$B222:$E222),SF_Output!$Q$1:$Q$400,"One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license"))/J222)),-((SUMIFS(SF_Output!$T$1:$T$400,SF_Output!$AC$1:$AC$400,_xlfn.TEXTJOIN(",",TRUE,$B222:$E222),SF_Output!$Q$1:$Q$400,"One Time",SF_Output!$L$1:$L$400,"license fee")+SUMIFS(SF_Output!$T$1:$T$400,SF_Output!$AC$1:$AC$400,_xlfn.TEXTJOIN(",",TRUE,$B222:$E222),SF_Output!$Q$1:$Q$400,"One Time",SF_Output!$L$1:$L$400,"software license"))/J222)))</f>
        <v/>
      </c>
      <c r="L222" s="6" t="str">
        <f t="shared" si="13"/>
        <v/>
      </c>
      <c r="N222" s="6" t="str">
        <f>IF(B222="","",SUMIFS(SF_Output!$S$1:$S$400,SF_Output!$AC$1:$AC$400,_xlfn.TEXTJOIN(",",TRUE,B222:E222),SF_Output!$Q$1:$Q$400,"One Time",SF_Output!$L$1:$L$400,"professional service"))</f>
        <v/>
      </c>
      <c r="O222" s="112" t="str">
        <f>IF(OR(B222=0,B222="",N222=0),"",IF(AF222&lt;&gt;"exclusion",MAX(O$9,-(SUMIFS(SF_Output!$T$1:$T$400,SF_Output!$AC$1:$AC$400,_xlfn.TEXTJOIN(",",TRUE,$B222:$E222),SF_Output!$Q$1:$Q$400,"One Time",SF_Output!$L$1:$L$400,"professional service"))/N222),-((SUMIFS(SF_Output!$T$1:$T$400,SF_Output!$AC$1:$AC$400,_xlfn.TEXTJOIN(",",TRUE,$B222:$E222),SF_Output!$Q$1:$Q$400,"One Time",SF_Output!$L$1:$L$400,"professional service")/N222))))</f>
        <v/>
      </c>
      <c r="P222" s="6" t="str">
        <f t="shared" si="14"/>
        <v/>
      </c>
      <c r="R222" s="6" t="str">
        <f>IF(B222="","",SUMIFS(SF_Output!$S$1:$S$400,SF_Output!$AC$1:$AC$400,_xlfn.TEXTJOIN(",",TRUE,B222:E222),SF_Output!$Q$1:$Q$400,"yearly")+SUMIFS(SF_Output!$S$1:$S$400,SF_Output!$AC$1:$AC$400,_xlfn.TEXTJOIN(",",TRUE,B222:E222),SF_Output!$Q$1:$Q$400,"quarterly")*4)</f>
        <v/>
      </c>
      <c r="S222" s="112" t="str">
        <f>IF(OR(B222=0,B222="",G222="hardware",R222=0),"",IF(AF222&lt;&gt;"exclusion",MAX(S$9,-(SUMIFS(SF_Output!$T$1:$T$400,SF_Output!$AC$1:$AC$400,_xlfn.TEXTJOIN(",",TRUE,$B222:$E222),SF_Output!$Q$1:$Q$400,"yearly"))/R222),-((SUMIFS(SF_Output!$T$1:$T$400,SF_Output!$AC$1:$AC$400,_xlfn.TEXTJOIN(",",TRUE,$B222:$E222),SF_Output!$Q$1:$Q$400,"yearly")/R222))))</f>
        <v/>
      </c>
      <c r="T222" s="6" t="str">
        <f t="shared" si="15"/>
        <v/>
      </c>
      <c r="V222" s="6" t="str" cm="1">
        <f t="array" ref="V222">_xlfn.IFS(B222="","",AND(B222&lt;&gt;"",H222=SF_Output!$Y$2,SUMIFS(SF_Output!$T$1:$T$400,SF_Output!$AC$1:$AC$400,_xlfn.TEXTJOIN(",",TRUE,B222:E222),SF_Output!$Q$1:$Q$400,"monthly")=0),(SUMIFS(SF_Output!$F$1:$F$400,SF_Output!$AC$1:$AC$400,_xlfn.TEXTJOIN(",",TRUE,B222:E222),SF_Output!$Q$1:$Q$400,"monthly")+SUMIFS(SF_Output!$G$1:$G$400,SF_Output!$AC$1:$AC$400,_xlfn.TEXTJOIN(",",TRUE,B222:E222),SF_Output!$Q$1:$Q$400,"monthly"))*H222,AND(B222&lt;&gt;"",H222=SF_Output!$Y$2,SUMIFS(SF_Output!$T$1:$T$400,SF_Output!$AC$1:$AC$400,_xlfn.TEXTJOIN(",",TRUE,B222:E222),SF_Output!$Q$1:$Q$400,"monthly")&lt;&gt;0),SUMIFS(SF_Output!$S$1:$S$400,SF_Output!$AC$1:$AC$400,_xlfn.TEXTJOIN(",",TRUE,B222:E222),SF_Output!$Q$1:$Q$400,"monthly"),AND(B222&lt;&gt;"",H222&lt;&gt;SF_Output!$Y$2),SUMIFS(SF_Output!$S$1:$S$400,SF_Output!$AC$1:$AC$400,_xlfn.TEXTJOIN(",",TRUE,B222:E222),SF_Output!$Q$1:$Q$400,"monthly"))</f>
        <v/>
      </c>
      <c r="W222" s="112" t="str" cm="1">
        <f t="array" ref="W222">_xlfn.IFS(OR(B222=0,B222="",V222=0),"",AF222&lt;&gt;"exclusion",MAX($W$9,$W$7,(-(SUMIFS(SF_Output!$T$1:$T$400,SF_Output!$AC$1:$AC$400,_xlfn.TEXTJOIN(",",TRUE,$B222:$E222),SF_Output!$Q$1:$Q$400,"monthly"))/V222)),AF222="exclusion",-(SUMIFS(SF_Output!$T$1:$T$400,SF_Output!$AC$1:$AC$400,_xlfn.TEXTJOIN(",",TRUE,$B222:$E222),SF_Output!$Q$1:$Q$400,"monthly"))/V222)</f>
        <v/>
      </c>
      <c r="X222" s="6" t="str" cm="1">
        <f t="array" ref="X222">IFERROR(_xlfn.IFS(V222=0,0,V222="","",W222=0,V222,OR(V222&lt;&gt;0,V222&lt;&gt;""),H222*I222),V222*(1-W222))</f>
        <v/>
      </c>
    </row>
    <row r="223" spans="6:24" x14ac:dyDescent="0.25">
      <c r="F223" s="116" t="str">
        <f t="shared" si="12"/>
        <v/>
      </c>
      <c r="G223" t="str">
        <f>IF(B223="","",INDEX(SF_Output!$K$1:$K$400,MATCH(B223,SF_Output!$M$1:$M$400,0)))</f>
        <v/>
      </c>
      <c r="H223" t="str" cm="1">
        <f t="array" ref="H223">_xlfn.IFS(B223="","",(SUMIFS(SF_Output!$F$1:$F$400,SF_Output!$AC$1:$AC$400,_xlfn.TEXTJOIN(",",TRUE,B223:E223))+SUMIFS(SF_Output!$G$1:$G$400,SF_Output!$AC$1:$AC$400,_xlfn.TEXTJOIN(",",TRUE,B223:E223)))&lt;&gt;0,SF_Output!$Y$2,INDEX(SF_Output!$F$1:$F$400,MATCH(_xlfn.TEXTJOIN(",",TRUE,B223:E223),SF_Output!$AC$1:$AC$400,0))=0,INDEX(SF_Output!$R$1:$R$400,MATCH(_xlfn.TEXTJOIN(",",TRUE,B223:E223),SF_Output!$AC$1:$AC$400,0)))</f>
        <v/>
      </c>
      <c r="I223" s="125" t="str">
        <f>IFERROR(IF(AND(H223&gt;1,H223&lt;&gt;""),ROUND(SUMIFS(SF_Output!$S$1:$S$400,SF_Output!$AC$1:$AC$400,_xlfn.TEXTJOIN(",",TRUE,B223:E223),SF_Output!$Q$1:$Q$400,"monthly")*(1-W223)/H223,4),""),"")</f>
        <v/>
      </c>
      <c r="J223" s="6" t="str">
        <f>IF(B223="","",SUMIFS(SF_Output!$S$1:$S$400,SF_Output!$AC$1:$AC$400,_xlfn.TEXTJOIN(",",TRUE,B223:E223),SF_Output!$Q$1:$Q$400,"One Time",SF_Output!$L$1:$L$400,"license fee")+SUMIFS(SF_Output!$S$1:$S$400,SF_Output!$AC$1:$AC$400,_xlfn.TEXTJOIN(",",TRUE,B223:E223),SF_Output!$Q$1:$Q$400,"One Time",SF_Output!$L$1:$L$400,"software license")+SUMIFS(SF_Output!$S$1:$S$400,SF_Output!$AC$1:$AC$400,_xlfn.TEXTJOIN(",",TRUE,B223:E223),SF_Output!$Q$1:$Q$400,"One Time",SF_Output!$L$1:$L$400,"hardware"))</f>
        <v/>
      </c>
      <c r="K223" s="112" t="str">
        <f>IF(OR(B223=0,B223="",G223="hardware",J223=0),"",IF(AF223&lt;&gt;"exclusion",MAX(K$9,-((SUMIFS(SF_Output!$T$1:$T$400,SF_Output!$AC$1:$AC$400,_xlfn.TEXTJOIN(",",TRUE,$B223:$E223),SF_Output!$Q$1:$Q$400,"One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license"))/J223)),-((SUMIFS(SF_Output!$T$1:$T$400,SF_Output!$AC$1:$AC$400,_xlfn.TEXTJOIN(",",TRUE,$B223:$E223),SF_Output!$Q$1:$Q$400,"One Time",SF_Output!$L$1:$L$400,"license fee")+SUMIFS(SF_Output!$T$1:$T$400,SF_Output!$AC$1:$AC$400,_xlfn.TEXTJOIN(",",TRUE,$B223:$E223),SF_Output!$Q$1:$Q$400,"One Time",SF_Output!$L$1:$L$400,"software license"))/J223)))</f>
        <v/>
      </c>
      <c r="L223" s="6" t="str">
        <f t="shared" si="13"/>
        <v/>
      </c>
      <c r="N223" s="6" t="str">
        <f>IF(B223="","",SUMIFS(SF_Output!$S$1:$S$400,SF_Output!$AC$1:$AC$400,_xlfn.TEXTJOIN(",",TRUE,B223:E223),SF_Output!$Q$1:$Q$400,"One Time",SF_Output!$L$1:$L$400,"professional service"))</f>
        <v/>
      </c>
      <c r="O223" s="112" t="str">
        <f>IF(OR(B223=0,B223="",N223=0),"",IF(AF223&lt;&gt;"exclusion",MAX(O$9,-(SUMIFS(SF_Output!$T$1:$T$400,SF_Output!$AC$1:$AC$400,_xlfn.TEXTJOIN(",",TRUE,$B223:$E223),SF_Output!$Q$1:$Q$400,"One Time",SF_Output!$L$1:$L$400,"professional service"))/N223),-((SUMIFS(SF_Output!$T$1:$T$400,SF_Output!$AC$1:$AC$400,_xlfn.TEXTJOIN(",",TRUE,$B223:$E223),SF_Output!$Q$1:$Q$400,"One Time",SF_Output!$L$1:$L$400,"professional service")/N223))))</f>
        <v/>
      </c>
      <c r="P223" s="6" t="str">
        <f t="shared" si="14"/>
        <v/>
      </c>
      <c r="R223" s="6" t="str">
        <f>IF(B223="","",SUMIFS(SF_Output!$S$1:$S$400,SF_Output!$AC$1:$AC$400,_xlfn.TEXTJOIN(",",TRUE,B223:E223),SF_Output!$Q$1:$Q$400,"yearly")+SUMIFS(SF_Output!$S$1:$S$400,SF_Output!$AC$1:$AC$400,_xlfn.TEXTJOIN(",",TRUE,B223:E223),SF_Output!$Q$1:$Q$400,"quarterly")*4)</f>
        <v/>
      </c>
      <c r="S223" s="112" t="str">
        <f>IF(OR(B223=0,B223="",G223="hardware",R223=0),"",IF(AF223&lt;&gt;"exclusion",MAX(S$9,-(SUMIFS(SF_Output!$T$1:$T$400,SF_Output!$AC$1:$AC$400,_xlfn.TEXTJOIN(",",TRUE,$B223:$E223),SF_Output!$Q$1:$Q$400,"yearly"))/R223),-((SUMIFS(SF_Output!$T$1:$T$400,SF_Output!$AC$1:$AC$400,_xlfn.TEXTJOIN(",",TRUE,$B223:$E223),SF_Output!$Q$1:$Q$400,"yearly")/R223))))</f>
        <v/>
      </c>
      <c r="T223" s="6" t="str">
        <f t="shared" si="15"/>
        <v/>
      </c>
      <c r="V223" s="6" t="str" cm="1">
        <f t="array" ref="V223">_xlfn.IFS(B223="","",AND(B223&lt;&gt;"",H223=SF_Output!$Y$2,SUMIFS(SF_Output!$T$1:$T$400,SF_Output!$AC$1:$AC$400,_xlfn.TEXTJOIN(",",TRUE,B223:E223),SF_Output!$Q$1:$Q$400,"monthly")=0),(SUMIFS(SF_Output!$F$1:$F$400,SF_Output!$AC$1:$AC$400,_xlfn.TEXTJOIN(",",TRUE,B223:E223),SF_Output!$Q$1:$Q$400,"monthly")+SUMIFS(SF_Output!$G$1:$G$400,SF_Output!$AC$1:$AC$400,_xlfn.TEXTJOIN(",",TRUE,B223:E223),SF_Output!$Q$1:$Q$400,"monthly"))*H223,AND(B223&lt;&gt;"",H223=SF_Output!$Y$2,SUMIFS(SF_Output!$T$1:$T$400,SF_Output!$AC$1:$AC$400,_xlfn.TEXTJOIN(",",TRUE,B223:E223),SF_Output!$Q$1:$Q$400,"monthly")&lt;&gt;0),SUMIFS(SF_Output!$S$1:$S$400,SF_Output!$AC$1:$AC$400,_xlfn.TEXTJOIN(",",TRUE,B223:E223),SF_Output!$Q$1:$Q$400,"monthly"),AND(B223&lt;&gt;"",H223&lt;&gt;SF_Output!$Y$2),SUMIFS(SF_Output!$S$1:$S$400,SF_Output!$AC$1:$AC$400,_xlfn.TEXTJOIN(",",TRUE,B223:E223),SF_Output!$Q$1:$Q$400,"monthly"))</f>
        <v/>
      </c>
      <c r="W223" s="112" t="str" cm="1">
        <f t="array" ref="W223">_xlfn.IFS(OR(B223=0,B223="",V223=0),"",AF223&lt;&gt;"exclusion",MAX($W$9,$W$7,(-(SUMIFS(SF_Output!$T$1:$T$400,SF_Output!$AC$1:$AC$400,_xlfn.TEXTJOIN(",",TRUE,$B223:$E223),SF_Output!$Q$1:$Q$400,"monthly"))/V223)),AF223="exclusion",-(SUMIFS(SF_Output!$T$1:$T$400,SF_Output!$AC$1:$AC$400,_xlfn.TEXTJOIN(",",TRUE,$B223:$E223),SF_Output!$Q$1:$Q$400,"monthly"))/V223)</f>
        <v/>
      </c>
      <c r="X223" s="6" t="str" cm="1">
        <f t="array" ref="X223">IFERROR(_xlfn.IFS(V223=0,0,V223="","",W223=0,V223,OR(V223&lt;&gt;0,V223&lt;&gt;""),H223*I223),V223*(1-W223))</f>
        <v/>
      </c>
    </row>
    <row r="224" spans="6:24" x14ac:dyDescent="0.25">
      <c r="F224" s="116" t="str">
        <f t="shared" si="12"/>
        <v/>
      </c>
      <c r="G224" t="str">
        <f>IF(B224="","",INDEX(SF_Output!$K$1:$K$400,MATCH(B224,SF_Output!$M$1:$M$400,0)))</f>
        <v/>
      </c>
      <c r="H224" t="str" cm="1">
        <f t="array" ref="H224">_xlfn.IFS(B224="","",(SUMIFS(SF_Output!$F$1:$F$400,SF_Output!$AC$1:$AC$400,_xlfn.TEXTJOIN(",",TRUE,B224:E224))+SUMIFS(SF_Output!$G$1:$G$400,SF_Output!$AC$1:$AC$400,_xlfn.TEXTJOIN(",",TRUE,B224:E224)))&lt;&gt;0,SF_Output!$Y$2,INDEX(SF_Output!$F$1:$F$400,MATCH(_xlfn.TEXTJOIN(",",TRUE,B224:E224),SF_Output!$AC$1:$AC$400,0))=0,INDEX(SF_Output!$R$1:$R$400,MATCH(_xlfn.TEXTJOIN(",",TRUE,B224:E224),SF_Output!$AC$1:$AC$400,0)))</f>
        <v/>
      </c>
      <c r="I224" s="125" t="str">
        <f>IFERROR(IF(AND(H224&gt;1,H224&lt;&gt;""),ROUND(SUMIFS(SF_Output!$S$1:$S$400,SF_Output!$AC$1:$AC$400,_xlfn.TEXTJOIN(",",TRUE,B224:E224),SF_Output!$Q$1:$Q$400,"monthly")*(1-W224)/H224,4),""),"")</f>
        <v/>
      </c>
      <c r="J224" s="6" t="str">
        <f>IF(B224="","",SUMIFS(SF_Output!$S$1:$S$400,SF_Output!$AC$1:$AC$400,_xlfn.TEXTJOIN(",",TRUE,B224:E224),SF_Output!$Q$1:$Q$400,"One Time",SF_Output!$L$1:$L$400,"license fee")+SUMIFS(SF_Output!$S$1:$S$400,SF_Output!$AC$1:$AC$400,_xlfn.TEXTJOIN(",",TRUE,B224:E224),SF_Output!$Q$1:$Q$400,"One Time",SF_Output!$L$1:$L$400,"software license")+SUMIFS(SF_Output!$S$1:$S$400,SF_Output!$AC$1:$AC$400,_xlfn.TEXTJOIN(",",TRUE,B224:E224),SF_Output!$Q$1:$Q$400,"One Time",SF_Output!$L$1:$L$400,"hardware"))</f>
        <v/>
      </c>
      <c r="K224" s="112" t="str">
        <f>IF(OR(B224=0,B224="",G224="hardware",J224=0),"",IF(AF224&lt;&gt;"exclusion",MAX(K$9,-((SUMIFS(SF_Output!$T$1:$T$400,SF_Output!$AC$1:$AC$400,_xlfn.TEXTJOIN(",",TRUE,$B224:$E224),SF_Output!$Q$1:$Q$400,"One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license"))/J224)),-((SUMIFS(SF_Output!$T$1:$T$400,SF_Output!$AC$1:$AC$400,_xlfn.TEXTJOIN(",",TRUE,$B224:$E224),SF_Output!$Q$1:$Q$400,"One Time",SF_Output!$L$1:$L$400,"license fee")+SUMIFS(SF_Output!$T$1:$T$400,SF_Output!$AC$1:$AC$400,_xlfn.TEXTJOIN(",",TRUE,$B224:$E224),SF_Output!$Q$1:$Q$400,"One Time",SF_Output!$L$1:$L$400,"software license"))/J224)))</f>
        <v/>
      </c>
      <c r="L224" s="6" t="str">
        <f t="shared" si="13"/>
        <v/>
      </c>
      <c r="N224" s="6" t="str">
        <f>IF(B224="","",SUMIFS(SF_Output!$S$1:$S$400,SF_Output!$AC$1:$AC$400,_xlfn.TEXTJOIN(",",TRUE,B224:E224),SF_Output!$Q$1:$Q$400,"One Time",SF_Output!$L$1:$L$400,"professional service"))</f>
        <v/>
      </c>
      <c r="O224" s="112" t="str">
        <f>IF(OR(B224=0,B224="",N224=0),"",IF(AF224&lt;&gt;"exclusion",MAX(O$9,-(SUMIFS(SF_Output!$T$1:$T$400,SF_Output!$AC$1:$AC$400,_xlfn.TEXTJOIN(",",TRUE,$B224:$E224),SF_Output!$Q$1:$Q$400,"One Time",SF_Output!$L$1:$L$400,"professional service"))/N224),-((SUMIFS(SF_Output!$T$1:$T$400,SF_Output!$AC$1:$AC$400,_xlfn.TEXTJOIN(",",TRUE,$B224:$E224),SF_Output!$Q$1:$Q$400,"One Time",SF_Output!$L$1:$L$400,"professional service")/N224))))</f>
        <v/>
      </c>
      <c r="P224" s="6" t="str">
        <f t="shared" si="14"/>
        <v/>
      </c>
      <c r="R224" s="6" t="str">
        <f>IF(B224="","",SUMIFS(SF_Output!$S$1:$S$400,SF_Output!$AC$1:$AC$400,_xlfn.TEXTJOIN(",",TRUE,B224:E224),SF_Output!$Q$1:$Q$400,"yearly")+SUMIFS(SF_Output!$S$1:$S$400,SF_Output!$AC$1:$AC$400,_xlfn.TEXTJOIN(",",TRUE,B224:E224),SF_Output!$Q$1:$Q$400,"quarterly")*4)</f>
        <v/>
      </c>
      <c r="S224" s="112" t="str">
        <f>IF(OR(B224=0,B224="",G224="hardware",R224=0),"",IF(AF224&lt;&gt;"exclusion",MAX(S$9,-(SUMIFS(SF_Output!$T$1:$T$400,SF_Output!$AC$1:$AC$400,_xlfn.TEXTJOIN(",",TRUE,$B224:$E224),SF_Output!$Q$1:$Q$400,"yearly"))/R224),-((SUMIFS(SF_Output!$T$1:$T$400,SF_Output!$AC$1:$AC$400,_xlfn.TEXTJOIN(",",TRUE,$B224:$E224),SF_Output!$Q$1:$Q$400,"yearly")/R224))))</f>
        <v/>
      </c>
      <c r="T224" s="6" t="str">
        <f t="shared" si="15"/>
        <v/>
      </c>
      <c r="V224" s="6" t="str" cm="1">
        <f t="array" ref="V224">_xlfn.IFS(B224="","",AND(B224&lt;&gt;"",H224=SF_Output!$Y$2,SUMIFS(SF_Output!$T$1:$T$400,SF_Output!$AC$1:$AC$400,_xlfn.TEXTJOIN(",",TRUE,B224:E224),SF_Output!$Q$1:$Q$400,"monthly")=0),(SUMIFS(SF_Output!$F$1:$F$400,SF_Output!$AC$1:$AC$400,_xlfn.TEXTJOIN(",",TRUE,B224:E224),SF_Output!$Q$1:$Q$400,"monthly")+SUMIFS(SF_Output!$G$1:$G$400,SF_Output!$AC$1:$AC$400,_xlfn.TEXTJOIN(",",TRUE,B224:E224),SF_Output!$Q$1:$Q$400,"monthly"))*H224,AND(B224&lt;&gt;"",H224=SF_Output!$Y$2,SUMIFS(SF_Output!$T$1:$T$400,SF_Output!$AC$1:$AC$400,_xlfn.TEXTJOIN(",",TRUE,B224:E224),SF_Output!$Q$1:$Q$400,"monthly")&lt;&gt;0),SUMIFS(SF_Output!$S$1:$S$400,SF_Output!$AC$1:$AC$400,_xlfn.TEXTJOIN(",",TRUE,B224:E224),SF_Output!$Q$1:$Q$400,"monthly"),AND(B224&lt;&gt;"",H224&lt;&gt;SF_Output!$Y$2),SUMIFS(SF_Output!$S$1:$S$400,SF_Output!$AC$1:$AC$400,_xlfn.TEXTJOIN(",",TRUE,B224:E224),SF_Output!$Q$1:$Q$400,"monthly"))</f>
        <v/>
      </c>
      <c r="W224" s="112" t="str" cm="1">
        <f t="array" ref="W224">_xlfn.IFS(OR(B224=0,B224="",V224=0),"",AF224&lt;&gt;"exclusion",MAX($W$9,$W$7,(-(SUMIFS(SF_Output!$T$1:$T$400,SF_Output!$AC$1:$AC$400,_xlfn.TEXTJOIN(",",TRUE,$B224:$E224),SF_Output!$Q$1:$Q$400,"monthly"))/V224)),AF224="exclusion",-(SUMIFS(SF_Output!$T$1:$T$400,SF_Output!$AC$1:$AC$400,_xlfn.TEXTJOIN(",",TRUE,$B224:$E224),SF_Output!$Q$1:$Q$400,"monthly"))/V224)</f>
        <v/>
      </c>
      <c r="X224" s="6" t="str" cm="1">
        <f t="array" ref="X224">IFERROR(_xlfn.IFS(V224=0,0,V224="","",W224=0,V224,OR(V224&lt;&gt;0,V224&lt;&gt;""),H224*I224),V224*(1-W224))</f>
        <v/>
      </c>
    </row>
    <row r="225" spans="6:24" x14ac:dyDescent="0.25">
      <c r="F225" s="116" t="str">
        <f t="shared" si="12"/>
        <v/>
      </c>
      <c r="G225" t="str">
        <f>IF(B225="","",INDEX(SF_Output!$K$1:$K$400,MATCH(B225,SF_Output!$M$1:$M$400,0)))</f>
        <v/>
      </c>
      <c r="H225" t="str" cm="1">
        <f t="array" ref="H225">_xlfn.IFS(B225="","",(SUMIFS(SF_Output!$F$1:$F$400,SF_Output!$AC$1:$AC$400,_xlfn.TEXTJOIN(",",TRUE,B225:E225))+SUMIFS(SF_Output!$G$1:$G$400,SF_Output!$AC$1:$AC$400,_xlfn.TEXTJOIN(",",TRUE,B225:E225)))&lt;&gt;0,SF_Output!$Y$2,INDEX(SF_Output!$F$1:$F$400,MATCH(_xlfn.TEXTJOIN(",",TRUE,B225:E225),SF_Output!$AC$1:$AC$400,0))=0,INDEX(SF_Output!$R$1:$R$400,MATCH(_xlfn.TEXTJOIN(",",TRUE,B225:E225),SF_Output!$AC$1:$AC$400,0)))</f>
        <v/>
      </c>
      <c r="I225" s="125" t="str">
        <f>IFERROR(IF(AND(H225&gt;1,H225&lt;&gt;""),ROUND(SUMIFS(SF_Output!$S$1:$S$400,SF_Output!$AC$1:$AC$400,_xlfn.TEXTJOIN(",",TRUE,B225:E225),SF_Output!$Q$1:$Q$400,"monthly")*(1-W225)/H225,4),""),"")</f>
        <v/>
      </c>
      <c r="J225" s="6" t="str">
        <f>IF(B225="","",SUMIFS(SF_Output!$S$1:$S$400,SF_Output!$AC$1:$AC$400,_xlfn.TEXTJOIN(",",TRUE,B225:E225),SF_Output!$Q$1:$Q$400,"One Time",SF_Output!$L$1:$L$400,"license fee")+SUMIFS(SF_Output!$S$1:$S$400,SF_Output!$AC$1:$AC$400,_xlfn.TEXTJOIN(",",TRUE,B225:E225),SF_Output!$Q$1:$Q$400,"One Time",SF_Output!$L$1:$L$400,"software license")+SUMIFS(SF_Output!$S$1:$S$400,SF_Output!$AC$1:$AC$400,_xlfn.TEXTJOIN(",",TRUE,B225:E225),SF_Output!$Q$1:$Q$400,"One Time",SF_Output!$L$1:$L$400,"hardware"))</f>
        <v/>
      </c>
      <c r="K225" s="112" t="str">
        <f>IF(OR(B225=0,B225="",G225="hardware",J225=0),"",IF(AF225&lt;&gt;"exclusion",MAX(K$9,-((SUMIFS(SF_Output!$T$1:$T$400,SF_Output!$AC$1:$AC$400,_xlfn.TEXTJOIN(",",TRUE,$B225:$E225),SF_Output!$Q$1:$Q$400,"One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license"))/J225)),-((SUMIFS(SF_Output!$T$1:$T$400,SF_Output!$AC$1:$AC$400,_xlfn.TEXTJOIN(",",TRUE,$B225:$E225),SF_Output!$Q$1:$Q$400,"One Time",SF_Output!$L$1:$L$400,"license fee")+SUMIFS(SF_Output!$T$1:$T$400,SF_Output!$AC$1:$AC$400,_xlfn.TEXTJOIN(",",TRUE,$B225:$E225),SF_Output!$Q$1:$Q$400,"One Time",SF_Output!$L$1:$L$400,"software license"))/J225)))</f>
        <v/>
      </c>
      <c r="L225" s="6" t="str">
        <f t="shared" si="13"/>
        <v/>
      </c>
      <c r="N225" s="6" t="str">
        <f>IF(B225="","",SUMIFS(SF_Output!$S$1:$S$400,SF_Output!$AC$1:$AC$400,_xlfn.TEXTJOIN(",",TRUE,B225:E225),SF_Output!$Q$1:$Q$400,"One Time",SF_Output!$L$1:$L$400,"professional service"))</f>
        <v/>
      </c>
      <c r="O225" s="112" t="str">
        <f>IF(OR(B225=0,B225="",N225=0),"",IF(AF225&lt;&gt;"exclusion",MAX(O$9,-(SUMIFS(SF_Output!$T$1:$T$400,SF_Output!$AC$1:$AC$400,_xlfn.TEXTJOIN(",",TRUE,$B225:$E225),SF_Output!$Q$1:$Q$400,"One Time",SF_Output!$L$1:$L$400,"professional service"))/N225),-((SUMIFS(SF_Output!$T$1:$T$400,SF_Output!$AC$1:$AC$400,_xlfn.TEXTJOIN(",",TRUE,$B225:$E225),SF_Output!$Q$1:$Q$400,"One Time",SF_Output!$L$1:$L$400,"professional service")/N225))))</f>
        <v/>
      </c>
      <c r="P225" s="6" t="str">
        <f t="shared" si="14"/>
        <v/>
      </c>
      <c r="R225" s="6" t="str">
        <f>IF(B225="","",SUMIFS(SF_Output!$S$1:$S$400,SF_Output!$AC$1:$AC$400,_xlfn.TEXTJOIN(",",TRUE,B225:E225),SF_Output!$Q$1:$Q$400,"yearly")+SUMIFS(SF_Output!$S$1:$S$400,SF_Output!$AC$1:$AC$400,_xlfn.TEXTJOIN(",",TRUE,B225:E225),SF_Output!$Q$1:$Q$400,"quarterly")*4)</f>
        <v/>
      </c>
      <c r="S225" s="112" t="str">
        <f>IF(OR(B225=0,B225="",G225="hardware",R225=0),"",IF(AF225&lt;&gt;"exclusion",MAX(S$9,-(SUMIFS(SF_Output!$T$1:$T$400,SF_Output!$AC$1:$AC$400,_xlfn.TEXTJOIN(",",TRUE,$B225:$E225),SF_Output!$Q$1:$Q$400,"yearly"))/R225),-((SUMIFS(SF_Output!$T$1:$T$400,SF_Output!$AC$1:$AC$400,_xlfn.TEXTJOIN(",",TRUE,$B225:$E225),SF_Output!$Q$1:$Q$400,"yearly")/R225))))</f>
        <v/>
      </c>
      <c r="T225" s="6" t="str">
        <f t="shared" si="15"/>
        <v/>
      </c>
      <c r="V225" s="6" t="str" cm="1">
        <f t="array" ref="V225">_xlfn.IFS(B225="","",AND(B225&lt;&gt;"",H225=SF_Output!$Y$2,SUMIFS(SF_Output!$T$1:$T$400,SF_Output!$AC$1:$AC$400,_xlfn.TEXTJOIN(",",TRUE,B225:E225),SF_Output!$Q$1:$Q$400,"monthly")=0),(SUMIFS(SF_Output!$F$1:$F$400,SF_Output!$AC$1:$AC$400,_xlfn.TEXTJOIN(",",TRUE,B225:E225),SF_Output!$Q$1:$Q$400,"monthly")+SUMIFS(SF_Output!$G$1:$G$400,SF_Output!$AC$1:$AC$400,_xlfn.TEXTJOIN(",",TRUE,B225:E225),SF_Output!$Q$1:$Q$400,"monthly"))*H225,AND(B225&lt;&gt;"",H225=SF_Output!$Y$2,SUMIFS(SF_Output!$T$1:$T$400,SF_Output!$AC$1:$AC$400,_xlfn.TEXTJOIN(",",TRUE,B225:E225),SF_Output!$Q$1:$Q$400,"monthly")&lt;&gt;0),SUMIFS(SF_Output!$S$1:$S$400,SF_Output!$AC$1:$AC$400,_xlfn.TEXTJOIN(",",TRUE,B225:E225),SF_Output!$Q$1:$Q$400,"monthly"),AND(B225&lt;&gt;"",H225&lt;&gt;SF_Output!$Y$2),SUMIFS(SF_Output!$S$1:$S$400,SF_Output!$AC$1:$AC$400,_xlfn.TEXTJOIN(",",TRUE,B225:E225),SF_Output!$Q$1:$Q$400,"monthly"))</f>
        <v/>
      </c>
      <c r="W225" s="112" t="str" cm="1">
        <f t="array" ref="W225">_xlfn.IFS(OR(B225=0,B225="",V225=0),"",AF225&lt;&gt;"exclusion",MAX($W$9,$W$7,(-(SUMIFS(SF_Output!$T$1:$T$400,SF_Output!$AC$1:$AC$400,_xlfn.TEXTJOIN(",",TRUE,$B225:$E225),SF_Output!$Q$1:$Q$400,"monthly"))/V225)),AF225="exclusion",-(SUMIFS(SF_Output!$T$1:$T$400,SF_Output!$AC$1:$AC$400,_xlfn.TEXTJOIN(",",TRUE,$B225:$E225),SF_Output!$Q$1:$Q$400,"monthly"))/V225)</f>
        <v/>
      </c>
      <c r="X225" s="6" t="str" cm="1">
        <f t="array" ref="X225">IFERROR(_xlfn.IFS(V225=0,0,V225="","",W225=0,V225,OR(V225&lt;&gt;0,V225&lt;&gt;""),H225*I225),V225*(1-W225))</f>
        <v/>
      </c>
    </row>
    <row r="226" spans="6:24" x14ac:dyDescent="0.25">
      <c r="F226" s="116" t="str">
        <f t="shared" si="12"/>
        <v/>
      </c>
      <c r="G226" t="str">
        <f>IF(B226="","",INDEX(SF_Output!$K$1:$K$400,MATCH(B226,SF_Output!$M$1:$M$400,0)))</f>
        <v/>
      </c>
      <c r="H226" t="str" cm="1">
        <f t="array" ref="H226">_xlfn.IFS(B226="","",(SUMIFS(SF_Output!$F$1:$F$400,SF_Output!$AC$1:$AC$400,_xlfn.TEXTJOIN(",",TRUE,B226:E226))+SUMIFS(SF_Output!$G$1:$G$400,SF_Output!$AC$1:$AC$400,_xlfn.TEXTJOIN(",",TRUE,B226:E226)))&lt;&gt;0,SF_Output!$Y$2,INDEX(SF_Output!$F$1:$F$400,MATCH(_xlfn.TEXTJOIN(",",TRUE,B226:E226),SF_Output!$AC$1:$AC$400,0))=0,INDEX(SF_Output!$R$1:$R$400,MATCH(_xlfn.TEXTJOIN(",",TRUE,B226:E226),SF_Output!$AC$1:$AC$400,0)))</f>
        <v/>
      </c>
      <c r="I226" s="125" t="str">
        <f>IFERROR(IF(AND(H226&gt;1,H226&lt;&gt;""),ROUND(SUMIFS(SF_Output!$S$1:$S$400,SF_Output!$AC$1:$AC$400,_xlfn.TEXTJOIN(",",TRUE,B226:E226),SF_Output!$Q$1:$Q$400,"monthly")*(1-W226)/H226,4),""),"")</f>
        <v/>
      </c>
      <c r="J226" s="6" t="str">
        <f>IF(B226="","",SUMIFS(SF_Output!$S$1:$S$400,SF_Output!$AC$1:$AC$400,_xlfn.TEXTJOIN(",",TRUE,B226:E226),SF_Output!$Q$1:$Q$400,"One Time",SF_Output!$L$1:$L$400,"license fee")+SUMIFS(SF_Output!$S$1:$S$400,SF_Output!$AC$1:$AC$400,_xlfn.TEXTJOIN(",",TRUE,B226:E226),SF_Output!$Q$1:$Q$400,"One Time",SF_Output!$L$1:$L$400,"software license")+SUMIFS(SF_Output!$S$1:$S$400,SF_Output!$AC$1:$AC$400,_xlfn.TEXTJOIN(",",TRUE,B226:E226),SF_Output!$Q$1:$Q$400,"One Time",SF_Output!$L$1:$L$400,"hardware"))</f>
        <v/>
      </c>
      <c r="K226" s="112" t="str">
        <f>IF(OR(B226=0,B226="",G226="hardware",J226=0),"",IF(AF226&lt;&gt;"exclusion",MAX(K$9,-((SUMIFS(SF_Output!$T$1:$T$400,SF_Output!$AC$1:$AC$400,_xlfn.TEXTJOIN(",",TRUE,$B226:$E226),SF_Output!$Q$1:$Q$400,"One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license"))/J226)),-((SUMIFS(SF_Output!$T$1:$T$400,SF_Output!$AC$1:$AC$400,_xlfn.TEXTJOIN(",",TRUE,$B226:$E226),SF_Output!$Q$1:$Q$400,"One Time",SF_Output!$L$1:$L$400,"license fee")+SUMIFS(SF_Output!$T$1:$T$400,SF_Output!$AC$1:$AC$400,_xlfn.TEXTJOIN(",",TRUE,$B226:$E226),SF_Output!$Q$1:$Q$400,"One Time",SF_Output!$L$1:$L$400,"software license"))/J226)))</f>
        <v/>
      </c>
      <c r="L226" s="6" t="str">
        <f t="shared" si="13"/>
        <v/>
      </c>
      <c r="N226" s="6" t="str">
        <f>IF(B226="","",SUMIFS(SF_Output!$S$1:$S$400,SF_Output!$AC$1:$AC$400,_xlfn.TEXTJOIN(",",TRUE,B226:E226),SF_Output!$Q$1:$Q$400,"One Time",SF_Output!$L$1:$L$400,"professional service"))</f>
        <v/>
      </c>
      <c r="O226" s="112" t="str">
        <f>IF(OR(B226=0,B226="",N226=0),"",IF(AF226&lt;&gt;"exclusion",MAX(O$9,-(SUMIFS(SF_Output!$T$1:$T$400,SF_Output!$AC$1:$AC$400,_xlfn.TEXTJOIN(",",TRUE,$B226:$E226),SF_Output!$Q$1:$Q$400,"One Time",SF_Output!$L$1:$L$400,"professional service"))/N226),-((SUMIFS(SF_Output!$T$1:$T$400,SF_Output!$AC$1:$AC$400,_xlfn.TEXTJOIN(",",TRUE,$B226:$E226),SF_Output!$Q$1:$Q$400,"One Time",SF_Output!$L$1:$L$400,"professional service")/N226))))</f>
        <v/>
      </c>
      <c r="P226" s="6" t="str">
        <f t="shared" si="14"/>
        <v/>
      </c>
      <c r="R226" s="6" t="str">
        <f>IF(B226="","",SUMIFS(SF_Output!$S$1:$S$400,SF_Output!$AC$1:$AC$400,_xlfn.TEXTJOIN(",",TRUE,B226:E226),SF_Output!$Q$1:$Q$400,"yearly")+SUMIFS(SF_Output!$S$1:$S$400,SF_Output!$AC$1:$AC$400,_xlfn.TEXTJOIN(",",TRUE,B226:E226),SF_Output!$Q$1:$Q$400,"quarterly")*4)</f>
        <v/>
      </c>
      <c r="S226" s="112" t="str">
        <f>IF(OR(B226=0,B226="",G226="hardware",R226=0),"",IF(AF226&lt;&gt;"exclusion",MAX(S$9,-(SUMIFS(SF_Output!$T$1:$T$400,SF_Output!$AC$1:$AC$400,_xlfn.TEXTJOIN(",",TRUE,$B226:$E226),SF_Output!$Q$1:$Q$400,"yearly"))/R226),-((SUMIFS(SF_Output!$T$1:$T$400,SF_Output!$AC$1:$AC$400,_xlfn.TEXTJOIN(",",TRUE,$B226:$E226),SF_Output!$Q$1:$Q$400,"yearly")/R226))))</f>
        <v/>
      </c>
      <c r="T226" s="6" t="str">
        <f t="shared" si="15"/>
        <v/>
      </c>
      <c r="V226" s="6" t="str" cm="1">
        <f t="array" ref="V226">_xlfn.IFS(B226="","",AND(B226&lt;&gt;"",H226=SF_Output!$Y$2,SUMIFS(SF_Output!$T$1:$T$400,SF_Output!$AC$1:$AC$400,_xlfn.TEXTJOIN(",",TRUE,B226:E226),SF_Output!$Q$1:$Q$400,"monthly")=0),(SUMIFS(SF_Output!$F$1:$F$400,SF_Output!$AC$1:$AC$400,_xlfn.TEXTJOIN(",",TRUE,B226:E226),SF_Output!$Q$1:$Q$400,"monthly")+SUMIFS(SF_Output!$G$1:$G$400,SF_Output!$AC$1:$AC$400,_xlfn.TEXTJOIN(",",TRUE,B226:E226),SF_Output!$Q$1:$Q$400,"monthly"))*H226,AND(B226&lt;&gt;"",H226=SF_Output!$Y$2,SUMIFS(SF_Output!$T$1:$T$400,SF_Output!$AC$1:$AC$400,_xlfn.TEXTJOIN(",",TRUE,B226:E226),SF_Output!$Q$1:$Q$400,"monthly")&lt;&gt;0),SUMIFS(SF_Output!$S$1:$S$400,SF_Output!$AC$1:$AC$400,_xlfn.TEXTJOIN(",",TRUE,B226:E226),SF_Output!$Q$1:$Q$400,"monthly"),AND(B226&lt;&gt;"",H226&lt;&gt;SF_Output!$Y$2),SUMIFS(SF_Output!$S$1:$S$400,SF_Output!$AC$1:$AC$400,_xlfn.TEXTJOIN(",",TRUE,B226:E226),SF_Output!$Q$1:$Q$400,"monthly"))</f>
        <v/>
      </c>
      <c r="W226" s="112" t="str" cm="1">
        <f t="array" ref="W226">_xlfn.IFS(OR(B226=0,B226="",V226=0),"",AF226&lt;&gt;"exclusion",MAX($W$9,$W$7,(-(SUMIFS(SF_Output!$T$1:$T$400,SF_Output!$AC$1:$AC$400,_xlfn.TEXTJOIN(",",TRUE,$B226:$E226),SF_Output!$Q$1:$Q$400,"monthly"))/V226)),AF226="exclusion",-(SUMIFS(SF_Output!$T$1:$T$400,SF_Output!$AC$1:$AC$400,_xlfn.TEXTJOIN(",",TRUE,$B226:$E226),SF_Output!$Q$1:$Q$400,"monthly"))/V226)</f>
        <v/>
      </c>
      <c r="X226" s="6" t="str" cm="1">
        <f t="array" ref="X226">IFERROR(_xlfn.IFS(V226=0,0,V226="","",W226=0,V226,OR(V226&lt;&gt;0,V226&lt;&gt;""),H226*I226),V226*(1-W226))</f>
        <v/>
      </c>
    </row>
    <row r="227" spans="6:24" x14ac:dyDescent="0.25">
      <c r="F227" s="116" t="str">
        <f t="shared" si="12"/>
        <v/>
      </c>
      <c r="G227" t="str">
        <f>IF(B227="","",INDEX(SF_Output!$K$1:$K$400,MATCH(B227,SF_Output!$M$1:$M$400,0)))</f>
        <v/>
      </c>
      <c r="H227" t="str" cm="1">
        <f t="array" ref="H227">_xlfn.IFS(B227="","",(SUMIFS(SF_Output!$F$1:$F$400,SF_Output!$AC$1:$AC$400,_xlfn.TEXTJOIN(",",TRUE,B227:E227))+SUMIFS(SF_Output!$G$1:$G$400,SF_Output!$AC$1:$AC$400,_xlfn.TEXTJOIN(",",TRUE,B227:E227)))&lt;&gt;0,SF_Output!$Y$2,INDEX(SF_Output!$F$1:$F$400,MATCH(_xlfn.TEXTJOIN(",",TRUE,B227:E227),SF_Output!$AC$1:$AC$400,0))=0,INDEX(SF_Output!$R$1:$R$400,MATCH(_xlfn.TEXTJOIN(",",TRUE,B227:E227),SF_Output!$AC$1:$AC$400,0)))</f>
        <v/>
      </c>
      <c r="I227" s="125" t="str">
        <f>IFERROR(IF(AND(H227&gt;1,H227&lt;&gt;""),ROUND(SUMIFS(SF_Output!$S$1:$S$400,SF_Output!$AC$1:$AC$400,_xlfn.TEXTJOIN(",",TRUE,B227:E227),SF_Output!$Q$1:$Q$400,"monthly")*(1-W227)/H227,4),""),"")</f>
        <v/>
      </c>
      <c r="J227" s="6" t="str">
        <f>IF(B227="","",SUMIFS(SF_Output!$S$1:$S$400,SF_Output!$AC$1:$AC$400,_xlfn.TEXTJOIN(",",TRUE,B227:E227),SF_Output!$Q$1:$Q$400,"One Time",SF_Output!$L$1:$L$400,"license fee")+SUMIFS(SF_Output!$S$1:$S$400,SF_Output!$AC$1:$AC$400,_xlfn.TEXTJOIN(",",TRUE,B227:E227),SF_Output!$Q$1:$Q$400,"One Time",SF_Output!$L$1:$L$400,"software license")+SUMIFS(SF_Output!$S$1:$S$400,SF_Output!$AC$1:$AC$400,_xlfn.TEXTJOIN(",",TRUE,B227:E227),SF_Output!$Q$1:$Q$400,"One Time",SF_Output!$L$1:$L$400,"hardware"))</f>
        <v/>
      </c>
      <c r="K227" s="112" t="str">
        <f>IF(OR(B227=0,B227="",G227="hardware",J227=0),"",IF(AF227&lt;&gt;"exclusion",MAX(K$9,-((SUMIFS(SF_Output!$T$1:$T$400,SF_Output!$AC$1:$AC$400,_xlfn.TEXTJOIN(",",TRUE,$B227:$E227),SF_Output!$Q$1:$Q$400,"One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license"))/J227)),-((SUMIFS(SF_Output!$T$1:$T$400,SF_Output!$AC$1:$AC$400,_xlfn.TEXTJOIN(",",TRUE,$B227:$E227),SF_Output!$Q$1:$Q$400,"One Time",SF_Output!$L$1:$L$400,"license fee")+SUMIFS(SF_Output!$T$1:$T$400,SF_Output!$AC$1:$AC$400,_xlfn.TEXTJOIN(",",TRUE,$B227:$E227),SF_Output!$Q$1:$Q$400,"One Time",SF_Output!$L$1:$L$400,"software license"))/J227)))</f>
        <v/>
      </c>
      <c r="L227" s="6" t="str">
        <f t="shared" si="13"/>
        <v/>
      </c>
      <c r="N227" s="6" t="str">
        <f>IF(B227="","",SUMIFS(SF_Output!$S$1:$S$400,SF_Output!$AC$1:$AC$400,_xlfn.TEXTJOIN(",",TRUE,B227:E227),SF_Output!$Q$1:$Q$400,"One Time",SF_Output!$L$1:$L$400,"professional service"))</f>
        <v/>
      </c>
      <c r="O227" s="112" t="str">
        <f>IF(OR(B227=0,B227="",N227=0),"",IF(AF227&lt;&gt;"exclusion",MAX(O$9,-(SUMIFS(SF_Output!$T$1:$T$400,SF_Output!$AC$1:$AC$400,_xlfn.TEXTJOIN(",",TRUE,$B227:$E227),SF_Output!$Q$1:$Q$400,"One Time",SF_Output!$L$1:$L$400,"professional service"))/N227),-((SUMIFS(SF_Output!$T$1:$T$400,SF_Output!$AC$1:$AC$400,_xlfn.TEXTJOIN(",",TRUE,$B227:$E227),SF_Output!$Q$1:$Q$400,"One Time",SF_Output!$L$1:$L$400,"professional service")/N227))))</f>
        <v/>
      </c>
      <c r="P227" s="6" t="str">
        <f t="shared" si="14"/>
        <v/>
      </c>
      <c r="R227" s="6" t="str">
        <f>IF(B227="","",SUMIFS(SF_Output!$S$1:$S$400,SF_Output!$AC$1:$AC$400,_xlfn.TEXTJOIN(",",TRUE,B227:E227),SF_Output!$Q$1:$Q$400,"yearly")+SUMIFS(SF_Output!$S$1:$S$400,SF_Output!$AC$1:$AC$400,_xlfn.TEXTJOIN(",",TRUE,B227:E227),SF_Output!$Q$1:$Q$400,"quarterly")*4)</f>
        <v/>
      </c>
      <c r="S227" s="112" t="str">
        <f>IF(OR(B227=0,B227="",G227="hardware",R227=0),"",IF(AF227&lt;&gt;"exclusion",MAX(S$9,-(SUMIFS(SF_Output!$T$1:$T$400,SF_Output!$AC$1:$AC$400,_xlfn.TEXTJOIN(",",TRUE,$B227:$E227),SF_Output!$Q$1:$Q$400,"yearly"))/R227),-((SUMIFS(SF_Output!$T$1:$T$400,SF_Output!$AC$1:$AC$400,_xlfn.TEXTJOIN(",",TRUE,$B227:$E227),SF_Output!$Q$1:$Q$400,"yearly")/R227))))</f>
        <v/>
      </c>
      <c r="T227" s="6" t="str">
        <f t="shared" si="15"/>
        <v/>
      </c>
      <c r="V227" s="6" t="str" cm="1">
        <f t="array" ref="V227">_xlfn.IFS(B227="","",AND(B227&lt;&gt;"",H227=SF_Output!$Y$2,SUMIFS(SF_Output!$T$1:$T$400,SF_Output!$AC$1:$AC$400,_xlfn.TEXTJOIN(",",TRUE,B227:E227),SF_Output!$Q$1:$Q$400,"monthly")=0),(SUMIFS(SF_Output!$F$1:$F$400,SF_Output!$AC$1:$AC$400,_xlfn.TEXTJOIN(",",TRUE,B227:E227),SF_Output!$Q$1:$Q$400,"monthly")+SUMIFS(SF_Output!$G$1:$G$400,SF_Output!$AC$1:$AC$400,_xlfn.TEXTJOIN(",",TRUE,B227:E227),SF_Output!$Q$1:$Q$400,"monthly"))*H227,AND(B227&lt;&gt;"",H227=SF_Output!$Y$2,SUMIFS(SF_Output!$T$1:$T$400,SF_Output!$AC$1:$AC$400,_xlfn.TEXTJOIN(",",TRUE,B227:E227),SF_Output!$Q$1:$Q$400,"monthly")&lt;&gt;0),SUMIFS(SF_Output!$S$1:$S$400,SF_Output!$AC$1:$AC$400,_xlfn.TEXTJOIN(",",TRUE,B227:E227),SF_Output!$Q$1:$Q$400,"monthly"),AND(B227&lt;&gt;"",H227&lt;&gt;SF_Output!$Y$2),SUMIFS(SF_Output!$S$1:$S$400,SF_Output!$AC$1:$AC$400,_xlfn.TEXTJOIN(",",TRUE,B227:E227),SF_Output!$Q$1:$Q$400,"monthly"))</f>
        <v/>
      </c>
      <c r="W227" s="112" t="str" cm="1">
        <f t="array" ref="W227">_xlfn.IFS(OR(B227=0,B227="",V227=0),"",AF227&lt;&gt;"exclusion",MAX($W$9,$W$7,(-(SUMIFS(SF_Output!$T$1:$T$400,SF_Output!$AC$1:$AC$400,_xlfn.TEXTJOIN(",",TRUE,$B227:$E227),SF_Output!$Q$1:$Q$400,"monthly"))/V227)),AF227="exclusion",-(SUMIFS(SF_Output!$T$1:$T$400,SF_Output!$AC$1:$AC$400,_xlfn.TEXTJOIN(",",TRUE,$B227:$E227),SF_Output!$Q$1:$Q$400,"monthly"))/V227)</f>
        <v/>
      </c>
      <c r="X227" s="6" t="str" cm="1">
        <f t="array" ref="X227">IFERROR(_xlfn.IFS(V227=0,0,V227="","",W227=0,V227,OR(V227&lt;&gt;0,V227&lt;&gt;""),H227*I227),V227*(1-W227))</f>
        <v/>
      </c>
    </row>
    <row r="228" spans="6:24" x14ac:dyDescent="0.25">
      <c r="F228" s="116" t="str">
        <f t="shared" si="12"/>
        <v/>
      </c>
      <c r="G228" t="str">
        <f>IF(B228="","",INDEX(SF_Output!$K$1:$K$400,MATCH(B228,SF_Output!$M$1:$M$400,0)))</f>
        <v/>
      </c>
      <c r="H228" t="str" cm="1">
        <f t="array" ref="H228">_xlfn.IFS(B228="","",(SUMIFS(SF_Output!$F$1:$F$400,SF_Output!$AC$1:$AC$400,_xlfn.TEXTJOIN(",",TRUE,B228:E228))+SUMIFS(SF_Output!$G$1:$G$400,SF_Output!$AC$1:$AC$400,_xlfn.TEXTJOIN(",",TRUE,B228:E228)))&lt;&gt;0,SF_Output!$Y$2,INDEX(SF_Output!$F$1:$F$400,MATCH(_xlfn.TEXTJOIN(",",TRUE,B228:E228),SF_Output!$AC$1:$AC$400,0))=0,INDEX(SF_Output!$R$1:$R$400,MATCH(_xlfn.TEXTJOIN(",",TRUE,B228:E228),SF_Output!$AC$1:$AC$400,0)))</f>
        <v/>
      </c>
      <c r="I228" s="125" t="str">
        <f>IFERROR(IF(AND(H228&gt;1,H228&lt;&gt;""),ROUND(SUMIFS(SF_Output!$S$1:$S$400,SF_Output!$AC$1:$AC$400,_xlfn.TEXTJOIN(",",TRUE,B228:E228),SF_Output!$Q$1:$Q$400,"monthly")*(1-W228)/H228,4),""),"")</f>
        <v/>
      </c>
      <c r="J228" s="6" t="str">
        <f>IF(B228="","",SUMIFS(SF_Output!$S$1:$S$400,SF_Output!$AC$1:$AC$400,_xlfn.TEXTJOIN(",",TRUE,B228:E228),SF_Output!$Q$1:$Q$400,"One Time",SF_Output!$L$1:$L$400,"license fee")+SUMIFS(SF_Output!$S$1:$S$400,SF_Output!$AC$1:$AC$400,_xlfn.TEXTJOIN(",",TRUE,B228:E228),SF_Output!$Q$1:$Q$400,"One Time",SF_Output!$L$1:$L$400,"software license")+SUMIFS(SF_Output!$S$1:$S$400,SF_Output!$AC$1:$AC$400,_xlfn.TEXTJOIN(",",TRUE,B228:E228),SF_Output!$Q$1:$Q$400,"One Time",SF_Output!$L$1:$L$400,"hardware"))</f>
        <v/>
      </c>
      <c r="K228" s="112" t="str">
        <f>IF(OR(B228=0,B228="",G228="hardware",J228=0),"",IF(AF228&lt;&gt;"exclusion",MAX(K$9,-((SUMIFS(SF_Output!$T$1:$T$400,SF_Output!$AC$1:$AC$400,_xlfn.TEXTJOIN(",",TRUE,$B228:$E228),SF_Output!$Q$1:$Q$400,"One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license"))/J228)),-((SUMIFS(SF_Output!$T$1:$T$400,SF_Output!$AC$1:$AC$400,_xlfn.TEXTJOIN(",",TRUE,$B228:$E228),SF_Output!$Q$1:$Q$400,"One Time",SF_Output!$L$1:$L$400,"license fee")+SUMIFS(SF_Output!$T$1:$T$400,SF_Output!$AC$1:$AC$400,_xlfn.TEXTJOIN(",",TRUE,$B228:$E228),SF_Output!$Q$1:$Q$400,"One Time",SF_Output!$L$1:$L$400,"software license"))/J228)))</f>
        <v/>
      </c>
      <c r="L228" s="6" t="str">
        <f t="shared" si="13"/>
        <v/>
      </c>
      <c r="N228" s="6" t="str">
        <f>IF(B228="","",SUMIFS(SF_Output!$S$1:$S$400,SF_Output!$AC$1:$AC$400,_xlfn.TEXTJOIN(",",TRUE,B228:E228),SF_Output!$Q$1:$Q$400,"One Time",SF_Output!$L$1:$L$400,"professional service"))</f>
        <v/>
      </c>
      <c r="O228" s="112" t="str">
        <f>IF(OR(B228=0,B228="",N228=0),"",IF(AF228&lt;&gt;"exclusion",MAX(O$9,-(SUMIFS(SF_Output!$T$1:$T$400,SF_Output!$AC$1:$AC$400,_xlfn.TEXTJOIN(",",TRUE,$B228:$E228),SF_Output!$Q$1:$Q$400,"One Time",SF_Output!$L$1:$L$400,"professional service"))/N228),-((SUMIFS(SF_Output!$T$1:$T$400,SF_Output!$AC$1:$AC$400,_xlfn.TEXTJOIN(",",TRUE,$B228:$E228),SF_Output!$Q$1:$Q$400,"One Time",SF_Output!$L$1:$L$400,"professional service")/N228))))</f>
        <v/>
      </c>
      <c r="P228" s="6" t="str">
        <f t="shared" si="14"/>
        <v/>
      </c>
      <c r="R228" s="6" t="str">
        <f>IF(B228="","",SUMIFS(SF_Output!$S$1:$S$400,SF_Output!$AC$1:$AC$400,_xlfn.TEXTJOIN(",",TRUE,B228:E228),SF_Output!$Q$1:$Q$400,"yearly")+SUMIFS(SF_Output!$S$1:$S$400,SF_Output!$AC$1:$AC$400,_xlfn.TEXTJOIN(",",TRUE,B228:E228),SF_Output!$Q$1:$Q$400,"quarterly")*4)</f>
        <v/>
      </c>
      <c r="S228" s="112" t="str">
        <f>IF(OR(B228=0,B228="",G228="hardware",R228=0),"",IF(AF228&lt;&gt;"exclusion",MAX(S$9,-(SUMIFS(SF_Output!$T$1:$T$400,SF_Output!$AC$1:$AC$400,_xlfn.TEXTJOIN(",",TRUE,$B228:$E228),SF_Output!$Q$1:$Q$400,"yearly"))/R228),-((SUMIFS(SF_Output!$T$1:$T$400,SF_Output!$AC$1:$AC$400,_xlfn.TEXTJOIN(",",TRUE,$B228:$E228),SF_Output!$Q$1:$Q$400,"yearly")/R228))))</f>
        <v/>
      </c>
      <c r="T228" s="6" t="str">
        <f t="shared" si="15"/>
        <v/>
      </c>
      <c r="V228" s="6" t="str" cm="1">
        <f t="array" ref="V228">_xlfn.IFS(B228="","",AND(B228&lt;&gt;"",H228=SF_Output!$Y$2,SUMIFS(SF_Output!$T$1:$T$400,SF_Output!$AC$1:$AC$400,_xlfn.TEXTJOIN(",",TRUE,B228:E228),SF_Output!$Q$1:$Q$400,"monthly")=0),(SUMIFS(SF_Output!$F$1:$F$400,SF_Output!$AC$1:$AC$400,_xlfn.TEXTJOIN(",",TRUE,B228:E228),SF_Output!$Q$1:$Q$400,"monthly")+SUMIFS(SF_Output!$G$1:$G$400,SF_Output!$AC$1:$AC$400,_xlfn.TEXTJOIN(",",TRUE,B228:E228),SF_Output!$Q$1:$Q$400,"monthly"))*H228,AND(B228&lt;&gt;"",H228=SF_Output!$Y$2,SUMIFS(SF_Output!$T$1:$T$400,SF_Output!$AC$1:$AC$400,_xlfn.TEXTJOIN(",",TRUE,B228:E228),SF_Output!$Q$1:$Q$400,"monthly")&lt;&gt;0),SUMIFS(SF_Output!$S$1:$S$400,SF_Output!$AC$1:$AC$400,_xlfn.TEXTJOIN(",",TRUE,B228:E228),SF_Output!$Q$1:$Q$400,"monthly"),AND(B228&lt;&gt;"",H228&lt;&gt;SF_Output!$Y$2),SUMIFS(SF_Output!$S$1:$S$400,SF_Output!$AC$1:$AC$400,_xlfn.TEXTJOIN(",",TRUE,B228:E228),SF_Output!$Q$1:$Q$400,"monthly"))</f>
        <v/>
      </c>
      <c r="W228" s="112" t="str" cm="1">
        <f t="array" ref="W228">_xlfn.IFS(OR(B228=0,B228="",V228=0),"",AF228&lt;&gt;"exclusion",MAX($W$9,$W$7,(-(SUMIFS(SF_Output!$T$1:$T$400,SF_Output!$AC$1:$AC$400,_xlfn.TEXTJOIN(",",TRUE,$B228:$E228),SF_Output!$Q$1:$Q$400,"monthly"))/V228)),AF228="exclusion",-(SUMIFS(SF_Output!$T$1:$T$400,SF_Output!$AC$1:$AC$400,_xlfn.TEXTJOIN(",",TRUE,$B228:$E228),SF_Output!$Q$1:$Q$400,"monthly"))/V228)</f>
        <v/>
      </c>
      <c r="X228" s="6" t="str" cm="1">
        <f t="array" ref="X228">IFERROR(_xlfn.IFS(V228=0,0,V228="","",W228=0,V228,OR(V228&lt;&gt;0,V228&lt;&gt;""),H228*I228),V228*(1-W228))</f>
        <v/>
      </c>
    </row>
    <row r="229" spans="6:24" x14ac:dyDescent="0.25">
      <c r="F229" s="116" t="str">
        <f t="shared" si="12"/>
        <v/>
      </c>
      <c r="G229" t="str">
        <f>IF(B229="","",INDEX(SF_Output!$K$1:$K$400,MATCH(B229,SF_Output!$M$1:$M$400,0)))</f>
        <v/>
      </c>
      <c r="H229" t="str" cm="1">
        <f t="array" ref="H229">_xlfn.IFS(B229="","",(SUMIFS(SF_Output!$F$1:$F$400,SF_Output!$AC$1:$AC$400,_xlfn.TEXTJOIN(",",TRUE,B229:E229))+SUMIFS(SF_Output!$G$1:$G$400,SF_Output!$AC$1:$AC$400,_xlfn.TEXTJOIN(",",TRUE,B229:E229)))&lt;&gt;0,SF_Output!$Y$2,INDEX(SF_Output!$F$1:$F$400,MATCH(_xlfn.TEXTJOIN(",",TRUE,B229:E229),SF_Output!$AC$1:$AC$400,0))=0,INDEX(SF_Output!$R$1:$R$400,MATCH(_xlfn.TEXTJOIN(",",TRUE,B229:E229),SF_Output!$AC$1:$AC$400,0)))</f>
        <v/>
      </c>
      <c r="I229" s="125" t="str">
        <f>IFERROR(IF(AND(H229&gt;1,H229&lt;&gt;""),ROUND(SUMIFS(SF_Output!$S$1:$S$400,SF_Output!$AC$1:$AC$400,_xlfn.TEXTJOIN(",",TRUE,B229:E229),SF_Output!$Q$1:$Q$400,"monthly")*(1-W229)/H229,4),""),"")</f>
        <v/>
      </c>
      <c r="J229" s="6" t="str">
        <f>IF(B229="","",SUMIFS(SF_Output!$S$1:$S$400,SF_Output!$AC$1:$AC$400,_xlfn.TEXTJOIN(",",TRUE,B229:E229),SF_Output!$Q$1:$Q$400,"One Time",SF_Output!$L$1:$L$400,"license fee")+SUMIFS(SF_Output!$S$1:$S$400,SF_Output!$AC$1:$AC$400,_xlfn.TEXTJOIN(",",TRUE,B229:E229),SF_Output!$Q$1:$Q$400,"One Time",SF_Output!$L$1:$L$400,"software license")+SUMIFS(SF_Output!$S$1:$S$400,SF_Output!$AC$1:$AC$400,_xlfn.TEXTJOIN(",",TRUE,B229:E229),SF_Output!$Q$1:$Q$400,"One Time",SF_Output!$L$1:$L$400,"hardware"))</f>
        <v/>
      </c>
      <c r="K229" s="112" t="str">
        <f>IF(OR(B229=0,B229="",G229="hardware",J229=0),"",IF(AF229&lt;&gt;"exclusion",MAX(K$9,-((SUMIFS(SF_Output!$T$1:$T$400,SF_Output!$AC$1:$AC$400,_xlfn.TEXTJOIN(",",TRUE,$B229:$E229),SF_Output!$Q$1:$Q$400,"One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license"))/J229)),-((SUMIFS(SF_Output!$T$1:$T$400,SF_Output!$AC$1:$AC$400,_xlfn.TEXTJOIN(",",TRUE,$B229:$E229),SF_Output!$Q$1:$Q$400,"One Time",SF_Output!$L$1:$L$400,"license fee")+SUMIFS(SF_Output!$T$1:$T$400,SF_Output!$AC$1:$AC$400,_xlfn.TEXTJOIN(",",TRUE,$B229:$E229),SF_Output!$Q$1:$Q$400,"One Time",SF_Output!$L$1:$L$400,"software license"))/J229)))</f>
        <v/>
      </c>
      <c r="L229" s="6" t="str">
        <f t="shared" si="13"/>
        <v/>
      </c>
      <c r="N229" s="6" t="str">
        <f>IF(B229="","",SUMIFS(SF_Output!$S$1:$S$400,SF_Output!$AC$1:$AC$400,_xlfn.TEXTJOIN(",",TRUE,B229:E229),SF_Output!$Q$1:$Q$400,"One Time",SF_Output!$L$1:$L$400,"professional service"))</f>
        <v/>
      </c>
      <c r="O229" s="112" t="str">
        <f>IF(OR(B229=0,B229="",N229=0),"",IF(AF229&lt;&gt;"exclusion",MAX(O$9,-(SUMIFS(SF_Output!$T$1:$T$400,SF_Output!$AC$1:$AC$400,_xlfn.TEXTJOIN(",",TRUE,$B229:$E229),SF_Output!$Q$1:$Q$400,"One Time",SF_Output!$L$1:$L$400,"professional service"))/N229),-((SUMIFS(SF_Output!$T$1:$T$400,SF_Output!$AC$1:$AC$400,_xlfn.TEXTJOIN(",",TRUE,$B229:$E229),SF_Output!$Q$1:$Q$400,"One Time",SF_Output!$L$1:$L$400,"professional service")/N229))))</f>
        <v/>
      </c>
      <c r="P229" s="6" t="str">
        <f t="shared" si="14"/>
        <v/>
      </c>
      <c r="R229" s="6" t="str">
        <f>IF(B229="","",SUMIFS(SF_Output!$S$1:$S$400,SF_Output!$AC$1:$AC$400,_xlfn.TEXTJOIN(",",TRUE,B229:E229),SF_Output!$Q$1:$Q$400,"yearly")+SUMIFS(SF_Output!$S$1:$S$400,SF_Output!$AC$1:$AC$400,_xlfn.TEXTJOIN(",",TRUE,B229:E229),SF_Output!$Q$1:$Q$400,"quarterly")*4)</f>
        <v/>
      </c>
      <c r="S229" s="112" t="str">
        <f>IF(OR(B229=0,B229="",G229="hardware",R229=0),"",IF(AF229&lt;&gt;"exclusion",MAX(S$9,-(SUMIFS(SF_Output!$T$1:$T$400,SF_Output!$AC$1:$AC$400,_xlfn.TEXTJOIN(",",TRUE,$B229:$E229),SF_Output!$Q$1:$Q$400,"yearly"))/R229),-((SUMIFS(SF_Output!$T$1:$T$400,SF_Output!$AC$1:$AC$400,_xlfn.TEXTJOIN(",",TRUE,$B229:$E229),SF_Output!$Q$1:$Q$400,"yearly")/R229))))</f>
        <v/>
      </c>
      <c r="T229" s="6" t="str">
        <f t="shared" si="15"/>
        <v/>
      </c>
      <c r="V229" s="6" t="str" cm="1">
        <f t="array" ref="V229">_xlfn.IFS(B229="","",AND(B229&lt;&gt;"",H229=SF_Output!$Y$2,SUMIFS(SF_Output!$T$1:$T$400,SF_Output!$AC$1:$AC$400,_xlfn.TEXTJOIN(",",TRUE,B229:E229),SF_Output!$Q$1:$Q$400,"monthly")=0),(SUMIFS(SF_Output!$F$1:$F$400,SF_Output!$AC$1:$AC$400,_xlfn.TEXTJOIN(",",TRUE,B229:E229),SF_Output!$Q$1:$Q$400,"monthly")+SUMIFS(SF_Output!$G$1:$G$400,SF_Output!$AC$1:$AC$400,_xlfn.TEXTJOIN(",",TRUE,B229:E229),SF_Output!$Q$1:$Q$400,"monthly"))*H229,AND(B229&lt;&gt;"",H229=SF_Output!$Y$2,SUMIFS(SF_Output!$T$1:$T$400,SF_Output!$AC$1:$AC$400,_xlfn.TEXTJOIN(",",TRUE,B229:E229),SF_Output!$Q$1:$Q$400,"monthly")&lt;&gt;0),SUMIFS(SF_Output!$S$1:$S$400,SF_Output!$AC$1:$AC$400,_xlfn.TEXTJOIN(",",TRUE,B229:E229),SF_Output!$Q$1:$Q$400,"monthly"),AND(B229&lt;&gt;"",H229&lt;&gt;SF_Output!$Y$2),SUMIFS(SF_Output!$S$1:$S$400,SF_Output!$AC$1:$AC$400,_xlfn.TEXTJOIN(",",TRUE,B229:E229),SF_Output!$Q$1:$Q$400,"monthly"))</f>
        <v/>
      </c>
      <c r="W229" s="112" t="str" cm="1">
        <f t="array" ref="W229">_xlfn.IFS(OR(B229=0,B229="",V229=0),"",AF229&lt;&gt;"exclusion",MAX($W$9,$W$7,(-(SUMIFS(SF_Output!$T$1:$T$400,SF_Output!$AC$1:$AC$400,_xlfn.TEXTJOIN(",",TRUE,$B229:$E229),SF_Output!$Q$1:$Q$400,"monthly"))/V229)),AF229="exclusion",-(SUMIFS(SF_Output!$T$1:$T$400,SF_Output!$AC$1:$AC$400,_xlfn.TEXTJOIN(",",TRUE,$B229:$E229),SF_Output!$Q$1:$Q$400,"monthly"))/V229)</f>
        <v/>
      </c>
      <c r="X229" s="6" t="str" cm="1">
        <f t="array" ref="X229">IFERROR(_xlfn.IFS(V229=0,0,V229="","",W229=0,V229,OR(V229&lt;&gt;0,V229&lt;&gt;""),H229*I229),V229*(1-W229))</f>
        <v/>
      </c>
    </row>
    <row r="230" spans="6:24" x14ac:dyDescent="0.25">
      <c r="F230" s="116" t="str">
        <f t="shared" si="12"/>
        <v/>
      </c>
      <c r="G230" t="str">
        <f>IF(B230="","",INDEX(SF_Output!$K$1:$K$400,MATCH(B230,SF_Output!$M$1:$M$400,0)))</f>
        <v/>
      </c>
      <c r="H230" t="str" cm="1">
        <f t="array" ref="H230">_xlfn.IFS(B230="","",(SUMIFS(SF_Output!$F$1:$F$400,SF_Output!$AC$1:$AC$400,_xlfn.TEXTJOIN(",",TRUE,B230:E230))+SUMIFS(SF_Output!$G$1:$G$400,SF_Output!$AC$1:$AC$400,_xlfn.TEXTJOIN(",",TRUE,B230:E230)))&lt;&gt;0,SF_Output!$Y$2,INDEX(SF_Output!$F$1:$F$400,MATCH(_xlfn.TEXTJOIN(",",TRUE,B230:E230),SF_Output!$AC$1:$AC$400,0))=0,INDEX(SF_Output!$R$1:$R$400,MATCH(_xlfn.TEXTJOIN(",",TRUE,B230:E230),SF_Output!$AC$1:$AC$400,0)))</f>
        <v/>
      </c>
      <c r="I230" s="125" t="str">
        <f>IFERROR(IF(AND(H230&gt;1,H230&lt;&gt;""),ROUND(SUMIFS(SF_Output!$S$1:$S$400,SF_Output!$AC$1:$AC$400,_xlfn.TEXTJOIN(",",TRUE,B230:E230),SF_Output!$Q$1:$Q$400,"monthly")*(1-W230)/H230,4),""),"")</f>
        <v/>
      </c>
      <c r="J230" s="6" t="str">
        <f>IF(B230="","",SUMIFS(SF_Output!$S$1:$S$400,SF_Output!$AC$1:$AC$400,_xlfn.TEXTJOIN(",",TRUE,B230:E230),SF_Output!$Q$1:$Q$400,"One Time",SF_Output!$L$1:$L$400,"license fee")+SUMIFS(SF_Output!$S$1:$S$400,SF_Output!$AC$1:$AC$400,_xlfn.TEXTJOIN(",",TRUE,B230:E230),SF_Output!$Q$1:$Q$400,"One Time",SF_Output!$L$1:$L$400,"software license")+SUMIFS(SF_Output!$S$1:$S$400,SF_Output!$AC$1:$AC$400,_xlfn.TEXTJOIN(",",TRUE,B230:E230),SF_Output!$Q$1:$Q$400,"One Time",SF_Output!$L$1:$L$400,"hardware"))</f>
        <v/>
      </c>
      <c r="K230" s="112" t="str">
        <f>IF(OR(B230=0,B230="",G230="hardware",J230=0),"",IF(AF230&lt;&gt;"exclusion",MAX(K$9,-((SUMIFS(SF_Output!$T$1:$T$400,SF_Output!$AC$1:$AC$400,_xlfn.TEXTJOIN(",",TRUE,$B230:$E230),SF_Output!$Q$1:$Q$400,"One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license"))/J230)),-((SUMIFS(SF_Output!$T$1:$T$400,SF_Output!$AC$1:$AC$400,_xlfn.TEXTJOIN(",",TRUE,$B230:$E230),SF_Output!$Q$1:$Q$400,"One Time",SF_Output!$L$1:$L$400,"license fee")+SUMIFS(SF_Output!$T$1:$T$400,SF_Output!$AC$1:$AC$400,_xlfn.TEXTJOIN(",",TRUE,$B230:$E230),SF_Output!$Q$1:$Q$400,"One Time",SF_Output!$L$1:$L$400,"software license"))/J230)))</f>
        <v/>
      </c>
      <c r="L230" s="6" t="str">
        <f t="shared" si="13"/>
        <v/>
      </c>
      <c r="N230" s="6" t="str">
        <f>IF(B230="","",SUMIFS(SF_Output!$S$1:$S$400,SF_Output!$AC$1:$AC$400,_xlfn.TEXTJOIN(",",TRUE,B230:E230),SF_Output!$Q$1:$Q$400,"One Time",SF_Output!$L$1:$L$400,"professional service"))</f>
        <v/>
      </c>
      <c r="O230" s="112" t="str">
        <f>IF(OR(B230=0,B230="",N230=0),"",IF(AF230&lt;&gt;"exclusion",MAX(O$9,-(SUMIFS(SF_Output!$T$1:$T$400,SF_Output!$AC$1:$AC$400,_xlfn.TEXTJOIN(",",TRUE,$B230:$E230),SF_Output!$Q$1:$Q$400,"One Time",SF_Output!$L$1:$L$400,"professional service"))/N230),-((SUMIFS(SF_Output!$T$1:$T$400,SF_Output!$AC$1:$AC$400,_xlfn.TEXTJOIN(",",TRUE,$B230:$E230),SF_Output!$Q$1:$Q$400,"One Time",SF_Output!$L$1:$L$400,"professional service")/N230))))</f>
        <v/>
      </c>
      <c r="P230" s="6" t="str">
        <f t="shared" si="14"/>
        <v/>
      </c>
      <c r="R230" s="6" t="str">
        <f>IF(B230="","",SUMIFS(SF_Output!$S$1:$S$400,SF_Output!$AC$1:$AC$400,_xlfn.TEXTJOIN(",",TRUE,B230:E230),SF_Output!$Q$1:$Q$400,"yearly")+SUMIFS(SF_Output!$S$1:$S$400,SF_Output!$AC$1:$AC$400,_xlfn.TEXTJOIN(",",TRUE,B230:E230),SF_Output!$Q$1:$Q$400,"quarterly")*4)</f>
        <v/>
      </c>
      <c r="S230" s="112" t="str">
        <f>IF(OR(B230=0,B230="",G230="hardware",R230=0),"",IF(AF230&lt;&gt;"exclusion",MAX(S$9,-(SUMIFS(SF_Output!$T$1:$T$400,SF_Output!$AC$1:$AC$400,_xlfn.TEXTJOIN(",",TRUE,$B230:$E230),SF_Output!$Q$1:$Q$400,"yearly"))/R230),-((SUMIFS(SF_Output!$T$1:$T$400,SF_Output!$AC$1:$AC$400,_xlfn.TEXTJOIN(",",TRUE,$B230:$E230),SF_Output!$Q$1:$Q$400,"yearly")/R230))))</f>
        <v/>
      </c>
      <c r="T230" s="6" t="str">
        <f t="shared" si="15"/>
        <v/>
      </c>
      <c r="V230" s="6" t="str" cm="1">
        <f t="array" ref="V230">_xlfn.IFS(B230="","",AND(B230&lt;&gt;"",H230=SF_Output!$Y$2,SUMIFS(SF_Output!$T$1:$T$400,SF_Output!$AC$1:$AC$400,_xlfn.TEXTJOIN(",",TRUE,B230:E230),SF_Output!$Q$1:$Q$400,"monthly")=0),(SUMIFS(SF_Output!$F$1:$F$400,SF_Output!$AC$1:$AC$400,_xlfn.TEXTJOIN(",",TRUE,B230:E230),SF_Output!$Q$1:$Q$400,"monthly")+SUMIFS(SF_Output!$G$1:$G$400,SF_Output!$AC$1:$AC$400,_xlfn.TEXTJOIN(",",TRUE,B230:E230),SF_Output!$Q$1:$Q$400,"monthly"))*H230,AND(B230&lt;&gt;"",H230=SF_Output!$Y$2,SUMIFS(SF_Output!$T$1:$T$400,SF_Output!$AC$1:$AC$400,_xlfn.TEXTJOIN(",",TRUE,B230:E230),SF_Output!$Q$1:$Q$400,"monthly")&lt;&gt;0),SUMIFS(SF_Output!$S$1:$S$400,SF_Output!$AC$1:$AC$400,_xlfn.TEXTJOIN(",",TRUE,B230:E230),SF_Output!$Q$1:$Q$400,"monthly"),AND(B230&lt;&gt;"",H230&lt;&gt;SF_Output!$Y$2),SUMIFS(SF_Output!$S$1:$S$400,SF_Output!$AC$1:$AC$400,_xlfn.TEXTJOIN(",",TRUE,B230:E230),SF_Output!$Q$1:$Q$400,"monthly"))</f>
        <v/>
      </c>
      <c r="W230" s="112" t="str" cm="1">
        <f t="array" ref="W230">_xlfn.IFS(OR(B230=0,B230="",V230=0),"",AF230&lt;&gt;"exclusion",MAX($W$9,$W$7,(-(SUMIFS(SF_Output!$T$1:$T$400,SF_Output!$AC$1:$AC$400,_xlfn.TEXTJOIN(",",TRUE,$B230:$E230),SF_Output!$Q$1:$Q$400,"monthly"))/V230)),AF230="exclusion",-(SUMIFS(SF_Output!$T$1:$T$400,SF_Output!$AC$1:$AC$400,_xlfn.TEXTJOIN(",",TRUE,$B230:$E230),SF_Output!$Q$1:$Q$400,"monthly"))/V230)</f>
        <v/>
      </c>
      <c r="X230" s="6" t="str" cm="1">
        <f t="array" ref="X230">IFERROR(_xlfn.IFS(V230=0,0,V230="","",W230=0,V230,OR(V230&lt;&gt;0,V230&lt;&gt;""),H230*I230),V230*(1-W230))</f>
        <v/>
      </c>
    </row>
    <row r="231" spans="6:24" x14ac:dyDescent="0.25">
      <c r="F231" s="116" t="str">
        <f t="shared" si="12"/>
        <v/>
      </c>
      <c r="G231" t="str">
        <f>IF(B231="","",INDEX(SF_Output!$K$1:$K$400,MATCH(B231,SF_Output!$M$1:$M$400,0)))</f>
        <v/>
      </c>
      <c r="H231" t="str" cm="1">
        <f t="array" ref="H231">_xlfn.IFS(B231="","",(SUMIFS(SF_Output!$F$1:$F$400,SF_Output!$AC$1:$AC$400,_xlfn.TEXTJOIN(",",TRUE,B231:E231))+SUMIFS(SF_Output!$G$1:$G$400,SF_Output!$AC$1:$AC$400,_xlfn.TEXTJOIN(",",TRUE,B231:E231)))&lt;&gt;0,SF_Output!$Y$2,INDEX(SF_Output!$F$1:$F$400,MATCH(_xlfn.TEXTJOIN(",",TRUE,B231:E231),SF_Output!$AC$1:$AC$400,0))=0,INDEX(SF_Output!$R$1:$R$400,MATCH(_xlfn.TEXTJOIN(",",TRUE,B231:E231),SF_Output!$AC$1:$AC$400,0)))</f>
        <v/>
      </c>
      <c r="I231" s="125" t="str">
        <f>IFERROR(IF(AND(H231&gt;1,H231&lt;&gt;""),ROUND(SUMIFS(SF_Output!$S$1:$S$400,SF_Output!$AC$1:$AC$400,_xlfn.TEXTJOIN(",",TRUE,B231:E231),SF_Output!$Q$1:$Q$400,"monthly")*(1-W231)/H231,4),""),"")</f>
        <v/>
      </c>
      <c r="J231" s="6" t="str">
        <f>IF(B231="","",SUMIFS(SF_Output!$S$1:$S$400,SF_Output!$AC$1:$AC$400,_xlfn.TEXTJOIN(",",TRUE,B231:E231),SF_Output!$Q$1:$Q$400,"One Time",SF_Output!$L$1:$L$400,"license fee")+SUMIFS(SF_Output!$S$1:$S$400,SF_Output!$AC$1:$AC$400,_xlfn.TEXTJOIN(",",TRUE,B231:E231),SF_Output!$Q$1:$Q$400,"One Time",SF_Output!$L$1:$L$400,"software license")+SUMIFS(SF_Output!$S$1:$S$400,SF_Output!$AC$1:$AC$400,_xlfn.TEXTJOIN(",",TRUE,B231:E231),SF_Output!$Q$1:$Q$400,"One Time",SF_Output!$L$1:$L$400,"hardware"))</f>
        <v/>
      </c>
      <c r="K231" s="112" t="str">
        <f>IF(OR(B231=0,B231="",G231="hardware",J231=0),"",IF(AF231&lt;&gt;"exclusion",MAX(K$9,-((SUMIFS(SF_Output!$T$1:$T$400,SF_Output!$AC$1:$AC$400,_xlfn.TEXTJOIN(",",TRUE,$B231:$E231),SF_Output!$Q$1:$Q$400,"One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license"))/J231)),-((SUMIFS(SF_Output!$T$1:$T$400,SF_Output!$AC$1:$AC$400,_xlfn.TEXTJOIN(",",TRUE,$B231:$E231),SF_Output!$Q$1:$Q$400,"One Time",SF_Output!$L$1:$L$400,"license fee")+SUMIFS(SF_Output!$T$1:$T$400,SF_Output!$AC$1:$AC$400,_xlfn.TEXTJOIN(",",TRUE,$B231:$E231),SF_Output!$Q$1:$Q$400,"One Time",SF_Output!$L$1:$L$400,"software license"))/J231)))</f>
        <v/>
      </c>
      <c r="L231" s="6" t="str">
        <f t="shared" si="13"/>
        <v/>
      </c>
      <c r="N231" s="6" t="str">
        <f>IF(B231="","",SUMIFS(SF_Output!$S$1:$S$400,SF_Output!$AC$1:$AC$400,_xlfn.TEXTJOIN(",",TRUE,B231:E231),SF_Output!$Q$1:$Q$400,"One Time",SF_Output!$L$1:$L$400,"professional service"))</f>
        <v/>
      </c>
      <c r="O231" s="112" t="str">
        <f>IF(OR(B231=0,B231="",N231=0),"",IF(AF231&lt;&gt;"exclusion",MAX(O$9,-(SUMIFS(SF_Output!$T$1:$T$400,SF_Output!$AC$1:$AC$400,_xlfn.TEXTJOIN(",",TRUE,$B231:$E231),SF_Output!$Q$1:$Q$400,"One Time",SF_Output!$L$1:$L$400,"professional service"))/N231),-((SUMIFS(SF_Output!$T$1:$T$400,SF_Output!$AC$1:$AC$400,_xlfn.TEXTJOIN(",",TRUE,$B231:$E231),SF_Output!$Q$1:$Q$400,"One Time",SF_Output!$L$1:$L$400,"professional service")/N231))))</f>
        <v/>
      </c>
      <c r="P231" s="6" t="str">
        <f t="shared" si="14"/>
        <v/>
      </c>
      <c r="R231" s="6" t="str">
        <f>IF(B231="","",SUMIFS(SF_Output!$S$1:$S$400,SF_Output!$AC$1:$AC$400,_xlfn.TEXTJOIN(",",TRUE,B231:E231),SF_Output!$Q$1:$Q$400,"yearly")+SUMIFS(SF_Output!$S$1:$S$400,SF_Output!$AC$1:$AC$400,_xlfn.TEXTJOIN(",",TRUE,B231:E231),SF_Output!$Q$1:$Q$400,"quarterly")*4)</f>
        <v/>
      </c>
      <c r="S231" s="112" t="str">
        <f>IF(OR(B231=0,B231="",G231="hardware",R231=0),"",IF(AF231&lt;&gt;"exclusion",MAX(S$9,-(SUMIFS(SF_Output!$T$1:$T$400,SF_Output!$AC$1:$AC$400,_xlfn.TEXTJOIN(",",TRUE,$B231:$E231),SF_Output!$Q$1:$Q$400,"yearly"))/R231),-((SUMIFS(SF_Output!$T$1:$T$400,SF_Output!$AC$1:$AC$400,_xlfn.TEXTJOIN(",",TRUE,$B231:$E231),SF_Output!$Q$1:$Q$400,"yearly")/R231))))</f>
        <v/>
      </c>
      <c r="T231" s="6" t="str">
        <f t="shared" si="15"/>
        <v/>
      </c>
      <c r="V231" s="6" t="str" cm="1">
        <f t="array" ref="V231">_xlfn.IFS(B231="","",AND(B231&lt;&gt;"",H231=SF_Output!$Y$2,SUMIFS(SF_Output!$T$1:$T$400,SF_Output!$AC$1:$AC$400,_xlfn.TEXTJOIN(",",TRUE,B231:E231),SF_Output!$Q$1:$Q$400,"monthly")=0),(SUMIFS(SF_Output!$F$1:$F$400,SF_Output!$AC$1:$AC$400,_xlfn.TEXTJOIN(",",TRUE,B231:E231),SF_Output!$Q$1:$Q$400,"monthly")+SUMIFS(SF_Output!$G$1:$G$400,SF_Output!$AC$1:$AC$400,_xlfn.TEXTJOIN(",",TRUE,B231:E231),SF_Output!$Q$1:$Q$400,"monthly"))*H231,AND(B231&lt;&gt;"",H231=SF_Output!$Y$2,SUMIFS(SF_Output!$T$1:$T$400,SF_Output!$AC$1:$AC$400,_xlfn.TEXTJOIN(",",TRUE,B231:E231),SF_Output!$Q$1:$Q$400,"monthly")&lt;&gt;0),SUMIFS(SF_Output!$S$1:$S$400,SF_Output!$AC$1:$AC$400,_xlfn.TEXTJOIN(",",TRUE,B231:E231),SF_Output!$Q$1:$Q$400,"monthly"),AND(B231&lt;&gt;"",H231&lt;&gt;SF_Output!$Y$2),SUMIFS(SF_Output!$S$1:$S$400,SF_Output!$AC$1:$AC$400,_xlfn.TEXTJOIN(",",TRUE,B231:E231),SF_Output!$Q$1:$Q$400,"monthly"))</f>
        <v/>
      </c>
      <c r="W231" s="112" t="str" cm="1">
        <f t="array" ref="W231">_xlfn.IFS(OR(B231=0,B231="",V231=0),"",AF231&lt;&gt;"exclusion",MAX($W$9,$W$7,(-(SUMIFS(SF_Output!$T$1:$T$400,SF_Output!$AC$1:$AC$400,_xlfn.TEXTJOIN(",",TRUE,$B231:$E231),SF_Output!$Q$1:$Q$400,"monthly"))/V231)),AF231="exclusion",-(SUMIFS(SF_Output!$T$1:$T$400,SF_Output!$AC$1:$AC$400,_xlfn.TEXTJOIN(",",TRUE,$B231:$E231),SF_Output!$Q$1:$Q$400,"monthly"))/V231)</f>
        <v/>
      </c>
      <c r="X231" s="6" t="str" cm="1">
        <f t="array" ref="X231">IFERROR(_xlfn.IFS(V231=0,0,V231="","",W231=0,V231,OR(V231&lt;&gt;0,V231&lt;&gt;""),H231*I231),V231*(1-W231))</f>
        <v/>
      </c>
    </row>
    <row r="232" spans="6:24" x14ac:dyDescent="0.25">
      <c r="F232" s="116" t="str">
        <f t="shared" si="12"/>
        <v/>
      </c>
      <c r="G232" t="str">
        <f>IF(B232="","",INDEX(SF_Output!$K$1:$K$400,MATCH(B232,SF_Output!$M$1:$M$400,0)))</f>
        <v/>
      </c>
      <c r="H232" t="str" cm="1">
        <f t="array" ref="H232">_xlfn.IFS(B232="","",(SUMIFS(SF_Output!$F$1:$F$400,SF_Output!$AC$1:$AC$400,_xlfn.TEXTJOIN(",",TRUE,B232:E232))+SUMIFS(SF_Output!$G$1:$G$400,SF_Output!$AC$1:$AC$400,_xlfn.TEXTJOIN(",",TRUE,B232:E232)))&lt;&gt;0,SF_Output!$Y$2,INDEX(SF_Output!$F$1:$F$400,MATCH(_xlfn.TEXTJOIN(",",TRUE,B232:E232),SF_Output!$AC$1:$AC$400,0))=0,INDEX(SF_Output!$R$1:$R$400,MATCH(_xlfn.TEXTJOIN(",",TRUE,B232:E232),SF_Output!$AC$1:$AC$400,0)))</f>
        <v/>
      </c>
      <c r="I232" s="125" t="str">
        <f>IFERROR(IF(AND(H232&gt;1,H232&lt;&gt;""),ROUND(SUMIFS(SF_Output!$S$1:$S$400,SF_Output!$AC$1:$AC$400,_xlfn.TEXTJOIN(",",TRUE,B232:E232),SF_Output!$Q$1:$Q$400,"monthly")*(1-W232)/H232,4),""),"")</f>
        <v/>
      </c>
      <c r="J232" s="6" t="str">
        <f>IF(B232="","",SUMIFS(SF_Output!$S$1:$S$400,SF_Output!$AC$1:$AC$400,_xlfn.TEXTJOIN(",",TRUE,B232:E232),SF_Output!$Q$1:$Q$400,"One Time",SF_Output!$L$1:$L$400,"license fee")+SUMIFS(SF_Output!$S$1:$S$400,SF_Output!$AC$1:$AC$400,_xlfn.TEXTJOIN(",",TRUE,B232:E232),SF_Output!$Q$1:$Q$400,"One Time",SF_Output!$L$1:$L$400,"software license")+SUMIFS(SF_Output!$S$1:$S$400,SF_Output!$AC$1:$AC$400,_xlfn.TEXTJOIN(",",TRUE,B232:E232),SF_Output!$Q$1:$Q$400,"One Time",SF_Output!$L$1:$L$400,"hardware"))</f>
        <v/>
      </c>
      <c r="K232" s="112" t="str">
        <f>IF(OR(B232=0,B232="",G232="hardware",J232=0),"",IF(AF232&lt;&gt;"exclusion",MAX(K$9,-((SUMIFS(SF_Output!$T$1:$T$400,SF_Output!$AC$1:$AC$400,_xlfn.TEXTJOIN(",",TRUE,$B232:$E232),SF_Output!$Q$1:$Q$400,"One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license"))/J232)),-((SUMIFS(SF_Output!$T$1:$T$400,SF_Output!$AC$1:$AC$400,_xlfn.TEXTJOIN(",",TRUE,$B232:$E232),SF_Output!$Q$1:$Q$400,"One Time",SF_Output!$L$1:$L$400,"license fee")+SUMIFS(SF_Output!$T$1:$T$400,SF_Output!$AC$1:$AC$400,_xlfn.TEXTJOIN(",",TRUE,$B232:$E232),SF_Output!$Q$1:$Q$400,"One Time",SF_Output!$L$1:$L$400,"software license"))/J232)))</f>
        <v/>
      </c>
      <c r="L232" s="6" t="str">
        <f t="shared" si="13"/>
        <v/>
      </c>
      <c r="N232" s="6" t="str">
        <f>IF(B232="","",SUMIFS(SF_Output!$S$1:$S$400,SF_Output!$AC$1:$AC$400,_xlfn.TEXTJOIN(",",TRUE,B232:E232),SF_Output!$Q$1:$Q$400,"One Time",SF_Output!$L$1:$L$400,"professional service"))</f>
        <v/>
      </c>
      <c r="O232" s="112" t="str">
        <f>IF(OR(B232=0,B232="",N232=0),"",IF(AF232&lt;&gt;"exclusion",MAX(O$9,-(SUMIFS(SF_Output!$T$1:$T$400,SF_Output!$AC$1:$AC$400,_xlfn.TEXTJOIN(",",TRUE,$B232:$E232),SF_Output!$Q$1:$Q$400,"One Time",SF_Output!$L$1:$L$400,"professional service"))/N232),-((SUMIFS(SF_Output!$T$1:$T$400,SF_Output!$AC$1:$AC$400,_xlfn.TEXTJOIN(",",TRUE,$B232:$E232),SF_Output!$Q$1:$Q$400,"One Time",SF_Output!$L$1:$L$400,"professional service")/N232))))</f>
        <v/>
      </c>
      <c r="P232" s="6" t="str">
        <f t="shared" si="14"/>
        <v/>
      </c>
      <c r="R232" s="6" t="str">
        <f>IF(B232="","",SUMIFS(SF_Output!$S$1:$S$400,SF_Output!$AC$1:$AC$400,_xlfn.TEXTJOIN(",",TRUE,B232:E232),SF_Output!$Q$1:$Q$400,"yearly")+SUMIFS(SF_Output!$S$1:$S$400,SF_Output!$AC$1:$AC$400,_xlfn.TEXTJOIN(",",TRUE,B232:E232),SF_Output!$Q$1:$Q$400,"quarterly")*4)</f>
        <v/>
      </c>
      <c r="S232" s="112" t="str">
        <f>IF(OR(B232=0,B232="",G232="hardware",R232=0),"",IF(AF232&lt;&gt;"exclusion",MAX(S$9,-(SUMIFS(SF_Output!$T$1:$T$400,SF_Output!$AC$1:$AC$400,_xlfn.TEXTJOIN(",",TRUE,$B232:$E232),SF_Output!$Q$1:$Q$400,"yearly"))/R232),-((SUMIFS(SF_Output!$T$1:$T$400,SF_Output!$AC$1:$AC$400,_xlfn.TEXTJOIN(",",TRUE,$B232:$E232),SF_Output!$Q$1:$Q$400,"yearly")/R232))))</f>
        <v/>
      </c>
      <c r="T232" s="6" t="str">
        <f t="shared" si="15"/>
        <v/>
      </c>
      <c r="V232" s="6" t="str" cm="1">
        <f t="array" ref="V232">_xlfn.IFS(B232="","",AND(B232&lt;&gt;"",H232=SF_Output!$Y$2,SUMIFS(SF_Output!$T$1:$T$400,SF_Output!$AC$1:$AC$400,_xlfn.TEXTJOIN(",",TRUE,B232:E232),SF_Output!$Q$1:$Q$400,"monthly")=0),(SUMIFS(SF_Output!$F$1:$F$400,SF_Output!$AC$1:$AC$400,_xlfn.TEXTJOIN(",",TRUE,B232:E232),SF_Output!$Q$1:$Q$400,"monthly")+SUMIFS(SF_Output!$G$1:$G$400,SF_Output!$AC$1:$AC$400,_xlfn.TEXTJOIN(",",TRUE,B232:E232),SF_Output!$Q$1:$Q$400,"monthly"))*H232,AND(B232&lt;&gt;"",H232=SF_Output!$Y$2,SUMIFS(SF_Output!$T$1:$T$400,SF_Output!$AC$1:$AC$400,_xlfn.TEXTJOIN(",",TRUE,B232:E232),SF_Output!$Q$1:$Q$400,"monthly")&lt;&gt;0),SUMIFS(SF_Output!$S$1:$S$400,SF_Output!$AC$1:$AC$400,_xlfn.TEXTJOIN(",",TRUE,B232:E232),SF_Output!$Q$1:$Q$400,"monthly"),AND(B232&lt;&gt;"",H232&lt;&gt;SF_Output!$Y$2),SUMIFS(SF_Output!$S$1:$S$400,SF_Output!$AC$1:$AC$400,_xlfn.TEXTJOIN(",",TRUE,B232:E232),SF_Output!$Q$1:$Q$400,"monthly"))</f>
        <v/>
      </c>
      <c r="W232" s="112" t="str" cm="1">
        <f t="array" ref="W232">_xlfn.IFS(OR(B232=0,B232="",V232=0),"",AF232&lt;&gt;"exclusion",MAX($W$9,$W$7,(-(SUMIFS(SF_Output!$T$1:$T$400,SF_Output!$AC$1:$AC$400,_xlfn.TEXTJOIN(",",TRUE,$B232:$E232),SF_Output!$Q$1:$Q$400,"monthly"))/V232)),AF232="exclusion",-(SUMIFS(SF_Output!$T$1:$T$400,SF_Output!$AC$1:$AC$400,_xlfn.TEXTJOIN(",",TRUE,$B232:$E232),SF_Output!$Q$1:$Q$400,"monthly"))/V232)</f>
        <v/>
      </c>
      <c r="X232" s="6" t="str" cm="1">
        <f t="array" ref="X232">IFERROR(_xlfn.IFS(V232=0,0,V232="","",W232=0,V232,OR(V232&lt;&gt;0,V232&lt;&gt;""),H232*I232),V232*(1-W232))</f>
        <v/>
      </c>
    </row>
    <row r="233" spans="6:24" x14ac:dyDescent="0.25">
      <c r="F233" s="116" t="str">
        <f t="shared" si="12"/>
        <v/>
      </c>
      <c r="G233" t="str">
        <f>IF(B233="","",INDEX(SF_Output!$K$1:$K$400,MATCH(B233,SF_Output!$M$1:$M$400,0)))</f>
        <v/>
      </c>
      <c r="H233" t="str" cm="1">
        <f t="array" ref="H233">_xlfn.IFS(B233="","",(SUMIFS(SF_Output!$F$1:$F$400,SF_Output!$AC$1:$AC$400,_xlfn.TEXTJOIN(",",TRUE,B233:E233))+SUMIFS(SF_Output!$G$1:$G$400,SF_Output!$AC$1:$AC$400,_xlfn.TEXTJOIN(",",TRUE,B233:E233)))&lt;&gt;0,SF_Output!$Y$2,INDEX(SF_Output!$F$1:$F$400,MATCH(_xlfn.TEXTJOIN(",",TRUE,B233:E233),SF_Output!$AC$1:$AC$400,0))=0,INDEX(SF_Output!$R$1:$R$400,MATCH(_xlfn.TEXTJOIN(",",TRUE,B233:E233),SF_Output!$AC$1:$AC$400,0)))</f>
        <v/>
      </c>
      <c r="I233" s="125" t="str">
        <f>IFERROR(IF(AND(H233&gt;1,H233&lt;&gt;""),ROUND(SUMIFS(SF_Output!$S$1:$S$400,SF_Output!$AC$1:$AC$400,_xlfn.TEXTJOIN(",",TRUE,B233:E233),SF_Output!$Q$1:$Q$400,"monthly")*(1-W233)/H233,4),""),"")</f>
        <v/>
      </c>
      <c r="J233" s="6" t="str">
        <f>IF(B233="","",SUMIFS(SF_Output!$S$1:$S$400,SF_Output!$AC$1:$AC$400,_xlfn.TEXTJOIN(",",TRUE,B233:E233),SF_Output!$Q$1:$Q$400,"One Time",SF_Output!$L$1:$L$400,"license fee")+SUMIFS(SF_Output!$S$1:$S$400,SF_Output!$AC$1:$AC$400,_xlfn.TEXTJOIN(",",TRUE,B233:E233),SF_Output!$Q$1:$Q$400,"One Time",SF_Output!$L$1:$L$400,"software license")+SUMIFS(SF_Output!$S$1:$S$400,SF_Output!$AC$1:$AC$400,_xlfn.TEXTJOIN(",",TRUE,B233:E233),SF_Output!$Q$1:$Q$400,"One Time",SF_Output!$L$1:$L$400,"hardware"))</f>
        <v/>
      </c>
      <c r="K233" s="112" t="str">
        <f>IF(OR(B233=0,B233="",G233="hardware",J233=0),"",IF(AF233&lt;&gt;"exclusion",MAX(K$9,-((SUMIFS(SF_Output!$T$1:$T$400,SF_Output!$AC$1:$AC$400,_xlfn.TEXTJOIN(",",TRUE,$B233:$E233),SF_Output!$Q$1:$Q$400,"One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license"))/J233)),-((SUMIFS(SF_Output!$T$1:$T$400,SF_Output!$AC$1:$AC$400,_xlfn.TEXTJOIN(",",TRUE,$B233:$E233),SF_Output!$Q$1:$Q$400,"One Time",SF_Output!$L$1:$L$400,"license fee")+SUMIFS(SF_Output!$T$1:$T$400,SF_Output!$AC$1:$AC$400,_xlfn.TEXTJOIN(",",TRUE,$B233:$E233),SF_Output!$Q$1:$Q$400,"One Time",SF_Output!$L$1:$L$400,"software license"))/J233)))</f>
        <v/>
      </c>
      <c r="L233" s="6" t="str">
        <f t="shared" si="13"/>
        <v/>
      </c>
      <c r="N233" s="6" t="str">
        <f>IF(B233="","",SUMIFS(SF_Output!$S$1:$S$400,SF_Output!$AC$1:$AC$400,_xlfn.TEXTJOIN(",",TRUE,B233:E233),SF_Output!$Q$1:$Q$400,"One Time",SF_Output!$L$1:$L$400,"professional service"))</f>
        <v/>
      </c>
      <c r="O233" s="112" t="str">
        <f>IF(OR(B233=0,B233="",N233=0),"",IF(AF233&lt;&gt;"exclusion",MAX(O$9,-(SUMIFS(SF_Output!$T$1:$T$400,SF_Output!$AC$1:$AC$400,_xlfn.TEXTJOIN(",",TRUE,$B233:$E233),SF_Output!$Q$1:$Q$400,"One Time",SF_Output!$L$1:$L$400,"professional service"))/N233),-((SUMIFS(SF_Output!$T$1:$T$400,SF_Output!$AC$1:$AC$400,_xlfn.TEXTJOIN(",",TRUE,$B233:$E233),SF_Output!$Q$1:$Q$400,"One Time",SF_Output!$L$1:$L$400,"professional service")/N233))))</f>
        <v/>
      </c>
      <c r="P233" s="6" t="str">
        <f t="shared" si="14"/>
        <v/>
      </c>
      <c r="R233" s="6" t="str">
        <f>IF(B233="","",SUMIFS(SF_Output!$S$1:$S$400,SF_Output!$AC$1:$AC$400,_xlfn.TEXTJOIN(",",TRUE,B233:E233),SF_Output!$Q$1:$Q$400,"yearly")+SUMIFS(SF_Output!$S$1:$S$400,SF_Output!$AC$1:$AC$400,_xlfn.TEXTJOIN(",",TRUE,B233:E233),SF_Output!$Q$1:$Q$400,"quarterly")*4)</f>
        <v/>
      </c>
      <c r="S233" s="112" t="str">
        <f>IF(OR(B233=0,B233="",G233="hardware",R233=0),"",IF(AF233&lt;&gt;"exclusion",MAX(S$9,-(SUMIFS(SF_Output!$T$1:$T$400,SF_Output!$AC$1:$AC$400,_xlfn.TEXTJOIN(",",TRUE,$B233:$E233),SF_Output!$Q$1:$Q$400,"yearly"))/R233),-((SUMIFS(SF_Output!$T$1:$T$400,SF_Output!$AC$1:$AC$400,_xlfn.TEXTJOIN(",",TRUE,$B233:$E233),SF_Output!$Q$1:$Q$400,"yearly")/R233))))</f>
        <v/>
      </c>
      <c r="T233" s="6" t="str">
        <f t="shared" si="15"/>
        <v/>
      </c>
      <c r="V233" s="6" t="str" cm="1">
        <f t="array" ref="V233">_xlfn.IFS(B233="","",AND(B233&lt;&gt;"",H233=SF_Output!$Y$2,SUMIFS(SF_Output!$T$1:$T$400,SF_Output!$AC$1:$AC$400,_xlfn.TEXTJOIN(",",TRUE,B233:E233),SF_Output!$Q$1:$Q$400,"monthly")=0),(SUMIFS(SF_Output!$F$1:$F$400,SF_Output!$AC$1:$AC$400,_xlfn.TEXTJOIN(",",TRUE,B233:E233),SF_Output!$Q$1:$Q$400,"monthly")+SUMIFS(SF_Output!$G$1:$G$400,SF_Output!$AC$1:$AC$400,_xlfn.TEXTJOIN(",",TRUE,B233:E233),SF_Output!$Q$1:$Q$400,"monthly"))*H233,AND(B233&lt;&gt;"",H233=SF_Output!$Y$2,SUMIFS(SF_Output!$T$1:$T$400,SF_Output!$AC$1:$AC$400,_xlfn.TEXTJOIN(",",TRUE,B233:E233),SF_Output!$Q$1:$Q$400,"monthly")&lt;&gt;0),SUMIFS(SF_Output!$S$1:$S$400,SF_Output!$AC$1:$AC$400,_xlfn.TEXTJOIN(",",TRUE,B233:E233),SF_Output!$Q$1:$Q$400,"monthly"),AND(B233&lt;&gt;"",H233&lt;&gt;SF_Output!$Y$2),SUMIFS(SF_Output!$S$1:$S$400,SF_Output!$AC$1:$AC$400,_xlfn.TEXTJOIN(",",TRUE,B233:E233),SF_Output!$Q$1:$Q$400,"monthly"))</f>
        <v/>
      </c>
      <c r="W233" s="112" t="str" cm="1">
        <f t="array" ref="W233">_xlfn.IFS(OR(B233=0,B233="",V233=0),"",AF233&lt;&gt;"exclusion",MAX($W$9,$W$7,(-(SUMIFS(SF_Output!$T$1:$T$400,SF_Output!$AC$1:$AC$400,_xlfn.TEXTJOIN(",",TRUE,$B233:$E233),SF_Output!$Q$1:$Q$400,"monthly"))/V233)),AF233="exclusion",-(SUMIFS(SF_Output!$T$1:$T$400,SF_Output!$AC$1:$AC$400,_xlfn.TEXTJOIN(",",TRUE,$B233:$E233),SF_Output!$Q$1:$Q$400,"monthly"))/V233)</f>
        <v/>
      </c>
      <c r="X233" s="6" t="str" cm="1">
        <f t="array" ref="X233">IFERROR(_xlfn.IFS(V233=0,0,V233="","",W233=0,V233,OR(V233&lt;&gt;0,V233&lt;&gt;""),H233*I233),V233*(1-W233))</f>
        <v/>
      </c>
    </row>
    <row r="234" spans="6:24" x14ac:dyDescent="0.25">
      <c r="F234" s="116" t="str">
        <f t="shared" si="12"/>
        <v/>
      </c>
      <c r="G234" t="str">
        <f>IF(B234="","",INDEX(SF_Output!$K$1:$K$400,MATCH(B234,SF_Output!$M$1:$M$400,0)))</f>
        <v/>
      </c>
      <c r="H234" t="str" cm="1">
        <f t="array" ref="H234">_xlfn.IFS(B234="","",(SUMIFS(SF_Output!$F$1:$F$400,SF_Output!$AC$1:$AC$400,_xlfn.TEXTJOIN(",",TRUE,B234:E234))+SUMIFS(SF_Output!$G$1:$G$400,SF_Output!$AC$1:$AC$400,_xlfn.TEXTJOIN(",",TRUE,B234:E234)))&lt;&gt;0,SF_Output!$Y$2,INDEX(SF_Output!$F$1:$F$400,MATCH(_xlfn.TEXTJOIN(",",TRUE,B234:E234),SF_Output!$AC$1:$AC$400,0))=0,INDEX(SF_Output!$R$1:$R$400,MATCH(_xlfn.TEXTJOIN(",",TRUE,B234:E234),SF_Output!$AC$1:$AC$400,0)))</f>
        <v/>
      </c>
      <c r="I234" s="125" t="str">
        <f>IFERROR(IF(AND(H234&gt;1,H234&lt;&gt;""),ROUND(SUMIFS(SF_Output!$S$1:$S$400,SF_Output!$AC$1:$AC$400,_xlfn.TEXTJOIN(",",TRUE,B234:E234),SF_Output!$Q$1:$Q$400,"monthly")*(1-W234)/H234,4),""),"")</f>
        <v/>
      </c>
      <c r="J234" s="6" t="str">
        <f>IF(B234="","",SUMIFS(SF_Output!$S$1:$S$400,SF_Output!$AC$1:$AC$400,_xlfn.TEXTJOIN(",",TRUE,B234:E234),SF_Output!$Q$1:$Q$400,"One Time",SF_Output!$L$1:$L$400,"license fee")+SUMIFS(SF_Output!$S$1:$S$400,SF_Output!$AC$1:$AC$400,_xlfn.TEXTJOIN(",",TRUE,B234:E234),SF_Output!$Q$1:$Q$400,"One Time",SF_Output!$L$1:$L$400,"software license")+SUMIFS(SF_Output!$S$1:$S$400,SF_Output!$AC$1:$AC$400,_xlfn.TEXTJOIN(",",TRUE,B234:E234),SF_Output!$Q$1:$Q$400,"One Time",SF_Output!$L$1:$L$400,"hardware"))</f>
        <v/>
      </c>
      <c r="K234" s="112" t="str">
        <f>IF(OR(B234=0,B234="",G234="hardware",J234=0),"",IF(AF234&lt;&gt;"exclusion",MAX(K$9,-((SUMIFS(SF_Output!$T$1:$T$400,SF_Output!$AC$1:$AC$400,_xlfn.TEXTJOIN(",",TRUE,$B234:$E234),SF_Output!$Q$1:$Q$400,"One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license"))/J234)),-((SUMIFS(SF_Output!$T$1:$T$400,SF_Output!$AC$1:$AC$400,_xlfn.TEXTJOIN(",",TRUE,$B234:$E234),SF_Output!$Q$1:$Q$400,"One Time",SF_Output!$L$1:$L$400,"license fee")+SUMIFS(SF_Output!$T$1:$T$400,SF_Output!$AC$1:$AC$400,_xlfn.TEXTJOIN(",",TRUE,$B234:$E234),SF_Output!$Q$1:$Q$400,"One Time",SF_Output!$L$1:$L$400,"software license"))/J234)))</f>
        <v/>
      </c>
      <c r="L234" s="6" t="str">
        <f t="shared" si="13"/>
        <v/>
      </c>
      <c r="N234" s="6" t="str">
        <f>IF(B234="","",SUMIFS(SF_Output!$S$1:$S$400,SF_Output!$AC$1:$AC$400,_xlfn.TEXTJOIN(",",TRUE,B234:E234),SF_Output!$Q$1:$Q$400,"One Time",SF_Output!$L$1:$L$400,"professional service"))</f>
        <v/>
      </c>
      <c r="O234" s="112" t="str">
        <f>IF(OR(B234=0,B234="",N234=0),"",IF(AF234&lt;&gt;"exclusion",MAX(O$9,-(SUMIFS(SF_Output!$T$1:$T$400,SF_Output!$AC$1:$AC$400,_xlfn.TEXTJOIN(",",TRUE,$B234:$E234),SF_Output!$Q$1:$Q$400,"One Time",SF_Output!$L$1:$L$400,"professional service"))/N234),-((SUMIFS(SF_Output!$T$1:$T$400,SF_Output!$AC$1:$AC$400,_xlfn.TEXTJOIN(",",TRUE,$B234:$E234),SF_Output!$Q$1:$Q$400,"One Time",SF_Output!$L$1:$L$400,"professional service")/N234))))</f>
        <v/>
      </c>
      <c r="P234" s="6" t="str">
        <f t="shared" si="14"/>
        <v/>
      </c>
      <c r="R234" s="6" t="str">
        <f>IF(B234="","",SUMIFS(SF_Output!$S$1:$S$400,SF_Output!$AC$1:$AC$400,_xlfn.TEXTJOIN(",",TRUE,B234:E234),SF_Output!$Q$1:$Q$400,"yearly")+SUMIFS(SF_Output!$S$1:$S$400,SF_Output!$AC$1:$AC$400,_xlfn.TEXTJOIN(",",TRUE,B234:E234),SF_Output!$Q$1:$Q$400,"quarterly")*4)</f>
        <v/>
      </c>
      <c r="S234" s="112" t="str">
        <f>IF(OR(B234=0,B234="",G234="hardware",R234=0),"",IF(AF234&lt;&gt;"exclusion",MAX(S$9,-(SUMIFS(SF_Output!$T$1:$T$400,SF_Output!$AC$1:$AC$400,_xlfn.TEXTJOIN(",",TRUE,$B234:$E234),SF_Output!$Q$1:$Q$400,"yearly"))/R234),-((SUMIFS(SF_Output!$T$1:$T$400,SF_Output!$AC$1:$AC$400,_xlfn.TEXTJOIN(",",TRUE,$B234:$E234),SF_Output!$Q$1:$Q$400,"yearly")/R234))))</f>
        <v/>
      </c>
      <c r="T234" s="6" t="str">
        <f t="shared" si="15"/>
        <v/>
      </c>
      <c r="V234" s="6" t="str" cm="1">
        <f t="array" ref="V234">_xlfn.IFS(B234="","",AND(B234&lt;&gt;"",H234=SF_Output!$Y$2,SUMIFS(SF_Output!$T$1:$T$400,SF_Output!$AC$1:$AC$400,_xlfn.TEXTJOIN(",",TRUE,B234:E234),SF_Output!$Q$1:$Q$400,"monthly")=0),(SUMIFS(SF_Output!$F$1:$F$400,SF_Output!$AC$1:$AC$400,_xlfn.TEXTJOIN(",",TRUE,B234:E234),SF_Output!$Q$1:$Q$400,"monthly")+SUMIFS(SF_Output!$G$1:$G$400,SF_Output!$AC$1:$AC$400,_xlfn.TEXTJOIN(",",TRUE,B234:E234),SF_Output!$Q$1:$Q$400,"monthly"))*H234,AND(B234&lt;&gt;"",H234=SF_Output!$Y$2,SUMIFS(SF_Output!$T$1:$T$400,SF_Output!$AC$1:$AC$400,_xlfn.TEXTJOIN(",",TRUE,B234:E234),SF_Output!$Q$1:$Q$400,"monthly")&lt;&gt;0),SUMIFS(SF_Output!$S$1:$S$400,SF_Output!$AC$1:$AC$400,_xlfn.TEXTJOIN(",",TRUE,B234:E234),SF_Output!$Q$1:$Q$400,"monthly"),AND(B234&lt;&gt;"",H234&lt;&gt;SF_Output!$Y$2),SUMIFS(SF_Output!$S$1:$S$400,SF_Output!$AC$1:$AC$400,_xlfn.TEXTJOIN(",",TRUE,B234:E234),SF_Output!$Q$1:$Q$400,"monthly"))</f>
        <v/>
      </c>
      <c r="W234" s="112" t="str" cm="1">
        <f t="array" ref="W234">_xlfn.IFS(OR(B234=0,B234="",V234=0),"",AF234&lt;&gt;"exclusion",MAX($W$9,$W$7,(-(SUMIFS(SF_Output!$T$1:$T$400,SF_Output!$AC$1:$AC$400,_xlfn.TEXTJOIN(",",TRUE,$B234:$E234),SF_Output!$Q$1:$Q$400,"monthly"))/V234)),AF234="exclusion",-(SUMIFS(SF_Output!$T$1:$T$400,SF_Output!$AC$1:$AC$400,_xlfn.TEXTJOIN(",",TRUE,$B234:$E234),SF_Output!$Q$1:$Q$400,"monthly"))/V234)</f>
        <v/>
      </c>
      <c r="X234" s="6" t="str" cm="1">
        <f t="array" ref="X234">IFERROR(_xlfn.IFS(V234=0,0,V234="","",W234=0,V234,OR(V234&lt;&gt;0,V234&lt;&gt;""),H234*I234),V234*(1-W234))</f>
        <v/>
      </c>
    </row>
    <row r="235" spans="6:24" x14ac:dyDescent="0.25">
      <c r="F235" s="116" t="str">
        <f t="shared" si="12"/>
        <v/>
      </c>
      <c r="G235" t="str">
        <f>IF(B235="","",INDEX(SF_Output!$K$1:$K$400,MATCH(B235,SF_Output!$M$1:$M$400,0)))</f>
        <v/>
      </c>
      <c r="H235" t="str" cm="1">
        <f t="array" ref="H235">_xlfn.IFS(B235="","",(SUMIFS(SF_Output!$F$1:$F$400,SF_Output!$AC$1:$AC$400,_xlfn.TEXTJOIN(",",TRUE,B235:E235))+SUMIFS(SF_Output!$G$1:$G$400,SF_Output!$AC$1:$AC$400,_xlfn.TEXTJOIN(",",TRUE,B235:E235)))&lt;&gt;0,SF_Output!$Y$2,INDEX(SF_Output!$F$1:$F$400,MATCH(_xlfn.TEXTJOIN(",",TRUE,B235:E235),SF_Output!$AC$1:$AC$400,0))=0,INDEX(SF_Output!$R$1:$R$400,MATCH(_xlfn.TEXTJOIN(",",TRUE,B235:E235),SF_Output!$AC$1:$AC$400,0)))</f>
        <v/>
      </c>
      <c r="I235" s="125" t="str">
        <f>IFERROR(IF(AND(H235&gt;1,H235&lt;&gt;""),ROUND(SUMIFS(SF_Output!$S$1:$S$400,SF_Output!$AC$1:$AC$400,_xlfn.TEXTJOIN(",",TRUE,B235:E235),SF_Output!$Q$1:$Q$400,"monthly")*(1-W235)/H235,4),""),"")</f>
        <v/>
      </c>
      <c r="J235" s="6" t="str">
        <f>IF(B235="","",SUMIFS(SF_Output!$S$1:$S$400,SF_Output!$AC$1:$AC$400,_xlfn.TEXTJOIN(",",TRUE,B235:E235),SF_Output!$Q$1:$Q$400,"One Time",SF_Output!$L$1:$L$400,"license fee")+SUMIFS(SF_Output!$S$1:$S$400,SF_Output!$AC$1:$AC$400,_xlfn.TEXTJOIN(",",TRUE,B235:E235),SF_Output!$Q$1:$Q$400,"One Time",SF_Output!$L$1:$L$400,"software license")+SUMIFS(SF_Output!$S$1:$S$400,SF_Output!$AC$1:$AC$400,_xlfn.TEXTJOIN(",",TRUE,B235:E235),SF_Output!$Q$1:$Q$400,"One Time",SF_Output!$L$1:$L$400,"hardware"))</f>
        <v/>
      </c>
      <c r="K235" s="112" t="str">
        <f>IF(OR(B235=0,B235="",G235="hardware",J235=0),"",IF(AF235&lt;&gt;"exclusion",MAX(K$9,-((SUMIFS(SF_Output!$T$1:$T$400,SF_Output!$AC$1:$AC$400,_xlfn.TEXTJOIN(",",TRUE,$B235:$E235),SF_Output!$Q$1:$Q$400,"One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license"))/J235)),-((SUMIFS(SF_Output!$T$1:$T$400,SF_Output!$AC$1:$AC$400,_xlfn.TEXTJOIN(",",TRUE,$B235:$E235),SF_Output!$Q$1:$Q$400,"One Time",SF_Output!$L$1:$L$400,"license fee")+SUMIFS(SF_Output!$T$1:$T$400,SF_Output!$AC$1:$AC$400,_xlfn.TEXTJOIN(",",TRUE,$B235:$E235),SF_Output!$Q$1:$Q$400,"One Time",SF_Output!$L$1:$L$400,"software license"))/J235)))</f>
        <v/>
      </c>
      <c r="L235" s="6" t="str">
        <f t="shared" si="13"/>
        <v/>
      </c>
      <c r="N235" s="6" t="str">
        <f>IF(B235="","",SUMIFS(SF_Output!$S$1:$S$400,SF_Output!$AC$1:$AC$400,_xlfn.TEXTJOIN(",",TRUE,B235:E235),SF_Output!$Q$1:$Q$400,"One Time",SF_Output!$L$1:$L$400,"professional service"))</f>
        <v/>
      </c>
      <c r="O235" s="112" t="str">
        <f>IF(OR(B235=0,B235="",N235=0),"",IF(AF235&lt;&gt;"exclusion",MAX(O$9,-(SUMIFS(SF_Output!$T$1:$T$400,SF_Output!$AC$1:$AC$400,_xlfn.TEXTJOIN(",",TRUE,$B235:$E235),SF_Output!$Q$1:$Q$400,"One Time",SF_Output!$L$1:$L$400,"professional service"))/N235),-((SUMIFS(SF_Output!$T$1:$T$400,SF_Output!$AC$1:$AC$400,_xlfn.TEXTJOIN(",",TRUE,$B235:$E235),SF_Output!$Q$1:$Q$400,"One Time",SF_Output!$L$1:$L$400,"professional service")/N235))))</f>
        <v/>
      </c>
      <c r="P235" s="6" t="str">
        <f t="shared" si="14"/>
        <v/>
      </c>
      <c r="R235" s="6" t="str">
        <f>IF(B235="","",SUMIFS(SF_Output!$S$1:$S$400,SF_Output!$AC$1:$AC$400,_xlfn.TEXTJOIN(",",TRUE,B235:E235),SF_Output!$Q$1:$Q$400,"yearly")+SUMIFS(SF_Output!$S$1:$S$400,SF_Output!$AC$1:$AC$400,_xlfn.TEXTJOIN(",",TRUE,B235:E235),SF_Output!$Q$1:$Q$400,"quarterly")*4)</f>
        <v/>
      </c>
      <c r="S235" s="112" t="str">
        <f>IF(OR(B235=0,B235="",G235="hardware",R235=0),"",IF(AF235&lt;&gt;"exclusion",MAX(S$9,-(SUMIFS(SF_Output!$T$1:$T$400,SF_Output!$AC$1:$AC$400,_xlfn.TEXTJOIN(",",TRUE,$B235:$E235),SF_Output!$Q$1:$Q$400,"yearly"))/R235),-((SUMIFS(SF_Output!$T$1:$T$400,SF_Output!$AC$1:$AC$400,_xlfn.TEXTJOIN(",",TRUE,$B235:$E235),SF_Output!$Q$1:$Q$400,"yearly")/R235))))</f>
        <v/>
      </c>
      <c r="T235" s="6" t="str">
        <f t="shared" si="15"/>
        <v/>
      </c>
      <c r="V235" s="6" t="str" cm="1">
        <f t="array" ref="V235">_xlfn.IFS(B235="","",AND(B235&lt;&gt;"",H235=SF_Output!$Y$2,SUMIFS(SF_Output!$T$1:$T$400,SF_Output!$AC$1:$AC$400,_xlfn.TEXTJOIN(",",TRUE,B235:E235),SF_Output!$Q$1:$Q$400,"monthly")=0),(SUMIFS(SF_Output!$F$1:$F$400,SF_Output!$AC$1:$AC$400,_xlfn.TEXTJOIN(",",TRUE,B235:E235),SF_Output!$Q$1:$Q$400,"monthly")+SUMIFS(SF_Output!$G$1:$G$400,SF_Output!$AC$1:$AC$400,_xlfn.TEXTJOIN(",",TRUE,B235:E235),SF_Output!$Q$1:$Q$400,"monthly"))*H235,AND(B235&lt;&gt;"",H235=SF_Output!$Y$2,SUMIFS(SF_Output!$T$1:$T$400,SF_Output!$AC$1:$AC$400,_xlfn.TEXTJOIN(",",TRUE,B235:E235),SF_Output!$Q$1:$Q$400,"monthly")&lt;&gt;0),SUMIFS(SF_Output!$S$1:$S$400,SF_Output!$AC$1:$AC$400,_xlfn.TEXTJOIN(",",TRUE,B235:E235),SF_Output!$Q$1:$Q$400,"monthly"),AND(B235&lt;&gt;"",H235&lt;&gt;SF_Output!$Y$2),SUMIFS(SF_Output!$S$1:$S$400,SF_Output!$AC$1:$AC$400,_xlfn.TEXTJOIN(",",TRUE,B235:E235),SF_Output!$Q$1:$Q$400,"monthly"))</f>
        <v/>
      </c>
      <c r="W235" s="112" t="str" cm="1">
        <f t="array" ref="W235">_xlfn.IFS(OR(B235=0,B235="",V235=0),"",AF235&lt;&gt;"exclusion",MAX($W$9,$W$7,(-(SUMIFS(SF_Output!$T$1:$T$400,SF_Output!$AC$1:$AC$400,_xlfn.TEXTJOIN(",",TRUE,$B235:$E235),SF_Output!$Q$1:$Q$400,"monthly"))/V235)),AF235="exclusion",-(SUMIFS(SF_Output!$T$1:$T$400,SF_Output!$AC$1:$AC$400,_xlfn.TEXTJOIN(",",TRUE,$B235:$E235),SF_Output!$Q$1:$Q$400,"monthly"))/V235)</f>
        <v/>
      </c>
      <c r="X235" s="6" t="str" cm="1">
        <f t="array" ref="X235">IFERROR(_xlfn.IFS(V235=0,0,V235="","",W235=0,V235,OR(V235&lt;&gt;0,V235&lt;&gt;""),H235*I235),V235*(1-W235))</f>
        <v/>
      </c>
    </row>
    <row r="236" spans="6:24" x14ac:dyDescent="0.25">
      <c r="F236" s="116" t="str">
        <f t="shared" si="12"/>
        <v/>
      </c>
      <c r="G236" t="str">
        <f>IF(B236="","",INDEX(SF_Output!$K$1:$K$400,MATCH(B236,SF_Output!$M$1:$M$400,0)))</f>
        <v/>
      </c>
      <c r="H236" t="str" cm="1">
        <f t="array" ref="H236">_xlfn.IFS(B236="","",(SUMIFS(SF_Output!$F$1:$F$400,SF_Output!$AC$1:$AC$400,_xlfn.TEXTJOIN(",",TRUE,B236:E236))+SUMIFS(SF_Output!$G$1:$G$400,SF_Output!$AC$1:$AC$400,_xlfn.TEXTJOIN(",",TRUE,B236:E236)))&lt;&gt;0,SF_Output!$Y$2,INDEX(SF_Output!$F$1:$F$400,MATCH(_xlfn.TEXTJOIN(",",TRUE,B236:E236),SF_Output!$AC$1:$AC$400,0))=0,INDEX(SF_Output!$R$1:$R$400,MATCH(_xlfn.TEXTJOIN(",",TRUE,B236:E236),SF_Output!$AC$1:$AC$400,0)))</f>
        <v/>
      </c>
      <c r="I236" s="125" t="str">
        <f>IFERROR(IF(AND(H236&gt;1,H236&lt;&gt;""),ROUND(SUMIFS(SF_Output!$S$1:$S$400,SF_Output!$AC$1:$AC$400,_xlfn.TEXTJOIN(",",TRUE,B236:E236),SF_Output!$Q$1:$Q$400,"monthly")*(1-W236)/H236,4),""),"")</f>
        <v/>
      </c>
      <c r="J236" s="6" t="str">
        <f>IF(B236="","",SUMIFS(SF_Output!$S$1:$S$400,SF_Output!$AC$1:$AC$400,_xlfn.TEXTJOIN(",",TRUE,B236:E236),SF_Output!$Q$1:$Q$400,"One Time",SF_Output!$L$1:$L$400,"license fee")+SUMIFS(SF_Output!$S$1:$S$400,SF_Output!$AC$1:$AC$400,_xlfn.TEXTJOIN(",",TRUE,B236:E236),SF_Output!$Q$1:$Q$400,"One Time",SF_Output!$L$1:$L$400,"software license")+SUMIFS(SF_Output!$S$1:$S$400,SF_Output!$AC$1:$AC$400,_xlfn.TEXTJOIN(",",TRUE,B236:E236),SF_Output!$Q$1:$Q$400,"One Time",SF_Output!$L$1:$L$400,"hardware"))</f>
        <v/>
      </c>
      <c r="K236" s="112" t="str">
        <f>IF(OR(B236=0,B236="",G236="hardware",J236=0),"",IF(AF236&lt;&gt;"exclusion",MAX(K$9,-((SUMIFS(SF_Output!$T$1:$T$400,SF_Output!$AC$1:$AC$400,_xlfn.TEXTJOIN(",",TRUE,$B236:$E236),SF_Output!$Q$1:$Q$400,"One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license"))/J236)),-((SUMIFS(SF_Output!$T$1:$T$400,SF_Output!$AC$1:$AC$400,_xlfn.TEXTJOIN(",",TRUE,$B236:$E236),SF_Output!$Q$1:$Q$400,"One Time",SF_Output!$L$1:$L$400,"license fee")+SUMIFS(SF_Output!$T$1:$T$400,SF_Output!$AC$1:$AC$400,_xlfn.TEXTJOIN(",",TRUE,$B236:$E236),SF_Output!$Q$1:$Q$400,"One Time",SF_Output!$L$1:$L$400,"software license"))/J236)))</f>
        <v/>
      </c>
      <c r="L236" s="6" t="str">
        <f t="shared" si="13"/>
        <v/>
      </c>
      <c r="N236" s="6" t="str">
        <f>IF(B236="","",SUMIFS(SF_Output!$S$1:$S$400,SF_Output!$AC$1:$AC$400,_xlfn.TEXTJOIN(",",TRUE,B236:E236),SF_Output!$Q$1:$Q$400,"One Time",SF_Output!$L$1:$L$400,"professional service"))</f>
        <v/>
      </c>
      <c r="O236" s="112" t="str">
        <f>IF(OR(B236=0,B236="",N236=0),"",IF(AF236&lt;&gt;"exclusion",MAX(O$9,-(SUMIFS(SF_Output!$T$1:$T$400,SF_Output!$AC$1:$AC$400,_xlfn.TEXTJOIN(",",TRUE,$B236:$E236),SF_Output!$Q$1:$Q$400,"One Time",SF_Output!$L$1:$L$400,"professional service"))/N236),-((SUMIFS(SF_Output!$T$1:$T$400,SF_Output!$AC$1:$AC$400,_xlfn.TEXTJOIN(",",TRUE,$B236:$E236),SF_Output!$Q$1:$Q$400,"One Time",SF_Output!$L$1:$L$400,"professional service")/N236))))</f>
        <v/>
      </c>
      <c r="P236" s="6" t="str">
        <f t="shared" si="14"/>
        <v/>
      </c>
      <c r="R236" s="6" t="str">
        <f>IF(B236="","",SUMIFS(SF_Output!$S$1:$S$400,SF_Output!$AC$1:$AC$400,_xlfn.TEXTJOIN(",",TRUE,B236:E236),SF_Output!$Q$1:$Q$400,"yearly")+SUMIFS(SF_Output!$S$1:$S$400,SF_Output!$AC$1:$AC$400,_xlfn.TEXTJOIN(",",TRUE,B236:E236),SF_Output!$Q$1:$Q$400,"quarterly")*4)</f>
        <v/>
      </c>
      <c r="S236" s="112" t="str">
        <f>IF(OR(B236=0,B236="",G236="hardware",R236=0),"",IF(AF236&lt;&gt;"exclusion",MAX(S$9,-(SUMIFS(SF_Output!$T$1:$T$400,SF_Output!$AC$1:$AC$400,_xlfn.TEXTJOIN(",",TRUE,$B236:$E236),SF_Output!$Q$1:$Q$400,"yearly"))/R236),-((SUMIFS(SF_Output!$T$1:$T$400,SF_Output!$AC$1:$AC$400,_xlfn.TEXTJOIN(",",TRUE,$B236:$E236),SF_Output!$Q$1:$Q$400,"yearly")/R236))))</f>
        <v/>
      </c>
      <c r="T236" s="6" t="str">
        <f t="shared" si="15"/>
        <v/>
      </c>
      <c r="V236" s="6" t="str" cm="1">
        <f t="array" ref="V236">_xlfn.IFS(B236="","",AND(B236&lt;&gt;"",H236=SF_Output!$Y$2,SUMIFS(SF_Output!$T$1:$T$400,SF_Output!$AC$1:$AC$400,_xlfn.TEXTJOIN(",",TRUE,B236:E236),SF_Output!$Q$1:$Q$400,"monthly")=0),(SUMIFS(SF_Output!$F$1:$F$400,SF_Output!$AC$1:$AC$400,_xlfn.TEXTJOIN(",",TRUE,B236:E236),SF_Output!$Q$1:$Q$400,"monthly")+SUMIFS(SF_Output!$G$1:$G$400,SF_Output!$AC$1:$AC$400,_xlfn.TEXTJOIN(",",TRUE,B236:E236),SF_Output!$Q$1:$Q$400,"monthly"))*H236,AND(B236&lt;&gt;"",H236=SF_Output!$Y$2,SUMIFS(SF_Output!$T$1:$T$400,SF_Output!$AC$1:$AC$400,_xlfn.TEXTJOIN(",",TRUE,B236:E236),SF_Output!$Q$1:$Q$400,"monthly")&lt;&gt;0),SUMIFS(SF_Output!$S$1:$S$400,SF_Output!$AC$1:$AC$400,_xlfn.TEXTJOIN(",",TRUE,B236:E236),SF_Output!$Q$1:$Q$400,"monthly"),AND(B236&lt;&gt;"",H236&lt;&gt;SF_Output!$Y$2),SUMIFS(SF_Output!$S$1:$S$400,SF_Output!$AC$1:$AC$400,_xlfn.TEXTJOIN(",",TRUE,B236:E236),SF_Output!$Q$1:$Q$400,"monthly"))</f>
        <v/>
      </c>
      <c r="W236" s="112" t="str" cm="1">
        <f t="array" ref="W236">_xlfn.IFS(OR(B236=0,B236="",V236=0),"",AF236&lt;&gt;"exclusion",MAX($W$9,$W$7,(-(SUMIFS(SF_Output!$T$1:$T$400,SF_Output!$AC$1:$AC$400,_xlfn.TEXTJOIN(",",TRUE,$B236:$E236),SF_Output!$Q$1:$Q$400,"monthly"))/V236)),AF236="exclusion",-(SUMIFS(SF_Output!$T$1:$T$400,SF_Output!$AC$1:$AC$400,_xlfn.TEXTJOIN(",",TRUE,$B236:$E236),SF_Output!$Q$1:$Q$400,"monthly"))/V236)</f>
        <v/>
      </c>
      <c r="X236" s="6" t="str" cm="1">
        <f t="array" ref="X236">IFERROR(_xlfn.IFS(V236=0,0,V236="","",W236=0,V236,OR(V236&lt;&gt;0,V236&lt;&gt;""),H236*I236),V236*(1-W236))</f>
        <v/>
      </c>
    </row>
    <row r="237" spans="6:24" x14ac:dyDescent="0.25">
      <c r="F237" s="116" t="str">
        <f t="shared" si="12"/>
        <v/>
      </c>
      <c r="G237" t="str">
        <f>IF(B237="","",INDEX(SF_Output!$K$1:$K$400,MATCH(B237,SF_Output!$M$1:$M$400,0)))</f>
        <v/>
      </c>
      <c r="H237" t="str" cm="1">
        <f t="array" ref="H237">_xlfn.IFS(B237="","",(SUMIFS(SF_Output!$F$1:$F$400,SF_Output!$AC$1:$AC$400,_xlfn.TEXTJOIN(",",TRUE,B237:E237))+SUMIFS(SF_Output!$G$1:$G$400,SF_Output!$AC$1:$AC$400,_xlfn.TEXTJOIN(",",TRUE,B237:E237)))&lt;&gt;0,SF_Output!$Y$2,INDEX(SF_Output!$F$1:$F$400,MATCH(_xlfn.TEXTJOIN(",",TRUE,B237:E237),SF_Output!$AC$1:$AC$400,0))=0,INDEX(SF_Output!$R$1:$R$400,MATCH(_xlfn.TEXTJOIN(",",TRUE,B237:E237),SF_Output!$AC$1:$AC$400,0)))</f>
        <v/>
      </c>
      <c r="I237" s="125" t="str">
        <f>IFERROR(IF(AND(H237&gt;1,H237&lt;&gt;""),ROUND(SUMIFS(SF_Output!$S$1:$S$400,SF_Output!$AC$1:$AC$400,_xlfn.TEXTJOIN(",",TRUE,B237:E237),SF_Output!$Q$1:$Q$400,"monthly")*(1-W237)/H237,4),""),"")</f>
        <v/>
      </c>
      <c r="J237" s="6" t="str">
        <f>IF(B237="","",SUMIFS(SF_Output!$S$1:$S$400,SF_Output!$AC$1:$AC$400,_xlfn.TEXTJOIN(",",TRUE,B237:E237),SF_Output!$Q$1:$Q$400,"One Time",SF_Output!$L$1:$L$400,"license fee")+SUMIFS(SF_Output!$S$1:$S$400,SF_Output!$AC$1:$AC$400,_xlfn.TEXTJOIN(",",TRUE,B237:E237),SF_Output!$Q$1:$Q$400,"One Time",SF_Output!$L$1:$L$400,"software license")+SUMIFS(SF_Output!$S$1:$S$400,SF_Output!$AC$1:$AC$400,_xlfn.TEXTJOIN(",",TRUE,B237:E237),SF_Output!$Q$1:$Q$400,"One Time",SF_Output!$L$1:$L$400,"hardware"))</f>
        <v/>
      </c>
      <c r="K237" s="112" t="str">
        <f>IF(OR(B237=0,B237="",G237="hardware",J237=0),"",IF(AF237&lt;&gt;"exclusion",MAX(K$9,-((SUMIFS(SF_Output!$T$1:$T$400,SF_Output!$AC$1:$AC$400,_xlfn.TEXTJOIN(",",TRUE,$B237:$E237),SF_Output!$Q$1:$Q$400,"One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license"))/J237)),-((SUMIFS(SF_Output!$T$1:$T$400,SF_Output!$AC$1:$AC$400,_xlfn.TEXTJOIN(",",TRUE,$B237:$E237),SF_Output!$Q$1:$Q$400,"One Time",SF_Output!$L$1:$L$400,"license fee")+SUMIFS(SF_Output!$T$1:$T$400,SF_Output!$AC$1:$AC$400,_xlfn.TEXTJOIN(",",TRUE,$B237:$E237),SF_Output!$Q$1:$Q$400,"One Time",SF_Output!$L$1:$L$400,"software license"))/J237)))</f>
        <v/>
      </c>
      <c r="L237" s="6" t="str">
        <f t="shared" si="13"/>
        <v/>
      </c>
      <c r="N237" s="6" t="str">
        <f>IF(B237="","",SUMIFS(SF_Output!$S$1:$S$400,SF_Output!$AC$1:$AC$400,_xlfn.TEXTJOIN(",",TRUE,B237:E237),SF_Output!$Q$1:$Q$400,"One Time",SF_Output!$L$1:$L$400,"professional service"))</f>
        <v/>
      </c>
      <c r="O237" s="112" t="str">
        <f>IF(OR(B237=0,B237="",N237=0),"",IF(AF237&lt;&gt;"exclusion",MAX(O$9,-(SUMIFS(SF_Output!$T$1:$T$400,SF_Output!$AC$1:$AC$400,_xlfn.TEXTJOIN(",",TRUE,$B237:$E237),SF_Output!$Q$1:$Q$400,"One Time",SF_Output!$L$1:$L$400,"professional service"))/N237),-((SUMIFS(SF_Output!$T$1:$T$400,SF_Output!$AC$1:$AC$400,_xlfn.TEXTJOIN(",",TRUE,$B237:$E237),SF_Output!$Q$1:$Q$400,"One Time",SF_Output!$L$1:$L$400,"professional service")/N237))))</f>
        <v/>
      </c>
      <c r="P237" s="6" t="str">
        <f t="shared" si="14"/>
        <v/>
      </c>
      <c r="R237" s="6" t="str">
        <f>IF(B237="","",SUMIFS(SF_Output!$S$1:$S$400,SF_Output!$AC$1:$AC$400,_xlfn.TEXTJOIN(",",TRUE,B237:E237),SF_Output!$Q$1:$Q$400,"yearly")+SUMIFS(SF_Output!$S$1:$S$400,SF_Output!$AC$1:$AC$400,_xlfn.TEXTJOIN(",",TRUE,B237:E237),SF_Output!$Q$1:$Q$400,"quarterly")*4)</f>
        <v/>
      </c>
      <c r="S237" s="112" t="str">
        <f>IF(OR(B237=0,B237="",G237="hardware",R237=0),"",IF(AF237&lt;&gt;"exclusion",MAX(S$9,-(SUMIFS(SF_Output!$T$1:$T$400,SF_Output!$AC$1:$AC$400,_xlfn.TEXTJOIN(",",TRUE,$B237:$E237),SF_Output!$Q$1:$Q$400,"yearly"))/R237),-((SUMIFS(SF_Output!$T$1:$T$400,SF_Output!$AC$1:$AC$400,_xlfn.TEXTJOIN(",",TRUE,$B237:$E237),SF_Output!$Q$1:$Q$400,"yearly")/R237))))</f>
        <v/>
      </c>
      <c r="T237" s="6" t="str">
        <f t="shared" si="15"/>
        <v/>
      </c>
      <c r="V237" s="6" t="str" cm="1">
        <f t="array" ref="V237">_xlfn.IFS(B237="","",AND(B237&lt;&gt;"",H237=SF_Output!$Y$2,SUMIFS(SF_Output!$T$1:$T$400,SF_Output!$AC$1:$AC$400,_xlfn.TEXTJOIN(",",TRUE,B237:E237),SF_Output!$Q$1:$Q$400,"monthly")=0),(SUMIFS(SF_Output!$F$1:$F$400,SF_Output!$AC$1:$AC$400,_xlfn.TEXTJOIN(",",TRUE,B237:E237),SF_Output!$Q$1:$Q$400,"monthly")+SUMIFS(SF_Output!$G$1:$G$400,SF_Output!$AC$1:$AC$400,_xlfn.TEXTJOIN(",",TRUE,B237:E237),SF_Output!$Q$1:$Q$400,"monthly"))*H237,AND(B237&lt;&gt;"",H237=SF_Output!$Y$2,SUMIFS(SF_Output!$T$1:$T$400,SF_Output!$AC$1:$AC$400,_xlfn.TEXTJOIN(",",TRUE,B237:E237),SF_Output!$Q$1:$Q$400,"monthly")&lt;&gt;0),SUMIFS(SF_Output!$S$1:$S$400,SF_Output!$AC$1:$AC$400,_xlfn.TEXTJOIN(",",TRUE,B237:E237),SF_Output!$Q$1:$Q$400,"monthly"),AND(B237&lt;&gt;"",H237&lt;&gt;SF_Output!$Y$2),SUMIFS(SF_Output!$S$1:$S$400,SF_Output!$AC$1:$AC$400,_xlfn.TEXTJOIN(",",TRUE,B237:E237),SF_Output!$Q$1:$Q$400,"monthly"))</f>
        <v/>
      </c>
      <c r="W237" s="112" t="str" cm="1">
        <f t="array" ref="W237">_xlfn.IFS(OR(B237=0,B237="",V237=0),"",AF237&lt;&gt;"exclusion",MAX($W$9,$W$7,(-(SUMIFS(SF_Output!$T$1:$T$400,SF_Output!$AC$1:$AC$400,_xlfn.TEXTJOIN(",",TRUE,$B237:$E237),SF_Output!$Q$1:$Q$400,"monthly"))/V237)),AF237="exclusion",-(SUMIFS(SF_Output!$T$1:$T$400,SF_Output!$AC$1:$AC$400,_xlfn.TEXTJOIN(",",TRUE,$B237:$E237),SF_Output!$Q$1:$Q$400,"monthly"))/V237)</f>
        <v/>
      </c>
      <c r="X237" s="6" t="str" cm="1">
        <f t="array" ref="X237">IFERROR(_xlfn.IFS(V237=0,0,V237="","",W237=0,V237,OR(V237&lt;&gt;0,V237&lt;&gt;""),H237*I237),V237*(1-W237))</f>
        <v/>
      </c>
    </row>
    <row r="238" spans="6:24" x14ac:dyDescent="0.25">
      <c r="F238" s="116" t="str">
        <f t="shared" si="12"/>
        <v/>
      </c>
      <c r="G238" t="str">
        <f>IF(B238="","",INDEX(SF_Output!$K$1:$K$400,MATCH(B238,SF_Output!$M$1:$M$400,0)))</f>
        <v/>
      </c>
      <c r="H238" t="str" cm="1">
        <f t="array" ref="H238">_xlfn.IFS(B238="","",(SUMIFS(SF_Output!$F$1:$F$400,SF_Output!$AC$1:$AC$400,_xlfn.TEXTJOIN(",",TRUE,B238:E238))+SUMIFS(SF_Output!$G$1:$G$400,SF_Output!$AC$1:$AC$400,_xlfn.TEXTJOIN(",",TRUE,B238:E238)))&lt;&gt;0,SF_Output!$Y$2,INDEX(SF_Output!$F$1:$F$400,MATCH(_xlfn.TEXTJOIN(",",TRUE,B238:E238),SF_Output!$AC$1:$AC$400,0))=0,INDEX(SF_Output!$R$1:$R$400,MATCH(_xlfn.TEXTJOIN(",",TRUE,B238:E238),SF_Output!$AC$1:$AC$400,0)))</f>
        <v/>
      </c>
      <c r="I238" s="125" t="str">
        <f>IFERROR(IF(AND(H238&gt;1,H238&lt;&gt;""),ROUND(SUMIFS(SF_Output!$S$1:$S$400,SF_Output!$AC$1:$AC$400,_xlfn.TEXTJOIN(",",TRUE,B238:E238),SF_Output!$Q$1:$Q$400,"monthly")*(1-W238)/H238,4),""),"")</f>
        <v/>
      </c>
      <c r="J238" s="6" t="str">
        <f>IF(B238="","",SUMIFS(SF_Output!$S$1:$S$400,SF_Output!$AC$1:$AC$400,_xlfn.TEXTJOIN(",",TRUE,B238:E238),SF_Output!$Q$1:$Q$400,"One Time",SF_Output!$L$1:$L$400,"license fee")+SUMIFS(SF_Output!$S$1:$S$400,SF_Output!$AC$1:$AC$400,_xlfn.TEXTJOIN(",",TRUE,B238:E238),SF_Output!$Q$1:$Q$400,"One Time",SF_Output!$L$1:$L$400,"software license")+SUMIFS(SF_Output!$S$1:$S$400,SF_Output!$AC$1:$AC$400,_xlfn.TEXTJOIN(",",TRUE,B238:E238),SF_Output!$Q$1:$Q$400,"One Time",SF_Output!$L$1:$L$400,"hardware"))</f>
        <v/>
      </c>
      <c r="K238" s="112" t="str">
        <f>IF(OR(B238=0,B238="",G238="hardware",J238=0),"",IF(AF238&lt;&gt;"exclusion",MAX(K$9,-((SUMIFS(SF_Output!$T$1:$T$400,SF_Output!$AC$1:$AC$400,_xlfn.TEXTJOIN(",",TRUE,$B238:$E238),SF_Output!$Q$1:$Q$400,"One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license"))/J238)),-((SUMIFS(SF_Output!$T$1:$T$400,SF_Output!$AC$1:$AC$400,_xlfn.TEXTJOIN(",",TRUE,$B238:$E238),SF_Output!$Q$1:$Q$400,"One Time",SF_Output!$L$1:$L$400,"license fee")+SUMIFS(SF_Output!$T$1:$T$400,SF_Output!$AC$1:$AC$400,_xlfn.TEXTJOIN(",",TRUE,$B238:$E238),SF_Output!$Q$1:$Q$400,"One Time",SF_Output!$L$1:$L$400,"software license"))/J238)))</f>
        <v/>
      </c>
      <c r="L238" s="6" t="str">
        <f t="shared" si="13"/>
        <v/>
      </c>
      <c r="N238" s="6" t="str">
        <f>IF(B238="","",SUMIFS(SF_Output!$S$1:$S$400,SF_Output!$AC$1:$AC$400,_xlfn.TEXTJOIN(",",TRUE,B238:E238),SF_Output!$Q$1:$Q$400,"One Time",SF_Output!$L$1:$L$400,"professional service"))</f>
        <v/>
      </c>
      <c r="O238" s="112" t="str">
        <f>IF(OR(B238=0,B238="",N238=0),"",IF(AF238&lt;&gt;"exclusion",MAX(O$9,-(SUMIFS(SF_Output!$T$1:$T$400,SF_Output!$AC$1:$AC$400,_xlfn.TEXTJOIN(",",TRUE,$B238:$E238),SF_Output!$Q$1:$Q$400,"One Time",SF_Output!$L$1:$L$400,"professional service"))/N238),-((SUMIFS(SF_Output!$T$1:$T$400,SF_Output!$AC$1:$AC$400,_xlfn.TEXTJOIN(",",TRUE,$B238:$E238),SF_Output!$Q$1:$Q$400,"One Time",SF_Output!$L$1:$L$400,"professional service")/N238))))</f>
        <v/>
      </c>
      <c r="P238" s="6" t="str">
        <f t="shared" si="14"/>
        <v/>
      </c>
      <c r="R238" s="6" t="str">
        <f>IF(B238="","",SUMIFS(SF_Output!$S$1:$S$400,SF_Output!$AC$1:$AC$400,_xlfn.TEXTJOIN(",",TRUE,B238:E238),SF_Output!$Q$1:$Q$400,"yearly")+SUMIFS(SF_Output!$S$1:$S$400,SF_Output!$AC$1:$AC$400,_xlfn.TEXTJOIN(",",TRUE,B238:E238),SF_Output!$Q$1:$Q$400,"quarterly")*4)</f>
        <v/>
      </c>
      <c r="S238" s="112" t="str">
        <f>IF(OR(B238=0,B238="",G238="hardware",R238=0),"",IF(AF238&lt;&gt;"exclusion",MAX(S$9,-(SUMIFS(SF_Output!$T$1:$T$400,SF_Output!$AC$1:$AC$400,_xlfn.TEXTJOIN(",",TRUE,$B238:$E238),SF_Output!$Q$1:$Q$400,"yearly"))/R238),-((SUMIFS(SF_Output!$T$1:$T$400,SF_Output!$AC$1:$AC$400,_xlfn.TEXTJOIN(",",TRUE,$B238:$E238),SF_Output!$Q$1:$Q$400,"yearly")/R238))))</f>
        <v/>
      </c>
      <c r="T238" s="6" t="str">
        <f t="shared" si="15"/>
        <v/>
      </c>
      <c r="V238" s="6" t="str" cm="1">
        <f t="array" ref="V238">_xlfn.IFS(B238="","",AND(B238&lt;&gt;"",H238=SF_Output!$Y$2,SUMIFS(SF_Output!$T$1:$T$400,SF_Output!$AC$1:$AC$400,_xlfn.TEXTJOIN(",",TRUE,B238:E238),SF_Output!$Q$1:$Q$400,"monthly")=0),(SUMIFS(SF_Output!$F$1:$F$400,SF_Output!$AC$1:$AC$400,_xlfn.TEXTJOIN(",",TRUE,B238:E238),SF_Output!$Q$1:$Q$400,"monthly")+SUMIFS(SF_Output!$G$1:$G$400,SF_Output!$AC$1:$AC$400,_xlfn.TEXTJOIN(",",TRUE,B238:E238),SF_Output!$Q$1:$Q$400,"monthly"))*H238,AND(B238&lt;&gt;"",H238=SF_Output!$Y$2,SUMIFS(SF_Output!$T$1:$T$400,SF_Output!$AC$1:$AC$400,_xlfn.TEXTJOIN(",",TRUE,B238:E238),SF_Output!$Q$1:$Q$400,"monthly")&lt;&gt;0),SUMIFS(SF_Output!$S$1:$S$400,SF_Output!$AC$1:$AC$400,_xlfn.TEXTJOIN(",",TRUE,B238:E238),SF_Output!$Q$1:$Q$400,"monthly"),AND(B238&lt;&gt;"",H238&lt;&gt;SF_Output!$Y$2),SUMIFS(SF_Output!$S$1:$S$400,SF_Output!$AC$1:$AC$400,_xlfn.TEXTJOIN(",",TRUE,B238:E238),SF_Output!$Q$1:$Q$400,"monthly"))</f>
        <v/>
      </c>
      <c r="W238" s="112" t="str" cm="1">
        <f t="array" ref="W238">_xlfn.IFS(OR(B238=0,B238="",V238=0),"",AF238&lt;&gt;"exclusion",MAX($W$9,$W$7,(-(SUMIFS(SF_Output!$T$1:$T$400,SF_Output!$AC$1:$AC$400,_xlfn.TEXTJOIN(",",TRUE,$B238:$E238),SF_Output!$Q$1:$Q$400,"monthly"))/V238)),AF238="exclusion",-(SUMIFS(SF_Output!$T$1:$T$400,SF_Output!$AC$1:$AC$400,_xlfn.TEXTJOIN(",",TRUE,$B238:$E238),SF_Output!$Q$1:$Q$400,"monthly"))/V238)</f>
        <v/>
      </c>
      <c r="X238" s="6" t="str" cm="1">
        <f t="array" ref="X238">IFERROR(_xlfn.IFS(V238=0,0,V238="","",W238=0,V238,OR(V238&lt;&gt;0,V238&lt;&gt;""),H238*I238),V238*(1-W238))</f>
        <v/>
      </c>
    </row>
    <row r="239" spans="6:24" x14ac:dyDescent="0.25">
      <c r="F239" s="116" t="str">
        <f t="shared" si="12"/>
        <v/>
      </c>
      <c r="G239" t="str">
        <f>IF(B239="","",INDEX(SF_Output!$K$1:$K$400,MATCH(B239,SF_Output!$M$1:$M$400,0)))</f>
        <v/>
      </c>
      <c r="H239" t="str" cm="1">
        <f t="array" ref="H239">_xlfn.IFS(B239="","",(SUMIFS(SF_Output!$F$1:$F$400,SF_Output!$AC$1:$AC$400,_xlfn.TEXTJOIN(",",TRUE,B239:E239))+SUMIFS(SF_Output!$G$1:$G$400,SF_Output!$AC$1:$AC$400,_xlfn.TEXTJOIN(",",TRUE,B239:E239)))&lt;&gt;0,SF_Output!$Y$2,INDEX(SF_Output!$F$1:$F$400,MATCH(_xlfn.TEXTJOIN(",",TRUE,B239:E239),SF_Output!$AC$1:$AC$400,0))=0,INDEX(SF_Output!$R$1:$R$400,MATCH(_xlfn.TEXTJOIN(",",TRUE,B239:E239),SF_Output!$AC$1:$AC$400,0)))</f>
        <v/>
      </c>
      <c r="I239" s="125" t="str">
        <f>IFERROR(IF(AND(H239&gt;1,H239&lt;&gt;""),ROUND(SUMIFS(SF_Output!$S$1:$S$400,SF_Output!$AC$1:$AC$400,_xlfn.TEXTJOIN(",",TRUE,B239:E239),SF_Output!$Q$1:$Q$400,"monthly")*(1-W239)/H239,4),""),"")</f>
        <v/>
      </c>
      <c r="J239" s="6" t="str">
        <f>IF(B239="","",SUMIFS(SF_Output!$S$1:$S$400,SF_Output!$AC$1:$AC$400,_xlfn.TEXTJOIN(",",TRUE,B239:E239),SF_Output!$Q$1:$Q$400,"One Time",SF_Output!$L$1:$L$400,"license fee")+SUMIFS(SF_Output!$S$1:$S$400,SF_Output!$AC$1:$AC$400,_xlfn.TEXTJOIN(",",TRUE,B239:E239),SF_Output!$Q$1:$Q$400,"One Time",SF_Output!$L$1:$L$400,"software license")+SUMIFS(SF_Output!$S$1:$S$400,SF_Output!$AC$1:$AC$400,_xlfn.TEXTJOIN(",",TRUE,B239:E239),SF_Output!$Q$1:$Q$400,"One Time",SF_Output!$L$1:$L$400,"hardware"))</f>
        <v/>
      </c>
      <c r="K239" s="112" t="str">
        <f>IF(OR(B239=0,B239="",G239="hardware",J239=0),"",IF(AF239&lt;&gt;"exclusion",MAX(K$9,-((SUMIFS(SF_Output!$T$1:$T$400,SF_Output!$AC$1:$AC$400,_xlfn.TEXTJOIN(",",TRUE,$B239:$E239),SF_Output!$Q$1:$Q$400,"One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license"))/J239)),-((SUMIFS(SF_Output!$T$1:$T$400,SF_Output!$AC$1:$AC$400,_xlfn.TEXTJOIN(",",TRUE,$B239:$E239),SF_Output!$Q$1:$Q$400,"One Time",SF_Output!$L$1:$L$400,"license fee")+SUMIFS(SF_Output!$T$1:$T$400,SF_Output!$AC$1:$AC$400,_xlfn.TEXTJOIN(",",TRUE,$B239:$E239),SF_Output!$Q$1:$Q$400,"One Time",SF_Output!$L$1:$L$400,"software license"))/J239)))</f>
        <v/>
      </c>
      <c r="L239" s="6" t="str">
        <f t="shared" si="13"/>
        <v/>
      </c>
      <c r="N239" s="6" t="str">
        <f>IF(B239="","",SUMIFS(SF_Output!$S$1:$S$400,SF_Output!$AC$1:$AC$400,_xlfn.TEXTJOIN(",",TRUE,B239:E239),SF_Output!$Q$1:$Q$400,"One Time",SF_Output!$L$1:$L$400,"professional service"))</f>
        <v/>
      </c>
      <c r="O239" s="112" t="str">
        <f>IF(OR(B239=0,B239="",N239=0),"",IF(AF239&lt;&gt;"exclusion",MAX(O$9,-(SUMIFS(SF_Output!$T$1:$T$400,SF_Output!$AC$1:$AC$400,_xlfn.TEXTJOIN(",",TRUE,$B239:$E239),SF_Output!$Q$1:$Q$400,"One Time",SF_Output!$L$1:$L$400,"professional service"))/N239),-((SUMIFS(SF_Output!$T$1:$T$400,SF_Output!$AC$1:$AC$400,_xlfn.TEXTJOIN(",",TRUE,$B239:$E239),SF_Output!$Q$1:$Q$400,"One Time",SF_Output!$L$1:$L$400,"professional service")/N239))))</f>
        <v/>
      </c>
      <c r="P239" s="6" t="str">
        <f t="shared" si="14"/>
        <v/>
      </c>
      <c r="R239" s="6" t="str">
        <f>IF(B239="","",SUMIFS(SF_Output!$S$1:$S$400,SF_Output!$AC$1:$AC$400,_xlfn.TEXTJOIN(",",TRUE,B239:E239),SF_Output!$Q$1:$Q$400,"yearly")+SUMIFS(SF_Output!$S$1:$S$400,SF_Output!$AC$1:$AC$400,_xlfn.TEXTJOIN(",",TRUE,B239:E239),SF_Output!$Q$1:$Q$400,"quarterly")*4)</f>
        <v/>
      </c>
      <c r="S239" s="112" t="str">
        <f>IF(OR(B239=0,B239="",G239="hardware",R239=0),"",IF(AF239&lt;&gt;"exclusion",MAX(S$9,-(SUMIFS(SF_Output!$T$1:$T$400,SF_Output!$AC$1:$AC$400,_xlfn.TEXTJOIN(",",TRUE,$B239:$E239),SF_Output!$Q$1:$Q$400,"yearly"))/R239),-((SUMIFS(SF_Output!$T$1:$T$400,SF_Output!$AC$1:$AC$400,_xlfn.TEXTJOIN(",",TRUE,$B239:$E239),SF_Output!$Q$1:$Q$400,"yearly")/R239))))</f>
        <v/>
      </c>
      <c r="T239" s="6" t="str">
        <f t="shared" si="15"/>
        <v/>
      </c>
      <c r="V239" s="6" t="str" cm="1">
        <f t="array" ref="V239">_xlfn.IFS(B239="","",AND(B239&lt;&gt;"",H239=SF_Output!$Y$2,SUMIFS(SF_Output!$T$1:$T$400,SF_Output!$AC$1:$AC$400,_xlfn.TEXTJOIN(",",TRUE,B239:E239),SF_Output!$Q$1:$Q$400,"monthly")=0),(SUMIFS(SF_Output!$F$1:$F$400,SF_Output!$AC$1:$AC$400,_xlfn.TEXTJOIN(",",TRUE,B239:E239),SF_Output!$Q$1:$Q$400,"monthly")+SUMIFS(SF_Output!$G$1:$G$400,SF_Output!$AC$1:$AC$400,_xlfn.TEXTJOIN(",",TRUE,B239:E239),SF_Output!$Q$1:$Q$400,"monthly"))*H239,AND(B239&lt;&gt;"",H239=SF_Output!$Y$2,SUMIFS(SF_Output!$T$1:$T$400,SF_Output!$AC$1:$AC$400,_xlfn.TEXTJOIN(",",TRUE,B239:E239),SF_Output!$Q$1:$Q$400,"monthly")&lt;&gt;0),SUMIFS(SF_Output!$S$1:$S$400,SF_Output!$AC$1:$AC$400,_xlfn.TEXTJOIN(",",TRUE,B239:E239),SF_Output!$Q$1:$Q$400,"monthly"),AND(B239&lt;&gt;"",H239&lt;&gt;SF_Output!$Y$2),SUMIFS(SF_Output!$S$1:$S$400,SF_Output!$AC$1:$AC$400,_xlfn.TEXTJOIN(",",TRUE,B239:E239),SF_Output!$Q$1:$Q$400,"monthly"))</f>
        <v/>
      </c>
      <c r="W239" s="112" t="str" cm="1">
        <f t="array" ref="W239">_xlfn.IFS(OR(B239=0,B239="",V239=0),"",AF239&lt;&gt;"exclusion",MAX($W$9,$W$7,(-(SUMIFS(SF_Output!$T$1:$T$400,SF_Output!$AC$1:$AC$400,_xlfn.TEXTJOIN(",",TRUE,$B239:$E239),SF_Output!$Q$1:$Q$400,"monthly"))/V239)),AF239="exclusion",-(SUMIFS(SF_Output!$T$1:$T$400,SF_Output!$AC$1:$AC$400,_xlfn.TEXTJOIN(",",TRUE,$B239:$E239),SF_Output!$Q$1:$Q$400,"monthly"))/V239)</f>
        <v/>
      </c>
      <c r="X239" s="6" t="str" cm="1">
        <f t="array" ref="X239">IFERROR(_xlfn.IFS(V239=0,0,V239="","",W239=0,V239,OR(V239&lt;&gt;0,V239&lt;&gt;""),H239*I239),V239*(1-W239))</f>
        <v/>
      </c>
    </row>
    <row r="240" spans="6:24" x14ac:dyDescent="0.25">
      <c r="F240" s="116" t="str">
        <f t="shared" si="12"/>
        <v/>
      </c>
      <c r="G240" t="str">
        <f>IF(B240="","",INDEX(SF_Output!$K$1:$K$400,MATCH(B240,SF_Output!$M$1:$M$400,0)))</f>
        <v/>
      </c>
      <c r="H240" t="str" cm="1">
        <f t="array" ref="H240">_xlfn.IFS(B240="","",(SUMIFS(SF_Output!$F$1:$F$400,SF_Output!$AC$1:$AC$400,_xlfn.TEXTJOIN(",",TRUE,B240:E240))+SUMIFS(SF_Output!$G$1:$G$400,SF_Output!$AC$1:$AC$400,_xlfn.TEXTJOIN(",",TRUE,B240:E240)))&lt;&gt;0,SF_Output!$Y$2,INDEX(SF_Output!$F$1:$F$400,MATCH(_xlfn.TEXTJOIN(",",TRUE,B240:E240),SF_Output!$AC$1:$AC$400,0))=0,INDEX(SF_Output!$R$1:$R$400,MATCH(_xlfn.TEXTJOIN(",",TRUE,B240:E240),SF_Output!$AC$1:$AC$400,0)))</f>
        <v/>
      </c>
      <c r="I240" s="125" t="str">
        <f>IFERROR(IF(AND(H240&gt;1,H240&lt;&gt;""),ROUND(SUMIFS(SF_Output!$S$1:$S$400,SF_Output!$AC$1:$AC$400,_xlfn.TEXTJOIN(",",TRUE,B240:E240),SF_Output!$Q$1:$Q$400,"monthly")*(1-W240)/H240,4),""),"")</f>
        <v/>
      </c>
      <c r="J240" s="6" t="str">
        <f>IF(B240="","",SUMIFS(SF_Output!$S$1:$S$400,SF_Output!$AC$1:$AC$400,_xlfn.TEXTJOIN(",",TRUE,B240:E240),SF_Output!$Q$1:$Q$400,"One Time",SF_Output!$L$1:$L$400,"license fee")+SUMIFS(SF_Output!$S$1:$S$400,SF_Output!$AC$1:$AC$400,_xlfn.TEXTJOIN(",",TRUE,B240:E240),SF_Output!$Q$1:$Q$400,"One Time",SF_Output!$L$1:$L$400,"software license")+SUMIFS(SF_Output!$S$1:$S$400,SF_Output!$AC$1:$AC$400,_xlfn.TEXTJOIN(",",TRUE,B240:E240),SF_Output!$Q$1:$Q$400,"One Time",SF_Output!$L$1:$L$400,"hardware"))</f>
        <v/>
      </c>
      <c r="K240" s="112" t="str">
        <f>IF(OR(B240=0,B240="",G240="hardware",J240=0),"",IF(AF240&lt;&gt;"exclusion",MAX(K$9,-((SUMIFS(SF_Output!$T$1:$T$400,SF_Output!$AC$1:$AC$400,_xlfn.TEXTJOIN(",",TRUE,$B240:$E240),SF_Output!$Q$1:$Q$400,"One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license"))/J240)),-((SUMIFS(SF_Output!$T$1:$T$400,SF_Output!$AC$1:$AC$400,_xlfn.TEXTJOIN(",",TRUE,$B240:$E240),SF_Output!$Q$1:$Q$400,"One Time",SF_Output!$L$1:$L$400,"license fee")+SUMIFS(SF_Output!$T$1:$T$400,SF_Output!$AC$1:$AC$400,_xlfn.TEXTJOIN(",",TRUE,$B240:$E240),SF_Output!$Q$1:$Q$400,"One Time",SF_Output!$L$1:$L$400,"software license"))/J240)))</f>
        <v/>
      </c>
      <c r="L240" s="6" t="str">
        <f t="shared" si="13"/>
        <v/>
      </c>
      <c r="N240" s="6" t="str">
        <f>IF(B240="","",SUMIFS(SF_Output!$S$1:$S$400,SF_Output!$AC$1:$AC$400,_xlfn.TEXTJOIN(",",TRUE,B240:E240),SF_Output!$Q$1:$Q$400,"One Time",SF_Output!$L$1:$L$400,"professional service"))</f>
        <v/>
      </c>
      <c r="O240" s="112" t="str">
        <f>IF(OR(B240=0,B240="",N240=0),"",IF(AF240&lt;&gt;"exclusion",MAX(O$9,-(SUMIFS(SF_Output!$T$1:$T$400,SF_Output!$AC$1:$AC$400,_xlfn.TEXTJOIN(",",TRUE,$B240:$E240),SF_Output!$Q$1:$Q$400,"One Time",SF_Output!$L$1:$L$400,"professional service"))/N240),-((SUMIFS(SF_Output!$T$1:$T$400,SF_Output!$AC$1:$AC$400,_xlfn.TEXTJOIN(",",TRUE,$B240:$E240),SF_Output!$Q$1:$Q$400,"One Time",SF_Output!$L$1:$L$400,"professional service")/N240))))</f>
        <v/>
      </c>
      <c r="P240" s="6" t="str">
        <f t="shared" si="14"/>
        <v/>
      </c>
      <c r="R240" s="6" t="str">
        <f>IF(B240="","",SUMIFS(SF_Output!$S$1:$S$400,SF_Output!$AC$1:$AC$400,_xlfn.TEXTJOIN(",",TRUE,B240:E240),SF_Output!$Q$1:$Q$400,"yearly")+SUMIFS(SF_Output!$S$1:$S$400,SF_Output!$AC$1:$AC$400,_xlfn.TEXTJOIN(",",TRUE,B240:E240),SF_Output!$Q$1:$Q$400,"quarterly")*4)</f>
        <v/>
      </c>
      <c r="S240" s="112" t="str">
        <f>IF(OR(B240=0,B240="",G240="hardware",R240=0),"",IF(AF240&lt;&gt;"exclusion",MAX(S$9,-(SUMIFS(SF_Output!$T$1:$T$400,SF_Output!$AC$1:$AC$400,_xlfn.TEXTJOIN(",",TRUE,$B240:$E240),SF_Output!$Q$1:$Q$400,"yearly"))/R240),-((SUMIFS(SF_Output!$T$1:$T$400,SF_Output!$AC$1:$AC$400,_xlfn.TEXTJOIN(",",TRUE,$B240:$E240),SF_Output!$Q$1:$Q$400,"yearly")/R240))))</f>
        <v/>
      </c>
      <c r="T240" s="6" t="str">
        <f t="shared" si="15"/>
        <v/>
      </c>
      <c r="V240" s="6" t="str" cm="1">
        <f t="array" ref="V240">_xlfn.IFS(B240="","",AND(B240&lt;&gt;"",H240=SF_Output!$Y$2,SUMIFS(SF_Output!$T$1:$T$400,SF_Output!$AC$1:$AC$400,_xlfn.TEXTJOIN(",",TRUE,B240:E240),SF_Output!$Q$1:$Q$400,"monthly")=0),(SUMIFS(SF_Output!$F$1:$F$400,SF_Output!$AC$1:$AC$400,_xlfn.TEXTJOIN(",",TRUE,B240:E240),SF_Output!$Q$1:$Q$400,"monthly")+SUMIFS(SF_Output!$G$1:$G$400,SF_Output!$AC$1:$AC$400,_xlfn.TEXTJOIN(",",TRUE,B240:E240),SF_Output!$Q$1:$Q$400,"monthly"))*H240,AND(B240&lt;&gt;"",H240=SF_Output!$Y$2,SUMIFS(SF_Output!$T$1:$T$400,SF_Output!$AC$1:$AC$400,_xlfn.TEXTJOIN(",",TRUE,B240:E240),SF_Output!$Q$1:$Q$400,"monthly")&lt;&gt;0),SUMIFS(SF_Output!$S$1:$S$400,SF_Output!$AC$1:$AC$400,_xlfn.TEXTJOIN(",",TRUE,B240:E240),SF_Output!$Q$1:$Q$400,"monthly"),AND(B240&lt;&gt;"",H240&lt;&gt;SF_Output!$Y$2),SUMIFS(SF_Output!$S$1:$S$400,SF_Output!$AC$1:$AC$400,_xlfn.TEXTJOIN(",",TRUE,B240:E240),SF_Output!$Q$1:$Q$400,"monthly"))</f>
        <v/>
      </c>
      <c r="W240" s="112" t="str" cm="1">
        <f t="array" ref="W240">_xlfn.IFS(OR(B240=0,B240="",V240=0),"",AF240&lt;&gt;"exclusion",MAX($W$9,$W$7,(-(SUMIFS(SF_Output!$T$1:$T$400,SF_Output!$AC$1:$AC$400,_xlfn.TEXTJOIN(",",TRUE,$B240:$E240),SF_Output!$Q$1:$Q$400,"monthly"))/V240)),AF240="exclusion",-(SUMIFS(SF_Output!$T$1:$T$400,SF_Output!$AC$1:$AC$400,_xlfn.TEXTJOIN(",",TRUE,$B240:$E240),SF_Output!$Q$1:$Q$400,"monthly"))/V240)</f>
        <v/>
      </c>
      <c r="X240" s="6" t="str" cm="1">
        <f t="array" ref="X240">IFERROR(_xlfn.IFS(V240=0,0,V240="","",W240=0,V240,OR(V240&lt;&gt;0,V240&lt;&gt;""),H240*I240),V240*(1-W240))</f>
        <v/>
      </c>
    </row>
    <row r="241" spans="6:24" x14ac:dyDescent="0.25">
      <c r="F241" s="116" t="str">
        <f t="shared" si="12"/>
        <v/>
      </c>
      <c r="G241" t="str">
        <f>IF(B241="","",INDEX(SF_Output!$K$1:$K$400,MATCH(B241,SF_Output!$M$1:$M$400,0)))</f>
        <v/>
      </c>
      <c r="H241" t="str" cm="1">
        <f t="array" ref="H241">_xlfn.IFS(B241="","",(SUMIFS(SF_Output!$F$1:$F$400,SF_Output!$AC$1:$AC$400,_xlfn.TEXTJOIN(",",TRUE,B241:E241))+SUMIFS(SF_Output!$G$1:$G$400,SF_Output!$AC$1:$AC$400,_xlfn.TEXTJOIN(",",TRUE,B241:E241)))&lt;&gt;0,SF_Output!$Y$2,INDEX(SF_Output!$F$1:$F$400,MATCH(_xlfn.TEXTJOIN(",",TRUE,B241:E241),SF_Output!$AC$1:$AC$400,0))=0,INDEX(SF_Output!$R$1:$R$400,MATCH(_xlfn.TEXTJOIN(",",TRUE,B241:E241),SF_Output!$AC$1:$AC$400,0)))</f>
        <v/>
      </c>
      <c r="I241" s="125" t="str">
        <f>IFERROR(IF(AND(H241&gt;1,H241&lt;&gt;""),ROUND(SUMIFS(SF_Output!$S$1:$S$400,SF_Output!$AC$1:$AC$400,_xlfn.TEXTJOIN(",",TRUE,B241:E241),SF_Output!$Q$1:$Q$400,"monthly")*(1-W241)/H241,4),""),"")</f>
        <v/>
      </c>
      <c r="J241" s="6" t="str">
        <f>IF(B241="","",SUMIFS(SF_Output!$S$1:$S$400,SF_Output!$AC$1:$AC$400,_xlfn.TEXTJOIN(",",TRUE,B241:E241),SF_Output!$Q$1:$Q$400,"One Time",SF_Output!$L$1:$L$400,"license fee")+SUMIFS(SF_Output!$S$1:$S$400,SF_Output!$AC$1:$AC$400,_xlfn.TEXTJOIN(",",TRUE,B241:E241),SF_Output!$Q$1:$Q$400,"One Time",SF_Output!$L$1:$L$400,"software license")+SUMIFS(SF_Output!$S$1:$S$400,SF_Output!$AC$1:$AC$400,_xlfn.TEXTJOIN(",",TRUE,B241:E241),SF_Output!$Q$1:$Q$400,"One Time",SF_Output!$L$1:$L$400,"hardware"))</f>
        <v/>
      </c>
      <c r="K241" s="112" t="str">
        <f>IF(OR(B241=0,B241="",G241="hardware",J241=0),"",IF(AF241&lt;&gt;"exclusion",MAX(K$9,-((SUMIFS(SF_Output!$T$1:$T$400,SF_Output!$AC$1:$AC$400,_xlfn.TEXTJOIN(",",TRUE,$B241:$E241),SF_Output!$Q$1:$Q$400,"One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license"))/J241)),-((SUMIFS(SF_Output!$T$1:$T$400,SF_Output!$AC$1:$AC$400,_xlfn.TEXTJOIN(",",TRUE,$B241:$E241),SF_Output!$Q$1:$Q$400,"One Time",SF_Output!$L$1:$L$400,"license fee")+SUMIFS(SF_Output!$T$1:$T$400,SF_Output!$AC$1:$AC$400,_xlfn.TEXTJOIN(",",TRUE,$B241:$E241),SF_Output!$Q$1:$Q$400,"One Time",SF_Output!$L$1:$L$400,"software license"))/J241)))</f>
        <v/>
      </c>
      <c r="L241" s="6" t="str">
        <f t="shared" si="13"/>
        <v/>
      </c>
      <c r="N241" s="6" t="str">
        <f>IF(B241="","",SUMIFS(SF_Output!$S$1:$S$400,SF_Output!$AC$1:$AC$400,_xlfn.TEXTJOIN(",",TRUE,B241:E241),SF_Output!$Q$1:$Q$400,"One Time",SF_Output!$L$1:$L$400,"professional service"))</f>
        <v/>
      </c>
      <c r="O241" s="112" t="str">
        <f>IF(OR(B241=0,B241="",N241=0),"",IF(AF241&lt;&gt;"exclusion",MAX(O$9,-(SUMIFS(SF_Output!$T$1:$T$400,SF_Output!$AC$1:$AC$400,_xlfn.TEXTJOIN(",",TRUE,$B241:$E241),SF_Output!$Q$1:$Q$400,"One Time",SF_Output!$L$1:$L$400,"professional service"))/N241),-((SUMIFS(SF_Output!$T$1:$T$400,SF_Output!$AC$1:$AC$400,_xlfn.TEXTJOIN(",",TRUE,$B241:$E241),SF_Output!$Q$1:$Q$400,"One Time",SF_Output!$L$1:$L$400,"professional service")/N241))))</f>
        <v/>
      </c>
      <c r="P241" s="6" t="str">
        <f t="shared" si="14"/>
        <v/>
      </c>
      <c r="R241" s="6" t="str">
        <f>IF(B241="","",SUMIFS(SF_Output!$S$1:$S$400,SF_Output!$AC$1:$AC$400,_xlfn.TEXTJOIN(",",TRUE,B241:E241),SF_Output!$Q$1:$Q$400,"yearly")+SUMIFS(SF_Output!$S$1:$S$400,SF_Output!$AC$1:$AC$400,_xlfn.TEXTJOIN(",",TRUE,B241:E241),SF_Output!$Q$1:$Q$400,"quarterly")*4)</f>
        <v/>
      </c>
      <c r="S241" s="112" t="str">
        <f>IF(OR(B241=0,B241="",G241="hardware",R241=0),"",IF(AF241&lt;&gt;"exclusion",MAX(S$9,-(SUMIFS(SF_Output!$T$1:$T$400,SF_Output!$AC$1:$AC$400,_xlfn.TEXTJOIN(",",TRUE,$B241:$E241),SF_Output!$Q$1:$Q$400,"yearly"))/R241),-((SUMIFS(SF_Output!$T$1:$T$400,SF_Output!$AC$1:$AC$400,_xlfn.TEXTJOIN(",",TRUE,$B241:$E241),SF_Output!$Q$1:$Q$400,"yearly")/R241))))</f>
        <v/>
      </c>
      <c r="T241" s="6" t="str">
        <f t="shared" si="15"/>
        <v/>
      </c>
      <c r="V241" s="6" t="str" cm="1">
        <f t="array" ref="V241">_xlfn.IFS(B241="","",AND(B241&lt;&gt;"",H241=SF_Output!$Y$2,SUMIFS(SF_Output!$T$1:$T$400,SF_Output!$AC$1:$AC$400,_xlfn.TEXTJOIN(",",TRUE,B241:E241),SF_Output!$Q$1:$Q$400,"monthly")=0),(SUMIFS(SF_Output!$F$1:$F$400,SF_Output!$AC$1:$AC$400,_xlfn.TEXTJOIN(",",TRUE,B241:E241),SF_Output!$Q$1:$Q$400,"monthly")+SUMIFS(SF_Output!$G$1:$G$400,SF_Output!$AC$1:$AC$400,_xlfn.TEXTJOIN(",",TRUE,B241:E241),SF_Output!$Q$1:$Q$400,"monthly"))*H241,AND(B241&lt;&gt;"",H241=SF_Output!$Y$2,SUMIFS(SF_Output!$T$1:$T$400,SF_Output!$AC$1:$AC$400,_xlfn.TEXTJOIN(",",TRUE,B241:E241),SF_Output!$Q$1:$Q$400,"monthly")&lt;&gt;0),SUMIFS(SF_Output!$S$1:$S$400,SF_Output!$AC$1:$AC$400,_xlfn.TEXTJOIN(",",TRUE,B241:E241),SF_Output!$Q$1:$Q$400,"monthly"),AND(B241&lt;&gt;"",H241&lt;&gt;SF_Output!$Y$2),SUMIFS(SF_Output!$S$1:$S$400,SF_Output!$AC$1:$AC$400,_xlfn.TEXTJOIN(",",TRUE,B241:E241),SF_Output!$Q$1:$Q$400,"monthly"))</f>
        <v/>
      </c>
      <c r="W241" s="112" t="str" cm="1">
        <f t="array" ref="W241">_xlfn.IFS(OR(B241=0,B241="",V241=0),"",AF241&lt;&gt;"exclusion",MAX($W$9,$W$7,(-(SUMIFS(SF_Output!$T$1:$T$400,SF_Output!$AC$1:$AC$400,_xlfn.TEXTJOIN(",",TRUE,$B241:$E241),SF_Output!$Q$1:$Q$400,"monthly"))/V241)),AF241="exclusion",-(SUMIFS(SF_Output!$T$1:$T$400,SF_Output!$AC$1:$AC$400,_xlfn.TEXTJOIN(",",TRUE,$B241:$E241),SF_Output!$Q$1:$Q$400,"monthly"))/V241)</f>
        <v/>
      </c>
      <c r="X241" s="6" t="str" cm="1">
        <f t="array" ref="X241">IFERROR(_xlfn.IFS(V241=0,0,V241="","",W241=0,V241,OR(V241&lt;&gt;0,V241&lt;&gt;""),H241*I241),V241*(1-W241))</f>
        <v/>
      </c>
    </row>
    <row r="242" spans="6:24" x14ac:dyDescent="0.25">
      <c r="F242" s="116" t="str">
        <f t="shared" si="12"/>
        <v/>
      </c>
      <c r="G242" t="str">
        <f>IF(B242="","",INDEX(SF_Output!$K$1:$K$400,MATCH(B242,SF_Output!$M$1:$M$400,0)))</f>
        <v/>
      </c>
      <c r="H242" t="str" cm="1">
        <f t="array" ref="H242">_xlfn.IFS(B242="","",(SUMIFS(SF_Output!$F$1:$F$400,SF_Output!$AC$1:$AC$400,_xlfn.TEXTJOIN(",",TRUE,B242:E242))+SUMIFS(SF_Output!$G$1:$G$400,SF_Output!$AC$1:$AC$400,_xlfn.TEXTJOIN(",",TRUE,B242:E242)))&lt;&gt;0,SF_Output!$Y$2,INDEX(SF_Output!$F$1:$F$400,MATCH(_xlfn.TEXTJOIN(",",TRUE,B242:E242),SF_Output!$AC$1:$AC$400,0))=0,INDEX(SF_Output!$R$1:$R$400,MATCH(_xlfn.TEXTJOIN(",",TRUE,B242:E242),SF_Output!$AC$1:$AC$400,0)))</f>
        <v/>
      </c>
      <c r="I242" s="125" t="str">
        <f>IFERROR(IF(AND(H242&gt;1,H242&lt;&gt;""),ROUND(SUMIFS(SF_Output!$S$1:$S$400,SF_Output!$AC$1:$AC$400,_xlfn.TEXTJOIN(",",TRUE,B242:E242),SF_Output!$Q$1:$Q$400,"monthly")*(1-W242)/H242,4),""),"")</f>
        <v/>
      </c>
      <c r="J242" s="6" t="str">
        <f>IF(B242="","",SUMIFS(SF_Output!$S$1:$S$400,SF_Output!$AC$1:$AC$400,_xlfn.TEXTJOIN(",",TRUE,B242:E242),SF_Output!$Q$1:$Q$400,"One Time",SF_Output!$L$1:$L$400,"license fee")+SUMIFS(SF_Output!$S$1:$S$400,SF_Output!$AC$1:$AC$400,_xlfn.TEXTJOIN(",",TRUE,B242:E242),SF_Output!$Q$1:$Q$400,"One Time",SF_Output!$L$1:$L$400,"software license")+SUMIFS(SF_Output!$S$1:$S$400,SF_Output!$AC$1:$AC$400,_xlfn.TEXTJOIN(",",TRUE,B242:E242),SF_Output!$Q$1:$Q$400,"One Time",SF_Output!$L$1:$L$400,"hardware"))</f>
        <v/>
      </c>
      <c r="K242" s="112" t="str">
        <f>IF(OR(B242=0,B242="",G242="hardware",J242=0),"",IF(AF242&lt;&gt;"exclusion",MAX(K$9,-((SUMIFS(SF_Output!$T$1:$T$400,SF_Output!$AC$1:$AC$400,_xlfn.TEXTJOIN(",",TRUE,$B242:$E242),SF_Output!$Q$1:$Q$400,"One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license"))/J242)),-((SUMIFS(SF_Output!$T$1:$T$400,SF_Output!$AC$1:$AC$400,_xlfn.TEXTJOIN(",",TRUE,$B242:$E242),SF_Output!$Q$1:$Q$400,"One Time",SF_Output!$L$1:$L$400,"license fee")+SUMIFS(SF_Output!$T$1:$T$400,SF_Output!$AC$1:$AC$400,_xlfn.TEXTJOIN(",",TRUE,$B242:$E242),SF_Output!$Q$1:$Q$400,"One Time",SF_Output!$L$1:$L$400,"software license"))/J242)))</f>
        <v/>
      </c>
      <c r="L242" s="6" t="str">
        <f t="shared" si="13"/>
        <v/>
      </c>
      <c r="N242" s="6" t="str">
        <f>IF(B242="","",SUMIFS(SF_Output!$S$1:$S$400,SF_Output!$AC$1:$AC$400,_xlfn.TEXTJOIN(",",TRUE,B242:E242),SF_Output!$Q$1:$Q$400,"One Time",SF_Output!$L$1:$L$400,"professional service"))</f>
        <v/>
      </c>
      <c r="O242" s="112" t="str">
        <f>IF(OR(B242=0,B242="",N242=0),"",IF(AF242&lt;&gt;"exclusion",MAX(O$9,-(SUMIFS(SF_Output!$T$1:$T$400,SF_Output!$AC$1:$AC$400,_xlfn.TEXTJOIN(",",TRUE,$B242:$E242),SF_Output!$Q$1:$Q$400,"One Time",SF_Output!$L$1:$L$400,"professional service"))/N242),-((SUMIFS(SF_Output!$T$1:$T$400,SF_Output!$AC$1:$AC$400,_xlfn.TEXTJOIN(",",TRUE,$B242:$E242),SF_Output!$Q$1:$Q$400,"One Time",SF_Output!$L$1:$L$400,"professional service")/N242))))</f>
        <v/>
      </c>
      <c r="P242" s="6" t="str">
        <f t="shared" si="14"/>
        <v/>
      </c>
      <c r="R242" s="6" t="str">
        <f>IF(B242="","",SUMIFS(SF_Output!$S$1:$S$400,SF_Output!$AC$1:$AC$400,_xlfn.TEXTJOIN(",",TRUE,B242:E242),SF_Output!$Q$1:$Q$400,"yearly")+SUMIFS(SF_Output!$S$1:$S$400,SF_Output!$AC$1:$AC$400,_xlfn.TEXTJOIN(",",TRUE,B242:E242),SF_Output!$Q$1:$Q$400,"quarterly")*4)</f>
        <v/>
      </c>
      <c r="S242" s="112" t="str">
        <f>IF(OR(B242=0,B242="",G242="hardware",R242=0),"",IF(AF242&lt;&gt;"exclusion",MAX(S$9,-(SUMIFS(SF_Output!$T$1:$T$400,SF_Output!$AC$1:$AC$400,_xlfn.TEXTJOIN(",",TRUE,$B242:$E242),SF_Output!$Q$1:$Q$400,"yearly"))/R242),-((SUMIFS(SF_Output!$T$1:$T$400,SF_Output!$AC$1:$AC$400,_xlfn.TEXTJOIN(",",TRUE,$B242:$E242),SF_Output!$Q$1:$Q$400,"yearly")/R242))))</f>
        <v/>
      </c>
      <c r="T242" s="6" t="str">
        <f t="shared" si="15"/>
        <v/>
      </c>
      <c r="V242" s="6" t="str" cm="1">
        <f t="array" ref="V242">_xlfn.IFS(B242="","",AND(B242&lt;&gt;"",H242=SF_Output!$Y$2,SUMIFS(SF_Output!$T$1:$T$400,SF_Output!$AC$1:$AC$400,_xlfn.TEXTJOIN(",",TRUE,B242:E242),SF_Output!$Q$1:$Q$400,"monthly")=0),(SUMIFS(SF_Output!$F$1:$F$400,SF_Output!$AC$1:$AC$400,_xlfn.TEXTJOIN(",",TRUE,B242:E242),SF_Output!$Q$1:$Q$400,"monthly")+SUMIFS(SF_Output!$G$1:$G$400,SF_Output!$AC$1:$AC$400,_xlfn.TEXTJOIN(",",TRUE,B242:E242),SF_Output!$Q$1:$Q$400,"monthly"))*H242,AND(B242&lt;&gt;"",H242=SF_Output!$Y$2,SUMIFS(SF_Output!$T$1:$T$400,SF_Output!$AC$1:$AC$400,_xlfn.TEXTJOIN(",",TRUE,B242:E242),SF_Output!$Q$1:$Q$400,"monthly")&lt;&gt;0),SUMIFS(SF_Output!$S$1:$S$400,SF_Output!$AC$1:$AC$400,_xlfn.TEXTJOIN(",",TRUE,B242:E242),SF_Output!$Q$1:$Q$400,"monthly"),AND(B242&lt;&gt;"",H242&lt;&gt;SF_Output!$Y$2),SUMIFS(SF_Output!$S$1:$S$400,SF_Output!$AC$1:$AC$400,_xlfn.TEXTJOIN(",",TRUE,B242:E242),SF_Output!$Q$1:$Q$400,"monthly"))</f>
        <v/>
      </c>
      <c r="W242" s="112" t="str" cm="1">
        <f t="array" ref="W242">_xlfn.IFS(OR(B242=0,B242="",V242=0),"",AF242&lt;&gt;"exclusion",MAX($W$9,$W$7,(-(SUMIFS(SF_Output!$T$1:$T$400,SF_Output!$AC$1:$AC$400,_xlfn.TEXTJOIN(",",TRUE,$B242:$E242),SF_Output!$Q$1:$Q$400,"monthly"))/V242)),AF242="exclusion",-(SUMIFS(SF_Output!$T$1:$T$400,SF_Output!$AC$1:$AC$400,_xlfn.TEXTJOIN(",",TRUE,$B242:$E242),SF_Output!$Q$1:$Q$400,"monthly"))/V242)</f>
        <v/>
      </c>
      <c r="X242" s="6" t="str" cm="1">
        <f t="array" ref="X242">IFERROR(_xlfn.IFS(V242=0,0,V242="","",W242=0,V242,OR(V242&lt;&gt;0,V242&lt;&gt;""),H242*I242),V242*(1-W242))</f>
        <v/>
      </c>
    </row>
    <row r="243" spans="6:24" x14ac:dyDescent="0.25">
      <c r="F243" s="116" t="str">
        <f t="shared" si="12"/>
        <v/>
      </c>
      <c r="G243" t="str">
        <f>IF(B243="","",INDEX(SF_Output!$K$1:$K$400,MATCH(B243,SF_Output!$M$1:$M$400,0)))</f>
        <v/>
      </c>
      <c r="H243" t="str" cm="1">
        <f t="array" ref="H243">_xlfn.IFS(B243="","",(SUMIFS(SF_Output!$F$1:$F$400,SF_Output!$AC$1:$AC$400,_xlfn.TEXTJOIN(",",TRUE,B243:E243))+SUMIFS(SF_Output!$G$1:$G$400,SF_Output!$AC$1:$AC$400,_xlfn.TEXTJOIN(",",TRUE,B243:E243)))&lt;&gt;0,SF_Output!$Y$2,INDEX(SF_Output!$F$1:$F$400,MATCH(_xlfn.TEXTJOIN(",",TRUE,B243:E243),SF_Output!$AC$1:$AC$400,0))=0,INDEX(SF_Output!$R$1:$R$400,MATCH(_xlfn.TEXTJOIN(",",TRUE,B243:E243),SF_Output!$AC$1:$AC$400,0)))</f>
        <v/>
      </c>
      <c r="I243" s="125" t="str">
        <f>IFERROR(IF(AND(H243&gt;1,H243&lt;&gt;""),ROUND(SUMIFS(SF_Output!$S$1:$S$400,SF_Output!$AC$1:$AC$400,_xlfn.TEXTJOIN(",",TRUE,B243:E243),SF_Output!$Q$1:$Q$400,"monthly")*(1-W243)/H243,4),""),"")</f>
        <v/>
      </c>
      <c r="J243" s="6" t="str">
        <f>IF(B243="","",SUMIFS(SF_Output!$S$1:$S$400,SF_Output!$AC$1:$AC$400,_xlfn.TEXTJOIN(",",TRUE,B243:E243),SF_Output!$Q$1:$Q$400,"One Time",SF_Output!$L$1:$L$400,"license fee")+SUMIFS(SF_Output!$S$1:$S$400,SF_Output!$AC$1:$AC$400,_xlfn.TEXTJOIN(",",TRUE,B243:E243),SF_Output!$Q$1:$Q$400,"One Time",SF_Output!$L$1:$L$400,"software license")+SUMIFS(SF_Output!$S$1:$S$400,SF_Output!$AC$1:$AC$400,_xlfn.TEXTJOIN(",",TRUE,B243:E243),SF_Output!$Q$1:$Q$400,"One Time",SF_Output!$L$1:$L$400,"hardware"))</f>
        <v/>
      </c>
      <c r="K243" s="112" t="str">
        <f>IF(OR(B243=0,B243="",G243="hardware",J243=0),"",IF(AF243&lt;&gt;"exclusion",MAX(K$9,-((SUMIFS(SF_Output!$T$1:$T$400,SF_Output!$AC$1:$AC$400,_xlfn.TEXTJOIN(",",TRUE,$B243:$E243),SF_Output!$Q$1:$Q$400,"One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license"))/J243)),-((SUMIFS(SF_Output!$T$1:$T$400,SF_Output!$AC$1:$AC$400,_xlfn.TEXTJOIN(",",TRUE,$B243:$E243),SF_Output!$Q$1:$Q$400,"One Time",SF_Output!$L$1:$L$400,"license fee")+SUMIFS(SF_Output!$T$1:$T$400,SF_Output!$AC$1:$AC$400,_xlfn.TEXTJOIN(",",TRUE,$B243:$E243),SF_Output!$Q$1:$Q$400,"One Time",SF_Output!$L$1:$L$400,"software license"))/J243)))</f>
        <v/>
      </c>
      <c r="L243" s="6" t="str">
        <f t="shared" si="13"/>
        <v/>
      </c>
      <c r="N243" s="6" t="str">
        <f>IF(B243="","",SUMIFS(SF_Output!$S$1:$S$400,SF_Output!$AC$1:$AC$400,_xlfn.TEXTJOIN(",",TRUE,B243:E243),SF_Output!$Q$1:$Q$400,"One Time",SF_Output!$L$1:$L$400,"professional service"))</f>
        <v/>
      </c>
      <c r="O243" s="112" t="str">
        <f>IF(OR(B243=0,B243="",N243=0),"",IF(AF243&lt;&gt;"exclusion",MAX(O$9,-(SUMIFS(SF_Output!$T$1:$T$400,SF_Output!$AC$1:$AC$400,_xlfn.TEXTJOIN(",",TRUE,$B243:$E243),SF_Output!$Q$1:$Q$400,"One Time",SF_Output!$L$1:$L$400,"professional service"))/N243),-((SUMIFS(SF_Output!$T$1:$T$400,SF_Output!$AC$1:$AC$400,_xlfn.TEXTJOIN(",",TRUE,$B243:$E243),SF_Output!$Q$1:$Q$400,"One Time",SF_Output!$L$1:$L$400,"professional service")/N243))))</f>
        <v/>
      </c>
      <c r="P243" s="6" t="str">
        <f t="shared" si="14"/>
        <v/>
      </c>
      <c r="R243" s="6" t="str">
        <f>IF(B243="","",SUMIFS(SF_Output!$S$1:$S$400,SF_Output!$AC$1:$AC$400,_xlfn.TEXTJOIN(",",TRUE,B243:E243),SF_Output!$Q$1:$Q$400,"yearly")+SUMIFS(SF_Output!$S$1:$S$400,SF_Output!$AC$1:$AC$400,_xlfn.TEXTJOIN(",",TRUE,B243:E243),SF_Output!$Q$1:$Q$400,"quarterly")*4)</f>
        <v/>
      </c>
      <c r="S243" s="112" t="str">
        <f>IF(OR(B243=0,B243="",G243="hardware",R243=0),"",IF(AF243&lt;&gt;"exclusion",MAX(S$9,-(SUMIFS(SF_Output!$T$1:$T$400,SF_Output!$AC$1:$AC$400,_xlfn.TEXTJOIN(",",TRUE,$B243:$E243),SF_Output!$Q$1:$Q$400,"yearly"))/R243),-((SUMIFS(SF_Output!$T$1:$T$400,SF_Output!$AC$1:$AC$400,_xlfn.TEXTJOIN(",",TRUE,$B243:$E243),SF_Output!$Q$1:$Q$400,"yearly")/R243))))</f>
        <v/>
      </c>
      <c r="T243" s="6" t="str">
        <f t="shared" si="15"/>
        <v/>
      </c>
      <c r="V243" s="6" t="str" cm="1">
        <f t="array" ref="V243">_xlfn.IFS(B243="","",AND(B243&lt;&gt;"",H243=SF_Output!$Y$2,SUMIFS(SF_Output!$T$1:$T$400,SF_Output!$AC$1:$AC$400,_xlfn.TEXTJOIN(",",TRUE,B243:E243),SF_Output!$Q$1:$Q$400,"monthly")=0),(SUMIFS(SF_Output!$F$1:$F$400,SF_Output!$AC$1:$AC$400,_xlfn.TEXTJOIN(",",TRUE,B243:E243),SF_Output!$Q$1:$Q$400,"monthly")+SUMIFS(SF_Output!$G$1:$G$400,SF_Output!$AC$1:$AC$400,_xlfn.TEXTJOIN(",",TRUE,B243:E243),SF_Output!$Q$1:$Q$400,"monthly"))*H243,AND(B243&lt;&gt;"",H243=SF_Output!$Y$2,SUMIFS(SF_Output!$T$1:$T$400,SF_Output!$AC$1:$AC$400,_xlfn.TEXTJOIN(",",TRUE,B243:E243),SF_Output!$Q$1:$Q$400,"monthly")&lt;&gt;0),SUMIFS(SF_Output!$S$1:$S$400,SF_Output!$AC$1:$AC$400,_xlfn.TEXTJOIN(",",TRUE,B243:E243),SF_Output!$Q$1:$Q$400,"monthly"),AND(B243&lt;&gt;"",H243&lt;&gt;SF_Output!$Y$2),SUMIFS(SF_Output!$S$1:$S$400,SF_Output!$AC$1:$AC$400,_xlfn.TEXTJOIN(",",TRUE,B243:E243),SF_Output!$Q$1:$Q$400,"monthly"))</f>
        <v/>
      </c>
      <c r="W243" s="112" t="str" cm="1">
        <f t="array" ref="W243">_xlfn.IFS(OR(B243=0,B243="",V243=0),"",AF243&lt;&gt;"exclusion",MAX($W$9,$W$7,(-(SUMIFS(SF_Output!$T$1:$T$400,SF_Output!$AC$1:$AC$400,_xlfn.TEXTJOIN(",",TRUE,$B243:$E243),SF_Output!$Q$1:$Q$400,"monthly"))/V243)),AF243="exclusion",-(SUMIFS(SF_Output!$T$1:$T$400,SF_Output!$AC$1:$AC$400,_xlfn.TEXTJOIN(",",TRUE,$B243:$E243),SF_Output!$Q$1:$Q$400,"monthly"))/V243)</f>
        <v/>
      </c>
      <c r="X243" s="6" t="str" cm="1">
        <f t="array" ref="X243">IFERROR(_xlfn.IFS(V243=0,0,V243="","",W243=0,V243,OR(V243&lt;&gt;0,V243&lt;&gt;""),H243*I243),V243*(1-W243))</f>
        <v/>
      </c>
    </row>
    <row r="244" spans="6:24" x14ac:dyDescent="0.25">
      <c r="F244" s="116" t="str">
        <f t="shared" si="12"/>
        <v/>
      </c>
      <c r="G244" t="str">
        <f>IF(B244="","",INDEX(SF_Output!$K$1:$K$400,MATCH(B244,SF_Output!$M$1:$M$400,0)))</f>
        <v/>
      </c>
      <c r="H244" t="str" cm="1">
        <f t="array" ref="H244">_xlfn.IFS(B244="","",(SUMIFS(SF_Output!$F$1:$F$400,SF_Output!$AC$1:$AC$400,_xlfn.TEXTJOIN(",",TRUE,B244:E244))+SUMIFS(SF_Output!$G$1:$G$400,SF_Output!$AC$1:$AC$400,_xlfn.TEXTJOIN(",",TRUE,B244:E244)))&lt;&gt;0,SF_Output!$Y$2,INDEX(SF_Output!$F$1:$F$400,MATCH(_xlfn.TEXTJOIN(",",TRUE,B244:E244),SF_Output!$AC$1:$AC$400,0))=0,INDEX(SF_Output!$R$1:$R$400,MATCH(_xlfn.TEXTJOIN(",",TRUE,B244:E244),SF_Output!$AC$1:$AC$400,0)))</f>
        <v/>
      </c>
      <c r="I244" s="125" t="str">
        <f>IFERROR(IF(AND(H244&gt;1,H244&lt;&gt;""),ROUND(SUMIFS(SF_Output!$S$1:$S$400,SF_Output!$AC$1:$AC$400,_xlfn.TEXTJOIN(",",TRUE,B244:E244),SF_Output!$Q$1:$Q$400,"monthly")*(1-W244)/H244,4),""),"")</f>
        <v/>
      </c>
      <c r="J244" s="6" t="str">
        <f>IF(B244="","",SUMIFS(SF_Output!$S$1:$S$400,SF_Output!$AC$1:$AC$400,_xlfn.TEXTJOIN(",",TRUE,B244:E244),SF_Output!$Q$1:$Q$400,"One Time",SF_Output!$L$1:$L$400,"license fee")+SUMIFS(SF_Output!$S$1:$S$400,SF_Output!$AC$1:$AC$400,_xlfn.TEXTJOIN(",",TRUE,B244:E244),SF_Output!$Q$1:$Q$400,"One Time",SF_Output!$L$1:$L$400,"software license")+SUMIFS(SF_Output!$S$1:$S$400,SF_Output!$AC$1:$AC$400,_xlfn.TEXTJOIN(",",TRUE,B244:E244),SF_Output!$Q$1:$Q$400,"One Time",SF_Output!$L$1:$L$400,"hardware"))</f>
        <v/>
      </c>
      <c r="K244" s="112" t="str">
        <f>IF(OR(B244=0,B244="",G244="hardware",J244=0),"",IF(AF244&lt;&gt;"exclusion",MAX(K$9,-((SUMIFS(SF_Output!$T$1:$T$400,SF_Output!$AC$1:$AC$400,_xlfn.TEXTJOIN(",",TRUE,$B244:$E244),SF_Output!$Q$1:$Q$400,"One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license"))/J244)),-((SUMIFS(SF_Output!$T$1:$T$400,SF_Output!$AC$1:$AC$400,_xlfn.TEXTJOIN(",",TRUE,$B244:$E244),SF_Output!$Q$1:$Q$400,"One Time",SF_Output!$L$1:$L$400,"license fee")+SUMIFS(SF_Output!$T$1:$T$400,SF_Output!$AC$1:$AC$400,_xlfn.TEXTJOIN(",",TRUE,$B244:$E244),SF_Output!$Q$1:$Q$400,"One Time",SF_Output!$L$1:$L$400,"software license"))/J244)))</f>
        <v/>
      </c>
      <c r="L244" s="6" t="str">
        <f t="shared" si="13"/>
        <v/>
      </c>
      <c r="N244" s="6" t="str">
        <f>IF(B244="","",SUMIFS(SF_Output!$S$1:$S$400,SF_Output!$AC$1:$AC$400,_xlfn.TEXTJOIN(",",TRUE,B244:E244),SF_Output!$Q$1:$Q$400,"One Time",SF_Output!$L$1:$L$400,"professional service"))</f>
        <v/>
      </c>
      <c r="O244" s="112" t="str">
        <f>IF(OR(B244=0,B244="",N244=0),"",IF(AF244&lt;&gt;"exclusion",MAX(O$9,-(SUMIFS(SF_Output!$T$1:$T$400,SF_Output!$AC$1:$AC$400,_xlfn.TEXTJOIN(",",TRUE,$B244:$E244),SF_Output!$Q$1:$Q$400,"One Time",SF_Output!$L$1:$L$400,"professional service"))/N244),-((SUMIFS(SF_Output!$T$1:$T$400,SF_Output!$AC$1:$AC$400,_xlfn.TEXTJOIN(",",TRUE,$B244:$E244),SF_Output!$Q$1:$Q$400,"One Time",SF_Output!$L$1:$L$400,"professional service")/N244))))</f>
        <v/>
      </c>
      <c r="P244" s="6" t="str">
        <f t="shared" si="14"/>
        <v/>
      </c>
      <c r="R244" s="6" t="str">
        <f>IF(B244="","",SUMIFS(SF_Output!$S$1:$S$400,SF_Output!$AC$1:$AC$400,_xlfn.TEXTJOIN(",",TRUE,B244:E244),SF_Output!$Q$1:$Q$400,"yearly")+SUMIFS(SF_Output!$S$1:$S$400,SF_Output!$AC$1:$AC$400,_xlfn.TEXTJOIN(",",TRUE,B244:E244),SF_Output!$Q$1:$Q$400,"quarterly")*4)</f>
        <v/>
      </c>
      <c r="S244" s="112" t="str">
        <f>IF(OR(B244=0,B244="",G244="hardware",R244=0),"",IF(AF244&lt;&gt;"exclusion",MAX(S$9,-(SUMIFS(SF_Output!$T$1:$T$400,SF_Output!$AC$1:$AC$400,_xlfn.TEXTJOIN(",",TRUE,$B244:$E244),SF_Output!$Q$1:$Q$400,"yearly"))/R244),-((SUMIFS(SF_Output!$T$1:$T$400,SF_Output!$AC$1:$AC$400,_xlfn.TEXTJOIN(",",TRUE,$B244:$E244),SF_Output!$Q$1:$Q$400,"yearly")/R244))))</f>
        <v/>
      </c>
      <c r="T244" s="6" t="str">
        <f t="shared" si="15"/>
        <v/>
      </c>
      <c r="V244" s="6" t="str" cm="1">
        <f t="array" ref="V244">_xlfn.IFS(B244="","",AND(B244&lt;&gt;"",H244=SF_Output!$Y$2,SUMIFS(SF_Output!$T$1:$T$400,SF_Output!$AC$1:$AC$400,_xlfn.TEXTJOIN(",",TRUE,B244:E244),SF_Output!$Q$1:$Q$400,"monthly")=0),(SUMIFS(SF_Output!$F$1:$F$400,SF_Output!$AC$1:$AC$400,_xlfn.TEXTJOIN(",",TRUE,B244:E244),SF_Output!$Q$1:$Q$400,"monthly")+SUMIFS(SF_Output!$G$1:$G$400,SF_Output!$AC$1:$AC$400,_xlfn.TEXTJOIN(",",TRUE,B244:E244),SF_Output!$Q$1:$Q$400,"monthly"))*H244,AND(B244&lt;&gt;"",H244=SF_Output!$Y$2,SUMIFS(SF_Output!$T$1:$T$400,SF_Output!$AC$1:$AC$400,_xlfn.TEXTJOIN(",",TRUE,B244:E244),SF_Output!$Q$1:$Q$400,"monthly")&lt;&gt;0),SUMIFS(SF_Output!$S$1:$S$400,SF_Output!$AC$1:$AC$400,_xlfn.TEXTJOIN(",",TRUE,B244:E244),SF_Output!$Q$1:$Q$400,"monthly"),AND(B244&lt;&gt;"",H244&lt;&gt;SF_Output!$Y$2),SUMIFS(SF_Output!$S$1:$S$400,SF_Output!$AC$1:$AC$400,_xlfn.TEXTJOIN(",",TRUE,B244:E244),SF_Output!$Q$1:$Q$400,"monthly"))</f>
        <v/>
      </c>
      <c r="W244" s="112" t="str" cm="1">
        <f t="array" ref="W244">_xlfn.IFS(OR(B244=0,B244="",V244=0),"",AF244&lt;&gt;"exclusion",MAX($W$9,$W$7,(-(SUMIFS(SF_Output!$T$1:$T$400,SF_Output!$AC$1:$AC$400,_xlfn.TEXTJOIN(",",TRUE,$B244:$E244),SF_Output!$Q$1:$Q$400,"monthly"))/V244)),AF244="exclusion",-(SUMIFS(SF_Output!$T$1:$T$400,SF_Output!$AC$1:$AC$400,_xlfn.TEXTJOIN(",",TRUE,$B244:$E244),SF_Output!$Q$1:$Q$400,"monthly"))/V244)</f>
        <v/>
      </c>
      <c r="X244" s="6" t="str" cm="1">
        <f t="array" ref="X244">IFERROR(_xlfn.IFS(V244=0,0,V244="","",W244=0,V244,OR(V244&lt;&gt;0,V244&lt;&gt;""),H244*I244),V244*(1-W244))</f>
        <v/>
      </c>
    </row>
    <row r="245" spans="6:24" x14ac:dyDescent="0.25">
      <c r="F245" s="116" t="str">
        <f t="shared" si="12"/>
        <v/>
      </c>
      <c r="G245" t="str">
        <f>IF(B245="","",INDEX(SF_Output!$K$1:$K$400,MATCH(B245,SF_Output!$M$1:$M$400,0)))</f>
        <v/>
      </c>
      <c r="H245" t="str" cm="1">
        <f t="array" ref="H245">_xlfn.IFS(B245="","",(SUMIFS(SF_Output!$F$1:$F$400,SF_Output!$AC$1:$AC$400,_xlfn.TEXTJOIN(",",TRUE,B245:E245))+SUMIFS(SF_Output!$G$1:$G$400,SF_Output!$AC$1:$AC$400,_xlfn.TEXTJOIN(",",TRUE,B245:E245)))&lt;&gt;0,SF_Output!$Y$2,INDEX(SF_Output!$F$1:$F$400,MATCH(_xlfn.TEXTJOIN(",",TRUE,B245:E245),SF_Output!$AC$1:$AC$400,0))=0,INDEX(SF_Output!$R$1:$R$400,MATCH(_xlfn.TEXTJOIN(",",TRUE,B245:E245),SF_Output!$AC$1:$AC$400,0)))</f>
        <v/>
      </c>
      <c r="I245" s="125" t="str">
        <f>IFERROR(IF(AND(H245&gt;1,H245&lt;&gt;""),ROUND(SUMIFS(SF_Output!$S$1:$S$400,SF_Output!$AC$1:$AC$400,_xlfn.TEXTJOIN(",",TRUE,B245:E245),SF_Output!$Q$1:$Q$400,"monthly")*(1-W245)/H245,4),""),"")</f>
        <v/>
      </c>
      <c r="J245" s="6" t="str">
        <f>IF(B245="","",SUMIFS(SF_Output!$S$1:$S$400,SF_Output!$AC$1:$AC$400,_xlfn.TEXTJOIN(",",TRUE,B245:E245),SF_Output!$Q$1:$Q$400,"One Time",SF_Output!$L$1:$L$400,"license fee")+SUMIFS(SF_Output!$S$1:$S$400,SF_Output!$AC$1:$AC$400,_xlfn.TEXTJOIN(",",TRUE,B245:E245),SF_Output!$Q$1:$Q$400,"One Time",SF_Output!$L$1:$L$400,"software license")+SUMIFS(SF_Output!$S$1:$S$400,SF_Output!$AC$1:$AC$400,_xlfn.TEXTJOIN(",",TRUE,B245:E245),SF_Output!$Q$1:$Q$400,"One Time",SF_Output!$L$1:$L$400,"hardware"))</f>
        <v/>
      </c>
      <c r="K245" s="112" t="str">
        <f>IF(OR(B245=0,B245="",G245="hardware",J245=0),"",IF(AF245&lt;&gt;"exclusion",MAX(K$9,-((SUMIFS(SF_Output!$T$1:$T$400,SF_Output!$AC$1:$AC$400,_xlfn.TEXTJOIN(",",TRUE,$B245:$E245),SF_Output!$Q$1:$Q$400,"One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license"))/J245)),-((SUMIFS(SF_Output!$T$1:$T$400,SF_Output!$AC$1:$AC$400,_xlfn.TEXTJOIN(",",TRUE,$B245:$E245),SF_Output!$Q$1:$Q$400,"One Time",SF_Output!$L$1:$L$400,"license fee")+SUMIFS(SF_Output!$T$1:$T$400,SF_Output!$AC$1:$AC$400,_xlfn.TEXTJOIN(",",TRUE,$B245:$E245),SF_Output!$Q$1:$Q$400,"One Time",SF_Output!$L$1:$L$400,"software license"))/J245)))</f>
        <v/>
      </c>
      <c r="L245" s="6" t="str">
        <f t="shared" si="13"/>
        <v/>
      </c>
      <c r="N245" s="6" t="str">
        <f>IF(B245="","",SUMIFS(SF_Output!$S$1:$S$400,SF_Output!$AC$1:$AC$400,_xlfn.TEXTJOIN(",",TRUE,B245:E245),SF_Output!$Q$1:$Q$400,"One Time",SF_Output!$L$1:$L$400,"professional service"))</f>
        <v/>
      </c>
      <c r="O245" s="112" t="str">
        <f>IF(OR(B245=0,B245="",N245=0),"",IF(AF245&lt;&gt;"exclusion",MAX(O$9,-(SUMIFS(SF_Output!$T$1:$T$400,SF_Output!$AC$1:$AC$400,_xlfn.TEXTJOIN(",",TRUE,$B245:$E245),SF_Output!$Q$1:$Q$400,"One Time",SF_Output!$L$1:$L$400,"professional service"))/N245),-((SUMIFS(SF_Output!$T$1:$T$400,SF_Output!$AC$1:$AC$400,_xlfn.TEXTJOIN(",",TRUE,$B245:$E245),SF_Output!$Q$1:$Q$400,"One Time",SF_Output!$L$1:$L$400,"professional service")/N245))))</f>
        <v/>
      </c>
      <c r="P245" s="6" t="str">
        <f t="shared" si="14"/>
        <v/>
      </c>
      <c r="R245" s="6" t="str">
        <f>IF(B245="","",SUMIFS(SF_Output!$S$1:$S$400,SF_Output!$AC$1:$AC$400,_xlfn.TEXTJOIN(",",TRUE,B245:E245),SF_Output!$Q$1:$Q$400,"yearly")+SUMIFS(SF_Output!$S$1:$S$400,SF_Output!$AC$1:$AC$400,_xlfn.TEXTJOIN(",",TRUE,B245:E245),SF_Output!$Q$1:$Q$400,"quarterly")*4)</f>
        <v/>
      </c>
      <c r="S245" s="112" t="str">
        <f>IF(OR(B245=0,B245="",G245="hardware",R245=0),"",IF(AF245&lt;&gt;"exclusion",MAX(S$9,-(SUMIFS(SF_Output!$T$1:$T$400,SF_Output!$AC$1:$AC$400,_xlfn.TEXTJOIN(",",TRUE,$B245:$E245),SF_Output!$Q$1:$Q$400,"yearly"))/R245),-((SUMIFS(SF_Output!$T$1:$T$400,SF_Output!$AC$1:$AC$400,_xlfn.TEXTJOIN(",",TRUE,$B245:$E245),SF_Output!$Q$1:$Q$400,"yearly")/R245))))</f>
        <v/>
      </c>
      <c r="T245" s="6" t="str">
        <f t="shared" si="15"/>
        <v/>
      </c>
      <c r="V245" s="6" t="str" cm="1">
        <f t="array" ref="V245">_xlfn.IFS(B245="","",AND(B245&lt;&gt;"",H245=SF_Output!$Y$2,SUMIFS(SF_Output!$T$1:$T$400,SF_Output!$AC$1:$AC$400,_xlfn.TEXTJOIN(",",TRUE,B245:E245),SF_Output!$Q$1:$Q$400,"monthly")=0),(SUMIFS(SF_Output!$F$1:$F$400,SF_Output!$AC$1:$AC$400,_xlfn.TEXTJOIN(",",TRUE,B245:E245),SF_Output!$Q$1:$Q$400,"monthly")+SUMIFS(SF_Output!$G$1:$G$400,SF_Output!$AC$1:$AC$400,_xlfn.TEXTJOIN(",",TRUE,B245:E245),SF_Output!$Q$1:$Q$400,"monthly"))*H245,AND(B245&lt;&gt;"",H245=SF_Output!$Y$2,SUMIFS(SF_Output!$T$1:$T$400,SF_Output!$AC$1:$AC$400,_xlfn.TEXTJOIN(",",TRUE,B245:E245),SF_Output!$Q$1:$Q$400,"monthly")&lt;&gt;0),SUMIFS(SF_Output!$S$1:$S$400,SF_Output!$AC$1:$AC$400,_xlfn.TEXTJOIN(",",TRUE,B245:E245),SF_Output!$Q$1:$Q$400,"monthly"),AND(B245&lt;&gt;"",H245&lt;&gt;SF_Output!$Y$2),SUMIFS(SF_Output!$S$1:$S$400,SF_Output!$AC$1:$AC$400,_xlfn.TEXTJOIN(",",TRUE,B245:E245),SF_Output!$Q$1:$Q$400,"monthly"))</f>
        <v/>
      </c>
      <c r="W245" s="112" t="str" cm="1">
        <f t="array" ref="W245">_xlfn.IFS(OR(B245=0,B245="",V245=0),"",AF245&lt;&gt;"exclusion",MAX($W$9,$W$7,(-(SUMIFS(SF_Output!$T$1:$T$400,SF_Output!$AC$1:$AC$400,_xlfn.TEXTJOIN(",",TRUE,$B245:$E245),SF_Output!$Q$1:$Q$400,"monthly"))/V245)),AF245="exclusion",-(SUMIFS(SF_Output!$T$1:$T$400,SF_Output!$AC$1:$AC$400,_xlfn.TEXTJOIN(",",TRUE,$B245:$E245),SF_Output!$Q$1:$Q$400,"monthly"))/V245)</f>
        <v/>
      </c>
      <c r="X245" s="6" t="str" cm="1">
        <f t="array" ref="X245">IFERROR(_xlfn.IFS(V245=0,0,V245="","",W245=0,V245,OR(V245&lt;&gt;0,V245&lt;&gt;""),H245*I245),V245*(1-W245))</f>
        <v/>
      </c>
    </row>
    <row r="246" spans="6:24" x14ac:dyDescent="0.25">
      <c r="F246" s="116" t="str">
        <f t="shared" si="12"/>
        <v/>
      </c>
      <c r="G246" t="str">
        <f>IF(B246="","",INDEX(SF_Output!$K$1:$K$400,MATCH(B246,SF_Output!$M$1:$M$400,0)))</f>
        <v/>
      </c>
      <c r="H246" t="str" cm="1">
        <f t="array" ref="H246">_xlfn.IFS(B246="","",(SUMIFS(SF_Output!$F$1:$F$400,SF_Output!$AC$1:$AC$400,_xlfn.TEXTJOIN(",",TRUE,B246:E246))+SUMIFS(SF_Output!$G$1:$G$400,SF_Output!$AC$1:$AC$400,_xlfn.TEXTJOIN(",",TRUE,B246:E246)))&lt;&gt;0,SF_Output!$Y$2,INDEX(SF_Output!$F$1:$F$400,MATCH(_xlfn.TEXTJOIN(",",TRUE,B246:E246),SF_Output!$AC$1:$AC$400,0))=0,INDEX(SF_Output!$R$1:$R$400,MATCH(_xlfn.TEXTJOIN(",",TRUE,B246:E246),SF_Output!$AC$1:$AC$400,0)))</f>
        <v/>
      </c>
      <c r="I246" s="125" t="str">
        <f>IFERROR(IF(AND(H246&gt;1,H246&lt;&gt;""),ROUND(SUMIFS(SF_Output!$S$1:$S$400,SF_Output!$AC$1:$AC$400,_xlfn.TEXTJOIN(",",TRUE,B246:E246),SF_Output!$Q$1:$Q$400,"monthly")*(1-W246)/H246,4),""),"")</f>
        <v/>
      </c>
      <c r="J246" s="6" t="str">
        <f>IF(B246="","",SUMIFS(SF_Output!$S$1:$S$400,SF_Output!$AC$1:$AC$400,_xlfn.TEXTJOIN(",",TRUE,B246:E246),SF_Output!$Q$1:$Q$400,"One Time",SF_Output!$L$1:$L$400,"license fee")+SUMIFS(SF_Output!$S$1:$S$400,SF_Output!$AC$1:$AC$400,_xlfn.TEXTJOIN(",",TRUE,B246:E246),SF_Output!$Q$1:$Q$400,"One Time",SF_Output!$L$1:$L$400,"software license")+SUMIFS(SF_Output!$S$1:$S$400,SF_Output!$AC$1:$AC$400,_xlfn.TEXTJOIN(",",TRUE,B246:E246),SF_Output!$Q$1:$Q$400,"One Time",SF_Output!$L$1:$L$400,"hardware"))</f>
        <v/>
      </c>
      <c r="K246" s="112" t="str">
        <f>IF(OR(B246=0,B246="",G246="hardware",J246=0),"",IF(AF246&lt;&gt;"exclusion",MAX(K$9,-((SUMIFS(SF_Output!$T$1:$T$400,SF_Output!$AC$1:$AC$400,_xlfn.TEXTJOIN(",",TRUE,$B246:$E246),SF_Output!$Q$1:$Q$400,"One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license"))/J246)),-((SUMIFS(SF_Output!$T$1:$T$400,SF_Output!$AC$1:$AC$400,_xlfn.TEXTJOIN(",",TRUE,$B246:$E246),SF_Output!$Q$1:$Q$400,"One Time",SF_Output!$L$1:$L$400,"license fee")+SUMIFS(SF_Output!$T$1:$T$400,SF_Output!$AC$1:$AC$400,_xlfn.TEXTJOIN(",",TRUE,$B246:$E246),SF_Output!$Q$1:$Q$400,"One Time",SF_Output!$L$1:$L$400,"software license"))/J246)))</f>
        <v/>
      </c>
      <c r="L246" s="6" t="str">
        <f t="shared" si="13"/>
        <v/>
      </c>
      <c r="N246" s="6" t="str">
        <f>IF(B246="","",SUMIFS(SF_Output!$S$1:$S$400,SF_Output!$AC$1:$AC$400,_xlfn.TEXTJOIN(",",TRUE,B246:E246),SF_Output!$Q$1:$Q$400,"One Time",SF_Output!$L$1:$L$400,"professional service"))</f>
        <v/>
      </c>
      <c r="O246" s="112" t="str">
        <f>IF(OR(B246=0,B246="",N246=0),"",IF(AF246&lt;&gt;"exclusion",MAX(O$9,-(SUMIFS(SF_Output!$T$1:$T$400,SF_Output!$AC$1:$AC$400,_xlfn.TEXTJOIN(",",TRUE,$B246:$E246),SF_Output!$Q$1:$Q$400,"One Time",SF_Output!$L$1:$L$400,"professional service"))/N246),-((SUMIFS(SF_Output!$T$1:$T$400,SF_Output!$AC$1:$AC$400,_xlfn.TEXTJOIN(",",TRUE,$B246:$E246),SF_Output!$Q$1:$Q$400,"One Time",SF_Output!$L$1:$L$400,"professional service")/N246))))</f>
        <v/>
      </c>
      <c r="P246" s="6" t="str">
        <f t="shared" si="14"/>
        <v/>
      </c>
      <c r="R246" s="6" t="str">
        <f>IF(B246="","",SUMIFS(SF_Output!$S$1:$S$400,SF_Output!$AC$1:$AC$400,_xlfn.TEXTJOIN(",",TRUE,B246:E246),SF_Output!$Q$1:$Q$400,"yearly")+SUMIFS(SF_Output!$S$1:$S$400,SF_Output!$AC$1:$AC$400,_xlfn.TEXTJOIN(",",TRUE,B246:E246),SF_Output!$Q$1:$Q$400,"quarterly")*4)</f>
        <v/>
      </c>
      <c r="S246" s="112" t="str">
        <f>IF(OR(B246=0,B246="",G246="hardware",R246=0),"",IF(AF246&lt;&gt;"exclusion",MAX(S$9,-(SUMIFS(SF_Output!$T$1:$T$400,SF_Output!$AC$1:$AC$400,_xlfn.TEXTJOIN(",",TRUE,$B246:$E246),SF_Output!$Q$1:$Q$400,"yearly"))/R246),-((SUMIFS(SF_Output!$T$1:$T$400,SF_Output!$AC$1:$AC$400,_xlfn.TEXTJOIN(",",TRUE,$B246:$E246),SF_Output!$Q$1:$Q$400,"yearly")/R246))))</f>
        <v/>
      </c>
      <c r="T246" s="6" t="str">
        <f t="shared" si="15"/>
        <v/>
      </c>
      <c r="V246" s="6" t="str" cm="1">
        <f t="array" ref="V246">_xlfn.IFS(B246="","",AND(B246&lt;&gt;"",H246=SF_Output!$Y$2,SUMIFS(SF_Output!$T$1:$T$400,SF_Output!$AC$1:$AC$400,_xlfn.TEXTJOIN(",",TRUE,B246:E246),SF_Output!$Q$1:$Q$400,"monthly")=0),(SUMIFS(SF_Output!$F$1:$F$400,SF_Output!$AC$1:$AC$400,_xlfn.TEXTJOIN(",",TRUE,B246:E246),SF_Output!$Q$1:$Q$400,"monthly")+SUMIFS(SF_Output!$G$1:$G$400,SF_Output!$AC$1:$AC$400,_xlfn.TEXTJOIN(",",TRUE,B246:E246),SF_Output!$Q$1:$Q$400,"monthly"))*H246,AND(B246&lt;&gt;"",H246=SF_Output!$Y$2,SUMIFS(SF_Output!$T$1:$T$400,SF_Output!$AC$1:$AC$400,_xlfn.TEXTJOIN(",",TRUE,B246:E246),SF_Output!$Q$1:$Q$400,"monthly")&lt;&gt;0),SUMIFS(SF_Output!$S$1:$S$400,SF_Output!$AC$1:$AC$400,_xlfn.TEXTJOIN(",",TRUE,B246:E246),SF_Output!$Q$1:$Q$400,"monthly"),AND(B246&lt;&gt;"",H246&lt;&gt;SF_Output!$Y$2),SUMIFS(SF_Output!$S$1:$S$400,SF_Output!$AC$1:$AC$400,_xlfn.TEXTJOIN(",",TRUE,B246:E246),SF_Output!$Q$1:$Q$400,"monthly"))</f>
        <v/>
      </c>
      <c r="W246" s="112" t="str" cm="1">
        <f t="array" ref="W246">_xlfn.IFS(OR(B246=0,B246="",V246=0),"",AF246&lt;&gt;"exclusion",MAX($W$9,$W$7,(-(SUMIFS(SF_Output!$T$1:$T$400,SF_Output!$AC$1:$AC$400,_xlfn.TEXTJOIN(",",TRUE,$B246:$E246),SF_Output!$Q$1:$Q$400,"monthly"))/V246)),AF246="exclusion",-(SUMIFS(SF_Output!$T$1:$T$400,SF_Output!$AC$1:$AC$400,_xlfn.TEXTJOIN(",",TRUE,$B246:$E246),SF_Output!$Q$1:$Q$400,"monthly"))/V246)</f>
        <v/>
      </c>
      <c r="X246" s="6" t="str" cm="1">
        <f t="array" ref="X246">IFERROR(_xlfn.IFS(V246=0,0,V246="","",W246=0,V246,OR(V246&lt;&gt;0,V246&lt;&gt;""),H246*I246),V246*(1-W246))</f>
        <v/>
      </c>
    </row>
    <row r="247" spans="6:24" x14ac:dyDescent="0.25">
      <c r="F247" s="116" t="str">
        <f t="shared" si="12"/>
        <v/>
      </c>
      <c r="G247" t="str">
        <f>IF(B247="","",INDEX(SF_Output!$K$1:$K$400,MATCH(B247,SF_Output!$M$1:$M$400,0)))</f>
        <v/>
      </c>
      <c r="H247" t="str" cm="1">
        <f t="array" ref="H247">_xlfn.IFS(B247="","",(SUMIFS(SF_Output!$F$1:$F$400,SF_Output!$AC$1:$AC$400,_xlfn.TEXTJOIN(",",TRUE,B247:E247))+SUMIFS(SF_Output!$G$1:$G$400,SF_Output!$AC$1:$AC$400,_xlfn.TEXTJOIN(",",TRUE,B247:E247)))&lt;&gt;0,SF_Output!$Y$2,INDEX(SF_Output!$F$1:$F$400,MATCH(_xlfn.TEXTJOIN(",",TRUE,B247:E247),SF_Output!$AC$1:$AC$400,0))=0,INDEX(SF_Output!$R$1:$R$400,MATCH(_xlfn.TEXTJOIN(",",TRUE,B247:E247),SF_Output!$AC$1:$AC$400,0)))</f>
        <v/>
      </c>
      <c r="I247" s="125" t="str">
        <f>IFERROR(IF(AND(H247&gt;1,H247&lt;&gt;""),ROUND(SUMIFS(SF_Output!$S$1:$S$400,SF_Output!$AC$1:$AC$400,_xlfn.TEXTJOIN(",",TRUE,B247:E247),SF_Output!$Q$1:$Q$400,"monthly")*(1-W247)/H247,4),""),"")</f>
        <v/>
      </c>
      <c r="J247" s="6" t="str">
        <f>IF(B247="","",SUMIFS(SF_Output!$S$1:$S$400,SF_Output!$AC$1:$AC$400,_xlfn.TEXTJOIN(",",TRUE,B247:E247),SF_Output!$Q$1:$Q$400,"One Time",SF_Output!$L$1:$L$400,"license fee")+SUMIFS(SF_Output!$S$1:$S$400,SF_Output!$AC$1:$AC$400,_xlfn.TEXTJOIN(",",TRUE,B247:E247),SF_Output!$Q$1:$Q$400,"One Time",SF_Output!$L$1:$L$400,"software license")+SUMIFS(SF_Output!$S$1:$S$400,SF_Output!$AC$1:$AC$400,_xlfn.TEXTJOIN(",",TRUE,B247:E247),SF_Output!$Q$1:$Q$400,"One Time",SF_Output!$L$1:$L$400,"hardware"))</f>
        <v/>
      </c>
      <c r="K247" s="112" t="str">
        <f>IF(OR(B247=0,B247="",G247="hardware",J247=0),"",IF(AF247&lt;&gt;"exclusion",MAX(K$9,-((SUMIFS(SF_Output!$T$1:$T$400,SF_Output!$AC$1:$AC$400,_xlfn.TEXTJOIN(",",TRUE,$B247:$E247),SF_Output!$Q$1:$Q$400,"One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license"))/J247)),-((SUMIFS(SF_Output!$T$1:$T$400,SF_Output!$AC$1:$AC$400,_xlfn.TEXTJOIN(",",TRUE,$B247:$E247),SF_Output!$Q$1:$Q$400,"One Time",SF_Output!$L$1:$L$400,"license fee")+SUMIFS(SF_Output!$T$1:$T$400,SF_Output!$AC$1:$AC$400,_xlfn.TEXTJOIN(",",TRUE,$B247:$E247),SF_Output!$Q$1:$Q$400,"One Time",SF_Output!$L$1:$L$400,"software license"))/J247)))</f>
        <v/>
      </c>
      <c r="L247" s="6" t="str">
        <f t="shared" si="13"/>
        <v/>
      </c>
      <c r="N247" s="6" t="str">
        <f>IF(B247="","",SUMIFS(SF_Output!$S$1:$S$400,SF_Output!$AC$1:$AC$400,_xlfn.TEXTJOIN(",",TRUE,B247:E247),SF_Output!$Q$1:$Q$400,"One Time",SF_Output!$L$1:$L$400,"professional service"))</f>
        <v/>
      </c>
      <c r="O247" s="112" t="str">
        <f>IF(OR(B247=0,B247="",N247=0),"",IF(AF247&lt;&gt;"exclusion",MAX(O$9,-(SUMIFS(SF_Output!$T$1:$T$400,SF_Output!$AC$1:$AC$400,_xlfn.TEXTJOIN(",",TRUE,$B247:$E247),SF_Output!$Q$1:$Q$400,"One Time",SF_Output!$L$1:$L$400,"professional service"))/N247),-((SUMIFS(SF_Output!$T$1:$T$400,SF_Output!$AC$1:$AC$400,_xlfn.TEXTJOIN(",",TRUE,$B247:$E247),SF_Output!$Q$1:$Q$400,"One Time",SF_Output!$L$1:$L$400,"professional service")/N247))))</f>
        <v/>
      </c>
      <c r="P247" s="6" t="str">
        <f t="shared" si="14"/>
        <v/>
      </c>
      <c r="R247" s="6" t="str">
        <f>IF(B247="","",SUMIFS(SF_Output!$S$1:$S$400,SF_Output!$AC$1:$AC$400,_xlfn.TEXTJOIN(",",TRUE,B247:E247),SF_Output!$Q$1:$Q$400,"yearly")+SUMIFS(SF_Output!$S$1:$S$400,SF_Output!$AC$1:$AC$400,_xlfn.TEXTJOIN(",",TRUE,B247:E247),SF_Output!$Q$1:$Q$400,"quarterly")*4)</f>
        <v/>
      </c>
      <c r="S247" s="112" t="str">
        <f>IF(OR(B247=0,B247="",G247="hardware",R247=0),"",IF(AF247&lt;&gt;"exclusion",MAX(S$9,-(SUMIFS(SF_Output!$T$1:$T$400,SF_Output!$AC$1:$AC$400,_xlfn.TEXTJOIN(",",TRUE,$B247:$E247),SF_Output!$Q$1:$Q$400,"yearly"))/R247),-((SUMIFS(SF_Output!$T$1:$T$400,SF_Output!$AC$1:$AC$400,_xlfn.TEXTJOIN(",",TRUE,$B247:$E247),SF_Output!$Q$1:$Q$400,"yearly")/R247))))</f>
        <v/>
      </c>
      <c r="T247" s="6" t="str">
        <f t="shared" si="15"/>
        <v/>
      </c>
      <c r="V247" s="6" t="str" cm="1">
        <f t="array" ref="V247">_xlfn.IFS(B247="","",AND(B247&lt;&gt;"",H247=SF_Output!$Y$2,SUMIFS(SF_Output!$T$1:$T$400,SF_Output!$AC$1:$AC$400,_xlfn.TEXTJOIN(",",TRUE,B247:E247),SF_Output!$Q$1:$Q$400,"monthly")=0),(SUMIFS(SF_Output!$F$1:$F$400,SF_Output!$AC$1:$AC$400,_xlfn.TEXTJOIN(",",TRUE,B247:E247),SF_Output!$Q$1:$Q$400,"monthly")+SUMIFS(SF_Output!$G$1:$G$400,SF_Output!$AC$1:$AC$400,_xlfn.TEXTJOIN(",",TRUE,B247:E247),SF_Output!$Q$1:$Q$400,"monthly"))*H247,AND(B247&lt;&gt;"",H247=SF_Output!$Y$2,SUMIFS(SF_Output!$T$1:$T$400,SF_Output!$AC$1:$AC$400,_xlfn.TEXTJOIN(",",TRUE,B247:E247),SF_Output!$Q$1:$Q$400,"monthly")&lt;&gt;0),SUMIFS(SF_Output!$S$1:$S$400,SF_Output!$AC$1:$AC$400,_xlfn.TEXTJOIN(",",TRUE,B247:E247),SF_Output!$Q$1:$Q$400,"monthly"),AND(B247&lt;&gt;"",H247&lt;&gt;SF_Output!$Y$2),SUMIFS(SF_Output!$S$1:$S$400,SF_Output!$AC$1:$AC$400,_xlfn.TEXTJOIN(",",TRUE,B247:E247),SF_Output!$Q$1:$Q$400,"monthly"))</f>
        <v/>
      </c>
      <c r="W247" s="112" t="str" cm="1">
        <f t="array" ref="W247">_xlfn.IFS(OR(B247=0,B247="",V247=0),"",AF247&lt;&gt;"exclusion",MAX($W$9,$W$7,(-(SUMIFS(SF_Output!$T$1:$T$400,SF_Output!$AC$1:$AC$400,_xlfn.TEXTJOIN(",",TRUE,$B247:$E247),SF_Output!$Q$1:$Q$400,"monthly"))/V247)),AF247="exclusion",-(SUMIFS(SF_Output!$T$1:$T$400,SF_Output!$AC$1:$AC$400,_xlfn.TEXTJOIN(",",TRUE,$B247:$E247),SF_Output!$Q$1:$Q$400,"monthly"))/V247)</f>
        <v/>
      </c>
      <c r="X247" s="6" t="str" cm="1">
        <f t="array" ref="X247">IFERROR(_xlfn.IFS(V247=0,0,V247="","",W247=0,V247,OR(V247&lt;&gt;0,V247&lt;&gt;""),H247*I247),V247*(1-W247))</f>
        <v/>
      </c>
    </row>
    <row r="248" spans="6:24" x14ac:dyDescent="0.25">
      <c r="F248" s="116" t="str">
        <f t="shared" si="12"/>
        <v/>
      </c>
      <c r="G248" t="str">
        <f>IF(B248="","",INDEX(SF_Output!$K$1:$K$400,MATCH(B248,SF_Output!$M$1:$M$400,0)))</f>
        <v/>
      </c>
      <c r="H248" t="str" cm="1">
        <f t="array" ref="H248">_xlfn.IFS(B248="","",(SUMIFS(SF_Output!$F$1:$F$400,SF_Output!$AC$1:$AC$400,_xlfn.TEXTJOIN(",",TRUE,B248:E248))+SUMIFS(SF_Output!$G$1:$G$400,SF_Output!$AC$1:$AC$400,_xlfn.TEXTJOIN(",",TRUE,B248:E248)))&lt;&gt;0,SF_Output!$Y$2,INDEX(SF_Output!$F$1:$F$400,MATCH(_xlfn.TEXTJOIN(",",TRUE,B248:E248),SF_Output!$AC$1:$AC$400,0))=0,INDEX(SF_Output!$R$1:$R$400,MATCH(_xlfn.TEXTJOIN(",",TRUE,B248:E248),SF_Output!$AC$1:$AC$400,0)))</f>
        <v/>
      </c>
      <c r="I248" s="125" t="str">
        <f>IFERROR(IF(AND(H248&gt;1,H248&lt;&gt;""),ROUND(SUMIFS(SF_Output!$S$1:$S$400,SF_Output!$AC$1:$AC$400,_xlfn.TEXTJOIN(",",TRUE,B248:E248),SF_Output!$Q$1:$Q$400,"monthly")*(1-W248)/H248,4),""),"")</f>
        <v/>
      </c>
      <c r="J248" s="6" t="str">
        <f>IF(B248="","",SUMIFS(SF_Output!$S$1:$S$400,SF_Output!$AC$1:$AC$400,_xlfn.TEXTJOIN(",",TRUE,B248:E248),SF_Output!$Q$1:$Q$400,"One Time",SF_Output!$L$1:$L$400,"license fee")+SUMIFS(SF_Output!$S$1:$S$400,SF_Output!$AC$1:$AC$400,_xlfn.TEXTJOIN(",",TRUE,B248:E248),SF_Output!$Q$1:$Q$400,"One Time",SF_Output!$L$1:$L$400,"software license")+SUMIFS(SF_Output!$S$1:$S$400,SF_Output!$AC$1:$AC$400,_xlfn.TEXTJOIN(",",TRUE,B248:E248),SF_Output!$Q$1:$Q$400,"One Time",SF_Output!$L$1:$L$400,"hardware"))</f>
        <v/>
      </c>
      <c r="K248" s="112" t="str">
        <f>IF(OR(B248=0,B248="",G248="hardware",J248=0),"",IF(AF248&lt;&gt;"exclusion",MAX(K$9,-((SUMIFS(SF_Output!$T$1:$T$400,SF_Output!$AC$1:$AC$400,_xlfn.TEXTJOIN(",",TRUE,$B248:$E248),SF_Output!$Q$1:$Q$400,"One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license"))/J248)),-((SUMIFS(SF_Output!$T$1:$T$400,SF_Output!$AC$1:$AC$400,_xlfn.TEXTJOIN(",",TRUE,$B248:$E248),SF_Output!$Q$1:$Q$400,"One Time",SF_Output!$L$1:$L$400,"license fee")+SUMIFS(SF_Output!$T$1:$T$400,SF_Output!$AC$1:$AC$400,_xlfn.TEXTJOIN(",",TRUE,$B248:$E248),SF_Output!$Q$1:$Q$400,"One Time",SF_Output!$L$1:$L$400,"software license"))/J248)))</f>
        <v/>
      </c>
      <c r="L248" s="6" t="str">
        <f t="shared" si="13"/>
        <v/>
      </c>
      <c r="N248" s="6" t="str">
        <f>IF(B248="","",SUMIFS(SF_Output!$S$1:$S$400,SF_Output!$AC$1:$AC$400,_xlfn.TEXTJOIN(",",TRUE,B248:E248),SF_Output!$Q$1:$Q$400,"One Time",SF_Output!$L$1:$L$400,"professional service"))</f>
        <v/>
      </c>
      <c r="O248" s="112" t="str">
        <f>IF(OR(B248=0,B248="",N248=0),"",IF(AF248&lt;&gt;"exclusion",MAX(O$9,-(SUMIFS(SF_Output!$T$1:$T$400,SF_Output!$AC$1:$AC$400,_xlfn.TEXTJOIN(",",TRUE,$B248:$E248),SF_Output!$Q$1:$Q$400,"One Time",SF_Output!$L$1:$L$400,"professional service"))/N248),-((SUMIFS(SF_Output!$T$1:$T$400,SF_Output!$AC$1:$AC$400,_xlfn.TEXTJOIN(",",TRUE,$B248:$E248),SF_Output!$Q$1:$Q$400,"One Time",SF_Output!$L$1:$L$400,"professional service")/N248))))</f>
        <v/>
      </c>
      <c r="P248" s="6" t="str">
        <f t="shared" si="14"/>
        <v/>
      </c>
      <c r="R248" s="6" t="str">
        <f>IF(B248="","",SUMIFS(SF_Output!$S$1:$S$400,SF_Output!$AC$1:$AC$400,_xlfn.TEXTJOIN(",",TRUE,B248:E248),SF_Output!$Q$1:$Q$400,"yearly")+SUMIFS(SF_Output!$S$1:$S$400,SF_Output!$AC$1:$AC$400,_xlfn.TEXTJOIN(",",TRUE,B248:E248),SF_Output!$Q$1:$Q$400,"quarterly")*4)</f>
        <v/>
      </c>
      <c r="S248" s="112" t="str">
        <f>IF(OR(B248=0,B248="",G248="hardware",R248=0),"",IF(AF248&lt;&gt;"exclusion",MAX(S$9,-(SUMIFS(SF_Output!$T$1:$T$400,SF_Output!$AC$1:$AC$400,_xlfn.TEXTJOIN(",",TRUE,$B248:$E248),SF_Output!$Q$1:$Q$400,"yearly"))/R248),-((SUMIFS(SF_Output!$T$1:$T$400,SF_Output!$AC$1:$AC$400,_xlfn.TEXTJOIN(",",TRUE,$B248:$E248),SF_Output!$Q$1:$Q$400,"yearly")/R248))))</f>
        <v/>
      </c>
      <c r="T248" s="6" t="str">
        <f t="shared" si="15"/>
        <v/>
      </c>
      <c r="V248" s="6" t="str" cm="1">
        <f t="array" ref="V248">_xlfn.IFS(B248="","",AND(B248&lt;&gt;"",H248=SF_Output!$Y$2,SUMIFS(SF_Output!$T$1:$T$400,SF_Output!$AC$1:$AC$400,_xlfn.TEXTJOIN(",",TRUE,B248:E248),SF_Output!$Q$1:$Q$400,"monthly")=0),(SUMIFS(SF_Output!$F$1:$F$400,SF_Output!$AC$1:$AC$400,_xlfn.TEXTJOIN(",",TRUE,B248:E248),SF_Output!$Q$1:$Q$400,"monthly")+SUMIFS(SF_Output!$G$1:$G$400,SF_Output!$AC$1:$AC$400,_xlfn.TEXTJOIN(",",TRUE,B248:E248),SF_Output!$Q$1:$Q$400,"monthly"))*H248,AND(B248&lt;&gt;"",H248=SF_Output!$Y$2,SUMIFS(SF_Output!$T$1:$T$400,SF_Output!$AC$1:$AC$400,_xlfn.TEXTJOIN(",",TRUE,B248:E248),SF_Output!$Q$1:$Q$400,"monthly")&lt;&gt;0),SUMIFS(SF_Output!$S$1:$S$400,SF_Output!$AC$1:$AC$400,_xlfn.TEXTJOIN(",",TRUE,B248:E248),SF_Output!$Q$1:$Q$400,"monthly"),AND(B248&lt;&gt;"",H248&lt;&gt;SF_Output!$Y$2),SUMIFS(SF_Output!$S$1:$S$400,SF_Output!$AC$1:$AC$400,_xlfn.TEXTJOIN(",",TRUE,B248:E248),SF_Output!$Q$1:$Q$400,"monthly"))</f>
        <v/>
      </c>
      <c r="W248" s="112" t="str" cm="1">
        <f t="array" ref="W248">_xlfn.IFS(OR(B248=0,B248="",V248=0),"",AF248&lt;&gt;"exclusion",MAX($W$9,$W$7,(-(SUMIFS(SF_Output!$T$1:$T$400,SF_Output!$AC$1:$AC$400,_xlfn.TEXTJOIN(",",TRUE,$B248:$E248),SF_Output!$Q$1:$Q$400,"monthly"))/V248)),AF248="exclusion",-(SUMIFS(SF_Output!$T$1:$T$400,SF_Output!$AC$1:$AC$400,_xlfn.TEXTJOIN(",",TRUE,$B248:$E248),SF_Output!$Q$1:$Q$400,"monthly"))/V248)</f>
        <v/>
      </c>
      <c r="X248" s="6" t="str" cm="1">
        <f t="array" ref="X248">IFERROR(_xlfn.IFS(V248=0,0,V248="","",W248=0,V248,OR(V248&lt;&gt;0,V248&lt;&gt;""),H248*I248),V248*(1-W248))</f>
        <v/>
      </c>
    </row>
    <row r="249" spans="6:24" x14ac:dyDescent="0.25">
      <c r="F249" s="116" t="str">
        <f t="shared" si="12"/>
        <v/>
      </c>
      <c r="G249" t="str">
        <f>IF(B249="","",INDEX(SF_Output!$K$1:$K$400,MATCH(B249,SF_Output!$M$1:$M$400,0)))</f>
        <v/>
      </c>
      <c r="H249" t="str" cm="1">
        <f t="array" ref="H249">_xlfn.IFS(B249="","",(SUMIFS(SF_Output!$F$1:$F$400,SF_Output!$AC$1:$AC$400,_xlfn.TEXTJOIN(",",TRUE,B249:E249))+SUMIFS(SF_Output!$G$1:$G$400,SF_Output!$AC$1:$AC$400,_xlfn.TEXTJOIN(",",TRUE,B249:E249)))&lt;&gt;0,SF_Output!$Y$2,INDEX(SF_Output!$F$1:$F$400,MATCH(_xlfn.TEXTJOIN(",",TRUE,B249:E249),SF_Output!$AC$1:$AC$400,0))=0,INDEX(SF_Output!$R$1:$R$400,MATCH(_xlfn.TEXTJOIN(",",TRUE,B249:E249),SF_Output!$AC$1:$AC$400,0)))</f>
        <v/>
      </c>
      <c r="I249" s="125" t="str">
        <f>IFERROR(IF(AND(H249&gt;1,H249&lt;&gt;""),ROUND(SUMIFS(SF_Output!$S$1:$S$400,SF_Output!$AC$1:$AC$400,_xlfn.TEXTJOIN(",",TRUE,B249:E249),SF_Output!$Q$1:$Q$400,"monthly")*(1-W249)/H249,4),""),"")</f>
        <v/>
      </c>
      <c r="J249" s="6" t="str">
        <f>IF(B249="","",SUMIFS(SF_Output!$S$1:$S$400,SF_Output!$AC$1:$AC$400,_xlfn.TEXTJOIN(",",TRUE,B249:E249),SF_Output!$Q$1:$Q$400,"One Time",SF_Output!$L$1:$L$400,"license fee")+SUMIFS(SF_Output!$S$1:$S$400,SF_Output!$AC$1:$AC$400,_xlfn.TEXTJOIN(",",TRUE,B249:E249),SF_Output!$Q$1:$Q$400,"One Time",SF_Output!$L$1:$L$400,"software license")+SUMIFS(SF_Output!$S$1:$S$400,SF_Output!$AC$1:$AC$400,_xlfn.TEXTJOIN(",",TRUE,B249:E249),SF_Output!$Q$1:$Q$400,"One Time",SF_Output!$L$1:$L$400,"hardware"))</f>
        <v/>
      </c>
      <c r="K249" s="112" t="str">
        <f>IF(OR(B249=0,B249="",G249="hardware",J249=0),"",IF(AF249&lt;&gt;"exclusion",MAX(K$9,-((SUMIFS(SF_Output!$T$1:$T$400,SF_Output!$AC$1:$AC$400,_xlfn.TEXTJOIN(",",TRUE,$B249:$E249),SF_Output!$Q$1:$Q$400,"One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license"))/J249)),-((SUMIFS(SF_Output!$T$1:$T$400,SF_Output!$AC$1:$AC$400,_xlfn.TEXTJOIN(",",TRUE,$B249:$E249),SF_Output!$Q$1:$Q$400,"One Time",SF_Output!$L$1:$L$400,"license fee")+SUMIFS(SF_Output!$T$1:$T$400,SF_Output!$AC$1:$AC$400,_xlfn.TEXTJOIN(",",TRUE,$B249:$E249),SF_Output!$Q$1:$Q$400,"One Time",SF_Output!$L$1:$L$400,"software license"))/J249)))</f>
        <v/>
      </c>
      <c r="L249" s="6" t="str">
        <f t="shared" si="13"/>
        <v/>
      </c>
      <c r="N249" s="6" t="str">
        <f>IF(B249="","",SUMIFS(SF_Output!$S$1:$S$400,SF_Output!$AC$1:$AC$400,_xlfn.TEXTJOIN(",",TRUE,B249:E249),SF_Output!$Q$1:$Q$400,"One Time",SF_Output!$L$1:$L$400,"professional service"))</f>
        <v/>
      </c>
      <c r="O249" s="112" t="str">
        <f>IF(OR(B249=0,B249="",N249=0),"",IF(AF249&lt;&gt;"exclusion",MAX(O$9,-(SUMIFS(SF_Output!$T$1:$T$400,SF_Output!$AC$1:$AC$400,_xlfn.TEXTJOIN(",",TRUE,$B249:$E249),SF_Output!$Q$1:$Q$400,"One Time",SF_Output!$L$1:$L$400,"professional service"))/N249),-((SUMIFS(SF_Output!$T$1:$T$400,SF_Output!$AC$1:$AC$400,_xlfn.TEXTJOIN(",",TRUE,$B249:$E249),SF_Output!$Q$1:$Q$400,"One Time",SF_Output!$L$1:$L$400,"professional service")/N249))))</f>
        <v/>
      </c>
      <c r="P249" s="6" t="str">
        <f t="shared" si="14"/>
        <v/>
      </c>
      <c r="R249" s="6" t="str">
        <f>IF(B249="","",SUMIFS(SF_Output!$S$1:$S$400,SF_Output!$AC$1:$AC$400,_xlfn.TEXTJOIN(",",TRUE,B249:E249),SF_Output!$Q$1:$Q$400,"yearly")+SUMIFS(SF_Output!$S$1:$S$400,SF_Output!$AC$1:$AC$400,_xlfn.TEXTJOIN(",",TRUE,B249:E249),SF_Output!$Q$1:$Q$400,"quarterly")*4)</f>
        <v/>
      </c>
      <c r="S249" s="112" t="str">
        <f>IF(OR(B249=0,B249="",G249="hardware",R249=0),"",IF(AF249&lt;&gt;"exclusion",MAX(S$9,-(SUMIFS(SF_Output!$T$1:$T$400,SF_Output!$AC$1:$AC$400,_xlfn.TEXTJOIN(",",TRUE,$B249:$E249),SF_Output!$Q$1:$Q$400,"yearly"))/R249),-((SUMIFS(SF_Output!$T$1:$T$400,SF_Output!$AC$1:$AC$400,_xlfn.TEXTJOIN(",",TRUE,$B249:$E249),SF_Output!$Q$1:$Q$400,"yearly")/R249))))</f>
        <v/>
      </c>
      <c r="T249" s="6" t="str">
        <f t="shared" si="15"/>
        <v/>
      </c>
      <c r="V249" s="6" t="str" cm="1">
        <f t="array" ref="V249">_xlfn.IFS(B249="","",AND(B249&lt;&gt;"",H249=SF_Output!$Y$2,SUMIFS(SF_Output!$T$1:$T$400,SF_Output!$AC$1:$AC$400,_xlfn.TEXTJOIN(",",TRUE,B249:E249),SF_Output!$Q$1:$Q$400,"monthly")=0),(SUMIFS(SF_Output!$F$1:$F$400,SF_Output!$AC$1:$AC$400,_xlfn.TEXTJOIN(",",TRUE,B249:E249),SF_Output!$Q$1:$Q$400,"monthly")+SUMIFS(SF_Output!$G$1:$G$400,SF_Output!$AC$1:$AC$400,_xlfn.TEXTJOIN(",",TRUE,B249:E249),SF_Output!$Q$1:$Q$400,"monthly"))*H249,AND(B249&lt;&gt;"",H249=SF_Output!$Y$2,SUMIFS(SF_Output!$T$1:$T$400,SF_Output!$AC$1:$AC$400,_xlfn.TEXTJOIN(",",TRUE,B249:E249),SF_Output!$Q$1:$Q$400,"monthly")&lt;&gt;0),SUMIFS(SF_Output!$S$1:$S$400,SF_Output!$AC$1:$AC$400,_xlfn.TEXTJOIN(",",TRUE,B249:E249),SF_Output!$Q$1:$Q$400,"monthly"),AND(B249&lt;&gt;"",H249&lt;&gt;SF_Output!$Y$2),SUMIFS(SF_Output!$S$1:$S$400,SF_Output!$AC$1:$AC$400,_xlfn.TEXTJOIN(",",TRUE,B249:E249),SF_Output!$Q$1:$Q$400,"monthly"))</f>
        <v/>
      </c>
      <c r="W249" s="112" t="str" cm="1">
        <f t="array" ref="W249">_xlfn.IFS(OR(B249=0,B249="",V249=0),"",AF249&lt;&gt;"exclusion",MAX($W$9,$W$7,(-(SUMIFS(SF_Output!$T$1:$T$400,SF_Output!$AC$1:$AC$400,_xlfn.TEXTJOIN(",",TRUE,$B249:$E249),SF_Output!$Q$1:$Q$400,"monthly"))/V249)),AF249="exclusion",-(SUMIFS(SF_Output!$T$1:$T$400,SF_Output!$AC$1:$AC$400,_xlfn.TEXTJOIN(",",TRUE,$B249:$E249),SF_Output!$Q$1:$Q$400,"monthly"))/V249)</f>
        <v/>
      </c>
      <c r="X249" s="6" t="str" cm="1">
        <f t="array" ref="X249">IFERROR(_xlfn.IFS(V249=0,0,V249="","",W249=0,V249,OR(V249&lt;&gt;0,V249&lt;&gt;""),H249*I249),V249*(1-W249))</f>
        <v/>
      </c>
    </row>
    <row r="250" spans="6:24" x14ac:dyDescent="0.25">
      <c r="F250" s="116" t="str">
        <f t="shared" si="12"/>
        <v/>
      </c>
      <c r="G250" t="str">
        <f>IF(B250="","",INDEX(SF_Output!$K$1:$K$400,MATCH(B250,SF_Output!$M$1:$M$400,0)))</f>
        <v/>
      </c>
      <c r="H250" t="str" cm="1">
        <f t="array" ref="H250">_xlfn.IFS(B250="","",(SUMIFS(SF_Output!$F$1:$F$400,SF_Output!$AC$1:$AC$400,_xlfn.TEXTJOIN(",",TRUE,B250:E250))+SUMIFS(SF_Output!$G$1:$G$400,SF_Output!$AC$1:$AC$400,_xlfn.TEXTJOIN(",",TRUE,B250:E250)))&lt;&gt;0,SF_Output!$Y$2,INDEX(SF_Output!$F$1:$F$400,MATCH(_xlfn.TEXTJOIN(",",TRUE,B250:E250),SF_Output!$AC$1:$AC$400,0))=0,INDEX(SF_Output!$R$1:$R$400,MATCH(_xlfn.TEXTJOIN(",",TRUE,B250:E250),SF_Output!$AC$1:$AC$400,0)))</f>
        <v/>
      </c>
      <c r="I250" s="125" t="str">
        <f>IFERROR(IF(AND(H250&gt;1,H250&lt;&gt;""),ROUND(SUMIFS(SF_Output!$S$1:$S$400,SF_Output!$AC$1:$AC$400,_xlfn.TEXTJOIN(",",TRUE,B250:E250),SF_Output!$Q$1:$Q$400,"monthly")*(1-W250)/H250,4),""),"")</f>
        <v/>
      </c>
      <c r="J250" s="6" t="str">
        <f>IF(B250="","",SUMIFS(SF_Output!$S$1:$S$400,SF_Output!$AC$1:$AC$400,_xlfn.TEXTJOIN(",",TRUE,B250:E250),SF_Output!$Q$1:$Q$400,"One Time",SF_Output!$L$1:$L$400,"license fee")+SUMIFS(SF_Output!$S$1:$S$400,SF_Output!$AC$1:$AC$400,_xlfn.TEXTJOIN(",",TRUE,B250:E250),SF_Output!$Q$1:$Q$400,"One Time",SF_Output!$L$1:$L$400,"software license")+SUMIFS(SF_Output!$S$1:$S$400,SF_Output!$AC$1:$AC$400,_xlfn.TEXTJOIN(",",TRUE,B250:E250),SF_Output!$Q$1:$Q$400,"One Time",SF_Output!$L$1:$L$400,"hardware"))</f>
        <v/>
      </c>
      <c r="K250" s="112" t="str">
        <f>IF(OR(B250=0,B250="",G250="hardware",J250=0),"",IF(AF250&lt;&gt;"exclusion",MAX(K$9,-((SUMIFS(SF_Output!$T$1:$T$400,SF_Output!$AC$1:$AC$400,_xlfn.TEXTJOIN(",",TRUE,$B250:$E250),SF_Output!$Q$1:$Q$400,"One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license"))/J250)),-((SUMIFS(SF_Output!$T$1:$T$400,SF_Output!$AC$1:$AC$400,_xlfn.TEXTJOIN(",",TRUE,$B250:$E250),SF_Output!$Q$1:$Q$400,"One Time",SF_Output!$L$1:$L$400,"license fee")+SUMIFS(SF_Output!$T$1:$T$400,SF_Output!$AC$1:$AC$400,_xlfn.TEXTJOIN(",",TRUE,$B250:$E250),SF_Output!$Q$1:$Q$400,"One Time",SF_Output!$L$1:$L$400,"software license"))/J250)))</f>
        <v/>
      </c>
      <c r="L250" s="6" t="str">
        <f t="shared" si="13"/>
        <v/>
      </c>
      <c r="N250" s="6" t="str">
        <f>IF(B250="","",SUMIFS(SF_Output!$S$1:$S$400,SF_Output!$AC$1:$AC$400,_xlfn.TEXTJOIN(",",TRUE,B250:E250),SF_Output!$Q$1:$Q$400,"One Time",SF_Output!$L$1:$L$400,"professional service"))</f>
        <v/>
      </c>
      <c r="O250" s="112" t="str">
        <f>IF(OR(B250=0,B250="",N250=0),"",IF(AF250&lt;&gt;"exclusion",MAX(O$9,-(SUMIFS(SF_Output!$T$1:$T$400,SF_Output!$AC$1:$AC$400,_xlfn.TEXTJOIN(",",TRUE,$B250:$E250),SF_Output!$Q$1:$Q$400,"One Time",SF_Output!$L$1:$L$400,"professional service"))/N250),-((SUMIFS(SF_Output!$T$1:$T$400,SF_Output!$AC$1:$AC$400,_xlfn.TEXTJOIN(",",TRUE,$B250:$E250),SF_Output!$Q$1:$Q$400,"One Time",SF_Output!$L$1:$L$400,"professional service")/N250))))</f>
        <v/>
      </c>
      <c r="P250" s="6" t="str">
        <f t="shared" si="14"/>
        <v/>
      </c>
      <c r="R250" s="6" t="str">
        <f>IF(B250="","",SUMIFS(SF_Output!$S$1:$S$400,SF_Output!$AC$1:$AC$400,_xlfn.TEXTJOIN(",",TRUE,B250:E250),SF_Output!$Q$1:$Q$400,"yearly")+SUMIFS(SF_Output!$S$1:$S$400,SF_Output!$AC$1:$AC$400,_xlfn.TEXTJOIN(",",TRUE,B250:E250),SF_Output!$Q$1:$Q$400,"quarterly")*4)</f>
        <v/>
      </c>
      <c r="S250" s="112" t="str">
        <f>IF(OR(B250=0,B250="",G250="hardware",R250=0),"",IF(AF250&lt;&gt;"exclusion",MAX(S$9,-(SUMIFS(SF_Output!$T$1:$T$400,SF_Output!$AC$1:$AC$400,_xlfn.TEXTJOIN(",",TRUE,$B250:$E250),SF_Output!$Q$1:$Q$400,"yearly"))/R250),-((SUMIFS(SF_Output!$T$1:$T$400,SF_Output!$AC$1:$AC$400,_xlfn.TEXTJOIN(",",TRUE,$B250:$E250),SF_Output!$Q$1:$Q$400,"yearly")/R250))))</f>
        <v/>
      </c>
      <c r="T250" s="6" t="str">
        <f t="shared" si="15"/>
        <v/>
      </c>
      <c r="V250" s="6" t="str" cm="1">
        <f t="array" ref="V250">_xlfn.IFS(B250="","",AND(B250&lt;&gt;"",H250=SF_Output!$Y$2,SUMIFS(SF_Output!$T$1:$T$400,SF_Output!$AC$1:$AC$400,_xlfn.TEXTJOIN(",",TRUE,B250:E250),SF_Output!$Q$1:$Q$400,"monthly")=0),(SUMIFS(SF_Output!$F$1:$F$400,SF_Output!$AC$1:$AC$400,_xlfn.TEXTJOIN(",",TRUE,B250:E250),SF_Output!$Q$1:$Q$400,"monthly")+SUMIFS(SF_Output!$G$1:$G$400,SF_Output!$AC$1:$AC$400,_xlfn.TEXTJOIN(",",TRUE,B250:E250),SF_Output!$Q$1:$Q$400,"monthly"))*H250,AND(B250&lt;&gt;"",H250=SF_Output!$Y$2,SUMIFS(SF_Output!$T$1:$T$400,SF_Output!$AC$1:$AC$400,_xlfn.TEXTJOIN(",",TRUE,B250:E250),SF_Output!$Q$1:$Q$400,"monthly")&lt;&gt;0),SUMIFS(SF_Output!$S$1:$S$400,SF_Output!$AC$1:$AC$400,_xlfn.TEXTJOIN(",",TRUE,B250:E250),SF_Output!$Q$1:$Q$400,"monthly"),AND(B250&lt;&gt;"",H250&lt;&gt;SF_Output!$Y$2),SUMIFS(SF_Output!$S$1:$S$400,SF_Output!$AC$1:$AC$400,_xlfn.TEXTJOIN(",",TRUE,B250:E250),SF_Output!$Q$1:$Q$400,"monthly"))</f>
        <v/>
      </c>
      <c r="W250" s="112" t="str" cm="1">
        <f t="array" ref="W250">_xlfn.IFS(OR(B250=0,B250="",V250=0),"",AF250&lt;&gt;"exclusion",MAX($W$9,$W$7,(-(SUMIFS(SF_Output!$T$1:$T$400,SF_Output!$AC$1:$AC$400,_xlfn.TEXTJOIN(",",TRUE,$B250:$E250),SF_Output!$Q$1:$Q$400,"monthly"))/V250)),AF250="exclusion",-(SUMIFS(SF_Output!$T$1:$T$400,SF_Output!$AC$1:$AC$400,_xlfn.TEXTJOIN(",",TRUE,$B250:$E250),SF_Output!$Q$1:$Q$400,"monthly"))/V250)</f>
        <v/>
      </c>
      <c r="X250" s="6" t="str" cm="1">
        <f t="array" ref="X250">IFERROR(_xlfn.IFS(V250=0,0,V250="","",W250=0,V250,OR(V250&lt;&gt;0,V250&lt;&gt;""),H250*I250),V250*(1-W250))</f>
        <v/>
      </c>
    </row>
    <row r="251" spans="6:24" x14ac:dyDescent="0.25">
      <c r="F251" s="116" t="str">
        <f t="shared" ref="F251:F300" si="16">IF(B251="","",IF(E251*1=0,"Included","Optional"))</f>
        <v/>
      </c>
      <c r="G251" t="str">
        <f>IF(B251="","",INDEX(SF_Output!$K$1:$K$400,MATCH(B251,SF_Output!$M$1:$M$400,0)))</f>
        <v/>
      </c>
      <c r="H251" t="str" cm="1">
        <f t="array" ref="H251">_xlfn.IFS(B251="","",(SUMIFS(SF_Output!$F$1:$F$400,SF_Output!$AC$1:$AC$400,_xlfn.TEXTJOIN(",",TRUE,B251:E251))+SUMIFS(SF_Output!$G$1:$G$400,SF_Output!$AC$1:$AC$400,_xlfn.TEXTJOIN(",",TRUE,B251:E251)))&lt;&gt;0,SF_Output!$Y$2,INDEX(SF_Output!$F$1:$F$400,MATCH(_xlfn.TEXTJOIN(",",TRUE,B251:E251),SF_Output!$AC$1:$AC$400,0))=0,INDEX(SF_Output!$R$1:$R$400,MATCH(_xlfn.TEXTJOIN(",",TRUE,B251:E251),SF_Output!$AC$1:$AC$400,0)))</f>
        <v/>
      </c>
      <c r="I251" s="125" t="str">
        <f>IFERROR(IF(AND(H251&gt;1,H251&lt;&gt;""),ROUND(SUMIFS(SF_Output!$S$1:$S$400,SF_Output!$AC$1:$AC$400,_xlfn.TEXTJOIN(",",TRUE,B251:E251),SF_Output!$Q$1:$Q$400,"monthly")*(1-W251)/H251,4),""),"")</f>
        <v/>
      </c>
      <c r="J251" s="6" t="str">
        <f>IF(B251="","",SUMIFS(SF_Output!$S$1:$S$400,SF_Output!$AC$1:$AC$400,_xlfn.TEXTJOIN(",",TRUE,B251:E251),SF_Output!$Q$1:$Q$400,"One Time",SF_Output!$L$1:$L$400,"license fee")+SUMIFS(SF_Output!$S$1:$S$400,SF_Output!$AC$1:$AC$400,_xlfn.TEXTJOIN(",",TRUE,B251:E251),SF_Output!$Q$1:$Q$400,"One Time",SF_Output!$L$1:$L$400,"software license")+SUMIFS(SF_Output!$S$1:$S$400,SF_Output!$AC$1:$AC$400,_xlfn.TEXTJOIN(",",TRUE,B251:E251),SF_Output!$Q$1:$Q$400,"One Time",SF_Output!$L$1:$L$400,"hardware"))</f>
        <v/>
      </c>
      <c r="K251" s="112" t="str">
        <f>IF(OR(B251=0,B251="",G251="hardware",J251=0),"",IF(AF251&lt;&gt;"exclusion",MAX(K$9,-((SUMIFS(SF_Output!$T$1:$T$400,SF_Output!$AC$1:$AC$400,_xlfn.TEXTJOIN(",",TRUE,$B251:$E251),SF_Output!$Q$1:$Q$400,"One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license"))/J251)),-((SUMIFS(SF_Output!$T$1:$T$400,SF_Output!$AC$1:$AC$400,_xlfn.TEXTJOIN(",",TRUE,$B251:$E251),SF_Output!$Q$1:$Q$400,"One Time",SF_Output!$L$1:$L$400,"license fee")+SUMIFS(SF_Output!$T$1:$T$400,SF_Output!$AC$1:$AC$400,_xlfn.TEXTJOIN(",",TRUE,$B251:$E251),SF_Output!$Q$1:$Q$400,"One Time",SF_Output!$L$1:$L$400,"software license"))/J251)))</f>
        <v/>
      </c>
      <c r="L251" s="6" t="str">
        <f t="shared" ref="L251:L300" si="17">IF(K251="",J251,J251*(1-K251))</f>
        <v/>
      </c>
      <c r="N251" s="6" t="str">
        <f>IF(B251="","",SUMIFS(SF_Output!$S$1:$S$400,SF_Output!$AC$1:$AC$400,_xlfn.TEXTJOIN(",",TRUE,B251:E251),SF_Output!$Q$1:$Q$400,"One Time",SF_Output!$L$1:$L$400,"professional service"))</f>
        <v/>
      </c>
      <c r="O251" s="112" t="str">
        <f>IF(OR(B251=0,B251="",N251=0),"",IF(AF251&lt;&gt;"exclusion",MAX(O$9,-(SUMIFS(SF_Output!$T$1:$T$400,SF_Output!$AC$1:$AC$400,_xlfn.TEXTJOIN(",",TRUE,$B251:$E251),SF_Output!$Q$1:$Q$400,"One Time",SF_Output!$L$1:$L$400,"professional service"))/N251),-((SUMIFS(SF_Output!$T$1:$T$400,SF_Output!$AC$1:$AC$400,_xlfn.TEXTJOIN(",",TRUE,$B251:$E251),SF_Output!$Q$1:$Q$400,"One Time",SF_Output!$L$1:$L$400,"professional service")/N251))))</f>
        <v/>
      </c>
      <c r="P251" s="6" t="str">
        <f t="shared" ref="P251:P300" si="18">IF(O251="",N251,N251*(1-O251))</f>
        <v/>
      </c>
      <c r="R251" s="6" t="str">
        <f>IF(B251="","",SUMIFS(SF_Output!$S$1:$S$400,SF_Output!$AC$1:$AC$400,_xlfn.TEXTJOIN(",",TRUE,B251:E251),SF_Output!$Q$1:$Q$400,"yearly")+SUMIFS(SF_Output!$S$1:$S$400,SF_Output!$AC$1:$AC$400,_xlfn.TEXTJOIN(",",TRUE,B251:E251),SF_Output!$Q$1:$Q$400,"quarterly")*4)</f>
        <v/>
      </c>
      <c r="S251" s="112" t="str">
        <f>IF(OR(B251=0,B251="",G251="hardware",R251=0),"",IF(AF251&lt;&gt;"exclusion",MAX(S$9,-(SUMIFS(SF_Output!$T$1:$T$400,SF_Output!$AC$1:$AC$400,_xlfn.TEXTJOIN(",",TRUE,$B251:$E251),SF_Output!$Q$1:$Q$400,"yearly"))/R251),-((SUMIFS(SF_Output!$T$1:$T$400,SF_Output!$AC$1:$AC$400,_xlfn.TEXTJOIN(",",TRUE,$B251:$E251),SF_Output!$Q$1:$Q$400,"yearly")/R251))))</f>
        <v/>
      </c>
      <c r="T251" s="6" t="str">
        <f t="shared" ref="T251:T300" si="19">IF(S251="",R251,R251*(1-S251))</f>
        <v/>
      </c>
      <c r="V251" s="6" t="str" cm="1">
        <f t="array" ref="V251">_xlfn.IFS(B251="","",AND(B251&lt;&gt;"",H251=SF_Output!$Y$2,SUMIFS(SF_Output!$T$1:$T$400,SF_Output!$AC$1:$AC$400,_xlfn.TEXTJOIN(",",TRUE,B251:E251),SF_Output!$Q$1:$Q$400,"monthly")=0),(SUMIFS(SF_Output!$F$1:$F$400,SF_Output!$AC$1:$AC$400,_xlfn.TEXTJOIN(",",TRUE,B251:E251),SF_Output!$Q$1:$Q$400,"monthly")+SUMIFS(SF_Output!$G$1:$G$400,SF_Output!$AC$1:$AC$400,_xlfn.TEXTJOIN(",",TRUE,B251:E251),SF_Output!$Q$1:$Q$400,"monthly"))*H251,AND(B251&lt;&gt;"",H251=SF_Output!$Y$2,SUMIFS(SF_Output!$T$1:$T$400,SF_Output!$AC$1:$AC$400,_xlfn.TEXTJOIN(",",TRUE,B251:E251),SF_Output!$Q$1:$Q$400,"monthly")&lt;&gt;0),SUMIFS(SF_Output!$S$1:$S$400,SF_Output!$AC$1:$AC$400,_xlfn.TEXTJOIN(",",TRUE,B251:E251),SF_Output!$Q$1:$Q$400,"monthly"),AND(B251&lt;&gt;"",H251&lt;&gt;SF_Output!$Y$2),SUMIFS(SF_Output!$S$1:$S$400,SF_Output!$AC$1:$AC$400,_xlfn.TEXTJOIN(",",TRUE,B251:E251),SF_Output!$Q$1:$Q$400,"monthly"))</f>
        <v/>
      </c>
      <c r="W251" s="112" t="str" cm="1">
        <f t="array" ref="W251">_xlfn.IFS(OR(B251=0,B251="",V251=0),"",AF251&lt;&gt;"exclusion",MAX($W$9,$W$7,(-(SUMIFS(SF_Output!$T$1:$T$400,SF_Output!$AC$1:$AC$400,_xlfn.TEXTJOIN(",",TRUE,$B251:$E251),SF_Output!$Q$1:$Q$400,"monthly"))/V251)),AF251="exclusion",-(SUMIFS(SF_Output!$T$1:$T$400,SF_Output!$AC$1:$AC$400,_xlfn.TEXTJOIN(",",TRUE,$B251:$E251),SF_Output!$Q$1:$Q$400,"monthly"))/V251)</f>
        <v/>
      </c>
      <c r="X251" s="6" t="str" cm="1">
        <f t="array" ref="X251">IFERROR(_xlfn.IFS(V251=0,0,V251="","",W251=0,V251,OR(V251&lt;&gt;0,V251&lt;&gt;""),H251*I251),V251*(1-W251))</f>
        <v/>
      </c>
    </row>
    <row r="252" spans="6:24" x14ac:dyDescent="0.25">
      <c r="F252" s="116" t="str">
        <f t="shared" si="16"/>
        <v/>
      </c>
      <c r="G252" t="str">
        <f>IF(B252="","",INDEX(SF_Output!$K$1:$K$400,MATCH(B252,SF_Output!$M$1:$M$400,0)))</f>
        <v/>
      </c>
      <c r="H252" t="str" cm="1">
        <f t="array" ref="H252">_xlfn.IFS(B252="","",(SUMIFS(SF_Output!$F$1:$F$400,SF_Output!$AC$1:$AC$400,_xlfn.TEXTJOIN(",",TRUE,B252:E252))+SUMIFS(SF_Output!$G$1:$G$400,SF_Output!$AC$1:$AC$400,_xlfn.TEXTJOIN(",",TRUE,B252:E252)))&lt;&gt;0,SF_Output!$Y$2,INDEX(SF_Output!$F$1:$F$400,MATCH(_xlfn.TEXTJOIN(",",TRUE,B252:E252),SF_Output!$AC$1:$AC$400,0))=0,INDEX(SF_Output!$R$1:$R$400,MATCH(_xlfn.TEXTJOIN(",",TRUE,B252:E252),SF_Output!$AC$1:$AC$400,0)))</f>
        <v/>
      </c>
      <c r="I252" s="125" t="str">
        <f>IFERROR(IF(AND(H252&gt;1,H252&lt;&gt;""),ROUND(SUMIFS(SF_Output!$S$1:$S$400,SF_Output!$AC$1:$AC$400,_xlfn.TEXTJOIN(",",TRUE,B252:E252),SF_Output!$Q$1:$Q$400,"monthly")*(1-W252)/H252,4),""),"")</f>
        <v/>
      </c>
      <c r="J252" s="6" t="str">
        <f>IF(B252="","",SUMIFS(SF_Output!$S$1:$S$400,SF_Output!$AC$1:$AC$400,_xlfn.TEXTJOIN(",",TRUE,B252:E252),SF_Output!$Q$1:$Q$400,"One Time",SF_Output!$L$1:$L$400,"license fee")+SUMIFS(SF_Output!$S$1:$S$400,SF_Output!$AC$1:$AC$400,_xlfn.TEXTJOIN(",",TRUE,B252:E252),SF_Output!$Q$1:$Q$400,"One Time",SF_Output!$L$1:$L$400,"software license")+SUMIFS(SF_Output!$S$1:$S$400,SF_Output!$AC$1:$AC$400,_xlfn.TEXTJOIN(",",TRUE,B252:E252),SF_Output!$Q$1:$Q$400,"One Time",SF_Output!$L$1:$L$400,"hardware"))</f>
        <v/>
      </c>
      <c r="K252" s="112" t="str">
        <f>IF(OR(B252=0,B252="",G252="hardware",J252=0),"",IF(AF252&lt;&gt;"exclusion",MAX(K$9,-((SUMIFS(SF_Output!$T$1:$T$400,SF_Output!$AC$1:$AC$400,_xlfn.TEXTJOIN(",",TRUE,$B252:$E252),SF_Output!$Q$1:$Q$400,"One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license"))/J252)),-((SUMIFS(SF_Output!$T$1:$T$400,SF_Output!$AC$1:$AC$400,_xlfn.TEXTJOIN(",",TRUE,$B252:$E252),SF_Output!$Q$1:$Q$400,"One Time",SF_Output!$L$1:$L$400,"license fee")+SUMIFS(SF_Output!$T$1:$T$400,SF_Output!$AC$1:$AC$400,_xlfn.TEXTJOIN(",",TRUE,$B252:$E252),SF_Output!$Q$1:$Q$400,"One Time",SF_Output!$L$1:$L$400,"software license"))/J252)))</f>
        <v/>
      </c>
      <c r="L252" s="6" t="str">
        <f t="shared" si="17"/>
        <v/>
      </c>
      <c r="N252" s="6" t="str">
        <f>IF(B252="","",SUMIFS(SF_Output!$S$1:$S$400,SF_Output!$AC$1:$AC$400,_xlfn.TEXTJOIN(",",TRUE,B252:E252),SF_Output!$Q$1:$Q$400,"One Time",SF_Output!$L$1:$L$400,"professional service"))</f>
        <v/>
      </c>
      <c r="O252" s="112" t="str">
        <f>IF(OR(B252=0,B252="",N252=0),"",IF(AF252&lt;&gt;"exclusion",MAX(O$9,-(SUMIFS(SF_Output!$T$1:$T$400,SF_Output!$AC$1:$AC$400,_xlfn.TEXTJOIN(",",TRUE,$B252:$E252),SF_Output!$Q$1:$Q$400,"One Time",SF_Output!$L$1:$L$400,"professional service"))/N252),-((SUMIFS(SF_Output!$T$1:$T$400,SF_Output!$AC$1:$AC$400,_xlfn.TEXTJOIN(",",TRUE,$B252:$E252),SF_Output!$Q$1:$Q$400,"One Time",SF_Output!$L$1:$L$400,"professional service")/N252))))</f>
        <v/>
      </c>
      <c r="P252" s="6" t="str">
        <f t="shared" si="18"/>
        <v/>
      </c>
      <c r="R252" s="6" t="str">
        <f>IF(B252="","",SUMIFS(SF_Output!$S$1:$S$400,SF_Output!$AC$1:$AC$400,_xlfn.TEXTJOIN(",",TRUE,B252:E252),SF_Output!$Q$1:$Q$400,"yearly")+SUMIFS(SF_Output!$S$1:$S$400,SF_Output!$AC$1:$AC$400,_xlfn.TEXTJOIN(",",TRUE,B252:E252),SF_Output!$Q$1:$Q$400,"quarterly")*4)</f>
        <v/>
      </c>
      <c r="S252" s="112" t="str">
        <f>IF(OR(B252=0,B252="",G252="hardware",R252=0),"",IF(AF252&lt;&gt;"exclusion",MAX(S$9,-(SUMIFS(SF_Output!$T$1:$T$400,SF_Output!$AC$1:$AC$400,_xlfn.TEXTJOIN(",",TRUE,$B252:$E252),SF_Output!$Q$1:$Q$400,"yearly"))/R252),-((SUMIFS(SF_Output!$T$1:$T$400,SF_Output!$AC$1:$AC$400,_xlfn.TEXTJOIN(",",TRUE,$B252:$E252),SF_Output!$Q$1:$Q$400,"yearly")/R252))))</f>
        <v/>
      </c>
      <c r="T252" s="6" t="str">
        <f t="shared" si="19"/>
        <v/>
      </c>
      <c r="V252" s="6" t="str" cm="1">
        <f t="array" ref="V252">_xlfn.IFS(B252="","",AND(B252&lt;&gt;"",H252=SF_Output!$Y$2,SUMIFS(SF_Output!$T$1:$T$400,SF_Output!$AC$1:$AC$400,_xlfn.TEXTJOIN(",",TRUE,B252:E252),SF_Output!$Q$1:$Q$400,"monthly")=0),(SUMIFS(SF_Output!$F$1:$F$400,SF_Output!$AC$1:$AC$400,_xlfn.TEXTJOIN(",",TRUE,B252:E252),SF_Output!$Q$1:$Q$400,"monthly")+SUMIFS(SF_Output!$G$1:$G$400,SF_Output!$AC$1:$AC$400,_xlfn.TEXTJOIN(",",TRUE,B252:E252),SF_Output!$Q$1:$Q$400,"monthly"))*H252,AND(B252&lt;&gt;"",H252=SF_Output!$Y$2,SUMIFS(SF_Output!$T$1:$T$400,SF_Output!$AC$1:$AC$400,_xlfn.TEXTJOIN(",",TRUE,B252:E252),SF_Output!$Q$1:$Q$400,"monthly")&lt;&gt;0),SUMIFS(SF_Output!$S$1:$S$400,SF_Output!$AC$1:$AC$400,_xlfn.TEXTJOIN(",",TRUE,B252:E252),SF_Output!$Q$1:$Q$400,"monthly"),AND(B252&lt;&gt;"",H252&lt;&gt;SF_Output!$Y$2),SUMIFS(SF_Output!$S$1:$S$400,SF_Output!$AC$1:$AC$400,_xlfn.TEXTJOIN(",",TRUE,B252:E252),SF_Output!$Q$1:$Q$400,"monthly"))</f>
        <v/>
      </c>
      <c r="W252" s="112" t="str" cm="1">
        <f t="array" ref="W252">_xlfn.IFS(OR(B252=0,B252="",V252=0),"",AF252&lt;&gt;"exclusion",MAX($W$9,$W$7,(-(SUMIFS(SF_Output!$T$1:$T$400,SF_Output!$AC$1:$AC$400,_xlfn.TEXTJOIN(",",TRUE,$B252:$E252),SF_Output!$Q$1:$Q$400,"monthly"))/V252)),AF252="exclusion",-(SUMIFS(SF_Output!$T$1:$T$400,SF_Output!$AC$1:$AC$400,_xlfn.TEXTJOIN(",",TRUE,$B252:$E252),SF_Output!$Q$1:$Q$400,"monthly"))/V252)</f>
        <v/>
      </c>
      <c r="X252" s="6" t="str" cm="1">
        <f t="array" ref="X252">IFERROR(_xlfn.IFS(V252=0,0,V252="","",W252=0,V252,OR(V252&lt;&gt;0,V252&lt;&gt;""),H252*I252),V252*(1-W252))</f>
        <v/>
      </c>
    </row>
    <row r="253" spans="6:24" x14ac:dyDescent="0.25">
      <c r="F253" s="116" t="str">
        <f t="shared" si="16"/>
        <v/>
      </c>
      <c r="G253" t="str">
        <f>IF(B253="","",INDEX(SF_Output!$K$1:$K$400,MATCH(B253,SF_Output!$M$1:$M$400,0)))</f>
        <v/>
      </c>
      <c r="H253" t="str" cm="1">
        <f t="array" ref="H253">_xlfn.IFS(B253="","",(SUMIFS(SF_Output!$F$1:$F$400,SF_Output!$AC$1:$AC$400,_xlfn.TEXTJOIN(",",TRUE,B253:E253))+SUMIFS(SF_Output!$G$1:$G$400,SF_Output!$AC$1:$AC$400,_xlfn.TEXTJOIN(",",TRUE,B253:E253)))&lt;&gt;0,SF_Output!$Y$2,INDEX(SF_Output!$F$1:$F$400,MATCH(_xlfn.TEXTJOIN(",",TRUE,B253:E253),SF_Output!$AC$1:$AC$400,0))=0,INDEX(SF_Output!$R$1:$R$400,MATCH(_xlfn.TEXTJOIN(",",TRUE,B253:E253),SF_Output!$AC$1:$AC$400,0)))</f>
        <v/>
      </c>
      <c r="I253" s="125" t="str">
        <f>IFERROR(IF(AND(H253&gt;1,H253&lt;&gt;""),ROUND(SUMIFS(SF_Output!$S$1:$S$400,SF_Output!$AC$1:$AC$400,_xlfn.TEXTJOIN(",",TRUE,B253:E253),SF_Output!$Q$1:$Q$400,"monthly")*(1-W253)/H253,4),""),"")</f>
        <v/>
      </c>
      <c r="J253" s="6" t="str">
        <f>IF(B253="","",SUMIFS(SF_Output!$S$1:$S$400,SF_Output!$AC$1:$AC$400,_xlfn.TEXTJOIN(",",TRUE,B253:E253),SF_Output!$Q$1:$Q$400,"One Time",SF_Output!$L$1:$L$400,"license fee")+SUMIFS(SF_Output!$S$1:$S$400,SF_Output!$AC$1:$AC$400,_xlfn.TEXTJOIN(",",TRUE,B253:E253),SF_Output!$Q$1:$Q$400,"One Time",SF_Output!$L$1:$L$400,"software license")+SUMIFS(SF_Output!$S$1:$S$400,SF_Output!$AC$1:$AC$400,_xlfn.TEXTJOIN(",",TRUE,B253:E253),SF_Output!$Q$1:$Q$400,"One Time",SF_Output!$L$1:$L$400,"hardware"))</f>
        <v/>
      </c>
      <c r="K253" s="112" t="str">
        <f>IF(OR(B253=0,B253="",G253="hardware",J253=0),"",IF(AF253&lt;&gt;"exclusion",MAX(K$9,-((SUMIFS(SF_Output!$T$1:$T$400,SF_Output!$AC$1:$AC$400,_xlfn.TEXTJOIN(",",TRUE,$B253:$E253),SF_Output!$Q$1:$Q$400,"One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license"))/J253)),-((SUMIFS(SF_Output!$T$1:$T$400,SF_Output!$AC$1:$AC$400,_xlfn.TEXTJOIN(",",TRUE,$B253:$E253),SF_Output!$Q$1:$Q$400,"One Time",SF_Output!$L$1:$L$400,"license fee")+SUMIFS(SF_Output!$T$1:$T$400,SF_Output!$AC$1:$AC$400,_xlfn.TEXTJOIN(",",TRUE,$B253:$E253),SF_Output!$Q$1:$Q$400,"One Time",SF_Output!$L$1:$L$400,"software license"))/J253)))</f>
        <v/>
      </c>
      <c r="L253" s="6" t="str">
        <f t="shared" si="17"/>
        <v/>
      </c>
      <c r="N253" s="6" t="str">
        <f>IF(B253="","",SUMIFS(SF_Output!$S$1:$S$400,SF_Output!$AC$1:$AC$400,_xlfn.TEXTJOIN(",",TRUE,B253:E253),SF_Output!$Q$1:$Q$400,"One Time",SF_Output!$L$1:$L$400,"professional service"))</f>
        <v/>
      </c>
      <c r="O253" s="112" t="str">
        <f>IF(OR(B253=0,B253="",N253=0),"",IF(AF253&lt;&gt;"exclusion",MAX(O$9,-(SUMIFS(SF_Output!$T$1:$T$400,SF_Output!$AC$1:$AC$400,_xlfn.TEXTJOIN(",",TRUE,$B253:$E253),SF_Output!$Q$1:$Q$400,"One Time",SF_Output!$L$1:$L$400,"professional service"))/N253),-((SUMIFS(SF_Output!$T$1:$T$400,SF_Output!$AC$1:$AC$400,_xlfn.TEXTJOIN(",",TRUE,$B253:$E253),SF_Output!$Q$1:$Q$400,"One Time",SF_Output!$L$1:$L$400,"professional service")/N253))))</f>
        <v/>
      </c>
      <c r="P253" s="6" t="str">
        <f t="shared" si="18"/>
        <v/>
      </c>
      <c r="R253" s="6" t="str">
        <f>IF(B253="","",SUMIFS(SF_Output!$S$1:$S$400,SF_Output!$AC$1:$AC$400,_xlfn.TEXTJOIN(",",TRUE,B253:E253),SF_Output!$Q$1:$Q$400,"yearly")+SUMIFS(SF_Output!$S$1:$S$400,SF_Output!$AC$1:$AC$400,_xlfn.TEXTJOIN(",",TRUE,B253:E253),SF_Output!$Q$1:$Q$400,"quarterly")*4)</f>
        <v/>
      </c>
      <c r="S253" s="112" t="str">
        <f>IF(OR(B253=0,B253="",G253="hardware",R253=0),"",IF(AF253&lt;&gt;"exclusion",MAX(S$9,-(SUMIFS(SF_Output!$T$1:$T$400,SF_Output!$AC$1:$AC$400,_xlfn.TEXTJOIN(",",TRUE,$B253:$E253),SF_Output!$Q$1:$Q$400,"yearly"))/R253),-((SUMIFS(SF_Output!$T$1:$T$400,SF_Output!$AC$1:$AC$400,_xlfn.TEXTJOIN(",",TRUE,$B253:$E253),SF_Output!$Q$1:$Q$400,"yearly")/R253))))</f>
        <v/>
      </c>
      <c r="T253" s="6" t="str">
        <f t="shared" si="19"/>
        <v/>
      </c>
      <c r="V253" s="6" t="str" cm="1">
        <f t="array" ref="V253">_xlfn.IFS(B253="","",AND(B253&lt;&gt;"",H253=SF_Output!$Y$2,SUMIFS(SF_Output!$T$1:$T$400,SF_Output!$AC$1:$AC$400,_xlfn.TEXTJOIN(",",TRUE,B253:E253),SF_Output!$Q$1:$Q$400,"monthly")=0),(SUMIFS(SF_Output!$F$1:$F$400,SF_Output!$AC$1:$AC$400,_xlfn.TEXTJOIN(",",TRUE,B253:E253),SF_Output!$Q$1:$Q$400,"monthly")+SUMIFS(SF_Output!$G$1:$G$400,SF_Output!$AC$1:$AC$400,_xlfn.TEXTJOIN(",",TRUE,B253:E253),SF_Output!$Q$1:$Q$400,"monthly"))*H253,AND(B253&lt;&gt;"",H253=SF_Output!$Y$2,SUMIFS(SF_Output!$T$1:$T$400,SF_Output!$AC$1:$AC$400,_xlfn.TEXTJOIN(",",TRUE,B253:E253),SF_Output!$Q$1:$Q$400,"monthly")&lt;&gt;0),SUMIFS(SF_Output!$S$1:$S$400,SF_Output!$AC$1:$AC$400,_xlfn.TEXTJOIN(",",TRUE,B253:E253),SF_Output!$Q$1:$Q$400,"monthly"),AND(B253&lt;&gt;"",H253&lt;&gt;SF_Output!$Y$2),SUMIFS(SF_Output!$S$1:$S$400,SF_Output!$AC$1:$AC$400,_xlfn.TEXTJOIN(",",TRUE,B253:E253),SF_Output!$Q$1:$Q$400,"monthly"))</f>
        <v/>
      </c>
      <c r="W253" s="112" t="str" cm="1">
        <f t="array" ref="W253">_xlfn.IFS(OR(B253=0,B253="",V253=0),"",AF253&lt;&gt;"exclusion",MAX($W$9,$W$7,(-(SUMIFS(SF_Output!$T$1:$T$400,SF_Output!$AC$1:$AC$400,_xlfn.TEXTJOIN(",",TRUE,$B253:$E253),SF_Output!$Q$1:$Q$400,"monthly"))/V253)),AF253="exclusion",-(SUMIFS(SF_Output!$T$1:$T$400,SF_Output!$AC$1:$AC$400,_xlfn.TEXTJOIN(",",TRUE,$B253:$E253),SF_Output!$Q$1:$Q$400,"monthly"))/V253)</f>
        <v/>
      </c>
      <c r="X253" s="6" t="str" cm="1">
        <f t="array" ref="X253">IFERROR(_xlfn.IFS(V253=0,0,V253="","",W253=0,V253,OR(V253&lt;&gt;0,V253&lt;&gt;""),H253*I253),V253*(1-W253))</f>
        <v/>
      </c>
    </row>
    <row r="254" spans="6:24" x14ac:dyDescent="0.25">
      <c r="F254" s="116" t="str">
        <f t="shared" si="16"/>
        <v/>
      </c>
      <c r="G254" t="str">
        <f>IF(B254="","",INDEX(SF_Output!$K$1:$K$400,MATCH(B254,SF_Output!$M$1:$M$400,0)))</f>
        <v/>
      </c>
      <c r="H254" t="str" cm="1">
        <f t="array" ref="H254">_xlfn.IFS(B254="","",(SUMIFS(SF_Output!$F$1:$F$400,SF_Output!$AC$1:$AC$400,_xlfn.TEXTJOIN(",",TRUE,B254:E254))+SUMIFS(SF_Output!$G$1:$G$400,SF_Output!$AC$1:$AC$400,_xlfn.TEXTJOIN(",",TRUE,B254:E254)))&lt;&gt;0,SF_Output!$Y$2,INDEX(SF_Output!$F$1:$F$400,MATCH(_xlfn.TEXTJOIN(",",TRUE,B254:E254),SF_Output!$AC$1:$AC$400,0))=0,INDEX(SF_Output!$R$1:$R$400,MATCH(_xlfn.TEXTJOIN(",",TRUE,B254:E254),SF_Output!$AC$1:$AC$400,0)))</f>
        <v/>
      </c>
      <c r="I254" s="125" t="str">
        <f>IFERROR(IF(AND(H254&gt;1,H254&lt;&gt;""),ROUND(SUMIFS(SF_Output!$S$1:$S$400,SF_Output!$AC$1:$AC$400,_xlfn.TEXTJOIN(",",TRUE,B254:E254),SF_Output!$Q$1:$Q$400,"monthly")*(1-W254)/H254,4),""),"")</f>
        <v/>
      </c>
      <c r="J254" s="6" t="str">
        <f>IF(B254="","",SUMIFS(SF_Output!$S$1:$S$400,SF_Output!$AC$1:$AC$400,_xlfn.TEXTJOIN(",",TRUE,B254:E254),SF_Output!$Q$1:$Q$400,"One Time",SF_Output!$L$1:$L$400,"license fee")+SUMIFS(SF_Output!$S$1:$S$400,SF_Output!$AC$1:$AC$400,_xlfn.TEXTJOIN(",",TRUE,B254:E254),SF_Output!$Q$1:$Q$400,"One Time",SF_Output!$L$1:$L$400,"software license")+SUMIFS(SF_Output!$S$1:$S$400,SF_Output!$AC$1:$AC$400,_xlfn.TEXTJOIN(",",TRUE,B254:E254),SF_Output!$Q$1:$Q$400,"One Time",SF_Output!$L$1:$L$400,"hardware"))</f>
        <v/>
      </c>
      <c r="K254" s="112" t="str">
        <f>IF(OR(B254=0,B254="",G254="hardware",J254=0),"",IF(AF254&lt;&gt;"exclusion",MAX(K$9,-((SUMIFS(SF_Output!$T$1:$T$400,SF_Output!$AC$1:$AC$400,_xlfn.TEXTJOIN(",",TRUE,$B254:$E254),SF_Output!$Q$1:$Q$400,"One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license"))/J254)),-((SUMIFS(SF_Output!$T$1:$T$400,SF_Output!$AC$1:$AC$400,_xlfn.TEXTJOIN(",",TRUE,$B254:$E254),SF_Output!$Q$1:$Q$400,"One Time",SF_Output!$L$1:$L$400,"license fee")+SUMIFS(SF_Output!$T$1:$T$400,SF_Output!$AC$1:$AC$400,_xlfn.TEXTJOIN(",",TRUE,$B254:$E254),SF_Output!$Q$1:$Q$400,"One Time",SF_Output!$L$1:$L$400,"software license"))/J254)))</f>
        <v/>
      </c>
      <c r="L254" s="6" t="str">
        <f t="shared" si="17"/>
        <v/>
      </c>
      <c r="N254" s="6" t="str">
        <f>IF(B254="","",SUMIFS(SF_Output!$S$1:$S$400,SF_Output!$AC$1:$AC$400,_xlfn.TEXTJOIN(",",TRUE,B254:E254),SF_Output!$Q$1:$Q$400,"One Time",SF_Output!$L$1:$L$400,"professional service"))</f>
        <v/>
      </c>
      <c r="O254" s="112" t="str">
        <f>IF(OR(B254=0,B254="",N254=0),"",IF(AF254&lt;&gt;"exclusion",MAX(O$9,-(SUMIFS(SF_Output!$T$1:$T$400,SF_Output!$AC$1:$AC$400,_xlfn.TEXTJOIN(",",TRUE,$B254:$E254),SF_Output!$Q$1:$Q$400,"One Time",SF_Output!$L$1:$L$400,"professional service"))/N254),-((SUMIFS(SF_Output!$T$1:$T$400,SF_Output!$AC$1:$AC$400,_xlfn.TEXTJOIN(",",TRUE,$B254:$E254),SF_Output!$Q$1:$Q$400,"One Time",SF_Output!$L$1:$L$400,"professional service")/N254))))</f>
        <v/>
      </c>
      <c r="P254" s="6" t="str">
        <f t="shared" si="18"/>
        <v/>
      </c>
      <c r="R254" s="6" t="str">
        <f>IF(B254="","",SUMIFS(SF_Output!$S$1:$S$400,SF_Output!$AC$1:$AC$400,_xlfn.TEXTJOIN(",",TRUE,B254:E254),SF_Output!$Q$1:$Q$400,"yearly")+SUMIFS(SF_Output!$S$1:$S$400,SF_Output!$AC$1:$AC$400,_xlfn.TEXTJOIN(",",TRUE,B254:E254),SF_Output!$Q$1:$Q$400,"quarterly")*4)</f>
        <v/>
      </c>
      <c r="S254" s="112" t="str">
        <f>IF(OR(B254=0,B254="",G254="hardware",R254=0),"",IF(AF254&lt;&gt;"exclusion",MAX(S$9,-(SUMIFS(SF_Output!$T$1:$T$400,SF_Output!$AC$1:$AC$400,_xlfn.TEXTJOIN(",",TRUE,$B254:$E254),SF_Output!$Q$1:$Q$400,"yearly"))/R254),-((SUMIFS(SF_Output!$T$1:$T$400,SF_Output!$AC$1:$AC$400,_xlfn.TEXTJOIN(",",TRUE,$B254:$E254),SF_Output!$Q$1:$Q$400,"yearly")/R254))))</f>
        <v/>
      </c>
      <c r="T254" s="6" t="str">
        <f t="shared" si="19"/>
        <v/>
      </c>
      <c r="V254" s="6" t="str" cm="1">
        <f t="array" ref="V254">_xlfn.IFS(B254="","",AND(B254&lt;&gt;"",H254=SF_Output!$Y$2,SUMIFS(SF_Output!$T$1:$T$400,SF_Output!$AC$1:$AC$400,_xlfn.TEXTJOIN(",",TRUE,B254:E254),SF_Output!$Q$1:$Q$400,"monthly")=0),(SUMIFS(SF_Output!$F$1:$F$400,SF_Output!$AC$1:$AC$400,_xlfn.TEXTJOIN(",",TRUE,B254:E254),SF_Output!$Q$1:$Q$400,"monthly")+SUMIFS(SF_Output!$G$1:$G$400,SF_Output!$AC$1:$AC$400,_xlfn.TEXTJOIN(",",TRUE,B254:E254),SF_Output!$Q$1:$Q$400,"monthly"))*H254,AND(B254&lt;&gt;"",H254=SF_Output!$Y$2,SUMIFS(SF_Output!$T$1:$T$400,SF_Output!$AC$1:$AC$400,_xlfn.TEXTJOIN(",",TRUE,B254:E254),SF_Output!$Q$1:$Q$400,"monthly")&lt;&gt;0),SUMIFS(SF_Output!$S$1:$S$400,SF_Output!$AC$1:$AC$400,_xlfn.TEXTJOIN(",",TRUE,B254:E254),SF_Output!$Q$1:$Q$400,"monthly"),AND(B254&lt;&gt;"",H254&lt;&gt;SF_Output!$Y$2),SUMIFS(SF_Output!$S$1:$S$400,SF_Output!$AC$1:$AC$400,_xlfn.TEXTJOIN(",",TRUE,B254:E254),SF_Output!$Q$1:$Q$400,"monthly"))</f>
        <v/>
      </c>
      <c r="W254" s="112" t="str" cm="1">
        <f t="array" ref="W254">_xlfn.IFS(OR(B254=0,B254="",V254=0),"",AF254&lt;&gt;"exclusion",MAX($W$9,$W$7,(-(SUMIFS(SF_Output!$T$1:$T$400,SF_Output!$AC$1:$AC$400,_xlfn.TEXTJOIN(",",TRUE,$B254:$E254),SF_Output!$Q$1:$Q$400,"monthly"))/V254)),AF254="exclusion",-(SUMIFS(SF_Output!$T$1:$T$400,SF_Output!$AC$1:$AC$400,_xlfn.TEXTJOIN(",",TRUE,$B254:$E254),SF_Output!$Q$1:$Q$400,"monthly"))/V254)</f>
        <v/>
      </c>
      <c r="X254" s="6" t="str" cm="1">
        <f t="array" ref="X254">IFERROR(_xlfn.IFS(V254=0,0,V254="","",W254=0,V254,OR(V254&lt;&gt;0,V254&lt;&gt;""),H254*I254),V254*(1-W254))</f>
        <v/>
      </c>
    </row>
    <row r="255" spans="6:24" x14ac:dyDescent="0.25">
      <c r="F255" s="116" t="str">
        <f t="shared" si="16"/>
        <v/>
      </c>
      <c r="G255" t="str">
        <f>IF(B255="","",INDEX(SF_Output!$K$1:$K$400,MATCH(B255,SF_Output!$M$1:$M$400,0)))</f>
        <v/>
      </c>
      <c r="H255" t="str" cm="1">
        <f t="array" ref="H255">_xlfn.IFS(B255="","",(SUMIFS(SF_Output!$F$1:$F$400,SF_Output!$AC$1:$AC$400,_xlfn.TEXTJOIN(",",TRUE,B255:E255))+SUMIFS(SF_Output!$G$1:$G$400,SF_Output!$AC$1:$AC$400,_xlfn.TEXTJOIN(",",TRUE,B255:E255)))&lt;&gt;0,SF_Output!$Y$2,INDEX(SF_Output!$F$1:$F$400,MATCH(_xlfn.TEXTJOIN(",",TRUE,B255:E255),SF_Output!$AC$1:$AC$400,0))=0,INDEX(SF_Output!$R$1:$R$400,MATCH(_xlfn.TEXTJOIN(",",TRUE,B255:E255),SF_Output!$AC$1:$AC$400,0)))</f>
        <v/>
      </c>
      <c r="I255" s="125" t="str">
        <f>IFERROR(IF(AND(H255&gt;1,H255&lt;&gt;""),ROUND(SUMIFS(SF_Output!$S$1:$S$400,SF_Output!$AC$1:$AC$400,_xlfn.TEXTJOIN(",",TRUE,B255:E255),SF_Output!$Q$1:$Q$400,"monthly")*(1-W255)/H255,4),""),"")</f>
        <v/>
      </c>
      <c r="J255" s="6" t="str">
        <f>IF(B255="","",SUMIFS(SF_Output!$S$1:$S$400,SF_Output!$AC$1:$AC$400,_xlfn.TEXTJOIN(",",TRUE,B255:E255),SF_Output!$Q$1:$Q$400,"One Time",SF_Output!$L$1:$L$400,"license fee")+SUMIFS(SF_Output!$S$1:$S$400,SF_Output!$AC$1:$AC$400,_xlfn.TEXTJOIN(",",TRUE,B255:E255),SF_Output!$Q$1:$Q$400,"One Time",SF_Output!$L$1:$L$400,"software license")+SUMIFS(SF_Output!$S$1:$S$400,SF_Output!$AC$1:$AC$400,_xlfn.TEXTJOIN(",",TRUE,B255:E255),SF_Output!$Q$1:$Q$400,"One Time",SF_Output!$L$1:$L$400,"hardware"))</f>
        <v/>
      </c>
      <c r="K255" s="112" t="str">
        <f>IF(OR(B255=0,B255="",G255="hardware",J255=0),"",IF(AF255&lt;&gt;"exclusion",MAX(K$9,-((SUMIFS(SF_Output!$T$1:$T$400,SF_Output!$AC$1:$AC$400,_xlfn.TEXTJOIN(",",TRUE,$B255:$E255),SF_Output!$Q$1:$Q$400,"One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license"))/J255)),-((SUMIFS(SF_Output!$T$1:$T$400,SF_Output!$AC$1:$AC$400,_xlfn.TEXTJOIN(",",TRUE,$B255:$E255),SF_Output!$Q$1:$Q$400,"One Time",SF_Output!$L$1:$L$400,"license fee")+SUMIFS(SF_Output!$T$1:$T$400,SF_Output!$AC$1:$AC$400,_xlfn.TEXTJOIN(",",TRUE,$B255:$E255),SF_Output!$Q$1:$Q$400,"One Time",SF_Output!$L$1:$L$400,"software license"))/J255)))</f>
        <v/>
      </c>
      <c r="L255" s="6" t="str">
        <f t="shared" si="17"/>
        <v/>
      </c>
      <c r="N255" s="6" t="str">
        <f>IF(B255="","",SUMIFS(SF_Output!$S$1:$S$400,SF_Output!$AC$1:$AC$400,_xlfn.TEXTJOIN(",",TRUE,B255:E255),SF_Output!$Q$1:$Q$400,"One Time",SF_Output!$L$1:$L$400,"professional service"))</f>
        <v/>
      </c>
      <c r="O255" s="112" t="str">
        <f>IF(OR(B255=0,B255="",N255=0),"",IF(AF255&lt;&gt;"exclusion",MAX(O$9,-(SUMIFS(SF_Output!$T$1:$T$400,SF_Output!$AC$1:$AC$400,_xlfn.TEXTJOIN(",",TRUE,$B255:$E255),SF_Output!$Q$1:$Q$400,"One Time",SF_Output!$L$1:$L$400,"professional service"))/N255),-((SUMIFS(SF_Output!$T$1:$T$400,SF_Output!$AC$1:$AC$400,_xlfn.TEXTJOIN(",",TRUE,$B255:$E255),SF_Output!$Q$1:$Q$400,"One Time",SF_Output!$L$1:$L$400,"professional service")/N255))))</f>
        <v/>
      </c>
      <c r="P255" s="6" t="str">
        <f t="shared" si="18"/>
        <v/>
      </c>
      <c r="R255" s="6" t="str">
        <f>IF(B255="","",SUMIFS(SF_Output!$S$1:$S$400,SF_Output!$AC$1:$AC$400,_xlfn.TEXTJOIN(",",TRUE,B255:E255),SF_Output!$Q$1:$Q$400,"yearly")+SUMIFS(SF_Output!$S$1:$S$400,SF_Output!$AC$1:$AC$400,_xlfn.TEXTJOIN(",",TRUE,B255:E255),SF_Output!$Q$1:$Q$400,"quarterly")*4)</f>
        <v/>
      </c>
      <c r="S255" s="112" t="str">
        <f>IF(OR(B255=0,B255="",G255="hardware",R255=0),"",IF(AF255&lt;&gt;"exclusion",MAX(S$9,-(SUMIFS(SF_Output!$T$1:$T$400,SF_Output!$AC$1:$AC$400,_xlfn.TEXTJOIN(",",TRUE,$B255:$E255),SF_Output!$Q$1:$Q$400,"yearly"))/R255),-((SUMIFS(SF_Output!$T$1:$T$400,SF_Output!$AC$1:$AC$400,_xlfn.TEXTJOIN(",",TRUE,$B255:$E255),SF_Output!$Q$1:$Q$400,"yearly")/R255))))</f>
        <v/>
      </c>
      <c r="T255" s="6" t="str">
        <f t="shared" si="19"/>
        <v/>
      </c>
      <c r="V255" s="6" t="str" cm="1">
        <f t="array" ref="V255">_xlfn.IFS(B255="","",AND(B255&lt;&gt;"",H255=SF_Output!$Y$2,SUMIFS(SF_Output!$T$1:$T$400,SF_Output!$AC$1:$AC$400,_xlfn.TEXTJOIN(",",TRUE,B255:E255),SF_Output!$Q$1:$Q$400,"monthly")=0),(SUMIFS(SF_Output!$F$1:$F$400,SF_Output!$AC$1:$AC$400,_xlfn.TEXTJOIN(",",TRUE,B255:E255),SF_Output!$Q$1:$Q$400,"monthly")+SUMIFS(SF_Output!$G$1:$G$400,SF_Output!$AC$1:$AC$400,_xlfn.TEXTJOIN(",",TRUE,B255:E255),SF_Output!$Q$1:$Q$400,"monthly"))*H255,AND(B255&lt;&gt;"",H255=SF_Output!$Y$2,SUMIFS(SF_Output!$T$1:$T$400,SF_Output!$AC$1:$AC$400,_xlfn.TEXTJOIN(",",TRUE,B255:E255),SF_Output!$Q$1:$Q$400,"monthly")&lt;&gt;0),SUMIFS(SF_Output!$S$1:$S$400,SF_Output!$AC$1:$AC$400,_xlfn.TEXTJOIN(",",TRUE,B255:E255),SF_Output!$Q$1:$Q$400,"monthly"),AND(B255&lt;&gt;"",H255&lt;&gt;SF_Output!$Y$2),SUMIFS(SF_Output!$S$1:$S$400,SF_Output!$AC$1:$AC$400,_xlfn.TEXTJOIN(",",TRUE,B255:E255),SF_Output!$Q$1:$Q$400,"monthly"))</f>
        <v/>
      </c>
      <c r="W255" s="112" t="str" cm="1">
        <f t="array" ref="W255">_xlfn.IFS(OR(B255=0,B255="",V255=0),"",AF255&lt;&gt;"exclusion",MAX($W$9,$W$7,(-(SUMIFS(SF_Output!$T$1:$T$400,SF_Output!$AC$1:$AC$400,_xlfn.TEXTJOIN(",",TRUE,$B255:$E255),SF_Output!$Q$1:$Q$400,"monthly"))/V255)),AF255="exclusion",-(SUMIFS(SF_Output!$T$1:$T$400,SF_Output!$AC$1:$AC$400,_xlfn.TEXTJOIN(",",TRUE,$B255:$E255),SF_Output!$Q$1:$Q$400,"monthly"))/V255)</f>
        <v/>
      </c>
      <c r="X255" s="6" t="str" cm="1">
        <f t="array" ref="X255">IFERROR(_xlfn.IFS(V255=0,0,V255="","",W255=0,V255,OR(V255&lt;&gt;0,V255&lt;&gt;""),H255*I255),V255*(1-W255))</f>
        <v/>
      </c>
    </row>
    <row r="256" spans="6:24" x14ac:dyDescent="0.25">
      <c r="F256" s="116" t="str">
        <f t="shared" si="16"/>
        <v/>
      </c>
      <c r="G256" t="str">
        <f>IF(B256="","",INDEX(SF_Output!$K$1:$K$400,MATCH(B256,SF_Output!$M$1:$M$400,0)))</f>
        <v/>
      </c>
      <c r="H256" t="str" cm="1">
        <f t="array" ref="H256">_xlfn.IFS(B256="","",(SUMIFS(SF_Output!$F$1:$F$400,SF_Output!$AC$1:$AC$400,_xlfn.TEXTJOIN(",",TRUE,B256:E256))+SUMIFS(SF_Output!$G$1:$G$400,SF_Output!$AC$1:$AC$400,_xlfn.TEXTJOIN(",",TRUE,B256:E256)))&lt;&gt;0,SF_Output!$Y$2,INDEX(SF_Output!$F$1:$F$400,MATCH(_xlfn.TEXTJOIN(",",TRUE,B256:E256),SF_Output!$AC$1:$AC$400,0))=0,INDEX(SF_Output!$R$1:$R$400,MATCH(_xlfn.TEXTJOIN(",",TRUE,B256:E256),SF_Output!$AC$1:$AC$400,0)))</f>
        <v/>
      </c>
      <c r="I256" s="125" t="str">
        <f>IFERROR(IF(AND(H256&gt;1,H256&lt;&gt;""),ROUND(SUMIFS(SF_Output!$S$1:$S$400,SF_Output!$AC$1:$AC$400,_xlfn.TEXTJOIN(",",TRUE,B256:E256),SF_Output!$Q$1:$Q$400,"monthly")*(1-W256)/H256,4),""),"")</f>
        <v/>
      </c>
      <c r="J256" s="6" t="str">
        <f>IF(B256="","",SUMIFS(SF_Output!$S$1:$S$400,SF_Output!$AC$1:$AC$400,_xlfn.TEXTJOIN(",",TRUE,B256:E256),SF_Output!$Q$1:$Q$400,"One Time",SF_Output!$L$1:$L$400,"license fee")+SUMIFS(SF_Output!$S$1:$S$400,SF_Output!$AC$1:$AC$400,_xlfn.TEXTJOIN(",",TRUE,B256:E256),SF_Output!$Q$1:$Q$400,"One Time",SF_Output!$L$1:$L$400,"software license")+SUMIFS(SF_Output!$S$1:$S$400,SF_Output!$AC$1:$AC$400,_xlfn.TEXTJOIN(",",TRUE,B256:E256),SF_Output!$Q$1:$Q$400,"One Time",SF_Output!$L$1:$L$400,"hardware"))</f>
        <v/>
      </c>
      <c r="K256" s="112" t="str">
        <f>IF(OR(B256=0,B256="",G256="hardware",J256=0),"",IF(AF256&lt;&gt;"exclusion",MAX(K$9,-((SUMIFS(SF_Output!$T$1:$T$400,SF_Output!$AC$1:$AC$400,_xlfn.TEXTJOIN(",",TRUE,$B256:$E256),SF_Output!$Q$1:$Q$400,"One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license"))/J256)),-((SUMIFS(SF_Output!$T$1:$T$400,SF_Output!$AC$1:$AC$400,_xlfn.TEXTJOIN(",",TRUE,$B256:$E256),SF_Output!$Q$1:$Q$400,"One Time",SF_Output!$L$1:$L$400,"license fee")+SUMIFS(SF_Output!$T$1:$T$400,SF_Output!$AC$1:$AC$400,_xlfn.TEXTJOIN(",",TRUE,$B256:$E256),SF_Output!$Q$1:$Q$400,"One Time",SF_Output!$L$1:$L$400,"software license"))/J256)))</f>
        <v/>
      </c>
      <c r="L256" s="6" t="str">
        <f t="shared" si="17"/>
        <v/>
      </c>
      <c r="N256" s="6" t="str">
        <f>IF(B256="","",SUMIFS(SF_Output!$S$1:$S$400,SF_Output!$AC$1:$AC$400,_xlfn.TEXTJOIN(",",TRUE,B256:E256),SF_Output!$Q$1:$Q$400,"One Time",SF_Output!$L$1:$L$400,"professional service"))</f>
        <v/>
      </c>
      <c r="O256" s="112" t="str">
        <f>IF(OR(B256=0,B256="",N256=0),"",IF(AF256&lt;&gt;"exclusion",MAX(O$9,-(SUMIFS(SF_Output!$T$1:$T$400,SF_Output!$AC$1:$AC$400,_xlfn.TEXTJOIN(",",TRUE,$B256:$E256),SF_Output!$Q$1:$Q$400,"One Time",SF_Output!$L$1:$L$400,"professional service"))/N256),-((SUMIFS(SF_Output!$T$1:$T$400,SF_Output!$AC$1:$AC$400,_xlfn.TEXTJOIN(",",TRUE,$B256:$E256),SF_Output!$Q$1:$Q$400,"One Time",SF_Output!$L$1:$L$400,"professional service")/N256))))</f>
        <v/>
      </c>
      <c r="P256" s="6" t="str">
        <f t="shared" si="18"/>
        <v/>
      </c>
      <c r="R256" s="6" t="str">
        <f>IF(B256="","",SUMIFS(SF_Output!$S$1:$S$400,SF_Output!$AC$1:$AC$400,_xlfn.TEXTJOIN(",",TRUE,B256:E256),SF_Output!$Q$1:$Q$400,"yearly")+SUMIFS(SF_Output!$S$1:$S$400,SF_Output!$AC$1:$AC$400,_xlfn.TEXTJOIN(",",TRUE,B256:E256),SF_Output!$Q$1:$Q$400,"quarterly")*4)</f>
        <v/>
      </c>
      <c r="S256" s="112" t="str">
        <f>IF(OR(B256=0,B256="",G256="hardware",R256=0),"",IF(AF256&lt;&gt;"exclusion",MAX(S$9,-(SUMIFS(SF_Output!$T$1:$T$400,SF_Output!$AC$1:$AC$400,_xlfn.TEXTJOIN(",",TRUE,$B256:$E256),SF_Output!$Q$1:$Q$400,"yearly"))/R256),-((SUMIFS(SF_Output!$T$1:$T$400,SF_Output!$AC$1:$AC$400,_xlfn.TEXTJOIN(",",TRUE,$B256:$E256),SF_Output!$Q$1:$Q$400,"yearly")/R256))))</f>
        <v/>
      </c>
      <c r="T256" s="6" t="str">
        <f t="shared" si="19"/>
        <v/>
      </c>
      <c r="V256" s="6" t="str" cm="1">
        <f t="array" ref="V256">_xlfn.IFS(B256="","",AND(B256&lt;&gt;"",H256=SF_Output!$Y$2,SUMIFS(SF_Output!$T$1:$T$400,SF_Output!$AC$1:$AC$400,_xlfn.TEXTJOIN(",",TRUE,B256:E256),SF_Output!$Q$1:$Q$400,"monthly")=0),(SUMIFS(SF_Output!$F$1:$F$400,SF_Output!$AC$1:$AC$400,_xlfn.TEXTJOIN(",",TRUE,B256:E256),SF_Output!$Q$1:$Q$400,"monthly")+SUMIFS(SF_Output!$G$1:$G$400,SF_Output!$AC$1:$AC$400,_xlfn.TEXTJOIN(",",TRUE,B256:E256),SF_Output!$Q$1:$Q$400,"monthly"))*H256,AND(B256&lt;&gt;"",H256=SF_Output!$Y$2,SUMIFS(SF_Output!$T$1:$T$400,SF_Output!$AC$1:$AC$400,_xlfn.TEXTJOIN(",",TRUE,B256:E256),SF_Output!$Q$1:$Q$400,"monthly")&lt;&gt;0),SUMIFS(SF_Output!$S$1:$S$400,SF_Output!$AC$1:$AC$400,_xlfn.TEXTJOIN(",",TRUE,B256:E256),SF_Output!$Q$1:$Q$400,"monthly"),AND(B256&lt;&gt;"",H256&lt;&gt;SF_Output!$Y$2),SUMIFS(SF_Output!$S$1:$S$400,SF_Output!$AC$1:$AC$400,_xlfn.TEXTJOIN(",",TRUE,B256:E256),SF_Output!$Q$1:$Q$400,"monthly"))</f>
        <v/>
      </c>
      <c r="W256" s="112" t="str" cm="1">
        <f t="array" ref="W256">_xlfn.IFS(OR(B256=0,B256="",V256=0),"",AF256&lt;&gt;"exclusion",MAX($W$9,$W$7,(-(SUMIFS(SF_Output!$T$1:$T$400,SF_Output!$AC$1:$AC$400,_xlfn.TEXTJOIN(",",TRUE,$B256:$E256),SF_Output!$Q$1:$Q$400,"monthly"))/V256)),AF256="exclusion",-(SUMIFS(SF_Output!$T$1:$T$400,SF_Output!$AC$1:$AC$400,_xlfn.TEXTJOIN(",",TRUE,$B256:$E256),SF_Output!$Q$1:$Q$400,"monthly"))/V256)</f>
        <v/>
      </c>
      <c r="X256" s="6" t="str" cm="1">
        <f t="array" ref="X256">IFERROR(_xlfn.IFS(V256=0,0,V256="","",W256=0,V256,OR(V256&lt;&gt;0,V256&lt;&gt;""),H256*I256),V256*(1-W256))</f>
        <v/>
      </c>
    </row>
    <row r="257" spans="6:24" x14ac:dyDescent="0.25">
      <c r="F257" s="116" t="str">
        <f t="shared" si="16"/>
        <v/>
      </c>
      <c r="G257" t="str">
        <f>IF(B257="","",INDEX(SF_Output!$K$1:$K$400,MATCH(B257,SF_Output!$M$1:$M$400,0)))</f>
        <v/>
      </c>
      <c r="H257" t="str" cm="1">
        <f t="array" ref="H257">_xlfn.IFS(B257="","",(SUMIFS(SF_Output!$F$1:$F$400,SF_Output!$AC$1:$AC$400,_xlfn.TEXTJOIN(",",TRUE,B257:E257))+SUMIFS(SF_Output!$G$1:$G$400,SF_Output!$AC$1:$AC$400,_xlfn.TEXTJOIN(",",TRUE,B257:E257)))&lt;&gt;0,SF_Output!$Y$2,INDEX(SF_Output!$F$1:$F$400,MATCH(_xlfn.TEXTJOIN(",",TRUE,B257:E257),SF_Output!$AC$1:$AC$400,0))=0,INDEX(SF_Output!$R$1:$R$400,MATCH(_xlfn.TEXTJOIN(",",TRUE,B257:E257),SF_Output!$AC$1:$AC$400,0)))</f>
        <v/>
      </c>
      <c r="I257" s="125" t="str">
        <f>IFERROR(IF(AND(H257&gt;1,H257&lt;&gt;""),ROUND(SUMIFS(SF_Output!$S$1:$S$400,SF_Output!$AC$1:$AC$400,_xlfn.TEXTJOIN(",",TRUE,B257:E257),SF_Output!$Q$1:$Q$400,"monthly")*(1-W257)/H257,4),""),"")</f>
        <v/>
      </c>
      <c r="J257" s="6" t="str">
        <f>IF(B257="","",SUMIFS(SF_Output!$S$1:$S$400,SF_Output!$AC$1:$AC$400,_xlfn.TEXTJOIN(",",TRUE,B257:E257),SF_Output!$Q$1:$Q$400,"One Time",SF_Output!$L$1:$L$400,"license fee")+SUMIFS(SF_Output!$S$1:$S$400,SF_Output!$AC$1:$AC$400,_xlfn.TEXTJOIN(",",TRUE,B257:E257),SF_Output!$Q$1:$Q$400,"One Time",SF_Output!$L$1:$L$400,"software license")+SUMIFS(SF_Output!$S$1:$S$400,SF_Output!$AC$1:$AC$400,_xlfn.TEXTJOIN(",",TRUE,B257:E257),SF_Output!$Q$1:$Q$400,"One Time",SF_Output!$L$1:$L$400,"hardware"))</f>
        <v/>
      </c>
      <c r="K257" s="112" t="str">
        <f>IF(OR(B257=0,B257="",G257="hardware",J257=0),"",IF(AF257&lt;&gt;"exclusion",MAX(K$9,-((SUMIFS(SF_Output!$T$1:$T$400,SF_Output!$AC$1:$AC$400,_xlfn.TEXTJOIN(",",TRUE,$B257:$E257),SF_Output!$Q$1:$Q$400,"One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license"))/J257)),-((SUMIFS(SF_Output!$T$1:$T$400,SF_Output!$AC$1:$AC$400,_xlfn.TEXTJOIN(",",TRUE,$B257:$E257),SF_Output!$Q$1:$Q$400,"One Time",SF_Output!$L$1:$L$400,"license fee")+SUMIFS(SF_Output!$T$1:$T$400,SF_Output!$AC$1:$AC$400,_xlfn.TEXTJOIN(",",TRUE,$B257:$E257),SF_Output!$Q$1:$Q$400,"One Time",SF_Output!$L$1:$L$400,"software license"))/J257)))</f>
        <v/>
      </c>
      <c r="L257" s="6" t="str">
        <f t="shared" si="17"/>
        <v/>
      </c>
      <c r="N257" s="6" t="str">
        <f>IF(B257="","",SUMIFS(SF_Output!$S$1:$S$400,SF_Output!$AC$1:$AC$400,_xlfn.TEXTJOIN(",",TRUE,B257:E257),SF_Output!$Q$1:$Q$400,"One Time",SF_Output!$L$1:$L$400,"professional service"))</f>
        <v/>
      </c>
      <c r="O257" s="112" t="str">
        <f>IF(OR(B257=0,B257="",N257=0),"",IF(AF257&lt;&gt;"exclusion",MAX(O$9,-(SUMIFS(SF_Output!$T$1:$T$400,SF_Output!$AC$1:$AC$400,_xlfn.TEXTJOIN(",",TRUE,$B257:$E257),SF_Output!$Q$1:$Q$400,"One Time",SF_Output!$L$1:$L$400,"professional service"))/N257),-((SUMIFS(SF_Output!$T$1:$T$400,SF_Output!$AC$1:$AC$400,_xlfn.TEXTJOIN(",",TRUE,$B257:$E257),SF_Output!$Q$1:$Q$400,"One Time",SF_Output!$L$1:$L$400,"professional service")/N257))))</f>
        <v/>
      </c>
      <c r="P257" s="6" t="str">
        <f t="shared" si="18"/>
        <v/>
      </c>
      <c r="R257" s="6" t="str">
        <f>IF(B257="","",SUMIFS(SF_Output!$S$1:$S$400,SF_Output!$AC$1:$AC$400,_xlfn.TEXTJOIN(",",TRUE,B257:E257),SF_Output!$Q$1:$Q$400,"yearly")+SUMIFS(SF_Output!$S$1:$S$400,SF_Output!$AC$1:$AC$400,_xlfn.TEXTJOIN(",",TRUE,B257:E257),SF_Output!$Q$1:$Q$400,"quarterly")*4)</f>
        <v/>
      </c>
      <c r="S257" s="112" t="str">
        <f>IF(OR(B257=0,B257="",G257="hardware",R257=0),"",IF(AF257&lt;&gt;"exclusion",MAX(S$9,-(SUMIFS(SF_Output!$T$1:$T$400,SF_Output!$AC$1:$AC$400,_xlfn.TEXTJOIN(",",TRUE,$B257:$E257),SF_Output!$Q$1:$Q$400,"yearly"))/R257),-((SUMIFS(SF_Output!$T$1:$T$400,SF_Output!$AC$1:$AC$400,_xlfn.TEXTJOIN(",",TRUE,$B257:$E257),SF_Output!$Q$1:$Q$400,"yearly")/R257))))</f>
        <v/>
      </c>
      <c r="T257" s="6" t="str">
        <f t="shared" si="19"/>
        <v/>
      </c>
      <c r="V257" s="6" t="str" cm="1">
        <f t="array" ref="V257">_xlfn.IFS(B257="","",AND(B257&lt;&gt;"",H257=SF_Output!$Y$2,SUMIFS(SF_Output!$T$1:$T$400,SF_Output!$AC$1:$AC$400,_xlfn.TEXTJOIN(",",TRUE,B257:E257),SF_Output!$Q$1:$Q$400,"monthly")=0),(SUMIFS(SF_Output!$F$1:$F$400,SF_Output!$AC$1:$AC$400,_xlfn.TEXTJOIN(",",TRUE,B257:E257),SF_Output!$Q$1:$Q$400,"monthly")+SUMIFS(SF_Output!$G$1:$G$400,SF_Output!$AC$1:$AC$400,_xlfn.TEXTJOIN(",",TRUE,B257:E257),SF_Output!$Q$1:$Q$400,"monthly"))*H257,AND(B257&lt;&gt;"",H257=SF_Output!$Y$2,SUMIFS(SF_Output!$T$1:$T$400,SF_Output!$AC$1:$AC$400,_xlfn.TEXTJOIN(",",TRUE,B257:E257),SF_Output!$Q$1:$Q$400,"monthly")&lt;&gt;0),SUMIFS(SF_Output!$S$1:$S$400,SF_Output!$AC$1:$AC$400,_xlfn.TEXTJOIN(",",TRUE,B257:E257),SF_Output!$Q$1:$Q$400,"monthly"),AND(B257&lt;&gt;"",H257&lt;&gt;SF_Output!$Y$2),SUMIFS(SF_Output!$S$1:$S$400,SF_Output!$AC$1:$AC$400,_xlfn.TEXTJOIN(",",TRUE,B257:E257),SF_Output!$Q$1:$Q$400,"monthly"))</f>
        <v/>
      </c>
      <c r="W257" s="112" t="str" cm="1">
        <f t="array" ref="W257">_xlfn.IFS(OR(B257=0,B257="",V257=0),"",AF257&lt;&gt;"exclusion",MAX($W$9,$W$7,(-(SUMIFS(SF_Output!$T$1:$T$400,SF_Output!$AC$1:$AC$400,_xlfn.TEXTJOIN(",",TRUE,$B257:$E257),SF_Output!$Q$1:$Q$400,"monthly"))/V257)),AF257="exclusion",-(SUMIFS(SF_Output!$T$1:$T$400,SF_Output!$AC$1:$AC$400,_xlfn.TEXTJOIN(",",TRUE,$B257:$E257),SF_Output!$Q$1:$Q$400,"monthly"))/V257)</f>
        <v/>
      </c>
      <c r="X257" s="6" t="str" cm="1">
        <f t="array" ref="X257">IFERROR(_xlfn.IFS(V257=0,0,V257="","",W257=0,V257,OR(V257&lt;&gt;0,V257&lt;&gt;""),H257*I257),V257*(1-W257))</f>
        <v/>
      </c>
    </row>
    <row r="258" spans="6:24" x14ac:dyDescent="0.25">
      <c r="F258" s="116" t="str">
        <f t="shared" si="16"/>
        <v/>
      </c>
      <c r="G258" t="str">
        <f>IF(B258="","",INDEX(SF_Output!$K$1:$K$400,MATCH(B258,SF_Output!$M$1:$M$400,0)))</f>
        <v/>
      </c>
      <c r="H258" t="str" cm="1">
        <f t="array" ref="H258">_xlfn.IFS(B258="","",(SUMIFS(SF_Output!$F$1:$F$400,SF_Output!$AC$1:$AC$400,_xlfn.TEXTJOIN(",",TRUE,B258:E258))+SUMIFS(SF_Output!$G$1:$G$400,SF_Output!$AC$1:$AC$400,_xlfn.TEXTJOIN(",",TRUE,B258:E258)))&lt;&gt;0,SF_Output!$Y$2,INDEX(SF_Output!$F$1:$F$400,MATCH(_xlfn.TEXTJOIN(",",TRUE,B258:E258),SF_Output!$AC$1:$AC$400,0))=0,INDEX(SF_Output!$R$1:$R$400,MATCH(_xlfn.TEXTJOIN(",",TRUE,B258:E258),SF_Output!$AC$1:$AC$400,0)))</f>
        <v/>
      </c>
      <c r="I258" s="125" t="str">
        <f>IFERROR(IF(AND(H258&gt;1,H258&lt;&gt;""),ROUND(SUMIFS(SF_Output!$S$1:$S$400,SF_Output!$AC$1:$AC$400,_xlfn.TEXTJOIN(",",TRUE,B258:E258),SF_Output!$Q$1:$Q$400,"monthly")*(1-W258)/H258,4),""),"")</f>
        <v/>
      </c>
      <c r="J258" s="6" t="str">
        <f>IF(B258="","",SUMIFS(SF_Output!$S$1:$S$400,SF_Output!$AC$1:$AC$400,_xlfn.TEXTJOIN(",",TRUE,B258:E258),SF_Output!$Q$1:$Q$400,"One Time",SF_Output!$L$1:$L$400,"license fee")+SUMIFS(SF_Output!$S$1:$S$400,SF_Output!$AC$1:$AC$400,_xlfn.TEXTJOIN(",",TRUE,B258:E258),SF_Output!$Q$1:$Q$400,"One Time",SF_Output!$L$1:$L$400,"software license")+SUMIFS(SF_Output!$S$1:$S$400,SF_Output!$AC$1:$AC$400,_xlfn.TEXTJOIN(",",TRUE,B258:E258),SF_Output!$Q$1:$Q$400,"One Time",SF_Output!$L$1:$L$400,"hardware"))</f>
        <v/>
      </c>
      <c r="K258" s="112" t="str">
        <f>IF(OR(B258=0,B258="",G258="hardware",J258=0),"",IF(AF258&lt;&gt;"exclusion",MAX(K$9,-((SUMIFS(SF_Output!$T$1:$T$400,SF_Output!$AC$1:$AC$400,_xlfn.TEXTJOIN(",",TRUE,$B258:$E258),SF_Output!$Q$1:$Q$400,"One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license"))/J258)),-((SUMIFS(SF_Output!$T$1:$T$400,SF_Output!$AC$1:$AC$400,_xlfn.TEXTJOIN(",",TRUE,$B258:$E258),SF_Output!$Q$1:$Q$400,"One Time",SF_Output!$L$1:$L$400,"license fee")+SUMIFS(SF_Output!$T$1:$T$400,SF_Output!$AC$1:$AC$400,_xlfn.TEXTJOIN(",",TRUE,$B258:$E258),SF_Output!$Q$1:$Q$400,"One Time",SF_Output!$L$1:$L$400,"software license"))/J258)))</f>
        <v/>
      </c>
      <c r="L258" s="6" t="str">
        <f t="shared" si="17"/>
        <v/>
      </c>
      <c r="N258" s="6" t="str">
        <f>IF(B258="","",SUMIFS(SF_Output!$S$1:$S$400,SF_Output!$AC$1:$AC$400,_xlfn.TEXTJOIN(",",TRUE,B258:E258),SF_Output!$Q$1:$Q$400,"One Time",SF_Output!$L$1:$L$400,"professional service"))</f>
        <v/>
      </c>
      <c r="O258" s="112" t="str">
        <f>IF(OR(B258=0,B258="",N258=0),"",IF(AF258&lt;&gt;"exclusion",MAX(O$9,-(SUMIFS(SF_Output!$T$1:$T$400,SF_Output!$AC$1:$AC$400,_xlfn.TEXTJOIN(",",TRUE,$B258:$E258),SF_Output!$Q$1:$Q$400,"One Time",SF_Output!$L$1:$L$400,"professional service"))/N258),-((SUMIFS(SF_Output!$T$1:$T$400,SF_Output!$AC$1:$AC$400,_xlfn.TEXTJOIN(",",TRUE,$B258:$E258),SF_Output!$Q$1:$Q$400,"One Time",SF_Output!$L$1:$L$400,"professional service")/N258))))</f>
        <v/>
      </c>
      <c r="P258" s="6" t="str">
        <f t="shared" si="18"/>
        <v/>
      </c>
      <c r="R258" s="6" t="str">
        <f>IF(B258="","",SUMIFS(SF_Output!$S$1:$S$400,SF_Output!$AC$1:$AC$400,_xlfn.TEXTJOIN(",",TRUE,B258:E258),SF_Output!$Q$1:$Q$400,"yearly")+SUMIFS(SF_Output!$S$1:$S$400,SF_Output!$AC$1:$AC$400,_xlfn.TEXTJOIN(",",TRUE,B258:E258),SF_Output!$Q$1:$Q$400,"quarterly")*4)</f>
        <v/>
      </c>
      <c r="S258" s="112" t="str">
        <f>IF(OR(B258=0,B258="",G258="hardware",R258=0),"",IF(AF258&lt;&gt;"exclusion",MAX(S$9,-(SUMIFS(SF_Output!$T$1:$T$400,SF_Output!$AC$1:$AC$400,_xlfn.TEXTJOIN(",",TRUE,$B258:$E258),SF_Output!$Q$1:$Q$400,"yearly"))/R258),-((SUMIFS(SF_Output!$T$1:$T$400,SF_Output!$AC$1:$AC$400,_xlfn.TEXTJOIN(",",TRUE,$B258:$E258),SF_Output!$Q$1:$Q$400,"yearly")/R258))))</f>
        <v/>
      </c>
      <c r="T258" s="6" t="str">
        <f t="shared" si="19"/>
        <v/>
      </c>
      <c r="V258" s="6" t="str" cm="1">
        <f t="array" ref="V258">_xlfn.IFS(B258="","",AND(B258&lt;&gt;"",H258=SF_Output!$Y$2,SUMIFS(SF_Output!$T$1:$T$400,SF_Output!$AC$1:$AC$400,_xlfn.TEXTJOIN(",",TRUE,B258:E258),SF_Output!$Q$1:$Q$400,"monthly")=0),(SUMIFS(SF_Output!$F$1:$F$400,SF_Output!$AC$1:$AC$400,_xlfn.TEXTJOIN(",",TRUE,B258:E258),SF_Output!$Q$1:$Q$400,"monthly")+SUMIFS(SF_Output!$G$1:$G$400,SF_Output!$AC$1:$AC$400,_xlfn.TEXTJOIN(",",TRUE,B258:E258),SF_Output!$Q$1:$Q$400,"monthly"))*H258,AND(B258&lt;&gt;"",H258=SF_Output!$Y$2,SUMIFS(SF_Output!$T$1:$T$400,SF_Output!$AC$1:$AC$400,_xlfn.TEXTJOIN(",",TRUE,B258:E258),SF_Output!$Q$1:$Q$400,"monthly")&lt;&gt;0),SUMIFS(SF_Output!$S$1:$S$400,SF_Output!$AC$1:$AC$400,_xlfn.TEXTJOIN(",",TRUE,B258:E258),SF_Output!$Q$1:$Q$400,"monthly"),AND(B258&lt;&gt;"",H258&lt;&gt;SF_Output!$Y$2),SUMIFS(SF_Output!$S$1:$S$400,SF_Output!$AC$1:$AC$400,_xlfn.TEXTJOIN(",",TRUE,B258:E258),SF_Output!$Q$1:$Q$400,"monthly"))</f>
        <v/>
      </c>
      <c r="W258" s="112" t="str" cm="1">
        <f t="array" ref="W258">_xlfn.IFS(OR(B258=0,B258="",V258=0),"",AF258&lt;&gt;"exclusion",MAX($W$9,$W$7,(-(SUMIFS(SF_Output!$T$1:$T$400,SF_Output!$AC$1:$AC$400,_xlfn.TEXTJOIN(",",TRUE,$B258:$E258),SF_Output!$Q$1:$Q$400,"monthly"))/V258)),AF258="exclusion",-(SUMIFS(SF_Output!$T$1:$T$400,SF_Output!$AC$1:$AC$400,_xlfn.TEXTJOIN(",",TRUE,$B258:$E258),SF_Output!$Q$1:$Q$400,"monthly"))/V258)</f>
        <v/>
      </c>
      <c r="X258" s="6" t="str" cm="1">
        <f t="array" ref="X258">IFERROR(_xlfn.IFS(V258=0,0,V258="","",W258=0,V258,OR(V258&lt;&gt;0,V258&lt;&gt;""),H258*I258),V258*(1-W258))</f>
        <v/>
      </c>
    </row>
    <row r="259" spans="6:24" x14ac:dyDescent="0.25">
      <c r="F259" s="116" t="str">
        <f t="shared" si="16"/>
        <v/>
      </c>
      <c r="G259" t="str">
        <f>IF(B259="","",INDEX(SF_Output!$K$1:$K$400,MATCH(B259,SF_Output!$M$1:$M$400,0)))</f>
        <v/>
      </c>
      <c r="H259" t="str" cm="1">
        <f t="array" ref="H259">_xlfn.IFS(B259="","",(SUMIFS(SF_Output!$F$1:$F$400,SF_Output!$AC$1:$AC$400,_xlfn.TEXTJOIN(",",TRUE,B259:E259))+SUMIFS(SF_Output!$G$1:$G$400,SF_Output!$AC$1:$AC$400,_xlfn.TEXTJOIN(",",TRUE,B259:E259)))&lt;&gt;0,SF_Output!$Y$2,INDEX(SF_Output!$F$1:$F$400,MATCH(_xlfn.TEXTJOIN(",",TRUE,B259:E259),SF_Output!$AC$1:$AC$400,0))=0,INDEX(SF_Output!$R$1:$R$400,MATCH(_xlfn.TEXTJOIN(",",TRUE,B259:E259),SF_Output!$AC$1:$AC$400,0)))</f>
        <v/>
      </c>
      <c r="I259" s="125" t="str">
        <f>IFERROR(IF(AND(H259&gt;1,H259&lt;&gt;""),ROUND(SUMIFS(SF_Output!$S$1:$S$400,SF_Output!$AC$1:$AC$400,_xlfn.TEXTJOIN(",",TRUE,B259:E259),SF_Output!$Q$1:$Q$400,"monthly")*(1-W259)/H259,4),""),"")</f>
        <v/>
      </c>
      <c r="J259" s="6" t="str">
        <f>IF(B259="","",SUMIFS(SF_Output!$S$1:$S$400,SF_Output!$AC$1:$AC$400,_xlfn.TEXTJOIN(",",TRUE,B259:E259),SF_Output!$Q$1:$Q$400,"One Time",SF_Output!$L$1:$L$400,"license fee")+SUMIFS(SF_Output!$S$1:$S$400,SF_Output!$AC$1:$AC$400,_xlfn.TEXTJOIN(",",TRUE,B259:E259),SF_Output!$Q$1:$Q$400,"One Time",SF_Output!$L$1:$L$400,"software license")+SUMIFS(SF_Output!$S$1:$S$400,SF_Output!$AC$1:$AC$400,_xlfn.TEXTJOIN(",",TRUE,B259:E259),SF_Output!$Q$1:$Q$400,"One Time",SF_Output!$L$1:$L$400,"hardware"))</f>
        <v/>
      </c>
      <c r="K259" s="112" t="str">
        <f>IF(OR(B259=0,B259="",G259="hardware",J259=0),"",IF(AF259&lt;&gt;"exclusion",MAX(K$9,-((SUMIFS(SF_Output!$T$1:$T$400,SF_Output!$AC$1:$AC$400,_xlfn.TEXTJOIN(",",TRUE,$B259:$E259),SF_Output!$Q$1:$Q$400,"One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license"))/J259)),-((SUMIFS(SF_Output!$T$1:$T$400,SF_Output!$AC$1:$AC$400,_xlfn.TEXTJOIN(",",TRUE,$B259:$E259),SF_Output!$Q$1:$Q$400,"One Time",SF_Output!$L$1:$L$400,"license fee")+SUMIFS(SF_Output!$T$1:$T$400,SF_Output!$AC$1:$AC$400,_xlfn.TEXTJOIN(",",TRUE,$B259:$E259),SF_Output!$Q$1:$Q$400,"One Time",SF_Output!$L$1:$L$400,"software license"))/J259)))</f>
        <v/>
      </c>
      <c r="L259" s="6" t="str">
        <f t="shared" si="17"/>
        <v/>
      </c>
      <c r="N259" s="6" t="str">
        <f>IF(B259="","",SUMIFS(SF_Output!$S$1:$S$400,SF_Output!$AC$1:$AC$400,_xlfn.TEXTJOIN(",",TRUE,B259:E259),SF_Output!$Q$1:$Q$400,"One Time",SF_Output!$L$1:$L$400,"professional service"))</f>
        <v/>
      </c>
      <c r="O259" s="112" t="str">
        <f>IF(OR(B259=0,B259="",N259=0),"",IF(AF259&lt;&gt;"exclusion",MAX(O$9,-(SUMIFS(SF_Output!$T$1:$T$400,SF_Output!$AC$1:$AC$400,_xlfn.TEXTJOIN(",",TRUE,$B259:$E259),SF_Output!$Q$1:$Q$400,"One Time",SF_Output!$L$1:$L$400,"professional service"))/N259),-((SUMIFS(SF_Output!$T$1:$T$400,SF_Output!$AC$1:$AC$400,_xlfn.TEXTJOIN(",",TRUE,$B259:$E259),SF_Output!$Q$1:$Q$400,"One Time",SF_Output!$L$1:$L$400,"professional service")/N259))))</f>
        <v/>
      </c>
      <c r="P259" s="6" t="str">
        <f t="shared" si="18"/>
        <v/>
      </c>
      <c r="R259" s="6" t="str">
        <f>IF(B259="","",SUMIFS(SF_Output!$S$1:$S$400,SF_Output!$AC$1:$AC$400,_xlfn.TEXTJOIN(",",TRUE,B259:E259),SF_Output!$Q$1:$Q$400,"yearly")+SUMIFS(SF_Output!$S$1:$S$400,SF_Output!$AC$1:$AC$400,_xlfn.TEXTJOIN(",",TRUE,B259:E259),SF_Output!$Q$1:$Q$400,"quarterly")*4)</f>
        <v/>
      </c>
      <c r="S259" s="112" t="str">
        <f>IF(OR(B259=0,B259="",G259="hardware",R259=0),"",IF(AF259&lt;&gt;"exclusion",MAX(S$9,-(SUMIFS(SF_Output!$T$1:$T$400,SF_Output!$AC$1:$AC$400,_xlfn.TEXTJOIN(",",TRUE,$B259:$E259),SF_Output!$Q$1:$Q$400,"yearly"))/R259),-((SUMIFS(SF_Output!$T$1:$T$400,SF_Output!$AC$1:$AC$400,_xlfn.TEXTJOIN(",",TRUE,$B259:$E259),SF_Output!$Q$1:$Q$400,"yearly")/R259))))</f>
        <v/>
      </c>
      <c r="T259" s="6" t="str">
        <f t="shared" si="19"/>
        <v/>
      </c>
      <c r="V259" s="6" t="str" cm="1">
        <f t="array" ref="V259">_xlfn.IFS(B259="","",AND(B259&lt;&gt;"",H259=SF_Output!$Y$2,SUMIFS(SF_Output!$T$1:$T$400,SF_Output!$AC$1:$AC$400,_xlfn.TEXTJOIN(",",TRUE,B259:E259),SF_Output!$Q$1:$Q$400,"monthly")=0),(SUMIFS(SF_Output!$F$1:$F$400,SF_Output!$AC$1:$AC$400,_xlfn.TEXTJOIN(",",TRUE,B259:E259),SF_Output!$Q$1:$Q$400,"monthly")+SUMIFS(SF_Output!$G$1:$G$400,SF_Output!$AC$1:$AC$400,_xlfn.TEXTJOIN(",",TRUE,B259:E259),SF_Output!$Q$1:$Q$400,"monthly"))*H259,AND(B259&lt;&gt;"",H259=SF_Output!$Y$2,SUMIFS(SF_Output!$T$1:$T$400,SF_Output!$AC$1:$AC$400,_xlfn.TEXTJOIN(",",TRUE,B259:E259),SF_Output!$Q$1:$Q$400,"monthly")&lt;&gt;0),SUMIFS(SF_Output!$S$1:$S$400,SF_Output!$AC$1:$AC$400,_xlfn.TEXTJOIN(",",TRUE,B259:E259),SF_Output!$Q$1:$Q$400,"monthly"),AND(B259&lt;&gt;"",H259&lt;&gt;SF_Output!$Y$2),SUMIFS(SF_Output!$S$1:$S$400,SF_Output!$AC$1:$AC$400,_xlfn.TEXTJOIN(",",TRUE,B259:E259),SF_Output!$Q$1:$Q$400,"monthly"))</f>
        <v/>
      </c>
      <c r="W259" s="112" t="str" cm="1">
        <f t="array" ref="W259">_xlfn.IFS(OR(B259=0,B259="",V259=0),"",AF259&lt;&gt;"exclusion",MAX($W$9,$W$7,(-(SUMIFS(SF_Output!$T$1:$T$400,SF_Output!$AC$1:$AC$400,_xlfn.TEXTJOIN(",",TRUE,$B259:$E259),SF_Output!$Q$1:$Q$400,"monthly"))/V259)),AF259="exclusion",-(SUMIFS(SF_Output!$T$1:$T$400,SF_Output!$AC$1:$AC$400,_xlfn.TEXTJOIN(",",TRUE,$B259:$E259),SF_Output!$Q$1:$Q$400,"monthly"))/V259)</f>
        <v/>
      </c>
      <c r="X259" s="6" t="str" cm="1">
        <f t="array" ref="X259">IFERROR(_xlfn.IFS(V259=0,0,V259="","",W259=0,V259,OR(V259&lt;&gt;0,V259&lt;&gt;""),H259*I259),V259*(1-W259))</f>
        <v/>
      </c>
    </row>
    <row r="260" spans="6:24" x14ac:dyDescent="0.25">
      <c r="F260" s="116" t="str">
        <f t="shared" si="16"/>
        <v/>
      </c>
      <c r="G260" t="str">
        <f>IF(B260="","",INDEX(SF_Output!$K$1:$K$400,MATCH(B260,SF_Output!$M$1:$M$400,0)))</f>
        <v/>
      </c>
      <c r="H260" t="str" cm="1">
        <f t="array" ref="H260">_xlfn.IFS(B260="","",(SUMIFS(SF_Output!$F$1:$F$400,SF_Output!$AC$1:$AC$400,_xlfn.TEXTJOIN(",",TRUE,B260:E260))+SUMIFS(SF_Output!$G$1:$G$400,SF_Output!$AC$1:$AC$400,_xlfn.TEXTJOIN(",",TRUE,B260:E260)))&lt;&gt;0,SF_Output!$Y$2,INDEX(SF_Output!$F$1:$F$400,MATCH(_xlfn.TEXTJOIN(",",TRUE,B260:E260),SF_Output!$AC$1:$AC$400,0))=0,INDEX(SF_Output!$R$1:$R$400,MATCH(_xlfn.TEXTJOIN(",",TRUE,B260:E260),SF_Output!$AC$1:$AC$400,0)))</f>
        <v/>
      </c>
      <c r="I260" s="125" t="str">
        <f>IFERROR(IF(AND(H260&gt;1,H260&lt;&gt;""),ROUND(SUMIFS(SF_Output!$S$1:$S$400,SF_Output!$AC$1:$AC$400,_xlfn.TEXTJOIN(",",TRUE,B260:E260),SF_Output!$Q$1:$Q$400,"monthly")*(1-W260)/H260,4),""),"")</f>
        <v/>
      </c>
      <c r="J260" s="6" t="str">
        <f>IF(B260="","",SUMIFS(SF_Output!$S$1:$S$400,SF_Output!$AC$1:$AC$400,_xlfn.TEXTJOIN(",",TRUE,B260:E260),SF_Output!$Q$1:$Q$400,"One Time",SF_Output!$L$1:$L$400,"license fee")+SUMIFS(SF_Output!$S$1:$S$400,SF_Output!$AC$1:$AC$400,_xlfn.TEXTJOIN(",",TRUE,B260:E260),SF_Output!$Q$1:$Q$400,"One Time",SF_Output!$L$1:$L$400,"software license")+SUMIFS(SF_Output!$S$1:$S$400,SF_Output!$AC$1:$AC$400,_xlfn.TEXTJOIN(",",TRUE,B260:E260),SF_Output!$Q$1:$Q$400,"One Time",SF_Output!$L$1:$L$400,"hardware"))</f>
        <v/>
      </c>
      <c r="K260" s="112" t="str">
        <f>IF(OR(B260=0,B260="",G260="hardware",J260=0),"",IF(AF260&lt;&gt;"exclusion",MAX(K$9,-((SUMIFS(SF_Output!$T$1:$T$400,SF_Output!$AC$1:$AC$400,_xlfn.TEXTJOIN(",",TRUE,$B260:$E260),SF_Output!$Q$1:$Q$400,"One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license"))/J260)),-((SUMIFS(SF_Output!$T$1:$T$400,SF_Output!$AC$1:$AC$400,_xlfn.TEXTJOIN(",",TRUE,$B260:$E260),SF_Output!$Q$1:$Q$400,"One Time",SF_Output!$L$1:$L$400,"license fee")+SUMIFS(SF_Output!$T$1:$T$400,SF_Output!$AC$1:$AC$400,_xlfn.TEXTJOIN(",",TRUE,$B260:$E260),SF_Output!$Q$1:$Q$400,"One Time",SF_Output!$L$1:$L$400,"software license"))/J260)))</f>
        <v/>
      </c>
      <c r="L260" s="6" t="str">
        <f t="shared" si="17"/>
        <v/>
      </c>
      <c r="N260" s="6" t="str">
        <f>IF(B260="","",SUMIFS(SF_Output!$S$1:$S$400,SF_Output!$AC$1:$AC$400,_xlfn.TEXTJOIN(",",TRUE,B260:E260),SF_Output!$Q$1:$Q$400,"One Time",SF_Output!$L$1:$L$400,"professional service"))</f>
        <v/>
      </c>
      <c r="O260" s="112" t="str">
        <f>IF(OR(B260=0,B260="",N260=0),"",IF(AF260&lt;&gt;"exclusion",MAX(O$9,-(SUMIFS(SF_Output!$T$1:$T$400,SF_Output!$AC$1:$AC$400,_xlfn.TEXTJOIN(",",TRUE,$B260:$E260),SF_Output!$Q$1:$Q$400,"One Time",SF_Output!$L$1:$L$400,"professional service"))/N260),-((SUMIFS(SF_Output!$T$1:$T$400,SF_Output!$AC$1:$AC$400,_xlfn.TEXTJOIN(",",TRUE,$B260:$E260),SF_Output!$Q$1:$Q$400,"One Time",SF_Output!$L$1:$L$400,"professional service")/N260))))</f>
        <v/>
      </c>
      <c r="P260" s="6" t="str">
        <f t="shared" si="18"/>
        <v/>
      </c>
      <c r="R260" s="6" t="str">
        <f>IF(B260="","",SUMIFS(SF_Output!$S$1:$S$400,SF_Output!$AC$1:$AC$400,_xlfn.TEXTJOIN(",",TRUE,B260:E260),SF_Output!$Q$1:$Q$400,"yearly")+SUMIFS(SF_Output!$S$1:$S$400,SF_Output!$AC$1:$AC$400,_xlfn.TEXTJOIN(",",TRUE,B260:E260),SF_Output!$Q$1:$Q$400,"quarterly")*4)</f>
        <v/>
      </c>
      <c r="S260" s="112" t="str">
        <f>IF(OR(B260=0,B260="",G260="hardware",R260=0),"",IF(AF260&lt;&gt;"exclusion",MAX(S$9,-(SUMIFS(SF_Output!$T$1:$T$400,SF_Output!$AC$1:$AC$400,_xlfn.TEXTJOIN(",",TRUE,$B260:$E260),SF_Output!$Q$1:$Q$400,"yearly"))/R260),-((SUMIFS(SF_Output!$T$1:$T$400,SF_Output!$AC$1:$AC$400,_xlfn.TEXTJOIN(",",TRUE,$B260:$E260),SF_Output!$Q$1:$Q$400,"yearly")/R260))))</f>
        <v/>
      </c>
      <c r="T260" s="6" t="str">
        <f t="shared" si="19"/>
        <v/>
      </c>
      <c r="V260" s="6" t="str" cm="1">
        <f t="array" ref="V260">_xlfn.IFS(B260="","",AND(B260&lt;&gt;"",H260=SF_Output!$Y$2,SUMIFS(SF_Output!$T$1:$T$400,SF_Output!$AC$1:$AC$400,_xlfn.TEXTJOIN(",",TRUE,B260:E260),SF_Output!$Q$1:$Q$400,"monthly")=0),(SUMIFS(SF_Output!$F$1:$F$400,SF_Output!$AC$1:$AC$400,_xlfn.TEXTJOIN(",",TRUE,B260:E260),SF_Output!$Q$1:$Q$400,"monthly")+SUMIFS(SF_Output!$G$1:$G$400,SF_Output!$AC$1:$AC$400,_xlfn.TEXTJOIN(",",TRUE,B260:E260),SF_Output!$Q$1:$Q$400,"monthly"))*H260,AND(B260&lt;&gt;"",H260=SF_Output!$Y$2,SUMIFS(SF_Output!$T$1:$T$400,SF_Output!$AC$1:$AC$400,_xlfn.TEXTJOIN(",",TRUE,B260:E260),SF_Output!$Q$1:$Q$400,"monthly")&lt;&gt;0),SUMIFS(SF_Output!$S$1:$S$400,SF_Output!$AC$1:$AC$400,_xlfn.TEXTJOIN(",",TRUE,B260:E260),SF_Output!$Q$1:$Q$400,"monthly"),AND(B260&lt;&gt;"",H260&lt;&gt;SF_Output!$Y$2),SUMIFS(SF_Output!$S$1:$S$400,SF_Output!$AC$1:$AC$400,_xlfn.TEXTJOIN(",",TRUE,B260:E260),SF_Output!$Q$1:$Q$400,"monthly"))</f>
        <v/>
      </c>
      <c r="W260" s="112" t="str" cm="1">
        <f t="array" ref="W260">_xlfn.IFS(OR(B260=0,B260="",V260=0),"",AF260&lt;&gt;"exclusion",MAX($W$9,$W$7,(-(SUMIFS(SF_Output!$T$1:$T$400,SF_Output!$AC$1:$AC$400,_xlfn.TEXTJOIN(",",TRUE,$B260:$E260),SF_Output!$Q$1:$Q$400,"monthly"))/V260)),AF260="exclusion",-(SUMIFS(SF_Output!$T$1:$T$400,SF_Output!$AC$1:$AC$400,_xlfn.TEXTJOIN(",",TRUE,$B260:$E260),SF_Output!$Q$1:$Q$400,"monthly"))/V260)</f>
        <v/>
      </c>
      <c r="X260" s="6" t="str" cm="1">
        <f t="array" ref="X260">IFERROR(_xlfn.IFS(V260=0,0,V260="","",W260=0,V260,OR(V260&lt;&gt;0,V260&lt;&gt;""),H260*I260),V260*(1-W260))</f>
        <v/>
      </c>
    </row>
    <row r="261" spans="6:24" x14ac:dyDescent="0.25">
      <c r="F261" s="116" t="str">
        <f t="shared" si="16"/>
        <v/>
      </c>
      <c r="G261" t="str">
        <f>IF(B261="","",INDEX(SF_Output!$K$1:$K$400,MATCH(B261,SF_Output!$M$1:$M$400,0)))</f>
        <v/>
      </c>
      <c r="H261" t="str" cm="1">
        <f t="array" ref="H261">_xlfn.IFS(B261="","",(SUMIFS(SF_Output!$F$1:$F$400,SF_Output!$AC$1:$AC$400,_xlfn.TEXTJOIN(",",TRUE,B261:E261))+SUMIFS(SF_Output!$G$1:$G$400,SF_Output!$AC$1:$AC$400,_xlfn.TEXTJOIN(",",TRUE,B261:E261)))&lt;&gt;0,SF_Output!$Y$2,INDEX(SF_Output!$F$1:$F$400,MATCH(_xlfn.TEXTJOIN(",",TRUE,B261:E261),SF_Output!$AC$1:$AC$400,0))=0,INDEX(SF_Output!$R$1:$R$400,MATCH(_xlfn.TEXTJOIN(",",TRUE,B261:E261),SF_Output!$AC$1:$AC$400,0)))</f>
        <v/>
      </c>
      <c r="I261" s="125" t="str">
        <f>IFERROR(IF(AND(H261&gt;1,H261&lt;&gt;""),ROUND(SUMIFS(SF_Output!$S$1:$S$400,SF_Output!$AC$1:$AC$400,_xlfn.TEXTJOIN(",",TRUE,B261:E261),SF_Output!$Q$1:$Q$400,"monthly")*(1-W261)/H261,4),""),"")</f>
        <v/>
      </c>
      <c r="J261" s="6" t="str">
        <f>IF(B261="","",SUMIFS(SF_Output!$S$1:$S$400,SF_Output!$AC$1:$AC$400,_xlfn.TEXTJOIN(",",TRUE,B261:E261),SF_Output!$Q$1:$Q$400,"One Time",SF_Output!$L$1:$L$400,"license fee")+SUMIFS(SF_Output!$S$1:$S$400,SF_Output!$AC$1:$AC$400,_xlfn.TEXTJOIN(",",TRUE,B261:E261),SF_Output!$Q$1:$Q$400,"One Time",SF_Output!$L$1:$L$400,"software license")+SUMIFS(SF_Output!$S$1:$S$400,SF_Output!$AC$1:$AC$400,_xlfn.TEXTJOIN(",",TRUE,B261:E261),SF_Output!$Q$1:$Q$400,"One Time",SF_Output!$L$1:$L$400,"hardware"))</f>
        <v/>
      </c>
      <c r="K261" s="112" t="str">
        <f>IF(OR(B261=0,B261="",G261="hardware",J261=0),"",IF(AF261&lt;&gt;"exclusion",MAX(K$9,-((SUMIFS(SF_Output!$T$1:$T$400,SF_Output!$AC$1:$AC$400,_xlfn.TEXTJOIN(",",TRUE,$B261:$E261),SF_Output!$Q$1:$Q$400,"One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license"))/J261)),-((SUMIFS(SF_Output!$T$1:$T$400,SF_Output!$AC$1:$AC$400,_xlfn.TEXTJOIN(",",TRUE,$B261:$E261),SF_Output!$Q$1:$Q$400,"One Time",SF_Output!$L$1:$L$400,"license fee")+SUMIFS(SF_Output!$T$1:$T$400,SF_Output!$AC$1:$AC$400,_xlfn.TEXTJOIN(",",TRUE,$B261:$E261),SF_Output!$Q$1:$Q$400,"One Time",SF_Output!$L$1:$L$400,"software license"))/J261)))</f>
        <v/>
      </c>
      <c r="L261" s="6" t="str">
        <f t="shared" si="17"/>
        <v/>
      </c>
      <c r="N261" s="6" t="str">
        <f>IF(B261="","",SUMIFS(SF_Output!$S$1:$S$400,SF_Output!$AC$1:$AC$400,_xlfn.TEXTJOIN(",",TRUE,B261:E261),SF_Output!$Q$1:$Q$400,"One Time",SF_Output!$L$1:$L$400,"professional service"))</f>
        <v/>
      </c>
      <c r="O261" s="112" t="str">
        <f>IF(OR(B261=0,B261="",N261=0),"",IF(AF261&lt;&gt;"exclusion",MAX(O$9,-(SUMIFS(SF_Output!$T$1:$T$400,SF_Output!$AC$1:$AC$400,_xlfn.TEXTJOIN(",",TRUE,$B261:$E261),SF_Output!$Q$1:$Q$400,"One Time",SF_Output!$L$1:$L$400,"professional service"))/N261),-((SUMIFS(SF_Output!$T$1:$T$400,SF_Output!$AC$1:$AC$400,_xlfn.TEXTJOIN(",",TRUE,$B261:$E261),SF_Output!$Q$1:$Q$400,"One Time",SF_Output!$L$1:$L$400,"professional service")/N261))))</f>
        <v/>
      </c>
      <c r="P261" s="6" t="str">
        <f t="shared" si="18"/>
        <v/>
      </c>
      <c r="R261" s="6" t="str">
        <f>IF(B261="","",SUMIFS(SF_Output!$S$1:$S$400,SF_Output!$AC$1:$AC$400,_xlfn.TEXTJOIN(",",TRUE,B261:E261),SF_Output!$Q$1:$Q$400,"yearly")+SUMIFS(SF_Output!$S$1:$S$400,SF_Output!$AC$1:$AC$400,_xlfn.TEXTJOIN(",",TRUE,B261:E261),SF_Output!$Q$1:$Q$400,"quarterly")*4)</f>
        <v/>
      </c>
      <c r="S261" s="112" t="str">
        <f>IF(OR(B261=0,B261="",G261="hardware",R261=0),"",IF(AF261&lt;&gt;"exclusion",MAX(S$9,-(SUMIFS(SF_Output!$T$1:$T$400,SF_Output!$AC$1:$AC$400,_xlfn.TEXTJOIN(",",TRUE,$B261:$E261),SF_Output!$Q$1:$Q$400,"yearly"))/R261),-((SUMIFS(SF_Output!$T$1:$T$400,SF_Output!$AC$1:$AC$400,_xlfn.TEXTJOIN(",",TRUE,$B261:$E261),SF_Output!$Q$1:$Q$400,"yearly")/R261))))</f>
        <v/>
      </c>
      <c r="T261" s="6" t="str">
        <f t="shared" si="19"/>
        <v/>
      </c>
      <c r="V261" s="6" t="str" cm="1">
        <f t="array" ref="V261">_xlfn.IFS(B261="","",AND(B261&lt;&gt;"",H261=SF_Output!$Y$2,SUMIFS(SF_Output!$T$1:$T$400,SF_Output!$AC$1:$AC$400,_xlfn.TEXTJOIN(",",TRUE,B261:E261),SF_Output!$Q$1:$Q$400,"monthly")=0),(SUMIFS(SF_Output!$F$1:$F$400,SF_Output!$AC$1:$AC$400,_xlfn.TEXTJOIN(",",TRUE,B261:E261),SF_Output!$Q$1:$Q$400,"monthly")+SUMIFS(SF_Output!$G$1:$G$400,SF_Output!$AC$1:$AC$400,_xlfn.TEXTJOIN(",",TRUE,B261:E261),SF_Output!$Q$1:$Q$400,"monthly"))*H261,AND(B261&lt;&gt;"",H261=SF_Output!$Y$2,SUMIFS(SF_Output!$T$1:$T$400,SF_Output!$AC$1:$AC$400,_xlfn.TEXTJOIN(",",TRUE,B261:E261),SF_Output!$Q$1:$Q$400,"monthly")&lt;&gt;0),SUMIFS(SF_Output!$S$1:$S$400,SF_Output!$AC$1:$AC$400,_xlfn.TEXTJOIN(",",TRUE,B261:E261),SF_Output!$Q$1:$Q$400,"monthly"),AND(B261&lt;&gt;"",H261&lt;&gt;SF_Output!$Y$2),SUMIFS(SF_Output!$S$1:$S$400,SF_Output!$AC$1:$AC$400,_xlfn.TEXTJOIN(",",TRUE,B261:E261),SF_Output!$Q$1:$Q$400,"monthly"))</f>
        <v/>
      </c>
      <c r="W261" s="112" t="str" cm="1">
        <f t="array" ref="W261">_xlfn.IFS(OR(B261=0,B261="",V261=0),"",AF261&lt;&gt;"exclusion",MAX($W$9,$W$7,(-(SUMIFS(SF_Output!$T$1:$T$400,SF_Output!$AC$1:$AC$400,_xlfn.TEXTJOIN(",",TRUE,$B261:$E261),SF_Output!$Q$1:$Q$400,"monthly"))/V261)),AF261="exclusion",-(SUMIFS(SF_Output!$T$1:$T$400,SF_Output!$AC$1:$AC$400,_xlfn.TEXTJOIN(",",TRUE,$B261:$E261),SF_Output!$Q$1:$Q$400,"monthly"))/V261)</f>
        <v/>
      </c>
      <c r="X261" s="6" t="str" cm="1">
        <f t="array" ref="X261">IFERROR(_xlfn.IFS(V261=0,0,V261="","",W261=0,V261,OR(V261&lt;&gt;0,V261&lt;&gt;""),H261*I261),V261*(1-W261))</f>
        <v/>
      </c>
    </row>
    <row r="262" spans="6:24" x14ac:dyDescent="0.25">
      <c r="F262" s="116" t="str">
        <f t="shared" si="16"/>
        <v/>
      </c>
      <c r="G262" t="str">
        <f>IF(B262="","",INDEX(SF_Output!$K$1:$K$400,MATCH(B262,SF_Output!$M$1:$M$400,0)))</f>
        <v/>
      </c>
      <c r="H262" t="str" cm="1">
        <f t="array" ref="H262">_xlfn.IFS(B262="","",(SUMIFS(SF_Output!$F$1:$F$400,SF_Output!$AC$1:$AC$400,_xlfn.TEXTJOIN(",",TRUE,B262:E262))+SUMIFS(SF_Output!$G$1:$G$400,SF_Output!$AC$1:$AC$400,_xlfn.TEXTJOIN(",",TRUE,B262:E262)))&lt;&gt;0,SF_Output!$Y$2,INDEX(SF_Output!$F$1:$F$400,MATCH(_xlfn.TEXTJOIN(",",TRUE,B262:E262),SF_Output!$AC$1:$AC$400,0))=0,INDEX(SF_Output!$R$1:$R$400,MATCH(_xlfn.TEXTJOIN(",",TRUE,B262:E262),SF_Output!$AC$1:$AC$400,0)))</f>
        <v/>
      </c>
      <c r="I262" s="125" t="str">
        <f>IFERROR(IF(AND(H262&gt;1,H262&lt;&gt;""),ROUND(SUMIFS(SF_Output!$S$1:$S$400,SF_Output!$AC$1:$AC$400,_xlfn.TEXTJOIN(",",TRUE,B262:E262),SF_Output!$Q$1:$Q$400,"monthly")*(1-W262)/H262,4),""),"")</f>
        <v/>
      </c>
      <c r="J262" s="6" t="str">
        <f>IF(B262="","",SUMIFS(SF_Output!$S$1:$S$400,SF_Output!$AC$1:$AC$400,_xlfn.TEXTJOIN(",",TRUE,B262:E262),SF_Output!$Q$1:$Q$400,"One Time",SF_Output!$L$1:$L$400,"license fee")+SUMIFS(SF_Output!$S$1:$S$400,SF_Output!$AC$1:$AC$400,_xlfn.TEXTJOIN(",",TRUE,B262:E262),SF_Output!$Q$1:$Q$400,"One Time",SF_Output!$L$1:$L$400,"software license")+SUMIFS(SF_Output!$S$1:$S$400,SF_Output!$AC$1:$AC$400,_xlfn.TEXTJOIN(",",TRUE,B262:E262),SF_Output!$Q$1:$Q$400,"One Time",SF_Output!$L$1:$L$400,"hardware"))</f>
        <v/>
      </c>
      <c r="K262" s="112" t="str">
        <f>IF(OR(B262=0,B262="",G262="hardware",J262=0),"",IF(AF262&lt;&gt;"exclusion",MAX(K$9,-((SUMIFS(SF_Output!$T$1:$T$400,SF_Output!$AC$1:$AC$400,_xlfn.TEXTJOIN(",",TRUE,$B262:$E262),SF_Output!$Q$1:$Q$400,"One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license"))/J262)),-((SUMIFS(SF_Output!$T$1:$T$400,SF_Output!$AC$1:$AC$400,_xlfn.TEXTJOIN(",",TRUE,$B262:$E262),SF_Output!$Q$1:$Q$400,"One Time",SF_Output!$L$1:$L$400,"license fee")+SUMIFS(SF_Output!$T$1:$T$400,SF_Output!$AC$1:$AC$400,_xlfn.TEXTJOIN(",",TRUE,$B262:$E262),SF_Output!$Q$1:$Q$400,"One Time",SF_Output!$L$1:$L$400,"software license"))/J262)))</f>
        <v/>
      </c>
      <c r="L262" s="6" t="str">
        <f t="shared" si="17"/>
        <v/>
      </c>
      <c r="N262" s="6" t="str">
        <f>IF(B262="","",SUMIFS(SF_Output!$S$1:$S$400,SF_Output!$AC$1:$AC$400,_xlfn.TEXTJOIN(",",TRUE,B262:E262),SF_Output!$Q$1:$Q$400,"One Time",SF_Output!$L$1:$L$400,"professional service"))</f>
        <v/>
      </c>
      <c r="O262" s="112" t="str">
        <f>IF(OR(B262=0,B262="",N262=0),"",IF(AF262&lt;&gt;"exclusion",MAX(O$9,-(SUMIFS(SF_Output!$T$1:$T$400,SF_Output!$AC$1:$AC$400,_xlfn.TEXTJOIN(",",TRUE,$B262:$E262),SF_Output!$Q$1:$Q$400,"One Time",SF_Output!$L$1:$L$400,"professional service"))/N262),-((SUMIFS(SF_Output!$T$1:$T$400,SF_Output!$AC$1:$AC$400,_xlfn.TEXTJOIN(",",TRUE,$B262:$E262),SF_Output!$Q$1:$Q$400,"One Time",SF_Output!$L$1:$L$400,"professional service")/N262))))</f>
        <v/>
      </c>
      <c r="P262" s="6" t="str">
        <f t="shared" si="18"/>
        <v/>
      </c>
      <c r="R262" s="6" t="str">
        <f>IF(B262="","",SUMIFS(SF_Output!$S$1:$S$400,SF_Output!$AC$1:$AC$400,_xlfn.TEXTJOIN(",",TRUE,B262:E262),SF_Output!$Q$1:$Q$400,"yearly")+SUMIFS(SF_Output!$S$1:$S$400,SF_Output!$AC$1:$AC$400,_xlfn.TEXTJOIN(",",TRUE,B262:E262),SF_Output!$Q$1:$Q$400,"quarterly")*4)</f>
        <v/>
      </c>
      <c r="S262" s="112" t="str">
        <f>IF(OR(B262=0,B262="",G262="hardware",R262=0),"",IF(AF262&lt;&gt;"exclusion",MAX(S$9,-(SUMIFS(SF_Output!$T$1:$T$400,SF_Output!$AC$1:$AC$400,_xlfn.TEXTJOIN(",",TRUE,$B262:$E262),SF_Output!$Q$1:$Q$400,"yearly"))/R262),-((SUMIFS(SF_Output!$T$1:$T$400,SF_Output!$AC$1:$AC$400,_xlfn.TEXTJOIN(",",TRUE,$B262:$E262),SF_Output!$Q$1:$Q$400,"yearly")/R262))))</f>
        <v/>
      </c>
      <c r="T262" s="6" t="str">
        <f t="shared" si="19"/>
        <v/>
      </c>
      <c r="V262" s="6" t="str" cm="1">
        <f t="array" ref="V262">_xlfn.IFS(B262="","",AND(B262&lt;&gt;"",H262=SF_Output!$Y$2,SUMIFS(SF_Output!$T$1:$T$400,SF_Output!$AC$1:$AC$400,_xlfn.TEXTJOIN(",",TRUE,B262:E262),SF_Output!$Q$1:$Q$400,"monthly")=0),(SUMIFS(SF_Output!$F$1:$F$400,SF_Output!$AC$1:$AC$400,_xlfn.TEXTJOIN(",",TRUE,B262:E262),SF_Output!$Q$1:$Q$400,"monthly")+SUMIFS(SF_Output!$G$1:$G$400,SF_Output!$AC$1:$AC$400,_xlfn.TEXTJOIN(",",TRUE,B262:E262),SF_Output!$Q$1:$Q$400,"monthly"))*H262,AND(B262&lt;&gt;"",H262=SF_Output!$Y$2,SUMIFS(SF_Output!$T$1:$T$400,SF_Output!$AC$1:$AC$400,_xlfn.TEXTJOIN(",",TRUE,B262:E262),SF_Output!$Q$1:$Q$400,"monthly")&lt;&gt;0),SUMIFS(SF_Output!$S$1:$S$400,SF_Output!$AC$1:$AC$400,_xlfn.TEXTJOIN(",",TRUE,B262:E262),SF_Output!$Q$1:$Q$400,"monthly"),AND(B262&lt;&gt;"",H262&lt;&gt;SF_Output!$Y$2),SUMIFS(SF_Output!$S$1:$S$400,SF_Output!$AC$1:$AC$400,_xlfn.TEXTJOIN(",",TRUE,B262:E262),SF_Output!$Q$1:$Q$400,"monthly"))</f>
        <v/>
      </c>
      <c r="W262" s="112" t="str" cm="1">
        <f t="array" ref="W262">_xlfn.IFS(OR(B262=0,B262="",V262=0),"",AF262&lt;&gt;"exclusion",MAX($W$9,$W$7,(-(SUMIFS(SF_Output!$T$1:$T$400,SF_Output!$AC$1:$AC$400,_xlfn.TEXTJOIN(",",TRUE,$B262:$E262),SF_Output!$Q$1:$Q$400,"monthly"))/V262)),AF262="exclusion",-(SUMIFS(SF_Output!$T$1:$T$400,SF_Output!$AC$1:$AC$400,_xlfn.TEXTJOIN(",",TRUE,$B262:$E262),SF_Output!$Q$1:$Q$400,"monthly"))/V262)</f>
        <v/>
      </c>
      <c r="X262" s="6" t="str" cm="1">
        <f t="array" ref="X262">IFERROR(_xlfn.IFS(V262=0,0,V262="","",W262=0,V262,OR(V262&lt;&gt;0,V262&lt;&gt;""),H262*I262),V262*(1-W262))</f>
        <v/>
      </c>
    </row>
    <row r="263" spans="6:24" x14ac:dyDescent="0.25">
      <c r="F263" s="116" t="str">
        <f t="shared" si="16"/>
        <v/>
      </c>
      <c r="G263" t="str">
        <f>IF(B263="","",INDEX(SF_Output!$K$1:$K$400,MATCH(B263,SF_Output!$M$1:$M$400,0)))</f>
        <v/>
      </c>
      <c r="H263" t="str" cm="1">
        <f t="array" ref="H263">_xlfn.IFS(B263="","",(SUMIFS(SF_Output!$F$1:$F$400,SF_Output!$AC$1:$AC$400,_xlfn.TEXTJOIN(",",TRUE,B263:E263))+SUMIFS(SF_Output!$G$1:$G$400,SF_Output!$AC$1:$AC$400,_xlfn.TEXTJOIN(",",TRUE,B263:E263)))&lt;&gt;0,SF_Output!$Y$2,INDEX(SF_Output!$F$1:$F$400,MATCH(_xlfn.TEXTJOIN(",",TRUE,B263:E263),SF_Output!$AC$1:$AC$400,0))=0,INDEX(SF_Output!$R$1:$R$400,MATCH(_xlfn.TEXTJOIN(",",TRUE,B263:E263),SF_Output!$AC$1:$AC$400,0)))</f>
        <v/>
      </c>
      <c r="I263" s="125" t="str">
        <f>IFERROR(IF(AND(H263&gt;1,H263&lt;&gt;""),ROUND(SUMIFS(SF_Output!$S$1:$S$400,SF_Output!$AC$1:$AC$400,_xlfn.TEXTJOIN(",",TRUE,B263:E263),SF_Output!$Q$1:$Q$400,"monthly")*(1-W263)/H263,4),""),"")</f>
        <v/>
      </c>
      <c r="J263" s="6" t="str">
        <f>IF(B263="","",SUMIFS(SF_Output!$S$1:$S$400,SF_Output!$AC$1:$AC$400,_xlfn.TEXTJOIN(",",TRUE,B263:E263),SF_Output!$Q$1:$Q$400,"One Time",SF_Output!$L$1:$L$400,"license fee")+SUMIFS(SF_Output!$S$1:$S$400,SF_Output!$AC$1:$AC$400,_xlfn.TEXTJOIN(",",TRUE,B263:E263),SF_Output!$Q$1:$Q$400,"One Time",SF_Output!$L$1:$L$400,"software license")+SUMIFS(SF_Output!$S$1:$S$400,SF_Output!$AC$1:$AC$400,_xlfn.TEXTJOIN(",",TRUE,B263:E263),SF_Output!$Q$1:$Q$400,"One Time",SF_Output!$L$1:$L$400,"hardware"))</f>
        <v/>
      </c>
      <c r="K263" s="112" t="str">
        <f>IF(OR(B263=0,B263="",G263="hardware",J263=0),"",IF(AF263&lt;&gt;"exclusion",MAX(K$9,-((SUMIFS(SF_Output!$T$1:$T$400,SF_Output!$AC$1:$AC$400,_xlfn.TEXTJOIN(",",TRUE,$B263:$E263),SF_Output!$Q$1:$Q$400,"One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license"))/J263)),-((SUMIFS(SF_Output!$T$1:$T$400,SF_Output!$AC$1:$AC$400,_xlfn.TEXTJOIN(",",TRUE,$B263:$E263),SF_Output!$Q$1:$Q$400,"One Time",SF_Output!$L$1:$L$400,"license fee")+SUMIFS(SF_Output!$T$1:$T$400,SF_Output!$AC$1:$AC$400,_xlfn.TEXTJOIN(",",TRUE,$B263:$E263),SF_Output!$Q$1:$Q$400,"One Time",SF_Output!$L$1:$L$400,"software license"))/J263)))</f>
        <v/>
      </c>
      <c r="L263" s="6" t="str">
        <f t="shared" si="17"/>
        <v/>
      </c>
      <c r="N263" s="6" t="str">
        <f>IF(B263="","",SUMIFS(SF_Output!$S$1:$S$400,SF_Output!$AC$1:$AC$400,_xlfn.TEXTJOIN(",",TRUE,B263:E263),SF_Output!$Q$1:$Q$400,"One Time",SF_Output!$L$1:$L$400,"professional service"))</f>
        <v/>
      </c>
      <c r="O263" s="112" t="str">
        <f>IF(OR(B263=0,B263="",N263=0),"",IF(AF263&lt;&gt;"exclusion",MAX(O$9,-(SUMIFS(SF_Output!$T$1:$T$400,SF_Output!$AC$1:$AC$400,_xlfn.TEXTJOIN(",",TRUE,$B263:$E263),SF_Output!$Q$1:$Q$400,"One Time",SF_Output!$L$1:$L$400,"professional service"))/N263),-((SUMIFS(SF_Output!$T$1:$T$400,SF_Output!$AC$1:$AC$400,_xlfn.TEXTJOIN(",",TRUE,$B263:$E263),SF_Output!$Q$1:$Q$400,"One Time",SF_Output!$L$1:$L$400,"professional service")/N263))))</f>
        <v/>
      </c>
      <c r="P263" s="6" t="str">
        <f t="shared" si="18"/>
        <v/>
      </c>
      <c r="R263" s="6" t="str">
        <f>IF(B263="","",SUMIFS(SF_Output!$S$1:$S$400,SF_Output!$AC$1:$AC$400,_xlfn.TEXTJOIN(",",TRUE,B263:E263),SF_Output!$Q$1:$Q$400,"yearly")+SUMIFS(SF_Output!$S$1:$S$400,SF_Output!$AC$1:$AC$400,_xlfn.TEXTJOIN(",",TRUE,B263:E263),SF_Output!$Q$1:$Q$400,"quarterly")*4)</f>
        <v/>
      </c>
      <c r="S263" s="112" t="str">
        <f>IF(OR(B263=0,B263="",G263="hardware",R263=0),"",IF(AF263&lt;&gt;"exclusion",MAX(S$9,-(SUMIFS(SF_Output!$T$1:$T$400,SF_Output!$AC$1:$AC$400,_xlfn.TEXTJOIN(",",TRUE,$B263:$E263),SF_Output!$Q$1:$Q$400,"yearly"))/R263),-((SUMIFS(SF_Output!$T$1:$T$400,SF_Output!$AC$1:$AC$400,_xlfn.TEXTJOIN(",",TRUE,$B263:$E263),SF_Output!$Q$1:$Q$400,"yearly")/R263))))</f>
        <v/>
      </c>
      <c r="T263" s="6" t="str">
        <f t="shared" si="19"/>
        <v/>
      </c>
      <c r="V263" s="6" t="str" cm="1">
        <f t="array" ref="V263">_xlfn.IFS(B263="","",AND(B263&lt;&gt;"",H263=SF_Output!$Y$2,SUMIFS(SF_Output!$T$1:$T$400,SF_Output!$AC$1:$AC$400,_xlfn.TEXTJOIN(",",TRUE,B263:E263),SF_Output!$Q$1:$Q$400,"monthly")=0),(SUMIFS(SF_Output!$F$1:$F$400,SF_Output!$AC$1:$AC$400,_xlfn.TEXTJOIN(",",TRUE,B263:E263),SF_Output!$Q$1:$Q$400,"monthly")+SUMIFS(SF_Output!$G$1:$G$400,SF_Output!$AC$1:$AC$400,_xlfn.TEXTJOIN(",",TRUE,B263:E263),SF_Output!$Q$1:$Q$400,"monthly"))*H263,AND(B263&lt;&gt;"",H263=SF_Output!$Y$2,SUMIFS(SF_Output!$T$1:$T$400,SF_Output!$AC$1:$AC$400,_xlfn.TEXTJOIN(",",TRUE,B263:E263),SF_Output!$Q$1:$Q$400,"monthly")&lt;&gt;0),SUMIFS(SF_Output!$S$1:$S$400,SF_Output!$AC$1:$AC$400,_xlfn.TEXTJOIN(",",TRUE,B263:E263),SF_Output!$Q$1:$Q$400,"monthly"),AND(B263&lt;&gt;"",H263&lt;&gt;SF_Output!$Y$2),SUMIFS(SF_Output!$S$1:$S$400,SF_Output!$AC$1:$AC$400,_xlfn.TEXTJOIN(",",TRUE,B263:E263),SF_Output!$Q$1:$Q$400,"monthly"))</f>
        <v/>
      </c>
      <c r="W263" s="112" t="str" cm="1">
        <f t="array" ref="W263">_xlfn.IFS(OR(B263=0,B263="",V263=0),"",AF263&lt;&gt;"exclusion",MAX($W$9,$W$7,(-(SUMIFS(SF_Output!$T$1:$T$400,SF_Output!$AC$1:$AC$400,_xlfn.TEXTJOIN(",",TRUE,$B263:$E263),SF_Output!$Q$1:$Q$400,"monthly"))/V263)),AF263="exclusion",-(SUMIFS(SF_Output!$T$1:$T$400,SF_Output!$AC$1:$AC$400,_xlfn.TEXTJOIN(",",TRUE,$B263:$E263),SF_Output!$Q$1:$Q$400,"monthly"))/V263)</f>
        <v/>
      </c>
      <c r="X263" s="6" t="str" cm="1">
        <f t="array" ref="X263">IFERROR(_xlfn.IFS(V263=0,0,V263="","",W263=0,V263,OR(V263&lt;&gt;0,V263&lt;&gt;""),H263*I263),V263*(1-W263))</f>
        <v/>
      </c>
    </row>
    <row r="264" spans="6:24" x14ac:dyDescent="0.25">
      <c r="F264" s="116" t="str">
        <f t="shared" si="16"/>
        <v/>
      </c>
      <c r="G264" t="str">
        <f>IF(B264="","",INDEX(SF_Output!$K$1:$K$400,MATCH(B264,SF_Output!$M$1:$M$400,0)))</f>
        <v/>
      </c>
      <c r="H264" t="str" cm="1">
        <f t="array" ref="H264">_xlfn.IFS(B264="","",(SUMIFS(SF_Output!$F$1:$F$400,SF_Output!$AC$1:$AC$400,_xlfn.TEXTJOIN(",",TRUE,B264:E264))+SUMIFS(SF_Output!$G$1:$G$400,SF_Output!$AC$1:$AC$400,_xlfn.TEXTJOIN(",",TRUE,B264:E264)))&lt;&gt;0,SF_Output!$Y$2,INDEX(SF_Output!$F$1:$F$400,MATCH(_xlfn.TEXTJOIN(",",TRUE,B264:E264),SF_Output!$AC$1:$AC$400,0))=0,INDEX(SF_Output!$R$1:$R$400,MATCH(_xlfn.TEXTJOIN(",",TRUE,B264:E264),SF_Output!$AC$1:$AC$400,0)))</f>
        <v/>
      </c>
      <c r="I264" s="125" t="str">
        <f>IFERROR(IF(AND(H264&gt;1,H264&lt;&gt;""),ROUND(SUMIFS(SF_Output!$S$1:$S$400,SF_Output!$AC$1:$AC$400,_xlfn.TEXTJOIN(",",TRUE,B264:E264),SF_Output!$Q$1:$Q$400,"monthly")*(1-W264)/H264,4),""),"")</f>
        <v/>
      </c>
      <c r="J264" s="6" t="str">
        <f>IF(B264="","",SUMIFS(SF_Output!$S$1:$S$400,SF_Output!$AC$1:$AC$400,_xlfn.TEXTJOIN(",",TRUE,B264:E264),SF_Output!$Q$1:$Q$400,"One Time",SF_Output!$L$1:$L$400,"license fee")+SUMIFS(SF_Output!$S$1:$S$400,SF_Output!$AC$1:$AC$400,_xlfn.TEXTJOIN(",",TRUE,B264:E264),SF_Output!$Q$1:$Q$400,"One Time",SF_Output!$L$1:$L$400,"software license")+SUMIFS(SF_Output!$S$1:$S$400,SF_Output!$AC$1:$AC$400,_xlfn.TEXTJOIN(",",TRUE,B264:E264),SF_Output!$Q$1:$Q$400,"One Time",SF_Output!$L$1:$L$400,"hardware"))</f>
        <v/>
      </c>
      <c r="K264" s="112" t="str">
        <f>IF(OR(B264=0,B264="",G264="hardware",J264=0),"",IF(AF264&lt;&gt;"exclusion",MAX(K$9,-((SUMIFS(SF_Output!$T$1:$T$400,SF_Output!$AC$1:$AC$400,_xlfn.TEXTJOIN(",",TRUE,$B264:$E264),SF_Output!$Q$1:$Q$400,"One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license"))/J264)),-((SUMIFS(SF_Output!$T$1:$T$400,SF_Output!$AC$1:$AC$400,_xlfn.TEXTJOIN(",",TRUE,$B264:$E264),SF_Output!$Q$1:$Q$400,"One Time",SF_Output!$L$1:$L$400,"license fee")+SUMIFS(SF_Output!$T$1:$T$400,SF_Output!$AC$1:$AC$400,_xlfn.TEXTJOIN(",",TRUE,$B264:$E264),SF_Output!$Q$1:$Q$400,"One Time",SF_Output!$L$1:$L$400,"software license"))/J264)))</f>
        <v/>
      </c>
      <c r="L264" s="6" t="str">
        <f t="shared" si="17"/>
        <v/>
      </c>
      <c r="N264" s="6" t="str">
        <f>IF(B264="","",SUMIFS(SF_Output!$S$1:$S$400,SF_Output!$AC$1:$AC$400,_xlfn.TEXTJOIN(",",TRUE,B264:E264),SF_Output!$Q$1:$Q$400,"One Time",SF_Output!$L$1:$L$400,"professional service"))</f>
        <v/>
      </c>
      <c r="O264" s="112" t="str">
        <f>IF(OR(B264=0,B264="",N264=0),"",IF(AF264&lt;&gt;"exclusion",MAX(O$9,-(SUMIFS(SF_Output!$T$1:$T$400,SF_Output!$AC$1:$AC$400,_xlfn.TEXTJOIN(",",TRUE,$B264:$E264),SF_Output!$Q$1:$Q$400,"One Time",SF_Output!$L$1:$L$400,"professional service"))/N264),-((SUMIFS(SF_Output!$T$1:$T$400,SF_Output!$AC$1:$AC$400,_xlfn.TEXTJOIN(",",TRUE,$B264:$E264),SF_Output!$Q$1:$Q$400,"One Time",SF_Output!$L$1:$L$400,"professional service")/N264))))</f>
        <v/>
      </c>
      <c r="P264" s="6" t="str">
        <f t="shared" si="18"/>
        <v/>
      </c>
      <c r="R264" s="6" t="str">
        <f>IF(B264="","",SUMIFS(SF_Output!$S$1:$S$400,SF_Output!$AC$1:$AC$400,_xlfn.TEXTJOIN(",",TRUE,B264:E264),SF_Output!$Q$1:$Q$400,"yearly")+SUMIFS(SF_Output!$S$1:$S$400,SF_Output!$AC$1:$AC$400,_xlfn.TEXTJOIN(",",TRUE,B264:E264),SF_Output!$Q$1:$Q$400,"quarterly")*4)</f>
        <v/>
      </c>
      <c r="S264" s="112" t="str">
        <f>IF(OR(B264=0,B264="",G264="hardware",R264=0),"",IF(AF264&lt;&gt;"exclusion",MAX(S$9,-(SUMIFS(SF_Output!$T$1:$T$400,SF_Output!$AC$1:$AC$400,_xlfn.TEXTJOIN(",",TRUE,$B264:$E264),SF_Output!$Q$1:$Q$400,"yearly"))/R264),-((SUMIFS(SF_Output!$T$1:$T$400,SF_Output!$AC$1:$AC$400,_xlfn.TEXTJOIN(",",TRUE,$B264:$E264),SF_Output!$Q$1:$Q$400,"yearly")/R264))))</f>
        <v/>
      </c>
      <c r="T264" s="6" t="str">
        <f t="shared" si="19"/>
        <v/>
      </c>
      <c r="V264" s="6" t="str" cm="1">
        <f t="array" ref="V264">_xlfn.IFS(B264="","",AND(B264&lt;&gt;"",H264=SF_Output!$Y$2,SUMIFS(SF_Output!$T$1:$T$400,SF_Output!$AC$1:$AC$400,_xlfn.TEXTJOIN(",",TRUE,B264:E264),SF_Output!$Q$1:$Q$400,"monthly")=0),(SUMIFS(SF_Output!$F$1:$F$400,SF_Output!$AC$1:$AC$400,_xlfn.TEXTJOIN(",",TRUE,B264:E264),SF_Output!$Q$1:$Q$400,"monthly")+SUMIFS(SF_Output!$G$1:$G$400,SF_Output!$AC$1:$AC$400,_xlfn.TEXTJOIN(",",TRUE,B264:E264),SF_Output!$Q$1:$Q$400,"monthly"))*H264,AND(B264&lt;&gt;"",H264=SF_Output!$Y$2,SUMIFS(SF_Output!$T$1:$T$400,SF_Output!$AC$1:$AC$400,_xlfn.TEXTJOIN(",",TRUE,B264:E264),SF_Output!$Q$1:$Q$400,"monthly")&lt;&gt;0),SUMIFS(SF_Output!$S$1:$S$400,SF_Output!$AC$1:$AC$400,_xlfn.TEXTJOIN(",",TRUE,B264:E264),SF_Output!$Q$1:$Q$400,"monthly"),AND(B264&lt;&gt;"",H264&lt;&gt;SF_Output!$Y$2),SUMIFS(SF_Output!$S$1:$S$400,SF_Output!$AC$1:$AC$400,_xlfn.TEXTJOIN(",",TRUE,B264:E264),SF_Output!$Q$1:$Q$400,"monthly"))</f>
        <v/>
      </c>
      <c r="W264" s="112" t="str" cm="1">
        <f t="array" ref="W264">_xlfn.IFS(OR(B264=0,B264="",V264=0),"",AF264&lt;&gt;"exclusion",MAX($W$9,$W$7,(-(SUMIFS(SF_Output!$T$1:$T$400,SF_Output!$AC$1:$AC$400,_xlfn.TEXTJOIN(",",TRUE,$B264:$E264),SF_Output!$Q$1:$Q$400,"monthly"))/V264)),AF264="exclusion",-(SUMIFS(SF_Output!$T$1:$T$400,SF_Output!$AC$1:$AC$400,_xlfn.TEXTJOIN(",",TRUE,$B264:$E264),SF_Output!$Q$1:$Q$400,"monthly"))/V264)</f>
        <v/>
      </c>
      <c r="X264" s="6" t="str" cm="1">
        <f t="array" ref="X264">IFERROR(_xlfn.IFS(V264=0,0,V264="","",W264=0,V264,OR(V264&lt;&gt;0,V264&lt;&gt;""),H264*I264),V264*(1-W264))</f>
        <v/>
      </c>
    </row>
    <row r="265" spans="6:24" x14ac:dyDescent="0.25">
      <c r="F265" s="116" t="str">
        <f t="shared" si="16"/>
        <v/>
      </c>
      <c r="G265" t="str">
        <f>IF(B265="","",INDEX(SF_Output!$K$1:$K$400,MATCH(B265,SF_Output!$M$1:$M$400,0)))</f>
        <v/>
      </c>
      <c r="H265" t="str" cm="1">
        <f t="array" ref="H265">_xlfn.IFS(B265="","",(SUMIFS(SF_Output!$F$1:$F$400,SF_Output!$AC$1:$AC$400,_xlfn.TEXTJOIN(",",TRUE,B265:E265))+SUMIFS(SF_Output!$G$1:$G$400,SF_Output!$AC$1:$AC$400,_xlfn.TEXTJOIN(",",TRUE,B265:E265)))&lt;&gt;0,SF_Output!$Y$2,INDEX(SF_Output!$F$1:$F$400,MATCH(_xlfn.TEXTJOIN(",",TRUE,B265:E265),SF_Output!$AC$1:$AC$400,0))=0,INDEX(SF_Output!$R$1:$R$400,MATCH(_xlfn.TEXTJOIN(",",TRUE,B265:E265),SF_Output!$AC$1:$AC$400,0)))</f>
        <v/>
      </c>
      <c r="I265" s="125" t="str">
        <f>IFERROR(IF(AND(H265&gt;1,H265&lt;&gt;""),ROUND(SUMIFS(SF_Output!$S$1:$S$400,SF_Output!$AC$1:$AC$400,_xlfn.TEXTJOIN(",",TRUE,B265:E265),SF_Output!$Q$1:$Q$400,"monthly")*(1-W265)/H265,4),""),"")</f>
        <v/>
      </c>
      <c r="J265" s="6" t="str">
        <f>IF(B265="","",SUMIFS(SF_Output!$S$1:$S$400,SF_Output!$AC$1:$AC$400,_xlfn.TEXTJOIN(",",TRUE,B265:E265),SF_Output!$Q$1:$Q$400,"One Time",SF_Output!$L$1:$L$400,"license fee")+SUMIFS(SF_Output!$S$1:$S$400,SF_Output!$AC$1:$AC$400,_xlfn.TEXTJOIN(",",TRUE,B265:E265),SF_Output!$Q$1:$Q$400,"One Time",SF_Output!$L$1:$L$400,"software license")+SUMIFS(SF_Output!$S$1:$S$400,SF_Output!$AC$1:$AC$400,_xlfn.TEXTJOIN(",",TRUE,B265:E265),SF_Output!$Q$1:$Q$400,"One Time",SF_Output!$L$1:$L$400,"hardware"))</f>
        <v/>
      </c>
      <c r="K265" s="112" t="str">
        <f>IF(OR(B265=0,B265="",G265="hardware",J265=0),"",IF(AF265&lt;&gt;"exclusion",MAX(K$9,-((SUMIFS(SF_Output!$T$1:$T$400,SF_Output!$AC$1:$AC$400,_xlfn.TEXTJOIN(",",TRUE,$B265:$E265),SF_Output!$Q$1:$Q$400,"One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license"))/J265)),-((SUMIFS(SF_Output!$T$1:$T$400,SF_Output!$AC$1:$AC$400,_xlfn.TEXTJOIN(",",TRUE,$B265:$E265),SF_Output!$Q$1:$Q$400,"One Time",SF_Output!$L$1:$L$400,"license fee")+SUMIFS(SF_Output!$T$1:$T$400,SF_Output!$AC$1:$AC$400,_xlfn.TEXTJOIN(",",TRUE,$B265:$E265),SF_Output!$Q$1:$Q$400,"One Time",SF_Output!$L$1:$L$400,"software license"))/J265)))</f>
        <v/>
      </c>
      <c r="L265" s="6" t="str">
        <f t="shared" si="17"/>
        <v/>
      </c>
      <c r="N265" s="6" t="str">
        <f>IF(B265="","",SUMIFS(SF_Output!$S$1:$S$400,SF_Output!$AC$1:$AC$400,_xlfn.TEXTJOIN(",",TRUE,B265:E265),SF_Output!$Q$1:$Q$400,"One Time",SF_Output!$L$1:$L$400,"professional service"))</f>
        <v/>
      </c>
      <c r="O265" s="112" t="str">
        <f>IF(OR(B265=0,B265="",N265=0),"",IF(AF265&lt;&gt;"exclusion",MAX(O$9,-(SUMIFS(SF_Output!$T$1:$T$400,SF_Output!$AC$1:$AC$400,_xlfn.TEXTJOIN(",",TRUE,$B265:$E265),SF_Output!$Q$1:$Q$400,"One Time",SF_Output!$L$1:$L$400,"professional service"))/N265),-((SUMIFS(SF_Output!$T$1:$T$400,SF_Output!$AC$1:$AC$400,_xlfn.TEXTJOIN(",",TRUE,$B265:$E265),SF_Output!$Q$1:$Q$400,"One Time",SF_Output!$L$1:$L$400,"professional service")/N265))))</f>
        <v/>
      </c>
      <c r="P265" s="6" t="str">
        <f t="shared" si="18"/>
        <v/>
      </c>
      <c r="R265" s="6" t="str">
        <f>IF(B265="","",SUMIFS(SF_Output!$S$1:$S$400,SF_Output!$AC$1:$AC$400,_xlfn.TEXTJOIN(",",TRUE,B265:E265),SF_Output!$Q$1:$Q$400,"yearly")+SUMIFS(SF_Output!$S$1:$S$400,SF_Output!$AC$1:$AC$400,_xlfn.TEXTJOIN(",",TRUE,B265:E265),SF_Output!$Q$1:$Q$400,"quarterly")*4)</f>
        <v/>
      </c>
      <c r="S265" s="112" t="str">
        <f>IF(OR(B265=0,B265="",G265="hardware",R265=0),"",IF(AF265&lt;&gt;"exclusion",MAX(S$9,-(SUMIFS(SF_Output!$T$1:$T$400,SF_Output!$AC$1:$AC$400,_xlfn.TEXTJOIN(",",TRUE,$B265:$E265),SF_Output!$Q$1:$Q$400,"yearly"))/R265),-((SUMIFS(SF_Output!$T$1:$T$400,SF_Output!$AC$1:$AC$400,_xlfn.TEXTJOIN(",",TRUE,$B265:$E265),SF_Output!$Q$1:$Q$400,"yearly")/R265))))</f>
        <v/>
      </c>
      <c r="T265" s="6" t="str">
        <f t="shared" si="19"/>
        <v/>
      </c>
      <c r="V265" s="6" t="str" cm="1">
        <f t="array" ref="V265">_xlfn.IFS(B265="","",AND(B265&lt;&gt;"",H265=SF_Output!$Y$2,SUMIFS(SF_Output!$T$1:$T$400,SF_Output!$AC$1:$AC$400,_xlfn.TEXTJOIN(",",TRUE,B265:E265),SF_Output!$Q$1:$Q$400,"monthly")=0),(SUMIFS(SF_Output!$F$1:$F$400,SF_Output!$AC$1:$AC$400,_xlfn.TEXTJOIN(",",TRUE,B265:E265),SF_Output!$Q$1:$Q$400,"monthly")+SUMIFS(SF_Output!$G$1:$G$400,SF_Output!$AC$1:$AC$400,_xlfn.TEXTJOIN(",",TRUE,B265:E265),SF_Output!$Q$1:$Q$400,"monthly"))*H265,AND(B265&lt;&gt;"",H265=SF_Output!$Y$2,SUMIFS(SF_Output!$T$1:$T$400,SF_Output!$AC$1:$AC$400,_xlfn.TEXTJOIN(",",TRUE,B265:E265),SF_Output!$Q$1:$Q$400,"monthly")&lt;&gt;0),SUMIFS(SF_Output!$S$1:$S$400,SF_Output!$AC$1:$AC$400,_xlfn.TEXTJOIN(",",TRUE,B265:E265),SF_Output!$Q$1:$Q$400,"monthly"),AND(B265&lt;&gt;"",H265&lt;&gt;SF_Output!$Y$2),SUMIFS(SF_Output!$S$1:$S$400,SF_Output!$AC$1:$AC$400,_xlfn.TEXTJOIN(",",TRUE,B265:E265),SF_Output!$Q$1:$Q$400,"monthly"))</f>
        <v/>
      </c>
      <c r="W265" s="112" t="str" cm="1">
        <f t="array" ref="W265">_xlfn.IFS(OR(B265=0,B265="",V265=0),"",AF265&lt;&gt;"exclusion",MAX($W$9,$W$7,(-(SUMIFS(SF_Output!$T$1:$T$400,SF_Output!$AC$1:$AC$400,_xlfn.TEXTJOIN(",",TRUE,$B265:$E265),SF_Output!$Q$1:$Q$400,"monthly"))/V265)),AF265="exclusion",-(SUMIFS(SF_Output!$T$1:$T$400,SF_Output!$AC$1:$AC$400,_xlfn.TEXTJOIN(",",TRUE,$B265:$E265),SF_Output!$Q$1:$Q$400,"monthly"))/V265)</f>
        <v/>
      </c>
      <c r="X265" s="6" t="str" cm="1">
        <f t="array" ref="X265">IFERROR(_xlfn.IFS(V265=0,0,V265="","",W265=0,V265,OR(V265&lt;&gt;0,V265&lt;&gt;""),H265*I265),V265*(1-W265))</f>
        <v/>
      </c>
    </row>
    <row r="266" spans="6:24" x14ac:dyDescent="0.25">
      <c r="F266" s="116" t="str">
        <f t="shared" si="16"/>
        <v/>
      </c>
      <c r="G266" t="str">
        <f>IF(B266="","",INDEX(SF_Output!$K$1:$K$400,MATCH(B266,SF_Output!$M$1:$M$400,0)))</f>
        <v/>
      </c>
      <c r="H266" t="str" cm="1">
        <f t="array" ref="H266">_xlfn.IFS(B266="","",(SUMIFS(SF_Output!$F$1:$F$400,SF_Output!$AC$1:$AC$400,_xlfn.TEXTJOIN(",",TRUE,B266:E266))+SUMIFS(SF_Output!$G$1:$G$400,SF_Output!$AC$1:$AC$400,_xlfn.TEXTJOIN(",",TRUE,B266:E266)))&lt;&gt;0,SF_Output!$Y$2,INDEX(SF_Output!$F$1:$F$400,MATCH(_xlfn.TEXTJOIN(",",TRUE,B266:E266),SF_Output!$AC$1:$AC$400,0))=0,INDEX(SF_Output!$R$1:$R$400,MATCH(_xlfn.TEXTJOIN(",",TRUE,B266:E266),SF_Output!$AC$1:$AC$400,0)))</f>
        <v/>
      </c>
      <c r="I266" s="125" t="str">
        <f>IFERROR(IF(AND(H266&gt;1,H266&lt;&gt;""),ROUND(SUMIFS(SF_Output!$S$1:$S$400,SF_Output!$AC$1:$AC$400,_xlfn.TEXTJOIN(",",TRUE,B266:E266),SF_Output!$Q$1:$Q$400,"monthly")*(1-W266)/H266,4),""),"")</f>
        <v/>
      </c>
      <c r="J266" s="6" t="str">
        <f>IF(B266="","",SUMIFS(SF_Output!$S$1:$S$400,SF_Output!$AC$1:$AC$400,_xlfn.TEXTJOIN(",",TRUE,B266:E266),SF_Output!$Q$1:$Q$400,"One Time",SF_Output!$L$1:$L$400,"license fee")+SUMIFS(SF_Output!$S$1:$S$400,SF_Output!$AC$1:$AC$400,_xlfn.TEXTJOIN(",",TRUE,B266:E266),SF_Output!$Q$1:$Q$400,"One Time",SF_Output!$L$1:$L$400,"software license")+SUMIFS(SF_Output!$S$1:$S$400,SF_Output!$AC$1:$AC$400,_xlfn.TEXTJOIN(",",TRUE,B266:E266),SF_Output!$Q$1:$Q$400,"One Time",SF_Output!$L$1:$L$400,"hardware"))</f>
        <v/>
      </c>
      <c r="K266" s="112" t="str">
        <f>IF(OR(B266=0,B266="",G266="hardware",J266=0),"",IF(AF266&lt;&gt;"exclusion",MAX(K$9,-((SUMIFS(SF_Output!$T$1:$T$400,SF_Output!$AC$1:$AC$400,_xlfn.TEXTJOIN(",",TRUE,$B266:$E266),SF_Output!$Q$1:$Q$400,"One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license"))/J266)),-((SUMIFS(SF_Output!$T$1:$T$400,SF_Output!$AC$1:$AC$400,_xlfn.TEXTJOIN(",",TRUE,$B266:$E266),SF_Output!$Q$1:$Q$400,"One Time",SF_Output!$L$1:$L$400,"license fee")+SUMIFS(SF_Output!$T$1:$T$400,SF_Output!$AC$1:$AC$400,_xlfn.TEXTJOIN(",",TRUE,$B266:$E266),SF_Output!$Q$1:$Q$400,"One Time",SF_Output!$L$1:$L$400,"software license"))/J266)))</f>
        <v/>
      </c>
      <c r="L266" s="6" t="str">
        <f t="shared" si="17"/>
        <v/>
      </c>
      <c r="N266" s="6" t="str">
        <f>IF(B266="","",SUMIFS(SF_Output!$S$1:$S$400,SF_Output!$AC$1:$AC$400,_xlfn.TEXTJOIN(",",TRUE,B266:E266),SF_Output!$Q$1:$Q$400,"One Time",SF_Output!$L$1:$L$400,"professional service"))</f>
        <v/>
      </c>
      <c r="O266" s="112" t="str">
        <f>IF(OR(B266=0,B266="",N266=0),"",IF(AF266&lt;&gt;"exclusion",MAX(O$9,-(SUMIFS(SF_Output!$T$1:$T$400,SF_Output!$AC$1:$AC$400,_xlfn.TEXTJOIN(",",TRUE,$B266:$E266),SF_Output!$Q$1:$Q$400,"One Time",SF_Output!$L$1:$L$400,"professional service"))/N266),-((SUMIFS(SF_Output!$T$1:$T$400,SF_Output!$AC$1:$AC$400,_xlfn.TEXTJOIN(",",TRUE,$B266:$E266),SF_Output!$Q$1:$Q$400,"One Time",SF_Output!$L$1:$L$400,"professional service")/N266))))</f>
        <v/>
      </c>
      <c r="P266" s="6" t="str">
        <f t="shared" si="18"/>
        <v/>
      </c>
      <c r="R266" s="6" t="str">
        <f>IF(B266="","",SUMIFS(SF_Output!$S$1:$S$400,SF_Output!$AC$1:$AC$400,_xlfn.TEXTJOIN(",",TRUE,B266:E266),SF_Output!$Q$1:$Q$400,"yearly")+SUMIFS(SF_Output!$S$1:$S$400,SF_Output!$AC$1:$AC$400,_xlfn.TEXTJOIN(",",TRUE,B266:E266),SF_Output!$Q$1:$Q$400,"quarterly")*4)</f>
        <v/>
      </c>
      <c r="S266" s="112" t="str">
        <f>IF(OR(B266=0,B266="",G266="hardware",R266=0),"",IF(AF266&lt;&gt;"exclusion",MAX(S$9,-(SUMIFS(SF_Output!$T$1:$T$400,SF_Output!$AC$1:$AC$400,_xlfn.TEXTJOIN(",",TRUE,$B266:$E266),SF_Output!$Q$1:$Q$400,"yearly"))/R266),-((SUMIFS(SF_Output!$T$1:$T$400,SF_Output!$AC$1:$AC$400,_xlfn.TEXTJOIN(",",TRUE,$B266:$E266),SF_Output!$Q$1:$Q$400,"yearly")/R266))))</f>
        <v/>
      </c>
      <c r="T266" s="6" t="str">
        <f t="shared" si="19"/>
        <v/>
      </c>
      <c r="V266" s="6" t="str" cm="1">
        <f t="array" ref="V266">_xlfn.IFS(B266="","",AND(B266&lt;&gt;"",H266=SF_Output!$Y$2,SUMIFS(SF_Output!$T$1:$T$400,SF_Output!$AC$1:$AC$400,_xlfn.TEXTJOIN(",",TRUE,B266:E266),SF_Output!$Q$1:$Q$400,"monthly")=0),(SUMIFS(SF_Output!$F$1:$F$400,SF_Output!$AC$1:$AC$400,_xlfn.TEXTJOIN(",",TRUE,B266:E266),SF_Output!$Q$1:$Q$400,"monthly")+SUMIFS(SF_Output!$G$1:$G$400,SF_Output!$AC$1:$AC$400,_xlfn.TEXTJOIN(",",TRUE,B266:E266),SF_Output!$Q$1:$Q$400,"monthly"))*H266,AND(B266&lt;&gt;"",H266=SF_Output!$Y$2,SUMIFS(SF_Output!$T$1:$T$400,SF_Output!$AC$1:$AC$400,_xlfn.TEXTJOIN(",",TRUE,B266:E266),SF_Output!$Q$1:$Q$400,"monthly")&lt;&gt;0),SUMIFS(SF_Output!$S$1:$S$400,SF_Output!$AC$1:$AC$400,_xlfn.TEXTJOIN(",",TRUE,B266:E266),SF_Output!$Q$1:$Q$400,"monthly"),AND(B266&lt;&gt;"",H266&lt;&gt;SF_Output!$Y$2),SUMIFS(SF_Output!$S$1:$S$400,SF_Output!$AC$1:$AC$400,_xlfn.TEXTJOIN(",",TRUE,B266:E266),SF_Output!$Q$1:$Q$400,"monthly"))</f>
        <v/>
      </c>
      <c r="W266" s="112" t="str" cm="1">
        <f t="array" ref="W266">_xlfn.IFS(OR(B266=0,B266="",V266=0),"",AF266&lt;&gt;"exclusion",MAX($W$9,$W$7,(-(SUMIFS(SF_Output!$T$1:$T$400,SF_Output!$AC$1:$AC$400,_xlfn.TEXTJOIN(",",TRUE,$B266:$E266),SF_Output!$Q$1:$Q$400,"monthly"))/V266)),AF266="exclusion",-(SUMIFS(SF_Output!$T$1:$T$400,SF_Output!$AC$1:$AC$400,_xlfn.TEXTJOIN(",",TRUE,$B266:$E266),SF_Output!$Q$1:$Q$400,"monthly"))/V266)</f>
        <v/>
      </c>
      <c r="X266" s="6" t="str" cm="1">
        <f t="array" ref="X266">IFERROR(_xlfn.IFS(V266=0,0,V266="","",W266=0,V266,OR(V266&lt;&gt;0,V266&lt;&gt;""),H266*I266),V266*(1-W266))</f>
        <v/>
      </c>
    </row>
    <row r="267" spans="6:24" x14ac:dyDescent="0.25">
      <c r="F267" s="116" t="str">
        <f t="shared" si="16"/>
        <v/>
      </c>
      <c r="G267" t="str">
        <f>IF(B267="","",INDEX(SF_Output!$K$1:$K$400,MATCH(B267,SF_Output!$M$1:$M$400,0)))</f>
        <v/>
      </c>
      <c r="H267" t="str" cm="1">
        <f t="array" ref="H267">_xlfn.IFS(B267="","",(SUMIFS(SF_Output!$F$1:$F$400,SF_Output!$AC$1:$AC$400,_xlfn.TEXTJOIN(",",TRUE,B267:E267))+SUMIFS(SF_Output!$G$1:$G$400,SF_Output!$AC$1:$AC$400,_xlfn.TEXTJOIN(",",TRUE,B267:E267)))&lt;&gt;0,SF_Output!$Y$2,INDEX(SF_Output!$F$1:$F$400,MATCH(_xlfn.TEXTJOIN(",",TRUE,B267:E267),SF_Output!$AC$1:$AC$400,0))=0,INDEX(SF_Output!$R$1:$R$400,MATCH(_xlfn.TEXTJOIN(",",TRUE,B267:E267),SF_Output!$AC$1:$AC$400,0)))</f>
        <v/>
      </c>
      <c r="I267" s="125" t="str">
        <f>IFERROR(IF(AND(H267&gt;1,H267&lt;&gt;""),ROUND(SUMIFS(SF_Output!$S$1:$S$400,SF_Output!$AC$1:$AC$400,_xlfn.TEXTJOIN(",",TRUE,B267:E267),SF_Output!$Q$1:$Q$400,"monthly")*(1-W267)/H267,4),""),"")</f>
        <v/>
      </c>
      <c r="J267" s="6" t="str">
        <f>IF(B267="","",SUMIFS(SF_Output!$S$1:$S$400,SF_Output!$AC$1:$AC$400,_xlfn.TEXTJOIN(",",TRUE,B267:E267),SF_Output!$Q$1:$Q$400,"One Time",SF_Output!$L$1:$L$400,"license fee")+SUMIFS(SF_Output!$S$1:$S$400,SF_Output!$AC$1:$AC$400,_xlfn.TEXTJOIN(",",TRUE,B267:E267),SF_Output!$Q$1:$Q$400,"One Time",SF_Output!$L$1:$L$400,"software license")+SUMIFS(SF_Output!$S$1:$S$400,SF_Output!$AC$1:$AC$400,_xlfn.TEXTJOIN(",",TRUE,B267:E267),SF_Output!$Q$1:$Q$400,"One Time",SF_Output!$L$1:$L$400,"hardware"))</f>
        <v/>
      </c>
      <c r="K267" s="112" t="str">
        <f>IF(OR(B267=0,B267="",G267="hardware",J267=0),"",IF(AF267&lt;&gt;"exclusion",MAX(K$9,-((SUMIFS(SF_Output!$T$1:$T$400,SF_Output!$AC$1:$AC$400,_xlfn.TEXTJOIN(",",TRUE,$B267:$E267),SF_Output!$Q$1:$Q$400,"One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license"))/J267)),-((SUMIFS(SF_Output!$T$1:$T$400,SF_Output!$AC$1:$AC$400,_xlfn.TEXTJOIN(",",TRUE,$B267:$E267),SF_Output!$Q$1:$Q$400,"One Time",SF_Output!$L$1:$L$400,"license fee")+SUMIFS(SF_Output!$T$1:$T$400,SF_Output!$AC$1:$AC$400,_xlfn.TEXTJOIN(",",TRUE,$B267:$E267),SF_Output!$Q$1:$Q$400,"One Time",SF_Output!$L$1:$L$400,"software license"))/J267)))</f>
        <v/>
      </c>
      <c r="L267" s="6" t="str">
        <f t="shared" si="17"/>
        <v/>
      </c>
      <c r="N267" s="6" t="str">
        <f>IF(B267="","",SUMIFS(SF_Output!$S$1:$S$400,SF_Output!$AC$1:$AC$400,_xlfn.TEXTJOIN(",",TRUE,B267:E267),SF_Output!$Q$1:$Q$400,"One Time",SF_Output!$L$1:$L$400,"professional service"))</f>
        <v/>
      </c>
      <c r="O267" s="112" t="str">
        <f>IF(OR(B267=0,B267="",N267=0),"",IF(AF267&lt;&gt;"exclusion",MAX(O$9,-(SUMIFS(SF_Output!$T$1:$T$400,SF_Output!$AC$1:$AC$400,_xlfn.TEXTJOIN(",",TRUE,$B267:$E267),SF_Output!$Q$1:$Q$400,"One Time",SF_Output!$L$1:$L$400,"professional service"))/N267),-((SUMIFS(SF_Output!$T$1:$T$400,SF_Output!$AC$1:$AC$400,_xlfn.TEXTJOIN(",",TRUE,$B267:$E267),SF_Output!$Q$1:$Q$400,"One Time",SF_Output!$L$1:$L$400,"professional service")/N267))))</f>
        <v/>
      </c>
      <c r="P267" s="6" t="str">
        <f t="shared" si="18"/>
        <v/>
      </c>
      <c r="R267" s="6" t="str">
        <f>IF(B267="","",SUMIFS(SF_Output!$S$1:$S$400,SF_Output!$AC$1:$AC$400,_xlfn.TEXTJOIN(",",TRUE,B267:E267),SF_Output!$Q$1:$Q$400,"yearly")+SUMIFS(SF_Output!$S$1:$S$400,SF_Output!$AC$1:$AC$400,_xlfn.TEXTJOIN(",",TRUE,B267:E267),SF_Output!$Q$1:$Q$400,"quarterly")*4)</f>
        <v/>
      </c>
      <c r="S267" s="112" t="str">
        <f>IF(OR(B267=0,B267="",G267="hardware",R267=0),"",IF(AF267&lt;&gt;"exclusion",MAX(S$9,-(SUMIFS(SF_Output!$T$1:$T$400,SF_Output!$AC$1:$AC$400,_xlfn.TEXTJOIN(",",TRUE,$B267:$E267),SF_Output!$Q$1:$Q$400,"yearly"))/R267),-((SUMIFS(SF_Output!$T$1:$T$400,SF_Output!$AC$1:$AC$400,_xlfn.TEXTJOIN(",",TRUE,$B267:$E267),SF_Output!$Q$1:$Q$400,"yearly")/R267))))</f>
        <v/>
      </c>
      <c r="T267" s="6" t="str">
        <f t="shared" si="19"/>
        <v/>
      </c>
      <c r="V267" s="6" t="str" cm="1">
        <f t="array" ref="V267">_xlfn.IFS(B267="","",AND(B267&lt;&gt;"",H267=SF_Output!$Y$2,SUMIFS(SF_Output!$T$1:$T$400,SF_Output!$AC$1:$AC$400,_xlfn.TEXTJOIN(",",TRUE,B267:E267),SF_Output!$Q$1:$Q$400,"monthly")=0),(SUMIFS(SF_Output!$F$1:$F$400,SF_Output!$AC$1:$AC$400,_xlfn.TEXTJOIN(",",TRUE,B267:E267),SF_Output!$Q$1:$Q$400,"monthly")+SUMIFS(SF_Output!$G$1:$G$400,SF_Output!$AC$1:$AC$400,_xlfn.TEXTJOIN(",",TRUE,B267:E267),SF_Output!$Q$1:$Q$400,"monthly"))*H267,AND(B267&lt;&gt;"",H267=SF_Output!$Y$2,SUMIFS(SF_Output!$T$1:$T$400,SF_Output!$AC$1:$AC$400,_xlfn.TEXTJOIN(",",TRUE,B267:E267),SF_Output!$Q$1:$Q$400,"monthly")&lt;&gt;0),SUMIFS(SF_Output!$S$1:$S$400,SF_Output!$AC$1:$AC$400,_xlfn.TEXTJOIN(",",TRUE,B267:E267),SF_Output!$Q$1:$Q$400,"monthly"),AND(B267&lt;&gt;"",H267&lt;&gt;SF_Output!$Y$2),SUMIFS(SF_Output!$S$1:$S$400,SF_Output!$AC$1:$AC$400,_xlfn.TEXTJOIN(",",TRUE,B267:E267),SF_Output!$Q$1:$Q$400,"monthly"))</f>
        <v/>
      </c>
      <c r="W267" s="112" t="str" cm="1">
        <f t="array" ref="W267">_xlfn.IFS(OR(B267=0,B267="",V267=0),"",AF267&lt;&gt;"exclusion",MAX($W$9,$W$7,(-(SUMIFS(SF_Output!$T$1:$T$400,SF_Output!$AC$1:$AC$400,_xlfn.TEXTJOIN(",",TRUE,$B267:$E267),SF_Output!$Q$1:$Q$400,"monthly"))/V267)),AF267="exclusion",-(SUMIFS(SF_Output!$T$1:$T$400,SF_Output!$AC$1:$AC$400,_xlfn.TEXTJOIN(",",TRUE,$B267:$E267),SF_Output!$Q$1:$Q$400,"monthly"))/V267)</f>
        <v/>
      </c>
      <c r="X267" s="6" t="str" cm="1">
        <f t="array" ref="X267">IFERROR(_xlfn.IFS(V267=0,0,V267="","",W267=0,V267,OR(V267&lt;&gt;0,V267&lt;&gt;""),H267*I267),V267*(1-W267))</f>
        <v/>
      </c>
    </row>
    <row r="268" spans="6:24" x14ac:dyDescent="0.25">
      <c r="F268" s="116" t="str">
        <f t="shared" si="16"/>
        <v/>
      </c>
      <c r="G268" t="str">
        <f>IF(B268="","",INDEX(SF_Output!$K$1:$K$400,MATCH(B268,SF_Output!$M$1:$M$400,0)))</f>
        <v/>
      </c>
      <c r="H268" t="str" cm="1">
        <f t="array" ref="H268">_xlfn.IFS(B268="","",(SUMIFS(SF_Output!$F$1:$F$400,SF_Output!$AC$1:$AC$400,_xlfn.TEXTJOIN(",",TRUE,B268:E268))+SUMIFS(SF_Output!$G$1:$G$400,SF_Output!$AC$1:$AC$400,_xlfn.TEXTJOIN(",",TRUE,B268:E268)))&lt;&gt;0,SF_Output!$Y$2,INDEX(SF_Output!$F$1:$F$400,MATCH(_xlfn.TEXTJOIN(",",TRUE,B268:E268),SF_Output!$AC$1:$AC$400,0))=0,INDEX(SF_Output!$R$1:$R$400,MATCH(_xlfn.TEXTJOIN(",",TRUE,B268:E268),SF_Output!$AC$1:$AC$400,0)))</f>
        <v/>
      </c>
      <c r="I268" s="125" t="str">
        <f>IFERROR(IF(AND(H268&gt;1,H268&lt;&gt;""),ROUND(SUMIFS(SF_Output!$S$1:$S$400,SF_Output!$AC$1:$AC$400,_xlfn.TEXTJOIN(",",TRUE,B268:E268),SF_Output!$Q$1:$Q$400,"monthly")*(1-W268)/H268,4),""),"")</f>
        <v/>
      </c>
      <c r="J268" s="6" t="str">
        <f>IF(B268="","",SUMIFS(SF_Output!$S$1:$S$400,SF_Output!$AC$1:$AC$400,_xlfn.TEXTJOIN(",",TRUE,B268:E268),SF_Output!$Q$1:$Q$400,"One Time",SF_Output!$L$1:$L$400,"license fee")+SUMIFS(SF_Output!$S$1:$S$400,SF_Output!$AC$1:$AC$400,_xlfn.TEXTJOIN(",",TRUE,B268:E268),SF_Output!$Q$1:$Q$400,"One Time",SF_Output!$L$1:$L$400,"software license")+SUMIFS(SF_Output!$S$1:$S$400,SF_Output!$AC$1:$AC$400,_xlfn.TEXTJOIN(",",TRUE,B268:E268),SF_Output!$Q$1:$Q$400,"One Time",SF_Output!$L$1:$L$400,"hardware"))</f>
        <v/>
      </c>
      <c r="K268" s="112" t="str">
        <f>IF(OR(B268=0,B268="",G268="hardware",J268=0),"",IF(AF268&lt;&gt;"exclusion",MAX(K$9,-((SUMIFS(SF_Output!$T$1:$T$400,SF_Output!$AC$1:$AC$400,_xlfn.TEXTJOIN(",",TRUE,$B268:$E268),SF_Output!$Q$1:$Q$400,"One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license"))/J268)),-((SUMIFS(SF_Output!$T$1:$T$400,SF_Output!$AC$1:$AC$400,_xlfn.TEXTJOIN(",",TRUE,$B268:$E268),SF_Output!$Q$1:$Q$400,"One Time",SF_Output!$L$1:$L$400,"license fee")+SUMIFS(SF_Output!$T$1:$T$400,SF_Output!$AC$1:$AC$400,_xlfn.TEXTJOIN(",",TRUE,$B268:$E268),SF_Output!$Q$1:$Q$400,"One Time",SF_Output!$L$1:$L$400,"software license"))/J268)))</f>
        <v/>
      </c>
      <c r="L268" s="6" t="str">
        <f t="shared" si="17"/>
        <v/>
      </c>
      <c r="N268" s="6" t="str">
        <f>IF(B268="","",SUMIFS(SF_Output!$S$1:$S$400,SF_Output!$AC$1:$AC$400,_xlfn.TEXTJOIN(",",TRUE,B268:E268),SF_Output!$Q$1:$Q$400,"One Time",SF_Output!$L$1:$L$400,"professional service"))</f>
        <v/>
      </c>
      <c r="O268" s="112" t="str">
        <f>IF(OR(B268=0,B268="",N268=0),"",IF(AF268&lt;&gt;"exclusion",MAX(O$9,-(SUMIFS(SF_Output!$T$1:$T$400,SF_Output!$AC$1:$AC$400,_xlfn.TEXTJOIN(",",TRUE,$B268:$E268),SF_Output!$Q$1:$Q$400,"One Time",SF_Output!$L$1:$L$400,"professional service"))/N268),-((SUMIFS(SF_Output!$T$1:$T$400,SF_Output!$AC$1:$AC$400,_xlfn.TEXTJOIN(",",TRUE,$B268:$E268),SF_Output!$Q$1:$Q$400,"One Time",SF_Output!$L$1:$L$400,"professional service")/N268))))</f>
        <v/>
      </c>
      <c r="P268" s="6" t="str">
        <f t="shared" si="18"/>
        <v/>
      </c>
      <c r="R268" s="6" t="str">
        <f>IF(B268="","",SUMIFS(SF_Output!$S$1:$S$400,SF_Output!$AC$1:$AC$400,_xlfn.TEXTJOIN(",",TRUE,B268:E268),SF_Output!$Q$1:$Q$400,"yearly")+SUMIFS(SF_Output!$S$1:$S$400,SF_Output!$AC$1:$AC$400,_xlfn.TEXTJOIN(",",TRUE,B268:E268),SF_Output!$Q$1:$Q$400,"quarterly")*4)</f>
        <v/>
      </c>
      <c r="S268" s="112" t="str">
        <f>IF(OR(B268=0,B268="",G268="hardware",R268=0),"",IF(AF268&lt;&gt;"exclusion",MAX(S$9,-(SUMIFS(SF_Output!$T$1:$T$400,SF_Output!$AC$1:$AC$400,_xlfn.TEXTJOIN(",",TRUE,$B268:$E268),SF_Output!$Q$1:$Q$400,"yearly"))/R268),-((SUMIFS(SF_Output!$T$1:$T$400,SF_Output!$AC$1:$AC$400,_xlfn.TEXTJOIN(",",TRUE,$B268:$E268),SF_Output!$Q$1:$Q$400,"yearly")/R268))))</f>
        <v/>
      </c>
      <c r="T268" s="6" t="str">
        <f t="shared" si="19"/>
        <v/>
      </c>
      <c r="V268" s="6" t="str" cm="1">
        <f t="array" ref="V268">_xlfn.IFS(B268="","",AND(B268&lt;&gt;"",H268=SF_Output!$Y$2,SUMIFS(SF_Output!$T$1:$T$400,SF_Output!$AC$1:$AC$400,_xlfn.TEXTJOIN(",",TRUE,B268:E268),SF_Output!$Q$1:$Q$400,"monthly")=0),(SUMIFS(SF_Output!$F$1:$F$400,SF_Output!$AC$1:$AC$400,_xlfn.TEXTJOIN(",",TRUE,B268:E268),SF_Output!$Q$1:$Q$400,"monthly")+SUMIFS(SF_Output!$G$1:$G$400,SF_Output!$AC$1:$AC$400,_xlfn.TEXTJOIN(",",TRUE,B268:E268),SF_Output!$Q$1:$Q$400,"monthly"))*H268,AND(B268&lt;&gt;"",H268=SF_Output!$Y$2,SUMIFS(SF_Output!$T$1:$T$400,SF_Output!$AC$1:$AC$400,_xlfn.TEXTJOIN(",",TRUE,B268:E268),SF_Output!$Q$1:$Q$400,"monthly")&lt;&gt;0),SUMIFS(SF_Output!$S$1:$S$400,SF_Output!$AC$1:$AC$400,_xlfn.TEXTJOIN(",",TRUE,B268:E268),SF_Output!$Q$1:$Q$400,"monthly"),AND(B268&lt;&gt;"",H268&lt;&gt;SF_Output!$Y$2),SUMIFS(SF_Output!$S$1:$S$400,SF_Output!$AC$1:$AC$400,_xlfn.TEXTJOIN(",",TRUE,B268:E268),SF_Output!$Q$1:$Q$400,"monthly"))</f>
        <v/>
      </c>
      <c r="W268" s="112" t="str" cm="1">
        <f t="array" ref="W268">_xlfn.IFS(OR(B268=0,B268="",V268=0),"",AF268&lt;&gt;"exclusion",MAX($W$9,$W$7,(-(SUMIFS(SF_Output!$T$1:$T$400,SF_Output!$AC$1:$AC$400,_xlfn.TEXTJOIN(",",TRUE,$B268:$E268),SF_Output!$Q$1:$Q$400,"monthly"))/V268)),AF268="exclusion",-(SUMIFS(SF_Output!$T$1:$T$400,SF_Output!$AC$1:$AC$400,_xlfn.TEXTJOIN(",",TRUE,$B268:$E268),SF_Output!$Q$1:$Q$400,"monthly"))/V268)</f>
        <v/>
      </c>
      <c r="X268" s="6" t="str" cm="1">
        <f t="array" ref="X268">IFERROR(_xlfn.IFS(V268=0,0,V268="","",W268=0,V268,OR(V268&lt;&gt;0,V268&lt;&gt;""),H268*I268),V268*(1-W268))</f>
        <v/>
      </c>
    </row>
    <row r="269" spans="6:24" x14ac:dyDescent="0.25">
      <c r="F269" s="116" t="str">
        <f t="shared" si="16"/>
        <v/>
      </c>
      <c r="G269" t="str">
        <f>IF(B269="","",INDEX(SF_Output!$K$1:$K$400,MATCH(B269,SF_Output!$M$1:$M$400,0)))</f>
        <v/>
      </c>
      <c r="H269" t="str" cm="1">
        <f t="array" ref="H269">_xlfn.IFS(B269="","",(SUMIFS(SF_Output!$F$1:$F$400,SF_Output!$AC$1:$AC$400,_xlfn.TEXTJOIN(",",TRUE,B269:E269))+SUMIFS(SF_Output!$G$1:$G$400,SF_Output!$AC$1:$AC$400,_xlfn.TEXTJOIN(",",TRUE,B269:E269)))&lt;&gt;0,SF_Output!$Y$2,INDEX(SF_Output!$F$1:$F$400,MATCH(_xlfn.TEXTJOIN(",",TRUE,B269:E269),SF_Output!$AC$1:$AC$400,0))=0,INDEX(SF_Output!$R$1:$R$400,MATCH(_xlfn.TEXTJOIN(",",TRUE,B269:E269),SF_Output!$AC$1:$AC$400,0)))</f>
        <v/>
      </c>
      <c r="I269" s="125" t="str">
        <f>IFERROR(IF(AND(H269&gt;1,H269&lt;&gt;""),ROUND(SUMIFS(SF_Output!$S$1:$S$400,SF_Output!$AC$1:$AC$400,_xlfn.TEXTJOIN(",",TRUE,B269:E269),SF_Output!$Q$1:$Q$400,"monthly")*(1-W269)/H269,4),""),"")</f>
        <v/>
      </c>
      <c r="J269" s="6" t="str">
        <f>IF(B269="","",SUMIFS(SF_Output!$S$1:$S$400,SF_Output!$AC$1:$AC$400,_xlfn.TEXTJOIN(",",TRUE,B269:E269),SF_Output!$Q$1:$Q$400,"One Time",SF_Output!$L$1:$L$400,"license fee")+SUMIFS(SF_Output!$S$1:$S$400,SF_Output!$AC$1:$AC$400,_xlfn.TEXTJOIN(",",TRUE,B269:E269),SF_Output!$Q$1:$Q$400,"One Time",SF_Output!$L$1:$L$400,"software license")+SUMIFS(SF_Output!$S$1:$S$400,SF_Output!$AC$1:$AC$400,_xlfn.TEXTJOIN(",",TRUE,B269:E269),SF_Output!$Q$1:$Q$400,"One Time",SF_Output!$L$1:$L$400,"hardware"))</f>
        <v/>
      </c>
      <c r="K269" s="112" t="str">
        <f>IF(OR(B269=0,B269="",G269="hardware",J269=0),"",IF(AF269&lt;&gt;"exclusion",MAX(K$9,-((SUMIFS(SF_Output!$T$1:$T$400,SF_Output!$AC$1:$AC$400,_xlfn.TEXTJOIN(",",TRUE,$B269:$E269),SF_Output!$Q$1:$Q$400,"One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license"))/J269)),-((SUMIFS(SF_Output!$T$1:$T$400,SF_Output!$AC$1:$AC$400,_xlfn.TEXTJOIN(",",TRUE,$B269:$E269),SF_Output!$Q$1:$Q$400,"One Time",SF_Output!$L$1:$L$400,"license fee")+SUMIFS(SF_Output!$T$1:$T$400,SF_Output!$AC$1:$AC$400,_xlfn.TEXTJOIN(",",TRUE,$B269:$E269),SF_Output!$Q$1:$Q$400,"One Time",SF_Output!$L$1:$L$400,"software license"))/J269)))</f>
        <v/>
      </c>
      <c r="L269" s="6" t="str">
        <f t="shared" si="17"/>
        <v/>
      </c>
      <c r="N269" s="6" t="str">
        <f>IF(B269="","",SUMIFS(SF_Output!$S$1:$S$400,SF_Output!$AC$1:$AC$400,_xlfn.TEXTJOIN(",",TRUE,B269:E269),SF_Output!$Q$1:$Q$400,"One Time",SF_Output!$L$1:$L$400,"professional service"))</f>
        <v/>
      </c>
      <c r="O269" s="112" t="str">
        <f>IF(OR(B269=0,B269="",N269=0),"",IF(AF269&lt;&gt;"exclusion",MAX(O$9,-(SUMIFS(SF_Output!$T$1:$T$400,SF_Output!$AC$1:$AC$400,_xlfn.TEXTJOIN(",",TRUE,$B269:$E269),SF_Output!$Q$1:$Q$400,"One Time",SF_Output!$L$1:$L$400,"professional service"))/N269),-((SUMIFS(SF_Output!$T$1:$T$400,SF_Output!$AC$1:$AC$400,_xlfn.TEXTJOIN(",",TRUE,$B269:$E269),SF_Output!$Q$1:$Q$400,"One Time",SF_Output!$L$1:$L$400,"professional service")/N269))))</f>
        <v/>
      </c>
      <c r="P269" s="6" t="str">
        <f t="shared" si="18"/>
        <v/>
      </c>
      <c r="R269" s="6" t="str">
        <f>IF(B269="","",SUMIFS(SF_Output!$S$1:$S$400,SF_Output!$AC$1:$AC$400,_xlfn.TEXTJOIN(",",TRUE,B269:E269),SF_Output!$Q$1:$Q$400,"yearly")+SUMIFS(SF_Output!$S$1:$S$400,SF_Output!$AC$1:$AC$400,_xlfn.TEXTJOIN(",",TRUE,B269:E269),SF_Output!$Q$1:$Q$400,"quarterly")*4)</f>
        <v/>
      </c>
      <c r="S269" s="112" t="str">
        <f>IF(OR(B269=0,B269="",G269="hardware",R269=0),"",IF(AF269&lt;&gt;"exclusion",MAX(S$9,-(SUMIFS(SF_Output!$T$1:$T$400,SF_Output!$AC$1:$AC$400,_xlfn.TEXTJOIN(",",TRUE,$B269:$E269),SF_Output!$Q$1:$Q$400,"yearly"))/R269),-((SUMIFS(SF_Output!$T$1:$T$400,SF_Output!$AC$1:$AC$400,_xlfn.TEXTJOIN(",",TRUE,$B269:$E269),SF_Output!$Q$1:$Q$400,"yearly")/R269))))</f>
        <v/>
      </c>
      <c r="T269" s="6" t="str">
        <f t="shared" si="19"/>
        <v/>
      </c>
      <c r="V269" s="6" t="str" cm="1">
        <f t="array" ref="V269">_xlfn.IFS(B269="","",AND(B269&lt;&gt;"",H269=SF_Output!$Y$2,SUMIFS(SF_Output!$T$1:$T$400,SF_Output!$AC$1:$AC$400,_xlfn.TEXTJOIN(",",TRUE,B269:E269),SF_Output!$Q$1:$Q$400,"monthly")=0),(SUMIFS(SF_Output!$F$1:$F$400,SF_Output!$AC$1:$AC$400,_xlfn.TEXTJOIN(",",TRUE,B269:E269),SF_Output!$Q$1:$Q$400,"monthly")+SUMIFS(SF_Output!$G$1:$G$400,SF_Output!$AC$1:$AC$400,_xlfn.TEXTJOIN(",",TRUE,B269:E269),SF_Output!$Q$1:$Q$400,"monthly"))*H269,AND(B269&lt;&gt;"",H269=SF_Output!$Y$2,SUMIFS(SF_Output!$T$1:$T$400,SF_Output!$AC$1:$AC$400,_xlfn.TEXTJOIN(",",TRUE,B269:E269),SF_Output!$Q$1:$Q$400,"monthly")&lt;&gt;0),SUMIFS(SF_Output!$S$1:$S$400,SF_Output!$AC$1:$AC$400,_xlfn.TEXTJOIN(",",TRUE,B269:E269),SF_Output!$Q$1:$Q$400,"monthly"),AND(B269&lt;&gt;"",H269&lt;&gt;SF_Output!$Y$2),SUMIFS(SF_Output!$S$1:$S$400,SF_Output!$AC$1:$AC$400,_xlfn.TEXTJOIN(",",TRUE,B269:E269),SF_Output!$Q$1:$Q$400,"monthly"))</f>
        <v/>
      </c>
      <c r="W269" s="112" t="str" cm="1">
        <f t="array" ref="W269">_xlfn.IFS(OR(B269=0,B269="",V269=0),"",AF269&lt;&gt;"exclusion",MAX($W$9,$W$7,(-(SUMIFS(SF_Output!$T$1:$T$400,SF_Output!$AC$1:$AC$400,_xlfn.TEXTJOIN(",",TRUE,$B269:$E269),SF_Output!$Q$1:$Q$400,"monthly"))/V269)),AF269="exclusion",-(SUMIFS(SF_Output!$T$1:$T$400,SF_Output!$AC$1:$AC$400,_xlfn.TEXTJOIN(",",TRUE,$B269:$E269),SF_Output!$Q$1:$Q$400,"monthly"))/V269)</f>
        <v/>
      </c>
      <c r="X269" s="6" t="str" cm="1">
        <f t="array" ref="X269">IFERROR(_xlfn.IFS(V269=0,0,V269="","",W269=0,V269,OR(V269&lt;&gt;0,V269&lt;&gt;""),H269*I269),V269*(1-W269))</f>
        <v/>
      </c>
    </row>
    <row r="270" spans="6:24" x14ac:dyDescent="0.25">
      <c r="F270" s="116" t="str">
        <f t="shared" si="16"/>
        <v/>
      </c>
      <c r="G270" t="str">
        <f>IF(B270="","",INDEX(SF_Output!$K$1:$K$400,MATCH(B270,SF_Output!$M$1:$M$400,0)))</f>
        <v/>
      </c>
      <c r="H270" t="str" cm="1">
        <f t="array" ref="H270">_xlfn.IFS(B270="","",(SUMIFS(SF_Output!$F$1:$F$400,SF_Output!$AC$1:$AC$400,_xlfn.TEXTJOIN(",",TRUE,B270:E270))+SUMIFS(SF_Output!$G$1:$G$400,SF_Output!$AC$1:$AC$400,_xlfn.TEXTJOIN(",",TRUE,B270:E270)))&lt;&gt;0,SF_Output!$Y$2,INDEX(SF_Output!$F$1:$F$400,MATCH(_xlfn.TEXTJOIN(",",TRUE,B270:E270),SF_Output!$AC$1:$AC$400,0))=0,INDEX(SF_Output!$R$1:$R$400,MATCH(_xlfn.TEXTJOIN(",",TRUE,B270:E270),SF_Output!$AC$1:$AC$400,0)))</f>
        <v/>
      </c>
      <c r="I270" s="125" t="str">
        <f>IFERROR(IF(AND(H270&gt;1,H270&lt;&gt;""),ROUND(SUMIFS(SF_Output!$S$1:$S$400,SF_Output!$AC$1:$AC$400,_xlfn.TEXTJOIN(",",TRUE,B270:E270),SF_Output!$Q$1:$Q$400,"monthly")*(1-W270)/H270,4),""),"")</f>
        <v/>
      </c>
      <c r="J270" s="6" t="str">
        <f>IF(B270="","",SUMIFS(SF_Output!$S$1:$S$400,SF_Output!$AC$1:$AC$400,_xlfn.TEXTJOIN(",",TRUE,B270:E270),SF_Output!$Q$1:$Q$400,"One Time",SF_Output!$L$1:$L$400,"license fee")+SUMIFS(SF_Output!$S$1:$S$400,SF_Output!$AC$1:$AC$400,_xlfn.TEXTJOIN(",",TRUE,B270:E270),SF_Output!$Q$1:$Q$400,"One Time",SF_Output!$L$1:$L$400,"software license")+SUMIFS(SF_Output!$S$1:$S$400,SF_Output!$AC$1:$AC$400,_xlfn.TEXTJOIN(",",TRUE,B270:E270),SF_Output!$Q$1:$Q$400,"One Time",SF_Output!$L$1:$L$400,"hardware"))</f>
        <v/>
      </c>
      <c r="K270" s="112" t="str">
        <f>IF(OR(B270=0,B270="",G270="hardware",J270=0),"",IF(AF270&lt;&gt;"exclusion",MAX(K$9,-((SUMIFS(SF_Output!$T$1:$T$400,SF_Output!$AC$1:$AC$400,_xlfn.TEXTJOIN(",",TRUE,$B270:$E270),SF_Output!$Q$1:$Q$400,"One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license"))/J270)),-((SUMIFS(SF_Output!$T$1:$T$400,SF_Output!$AC$1:$AC$400,_xlfn.TEXTJOIN(",",TRUE,$B270:$E270),SF_Output!$Q$1:$Q$400,"One Time",SF_Output!$L$1:$L$400,"license fee")+SUMIFS(SF_Output!$T$1:$T$400,SF_Output!$AC$1:$AC$400,_xlfn.TEXTJOIN(",",TRUE,$B270:$E270),SF_Output!$Q$1:$Q$400,"One Time",SF_Output!$L$1:$L$400,"software license"))/J270)))</f>
        <v/>
      </c>
      <c r="L270" s="6" t="str">
        <f t="shared" si="17"/>
        <v/>
      </c>
      <c r="N270" s="6" t="str">
        <f>IF(B270="","",SUMIFS(SF_Output!$S$1:$S$400,SF_Output!$AC$1:$AC$400,_xlfn.TEXTJOIN(",",TRUE,B270:E270),SF_Output!$Q$1:$Q$400,"One Time",SF_Output!$L$1:$L$400,"professional service"))</f>
        <v/>
      </c>
      <c r="O270" s="112" t="str">
        <f>IF(OR(B270=0,B270="",N270=0),"",IF(AF270&lt;&gt;"exclusion",MAX(O$9,-(SUMIFS(SF_Output!$T$1:$T$400,SF_Output!$AC$1:$AC$400,_xlfn.TEXTJOIN(",",TRUE,$B270:$E270),SF_Output!$Q$1:$Q$400,"One Time",SF_Output!$L$1:$L$400,"professional service"))/N270),-((SUMIFS(SF_Output!$T$1:$T$400,SF_Output!$AC$1:$AC$400,_xlfn.TEXTJOIN(",",TRUE,$B270:$E270),SF_Output!$Q$1:$Q$400,"One Time",SF_Output!$L$1:$L$400,"professional service")/N270))))</f>
        <v/>
      </c>
      <c r="P270" s="6" t="str">
        <f t="shared" si="18"/>
        <v/>
      </c>
      <c r="R270" s="6" t="str">
        <f>IF(B270="","",SUMIFS(SF_Output!$S$1:$S$400,SF_Output!$AC$1:$AC$400,_xlfn.TEXTJOIN(",",TRUE,B270:E270),SF_Output!$Q$1:$Q$400,"yearly")+SUMIFS(SF_Output!$S$1:$S$400,SF_Output!$AC$1:$AC$400,_xlfn.TEXTJOIN(",",TRUE,B270:E270),SF_Output!$Q$1:$Q$400,"quarterly")*4)</f>
        <v/>
      </c>
      <c r="S270" s="112" t="str">
        <f>IF(OR(B270=0,B270="",G270="hardware",R270=0),"",IF(AF270&lt;&gt;"exclusion",MAX(S$9,-(SUMIFS(SF_Output!$T$1:$T$400,SF_Output!$AC$1:$AC$400,_xlfn.TEXTJOIN(",",TRUE,$B270:$E270),SF_Output!$Q$1:$Q$400,"yearly"))/R270),-((SUMIFS(SF_Output!$T$1:$T$400,SF_Output!$AC$1:$AC$400,_xlfn.TEXTJOIN(",",TRUE,$B270:$E270),SF_Output!$Q$1:$Q$400,"yearly")/R270))))</f>
        <v/>
      </c>
      <c r="T270" s="6" t="str">
        <f t="shared" si="19"/>
        <v/>
      </c>
      <c r="V270" s="6" t="str" cm="1">
        <f t="array" ref="V270">_xlfn.IFS(B270="","",AND(B270&lt;&gt;"",H270=SF_Output!$Y$2,SUMIFS(SF_Output!$T$1:$T$400,SF_Output!$AC$1:$AC$400,_xlfn.TEXTJOIN(",",TRUE,B270:E270),SF_Output!$Q$1:$Q$400,"monthly")=0),(SUMIFS(SF_Output!$F$1:$F$400,SF_Output!$AC$1:$AC$400,_xlfn.TEXTJOIN(",",TRUE,B270:E270),SF_Output!$Q$1:$Q$400,"monthly")+SUMIFS(SF_Output!$G$1:$G$400,SF_Output!$AC$1:$AC$400,_xlfn.TEXTJOIN(",",TRUE,B270:E270),SF_Output!$Q$1:$Q$400,"monthly"))*H270,AND(B270&lt;&gt;"",H270=SF_Output!$Y$2,SUMIFS(SF_Output!$T$1:$T$400,SF_Output!$AC$1:$AC$400,_xlfn.TEXTJOIN(",",TRUE,B270:E270),SF_Output!$Q$1:$Q$400,"monthly")&lt;&gt;0),SUMIFS(SF_Output!$S$1:$S$400,SF_Output!$AC$1:$AC$400,_xlfn.TEXTJOIN(",",TRUE,B270:E270),SF_Output!$Q$1:$Q$400,"monthly"),AND(B270&lt;&gt;"",H270&lt;&gt;SF_Output!$Y$2),SUMIFS(SF_Output!$S$1:$S$400,SF_Output!$AC$1:$AC$400,_xlfn.TEXTJOIN(",",TRUE,B270:E270),SF_Output!$Q$1:$Q$400,"monthly"))</f>
        <v/>
      </c>
      <c r="W270" s="112" t="str" cm="1">
        <f t="array" ref="W270">_xlfn.IFS(OR(B270=0,B270="",V270=0),"",AF270&lt;&gt;"exclusion",MAX($W$9,$W$7,(-(SUMIFS(SF_Output!$T$1:$T$400,SF_Output!$AC$1:$AC$400,_xlfn.TEXTJOIN(",",TRUE,$B270:$E270),SF_Output!$Q$1:$Q$400,"monthly"))/V270)),AF270="exclusion",-(SUMIFS(SF_Output!$T$1:$T$400,SF_Output!$AC$1:$AC$400,_xlfn.TEXTJOIN(",",TRUE,$B270:$E270),SF_Output!$Q$1:$Q$400,"monthly"))/V270)</f>
        <v/>
      </c>
      <c r="X270" s="6" t="str" cm="1">
        <f t="array" ref="X270">IFERROR(_xlfn.IFS(V270=0,0,V270="","",W270=0,V270,OR(V270&lt;&gt;0,V270&lt;&gt;""),H270*I270),V270*(1-W270))</f>
        <v/>
      </c>
    </row>
    <row r="271" spans="6:24" x14ac:dyDescent="0.25">
      <c r="F271" s="116" t="str">
        <f t="shared" si="16"/>
        <v/>
      </c>
      <c r="G271" t="str">
        <f>IF(B271="","",INDEX(SF_Output!$K$1:$K$400,MATCH(B271,SF_Output!$M$1:$M$400,0)))</f>
        <v/>
      </c>
      <c r="H271" t="str" cm="1">
        <f t="array" ref="H271">_xlfn.IFS(B271="","",(SUMIFS(SF_Output!$F$1:$F$400,SF_Output!$AC$1:$AC$400,_xlfn.TEXTJOIN(",",TRUE,B271:E271))+SUMIFS(SF_Output!$G$1:$G$400,SF_Output!$AC$1:$AC$400,_xlfn.TEXTJOIN(",",TRUE,B271:E271)))&lt;&gt;0,SF_Output!$Y$2,INDEX(SF_Output!$F$1:$F$400,MATCH(_xlfn.TEXTJOIN(",",TRUE,B271:E271),SF_Output!$AC$1:$AC$400,0))=0,INDEX(SF_Output!$R$1:$R$400,MATCH(_xlfn.TEXTJOIN(",",TRUE,B271:E271),SF_Output!$AC$1:$AC$400,0)))</f>
        <v/>
      </c>
      <c r="I271" s="125" t="str">
        <f>IFERROR(IF(AND(H271&gt;1,H271&lt;&gt;""),ROUND(SUMIFS(SF_Output!$S$1:$S$400,SF_Output!$AC$1:$AC$400,_xlfn.TEXTJOIN(",",TRUE,B271:E271),SF_Output!$Q$1:$Q$400,"monthly")*(1-W271)/H271,4),""),"")</f>
        <v/>
      </c>
      <c r="J271" s="6" t="str">
        <f>IF(B271="","",SUMIFS(SF_Output!$S$1:$S$400,SF_Output!$AC$1:$AC$400,_xlfn.TEXTJOIN(",",TRUE,B271:E271),SF_Output!$Q$1:$Q$400,"One Time",SF_Output!$L$1:$L$400,"license fee")+SUMIFS(SF_Output!$S$1:$S$400,SF_Output!$AC$1:$AC$400,_xlfn.TEXTJOIN(",",TRUE,B271:E271),SF_Output!$Q$1:$Q$400,"One Time",SF_Output!$L$1:$L$400,"software license")+SUMIFS(SF_Output!$S$1:$S$400,SF_Output!$AC$1:$AC$400,_xlfn.TEXTJOIN(",",TRUE,B271:E271),SF_Output!$Q$1:$Q$400,"One Time",SF_Output!$L$1:$L$400,"hardware"))</f>
        <v/>
      </c>
      <c r="K271" s="112" t="str">
        <f>IF(OR(B271=0,B271="",G271="hardware",J271=0),"",IF(AF271&lt;&gt;"exclusion",MAX(K$9,-((SUMIFS(SF_Output!$T$1:$T$400,SF_Output!$AC$1:$AC$400,_xlfn.TEXTJOIN(",",TRUE,$B271:$E271),SF_Output!$Q$1:$Q$400,"One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license"))/J271)),-((SUMIFS(SF_Output!$T$1:$T$400,SF_Output!$AC$1:$AC$400,_xlfn.TEXTJOIN(",",TRUE,$B271:$E271),SF_Output!$Q$1:$Q$400,"One Time",SF_Output!$L$1:$L$400,"license fee")+SUMIFS(SF_Output!$T$1:$T$400,SF_Output!$AC$1:$AC$400,_xlfn.TEXTJOIN(",",TRUE,$B271:$E271),SF_Output!$Q$1:$Q$400,"One Time",SF_Output!$L$1:$L$400,"software license"))/J271)))</f>
        <v/>
      </c>
      <c r="L271" s="6" t="str">
        <f t="shared" si="17"/>
        <v/>
      </c>
      <c r="N271" s="6" t="str">
        <f>IF(B271="","",SUMIFS(SF_Output!$S$1:$S$400,SF_Output!$AC$1:$AC$400,_xlfn.TEXTJOIN(",",TRUE,B271:E271),SF_Output!$Q$1:$Q$400,"One Time",SF_Output!$L$1:$L$400,"professional service"))</f>
        <v/>
      </c>
      <c r="O271" s="112" t="str">
        <f>IF(OR(B271=0,B271="",N271=0),"",IF(AF271&lt;&gt;"exclusion",MAX(O$9,-(SUMIFS(SF_Output!$T$1:$T$400,SF_Output!$AC$1:$AC$400,_xlfn.TEXTJOIN(",",TRUE,$B271:$E271),SF_Output!$Q$1:$Q$400,"One Time",SF_Output!$L$1:$L$400,"professional service"))/N271),-((SUMIFS(SF_Output!$T$1:$T$400,SF_Output!$AC$1:$AC$400,_xlfn.TEXTJOIN(",",TRUE,$B271:$E271),SF_Output!$Q$1:$Q$400,"One Time",SF_Output!$L$1:$L$400,"professional service")/N271))))</f>
        <v/>
      </c>
      <c r="P271" s="6" t="str">
        <f t="shared" si="18"/>
        <v/>
      </c>
      <c r="R271" s="6" t="str">
        <f>IF(B271="","",SUMIFS(SF_Output!$S$1:$S$400,SF_Output!$AC$1:$AC$400,_xlfn.TEXTJOIN(",",TRUE,B271:E271),SF_Output!$Q$1:$Q$400,"yearly")+SUMIFS(SF_Output!$S$1:$S$400,SF_Output!$AC$1:$AC$400,_xlfn.TEXTJOIN(",",TRUE,B271:E271),SF_Output!$Q$1:$Q$400,"quarterly")*4)</f>
        <v/>
      </c>
      <c r="S271" s="112" t="str">
        <f>IF(OR(B271=0,B271="",G271="hardware",R271=0),"",IF(AF271&lt;&gt;"exclusion",MAX(S$9,-(SUMIFS(SF_Output!$T$1:$T$400,SF_Output!$AC$1:$AC$400,_xlfn.TEXTJOIN(",",TRUE,$B271:$E271),SF_Output!$Q$1:$Q$400,"yearly"))/R271),-((SUMIFS(SF_Output!$T$1:$T$400,SF_Output!$AC$1:$AC$400,_xlfn.TEXTJOIN(",",TRUE,$B271:$E271),SF_Output!$Q$1:$Q$400,"yearly")/R271))))</f>
        <v/>
      </c>
      <c r="T271" s="6" t="str">
        <f t="shared" si="19"/>
        <v/>
      </c>
      <c r="V271" s="6" t="str" cm="1">
        <f t="array" ref="V271">_xlfn.IFS(B271="","",AND(B271&lt;&gt;"",H271=SF_Output!$Y$2,SUMIFS(SF_Output!$T$1:$T$400,SF_Output!$AC$1:$AC$400,_xlfn.TEXTJOIN(",",TRUE,B271:E271),SF_Output!$Q$1:$Q$400,"monthly")=0),(SUMIFS(SF_Output!$F$1:$F$400,SF_Output!$AC$1:$AC$400,_xlfn.TEXTJOIN(",",TRUE,B271:E271),SF_Output!$Q$1:$Q$400,"monthly")+SUMIFS(SF_Output!$G$1:$G$400,SF_Output!$AC$1:$AC$400,_xlfn.TEXTJOIN(",",TRUE,B271:E271),SF_Output!$Q$1:$Q$400,"monthly"))*H271,AND(B271&lt;&gt;"",H271=SF_Output!$Y$2,SUMIFS(SF_Output!$T$1:$T$400,SF_Output!$AC$1:$AC$400,_xlfn.TEXTJOIN(",",TRUE,B271:E271),SF_Output!$Q$1:$Q$400,"monthly")&lt;&gt;0),SUMIFS(SF_Output!$S$1:$S$400,SF_Output!$AC$1:$AC$400,_xlfn.TEXTJOIN(",",TRUE,B271:E271),SF_Output!$Q$1:$Q$400,"monthly"),AND(B271&lt;&gt;"",H271&lt;&gt;SF_Output!$Y$2),SUMIFS(SF_Output!$S$1:$S$400,SF_Output!$AC$1:$AC$400,_xlfn.TEXTJOIN(",",TRUE,B271:E271),SF_Output!$Q$1:$Q$400,"monthly"))</f>
        <v/>
      </c>
      <c r="W271" s="112" t="str" cm="1">
        <f t="array" ref="W271">_xlfn.IFS(OR(B271=0,B271="",V271=0),"",AF271&lt;&gt;"exclusion",MAX($W$9,$W$7,(-(SUMIFS(SF_Output!$T$1:$T$400,SF_Output!$AC$1:$AC$400,_xlfn.TEXTJOIN(",",TRUE,$B271:$E271),SF_Output!$Q$1:$Q$400,"monthly"))/V271)),AF271="exclusion",-(SUMIFS(SF_Output!$T$1:$T$400,SF_Output!$AC$1:$AC$400,_xlfn.TEXTJOIN(",",TRUE,$B271:$E271),SF_Output!$Q$1:$Q$400,"monthly"))/V271)</f>
        <v/>
      </c>
      <c r="X271" s="6" t="str" cm="1">
        <f t="array" ref="X271">IFERROR(_xlfn.IFS(V271=0,0,V271="","",W271=0,V271,OR(V271&lt;&gt;0,V271&lt;&gt;""),H271*I271),V271*(1-W271))</f>
        <v/>
      </c>
    </row>
    <row r="272" spans="6:24" x14ac:dyDescent="0.25">
      <c r="F272" s="116" t="str">
        <f t="shared" si="16"/>
        <v/>
      </c>
      <c r="G272" t="str">
        <f>IF(B272="","",INDEX(SF_Output!$K$1:$K$400,MATCH(B272,SF_Output!$M$1:$M$400,0)))</f>
        <v/>
      </c>
      <c r="H272" t="str" cm="1">
        <f t="array" ref="H272">_xlfn.IFS(B272="","",(SUMIFS(SF_Output!$F$1:$F$400,SF_Output!$AC$1:$AC$400,_xlfn.TEXTJOIN(",",TRUE,B272:E272))+SUMIFS(SF_Output!$G$1:$G$400,SF_Output!$AC$1:$AC$400,_xlfn.TEXTJOIN(",",TRUE,B272:E272)))&lt;&gt;0,SF_Output!$Y$2,INDEX(SF_Output!$F$1:$F$400,MATCH(_xlfn.TEXTJOIN(",",TRUE,B272:E272),SF_Output!$AC$1:$AC$400,0))=0,INDEX(SF_Output!$R$1:$R$400,MATCH(_xlfn.TEXTJOIN(",",TRUE,B272:E272),SF_Output!$AC$1:$AC$400,0)))</f>
        <v/>
      </c>
      <c r="I272" s="125" t="str">
        <f>IFERROR(IF(AND(H272&gt;1,H272&lt;&gt;""),ROUND(SUMIFS(SF_Output!$S$1:$S$400,SF_Output!$AC$1:$AC$400,_xlfn.TEXTJOIN(",",TRUE,B272:E272),SF_Output!$Q$1:$Q$400,"monthly")*(1-W272)/H272,4),""),"")</f>
        <v/>
      </c>
      <c r="J272" s="6" t="str">
        <f>IF(B272="","",SUMIFS(SF_Output!$S$1:$S$400,SF_Output!$AC$1:$AC$400,_xlfn.TEXTJOIN(",",TRUE,B272:E272),SF_Output!$Q$1:$Q$400,"One Time",SF_Output!$L$1:$L$400,"license fee")+SUMIFS(SF_Output!$S$1:$S$400,SF_Output!$AC$1:$AC$400,_xlfn.TEXTJOIN(",",TRUE,B272:E272),SF_Output!$Q$1:$Q$400,"One Time",SF_Output!$L$1:$L$400,"software license")+SUMIFS(SF_Output!$S$1:$S$400,SF_Output!$AC$1:$AC$400,_xlfn.TEXTJOIN(",",TRUE,B272:E272),SF_Output!$Q$1:$Q$400,"One Time",SF_Output!$L$1:$L$400,"hardware"))</f>
        <v/>
      </c>
      <c r="K272" s="112" t="str">
        <f>IF(OR(B272=0,B272="",G272="hardware",J272=0),"",IF(AF272&lt;&gt;"exclusion",MAX(K$9,-((SUMIFS(SF_Output!$T$1:$T$400,SF_Output!$AC$1:$AC$400,_xlfn.TEXTJOIN(",",TRUE,$B272:$E272),SF_Output!$Q$1:$Q$400,"One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license"))/J272)),-((SUMIFS(SF_Output!$T$1:$T$400,SF_Output!$AC$1:$AC$400,_xlfn.TEXTJOIN(",",TRUE,$B272:$E272),SF_Output!$Q$1:$Q$400,"One Time",SF_Output!$L$1:$L$400,"license fee")+SUMIFS(SF_Output!$T$1:$T$400,SF_Output!$AC$1:$AC$400,_xlfn.TEXTJOIN(",",TRUE,$B272:$E272),SF_Output!$Q$1:$Q$400,"One Time",SF_Output!$L$1:$L$400,"software license"))/J272)))</f>
        <v/>
      </c>
      <c r="L272" s="6" t="str">
        <f t="shared" si="17"/>
        <v/>
      </c>
      <c r="N272" s="6" t="str">
        <f>IF(B272="","",SUMIFS(SF_Output!$S$1:$S$400,SF_Output!$AC$1:$AC$400,_xlfn.TEXTJOIN(",",TRUE,B272:E272),SF_Output!$Q$1:$Q$400,"One Time",SF_Output!$L$1:$L$400,"professional service"))</f>
        <v/>
      </c>
      <c r="O272" s="112" t="str">
        <f>IF(OR(B272=0,B272="",N272=0),"",IF(AF272&lt;&gt;"exclusion",MAX(O$9,-(SUMIFS(SF_Output!$T$1:$T$400,SF_Output!$AC$1:$AC$400,_xlfn.TEXTJOIN(",",TRUE,$B272:$E272),SF_Output!$Q$1:$Q$400,"One Time",SF_Output!$L$1:$L$400,"professional service"))/N272),-((SUMIFS(SF_Output!$T$1:$T$400,SF_Output!$AC$1:$AC$400,_xlfn.TEXTJOIN(",",TRUE,$B272:$E272),SF_Output!$Q$1:$Q$400,"One Time",SF_Output!$L$1:$L$400,"professional service")/N272))))</f>
        <v/>
      </c>
      <c r="P272" s="6" t="str">
        <f t="shared" si="18"/>
        <v/>
      </c>
      <c r="R272" s="6" t="str">
        <f>IF(B272="","",SUMIFS(SF_Output!$S$1:$S$400,SF_Output!$AC$1:$AC$400,_xlfn.TEXTJOIN(",",TRUE,B272:E272),SF_Output!$Q$1:$Q$400,"yearly")+SUMIFS(SF_Output!$S$1:$S$400,SF_Output!$AC$1:$AC$400,_xlfn.TEXTJOIN(",",TRUE,B272:E272),SF_Output!$Q$1:$Q$400,"quarterly")*4)</f>
        <v/>
      </c>
      <c r="S272" s="112" t="str">
        <f>IF(OR(B272=0,B272="",G272="hardware",R272=0),"",IF(AF272&lt;&gt;"exclusion",MAX(S$9,-(SUMIFS(SF_Output!$T$1:$T$400,SF_Output!$AC$1:$AC$400,_xlfn.TEXTJOIN(",",TRUE,$B272:$E272),SF_Output!$Q$1:$Q$400,"yearly"))/R272),-((SUMIFS(SF_Output!$T$1:$T$400,SF_Output!$AC$1:$AC$400,_xlfn.TEXTJOIN(",",TRUE,$B272:$E272),SF_Output!$Q$1:$Q$400,"yearly")/R272))))</f>
        <v/>
      </c>
      <c r="T272" s="6" t="str">
        <f t="shared" si="19"/>
        <v/>
      </c>
      <c r="V272" s="6" t="str" cm="1">
        <f t="array" ref="V272">_xlfn.IFS(B272="","",AND(B272&lt;&gt;"",H272=SF_Output!$Y$2,SUMIFS(SF_Output!$T$1:$T$400,SF_Output!$AC$1:$AC$400,_xlfn.TEXTJOIN(",",TRUE,B272:E272),SF_Output!$Q$1:$Q$400,"monthly")=0),(SUMIFS(SF_Output!$F$1:$F$400,SF_Output!$AC$1:$AC$400,_xlfn.TEXTJOIN(",",TRUE,B272:E272),SF_Output!$Q$1:$Q$400,"monthly")+SUMIFS(SF_Output!$G$1:$G$400,SF_Output!$AC$1:$AC$400,_xlfn.TEXTJOIN(",",TRUE,B272:E272),SF_Output!$Q$1:$Q$400,"monthly"))*H272,AND(B272&lt;&gt;"",H272=SF_Output!$Y$2,SUMIFS(SF_Output!$T$1:$T$400,SF_Output!$AC$1:$AC$400,_xlfn.TEXTJOIN(",",TRUE,B272:E272),SF_Output!$Q$1:$Q$400,"monthly")&lt;&gt;0),SUMIFS(SF_Output!$S$1:$S$400,SF_Output!$AC$1:$AC$400,_xlfn.TEXTJOIN(",",TRUE,B272:E272),SF_Output!$Q$1:$Q$400,"monthly"),AND(B272&lt;&gt;"",H272&lt;&gt;SF_Output!$Y$2),SUMIFS(SF_Output!$S$1:$S$400,SF_Output!$AC$1:$AC$400,_xlfn.TEXTJOIN(",",TRUE,B272:E272),SF_Output!$Q$1:$Q$400,"monthly"))</f>
        <v/>
      </c>
      <c r="W272" s="112" t="str" cm="1">
        <f t="array" ref="W272">_xlfn.IFS(OR(B272=0,B272="",V272=0),"",AF272&lt;&gt;"exclusion",MAX($W$9,$W$7,(-(SUMIFS(SF_Output!$T$1:$T$400,SF_Output!$AC$1:$AC$400,_xlfn.TEXTJOIN(",",TRUE,$B272:$E272),SF_Output!$Q$1:$Q$400,"monthly"))/V272)),AF272="exclusion",-(SUMIFS(SF_Output!$T$1:$T$400,SF_Output!$AC$1:$AC$400,_xlfn.TEXTJOIN(",",TRUE,$B272:$E272),SF_Output!$Q$1:$Q$400,"monthly"))/V272)</f>
        <v/>
      </c>
      <c r="X272" s="6" t="str" cm="1">
        <f t="array" ref="X272">IFERROR(_xlfn.IFS(V272=0,0,V272="","",W272=0,V272,OR(V272&lt;&gt;0,V272&lt;&gt;""),H272*I272),V272*(1-W272))</f>
        <v/>
      </c>
    </row>
    <row r="273" spans="6:24" x14ac:dyDescent="0.25">
      <c r="F273" s="116" t="str">
        <f t="shared" si="16"/>
        <v/>
      </c>
      <c r="G273" t="str">
        <f>IF(B273="","",INDEX(SF_Output!$K$1:$K$400,MATCH(B273,SF_Output!$M$1:$M$400,0)))</f>
        <v/>
      </c>
      <c r="H273" t="str" cm="1">
        <f t="array" ref="H273">_xlfn.IFS(B273="","",(SUMIFS(SF_Output!$F$1:$F$400,SF_Output!$AC$1:$AC$400,_xlfn.TEXTJOIN(",",TRUE,B273:E273))+SUMIFS(SF_Output!$G$1:$G$400,SF_Output!$AC$1:$AC$400,_xlfn.TEXTJOIN(",",TRUE,B273:E273)))&lt;&gt;0,SF_Output!$Y$2,INDEX(SF_Output!$F$1:$F$400,MATCH(_xlfn.TEXTJOIN(",",TRUE,B273:E273),SF_Output!$AC$1:$AC$400,0))=0,INDEX(SF_Output!$R$1:$R$400,MATCH(_xlfn.TEXTJOIN(",",TRUE,B273:E273),SF_Output!$AC$1:$AC$400,0)))</f>
        <v/>
      </c>
      <c r="I273" s="125" t="str">
        <f>IFERROR(IF(AND(H273&gt;1,H273&lt;&gt;""),ROUND(SUMIFS(SF_Output!$S$1:$S$400,SF_Output!$AC$1:$AC$400,_xlfn.TEXTJOIN(",",TRUE,B273:E273),SF_Output!$Q$1:$Q$400,"monthly")*(1-W273)/H273,4),""),"")</f>
        <v/>
      </c>
      <c r="J273" s="6" t="str">
        <f>IF(B273="","",SUMIFS(SF_Output!$S$1:$S$400,SF_Output!$AC$1:$AC$400,_xlfn.TEXTJOIN(",",TRUE,B273:E273),SF_Output!$Q$1:$Q$400,"One Time",SF_Output!$L$1:$L$400,"license fee")+SUMIFS(SF_Output!$S$1:$S$400,SF_Output!$AC$1:$AC$400,_xlfn.TEXTJOIN(",",TRUE,B273:E273),SF_Output!$Q$1:$Q$400,"One Time",SF_Output!$L$1:$L$400,"software license")+SUMIFS(SF_Output!$S$1:$S$400,SF_Output!$AC$1:$AC$400,_xlfn.TEXTJOIN(",",TRUE,B273:E273),SF_Output!$Q$1:$Q$400,"One Time",SF_Output!$L$1:$L$400,"hardware"))</f>
        <v/>
      </c>
      <c r="K273" s="112" t="str">
        <f>IF(OR(B273=0,B273="",G273="hardware",J273=0),"",IF(AF273&lt;&gt;"exclusion",MAX(K$9,-((SUMIFS(SF_Output!$T$1:$T$400,SF_Output!$AC$1:$AC$400,_xlfn.TEXTJOIN(",",TRUE,$B273:$E273),SF_Output!$Q$1:$Q$400,"One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license"))/J273)),-((SUMIFS(SF_Output!$T$1:$T$400,SF_Output!$AC$1:$AC$400,_xlfn.TEXTJOIN(",",TRUE,$B273:$E273),SF_Output!$Q$1:$Q$400,"One Time",SF_Output!$L$1:$L$400,"license fee")+SUMIFS(SF_Output!$T$1:$T$400,SF_Output!$AC$1:$AC$400,_xlfn.TEXTJOIN(",",TRUE,$B273:$E273),SF_Output!$Q$1:$Q$400,"One Time",SF_Output!$L$1:$L$400,"software license"))/J273)))</f>
        <v/>
      </c>
      <c r="L273" s="6" t="str">
        <f t="shared" si="17"/>
        <v/>
      </c>
      <c r="N273" s="6" t="str">
        <f>IF(B273="","",SUMIFS(SF_Output!$S$1:$S$400,SF_Output!$AC$1:$AC$400,_xlfn.TEXTJOIN(",",TRUE,B273:E273),SF_Output!$Q$1:$Q$400,"One Time",SF_Output!$L$1:$L$400,"professional service"))</f>
        <v/>
      </c>
      <c r="O273" s="112" t="str">
        <f>IF(OR(B273=0,B273="",N273=0),"",IF(AF273&lt;&gt;"exclusion",MAX(O$9,-(SUMIFS(SF_Output!$T$1:$T$400,SF_Output!$AC$1:$AC$400,_xlfn.TEXTJOIN(",",TRUE,$B273:$E273),SF_Output!$Q$1:$Q$400,"One Time",SF_Output!$L$1:$L$400,"professional service"))/N273),-((SUMIFS(SF_Output!$T$1:$T$400,SF_Output!$AC$1:$AC$400,_xlfn.TEXTJOIN(",",TRUE,$B273:$E273),SF_Output!$Q$1:$Q$400,"One Time",SF_Output!$L$1:$L$400,"professional service")/N273))))</f>
        <v/>
      </c>
      <c r="P273" s="6" t="str">
        <f t="shared" si="18"/>
        <v/>
      </c>
      <c r="R273" s="6" t="str">
        <f>IF(B273="","",SUMIFS(SF_Output!$S$1:$S$400,SF_Output!$AC$1:$AC$400,_xlfn.TEXTJOIN(",",TRUE,B273:E273),SF_Output!$Q$1:$Q$400,"yearly")+SUMIFS(SF_Output!$S$1:$S$400,SF_Output!$AC$1:$AC$400,_xlfn.TEXTJOIN(",",TRUE,B273:E273),SF_Output!$Q$1:$Q$400,"quarterly")*4)</f>
        <v/>
      </c>
      <c r="S273" s="112" t="str">
        <f>IF(OR(B273=0,B273="",G273="hardware",R273=0),"",IF(AF273&lt;&gt;"exclusion",MAX(S$9,-(SUMIFS(SF_Output!$T$1:$T$400,SF_Output!$AC$1:$AC$400,_xlfn.TEXTJOIN(",",TRUE,$B273:$E273),SF_Output!$Q$1:$Q$400,"yearly"))/R273),-((SUMIFS(SF_Output!$T$1:$T$400,SF_Output!$AC$1:$AC$400,_xlfn.TEXTJOIN(",",TRUE,$B273:$E273),SF_Output!$Q$1:$Q$400,"yearly")/R273))))</f>
        <v/>
      </c>
      <c r="T273" s="6" t="str">
        <f t="shared" si="19"/>
        <v/>
      </c>
      <c r="V273" s="6" t="str" cm="1">
        <f t="array" ref="V273">_xlfn.IFS(B273="","",AND(B273&lt;&gt;"",H273=SF_Output!$Y$2,SUMIFS(SF_Output!$T$1:$T$400,SF_Output!$AC$1:$AC$400,_xlfn.TEXTJOIN(",",TRUE,B273:E273),SF_Output!$Q$1:$Q$400,"monthly")=0),(SUMIFS(SF_Output!$F$1:$F$400,SF_Output!$AC$1:$AC$400,_xlfn.TEXTJOIN(",",TRUE,B273:E273),SF_Output!$Q$1:$Q$400,"monthly")+SUMIFS(SF_Output!$G$1:$G$400,SF_Output!$AC$1:$AC$400,_xlfn.TEXTJOIN(",",TRUE,B273:E273),SF_Output!$Q$1:$Q$400,"monthly"))*H273,AND(B273&lt;&gt;"",H273=SF_Output!$Y$2,SUMIFS(SF_Output!$T$1:$T$400,SF_Output!$AC$1:$AC$400,_xlfn.TEXTJOIN(",",TRUE,B273:E273),SF_Output!$Q$1:$Q$400,"monthly")&lt;&gt;0),SUMIFS(SF_Output!$S$1:$S$400,SF_Output!$AC$1:$AC$400,_xlfn.TEXTJOIN(",",TRUE,B273:E273),SF_Output!$Q$1:$Q$400,"monthly"),AND(B273&lt;&gt;"",H273&lt;&gt;SF_Output!$Y$2),SUMIFS(SF_Output!$S$1:$S$400,SF_Output!$AC$1:$AC$400,_xlfn.TEXTJOIN(",",TRUE,B273:E273),SF_Output!$Q$1:$Q$400,"monthly"))</f>
        <v/>
      </c>
      <c r="W273" s="112" t="str" cm="1">
        <f t="array" ref="W273">_xlfn.IFS(OR(B273=0,B273="",V273=0),"",AF273&lt;&gt;"exclusion",MAX($W$9,$W$7,(-(SUMIFS(SF_Output!$T$1:$T$400,SF_Output!$AC$1:$AC$400,_xlfn.TEXTJOIN(",",TRUE,$B273:$E273),SF_Output!$Q$1:$Q$400,"monthly"))/V273)),AF273="exclusion",-(SUMIFS(SF_Output!$T$1:$T$400,SF_Output!$AC$1:$AC$400,_xlfn.TEXTJOIN(",",TRUE,$B273:$E273),SF_Output!$Q$1:$Q$400,"monthly"))/V273)</f>
        <v/>
      </c>
      <c r="X273" s="6" t="str" cm="1">
        <f t="array" ref="X273">IFERROR(_xlfn.IFS(V273=0,0,V273="","",W273=0,V273,OR(V273&lt;&gt;0,V273&lt;&gt;""),H273*I273),V273*(1-W273))</f>
        <v/>
      </c>
    </row>
    <row r="274" spans="6:24" x14ac:dyDescent="0.25">
      <c r="F274" s="116" t="str">
        <f t="shared" si="16"/>
        <v/>
      </c>
      <c r="G274" t="str">
        <f>IF(B274="","",INDEX(SF_Output!$K$1:$K$400,MATCH(B274,SF_Output!$M$1:$M$400,0)))</f>
        <v/>
      </c>
      <c r="H274" t="str" cm="1">
        <f t="array" ref="H274">_xlfn.IFS(B274="","",(SUMIFS(SF_Output!$F$1:$F$400,SF_Output!$AC$1:$AC$400,_xlfn.TEXTJOIN(",",TRUE,B274:E274))+SUMIFS(SF_Output!$G$1:$G$400,SF_Output!$AC$1:$AC$400,_xlfn.TEXTJOIN(",",TRUE,B274:E274)))&lt;&gt;0,SF_Output!$Y$2,INDEX(SF_Output!$F$1:$F$400,MATCH(_xlfn.TEXTJOIN(",",TRUE,B274:E274),SF_Output!$AC$1:$AC$400,0))=0,INDEX(SF_Output!$R$1:$R$400,MATCH(_xlfn.TEXTJOIN(",",TRUE,B274:E274),SF_Output!$AC$1:$AC$400,0)))</f>
        <v/>
      </c>
      <c r="I274" s="125" t="str">
        <f>IFERROR(IF(AND(H274&gt;1,H274&lt;&gt;""),ROUND(SUMIFS(SF_Output!$S$1:$S$400,SF_Output!$AC$1:$AC$400,_xlfn.TEXTJOIN(",",TRUE,B274:E274),SF_Output!$Q$1:$Q$400,"monthly")*(1-W274)/H274,4),""),"")</f>
        <v/>
      </c>
      <c r="J274" s="6" t="str">
        <f>IF(B274="","",SUMIFS(SF_Output!$S$1:$S$400,SF_Output!$AC$1:$AC$400,_xlfn.TEXTJOIN(",",TRUE,B274:E274),SF_Output!$Q$1:$Q$400,"One Time",SF_Output!$L$1:$L$400,"license fee")+SUMIFS(SF_Output!$S$1:$S$400,SF_Output!$AC$1:$AC$400,_xlfn.TEXTJOIN(",",TRUE,B274:E274),SF_Output!$Q$1:$Q$400,"One Time",SF_Output!$L$1:$L$400,"software license")+SUMIFS(SF_Output!$S$1:$S$400,SF_Output!$AC$1:$AC$400,_xlfn.TEXTJOIN(",",TRUE,B274:E274),SF_Output!$Q$1:$Q$400,"One Time",SF_Output!$L$1:$L$400,"hardware"))</f>
        <v/>
      </c>
      <c r="K274" s="112" t="str">
        <f>IF(OR(B274=0,B274="",G274="hardware",J274=0),"",IF(AF274&lt;&gt;"exclusion",MAX(K$9,-((SUMIFS(SF_Output!$T$1:$T$400,SF_Output!$AC$1:$AC$400,_xlfn.TEXTJOIN(",",TRUE,$B274:$E274),SF_Output!$Q$1:$Q$400,"One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license"))/J274)),-((SUMIFS(SF_Output!$T$1:$T$400,SF_Output!$AC$1:$AC$400,_xlfn.TEXTJOIN(",",TRUE,$B274:$E274),SF_Output!$Q$1:$Q$400,"One Time",SF_Output!$L$1:$L$400,"license fee")+SUMIFS(SF_Output!$T$1:$T$400,SF_Output!$AC$1:$AC$400,_xlfn.TEXTJOIN(",",TRUE,$B274:$E274),SF_Output!$Q$1:$Q$400,"One Time",SF_Output!$L$1:$L$400,"software license"))/J274)))</f>
        <v/>
      </c>
      <c r="L274" s="6" t="str">
        <f t="shared" si="17"/>
        <v/>
      </c>
      <c r="N274" s="6" t="str">
        <f>IF(B274="","",SUMIFS(SF_Output!$S$1:$S$400,SF_Output!$AC$1:$AC$400,_xlfn.TEXTJOIN(",",TRUE,B274:E274),SF_Output!$Q$1:$Q$400,"One Time",SF_Output!$L$1:$L$400,"professional service"))</f>
        <v/>
      </c>
      <c r="O274" s="112" t="str">
        <f>IF(OR(B274=0,B274="",N274=0),"",IF(AF274&lt;&gt;"exclusion",MAX(O$9,-(SUMIFS(SF_Output!$T$1:$T$400,SF_Output!$AC$1:$AC$400,_xlfn.TEXTJOIN(",",TRUE,$B274:$E274),SF_Output!$Q$1:$Q$400,"One Time",SF_Output!$L$1:$L$400,"professional service"))/N274),-((SUMIFS(SF_Output!$T$1:$T$400,SF_Output!$AC$1:$AC$400,_xlfn.TEXTJOIN(",",TRUE,$B274:$E274),SF_Output!$Q$1:$Q$400,"One Time",SF_Output!$L$1:$L$400,"professional service")/N274))))</f>
        <v/>
      </c>
      <c r="P274" s="6" t="str">
        <f t="shared" si="18"/>
        <v/>
      </c>
      <c r="R274" s="6" t="str">
        <f>IF(B274="","",SUMIFS(SF_Output!$S$1:$S$400,SF_Output!$AC$1:$AC$400,_xlfn.TEXTJOIN(",",TRUE,B274:E274),SF_Output!$Q$1:$Q$400,"yearly")+SUMIFS(SF_Output!$S$1:$S$400,SF_Output!$AC$1:$AC$400,_xlfn.TEXTJOIN(",",TRUE,B274:E274),SF_Output!$Q$1:$Q$400,"quarterly")*4)</f>
        <v/>
      </c>
      <c r="S274" s="112" t="str">
        <f>IF(OR(B274=0,B274="",G274="hardware",R274=0),"",IF(AF274&lt;&gt;"exclusion",MAX(S$9,-(SUMIFS(SF_Output!$T$1:$T$400,SF_Output!$AC$1:$AC$400,_xlfn.TEXTJOIN(",",TRUE,$B274:$E274),SF_Output!$Q$1:$Q$400,"yearly"))/R274),-((SUMIFS(SF_Output!$T$1:$T$400,SF_Output!$AC$1:$AC$400,_xlfn.TEXTJOIN(",",TRUE,$B274:$E274),SF_Output!$Q$1:$Q$400,"yearly")/R274))))</f>
        <v/>
      </c>
      <c r="T274" s="6" t="str">
        <f t="shared" si="19"/>
        <v/>
      </c>
      <c r="V274" s="6" t="str" cm="1">
        <f t="array" ref="V274">_xlfn.IFS(B274="","",AND(B274&lt;&gt;"",H274=SF_Output!$Y$2,SUMIFS(SF_Output!$T$1:$T$400,SF_Output!$AC$1:$AC$400,_xlfn.TEXTJOIN(",",TRUE,B274:E274),SF_Output!$Q$1:$Q$400,"monthly")=0),(SUMIFS(SF_Output!$F$1:$F$400,SF_Output!$AC$1:$AC$400,_xlfn.TEXTJOIN(",",TRUE,B274:E274),SF_Output!$Q$1:$Q$400,"monthly")+SUMIFS(SF_Output!$G$1:$G$400,SF_Output!$AC$1:$AC$400,_xlfn.TEXTJOIN(",",TRUE,B274:E274),SF_Output!$Q$1:$Q$400,"monthly"))*H274,AND(B274&lt;&gt;"",H274=SF_Output!$Y$2,SUMIFS(SF_Output!$T$1:$T$400,SF_Output!$AC$1:$AC$400,_xlfn.TEXTJOIN(",",TRUE,B274:E274),SF_Output!$Q$1:$Q$400,"monthly")&lt;&gt;0),SUMIFS(SF_Output!$S$1:$S$400,SF_Output!$AC$1:$AC$400,_xlfn.TEXTJOIN(",",TRUE,B274:E274),SF_Output!$Q$1:$Q$400,"monthly"),AND(B274&lt;&gt;"",H274&lt;&gt;SF_Output!$Y$2),SUMIFS(SF_Output!$S$1:$S$400,SF_Output!$AC$1:$AC$400,_xlfn.TEXTJOIN(",",TRUE,B274:E274),SF_Output!$Q$1:$Q$400,"monthly"))</f>
        <v/>
      </c>
      <c r="W274" s="112" t="str" cm="1">
        <f t="array" ref="W274">_xlfn.IFS(OR(B274=0,B274="",V274=0),"",AF274&lt;&gt;"exclusion",MAX($W$9,$W$7,(-(SUMIFS(SF_Output!$T$1:$T$400,SF_Output!$AC$1:$AC$400,_xlfn.TEXTJOIN(",",TRUE,$B274:$E274),SF_Output!$Q$1:$Q$400,"monthly"))/V274)),AF274="exclusion",-(SUMIFS(SF_Output!$T$1:$T$400,SF_Output!$AC$1:$AC$400,_xlfn.TEXTJOIN(",",TRUE,$B274:$E274),SF_Output!$Q$1:$Q$400,"monthly"))/V274)</f>
        <v/>
      </c>
      <c r="X274" s="6" t="str" cm="1">
        <f t="array" ref="X274">IFERROR(_xlfn.IFS(V274=0,0,V274="","",W274=0,V274,OR(V274&lt;&gt;0,V274&lt;&gt;""),H274*I274),V274*(1-W274))</f>
        <v/>
      </c>
    </row>
    <row r="275" spans="6:24" x14ac:dyDescent="0.25">
      <c r="F275" s="116" t="str">
        <f t="shared" si="16"/>
        <v/>
      </c>
      <c r="G275" t="str">
        <f>IF(B275="","",INDEX(SF_Output!$K$1:$K$400,MATCH(B275,SF_Output!$M$1:$M$400,0)))</f>
        <v/>
      </c>
      <c r="H275" t="str" cm="1">
        <f t="array" ref="H275">_xlfn.IFS(B275="","",(SUMIFS(SF_Output!$F$1:$F$400,SF_Output!$AC$1:$AC$400,_xlfn.TEXTJOIN(",",TRUE,B275:E275))+SUMIFS(SF_Output!$G$1:$G$400,SF_Output!$AC$1:$AC$400,_xlfn.TEXTJOIN(",",TRUE,B275:E275)))&lt;&gt;0,SF_Output!$Y$2,INDEX(SF_Output!$F$1:$F$400,MATCH(_xlfn.TEXTJOIN(",",TRUE,B275:E275),SF_Output!$AC$1:$AC$400,0))=0,INDEX(SF_Output!$R$1:$R$400,MATCH(_xlfn.TEXTJOIN(",",TRUE,B275:E275),SF_Output!$AC$1:$AC$400,0)))</f>
        <v/>
      </c>
      <c r="I275" s="125" t="str">
        <f>IFERROR(IF(AND(H275&gt;1,H275&lt;&gt;""),ROUND(SUMIFS(SF_Output!$S$1:$S$400,SF_Output!$AC$1:$AC$400,_xlfn.TEXTJOIN(",",TRUE,B275:E275),SF_Output!$Q$1:$Q$400,"monthly")*(1-W275)/H275,4),""),"")</f>
        <v/>
      </c>
      <c r="J275" s="6" t="str">
        <f>IF(B275="","",SUMIFS(SF_Output!$S$1:$S$400,SF_Output!$AC$1:$AC$400,_xlfn.TEXTJOIN(",",TRUE,B275:E275),SF_Output!$Q$1:$Q$400,"One Time",SF_Output!$L$1:$L$400,"license fee")+SUMIFS(SF_Output!$S$1:$S$400,SF_Output!$AC$1:$AC$400,_xlfn.TEXTJOIN(",",TRUE,B275:E275),SF_Output!$Q$1:$Q$400,"One Time",SF_Output!$L$1:$L$400,"software license")+SUMIFS(SF_Output!$S$1:$S$400,SF_Output!$AC$1:$AC$400,_xlfn.TEXTJOIN(",",TRUE,B275:E275),SF_Output!$Q$1:$Q$400,"One Time",SF_Output!$L$1:$L$400,"hardware"))</f>
        <v/>
      </c>
      <c r="K275" s="112" t="str">
        <f>IF(OR(B275=0,B275="",G275="hardware",J275=0),"",IF(AF275&lt;&gt;"exclusion",MAX(K$9,-((SUMIFS(SF_Output!$T$1:$T$400,SF_Output!$AC$1:$AC$400,_xlfn.TEXTJOIN(",",TRUE,$B275:$E275),SF_Output!$Q$1:$Q$400,"One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license"))/J275)),-((SUMIFS(SF_Output!$T$1:$T$400,SF_Output!$AC$1:$AC$400,_xlfn.TEXTJOIN(",",TRUE,$B275:$E275),SF_Output!$Q$1:$Q$400,"One Time",SF_Output!$L$1:$L$400,"license fee")+SUMIFS(SF_Output!$T$1:$T$400,SF_Output!$AC$1:$AC$400,_xlfn.TEXTJOIN(",",TRUE,$B275:$E275),SF_Output!$Q$1:$Q$400,"One Time",SF_Output!$L$1:$L$400,"software license"))/J275)))</f>
        <v/>
      </c>
      <c r="L275" s="6" t="str">
        <f t="shared" si="17"/>
        <v/>
      </c>
      <c r="N275" s="6" t="str">
        <f>IF(B275="","",SUMIFS(SF_Output!$S$1:$S$400,SF_Output!$AC$1:$AC$400,_xlfn.TEXTJOIN(",",TRUE,B275:E275),SF_Output!$Q$1:$Q$400,"One Time",SF_Output!$L$1:$L$400,"professional service"))</f>
        <v/>
      </c>
      <c r="O275" s="112" t="str">
        <f>IF(OR(B275=0,B275="",N275=0),"",IF(AF275&lt;&gt;"exclusion",MAX(O$9,-(SUMIFS(SF_Output!$T$1:$T$400,SF_Output!$AC$1:$AC$400,_xlfn.TEXTJOIN(",",TRUE,$B275:$E275),SF_Output!$Q$1:$Q$400,"One Time",SF_Output!$L$1:$L$400,"professional service"))/N275),-((SUMIFS(SF_Output!$T$1:$T$400,SF_Output!$AC$1:$AC$400,_xlfn.TEXTJOIN(",",TRUE,$B275:$E275),SF_Output!$Q$1:$Q$400,"One Time",SF_Output!$L$1:$L$400,"professional service")/N275))))</f>
        <v/>
      </c>
      <c r="P275" s="6" t="str">
        <f t="shared" si="18"/>
        <v/>
      </c>
      <c r="R275" s="6" t="str">
        <f>IF(B275="","",SUMIFS(SF_Output!$S$1:$S$400,SF_Output!$AC$1:$AC$400,_xlfn.TEXTJOIN(",",TRUE,B275:E275),SF_Output!$Q$1:$Q$400,"yearly")+SUMIFS(SF_Output!$S$1:$S$400,SF_Output!$AC$1:$AC$400,_xlfn.TEXTJOIN(",",TRUE,B275:E275),SF_Output!$Q$1:$Q$400,"quarterly")*4)</f>
        <v/>
      </c>
      <c r="S275" s="112" t="str">
        <f>IF(OR(B275=0,B275="",G275="hardware",R275=0),"",IF(AF275&lt;&gt;"exclusion",MAX(S$9,-(SUMIFS(SF_Output!$T$1:$T$400,SF_Output!$AC$1:$AC$400,_xlfn.TEXTJOIN(",",TRUE,$B275:$E275),SF_Output!$Q$1:$Q$400,"yearly"))/R275),-((SUMIFS(SF_Output!$T$1:$T$400,SF_Output!$AC$1:$AC$400,_xlfn.TEXTJOIN(",",TRUE,$B275:$E275),SF_Output!$Q$1:$Q$400,"yearly")/R275))))</f>
        <v/>
      </c>
      <c r="T275" s="6" t="str">
        <f t="shared" si="19"/>
        <v/>
      </c>
      <c r="V275" s="6" t="str" cm="1">
        <f t="array" ref="V275">_xlfn.IFS(B275="","",AND(B275&lt;&gt;"",H275=SF_Output!$Y$2,SUMIFS(SF_Output!$T$1:$T$400,SF_Output!$AC$1:$AC$400,_xlfn.TEXTJOIN(",",TRUE,B275:E275),SF_Output!$Q$1:$Q$400,"monthly")=0),(SUMIFS(SF_Output!$F$1:$F$400,SF_Output!$AC$1:$AC$400,_xlfn.TEXTJOIN(",",TRUE,B275:E275),SF_Output!$Q$1:$Q$400,"monthly")+SUMIFS(SF_Output!$G$1:$G$400,SF_Output!$AC$1:$AC$400,_xlfn.TEXTJOIN(",",TRUE,B275:E275),SF_Output!$Q$1:$Q$400,"monthly"))*H275,AND(B275&lt;&gt;"",H275=SF_Output!$Y$2,SUMIFS(SF_Output!$T$1:$T$400,SF_Output!$AC$1:$AC$400,_xlfn.TEXTJOIN(",",TRUE,B275:E275),SF_Output!$Q$1:$Q$400,"monthly")&lt;&gt;0),SUMIFS(SF_Output!$S$1:$S$400,SF_Output!$AC$1:$AC$400,_xlfn.TEXTJOIN(",",TRUE,B275:E275),SF_Output!$Q$1:$Q$400,"monthly"),AND(B275&lt;&gt;"",H275&lt;&gt;SF_Output!$Y$2),SUMIFS(SF_Output!$S$1:$S$400,SF_Output!$AC$1:$AC$400,_xlfn.TEXTJOIN(",",TRUE,B275:E275),SF_Output!$Q$1:$Q$400,"monthly"))</f>
        <v/>
      </c>
      <c r="W275" s="112" t="str" cm="1">
        <f t="array" ref="W275">_xlfn.IFS(OR(B275=0,B275="",V275=0),"",AF275&lt;&gt;"exclusion",MAX($W$9,$W$7,(-(SUMIFS(SF_Output!$T$1:$T$400,SF_Output!$AC$1:$AC$400,_xlfn.TEXTJOIN(",",TRUE,$B275:$E275),SF_Output!$Q$1:$Q$400,"monthly"))/V275)),AF275="exclusion",-(SUMIFS(SF_Output!$T$1:$T$400,SF_Output!$AC$1:$AC$400,_xlfn.TEXTJOIN(",",TRUE,$B275:$E275),SF_Output!$Q$1:$Q$400,"monthly"))/V275)</f>
        <v/>
      </c>
      <c r="X275" s="6" t="str" cm="1">
        <f t="array" ref="X275">IFERROR(_xlfn.IFS(V275=0,0,V275="","",W275=0,V275,OR(V275&lt;&gt;0,V275&lt;&gt;""),H275*I275),V275*(1-W275))</f>
        <v/>
      </c>
    </row>
    <row r="276" spans="6:24" x14ac:dyDescent="0.25">
      <c r="F276" s="116" t="str">
        <f t="shared" si="16"/>
        <v/>
      </c>
      <c r="G276" t="str">
        <f>IF(B276="","",INDEX(SF_Output!$K$1:$K$400,MATCH(B276,SF_Output!$M$1:$M$400,0)))</f>
        <v/>
      </c>
      <c r="H276" t="str" cm="1">
        <f t="array" ref="H276">_xlfn.IFS(B276="","",(SUMIFS(SF_Output!$F$1:$F$400,SF_Output!$AC$1:$AC$400,_xlfn.TEXTJOIN(",",TRUE,B276:E276))+SUMIFS(SF_Output!$G$1:$G$400,SF_Output!$AC$1:$AC$400,_xlfn.TEXTJOIN(",",TRUE,B276:E276)))&lt;&gt;0,SF_Output!$Y$2,INDEX(SF_Output!$F$1:$F$400,MATCH(_xlfn.TEXTJOIN(",",TRUE,B276:E276),SF_Output!$AC$1:$AC$400,0))=0,INDEX(SF_Output!$R$1:$R$400,MATCH(_xlfn.TEXTJOIN(",",TRUE,B276:E276),SF_Output!$AC$1:$AC$400,0)))</f>
        <v/>
      </c>
      <c r="I276" s="125" t="str">
        <f>IFERROR(IF(AND(H276&gt;1,H276&lt;&gt;""),ROUND(SUMIFS(SF_Output!$S$1:$S$400,SF_Output!$AC$1:$AC$400,_xlfn.TEXTJOIN(",",TRUE,B276:E276),SF_Output!$Q$1:$Q$400,"monthly")*(1-W276)/H276,4),""),"")</f>
        <v/>
      </c>
      <c r="J276" s="6" t="str">
        <f>IF(B276="","",SUMIFS(SF_Output!$S$1:$S$400,SF_Output!$AC$1:$AC$400,_xlfn.TEXTJOIN(",",TRUE,B276:E276),SF_Output!$Q$1:$Q$400,"One Time",SF_Output!$L$1:$L$400,"license fee")+SUMIFS(SF_Output!$S$1:$S$400,SF_Output!$AC$1:$AC$400,_xlfn.TEXTJOIN(",",TRUE,B276:E276),SF_Output!$Q$1:$Q$400,"One Time",SF_Output!$L$1:$L$400,"software license")+SUMIFS(SF_Output!$S$1:$S$400,SF_Output!$AC$1:$AC$400,_xlfn.TEXTJOIN(",",TRUE,B276:E276),SF_Output!$Q$1:$Q$400,"One Time",SF_Output!$L$1:$L$400,"hardware"))</f>
        <v/>
      </c>
      <c r="K276" s="112" t="str">
        <f>IF(OR(B276=0,B276="",G276="hardware",J276=0),"",IF(AF276&lt;&gt;"exclusion",MAX(K$9,-((SUMIFS(SF_Output!$T$1:$T$400,SF_Output!$AC$1:$AC$400,_xlfn.TEXTJOIN(",",TRUE,$B276:$E276),SF_Output!$Q$1:$Q$400,"One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license"))/J276)),-((SUMIFS(SF_Output!$T$1:$T$400,SF_Output!$AC$1:$AC$400,_xlfn.TEXTJOIN(",",TRUE,$B276:$E276),SF_Output!$Q$1:$Q$400,"One Time",SF_Output!$L$1:$L$400,"license fee")+SUMIFS(SF_Output!$T$1:$T$400,SF_Output!$AC$1:$AC$400,_xlfn.TEXTJOIN(",",TRUE,$B276:$E276),SF_Output!$Q$1:$Q$400,"One Time",SF_Output!$L$1:$L$400,"software license"))/J276)))</f>
        <v/>
      </c>
      <c r="L276" s="6" t="str">
        <f t="shared" si="17"/>
        <v/>
      </c>
      <c r="N276" s="6" t="str">
        <f>IF(B276="","",SUMIFS(SF_Output!$S$1:$S$400,SF_Output!$AC$1:$AC$400,_xlfn.TEXTJOIN(",",TRUE,B276:E276),SF_Output!$Q$1:$Q$400,"One Time",SF_Output!$L$1:$L$400,"professional service"))</f>
        <v/>
      </c>
      <c r="O276" s="112" t="str">
        <f>IF(OR(B276=0,B276="",N276=0),"",IF(AF276&lt;&gt;"exclusion",MAX(O$9,-(SUMIFS(SF_Output!$T$1:$T$400,SF_Output!$AC$1:$AC$400,_xlfn.TEXTJOIN(",",TRUE,$B276:$E276),SF_Output!$Q$1:$Q$400,"One Time",SF_Output!$L$1:$L$400,"professional service"))/N276),-((SUMIFS(SF_Output!$T$1:$T$400,SF_Output!$AC$1:$AC$400,_xlfn.TEXTJOIN(",",TRUE,$B276:$E276),SF_Output!$Q$1:$Q$400,"One Time",SF_Output!$L$1:$L$400,"professional service")/N276))))</f>
        <v/>
      </c>
      <c r="P276" s="6" t="str">
        <f t="shared" si="18"/>
        <v/>
      </c>
      <c r="R276" s="6" t="str">
        <f>IF(B276="","",SUMIFS(SF_Output!$S$1:$S$400,SF_Output!$AC$1:$AC$400,_xlfn.TEXTJOIN(",",TRUE,B276:E276),SF_Output!$Q$1:$Q$400,"yearly")+SUMIFS(SF_Output!$S$1:$S$400,SF_Output!$AC$1:$AC$400,_xlfn.TEXTJOIN(",",TRUE,B276:E276),SF_Output!$Q$1:$Q$400,"quarterly")*4)</f>
        <v/>
      </c>
      <c r="S276" s="112" t="str">
        <f>IF(OR(B276=0,B276="",G276="hardware",R276=0),"",IF(AF276&lt;&gt;"exclusion",MAX(S$9,-(SUMIFS(SF_Output!$T$1:$T$400,SF_Output!$AC$1:$AC$400,_xlfn.TEXTJOIN(",",TRUE,$B276:$E276),SF_Output!$Q$1:$Q$400,"yearly"))/R276),-((SUMIFS(SF_Output!$T$1:$T$400,SF_Output!$AC$1:$AC$400,_xlfn.TEXTJOIN(",",TRUE,$B276:$E276),SF_Output!$Q$1:$Q$400,"yearly")/R276))))</f>
        <v/>
      </c>
      <c r="T276" s="6" t="str">
        <f t="shared" si="19"/>
        <v/>
      </c>
      <c r="V276" s="6" t="str" cm="1">
        <f t="array" ref="V276">_xlfn.IFS(B276="","",AND(B276&lt;&gt;"",H276=SF_Output!$Y$2,SUMIFS(SF_Output!$T$1:$T$400,SF_Output!$AC$1:$AC$400,_xlfn.TEXTJOIN(",",TRUE,B276:E276),SF_Output!$Q$1:$Q$400,"monthly")=0),(SUMIFS(SF_Output!$F$1:$F$400,SF_Output!$AC$1:$AC$400,_xlfn.TEXTJOIN(",",TRUE,B276:E276),SF_Output!$Q$1:$Q$400,"monthly")+SUMIFS(SF_Output!$G$1:$G$400,SF_Output!$AC$1:$AC$400,_xlfn.TEXTJOIN(",",TRUE,B276:E276),SF_Output!$Q$1:$Q$400,"monthly"))*H276,AND(B276&lt;&gt;"",H276=SF_Output!$Y$2,SUMIFS(SF_Output!$T$1:$T$400,SF_Output!$AC$1:$AC$400,_xlfn.TEXTJOIN(",",TRUE,B276:E276),SF_Output!$Q$1:$Q$400,"monthly")&lt;&gt;0),SUMIFS(SF_Output!$S$1:$S$400,SF_Output!$AC$1:$AC$400,_xlfn.TEXTJOIN(",",TRUE,B276:E276),SF_Output!$Q$1:$Q$400,"monthly"),AND(B276&lt;&gt;"",H276&lt;&gt;SF_Output!$Y$2),SUMIFS(SF_Output!$S$1:$S$400,SF_Output!$AC$1:$AC$400,_xlfn.TEXTJOIN(",",TRUE,B276:E276),SF_Output!$Q$1:$Q$400,"monthly"))</f>
        <v/>
      </c>
      <c r="W276" s="112" t="str" cm="1">
        <f t="array" ref="W276">_xlfn.IFS(OR(B276=0,B276="",V276=0),"",AF276&lt;&gt;"exclusion",MAX($W$9,$W$7,(-(SUMIFS(SF_Output!$T$1:$T$400,SF_Output!$AC$1:$AC$400,_xlfn.TEXTJOIN(",",TRUE,$B276:$E276),SF_Output!$Q$1:$Q$400,"monthly"))/V276)),AF276="exclusion",-(SUMIFS(SF_Output!$T$1:$T$400,SF_Output!$AC$1:$AC$400,_xlfn.TEXTJOIN(",",TRUE,$B276:$E276),SF_Output!$Q$1:$Q$400,"monthly"))/V276)</f>
        <v/>
      </c>
      <c r="X276" s="6" t="str" cm="1">
        <f t="array" ref="X276">IFERROR(_xlfn.IFS(V276=0,0,V276="","",W276=0,V276,OR(V276&lt;&gt;0,V276&lt;&gt;""),H276*I276),V276*(1-W276))</f>
        <v/>
      </c>
    </row>
    <row r="277" spans="6:24" x14ac:dyDescent="0.25">
      <c r="F277" s="116" t="str">
        <f t="shared" si="16"/>
        <v/>
      </c>
      <c r="G277" t="str">
        <f>IF(B277="","",INDEX(SF_Output!$K$1:$K$400,MATCH(B277,SF_Output!$M$1:$M$400,0)))</f>
        <v/>
      </c>
      <c r="H277" t="str" cm="1">
        <f t="array" ref="H277">_xlfn.IFS(B277="","",(SUMIFS(SF_Output!$F$1:$F$400,SF_Output!$AC$1:$AC$400,_xlfn.TEXTJOIN(",",TRUE,B277:E277))+SUMIFS(SF_Output!$G$1:$G$400,SF_Output!$AC$1:$AC$400,_xlfn.TEXTJOIN(",",TRUE,B277:E277)))&lt;&gt;0,SF_Output!$Y$2,INDEX(SF_Output!$F$1:$F$400,MATCH(_xlfn.TEXTJOIN(",",TRUE,B277:E277),SF_Output!$AC$1:$AC$400,0))=0,INDEX(SF_Output!$R$1:$R$400,MATCH(_xlfn.TEXTJOIN(",",TRUE,B277:E277),SF_Output!$AC$1:$AC$400,0)))</f>
        <v/>
      </c>
      <c r="I277" s="125" t="str">
        <f>IFERROR(IF(AND(H277&gt;1,H277&lt;&gt;""),ROUND(SUMIFS(SF_Output!$S$1:$S$400,SF_Output!$AC$1:$AC$400,_xlfn.TEXTJOIN(",",TRUE,B277:E277),SF_Output!$Q$1:$Q$400,"monthly")*(1-W277)/H277,4),""),"")</f>
        <v/>
      </c>
      <c r="J277" s="6" t="str">
        <f>IF(B277="","",SUMIFS(SF_Output!$S$1:$S$400,SF_Output!$AC$1:$AC$400,_xlfn.TEXTJOIN(",",TRUE,B277:E277),SF_Output!$Q$1:$Q$400,"One Time",SF_Output!$L$1:$L$400,"license fee")+SUMIFS(SF_Output!$S$1:$S$400,SF_Output!$AC$1:$AC$400,_xlfn.TEXTJOIN(",",TRUE,B277:E277),SF_Output!$Q$1:$Q$400,"One Time",SF_Output!$L$1:$L$400,"software license")+SUMIFS(SF_Output!$S$1:$S$400,SF_Output!$AC$1:$AC$400,_xlfn.TEXTJOIN(",",TRUE,B277:E277),SF_Output!$Q$1:$Q$400,"One Time",SF_Output!$L$1:$L$400,"hardware"))</f>
        <v/>
      </c>
      <c r="K277" s="112" t="str">
        <f>IF(OR(B277=0,B277="",G277="hardware",J277=0),"",IF(AF277&lt;&gt;"exclusion",MAX(K$9,-((SUMIFS(SF_Output!$T$1:$T$400,SF_Output!$AC$1:$AC$400,_xlfn.TEXTJOIN(",",TRUE,$B277:$E277),SF_Output!$Q$1:$Q$400,"One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license"))/J277)),-((SUMIFS(SF_Output!$T$1:$T$400,SF_Output!$AC$1:$AC$400,_xlfn.TEXTJOIN(",",TRUE,$B277:$E277),SF_Output!$Q$1:$Q$400,"One Time",SF_Output!$L$1:$L$400,"license fee")+SUMIFS(SF_Output!$T$1:$T$400,SF_Output!$AC$1:$AC$400,_xlfn.TEXTJOIN(",",TRUE,$B277:$E277),SF_Output!$Q$1:$Q$400,"One Time",SF_Output!$L$1:$L$400,"software license"))/J277)))</f>
        <v/>
      </c>
      <c r="L277" s="6" t="str">
        <f t="shared" si="17"/>
        <v/>
      </c>
      <c r="N277" s="6" t="str">
        <f>IF(B277="","",SUMIFS(SF_Output!$S$1:$S$400,SF_Output!$AC$1:$AC$400,_xlfn.TEXTJOIN(",",TRUE,B277:E277),SF_Output!$Q$1:$Q$400,"One Time",SF_Output!$L$1:$L$400,"professional service"))</f>
        <v/>
      </c>
      <c r="O277" s="112" t="str">
        <f>IF(OR(B277=0,B277="",N277=0),"",IF(AF277&lt;&gt;"exclusion",MAX(O$9,-(SUMIFS(SF_Output!$T$1:$T$400,SF_Output!$AC$1:$AC$400,_xlfn.TEXTJOIN(",",TRUE,$B277:$E277),SF_Output!$Q$1:$Q$400,"One Time",SF_Output!$L$1:$L$400,"professional service"))/N277),-((SUMIFS(SF_Output!$T$1:$T$400,SF_Output!$AC$1:$AC$400,_xlfn.TEXTJOIN(",",TRUE,$B277:$E277),SF_Output!$Q$1:$Q$400,"One Time",SF_Output!$L$1:$L$400,"professional service")/N277))))</f>
        <v/>
      </c>
      <c r="P277" s="6" t="str">
        <f t="shared" si="18"/>
        <v/>
      </c>
      <c r="R277" s="6" t="str">
        <f>IF(B277="","",SUMIFS(SF_Output!$S$1:$S$400,SF_Output!$AC$1:$AC$400,_xlfn.TEXTJOIN(",",TRUE,B277:E277),SF_Output!$Q$1:$Q$400,"yearly")+SUMIFS(SF_Output!$S$1:$S$400,SF_Output!$AC$1:$AC$400,_xlfn.TEXTJOIN(",",TRUE,B277:E277),SF_Output!$Q$1:$Q$400,"quarterly")*4)</f>
        <v/>
      </c>
      <c r="S277" s="112" t="str">
        <f>IF(OR(B277=0,B277="",G277="hardware",R277=0),"",IF(AF277&lt;&gt;"exclusion",MAX(S$9,-(SUMIFS(SF_Output!$T$1:$T$400,SF_Output!$AC$1:$AC$400,_xlfn.TEXTJOIN(",",TRUE,$B277:$E277),SF_Output!$Q$1:$Q$400,"yearly"))/R277),-((SUMIFS(SF_Output!$T$1:$T$400,SF_Output!$AC$1:$AC$400,_xlfn.TEXTJOIN(",",TRUE,$B277:$E277),SF_Output!$Q$1:$Q$400,"yearly")/R277))))</f>
        <v/>
      </c>
      <c r="T277" s="6" t="str">
        <f t="shared" si="19"/>
        <v/>
      </c>
      <c r="V277" s="6" t="str" cm="1">
        <f t="array" ref="V277">_xlfn.IFS(B277="","",AND(B277&lt;&gt;"",H277=SF_Output!$Y$2,SUMIFS(SF_Output!$T$1:$T$400,SF_Output!$AC$1:$AC$400,_xlfn.TEXTJOIN(",",TRUE,B277:E277),SF_Output!$Q$1:$Q$400,"monthly")=0),(SUMIFS(SF_Output!$F$1:$F$400,SF_Output!$AC$1:$AC$400,_xlfn.TEXTJOIN(",",TRUE,B277:E277),SF_Output!$Q$1:$Q$400,"monthly")+SUMIFS(SF_Output!$G$1:$G$400,SF_Output!$AC$1:$AC$400,_xlfn.TEXTJOIN(",",TRUE,B277:E277),SF_Output!$Q$1:$Q$400,"monthly"))*H277,AND(B277&lt;&gt;"",H277=SF_Output!$Y$2,SUMIFS(SF_Output!$T$1:$T$400,SF_Output!$AC$1:$AC$400,_xlfn.TEXTJOIN(",",TRUE,B277:E277),SF_Output!$Q$1:$Q$400,"monthly")&lt;&gt;0),SUMIFS(SF_Output!$S$1:$S$400,SF_Output!$AC$1:$AC$400,_xlfn.TEXTJOIN(",",TRUE,B277:E277),SF_Output!$Q$1:$Q$400,"monthly"),AND(B277&lt;&gt;"",H277&lt;&gt;SF_Output!$Y$2),SUMIFS(SF_Output!$S$1:$S$400,SF_Output!$AC$1:$AC$400,_xlfn.TEXTJOIN(",",TRUE,B277:E277),SF_Output!$Q$1:$Q$400,"monthly"))</f>
        <v/>
      </c>
      <c r="W277" s="112" t="str" cm="1">
        <f t="array" ref="W277">_xlfn.IFS(OR(B277=0,B277="",V277=0),"",AF277&lt;&gt;"exclusion",MAX($W$9,$W$7,(-(SUMIFS(SF_Output!$T$1:$T$400,SF_Output!$AC$1:$AC$400,_xlfn.TEXTJOIN(",",TRUE,$B277:$E277),SF_Output!$Q$1:$Q$400,"monthly"))/V277)),AF277="exclusion",-(SUMIFS(SF_Output!$T$1:$T$400,SF_Output!$AC$1:$AC$400,_xlfn.TEXTJOIN(",",TRUE,$B277:$E277),SF_Output!$Q$1:$Q$400,"monthly"))/V277)</f>
        <v/>
      </c>
      <c r="X277" s="6" t="str" cm="1">
        <f t="array" ref="X277">IFERROR(_xlfn.IFS(V277=0,0,V277="","",W277=0,V277,OR(V277&lt;&gt;0,V277&lt;&gt;""),H277*I277),V277*(1-W277))</f>
        <v/>
      </c>
    </row>
    <row r="278" spans="6:24" x14ac:dyDescent="0.25">
      <c r="F278" s="116" t="str">
        <f t="shared" si="16"/>
        <v/>
      </c>
      <c r="G278" t="str">
        <f>IF(B278="","",INDEX(SF_Output!$K$1:$K$400,MATCH(B278,SF_Output!$M$1:$M$400,0)))</f>
        <v/>
      </c>
      <c r="H278" t="str" cm="1">
        <f t="array" ref="H278">_xlfn.IFS(B278="","",(SUMIFS(SF_Output!$F$1:$F$400,SF_Output!$AC$1:$AC$400,_xlfn.TEXTJOIN(",",TRUE,B278:E278))+SUMIFS(SF_Output!$G$1:$G$400,SF_Output!$AC$1:$AC$400,_xlfn.TEXTJOIN(",",TRUE,B278:E278)))&lt;&gt;0,SF_Output!$Y$2,INDEX(SF_Output!$F$1:$F$400,MATCH(_xlfn.TEXTJOIN(",",TRUE,B278:E278),SF_Output!$AC$1:$AC$400,0))=0,INDEX(SF_Output!$R$1:$R$400,MATCH(_xlfn.TEXTJOIN(",",TRUE,B278:E278),SF_Output!$AC$1:$AC$400,0)))</f>
        <v/>
      </c>
      <c r="I278" s="125" t="str">
        <f>IFERROR(IF(AND(H278&gt;1,H278&lt;&gt;""),ROUND(SUMIFS(SF_Output!$S$1:$S$400,SF_Output!$AC$1:$AC$400,_xlfn.TEXTJOIN(",",TRUE,B278:E278),SF_Output!$Q$1:$Q$400,"monthly")*(1-W278)/H278,4),""),"")</f>
        <v/>
      </c>
      <c r="J278" s="6" t="str">
        <f>IF(B278="","",SUMIFS(SF_Output!$S$1:$S$400,SF_Output!$AC$1:$AC$400,_xlfn.TEXTJOIN(",",TRUE,B278:E278),SF_Output!$Q$1:$Q$400,"One Time",SF_Output!$L$1:$L$400,"license fee")+SUMIFS(SF_Output!$S$1:$S$400,SF_Output!$AC$1:$AC$400,_xlfn.TEXTJOIN(",",TRUE,B278:E278),SF_Output!$Q$1:$Q$400,"One Time",SF_Output!$L$1:$L$400,"software license")+SUMIFS(SF_Output!$S$1:$S$400,SF_Output!$AC$1:$AC$400,_xlfn.TEXTJOIN(",",TRUE,B278:E278),SF_Output!$Q$1:$Q$400,"One Time",SF_Output!$L$1:$L$400,"hardware"))</f>
        <v/>
      </c>
      <c r="K278" s="112" t="str">
        <f>IF(OR(B278=0,B278="",G278="hardware",J278=0),"",IF(AF278&lt;&gt;"exclusion",MAX(K$9,-((SUMIFS(SF_Output!$T$1:$T$400,SF_Output!$AC$1:$AC$400,_xlfn.TEXTJOIN(",",TRUE,$B278:$E278),SF_Output!$Q$1:$Q$400,"One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license"))/J278)),-((SUMIFS(SF_Output!$T$1:$T$400,SF_Output!$AC$1:$AC$400,_xlfn.TEXTJOIN(",",TRUE,$B278:$E278),SF_Output!$Q$1:$Q$400,"One Time",SF_Output!$L$1:$L$400,"license fee")+SUMIFS(SF_Output!$T$1:$T$400,SF_Output!$AC$1:$AC$400,_xlfn.TEXTJOIN(",",TRUE,$B278:$E278),SF_Output!$Q$1:$Q$400,"One Time",SF_Output!$L$1:$L$400,"software license"))/J278)))</f>
        <v/>
      </c>
      <c r="L278" s="6" t="str">
        <f t="shared" si="17"/>
        <v/>
      </c>
      <c r="N278" s="6" t="str">
        <f>IF(B278="","",SUMIFS(SF_Output!$S$1:$S$400,SF_Output!$AC$1:$AC$400,_xlfn.TEXTJOIN(",",TRUE,B278:E278),SF_Output!$Q$1:$Q$400,"One Time",SF_Output!$L$1:$L$400,"professional service"))</f>
        <v/>
      </c>
      <c r="O278" s="112" t="str">
        <f>IF(OR(B278=0,B278="",N278=0),"",IF(AF278&lt;&gt;"exclusion",MAX(O$9,-(SUMIFS(SF_Output!$T$1:$T$400,SF_Output!$AC$1:$AC$400,_xlfn.TEXTJOIN(",",TRUE,$B278:$E278),SF_Output!$Q$1:$Q$400,"One Time",SF_Output!$L$1:$L$400,"professional service"))/N278),-((SUMIFS(SF_Output!$T$1:$T$400,SF_Output!$AC$1:$AC$400,_xlfn.TEXTJOIN(",",TRUE,$B278:$E278),SF_Output!$Q$1:$Q$400,"One Time",SF_Output!$L$1:$L$400,"professional service")/N278))))</f>
        <v/>
      </c>
      <c r="P278" s="6" t="str">
        <f t="shared" si="18"/>
        <v/>
      </c>
      <c r="R278" s="6" t="str">
        <f>IF(B278="","",SUMIFS(SF_Output!$S$1:$S$400,SF_Output!$AC$1:$AC$400,_xlfn.TEXTJOIN(",",TRUE,B278:E278),SF_Output!$Q$1:$Q$400,"yearly")+SUMIFS(SF_Output!$S$1:$S$400,SF_Output!$AC$1:$AC$400,_xlfn.TEXTJOIN(",",TRUE,B278:E278),SF_Output!$Q$1:$Q$400,"quarterly")*4)</f>
        <v/>
      </c>
      <c r="S278" s="112" t="str">
        <f>IF(OR(B278=0,B278="",G278="hardware",R278=0),"",IF(AF278&lt;&gt;"exclusion",MAX(S$9,-(SUMIFS(SF_Output!$T$1:$T$400,SF_Output!$AC$1:$AC$400,_xlfn.TEXTJOIN(",",TRUE,$B278:$E278),SF_Output!$Q$1:$Q$400,"yearly"))/R278),-((SUMIFS(SF_Output!$T$1:$T$400,SF_Output!$AC$1:$AC$400,_xlfn.TEXTJOIN(",",TRUE,$B278:$E278),SF_Output!$Q$1:$Q$400,"yearly")/R278))))</f>
        <v/>
      </c>
      <c r="T278" s="6" t="str">
        <f t="shared" si="19"/>
        <v/>
      </c>
      <c r="V278" s="6" t="str" cm="1">
        <f t="array" ref="V278">_xlfn.IFS(B278="","",AND(B278&lt;&gt;"",H278=SF_Output!$Y$2,SUMIFS(SF_Output!$T$1:$T$400,SF_Output!$AC$1:$AC$400,_xlfn.TEXTJOIN(",",TRUE,B278:E278),SF_Output!$Q$1:$Q$400,"monthly")=0),(SUMIFS(SF_Output!$F$1:$F$400,SF_Output!$AC$1:$AC$400,_xlfn.TEXTJOIN(",",TRUE,B278:E278),SF_Output!$Q$1:$Q$400,"monthly")+SUMIFS(SF_Output!$G$1:$G$400,SF_Output!$AC$1:$AC$400,_xlfn.TEXTJOIN(",",TRUE,B278:E278),SF_Output!$Q$1:$Q$400,"monthly"))*H278,AND(B278&lt;&gt;"",H278=SF_Output!$Y$2,SUMIFS(SF_Output!$T$1:$T$400,SF_Output!$AC$1:$AC$400,_xlfn.TEXTJOIN(",",TRUE,B278:E278),SF_Output!$Q$1:$Q$400,"monthly")&lt;&gt;0),SUMIFS(SF_Output!$S$1:$S$400,SF_Output!$AC$1:$AC$400,_xlfn.TEXTJOIN(",",TRUE,B278:E278),SF_Output!$Q$1:$Q$400,"monthly"),AND(B278&lt;&gt;"",H278&lt;&gt;SF_Output!$Y$2),SUMIFS(SF_Output!$S$1:$S$400,SF_Output!$AC$1:$AC$400,_xlfn.TEXTJOIN(",",TRUE,B278:E278),SF_Output!$Q$1:$Q$400,"monthly"))</f>
        <v/>
      </c>
      <c r="W278" s="112" t="str" cm="1">
        <f t="array" ref="W278">_xlfn.IFS(OR(B278=0,B278="",V278=0),"",AF278&lt;&gt;"exclusion",MAX($W$9,$W$7,(-(SUMIFS(SF_Output!$T$1:$T$400,SF_Output!$AC$1:$AC$400,_xlfn.TEXTJOIN(",",TRUE,$B278:$E278),SF_Output!$Q$1:$Q$400,"monthly"))/V278)),AF278="exclusion",-(SUMIFS(SF_Output!$T$1:$T$400,SF_Output!$AC$1:$AC$400,_xlfn.TEXTJOIN(",",TRUE,$B278:$E278),SF_Output!$Q$1:$Q$400,"monthly"))/V278)</f>
        <v/>
      </c>
      <c r="X278" s="6" t="str" cm="1">
        <f t="array" ref="X278">IFERROR(_xlfn.IFS(V278=0,0,V278="","",W278=0,V278,OR(V278&lt;&gt;0,V278&lt;&gt;""),H278*I278),V278*(1-W278))</f>
        <v/>
      </c>
    </row>
    <row r="279" spans="6:24" x14ac:dyDescent="0.25">
      <c r="F279" s="116" t="str">
        <f t="shared" si="16"/>
        <v/>
      </c>
      <c r="G279" t="str">
        <f>IF(B279="","",INDEX(SF_Output!$K$1:$K$400,MATCH(B279,SF_Output!$M$1:$M$400,0)))</f>
        <v/>
      </c>
      <c r="H279" t="str" cm="1">
        <f t="array" ref="H279">_xlfn.IFS(B279="","",(SUMIFS(SF_Output!$F$1:$F$400,SF_Output!$AC$1:$AC$400,_xlfn.TEXTJOIN(",",TRUE,B279:E279))+SUMIFS(SF_Output!$G$1:$G$400,SF_Output!$AC$1:$AC$400,_xlfn.TEXTJOIN(",",TRUE,B279:E279)))&lt;&gt;0,SF_Output!$Y$2,INDEX(SF_Output!$F$1:$F$400,MATCH(_xlfn.TEXTJOIN(",",TRUE,B279:E279),SF_Output!$AC$1:$AC$400,0))=0,INDEX(SF_Output!$R$1:$R$400,MATCH(_xlfn.TEXTJOIN(",",TRUE,B279:E279),SF_Output!$AC$1:$AC$400,0)))</f>
        <v/>
      </c>
      <c r="I279" s="125" t="str">
        <f>IFERROR(IF(AND(H279&gt;1,H279&lt;&gt;""),ROUND(SUMIFS(SF_Output!$S$1:$S$400,SF_Output!$AC$1:$AC$400,_xlfn.TEXTJOIN(",",TRUE,B279:E279),SF_Output!$Q$1:$Q$400,"monthly")*(1-W279)/H279,4),""),"")</f>
        <v/>
      </c>
      <c r="J279" s="6" t="str">
        <f>IF(B279="","",SUMIFS(SF_Output!$S$1:$S$400,SF_Output!$AC$1:$AC$400,_xlfn.TEXTJOIN(",",TRUE,B279:E279),SF_Output!$Q$1:$Q$400,"One Time",SF_Output!$L$1:$L$400,"license fee")+SUMIFS(SF_Output!$S$1:$S$400,SF_Output!$AC$1:$AC$400,_xlfn.TEXTJOIN(",",TRUE,B279:E279),SF_Output!$Q$1:$Q$400,"One Time",SF_Output!$L$1:$L$400,"software license")+SUMIFS(SF_Output!$S$1:$S$400,SF_Output!$AC$1:$AC$400,_xlfn.TEXTJOIN(",",TRUE,B279:E279),SF_Output!$Q$1:$Q$400,"One Time",SF_Output!$L$1:$L$400,"hardware"))</f>
        <v/>
      </c>
      <c r="K279" s="112" t="str">
        <f>IF(OR(B279=0,B279="",G279="hardware",J279=0),"",IF(AF279&lt;&gt;"exclusion",MAX(K$9,-((SUMIFS(SF_Output!$T$1:$T$400,SF_Output!$AC$1:$AC$400,_xlfn.TEXTJOIN(",",TRUE,$B279:$E279),SF_Output!$Q$1:$Q$400,"One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license"))/J279)),-((SUMIFS(SF_Output!$T$1:$T$400,SF_Output!$AC$1:$AC$400,_xlfn.TEXTJOIN(",",TRUE,$B279:$E279),SF_Output!$Q$1:$Q$400,"One Time",SF_Output!$L$1:$L$400,"license fee")+SUMIFS(SF_Output!$T$1:$T$400,SF_Output!$AC$1:$AC$400,_xlfn.TEXTJOIN(",",TRUE,$B279:$E279),SF_Output!$Q$1:$Q$400,"One Time",SF_Output!$L$1:$L$400,"software license"))/J279)))</f>
        <v/>
      </c>
      <c r="L279" s="6" t="str">
        <f t="shared" si="17"/>
        <v/>
      </c>
      <c r="N279" s="6" t="str">
        <f>IF(B279="","",SUMIFS(SF_Output!$S$1:$S$400,SF_Output!$AC$1:$AC$400,_xlfn.TEXTJOIN(",",TRUE,B279:E279),SF_Output!$Q$1:$Q$400,"One Time",SF_Output!$L$1:$L$400,"professional service"))</f>
        <v/>
      </c>
      <c r="O279" s="112" t="str">
        <f>IF(OR(B279=0,B279="",N279=0),"",IF(AF279&lt;&gt;"exclusion",MAX(O$9,-(SUMIFS(SF_Output!$T$1:$T$400,SF_Output!$AC$1:$AC$400,_xlfn.TEXTJOIN(",",TRUE,$B279:$E279),SF_Output!$Q$1:$Q$400,"One Time",SF_Output!$L$1:$L$400,"professional service"))/N279),-((SUMIFS(SF_Output!$T$1:$T$400,SF_Output!$AC$1:$AC$400,_xlfn.TEXTJOIN(",",TRUE,$B279:$E279),SF_Output!$Q$1:$Q$400,"One Time",SF_Output!$L$1:$L$400,"professional service")/N279))))</f>
        <v/>
      </c>
      <c r="P279" s="6" t="str">
        <f t="shared" si="18"/>
        <v/>
      </c>
      <c r="R279" s="6" t="str">
        <f>IF(B279="","",SUMIFS(SF_Output!$S$1:$S$400,SF_Output!$AC$1:$AC$400,_xlfn.TEXTJOIN(",",TRUE,B279:E279),SF_Output!$Q$1:$Q$400,"yearly")+SUMIFS(SF_Output!$S$1:$S$400,SF_Output!$AC$1:$AC$400,_xlfn.TEXTJOIN(",",TRUE,B279:E279),SF_Output!$Q$1:$Q$400,"quarterly")*4)</f>
        <v/>
      </c>
      <c r="S279" s="112" t="str">
        <f>IF(OR(B279=0,B279="",G279="hardware",R279=0),"",IF(AF279&lt;&gt;"exclusion",MAX(S$9,-(SUMIFS(SF_Output!$T$1:$T$400,SF_Output!$AC$1:$AC$400,_xlfn.TEXTJOIN(",",TRUE,$B279:$E279),SF_Output!$Q$1:$Q$400,"yearly"))/R279),-((SUMIFS(SF_Output!$T$1:$T$400,SF_Output!$AC$1:$AC$400,_xlfn.TEXTJOIN(",",TRUE,$B279:$E279),SF_Output!$Q$1:$Q$400,"yearly")/R279))))</f>
        <v/>
      </c>
      <c r="T279" s="6" t="str">
        <f t="shared" si="19"/>
        <v/>
      </c>
      <c r="V279" s="6" t="str" cm="1">
        <f t="array" ref="V279">_xlfn.IFS(B279="","",AND(B279&lt;&gt;"",H279=SF_Output!$Y$2,SUMIFS(SF_Output!$T$1:$T$400,SF_Output!$AC$1:$AC$400,_xlfn.TEXTJOIN(",",TRUE,B279:E279),SF_Output!$Q$1:$Q$400,"monthly")=0),(SUMIFS(SF_Output!$F$1:$F$400,SF_Output!$AC$1:$AC$400,_xlfn.TEXTJOIN(",",TRUE,B279:E279),SF_Output!$Q$1:$Q$400,"monthly")+SUMIFS(SF_Output!$G$1:$G$400,SF_Output!$AC$1:$AC$400,_xlfn.TEXTJOIN(",",TRUE,B279:E279),SF_Output!$Q$1:$Q$400,"monthly"))*H279,AND(B279&lt;&gt;"",H279=SF_Output!$Y$2,SUMIFS(SF_Output!$T$1:$T$400,SF_Output!$AC$1:$AC$400,_xlfn.TEXTJOIN(",",TRUE,B279:E279),SF_Output!$Q$1:$Q$400,"monthly")&lt;&gt;0),SUMIFS(SF_Output!$S$1:$S$400,SF_Output!$AC$1:$AC$400,_xlfn.TEXTJOIN(",",TRUE,B279:E279),SF_Output!$Q$1:$Q$400,"monthly"),AND(B279&lt;&gt;"",H279&lt;&gt;SF_Output!$Y$2),SUMIFS(SF_Output!$S$1:$S$400,SF_Output!$AC$1:$AC$400,_xlfn.TEXTJOIN(",",TRUE,B279:E279),SF_Output!$Q$1:$Q$400,"monthly"))</f>
        <v/>
      </c>
      <c r="W279" s="112" t="str" cm="1">
        <f t="array" ref="W279">_xlfn.IFS(OR(B279=0,B279="",V279=0),"",AF279&lt;&gt;"exclusion",MAX($W$9,$W$7,(-(SUMIFS(SF_Output!$T$1:$T$400,SF_Output!$AC$1:$AC$400,_xlfn.TEXTJOIN(",",TRUE,$B279:$E279),SF_Output!$Q$1:$Q$400,"monthly"))/V279)),AF279="exclusion",-(SUMIFS(SF_Output!$T$1:$T$400,SF_Output!$AC$1:$AC$400,_xlfn.TEXTJOIN(",",TRUE,$B279:$E279),SF_Output!$Q$1:$Q$400,"monthly"))/V279)</f>
        <v/>
      </c>
      <c r="X279" s="6" t="str" cm="1">
        <f t="array" ref="X279">IFERROR(_xlfn.IFS(V279=0,0,V279="","",W279=0,V279,OR(V279&lt;&gt;0,V279&lt;&gt;""),H279*I279),V279*(1-W279))</f>
        <v/>
      </c>
    </row>
    <row r="280" spans="6:24" x14ac:dyDescent="0.25">
      <c r="F280" s="116" t="str">
        <f t="shared" si="16"/>
        <v/>
      </c>
      <c r="G280" t="str">
        <f>IF(B280="","",INDEX(SF_Output!$K$1:$K$400,MATCH(B280,SF_Output!$M$1:$M$400,0)))</f>
        <v/>
      </c>
      <c r="H280" t="str" cm="1">
        <f t="array" ref="H280">_xlfn.IFS(B280="","",(SUMIFS(SF_Output!$F$1:$F$400,SF_Output!$AC$1:$AC$400,_xlfn.TEXTJOIN(",",TRUE,B280:E280))+SUMIFS(SF_Output!$G$1:$G$400,SF_Output!$AC$1:$AC$400,_xlfn.TEXTJOIN(",",TRUE,B280:E280)))&lt;&gt;0,SF_Output!$Y$2,INDEX(SF_Output!$F$1:$F$400,MATCH(_xlfn.TEXTJOIN(",",TRUE,B280:E280),SF_Output!$AC$1:$AC$400,0))=0,INDEX(SF_Output!$R$1:$R$400,MATCH(_xlfn.TEXTJOIN(",",TRUE,B280:E280),SF_Output!$AC$1:$AC$400,0)))</f>
        <v/>
      </c>
      <c r="I280" s="125" t="str">
        <f>IFERROR(IF(AND(H280&gt;1,H280&lt;&gt;""),ROUND(SUMIFS(SF_Output!$S$1:$S$400,SF_Output!$AC$1:$AC$400,_xlfn.TEXTJOIN(",",TRUE,B280:E280),SF_Output!$Q$1:$Q$400,"monthly")*(1-W280)/H280,4),""),"")</f>
        <v/>
      </c>
      <c r="J280" s="6" t="str">
        <f>IF(B280="","",SUMIFS(SF_Output!$S$1:$S$400,SF_Output!$AC$1:$AC$400,_xlfn.TEXTJOIN(",",TRUE,B280:E280),SF_Output!$Q$1:$Q$400,"One Time",SF_Output!$L$1:$L$400,"license fee")+SUMIFS(SF_Output!$S$1:$S$400,SF_Output!$AC$1:$AC$400,_xlfn.TEXTJOIN(",",TRUE,B280:E280),SF_Output!$Q$1:$Q$400,"One Time",SF_Output!$L$1:$L$400,"software license")+SUMIFS(SF_Output!$S$1:$S$400,SF_Output!$AC$1:$AC$400,_xlfn.TEXTJOIN(",",TRUE,B280:E280),SF_Output!$Q$1:$Q$400,"One Time",SF_Output!$L$1:$L$400,"hardware"))</f>
        <v/>
      </c>
      <c r="K280" s="112" t="str">
        <f>IF(OR(B280=0,B280="",G280="hardware",J280=0),"",IF(AF280&lt;&gt;"exclusion",MAX(K$9,-((SUMIFS(SF_Output!$T$1:$T$400,SF_Output!$AC$1:$AC$400,_xlfn.TEXTJOIN(",",TRUE,$B280:$E280),SF_Output!$Q$1:$Q$400,"One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license"))/J280)),-((SUMIFS(SF_Output!$T$1:$T$400,SF_Output!$AC$1:$AC$400,_xlfn.TEXTJOIN(",",TRUE,$B280:$E280),SF_Output!$Q$1:$Q$400,"One Time",SF_Output!$L$1:$L$400,"license fee")+SUMIFS(SF_Output!$T$1:$T$400,SF_Output!$AC$1:$AC$400,_xlfn.TEXTJOIN(",",TRUE,$B280:$E280),SF_Output!$Q$1:$Q$400,"One Time",SF_Output!$L$1:$L$400,"software license"))/J280)))</f>
        <v/>
      </c>
      <c r="L280" s="6" t="str">
        <f t="shared" si="17"/>
        <v/>
      </c>
      <c r="N280" s="6" t="str">
        <f>IF(B280="","",SUMIFS(SF_Output!$S$1:$S$400,SF_Output!$AC$1:$AC$400,_xlfn.TEXTJOIN(",",TRUE,B280:E280),SF_Output!$Q$1:$Q$400,"One Time",SF_Output!$L$1:$L$400,"professional service"))</f>
        <v/>
      </c>
      <c r="O280" s="112" t="str">
        <f>IF(OR(B280=0,B280="",N280=0),"",IF(AF280&lt;&gt;"exclusion",MAX(O$9,-(SUMIFS(SF_Output!$T$1:$T$400,SF_Output!$AC$1:$AC$400,_xlfn.TEXTJOIN(",",TRUE,$B280:$E280),SF_Output!$Q$1:$Q$400,"One Time",SF_Output!$L$1:$L$400,"professional service"))/N280),-((SUMIFS(SF_Output!$T$1:$T$400,SF_Output!$AC$1:$AC$400,_xlfn.TEXTJOIN(",",TRUE,$B280:$E280),SF_Output!$Q$1:$Q$400,"One Time",SF_Output!$L$1:$L$400,"professional service")/N280))))</f>
        <v/>
      </c>
      <c r="P280" s="6" t="str">
        <f t="shared" si="18"/>
        <v/>
      </c>
      <c r="R280" s="6" t="str">
        <f>IF(B280="","",SUMIFS(SF_Output!$S$1:$S$400,SF_Output!$AC$1:$AC$400,_xlfn.TEXTJOIN(",",TRUE,B280:E280),SF_Output!$Q$1:$Q$400,"yearly")+SUMIFS(SF_Output!$S$1:$S$400,SF_Output!$AC$1:$AC$400,_xlfn.TEXTJOIN(",",TRUE,B280:E280),SF_Output!$Q$1:$Q$400,"quarterly")*4)</f>
        <v/>
      </c>
      <c r="S280" s="112" t="str">
        <f>IF(OR(B280=0,B280="",G280="hardware",R280=0),"",IF(AF280&lt;&gt;"exclusion",MAX(S$9,-(SUMIFS(SF_Output!$T$1:$T$400,SF_Output!$AC$1:$AC$400,_xlfn.TEXTJOIN(",",TRUE,$B280:$E280),SF_Output!$Q$1:$Q$400,"yearly"))/R280),-((SUMIFS(SF_Output!$T$1:$T$400,SF_Output!$AC$1:$AC$400,_xlfn.TEXTJOIN(",",TRUE,$B280:$E280),SF_Output!$Q$1:$Q$400,"yearly")/R280))))</f>
        <v/>
      </c>
      <c r="T280" s="6" t="str">
        <f t="shared" si="19"/>
        <v/>
      </c>
      <c r="V280" s="6" t="str" cm="1">
        <f t="array" ref="V280">_xlfn.IFS(B280="","",AND(B280&lt;&gt;"",H280=SF_Output!$Y$2,SUMIFS(SF_Output!$T$1:$T$400,SF_Output!$AC$1:$AC$400,_xlfn.TEXTJOIN(",",TRUE,B280:E280),SF_Output!$Q$1:$Q$400,"monthly")=0),(SUMIFS(SF_Output!$F$1:$F$400,SF_Output!$AC$1:$AC$400,_xlfn.TEXTJOIN(",",TRUE,B280:E280),SF_Output!$Q$1:$Q$400,"monthly")+SUMIFS(SF_Output!$G$1:$G$400,SF_Output!$AC$1:$AC$400,_xlfn.TEXTJOIN(",",TRUE,B280:E280),SF_Output!$Q$1:$Q$400,"monthly"))*H280,AND(B280&lt;&gt;"",H280=SF_Output!$Y$2,SUMIFS(SF_Output!$T$1:$T$400,SF_Output!$AC$1:$AC$400,_xlfn.TEXTJOIN(",",TRUE,B280:E280),SF_Output!$Q$1:$Q$400,"monthly")&lt;&gt;0),SUMIFS(SF_Output!$S$1:$S$400,SF_Output!$AC$1:$AC$400,_xlfn.TEXTJOIN(",",TRUE,B280:E280),SF_Output!$Q$1:$Q$400,"monthly"),AND(B280&lt;&gt;"",H280&lt;&gt;SF_Output!$Y$2),SUMIFS(SF_Output!$S$1:$S$400,SF_Output!$AC$1:$AC$400,_xlfn.TEXTJOIN(",",TRUE,B280:E280),SF_Output!$Q$1:$Q$400,"monthly"))</f>
        <v/>
      </c>
      <c r="W280" s="112" t="str" cm="1">
        <f t="array" ref="W280">_xlfn.IFS(OR(B280=0,B280="",V280=0),"",AF280&lt;&gt;"exclusion",MAX($W$9,$W$7,(-(SUMIFS(SF_Output!$T$1:$T$400,SF_Output!$AC$1:$AC$400,_xlfn.TEXTJOIN(",",TRUE,$B280:$E280),SF_Output!$Q$1:$Q$400,"monthly"))/V280)),AF280="exclusion",-(SUMIFS(SF_Output!$T$1:$T$400,SF_Output!$AC$1:$AC$400,_xlfn.TEXTJOIN(",",TRUE,$B280:$E280),SF_Output!$Q$1:$Q$400,"monthly"))/V280)</f>
        <v/>
      </c>
      <c r="X280" s="6" t="str" cm="1">
        <f t="array" ref="X280">IFERROR(_xlfn.IFS(V280=0,0,V280="","",W280=0,V280,OR(V280&lt;&gt;0,V280&lt;&gt;""),H280*I280),V280*(1-W280))</f>
        <v/>
      </c>
    </row>
    <row r="281" spans="6:24" x14ac:dyDescent="0.25">
      <c r="F281" s="116" t="str">
        <f t="shared" si="16"/>
        <v/>
      </c>
      <c r="G281" t="str">
        <f>IF(B281="","",INDEX(SF_Output!$K$1:$K$400,MATCH(B281,SF_Output!$M$1:$M$400,0)))</f>
        <v/>
      </c>
      <c r="H281" t="str" cm="1">
        <f t="array" ref="H281">_xlfn.IFS(B281="","",(SUMIFS(SF_Output!$F$1:$F$400,SF_Output!$AC$1:$AC$400,_xlfn.TEXTJOIN(",",TRUE,B281:E281))+SUMIFS(SF_Output!$G$1:$G$400,SF_Output!$AC$1:$AC$400,_xlfn.TEXTJOIN(",",TRUE,B281:E281)))&lt;&gt;0,SF_Output!$Y$2,INDEX(SF_Output!$F$1:$F$400,MATCH(_xlfn.TEXTJOIN(",",TRUE,B281:E281),SF_Output!$AC$1:$AC$400,0))=0,INDEX(SF_Output!$R$1:$R$400,MATCH(_xlfn.TEXTJOIN(",",TRUE,B281:E281),SF_Output!$AC$1:$AC$400,0)))</f>
        <v/>
      </c>
      <c r="I281" s="125" t="str">
        <f>IFERROR(IF(AND(H281&gt;1,H281&lt;&gt;""),ROUND(SUMIFS(SF_Output!$S$1:$S$400,SF_Output!$AC$1:$AC$400,_xlfn.TEXTJOIN(",",TRUE,B281:E281),SF_Output!$Q$1:$Q$400,"monthly")*(1-W281)/H281,4),""),"")</f>
        <v/>
      </c>
      <c r="J281" s="6" t="str">
        <f>IF(B281="","",SUMIFS(SF_Output!$S$1:$S$400,SF_Output!$AC$1:$AC$400,_xlfn.TEXTJOIN(",",TRUE,B281:E281),SF_Output!$Q$1:$Q$400,"One Time",SF_Output!$L$1:$L$400,"license fee")+SUMIFS(SF_Output!$S$1:$S$400,SF_Output!$AC$1:$AC$400,_xlfn.TEXTJOIN(",",TRUE,B281:E281),SF_Output!$Q$1:$Q$400,"One Time",SF_Output!$L$1:$L$400,"software license")+SUMIFS(SF_Output!$S$1:$S$400,SF_Output!$AC$1:$AC$400,_xlfn.TEXTJOIN(",",TRUE,B281:E281),SF_Output!$Q$1:$Q$400,"One Time",SF_Output!$L$1:$L$400,"hardware"))</f>
        <v/>
      </c>
      <c r="K281" s="112" t="str">
        <f>IF(OR(B281=0,B281="",G281="hardware",J281=0),"",IF(AF281&lt;&gt;"exclusion",MAX(K$9,-((SUMIFS(SF_Output!$T$1:$T$400,SF_Output!$AC$1:$AC$400,_xlfn.TEXTJOIN(",",TRUE,$B281:$E281),SF_Output!$Q$1:$Q$400,"One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license"))/J281)),-((SUMIFS(SF_Output!$T$1:$T$400,SF_Output!$AC$1:$AC$400,_xlfn.TEXTJOIN(",",TRUE,$B281:$E281),SF_Output!$Q$1:$Q$400,"One Time",SF_Output!$L$1:$L$400,"license fee")+SUMIFS(SF_Output!$T$1:$T$400,SF_Output!$AC$1:$AC$400,_xlfn.TEXTJOIN(",",TRUE,$B281:$E281),SF_Output!$Q$1:$Q$400,"One Time",SF_Output!$L$1:$L$400,"software license"))/J281)))</f>
        <v/>
      </c>
      <c r="L281" s="6" t="str">
        <f t="shared" si="17"/>
        <v/>
      </c>
      <c r="N281" s="6" t="str">
        <f>IF(B281="","",SUMIFS(SF_Output!$S$1:$S$400,SF_Output!$AC$1:$AC$400,_xlfn.TEXTJOIN(",",TRUE,B281:E281),SF_Output!$Q$1:$Q$400,"One Time",SF_Output!$L$1:$L$400,"professional service"))</f>
        <v/>
      </c>
      <c r="O281" s="112" t="str">
        <f>IF(OR(B281=0,B281="",N281=0),"",IF(AF281&lt;&gt;"exclusion",MAX(O$9,-(SUMIFS(SF_Output!$T$1:$T$400,SF_Output!$AC$1:$AC$400,_xlfn.TEXTJOIN(",",TRUE,$B281:$E281),SF_Output!$Q$1:$Q$400,"One Time",SF_Output!$L$1:$L$400,"professional service"))/N281),-((SUMIFS(SF_Output!$T$1:$T$400,SF_Output!$AC$1:$AC$400,_xlfn.TEXTJOIN(",",TRUE,$B281:$E281),SF_Output!$Q$1:$Q$400,"One Time",SF_Output!$L$1:$L$400,"professional service")/N281))))</f>
        <v/>
      </c>
      <c r="P281" s="6" t="str">
        <f t="shared" si="18"/>
        <v/>
      </c>
      <c r="R281" s="6" t="str">
        <f>IF(B281="","",SUMIFS(SF_Output!$S$1:$S$400,SF_Output!$AC$1:$AC$400,_xlfn.TEXTJOIN(",",TRUE,B281:E281),SF_Output!$Q$1:$Q$400,"yearly")+SUMIFS(SF_Output!$S$1:$S$400,SF_Output!$AC$1:$AC$400,_xlfn.TEXTJOIN(",",TRUE,B281:E281),SF_Output!$Q$1:$Q$400,"quarterly")*4)</f>
        <v/>
      </c>
      <c r="S281" s="112" t="str">
        <f>IF(OR(B281=0,B281="",G281="hardware",R281=0),"",IF(AF281&lt;&gt;"exclusion",MAX(S$9,-(SUMIFS(SF_Output!$T$1:$T$400,SF_Output!$AC$1:$AC$400,_xlfn.TEXTJOIN(",",TRUE,$B281:$E281),SF_Output!$Q$1:$Q$400,"yearly"))/R281),-((SUMIFS(SF_Output!$T$1:$T$400,SF_Output!$AC$1:$AC$400,_xlfn.TEXTJOIN(",",TRUE,$B281:$E281),SF_Output!$Q$1:$Q$400,"yearly")/R281))))</f>
        <v/>
      </c>
      <c r="T281" s="6" t="str">
        <f t="shared" si="19"/>
        <v/>
      </c>
      <c r="V281" s="6" t="str" cm="1">
        <f t="array" ref="V281">_xlfn.IFS(B281="","",AND(B281&lt;&gt;"",H281=SF_Output!$Y$2,SUMIFS(SF_Output!$T$1:$T$400,SF_Output!$AC$1:$AC$400,_xlfn.TEXTJOIN(",",TRUE,B281:E281),SF_Output!$Q$1:$Q$400,"monthly")=0),(SUMIFS(SF_Output!$F$1:$F$400,SF_Output!$AC$1:$AC$400,_xlfn.TEXTJOIN(",",TRUE,B281:E281),SF_Output!$Q$1:$Q$400,"monthly")+SUMIFS(SF_Output!$G$1:$G$400,SF_Output!$AC$1:$AC$400,_xlfn.TEXTJOIN(",",TRUE,B281:E281),SF_Output!$Q$1:$Q$400,"monthly"))*H281,AND(B281&lt;&gt;"",H281=SF_Output!$Y$2,SUMIFS(SF_Output!$T$1:$T$400,SF_Output!$AC$1:$AC$400,_xlfn.TEXTJOIN(",",TRUE,B281:E281),SF_Output!$Q$1:$Q$400,"monthly")&lt;&gt;0),SUMIFS(SF_Output!$S$1:$S$400,SF_Output!$AC$1:$AC$400,_xlfn.TEXTJOIN(",",TRUE,B281:E281),SF_Output!$Q$1:$Q$400,"monthly"),AND(B281&lt;&gt;"",H281&lt;&gt;SF_Output!$Y$2),SUMIFS(SF_Output!$S$1:$S$400,SF_Output!$AC$1:$AC$400,_xlfn.TEXTJOIN(",",TRUE,B281:E281),SF_Output!$Q$1:$Q$400,"monthly"))</f>
        <v/>
      </c>
      <c r="W281" s="112" t="str" cm="1">
        <f t="array" ref="W281">_xlfn.IFS(OR(B281=0,B281="",V281=0),"",AF281&lt;&gt;"exclusion",MAX($W$9,$W$7,(-(SUMIFS(SF_Output!$T$1:$T$400,SF_Output!$AC$1:$AC$400,_xlfn.TEXTJOIN(",",TRUE,$B281:$E281),SF_Output!$Q$1:$Q$400,"monthly"))/V281)),AF281="exclusion",-(SUMIFS(SF_Output!$T$1:$T$400,SF_Output!$AC$1:$AC$400,_xlfn.TEXTJOIN(",",TRUE,$B281:$E281),SF_Output!$Q$1:$Q$400,"monthly"))/V281)</f>
        <v/>
      </c>
      <c r="X281" s="6" t="str" cm="1">
        <f t="array" ref="X281">IFERROR(_xlfn.IFS(V281=0,0,V281="","",W281=0,V281,OR(V281&lt;&gt;0,V281&lt;&gt;""),H281*I281),V281*(1-W281))</f>
        <v/>
      </c>
    </row>
    <row r="282" spans="6:24" x14ac:dyDescent="0.25">
      <c r="F282" s="116" t="str">
        <f t="shared" si="16"/>
        <v/>
      </c>
      <c r="G282" t="str">
        <f>IF(B282="","",INDEX(SF_Output!$K$1:$K$400,MATCH(B282,SF_Output!$M$1:$M$400,0)))</f>
        <v/>
      </c>
      <c r="H282" t="str" cm="1">
        <f t="array" ref="H282">_xlfn.IFS(B282="","",(SUMIFS(SF_Output!$F$1:$F$400,SF_Output!$AC$1:$AC$400,_xlfn.TEXTJOIN(",",TRUE,B282:E282))+SUMIFS(SF_Output!$G$1:$G$400,SF_Output!$AC$1:$AC$400,_xlfn.TEXTJOIN(",",TRUE,B282:E282)))&lt;&gt;0,SF_Output!$Y$2,INDEX(SF_Output!$F$1:$F$400,MATCH(_xlfn.TEXTJOIN(",",TRUE,B282:E282),SF_Output!$AC$1:$AC$400,0))=0,INDEX(SF_Output!$R$1:$R$400,MATCH(_xlfn.TEXTJOIN(",",TRUE,B282:E282),SF_Output!$AC$1:$AC$400,0)))</f>
        <v/>
      </c>
      <c r="I282" s="125" t="str">
        <f>IFERROR(IF(AND(H282&gt;1,H282&lt;&gt;""),ROUND(SUMIFS(SF_Output!$S$1:$S$400,SF_Output!$AC$1:$AC$400,_xlfn.TEXTJOIN(",",TRUE,B282:E282),SF_Output!$Q$1:$Q$400,"monthly")*(1-W282)/H282,4),""),"")</f>
        <v/>
      </c>
      <c r="J282" s="6" t="str">
        <f>IF(B282="","",SUMIFS(SF_Output!$S$1:$S$400,SF_Output!$AC$1:$AC$400,_xlfn.TEXTJOIN(",",TRUE,B282:E282),SF_Output!$Q$1:$Q$400,"One Time",SF_Output!$L$1:$L$400,"license fee")+SUMIFS(SF_Output!$S$1:$S$400,SF_Output!$AC$1:$AC$400,_xlfn.TEXTJOIN(",",TRUE,B282:E282),SF_Output!$Q$1:$Q$400,"One Time",SF_Output!$L$1:$L$400,"software license")+SUMIFS(SF_Output!$S$1:$S$400,SF_Output!$AC$1:$AC$400,_xlfn.TEXTJOIN(",",TRUE,B282:E282),SF_Output!$Q$1:$Q$400,"One Time",SF_Output!$L$1:$L$400,"hardware"))</f>
        <v/>
      </c>
      <c r="K282" s="112" t="str">
        <f>IF(OR(B282=0,B282="",G282="hardware",J282=0),"",IF(AF282&lt;&gt;"exclusion",MAX(K$9,-((SUMIFS(SF_Output!$T$1:$T$400,SF_Output!$AC$1:$AC$400,_xlfn.TEXTJOIN(",",TRUE,$B282:$E282),SF_Output!$Q$1:$Q$400,"One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license"))/J282)),-((SUMIFS(SF_Output!$T$1:$T$400,SF_Output!$AC$1:$AC$400,_xlfn.TEXTJOIN(",",TRUE,$B282:$E282),SF_Output!$Q$1:$Q$400,"One Time",SF_Output!$L$1:$L$400,"license fee")+SUMIFS(SF_Output!$T$1:$T$400,SF_Output!$AC$1:$AC$400,_xlfn.TEXTJOIN(",",TRUE,$B282:$E282),SF_Output!$Q$1:$Q$400,"One Time",SF_Output!$L$1:$L$400,"software license"))/J282)))</f>
        <v/>
      </c>
      <c r="L282" s="6" t="str">
        <f t="shared" si="17"/>
        <v/>
      </c>
      <c r="N282" s="6" t="str">
        <f>IF(B282="","",SUMIFS(SF_Output!$S$1:$S$400,SF_Output!$AC$1:$AC$400,_xlfn.TEXTJOIN(",",TRUE,B282:E282),SF_Output!$Q$1:$Q$400,"One Time",SF_Output!$L$1:$L$400,"professional service"))</f>
        <v/>
      </c>
      <c r="O282" s="112" t="str">
        <f>IF(OR(B282=0,B282="",N282=0),"",IF(AF282&lt;&gt;"exclusion",MAX(O$9,-(SUMIFS(SF_Output!$T$1:$T$400,SF_Output!$AC$1:$AC$400,_xlfn.TEXTJOIN(",",TRUE,$B282:$E282),SF_Output!$Q$1:$Q$400,"One Time",SF_Output!$L$1:$L$400,"professional service"))/N282),-((SUMIFS(SF_Output!$T$1:$T$400,SF_Output!$AC$1:$AC$400,_xlfn.TEXTJOIN(",",TRUE,$B282:$E282),SF_Output!$Q$1:$Q$400,"One Time",SF_Output!$L$1:$L$400,"professional service")/N282))))</f>
        <v/>
      </c>
      <c r="P282" s="6" t="str">
        <f t="shared" si="18"/>
        <v/>
      </c>
      <c r="R282" s="6" t="str">
        <f>IF(B282="","",SUMIFS(SF_Output!$S$1:$S$400,SF_Output!$AC$1:$AC$400,_xlfn.TEXTJOIN(",",TRUE,B282:E282),SF_Output!$Q$1:$Q$400,"yearly")+SUMIFS(SF_Output!$S$1:$S$400,SF_Output!$AC$1:$AC$400,_xlfn.TEXTJOIN(",",TRUE,B282:E282),SF_Output!$Q$1:$Q$400,"quarterly")*4)</f>
        <v/>
      </c>
      <c r="S282" s="112" t="str">
        <f>IF(OR(B282=0,B282="",G282="hardware",R282=0),"",IF(AF282&lt;&gt;"exclusion",MAX(S$9,-(SUMIFS(SF_Output!$T$1:$T$400,SF_Output!$AC$1:$AC$400,_xlfn.TEXTJOIN(",",TRUE,$B282:$E282),SF_Output!$Q$1:$Q$400,"yearly"))/R282),-((SUMIFS(SF_Output!$T$1:$T$400,SF_Output!$AC$1:$AC$400,_xlfn.TEXTJOIN(",",TRUE,$B282:$E282),SF_Output!$Q$1:$Q$400,"yearly")/R282))))</f>
        <v/>
      </c>
      <c r="T282" s="6" t="str">
        <f t="shared" si="19"/>
        <v/>
      </c>
      <c r="V282" s="6" t="str" cm="1">
        <f t="array" ref="V282">_xlfn.IFS(B282="","",AND(B282&lt;&gt;"",H282=SF_Output!$Y$2,SUMIFS(SF_Output!$T$1:$T$400,SF_Output!$AC$1:$AC$400,_xlfn.TEXTJOIN(",",TRUE,B282:E282),SF_Output!$Q$1:$Q$400,"monthly")=0),(SUMIFS(SF_Output!$F$1:$F$400,SF_Output!$AC$1:$AC$400,_xlfn.TEXTJOIN(",",TRUE,B282:E282),SF_Output!$Q$1:$Q$400,"monthly")+SUMIFS(SF_Output!$G$1:$G$400,SF_Output!$AC$1:$AC$400,_xlfn.TEXTJOIN(",",TRUE,B282:E282),SF_Output!$Q$1:$Q$400,"monthly"))*H282,AND(B282&lt;&gt;"",H282=SF_Output!$Y$2,SUMIFS(SF_Output!$T$1:$T$400,SF_Output!$AC$1:$AC$400,_xlfn.TEXTJOIN(",",TRUE,B282:E282),SF_Output!$Q$1:$Q$400,"monthly")&lt;&gt;0),SUMIFS(SF_Output!$S$1:$S$400,SF_Output!$AC$1:$AC$400,_xlfn.TEXTJOIN(",",TRUE,B282:E282),SF_Output!$Q$1:$Q$400,"monthly"),AND(B282&lt;&gt;"",H282&lt;&gt;SF_Output!$Y$2),SUMIFS(SF_Output!$S$1:$S$400,SF_Output!$AC$1:$AC$400,_xlfn.TEXTJOIN(",",TRUE,B282:E282),SF_Output!$Q$1:$Q$400,"monthly"))</f>
        <v/>
      </c>
      <c r="W282" s="112" t="str" cm="1">
        <f t="array" ref="W282">_xlfn.IFS(OR(B282=0,B282="",V282=0),"",AF282&lt;&gt;"exclusion",MAX($W$9,$W$7,(-(SUMIFS(SF_Output!$T$1:$T$400,SF_Output!$AC$1:$AC$400,_xlfn.TEXTJOIN(",",TRUE,$B282:$E282),SF_Output!$Q$1:$Q$400,"monthly"))/V282)),AF282="exclusion",-(SUMIFS(SF_Output!$T$1:$T$400,SF_Output!$AC$1:$AC$400,_xlfn.TEXTJOIN(",",TRUE,$B282:$E282),SF_Output!$Q$1:$Q$400,"monthly"))/V282)</f>
        <v/>
      </c>
      <c r="X282" s="6" t="str" cm="1">
        <f t="array" ref="X282">IFERROR(_xlfn.IFS(V282=0,0,V282="","",W282=0,V282,OR(V282&lt;&gt;0,V282&lt;&gt;""),H282*I282),V282*(1-W282))</f>
        <v/>
      </c>
    </row>
    <row r="283" spans="6:24" x14ac:dyDescent="0.25">
      <c r="F283" s="116" t="str">
        <f t="shared" si="16"/>
        <v/>
      </c>
      <c r="G283" t="str">
        <f>IF(B283="","",INDEX(SF_Output!$K$1:$K$400,MATCH(B283,SF_Output!$M$1:$M$400,0)))</f>
        <v/>
      </c>
      <c r="H283" t="str" cm="1">
        <f t="array" ref="H283">_xlfn.IFS(B283="","",(SUMIFS(SF_Output!$F$1:$F$400,SF_Output!$AC$1:$AC$400,_xlfn.TEXTJOIN(",",TRUE,B283:E283))+SUMIFS(SF_Output!$G$1:$G$400,SF_Output!$AC$1:$AC$400,_xlfn.TEXTJOIN(",",TRUE,B283:E283)))&lt;&gt;0,SF_Output!$Y$2,INDEX(SF_Output!$F$1:$F$400,MATCH(_xlfn.TEXTJOIN(",",TRUE,B283:E283),SF_Output!$AC$1:$AC$400,0))=0,INDEX(SF_Output!$R$1:$R$400,MATCH(_xlfn.TEXTJOIN(",",TRUE,B283:E283),SF_Output!$AC$1:$AC$400,0)))</f>
        <v/>
      </c>
      <c r="I283" s="125" t="str">
        <f>IFERROR(IF(AND(H283&gt;1,H283&lt;&gt;""),ROUND(SUMIFS(SF_Output!$S$1:$S$400,SF_Output!$AC$1:$AC$400,_xlfn.TEXTJOIN(",",TRUE,B283:E283),SF_Output!$Q$1:$Q$400,"monthly")*(1-W283)/H283,4),""),"")</f>
        <v/>
      </c>
      <c r="J283" s="6" t="str">
        <f>IF(B283="","",SUMIFS(SF_Output!$S$1:$S$400,SF_Output!$AC$1:$AC$400,_xlfn.TEXTJOIN(",",TRUE,B283:E283),SF_Output!$Q$1:$Q$400,"One Time",SF_Output!$L$1:$L$400,"license fee")+SUMIFS(SF_Output!$S$1:$S$400,SF_Output!$AC$1:$AC$400,_xlfn.TEXTJOIN(",",TRUE,B283:E283),SF_Output!$Q$1:$Q$400,"One Time",SF_Output!$L$1:$L$400,"software license")+SUMIFS(SF_Output!$S$1:$S$400,SF_Output!$AC$1:$AC$400,_xlfn.TEXTJOIN(",",TRUE,B283:E283),SF_Output!$Q$1:$Q$400,"One Time",SF_Output!$L$1:$L$400,"hardware"))</f>
        <v/>
      </c>
      <c r="K283" s="112" t="str">
        <f>IF(OR(B283=0,B283="",G283="hardware",J283=0),"",IF(AF283&lt;&gt;"exclusion",MAX(K$9,-((SUMIFS(SF_Output!$T$1:$T$400,SF_Output!$AC$1:$AC$400,_xlfn.TEXTJOIN(",",TRUE,$B283:$E283),SF_Output!$Q$1:$Q$400,"One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license"))/J283)),-((SUMIFS(SF_Output!$T$1:$T$400,SF_Output!$AC$1:$AC$400,_xlfn.TEXTJOIN(",",TRUE,$B283:$E283),SF_Output!$Q$1:$Q$400,"One Time",SF_Output!$L$1:$L$400,"license fee")+SUMIFS(SF_Output!$T$1:$T$400,SF_Output!$AC$1:$AC$400,_xlfn.TEXTJOIN(",",TRUE,$B283:$E283),SF_Output!$Q$1:$Q$400,"One Time",SF_Output!$L$1:$L$400,"software license"))/J283)))</f>
        <v/>
      </c>
      <c r="L283" s="6" t="str">
        <f t="shared" si="17"/>
        <v/>
      </c>
      <c r="N283" s="6" t="str">
        <f>IF(B283="","",SUMIFS(SF_Output!$S$1:$S$400,SF_Output!$AC$1:$AC$400,_xlfn.TEXTJOIN(",",TRUE,B283:E283),SF_Output!$Q$1:$Q$400,"One Time",SF_Output!$L$1:$L$400,"professional service"))</f>
        <v/>
      </c>
      <c r="O283" s="112" t="str">
        <f>IF(OR(B283=0,B283="",N283=0),"",IF(AF283&lt;&gt;"exclusion",MAX(O$9,-(SUMIFS(SF_Output!$T$1:$T$400,SF_Output!$AC$1:$AC$400,_xlfn.TEXTJOIN(",",TRUE,$B283:$E283),SF_Output!$Q$1:$Q$400,"One Time",SF_Output!$L$1:$L$400,"professional service"))/N283),-((SUMIFS(SF_Output!$T$1:$T$400,SF_Output!$AC$1:$AC$400,_xlfn.TEXTJOIN(",",TRUE,$B283:$E283),SF_Output!$Q$1:$Q$400,"One Time",SF_Output!$L$1:$L$400,"professional service")/N283))))</f>
        <v/>
      </c>
      <c r="P283" s="6" t="str">
        <f t="shared" si="18"/>
        <v/>
      </c>
      <c r="R283" s="6" t="str">
        <f>IF(B283="","",SUMIFS(SF_Output!$S$1:$S$400,SF_Output!$AC$1:$AC$400,_xlfn.TEXTJOIN(",",TRUE,B283:E283),SF_Output!$Q$1:$Q$400,"yearly")+SUMIFS(SF_Output!$S$1:$S$400,SF_Output!$AC$1:$AC$400,_xlfn.TEXTJOIN(",",TRUE,B283:E283),SF_Output!$Q$1:$Q$400,"quarterly")*4)</f>
        <v/>
      </c>
      <c r="S283" s="112" t="str">
        <f>IF(OR(B283=0,B283="",G283="hardware",R283=0),"",IF(AF283&lt;&gt;"exclusion",MAX(S$9,-(SUMIFS(SF_Output!$T$1:$T$400,SF_Output!$AC$1:$AC$400,_xlfn.TEXTJOIN(",",TRUE,$B283:$E283),SF_Output!$Q$1:$Q$400,"yearly"))/R283),-((SUMIFS(SF_Output!$T$1:$T$400,SF_Output!$AC$1:$AC$400,_xlfn.TEXTJOIN(",",TRUE,$B283:$E283),SF_Output!$Q$1:$Q$400,"yearly")/R283))))</f>
        <v/>
      </c>
      <c r="T283" s="6" t="str">
        <f t="shared" si="19"/>
        <v/>
      </c>
      <c r="V283" s="6" t="str" cm="1">
        <f t="array" ref="V283">_xlfn.IFS(B283="","",AND(B283&lt;&gt;"",H283=SF_Output!$Y$2,SUMIFS(SF_Output!$T$1:$T$400,SF_Output!$AC$1:$AC$400,_xlfn.TEXTJOIN(",",TRUE,B283:E283),SF_Output!$Q$1:$Q$400,"monthly")=0),(SUMIFS(SF_Output!$F$1:$F$400,SF_Output!$AC$1:$AC$400,_xlfn.TEXTJOIN(",",TRUE,B283:E283),SF_Output!$Q$1:$Q$400,"monthly")+SUMIFS(SF_Output!$G$1:$G$400,SF_Output!$AC$1:$AC$400,_xlfn.TEXTJOIN(",",TRUE,B283:E283),SF_Output!$Q$1:$Q$400,"monthly"))*H283,AND(B283&lt;&gt;"",H283=SF_Output!$Y$2,SUMIFS(SF_Output!$T$1:$T$400,SF_Output!$AC$1:$AC$400,_xlfn.TEXTJOIN(",",TRUE,B283:E283),SF_Output!$Q$1:$Q$400,"monthly")&lt;&gt;0),SUMIFS(SF_Output!$S$1:$S$400,SF_Output!$AC$1:$AC$400,_xlfn.TEXTJOIN(",",TRUE,B283:E283),SF_Output!$Q$1:$Q$400,"monthly"),AND(B283&lt;&gt;"",H283&lt;&gt;SF_Output!$Y$2),SUMIFS(SF_Output!$S$1:$S$400,SF_Output!$AC$1:$AC$400,_xlfn.TEXTJOIN(",",TRUE,B283:E283),SF_Output!$Q$1:$Q$400,"monthly"))</f>
        <v/>
      </c>
      <c r="W283" s="112" t="str" cm="1">
        <f t="array" ref="W283">_xlfn.IFS(OR(B283=0,B283="",V283=0),"",AF283&lt;&gt;"exclusion",MAX($W$9,$W$7,(-(SUMIFS(SF_Output!$T$1:$T$400,SF_Output!$AC$1:$AC$400,_xlfn.TEXTJOIN(",",TRUE,$B283:$E283),SF_Output!$Q$1:$Q$400,"monthly"))/V283)),AF283="exclusion",-(SUMIFS(SF_Output!$T$1:$T$400,SF_Output!$AC$1:$AC$400,_xlfn.TEXTJOIN(",",TRUE,$B283:$E283),SF_Output!$Q$1:$Q$400,"monthly"))/V283)</f>
        <v/>
      </c>
      <c r="X283" s="6" t="str" cm="1">
        <f t="array" ref="X283">IFERROR(_xlfn.IFS(V283=0,0,V283="","",W283=0,V283,OR(V283&lt;&gt;0,V283&lt;&gt;""),H283*I283),V283*(1-W283))</f>
        <v/>
      </c>
    </row>
    <row r="284" spans="6:24" x14ac:dyDescent="0.25">
      <c r="F284" s="116" t="str">
        <f t="shared" si="16"/>
        <v/>
      </c>
      <c r="G284" t="str">
        <f>IF(B284="","",INDEX(SF_Output!$K$1:$K$400,MATCH(B284,SF_Output!$M$1:$M$400,0)))</f>
        <v/>
      </c>
      <c r="H284" t="str" cm="1">
        <f t="array" ref="H284">_xlfn.IFS(B284="","",(SUMIFS(SF_Output!$F$1:$F$400,SF_Output!$AC$1:$AC$400,_xlfn.TEXTJOIN(",",TRUE,B284:E284))+SUMIFS(SF_Output!$G$1:$G$400,SF_Output!$AC$1:$AC$400,_xlfn.TEXTJOIN(",",TRUE,B284:E284)))&lt;&gt;0,SF_Output!$Y$2,INDEX(SF_Output!$F$1:$F$400,MATCH(_xlfn.TEXTJOIN(",",TRUE,B284:E284),SF_Output!$AC$1:$AC$400,0))=0,INDEX(SF_Output!$R$1:$R$400,MATCH(_xlfn.TEXTJOIN(",",TRUE,B284:E284),SF_Output!$AC$1:$AC$400,0)))</f>
        <v/>
      </c>
      <c r="I284" s="125" t="str">
        <f>IFERROR(IF(AND(H284&gt;1,H284&lt;&gt;""),ROUND(SUMIFS(SF_Output!$S$1:$S$400,SF_Output!$AC$1:$AC$400,_xlfn.TEXTJOIN(",",TRUE,B284:E284),SF_Output!$Q$1:$Q$400,"monthly")*(1-W284)/H284,4),""),"")</f>
        <v/>
      </c>
      <c r="J284" s="6" t="str">
        <f>IF(B284="","",SUMIFS(SF_Output!$S$1:$S$400,SF_Output!$AC$1:$AC$400,_xlfn.TEXTJOIN(",",TRUE,B284:E284),SF_Output!$Q$1:$Q$400,"One Time",SF_Output!$L$1:$L$400,"license fee")+SUMIFS(SF_Output!$S$1:$S$400,SF_Output!$AC$1:$AC$400,_xlfn.TEXTJOIN(",",TRUE,B284:E284),SF_Output!$Q$1:$Q$400,"One Time",SF_Output!$L$1:$L$400,"software license")+SUMIFS(SF_Output!$S$1:$S$400,SF_Output!$AC$1:$AC$400,_xlfn.TEXTJOIN(",",TRUE,B284:E284),SF_Output!$Q$1:$Q$400,"One Time",SF_Output!$L$1:$L$400,"hardware"))</f>
        <v/>
      </c>
      <c r="K284" s="112" t="str">
        <f>IF(OR(B284=0,B284="",G284="hardware",J284=0),"",IF(AF284&lt;&gt;"exclusion",MAX(K$9,-((SUMIFS(SF_Output!$T$1:$T$400,SF_Output!$AC$1:$AC$400,_xlfn.TEXTJOIN(",",TRUE,$B284:$E284),SF_Output!$Q$1:$Q$400,"One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license"))/J284)),-((SUMIFS(SF_Output!$T$1:$T$400,SF_Output!$AC$1:$AC$400,_xlfn.TEXTJOIN(",",TRUE,$B284:$E284),SF_Output!$Q$1:$Q$400,"One Time",SF_Output!$L$1:$L$400,"license fee")+SUMIFS(SF_Output!$T$1:$T$400,SF_Output!$AC$1:$AC$400,_xlfn.TEXTJOIN(",",TRUE,$B284:$E284),SF_Output!$Q$1:$Q$400,"One Time",SF_Output!$L$1:$L$400,"software license"))/J284)))</f>
        <v/>
      </c>
      <c r="L284" s="6" t="str">
        <f t="shared" si="17"/>
        <v/>
      </c>
      <c r="N284" s="6" t="str">
        <f>IF(B284="","",SUMIFS(SF_Output!$S$1:$S$400,SF_Output!$AC$1:$AC$400,_xlfn.TEXTJOIN(",",TRUE,B284:E284),SF_Output!$Q$1:$Q$400,"One Time",SF_Output!$L$1:$L$400,"professional service"))</f>
        <v/>
      </c>
      <c r="O284" s="112" t="str">
        <f>IF(OR(B284=0,B284="",N284=0),"",IF(AF284&lt;&gt;"exclusion",MAX(O$9,-(SUMIFS(SF_Output!$T$1:$T$400,SF_Output!$AC$1:$AC$400,_xlfn.TEXTJOIN(",",TRUE,$B284:$E284),SF_Output!$Q$1:$Q$400,"One Time",SF_Output!$L$1:$L$400,"professional service"))/N284),-((SUMIFS(SF_Output!$T$1:$T$400,SF_Output!$AC$1:$AC$400,_xlfn.TEXTJOIN(",",TRUE,$B284:$E284),SF_Output!$Q$1:$Q$400,"One Time",SF_Output!$L$1:$L$400,"professional service")/N284))))</f>
        <v/>
      </c>
      <c r="P284" s="6" t="str">
        <f t="shared" si="18"/>
        <v/>
      </c>
      <c r="R284" s="6" t="str">
        <f>IF(B284="","",SUMIFS(SF_Output!$S$1:$S$400,SF_Output!$AC$1:$AC$400,_xlfn.TEXTJOIN(",",TRUE,B284:E284),SF_Output!$Q$1:$Q$400,"yearly")+SUMIFS(SF_Output!$S$1:$S$400,SF_Output!$AC$1:$AC$400,_xlfn.TEXTJOIN(",",TRUE,B284:E284),SF_Output!$Q$1:$Q$400,"quarterly")*4)</f>
        <v/>
      </c>
      <c r="S284" s="112" t="str">
        <f>IF(OR(B284=0,B284="",G284="hardware",R284=0),"",IF(AF284&lt;&gt;"exclusion",MAX(S$9,-(SUMIFS(SF_Output!$T$1:$T$400,SF_Output!$AC$1:$AC$400,_xlfn.TEXTJOIN(",",TRUE,$B284:$E284),SF_Output!$Q$1:$Q$400,"yearly"))/R284),-((SUMIFS(SF_Output!$T$1:$T$400,SF_Output!$AC$1:$AC$400,_xlfn.TEXTJOIN(",",TRUE,$B284:$E284),SF_Output!$Q$1:$Q$400,"yearly")/R284))))</f>
        <v/>
      </c>
      <c r="T284" s="6" t="str">
        <f t="shared" si="19"/>
        <v/>
      </c>
      <c r="V284" s="6" t="str" cm="1">
        <f t="array" ref="V284">_xlfn.IFS(B284="","",AND(B284&lt;&gt;"",H284=SF_Output!$Y$2,SUMIFS(SF_Output!$T$1:$T$400,SF_Output!$AC$1:$AC$400,_xlfn.TEXTJOIN(",",TRUE,B284:E284),SF_Output!$Q$1:$Q$400,"monthly")=0),(SUMIFS(SF_Output!$F$1:$F$400,SF_Output!$AC$1:$AC$400,_xlfn.TEXTJOIN(",",TRUE,B284:E284),SF_Output!$Q$1:$Q$400,"monthly")+SUMIFS(SF_Output!$G$1:$G$400,SF_Output!$AC$1:$AC$400,_xlfn.TEXTJOIN(",",TRUE,B284:E284),SF_Output!$Q$1:$Q$400,"monthly"))*H284,AND(B284&lt;&gt;"",H284=SF_Output!$Y$2,SUMIFS(SF_Output!$T$1:$T$400,SF_Output!$AC$1:$AC$400,_xlfn.TEXTJOIN(",",TRUE,B284:E284),SF_Output!$Q$1:$Q$400,"monthly")&lt;&gt;0),SUMIFS(SF_Output!$S$1:$S$400,SF_Output!$AC$1:$AC$400,_xlfn.TEXTJOIN(",",TRUE,B284:E284),SF_Output!$Q$1:$Q$400,"monthly"),AND(B284&lt;&gt;"",H284&lt;&gt;SF_Output!$Y$2),SUMIFS(SF_Output!$S$1:$S$400,SF_Output!$AC$1:$AC$400,_xlfn.TEXTJOIN(",",TRUE,B284:E284),SF_Output!$Q$1:$Q$400,"monthly"))</f>
        <v/>
      </c>
      <c r="W284" s="112" t="str" cm="1">
        <f t="array" ref="W284">_xlfn.IFS(OR(B284=0,B284="",V284=0),"",AF284&lt;&gt;"exclusion",MAX($W$9,$W$7,(-(SUMIFS(SF_Output!$T$1:$T$400,SF_Output!$AC$1:$AC$400,_xlfn.TEXTJOIN(",",TRUE,$B284:$E284),SF_Output!$Q$1:$Q$400,"monthly"))/V284)),AF284="exclusion",-(SUMIFS(SF_Output!$T$1:$T$400,SF_Output!$AC$1:$AC$400,_xlfn.TEXTJOIN(",",TRUE,$B284:$E284),SF_Output!$Q$1:$Q$400,"monthly"))/V284)</f>
        <v/>
      </c>
      <c r="X284" s="6" t="str" cm="1">
        <f t="array" ref="X284">IFERROR(_xlfn.IFS(V284=0,0,V284="","",W284=0,V284,OR(V284&lt;&gt;0,V284&lt;&gt;""),H284*I284),V284*(1-W284))</f>
        <v/>
      </c>
    </row>
    <row r="285" spans="6:24" x14ac:dyDescent="0.25">
      <c r="F285" s="116" t="str">
        <f t="shared" si="16"/>
        <v/>
      </c>
      <c r="G285" t="str">
        <f>IF(B285="","",INDEX(SF_Output!$K$1:$K$400,MATCH(B285,SF_Output!$M$1:$M$400,0)))</f>
        <v/>
      </c>
      <c r="H285" t="str" cm="1">
        <f t="array" ref="H285">_xlfn.IFS(B285="","",(SUMIFS(SF_Output!$F$1:$F$400,SF_Output!$AC$1:$AC$400,_xlfn.TEXTJOIN(",",TRUE,B285:E285))+SUMIFS(SF_Output!$G$1:$G$400,SF_Output!$AC$1:$AC$400,_xlfn.TEXTJOIN(",",TRUE,B285:E285)))&lt;&gt;0,SF_Output!$Y$2,INDEX(SF_Output!$F$1:$F$400,MATCH(_xlfn.TEXTJOIN(",",TRUE,B285:E285),SF_Output!$AC$1:$AC$400,0))=0,INDEX(SF_Output!$R$1:$R$400,MATCH(_xlfn.TEXTJOIN(",",TRUE,B285:E285),SF_Output!$AC$1:$AC$400,0)))</f>
        <v/>
      </c>
      <c r="I285" s="125" t="str">
        <f>IFERROR(IF(AND(H285&gt;1,H285&lt;&gt;""),ROUND(SUMIFS(SF_Output!$S$1:$S$400,SF_Output!$AC$1:$AC$400,_xlfn.TEXTJOIN(",",TRUE,B285:E285),SF_Output!$Q$1:$Q$400,"monthly")*(1-W285)/H285,4),""),"")</f>
        <v/>
      </c>
      <c r="J285" s="6" t="str">
        <f>IF(B285="","",SUMIFS(SF_Output!$S$1:$S$400,SF_Output!$AC$1:$AC$400,_xlfn.TEXTJOIN(",",TRUE,B285:E285),SF_Output!$Q$1:$Q$400,"One Time",SF_Output!$L$1:$L$400,"license fee")+SUMIFS(SF_Output!$S$1:$S$400,SF_Output!$AC$1:$AC$400,_xlfn.TEXTJOIN(",",TRUE,B285:E285),SF_Output!$Q$1:$Q$400,"One Time",SF_Output!$L$1:$L$400,"software license")+SUMIFS(SF_Output!$S$1:$S$400,SF_Output!$AC$1:$AC$400,_xlfn.TEXTJOIN(",",TRUE,B285:E285),SF_Output!$Q$1:$Q$400,"One Time",SF_Output!$L$1:$L$400,"hardware"))</f>
        <v/>
      </c>
      <c r="K285" s="112" t="str">
        <f>IF(OR(B285=0,B285="",G285="hardware",J285=0),"",IF(AF285&lt;&gt;"exclusion",MAX(K$9,-((SUMIFS(SF_Output!$T$1:$T$400,SF_Output!$AC$1:$AC$400,_xlfn.TEXTJOIN(",",TRUE,$B285:$E285),SF_Output!$Q$1:$Q$400,"One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license"))/J285)),-((SUMIFS(SF_Output!$T$1:$T$400,SF_Output!$AC$1:$AC$400,_xlfn.TEXTJOIN(",",TRUE,$B285:$E285),SF_Output!$Q$1:$Q$400,"One Time",SF_Output!$L$1:$L$400,"license fee")+SUMIFS(SF_Output!$T$1:$T$400,SF_Output!$AC$1:$AC$400,_xlfn.TEXTJOIN(",",TRUE,$B285:$E285),SF_Output!$Q$1:$Q$400,"One Time",SF_Output!$L$1:$L$400,"software license"))/J285)))</f>
        <v/>
      </c>
      <c r="L285" s="6" t="str">
        <f t="shared" si="17"/>
        <v/>
      </c>
      <c r="N285" s="6" t="str">
        <f>IF(B285="","",SUMIFS(SF_Output!$S$1:$S$400,SF_Output!$AC$1:$AC$400,_xlfn.TEXTJOIN(",",TRUE,B285:E285),SF_Output!$Q$1:$Q$400,"One Time",SF_Output!$L$1:$L$400,"professional service"))</f>
        <v/>
      </c>
      <c r="O285" s="112" t="str">
        <f>IF(OR(B285=0,B285="",N285=0),"",IF(AF285&lt;&gt;"exclusion",MAX(O$9,-(SUMIFS(SF_Output!$T$1:$T$400,SF_Output!$AC$1:$AC$400,_xlfn.TEXTJOIN(",",TRUE,$B285:$E285),SF_Output!$Q$1:$Q$400,"One Time",SF_Output!$L$1:$L$400,"professional service"))/N285),-((SUMIFS(SF_Output!$T$1:$T$400,SF_Output!$AC$1:$AC$400,_xlfn.TEXTJOIN(",",TRUE,$B285:$E285),SF_Output!$Q$1:$Q$400,"One Time",SF_Output!$L$1:$L$400,"professional service")/N285))))</f>
        <v/>
      </c>
      <c r="P285" s="6" t="str">
        <f t="shared" si="18"/>
        <v/>
      </c>
      <c r="R285" s="6" t="str">
        <f>IF(B285="","",SUMIFS(SF_Output!$S$1:$S$400,SF_Output!$AC$1:$AC$400,_xlfn.TEXTJOIN(",",TRUE,B285:E285),SF_Output!$Q$1:$Q$400,"yearly")+SUMIFS(SF_Output!$S$1:$S$400,SF_Output!$AC$1:$AC$400,_xlfn.TEXTJOIN(",",TRUE,B285:E285),SF_Output!$Q$1:$Q$400,"quarterly")*4)</f>
        <v/>
      </c>
      <c r="S285" s="112" t="str">
        <f>IF(OR(B285=0,B285="",G285="hardware",R285=0),"",IF(AF285&lt;&gt;"exclusion",MAX(S$9,-(SUMIFS(SF_Output!$T$1:$T$400,SF_Output!$AC$1:$AC$400,_xlfn.TEXTJOIN(",",TRUE,$B285:$E285),SF_Output!$Q$1:$Q$400,"yearly"))/R285),-((SUMIFS(SF_Output!$T$1:$T$400,SF_Output!$AC$1:$AC$400,_xlfn.TEXTJOIN(",",TRUE,$B285:$E285),SF_Output!$Q$1:$Q$400,"yearly")/R285))))</f>
        <v/>
      </c>
      <c r="T285" s="6" t="str">
        <f t="shared" si="19"/>
        <v/>
      </c>
      <c r="V285" s="6" t="str" cm="1">
        <f t="array" ref="V285">_xlfn.IFS(B285="","",AND(B285&lt;&gt;"",H285=SF_Output!$Y$2,SUMIFS(SF_Output!$T$1:$T$400,SF_Output!$AC$1:$AC$400,_xlfn.TEXTJOIN(",",TRUE,B285:E285),SF_Output!$Q$1:$Q$400,"monthly")=0),(SUMIFS(SF_Output!$F$1:$F$400,SF_Output!$AC$1:$AC$400,_xlfn.TEXTJOIN(",",TRUE,B285:E285),SF_Output!$Q$1:$Q$400,"monthly")+SUMIFS(SF_Output!$G$1:$G$400,SF_Output!$AC$1:$AC$400,_xlfn.TEXTJOIN(",",TRUE,B285:E285),SF_Output!$Q$1:$Q$400,"monthly"))*H285,AND(B285&lt;&gt;"",H285=SF_Output!$Y$2,SUMIFS(SF_Output!$T$1:$T$400,SF_Output!$AC$1:$AC$400,_xlfn.TEXTJOIN(",",TRUE,B285:E285),SF_Output!$Q$1:$Q$400,"monthly")&lt;&gt;0),SUMIFS(SF_Output!$S$1:$S$400,SF_Output!$AC$1:$AC$400,_xlfn.TEXTJOIN(",",TRUE,B285:E285),SF_Output!$Q$1:$Q$400,"monthly"),AND(B285&lt;&gt;"",H285&lt;&gt;SF_Output!$Y$2),SUMIFS(SF_Output!$S$1:$S$400,SF_Output!$AC$1:$AC$400,_xlfn.TEXTJOIN(",",TRUE,B285:E285),SF_Output!$Q$1:$Q$400,"monthly"))</f>
        <v/>
      </c>
      <c r="W285" s="112" t="str" cm="1">
        <f t="array" ref="W285">_xlfn.IFS(OR(B285=0,B285="",V285=0),"",AF285&lt;&gt;"exclusion",MAX($W$9,$W$7,(-(SUMIFS(SF_Output!$T$1:$T$400,SF_Output!$AC$1:$AC$400,_xlfn.TEXTJOIN(",",TRUE,$B285:$E285),SF_Output!$Q$1:$Q$400,"monthly"))/V285)),AF285="exclusion",-(SUMIFS(SF_Output!$T$1:$T$400,SF_Output!$AC$1:$AC$400,_xlfn.TEXTJOIN(",",TRUE,$B285:$E285),SF_Output!$Q$1:$Q$400,"monthly"))/V285)</f>
        <v/>
      </c>
      <c r="X285" s="6" t="str" cm="1">
        <f t="array" ref="X285">IFERROR(_xlfn.IFS(V285=0,0,V285="","",W285=0,V285,OR(V285&lt;&gt;0,V285&lt;&gt;""),H285*I285),V285*(1-W285))</f>
        <v/>
      </c>
    </row>
    <row r="286" spans="6:24" x14ac:dyDescent="0.25">
      <c r="F286" s="116" t="str">
        <f t="shared" si="16"/>
        <v/>
      </c>
      <c r="G286" t="str">
        <f>IF(B286="","",INDEX(SF_Output!$K$1:$K$400,MATCH(B286,SF_Output!$M$1:$M$400,0)))</f>
        <v/>
      </c>
      <c r="H286" t="str" cm="1">
        <f t="array" ref="H286">_xlfn.IFS(B286="","",(SUMIFS(SF_Output!$F$1:$F$400,SF_Output!$AC$1:$AC$400,_xlfn.TEXTJOIN(",",TRUE,B286:E286))+SUMIFS(SF_Output!$G$1:$G$400,SF_Output!$AC$1:$AC$400,_xlfn.TEXTJOIN(",",TRUE,B286:E286)))&lt;&gt;0,SF_Output!$Y$2,INDEX(SF_Output!$F$1:$F$400,MATCH(_xlfn.TEXTJOIN(",",TRUE,B286:E286),SF_Output!$AC$1:$AC$400,0))=0,INDEX(SF_Output!$R$1:$R$400,MATCH(_xlfn.TEXTJOIN(",",TRUE,B286:E286),SF_Output!$AC$1:$AC$400,0)))</f>
        <v/>
      </c>
      <c r="I286" s="125" t="str">
        <f>IFERROR(IF(AND(H286&gt;1,H286&lt;&gt;""),ROUND(SUMIFS(SF_Output!$S$1:$S$400,SF_Output!$AC$1:$AC$400,_xlfn.TEXTJOIN(",",TRUE,B286:E286),SF_Output!$Q$1:$Q$400,"monthly")*(1-W286)/H286,4),""),"")</f>
        <v/>
      </c>
      <c r="J286" s="6" t="str">
        <f>IF(B286="","",SUMIFS(SF_Output!$S$1:$S$400,SF_Output!$AC$1:$AC$400,_xlfn.TEXTJOIN(",",TRUE,B286:E286),SF_Output!$Q$1:$Q$400,"One Time",SF_Output!$L$1:$L$400,"license fee")+SUMIFS(SF_Output!$S$1:$S$400,SF_Output!$AC$1:$AC$400,_xlfn.TEXTJOIN(",",TRUE,B286:E286),SF_Output!$Q$1:$Q$400,"One Time",SF_Output!$L$1:$L$400,"software license")+SUMIFS(SF_Output!$S$1:$S$400,SF_Output!$AC$1:$AC$400,_xlfn.TEXTJOIN(",",TRUE,B286:E286),SF_Output!$Q$1:$Q$400,"One Time",SF_Output!$L$1:$L$400,"hardware"))</f>
        <v/>
      </c>
      <c r="K286" s="112" t="str">
        <f>IF(OR(B286=0,B286="",G286="hardware",J286=0),"",IF(AF286&lt;&gt;"exclusion",MAX(K$9,-((SUMIFS(SF_Output!$T$1:$T$400,SF_Output!$AC$1:$AC$400,_xlfn.TEXTJOIN(",",TRUE,$B286:$E286),SF_Output!$Q$1:$Q$400,"One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license"))/J286)),-((SUMIFS(SF_Output!$T$1:$T$400,SF_Output!$AC$1:$AC$400,_xlfn.TEXTJOIN(",",TRUE,$B286:$E286),SF_Output!$Q$1:$Q$400,"One Time",SF_Output!$L$1:$L$400,"license fee")+SUMIFS(SF_Output!$T$1:$T$400,SF_Output!$AC$1:$AC$400,_xlfn.TEXTJOIN(",",TRUE,$B286:$E286),SF_Output!$Q$1:$Q$400,"One Time",SF_Output!$L$1:$L$400,"software license"))/J286)))</f>
        <v/>
      </c>
      <c r="L286" s="6" t="str">
        <f t="shared" si="17"/>
        <v/>
      </c>
      <c r="N286" s="6" t="str">
        <f>IF(B286="","",SUMIFS(SF_Output!$S$1:$S$400,SF_Output!$AC$1:$AC$400,_xlfn.TEXTJOIN(",",TRUE,B286:E286),SF_Output!$Q$1:$Q$400,"One Time",SF_Output!$L$1:$L$400,"professional service"))</f>
        <v/>
      </c>
      <c r="O286" s="112" t="str">
        <f>IF(OR(B286=0,B286="",N286=0),"",IF(AF286&lt;&gt;"exclusion",MAX(O$9,-(SUMIFS(SF_Output!$T$1:$T$400,SF_Output!$AC$1:$AC$400,_xlfn.TEXTJOIN(",",TRUE,$B286:$E286),SF_Output!$Q$1:$Q$400,"One Time",SF_Output!$L$1:$L$400,"professional service"))/N286),-((SUMIFS(SF_Output!$T$1:$T$400,SF_Output!$AC$1:$AC$400,_xlfn.TEXTJOIN(",",TRUE,$B286:$E286),SF_Output!$Q$1:$Q$400,"One Time",SF_Output!$L$1:$L$400,"professional service")/N286))))</f>
        <v/>
      </c>
      <c r="P286" s="6" t="str">
        <f t="shared" si="18"/>
        <v/>
      </c>
      <c r="R286" s="6" t="str">
        <f>IF(B286="","",SUMIFS(SF_Output!$S$1:$S$400,SF_Output!$AC$1:$AC$400,_xlfn.TEXTJOIN(",",TRUE,B286:E286),SF_Output!$Q$1:$Q$400,"yearly")+SUMIFS(SF_Output!$S$1:$S$400,SF_Output!$AC$1:$AC$400,_xlfn.TEXTJOIN(",",TRUE,B286:E286),SF_Output!$Q$1:$Q$400,"quarterly")*4)</f>
        <v/>
      </c>
      <c r="S286" s="112" t="str">
        <f>IF(OR(B286=0,B286="",G286="hardware",R286=0),"",IF(AF286&lt;&gt;"exclusion",MAX(S$9,-(SUMIFS(SF_Output!$T$1:$T$400,SF_Output!$AC$1:$AC$400,_xlfn.TEXTJOIN(",",TRUE,$B286:$E286),SF_Output!$Q$1:$Q$400,"yearly"))/R286),-((SUMIFS(SF_Output!$T$1:$T$400,SF_Output!$AC$1:$AC$400,_xlfn.TEXTJOIN(",",TRUE,$B286:$E286),SF_Output!$Q$1:$Q$400,"yearly")/R286))))</f>
        <v/>
      </c>
      <c r="T286" s="6" t="str">
        <f t="shared" si="19"/>
        <v/>
      </c>
      <c r="V286" s="6" t="str" cm="1">
        <f t="array" ref="V286">_xlfn.IFS(B286="","",AND(B286&lt;&gt;"",H286=SF_Output!$Y$2,SUMIFS(SF_Output!$T$1:$T$400,SF_Output!$AC$1:$AC$400,_xlfn.TEXTJOIN(",",TRUE,B286:E286),SF_Output!$Q$1:$Q$400,"monthly")=0),(SUMIFS(SF_Output!$F$1:$F$400,SF_Output!$AC$1:$AC$400,_xlfn.TEXTJOIN(",",TRUE,B286:E286),SF_Output!$Q$1:$Q$400,"monthly")+SUMIFS(SF_Output!$G$1:$G$400,SF_Output!$AC$1:$AC$400,_xlfn.TEXTJOIN(",",TRUE,B286:E286),SF_Output!$Q$1:$Q$400,"monthly"))*H286,AND(B286&lt;&gt;"",H286=SF_Output!$Y$2,SUMIFS(SF_Output!$T$1:$T$400,SF_Output!$AC$1:$AC$400,_xlfn.TEXTJOIN(",",TRUE,B286:E286),SF_Output!$Q$1:$Q$400,"monthly")&lt;&gt;0),SUMIFS(SF_Output!$S$1:$S$400,SF_Output!$AC$1:$AC$400,_xlfn.TEXTJOIN(",",TRUE,B286:E286),SF_Output!$Q$1:$Q$400,"monthly"),AND(B286&lt;&gt;"",H286&lt;&gt;SF_Output!$Y$2),SUMIFS(SF_Output!$S$1:$S$400,SF_Output!$AC$1:$AC$400,_xlfn.TEXTJOIN(",",TRUE,B286:E286),SF_Output!$Q$1:$Q$400,"monthly"))</f>
        <v/>
      </c>
      <c r="W286" s="112" t="str" cm="1">
        <f t="array" ref="W286">_xlfn.IFS(OR(B286=0,B286="",V286=0),"",AF286&lt;&gt;"exclusion",MAX($W$9,$W$7,(-(SUMIFS(SF_Output!$T$1:$T$400,SF_Output!$AC$1:$AC$400,_xlfn.TEXTJOIN(",",TRUE,$B286:$E286),SF_Output!$Q$1:$Q$400,"monthly"))/V286)),AF286="exclusion",-(SUMIFS(SF_Output!$T$1:$T$400,SF_Output!$AC$1:$AC$400,_xlfn.TEXTJOIN(",",TRUE,$B286:$E286),SF_Output!$Q$1:$Q$400,"monthly"))/V286)</f>
        <v/>
      </c>
      <c r="X286" s="6" t="str" cm="1">
        <f t="array" ref="X286">IFERROR(_xlfn.IFS(V286=0,0,V286="","",W286=0,V286,OR(V286&lt;&gt;0,V286&lt;&gt;""),H286*I286),V286*(1-W286))</f>
        <v/>
      </c>
    </row>
    <row r="287" spans="6:24" x14ac:dyDescent="0.25">
      <c r="F287" s="116" t="str">
        <f t="shared" si="16"/>
        <v/>
      </c>
      <c r="G287" t="str">
        <f>IF(B287="","",INDEX(SF_Output!$K$1:$K$400,MATCH(B287,SF_Output!$M$1:$M$400,0)))</f>
        <v/>
      </c>
      <c r="H287" t="str" cm="1">
        <f t="array" ref="H287">_xlfn.IFS(B287="","",(SUMIFS(SF_Output!$F$1:$F$400,SF_Output!$AC$1:$AC$400,_xlfn.TEXTJOIN(",",TRUE,B287:E287))+SUMIFS(SF_Output!$G$1:$G$400,SF_Output!$AC$1:$AC$400,_xlfn.TEXTJOIN(",",TRUE,B287:E287)))&lt;&gt;0,SF_Output!$Y$2,INDEX(SF_Output!$F$1:$F$400,MATCH(_xlfn.TEXTJOIN(",",TRUE,B287:E287),SF_Output!$AC$1:$AC$400,0))=0,INDEX(SF_Output!$R$1:$R$400,MATCH(_xlfn.TEXTJOIN(",",TRUE,B287:E287),SF_Output!$AC$1:$AC$400,0)))</f>
        <v/>
      </c>
      <c r="I287" s="125" t="str">
        <f>IFERROR(IF(AND(H287&gt;1,H287&lt;&gt;""),ROUND(SUMIFS(SF_Output!$S$1:$S$400,SF_Output!$AC$1:$AC$400,_xlfn.TEXTJOIN(",",TRUE,B287:E287),SF_Output!$Q$1:$Q$400,"monthly")*(1-W287)/H287,4),""),"")</f>
        <v/>
      </c>
      <c r="J287" s="6" t="str">
        <f>IF(B287="","",SUMIFS(SF_Output!$S$1:$S$400,SF_Output!$AC$1:$AC$400,_xlfn.TEXTJOIN(",",TRUE,B287:E287),SF_Output!$Q$1:$Q$400,"One Time",SF_Output!$L$1:$L$400,"license fee")+SUMIFS(SF_Output!$S$1:$S$400,SF_Output!$AC$1:$AC$400,_xlfn.TEXTJOIN(",",TRUE,B287:E287),SF_Output!$Q$1:$Q$400,"One Time",SF_Output!$L$1:$L$400,"software license")+SUMIFS(SF_Output!$S$1:$S$400,SF_Output!$AC$1:$AC$400,_xlfn.TEXTJOIN(",",TRUE,B287:E287),SF_Output!$Q$1:$Q$400,"One Time",SF_Output!$L$1:$L$400,"hardware"))</f>
        <v/>
      </c>
      <c r="K287" s="112" t="str">
        <f>IF(OR(B287=0,B287="",G287="hardware",J287=0),"",IF(AF287&lt;&gt;"exclusion",MAX(K$9,-((SUMIFS(SF_Output!$T$1:$T$400,SF_Output!$AC$1:$AC$400,_xlfn.TEXTJOIN(",",TRUE,$B287:$E287),SF_Output!$Q$1:$Q$400,"One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license"))/J287)),-((SUMIFS(SF_Output!$T$1:$T$400,SF_Output!$AC$1:$AC$400,_xlfn.TEXTJOIN(",",TRUE,$B287:$E287),SF_Output!$Q$1:$Q$400,"One Time",SF_Output!$L$1:$L$400,"license fee")+SUMIFS(SF_Output!$T$1:$T$400,SF_Output!$AC$1:$AC$400,_xlfn.TEXTJOIN(",",TRUE,$B287:$E287),SF_Output!$Q$1:$Q$400,"One Time",SF_Output!$L$1:$L$400,"software license"))/J287)))</f>
        <v/>
      </c>
      <c r="L287" s="6" t="str">
        <f t="shared" si="17"/>
        <v/>
      </c>
      <c r="N287" s="6" t="str">
        <f>IF(B287="","",SUMIFS(SF_Output!$S$1:$S$400,SF_Output!$AC$1:$AC$400,_xlfn.TEXTJOIN(",",TRUE,B287:E287),SF_Output!$Q$1:$Q$400,"One Time",SF_Output!$L$1:$L$400,"professional service"))</f>
        <v/>
      </c>
      <c r="O287" s="112" t="str">
        <f>IF(OR(B287=0,B287="",N287=0),"",IF(AF287&lt;&gt;"exclusion",MAX(O$9,-(SUMIFS(SF_Output!$T$1:$T$400,SF_Output!$AC$1:$AC$400,_xlfn.TEXTJOIN(",",TRUE,$B287:$E287),SF_Output!$Q$1:$Q$400,"One Time",SF_Output!$L$1:$L$400,"professional service"))/N287),-((SUMIFS(SF_Output!$T$1:$T$400,SF_Output!$AC$1:$AC$400,_xlfn.TEXTJOIN(",",TRUE,$B287:$E287),SF_Output!$Q$1:$Q$400,"One Time",SF_Output!$L$1:$L$400,"professional service")/N287))))</f>
        <v/>
      </c>
      <c r="P287" s="6" t="str">
        <f t="shared" si="18"/>
        <v/>
      </c>
      <c r="R287" s="6" t="str">
        <f>IF(B287="","",SUMIFS(SF_Output!$S$1:$S$400,SF_Output!$AC$1:$AC$400,_xlfn.TEXTJOIN(",",TRUE,B287:E287),SF_Output!$Q$1:$Q$400,"yearly")+SUMIFS(SF_Output!$S$1:$S$400,SF_Output!$AC$1:$AC$400,_xlfn.TEXTJOIN(",",TRUE,B287:E287),SF_Output!$Q$1:$Q$400,"quarterly")*4)</f>
        <v/>
      </c>
      <c r="S287" s="112" t="str">
        <f>IF(OR(B287=0,B287="",G287="hardware",R287=0),"",IF(AF287&lt;&gt;"exclusion",MAX(S$9,-(SUMIFS(SF_Output!$T$1:$T$400,SF_Output!$AC$1:$AC$400,_xlfn.TEXTJOIN(",",TRUE,$B287:$E287),SF_Output!$Q$1:$Q$400,"yearly"))/R287),-((SUMIFS(SF_Output!$T$1:$T$400,SF_Output!$AC$1:$AC$400,_xlfn.TEXTJOIN(",",TRUE,$B287:$E287),SF_Output!$Q$1:$Q$400,"yearly")/R287))))</f>
        <v/>
      </c>
      <c r="T287" s="6" t="str">
        <f t="shared" si="19"/>
        <v/>
      </c>
      <c r="V287" s="6" t="str" cm="1">
        <f t="array" ref="V287">_xlfn.IFS(B287="","",AND(B287&lt;&gt;"",H287=SF_Output!$Y$2,SUMIFS(SF_Output!$T$1:$T$400,SF_Output!$AC$1:$AC$400,_xlfn.TEXTJOIN(",",TRUE,B287:E287),SF_Output!$Q$1:$Q$400,"monthly")=0),(SUMIFS(SF_Output!$F$1:$F$400,SF_Output!$AC$1:$AC$400,_xlfn.TEXTJOIN(",",TRUE,B287:E287),SF_Output!$Q$1:$Q$400,"monthly")+SUMIFS(SF_Output!$G$1:$G$400,SF_Output!$AC$1:$AC$400,_xlfn.TEXTJOIN(",",TRUE,B287:E287),SF_Output!$Q$1:$Q$400,"monthly"))*H287,AND(B287&lt;&gt;"",H287=SF_Output!$Y$2,SUMIFS(SF_Output!$T$1:$T$400,SF_Output!$AC$1:$AC$400,_xlfn.TEXTJOIN(",",TRUE,B287:E287),SF_Output!$Q$1:$Q$400,"monthly")&lt;&gt;0),SUMIFS(SF_Output!$S$1:$S$400,SF_Output!$AC$1:$AC$400,_xlfn.TEXTJOIN(",",TRUE,B287:E287),SF_Output!$Q$1:$Q$400,"monthly"),AND(B287&lt;&gt;"",H287&lt;&gt;SF_Output!$Y$2),SUMIFS(SF_Output!$S$1:$S$400,SF_Output!$AC$1:$AC$400,_xlfn.TEXTJOIN(",",TRUE,B287:E287),SF_Output!$Q$1:$Q$400,"monthly"))</f>
        <v/>
      </c>
      <c r="W287" s="112" t="str" cm="1">
        <f t="array" ref="W287">_xlfn.IFS(OR(B287=0,B287="",V287=0),"",AF287&lt;&gt;"exclusion",MAX($W$9,$W$7,(-(SUMIFS(SF_Output!$T$1:$T$400,SF_Output!$AC$1:$AC$400,_xlfn.TEXTJOIN(",",TRUE,$B287:$E287),SF_Output!$Q$1:$Q$400,"monthly"))/V287)),AF287="exclusion",-(SUMIFS(SF_Output!$T$1:$T$400,SF_Output!$AC$1:$AC$400,_xlfn.TEXTJOIN(",",TRUE,$B287:$E287),SF_Output!$Q$1:$Q$400,"monthly"))/V287)</f>
        <v/>
      </c>
      <c r="X287" s="6" t="str" cm="1">
        <f t="array" ref="X287">IFERROR(_xlfn.IFS(V287=0,0,V287="","",W287=0,V287,OR(V287&lt;&gt;0,V287&lt;&gt;""),H287*I287),V287*(1-W287))</f>
        <v/>
      </c>
    </row>
    <row r="288" spans="6:24" x14ac:dyDescent="0.25">
      <c r="F288" s="116" t="str">
        <f t="shared" si="16"/>
        <v/>
      </c>
      <c r="G288" t="str">
        <f>IF(B288="","",INDEX(SF_Output!$K$1:$K$400,MATCH(B288,SF_Output!$M$1:$M$400,0)))</f>
        <v/>
      </c>
      <c r="H288" t="str" cm="1">
        <f t="array" ref="H288">_xlfn.IFS(B288="","",(SUMIFS(SF_Output!$F$1:$F$400,SF_Output!$AC$1:$AC$400,_xlfn.TEXTJOIN(",",TRUE,B288:E288))+SUMIFS(SF_Output!$G$1:$G$400,SF_Output!$AC$1:$AC$400,_xlfn.TEXTJOIN(",",TRUE,B288:E288)))&lt;&gt;0,SF_Output!$Y$2,INDEX(SF_Output!$F$1:$F$400,MATCH(_xlfn.TEXTJOIN(",",TRUE,B288:E288),SF_Output!$AC$1:$AC$400,0))=0,INDEX(SF_Output!$R$1:$R$400,MATCH(_xlfn.TEXTJOIN(",",TRUE,B288:E288),SF_Output!$AC$1:$AC$400,0)))</f>
        <v/>
      </c>
      <c r="I288" s="125" t="str">
        <f>IFERROR(IF(AND(H288&gt;1,H288&lt;&gt;""),ROUND(SUMIFS(SF_Output!$S$1:$S$400,SF_Output!$AC$1:$AC$400,_xlfn.TEXTJOIN(",",TRUE,B288:E288),SF_Output!$Q$1:$Q$400,"monthly")*(1-W288)/H288,4),""),"")</f>
        <v/>
      </c>
      <c r="J288" s="6" t="str">
        <f>IF(B288="","",SUMIFS(SF_Output!$S$1:$S$400,SF_Output!$AC$1:$AC$400,_xlfn.TEXTJOIN(",",TRUE,B288:E288),SF_Output!$Q$1:$Q$400,"One Time",SF_Output!$L$1:$L$400,"license fee")+SUMIFS(SF_Output!$S$1:$S$400,SF_Output!$AC$1:$AC$400,_xlfn.TEXTJOIN(",",TRUE,B288:E288),SF_Output!$Q$1:$Q$400,"One Time",SF_Output!$L$1:$L$400,"software license")+SUMIFS(SF_Output!$S$1:$S$400,SF_Output!$AC$1:$AC$400,_xlfn.TEXTJOIN(",",TRUE,B288:E288),SF_Output!$Q$1:$Q$400,"One Time",SF_Output!$L$1:$L$400,"hardware"))</f>
        <v/>
      </c>
      <c r="K288" s="112" t="str">
        <f>IF(OR(B288=0,B288="",G288="hardware",J288=0),"",IF(AF288&lt;&gt;"exclusion",MAX(K$9,-((SUMIFS(SF_Output!$T$1:$T$400,SF_Output!$AC$1:$AC$400,_xlfn.TEXTJOIN(",",TRUE,$B288:$E288),SF_Output!$Q$1:$Q$400,"One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license"))/J288)),-((SUMIFS(SF_Output!$T$1:$T$400,SF_Output!$AC$1:$AC$400,_xlfn.TEXTJOIN(",",TRUE,$B288:$E288),SF_Output!$Q$1:$Q$400,"One Time",SF_Output!$L$1:$L$400,"license fee")+SUMIFS(SF_Output!$T$1:$T$400,SF_Output!$AC$1:$AC$400,_xlfn.TEXTJOIN(",",TRUE,$B288:$E288),SF_Output!$Q$1:$Q$400,"One Time",SF_Output!$L$1:$L$400,"software license"))/J288)))</f>
        <v/>
      </c>
      <c r="L288" s="6" t="str">
        <f t="shared" si="17"/>
        <v/>
      </c>
      <c r="N288" s="6" t="str">
        <f>IF(B288="","",SUMIFS(SF_Output!$S$1:$S$400,SF_Output!$AC$1:$AC$400,_xlfn.TEXTJOIN(",",TRUE,B288:E288),SF_Output!$Q$1:$Q$400,"One Time",SF_Output!$L$1:$L$400,"professional service"))</f>
        <v/>
      </c>
      <c r="O288" s="112" t="str">
        <f>IF(OR(B288=0,B288="",N288=0),"",IF(AF288&lt;&gt;"exclusion",MAX(O$9,-(SUMIFS(SF_Output!$T$1:$T$400,SF_Output!$AC$1:$AC$400,_xlfn.TEXTJOIN(",",TRUE,$B288:$E288),SF_Output!$Q$1:$Q$400,"One Time",SF_Output!$L$1:$L$400,"professional service"))/N288),-((SUMIFS(SF_Output!$T$1:$T$400,SF_Output!$AC$1:$AC$400,_xlfn.TEXTJOIN(",",TRUE,$B288:$E288),SF_Output!$Q$1:$Q$400,"One Time",SF_Output!$L$1:$L$400,"professional service")/N288))))</f>
        <v/>
      </c>
      <c r="P288" s="6" t="str">
        <f t="shared" si="18"/>
        <v/>
      </c>
      <c r="R288" s="6" t="str">
        <f>IF(B288="","",SUMIFS(SF_Output!$S$1:$S$400,SF_Output!$AC$1:$AC$400,_xlfn.TEXTJOIN(",",TRUE,B288:E288),SF_Output!$Q$1:$Q$400,"yearly")+SUMIFS(SF_Output!$S$1:$S$400,SF_Output!$AC$1:$AC$400,_xlfn.TEXTJOIN(",",TRUE,B288:E288),SF_Output!$Q$1:$Q$400,"quarterly")*4)</f>
        <v/>
      </c>
      <c r="S288" s="112" t="str">
        <f>IF(OR(B288=0,B288="",G288="hardware",R288=0),"",IF(AF288&lt;&gt;"exclusion",MAX(S$9,-(SUMIFS(SF_Output!$T$1:$T$400,SF_Output!$AC$1:$AC$400,_xlfn.TEXTJOIN(",",TRUE,$B288:$E288),SF_Output!$Q$1:$Q$400,"yearly"))/R288),-((SUMIFS(SF_Output!$T$1:$T$400,SF_Output!$AC$1:$AC$400,_xlfn.TEXTJOIN(",",TRUE,$B288:$E288),SF_Output!$Q$1:$Q$400,"yearly")/R288))))</f>
        <v/>
      </c>
      <c r="T288" s="6" t="str">
        <f t="shared" si="19"/>
        <v/>
      </c>
      <c r="V288" s="6" t="str" cm="1">
        <f t="array" ref="V288">_xlfn.IFS(B288="","",AND(B288&lt;&gt;"",H288=SF_Output!$Y$2,SUMIFS(SF_Output!$T$1:$T$400,SF_Output!$AC$1:$AC$400,_xlfn.TEXTJOIN(",",TRUE,B288:E288),SF_Output!$Q$1:$Q$400,"monthly")=0),(SUMIFS(SF_Output!$F$1:$F$400,SF_Output!$AC$1:$AC$400,_xlfn.TEXTJOIN(",",TRUE,B288:E288),SF_Output!$Q$1:$Q$400,"monthly")+SUMIFS(SF_Output!$G$1:$G$400,SF_Output!$AC$1:$AC$400,_xlfn.TEXTJOIN(",",TRUE,B288:E288),SF_Output!$Q$1:$Q$400,"monthly"))*H288,AND(B288&lt;&gt;"",H288=SF_Output!$Y$2,SUMIFS(SF_Output!$T$1:$T$400,SF_Output!$AC$1:$AC$400,_xlfn.TEXTJOIN(",",TRUE,B288:E288),SF_Output!$Q$1:$Q$400,"monthly")&lt;&gt;0),SUMIFS(SF_Output!$S$1:$S$400,SF_Output!$AC$1:$AC$400,_xlfn.TEXTJOIN(",",TRUE,B288:E288),SF_Output!$Q$1:$Q$400,"monthly"),AND(B288&lt;&gt;"",H288&lt;&gt;SF_Output!$Y$2),SUMIFS(SF_Output!$S$1:$S$400,SF_Output!$AC$1:$AC$400,_xlfn.TEXTJOIN(",",TRUE,B288:E288),SF_Output!$Q$1:$Q$400,"monthly"))</f>
        <v/>
      </c>
      <c r="W288" s="112" t="str" cm="1">
        <f t="array" ref="W288">_xlfn.IFS(OR(B288=0,B288="",V288=0),"",AF288&lt;&gt;"exclusion",MAX($W$9,$W$7,(-(SUMIFS(SF_Output!$T$1:$T$400,SF_Output!$AC$1:$AC$400,_xlfn.TEXTJOIN(",",TRUE,$B288:$E288),SF_Output!$Q$1:$Q$400,"monthly"))/V288)),AF288="exclusion",-(SUMIFS(SF_Output!$T$1:$T$400,SF_Output!$AC$1:$AC$400,_xlfn.TEXTJOIN(",",TRUE,$B288:$E288),SF_Output!$Q$1:$Q$400,"monthly"))/V288)</f>
        <v/>
      </c>
      <c r="X288" s="6" t="str" cm="1">
        <f t="array" ref="X288">IFERROR(_xlfn.IFS(V288=0,0,V288="","",W288=0,V288,OR(V288&lt;&gt;0,V288&lt;&gt;""),H288*I288),V288*(1-W288))</f>
        <v/>
      </c>
    </row>
    <row r="289" spans="6:24" x14ac:dyDescent="0.25">
      <c r="F289" s="116" t="str">
        <f t="shared" si="16"/>
        <v/>
      </c>
      <c r="G289" t="str">
        <f>IF(B289="","",INDEX(SF_Output!$K$1:$K$400,MATCH(B289,SF_Output!$M$1:$M$400,0)))</f>
        <v/>
      </c>
      <c r="H289" t="str" cm="1">
        <f t="array" ref="H289">_xlfn.IFS(B289="","",(SUMIFS(SF_Output!$F$1:$F$400,SF_Output!$AC$1:$AC$400,_xlfn.TEXTJOIN(",",TRUE,B289:E289))+SUMIFS(SF_Output!$G$1:$G$400,SF_Output!$AC$1:$AC$400,_xlfn.TEXTJOIN(",",TRUE,B289:E289)))&lt;&gt;0,SF_Output!$Y$2,INDEX(SF_Output!$F$1:$F$400,MATCH(_xlfn.TEXTJOIN(",",TRUE,B289:E289),SF_Output!$AC$1:$AC$400,0))=0,INDEX(SF_Output!$R$1:$R$400,MATCH(_xlfn.TEXTJOIN(",",TRUE,B289:E289),SF_Output!$AC$1:$AC$400,0)))</f>
        <v/>
      </c>
      <c r="I289" s="125" t="str">
        <f>IFERROR(IF(AND(H289&gt;1,H289&lt;&gt;""),ROUND(SUMIFS(SF_Output!$S$1:$S$400,SF_Output!$AC$1:$AC$400,_xlfn.TEXTJOIN(",",TRUE,B289:E289),SF_Output!$Q$1:$Q$400,"monthly")*(1-W289)/H289,4),""),"")</f>
        <v/>
      </c>
      <c r="J289" s="6" t="str">
        <f>IF(B289="","",SUMIFS(SF_Output!$S$1:$S$400,SF_Output!$AC$1:$AC$400,_xlfn.TEXTJOIN(",",TRUE,B289:E289),SF_Output!$Q$1:$Q$400,"One Time",SF_Output!$L$1:$L$400,"license fee")+SUMIFS(SF_Output!$S$1:$S$400,SF_Output!$AC$1:$AC$400,_xlfn.TEXTJOIN(",",TRUE,B289:E289),SF_Output!$Q$1:$Q$400,"One Time",SF_Output!$L$1:$L$400,"software license")+SUMIFS(SF_Output!$S$1:$S$400,SF_Output!$AC$1:$AC$400,_xlfn.TEXTJOIN(",",TRUE,B289:E289),SF_Output!$Q$1:$Q$400,"One Time",SF_Output!$L$1:$L$400,"hardware"))</f>
        <v/>
      </c>
      <c r="K289" s="112" t="str">
        <f>IF(OR(B289=0,B289="",G289="hardware",J289=0),"",IF(AF289&lt;&gt;"exclusion",MAX(K$9,-((SUMIFS(SF_Output!$T$1:$T$400,SF_Output!$AC$1:$AC$400,_xlfn.TEXTJOIN(",",TRUE,$B289:$E289),SF_Output!$Q$1:$Q$400,"One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license"))/J289)),-((SUMIFS(SF_Output!$T$1:$T$400,SF_Output!$AC$1:$AC$400,_xlfn.TEXTJOIN(",",TRUE,$B289:$E289),SF_Output!$Q$1:$Q$400,"One Time",SF_Output!$L$1:$L$400,"license fee")+SUMIFS(SF_Output!$T$1:$T$400,SF_Output!$AC$1:$AC$400,_xlfn.TEXTJOIN(",",TRUE,$B289:$E289),SF_Output!$Q$1:$Q$400,"One Time",SF_Output!$L$1:$L$400,"software license"))/J289)))</f>
        <v/>
      </c>
      <c r="L289" s="6" t="str">
        <f t="shared" si="17"/>
        <v/>
      </c>
      <c r="N289" s="6" t="str">
        <f>IF(B289="","",SUMIFS(SF_Output!$S$1:$S$400,SF_Output!$AC$1:$AC$400,_xlfn.TEXTJOIN(",",TRUE,B289:E289),SF_Output!$Q$1:$Q$400,"One Time",SF_Output!$L$1:$L$400,"professional service"))</f>
        <v/>
      </c>
      <c r="O289" s="112" t="str">
        <f>IF(OR(B289=0,B289="",N289=0),"",IF(AF289&lt;&gt;"exclusion",MAX(O$9,-(SUMIFS(SF_Output!$T$1:$T$400,SF_Output!$AC$1:$AC$400,_xlfn.TEXTJOIN(",",TRUE,$B289:$E289),SF_Output!$Q$1:$Q$400,"One Time",SF_Output!$L$1:$L$400,"professional service"))/N289),-((SUMIFS(SF_Output!$T$1:$T$400,SF_Output!$AC$1:$AC$400,_xlfn.TEXTJOIN(",",TRUE,$B289:$E289),SF_Output!$Q$1:$Q$400,"One Time",SF_Output!$L$1:$L$400,"professional service")/N289))))</f>
        <v/>
      </c>
      <c r="P289" s="6" t="str">
        <f t="shared" si="18"/>
        <v/>
      </c>
      <c r="R289" s="6" t="str">
        <f>IF(B289="","",SUMIFS(SF_Output!$S$1:$S$400,SF_Output!$AC$1:$AC$400,_xlfn.TEXTJOIN(",",TRUE,B289:E289),SF_Output!$Q$1:$Q$400,"yearly")+SUMIFS(SF_Output!$S$1:$S$400,SF_Output!$AC$1:$AC$400,_xlfn.TEXTJOIN(",",TRUE,B289:E289),SF_Output!$Q$1:$Q$400,"quarterly")*4)</f>
        <v/>
      </c>
      <c r="S289" s="112" t="str">
        <f>IF(OR(B289=0,B289="",G289="hardware",R289=0),"",IF(AF289&lt;&gt;"exclusion",MAX(S$9,-(SUMIFS(SF_Output!$T$1:$T$400,SF_Output!$AC$1:$AC$400,_xlfn.TEXTJOIN(",",TRUE,$B289:$E289),SF_Output!$Q$1:$Q$400,"yearly"))/R289),-((SUMIFS(SF_Output!$T$1:$T$400,SF_Output!$AC$1:$AC$400,_xlfn.TEXTJOIN(",",TRUE,$B289:$E289),SF_Output!$Q$1:$Q$400,"yearly")/R289))))</f>
        <v/>
      </c>
      <c r="T289" s="6" t="str">
        <f t="shared" si="19"/>
        <v/>
      </c>
      <c r="V289" s="6" t="str" cm="1">
        <f t="array" ref="V289">_xlfn.IFS(B289="","",AND(B289&lt;&gt;"",H289=SF_Output!$Y$2,SUMIFS(SF_Output!$T$1:$T$400,SF_Output!$AC$1:$AC$400,_xlfn.TEXTJOIN(",",TRUE,B289:E289),SF_Output!$Q$1:$Q$400,"monthly")=0),(SUMIFS(SF_Output!$F$1:$F$400,SF_Output!$AC$1:$AC$400,_xlfn.TEXTJOIN(",",TRUE,B289:E289),SF_Output!$Q$1:$Q$400,"monthly")+SUMIFS(SF_Output!$G$1:$G$400,SF_Output!$AC$1:$AC$400,_xlfn.TEXTJOIN(",",TRUE,B289:E289),SF_Output!$Q$1:$Q$400,"monthly"))*H289,AND(B289&lt;&gt;"",H289=SF_Output!$Y$2,SUMIFS(SF_Output!$T$1:$T$400,SF_Output!$AC$1:$AC$400,_xlfn.TEXTJOIN(",",TRUE,B289:E289),SF_Output!$Q$1:$Q$400,"monthly")&lt;&gt;0),SUMIFS(SF_Output!$S$1:$S$400,SF_Output!$AC$1:$AC$400,_xlfn.TEXTJOIN(",",TRUE,B289:E289),SF_Output!$Q$1:$Q$400,"monthly"),AND(B289&lt;&gt;"",H289&lt;&gt;SF_Output!$Y$2),SUMIFS(SF_Output!$S$1:$S$400,SF_Output!$AC$1:$AC$400,_xlfn.TEXTJOIN(",",TRUE,B289:E289),SF_Output!$Q$1:$Q$400,"monthly"))</f>
        <v/>
      </c>
      <c r="W289" s="112" t="str" cm="1">
        <f t="array" ref="W289">_xlfn.IFS(OR(B289=0,B289="",V289=0),"",AF289&lt;&gt;"exclusion",MAX($W$9,$W$7,(-(SUMIFS(SF_Output!$T$1:$T$400,SF_Output!$AC$1:$AC$400,_xlfn.TEXTJOIN(",",TRUE,$B289:$E289),SF_Output!$Q$1:$Q$400,"monthly"))/V289)),AF289="exclusion",-(SUMIFS(SF_Output!$T$1:$T$400,SF_Output!$AC$1:$AC$400,_xlfn.TEXTJOIN(",",TRUE,$B289:$E289),SF_Output!$Q$1:$Q$400,"monthly"))/V289)</f>
        <v/>
      </c>
      <c r="X289" s="6" t="str" cm="1">
        <f t="array" ref="X289">IFERROR(_xlfn.IFS(V289=0,0,V289="","",W289=0,V289,OR(V289&lt;&gt;0,V289&lt;&gt;""),H289*I289),V289*(1-W289))</f>
        <v/>
      </c>
    </row>
    <row r="290" spans="6:24" x14ac:dyDescent="0.25">
      <c r="F290" s="116" t="str">
        <f t="shared" si="16"/>
        <v/>
      </c>
      <c r="G290" t="str">
        <f>IF(B290="","",INDEX(SF_Output!$K$1:$K$400,MATCH(B290,SF_Output!$M$1:$M$400,0)))</f>
        <v/>
      </c>
      <c r="H290" t="str" cm="1">
        <f t="array" ref="H290">_xlfn.IFS(B290="","",(SUMIFS(SF_Output!$F$1:$F$400,SF_Output!$AC$1:$AC$400,_xlfn.TEXTJOIN(",",TRUE,B290:E290))+SUMIFS(SF_Output!$G$1:$G$400,SF_Output!$AC$1:$AC$400,_xlfn.TEXTJOIN(",",TRUE,B290:E290)))&lt;&gt;0,SF_Output!$Y$2,INDEX(SF_Output!$F$1:$F$400,MATCH(_xlfn.TEXTJOIN(",",TRUE,B290:E290),SF_Output!$AC$1:$AC$400,0))=0,INDEX(SF_Output!$R$1:$R$400,MATCH(_xlfn.TEXTJOIN(",",TRUE,B290:E290),SF_Output!$AC$1:$AC$400,0)))</f>
        <v/>
      </c>
      <c r="I290" s="125" t="str">
        <f>IFERROR(IF(AND(H290&gt;1,H290&lt;&gt;""),ROUND(SUMIFS(SF_Output!$S$1:$S$400,SF_Output!$AC$1:$AC$400,_xlfn.TEXTJOIN(",",TRUE,B290:E290),SF_Output!$Q$1:$Q$400,"monthly")*(1-W290)/H290,4),""),"")</f>
        <v/>
      </c>
      <c r="J290" s="6" t="str">
        <f>IF(B290="","",SUMIFS(SF_Output!$S$1:$S$400,SF_Output!$AC$1:$AC$400,_xlfn.TEXTJOIN(",",TRUE,B290:E290),SF_Output!$Q$1:$Q$400,"One Time",SF_Output!$L$1:$L$400,"license fee")+SUMIFS(SF_Output!$S$1:$S$400,SF_Output!$AC$1:$AC$400,_xlfn.TEXTJOIN(",",TRUE,B290:E290),SF_Output!$Q$1:$Q$400,"One Time",SF_Output!$L$1:$L$400,"software license")+SUMIFS(SF_Output!$S$1:$S$400,SF_Output!$AC$1:$AC$400,_xlfn.TEXTJOIN(",",TRUE,B290:E290),SF_Output!$Q$1:$Q$400,"One Time",SF_Output!$L$1:$L$400,"hardware"))</f>
        <v/>
      </c>
      <c r="K290" s="112" t="str">
        <f>IF(OR(B290=0,B290="",G290="hardware",J290=0),"",IF(AF290&lt;&gt;"exclusion",MAX(K$9,-((SUMIFS(SF_Output!$T$1:$T$400,SF_Output!$AC$1:$AC$400,_xlfn.TEXTJOIN(",",TRUE,$B290:$E290),SF_Output!$Q$1:$Q$400,"One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license"))/J290)),-((SUMIFS(SF_Output!$T$1:$T$400,SF_Output!$AC$1:$AC$400,_xlfn.TEXTJOIN(",",TRUE,$B290:$E290),SF_Output!$Q$1:$Q$400,"One Time",SF_Output!$L$1:$L$400,"license fee")+SUMIFS(SF_Output!$T$1:$T$400,SF_Output!$AC$1:$AC$400,_xlfn.TEXTJOIN(",",TRUE,$B290:$E290),SF_Output!$Q$1:$Q$400,"One Time",SF_Output!$L$1:$L$400,"software license"))/J290)))</f>
        <v/>
      </c>
      <c r="L290" s="6" t="str">
        <f t="shared" si="17"/>
        <v/>
      </c>
      <c r="N290" s="6" t="str">
        <f>IF(B290="","",SUMIFS(SF_Output!$S$1:$S$400,SF_Output!$AC$1:$AC$400,_xlfn.TEXTJOIN(",",TRUE,B290:E290),SF_Output!$Q$1:$Q$400,"One Time",SF_Output!$L$1:$L$400,"professional service"))</f>
        <v/>
      </c>
      <c r="O290" s="112" t="str">
        <f>IF(OR(B290=0,B290="",N290=0),"",IF(AF290&lt;&gt;"exclusion",MAX(O$9,-(SUMIFS(SF_Output!$T$1:$T$400,SF_Output!$AC$1:$AC$400,_xlfn.TEXTJOIN(",",TRUE,$B290:$E290),SF_Output!$Q$1:$Q$400,"One Time",SF_Output!$L$1:$L$400,"professional service"))/N290),-((SUMIFS(SF_Output!$T$1:$T$400,SF_Output!$AC$1:$AC$400,_xlfn.TEXTJOIN(",",TRUE,$B290:$E290),SF_Output!$Q$1:$Q$400,"One Time",SF_Output!$L$1:$L$400,"professional service")/N290))))</f>
        <v/>
      </c>
      <c r="P290" s="6" t="str">
        <f t="shared" si="18"/>
        <v/>
      </c>
      <c r="R290" s="6" t="str">
        <f>IF(B290="","",SUMIFS(SF_Output!$S$1:$S$400,SF_Output!$AC$1:$AC$400,_xlfn.TEXTJOIN(",",TRUE,B290:E290),SF_Output!$Q$1:$Q$400,"yearly")+SUMIFS(SF_Output!$S$1:$S$400,SF_Output!$AC$1:$AC$400,_xlfn.TEXTJOIN(",",TRUE,B290:E290),SF_Output!$Q$1:$Q$400,"quarterly")*4)</f>
        <v/>
      </c>
      <c r="S290" s="112" t="str">
        <f>IF(OR(B290=0,B290="",G290="hardware",R290=0),"",IF(AF290&lt;&gt;"exclusion",MAX(S$9,-(SUMIFS(SF_Output!$T$1:$T$400,SF_Output!$AC$1:$AC$400,_xlfn.TEXTJOIN(",",TRUE,$B290:$E290),SF_Output!$Q$1:$Q$400,"yearly"))/R290),-((SUMIFS(SF_Output!$T$1:$T$400,SF_Output!$AC$1:$AC$400,_xlfn.TEXTJOIN(",",TRUE,$B290:$E290),SF_Output!$Q$1:$Q$400,"yearly")/R290))))</f>
        <v/>
      </c>
      <c r="T290" s="6" t="str">
        <f t="shared" si="19"/>
        <v/>
      </c>
      <c r="V290" s="6" t="str" cm="1">
        <f t="array" ref="V290">_xlfn.IFS(B290="","",AND(B290&lt;&gt;"",H290=SF_Output!$Y$2,SUMIFS(SF_Output!$T$1:$T$400,SF_Output!$AC$1:$AC$400,_xlfn.TEXTJOIN(",",TRUE,B290:E290),SF_Output!$Q$1:$Q$400,"monthly")=0),(SUMIFS(SF_Output!$F$1:$F$400,SF_Output!$AC$1:$AC$400,_xlfn.TEXTJOIN(",",TRUE,B290:E290),SF_Output!$Q$1:$Q$400,"monthly")+SUMIFS(SF_Output!$G$1:$G$400,SF_Output!$AC$1:$AC$400,_xlfn.TEXTJOIN(",",TRUE,B290:E290),SF_Output!$Q$1:$Q$400,"monthly"))*H290,AND(B290&lt;&gt;"",H290=SF_Output!$Y$2,SUMIFS(SF_Output!$T$1:$T$400,SF_Output!$AC$1:$AC$400,_xlfn.TEXTJOIN(",",TRUE,B290:E290),SF_Output!$Q$1:$Q$400,"monthly")&lt;&gt;0),SUMIFS(SF_Output!$S$1:$S$400,SF_Output!$AC$1:$AC$400,_xlfn.TEXTJOIN(",",TRUE,B290:E290),SF_Output!$Q$1:$Q$400,"monthly"),AND(B290&lt;&gt;"",H290&lt;&gt;SF_Output!$Y$2),SUMIFS(SF_Output!$S$1:$S$400,SF_Output!$AC$1:$AC$400,_xlfn.TEXTJOIN(",",TRUE,B290:E290),SF_Output!$Q$1:$Q$400,"monthly"))</f>
        <v/>
      </c>
      <c r="W290" s="112" t="str" cm="1">
        <f t="array" ref="W290">_xlfn.IFS(OR(B290=0,B290="",V290=0),"",AF290&lt;&gt;"exclusion",MAX($W$9,$W$7,(-(SUMIFS(SF_Output!$T$1:$T$400,SF_Output!$AC$1:$AC$400,_xlfn.TEXTJOIN(",",TRUE,$B290:$E290),SF_Output!$Q$1:$Q$400,"monthly"))/V290)),AF290="exclusion",-(SUMIFS(SF_Output!$T$1:$T$400,SF_Output!$AC$1:$AC$400,_xlfn.TEXTJOIN(",",TRUE,$B290:$E290),SF_Output!$Q$1:$Q$400,"monthly"))/V290)</f>
        <v/>
      </c>
      <c r="X290" s="6" t="str" cm="1">
        <f t="array" ref="X290">IFERROR(_xlfn.IFS(V290=0,0,V290="","",W290=0,V290,OR(V290&lt;&gt;0,V290&lt;&gt;""),H290*I290),V290*(1-W290))</f>
        <v/>
      </c>
    </row>
    <row r="291" spans="6:24" x14ac:dyDescent="0.25">
      <c r="F291" s="116" t="str">
        <f t="shared" si="16"/>
        <v/>
      </c>
      <c r="G291" t="str">
        <f>IF(B291="","",INDEX(SF_Output!$K$1:$K$400,MATCH(B291,SF_Output!$M$1:$M$400,0)))</f>
        <v/>
      </c>
      <c r="H291" t="str" cm="1">
        <f t="array" ref="H291">_xlfn.IFS(B291="","",(SUMIFS(SF_Output!$F$1:$F$400,SF_Output!$AC$1:$AC$400,_xlfn.TEXTJOIN(",",TRUE,B291:E291))+SUMIFS(SF_Output!$G$1:$G$400,SF_Output!$AC$1:$AC$400,_xlfn.TEXTJOIN(",",TRUE,B291:E291)))&lt;&gt;0,SF_Output!$Y$2,INDEX(SF_Output!$F$1:$F$400,MATCH(_xlfn.TEXTJOIN(",",TRUE,B291:E291),SF_Output!$AC$1:$AC$400,0))=0,INDEX(SF_Output!$R$1:$R$400,MATCH(_xlfn.TEXTJOIN(",",TRUE,B291:E291),SF_Output!$AC$1:$AC$400,0)))</f>
        <v/>
      </c>
      <c r="I291" s="125" t="str">
        <f>IFERROR(IF(AND(H291&gt;1,H291&lt;&gt;""),ROUND(SUMIFS(SF_Output!$S$1:$S$400,SF_Output!$AC$1:$AC$400,_xlfn.TEXTJOIN(",",TRUE,B291:E291),SF_Output!$Q$1:$Q$400,"monthly")*(1-W291)/H291,4),""),"")</f>
        <v/>
      </c>
      <c r="J291" s="6" t="str">
        <f>IF(B291="","",SUMIFS(SF_Output!$S$1:$S$400,SF_Output!$AC$1:$AC$400,_xlfn.TEXTJOIN(",",TRUE,B291:E291),SF_Output!$Q$1:$Q$400,"One Time",SF_Output!$L$1:$L$400,"license fee")+SUMIFS(SF_Output!$S$1:$S$400,SF_Output!$AC$1:$AC$400,_xlfn.TEXTJOIN(",",TRUE,B291:E291),SF_Output!$Q$1:$Q$400,"One Time",SF_Output!$L$1:$L$400,"software license")+SUMIFS(SF_Output!$S$1:$S$400,SF_Output!$AC$1:$AC$400,_xlfn.TEXTJOIN(",",TRUE,B291:E291),SF_Output!$Q$1:$Q$400,"One Time",SF_Output!$L$1:$L$400,"hardware"))</f>
        <v/>
      </c>
      <c r="K291" s="112" t="str">
        <f>IF(OR(B291=0,B291="",G291="hardware",J291=0),"",IF(AF291&lt;&gt;"exclusion",MAX(K$9,-((SUMIFS(SF_Output!$T$1:$T$400,SF_Output!$AC$1:$AC$400,_xlfn.TEXTJOIN(",",TRUE,$B291:$E291),SF_Output!$Q$1:$Q$400,"One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license"))/J291)),-((SUMIFS(SF_Output!$T$1:$T$400,SF_Output!$AC$1:$AC$400,_xlfn.TEXTJOIN(",",TRUE,$B291:$E291),SF_Output!$Q$1:$Q$400,"One Time",SF_Output!$L$1:$L$400,"license fee")+SUMIFS(SF_Output!$T$1:$T$400,SF_Output!$AC$1:$AC$400,_xlfn.TEXTJOIN(",",TRUE,$B291:$E291),SF_Output!$Q$1:$Q$400,"One Time",SF_Output!$L$1:$L$400,"software license"))/J291)))</f>
        <v/>
      </c>
      <c r="L291" s="6" t="str">
        <f t="shared" si="17"/>
        <v/>
      </c>
      <c r="N291" s="6" t="str">
        <f>IF(B291="","",SUMIFS(SF_Output!$S$1:$S$400,SF_Output!$AC$1:$AC$400,_xlfn.TEXTJOIN(",",TRUE,B291:E291),SF_Output!$Q$1:$Q$400,"One Time",SF_Output!$L$1:$L$400,"professional service"))</f>
        <v/>
      </c>
      <c r="O291" s="112" t="str">
        <f>IF(OR(B291=0,B291="",N291=0),"",IF(AF291&lt;&gt;"exclusion",MAX(O$9,-(SUMIFS(SF_Output!$T$1:$T$400,SF_Output!$AC$1:$AC$400,_xlfn.TEXTJOIN(",",TRUE,$B291:$E291),SF_Output!$Q$1:$Q$400,"One Time",SF_Output!$L$1:$L$400,"professional service"))/N291),-((SUMIFS(SF_Output!$T$1:$T$400,SF_Output!$AC$1:$AC$400,_xlfn.TEXTJOIN(",",TRUE,$B291:$E291),SF_Output!$Q$1:$Q$400,"One Time",SF_Output!$L$1:$L$400,"professional service")/N291))))</f>
        <v/>
      </c>
      <c r="P291" s="6" t="str">
        <f t="shared" si="18"/>
        <v/>
      </c>
      <c r="R291" s="6" t="str">
        <f>IF(B291="","",SUMIFS(SF_Output!$S$1:$S$400,SF_Output!$AC$1:$AC$400,_xlfn.TEXTJOIN(",",TRUE,B291:E291),SF_Output!$Q$1:$Q$400,"yearly")+SUMIFS(SF_Output!$S$1:$S$400,SF_Output!$AC$1:$AC$400,_xlfn.TEXTJOIN(",",TRUE,B291:E291),SF_Output!$Q$1:$Q$400,"quarterly")*4)</f>
        <v/>
      </c>
      <c r="S291" s="112" t="str">
        <f>IF(OR(B291=0,B291="",G291="hardware",R291=0),"",IF(AF291&lt;&gt;"exclusion",MAX(S$9,-(SUMIFS(SF_Output!$T$1:$T$400,SF_Output!$AC$1:$AC$400,_xlfn.TEXTJOIN(",",TRUE,$B291:$E291),SF_Output!$Q$1:$Q$400,"yearly"))/R291),-((SUMIFS(SF_Output!$T$1:$T$400,SF_Output!$AC$1:$AC$400,_xlfn.TEXTJOIN(",",TRUE,$B291:$E291),SF_Output!$Q$1:$Q$400,"yearly")/R291))))</f>
        <v/>
      </c>
      <c r="T291" s="6" t="str">
        <f t="shared" si="19"/>
        <v/>
      </c>
      <c r="V291" s="6" t="str" cm="1">
        <f t="array" ref="V291">_xlfn.IFS(B291="","",AND(B291&lt;&gt;"",H291=SF_Output!$Y$2,SUMIFS(SF_Output!$T$1:$T$400,SF_Output!$AC$1:$AC$400,_xlfn.TEXTJOIN(",",TRUE,B291:E291),SF_Output!$Q$1:$Q$400,"monthly")=0),(SUMIFS(SF_Output!$F$1:$F$400,SF_Output!$AC$1:$AC$400,_xlfn.TEXTJOIN(",",TRUE,B291:E291),SF_Output!$Q$1:$Q$400,"monthly")+SUMIFS(SF_Output!$G$1:$G$400,SF_Output!$AC$1:$AC$400,_xlfn.TEXTJOIN(",",TRUE,B291:E291),SF_Output!$Q$1:$Q$400,"monthly"))*H291,AND(B291&lt;&gt;"",H291=SF_Output!$Y$2,SUMIFS(SF_Output!$T$1:$T$400,SF_Output!$AC$1:$AC$400,_xlfn.TEXTJOIN(",",TRUE,B291:E291),SF_Output!$Q$1:$Q$400,"monthly")&lt;&gt;0),SUMIFS(SF_Output!$S$1:$S$400,SF_Output!$AC$1:$AC$400,_xlfn.TEXTJOIN(",",TRUE,B291:E291),SF_Output!$Q$1:$Q$400,"monthly"),AND(B291&lt;&gt;"",H291&lt;&gt;SF_Output!$Y$2),SUMIFS(SF_Output!$S$1:$S$400,SF_Output!$AC$1:$AC$400,_xlfn.TEXTJOIN(",",TRUE,B291:E291),SF_Output!$Q$1:$Q$400,"monthly"))</f>
        <v/>
      </c>
      <c r="W291" s="112" t="str" cm="1">
        <f t="array" ref="W291">_xlfn.IFS(OR(B291=0,B291="",V291=0),"",AF291&lt;&gt;"exclusion",MAX($W$9,$W$7,(-(SUMIFS(SF_Output!$T$1:$T$400,SF_Output!$AC$1:$AC$400,_xlfn.TEXTJOIN(",",TRUE,$B291:$E291),SF_Output!$Q$1:$Q$400,"monthly"))/V291)),AF291="exclusion",-(SUMIFS(SF_Output!$T$1:$T$400,SF_Output!$AC$1:$AC$400,_xlfn.TEXTJOIN(",",TRUE,$B291:$E291),SF_Output!$Q$1:$Q$400,"monthly"))/V291)</f>
        <v/>
      </c>
      <c r="X291" s="6" t="str" cm="1">
        <f t="array" ref="X291">IFERROR(_xlfn.IFS(V291=0,0,V291="","",W291=0,V291,OR(V291&lt;&gt;0,V291&lt;&gt;""),H291*I291),V291*(1-W291))</f>
        <v/>
      </c>
    </row>
    <row r="292" spans="6:24" x14ac:dyDescent="0.25">
      <c r="F292" s="116" t="str">
        <f t="shared" si="16"/>
        <v/>
      </c>
      <c r="G292" t="str">
        <f>IF(B292="","",INDEX(SF_Output!$K$1:$K$400,MATCH(B292,SF_Output!$M$1:$M$400,0)))</f>
        <v/>
      </c>
      <c r="H292" t="str" cm="1">
        <f t="array" ref="H292">_xlfn.IFS(B292="","",(SUMIFS(SF_Output!$F$1:$F$400,SF_Output!$AC$1:$AC$400,_xlfn.TEXTJOIN(",",TRUE,B292:E292))+SUMIFS(SF_Output!$G$1:$G$400,SF_Output!$AC$1:$AC$400,_xlfn.TEXTJOIN(",",TRUE,B292:E292)))&lt;&gt;0,SF_Output!$Y$2,INDEX(SF_Output!$F$1:$F$400,MATCH(_xlfn.TEXTJOIN(",",TRUE,B292:E292),SF_Output!$AC$1:$AC$400,0))=0,INDEX(SF_Output!$R$1:$R$400,MATCH(_xlfn.TEXTJOIN(",",TRUE,B292:E292),SF_Output!$AC$1:$AC$400,0)))</f>
        <v/>
      </c>
      <c r="I292" s="125" t="str">
        <f>IFERROR(IF(AND(H292&gt;1,H292&lt;&gt;""),ROUND(SUMIFS(SF_Output!$S$1:$S$400,SF_Output!$AC$1:$AC$400,_xlfn.TEXTJOIN(",",TRUE,B292:E292),SF_Output!$Q$1:$Q$400,"monthly")*(1-W292)/H292,4),""),"")</f>
        <v/>
      </c>
      <c r="J292" s="6" t="str">
        <f>IF(B292="","",SUMIFS(SF_Output!$S$1:$S$400,SF_Output!$AC$1:$AC$400,_xlfn.TEXTJOIN(",",TRUE,B292:E292),SF_Output!$Q$1:$Q$400,"One Time",SF_Output!$L$1:$L$400,"license fee")+SUMIFS(SF_Output!$S$1:$S$400,SF_Output!$AC$1:$AC$400,_xlfn.TEXTJOIN(",",TRUE,B292:E292),SF_Output!$Q$1:$Q$400,"One Time",SF_Output!$L$1:$L$400,"software license")+SUMIFS(SF_Output!$S$1:$S$400,SF_Output!$AC$1:$AC$400,_xlfn.TEXTJOIN(",",TRUE,B292:E292),SF_Output!$Q$1:$Q$400,"One Time",SF_Output!$L$1:$L$400,"hardware"))</f>
        <v/>
      </c>
      <c r="K292" s="112" t="str">
        <f>IF(OR(B292=0,B292="",G292="hardware",J292=0),"",IF(AF292&lt;&gt;"exclusion",MAX(K$9,-((SUMIFS(SF_Output!$T$1:$T$400,SF_Output!$AC$1:$AC$400,_xlfn.TEXTJOIN(",",TRUE,$B292:$E292),SF_Output!$Q$1:$Q$400,"One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license"))/J292)),-((SUMIFS(SF_Output!$T$1:$T$400,SF_Output!$AC$1:$AC$400,_xlfn.TEXTJOIN(",",TRUE,$B292:$E292),SF_Output!$Q$1:$Q$400,"One Time",SF_Output!$L$1:$L$400,"license fee")+SUMIFS(SF_Output!$T$1:$T$400,SF_Output!$AC$1:$AC$400,_xlfn.TEXTJOIN(",",TRUE,$B292:$E292),SF_Output!$Q$1:$Q$400,"One Time",SF_Output!$L$1:$L$400,"software license"))/J292)))</f>
        <v/>
      </c>
      <c r="L292" s="6" t="str">
        <f t="shared" si="17"/>
        <v/>
      </c>
      <c r="N292" s="6" t="str">
        <f>IF(B292="","",SUMIFS(SF_Output!$S$1:$S$400,SF_Output!$AC$1:$AC$400,_xlfn.TEXTJOIN(",",TRUE,B292:E292),SF_Output!$Q$1:$Q$400,"One Time",SF_Output!$L$1:$L$400,"professional service"))</f>
        <v/>
      </c>
      <c r="O292" s="112" t="str">
        <f>IF(OR(B292=0,B292="",N292=0),"",IF(AF292&lt;&gt;"exclusion",MAX(O$9,-(SUMIFS(SF_Output!$T$1:$T$400,SF_Output!$AC$1:$AC$400,_xlfn.TEXTJOIN(",",TRUE,$B292:$E292),SF_Output!$Q$1:$Q$400,"One Time",SF_Output!$L$1:$L$400,"professional service"))/N292),-((SUMIFS(SF_Output!$T$1:$T$400,SF_Output!$AC$1:$AC$400,_xlfn.TEXTJOIN(",",TRUE,$B292:$E292),SF_Output!$Q$1:$Q$400,"One Time",SF_Output!$L$1:$L$400,"professional service")/N292))))</f>
        <v/>
      </c>
      <c r="P292" s="6" t="str">
        <f t="shared" si="18"/>
        <v/>
      </c>
      <c r="R292" s="6" t="str">
        <f>IF(B292="","",SUMIFS(SF_Output!$S$1:$S$400,SF_Output!$AC$1:$AC$400,_xlfn.TEXTJOIN(",",TRUE,B292:E292),SF_Output!$Q$1:$Q$400,"yearly")+SUMIFS(SF_Output!$S$1:$S$400,SF_Output!$AC$1:$AC$400,_xlfn.TEXTJOIN(",",TRUE,B292:E292),SF_Output!$Q$1:$Q$400,"quarterly")*4)</f>
        <v/>
      </c>
      <c r="S292" s="112" t="str">
        <f>IF(OR(B292=0,B292="",G292="hardware",R292=0),"",IF(AF292&lt;&gt;"exclusion",MAX(S$9,-(SUMIFS(SF_Output!$T$1:$T$400,SF_Output!$AC$1:$AC$400,_xlfn.TEXTJOIN(",",TRUE,$B292:$E292),SF_Output!$Q$1:$Q$400,"yearly"))/R292),-((SUMIFS(SF_Output!$T$1:$T$400,SF_Output!$AC$1:$AC$400,_xlfn.TEXTJOIN(",",TRUE,$B292:$E292),SF_Output!$Q$1:$Q$400,"yearly")/R292))))</f>
        <v/>
      </c>
      <c r="T292" s="6" t="str">
        <f t="shared" si="19"/>
        <v/>
      </c>
      <c r="V292" s="6" t="str" cm="1">
        <f t="array" ref="V292">_xlfn.IFS(B292="","",AND(B292&lt;&gt;"",H292=SF_Output!$Y$2,SUMIFS(SF_Output!$T$1:$T$400,SF_Output!$AC$1:$AC$400,_xlfn.TEXTJOIN(",",TRUE,B292:E292),SF_Output!$Q$1:$Q$400,"monthly")=0),(SUMIFS(SF_Output!$F$1:$F$400,SF_Output!$AC$1:$AC$400,_xlfn.TEXTJOIN(",",TRUE,B292:E292),SF_Output!$Q$1:$Q$400,"monthly")+SUMIFS(SF_Output!$G$1:$G$400,SF_Output!$AC$1:$AC$400,_xlfn.TEXTJOIN(",",TRUE,B292:E292),SF_Output!$Q$1:$Q$400,"monthly"))*H292,AND(B292&lt;&gt;"",H292=SF_Output!$Y$2,SUMIFS(SF_Output!$T$1:$T$400,SF_Output!$AC$1:$AC$400,_xlfn.TEXTJOIN(",",TRUE,B292:E292),SF_Output!$Q$1:$Q$400,"monthly")&lt;&gt;0),SUMIFS(SF_Output!$S$1:$S$400,SF_Output!$AC$1:$AC$400,_xlfn.TEXTJOIN(",",TRUE,B292:E292),SF_Output!$Q$1:$Q$400,"monthly"),AND(B292&lt;&gt;"",H292&lt;&gt;SF_Output!$Y$2),SUMIFS(SF_Output!$S$1:$S$400,SF_Output!$AC$1:$AC$400,_xlfn.TEXTJOIN(",",TRUE,B292:E292),SF_Output!$Q$1:$Q$400,"monthly"))</f>
        <v/>
      </c>
      <c r="W292" s="112" t="str" cm="1">
        <f t="array" ref="W292">_xlfn.IFS(OR(B292=0,B292="",V292=0),"",AF292&lt;&gt;"exclusion",MAX($W$9,$W$7,(-(SUMIFS(SF_Output!$T$1:$T$400,SF_Output!$AC$1:$AC$400,_xlfn.TEXTJOIN(",",TRUE,$B292:$E292),SF_Output!$Q$1:$Q$400,"monthly"))/V292)),AF292="exclusion",-(SUMIFS(SF_Output!$T$1:$T$400,SF_Output!$AC$1:$AC$400,_xlfn.TEXTJOIN(",",TRUE,$B292:$E292),SF_Output!$Q$1:$Q$400,"monthly"))/V292)</f>
        <v/>
      </c>
      <c r="X292" s="6" t="str" cm="1">
        <f t="array" ref="X292">IFERROR(_xlfn.IFS(V292=0,0,V292="","",W292=0,V292,OR(V292&lt;&gt;0,V292&lt;&gt;""),H292*I292),V292*(1-W292))</f>
        <v/>
      </c>
    </row>
    <row r="293" spans="6:24" x14ac:dyDescent="0.25">
      <c r="F293" s="116" t="str">
        <f t="shared" si="16"/>
        <v/>
      </c>
      <c r="G293" t="str">
        <f>IF(B293="","",INDEX(SF_Output!$K$1:$K$400,MATCH(B293,SF_Output!$M$1:$M$400,0)))</f>
        <v/>
      </c>
      <c r="H293" t="str" cm="1">
        <f t="array" ref="H293">_xlfn.IFS(B293="","",(SUMIFS(SF_Output!$F$1:$F$400,SF_Output!$AC$1:$AC$400,_xlfn.TEXTJOIN(",",TRUE,B293:E293))+SUMIFS(SF_Output!$G$1:$G$400,SF_Output!$AC$1:$AC$400,_xlfn.TEXTJOIN(",",TRUE,B293:E293)))&lt;&gt;0,SF_Output!$Y$2,INDEX(SF_Output!$F$1:$F$400,MATCH(_xlfn.TEXTJOIN(",",TRUE,B293:E293),SF_Output!$AC$1:$AC$400,0))=0,INDEX(SF_Output!$R$1:$R$400,MATCH(_xlfn.TEXTJOIN(",",TRUE,B293:E293),SF_Output!$AC$1:$AC$400,0)))</f>
        <v/>
      </c>
      <c r="I293" s="125" t="str">
        <f>IFERROR(IF(AND(H293&gt;1,H293&lt;&gt;""),ROUND(SUMIFS(SF_Output!$S$1:$S$400,SF_Output!$AC$1:$AC$400,_xlfn.TEXTJOIN(",",TRUE,B293:E293),SF_Output!$Q$1:$Q$400,"monthly")*(1-W293)/H293,4),""),"")</f>
        <v/>
      </c>
      <c r="J293" s="6" t="str">
        <f>IF(B293="","",SUMIFS(SF_Output!$S$1:$S$400,SF_Output!$AC$1:$AC$400,_xlfn.TEXTJOIN(",",TRUE,B293:E293),SF_Output!$Q$1:$Q$400,"One Time",SF_Output!$L$1:$L$400,"license fee")+SUMIFS(SF_Output!$S$1:$S$400,SF_Output!$AC$1:$AC$400,_xlfn.TEXTJOIN(",",TRUE,B293:E293),SF_Output!$Q$1:$Q$400,"One Time",SF_Output!$L$1:$L$400,"software license")+SUMIFS(SF_Output!$S$1:$S$400,SF_Output!$AC$1:$AC$400,_xlfn.TEXTJOIN(",",TRUE,B293:E293),SF_Output!$Q$1:$Q$400,"One Time",SF_Output!$L$1:$L$400,"hardware"))</f>
        <v/>
      </c>
      <c r="K293" s="112" t="str">
        <f>IF(OR(B293=0,B293="",G293="hardware",J293=0),"",IF(AF293&lt;&gt;"exclusion",MAX(K$9,-((SUMIFS(SF_Output!$T$1:$T$400,SF_Output!$AC$1:$AC$400,_xlfn.TEXTJOIN(",",TRUE,$B293:$E293),SF_Output!$Q$1:$Q$400,"One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license"))/J293)),-((SUMIFS(SF_Output!$T$1:$T$400,SF_Output!$AC$1:$AC$400,_xlfn.TEXTJOIN(",",TRUE,$B293:$E293),SF_Output!$Q$1:$Q$400,"One Time",SF_Output!$L$1:$L$400,"license fee")+SUMIFS(SF_Output!$T$1:$T$400,SF_Output!$AC$1:$AC$400,_xlfn.TEXTJOIN(",",TRUE,$B293:$E293),SF_Output!$Q$1:$Q$400,"One Time",SF_Output!$L$1:$L$400,"software license"))/J293)))</f>
        <v/>
      </c>
      <c r="L293" s="6" t="str">
        <f t="shared" si="17"/>
        <v/>
      </c>
      <c r="N293" s="6" t="str">
        <f>IF(B293="","",SUMIFS(SF_Output!$S$1:$S$400,SF_Output!$AC$1:$AC$400,_xlfn.TEXTJOIN(",",TRUE,B293:E293),SF_Output!$Q$1:$Q$400,"One Time",SF_Output!$L$1:$L$400,"professional service"))</f>
        <v/>
      </c>
      <c r="O293" s="112" t="str">
        <f>IF(OR(B293=0,B293="",N293=0),"",IF(AF293&lt;&gt;"exclusion",MAX(O$9,-(SUMIFS(SF_Output!$T$1:$T$400,SF_Output!$AC$1:$AC$400,_xlfn.TEXTJOIN(",",TRUE,$B293:$E293),SF_Output!$Q$1:$Q$400,"One Time",SF_Output!$L$1:$L$400,"professional service"))/N293),-((SUMIFS(SF_Output!$T$1:$T$400,SF_Output!$AC$1:$AC$400,_xlfn.TEXTJOIN(",",TRUE,$B293:$E293),SF_Output!$Q$1:$Q$400,"One Time",SF_Output!$L$1:$L$400,"professional service")/N293))))</f>
        <v/>
      </c>
      <c r="P293" s="6" t="str">
        <f t="shared" si="18"/>
        <v/>
      </c>
      <c r="R293" s="6" t="str">
        <f>IF(B293="","",SUMIFS(SF_Output!$S$1:$S$400,SF_Output!$AC$1:$AC$400,_xlfn.TEXTJOIN(",",TRUE,B293:E293),SF_Output!$Q$1:$Q$400,"yearly")+SUMIFS(SF_Output!$S$1:$S$400,SF_Output!$AC$1:$AC$400,_xlfn.TEXTJOIN(",",TRUE,B293:E293),SF_Output!$Q$1:$Q$400,"quarterly")*4)</f>
        <v/>
      </c>
      <c r="S293" s="112" t="str">
        <f>IF(OR(B293=0,B293="",G293="hardware",R293=0),"",IF(AF293&lt;&gt;"exclusion",MAX(S$9,-(SUMIFS(SF_Output!$T$1:$T$400,SF_Output!$AC$1:$AC$400,_xlfn.TEXTJOIN(",",TRUE,$B293:$E293),SF_Output!$Q$1:$Q$400,"yearly"))/R293),-((SUMIFS(SF_Output!$T$1:$T$400,SF_Output!$AC$1:$AC$400,_xlfn.TEXTJOIN(",",TRUE,$B293:$E293),SF_Output!$Q$1:$Q$400,"yearly")/R293))))</f>
        <v/>
      </c>
      <c r="T293" s="6" t="str">
        <f t="shared" si="19"/>
        <v/>
      </c>
      <c r="V293" s="6" t="str" cm="1">
        <f t="array" ref="V293">_xlfn.IFS(B293="","",AND(B293&lt;&gt;"",H293=SF_Output!$Y$2,SUMIFS(SF_Output!$T$1:$T$400,SF_Output!$AC$1:$AC$400,_xlfn.TEXTJOIN(",",TRUE,B293:E293),SF_Output!$Q$1:$Q$400,"monthly")=0),(SUMIFS(SF_Output!$F$1:$F$400,SF_Output!$AC$1:$AC$400,_xlfn.TEXTJOIN(",",TRUE,B293:E293),SF_Output!$Q$1:$Q$400,"monthly")+SUMIFS(SF_Output!$G$1:$G$400,SF_Output!$AC$1:$AC$400,_xlfn.TEXTJOIN(",",TRUE,B293:E293),SF_Output!$Q$1:$Q$400,"monthly"))*H293,AND(B293&lt;&gt;"",H293=SF_Output!$Y$2,SUMIFS(SF_Output!$T$1:$T$400,SF_Output!$AC$1:$AC$400,_xlfn.TEXTJOIN(",",TRUE,B293:E293),SF_Output!$Q$1:$Q$400,"monthly")&lt;&gt;0),SUMIFS(SF_Output!$S$1:$S$400,SF_Output!$AC$1:$AC$400,_xlfn.TEXTJOIN(",",TRUE,B293:E293),SF_Output!$Q$1:$Q$400,"monthly"),AND(B293&lt;&gt;"",H293&lt;&gt;SF_Output!$Y$2),SUMIFS(SF_Output!$S$1:$S$400,SF_Output!$AC$1:$AC$400,_xlfn.TEXTJOIN(",",TRUE,B293:E293),SF_Output!$Q$1:$Q$400,"monthly"))</f>
        <v/>
      </c>
      <c r="W293" s="112" t="str" cm="1">
        <f t="array" ref="W293">_xlfn.IFS(OR(B293=0,B293="",V293=0),"",AF293&lt;&gt;"exclusion",MAX($W$9,$W$7,(-(SUMIFS(SF_Output!$T$1:$T$400,SF_Output!$AC$1:$AC$400,_xlfn.TEXTJOIN(",",TRUE,$B293:$E293),SF_Output!$Q$1:$Q$400,"monthly"))/V293)),AF293="exclusion",-(SUMIFS(SF_Output!$T$1:$T$400,SF_Output!$AC$1:$AC$400,_xlfn.TEXTJOIN(",",TRUE,$B293:$E293),SF_Output!$Q$1:$Q$400,"monthly"))/V293)</f>
        <v/>
      </c>
      <c r="X293" s="6" t="str" cm="1">
        <f t="array" ref="X293">IFERROR(_xlfn.IFS(V293=0,0,V293="","",W293=0,V293,OR(V293&lt;&gt;0,V293&lt;&gt;""),H293*I293),V293*(1-W293))</f>
        <v/>
      </c>
    </row>
    <row r="294" spans="6:24" x14ac:dyDescent="0.25">
      <c r="F294" s="116" t="str">
        <f t="shared" si="16"/>
        <v/>
      </c>
      <c r="G294" t="str">
        <f>IF(B294="","",INDEX(SF_Output!$K$1:$K$400,MATCH(B294,SF_Output!$M$1:$M$400,0)))</f>
        <v/>
      </c>
      <c r="H294" t="str" cm="1">
        <f t="array" ref="H294">_xlfn.IFS(B294="","",(SUMIFS(SF_Output!$F$1:$F$400,SF_Output!$AC$1:$AC$400,_xlfn.TEXTJOIN(",",TRUE,B294:E294))+SUMIFS(SF_Output!$G$1:$G$400,SF_Output!$AC$1:$AC$400,_xlfn.TEXTJOIN(",",TRUE,B294:E294)))&lt;&gt;0,SF_Output!$Y$2,INDEX(SF_Output!$F$1:$F$400,MATCH(_xlfn.TEXTJOIN(",",TRUE,B294:E294),SF_Output!$AC$1:$AC$400,0))=0,INDEX(SF_Output!$R$1:$R$400,MATCH(_xlfn.TEXTJOIN(",",TRUE,B294:E294),SF_Output!$AC$1:$AC$400,0)))</f>
        <v/>
      </c>
      <c r="I294" s="125" t="str">
        <f>IFERROR(IF(AND(H294&gt;1,H294&lt;&gt;""),ROUND(SUMIFS(SF_Output!$S$1:$S$400,SF_Output!$AC$1:$AC$400,_xlfn.TEXTJOIN(",",TRUE,B294:E294),SF_Output!$Q$1:$Q$400,"monthly")*(1-W294)/H294,4),""),"")</f>
        <v/>
      </c>
      <c r="J294" s="6" t="str">
        <f>IF(B294="","",SUMIFS(SF_Output!$S$1:$S$400,SF_Output!$AC$1:$AC$400,_xlfn.TEXTJOIN(",",TRUE,B294:E294),SF_Output!$Q$1:$Q$400,"One Time",SF_Output!$L$1:$L$400,"license fee")+SUMIFS(SF_Output!$S$1:$S$400,SF_Output!$AC$1:$AC$400,_xlfn.TEXTJOIN(",",TRUE,B294:E294),SF_Output!$Q$1:$Q$400,"One Time",SF_Output!$L$1:$L$400,"software license")+SUMIFS(SF_Output!$S$1:$S$400,SF_Output!$AC$1:$AC$400,_xlfn.TEXTJOIN(",",TRUE,B294:E294),SF_Output!$Q$1:$Q$400,"One Time",SF_Output!$L$1:$L$400,"hardware"))</f>
        <v/>
      </c>
      <c r="K294" s="112" t="str">
        <f>IF(OR(B294=0,B294="",G294="hardware",J294=0),"",IF(AF294&lt;&gt;"exclusion",MAX(K$9,-((SUMIFS(SF_Output!$T$1:$T$400,SF_Output!$AC$1:$AC$400,_xlfn.TEXTJOIN(",",TRUE,$B294:$E294),SF_Output!$Q$1:$Q$400,"One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license"))/J294)),-((SUMIFS(SF_Output!$T$1:$T$400,SF_Output!$AC$1:$AC$400,_xlfn.TEXTJOIN(",",TRUE,$B294:$E294),SF_Output!$Q$1:$Q$400,"One Time",SF_Output!$L$1:$L$400,"license fee")+SUMIFS(SF_Output!$T$1:$T$400,SF_Output!$AC$1:$AC$400,_xlfn.TEXTJOIN(",",TRUE,$B294:$E294),SF_Output!$Q$1:$Q$400,"One Time",SF_Output!$L$1:$L$400,"software license"))/J294)))</f>
        <v/>
      </c>
      <c r="L294" s="6" t="str">
        <f t="shared" si="17"/>
        <v/>
      </c>
      <c r="N294" s="6" t="str">
        <f>IF(B294="","",SUMIFS(SF_Output!$S$1:$S$400,SF_Output!$AC$1:$AC$400,_xlfn.TEXTJOIN(",",TRUE,B294:E294),SF_Output!$Q$1:$Q$400,"One Time",SF_Output!$L$1:$L$400,"professional service"))</f>
        <v/>
      </c>
      <c r="O294" s="112" t="str">
        <f>IF(OR(B294=0,B294="",N294=0),"",IF(AF294&lt;&gt;"exclusion",MAX(O$9,-(SUMIFS(SF_Output!$T$1:$T$400,SF_Output!$AC$1:$AC$400,_xlfn.TEXTJOIN(",",TRUE,$B294:$E294),SF_Output!$Q$1:$Q$400,"One Time",SF_Output!$L$1:$L$400,"professional service"))/N294),-((SUMIFS(SF_Output!$T$1:$T$400,SF_Output!$AC$1:$AC$400,_xlfn.TEXTJOIN(",",TRUE,$B294:$E294),SF_Output!$Q$1:$Q$400,"One Time",SF_Output!$L$1:$L$400,"professional service")/N294))))</f>
        <v/>
      </c>
      <c r="P294" s="6" t="str">
        <f t="shared" si="18"/>
        <v/>
      </c>
      <c r="R294" s="6" t="str">
        <f>IF(B294="","",SUMIFS(SF_Output!$S$1:$S$400,SF_Output!$AC$1:$AC$400,_xlfn.TEXTJOIN(",",TRUE,B294:E294),SF_Output!$Q$1:$Q$400,"yearly")+SUMIFS(SF_Output!$S$1:$S$400,SF_Output!$AC$1:$AC$400,_xlfn.TEXTJOIN(",",TRUE,B294:E294),SF_Output!$Q$1:$Q$400,"quarterly")*4)</f>
        <v/>
      </c>
      <c r="S294" s="112" t="str">
        <f>IF(OR(B294=0,B294="",G294="hardware",R294=0),"",IF(AF294&lt;&gt;"exclusion",MAX(S$9,-(SUMIFS(SF_Output!$T$1:$T$400,SF_Output!$AC$1:$AC$400,_xlfn.TEXTJOIN(",",TRUE,$B294:$E294),SF_Output!$Q$1:$Q$400,"yearly"))/R294),-((SUMIFS(SF_Output!$T$1:$T$400,SF_Output!$AC$1:$AC$400,_xlfn.TEXTJOIN(",",TRUE,$B294:$E294),SF_Output!$Q$1:$Q$400,"yearly")/R294))))</f>
        <v/>
      </c>
      <c r="T294" s="6" t="str">
        <f t="shared" si="19"/>
        <v/>
      </c>
      <c r="V294" s="6" t="str" cm="1">
        <f t="array" ref="V294">_xlfn.IFS(B294="","",AND(B294&lt;&gt;"",H294=SF_Output!$Y$2,SUMIFS(SF_Output!$T$1:$T$400,SF_Output!$AC$1:$AC$400,_xlfn.TEXTJOIN(",",TRUE,B294:E294),SF_Output!$Q$1:$Q$400,"monthly")=0),(SUMIFS(SF_Output!$F$1:$F$400,SF_Output!$AC$1:$AC$400,_xlfn.TEXTJOIN(",",TRUE,B294:E294),SF_Output!$Q$1:$Q$400,"monthly")+SUMIFS(SF_Output!$G$1:$G$400,SF_Output!$AC$1:$AC$400,_xlfn.TEXTJOIN(",",TRUE,B294:E294),SF_Output!$Q$1:$Q$400,"monthly"))*H294,AND(B294&lt;&gt;"",H294=SF_Output!$Y$2,SUMIFS(SF_Output!$T$1:$T$400,SF_Output!$AC$1:$AC$400,_xlfn.TEXTJOIN(",",TRUE,B294:E294),SF_Output!$Q$1:$Q$400,"monthly")&lt;&gt;0),SUMIFS(SF_Output!$S$1:$S$400,SF_Output!$AC$1:$AC$400,_xlfn.TEXTJOIN(",",TRUE,B294:E294),SF_Output!$Q$1:$Q$400,"monthly"),AND(B294&lt;&gt;"",H294&lt;&gt;SF_Output!$Y$2),SUMIFS(SF_Output!$S$1:$S$400,SF_Output!$AC$1:$AC$400,_xlfn.TEXTJOIN(",",TRUE,B294:E294),SF_Output!$Q$1:$Q$400,"monthly"))</f>
        <v/>
      </c>
      <c r="W294" s="112" t="str" cm="1">
        <f t="array" ref="W294">_xlfn.IFS(OR(B294=0,B294="",V294=0),"",AF294&lt;&gt;"exclusion",MAX($W$9,$W$7,(-(SUMIFS(SF_Output!$T$1:$T$400,SF_Output!$AC$1:$AC$400,_xlfn.TEXTJOIN(",",TRUE,$B294:$E294),SF_Output!$Q$1:$Q$400,"monthly"))/V294)),AF294="exclusion",-(SUMIFS(SF_Output!$T$1:$T$400,SF_Output!$AC$1:$AC$400,_xlfn.TEXTJOIN(",",TRUE,$B294:$E294),SF_Output!$Q$1:$Q$400,"monthly"))/V294)</f>
        <v/>
      </c>
      <c r="X294" s="6" t="str" cm="1">
        <f t="array" ref="X294">IFERROR(_xlfn.IFS(V294=0,0,V294="","",W294=0,V294,OR(V294&lt;&gt;0,V294&lt;&gt;""),H294*I294),V294*(1-W294))</f>
        <v/>
      </c>
    </row>
    <row r="295" spans="6:24" x14ac:dyDescent="0.25">
      <c r="F295" s="116" t="str">
        <f t="shared" si="16"/>
        <v/>
      </c>
      <c r="G295" t="str">
        <f>IF(B295="","",INDEX(SF_Output!$K$1:$K$400,MATCH(B295,SF_Output!$M$1:$M$400,0)))</f>
        <v/>
      </c>
      <c r="H295" t="str" cm="1">
        <f t="array" ref="H295">_xlfn.IFS(B295="","",(SUMIFS(SF_Output!$F$1:$F$400,SF_Output!$AC$1:$AC$400,_xlfn.TEXTJOIN(",",TRUE,B295:E295))+SUMIFS(SF_Output!$G$1:$G$400,SF_Output!$AC$1:$AC$400,_xlfn.TEXTJOIN(",",TRUE,B295:E295)))&lt;&gt;0,SF_Output!$Y$2,INDEX(SF_Output!$F$1:$F$400,MATCH(_xlfn.TEXTJOIN(",",TRUE,B295:E295),SF_Output!$AC$1:$AC$400,0))=0,INDEX(SF_Output!$R$1:$R$400,MATCH(_xlfn.TEXTJOIN(",",TRUE,B295:E295),SF_Output!$AC$1:$AC$400,0)))</f>
        <v/>
      </c>
      <c r="I295" s="125" t="str">
        <f>IFERROR(IF(AND(H295&gt;1,H295&lt;&gt;""),ROUND(SUMIFS(SF_Output!$S$1:$S$400,SF_Output!$AC$1:$AC$400,_xlfn.TEXTJOIN(",",TRUE,B295:E295),SF_Output!$Q$1:$Q$400,"monthly")*(1-W295)/H295,4),""),"")</f>
        <v/>
      </c>
      <c r="J295" s="6" t="str">
        <f>IF(B295="","",SUMIFS(SF_Output!$S$1:$S$400,SF_Output!$AC$1:$AC$400,_xlfn.TEXTJOIN(",",TRUE,B295:E295),SF_Output!$Q$1:$Q$400,"One Time",SF_Output!$L$1:$L$400,"license fee")+SUMIFS(SF_Output!$S$1:$S$400,SF_Output!$AC$1:$AC$400,_xlfn.TEXTJOIN(",",TRUE,B295:E295),SF_Output!$Q$1:$Q$400,"One Time",SF_Output!$L$1:$L$400,"software license")+SUMIFS(SF_Output!$S$1:$S$400,SF_Output!$AC$1:$AC$400,_xlfn.TEXTJOIN(",",TRUE,B295:E295),SF_Output!$Q$1:$Q$400,"One Time",SF_Output!$L$1:$L$400,"hardware"))</f>
        <v/>
      </c>
      <c r="K295" s="112" t="str">
        <f>IF(OR(B295=0,B295="",G295="hardware",J295=0),"",IF(AF295&lt;&gt;"exclusion",MAX(K$9,-((SUMIFS(SF_Output!$T$1:$T$400,SF_Output!$AC$1:$AC$400,_xlfn.TEXTJOIN(",",TRUE,$B295:$E295),SF_Output!$Q$1:$Q$400,"One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license"))/J295)),-((SUMIFS(SF_Output!$T$1:$T$400,SF_Output!$AC$1:$AC$400,_xlfn.TEXTJOIN(",",TRUE,$B295:$E295),SF_Output!$Q$1:$Q$400,"One Time",SF_Output!$L$1:$L$400,"license fee")+SUMIFS(SF_Output!$T$1:$T$400,SF_Output!$AC$1:$AC$400,_xlfn.TEXTJOIN(",",TRUE,$B295:$E295),SF_Output!$Q$1:$Q$400,"One Time",SF_Output!$L$1:$L$400,"software license"))/J295)))</f>
        <v/>
      </c>
      <c r="L295" s="6" t="str">
        <f t="shared" si="17"/>
        <v/>
      </c>
      <c r="N295" s="6" t="str">
        <f>IF(B295="","",SUMIFS(SF_Output!$S$1:$S$400,SF_Output!$AC$1:$AC$400,_xlfn.TEXTJOIN(",",TRUE,B295:E295),SF_Output!$Q$1:$Q$400,"One Time",SF_Output!$L$1:$L$400,"professional service"))</f>
        <v/>
      </c>
      <c r="O295" s="112" t="str">
        <f>IF(OR(B295=0,B295="",N295=0),"",IF(AF295&lt;&gt;"exclusion",MAX(O$9,-(SUMIFS(SF_Output!$T$1:$T$400,SF_Output!$AC$1:$AC$400,_xlfn.TEXTJOIN(",",TRUE,$B295:$E295),SF_Output!$Q$1:$Q$400,"One Time",SF_Output!$L$1:$L$400,"professional service"))/N295),-((SUMIFS(SF_Output!$T$1:$T$400,SF_Output!$AC$1:$AC$400,_xlfn.TEXTJOIN(",",TRUE,$B295:$E295),SF_Output!$Q$1:$Q$400,"One Time",SF_Output!$L$1:$L$400,"professional service")/N295))))</f>
        <v/>
      </c>
      <c r="P295" s="6" t="str">
        <f t="shared" si="18"/>
        <v/>
      </c>
      <c r="R295" s="6" t="str">
        <f>IF(B295="","",SUMIFS(SF_Output!$S$1:$S$400,SF_Output!$AC$1:$AC$400,_xlfn.TEXTJOIN(",",TRUE,B295:E295),SF_Output!$Q$1:$Q$400,"yearly")+SUMIFS(SF_Output!$S$1:$S$400,SF_Output!$AC$1:$AC$400,_xlfn.TEXTJOIN(",",TRUE,B295:E295),SF_Output!$Q$1:$Q$400,"quarterly")*4)</f>
        <v/>
      </c>
      <c r="S295" s="112" t="str">
        <f>IF(OR(B295=0,B295="",G295="hardware",R295=0),"",IF(AF295&lt;&gt;"exclusion",MAX(S$9,-(SUMIFS(SF_Output!$T$1:$T$400,SF_Output!$AC$1:$AC$400,_xlfn.TEXTJOIN(",",TRUE,$B295:$E295),SF_Output!$Q$1:$Q$400,"yearly"))/R295),-((SUMIFS(SF_Output!$T$1:$T$400,SF_Output!$AC$1:$AC$400,_xlfn.TEXTJOIN(",",TRUE,$B295:$E295),SF_Output!$Q$1:$Q$400,"yearly")/R295))))</f>
        <v/>
      </c>
      <c r="T295" s="6" t="str">
        <f t="shared" si="19"/>
        <v/>
      </c>
      <c r="V295" s="6" t="str" cm="1">
        <f t="array" ref="V295">_xlfn.IFS(B295="","",AND(B295&lt;&gt;"",H295=SF_Output!$Y$2,SUMIFS(SF_Output!$T$1:$T$400,SF_Output!$AC$1:$AC$400,_xlfn.TEXTJOIN(",",TRUE,B295:E295),SF_Output!$Q$1:$Q$400,"monthly")=0),(SUMIFS(SF_Output!$F$1:$F$400,SF_Output!$AC$1:$AC$400,_xlfn.TEXTJOIN(",",TRUE,B295:E295),SF_Output!$Q$1:$Q$400,"monthly")+SUMIFS(SF_Output!$G$1:$G$400,SF_Output!$AC$1:$AC$400,_xlfn.TEXTJOIN(",",TRUE,B295:E295),SF_Output!$Q$1:$Q$400,"monthly"))*H295,AND(B295&lt;&gt;"",H295=SF_Output!$Y$2,SUMIFS(SF_Output!$T$1:$T$400,SF_Output!$AC$1:$AC$400,_xlfn.TEXTJOIN(",",TRUE,B295:E295),SF_Output!$Q$1:$Q$400,"monthly")&lt;&gt;0),SUMIFS(SF_Output!$S$1:$S$400,SF_Output!$AC$1:$AC$400,_xlfn.TEXTJOIN(",",TRUE,B295:E295),SF_Output!$Q$1:$Q$400,"monthly"),AND(B295&lt;&gt;"",H295&lt;&gt;SF_Output!$Y$2),SUMIFS(SF_Output!$S$1:$S$400,SF_Output!$AC$1:$AC$400,_xlfn.TEXTJOIN(",",TRUE,B295:E295),SF_Output!$Q$1:$Q$400,"monthly"))</f>
        <v/>
      </c>
      <c r="W295" s="112" t="str" cm="1">
        <f t="array" ref="W295">_xlfn.IFS(OR(B295=0,B295="",V295=0),"",AF295&lt;&gt;"exclusion",MAX($W$9,$W$7,(-(SUMIFS(SF_Output!$T$1:$T$400,SF_Output!$AC$1:$AC$400,_xlfn.TEXTJOIN(",",TRUE,$B295:$E295),SF_Output!$Q$1:$Q$400,"monthly"))/V295)),AF295="exclusion",-(SUMIFS(SF_Output!$T$1:$T$400,SF_Output!$AC$1:$AC$400,_xlfn.TEXTJOIN(",",TRUE,$B295:$E295),SF_Output!$Q$1:$Q$400,"monthly"))/V295)</f>
        <v/>
      </c>
      <c r="X295" s="6" t="str" cm="1">
        <f t="array" ref="X295">IFERROR(_xlfn.IFS(V295=0,0,V295="","",W295=0,V295,OR(V295&lt;&gt;0,V295&lt;&gt;""),H295*I295),V295*(1-W295))</f>
        <v/>
      </c>
    </row>
    <row r="296" spans="6:24" x14ac:dyDescent="0.25">
      <c r="F296" s="116" t="str">
        <f t="shared" si="16"/>
        <v/>
      </c>
      <c r="G296" t="str">
        <f>IF(B296="","",INDEX(SF_Output!$K$1:$K$400,MATCH(B296,SF_Output!$M$1:$M$400,0)))</f>
        <v/>
      </c>
      <c r="H296" t="str" cm="1">
        <f t="array" ref="H296">_xlfn.IFS(B296="","",(SUMIFS(SF_Output!$F$1:$F$400,SF_Output!$AC$1:$AC$400,_xlfn.TEXTJOIN(",",TRUE,B296:E296))+SUMIFS(SF_Output!$G$1:$G$400,SF_Output!$AC$1:$AC$400,_xlfn.TEXTJOIN(",",TRUE,B296:E296)))&lt;&gt;0,SF_Output!$Y$2,INDEX(SF_Output!$F$1:$F$400,MATCH(_xlfn.TEXTJOIN(",",TRUE,B296:E296),SF_Output!$AC$1:$AC$400,0))=0,INDEX(SF_Output!$R$1:$R$400,MATCH(_xlfn.TEXTJOIN(",",TRUE,B296:E296),SF_Output!$AC$1:$AC$400,0)))</f>
        <v/>
      </c>
      <c r="I296" s="125" t="str">
        <f>IFERROR(IF(AND(H296&gt;1,H296&lt;&gt;""),ROUND(SUMIFS(SF_Output!$S$1:$S$400,SF_Output!$AC$1:$AC$400,_xlfn.TEXTJOIN(",",TRUE,B296:E296),SF_Output!$Q$1:$Q$400,"monthly")*(1-W296)/H296,4),""),"")</f>
        <v/>
      </c>
      <c r="J296" s="6" t="str">
        <f>IF(B296="","",SUMIFS(SF_Output!$S$1:$S$400,SF_Output!$AC$1:$AC$400,_xlfn.TEXTJOIN(",",TRUE,B296:E296),SF_Output!$Q$1:$Q$400,"One Time",SF_Output!$L$1:$L$400,"license fee")+SUMIFS(SF_Output!$S$1:$S$400,SF_Output!$AC$1:$AC$400,_xlfn.TEXTJOIN(",",TRUE,B296:E296),SF_Output!$Q$1:$Q$400,"One Time",SF_Output!$L$1:$L$400,"software license")+SUMIFS(SF_Output!$S$1:$S$400,SF_Output!$AC$1:$AC$400,_xlfn.TEXTJOIN(",",TRUE,B296:E296),SF_Output!$Q$1:$Q$400,"One Time",SF_Output!$L$1:$L$400,"hardware"))</f>
        <v/>
      </c>
      <c r="K296" s="112" t="str">
        <f>IF(OR(B296=0,B296="",G296="hardware",J296=0),"",IF(AF296&lt;&gt;"exclusion",MAX(K$9,-((SUMIFS(SF_Output!$T$1:$T$400,SF_Output!$AC$1:$AC$400,_xlfn.TEXTJOIN(",",TRUE,$B296:$E296),SF_Output!$Q$1:$Q$400,"One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license"))/J296)),-((SUMIFS(SF_Output!$T$1:$T$400,SF_Output!$AC$1:$AC$400,_xlfn.TEXTJOIN(",",TRUE,$B296:$E296),SF_Output!$Q$1:$Q$400,"One Time",SF_Output!$L$1:$L$400,"license fee")+SUMIFS(SF_Output!$T$1:$T$400,SF_Output!$AC$1:$AC$400,_xlfn.TEXTJOIN(",",TRUE,$B296:$E296),SF_Output!$Q$1:$Q$400,"One Time",SF_Output!$L$1:$L$400,"software license"))/J296)))</f>
        <v/>
      </c>
      <c r="L296" s="6" t="str">
        <f t="shared" si="17"/>
        <v/>
      </c>
      <c r="N296" s="6" t="str">
        <f>IF(B296="","",SUMIFS(SF_Output!$S$1:$S$400,SF_Output!$AC$1:$AC$400,_xlfn.TEXTJOIN(",",TRUE,B296:E296),SF_Output!$Q$1:$Q$400,"One Time",SF_Output!$L$1:$L$400,"professional service"))</f>
        <v/>
      </c>
      <c r="O296" s="112" t="str">
        <f>IF(OR(B296=0,B296="",N296=0),"",IF(AF296&lt;&gt;"exclusion",MAX(O$9,-(SUMIFS(SF_Output!$T$1:$T$400,SF_Output!$AC$1:$AC$400,_xlfn.TEXTJOIN(",",TRUE,$B296:$E296),SF_Output!$Q$1:$Q$400,"One Time",SF_Output!$L$1:$L$400,"professional service"))/N296),-((SUMIFS(SF_Output!$T$1:$T$400,SF_Output!$AC$1:$AC$400,_xlfn.TEXTJOIN(",",TRUE,$B296:$E296),SF_Output!$Q$1:$Q$400,"One Time",SF_Output!$L$1:$L$400,"professional service")/N296))))</f>
        <v/>
      </c>
      <c r="P296" s="6" t="str">
        <f t="shared" si="18"/>
        <v/>
      </c>
      <c r="R296" s="6" t="str">
        <f>IF(B296="","",SUMIFS(SF_Output!$S$1:$S$400,SF_Output!$AC$1:$AC$400,_xlfn.TEXTJOIN(",",TRUE,B296:E296),SF_Output!$Q$1:$Q$400,"yearly")+SUMIFS(SF_Output!$S$1:$S$400,SF_Output!$AC$1:$AC$400,_xlfn.TEXTJOIN(",",TRUE,B296:E296),SF_Output!$Q$1:$Q$400,"quarterly")*4)</f>
        <v/>
      </c>
      <c r="S296" s="112" t="str">
        <f>IF(OR(B296=0,B296="",G296="hardware",R296=0),"",IF(AF296&lt;&gt;"exclusion",MAX(S$9,-(SUMIFS(SF_Output!$T$1:$T$400,SF_Output!$AC$1:$AC$400,_xlfn.TEXTJOIN(",",TRUE,$B296:$E296),SF_Output!$Q$1:$Q$400,"yearly"))/R296),-((SUMIFS(SF_Output!$T$1:$T$400,SF_Output!$AC$1:$AC$400,_xlfn.TEXTJOIN(",",TRUE,$B296:$E296),SF_Output!$Q$1:$Q$400,"yearly")/R296))))</f>
        <v/>
      </c>
      <c r="T296" s="6" t="str">
        <f t="shared" si="19"/>
        <v/>
      </c>
      <c r="V296" s="6" t="str" cm="1">
        <f t="array" ref="V296">_xlfn.IFS(B296="","",AND(B296&lt;&gt;"",H296=SF_Output!$Y$2,SUMIFS(SF_Output!$T$1:$T$400,SF_Output!$AC$1:$AC$400,_xlfn.TEXTJOIN(",",TRUE,B296:E296),SF_Output!$Q$1:$Q$400,"monthly")=0),(SUMIFS(SF_Output!$F$1:$F$400,SF_Output!$AC$1:$AC$400,_xlfn.TEXTJOIN(",",TRUE,B296:E296),SF_Output!$Q$1:$Q$400,"monthly")+SUMIFS(SF_Output!$G$1:$G$400,SF_Output!$AC$1:$AC$400,_xlfn.TEXTJOIN(",",TRUE,B296:E296),SF_Output!$Q$1:$Q$400,"monthly"))*H296,AND(B296&lt;&gt;"",H296=SF_Output!$Y$2,SUMIFS(SF_Output!$T$1:$T$400,SF_Output!$AC$1:$AC$400,_xlfn.TEXTJOIN(",",TRUE,B296:E296),SF_Output!$Q$1:$Q$400,"monthly")&lt;&gt;0),SUMIFS(SF_Output!$S$1:$S$400,SF_Output!$AC$1:$AC$400,_xlfn.TEXTJOIN(",",TRUE,B296:E296),SF_Output!$Q$1:$Q$400,"monthly"),AND(B296&lt;&gt;"",H296&lt;&gt;SF_Output!$Y$2),SUMIFS(SF_Output!$S$1:$S$400,SF_Output!$AC$1:$AC$400,_xlfn.TEXTJOIN(",",TRUE,B296:E296),SF_Output!$Q$1:$Q$400,"monthly"))</f>
        <v/>
      </c>
      <c r="W296" s="112" t="str" cm="1">
        <f t="array" ref="W296">_xlfn.IFS(OR(B296=0,B296="",V296=0),"",AF296&lt;&gt;"exclusion",MAX($W$9,$W$7,(-(SUMIFS(SF_Output!$T$1:$T$400,SF_Output!$AC$1:$AC$400,_xlfn.TEXTJOIN(",",TRUE,$B296:$E296),SF_Output!$Q$1:$Q$400,"monthly"))/V296)),AF296="exclusion",-(SUMIFS(SF_Output!$T$1:$T$400,SF_Output!$AC$1:$AC$400,_xlfn.TEXTJOIN(",",TRUE,$B296:$E296),SF_Output!$Q$1:$Q$400,"monthly"))/V296)</f>
        <v/>
      </c>
      <c r="X296" s="6" t="str" cm="1">
        <f t="array" ref="X296">IFERROR(_xlfn.IFS(V296=0,0,V296="","",W296=0,V296,OR(V296&lt;&gt;0,V296&lt;&gt;""),H296*I296),V296*(1-W296))</f>
        <v/>
      </c>
    </row>
    <row r="297" spans="6:24" x14ac:dyDescent="0.25">
      <c r="F297" s="116" t="str">
        <f t="shared" si="16"/>
        <v/>
      </c>
      <c r="G297" t="str">
        <f>IF(B297="","",INDEX(SF_Output!$K$1:$K$400,MATCH(B297,SF_Output!$M$1:$M$400,0)))</f>
        <v/>
      </c>
      <c r="H297" t="str" cm="1">
        <f t="array" ref="H297">_xlfn.IFS(B297="","",(SUMIFS(SF_Output!$F$1:$F$400,SF_Output!$AC$1:$AC$400,_xlfn.TEXTJOIN(",",TRUE,B297:E297))+SUMIFS(SF_Output!$G$1:$G$400,SF_Output!$AC$1:$AC$400,_xlfn.TEXTJOIN(",",TRUE,B297:E297)))&lt;&gt;0,SF_Output!$Y$2,INDEX(SF_Output!$F$1:$F$400,MATCH(_xlfn.TEXTJOIN(",",TRUE,B297:E297),SF_Output!$AC$1:$AC$400,0))=0,INDEX(SF_Output!$R$1:$R$400,MATCH(_xlfn.TEXTJOIN(",",TRUE,B297:E297),SF_Output!$AC$1:$AC$400,0)))</f>
        <v/>
      </c>
      <c r="I297" s="125" t="str">
        <f>IFERROR(IF(AND(H297&gt;1,H297&lt;&gt;""),ROUND(SUMIFS(SF_Output!$S$1:$S$400,SF_Output!$AC$1:$AC$400,_xlfn.TEXTJOIN(",",TRUE,B297:E297),SF_Output!$Q$1:$Q$400,"monthly")*(1-W297)/H297,4),""),"")</f>
        <v/>
      </c>
      <c r="J297" s="6" t="str">
        <f>IF(B297="","",SUMIFS(SF_Output!$S$1:$S$400,SF_Output!$AC$1:$AC$400,_xlfn.TEXTJOIN(",",TRUE,B297:E297),SF_Output!$Q$1:$Q$400,"One Time",SF_Output!$L$1:$L$400,"license fee")+SUMIFS(SF_Output!$S$1:$S$400,SF_Output!$AC$1:$AC$400,_xlfn.TEXTJOIN(",",TRUE,B297:E297),SF_Output!$Q$1:$Q$400,"One Time",SF_Output!$L$1:$L$400,"software license")+SUMIFS(SF_Output!$S$1:$S$400,SF_Output!$AC$1:$AC$400,_xlfn.TEXTJOIN(",",TRUE,B297:E297),SF_Output!$Q$1:$Q$400,"One Time",SF_Output!$L$1:$L$400,"hardware"))</f>
        <v/>
      </c>
      <c r="K297" s="112" t="str">
        <f>IF(OR(B297=0,B297="",G297="hardware",J297=0),"",IF(AF297&lt;&gt;"exclusion",MAX(K$9,-((SUMIFS(SF_Output!$T$1:$T$400,SF_Output!$AC$1:$AC$400,_xlfn.TEXTJOIN(",",TRUE,$B297:$E297),SF_Output!$Q$1:$Q$400,"One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license"))/J297)),-((SUMIFS(SF_Output!$T$1:$T$400,SF_Output!$AC$1:$AC$400,_xlfn.TEXTJOIN(",",TRUE,$B297:$E297),SF_Output!$Q$1:$Q$400,"One Time",SF_Output!$L$1:$L$400,"license fee")+SUMIFS(SF_Output!$T$1:$T$400,SF_Output!$AC$1:$AC$400,_xlfn.TEXTJOIN(",",TRUE,$B297:$E297),SF_Output!$Q$1:$Q$400,"One Time",SF_Output!$L$1:$L$400,"software license"))/J297)))</f>
        <v/>
      </c>
      <c r="L297" s="6" t="str">
        <f t="shared" si="17"/>
        <v/>
      </c>
      <c r="N297" s="6" t="str">
        <f>IF(B297="","",SUMIFS(SF_Output!$S$1:$S$400,SF_Output!$AC$1:$AC$400,_xlfn.TEXTJOIN(",",TRUE,B297:E297),SF_Output!$Q$1:$Q$400,"One Time",SF_Output!$L$1:$L$400,"professional service"))</f>
        <v/>
      </c>
      <c r="O297" s="112" t="str">
        <f>IF(OR(B297=0,B297="",N297=0),"",IF(AF297&lt;&gt;"exclusion",MAX(O$9,-(SUMIFS(SF_Output!$T$1:$T$400,SF_Output!$AC$1:$AC$400,_xlfn.TEXTJOIN(",",TRUE,$B297:$E297),SF_Output!$Q$1:$Q$400,"One Time",SF_Output!$L$1:$L$400,"professional service"))/N297),-((SUMIFS(SF_Output!$T$1:$T$400,SF_Output!$AC$1:$AC$400,_xlfn.TEXTJOIN(",",TRUE,$B297:$E297),SF_Output!$Q$1:$Q$400,"One Time",SF_Output!$L$1:$L$400,"professional service")/N297))))</f>
        <v/>
      </c>
      <c r="P297" s="6" t="str">
        <f t="shared" si="18"/>
        <v/>
      </c>
      <c r="R297" s="6" t="str">
        <f>IF(B297="","",SUMIFS(SF_Output!$S$1:$S$400,SF_Output!$AC$1:$AC$400,_xlfn.TEXTJOIN(",",TRUE,B297:E297),SF_Output!$Q$1:$Q$400,"yearly")+SUMIFS(SF_Output!$S$1:$S$400,SF_Output!$AC$1:$AC$400,_xlfn.TEXTJOIN(",",TRUE,B297:E297),SF_Output!$Q$1:$Q$400,"quarterly")*4)</f>
        <v/>
      </c>
      <c r="S297" s="112" t="str">
        <f>IF(OR(B297=0,B297="",G297="hardware",R297=0),"",IF(AF297&lt;&gt;"exclusion",MAX(S$9,-(SUMIFS(SF_Output!$T$1:$T$400,SF_Output!$AC$1:$AC$400,_xlfn.TEXTJOIN(",",TRUE,$B297:$E297),SF_Output!$Q$1:$Q$400,"yearly"))/R297),-((SUMIFS(SF_Output!$T$1:$T$400,SF_Output!$AC$1:$AC$400,_xlfn.TEXTJOIN(",",TRUE,$B297:$E297),SF_Output!$Q$1:$Q$400,"yearly")/R297))))</f>
        <v/>
      </c>
      <c r="T297" s="6" t="str">
        <f t="shared" si="19"/>
        <v/>
      </c>
      <c r="V297" s="6" t="str" cm="1">
        <f t="array" ref="V297">_xlfn.IFS(B297="","",AND(B297&lt;&gt;"",H297=SF_Output!$Y$2,SUMIFS(SF_Output!$T$1:$T$400,SF_Output!$AC$1:$AC$400,_xlfn.TEXTJOIN(",",TRUE,B297:E297),SF_Output!$Q$1:$Q$400,"monthly")=0),(SUMIFS(SF_Output!$F$1:$F$400,SF_Output!$AC$1:$AC$400,_xlfn.TEXTJOIN(",",TRUE,B297:E297),SF_Output!$Q$1:$Q$400,"monthly")+SUMIFS(SF_Output!$G$1:$G$400,SF_Output!$AC$1:$AC$400,_xlfn.TEXTJOIN(",",TRUE,B297:E297),SF_Output!$Q$1:$Q$400,"monthly"))*H297,AND(B297&lt;&gt;"",H297=SF_Output!$Y$2,SUMIFS(SF_Output!$T$1:$T$400,SF_Output!$AC$1:$AC$400,_xlfn.TEXTJOIN(",",TRUE,B297:E297),SF_Output!$Q$1:$Q$400,"monthly")&lt;&gt;0),SUMIFS(SF_Output!$S$1:$S$400,SF_Output!$AC$1:$AC$400,_xlfn.TEXTJOIN(",",TRUE,B297:E297),SF_Output!$Q$1:$Q$400,"monthly"),AND(B297&lt;&gt;"",H297&lt;&gt;SF_Output!$Y$2),SUMIFS(SF_Output!$S$1:$S$400,SF_Output!$AC$1:$AC$400,_xlfn.TEXTJOIN(",",TRUE,B297:E297),SF_Output!$Q$1:$Q$400,"monthly"))</f>
        <v/>
      </c>
      <c r="W297" s="112" t="str" cm="1">
        <f t="array" ref="W297">_xlfn.IFS(OR(B297=0,B297="",V297=0),"",AF297&lt;&gt;"exclusion",MAX($W$9,$W$7,(-(SUMIFS(SF_Output!$T$1:$T$400,SF_Output!$AC$1:$AC$400,_xlfn.TEXTJOIN(",",TRUE,$B297:$E297),SF_Output!$Q$1:$Q$400,"monthly"))/V297)),AF297="exclusion",-(SUMIFS(SF_Output!$T$1:$T$400,SF_Output!$AC$1:$AC$400,_xlfn.TEXTJOIN(",",TRUE,$B297:$E297),SF_Output!$Q$1:$Q$400,"monthly"))/V297)</f>
        <v/>
      </c>
      <c r="X297" s="6" t="str" cm="1">
        <f t="array" ref="X297">IFERROR(_xlfn.IFS(V297=0,0,V297="","",W297=0,V297,OR(V297&lt;&gt;0,V297&lt;&gt;""),H297*I297),V297*(1-W297))</f>
        <v/>
      </c>
    </row>
    <row r="298" spans="6:24" x14ac:dyDescent="0.25">
      <c r="F298" s="116" t="str">
        <f t="shared" si="16"/>
        <v/>
      </c>
      <c r="G298" t="str">
        <f>IF(B298="","",INDEX(SF_Output!$K$1:$K$400,MATCH(B298,SF_Output!$M$1:$M$400,0)))</f>
        <v/>
      </c>
      <c r="H298" t="str" cm="1">
        <f t="array" ref="H298">_xlfn.IFS(B298="","",(SUMIFS(SF_Output!$F$1:$F$400,SF_Output!$AC$1:$AC$400,_xlfn.TEXTJOIN(",",TRUE,B298:E298))+SUMIFS(SF_Output!$G$1:$G$400,SF_Output!$AC$1:$AC$400,_xlfn.TEXTJOIN(",",TRUE,B298:E298)))&lt;&gt;0,SF_Output!$Y$2,INDEX(SF_Output!$F$1:$F$400,MATCH(_xlfn.TEXTJOIN(",",TRUE,B298:E298),SF_Output!$AC$1:$AC$400,0))=0,INDEX(SF_Output!$R$1:$R$400,MATCH(_xlfn.TEXTJOIN(",",TRUE,B298:E298),SF_Output!$AC$1:$AC$400,0)))</f>
        <v/>
      </c>
      <c r="I298" s="125" t="str">
        <f>IFERROR(IF(AND(H298&gt;1,H298&lt;&gt;""),ROUND(SUMIFS(SF_Output!$S$1:$S$400,SF_Output!$AC$1:$AC$400,_xlfn.TEXTJOIN(",",TRUE,B298:E298),SF_Output!$Q$1:$Q$400,"monthly")*(1-W298)/H298,4),""),"")</f>
        <v/>
      </c>
      <c r="J298" s="6" t="str">
        <f>IF(B298="","",SUMIFS(SF_Output!$S$1:$S$400,SF_Output!$AC$1:$AC$400,_xlfn.TEXTJOIN(",",TRUE,B298:E298),SF_Output!$Q$1:$Q$400,"One Time",SF_Output!$L$1:$L$400,"license fee")+SUMIFS(SF_Output!$S$1:$S$400,SF_Output!$AC$1:$AC$400,_xlfn.TEXTJOIN(",",TRUE,B298:E298),SF_Output!$Q$1:$Q$400,"One Time",SF_Output!$L$1:$L$400,"software license")+SUMIFS(SF_Output!$S$1:$S$400,SF_Output!$AC$1:$AC$400,_xlfn.TEXTJOIN(",",TRUE,B298:E298),SF_Output!$Q$1:$Q$400,"One Time",SF_Output!$L$1:$L$400,"hardware"))</f>
        <v/>
      </c>
      <c r="K298" s="112" t="str">
        <f>IF(OR(B298=0,B298="",G298="hardware",J298=0),"",IF(AF298&lt;&gt;"exclusion",MAX(K$9,-((SUMIFS(SF_Output!$T$1:$T$400,SF_Output!$AC$1:$AC$400,_xlfn.TEXTJOIN(",",TRUE,$B298:$E298),SF_Output!$Q$1:$Q$400,"One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license"))/J298)),-((SUMIFS(SF_Output!$T$1:$T$400,SF_Output!$AC$1:$AC$400,_xlfn.TEXTJOIN(",",TRUE,$B298:$E298),SF_Output!$Q$1:$Q$400,"One Time",SF_Output!$L$1:$L$400,"license fee")+SUMIFS(SF_Output!$T$1:$T$400,SF_Output!$AC$1:$AC$400,_xlfn.TEXTJOIN(",",TRUE,$B298:$E298),SF_Output!$Q$1:$Q$400,"One Time",SF_Output!$L$1:$L$400,"software license"))/J298)))</f>
        <v/>
      </c>
      <c r="L298" s="6" t="str">
        <f t="shared" si="17"/>
        <v/>
      </c>
      <c r="N298" s="6" t="str">
        <f>IF(B298="","",SUMIFS(SF_Output!$S$1:$S$400,SF_Output!$AC$1:$AC$400,_xlfn.TEXTJOIN(",",TRUE,B298:E298),SF_Output!$Q$1:$Q$400,"One Time",SF_Output!$L$1:$L$400,"professional service"))</f>
        <v/>
      </c>
      <c r="O298" s="112" t="str">
        <f>IF(OR(B298=0,B298="",N298=0),"",IF(AF298&lt;&gt;"exclusion",MAX(O$9,-(SUMIFS(SF_Output!$T$1:$T$400,SF_Output!$AC$1:$AC$400,_xlfn.TEXTJOIN(",",TRUE,$B298:$E298),SF_Output!$Q$1:$Q$400,"One Time",SF_Output!$L$1:$L$400,"professional service"))/N298),-((SUMIFS(SF_Output!$T$1:$T$400,SF_Output!$AC$1:$AC$400,_xlfn.TEXTJOIN(",",TRUE,$B298:$E298),SF_Output!$Q$1:$Q$400,"One Time",SF_Output!$L$1:$L$400,"professional service")/N298))))</f>
        <v/>
      </c>
      <c r="P298" s="6" t="str">
        <f t="shared" si="18"/>
        <v/>
      </c>
      <c r="R298" s="6" t="str">
        <f>IF(B298="","",SUMIFS(SF_Output!$S$1:$S$400,SF_Output!$AC$1:$AC$400,_xlfn.TEXTJOIN(",",TRUE,B298:E298),SF_Output!$Q$1:$Q$400,"yearly")+SUMIFS(SF_Output!$S$1:$S$400,SF_Output!$AC$1:$AC$400,_xlfn.TEXTJOIN(",",TRUE,B298:E298),SF_Output!$Q$1:$Q$400,"quarterly")*4)</f>
        <v/>
      </c>
      <c r="S298" s="112" t="str">
        <f>IF(OR(B298=0,B298="",G298="hardware",R298=0),"",IF(AF298&lt;&gt;"exclusion",MAX(S$9,-(SUMIFS(SF_Output!$T$1:$T$400,SF_Output!$AC$1:$AC$400,_xlfn.TEXTJOIN(",",TRUE,$B298:$E298),SF_Output!$Q$1:$Q$400,"yearly"))/R298),-((SUMIFS(SF_Output!$T$1:$T$400,SF_Output!$AC$1:$AC$400,_xlfn.TEXTJOIN(",",TRUE,$B298:$E298),SF_Output!$Q$1:$Q$400,"yearly")/R298))))</f>
        <v/>
      </c>
      <c r="T298" s="6" t="str">
        <f t="shared" si="19"/>
        <v/>
      </c>
      <c r="V298" s="6" t="str" cm="1">
        <f t="array" ref="V298">_xlfn.IFS(B298="","",AND(B298&lt;&gt;"",H298=SF_Output!$Y$2,SUMIFS(SF_Output!$T$1:$T$400,SF_Output!$AC$1:$AC$400,_xlfn.TEXTJOIN(",",TRUE,B298:E298),SF_Output!$Q$1:$Q$400,"monthly")=0),(SUMIFS(SF_Output!$F$1:$F$400,SF_Output!$AC$1:$AC$400,_xlfn.TEXTJOIN(",",TRUE,B298:E298),SF_Output!$Q$1:$Q$400,"monthly")+SUMIFS(SF_Output!$G$1:$G$400,SF_Output!$AC$1:$AC$400,_xlfn.TEXTJOIN(",",TRUE,B298:E298),SF_Output!$Q$1:$Q$400,"monthly"))*H298,AND(B298&lt;&gt;"",H298=SF_Output!$Y$2,SUMIFS(SF_Output!$T$1:$T$400,SF_Output!$AC$1:$AC$400,_xlfn.TEXTJOIN(",",TRUE,B298:E298),SF_Output!$Q$1:$Q$400,"monthly")&lt;&gt;0),SUMIFS(SF_Output!$S$1:$S$400,SF_Output!$AC$1:$AC$400,_xlfn.TEXTJOIN(",",TRUE,B298:E298),SF_Output!$Q$1:$Q$400,"monthly"),AND(B298&lt;&gt;"",H298&lt;&gt;SF_Output!$Y$2),SUMIFS(SF_Output!$S$1:$S$400,SF_Output!$AC$1:$AC$400,_xlfn.TEXTJOIN(",",TRUE,B298:E298),SF_Output!$Q$1:$Q$400,"monthly"))</f>
        <v/>
      </c>
      <c r="W298" s="112" t="str" cm="1">
        <f t="array" ref="W298">_xlfn.IFS(OR(B298=0,B298="",V298=0),"",AF298&lt;&gt;"exclusion",MAX($W$9,$W$7,(-(SUMIFS(SF_Output!$T$1:$T$400,SF_Output!$AC$1:$AC$400,_xlfn.TEXTJOIN(",",TRUE,$B298:$E298),SF_Output!$Q$1:$Q$400,"monthly"))/V298)),AF298="exclusion",-(SUMIFS(SF_Output!$T$1:$T$400,SF_Output!$AC$1:$AC$400,_xlfn.TEXTJOIN(",",TRUE,$B298:$E298),SF_Output!$Q$1:$Q$400,"monthly"))/V298)</f>
        <v/>
      </c>
      <c r="X298" s="6" t="str" cm="1">
        <f t="array" ref="X298">IFERROR(_xlfn.IFS(V298=0,0,V298="","",W298=0,V298,OR(V298&lt;&gt;0,V298&lt;&gt;""),H298*I298),V298*(1-W298))</f>
        <v/>
      </c>
    </row>
    <row r="299" spans="6:24" x14ac:dyDescent="0.25">
      <c r="F299" s="116" t="str">
        <f t="shared" si="16"/>
        <v/>
      </c>
      <c r="G299" t="str">
        <f>IF(B299="","",INDEX(SF_Output!$K$1:$K$400,MATCH(B299,SF_Output!$M$1:$M$400,0)))</f>
        <v/>
      </c>
      <c r="H299" t="str" cm="1">
        <f t="array" ref="H299">_xlfn.IFS(B299="","",(SUMIFS(SF_Output!$F$1:$F$400,SF_Output!$AC$1:$AC$400,_xlfn.TEXTJOIN(",",TRUE,B299:E299))+SUMIFS(SF_Output!$G$1:$G$400,SF_Output!$AC$1:$AC$400,_xlfn.TEXTJOIN(",",TRUE,B299:E299)))&lt;&gt;0,SF_Output!$Y$2,INDEX(SF_Output!$F$1:$F$400,MATCH(_xlfn.TEXTJOIN(",",TRUE,B299:E299),SF_Output!$AC$1:$AC$400,0))=0,INDEX(SF_Output!$R$1:$R$400,MATCH(_xlfn.TEXTJOIN(",",TRUE,B299:E299),SF_Output!$AC$1:$AC$400,0)))</f>
        <v/>
      </c>
      <c r="I299" s="125" t="str">
        <f>IFERROR(IF(AND(H299&gt;1,H299&lt;&gt;""),ROUND(SUMIFS(SF_Output!$S$1:$S$400,SF_Output!$AC$1:$AC$400,_xlfn.TEXTJOIN(",",TRUE,B299:E299),SF_Output!$Q$1:$Q$400,"monthly")*(1-W299)/H299,4),""),"")</f>
        <v/>
      </c>
      <c r="J299" s="6" t="str">
        <f>IF(B299="","",SUMIFS(SF_Output!$S$1:$S$400,SF_Output!$AC$1:$AC$400,_xlfn.TEXTJOIN(",",TRUE,B299:E299),SF_Output!$Q$1:$Q$400,"One Time",SF_Output!$L$1:$L$400,"license fee")+SUMIFS(SF_Output!$S$1:$S$400,SF_Output!$AC$1:$AC$400,_xlfn.TEXTJOIN(",",TRUE,B299:E299),SF_Output!$Q$1:$Q$400,"One Time",SF_Output!$L$1:$L$400,"software license")+SUMIFS(SF_Output!$S$1:$S$400,SF_Output!$AC$1:$AC$400,_xlfn.TEXTJOIN(",",TRUE,B299:E299),SF_Output!$Q$1:$Q$400,"One Time",SF_Output!$L$1:$L$400,"hardware"))</f>
        <v/>
      </c>
      <c r="K299" s="112" t="str">
        <f>IF(OR(B299=0,B299="",G299="hardware",J299=0),"",IF(AF299&lt;&gt;"exclusion",MAX(K$9,-((SUMIFS(SF_Output!$T$1:$T$400,SF_Output!$AC$1:$AC$400,_xlfn.TEXTJOIN(",",TRUE,$B299:$E299),SF_Output!$Q$1:$Q$400,"One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license"))/J299)),-((SUMIFS(SF_Output!$T$1:$T$400,SF_Output!$AC$1:$AC$400,_xlfn.TEXTJOIN(",",TRUE,$B299:$E299),SF_Output!$Q$1:$Q$400,"One Time",SF_Output!$L$1:$L$400,"license fee")+SUMIFS(SF_Output!$T$1:$T$400,SF_Output!$AC$1:$AC$400,_xlfn.TEXTJOIN(",",TRUE,$B299:$E299),SF_Output!$Q$1:$Q$400,"One Time",SF_Output!$L$1:$L$400,"software license"))/J299)))</f>
        <v/>
      </c>
      <c r="L299" s="6" t="str">
        <f t="shared" si="17"/>
        <v/>
      </c>
      <c r="N299" s="6" t="str">
        <f>IF(B299="","",SUMIFS(SF_Output!$S$1:$S$400,SF_Output!$AC$1:$AC$400,_xlfn.TEXTJOIN(",",TRUE,B299:E299),SF_Output!$Q$1:$Q$400,"One Time",SF_Output!$L$1:$L$400,"professional service"))</f>
        <v/>
      </c>
      <c r="O299" s="112" t="str">
        <f>IF(OR(B299=0,B299="",N299=0),"",IF(AF299&lt;&gt;"exclusion",MAX(O$9,-(SUMIFS(SF_Output!$T$1:$T$400,SF_Output!$AC$1:$AC$400,_xlfn.TEXTJOIN(",",TRUE,$B299:$E299),SF_Output!$Q$1:$Q$400,"One Time",SF_Output!$L$1:$L$400,"professional service"))/N299),-((SUMIFS(SF_Output!$T$1:$T$400,SF_Output!$AC$1:$AC$400,_xlfn.TEXTJOIN(",",TRUE,$B299:$E299),SF_Output!$Q$1:$Q$400,"One Time",SF_Output!$L$1:$L$400,"professional service")/N299))))</f>
        <v/>
      </c>
      <c r="P299" s="6" t="str">
        <f t="shared" si="18"/>
        <v/>
      </c>
      <c r="R299" s="6" t="str">
        <f>IF(B299="","",SUMIFS(SF_Output!$S$1:$S$400,SF_Output!$AC$1:$AC$400,_xlfn.TEXTJOIN(",",TRUE,B299:E299),SF_Output!$Q$1:$Q$400,"yearly")+SUMIFS(SF_Output!$S$1:$S$400,SF_Output!$AC$1:$AC$400,_xlfn.TEXTJOIN(",",TRUE,B299:E299),SF_Output!$Q$1:$Q$400,"quarterly")*4)</f>
        <v/>
      </c>
      <c r="S299" s="112" t="str">
        <f>IF(OR(B299=0,B299="",G299="hardware",R299=0),"",IF(AF299&lt;&gt;"exclusion",MAX(S$9,-(SUMIFS(SF_Output!$T$1:$T$400,SF_Output!$AC$1:$AC$400,_xlfn.TEXTJOIN(",",TRUE,$B299:$E299),SF_Output!$Q$1:$Q$400,"yearly"))/R299),-((SUMIFS(SF_Output!$T$1:$T$400,SF_Output!$AC$1:$AC$400,_xlfn.TEXTJOIN(",",TRUE,$B299:$E299),SF_Output!$Q$1:$Q$400,"yearly")/R299))))</f>
        <v/>
      </c>
      <c r="T299" s="6" t="str">
        <f t="shared" si="19"/>
        <v/>
      </c>
      <c r="V299" s="6" t="str" cm="1">
        <f t="array" ref="V299">_xlfn.IFS(B299="","",AND(B299&lt;&gt;"",H299=SF_Output!$Y$2,SUMIFS(SF_Output!$T$1:$T$400,SF_Output!$AC$1:$AC$400,_xlfn.TEXTJOIN(",",TRUE,B299:E299),SF_Output!$Q$1:$Q$400,"monthly")=0),(SUMIFS(SF_Output!$F$1:$F$400,SF_Output!$AC$1:$AC$400,_xlfn.TEXTJOIN(",",TRUE,B299:E299),SF_Output!$Q$1:$Q$400,"monthly")+SUMIFS(SF_Output!$G$1:$G$400,SF_Output!$AC$1:$AC$400,_xlfn.TEXTJOIN(",",TRUE,B299:E299),SF_Output!$Q$1:$Q$400,"monthly"))*H299,AND(B299&lt;&gt;"",H299=SF_Output!$Y$2,SUMIFS(SF_Output!$T$1:$T$400,SF_Output!$AC$1:$AC$400,_xlfn.TEXTJOIN(",",TRUE,B299:E299),SF_Output!$Q$1:$Q$400,"monthly")&lt;&gt;0),SUMIFS(SF_Output!$S$1:$S$400,SF_Output!$AC$1:$AC$400,_xlfn.TEXTJOIN(",",TRUE,B299:E299),SF_Output!$Q$1:$Q$400,"monthly"),AND(B299&lt;&gt;"",H299&lt;&gt;SF_Output!$Y$2),SUMIFS(SF_Output!$S$1:$S$400,SF_Output!$AC$1:$AC$400,_xlfn.TEXTJOIN(",",TRUE,B299:E299),SF_Output!$Q$1:$Q$400,"monthly"))</f>
        <v/>
      </c>
      <c r="W299" s="112" t="str" cm="1">
        <f t="array" ref="W299">_xlfn.IFS(OR(B299=0,B299="",V299=0),"",AF299&lt;&gt;"exclusion",MAX($W$9,$W$7,(-(SUMIFS(SF_Output!$T$1:$T$400,SF_Output!$AC$1:$AC$400,_xlfn.TEXTJOIN(",",TRUE,$B299:$E299),SF_Output!$Q$1:$Q$400,"monthly"))/V299)),AF299="exclusion",-(SUMIFS(SF_Output!$T$1:$T$400,SF_Output!$AC$1:$AC$400,_xlfn.TEXTJOIN(",",TRUE,$B299:$E299),SF_Output!$Q$1:$Q$400,"monthly"))/V299)</f>
        <v/>
      </c>
      <c r="X299" s="6" t="str" cm="1">
        <f t="array" ref="X299">IFERROR(_xlfn.IFS(V299=0,0,V299="","",W299=0,V299,OR(V299&lt;&gt;0,V299&lt;&gt;""),H299*I299),V299*(1-W299))</f>
        <v/>
      </c>
    </row>
    <row r="300" spans="6:24" x14ac:dyDescent="0.25">
      <c r="F300" s="116" t="str">
        <f t="shared" si="16"/>
        <v/>
      </c>
      <c r="G300" t="str">
        <f>IF(B300="","",INDEX(SF_Output!$K$1:$K$400,MATCH(B300,SF_Output!$M$1:$M$400,0)))</f>
        <v/>
      </c>
      <c r="H300" t="str" cm="1">
        <f t="array" ref="H300">_xlfn.IFS(B300="","",(SUMIFS(SF_Output!$F$1:$F$400,SF_Output!$AC$1:$AC$400,_xlfn.TEXTJOIN(",",TRUE,B300:E300))+SUMIFS(SF_Output!$G$1:$G$400,SF_Output!$AC$1:$AC$400,_xlfn.TEXTJOIN(",",TRUE,B300:E300)))&lt;&gt;0,SF_Output!$Y$2,INDEX(SF_Output!$F$1:$F$400,MATCH(_xlfn.TEXTJOIN(",",TRUE,B300:E300),SF_Output!$AC$1:$AC$400,0))=0,INDEX(SF_Output!$R$1:$R$400,MATCH(_xlfn.TEXTJOIN(",",TRUE,B300:E300),SF_Output!$AC$1:$AC$400,0)))</f>
        <v/>
      </c>
      <c r="I300" s="125" t="str">
        <f>IFERROR(IF(AND(H300&gt;1,H300&lt;&gt;""),ROUND(SUMIFS(SF_Output!$S$1:$S$400,SF_Output!$AC$1:$AC$400,_xlfn.TEXTJOIN(",",TRUE,B300:E300),SF_Output!$Q$1:$Q$400,"monthly")*(1-W300)/H300,4),""),"")</f>
        <v/>
      </c>
      <c r="J300" s="6" t="str">
        <f>IF(B300="","",SUMIFS(SF_Output!$S$1:$S$400,SF_Output!$AC$1:$AC$400,_xlfn.TEXTJOIN(",",TRUE,B300:E300),SF_Output!$Q$1:$Q$400,"One Time",SF_Output!$L$1:$L$400,"license fee")+SUMIFS(SF_Output!$S$1:$S$400,SF_Output!$AC$1:$AC$400,_xlfn.TEXTJOIN(",",TRUE,B300:E300),SF_Output!$Q$1:$Q$400,"One Time",SF_Output!$L$1:$L$400,"software license")+SUMIFS(SF_Output!$S$1:$S$400,SF_Output!$AC$1:$AC$400,_xlfn.TEXTJOIN(",",TRUE,B300:E300),SF_Output!$Q$1:$Q$400,"One Time",SF_Output!$L$1:$L$400,"hardware"))</f>
        <v/>
      </c>
      <c r="K300" s="112" t="str">
        <f>IF(OR(B300=0,B300="",G300="hardware",J300=0),"",IF(AF300&lt;&gt;"exclusion",MAX(K$9,-((SUMIFS(SF_Output!$T$1:$T$400,SF_Output!$AC$1:$AC$400,_xlfn.TEXTJOIN(",",TRUE,$B300:$E300),SF_Output!$Q$1:$Q$400,"One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license"))/J300)),-((SUMIFS(SF_Output!$T$1:$T$400,SF_Output!$AC$1:$AC$400,_xlfn.TEXTJOIN(",",TRUE,$B300:$E300),SF_Output!$Q$1:$Q$400,"One Time",SF_Output!$L$1:$L$400,"license fee")+SUMIFS(SF_Output!$T$1:$T$400,SF_Output!$AC$1:$AC$400,_xlfn.TEXTJOIN(",",TRUE,$B300:$E300),SF_Output!$Q$1:$Q$400,"One Time",SF_Output!$L$1:$L$400,"software license"))/J300)))</f>
        <v/>
      </c>
      <c r="L300" s="6" t="str">
        <f t="shared" si="17"/>
        <v/>
      </c>
      <c r="N300" s="6" t="str">
        <f>IF(B300="","",SUMIFS(SF_Output!$S$1:$S$400,SF_Output!$AC$1:$AC$400,_xlfn.TEXTJOIN(",",TRUE,B300:E300),SF_Output!$Q$1:$Q$400,"One Time",SF_Output!$L$1:$L$400,"professional service"))</f>
        <v/>
      </c>
      <c r="O300" s="112" t="str">
        <f>IF(OR(B300=0,B300="",N300=0),"",IF(AF300&lt;&gt;"exclusion",MAX(O$9,-(SUMIFS(SF_Output!$T$1:$T$400,SF_Output!$AC$1:$AC$400,_xlfn.TEXTJOIN(",",TRUE,$B300:$E300),SF_Output!$Q$1:$Q$400,"One Time",SF_Output!$L$1:$L$400,"professional service"))/N300),-((SUMIFS(SF_Output!$T$1:$T$400,SF_Output!$AC$1:$AC$400,_xlfn.TEXTJOIN(",",TRUE,$B300:$E300),SF_Output!$Q$1:$Q$400,"One Time",SF_Output!$L$1:$L$400,"professional service")/N300))))</f>
        <v/>
      </c>
      <c r="P300" s="6" t="str">
        <f t="shared" si="18"/>
        <v/>
      </c>
      <c r="R300" s="6" t="str">
        <f>IF(B300="","",SUMIFS(SF_Output!$S$1:$S$400,SF_Output!$AC$1:$AC$400,_xlfn.TEXTJOIN(",",TRUE,B300:E300),SF_Output!$Q$1:$Q$400,"yearly")+SUMIFS(SF_Output!$S$1:$S$400,SF_Output!$AC$1:$AC$400,_xlfn.TEXTJOIN(",",TRUE,B300:E300),SF_Output!$Q$1:$Q$400,"quarterly")*4)</f>
        <v/>
      </c>
      <c r="S300" s="112" t="str">
        <f>IF(OR(B300=0,B300="",G300="hardware",R300=0),"",IF(AF300&lt;&gt;"exclusion",MAX(S$9,-(SUMIFS(SF_Output!$T$1:$T$400,SF_Output!$AC$1:$AC$400,_xlfn.TEXTJOIN(",",TRUE,$B300:$E300),SF_Output!$Q$1:$Q$400,"yearly"))/R300),-((SUMIFS(SF_Output!$T$1:$T$400,SF_Output!$AC$1:$AC$400,_xlfn.TEXTJOIN(",",TRUE,$B300:$E300),SF_Output!$Q$1:$Q$400,"yearly")/R300))))</f>
        <v/>
      </c>
      <c r="T300" s="6" t="str">
        <f t="shared" si="19"/>
        <v/>
      </c>
      <c r="V300" s="6" t="str" cm="1">
        <f t="array" ref="V300">_xlfn.IFS(B300="","",AND(B300&lt;&gt;"",H300=SF_Output!$Y$2,SUMIFS(SF_Output!$T$1:$T$400,SF_Output!$AC$1:$AC$400,_xlfn.TEXTJOIN(",",TRUE,B300:E300),SF_Output!$Q$1:$Q$400,"monthly")=0),(SUMIFS(SF_Output!$F$1:$F$400,SF_Output!$AC$1:$AC$400,_xlfn.TEXTJOIN(",",TRUE,B300:E300),SF_Output!$Q$1:$Q$400,"monthly")+SUMIFS(SF_Output!$G$1:$G$400,SF_Output!$AC$1:$AC$400,_xlfn.TEXTJOIN(",",TRUE,B300:E300),SF_Output!$Q$1:$Q$400,"monthly"))*H300,AND(B300&lt;&gt;"",H300=SF_Output!$Y$2,SUMIFS(SF_Output!$T$1:$T$400,SF_Output!$AC$1:$AC$400,_xlfn.TEXTJOIN(",",TRUE,B300:E300),SF_Output!$Q$1:$Q$400,"monthly")&lt;&gt;0),SUMIFS(SF_Output!$S$1:$S$400,SF_Output!$AC$1:$AC$400,_xlfn.TEXTJOIN(",",TRUE,B300:E300),SF_Output!$Q$1:$Q$400,"monthly"),AND(B300&lt;&gt;"",H300&lt;&gt;SF_Output!$Y$2),SUMIFS(SF_Output!$S$1:$S$400,SF_Output!$AC$1:$AC$400,_xlfn.TEXTJOIN(",",TRUE,B300:E300),SF_Output!$Q$1:$Q$400,"monthly"))</f>
        <v/>
      </c>
      <c r="W300" s="112" t="str" cm="1">
        <f t="array" ref="W300">_xlfn.IFS(OR(B300=0,B300="",V300=0),"",AF300&lt;&gt;"exclusion",MAX($W$9,$W$7,(-(SUMIFS(SF_Output!$T$1:$T$400,SF_Output!$AC$1:$AC$400,_xlfn.TEXTJOIN(",",TRUE,$B300:$E300),SF_Output!$Q$1:$Q$400,"monthly"))/V300)),AF300="exclusion",-(SUMIFS(SF_Output!$T$1:$T$400,SF_Output!$AC$1:$AC$400,_xlfn.TEXTJOIN(",",TRUE,$B300:$E300),SF_Output!$Q$1:$Q$400,"monthly"))/V300)</f>
        <v/>
      </c>
      <c r="X300" s="6" t="str" cm="1">
        <f t="array" ref="X300">IFERROR(_xlfn.IFS(V300=0,0,V300="","",W300=0,V300,OR(V300&lt;&gt;0,V300&lt;&gt;""),H300*I300),V300*(1-W300))</f>
        <v/>
      </c>
    </row>
  </sheetData>
  <conditionalFormatting sqref="F14:F300">
    <cfRule type="expression" dxfId="16" priority="17">
      <formula>NOT(_xlfn.ISFORMULA(F14:F250))</formula>
    </cfRule>
  </conditionalFormatting>
  <conditionalFormatting sqref="J14:L250 N14:P250 R14:T250">
    <cfRule type="expression" dxfId="15" priority="10">
      <formula>NOT(_xlfn.ISFORMULA(J14:L250))</formula>
    </cfRule>
  </conditionalFormatting>
  <conditionalFormatting sqref="J251:L300 N251:P300 R251:T300">
    <cfRule type="expression" dxfId="14" priority="1">
      <formula>NOT(_xlfn.ISFORMULA(J251:L487))</formula>
    </cfRule>
  </conditionalFormatting>
  <conditionalFormatting sqref="K14:K300">
    <cfRule type="expression" dxfId="13" priority="7">
      <formula>AND($K$9&lt;&gt;0,K14=$K$9)</formula>
    </cfRule>
  </conditionalFormatting>
  <conditionalFormatting sqref="O14:O300">
    <cfRule type="expression" dxfId="11" priority="8">
      <formula>AND($O$9&lt;&gt;0,O14=$O$9)</formula>
    </cfRule>
  </conditionalFormatting>
  <conditionalFormatting sqref="S14:S300">
    <cfRule type="expression" dxfId="9" priority="9">
      <formula>AND($S$9&lt;&gt;0,S14=$S$9)</formula>
    </cfRule>
  </conditionalFormatting>
  <conditionalFormatting sqref="V14:X250">
    <cfRule type="expression" dxfId="7" priority="12">
      <formula>NOT(_xlfn.ISFORMULA(V14:X250))</formula>
    </cfRule>
  </conditionalFormatting>
  <conditionalFormatting sqref="V251:X300">
    <cfRule type="expression" dxfId="6" priority="2">
      <formula>NOT(_xlfn.ISFORMULA(V251:X487))</formula>
    </cfRule>
  </conditionalFormatting>
  <conditionalFormatting sqref="W7">
    <cfRule type="expression" dxfId="5" priority="13">
      <formula>$V$7=""</formula>
    </cfRule>
    <cfRule type="expression" dxfId="4" priority="16">
      <formula>V7&lt;&gt;""</formula>
    </cfRule>
  </conditionalFormatting>
  <conditionalFormatting sqref="W9">
    <cfRule type="expression" dxfId="3" priority="14">
      <formula>$V$9=""</formula>
    </cfRule>
    <cfRule type="expression" dxfId="2" priority="15">
      <formula>$V$9&lt;&gt;""</formula>
    </cfRule>
  </conditionalFormatting>
  <conditionalFormatting sqref="W14:W300">
    <cfRule type="expression" dxfId="1" priority="11">
      <formula>OR(AND($W$7&lt;&gt;0,W14&lt;&gt;0,W14-0.2=$W$7),AND($W$7=W14,W14&lt;&gt;0),AND($W$9&lt;&gt;0,W14&lt;&gt;0,W14=$W$9))</formula>
    </cfRule>
  </conditionalFormatting>
  <dataValidations count="1">
    <dataValidation type="list" allowBlank="1" showInputMessage="1" showErrorMessage="1" sqref="F14:F300" xr:uid="{FA02C3F0-9B9E-405F-9A89-1147EFA3BEB5}">
      <formula1>"Optional,Included,Remove,Replaced,Add"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DB1F9611-1C95-4740-A412-A51DBE60CD70}">
            <xm:f>AND(B14&lt;&gt;"",Balancing!$N3&lt;&gt;0)</xm:f>
            <x14:dxf>
              <fill>
                <patternFill>
                  <bgColor theme="8" tint="0.79998168889431442"/>
                </patternFill>
              </fill>
            </x14:dxf>
          </x14:cfRule>
          <xm:sqref>L14:L300</xm:sqref>
        </x14:conditionalFormatting>
        <x14:conditionalFormatting xmlns:xm="http://schemas.microsoft.com/office/excel/2006/main">
          <x14:cfRule type="expression" priority="5" id="{3B0F7FF0-9B1D-4FF0-8425-C359E7562BFC}">
            <xm:f>AND(B14&lt;&gt;"",Balancing!$O3&lt;&gt;0)</xm:f>
            <x14:dxf>
              <fill>
                <patternFill>
                  <bgColor theme="8" tint="0.79998168889431442"/>
                </patternFill>
              </fill>
            </x14:dxf>
          </x14:cfRule>
          <xm:sqref>P14:P300</xm:sqref>
        </x14:conditionalFormatting>
        <x14:conditionalFormatting xmlns:xm="http://schemas.microsoft.com/office/excel/2006/main">
          <x14:cfRule type="expression" priority="4" id="{8C8C2C7B-96A8-4593-8EFB-185330800EA6}">
            <xm:f>AND(B14&lt;&gt;"",Balancing!$P3&lt;&gt;0)</xm:f>
            <x14:dxf>
              <fill>
                <patternFill>
                  <bgColor theme="8" tint="0.79998168889431442"/>
                </patternFill>
              </fill>
            </x14:dxf>
          </x14:cfRule>
          <xm:sqref>T14:T300</xm:sqref>
        </x14:conditionalFormatting>
        <x14:conditionalFormatting xmlns:xm="http://schemas.microsoft.com/office/excel/2006/main">
          <x14:cfRule type="expression" priority="3" id="{FC846AAB-29CE-4165-9E5C-AA529A340C8F}">
            <xm:f>AND(B14&lt;&gt;"",Balancing!$Q3&lt;&gt;0)</xm:f>
            <x14:dxf>
              <fill>
                <patternFill>
                  <bgColor theme="8" tint="0.79998168889431442"/>
                </patternFill>
              </fill>
            </x14:dxf>
          </x14:cfRule>
          <xm:sqref>X14:X300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21A7C-D2AF-463B-A483-57AC38C44260}">
  <sheetPr codeName="Sheet10" filterMode="1"/>
  <dimension ref="A1:N350"/>
  <sheetViews>
    <sheetView zoomScale="85" zoomScaleNormal="85" workbookViewId="0">
      <selection sqref="A1:N1048576"/>
    </sheetView>
  </sheetViews>
  <sheetFormatPr defaultRowHeight="15" x14ac:dyDescent="0.25"/>
  <cols>
    <col min="1" max="1" width="12" bestFit="1" customWidth="1"/>
    <col min="2" max="2" width="16.140625" customWidth="1"/>
    <col min="3" max="3" width="20.85546875" customWidth="1"/>
    <col min="4" max="4" width="23.7109375" bestFit="1" customWidth="1"/>
    <col min="5" max="5" width="32.28515625" bestFit="1" customWidth="1"/>
    <col min="6" max="6" width="11.42578125" bestFit="1" customWidth="1"/>
    <col min="7" max="7" width="10.85546875" bestFit="1" customWidth="1"/>
    <col min="8" max="8" width="10.7109375" bestFit="1" customWidth="1"/>
    <col min="9" max="9" width="17.85546875" bestFit="1" customWidth="1"/>
    <col min="10" max="10" width="11.5703125" bestFit="1" customWidth="1"/>
    <col min="11" max="11" width="9.85546875" bestFit="1" customWidth="1"/>
    <col min="12" max="12" width="8.5703125" bestFit="1" customWidth="1"/>
    <col min="13" max="14" width="27.5703125" bestFit="1" customWidth="1"/>
  </cols>
  <sheetData>
    <row r="1" spans="1:14" x14ac:dyDescent="0.25">
      <c r="A1">
        <v>116592</v>
      </c>
    </row>
    <row r="2" spans="1:14" x14ac:dyDescent="0.25">
      <c r="A2" s="8" t="s">
        <v>199</v>
      </c>
      <c r="B2" s="8" t="s">
        <v>200</v>
      </c>
      <c r="C2" s="8" t="s">
        <v>201</v>
      </c>
      <c r="D2" s="8" t="s">
        <v>202</v>
      </c>
      <c r="E2" s="8" t="s">
        <v>203</v>
      </c>
      <c r="F2" s="8" t="s">
        <v>204</v>
      </c>
      <c r="G2" s="8" t="s">
        <v>205</v>
      </c>
      <c r="H2" s="8" t="s">
        <v>206</v>
      </c>
      <c r="I2" s="8" t="s">
        <v>207</v>
      </c>
      <c r="J2" s="8" t="s">
        <v>208</v>
      </c>
      <c r="K2" s="8" t="s">
        <v>209</v>
      </c>
      <c r="L2" s="8" t="s">
        <v>56</v>
      </c>
      <c r="M2" s="8" t="s">
        <v>210</v>
      </c>
      <c r="N2" s="8" t="s">
        <v>211</v>
      </c>
    </row>
    <row r="3" spans="1:14" x14ac:dyDescent="0.25">
      <c r="A3" s="23">
        <v>0</v>
      </c>
      <c r="B3" s="23">
        <v>0</v>
      </c>
      <c r="C3" s="23" t="s">
        <v>21</v>
      </c>
      <c r="D3" s="121">
        <v>0</v>
      </c>
      <c r="E3" s="121">
        <v>0</v>
      </c>
      <c r="F3" t="s">
        <v>198</v>
      </c>
      <c r="G3" s="11">
        <v>0</v>
      </c>
      <c r="H3" s="134" t="s">
        <v>22</v>
      </c>
      <c r="I3" s="134">
        <v>0</v>
      </c>
      <c r="J3" s="134" t="s">
        <v>23</v>
      </c>
      <c r="K3" s="134" t="s">
        <v>21</v>
      </c>
      <c r="L3" t="s">
        <v>20</v>
      </c>
      <c r="M3" t="b">
        <v>0</v>
      </c>
      <c r="N3" t="s">
        <v>2474</v>
      </c>
    </row>
    <row r="4" spans="1:14" x14ac:dyDescent="0.25">
      <c r="A4" s="23">
        <v>0</v>
      </c>
      <c r="B4" s="23">
        <v>0</v>
      </c>
      <c r="C4" s="23">
        <v>0</v>
      </c>
      <c r="D4" s="121">
        <v>0</v>
      </c>
      <c r="E4" s="121" t="s">
        <v>33</v>
      </c>
      <c r="F4" t="s">
        <v>198</v>
      </c>
      <c r="G4" s="11">
        <v>45896</v>
      </c>
      <c r="H4" s="134">
        <v>16545</v>
      </c>
      <c r="I4" s="134">
        <v>0</v>
      </c>
      <c r="J4" s="134">
        <v>733815</v>
      </c>
      <c r="K4" s="134">
        <v>0</v>
      </c>
      <c r="L4">
        <v>16545</v>
      </c>
      <c r="M4" t="b">
        <v>0</v>
      </c>
      <c r="N4" t="s">
        <v>2474</v>
      </c>
    </row>
    <row r="5" spans="1:14" hidden="1" x14ac:dyDescent="0.25">
      <c r="A5" s="23">
        <v>0</v>
      </c>
      <c r="B5" s="23">
        <v>0</v>
      </c>
      <c r="C5" s="23">
        <v>0</v>
      </c>
      <c r="D5" s="121">
        <v>0</v>
      </c>
      <c r="E5" s="121" t="s">
        <v>35</v>
      </c>
      <c r="F5" t="s">
        <v>198</v>
      </c>
      <c r="G5" s="11" t="s">
        <v>2117</v>
      </c>
      <c r="H5" s="134">
        <v>0</v>
      </c>
      <c r="I5" s="134">
        <v>0</v>
      </c>
      <c r="J5" s="134">
        <v>173320</v>
      </c>
      <c r="K5" s="134">
        <v>0</v>
      </c>
      <c r="L5">
        <v>0</v>
      </c>
      <c r="M5" t="b">
        <v>0</v>
      </c>
      <c r="N5" t="s">
        <v>2474</v>
      </c>
    </row>
    <row r="6" spans="1:14" hidden="1" x14ac:dyDescent="0.25">
      <c r="A6" s="23">
        <v>0</v>
      </c>
      <c r="B6" s="23">
        <v>0</v>
      </c>
      <c r="C6" s="23">
        <v>0</v>
      </c>
      <c r="D6" s="121">
        <v>0</v>
      </c>
      <c r="E6" s="121" t="s">
        <v>36</v>
      </c>
      <c r="F6" t="s">
        <v>198</v>
      </c>
      <c r="G6" s="11" t="s">
        <v>2120</v>
      </c>
      <c r="H6" s="134">
        <v>0</v>
      </c>
      <c r="I6" s="134">
        <v>0</v>
      </c>
      <c r="J6" s="134">
        <v>0</v>
      </c>
      <c r="K6" s="134">
        <v>0</v>
      </c>
      <c r="L6">
        <v>0</v>
      </c>
      <c r="M6" t="b">
        <v>0</v>
      </c>
      <c r="N6" t="s">
        <v>2474</v>
      </c>
    </row>
    <row r="7" spans="1:14" hidden="1" x14ac:dyDescent="0.25">
      <c r="A7" s="23">
        <v>0</v>
      </c>
      <c r="B7" s="23">
        <v>0</v>
      </c>
      <c r="C7" s="23">
        <v>0</v>
      </c>
      <c r="D7" s="121">
        <v>0</v>
      </c>
      <c r="E7" s="121" t="s">
        <v>37</v>
      </c>
      <c r="F7" t="s">
        <v>198</v>
      </c>
      <c r="G7" s="11">
        <v>0</v>
      </c>
      <c r="H7" s="134">
        <v>0</v>
      </c>
      <c r="I7" s="134">
        <v>0</v>
      </c>
      <c r="J7" s="134">
        <v>0</v>
      </c>
      <c r="K7" s="134">
        <v>0</v>
      </c>
      <c r="L7">
        <v>0</v>
      </c>
      <c r="M7" t="b">
        <v>0</v>
      </c>
      <c r="N7" t="s">
        <v>2474</v>
      </c>
    </row>
    <row r="8" spans="1:14" hidden="1" x14ac:dyDescent="0.25">
      <c r="A8" s="23">
        <v>0</v>
      </c>
      <c r="B8" s="23">
        <v>0</v>
      </c>
      <c r="C8" s="23">
        <v>0</v>
      </c>
      <c r="D8" s="121">
        <v>0</v>
      </c>
      <c r="E8" s="121" t="s">
        <v>39</v>
      </c>
      <c r="F8" t="s">
        <v>198</v>
      </c>
      <c r="G8" s="11">
        <v>116592</v>
      </c>
      <c r="H8" s="134">
        <v>0</v>
      </c>
      <c r="I8" s="134">
        <v>0</v>
      </c>
      <c r="J8" s="134">
        <v>0</v>
      </c>
      <c r="K8" s="134">
        <v>0</v>
      </c>
      <c r="L8">
        <v>0</v>
      </c>
      <c r="M8" t="b">
        <v>0</v>
      </c>
      <c r="N8" t="s">
        <v>2474</v>
      </c>
    </row>
    <row r="9" spans="1:14" hidden="1" x14ac:dyDescent="0.25">
      <c r="A9" s="23">
        <v>0</v>
      </c>
      <c r="B9" s="23">
        <v>0</v>
      </c>
      <c r="C9" s="23">
        <v>0</v>
      </c>
      <c r="D9" s="121">
        <v>0</v>
      </c>
      <c r="E9" s="121">
        <v>0</v>
      </c>
      <c r="F9" t="s">
        <v>198</v>
      </c>
      <c r="G9" s="11">
        <v>0</v>
      </c>
      <c r="H9" s="134">
        <v>0</v>
      </c>
      <c r="I9" s="134">
        <v>0</v>
      </c>
      <c r="J9" s="134">
        <v>0</v>
      </c>
      <c r="K9" s="134">
        <v>0</v>
      </c>
      <c r="L9">
        <v>0</v>
      </c>
      <c r="M9" t="b">
        <v>0</v>
      </c>
      <c r="N9" t="s">
        <v>2474</v>
      </c>
    </row>
    <row r="10" spans="1:14" hidden="1" x14ac:dyDescent="0.25">
      <c r="A10" s="23">
        <v>0</v>
      </c>
      <c r="B10" s="23">
        <v>0</v>
      </c>
      <c r="C10" s="23">
        <v>0</v>
      </c>
      <c r="D10" s="121">
        <v>0</v>
      </c>
      <c r="E10" s="121">
        <v>0</v>
      </c>
      <c r="F10" t="s">
        <v>198</v>
      </c>
      <c r="G10" s="11" t="s">
        <v>2118</v>
      </c>
      <c r="H10" s="134">
        <v>0</v>
      </c>
      <c r="I10" s="134">
        <v>0</v>
      </c>
      <c r="J10" s="134" t="s">
        <v>42</v>
      </c>
      <c r="K10" s="134">
        <v>0</v>
      </c>
      <c r="L10" t="s">
        <v>42</v>
      </c>
      <c r="M10" t="b">
        <v>0</v>
      </c>
      <c r="N10" t="s">
        <v>2474</v>
      </c>
    </row>
    <row r="11" spans="1:14" hidden="1" x14ac:dyDescent="0.25">
      <c r="A11" s="23">
        <v>0</v>
      </c>
      <c r="B11" s="23">
        <v>0</v>
      </c>
      <c r="C11" s="23">
        <v>0</v>
      </c>
      <c r="D11" s="121">
        <v>0</v>
      </c>
      <c r="E11" s="121">
        <v>0</v>
      </c>
      <c r="F11" t="s">
        <v>198</v>
      </c>
      <c r="G11" s="11" t="s">
        <v>2119</v>
      </c>
      <c r="H11" s="134">
        <v>0</v>
      </c>
      <c r="I11" s="134">
        <v>0</v>
      </c>
      <c r="J11" s="134">
        <v>0</v>
      </c>
      <c r="K11" s="134">
        <v>0</v>
      </c>
      <c r="L11">
        <v>0</v>
      </c>
      <c r="M11" t="b">
        <v>0</v>
      </c>
      <c r="N11" t="s">
        <v>2474</v>
      </c>
    </row>
    <row r="12" spans="1:14" hidden="1" x14ac:dyDescent="0.25">
      <c r="A12" s="23">
        <v>0</v>
      </c>
      <c r="B12" s="23">
        <v>0</v>
      </c>
      <c r="C12" s="23" t="s">
        <v>47</v>
      </c>
      <c r="D12" s="121">
        <v>0</v>
      </c>
      <c r="E12" s="121">
        <v>0</v>
      </c>
      <c r="F12" t="s">
        <v>198</v>
      </c>
      <c r="G12" s="11">
        <v>72</v>
      </c>
      <c r="H12" s="134">
        <v>0</v>
      </c>
      <c r="I12" s="134">
        <v>0</v>
      </c>
      <c r="J12" s="134">
        <v>0</v>
      </c>
      <c r="K12" s="134" t="s">
        <v>45</v>
      </c>
      <c r="L12">
        <v>0</v>
      </c>
      <c r="M12" t="b">
        <v>0</v>
      </c>
      <c r="N12" t="s">
        <v>2474</v>
      </c>
    </row>
    <row r="13" spans="1:14" hidden="1" x14ac:dyDescent="0.25">
      <c r="A13" s="23">
        <v>0</v>
      </c>
      <c r="B13" s="23">
        <v>0</v>
      </c>
      <c r="C13" s="23">
        <v>0</v>
      </c>
      <c r="D13" s="121">
        <v>0</v>
      </c>
      <c r="E13" s="121">
        <v>0</v>
      </c>
      <c r="F13" t="s">
        <v>198</v>
      </c>
      <c r="G13" s="11">
        <v>5000</v>
      </c>
      <c r="H13" s="134">
        <v>0</v>
      </c>
      <c r="I13" s="134">
        <v>0</v>
      </c>
      <c r="J13" s="134">
        <v>0</v>
      </c>
      <c r="K13" s="134">
        <v>0</v>
      </c>
      <c r="L13">
        <v>0</v>
      </c>
      <c r="M13" t="b">
        <v>0</v>
      </c>
      <c r="N13" t="s">
        <v>2474</v>
      </c>
    </row>
    <row r="14" spans="1:14" x14ac:dyDescent="0.25">
      <c r="A14" s="23" t="s">
        <v>52</v>
      </c>
      <c r="B14" s="23" t="s">
        <v>53</v>
      </c>
      <c r="C14" s="23" t="s">
        <v>21</v>
      </c>
      <c r="D14" s="121" t="s">
        <v>56</v>
      </c>
      <c r="E14" s="121" t="s">
        <v>57</v>
      </c>
      <c r="F14" t="s">
        <v>198</v>
      </c>
      <c r="G14" s="11" t="s">
        <v>51</v>
      </c>
      <c r="H14" s="134" t="s">
        <v>22</v>
      </c>
      <c r="I14" s="134">
        <v>0</v>
      </c>
      <c r="J14" s="134" t="s">
        <v>23</v>
      </c>
      <c r="K14" s="134" t="s">
        <v>21</v>
      </c>
      <c r="L14" t="s">
        <v>20</v>
      </c>
      <c r="M14" t="b">
        <v>0</v>
      </c>
      <c r="N14" t="s">
        <v>2474</v>
      </c>
    </row>
    <row r="15" spans="1:14" hidden="1" x14ac:dyDescent="0.25">
      <c r="A15" s="23" t="s">
        <v>2123</v>
      </c>
      <c r="B15" s="23" t="s">
        <v>2124</v>
      </c>
      <c r="C15" s="23" t="s">
        <v>2474</v>
      </c>
      <c r="D15" s="121">
        <v>5000</v>
      </c>
      <c r="E15" s="121">
        <v>1.2181</v>
      </c>
      <c r="F15" t="s">
        <v>198</v>
      </c>
      <c r="G15" s="11" t="s">
        <v>2122</v>
      </c>
      <c r="H15" s="134">
        <v>0</v>
      </c>
      <c r="I15" s="134">
        <v>0</v>
      </c>
      <c r="J15" s="134">
        <v>78700</v>
      </c>
      <c r="K15" s="134" t="s">
        <v>2474</v>
      </c>
      <c r="L15">
        <v>0</v>
      </c>
      <c r="M15" t="b">
        <v>0</v>
      </c>
      <c r="N15" t="s">
        <v>2474</v>
      </c>
    </row>
    <row r="16" spans="1:14" hidden="1" x14ac:dyDescent="0.25">
      <c r="A16" s="23" t="s">
        <v>2123</v>
      </c>
      <c r="B16" s="23" t="s">
        <v>2124</v>
      </c>
      <c r="C16" s="23" t="s">
        <v>2474</v>
      </c>
      <c r="D16" s="121">
        <v>1</v>
      </c>
      <c r="E16" s="121" t="s">
        <v>2474</v>
      </c>
      <c r="F16" t="s">
        <v>198</v>
      </c>
      <c r="G16" s="11" t="s">
        <v>2122</v>
      </c>
      <c r="H16" s="134">
        <v>0</v>
      </c>
      <c r="I16" s="134">
        <v>0</v>
      </c>
      <c r="J16" s="134">
        <v>125405</v>
      </c>
      <c r="K16" s="134" t="s">
        <v>2474</v>
      </c>
      <c r="L16">
        <v>0</v>
      </c>
      <c r="M16" t="b">
        <v>0</v>
      </c>
      <c r="N16" t="s">
        <v>2474</v>
      </c>
    </row>
    <row r="17" spans="1:14" hidden="1" x14ac:dyDescent="0.25">
      <c r="A17" s="23" t="s">
        <v>2123</v>
      </c>
      <c r="B17" s="23" t="s">
        <v>2124</v>
      </c>
      <c r="C17" s="23" t="s">
        <v>2474</v>
      </c>
      <c r="D17" s="121">
        <v>1</v>
      </c>
      <c r="E17" s="121" t="s">
        <v>2474</v>
      </c>
      <c r="F17" t="s">
        <v>198</v>
      </c>
      <c r="G17" s="11" t="s">
        <v>2122</v>
      </c>
      <c r="H17" s="134">
        <v>0</v>
      </c>
      <c r="I17" s="134">
        <v>0</v>
      </c>
      <c r="J17" s="134">
        <v>0</v>
      </c>
      <c r="K17" s="134" t="s">
        <v>2474</v>
      </c>
      <c r="L17">
        <v>0</v>
      </c>
      <c r="M17" t="b">
        <v>0</v>
      </c>
      <c r="N17" t="s">
        <v>2474</v>
      </c>
    </row>
    <row r="18" spans="1:14" hidden="1" x14ac:dyDescent="0.25">
      <c r="A18" s="23" t="s">
        <v>2123</v>
      </c>
      <c r="B18" s="23" t="s">
        <v>2150</v>
      </c>
      <c r="C18" s="23" t="s">
        <v>2474</v>
      </c>
      <c r="D18" s="121">
        <v>1</v>
      </c>
      <c r="E18" s="121" t="s">
        <v>2474</v>
      </c>
      <c r="F18" t="s">
        <v>198</v>
      </c>
      <c r="G18" s="11" t="s">
        <v>2122</v>
      </c>
      <c r="H18" s="134">
        <v>0</v>
      </c>
      <c r="I18" s="134">
        <v>0</v>
      </c>
      <c r="J18" s="134">
        <v>6000</v>
      </c>
      <c r="K18" s="134" t="s">
        <v>2474</v>
      </c>
      <c r="L18">
        <v>0</v>
      </c>
      <c r="M18" t="b">
        <v>0</v>
      </c>
      <c r="N18" t="s">
        <v>2474</v>
      </c>
    </row>
    <row r="19" spans="1:14" hidden="1" x14ac:dyDescent="0.25">
      <c r="A19" s="23" t="s">
        <v>2123</v>
      </c>
      <c r="B19" s="23" t="s">
        <v>2150</v>
      </c>
      <c r="C19" s="23" t="s">
        <v>2474</v>
      </c>
      <c r="D19" s="121">
        <v>1</v>
      </c>
      <c r="E19" s="121" t="s">
        <v>2474</v>
      </c>
      <c r="F19" t="s">
        <v>198</v>
      </c>
      <c r="G19" s="11" t="s">
        <v>2122</v>
      </c>
      <c r="H19" s="134">
        <v>0</v>
      </c>
      <c r="I19" s="134">
        <v>0</v>
      </c>
      <c r="J19" s="134">
        <v>2340</v>
      </c>
      <c r="K19" s="134" t="s">
        <v>2474</v>
      </c>
      <c r="L19">
        <v>0</v>
      </c>
      <c r="M19" t="b">
        <v>0</v>
      </c>
      <c r="N19" t="s">
        <v>2474</v>
      </c>
    </row>
    <row r="20" spans="1:14" hidden="1" x14ac:dyDescent="0.25">
      <c r="A20" s="23" t="s">
        <v>2123</v>
      </c>
      <c r="B20" s="23" t="s">
        <v>2124</v>
      </c>
      <c r="C20" s="23" t="s">
        <v>2474</v>
      </c>
      <c r="D20" s="121">
        <v>1</v>
      </c>
      <c r="E20" s="121" t="s">
        <v>2474</v>
      </c>
      <c r="F20" t="s">
        <v>198</v>
      </c>
      <c r="G20" s="11" t="s">
        <v>2122</v>
      </c>
      <c r="H20" s="134">
        <v>0</v>
      </c>
      <c r="I20" s="134">
        <v>0</v>
      </c>
      <c r="J20" s="134">
        <v>0</v>
      </c>
      <c r="K20" s="134" t="s">
        <v>2474</v>
      </c>
      <c r="L20">
        <v>0</v>
      </c>
      <c r="M20" t="b">
        <v>0</v>
      </c>
      <c r="N20" t="s">
        <v>2474</v>
      </c>
    </row>
    <row r="21" spans="1:14" x14ac:dyDescent="0.25">
      <c r="A21" s="23" t="s">
        <v>2164</v>
      </c>
      <c r="B21" s="23" t="s">
        <v>2124</v>
      </c>
      <c r="C21" s="23" t="s">
        <v>2474</v>
      </c>
      <c r="D21" s="121">
        <v>1</v>
      </c>
      <c r="E21" s="121" t="s">
        <v>2474</v>
      </c>
      <c r="F21" t="s">
        <v>198</v>
      </c>
      <c r="G21" s="11" t="s">
        <v>2122</v>
      </c>
      <c r="H21" s="134">
        <v>9000</v>
      </c>
      <c r="I21" s="134">
        <v>0</v>
      </c>
      <c r="J21" s="134">
        <v>0</v>
      </c>
      <c r="K21" s="134">
        <v>0</v>
      </c>
      <c r="L21">
        <v>9000</v>
      </c>
      <c r="M21" t="b">
        <v>0</v>
      </c>
      <c r="N21" t="s">
        <v>2474</v>
      </c>
    </row>
    <row r="22" spans="1:14" hidden="1" x14ac:dyDescent="0.25">
      <c r="A22" s="23" t="s">
        <v>2123</v>
      </c>
      <c r="B22" s="23" t="s">
        <v>2124</v>
      </c>
      <c r="C22" s="23" t="s">
        <v>2474</v>
      </c>
      <c r="D22" s="121">
        <v>1</v>
      </c>
      <c r="E22" s="121" t="s">
        <v>2474</v>
      </c>
      <c r="F22" t="s">
        <v>198</v>
      </c>
      <c r="G22" s="11" t="s">
        <v>2122</v>
      </c>
      <c r="H22" s="134">
        <v>0</v>
      </c>
      <c r="I22" s="134">
        <v>0</v>
      </c>
      <c r="J22" s="134">
        <v>2500</v>
      </c>
      <c r="K22" s="134" t="s">
        <v>2474</v>
      </c>
      <c r="L22">
        <v>0</v>
      </c>
      <c r="M22" t="b">
        <v>0</v>
      </c>
      <c r="N22" t="s">
        <v>2474</v>
      </c>
    </row>
    <row r="23" spans="1:14" hidden="1" x14ac:dyDescent="0.25">
      <c r="A23" s="23" t="s">
        <v>2123</v>
      </c>
      <c r="B23" s="23" t="s">
        <v>2124</v>
      </c>
      <c r="C23" s="23" t="s">
        <v>2474</v>
      </c>
      <c r="D23" s="121">
        <v>5000</v>
      </c>
      <c r="E23" s="121">
        <v>2.2499999999999999E-2</v>
      </c>
      <c r="F23" t="s">
        <v>198</v>
      </c>
      <c r="G23" s="11" t="s">
        <v>2122</v>
      </c>
      <c r="H23" s="134">
        <v>0</v>
      </c>
      <c r="I23" s="134">
        <v>0</v>
      </c>
      <c r="J23" s="134">
        <v>0</v>
      </c>
      <c r="K23" s="134" t="s">
        <v>2474</v>
      </c>
      <c r="L23">
        <v>0</v>
      </c>
      <c r="M23" t="b">
        <v>0</v>
      </c>
      <c r="N23" t="s">
        <v>2474</v>
      </c>
    </row>
    <row r="24" spans="1:14" hidden="1" x14ac:dyDescent="0.25">
      <c r="A24" s="23" t="s">
        <v>2123</v>
      </c>
      <c r="B24" s="23" t="s">
        <v>2150</v>
      </c>
      <c r="C24" s="23" t="s">
        <v>2474</v>
      </c>
      <c r="D24" s="121">
        <v>1</v>
      </c>
      <c r="E24" s="121" t="s">
        <v>2474</v>
      </c>
      <c r="F24" t="s">
        <v>198</v>
      </c>
      <c r="G24" s="11" t="s">
        <v>2122</v>
      </c>
      <c r="H24" s="134">
        <v>0</v>
      </c>
      <c r="I24" s="134">
        <v>0</v>
      </c>
      <c r="J24" s="134">
        <v>5000</v>
      </c>
      <c r="K24" s="134" t="s">
        <v>2474</v>
      </c>
      <c r="L24">
        <v>0</v>
      </c>
      <c r="M24" t="b">
        <v>0</v>
      </c>
      <c r="N24" t="s">
        <v>2474</v>
      </c>
    </row>
    <row r="25" spans="1:14" hidden="1" x14ac:dyDescent="0.25">
      <c r="A25" s="23" t="s">
        <v>2123</v>
      </c>
      <c r="B25" s="23" t="s">
        <v>2124</v>
      </c>
      <c r="C25" s="23" t="s">
        <v>2474</v>
      </c>
      <c r="D25" s="121">
        <v>5000</v>
      </c>
      <c r="E25" s="121">
        <v>0.17030000000000001</v>
      </c>
      <c r="F25" t="s">
        <v>198</v>
      </c>
      <c r="G25" s="11" t="s">
        <v>2122</v>
      </c>
      <c r="H25" s="134">
        <v>0</v>
      </c>
      <c r="I25" s="134">
        <v>0</v>
      </c>
      <c r="J25" s="134">
        <v>23180</v>
      </c>
      <c r="K25" s="134" t="s">
        <v>2474</v>
      </c>
      <c r="L25">
        <v>0</v>
      </c>
      <c r="M25" t="b">
        <v>0</v>
      </c>
      <c r="N25" t="s">
        <v>2474</v>
      </c>
    </row>
    <row r="26" spans="1:14" hidden="1" x14ac:dyDescent="0.25">
      <c r="A26" s="23" t="s">
        <v>2123</v>
      </c>
      <c r="B26" s="23" t="s">
        <v>2150</v>
      </c>
      <c r="C26" s="23" t="s">
        <v>2474</v>
      </c>
      <c r="D26" s="121">
        <v>5000</v>
      </c>
      <c r="E26" s="121">
        <v>0.2273</v>
      </c>
      <c r="F26" t="s">
        <v>198</v>
      </c>
      <c r="G26" s="11" t="s">
        <v>2122</v>
      </c>
      <c r="H26" s="134">
        <v>0</v>
      </c>
      <c r="I26" s="134">
        <v>0</v>
      </c>
      <c r="J26" s="134">
        <v>42480</v>
      </c>
      <c r="K26" s="134" t="s">
        <v>2474</v>
      </c>
      <c r="L26">
        <v>0</v>
      </c>
      <c r="M26" t="b">
        <v>0</v>
      </c>
      <c r="N26" t="s">
        <v>2474</v>
      </c>
    </row>
    <row r="27" spans="1:14" hidden="1" x14ac:dyDescent="0.25">
      <c r="A27" s="23" t="s">
        <v>2123</v>
      </c>
      <c r="B27" s="23" t="s">
        <v>2150</v>
      </c>
      <c r="C27" s="23" t="s">
        <v>2474</v>
      </c>
      <c r="D27" s="121">
        <v>1</v>
      </c>
      <c r="E27" s="121" t="s">
        <v>2474</v>
      </c>
      <c r="F27" t="s">
        <v>198</v>
      </c>
      <c r="G27" s="11" t="s">
        <v>2122</v>
      </c>
      <c r="H27" s="134">
        <v>0</v>
      </c>
      <c r="I27" s="134">
        <v>0</v>
      </c>
      <c r="J27" s="134">
        <v>1500</v>
      </c>
      <c r="K27" s="134" t="s">
        <v>2474</v>
      </c>
      <c r="L27">
        <v>0</v>
      </c>
      <c r="M27" t="b">
        <v>0</v>
      </c>
      <c r="N27" t="s">
        <v>2474</v>
      </c>
    </row>
    <row r="28" spans="1:14" hidden="1" x14ac:dyDescent="0.25">
      <c r="A28" s="23" t="s">
        <v>2123</v>
      </c>
      <c r="B28" s="23" t="s">
        <v>2124</v>
      </c>
      <c r="C28" s="23" t="s">
        <v>2474</v>
      </c>
      <c r="D28" s="121">
        <v>5000</v>
      </c>
      <c r="E28" s="121">
        <v>0.03</v>
      </c>
      <c r="F28" t="s">
        <v>198</v>
      </c>
      <c r="G28" s="11" t="s">
        <v>2122</v>
      </c>
      <c r="H28" s="134">
        <v>0</v>
      </c>
      <c r="I28" s="134">
        <v>0</v>
      </c>
      <c r="J28" s="134">
        <v>855</v>
      </c>
      <c r="K28" s="134" t="s">
        <v>2474</v>
      </c>
      <c r="L28">
        <v>0</v>
      </c>
      <c r="M28" t="b">
        <v>0</v>
      </c>
      <c r="N28" t="s">
        <v>2474</v>
      </c>
    </row>
    <row r="29" spans="1:14" hidden="1" x14ac:dyDescent="0.25">
      <c r="A29" s="23" t="s">
        <v>2123</v>
      </c>
      <c r="B29" s="23" t="s">
        <v>2124</v>
      </c>
      <c r="C29" s="23" t="s">
        <v>2474</v>
      </c>
      <c r="D29" s="121">
        <v>5000</v>
      </c>
      <c r="E29" s="121">
        <v>1.35E-2</v>
      </c>
      <c r="F29" t="s">
        <v>198</v>
      </c>
      <c r="G29" s="11" t="s">
        <v>2122</v>
      </c>
      <c r="H29" s="134">
        <v>0</v>
      </c>
      <c r="I29" s="134">
        <v>0</v>
      </c>
      <c r="J29" s="134">
        <v>390</v>
      </c>
      <c r="K29" s="134" t="s">
        <v>2474</v>
      </c>
      <c r="L29">
        <v>0</v>
      </c>
      <c r="M29" t="b">
        <v>0</v>
      </c>
      <c r="N29" t="s">
        <v>2474</v>
      </c>
    </row>
    <row r="30" spans="1:14" hidden="1" x14ac:dyDescent="0.25">
      <c r="A30" s="23" t="s">
        <v>2123</v>
      </c>
      <c r="B30" s="23" t="s">
        <v>2124</v>
      </c>
      <c r="C30" s="23" t="s">
        <v>2474</v>
      </c>
      <c r="D30" s="121">
        <v>1</v>
      </c>
      <c r="E30" s="121" t="s">
        <v>2474</v>
      </c>
      <c r="F30" t="s">
        <v>198</v>
      </c>
      <c r="G30" s="11" t="s">
        <v>2122</v>
      </c>
      <c r="H30" s="134">
        <v>0</v>
      </c>
      <c r="I30" s="134">
        <v>0</v>
      </c>
      <c r="J30" s="134">
        <v>3750</v>
      </c>
      <c r="K30" s="134" t="s">
        <v>2474</v>
      </c>
      <c r="L30">
        <v>0</v>
      </c>
      <c r="M30" t="b">
        <v>0</v>
      </c>
      <c r="N30" t="s">
        <v>2474</v>
      </c>
    </row>
    <row r="31" spans="1:14" x14ac:dyDescent="0.25">
      <c r="A31" s="23" t="s">
        <v>2164</v>
      </c>
      <c r="B31" s="23" t="s">
        <v>2124</v>
      </c>
      <c r="C31" s="23">
        <v>0</v>
      </c>
      <c r="D31" s="121">
        <v>1</v>
      </c>
      <c r="E31" s="121" t="s">
        <v>2474</v>
      </c>
      <c r="F31" t="s">
        <v>198</v>
      </c>
      <c r="G31" s="11" t="s">
        <v>2122</v>
      </c>
      <c r="H31" s="134">
        <v>4909</v>
      </c>
      <c r="I31" s="134">
        <v>0</v>
      </c>
      <c r="J31" s="134">
        <v>0</v>
      </c>
      <c r="K31" s="134">
        <v>0</v>
      </c>
      <c r="L31">
        <v>4909</v>
      </c>
      <c r="M31" t="b">
        <v>0</v>
      </c>
      <c r="N31" t="s">
        <v>2474</v>
      </c>
    </row>
    <row r="32" spans="1:14" x14ac:dyDescent="0.25">
      <c r="A32" s="23" t="s">
        <v>2164</v>
      </c>
      <c r="B32" s="23" t="s">
        <v>2124</v>
      </c>
      <c r="C32" s="23">
        <v>0</v>
      </c>
      <c r="D32" s="121">
        <v>1</v>
      </c>
      <c r="E32" s="121" t="s">
        <v>2474</v>
      </c>
      <c r="F32" t="s">
        <v>198</v>
      </c>
      <c r="G32" s="11" t="s">
        <v>2122</v>
      </c>
      <c r="H32" s="134">
        <v>1636</v>
      </c>
      <c r="I32" s="134">
        <v>0</v>
      </c>
      <c r="J32" s="134">
        <v>0</v>
      </c>
      <c r="K32" s="134">
        <v>0</v>
      </c>
      <c r="L32">
        <v>1636</v>
      </c>
      <c r="M32" t="b">
        <v>0</v>
      </c>
      <c r="N32" t="s">
        <v>2474</v>
      </c>
    </row>
    <row r="33" spans="1:14" hidden="1" x14ac:dyDescent="0.25">
      <c r="A33" s="23" t="s">
        <v>2123</v>
      </c>
      <c r="B33" s="23" t="s">
        <v>2150</v>
      </c>
      <c r="C33" s="23" t="s">
        <v>2474</v>
      </c>
      <c r="D33" s="121">
        <v>1</v>
      </c>
      <c r="E33" s="121" t="s">
        <v>2474</v>
      </c>
      <c r="F33" t="s">
        <v>198</v>
      </c>
      <c r="G33" s="11" t="s">
        <v>2122</v>
      </c>
      <c r="H33" s="134">
        <v>0</v>
      </c>
      <c r="I33" s="134">
        <v>0</v>
      </c>
      <c r="J33" s="134">
        <v>3750</v>
      </c>
      <c r="K33" s="134" t="s">
        <v>2474</v>
      </c>
      <c r="L33">
        <v>0</v>
      </c>
      <c r="M33" t="b">
        <v>0</v>
      </c>
      <c r="N33" t="s">
        <v>2474</v>
      </c>
    </row>
    <row r="34" spans="1:14" hidden="1" x14ac:dyDescent="0.25">
      <c r="A34" s="23" t="s">
        <v>2123</v>
      </c>
      <c r="B34" s="23" t="s">
        <v>2124</v>
      </c>
      <c r="C34" s="23" t="s">
        <v>2474</v>
      </c>
      <c r="D34" s="121">
        <v>5000</v>
      </c>
      <c r="E34" s="121">
        <v>0.1643</v>
      </c>
      <c r="F34" t="s">
        <v>198</v>
      </c>
      <c r="G34" s="11" t="s">
        <v>2122</v>
      </c>
      <c r="H34" s="134">
        <v>0</v>
      </c>
      <c r="I34" s="134">
        <v>0</v>
      </c>
      <c r="J34" s="134">
        <v>8500</v>
      </c>
      <c r="K34" s="134" t="s">
        <v>2474</v>
      </c>
      <c r="L34">
        <v>0</v>
      </c>
      <c r="M34" t="b">
        <v>0</v>
      </c>
      <c r="N34" t="s">
        <v>2474</v>
      </c>
    </row>
    <row r="35" spans="1:14" hidden="1" x14ac:dyDescent="0.25">
      <c r="A35" s="23" t="s">
        <v>2123</v>
      </c>
      <c r="B35" s="23" t="s">
        <v>2124</v>
      </c>
      <c r="C35" s="23">
        <v>0</v>
      </c>
      <c r="D35" s="121">
        <v>1</v>
      </c>
      <c r="E35" s="121" t="s">
        <v>2474</v>
      </c>
      <c r="F35" t="s">
        <v>198</v>
      </c>
      <c r="G35" s="11" t="s">
        <v>2122</v>
      </c>
      <c r="H35" s="134">
        <v>0</v>
      </c>
      <c r="I35" s="134">
        <v>0</v>
      </c>
      <c r="J35" s="134">
        <v>0</v>
      </c>
      <c r="K35" s="134" t="s">
        <v>2474</v>
      </c>
      <c r="L35">
        <v>0</v>
      </c>
      <c r="M35" t="b">
        <v>0</v>
      </c>
      <c r="N35" t="s">
        <v>2474</v>
      </c>
    </row>
    <row r="36" spans="1:14" hidden="1" x14ac:dyDescent="0.25">
      <c r="A36" s="23" t="s">
        <v>2123</v>
      </c>
      <c r="B36" s="23" t="s">
        <v>2124</v>
      </c>
      <c r="C36" s="23" t="s">
        <v>2474</v>
      </c>
      <c r="D36" s="121">
        <v>5000</v>
      </c>
      <c r="E36" s="121">
        <v>0.33229999999999998</v>
      </c>
      <c r="F36" t="s">
        <v>198</v>
      </c>
      <c r="G36" s="11" t="s">
        <v>2122</v>
      </c>
      <c r="H36" s="134">
        <v>0</v>
      </c>
      <c r="I36" s="134">
        <v>0</v>
      </c>
      <c r="J36" s="134">
        <v>20800</v>
      </c>
      <c r="K36" s="134" t="s">
        <v>2474</v>
      </c>
      <c r="L36">
        <v>0</v>
      </c>
      <c r="M36" t="b">
        <v>0</v>
      </c>
      <c r="N36" t="s">
        <v>2474</v>
      </c>
    </row>
    <row r="37" spans="1:14" hidden="1" x14ac:dyDescent="0.25">
      <c r="A37" s="23" t="s">
        <v>2123</v>
      </c>
      <c r="B37" s="23" t="s">
        <v>2124</v>
      </c>
      <c r="C37" s="23" t="s">
        <v>2474</v>
      </c>
      <c r="D37" s="121">
        <v>1</v>
      </c>
      <c r="E37" s="121" t="s">
        <v>2474</v>
      </c>
      <c r="F37" t="s">
        <v>198</v>
      </c>
      <c r="G37" s="11" t="s">
        <v>2122</v>
      </c>
      <c r="H37" s="134">
        <v>0</v>
      </c>
      <c r="I37" s="134">
        <v>0</v>
      </c>
      <c r="J37" s="134">
        <v>2500</v>
      </c>
      <c r="K37" s="134" t="s">
        <v>2474</v>
      </c>
      <c r="L37">
        <v>0</v>
      </c>
      <c r="M37" t="b">
        <v>0</v>
      </c>
      <c r="N37" t="s">
        <v>2474</v>
      </c>
    </row>
    <row r="38" spans="1:14" hidden="1" x14ac:dyDescent="0.25">
      <c r="A38" s="23" t="s">
        <v>2123</v>
      </c>
      <c r="B38" s="23" t="s">
        <v>2150</v>
      </c>
      <c r="C38" s="23" t="s">
        <v>2474</v>
      </c>
      <c r="D38" s="121">
        <v>1</v>
      </c>
      <c r="E38" s="121" t="s">
        <v>2474</v>
      </c>
      <c r="F38" t="s">
        <v>198</v>
      </c>
      <c r="G38" s="11" t="s">
        <v>2122</v>
      </c>
      <c r="H38" s="134">
        <v>0</v>
      </c>
      <c r="I38" s="134">
        <v>0</v>
      </c>
      <c r="J38" s="134">
        <v>0</v>
      </c>
      <c r="K38" s="134" t="s">
        <v>2474</v>
      </c>
      <c r="L38">
        <v>0</v>
      </c>
      <c r="M38" t="b">
        <v>0</v>
      </c>
      <c r="N38" t="s">
        <v>2474</v>
      </c>
    </row>
    <row r="39" spans="1:14" hidden="1" x14ac:dyDescent="0.25">
      <c r="A39" s="23" t="s">
        <v>2123</v>
      </c>
      <c r="B39" s="23" t="s">
        <v>2124</v>
      </c>
      <c r="C39" s="23" t="s">
        <v>2474</v>
      </c>
      <c r="D39" s="121">
        <v>1</v>
      </c>
      <c r="E39" s="121" t="s">
        <v>2474</v>
      </c>
      <c r="F39" t="s">
        <v>198</v>
      </c>
      <c r="G39" s="11" t="s">
        <v>2122</v>
      </c>
      <c r="H39" s="134">
        <v>0</v>
      </c>
      <c r="I39" s="134">
        <v>0</v>
      </c>
      <c r="J39" s="134">
        <v>0</v>
      </c>
      <c r="K39" s="134" t="s">
        <v>2474</v>
      </c>
      <c r="L39">
        <v>0</v>
      </c>
      <c r="M39" t="b">
        <v>0</v>
      </c>
      <c r="N39" t="s">
        <v>2474</v>
      </c>
    </row>
    <row r="40" spans="1:14" hidden="1" x14ac:dyDescent="0.25">
      <c r="A40" s="23" t="s">
        <v>2123</v>
      </c>
      <c r="B40" s="23" t="s">
        <v>2150</v>
      </c>
      <c r="C40" s="23" t="s">
        <v>2474</v>
      </c>
      <c r="D40" s="121">
        <v>1</v>
      </c>
      <c r="E40" s="121" t="s">
        <v>2474</v>
      </c>
      <c r="F40" t="s">
        <v>198</v>
      </c>
      <c r="G40" s="11" t="s">
        <v>2122</v>
      </c>
      <c r="H40" s="134">
        <v>0</v>
      </c>
      <c r="I40" s="134">
        <v>0</v>
      </c>
      <c r="J40" s="134">
        <v>3500</v>
      </c>
      <c r="K40" s="134" t="s">
        <v>2474</v>
      </c>
      <c r="L40">
        <v>0</v>
      </c>
      <c r="M40" t="b">
        <v>0</v>
      </c>
      <c r="N40" t="s">
        <v>2474</v>
      </c>
    </row>
    <row r="41" spans="1:14" hidden="1" x14ac:dyDescent="0.25">
      <c r="A41" s="23" t="s">
        <v>2123</v>
      </c>
      <c r="B41" s="23" t="s">
        <v>2124</v>
      </c>
      <c r="C41" s="23" t="s">
        <v>2474</v>
      </c>
      <c r="D41" s="121">
        <v>1</v>
      </c>
      <c r="E41" s="121" t="s">
        <v>2474</v>
      </c>
      <c r="F41" t="s">
        <v>198</v>
      </c>
      <c r="G41" s="11" t="s">
        <v>2122</v>
      </c>
      <c r="H41" s="134">
        <v>0</v>
      </c>
      <c r="I41" s="134">
        <v>0</v>
      </c>
      <c r="J41" s="134">
        <v>0</v>
      </c>
      <c r="K41" s="134" t="s">
        <v>2474</v>
      </c>
      <c r="L41">
        <v>0</v>
      </c>
      <c r="M41" t="b">
        <v>0</v>
      </c>
      <c r="N41" t="s">
        <v>2474</v>
      </c>
    </row>
    <row r="42" spans="1:14" hidden="1" x14ac:dyDescent="0.25">
      <c r="A42" s="23" t="s">
        <v>2123</v>
      </c>
      <c r="B42" s="23" t="s">
        <v>2124</v>
      </c>
      <c r="C42" s="23" t="s">
        <v>2474</v>
      </c>
      <c r="D42" s="121">
        <v>1</v>
      </c>
      <c r="E42" s="121" t="s">
        <v>2474</v>
      </c>
      <c r="F42" t="s">
        <v>198</v>
      </c>
      <c r="G42" s="11" t="s">
        <v>2122</v>
      </c>
      <c r="H42" s="134">
        <v>0</v>
      </c>
      <c r="I42" s="134">
        <v>0</v>
      </c>
      <c r="J42" s="134">
        <v>65000</v>
      </c>
      <c r="K42" s="134" t="s">
        <v>2474</v>
      </c>
      <c r="L42">
        <v>0</v>
      </c>
      <c r="M42" t="b">
        <v>0</v>
      </c>
      <c r="N42" t="s">
        <v>2474</v>
      </c>
    </row>
    <row r="43" spans="1:14" hidden="1" x14ac:dyDescent="0.25">
      <c r="A43" s="23" t="s">
        <v>2123</v>
      </c>
      <c r="B43" s="23" t="s">
        <v>2124</v>
      </c>
      <c r="C43" s="23" t="s">
        <v>2474</v>
      </c>
      <c r="D43" s="121">
        <v>1</v>
      </c>
      <c r="E43" s="121" t="s">
        <v>2474</v>
      </c>
      <c r="F43" t="s">
        <v>198</v>
      </c>
      <c r="G43" s="11" t="s">
        <v>2122</v>
      </c>
      <c r="H43" s="134">
        <v>0</v>
      </c>
      <c r="I43" s="134">
        <v>0</v>
      </c>
      <c r="J43" s="134">
        <v>20000</v>
      </c>
      <c r="K43" s="134" t="s">
        <v>2474</v>
      </c>
      <c r="L43">
        <v>0</v>
      </c>
      <c r="M43" t="b">
        <v>0</v>
      </c>
      <c r="N43" t="s">
        <v>2474</v>
      </c>
    </row>
    <row r="44" spans="1:14" hidden="1" x14ac:dyDescent="0.25">
      <c r="A44" s="23" t="s">
        <v>2123</v>
      </c>
      <c r="B44" s="23" t="s">
        <v>2150</v>
      </c>
      <c r="C44" s="23" t="s">
        <v>2474</v>
      </c>
      <c r="D44" s="121">
        <v>1</v>
      </c>
      <c r="E44" s="121" t="s">
        <v>2474</v>
      </c>
      <c r="F44" t="s">
        <v>198</v>
      </c>
      <c r="G44" s="11" t="s">
        <v>2122</v>
      </c>
      <c r="H44" s="134">
        <v>0</v>
      </c>
      <c r="I44" s="134">
        <v>0</v>
      </c>
      <c r="J44" s="134">
        <v>5000</v>
      </c>
      <c r="K44" s="134" t="s">
        <v>2474</v>
      </c>
      <c r="L44">
        <v>0</v>
      </c>
      <c r="M44" t="b">
        <v>0</v>
      </c>
      <c r="N44" t="s">
        <v>2474</v>
      </c>
    </row>
    <row r="45" spans="1:14" hidden="1" x14ac:dyDescent="0.25">
      <c r="A45" s="23" t="s">
        <v>2123</v>
      </c>
      <c r="B45" s="23" t="s">
        <v>2150</v>
      </c>
      <c r="C45" s="23" t="s">
        <v>2474</v>
      </c>
      <c r="D45" s="121">
        <v>1</v>
      </c>
      <c r="E45" s="121" t="s">
        <v>2474</v>
      </c>
      <c r="F45" t="s">
        <v>198</v>
      </c>
      <c r="G45" s="11" t="s">
        <v>2122</v>
      </c>
      <c r="H45" s="134">
        <v>0</v>
      </c>
      <c r="I45" s="134">
        <v>0</v>
      </c>
      <c r="J45" s="134">
        <v>10000</v>
      </c>
      <c r="K45" s="134" t="s">
        <v>2474</v>
      </c>
      <c r="L45">
        <v>0</v>
      </c>
      <c r="M45" t="b">
        <v>0</v>
      </c>
      <c r="N45" t="s">
        <v>2474</v>
      </c>
    </row>
    <row r="46" spans="1:14" hidden="1" x14ac:dyDescent="0.25">
      <c r="A46" s="23" t="s">
        <v>2207</v>
      </c>
      <c r="B46" s="23" t="s">
        <v>2124</v>
      </c>
      <c r="C46" s="23" t="s">
        <v>2474</v>
      </c>
      <c r="D46" s="121">
        <v>1</v>
      </c>
      <c r="E46" s="121" t="s">
        <v>2474</v>
      </c>
      <c r="F46" t="s">
        <v>198</v>
      </c>
      <c r="G46" s="11" t="s">
        <v>2122</v>
      </c>
      <c r="H46" s="134">
        <v>0</v>
      </c>
      <c r="I46" s="134">
        <v>0</v>
      </c>
      <c r="J46" s="134">
        <v>2000</v>
      </c>
      <c r="K46" s="134" t="s">
        <v>2474</v>
      </c>
      <c r="L46">
        <v>0</v>
      </c>
      <c r="M46" t="b">
        <v>0</v>
      </c>
      <c r="N46" t="s">
        <v>2474</v>
      </c>
    </row>
    <row r="47" spans="1:14" hidden="1" x14ac:dyDescent="0.25">
      <c r="A47" s="23" t="s">
        <v>2123</v>
      </c>
      <c r="B47" s="23" t="s">
        <v>2150</v>
      </c>
      <c r="C47" s="23" t="s">
        <v>2474</v>
      </c>
      <c r="D47" s="121">
        <v>1</v>
      </c>
      <c r="E47" s="121" t="s">
        <v>2474</v>
      </c>
      <c r="F47" t="s">
        <v>198</v>
      </c>
      <c r="G47" s="11" t="s">
        <v>2122</v>
      </c>
      <c r="H47" s="134">
        <v>0</v>
      </c>
      <c r="I47" s="134">
        <v>0</v>
      </c>
      <c r="J47" s="134">
        <v>5000</v>
      </c>
      <c r="K47" s="134" t="s">
        <v>2474</v>
      </c>
      <c r="L47">
        <v>0</v>
      </c>
      <c r="M47" t="b">
        <v>0</v>
      </c>
      <c r="N47" t="s">
        <v>2474</v>
      </c>
    </row>
    <row r="48" spans="1:14" hidden="1" x14ac:dyDescent="0.25">
      <c r="A48" s="23" t="s">
        <v>2123</v>
      </c>
      <c r="B48" s="23" t="s">
        <v>2124</v>
      </c>
      <c r="C48" s="23" t="s">
        <v>2474</v>
      </c>
      <c r="D48" s="121">
        <v>5000</v>
      </c>
      <c r="E48" s="121">
        <v>2.1000000000000001E-2</v>
      </c>
      <c r="F48" t="s">
        <v>198</v>
      </c>
      <c r="G48" s="11" t="s">
        <v>2122</v>
      </c>
      <c r="H48" s="134">
        <v>0</v>
      </c>
      <c r="I48" s="134">
        <v>0</v>
      </c>
      <c r="J48" s="134">
        <v>1750</v>
      </c>
      <c r="K48" s="134" t="s">
        <v>2474</v>
      </c>
      <c r="L48">
        <v>0</v>
      </c>
      <c r="M48" t="b">
        <v>0</v>
      </c>
      <c r="N48" t="s">
        <v>2474</v>
      </c>
    </row>
    <row r="49" spans="1:14" hidden="1" x14ac:dyDescent="0.25">
      <c r="A49" s="23" t="s">
        <v>2164</v>
      </c>
      <c r="B49" s="23" t="s">
        <v>2124</v>
      </c>
      <c r="C49" s="23" t="s">
        <v>2474</v>
      </c>
      <c r="D49" s="121">
        <v>1</v>
      </c>
      <c r="E49" s="121" t="s">
        <v>2474</v>
      </c>
      <c r="F49" t="s">
        <v>198</v>
      </c>
      <c r="G49" s="11" t="s">
        <v>2122</v>
      </c>
      <c r="H49" s="134">
        <v>0</v>
      </c>
      <c r="I49" s="134">
        <v>0</v>
      </c>
      <c r="J49" s="134">
        <v>0</v>
      </c>
      <c r="K49" s="134" t="s">
        <v>2474</v>
      </c>
      <c r="L49">
        <v>0</v>
      </c>
      <c r="M49" t="b">
        <v>0</v>
      </c>
      <c r="N49" t="s">
        <v>2474</v>
      </c>
    </row>
    <row r="50" spans="1:14" hidden="1" x14ac:dyDescent="0.25">
      <c r="A50" s="23" t="s">
        <v>2164</v>
      </c>
      <c r="B50" s="23" t="s">
        <v>2124</v>
      </c>
      <c r="C50" s="23">
        <v>0</v>
      </c>
      <c r="D50" s="121">
        <v>1</v>
      </c>
      <c r="E50" s="121" t="s">
        <v>2474</v>
      </c>
      <c r="F50" t="s">
        <v>198</v>
      </c>
      <c r="G50" s="11" t="s">
        <v>2122</v>
      </c>
      <c r="H50" s="134">
        <v>0</v>
      </c>
      <c r="I50" s="134">
        <v>0</v>
      </c>
      <c r="J50" s="134">
        <v>0</v>
      </c>
      <c r="K50" s="134" t="s">
        <v>2474</v>
      </c>
      <c r="L50">
        <v>0</v>
      </c>
      <c r="M50" t="b">
        <v>0</v>
      </c>
      <c r="N50" t="s">
        <v>2474</v>
      </c>
    </row>
    <row r="51" spans="1:14" hidden="1" x14ac:dyDescent="0.25">
      <c r="A51" s="23" t="s">
        <v>2164</v>
      </c>
      <c r="B51" s="23" t="s">
        <v>2124</v>
      </c>
      <c r="C51" s="23" t="s">
        <v>2474</v>
      </c>
      <c r="D51" s="121">
        <v>1</v>
      </c>
      <c r="E51" s="121" t="s">
        <v>2474</v>
      </c>
      <c r="F51" t="s">
        <v>198</v>
      </c>
      <c r="G51" s="11" t="s">
        <v>2122</v>
      </c>
      <c r="H51" s="134">
        <v>0</v>
      </c>
      <c r="I51" s="134">
        <v>0</v>
      </c>
      <c r="J51" s="134">
        <v>0</v>
      </c>
      <c r="K51" s="134" t="s">
        <v>2474</v>
      </c>
      <c r="L51">
        <v>0</v>
      </c>
      <c r="M51" t="b">
        <v>0</v>
      </c>
      <c r="N51" t="s">
        <v>2474</v>
      </c>
    </row>
    <row r="52" spans="1:14" hidden="1" x14ac:dyDescent="0.25">
      <c r="A52" s="23" t="s">
        <v>2123</v>
      </c>
      <c r="B52" s="23" t="s">
        <v>2150</v>
      </c>
      <c r="C52" s="23" t="s">
        <v>2474</v>
      </c>
      <c r="D52" s="121">
        <v>5000</v>
      </c>
      <c r="E52" s="121">
        <v>4.0500000000000001E-2</v>
      </c>
      <c r="F52" t="s">
        <v>198</v>
      </c>
      <c r="G52" s="11" t="s">
        <v>2122</v>
      </c>
      <c r="H52" s="134">
        <v>0</v>
      </c>
      <c r="I52" s="134">
        <v>0</v>
      </c>
      <c r="J52" s="134">
        <v>2500</v>
      </c>
      <c r="K52" s="134" t="s">
        <v>2474</v>
      </c>
      <c r="L52">
        <v>0</v>
      </c>
      <c r="M52" t="b">
        <v>0</v>
      </c>
      <c r="N52" t="s">
        <v>2474</v>
      </c>
    </row>
    <row r="53" spans="1:14" hidden="1" x14ac:dyDescent="0.25">
      <c r="A53" s="23" t="s">
        <v>2123</v>
      </c>
      <c r="B53" s="23" t="s">
        <v>2150</v>
      </c>
      <c r="C53" s="23" t="s">
        <v>2474</v>
      </c>
      <c r="D53" s="121">
        <v>5000</v>
      </c>
      <c r="E53" s="121">
        <v>3.0800000000000001E-2</v>
      </c>
      <c r="F53" t="s">
        <v>198</v>
      </c>
      <c r="G53" s="11" t="s">
        <v>2122</v>
      </c>
      <c r="H53" s="134">
        <v>0</v>
      </c>
      <c r="I53" s="134">
        <v>0</v>
      </c>
      <c r="J53" s="134">
        <v>2500</v>
      </c>
      <c r="K53" s="134" t="s">
        <v>2474</v>
      </c>
      <c r="L53">
        <v>0</v>
      </c>
      <c r="M53" t="b">
        <v>0</v>
      </c>
      <c r="N53" t="s">
        <v>2474</v>
      </c>
    </row>
    <row r="54" spans="1:14" hidden="1" x14ac:dyDescent="0.25">
      <c r="A54" s="23" t="s">
        <v>2123</v>
      </c>
      <c r="B54" s="23" t="s">
        <v>2150</v>
      </c>
      <c r="C54" s="23" t="s">
        <v>2474</v>
      </c>
      <c r="D54" s="121">
        <v>1</v>
      </c>
      <c r="E54" s="121" t="s">
        <v>2474</v>
      </c>
      <c r="F54" t="s">
        <v>198</v>
      </c>
      <c r="G54" s="11" t="s">
        <v>2122</v>
      </c>
      <c r="H54" s="134">
        <v>0</v>
      </c>
      <c r="I54" s="134">
        <v>0</v>
      </c>
      <c r="J54" s="134">
        <v>7425</v>
      </c>
      <c r="K54" s="134" t="s">
        <v>2474</v>
      </c>
      <c r="L54">
        <v>0</v>
      </c>
      <c r="M54" t="b">
        <v>0</v>
      </c>
      <c r="N54" t="s">
        <v>2474</v>
      </c>
    </row>
    <row r="55" spans="1:14" hidden="1" x14ac:dyDescent="0.25">
      <c r="A55" s="23" t="s">
        <v>2123</v>
      </c>
      <c r="B55" s="23" t="s">
        <v>2124</v>
      </c>
      <c r="C55" s="23" t="s">
        <v>2474</v>
      </c>
      <c r="D55" s="121">
        <v>5000</v>
      </c>
      <c r="E55" s="121">
        <v>0.33379999999999999</v>
      </c>
      <c r="F55" t="s">
        <v>198</v>
      </c>
      <c r="G55" s="11" t="s">
        <v>2122</v>
      </c>
      <c r="H55" s="134">
        <v>0</v>
      </c>
      <c r="I55" s="134">
        <v>0</v>
      </c>
      <c r="J55" s="134">
        <v>33900</v>
      </c>
      <c r="K55" s="134" t="s">
        <v>2474</v>
      </c>
      <c r="L55">
        <v>0</v>
      </c>
      <c r="M55" t="b">
        <v>0</v>
      </c>
      <c r="N55" t="s">
        <v>2474</v>
      </c>
    </row>
    <row r="56" spans="1:14" hidden="1" x14ac:dyDescent="0.25">
      <c r="A56" s="23" t="s">
        <v>2123</v>
      </c>
      <c r="B56" s="23" t="s">
        <v>2124</v>
      </c>
      <c r="C56" s="23" t="s">
        <v>2474</v>
      </c>
      <c r="D56" s="121">
        <v>1</v>
      </c>
      <c r="E56" s="121" t="s">
        <v>2474</v>
      </c>
      <c r="F56" t="s">
        <v>198</v>
      </c>
      <c r="G56" s="11" t="s">
        <v>2122</v>
      </c>
      <c r="H56" s="134">
        <v>0</v>
      </c>
      <c r="I56" s="134">
        <v>0</v>
      </c>
      <c r="J56" s="134">
        <v>1125</v>
      </c>
      <c r="K56" s="134" t="s">
        <v>2474</v>
      </c>
      <c r="L56">
        <v>0</v>
      </c>
      <c r="M56" t="b">
        <v>0</v>
      </c>
      <c r="N56" t="s">
        <v>2474</v>
      </c>
    </row>
    <row r="57" spans="1:14" hidden="1" x14ac:dyDescent="0.25">
      <c r="A57" s="23" t="s">
        <v>2123</v>
      </c>
      <c r="B57" s="23" t="s">
        <v>2124</v>
      </c>
      <c r="C57" s="23" t="s">
        <v>2474</v>
      </c>
      <c r="D57" s="121">
        <v>1</v>
      </c>
      <c r="E57" s="121" t="s">
        <v>2474</v>
      </c>
      <c r="F57" t="s">
        <v>198</v>
      </c>
      <c r="G57" s="11" t="s">
        <v>2122</v>
      </c>
      <c r="H57" s="134">
        <v>0</v>
      </c>
      <c r="I57" s="134">
        <v>0</v>
      </c>
      <c r="J57" s="134">
        <v>0</v>
      </c>
      <c r="K57" s="134" t="s">
        <v>2474</v>
      </c>
      <c r="L57">
        <v>0</v>
      </c>
      <c r="M57" t="b">
        <v>0</v>
      </c>
      <c r="N57" t="s">
        <v>2474</v>
      </c>
    </row>
    <row r="58" spans="1:14" hidden="1" x14ac:dyDescent="0.25">
      <c r="A58" s="23" t="s">
        <v>2123</v>
      </c>
      <c r="B58" s="23" t="s">
        <v>2124</v>
      </c>
      <c r="C58" s="23" t="s">
        <v>2474</v>
      </c>
      <c r="D58" s="121">
        <v>1</v>
      </c>
      <c r="E58" s="121" t="s">
        <v>2474</v>
      </c>
      <c r="F58" t="s">
        <v>198</v>
      </c>
      <c r="G58" s="11" t="s">
        <v>2122</v>
      </c>
      <c r="H58" s="134">
        <v>0</v>
      </c>
      <c r="I58" s="134">
        <v>0</v>
      </c>
      <c r="J58" s="134">
        <v>500</v>
      </c>
      <c r="K58" s="134" t="s">
        <v>2474</v>
      </c>
      <c r="L58">
        <v>0</v>
      </c>
      <c r="M58" t="b">
        <v>0</v>
      </c>
      <c r="N58" t="s">
        <v>2474</v>
      </c>
    </row>
    <row r="59" spans="1:14" hidden="1" x14ac:dyDescent="0.25">
      <c r="A59" s="23" t="s">
        <v>2207</v>
      </c>
      <c r="B59" s="23" t="s">
        <v>2150</v>
      </c>
      <c r="C59" s="23" t="s">
        <v>2474</v>
      </c>
      <c r="D59" s="121">
        <v>1</v>
      </c>
      <c r="E59" s="121" t="s">
        <v>2474</v>
      </c>
      <c r="F59" t="s">
        <v>198</v>
      </c>
      <c r="G59" s="11" t="s">
        <v>2122</v>
      </c>
      <c r="H59" s="134">
        <v>0</v>
      </c>
      <c r="I59" s="134">
        <v>0</v>
      </c>
      <c r="J59" s="134">
        <v>0</v>
      </c>
      <c r="K59" s="134" t="s">
        <v>2474</v>
      </c>
      <c r="L59">
        <v>0</v>
      </c>
      <c r="M59" t="b">
        <v>0</v>
      </c>
      <c r="N59" t="s">
        <v>2474</v>
      </c>
    </row>
    <row r="60" spans="1:14" hidden="1" x14ac:dyDescent="0.25">
      <c r="A60" s="23" t="s">
        <v>2207</v>
      </c>
      <c r="B60" s="23" t="s">
        <v>2150</v>
      </c>
      <c r="C60" s="23" t="s">
        <v>2474</v>
      </c>
      <c r="D60" s="121">
        <v>1</v>
      </c>
      <c r="E60" s="121" t="s">
        <v>2474</v>
      </c>
      <c r="F60" t="s">
        <v>198</v>
      </c>
      <c r="G60" s="11" t="s">
        <v>2122</v>
      </c>
      <c r="H60" s="134">
        <v>0</v>
      </c>
      <c r="I60" s="134">
        <v>0</v>
      </c>
      <c r="J60" s="134">
        <v>825</v>
      </c>
      <c r="K60" s="134" t="s">
        <v>2474</v>
      </c>
      <c r="L60">
        <v>0</v>
      </c>
      <c r="M60" t="b">
        <v>0</v>
      </c>
      <c r="N60" t="s">
        <v>2474</v>
      </c>
    </row>
    <row r="61" spans="1:14" hidden="1" x14ac:dyDescent="0.25">
      <c r="A61" s="23" t="s">
        <v>2207</v>
      </c>
      <c r="B61" s="23" t="s">
        <v>2150</v>
      </c>
      <c r="C61" s="23" t="s">
        <v>2474</v>
      </c>
      <c r="D61" s="121">
        <v>1</v>
      </c>
      <c r="E61" s="121" t="s">
        <v>2474</v>
      </c>
      <c r="F61" t="s">
        <v>198</v>
      </c>
      <c r="G61" s="11" t="s">
        <v>2122</v>
      </c>
      <c r="H61" s="134">
        <v>0</v>
      </c>
      <c r="I61" s="134">
        <v>0</v>
      </c>
      <c r="J61" s="134">
        <v>0</v>
      </c>
      <c r="K61" s="134" t="s">
        <v>2474</v>
      </c>
      <c r="L61">
        <v>0</v>
      </c>
      <c r="M61" t="b">
        <v>0</v>
      </c>
      <c r="N61" t="s">
        <v>2474</v>
      </c>
    </row>
    <row r="62" spans="1:14" hidden="1" x14ac:dyDescent="0.25">
      <c r="A62" s="23" t="s">
        <v>2123</v>
      </c>
      <c r="B62" s="23" t="s">
        <v>2150</v>
      </c>
      <c r="C62" s="23" t="s">
        <v>2474</v>
      </c>
      <c r="D62" s="121">
        <v>1</v>
      </c>
      <c r="E62" s="121" t="s">
        <v>2474</v>
      </c>
      <c r="F62" t="s">
        <v>198</v>
      </c>
      <c r="G62" s="11" t="s">
        <v>2122</v>
      </c>
      <c r="H62" s="134">
        <v>0</v>
      </c>
      <c r="I62" s="134">
        <v>0</v>
      </c>
      <c r="J62" s="134">
        <v>3750</v>
      </c>
      <c r="K62" s="134" t="s">
        <v>2474</v>
      </c>
      <c r="L62">
        <v>0</v>
      </c>
      <c r="M62" t="b">
        <v>0</v>
      </c>
      <c r="N62" t="s">
        <v>2474</v>
      </c>
    </row>
    <row r="63" spans="1:14" hidden="1" x14ac:dyDescent="0.25">
      <c r="A63" s="23" t="s">
        <v>2123</v>
      </c>
      <c r="B63" s="23" t="s">
        <v>2124</v>
      </c>
      <c r="C63" s="23" t="s">
        <v>2474</v>
      </c>
      <c r="D63" s="121">
        <v>5000</v>
      </c>
      <c r="E63" s="121">
        <v>0.20549999999999999</v>
      </c>
      <c r="F63" t="s">
        <v>198</v>
      </c>
      <c r="G63" s="11" t="s">
        <v>2122</v>
      </c>
      <c r="H63" s="134">
        <v>0</v>
      </c>
      <c r="I63" s="134">
        <v>0</v>
      </c>
      <c r="J63" s="134">
        <v>19150</v>
      </c>
      <c r="K63" s="134" t="s">
        <v>2474</v>
      </c>
      <c r="L63">
        <v>0</v>
      </c>
      <c r="M63" t="b">
        <v>0</v>
      </c>
      <c r="N63" t="s">
        <v>2474</v>
      </c>
    </row>
    <row r="64" spans="1:14" hidden="1" x14ac:dyDescent="0.25">
      <c r="A64" s="23" t="s">
        <v>2123</v>
      </c>
      <c r="B64" s="23" t="s">
        <v>2124</v>
      </c>
      <c r="C64" s="23" t="s">
        <v>2474</v>
      </c>
      <c r="D64" s="121">
        <v>5000</v>
      </c>
      <c r="E64" s="121">
        <v>7.6499999999999999E-2</v>
      </c>
      <c r="F64" t="s">
        <v>198</v>
      </c>
      <c r="G64" s="11" t="s">
        <v>2122</v>
      </c>
      <c r="H64" s="134">
        <v>0</v>
      </c>
      <c r="I64" s="134">
        <v>0</v>
      </c>
      <c r="J64" s="134">
        <v>4800</v>
      </c>
      <c r="K64" s="134" t="s">
        <v>2474</v>
      </c>
      <c r="L64">
        <v>0</v>
      </c>
      <c r="M64" t="b">
        <v>0</v>
      </c>
      <c r="N64" t="s">
        <v>2474</v>
      </c>
    </row>
    <row r="65" spans="1:14" x14ac:dyDescent="0.25">
      <c r="A65" s="23" t="s">
        <v>2164</v>
      </c>
      <c r="B65" s="23" t="s">
        <v>2124</v>
      </c>
      <c r="C65" s="23" t="s">
        <v>2474</v>
      </c>
      <c r="D65" s="121">
        <v>2</v>
      </c>
      <c r="E65" s="121" t="s">
        <v>2474</v>
      </c>
      <c r="F65" t="s">
        <v>198</v>
      </c>
      <c r="G65" s="11" t="s">
        <v>2122</v>
      </c>
      <c r="H65" s="134">
        <v>1000</v>
      </c>
      <c r="I65" s="134">
        <v>0</v>
      </c>
      <c r="J65" s="134">
        <v>0</v>
      </c>
      <c r="K65" s="134">
        <v>0</v>
      </c>
      <c r="L65">
        <v>1000</v>
      </c>
      <c r="M65" t="b">
        <v>0</v>
      </c>
      <c r="N65" t="s">
        <v>2474</v>
      </c>
    </row>
    <row r="66" spans="1:14" hidden="1" x14ac:dyDescent="0.25">
      <c r="A66" s="23" t="s">
        <v>2123</v>
      </c>
      <c r="B66" s="23" t="s">
        <v>2150</v>
      </c>
      <c r="C66" s="23" t="s">
        <v>2474</v>
      </c>
      <c r="D66" s="121">
        <v>5000</v>
      </c>
      <c r="E66" s="121">
        <v>0.08</v>
      </c>
      <c r="F66" t="s">
        <v>198</v>
      </c>
      <c r="G66" s="11" t="s">
        <v>2122</v>
      </c>
      <c r="H66" s="134">
        <v>0</v>
      </c>
      <c r="I66" s="134">
        <v>0</v>
      </c>
      <c r="J66" s="134">
        <v>2800</v>
      </c>
      <c r="K66" s="134" t="s">
        <v>2474</v>
      </c>
      <c r="L66">
        <v>0</v>
      </c>
      <c r="M66" t="b">
        <v>0</v>
      </c>
      <c r="N66" t="s">
        <v>2474</v>
      </c>
    </row>
    <row r="67" spans="1:14" hidden="1" x14ac:dyDescent="0.25">
      <c r="A67" s="23" t="s">
        <v>2123</v>
      </c>
      <c r="B67" s="23" t="s">
        <v>2124</v>
      </c>
      <c r="C67" s="23" t="s">
        <v>2474</v>
      </c>
      <c r="D67" s="121">
        <v>5000</v>
      </c>
      <c r="E67" s="121">
        <v>0.184</v>
      </c>
      <c r="F67" t="s">
        <v>198</v>
      </c>
      <c r="G67" s="11" t="s">
        <v>2122</v>
      </c>
      <c r="H67" s="134">
        <v>0</v>
      </c>
      <c r="I67" s="134">
        <v>0</v>
      </c>
      <c r="J67" s="134">
        <v>15750</v>
      </c>
      <c r="K67" s="134" t="s">
        <v>2474</v>
      </c>
      <c r="L67">
        <v>0</v>
      </c>
      <c r="M67" t="b">
        <v>0</v>
      </c>
      <c r="N67" t="s">
        <v>2474</v>
      </c>
    </row>
    <row r="68" spans="1:14" hidden="1" x14ac:dyDescent="0.25">
      <c r="A68" s="23" t="s">
        <v>2123</v>
      </c>
      <c r="B68" s="23" t="s">
        <v>2124</v>
      </c>
      <c r="C68" s="23" t="s">
        <v>2474</v>
      </c>
      <c r="D68" s="121">
        <v>1</v>
      </c>
      <c r="E68" s="121" t="s">
        <v>2474</v>
      </c>
      <c r="F68" t="s">
        <v>198</v>
      </c>
      <c r="G68" s="11" t="s">
        <v>2122</v>
      </c>
      <c r="H68" s="134">
        <v>0</v>
      </c>
      <c r="I68" s="134">
        <v>0</v>
      </c>
      <c r="J68" s="134">
        <v>2600</v>
      </c>
      <c r="K68" s="134" t="s">
        <v>2474</v>
      </c>
      <c r="L68">
        <v>0</v>
      </c>
      <c r="M68" t="b">
        <v>0</v>
      </c>
      <c r="N68" t="s">
        <v>2474</v>
      </c>
    </row>
    <row r="69" spans="1:14" hidden="1" x14ac:dyDescent="0.25">
      <c r="A69" s="23" t="s">
        <v>2123</v>
      </c>
      <c r="B69" s="23" t="s">
        <v>2124</v>
      </c>
      <c r="C69" s="23" t="s">
        <v>2474</v>
      </c>
      <c r="D69" s="121">
        <v>1</v>
      </c>
      <c r="E69" s="121" t="s">
        <v>2474</v>
      </c>
      <c r="F69" t="s">
        <v>198</v>
      </c>
      <c r="G69" s="11" t="s">
        <v>2122</v>
      </c>
      <c r="H69" s="134">
        <v>0</v>
      </c>
      <c r="I69" s="134">
        <v>0</v>
      </c>
      <c r="J69" s="134">
        <v>3250</v>
      </c>
      <c r="K69" s="134" t="s">
        <v>2474</v>
      </c>
      <c r="L69">
        <v>0</v>
      </c>
      <c r="M69" t="b">
        <v>0</v>
      </c>
      <c r="N69" t="s">
        <v>2474</v>
      </c>
    </row>
    <row r="70" spans="1:14" hidden="1" x14ac:dyDescent="0.25">
      <c r="A70" s="23" t="s">
        <v>2123</v>
      </c>
      <c r="B70" s="23" t="s">
        <v>2124</v>
      </c>
      <c r="C70" s="23" t="s">
        <v>2474</v>
      </c>
      <c r="D70" s="121">
        <v>1</v>
      </c>
      <c r="E70" s="121" t="s">
        <v>2474</v>
      </c>
      <c r="F70" t="s">
        <v>198</v>
      </c>
      <c r="G70" s="11" t="s">
        <v>2122</v>
      </c>
      <c r="H70" s="134">
        <v>0</v>
      </c>
      <c r="I70" s="134">
        <v>0</v>
      </c>
      <c r="J70" s="134">
        <v>1150</v>
      </c>
      <c r="K70" s="134" t="s">
        <v>2474</v>
      </c>
      <c r="L70">
        <v>0</v>
      </c>
      <c r="M70" t="b">
        <v>0</v>
      </c>
      <c r="N70" t="s">
        <v>2474</v>
      </c>
    </row>
    <row r="71" spans="1:14" hidden="1" x14ac:dyDescent="0.25">
      <c r="A71" s="23" t="s">
        <v>2123</v>
      </c>
      <c r="B71" s="23" t="s">
        <v>2150</v>
      </c>
      <c r="C71" s="23" t="s">
        <v>2474</v>
      </c>
      <c r="D71" s="121">
        <v>1</v>
      </c>
      <c r="E71" s="121" t="s">
        <v>2474</v>
      </c>
      <c r="F71" t="s">
        <v>198</v>
      </c>
      <c r="G71" s="11" t="s">
        <v>2122</v>
      </c>
      <c r="H71" s="134">
        <v>0</v>
      </c>
      <c r="I71" s="134">
        <v>0</v>
      </c>
      <c r="J71" s="134">
        <v>450</v>
      </c>
      <c r="K71" s="134" t="s">
        <v>2474</v>
      </c>
      <c r="L71">
        <v>0</v>
      </c>
      <c r="M71" t="b">
        <v>0</v>
      </c>
      <c r="N71" t="s">
        <v>2474</v>
      </c>
    </row>
    <row r="72" spans="1:14" hidden="1" x14ac:dyDescent="0.25">
      <c r="A72" s="23" t="s">
        <v>2123</v>
      </c>
      <c r="B72" s="23" t="s">
        <v>2124</v>
      </c>
      <c r="C72" s="23" t="s">
        <v>2474</v>
      </c>
      <c r="D72" s="121">
        <v>1</v>
      </c>
      <c r="E72" s="121" t="s">
        <v>2474</v>
      </c>
      <c r="F72" t="s">
        <v>198</v>
      </c>
      <c r="G72" s="11" t="s">
        <v>2122</v>
      </c>
      <c r="H72" s="134">
        <v>0</v>
      </c>
      <c r="I72" s="134">
        <v>0</v>
      </c>
      <c r="J72" s="134">
        <v>1900</v>
      </c>
      <c r="K72" s="134" t="s">
        <v>2474</v>
      </c>
      <c r="L72">
        <v>0</v>
      </c>
      <c r="M72" t="b">
        <v>0</v>
      </c>
      <c r="N72" t="s">
        <v>2474</v>
      </c>
    </row>
    <row r="73" spans="1:14" hidden="1" x14ac:dyDescent="0.25">
      <c r="A73" s="23" t="s">
        <v>2123</v>
      </c>
      <c r="B73" s="23" t="s">
        <v>2124</v>
      </c>
      <c r="C73" s="23" t="s">
        <v>2474</v>
      </c>
      <c r="D73" s="121">
        <v>1</v>
      </c>
      <c r="E73" s="121" t="s">
        <v>2474</v>
      </c>
      <c r="F73" t="s">
        <v>198</v>
      </c>
      <c r="G73" s="11" t="s">
        <v>2122</v>
      </c>
      <c r="H73" s="134">
        <v>0</v>
      </c>
      <c r="I73" s="134">
        <v>0</v>
      </c>
      <c r="J73" s="134">
        <v>5200</v>
      </c>
      <c r="K73" s="134" t="s">
        <v>2474</v>
      </c>
      <c r="L73">
        <v>0</v>
      </c>
      <c r="M73" t="b">
        <v>0</v>
      </c>
      <c r="N73" t="s">
        <v>2474</v>
      </c>
    </row>
    <row r="74" spans="1:14" hidden="1" x14ac:dyDescent="0.25">
      <c r="A74" s="23" t="s">
        <v>2123</v>
      </c>
      <c r="B74" s="23" t="s">
        <v>2124</v>
      </c>
      <c r="C74" s="23" t="s">
        <v>2474</v>
      </c>
      <c r="D74" s="121">
        <v>1</v>
      </c>
      <c r="E74" s="121" t="s">
        <v>2474</v>
      </c>
      <c r="F74" t="s">
        <v>198</v>
      </c>
      <c r="G74" s="11" t="s">
        <v>2122</v>
      </c>
      <c r="H74" s="134">
        <v>0</v>
      </c>
      <c r="I74" s="134">
        <v>0</v>
      </c>
      <c r="J74" s="134">
        <v>2500</v>
      </c>
      <c r="K74" s="134" t="s">
        <v>2474</v>
      </c>
      <c r="L74">
        <v>0</v>
      </c>
      <c r="M74" t="b">
        <v>0</v>
      </c>
      <c r="N74" t="s">
        <v>2474</v>
      </c>
    </row>
    <row r="75" spans="1:14" hidden="1" x14ac:dyDescent="0.25">
      <c r="A75" s="23" t="s">
        <v>2123</v>
      </c>
      <c r="B75" s="23" t="s">
        <v>2124</v>
      </c>
      <c r="C75" s="23">
        <v>0</v>
      </c>
      <c r="D75" s="121">
        <v>1</v>
      </c>
      <c r="E75" s="121" t="s">
        <v>2474</v>
      </c>
      <c r="F75" t="s">
        <v>198</v>
      </c>
      <c r="G75" s="11" t="s">
        <v>2122</v>
      </c>
      <c r="H75" s="134">
        <v>0</v>
      </c>
      <c r="I75" s="134">
        <v>0</v>
      </c>
      <c r="J75" s="134">
        <v>0</v>
      </c>
      <c r="K75" s="134" t="s">
        <v>2474</v>
      </c>
      <c r="L75">
        <v>0</v>
      </c>
      <c r="M75" t="b">
        <v>0</v>
      </c>
      <c r="N75" t="s">
        <v>2474</v>
      </c>
    </row>
    <row r="76" spans="1:14" hidden="1" x14ac:dyDescent="0.25">
      <c r="A76" s="23" t="s">
        <v>2123</v>
      </c>
      <c r="B76" s="23" t="s">
        <v>2124</v>
      </c>
      <c r="C76" s="23" t="s">
        <v>2474</v>
      </c>
      <c r="D76" s="121">
        <v>1</v>
      </c>
      <c r="E76" s="121" t="s">
        <v>2474</v>
      </c>
      <c r="F76" t="s">
        <v>198</v>
      </c>
      <c r="G76" s="11" t="s">
        <v>2122</v>
      </c>
      <c r="H76" s="134">
        <v>0</v>
      </c>
      <c r="I76" s="134">
        <v>0</v>
      </c>
      <c r="J76" s="134">
        <v>0</v>
      </c>
      <c r="K76" s="134" t="s">
        <v>2474</v>
      </c>
      <c r="L76">
        <v>0</v>
      </c>
      <c r="M76" t="b">
        <v>0</v>
      </c>
      <c r="N76" t="s">
        <v>2474</v>
      </c>
    </row>
    <row r="77" spans="1:14" hidden="1" x14ac:dyDescent="0.25">
      <c r="A77" s="23" t="s">
        <v>2123</v>
      </c>
      <c r="B77" s="23" t="s">
        <v>2124</v>
      </c>
      <c r="C77" s="23" t="s">
        <v>2474</v>
      </c>
      <c r="D77" s="121">
        <v>1</v>
      </c>
      <c r="E77" s="121" t="s">
        <v>2474</v>
      </c>
      <c r="F77" t="s">
        <v>198</v>
      </c>
      <c r="G77" s="11" t="s">
        <v>2122</v>
      </c>
      <c r="H77" s="134">
        <v>0</v>
      </c>
      <c r="I77" s="134">
        <v>0</v>
      </c>
      <c r="J77" s="134">
        <v>10000</v>
      </c>
      <c r="K77" s="134" t="s">
        <v>2474</v>
      </c>
      <c r="L77">
        <v>0</v>
      </c>
      <c r="M77" t="b">
        <v>0</v>
      </c>
      <c r="N77" t="s">
        <v>2474</v>
      </c>
    </row>
    <row r="78" spans="1:14" hidden="1" x14ac:dyDescent="0.25">
      <c r="A78" s="23" t="s">
        <v>2123</v>
      </c>
      <c r="B78" s="23" t="s">
        <v>2124</v>
      </c>
      <c r="C78" s="23" t="s">
        <v>2474</v>
      </c>
      <c r="D78" s="121">
        <v>1</v>
      </c>
      <c r="E78" s="121" t="s">
        <v>2474</v>
      </c>
      <c r="F78" t="s">
        <v>198</v>
      </c>
      <c r="G78" s="11" t="s">
        <v>2122</v>
      </c>
      <c r="H78" s="134">
        <v>0</v>
      </c>
      <c r="I78" s="134">
        <v>0</v>
      </c>
      <c r="J78" s="134">
        <v>7500</v>
      </c>
      <c r="K78" s="134" t="s">
        <v>2474</v>
      </c>
      <c r="L78">
        <v>0</v>
      </c>
      <c r="M78" t="b">
        <v>0</v>
      </c>
      <c r="N78" t="s">
        <v>2474</v>
      </c>
    </row>
    <row r="79" spans="1:14" hidden="1" x14ac:dyDescent="0.25">
      <c r="A79" s="23" t="s">
        <v>2123</v>
      </c>
      <c r="B79" s="23" t="s">
        <v>2124</v>
      </c>
      <c r="C79" s="23" t="s">
        <v>2474</v>
      </c>
      <c r="D79" s="121">
        <v>1</v>
      </c>
      <c r="E79" s="121" t="s">
        <v>2474</v>
      </c>
      <c r="F79" t="s">
        <v>198</v>
      </c>
      <c r="G79" s="11" t="s">
        <v>2122</v>
      </c>
      <c r="H79" s="134">
        <v>0</v>
      </c>
      <c r="I79" s="134">
        <v>0</v>
      </c>
      <c r="J79" s="134">
        <v>2500</v>
      </c>
      <c r="K79" s="134" t="s">
        <v>2474</v>
      </c>
      <c r="L79">
        <v>0</v>
      </c>
      <c r="M79" t="b">
        <v>0</v>
      </c>
      <c r="N79" t="s">
        <v>2474</v>
      </c>
    </row>
    <row r="80" spans="1:14" hidden="1" x14ac:dyDescent="0.25">
      <c r="A80" s="23" t="s">
        <v>2123</v>
      </c>
      <c r="B80" s="23" t="s">
        <v>2124</v>
      </c>
      <c r="C80" s="23" t="s">
        <v>2474</v>
      </c>
      <c r="D80" s="121">
        <v>1</v>
      </c>
      <c r="E80" s="121" t="s">
        <v>2474</v>
      </c>
      <c r="F80" t="s">
        <v>198</v>
      </c>
      <c r="G80" s="11" t="s">
        <v>2122</v>
      </c>
      <c r="H80" s="134">
        <v>0</v>
      </c>
      <c r="I80" s="134">
        <v>0</v>
      </c>
      <c r="J80" s="134">
        <v>5000</v>
      </c>
      <c r="K80" s="134" t="s">
        <v>2474</v>
      </c>
      <c r="L80">
        <v>0</v>
      </c>
      <c r="M80" t="b">
        <v>0</v>
      </c>
      <c r="N80" t="s">
        <v>2474</v>
      </c>
    </row>
    <row r="81" spans="1:14" hidden="1" x14ac:dyDescent="0.25">
      <c r="A81" s="23" t="s">
        <v>2123</v>
      </c>
      <c r="B81" s="23" t="s">
        <v>2124</v>
      </c>
      <c r="C81" s="23" t="s">
        <v>2474</v>
      </c>
      <c r="D81" s="121">
        <v>1</v>
      </c>
      <c r="E81" s="121" t="s">
        <v>2474</v>
      </c>
      <c r="F81" t="s">
        <v>198</v>
      </c>
      <c r="G81" s="11" t="s">
        <v>2122</v>
      </c>
      <c r="H81" s="134">
        <v>0</v>
      </c>
      <c r="I81" s="134">
        <v>0</v>
      </c>
      <c r="J81" s="134">
        <v>3000</v>
      </c>
      <c r="K81" s="134" t="s">
        <v>2474</v>
      </c>
      <c r="L81">
        <v>0</v>
      </c>
      <c r="M81" t="b">
        <v>0</v>
      </c>
      <c r="N81" t="s">
        <v>2474</v>
      </c>
    </row>
    <row r="82" spans="1:14" hidden="1" x14ac:dyDescent="0.25">
      <c r="A82" s="23" t="s">
        <v>2123</v>
      </c>
      <c r="B82" s="23" t="s">
        <v>2124</v>
      </c>
      <c r="C82" s="23" t="s">
        <v>2474</v>
      </c>
      <c r="D82" s="121">
        <v>1</v>
      </c>
      <c r="E82" s="121" t="s">
        <v>2474</v>
      </c>
      <c r="F82" t="s">
        <v>198</v>
      </c>
      <c r="G82" s="11" t="s">
        <v>2122</v>
      </c>
      <c r="H82" s="134">
        <v>0</v>
      </c>
      <c r="I82" s="134">
        <v>0</v>
      </c>
      <c r="J82" s="134">
        <v>1000</v>
      </c>
      <c r="K82" s="134" t="s">
        <v>2474</v>
      </c>
      <c r="L82">
        <v>0</v>
      </c>
      <c r="M82" t="b">
        <v>0</v>
      </c>
      <c r="N82" t="s">
        <v>2474</v>
      </c>
    </row>
    <row r="83" spans="1:14" hidden="1" x14ac:dyDescent="0.25">
      <c r="A83" s="23" t="s">
        <v>2123</v>
      </c>
      <c r="B83" s="23" t="s">
        <v>2124</v>
      </c>
      <c r="C83" s="23" t="s">
        <v>2474</v>
      </c>
      <c r="D83" s="121">
        <v>1</v>
      </c>
      <c r="E83" s="121" t="s">
        <v>2474</v>
      </c>
      <c r="F83" t="s">
        <v>198</v>
      </c>
      <c r="G83" s="11" t="s">
        <v>2122</v>
      </c>
      <c r="H83" s="134">
        <v>0</v>
      </c>
      <c r="I83" s="134">
        <v>0</v>
      </c>
      <c r="J83" s="134">
        <v>1000</v>
      </c>
      <c r="K83" s="134" t="s">
        <v>2474</v>
      </c>
      <c r="L83">
        <v>0</v>
      </c>
      <c r="M83" t="b">
        <v>0</v>
      </c>
      <c r="N83" t="s">
        <v>2474</v>
      </c>
    </row>
    <row r="84" spans="1:14" hidden="1" x14ac:dyDescent="0.25">
      <c r="A84" s="23" t="s">
        <v>2123</v>
      </c>
      <c r="B84" s="23" t="s">
        <v>2124</v>
      </c>
      <c r="C84" s="23" t="s">
        <v>2474</v>
      </c>
      <c r="D84" s="121">
        <v>1</v>
      </c>
      <c r="E84" s="121" t="s">
        <v>2474</v>
      </c>
      <c r="F84" t="s">
        <v>198</v>
      </c>
      <c r="G84" s="11" t="s">
        <v>2122</v>
      </c>
      <c r="H84" s="134">
        <v>0</v>
      </c>
      <c r="I84" s="134">
        <v>0</v>
      </c>
      <c r="J84" s="134">
        <v>2500</v>
      </c>
      <c r="K84" s="134" t="s">
        <v>2474</v>
      </c>
      <c r="L84">
        <v>0</v>
      </c>
      <c r="M84" t="b">
        <v>0</v>
      </c>
      <c r="N84" t="s">
        <v>2474</v>
      </c>
    </row>
    <row r="85" spans="1:14" hidden="1" x14ac:dyDescent="0.25">
      <c r="A85" s="23" t="s">
        <v>2123</v>
      </c>
      <c r="B85" s="23" t="s">
        <v>2124</v>
      </c>
      <c r="C85" s="23" t="s">
        <v>2474</v>
      </c>
      <c r="D85" s="121">
        <v>1</v>
      </c>
      <c r="E85" s="121" t="s">
        <v>2474</v>
      </c>
      <c r="F85" t="s">
        <v>198</v>
      </c>
      <c r="G85" s="11" t="s">
        <v>2122</v>
      </c>
      <c r="H85" s="134">
        <v>0</v>
      </c>
      <c r="I85" s="134">
        <v>0</v>
      </c>
      <c r="J85" s="134">
        <v>1000</v>
      </c>
      <c r="K85" s="134" t="s">
        <v>2474</v>
      </c>
      <c r="L85">
        <v>0</v>
      </c>
      <c r="M85" t="b">
        <v>0</v>
      </c>
      <c r="N85" t="s">
        <v>2474</v>
      </c>
    </row>
    <row r="86" spans="1:14" hidden="1" x14ac:dyDescent="0.25">
      <c r="A86" s="23" t="s">
        <v>2123</v>
      </c>
      <c r="B86" s="23" t="s">
        <v>2124</v>
      </c>
      <c r="C86" s="23" t="s">
        <v>2474</v>
      </c>
      <c r="D86" s="121">
        <v>1</v>
      </c>
      <c r="E86" s="121" t="s">
        <v>2474</v>
      </c>
      <c r="F86" t="s">
        <v>198</v>
      </c>
      <c r="G86" s="11" t="s">
        <v>2122</v>
      </c>
      <c r="H86" s="134">
        <v>0</v>
      </c>
      <c r="I86" s="134">
        <v>0</v>
      </c>
      <c r="J86" s="134">
        <v>2500</v>
      </c>
      <c r="K86" s="134" t="s">
        <v>2474</v>
      </c>
      <c r="L86">
        <v>0</v>
      </c>
      <c r="M86" t="b">
        <v>0</v>
      </c>
      <c r="N86" t="s">
        <v>2474</v>
      </c>
    </row>
    <row r="87" spans="1:14" hidden="1" x14ac:dyDescent="0.25">
      <c r="A87" s="23" t="s">
        <v>2123</v>
      </c>
      <c r="B87" s="23" t="s">
        <v>2124</v>
      </c>
      <c r="C87" s="23" t="s">
        <v>2474</v>
      </c>
      <c r="D87" s="121">
        <v>1</v>
      </c>
      <c r="E87" s="121" t="s">
        <v>2474</v>
      </c>
      <c r="F87" t="s">
        <v>198</v>
      </c>
      <c r="G87" s="11" t="s">
        <v>2122</v>
      </c>
      <c r="H87" s="134">
        <v>0</v>
      </c>
      <c r="I87" s="134">
        <v>0</v>
      </c>
      <c r="J87" s="134">
        <v>1000</v>
      </c>
      <c r="K87" s="134" t="s">
        <v>2474</v>
      </c>
      <c r="L87">
        <v>0</v>
      </c>
      <c r="M87" t="b">
        <v>0</v>
      </c>
      <c r="N87" t="s">
        <v>2474</v>
      </c>
    </row>
    <row r="88" spans="1:14" hidden="1" x14ac:dyDescent="0.25">
      <c r="A88" s="23" t="s">
        <v>2123</v>
      </c>
      <c r="B88" s="23" t="s">
        <v>2124</v>
      </c>
      <c r="C88" s="23" t="s">
        <v>2474</v>
      </c>
      <c r="D88" s="121">
        <v>1</v>
      </c>
      <c r="E88" s="121" t="s">
        <v>2474</v>
      </c>
      <c r="F88" t="s">
        <v>198</v>
      </c>
      <c r="G88" s="11" t="s">
        <v>2122</v>
      </c>
      <c r="H88" s="134">
        <v>0</v>
      </c>
      <c r="I88" s="134">
        <v>0</v>
      </c>
      <c r="J88" s="134">
        <v>1500</v>
      </c>
      <c r="K88" s="134" t="s">
        <v>2474</v>
      </c>
      <c r="L88">
        <v>0</v>
      </c>
      <c r="M88" t="b">
        <v>0</v>
      </c>
      <c r="N88" t="s">
        <v>2474</v>
      </c>
    </row>
    <row r="89" spans="1:14" hidden="1" x14ac:dyDescent="0.25">
      <c r="A89" s="23" t="s">
        <v>2123</v>
      </c>
      <c r="B89" s="23" t="s">
        <v>2124</v>
      </c>
      <c r="C89" s="23" t="s">
        <v>2474</v>
      </c>
      <c r="D89" s="121">
        <v>1</v>
      </c>
      <c r="E89" s="121" t="s">
        <v>2474</v>
      </c>
      <c r="F89" t="s">
        <v>198</v>
      </c>
      <c r="G89" s="11" t="s">
        <v>2122</v>
      </c>
      <c r="H89" s="134">
        <v>0</v>
      </c>
      <c r="I89" s="134">
        <v>0</v>
      </c>
      <c r="J89" s="134">
        <v>0</v>
      </c>
      <c r="K89" s="134" t="s">
        <v>2474</v>
      </c>
      <c r="L89">
        <v>0</v>
      </c>
      <c r="M89" t="b">
        <v>0</v>
      </c>
      <c r="N89" t="s">
        <v>2474</v>
      </c>
    </row>
    <row r="90" spans="1:14" hidden="1" x14ac:dyDescent="0.25">
      <c r="A90" s="23" t="s">
        <v>2207</v>
      </c>
      <c r="B90" s="23" t="s">
        <v>2124</v>
      </c>
      <c r="C90" s="23" t="s">
        <v>2474</v>
      </c>
      <c r="D90" s="121">
        <v>1</v>
      </c>
      <c r="E90" s="121" t="s">
        <v>2474</v>
      </c>
      <c r="F90" t="s">
        <v>198</v>
      </c>
      <c r="G90" s="11" t="s">
        <v>2122</v>
      </c>
      <c r="H90" s="134">
        <v>0</v>
      </c>
      <c r="I90" s="134">
        <v>0</v>
      </c>
      <c r="J90" s="134">
        <v>12500</v>
      </c>
      <c r="K90" s="134" t="s">
        <v>2474</v>
      </c>
      <c r="L90">
        <v>0</v>
      </c>
      <c r="M90" t="b">
        <v>0</v>
      </c>
      <c r="N90" t="s">
        <v>2474</v>
      </c>
    </row>
    <row r="91" spans="1:14" hidden="1" x14ac:dyDescent="0.25">
      <c r="A91" s="23" t="s">
        <v>2207</v>
      </c>
      <c r="B91" s="23" t="s">
        <v>2124</v>
      </c>
      <c r="C91" s="23" t="s">
        <v>2474</v>
      </c>
      <c r="D91" s="121">
        <v>1</v>
      </c>
      <c r="E91" s="121" t="s">
        <v>2474</v>
      </c>
      <c r="F91" t="s">
        <v>198</v>
      </c>
      <c r="G91" s="11" t="s">
        <v>2122</v>
      </c>
      <c r="H91" s="134">
        <v>0</v>
      </c>
      <c r="I91" s="134">
        <v>0</v>
      </c>
      <c r="J91" s="134">
        <v>0</v>
      </c>
      <c r="K91" s="134" t="s">
        <v>2474</v>
      </c>
      <c r="L91">
        <v>0</v>
      </c>
      <c r="M91" t="b">
        <v>0</v>
      </c>
      <c r="N91" t="s">
        <v>2474</v>
      </c>
    </row>
    <row r="92" spans="1:14" hidden="1" x14ac:dyDescent="0.25">
      <c r="A92" s="23" t="s">
        <v>2207</v>
      </c>
      <c r="B92" s="23" t="s">
        <v>2124</v>
      </c>
      <c r="C92" s="23" t="s">
        <v>2474</v>
      </c>
      <c r="D92" s="121">
        <v>0</v>
      </c>
      <c r="E92" s="121" t="s">
        <v>2474</v>
      </c>
      <c r="F92" t="s">
        <v>198</v>
      </c>
      <c r="G92" s="11" t="s">
        <v>2122</v>
      </c>
      <c r="H92" s="134">
        <v>0</v>
      </c>
      <c r="I92" s="134">
        <v>0</v>
      </c>
      <c r="J92" s="134">
        <v>0</v>
      </c>
      <c r="K92" s="134" t="s">
        <v>2474</v>
      </c>
      <c r="L92">
        <v>0</v>
      </c>
      <c r="M92" t="b">
        <v>0</v>
      </c>
      <c r="N92" t="s">
        <v>2474</v>
      </c>
    </row>
    <row r="93" spans="1:14" hidden="1" x14ac:dyDescent="0.25">
      <c r="A93" s="23" t="s">
        <v>2207</v>
      </c>
      <c r="B93" s="23" t="s">
        <v>2124</v>
      </c>
      <c r="C93" s="23" t="s">
        <v>2474</v>
      </c>
      <c r="D93" s="121">
        <v>0</v>
      </c>
      <c r="E93" s="121" t="s">
        <v>2474</v>
      </c>
      <c r="F93" t="s">
        <v>198</v>
      </c>
      <c r="G93" s="11" t="s">
        <v>2122</v>
      </c>
      <c r="H93" s="134">
        <v>0</v>
      </c>
      <c r="I93" s="134">
        <v>0</v>
      </c>
      <c r="J93" s="134">
        <v>0</v>
      </c>
      <c r="K93" s="134" t="s">
        <v>2474</v>
      </c>
      <c r="L93">
        <v>0</v>
      </c>
      <c r="M93" t="b">
        <v>0</v>
      </c>
      <c r="N93" t="s">
        <v>2474</v>
      </c>
    </row>
    <row r="94" spans="1:14" hidden="1" x14ac:dyDescent="0.25">
      <c r="A94" s="23" t="s">
        <v>2207</v>
      </c>
      <c r="B94" s="23" t="s">
        <v>2124</v>
      </c>
      <c r="C94" s="23" t="s">
        <v>2474</v>
      </c>
      <c r="D94" s="121">
        <v>0</v>
      </c>
      <c r="E94" s="121" t="s">
        <v>2474</v>
      </c>
      <c r="F94" t="s">
        <v>198</v>
      </c>
      <c r="G94" s="11" t="s">
        <v>2122</v>
      </c>
      <c r="H94" s="134">
        <v>0</v>
      </c>
      <c r="I94" s="134">
        <v>0</v>
      </c>
      <c r="J94" s="134">
        <v>0</v>
      </c>
      <c r="K94" s="134" t="s">
        <v>2474</v>
      </c>
      <c r="L94">
        <v>0</v>
      </c>
      <c r="M94" t="b">
        <v>0</v>
      </c>
      <c r="N94" t="s">
        <v>2474</v>
      </c>
    </row>
    <row r="95" spans="1:14" hidden="1" x14ac:dyDescent="0.25">
      <c r="A95" s="23" t="s">
        <v>2207</v>
      </c>
      <c r="B95" s="23" t="s">
        <v>2124</v>
      </c>
      <c r="C95" s="23" t="s">
        <v>2474</v>
      </c>
      <c r="D95" s="121">
        <v>0</v>
      </c>
      <c r="E95" s="121" t="s">
        <v>2474</v>
      </c>
      <c r="F95" t="s">
        <v>198</v>
      </c>
      <c r="G95" s="11" t="s">
        <v>2122</v>
      </c>
      <c r="H95" s="134">
        <v>0</v>
      </c>
      <c r="I95" s="134">
        <v>0</v>
      </c>
      <c r="J95" s="134">
        <v>0</v>
      </c>
      <c r="K95" s="134" t="s">
        <v>2474</v>
      </c>
      <c r="L95">
        <v>0</v>
      </c>
      <c r="M95" t="b">
        <v>0</v>
      </c>
      <c r="N95" t="s">
        <v>2474</v>
      </c>
    </row>
    <row r="96" spans="1:14" hidden="1" x14ac:dyDescent="0.25">
      <c r="A96" s="23" t="s">
        <v>2207</v>
      </c>
      <c r="B96" s="23" t="s">
        <v>2124</v>
      </c>
      <c r="C96" s="23" t="s">
        <v>2474</v>
      </c>
      <c r="D96" s="121">
        <v>0</v>
      </c>
      <c r="E96" s="121" t="s">
        <v>2474</v>
      </c>
      <c r="F96" t="s">
        <v>198</v>
      </c>
      <c r="G96" s="11" t="s">
        <v>2122</v>
      </c>
      <c r="H96" s="134">
        <v>0</v>
      </c>
      <c r="I96" s="134">
        <v>0</v>
      </c>
      <c r="J96" s="134">
        <v>0</v>
      </c>
      <c r="K96" s="134" t="s">
        <v>2474</v>
      </c>
      <c r="L96">
        <v>0</v>
      </c>
      <c r="M96" t="b">
        <v>0</v>
      </c>
      <c r="N96" t="s">
        <v>2474</v>
      </c>
    </row>
    <row r="97" spans="1:14" hidden="1" x14ac:dyDescent="0.25">
      <c r="A97" s="23" t="s">
        <v>2207</v>
      </c>
      <c r="B97" s="23" t="s">
        <v>2124</v>
      </c>
      <c r="C97" s="23" t="s">
        <v>2474</v>
      </c>
      <c r="D97" s="121">
        <v>1</v>
      </c>
      <c r="E97" s="121" t="s">
        <v>2474</v>
      </c>
      <c r="F97" t="s">
        <v>198</v>
      </c>
      <c r="G97" s="11" t="s">
        <v>2122</v>
      </c>
      <c r="H97" s="134">
        <v>0</v>
      </c>
      <c r="I97" s="134">
        <v>0</v>
      </c>
      <c r="J97" s="134">
        <v>3000</v>
      </c>
      <c r="K97" s="134" t="s">
        <v>2474</v>
      </c>
      <c r="L97">
        <v>0</v>
      </c>
      <c r="M97" t="b">
        <v>0</v>
      </c>
      <c r="N97" t="s">
        <v>2474</v>
      </c>
    </row>
    <row r="98" spans="1:14" hidden="1" x14ac:dyDescent="0.25">
      <c r="A98" s="23" t="s">
        <v>2207</v>
      </c>
      <c r="B98" s="23" t="s">
        <v>2124</v>
      </c>
      <c r="C98" s="23" t="s">
        <v>2474</v>
      </c>
      <c r="D98" s="121">
        <v>1</v>
      </c>
      <c r="E98" s="121" t="s">
        <v>2474</v>
      </c>
      <c r="F98" t="s">
        <v>198</v>
      </c>
      <c r="G98" s="11" t="s">
        <v>2122</v>
      </c>
      <c r="H98" s="134">
        <v>0</v>
      </c>
      <c r="I98" s="134">
        <v>0</v>
      </c>
      <c r="J98" s="134">
        <v>0</v>
      </c>
      <c r="K98" s="134" t="s">
        <v>2474</v>
      </c>
      <c r="L98">
        <v>0</v>
      </c>
      <c r="M98" t="b">
        <v>0</v>
      </c>
      <c r="N98" t="s">
        <v>2474</v>
      </c>
    </row>
    <row r="99" spans="1:14" hidden="1" x14ac:dyDescent="0.25">
      <c r="A99" s="23" t="s">
        <v>2207</v>
      </c>
      <c r="B99" s="23" t="s">
        <v>2124</v>
      </c>
      <c r="C99" s="23" t="s">
        <v>2474</v>
      </c>
      <c r="D99" s="121">
        <v>0</v>
      </c>
      <c r="E99" s="121" t="s">
        <v>2474</v>
      </c>
      <c r="F99" t="s">
        <v>198</v>
      </c>
      <c r="G99" s="11" t="s">
        <v>2122</v>
      </c>
      <c r="H99" s="134">
        <v>0</v>
      </c>
      <c r="I99" s="134">
        <v>0</v>
      </c>
      <c r="J99" s="134">
        <v>0</v>
      </c>
      <c r="K99" s="134" t="s">
        <v>2474</v>
      </c>
      <c r="L99">
        <v>0</v>
      </c>
      <c r="M99" t="b">
        <v>0</v>
      </c>
      <c r="N99" t="s">
        <v>2474</v>
      </c>
    </row>
    <row r="100" spans="1:14" hidden="1" x14ac:dyDescent="0.25">
      <c r="A100" s="23" t="s">
        <v>2207</v>
      </c>
      <c r="B100" s="23" t="s">
        <v>2124</v>
      </c>
      <c r="C100" s="23" t="s">
        <v>2474</v>
      </c>
      <c r="D100" s="121">
        <v>1</v>
      </c>
      <c r="E100" s="121" t="s">
        <v>2474</v>
      </c>
      <c r="F100" t="s">
        <v>198</v>
      </c>
      <c r="G100" s="11" t="s">
        <v>2122</v>
      </c>
      <c r="H100" s="134">
        <v>0</v>
      </c>
      <c r="I100" s="134">
        <v>0</v>
      </c>
      <c r="J100" s="134">
        <v>145</v>
      </c>
      <c r="K100" s="134" t="s">
        <v>2474</v>
      </c>
      <c r="L100">
        <v>0</v>
      </c>
      <c r="M100" t="b">
        <v>0</v>
      </c>
      <c r="N100" t="s">
        <v>2474</v>
      </c>
    </row>
    <row r="101" spans="1:14" hidden="1" x14ac:dyDescent="0.25">
      <c r="A101" s="23" t="s">
        <v>2207</v>
      </c>
      <c r="B101" s="23" t="s">
        <v>2124</v>
      </c>
      <c r="C101" s="23" t="s">
        <v>2474</v>
      </c>
      <c r="D101" s="121">
        <v>1</v>
      </c>
      <c r="E101" s="121" t="s">
        <v>2474</v>
      </c>
      <c r="F101" t="s">
        <v>198</v>
      </c>
      <c r="G101" s="11" t="s">
        <v>2122</v>
      </c>
      <c r="H101" s="134">
        <v>0</v>
      </c>
      <c r="I101" s="134">
        <v>0</v>
      </c>
      <c r="J101" s="134">
        <v>0</v>
      </c>
      <c r="K101" s="134" t="s">
        <v>2474</v>
      </c>
      <c r="L101">
        <v>0</v>
      </c>
      <c r="M101" t="b">
        <v>0</v>
      </c>
      <c r="N101" t="s">
        <v>2474</v>
      </c>
    </row>
    <row r="102" spans="1:14" hidden="1" x14ac:dyDescent="0.25">
      <c r="A102" s="23" t="s">
        <v>2207</v>
      </c>
      <c r="B102" s="23" t="s">
        <v>2124</v>
      </c>
      <c r="C102" s="23" t="s">
        <v>2474</v>
      </c>
      <c r="D102" s="121">
        <v>1</v>
      </c>
      <c r="E102" s="121" t="s">
        <v>2474</v>
      </c>
      <c r="F102" t="s">
        <v>198</v>
      </c>
      <c r="G102" s="11" t="s">
        <v>2122</v>
      </c>
      <c r="H102" s="134">
        <v>0</v>
      </c>
      <c r="I102" s="134">
        <v>0</v>
      </c>
      <c r="J102" s="134">
        <v>500</v>
      </c>
      <c r="K102" s="134" t="s">
        <v>2474</v>
      </c>
      <c r="L102">
        <v>0</v>
      </c>
      <c r="M102" t="b">
        <v>0</v>
      </c>
      <c r="N102" t="s">
        <v>2474</v>
      </c>
    </row>
    <row r="103" spans="1:14" hidden="1" x14ac:dyDescent="0.25">
      <c r="A103" s="23" t="s">
        <v>2207</v>
      </c>
      <c r="B103" s="23" t="s">
        <v>2124</v>
      </c>
      <c r="C103" s="23" t="s">
        <v>2474</v>
      </c>
      <c r="D103" s="121">
        <v>3</v>
      </c>
      <c r="E103" s="121">
        <v>75</v>
      </c>
      <c r="F103" t="s">
        <v>198</v>
      </c>
      <c r="G103" s="11" t="s">
        <v>2122</v>
      </c>
      <c r="H103" s="134">
        <v>0</v>
      </c>
      <c r="I103" s="134">
        <v>0</v>
      </c>
      <c r="J103" s="134">
        <v>1500</v>
      </c>
      <c r="K103" s="134" t="s">
        <v>2474</v>
      </c>
      <c r="L103">
        <v>0</v>
      </c>
      <c r="M103" t="b">
        <v>0</v>
      </c>
      <c r="N103" t="s">
        <v>2474</v>
      </c>
    </row>
    <row r="104" spans="1:14" hidden="1" x14ac:dyDescent="0.25">
      <c r="A104" s="23" t="s">
        <v>2207</v>
      </c>
      <c r="B104" s="23" t="s">
        <v>2124</v>
      </c>
      <c r="C104" s="23" t="s">
        <v>2474</v>
      </c>
      <c r="D104" s="121">
        <v>0</v>
      </c>
      <c r="E104" s="121" t="s">
        <v>2474</v>
      </c>
      <c r="F104" t="s">
        <v>198</v>
      </c>
      <c r="G104" s="11" t="s">
        <v>2122</v>
      </c>
      <c r="H104" s="134">
        <v>0</v>
      </c>
      <c r="I104" s="134">
        <v>0</v>
      </c>
      <c r="J104" s="134">
        <v>200</v>
      </c>
      <c r="K104" s="134" t="s">
        <v>2474</v>
      </c>
      <c r="L104">
        <v>0</v>
      </c>
      <c r="M104" t="b">
        <v>0</v>
      </c>
      <c r="N104" t="s">
        <v>2474</v>
      </c>
    </row>
    <row r="105" spans="1:14" hidden="1" x14ac:dyDescent="0.25">
      <c r="A105" s="23" t="s">
        <v>2207</v>
      </c>
      <c r="B105" s="23" t="s">
        <v>2124</v>
      </c>
      <c r="C105" s="23" t="s">
        <v>2474</v>
      </c>
      <c r="D105" s="121">
        <v>0</v>
      </c>
      <c r="E105" s="121" t="s">
        <v>2474</v>
      </c>
      <c r="F105" t="s">
        <v>198</v>
      </c>
      <c r="G105" s="11" t="s">
        <v>2122</v>
      </c>
      <c r="H105" s="134">
        <v>0</v>
      </c>
      <c r="I105" s="134">
        <v>0</v>
      </c>
      <c r="J105" s="134">
        <v>0</v>
      </c>
      <c r="K105" s="134" t="s">
        <v>2474</v>
      </c>
      <c r="L105">
        <v>0</v>
      </c>
      <c r="M105" t="b">
        <v>0</v>
      </c>
      <c r="N105" t="s">
        <v>2474</v>
      </c>
    </row>
    <row r="106" spans="1:14" hidden="1" x14ac:dyDescent="0.25">
      <c r="A106" s="23" t="s">
        <v>2207</v>
      </c>
      <c r="B106" s="23" t="s">
        <v>2124</v>
      </c>
      <c r="C106" s="23" t="s">
        <v>2474</v>
      </c>
      <c r="D106" s="121">
        <v>1</v>
      </c>
      <c r="E106" s="121" t="s">
        <v>2474</v>
      </c>
      <c r="F106" t="s">
        <v>198</v>
      </c>
      <c r="G106" s="11" t="s">
        <v>2122</v>
      </c>
      <c r="H106" s="134">
        <v>0</v>
      </c>
      <c r="I106" s="134">
        <v>0</v>
      </c>
      <c r="J106" s="134">
        <v>4000</v>
      </c>
      <c r="K106" s="134" t="s">
        <v>2474</v>
      </c>
      <c r="L106">
        <v>0</v>
      </c>
      <c r="M106" t="b">
        <v>0</v>
      </c>
      <c r="N106" t="s">
        <v>2474</v>
      </c>
    </row>
    <row r="107" spans="1:14" hidden="1" x14ac:dyDescent="0.25">
      <c r="A107" s="23" t="s">
        <v>2207</v>
      </c>
      <c r="B107" s="23" t="s">
        <v>2124</v>
      </c>
      <c r="C107" s="23" t="s">
        <v>2474</v>
      </c>
      <c r="D107" s="121">
        <v>1</v>
      </c>
      <c r="E107" s="121" t="s">
        <v>2474</v>
      </c>
      <c r="F107" t="s">
        <v>198</v>
      </c>
      <c r="G107" s="11" t="s">
        <v>2122</v>
      </c>
      <c r="H107" s="134">
        <v>0</v>
      </c>
      <c r="I107" s="134">
        <v>0</v>
      </c>
      <c r="J107" s="134">
        <v>2000</v>
      </c>
      <c r="K107" s="134" t="s">
        <v>2474</v>
      </c>
      <c r="L107">
        <v>0</v>
      </c>
      <c r="M107" t="b">
        <v>0</v>
      </c>
      <c r="N107" t="s">
        <v>2474</v>
      </c>
    </row>
    <row r="108" spans="1:14" hidden="1" x14ac:dyDescent="0.25">
      <c r="A108" s="23" t="s">
        <v>2207</v>
      </c>
      <c r="B108" s="23" t="s">
        <v>2124</v>
      </c>
      <c r="C108" s="23" t="s">
        <v>2474</v>
      </c>
      <c r="D108" s="121">
        <v>1</v>
      </c>
      <c r="E108" s="121" t="s">
        <v>2474</v>
      </c>
      <c r="F108" t="s">
        <v>198</v>
      </c>
      <c r="G108" s="11" t="s">
        <v>2122</v>
      </c>
      <c r="H108" s="134">
        <v>0</v>
      </c>
      <c r="I108" s="134">
        <v>0</v>
      </c>
      <c r="J108" s="134">
        <v>250</v>
      </c>
      <c r="K108" s="134" t="s">
        <v>2474</v>
      </c>
      <c r="L108">
        <v>0</v>
      </c>
      <c r="M108" t="b">
        <v>0</v>
      </c>
      <c r="N108" t="s">
        <v>2474</v>
      </c>
    </row>
    <row r="109" spans="1:14" hidden="1" x14ac:dyDescent="0.25">
      <c r="A109" s="23" t="s">
        <v>2207</v>
      </c>
      <c r="B109" s="23" t="s">
        <v>2124</v>
      </c>
      <c r="C109" s="23" t="s">
        <v>2474</v>
      </c>
      <c r="D109" s="121">
        <v>0</v>
      </c>
      <c r="E109" s="121" t="s">
        <v>2474</v>
      </c>
      <c r="F109" t="s">
        <v>198</v>
      </c>
      <c r="G109" s="11" t="s">
        <v>2122</v>
      </c>
      <c r="H109" s="134">
        <v>0</v>
      </c>
      <c r="I109" s="134">
        <v>0</v>
      </c>
      <c r="J109" s="134">
        <v>0</v>
      </c>
      <c r="K109" s="134" t="s">
        <v>2474</v>
      </c>
      <c r="L109">
        <v>0</v>
      </c>
      <c r="M109" t="b">
        <v>0</v>
      </c>
      <c r="N109" t="s">
        <v>2474</v>
      </c>
    </row>
    <row r="110" spans="1:14" hidden="1" x14ac:dyDescent="0.25">
      <c r="A110" s="23" t="s">
        <v>2207</v>
      </c>
      <c r="B110" s="23" t="s">
        <v>2124</v>
      </c>
      <c r="C110" s="23" t="s">
        <v>2474</v>
      </c>
      <c r="D110" s="121">
        <v>0</v>
      </c>
      <c r="E110" s="121" t="s">
        <v>2474</v>
      </c>
      <c r="F110" t="s">
        <v>198</v>
      </c>
      <c r="G110" s="11" t="s">
        <v>2122</v>
      </c>
      <c r="H110" s="134">
        <v>0</v>
      </c>
      <c r="I110" s="134">
        <v>0</v>
      </c>
      <c r="J110" s="134">
        <v>0</v>
      </c>
      <c r="K110" s="134" t="s">
        <v>2474</v>
      </c>
      <c r="L110">
        <v>0</v>
      </c>
      <c r="M110" t="b">
        <v>0</v>
      </c>
      <c r="N110" t="s">
        <v>2474</v>
      </c>
    </row>
    <row r="111" spans="1:14" hidden="1" x14ac:dyDescent="0.25">
      <c r="A111" s="23" t="s">
        <v>2207</v>
      </c>
      <c r="B111" s="23" t="s">
        <v>2124</v>
      </c>
      <c r="C111" s="23" t="s">
        <v>2474</v>
      </c>
      <c r="D111" s="121">
        <v>1</v>
      </c>
      <c r="E111" s="121" t="s">
        <v>2474</v>
      </c>
      <c r="F111" t="s">
        <v>198</v>
      </c>
      <c r="G111" s="11" t="s">
        <v>2122</v>
      </c>
      <c r="H111" s="134">
        <v>0</v>
      </c>
      <c r="I111" s="134">
        <v>0</v>
      </c>
      <c r="J111" s="134">
        <v>1900</v>
      </c>
      <c r="K111" s="134" t="s">
        <v>2474</v>
      </c>
      <c r="L111">
        <v>0</v>
      </c>
      <c r="M111" t="b">
        <v>0</v>
      </c>
      <c r="N111" t="s">
        <v>2474</v>
      </c>
    </row>
    <row r="112" spans="1:14" hidden="1" x14ac:dyDescent="0.25">
      <c r="A112" s="23" t="s">
        <v>2207</v>
      </c>
      <c r="B112" s="23" t="s">
        <v>2124</v>
      </c>
      <c r="C112" s="23" t="s">
        <v>2474</v>
      </c>
      <c r="D112" s="121">
        <v>1</v>
      </c>
      <c r="E112" s="121" t="s">
        <v>2474</v>
      </c>
      <c r="F112" t="s">
        <v>198</v>
      </c>
      <c r="G112" s="11" t="s">
        <v>2122</v>
      </c>
      <c r="H112" s="134">
        <v>0</v>
      </c>
      <c r="I112" s="134">
        <v>0</v>
      </c>
      <c r="J112" s="134">
        <v>0</v>
      </c>
      <c r="K112" s="134" t="s">
        <v>2474</v>
      </c>
      <c r="L112">
        <v>0</v>
      </c>
      <c r="M112" t="b">
        <v>0</v>
      </c>
      <c r="N112" t="s">
        <v>2474</v>
      </c>
    </row>
    <row r="113" spans="1:14" hidden="1" x14ac:dyDescent="0.25">
      <c r="A113" s="23" t="s">
        <v>2207</v>
      </c>
      <c r="B113" s="23" t="s">
        <v>2124</v>
      </c>
      <c r="C113" s="23" t="s">
        <v>2474</v>
      </c>
      <c r="D113" s="121">
        <v>1</v>
      </c>
      <c r="E113" s="121" t="s">
        <v>2474</v>
      </c>
      <c r="F113" t="s">
        <v>198</v>
      </c>
      <c r="G113" s="11" t="s">
        <v>2122</v>
      </c>
      <c r="H113" s="134">
        <v>0</v>
      </c>
      <c r="I113" s="134">
        <v>0</v>
      </c>
      <c r="J113" s="134">
        <v>1500</v>
      </c>
      <c r="K113" s="134" t="s">
        <v>2474</v>
      </c>
      <c r="L113">
        <v>0</v>
      </c>
      <c r="M113" t="b">
        <v>0</v>
      </c>
      <c r="N113" t="s">
        <v>2474</v>
      </c>
    </row>
    <row r="114" spans="1:14" hidden="1" x14ac:dyDescent="0.25">
      <c r="A114" s="23" t="s">
        <v>2207</v>
      </c>
      <c r="B114" s="23" t="s">
        <v>2124</v>
      </c>
      <c r="C114" s="23" t="s">
        <v>2474</v>
      </c>
      <c r="D114" s="121">
        <v>1</v>
      </c>
      <c r="E114" s="121" t="s">
        <v>2474</v>
      </c>
      <c r="F114" t="s">
        <v>198</v>
      </c>
      <c r="G114" s="11" t="s">
        <v>2122</v>
      </c>
      <c r="H114" s="134">
        <v>0</v>
      </c>
      <c r="I114" s="134">
        <v>0</v>
      </c>
      <c r="J114" s="134">
        <v>0</v>
      </c>
      <c r="K114" s="134" t="s">
        <v>2474</v>
      </c>
      <c r="L114">
        <v>0</v>
      </c>
      <c r="M114" t="b">
        <v>0</v>
      </c>
      <c r="N114" t="s">
        <v>2474</v>
      </c>
    </row>
    <row r="115" spans="1:14" hidden="1" x14ac:dyDescent="0.25">
      <c r="A115" s="23" t="s">
        <v>2207</v>
      </c>
      <c r="B115" s="23" t="s">
        <v>2124</v>
      </c>
      <c r="C115" s="23" t="s">
        <v>2474</v>
      </c>
      <c r="D115" s="121">
        <v>0</v>
      </c>
      <c r="E115" s="121" t="s">
        <v>2474</v>
      </c>
      <c r="F115" t="s">
        <v>198</v>
      </c>
      <c r="G115" s="11" t="s">
        <v>2122</v>
      </c>
      <c r="H115" s="134">
        <v>0</v>
      </c>
      <c r="I115" s="134">
        <v>0</v>
      </c>
      <c r="J115" s="134">
        <v>0</v>
      </c>
      <c r="K115" s="134" t="s">
        <v>2474</v>
      </c>
      <c r="L115">
        <v>0</v>
      </c>
      <c r="M115" t="b">
        <v>0</v>
      </c>
      <c r="N115" t="s">
        <v>2474</v>
      </c>
    </row>
    <row r="116" spans="1:14" hidden="1" x14ac:dyDescent="0.25">
      <c r="A116" s="23" t="s">
        <v>2207</v>
      </c>
      <c r="B116" s="23" t="s">
        <v>2124</v>
      </c>
      <c r="C116" s="23" t="s">
        <v>2474</v>
      </c>
      <c r="D116" s="121">
        <v>1</v>
      </c>
      <c r="E116" s="121" t="s">
        <v>2474</v>
      </c>
      <c r="F116" t="s">
        <v>198</v>
      </c>
      <c r="G116" s="11" t="s">
        <v>2122</v>
      </c>
      <c r="H116" s="134">
        <v>0</v>
      </c>
      <c r="I116" s="134">
        <v>0</v>
      </c>
      <c r="J116" s="134">
        <v>3000</v>
      </c>
      <c r="K116" s="134" t="s">
        <v>2474</v>
      </c>
      <c r="L116">
        <v>0</v>
      </c>
      <c r="M116" t="b">
        <v>0</v>
      </c>
      <c r="N116" t="s">
        <v>2474</v>
      </c>
    </row>
    <row r="117" spans="1:14" hidden="1" x14ac:dyDescent="0.25">
      <c r="A117" s="23" t="s">
        <v>2207</v>
      </c>
      <c r="B117" s="23" t="s">
        <v>2124</v>
      </c>
      <c r="C117" s="23" t="s">
        <v>2474</v>
      </c>
      <c r="D117" s="121">
        <v>0</v>
      </c>
      <c r="E117" s="121" t="s">
        <v>2474</v>
      </c>
      <c r="F117" t="s">
        <v>198</v>
      </c>
      <c r="G117" s="11" t="s">
        <v>2122</v>
      </c>
      <c r="H117" s="134">
        <v>0</v>
      </c>
      <c r="I117" s="134">
        <v>0</v>
      </c>
      <c r="J117" s="134">
        <v>0</v>
      </c>
      <c r="K117" s="134" t="s">
        <v>2474</v>
      </c>
      <c r="L117">
        <v>0</v>
      </c>
      <c r="M117" t="b">
        <v>0</v>
      </c>
      <c r="N117" t="s">
        <v>2474</v>
      </c>
    </row>
    <row r="118" spans="1:14" hidden="1" x14ac:dyDescent="0.25">
      <c r="A118" s="23" t="s">
        <v>2207</v>
      </c>
      <c r="B118" s="23" t="s">
        <v>2124</v>
      </c>
      <c r="C118" s="23" t="s">
        <v>2474</v>
      </c>
      <c r="D118" s="121">
        <v>1</v>
      </c>
      <c r="E118" s="121" t="s">
        <v>2474</v>
      </c>
      <c r="F118" t="s">
        <v>198</v>
      </c>
      <c r="G118" s="11" t="s">
        <v>2122</v>
      </c>
      <c r="H118" s="134">
        <v>0</v>
      </c>
      <c r="I118" s="134">
        <v>0</v>
      </c>
      <c r="J118" s="134">
        <v>4500</v>
      </c>
      <c r="K118" s="134" t="s">
        <v>2474</v>
      </c>
      <c r="L118">
        <v>0</v>
      </c>
      <c r="M118" t="b">
        <v>0</v>
      </c>
      <c r="N118" t="s">
        <v>2474</v>
      </c>
    </row>
    <row r="119" spans="1:14" hidden="1" x14ac:dyDescent="0.25">
      <c r="A119" s="23" t="s">
        <v>2207</v>
      </c>
      <c r="B119" s="23" t="s">
        <v>2124</v>
      </c>
      <c r="C119" s="23" t="s">
        <v>2474</v>
      </c>
      <c r="D119" s="121">
        <v>0</v>
      </c>
      <c r="E119" s="121" t="s">
        <v>2474</v>
      </c>
      <c r="F119" t="s">
        <v>198</v>
      </c>
      <c r="G119" s="11" t="s">
        <v>2122</v>
      </c>
      <c r="H119" s="134">
        <v>0</v>
      </c>
      <c r="I119" s="134">
        <v>0</v>
      </c>
      <c r="J119" s="134">
        <v>0</v>
      </c>
      <c r="K119" s="134" t="s">
        <v>2474</v>
      </c>
      <c r="L119">
        <v>0</v>
      </c>
      <c r="M119" t="b">
        <v>0</v>
      </c>
      <c r="N119" t="s">
        <v>2474</v>
      </c>
    </row>
    <row r="120" spans="1:14" hidden="1" x14ac:dyDescent="0.25">
      <c r="A120" s="23" t="s">
        <v>2207</v>
      </c>
      <c r="B120" s="23" t="s">
        <v>2124</v>
      </c>
      <c r="C120" s="23" t="s">
        <v>2474</v>
      </c>
      <c r="D120" s="121">
        <v>0</v>
      </c>
      <c r="E120" s="121" t="s">
        <v>2474</v>
      </c>
      <c r="F120" t="s">
        <v>198</v>
      </c>
      <c r="G120" s="11" t="s">
        <v>2122</v>
      </c>
      <c r="H120" s="134">
        <v>0</v>
      </c>
      <c r="I120" s="134">
        <v>0</v>
      </c>
      <c r="J120" s="134">
        <v>0</v>
      </c>
      <c r="K120" s="134" t="s">
        <v>2474</v>
      </c>
      <c r="L120">
        <v>0</v>
      </c>
      <c r="M120" t="b">
        <v>0</v>
      </c>
      <c r="N120" t="s">
        <v>2474</v>
      </c>
    </row>
    <row r="121" spans="1:14" hidden="1" x14ac:dyDescent="0.25">
      <c r="A121" s="23" t="s">
        <v>2207</v>
      </c>
      <c r="B121" s="23" t="s">
        <v>2124</v>
      </c>
      <c r="C121" s="23" t="s">
        <v>2474</v>
      </c>
      <c r="D121" s="121">
        <v>0</v>
      </c>
      <c r="E121" s="121" t="s">
        <v>2474</v>
      </c>
      <c r="F121" t="s">
        <v>198</v>
      </c>
      <c r="G121" s="11" t="s">
        <v>2122</v>
      </c>
      <c r="H121" s="134">
        <v>0</v>
      </c>
      <c r="I121" s="134">
        <v>0</v>
      </c>
      <c r="J121" s="134">
        <v>0</v>
      </c>
      <c r="K121" s="134" t="s">
        <v>2474</v>
      </c>
      <c r="L121">
        <v>0</v>
      </c>
      <c r="M121" t="b">
        <v>0</v>
      </c>
      <c r="N121" t="s">
        <v>2474</v>
      </c>
    </row>
    <row r="122" spans="1:14" hidden="1" x14ac:dyDescent="0.25">
      <c r="A122" s="23" t="s">
        <v>2207</v>
      </c>
      <c r="B122" s="23" t="s">
        <v>2124</v>
      </c>
      <c r="C122" s="23" t="s">
        <v>2474</v>
      </c>
      <c r="D122" s="121">
        <v>1</v>
      </c>
      <c r="E122" s="121" t="s">
        <v>2474</v>
      </c>
      <c r="F122" t="s">
        <v>198</v>
      </c>
      <c r="G122" s="11" t="s">
        <v>2122</v>
      </c>
      <c r="H122" s="134">
        <v>0</v>
      </c>
      <c r="I122" s="134">
        <v>0</v>
      </c>
      <c r="J122" s="134">
        <v>16000</v>
      </c>
      <c r="K122" s="134" t="s">
        <v>2474</v>
      </c>
      <c r="L122">
        <v>0</v>
      </c>
      <c r="M122" t="b">
        <v>0</v>
      </c>
      <c r="N122" t="s">
        <v>2474</v>
      </c>
    </row>
    <row r="123" spans="1:14" hidden="1" x14ac:dyDescent="0.25">
      <c r="A123" s="23" t="s">
        <v>2207</v>
      </c>
      <c r="B123" s="23" t="s">
        <v>2124</v>
      </c>
      <c r="C123" s="23" t="s">
        <v>2474</v>
      </c>
      <c r="D123" s="121">
        <v>2</v>
      </c>
      <c r="E123" s="121" t="s">
        <v>2474</v>
      </c>
      <c r="F123" t="s">
        <v>198</v>
      </c>
      <c r="G123" s="11" t="s">
        <v>2122</v>
      </c>
      <c r="H123" s="134">
        <v>0</v>
      </c>
      <c r="I123" s="134">
        <v>0</v>
      </c>
      <c r="J123" s="134">
        <v>3000</v>
      </c>
      <c r="K123" s="134" t="s">
        <v>2474</v>
      </c>
      <c r="L123">
        <v>0</v>
      </c>
      <c r="M123" t="b">
        <v>0</v>
      </c>
      <c r="N123" t="s">
        <v>2474</v>
      </c>
    </row>
    <row r="124" spans="1:14" hidden="1" x14ac:dyDescent="0.25">
      <c r="A124" s="23" t="s">
        <v>2207</v>
      </c>
      <c r="B124" s="23" t="s">
        <v>2124</v>
      </c>
      <c r="C124" s="23" t="s">
        <v>2474</v>
      </c>
      <c r="D124" s="121">
        <v>1</v>
      </c>
      <c r="E124" s="121" t="s">
        <v>2474</v>
      </c>
      <c r="F124" t="s">
        <v>198</v>
      </c>
      <c r="G124" s="11" t="s">
        <v>2122</v>
      </c>
      <c r="H124" s="134">
        <v>0</v>
      </c>
      <c r="I124" s="134">
        <v>0</v>
      </c>
      <c r="J124" s="134">
        <v>5500</v>
      </c>
      <c r="K124" s="134" t="s">
        <v>2474</v>
      </c>
      <c r="L124">
        <v>0</v>
      </c>
      <c r="M124" t="b">
        <v>0</v>
      </c>
      <c r="N124" t="s">
        <v>2474</v>
      </c>
    </row>
    <row r="125" spans="1:14" hidden="1" x14ac:dyDescent="0.25">
      <c r="A125" s="23" t="s">
        <v>2207</v>
      </c>
      <c r="B125" s="23" t="s">
        <v>2124</v>
      </c>
      <c r="C125" s="23" t="s">
        <v>2474</v>
      </c>
      <c r="D125" s="121">
        <v>0</v>
      </c>
      <c r="E125" s="121" t="s">
        <v>2474</v>
      </c>
      <c r="F125" t="s">
        <v>198</v>
      </c>
      <c r="G125" s="11" t="s">
        <v>2122</v>
      </c>
      <c r="H125" s="134">
        <v>0</v>
      </c>
      <c r="I125" s="134">
        <v>0</v>
      </c>
      <c r="J125" s="134">
        <v>0</v>
      </c>
      <c r="K125" s="134" t="s">
        <v>2474</v>
      </c>
      <c r="L125">
        <v>0</v>
      </c>
      <c r="M125" t="b">
        <v>0</v>
      </c>
      <c r="N125" t="s">
        <v>2474</v>
      </c>
    </row>
    <row r="126" spans="1:14" hidden="1" x14ac:dyDescent="0.25">
      <c r="A126" s="23" t="s">
        <v>2207</v>
      </c>
      <c r="B126" s="23" t="s">
        <v>2124</v>
      </c>
      <c r="C126" s="23" t="s">
        <v>2474</v>
      </c>
      <c r="D126" s="121">
        <v>0</v>
      </c>
      <c r="E126" s="121" t="s">
        <v>2474</v>
      </c>
      <c r="F126" t="s">
        <v>198</v>
      </c>
      <c r="G126" s="11" t="s">
        <v>2122</v>
      </c>
      <c r="H126" s="134">
        <v>0</v>
      </c>
      <c r="I126" s="134">
        <v>0</v>
      </c>
      <c r="J126" s="134">
        <v>0</v>
      </c>
      <c r="K126" s="134" t="s">
        <v>2474</v>
      </c>
      <c r="L126">
        <v>0</v>
      </c>
      <c r="M126" t="b">
        <v>0</v>
      </c>
      <c r="N126" t="s">
        <v>2474</v>
      </c>
    </row>
    <row r="127" spans="1:14" hidden="1" x14ac:dyDescent="0.25">
      <c r="A127" s="23" t="s">
        <v>2207</v>
      </c>
      <c r="B127" s="23" t="s">
        <v>2124</v>
      </c>
      <c r="C127" s="23" t="s">
        <v>2474</v>
      </c>
      <c r="D127" s="121">
        <v>1</v>
      </c>
      <c r="E127" s="121" t="s">
        <v>2474</v>
      </c>
      <c r="F127" t="s">
        <v>198</v>
      </c>
      <c r="G127" s="11" t="s">
        <v>2122</v>
      </c>
      <c r="H127" s="134">
        <v>0</v>
      </c>
      <c r="I127" s="134">
        <v>0</v>
      </c>
      <c r="J127" s="134">
        <v>1500</v>
      </c>
      <c r="K127" s="134" t="s">
        <v>2474</v>
      </c>
      <c r="L127">
        <v>0</v>
      </c>
      <c r="M127" t="b">
        <v>0</v>
      </c>
      <c r="N127" t="s">
        <v>2474</v>
      </c>
    </row>
    <row r="128" spans="1:14" hidden="1" x14ac:dyDescent="0.25">
      <c r="A128" s="23" t="s">
        <v>2207</v>
      </c>
      <c r="B128" s="23" t="s">
        <v>2124</v>
      </c>
      <c r="C128" s="23" t="s">
        <v>2474</v>
      </c>
      <c r="D128" s="121">
        <v>0</v>
      </c>
      <c r="E128" s="121" t="s">
        <v>2474</v>
      </c>
      <c r="F128" t="s">
        <v>198</v>
      </c>
      <c r="G128" s="11" t="s">
        <v>2122</v>
      </c>
      <c r="H128" s="134">
        <v>0</v>
      </c>
      <c r="I128" s="134">
        <v>0</v>
      </c>
      <c r="J128" s="134">
        <v>0</v>
      </c>
      <c r="K128" s="134" t="s">
        <v>2474</v>
      </c>
      <c r="L128">
        <v>0</v>
      </c>
      <c r="M128" t="b">
        <v>0</v>
      </c>
      <c r="N128" t="s">
        <v>2474</v>
      </c>
    </row>
    <row r="129" spans="1:14" hidden="1" x14ac:dyDescent="0.25">
      <c r="A129" s="23" t="s">
        <v>2207</v>
      </c>
      <c r="B129" s="23" t="s">
        <v>2124</v>
      </c>
      <c r="C129" s="23" t="s">
        <v>2474</v>
      </c>
      <c r="D129" s="121">
        <v>1</v>
      </c>
      <c r="E129" s="121" t="s">
        <v>2474</v>
      </c>
      <c r="F129" t="s">
        <v>198</v>
      </c>
      <c r="G129" s="11" t="s">
        <v>2122</v>
      </c>
      <c r="H129" s="134">
        <v>0</v>
      </c>
      <c r="I129" s="134">
        <v>0</v>
      </c>
      <c r="J129" s="134">
        <v>1500</v>
      </c>
      <c r="K129" s="134" t="s">
        <v>2474</v>
      </c>
      <c r="L129">
        <v>0</v>
      </c>
      <c r="M129" t="b">
        <v>0</v>
      </c>
      <c r="N129" t="s">
        <v>2474</v>
      </c>
    </row>
    <row r="130" spans="1:14" hidden="1" x14ac:dyDescent="0.25">
      <c r="A130" s="23" t="s">
        <v>2207</v>
      </c>
      <c r="B130" s="23" t="s">
        <v>2124</v>
      </c>
      <c r="C130" s="23" t="s">
        <v>2474</v>
      </c>
      <c r="D130" s="121">
        <v>0</v>
      </c>
      <c r="E130" s="121" t="s">
        <v>2474</v>
      </c>
      <c r="F130" t="s">
        <v>198</v>
      </c>
      <c r="G130" s="11" t="s">
        <v>2122</v>
      </c>
      <c r="H130" s="134">
        <v>0</v>
      </c>
      <c r="I130" s="134">
        <v>0</v>
      </c>
      <c r="J130" s="134">
        <v>0</v>
      </c>
      <c r="K130" s="134" t="s">
        <v>2474</v>
      </c>
      <c r="L130">
        <v>0</v>
      </c>
      <c r="M130" t="b">
        <v>0</v>
      </c>
      <c r="N130" t="s">
        <v>2474</v>
      </c>
    </row>
    <row r="131" spans="1:14" hidden="1" x14ac:dyDescent="0.25">
      <c r="A131" s="23" t="s">
        <v>2207</v>
      </c>
      <c r="B131" s="23" t="s">
        <v>2124</v>
      </c>
      <c r="C131" s="23" t="s">
        <v>2474</v>
      </c>
      <c r="D131" s="121">
        <v>0</v>
      </c>
      <c r="E131" s="121" t="s">
        <v>2474</v>
      </c>
      <c r="F131" t="s">
        <v>198</v>
      </c>
      <c r="G131" s="11" t="s">
        <v>2122</v>
      </c>
      <c r="H131" s="134">
        <v>0</v>
      </c>
      <c r="I131" s="134">
        <v>0</v>
      </c>
      <c r="J131" s="134">
        <v>1000</v>
      </c>
      <c r="K131" s="134" t="s">
        <v>2474</v>
      </c>
      <c r="L131">
        <v>0</v>
      </c>
      <c r="M131" t="b">
        <v>0</v>
      </c>
      <c r="N131" t="s">
        <v>2474</v>
      </c>
    </row>
    <row r="132" spans="1:14" hidden="1" x14ac:dyDescent="0.25">
      <c r="A132" s="23" t="s">
        <v>2207</v>
      </c>
      <c r="B132" s="23" t="s">
        <v>2124</v>
      </c>
      <c r="C132" s="23" t="s">
        <v>2474</v>
      </c>
      <c r="D132" s="121">
        <v>0</v>
      </c>
      <c r="E132" s="121" t="s">
        <v>2474</v>
      </c>
      <c r="F132" t="s">
        <v>198</v>
      </c>
      <c r="G132" s="11" t="s">
        <v>2122</v>
      </c>
      <c r="H132" s="134">
        <v>0</v>
      </c>
      <c r="I132" s="134">
        <v>0</v>
      </c>
      <c r="J132" s="134">
        <v>0</v>
      </c>
      <c r="K132" s="134" t="s">
        <v>2474</v>
      </c>
      <c r="L132">
        <v>0</v>
      </c>
      <c r="M132" t="b">
        <v>0</v>
      </c>
      <c r="N132" t="s">
        <v>2474</v>
      </c>
    </row>
    <row r="133" spans="1:14" hidden="1" x14ac:dyDescent="0.25">
      <c r="A133" s="23" t="s">
        <v>2207</v>
      </c>
      <c r="B133" s="23" t="s">
        <v>2124</v>
      </c>
      <c r="C133" s="23" t="s">
        <v>2474</v>
      </c>
      <c r="D133" s="121">
        <v>0</v>
      </c>
      <c r="E133" s="121" t="s">
        <v>2474</v>
      </c>
      <c r="F133" t="s">
        <v>198</v>
      </c>
      <c r="G133" s="11" t="s">
        <v>2122</v>
      </c>
      <c r="H133" s="134">
        <v>0</v>
      </c>
      <c r="I133" s="134">
        <v>0</v>
      </c>
      <c r="J133" s="134">
        <v>0</v>
      </c>
      <c r="K133" s="134" t="s">
        <v>2474</v>
      </c>
      <c r="L133">
        <v>0</v>
      </c>
      <c r="M133" t="b">
        <v>0</v>
      </c>
      <c r="N133" t="s">
        <v>2474</v>
      </c>
    </row>
    <row r="134" spans="1:14" hidden="1" x14ac:dyDescent="0.25">
      <c r="A134" s="23" t="s">
        <v>2207</v>
      </c>
      <c r="B134" s="23" t="s">
        <v>2124</v>
      </c>
      <c r="C134" s="23" t="s">
        <v>2474</v>
      </c>
      <c r="D134" s="121">
        <v>1</v>
      </c>
      <c r="E134" s="121" t="s">
        <v>2474</v>
      </c>
      <c r="F134" t="s">
        <v>198</v>
      </c>
      <c r="G134" s="11" t="s">
        <v>2122</v>
      </c>
      <c r="H134" s="134">
        <v>0</v>
      </c>
      <c r="I134" s="134">
        <v>0</v>
      </c>
      <c r="J134" s="134">
        <v>600</v>
      </c>
      <c r="K134" s="134" t="s">
        <v>2474</v>
      </c>
      <c r="L134">
        <v>0</v>
      </c>
      <c r="M134" t="b">
        <v>0</v>
      </c>
      <c r="N134" t="s">
        <v>2474</v>
      </c>
    </row>
    <row r="135" spans="1:14" hidden="1" x14ac:dyDescent="0.25">
      <c r="A135" s="23" t="s">
        <v>2207</v>
      </c>
      <c r="B135" s="23" t="s">
        <v>2124</v>
      </c>
      <c r="C135" s="23" t="s">
        <v>2474</v>
      </c>
      <c r="D135" s="121">
        <v>1</v>
      </c>
      <c r="E135" s="121" t="s">
        <v>2474</v>
      </c>
      <c r="F135" t="s">
        <v>198</v>
      </c>
      <c r="G135" s="11" t="s">
        <v>2122</v>
      </c>
      <c r="H135" s="134">
        <v>0</v>
      </c>
      <c r="I135" s="134">
        <v>0</v>
      </c>
      <c r="J135" s="134">
        <v>1500</v>
      </c>
      <c r="K135" s="134" t="s">
        <v>2474</v>
      </c>
      <c r="L135">
        <v>0</v>
      </c>
      <c r="M135" t="b">
        <v>0</v>
      </c>
      <c r="N135" t="s">
        <v>2474</v>
      </c>
    </row>
    <row r="136" spans="1:14" hidden="1" x14ac:dyDescent="0.25">
      <c r="A136" s="23" t="s">
        <v>2207</v>
      </c>
      <c r="B136" s="23" t="s">
        <v>2124</v>
      </c>
      <c r="C136" s="23" t="s">
        <v>2474</v>
      </c>
      <c r="D136" s="121">
        <v>0</v>
      </c>
      <c r="E136" s="121" t="s">
        <v>2474</v>
      </c>
      <c r="F136" t="s">
        <v>198</v>
      </c>
      <c r="G136" s="11" t="s">
        <v>2122</v>
      </c>
      <c r="H136" s="134">
        <v>0</v>
      </c>
      <c r="I136" s="134">
        <v>0</v>
      </c>
      <c r="J136" s="134">
        <v>0</v>
      </c>
      <c r="K136" s="134" t="s">
        <v>2474</v>
      </c>
      <c r="L136">
        <v>0</v>
      </c>
      <c r="M136" t="b">
        <v>0</v>
      </c>
      <c r="N136" t="s">
        <v>2474</v>
      </c>
    </row>
    <row r="137" spans="1:14" hidden="1" x14ac:dyDescent="0.25">
      <c r="A137" s="23" t="s">
        <v>2207</v>
      </c>
      <c r="B137" s="23" t="s">
        <v>2124</v>
      </c>
      <c r="C137" s="23" t="s">
        <v>2474</v>
      </c>
      <c r="D137" s="121">
        <v>0</v>
      </c>
      <c r="E137" s="121" t="s">
        <v>2474</v>
      </c>
      <c r="F137" t="s">
        <v>198</v>
      </c>
      <c r="G137" s="11" t="s">
        <v>2122</v>
      </c>
      <c r="H137" s="134">
        <v>0</v>
      </c>
      <c r="I137" s="134">
        <v>0</v>
      </c>
      <c r="J137" s="134">
        <v>0</v>
      </c>
      <c r="K137" s="134" t="s">
        <v>2474</v>
      </c>
      <c r="L137">
        <v>0</v>
      </c>
      <c r="M137" t="b">
        <v>0</v>
      </c>
      <c r="N137" t="s">
        <v>2474</v>
      </c>
    </row>
    <row r="138" spans="1:14" hidden="1" x14ac:dyDescent="0.25">
      <c r="A138" s="23" t="s">
        <v>2207</v>
      </c>
      <c r="B138" s="23" t="s">
        <v>2124</v>
      </c>
      <c r="C138" s="23" t="s">
        <v>2474</v>
      </c>
      <c r="D138" s="121">
        <v>0</v>
      </c>
      <c r="E138" s="121" t="s">
        <v>2474</v>
      </c>
      <c r="F138" t="s">
        <v>198</v>
      </c>
      <c r="G138" s="11" t="s">
        <v>2122</v>
      </c>
      <c r="H138" s="134">
        <v>0</v>
      </c>
      <c r="I138" s="134">
        <v>0</v>
      </c>
      <c r="J138" s="134">
        <v>0</v>
      </c>
      <c r="K138" s="134" t="s">
        <v>2474</v>
      </c>
      <c r="L138">
        <v>0</v>
      </c>
      <c r="M138" t="b">
        <v>0</v>
      </c>
      <c r="N138" t="s">
        <v>2474</v>
      </c>
    </row>
    <row r="139" spans="1:14" hidden="1" x14ac:dyDescent="0.25">
      <c r="A139" s="23" t="s">
        <v>2207</v>
      </c>
      <c r="B139" s="23" t="s">
        <v>2124</v>
      </c>
      <c r="C139" s="23" t="s">
        <v>2474</v>
      </c>
      <c r="D139" s="121">
        <v>0</v>
      </c>
      <c r="E139" s="121" t="s">
        <v>2474</v>
      </c>
      <c r="F139" t="s">
        <v>198</v>
      </c>
      <c r="G139" s="11" t="s">
        <v>2122</v>
      </c>
      <c r="H139" s="134">
        <v>0</v>
      </c>
      <c r="I139" s="134">
        <v>0</v>
      </c>
      <c r="J139" s="134">
        <v>2500</v>
      </c>
      <c r="K139" s="134" t="s">
        <v>2474</v>
      </c>
      <c r="L139">
        <v>0</v>
      </c>
      <c r="M139" t="b">
        <v>0</v>
      </c>
      <c r="N139" t="s">
        <v>2474</v>
      </c>
    </row>
    <row r="140" spans="1:14" hidden="1" x14ac:dyDescent="0.25">
      <c r="A140" s="23" t="s">
        <v>2207</v>
      </c>
      <c r="B140" s="23" t="s">
        <v>2124</v>
      </c>
      <c r="C140" s="23" t="s">
        <v>2474</v>
      </c>
      <c r="D140" s="121">
        <v>1</v>
      </c>
      <c r="E140" s="121" t="s">
        <v>2474</v>
      </c>
      <c r="F140" t="s">
        <v>198</v>
      </c>
      <c r="G140" s="11" t="s">
        <v>2122</v>
      </c>
      <c r="H140" s="134">
        <v>0</v>
      </c>
      <c r="I140" s="134">
        <v>0</v>
      </c>
      <c r="J140" s="134">
        <v>500</v>
      </c>
      <c r="K140" s="134" t="s">
        <v>2474</v>
      </c>
      <c r="L140">
        <v>0</v>
      </c>
      <c r="M140" t="b">
        <v>0</v>
      </c>
      <c r="N140" t="s">
        <v>2474</v>
      </c>
    </row>
    <row r="141" spans="1:14" hidden="1" x14ac:dyDescent="0.25">
      <c r="A141" s="23" t="s">
        <v>2207</v>
      </c>
      <c r="B141" s="23" t="s">
        <v>2124</v>
      </c>
      <c r="C141" s="23" t="s">
        <v>2474</v>
      </c>
      <c r="D141" s="121">
        <v>0</v>
      </c>
      <c r="E141" s="121" t="s">
        <v>2474</v>
      </c>
      <c r="F141" t="s">
        <v>198</v>
      </c>
      <c r="G141" s="11" t="s">
        <v>2122</v>
      </c>
      <c r="H141" s="134">
        <v>0</v>
      </c>
      <c r="I141" s="134">
        <v>0</v>
      </c>
      <c r="J141" s="134">
        <v>0</v>
      </c>
      <c r="K141" s="134" t="s">
        <v>2474</v>
      </c>
      <c r="L141">
        <v>0</v>
      </c>
      <c r="M141" t="b">
        <v>0</v>
      </c>
      <c r="N141" t="s">
        <v>2474</v>
      </c>
    </row>
    <row r="142" spans="1:14" hidden="1" x14ac:dyDescent="0.25">
      <c r="A142" s="23" t="s">
        <v>2207</v>
      </c>
      <c r="B142" s="23" t="s">
        <v>2124</v>
      </c>
      <c r="C142" s="23" t="s">
        <v>2474</v>
      </c>
      <c r="D142" s="121">
        <v>0</v>
      </c>
      <c r="E142" s="121" t="s">
        <v>2474</v>
      </c>
      <c r="F142" t="s">
        <v>198</v>
      </c>
      <c r="G142" s="11" t="s">
        <v>2122</v>
      </c>
      <c r="H142" s="134">
        <v>0</v>
      </c>
      <c r="I142" s="134">
        <v>0</v>
      </c>
      <c r="J142" s="134">
        <v>4000</v>
      </c>
      <c r="K142" s="134" t="s">
        <v>2474</v>
      </c>
      <c r="L142">
        <v>0</v>
      </c>
      <c r="M142" t="b">
        <v>0</v>
      </c>
      <c r="N142" t="s">
        <v>2474</v>
      </c>
    </row>
    <row r="143" spans="1:14" hidden="1" x14ac:dyDescent="0.25">
      <c r="A143" s="23" t="s">
        <v>2207</v>
      </c>
      <c r="B143" s="23" t="s">
        <v>2124</v>
      </c>
      <c r="C143" s="23" t="s">
        <v>2474</v>
      </c>
      <c r="D143" s="121">
        <v>0</v>
      </c>
      <c r="E143" s="121" t="s">
        <v>2474</v>
      </c>
      <c r="F143" t="s">
        <v>198</v>
      </c>
      <c r="G143" s="11" t="s">
        <v>2122</v>
      </c>
      <c r="H143" s="134">
        <v>0</v>
      </c>
      <c r="I143" s="134">
        <v>0</v>
      </c>
      <c r="J143" s="134">
        <v>0</v>
      </c>
      <c r="K143" s="134" t="s">
        <v>2474</v>
      </c>
      <c r="L143">
        <v>0</v>
      </c>
      <c r="M143" t="b">
        <v>0</v>
      </c>
      <c r="N143" t="s">
        <v>2474</v>
      </c>
    </row>
    <row r="144" spans="1:14" hidden="1" x14ac:dyDescent="0.25">
      <c r="A144" s="23" t="s">
        <v>2207</v>
      </c>
      <c r="B144" s="23" t="s">
        <v>2124</v>
      </c>
      <c r="C144" s="23" t="s">
        <v>2474</v>
      </c>
      <c r="D144" s="121">
        <v>0</v>
      </c>
      <c r="E144" s="121" t="s">
        <v>2474</v>
      </c>
      <c r="F144" t="s">
        <v>198</v>
      </c>
      <c r="G144" s="11" t="s">
        <v>2122</v>
      </c>
      <c r="H144" s="134">
        <v>0</v>
      </c>
      <c r="I144" s="134">
        <v>0</v>
      </c>
      <c r="J144" s="134">
        <v>0</v>
      </c>
      <c r="K144" s="134" t="s">
        <v>2474</v>
      </c>
      <c r="L144">
        <v>0</v>
      </c>
      <c r="M144" t="b">
        <v>0</v>
      </c>
      <c r="N144" t="s">
        <v>2474</v>
      </c>
    </row>
    <row r="145" spans="1:14" hidden="1" x14ac:dyDescent="0.25">
      <c r="A145" s="23" t="s">
        <v>2207</v>
      </c>
      <c r="B145" s="23" t="s">
        <v>2124</v>
      </c>
      <c r="C145" s="23" t="s">
        <v>2474</v>
      </c>
      <c r="D145" s="121">
        <v>0</v>
      </c>
      <c r="E145" s="121" t="s">
        <v>2474</v>
      </c>
      <c r="F145" t="s">
        <v>198</v>
      </c>
      <c r="G145" s="11" t="s">
        <v>2122</v>
      </c>
      <c r="H145" s="134">
        <v>0</v>
      </c>
      <c r="I145" s="134">
        <v>0</v>
      </c>
      <c r="J145" s="134">
        <v>1500</v>
      </c>
      <c r="K145" s="134" t="s">
        <v>2474</v>
      </c>
      <c r="L145">
        <v>0</v>
      </c>
      <c r="M145" t="b">
        <v>0</v>
      </c>
      <c r="N145" t="s">
        <v>2474</v>
      </c>
    </row>
    <row r="146" spans="1:14" hidden="1" x14ac:dyDescent="0.25">
      <c r="A146" s="23" t="s">
        <v>2123</v>
      </c>
      <c r="B146" s="23" t="s">
        <v>2124</v>
      </c>
      <c r="C146" s="23" t="s">
        <v>2474</v>
      </c>
      <c r="D146" s="121">
        <v>1</v>
      </c>
      <c r="E146" s="121" t="s">
        <v>2474</v>
      </c>
      <c r="F146" t="s">
        <v>198</v>
      </c>
      <c r="G146" s="11" t="s">
        <v>2122</v>
      </c>
      <c r="H146" s="134">
        <v>0</v>
      </c>
      <c r="I146" s="134">
        <v>0</v>
      </c>
      <c r="J146" s="134">
        <v>5000</v>
      </c>
      <c r="K146" s="134" t="s">
        <v>2474</v>
      </c>
      <c r="L146">
        <v>0</v>
      </c>
      <c r="M146" t="b">
        <v>0</v>
      </c>
      <c r="N146" t="s">
        <v>2474</v>
      </c>
    </row>
    <row r="147" spans="1:14" hidden="1" x14ac:dyDescent="0.25">
      <c r="A147" s="23" t="s">
        <v>2123</v>
      </c>
      <c r="B147" s="23" t="s">
        <v>2124</v>
      </c>
      <c r="C147" s="23" t="s">
        <v>2474</v>
      </c>
      <c r="D147" s="121">
        <v>500</v>
      </c>
      <c r="E147" s="121">
        <v>0.62</v>
      </c>
      <c r="F147" t="s">
        <v>198</v>
      </c>
      <c r="G147" s="11" t="s">
        <v>2122</v>
      </c>
      <c r="H147" s="134">
        <v>0</v>
      </c>
      <c r="I147" s="134">
        <v>0</v>
      </c>
      <c r="J147" s="134">
        <v>0</v>
      </c>
      <c r="K147" s="134" t="s">
        <v>2474</v>
      </c>
      <c r="L147">
        <v>0</v>
      </c>
      <c r="M147" t="b">
        <v>0</v>
      </c>
      <c r="N147" t="s">
        <v>2474</v>
      </c>
    </row>
    <row r="148" spans="1:14" hidden="1" x14ac:dyDescent="0.25">
      <c r="A148" s="23" t="s">
        <v>2123</v>
      </c>
      <c r="B148" s="23" t="s">
        <v>2124</v>
      </c>
      <c r="C148" s="23" t="s">
        <v>2474</v>
      </c>
      <c r="D148" s="121">
        <v>1</v>
      </c>
      <c r="E148" s="121" t="s">
        <v>2474</v>
      </c>
      <c r="F148" t="s">
        <v>198</v>
      </c>
      <c r="G148" s="11" t="s">
        <v>2122</v>
      </c>
      <c r="H148" s="134">
        <v>0</v>
      </c>
      <c r="I148" s="134">
        <v>0</v>
      </c>
      <c r="J148" s="134">
        <v>3000</v>
      </c>
      <c r="K148" s="134" t="s">
        <v>2474</v>
      </c>
      <c r="L148">
        <v>0</v>
      </c>
      <c r="M148" t="b">
        <v>0</v>
      </c>
      <c r="N148" t="s">
        <v>2474</v>
      </c>
    </row>
    <row r="149" spans="1:14" hidden="1" x14ac:dyDescent="0.25">
      <c r="A149" s="23" t="s">
        <v>2123</v>
      </c>
      <c r="B149" s="23" t="s">
        <v>2150</v>
      </c>
      <c r="C149" s="23" t="s">
        <v>2474</v>
      </c>
      <c r="D149" s="121">
        <v>1</v>
      </c>
      <c r="E149" s="121" t="s">
        <v>2474</v>
      </c>
      <c r="F149" t="s">
        <v>198</v>
      </c>
      <c r="G149" s="11" t="s">
        <v>2122</v>
      </c>
      <c r="H149" s="134">
        <v>0</v>
      </c>
      <c r="I149" s="134">
        <v>0</v>
      </c>
      <c r="J149" s="134">
        <v>3000</v>
      </c>
      <c r="K149" s="134" t="s">
        <v>2474</v>
      </c>
      <c r="L149">
        <v>0</v>
      </c>
      <c r="M149" t="b">
        <v>0</v>
      </c>
      <c r="N149" t="s">
        <v>2474</v>
      </c>
    </row>
    <row r="150" spans="1:14" hidden="1" x14ac:dyDescent="0.25">
      <c r="A150" s="23" t="s">
        <v>2123</v>
      </c>
      <c r="B150" s="23" t="s">
        <v>2124</v>
      </c>
      <c r="C150" s="23">
        <v>0</v>
      </c>
      <c r="D150" s="121">
        <v>1</v>
      </c>
      <c r="E150" s="121" t="s">
        <v>2474</v>
      </c>
      <c r="F150" t="s">
        <v>198</v>
      </c>
      <c r="G150" s="11" t="s">
        <v>2122</v>
      </c>
      <c r="H150" s="134">
        <v>0</v>
      </c>
      <c r="I150" s="134">
        <v>0</v>
      </c>
      <c r="J150" s="134">
        <v>0</v>
      </c>
      <c r="K150" s="134" t="s">
        <v>2474</v>
      </c>
      <c r="L150">
        <v>0</v>
      </c>
      <c r="M150" t="b">
        <v>0</v>
      </c>
      <c r="N150" t="s">
        <v>2474</v>
      </c>
    </row>
    <row r="151" spans="1:14" hidden="1" x14ac:dyDescent="0.25">
      <c r="A151" s="23" t="s">
        <v>2123</v>
      </c>
      <c r="B151" s="23" t="s">
        <v>2124</v>
      </c>
      <c r="C151" s="23" t="s">
        <v>2474</v>
      </c>
      <c r="D151" s="121">
        <v>1</v>
      </c>
      <c r="E151" s="121" t="s">
        <v>2474</v>
      </c>
      <c r="F151" t="s">
        <v>198</v>
      </c>
      <c r="G151" s="11" t="s">
        <v>2122</v>
      </c>
      <c r="H151" s="134">
        <v>0</v>
      </c>
      <c r="I151" s="134">
        <v>0</v>
      </c>
      <c r="J151" s="134">
        <v>0</v>
      </c>
      <c r="K151" s="134" t="s">
        <v>2474</v>
      </c>
      <c r="L151">
        <v>0</v>
      </c>
      <c r="M151" t="b">
        <v>0</v>
      </c>
      <c r="N151" t="s">
        <v>2474</v>
      </c>
    </row>
    <row r="152" spans="1:14" hidden="1" x14ac:dyDescent="0.25">
      <c r="A152" s="23" t="s">
        <v>2123</v>
      </c>
      <c r="B152" s="23" t="s">
        <v>2124</v>
      </c>
      <c r="C152" s="23" t="s">
        <v>2474</v>
      </c>
      <c r="D152" s="121">
        <v>5000</v>
      </c>
      <c r="E152" s="121">
        <v>0.71640000000000004</v>
      </c>
      <c r="F152" t="s">
        <v>198</v>
      </c>
      <c r="G152" s="11" t="s">
        <v>2122</v>
      </c>
      <c r="H152" s="134">
        <v>0</v>
      </c>
      <c r="I152" s="134">
        <v>0</v>
      </c>
      <c r="J152" s="134">
        <v>18890</v>
      </c>
      <c r="K152" s="134" t="s">
        <v>2474</v>
      </c>
      <c r="L152">
        <v>0</v>
      </c>
      <c r="M152" t="b">
        <v>0</v>
      </c>
      <c r="N152" t="s">
        <v>2474</v>
      </c>
    </row>
    <row r="153" spans="1:14" hidden="1" x14ac:dyDescent="0.25">
      <c r="A153" s="23" t="s">
        <v>2123</v>
      </c>
      <c r="B153" s="23" t="s">
        <v>2124</v>
      </c>
      <c r="C153" s="23" t="s">
        <v>2474</v>
      </c>
      <c r="D153" s="121">
        <v>1</v>
      </c>
      <c r="E153" s="121" t="s">
        <v>2474</v>
      </c>
      <c r="F153" t="s">
        <v>198</v>
      </c>
      <c r="G153" s="11" t="s">
        <v>2122</v>
      </c>
      <c r="H153" s="134">
        <v>0</v>
      </c>
      <c r="I153" s="134">
        <v>0</v>
      </c>
      <c r="J153" s="134">
        <v>6000</v>
      </c>
      <c r="K153" s="134" t="s">
        <v>2474</v>
      </c>
      <c r="L153">
        <v>0</v>
      </c>
      <c r="M153" t="b">
        <v>0</v>
      </c>
      <c r="N153" t="s">
        <v>2474</v>
      </c>
    </row>
    <row r="154" spans="1:14" hidden="1" x14ac:dyDescent="0.25">
      <c r="A154" s="23" t="s">
        <v>2123</v>
      </c>
      <c r="B154" s="23" t="s">
        <v>2124</v>
      </c>
      <c r="C154" s="23" t="s">
        <v>2474</v>
      </c>
      <c r="D154" s="121">
        <v>1</v>
      </c>
      <c r="E154" s="121" t="s">
        <v>2474</v>
      </c>
      <c r="F154" t="s">
        <v>198</v>
      </c>
      <c r="G154" s="11" t="s">
        <v>2122</v>
      </c>
      <c r="H154" s="134">
        <v>0</v>
      </c>
      <c r="I154" s="134">
        <v>0</v>
      </c>
      <c r="J154" s="134">
        <v>28500</v>
      </c>
      <c r="K154" s="134" t="s">
        <v>2474</v>
      </c>
      <c r="L154">
        <v>0</v>
      </c>
      <c r="M154" t="b">
        <v>0</v>
      </c>
      <c r="N154" t="s">
        <v>2474</v>
      </c>
    </row>
    <row r="155" spans="1:14" hidden="1" x14ac:dyDescent="0.25">
      <c r="A155" s="23" t="s">
        <v>2306</v>
      </c>
      <c r="B155" s="23" t="s">
        <v>2124</v>
      </c>
      <c r="C155" s="23" t="s">
        <v>2474</v>
      </c>
      <c r="D155" s="121">
        <v>5000</v>
      </c>
      <c r="E155" s="121">
        <v>0.1605</v>
      </c>
      <c r="F155" t="s">
        <v>198</v>
      </c>
      <c r="G155" s="11" t="s">
        <v>2122</v>
      </c>
      <c r="H155" s="134">
        <v>0</v>
      </c>
      <c r="I155" s="134">
        <v>0</v>
      </c>
      <c r="J155" s="134">
        <v>10000</v>
      </c>
      <c r="K155" s="134" t="s">
        <v>2474</v>
      </c>
      <c r="L155">
        <v>0</v>
      </c>
      <c r="M155" t="b">
        <v>0</v>
      </c>
      <c r="N155" t="s">
        <v>2474</v>
      </c>
    </row>
    <row r="156" spans="1:14" hidden="1" x14ac:dyDescent="0.25">
      <c r="A156" s="23" t="s">
        <v>2306</v>
      </c>
      <c r="B156" s="23" t="s">
        <v>2124</v>
      </c>
      <c r="C156" s="23" t="s">
        <v>2474</v>
      </c>
      <c r="D156" s="121">
        <v>5000</v>
      </c>
      <c r="E156" s="121">
        <v>0.1605</v>
      </c>
      <c r="F156" t="s">
        <v>198</v>
      </c>
      <c r="G156" s="11" t="s">
        <v>2122</v>
      </c>
      <c r="H156" s="134">
        <v>0</v>
      </c>
      <c r="I156" s="134">
        <v>0</v>
      </c>
      <c r="J156" s="134">
        <v>10000</v>
      </c>
      <c r="K156" s="134" t="s">
        <v>2474</v>
      </c>
      <c r="L156">
        <v>0</v>
      </c>
      <c r="M156" t="b">
        <v>0</v>
      </c>
      <c r="N156" t="s">
        <v>2474</v>
      </c>
    </row>
    <row r="157" spans="1:14" hidden="1" x14ac:dyDescent="0.25">
      <c r="A157" s="23" t="s">
        <v>2306</v>
      </c>
      <c r="B157" s="23" t="s">
        <v>2124</v>
      </c>
      <c r="C157" s="23" t="s">
        <v>2474</v>
      </c>
      <c r="D157" s="121">
        <v>1</v>
      </c>
      <c r="E157" s="121" t="s">
        <v>2474</v>
      </c>
      <c r="F157" t="s">
        <v>198</v>
      </c>
      <c r="G157" s="11" t="s">
        <v>2122</v>
      </c>
      <c r="H157" s="134">
        <v>0</v>
      </c>
      <c r="I157" s="134">
        <v>0</v>
      </c>
      <c r="J157" s="134">
        <v>12500</v>
      </c>
      <c r="K157" s="134" t="s">
        <v>2474</v>
      </c>
      <c r="L157">
        <v>0</v>
      </c>
      <c r="M157" t="b">
        <v>0</v>
      </c>
      <c r="N157" t="s">
        <v>2474</v>
      </c>
    </row>
    <row r="158" spans="1:14" hidden="1" x14ac:dyDescent="0.25">
      <c r="A158" s="23" t="s">
        <v>2306</v>
      </c>
      <c r="B158" s="23" t="s">
        <v>2124</v>
      </c>
      <c r="C158" s="23" t="s">
        <v>2474</v>
      </c>
      <c r="D158" s="121">
        <v>2</v>
      </c>
      <c r="E158" s="121" t="s">
        <v>2474</v>
      </c>
      <c r="F158" t="s">
        <v>198</v>
      </c>
      <c r="G158" s="11" t="s">
        <v>2122</v>
      </c>
      <c r="H158" s="134">
        <v>0</v>
      </c>
      <c r="I158" s="134">
        <v>0</v>
      </c>
      <c r="J158" s="134">
        <v>3600</v>
      </c>
      <c r="K158" s="134" t="s">
        <v>2474</v>
      </c>
      <c r="L158">
        <v>0</v>
      </c>
      <c r="M158" t="b">
        <v>0</v>
      </c>
      <c r="N158" t="s">
        <v>2474</v>
      </c>
    </row>
    <row r="159" spans="1:14" hidden="1" x14ac:dyDescent="0.25">
      <c r="A159" s="23" t="s">
        <v>2123</v>
      </c>
      <c r="B159" s="23" t="s">
        <v>2124</v>
      </c>
      <c r="C159" s="23" t="s">
        <v>2474</v>
      </c>
      <c r="D159" s="121">
        <v>1</v>
      </c>
      <c r="E159" s="121" t="s">
        <v>2474</v>
      </c>
      <c r="F159" t="s">
        <v>198</v>
      </c>
      <c r="G159" s="11" t="s">
        <v>2122</v>
      </c>
      <c r="H159" s="134">
        <v>0</v>
      </c>
      <c r="I159" s="134">
        <v>0</v>
      </c>
      <c r="J159" s="134">
        <v>0</v>
      </c>
      <c r="K159" s="134" t="s">
        <v>2474</v>
      </c>
      <c r="L159">
        <v>0</v>
      </c>
      <c r="M159" t="b">
        <v>0</v>
      </c>
      <c r="N159" t="s">
        <v>2474</v>
      </c>
    </row>
    <row r="160" spans="1:14" hidden="1" x14ac:dyDescent="0.25">
      <c r="A160" s="23" t="s">
        <v>2207</v>
      </c>
      <c r="B160" s="23" t="s">
        <v>2124</v>
      </c>
      <c r="C160" s="23" t="s">
        <v>2474</v>
      </c>
      <c r="D160" s="121">
        <v>1</v>
      </c>
      <c r="E160" s="121" t="s">
        <v>2474</v>
      </c>
      <c r="F160" t="s">
        <v>198</v>
      </c>
      <c r="G160" s="11" t="s">
        <v>2122</v>
      </c>
      <c r="H160" s="134">
        <v>0</v>
      </c>
      <c r="I160" s="134">
        <v>0</v>
      </c>
      <c r="J160" s="134">
        <v>16625</v>
      </c>
      <c r="K160" s="134" t="s">
        <v>2474</v>
      </c>
      <c r="L160">
        <v>0</v>
      </c>
      <c r="M160" t="b">
        <v>0</v>
      </c>
      <c r="N160" t="s">
        <v>2474</v>
      </c>
    </row>
    <row r="161" spans="1:14" hidden="1" x14ac:dyDescent="0.25">
      <c r="A161" s="23" t="s">
        <v>2207</v>
      </c>
      <c r="B161" s="23" t="s">
        <v>2124</v>
      </c>
      <c r="C161" s="23" t="s">
        <v>2474</v>
      </c>
      <c r="D161" s="121">
        <v>1</v>
      </c>
      <c r="E161" s="121" t="s">
        <v>2474</v>
      </c>
      <c r="F161" t="s">
        <v>198</v>
      </c>
      <c r="G161" s="11" t="s">
        <v>2122</v>
      </c>
      <c r="H161" s="134">
        <v>0</v>
      </c>
      <c r="I161" s="134">
        <v>0</v>
      </c>
      <c r="J161" s="134">
        <v>0</v>
      </c>
      <c r="K161" s="134" t="s">
        <v>2474</v>
      </c>
      <c r="L161">
        <v>0</v>
      </c>
      <c r="M161" t="b">
        <v>0</v>
      </c>
      <c r="N161" t="s">
        <v>2474</v>
      </c>
    </row>
    <row r="162" spans="1:14" hidden="1" x14ac:dyDescent="0.25">
      <c r="A162" s="23" t="s">
        <v>2123</v>
      </c>
      <c r="B162" s="23" t="s">
        <v>2150</v>
      </c>
      <c r="C162" s="23" t="s">
        <v>2474</v>
      </c>
      <c r="D162" s="121">
        <v>5000</v>
      </c>
      <c r="E162" s="121">
        <v>0.24979999999999999</v>
      </c>
      <c r="F162" t="s">
        <v>198</v>
      </c>
      <c r="G162" s="11" t="s">
        <v>2122</v>
      </c>
      <c r="H162" s="134">
        <v>0</v>
      </c>
      <c r="I162" s="134">
        <v>0</v>
      </c>
      <c r="J162" s="134">
        <v>7500</v>
      </c>
      <c r="K162" s="134" t="s">
        <v>2474</v>
      </c>
      <c r="L162">
        <v>0</v>
      </c>
      <c r="M162" t="b">
        <v>0</v>
      </c>
      <c r="N162" t="s">
        <v>2474</v>
      </c>
    </row>
    <row r="163" spans="1:14" hidden="1" x14ac:dyDescent="0.25">
      <c r="A163" s="23" t="s">
        <v>2123</v>
      </c>
      <c r="B163" s="23" t="s">
        <v>2124</v>
      </c>
      <c r="C163" s="23" t="s">
        <v>2474</v>
      </c>
      <c r="D163" s="121">
        <v>1</v>
      </c>
      <c r="E163" s="121" t="s">
        <v>2474</v>
      </c>
      <c r="F163" t="s">
        <v>198</v>
      </c>
      <c r="G163" s="11" t="s">
        <v>2122</v>
      </c>
      <c r="H163" s="134">
        <v>0</v>
      </c>
      <c r="I163" s="134">
        <v>0</v>
      </c>
      <c r="J163" s="134">
        <v>5500</v>
      </c>
      <c r="K163" s="134" t="s">
        <v>2474</v>
      </c>
      <c r="L163">
        <v>0</v>
      </c>
      <c r="M163" t="b">
        <v>0</v>
      </c>
      <c r="N163" t="s">
        <v>2474</v>
      </c>
    </row>
    <row r="164" spans="1:14" hidden="1" x14ac:dyDescent="0.25">
      <c r="A164" s="23" t="s">
        <v>2123</v>
      </c>
      <c r="B164" s="23" t="s">
        <v>2124</v>
      </c>
      <c r="C164" s="23" t="s">
        <v>2474</v>
      </c>
      <c r="D164" s="121">
        <v>5000</v>
      </c>
      <c r="E164" s="121">
        <v>1.5800000000000002E-2</v>
      </c>
      <c r="F164" t="s">
        <v>198</v>
      </c>
      <c r="G164" s="11" t="s">
        <v>2122</v>
      </c>
      <c r="H164" s="134">
        <v>0</v>
      </c>
      <c r="I164" s="134">
        <v>0</v>
      </c>
      <c r="J164" s="134">
        <v>750</v>
      </c>
      <c r="K164" s="134" t="s">
        <v>2474</v>
      </c>
      <c r="L164">
        <v>0</v>
      </c>
      <c r="M164" t="b">
        <v>0</v>
      </c>
      <c r="N164" t="s">
        <v>2474</v>
      </c>
    </row>
    <row r="165" spans="1:14" hidden="1" x14ac:dyDescent="0.25">
      <c r="A165" s="23" t="s">
        <v>2123</v>
      </c>
      <c r="B165" s="23" t="s">
        <v>2124</v>
      </c>
      <c r="C165" s="23" t="s">
        <v>2474</v>
      </c>
      <c r="D165" s="121">
        <v>5000</v>
      </c>
      <c r="E165" s="121">
        <v>1.5800000000000002E-2</v>
      </c>
      <c r="F165" t="s">
        <v>198</v>
      </c>
      <c r="G165" s="11" t="s">
        <v>2122</v>
      </c>
      <c r="H165" s="134">
        <v>0</v>
      </c>
      <c r="I165" s="134">
        <v>0</v>
      </c>
      <c r="J165" s="134">
        <v>0</v>
      </c>
      <c r="K165" s="134" t="s">
        <v>2474</v>
      </c>
      <c r="L165">
        <v>0</v>
      </c>
      <c r="M165" t="b">
        <v>0</v>
      </c>
      <c r="N165" t="s">
        <v>2474</v>
      </c>
    </row>
    <row r="166" spans="1:14" hidden="1" x14ac:dyDescent="0.25">
      <c r="A166" s="23" t="s">
        <v>2123</v>
      </c>
      <c r="B166" s="23" t="s">
        <v>2124</v>
      </c>
      <c r="C166" s="23" t="s">
        <v>2474</v>
      </c>
      <c r="D166" s="121">
        <v>5000</v>
      </c>
      <c r="E166" s="121">
        <v>1.5800000000000002E-2</v>
      </c>
      <c r="F166" t="s">
        <v>198</v>
      </c>
      <c r="G166" s="11" t="s">
        <v>2122</v>
      </c>
      <c r="H166" s="134">
        <v>0</v>
      </c>
      <c r="I166" s="134">
        <v>0</v>
      </c>
      <c r="J166" s="134">
        <v>1500</v>
      </c>
      <c r="K166" s="134" t="s">
        <v>2474</v>
      </c>
      <c r="L166">
        <v>0</v>
      </c>
      <c r="M166" t="b">
        <v>0</v>
      </c>
      <c r="N166" t="s">
        <v>2474</v>
      </c>
    </row>
    <row r="167" spans="1:14" hidden="1" x14ac:dyDescent="0.25">
      <c r="A167" s="23" t="s">
        <v>2123</v>
      </c>
      <c r="B167" s="23" t="s">
        <v>2124</v>
      </c>
      <c r="C167" s="23" t="s">
        <v>2474</v>
      </c>
      <c r="D167" s="121">
        <v>5000</v>
      </c>
      <c r="E167" s="121">
        <v>1.5800000000000002E-2</v>
      </c>
      <c r="F167" t="s">
        <v>198</v>
      </c>
      <c r="G167" s="11" t="s">
        <v>2122</v>
      </c>
      <c r="H167" s="134">
        <v>0</v>
      </c>
      <c r="I167" s="134">
        <v>0</v>
      </c>
      <c r="J167" s="134">
        <v>0</v>
      </c>
      <c r="K167" s="134" t="s">
        <v>2474</v>
      </c>
      <c r="L167">
        <v>0</v>
      </c>
      <c r="M167" t="b">
        <v>0</v>
      </c>
      <c r="N167" t="s">
        <v>2474</v>
      </c>
    </row>
    <row r="168" spans="1:14" hidden="1" x14ac:dyDescent="0.25">
      <c r="A168" s="23" t="s">
        <v>2207</v>
      </c>
      <c r="B168" s="23" t="s">
        <v>2124</v>
      </c>
      <c r="C168" s="23" t="s">
        <v>2474</v>
      </c>
      <c r="D168" s="121">
        <v>5000</v>
      </c>
      <c r="E168" s="121">
        <v>2.7799999999999998E-2</v>
      </c>
      <c r="F168" t="s">
        <v>198</v>
      </c>
      <c r="G168" s="11" t="s">
        <v>2122</v>
      </c>
      <c r="H168" s="134">
        <v>0</v>
      </c>
      <c r="I168" s="134">
        <v>0</v>
      </c>
      <c r="J168" s="134">
        <v>0</v>
      </c>
      <c r="K168" s="134" t="s">
        <v>2474</v>
      </c>
      <c r="L168">
        <v>0</v>
      </c>
      <c r="M168" t="b">
        <v>0</v>
      </c>
      <c r="N168" t="s">
        <v>2474</v>
      </c>
    </row>
    <row r="169" spans="1:14" hidden="1" x14ac:dyDescent="0.25">
      <c r="A169" s="23" t="s">
        <v>2207</v>
      </c>
      <c r="B169" s="23" t="s">
        <v>2124</v>
      </c>
      <c r="C169" s="23" t="s">
        <v>2474</v>
      </c>
      <c r="D169" s="121">
        <v>5000</v>
      </c>
      <c r="E169" s="121">
        <v>3.0800000000000001E-2</v>
      </c>
      <c r="F169" t="s">
        <v>198</v>
      </c>
      <c r="G169" s="11" t="s">
        <v>2122</v>
      </c>
      <c r="H169" s="134">
        <v>0</v>
      </c>
      <c r="I169" s="134">
        <v>0</v>
      </c>
      <c r="J169" s="134">
        <v>4000</v>
      </c>
      <c r="K169" s="134" t="s">
        <v>2474</v>
      </c>
      <c r="L169">
        <v>0</v>
      </c>
      <c r="M169" t="b">
        <v>0</v>
      </c>
      <c r="N169" t="s">
        <v>2474</v>
      </c>
    </row>
    <row r="170" spans="1:14" hidden="1" x14ac:dyDescent="0.25">
      <c r="A170" s="23" t="s">
        <v>2123</v>
      </c>
      <c r="B170" s="23" t="s">
        <v>2124</v>
      </c>
      <c r="C170" s="23">
        <v>0</v>
      </c>
      <c r="D170" s="121">
        <v>1</v>
      </c>
      <c r="E170" s="121" t="s">
        <v>2474</v>
      </c>
      <c r="F170" t="s">
        <v>198</v>
      </c>
      <c r="G170" s="11" t="s">
        <v>2122</v>
      </c>
      <c r="H170" s="134">
        <v>0</v>
      </c>
      <c r="I170" s="134">
        <v>0</v>
      </c>
      <c r="J170" s="134">
        <v>3200</v>
      </c>
      <c r="K170" s="134" t="s">
        <v>2474</v>
      </c>
      <c r="L170">
        <v>0</v>
      </c>
      <c r="M170" t="b">
        <v>0</v>
      </c>
      <c r="N170" t="s">
        <v>2474</v>
      </c>
    </row>
    <row r="171" spans="1:14" hidden="1" x14ac:dyDescent="0.25">
      <c r="A171" s="23" t="s">
        <v>2123</v>
      </c>
      <c r="B171" s="23" t="s">
        <v>2124</v>
      </c>
      <c r="C171" s="23" t="s">
        <v>2474</v>
      </c>
      <c r="D171" s="121">
        <v>1</v>
      </c>
      <c r="E171" s="121" t="s">
        <v>2474</v>
      </c>
      <c r="F171" t="s">
        <v>198</v>
      </c>
      <c r="G171" s="11" t="s">
        <v>2122</v>
      </c>
      <c r="H171" s="134">
        <v>0</v>
      </c>
      <c r="I171" s="134">
        <v>0</v>
      </c>
      <c r="J171" s="134">
        <v>30000</v>
      </c>
      <c r="K171" s="134" t="s">
        <v>2474</v>
      </c>
      <c r="L171">
        <v>0</v>
      </c>
      <c r="M171" t="b">
        <v>0</v>
      </c>
      <c r="N171" t="s">
        <v>2474</v>
      </c>
    </row>
    <row r="172" spans="1:14" hidden="1" x14ac:dyDescent="0.25">
      <c r="A172" s="23" t="s">
        <v>2123</v>
      </c>
      <c r="B172" s="23" t="s">
        <v>2124</v>
      </c>
      <c r="C172" s="23" t="s">
        <v>2474</v>
      </c>
      <c r="D172" s="121">
        <v>1</v>
      </c>
      <c r="E172" s="121" t="s">
        <v>2474</v>
      </c>
      <c r="F172" t="s">
        <v>198</v>
      </c>
      <c r="G172" s="11" t="s">
        <v>2122</v>
      </c>
      <c r="H172" s="134">
        <v>0</v>
      </c>
      <c r="I172" s="134">
        <v>0</v>
      </c>
      <c r="J172" s="134">
        <v>5000</v>
      </c>
      <c r="K172" s="134" t="s">
        <v>2474</v>
      </c>
      <c r="L172">
        <v>0</v>
      </c>
      <c r="M172" t="b">
        <v>0</v>
      </c>
      <c r="N172" t="s">
        <v>2474</v>
      </c>
    </row>
    <row r="173" spans="1:14" hidden="1" x14ac:dyDescent="0.25">
      <c r="A173" s="23" t="s">
        <v>2123</v>
      </c>
      <c r="B173" s="23" t="s">
        <v>2124</v>
      </c>
      <c r="C173" s="23" t="s">
        <v>2474</v>
      </c>
      <c r="D173" s="121">
        <v>1</v>
      </c>
      <c r="E173" s="121" t="s">
        <v>2474</v>
      </c>
      <c r="F173" t="s">
        <v>198</v>
      </c>
      <c r="G173" s="11" t="s">
        <v>2122</v>
      </c>
      <c r="H173" s="134">
        <v>0</v>
      </c>
      <c r="I173" s="134">
        <v>0</v>
      </c>
      <c r="J173" s="134">
        <v>10000</v>
      </c>
      <c r="K173" s="134" t="s">
        <v>2474</v>
      </c>
      <c r="L173">
        <v>0</v>
      </c>
      <c r="M173" t="b">
        <v>0</v>
      </c>
      <c r="N173" t="s">
        <v>2474</v>
      </c>
    </row>
    <row r="174" spans="1:14" hidden="1" x14ac:dyDescent="0.25">
      <c r="A174" s="23" t="s">
        <v>2207</v>
      </c>
      <c r="B174" s="23" t="s">
        <v>2150</v>
      </c>
      <c r="C174" s="23" t="s">
        <v>2474</v>
      </c>
      <c r="D174" s="121">
        <v>1</v>
      </c>
      <c r="E174" s="121" t="s">
        <v>2474</v>
      </c>
      <c r="F174" t="s">
        <v>198</v>
      </c>
      <c r="G174" s="11" t="s">
        <v>2122</v>
      </c>
      <c r="H174" s="134">
        <v>0</v>
      </c>
      <c r="I174" s="134">
        <v>0</v>
      </c>
      <c r="J174" s="134">
        <v>18000</v>
      </c>
      <c r="K174" s="134" t="s">
        <v>2474</v>
      </c>
      <c r="L174">
        <v>0</v>
      </c>
      <c r="M174" t="b">
        <v>0</v>
      </c>
      <c r="N174" t="s">
        <v>2474</v>
      </c>
    </row>
    <row r="175" spans="1:14" hidden="1" x14ac:dyDescent="0.25">
      <c r="A175" s="23" t="s">
        <v>2207</v>
      </c>
      <c r="B175" s="23" t="s">
        <v>2150</v>
      </c>
      <c r="C175" s="23">
        <v>0</v>
      </c>
      <c r="D175" s="121">
        <v>1</v>
      </c>
      <c r="E175" s="121" t="s">
        <v>2474</v>
      </c>
      <c r="F175" t="s">
        <v>198</v>
      </c>
      <c r="G175" s="11" t="s">
        <v>2122</v>
      </c>
      <c r="H175" s="134">
        <v>0</v>
      </c>
      <c r="I175" s="134">
        <v>0</v>
      </c>
      <c r="J175" s="134">
        <v>0</v>
      </c>
      <c r="K175" s="134" t="s">
        <v>2474</v>
      </c>
      <c r="L175">
        <v>0</v>
      </c>
      <c r="M175" t="b">
        <v>0</v>
      </c>
      <c r="N175" t="s">
        <v>2474</v>
      </c>
    </row>
    <row r="176" spans="1:14" hidden="1" x14ac:dyDescent="0.25">
      <c r="A176" s="23" t="s">
        <v>2306</v>
      </c>
      <c r="B176" s="23" t="s">
        <v>2150</v>
      </c>
      <c r="C176" s="23" t="s">
        <v>2474</v>
      </c>
      <c r="D176" s="121">
        <v>1</v>
      </c>
      <c r="E176" s="121" t="s">
        <v>2474</v>
      </c>
      <c r="F176" t="s">
        <v>198</v>
      </c>
      <c r="G176" s="11" t="s">
        <v>2122</v>
      </c>
      <c r="H176" s="134">
        <v>0</v>
      </c>
      <c r="I176" s="134">
        <v>0</v>
      </c>
      <c r="J176" s="134">
        <v>15000</v>
      </c>
      <c r="K176" s="134" t="s">
        <v>2474</v>
      </c>
      <c r="L176">
        <v>0</v>
      </c>
      <c r="M176" t="b">
        <v>0</v>
      </c>
      <c r="N176" t="s">
        <v>2474</v>
      </c>
    </row>
    <row r="177" spans="1:14" hidden="1" x14ac:dyDescent="0.25">
      <c r="A177" s="23" t="s">
        <v>2306</v>
      </c>
      <c r="B177" s="23" t="s">
        <v>2150</v>
      </c>
      <c r="C177" s="23" t="s">
        <v>2474</v>
      </c>
      <c r="D177" s="121">
        <v>1</v>
      </c>
      <c r="E177" s="121" t="s">
        <v>2474</v>
      </c>
      <c r="F177" t="s">
        <v>198</v>
      </c>
      <c r="G177" s="11" t="s">
        <v>2122</v>
      </c>
      <c r="H177" s="134">
        <v>0</v>
      </c>
      <c r="I177" s="134">
        <v>0</v>
      </c>
      <c r="J177" s="134">
        <v>25000</v>
      </c>
      <c r="K177" s="134" t="s">
        <v>2474</v>
      </c>
      <c r="L177">
        <v>0</v>
      </c>
      <c r="M177" t="b">
        <v>0</v>
      </c>
      <c r="N177" t="s">
        <v>2474</v>
      </c>
    </row>
    <row r="178" spans="1:14" hidden="1" x14ac:dyDescent="0.25">
      <c r="A178" s="23" t="s">
        <v>2123</v>
      </c>
      <c r="B178" s="23" t="s">
        <v>2124</v>
      </c>
      <c r="C178" s="23">
        <v>0</v>
      </c>
      <c r="D178" s="121">
        <v>1</v>
      </c>
      <c r="E178" s="121" t="s">
        <v>2474</v>
      </c>
      <c r="F178" t="s">
        <v>198</v>
      </c>
      <c r="G178" s="11" t="s">
        <v>2122</v>
      </c>
      <c r="H178" s="134">
        <v>0</v>
      </c>
      <c r="I178" s="134">
        <v>0</v>
      </c>
      <c r="J178" s="134">
        <v>0</v>
      </c>
      <c r="K178" s="134" t="s">
        <v>2474</v>
      </c>
      <c r="L178">
        <v>0</v>
      </c>
      <c r="M178" t="b">
        <v>0</v>
      </c>
      <c r="N178" t="s">
        <v>2474</v>
      </c>
    </row>
    <row r="179" spans="1:14" x14ac:dyDescent="0.25">
      <c r="A179" s="23" t="s">
        <v>2474</v>
      </c>
      <c r="B179" s="23" t="s">
        <v>2474</v>
      </c>
      <c r="C179" s="23" t="s">
        <v>2474</v>
      </c>
      <c r="D179" s="121" t="s">
        <v>2474</v>
      </c>
      <c r="E179" s="121" t="s">
        <v>2474</v>
      </c>
      <c r="F179" t="s">
        <v>198</v>
      </c>
      <c r="G179" s="11" t="s">
        <v>2474</v>
      </c>
      <c r="H179" s="134" t="s">
        <v>2474</v>
      </c>
      <c r="I179" s="134">
        <v>0</v>
      </c>
      <c r="J179" s="134" t="s">
        <v>2474</v>
      </c>
      <c r="K179" s="134" t="s">
        <v>2474</v>
      </c>
      <c r="L179" t="s">
        <v>2474</v>
      </c>
      <c r="M179" t="b">
        <v>0</v>
      </c>
      <c r="N179" t="s">
        <v>2474</v>
      </c>
    </row>
    <row r="180" spans="1:14" x14ac:dyDescent="0.25">
      <c r="A180" s="23">
        <v>0</v>
      </c>
      <c r="B180" s="23">
        <v>0</v>
      </c>
      <c r="C180" s="23" t="s">
        <v>2474</v>
      </c>
      <c r="D180" s="121" t="s">
        <v>2474</v>
      </c>
      <c r="E180" s="121" t="s">
        <v>2474</v>
      </c>
      <c r="F180" t="s">
        <v>198</v>
      </c>
      <c r="G180" s="11">
        <v>0</v>
      </c>
      <c r="H180" s="134" t="s">
        <v>2474</v>
      </c>
      <c r="I180" s="134">
        <v>0</v>
      </c>
      <c r="J180" s="134" t="s">
        <v>2474</v>
      </c>
      <c r="K180" s="134" t="s">
        <v>2474</v>
      </c>
      <c r="L180" t="s">
        <v>2474</v>
      </c>
      <c r="M180" t="b">
        <v>0</v>
      </c>
      <c r="N180" t="s">
        <v>2474</v>
      </c>
    </row>
    <row r="181" spans="1:14" x14ac:dyDescent="0.25">
      <c r="A181" s="23">
        <v>0</v>
      </c>
      <c r="B181" s="23">
        <v>0</v>
      </c>
      <c r="C181" s="23" t="s">
        <v>2474</v>
      </c>
      <c r="D181" s="121" t="s">
        <v>2474</v>
      </c>
      <c r="E181" s="121" t="s">
        <v>2474</v>
      </c>
      <c r="F181" t="s">
        <v>198</v>
      </c>
      <c r="G181" s="11">
        <v>0</v>
      </c>
      <c r="H181" s="134" t="s">
        <v>2474</v>
      </c>
      <c r="I181" s="134">
        <v>0</v>
      </c>
      <c r="J181" s="134" t="s">
        <v>2474</v>
      </c>
      <c r="K181" s="134" t="s">
        <v>2474</v>
      </c>
      <c r="L181" t="s">
        <v>2474</v>
      </c>
      <c r="M181" t="b">
        <v>0</v>
      </c>
      <c r="N181" t="s">
        <v>2474</v>
      </c>
    </row>
    <row r="182" spans="1:14" x14ac:dyDescent="0.25">
      <c r="A182" s="23">
        <v>0</v>
      </c>
      <c r="B182" s="23">
        <v>0</v>
      </c>
      <c r="C182" s="23" t="s">
        <v>2474</v>
      </c>
      <c r="D182" s="121" t="s">
        <v>2474</v>
      </c>
      <c r="E182" s="121" t="s">
        <v>2474</v>
      </c>
      <c r="F182" t="s">
        <v>198</v>
      </c>
      <c r="G182" s="11">
        <v>0</v>
      </c>
      <c r="H182" s="134" t="s">
        <v>2474</v>
      </c>
      <c r="I182" s="134">
        <v>0</v>
      </c>
      <c r="J182" s="134" t="s">
        <v>2474</v>
      </c>
      <c r="K182" s="134" t="s">
        <v>2474</v>
      </c>
      <c r="L182" t="s">
        <v>2474</v>
      </c>
      <c r="M182" t="b">
        <v>0</v>
      </c>
      <c r="N182" t="s">
        <v>2474</v>
      </c>
    </row>
    <row r="183" spans="1:14" x14ac:dyDescent="0.25">
      <c r="A183" s="23">
        <v>0</v>
      </c>
      <c r="B183" s="23">
        <v>0</v>
      </c>
      <c r="C183" s="23" t="s">
        <v>2474</v>
      </c>
      <c r="D183" s="121" t="s">
        <v>2474</v>
      </c>
      <c r="E183" s="121" t="s">
        <v>2474</v>
      </c>
      <c r="F183" t="s">
        <v>198</v>
      </c>
      <c r="G183" s="11">
        <v>0</v>
      </c>
      <c r="H183" s="134" t="s">
        <v>2474</v>
      </c>
      <c r="I183" s="134">
        <v>0</v>
      </c>
      <c r="J183" s="134" t="s">
        <v>2474</v>
      </c>
      <c r="K183" s="134" t="s">
        <v>2474</v>
      </c>
      <c r="L183" t="s">
        <v>2474</v>
      </c>
      <c r="M183" t="b">
        <v>0</v>
      </c>
      <c r="N183" t="s">
        <v>2474</v>
      </c>
    </row>
    <row r="184" spans="1:14" x14ac:dyDescent="0.25">
      <c r="A184" s="23">
        <v>0</v>
      </c>
      <c r="B184" s="23">
        <v>0</v>
      </c>
      <c r="C184" s="23" t="s">
        <v>2474</v>
      </c>
      <c r="D184" s="121" t="s">
        <v>2474</v>
      </c>
      <c r="E184" s="121" t="s">
        <v>2474</v>
      </c>
      <c r="F184" t="s">
        <v>198</v>
      </c>
      <c r="G184" s="11">
        <v>0</v>
      </c>
      <c r="H184" s="134" t="s">
        <v>2474</v>
      </c>
      <c r="I184" s="134">
        <v>0</v>
      </c>
      <c r="J184" s="134" t="s">
        <v>2474</v>
      </c>
      <c r="K184" s="134" t="s">
        <v>2474</v>
      </c>
      <c r="L184" t="s">
        <v>2474</v>
      </c>
      <c r="M184" t="b">
        <v>0</v>
      </c>
      <c r="N184" t="s">
        <v>2474</v>
      </c>
    </row>
    <row r="185" spans="1:14" x14ac:dyDescent="0.25">
      <c r="A185" s="23">
        <v>0</v>
      </c>
      <c r="B185" s="23">
        <v>0</v>
      </c>
      <c r="C185" s="23" t="s">
        <v>2474</v>
      </c>
      <c r="D185" s="121" t="s">
        <v>2474</v>
      </c>
      <c r="E185" s="121" t="s">
        <v>2474</v>
      </c>
      <c r="F185" t="s">
        <v>198</v>
      </c>
      <c r="G185" s="11">
        <v>0</v>
      </c>
      <c r="H185" s="134" t="s">
        <v>2474</v>
      </c>
      <c r="I185" s="134">
        <v>0</v>
      </c>
      <c r="J185" s="134" t="s">
        <v>2474</v>
      </c>
      <c r="K185" s="134" t="s">
        <v>2474</v>
      </c>
      <c r="L185" t="s">
        <v>2474</v>
      </c>
      <c r="M185" t="b">
        <v>0</v>
      </c>
      <c r="N185" t="s">
        <v>2474</v>
      </c>
    </row>
    <row r="186" spans="1:14" x14ac:dyDescent="0.25">
      <c r="A186" s="23">
        <v>0</v>
      </c>
      <c r="B186" s="23">
        <v>0</v>
      </c>
      <c r="C186" s="23" t="s">
        <v>2474</v>
      </c>
      <c r="D186" s="121" t="s">
        <v>2474</v>
      </c>
      <c r="E186" s="121" t="s">
        <v>2474</v>
      </c>
      <c r="F186" t="s">
        <v>198</v>
      </c>
      <c r="G186" s="11">
        <v>0</v>
      </c>
      <c r="H186" s="134" t="s">
        <v>2474</v>
      </c>
      <c r="I186" s="134">
        <v>0</v>
      </c>
      <c r="J186" s="134" t="s">
        <v>2474</v>
      </c>
      <c r="K186" s="134" t="s">
        <v>2474</v>
      </c>
      <c r="L186" t="s">
        <v>2474</v>
      </c>
      <c r="M186" t="b">
        <v>0</v>
      </c>
      <c r="N186" t="s">
        <v>2474</v>
      </c>
    </row>
    <row r="187" spans="1:14" x14ac:dyDescent="0.25">
      <c r="A187" s="23">
        <v>0</v>
      </c>
      <c r="B187" s="23">
        <v>0</v>
      </c>
      <c r="C187" s="23" t="s">
        <v>2474</v>
      </c>
      <c r="D187" s="121" t="s">
        <v>2474</v>
      </c>
      <c r="E187" s="121" t="s">
        <v>2474</v>
      </c>
      <c r="F187" t="s">
        <v>198</v>
      </c>
      <c r="G187" s="11">
        <v>0</v>
      </c>
      <c r="H187" s="134" t="s">
        <v>2474</v>
      </c>
      <c r="I187" s="134">
        <v>0</v>
      </c>
      <c r="J187" s="134" t="s">
        <v>2474</v>
      </c>
      <c r="K187" s="134" t="s">
        <v>2474</v>
      </c>
      <c r="L187" t="s">
        <v>2474</v>
      </c>
      <c r="M187" t="b">
        <v>0</v>
      </c>
      <c r="N187" t="s">
        <v>2474</v>
      </c>
    </row>
    <row r="188" spans="1:14" x14ac:dyDescent="0.25">
      <c r="A188" s="23">
        <v>0</v>
      </c>
      <c r="B188" s="23">
        <v>0</v>
      </c>
      <c r="C188" s="23" t="s">
        <v>2474</v>
      </c>
      <c r="D188" s="121" t="s">
        <v>2474</v>
      </c>
      <c r="E188" s="121" t="s">
        <v>2474</v>
      </c>
      <c r="F188" t="s">
        <v>198</v>
      </c>
      <c r="G188" s="11">
        <v>0</v>
      </c>
      <c r="H188" s="134" t="s">
        <v>2474</v>
      </c>
      <c r="I188" s="134">
        <v>0</v>
      </c>
      <c r="J188" s="134" t="s">
        <v>2474</v>
      </c>
      <c r="K188" s="134" t="s">
        <v>2474</v>
      </c>
      <c r="L188" t="s">
        <v>2474</v>
      </c>
      <c r="M188" t="b">
        <v>0</v>
      </c>
      <c r="N188" t="s">
        <v>2474</v>
      </c>
    </row>
    <row r="189" spans="1:14" x14ac:dyDescent="0.25">
      <c r="A189" s="23">
        <v>0</v>
      </c>
      <c r="B189" s="23">
        <v>0</v>
      </c>
      <c r="C189" s="23" t="s">
        <v>2474</v>
      </c>
      <c r="D189" s="121" t="s">
        <v>2474</v>
      </c>
      <c r="E189" s="121" t="s">
        <v>2474</v>
      </c>
      <c r="F189" t="s">
        <v>198</v>
      </c>
      <c r="G189" s="11">
        <v>0</v>
      </c>
      <c r="H189" s="134" t="s">
        <v>2474</v>
      </c>
      <c r="I189" s="134">
        <v>0</v>
      </c>
      <c r="J189" s="134" t="s">
        <v>2474</v>
      </c>
      <c r="K189" s="134" t="s">
        <v>2474</v>
      </c>
      <c r="L189" t="s">
        <v>2474</v>
      </c>
      <c r="M189" t="b">
        <v>0</v>
      </c>
      <c r="N189" t="s">
        <v>2474</v>
      </c>
    </row>
    <row r="190" spans="1:14" x14ac:dyDescent="0.25">
      <c r="A190" s="23">
        <v>0</v>
      </c>
      <c r="B190" s="23">
        <v>0</v>
      </c>
      <c r="C190" s="23" t="s">
        <v>2474</v>
      </c>
      <c r="D190" s="121" t="s">
        <v>2474</v>
      </c>
      <c r="E190" s="121" t="s">
        <v>2474</v>
      </c>
      <c r="F190" t="s">
        <v>198</v>
      </c>
      <c r="G190" s="11">
        <v>0</v>
      </c>
      <c r="H190" s="134" t="s">
        <v>2474</v>
      </c>
      <c r="I190" s="134">
        <v>0</v>
      </c>
      <c r="J190" s="134" t="s">
        <v>2474</v>
      </c>
      <c r="K190" s="134" t="s">
        <v>2474</v>
      </c>
      <c r="L190" t="s">
        <v>2474</v>
      </c>
      <c r="M190" t="b">
        <v>0</v>
      </c>
      <c r="N190" t="s">
        <v>2474</v>
      </c>
    </row>
    <row r="191" spans="1:14" x14ac:dyDescent="0.25">
      <c r="A191" s="23">
        <v>0</v>
      </c>
      <c r="B191" s="23">
        <v>0</v>
      </c>
      <c r="C191" s="23" t="s">
        <v>2474</v>
      </c>
      <c r="D191" s="121" t="s">
        <v>2474</v>
      </c>
      <c r="E191" s="121" t="s">
        <v>2474</v>
      </c>
      <c r="F191" t="s">
        <v>198</v>
      </c>
      <c r="G191" s="11">
        <v>0</v>
      </c>
      <c r="H191" s="134" t="s">
        <v>2474</v>
      </c>
      <c r="I191" s="134">
        <v>0</v>
      </c>
      <c r="J191" s="134" t="s">
        <v>2474</v>
      </c>
      <c r="K191" s="134" t="s">
        <v>2474</v>
      </c>
      <c r="L191" t="s">
        <v>2474</v>
      </c>
      <c r="M191" t="b">
        <v>0</v>
      </c>
      <c r="N191" t="s">
        <v>2474</v>
      </c>
    </row>
    <row r="192" spans="1:14" x14ac:dyDescent="0.25">
      <c r="A192" s="23">
        <v>0</v>
      </c>
      <c r="B192" s="23">
        <v>0</v>
      </c>
      <c r="C192" s="23" t="s">
        <v>2474</v>
      </c>
      <c r="D192" s="121" t="s">
        <v>2474</v>
      </c>
      <c r="E192" s="121" t="s">
        <v>2474</v>
      </c>
      <c r="F192" t="s">
        <v>198</v>
      </c>
      <c r="G192" s="11">
        <v>0</v>
      </c>
      <c r="H192" s="134" t="s">
        <v>2474</v>
      </c>
      <c r="I192" s="134">
        <v>0</v>
      </c>
      <c r="J192" s="134" t="s">
        <v>2474</v>
      </c>
      <c r="K192" s="134" t="s">
        <v>2474</v>
      </c>
      <c r="L192" t="s">
        <v>2474</v>
      </c>
      <c r="M192" t="b">
        <v>0</v>
      </c>
      <c r="N192" t="s">
        <v>2474</v>
      </c>
    </row>
    <row r="193" spans="1:14" x14ac:dyDescent="0.25">
      <c r="A193" s="23">
        <v>0</v>
      </c>
      <c r="B193" s="23">
        <v>0</v>
      </c>
      <c r="C193" s="23" t="s">
        <v>2474</v>
      </c>
      <c r="D193" s="121" t="s">
        <v>2474</v>
      </c>
      <c r="E193" s="121" t="s">
        <v>2474</v>
      </c>
      <c r="F193" t="s">
        <v>198</v>
      </c>
      <c r="G193" s="11">
        <v>0</v>
      </c>
      <c r="H193" s="134" t="s">
        <v>2474</v>
      </c>
      <c r="I193" s="134">
        <v>0</v>
      </c>
      <c r="J193" s="134" t="s">
        <v>2474</v>
      </c>
      <c r="K193" s="134" t="s">
        <v>2474</v>
      </c>
      <c r="L193" t="s">
        <v>2474</v>
      </c>
      <c r="M193" t="b">
        <v>0</v>
      </c>
      <c r="N193" t="s">
        <v>2474</v>
      </c>
    </row>
    <row r="194" spans="1:14" x14ac:dyDescent="0.25">
      <c r="A194" s="23">
        <v>0</v>
      </c>
      <c r="B194" s="23">
        <v>0</v>
      </c>
      <c r="C194" s="23" t="s">
        <v>2474</v>
      </c>
      <c r="D194" s="121" t="s">
        <v>2474</v>
      </c>
      <c r="E194" s="121" t="s">
        <v>2474</v>
      </c>
      <c r="F194" t="s">
        <v>198</v>
      </c>
      <c r="G194" s="11">
        <v>0</v>
      </c>
      <c r="H194" s="134" t="s">
        <v>2474</v>
      </c>
      <c r="I194" s="134">
        <v>0</v>
      </c>
      <c r="J194" s="134" t="s">
        <v>2474</v>
      </c>
      <c r="K194" s="134" t="s">
        <v>2474</v>
      </c>
      <c r="L194" t="s">
        <v>2474</v>
      </c>
      <c r="M194" t="b">
        <v>0</v>
      </c>
      <c r="N194" t="s">
        <v>2474</v>
      </c>
    </row>
    <row r="195" spans="1:14" x14ac:dyDescent="0.25">
      <c r="A195" s="23">
        <v>0</v>
      </c>
      <c r="B195" s="23">
        <v>0</v>
      </c>
      <c r="C195" s="23" t="s">
        <v>2474</v>
      </c>
      <c r="D195" s="121" t="s">
        <v>2474</v>
      </c>
      <c r="E195" s="121" t="s">
        <v>2474</v>
      </c>
      <c r="F195" t="s">
        <v>198</v>
      </c>
      <c r="G195" s="11">
        <v>0</v>
      </c>
      <c r="H195" s="134" t="s">
        <v>2474</v>
      </c>
      <c r="I195" s="134">
        <v>0</v>
      </c>
      <c r="J195" s="134" t="s">
        <v>2474</v>
      </c>
      <c r="K195" s="134" t="s">
        <v>2474</v>
      </c>
      <c r="L195" t="s">
        <v>2474</v>
      </c>
      <c r="M195" t="b">
        <v>0</v>
      </c>
      <c r="N195" t="s">
        <v>2474</v>
      </c>
    </row>
    <row r="196" spans="1:14" x14ac:dyDescent="0.25">
      <c r="A196" s="23">
        <v>0</v>
      </c>
      <c r="B196" s="23">
        <v>0</v>
      </c>
      <c r="C196" s="23" t="s">
        <v>2474</v>
      </c>
      <c r="D196" s="121" t="s">
        <v>2474</v>
      </c>
      <c r="E196" s="121" t="s">
        <v>2474</v>
      </c>
      <c r="F196" t="s">
        <v>198</v>
      </c>
      <c r="G196" s="11">
        <v>0</v>
      </c>
      <c r="H196" s="134" t="s">
        <v>2474</v>
      </c>
      <c r="I196" s="134">
        <v>0</v>
      </c>
      <c r="J196" s="134" t="s">
        <v>2474</v>
      </c>
      <c r="K196" s="134" t="s">
        <v>2474</v>
      </c>
      <c r="L196" t="s">
        <v>2474</v>
      </c>
      <c r="M196" t="b">
        <v>0</v>
      </c>
      <c r="N196" t="s">
        <v>2474</v>
      </c>
    </row>
    <row r="197" spans="1:14" x14ac:dyDescent="0.25">
      <c r="A197" s="23">
        <v>0</v>
      </c>
      <c r="B197" s="23">
        <v>0</v>
      </c>
      <c r="C197" s="23" t="s">
        <v>2474</v>
      </c>
      <c r="D197" s="121" t="s">
        <v>2474</v>
      </c>
      <c r="E197" s="121" t="s">
        <v>2474</v>
      </c>
      <c r="F197" t="s">
        <v>198</v>
      </c>
      <c r="G197" s="11">
        <v>0</v>
      </c>
      <c r="H197" s="134" t="s">
        <v>2474</v>
      </c>
      <c r="I197" s="134">
        <v>0</v>
      </c>
      <c r="J197" s="134" t="s">
        <v>2474</v>
      </c>
      <c r="K197" s="134" t="s">
        <v>2474</v>
      </c>
      <c r="L197" t="s">
        <v>2474</v>
      </c>
      <c r="M197" t="b">
        <v>0</v>
      </c>
      <c r="N197" t="s">
        <v>2474</v>
      </c>
    </row>
    <row r="198" spans="1:14" x14ac:dyDescent="0.25">
      <c r="A198" s="23">
        <v>0</v>
      </c>
      <c r="B198" s="23">
        <v>0</v>
      </c>
      <c r="C198" s="23" t="s">
        <v>2474</v>
      </c>
      <c r="D198" s="121" t="s">
        <v>2474</v>
      </c>
      <c r="E198" s="121" t="s">
        <v>2474</v>
      </c>
      <c r="F198" t="s">
        <v>198</v>
      </c>
      <c r="G198" s="11">
        <v>0</v>
      </c>
      <c r="H198" s="134" t="s">
        <v>2474</v>
      </c>
      <c r="I198" s="134">
        <v>0</v>
      </c>
      <c r="J198" s="134" t="s">
        <v>2474</v>
      </c>
      <c r="K198" s="134" t="s">
        <v>2474</v>
      </c>
      <c r="L198" t="s">
        <v>2474</v>
      </c>
      <c r="M198" t="b">
        <v>0</v>
      </c>
      <c r="N198" t="s">
        <v>2474</v>
      </c>
    </row>
    <row r="199" spans="1:14" x14ac:dyDescent="0.25">
      <c r="A199" s="23">
        <v>0</v>
      </c>
      <c r="B199" s="23">
        <v>0</v>
      </c>
      <c r="C199" s="23" t="s">
        <v>2474</v>
      </c>
      <c r="D199" s="121" t="s">
        <v>2474</v>
      </c>
      <c r="E199" s="121" t="s">
        <v>2474</v>
      </c>
      <c r="F199" t="s">
        <v>198</v>
      </c>
      <c r="G199" s="11">
        <v>0</v>
      </c>
      <c r="H199" s="134" t="s">
        <v>2474</v>
      </c>
      <c r="I199" s="134">
        <v>0</v>
      </c>
      <c r="J199" s="134" t="s">
        <v>2474</v>
      </c>
      <c r="K199" s="134" t="s">
        <v>2474</v>
      </c>
      <c r="L199" t="s">
        <v>2474</v>
      </c>
      <c r="M199" t="b">
        <v>0</v>
      </c>
      <c r="N199" t="s">
        <v>2474</v>
      </c>
    </row>
    <row r="200" spans="1:14" x14ac:dyDescent="0.25">
      <c r="A200" s="23">
        <v>0</v>
      </c>
      <c r="B200" s="23">
        <v>0</v>
      </c>
      <c r="C200" s="23" t="s">
        <v>2474</v>
      </c>
      <c r="D200" s="121" t="s">
        <v>2474</v>
      </c>
      <c r="E200" s="121" t="s">
        <v>2474</v>
      </c>
      <c r="F200" t="s">
        <v>198</v>
      </c>
      <c r="G200" s="11">
        <v>0</v>
      </c>
      <c r="H200" s="134" t="s">
        <v>2474</v>
      </c>
      <c r="I200" s="134">
        <v>0</v>
      </c>
      <c r="J200" s="134" t="s">
        <v>2474</v>
      </c>
      <c r="K200" s="134" t="s">
        <v>2474</v>
      </c>
      <c r="L200" t="s">
        <v>2474</v>
      </c>
      <c r="M200" t="b">
        <v>0</v>
      </c>
      <c r="N200" t="s">
        <v>2474</v>
      </c>
    </row>
    <row r="201" spans="1:14" x14ac:dyDescent="0.25">
      <c r="A201" s="23">
        <v>0</v>
      </c>
      <c r="B201" s="23">
        <v>0</v>
      </c>
      <c r="C201" s="23" t="s">
        <v>2474</v>
      </c>
      <c r="D201" s="121" t="s">
        <v>2474</v>
      </c>
      <c r="E201" s="121" t="s">
        <v>2474</v>
      </c>
      <c r="F201" t="s">
        <v>198</v>
      </c>
      <c r="G201" s="11">
        <v>0</v>
      </c>
      <c r="H201" s="134" t="s">
        <v>2474</v>
      </c>
      <c r="I201" s="134">
        <v>0</v>
      </c>
      <c r="J201" s="134" t="s">
        <v>2474</v>
      </c>
      <c r="K201" s="134" t="s">
        <v>2474</v>
      </c>
      <c r="L201" t="s">
        <v>2474</v>
      </c>
      <c r="M201" t="b">
        <v>0</v>
      </c>
      <c r="N201" t="s">
        <v>2474</v>
      </c>
    </row>
    <row r="202" spans="1:14" x14ac:dyDescent="0.25">
      <c r="A202" s="23">
        <v>0</v>
      </c>
      <c r="B202" s="23">
        <v>0</v>
      </c>
      <c r="C202" s="23" t="s">
        <v>2474</v>
      </c>
      <c r="D202" s="121" t="s">
        <v>2474</v>
      </c>
      <c r="E202" s="121" t="s">
        <v>2474</v>
      </c>
      <c r="F202" t="s">
        <v>198</v>
      </c>
      <c r="G202" s="11">
        <v>0</v>
      </c>
      <c r="H202" s="134" t="s">
        <v>2474</v>
      </c>
      <c r="I202" s="134">
        <v>0</v>
      </c>
      <c r="J202" s="134" t="s">
        <v>2474</v>
      </c>
      <c r="K202" s="134" t="s">
        <v>2474</v>
      </c>
      <c r="L202" t="s">
        <v>2474</v>
      </c>
      <c r="M202" t="b">
        <v>0</v>
      </c>
      <c r="N202" t="s">
        <v>2474</v>
      </c>
    </row>
    <row r="203" spans="1:14" x14ac:dyDescent="0.25">
      <c r="A203" s="23">
        <v>0</v>
      </c>
      <c r="B203" s="23">
        <v>0</v>
      </c>
      <c r="C203" s="23" t="s">
        <v>2474</v>
      </c>
      <c r="D203" s="121" t="s">
        <v>2474</v>
      </c>
      <c r="E203" s="121" t="s">
        <v>2474</v>
      </c>
      <c r="F203" t="s">
        <v>198</v>
      </c>
      <c r="G203" s="11">
        <v>0</v>
      </c>
      <c r="H203" s="134" t="s">
        <v>2474</v>
      </c>
      <c r="I203" s="134">
        <v>0</v>
      </c>
      <c r="J203" s="134" t="s">
        <v>2474</v>
      </c>
      <c r="K203" s="134" t="s">
        <v>2474</v>
      </c>
      <c r="L203" t="s">
        <v>2474</v>
      </c>
      <c r="M203" t="b">
        <v>0</v>
      </c>
      <c r="N203" t="s">
        <v>2474</v>
      </c>
    </row>
    <row r="204" spans="1:14" x14ac:dyDescent="0.25">
      <c r="A204" s="23">
        <v>0</v>
      </c>
      <c r="B204" s="23">
        <v>0</v>
      </c>
      <c r="C204" s="23" t="s">
        <v>2474</v>
      </c>
      <c r="D204" s="121" t="s">
        <v>2474</v>
      </c>
      <c r="E204" s="121" t="s">
        <v>2474</v>
      </c>
      <c r="F204" t="s">
        <v>198</v>
      </c>
      <c r="G204" s="11">
        <v>0</v>
      </c>
      <c r="H204" s="134" t="s">
        <v>2474</v>
      </c>
      <c r="I204" s="134">
        <v>0</v>
      </c>
      <c r="J204" s="134" t="s">
        <v>2474</v>
      </c>
      <c r="K204" s="134" t="s">
        <v>2474</v>
      </c>
      <c r="L204" t="s">
        <v>2474</v>
      </c>
      <c r="M204" t="b">
        <v>0</v>
      </c>
      <c r="N204" t="s">
        <v>2474</v>
      </c>
    </row>
    <row r="205" spans="1:14" x14ac:dyDescent="0.25">
      <c r="A205" s="23">
        <v>0</v>
      </c>
      <c r="B205" s="23">
        <v>0</v>
      </c>
      <c r="C205" s="23" t="s">
        <v>2474</v>
      </c>
      <c r="D205" s="121" t="s">
        <v>2474</v>
      </c>
      <c r="E205" s="121" t="s">
        <v>2474</v>
      </c>
      <c r="F205" t="s">
        <v>198</v>
      </c>
      <c r="G205" s="11">
        <v>0</v>
      </c>
      <c r="H205" s="134" t="s">
        <v>2474</v>
      </c>
      <c r="I205" s="134">
        <v>0</v>
      </c>
      <c r="J205" s="134" t="s">
        <v>2474</v>
      </c>
      <c r="K205" s="134" t="s">
        <v>2474</v>
      </c>
      <c r="L205" t="s">
        <v>2474</v>
      </c>
      <c r="M205" t="b">
        <v>0</v>
      </c>
      <c r="N205" t="s">
        <v>2474</v>
      </c>
    </row>
    <row r="206" spans="1:14" x14ac:dyDescent="0.25">
      <c r="A206" s="23">
        <v>0</v>
      </c>
      <c r="B206" s="23">
        <v>0</v>
      </c>
      <c r="C206" s="23" t="s">
        <v>2474</v>
      </c>
      <c r="D206" s="121" t="s">
        <v>2474</v>
      </c>
      <c r="E206" s="121" t="s">
        <v>2474</v>
      </c>
      <c r="F206" t="s">
        <v>198</v>
      </c>
      <c r="G206" s="11">
        <v>0</v>
      </c>
      <c r="H206" s="134" t="s">
        <v>2474</v>
      </c>
      <c r="I206" s="134">
        <v>0</v>
      </c>
      <c r="J206" s="134" t="s">
        <v>2474</v>
      </c>
      <c r="K206" s="134" t="s">
        <v>2474</v>
      </c>
      <c r="L206" t="s">
        <v>2474</v>
      </c>
      <c r="M206" t="b">
        <v>0</v>
      </c>
      <c r="N206" t="s">
        <v>2474</v>
      </c>
    </row>
    <row r="207" spans="1:14" x14ac:dyDescent="0.25">
      <c r="A207" s="23">
        <v>0</v>
      </c>
      <c r="B207" s="23">
        <v>0</v>
      </c>
      <c r="C207" s="23" t="s">
        <v>2474</v>
      </c>
      <c r="D207" s="121" t="s">
        <v>2474</v>
      </c>
      <c r="E207" s="121" t="s">
        <v>2474</v>
      </c>
      <c r="F207" t="s">
        <v>198</v>
      </c>
      <c r="G207" s="11">
        <v>0</v>
      </c>
      <c r="H207" s="134" t="s">
        <v>2474</v>
      </c>
      <c r="I207" s="134">
        <v>0</v>
      </c>
      <c r="J207" s="134" t="s">
        <v>2474</v>
      </c>
      <c r="K207" s="134" t="s">
        <v>2474</v>
      </c>
      <c r="L207" t="s">
        <v>2474</v>
      </c>
      <c r="M207" t="b">
        <v>0</v>
      </c>
      <c r="N207" t="s">
        <v>2474</v>
      </c>
    </row>
    <row r="208" spans="1:14" x14ac:dyDescent="0.25">
      <c r="A208" s="23">
        <v>0</v>
      </c>
      <c r="B208" s="23">
        <v>0</v>
      </c>
      <c r="C208" s="23" t="s">
        <v>2474</v>
      </c>
      <c r="D208" s="121" t="s">
        <v>2474</v>
      </c>
      <c r="E208" s="121" t="s">
        <v>2474</v>
      </c>
      <c r="F208" t="s">
        <v>198</v>
      </c>
      <c r="G208" s="11">
        <v>0</v>
      </c>
      <c r="H208" s="134" t="s">
        <v>2474</v>
      </c>
      <c r="I208" s="134">
        <v>0</v>
      </c>
      <c r="J208" s="134" t="s">
        <v>2474</v>
      </c>
      <c r="K208" s="134" t="s">
        <v>2474</v>
      </c>
      <c r="L208" t="s">
        <v>2474</v>
      </c>
      <c r="M208" t="b">
        <v>0</v>
      </c>
      <c r="N208" t="s">
        <v>2474</v>
      </c>
    </row>
    <row r="209" spans="1:14" x14ac:dyDescent="0.25">
      <c r="A209" s="23">
        <v>0</v>
      </c>
      <c r="B209" s="23">
        <v>0</v>
      </c>
      <c r="C209" s="23" t="s">
        <v>2474</v>
      </c>
      <c r="D209" s="121" t="s">
        <v>2474</v>
      </c>
      <c r="E209" s="121" t="s">
        <v>2474</v>
      </c>
      <c r="F209" t="s">
        <v>198</v>
      </c>
      <c r="G209" s="11">
        <v>0</v>
      </c>
      <c r="H209" s="134" t="s">
        <v>2474</v>
      </c>
      <c r="I209" s="134">
        <v>0</v>
      </c>
      <c r="J209" s="134" t="s">
        <v>2474</v>
      </c>
      <c r="K209" s="134" t="s">
        <v>2474</v>
      </c>
      <c r="L209" t="s">
        <v>2474</v>
      </c>
      <c r="M209" t="b">
        <v>0</v>
      </c>
      <c r="N209" t="s">
        <v>2474</v>
      </c>
    </row>
    <row r="210" spans="1:14" x14ac:dyDescent="0.25">
      <c r="A210" s="23">
        <v>0</v>
      </c>
      <c r="B210" s="23">
        <v>0</v>
      </c>
      <c r="C210" s="23" t="s">
        <v>2474</v>
      </c>
      <c r="D210" s="121" t="s">
        <v>2474</v>
      </c>
      <c r="E210" s="121" t="s">
        <v>2474</v>
      </c>
      <c r="F210" t="s">
        <v>198</v>
      </c>
      <c r="G210" s="11">
        <v>0</v>
      </c>
      <c r="H210" s="134" t="s">
        <v>2474</v>
      </c>
      <c r="I210" s="134">
        <v>0</v>
      </c>
      <c r="J210" s="134" t="s">
        <v>2474</v>
      </c>
      <c r="K210" s="134" t="s">
        <v>2474</v>
      </c>
      <c r="L210" t="s">
        <v>2474</v>
      </c>
      <c r="M210" t="b">
        <v>0</v>
      </c>
      <c r="N210" t="s">
        <v>2474</v>
      </c>
    </row>
    <row r="211" spans="1:14" x14ac:dyDescent="0.25">
      <c r="A211" s="23">
        <v>0</v>
      </c>
      <c r="B211" s="23">
        <v>0</v>
      </c>
      <c r="C211" s="23" t="s">
        <v>2474</v>
      </c>
      <c r="D211" s="121" t="s">
        <v>2474</v>
      </c>
      <c r="E211" s="121" t="s">
        <v>2474</v>
      </c>
      <c r="F211" t="s">
        <v>198</v>
      </c>
      <c r="G211" s="11">
        <v>0</v>
      </c>
      <c r="H211" s="134" t="s">
        <v>2474</v>
      </c>
      <c r="I211" s="134">
        <v>0</v>
      </c>
      <c r="J211" s="134" t="s">
        <v>2474</v>
      </c>
      <c r="K211" s="134" t="s">
        <v>2474</v>
      </c>
      <c r="L211" t="s">
        <v>2474</v>
      </c>
      <c r="M211" t="b">
        <v>0</v>
      </c>
      <c r="N211" t="s">
        <v>2474</v>
      </c>
    </row>
    <row r="212" spans="1:14" x14ac:dyDescent="0.25">
      <c r="A212" s="23">
        <v>0</v>
      </c>
      <c r="B212" s="23">
        <v>0</v>
      </c>
      <c r="C212" s="23" t="s">
        <v>2474</v>
      </c>
      <c r="D212" s="121" t="s">
        <v>2474</v>
      </c>
      <c r="E212" s="121" t="s">
        <v>2474</v>
      </c>
      <c r="F212" t="s">
        <v>198</v>
      </c>
      <c r="G212" s="11">
        <v>0</v>
      </c>
      <c r="H212" s="134" t="s">
        <v>2474</v>
      </c>
      <c r="I212" s="134">
        <v>0</v>
      </c>
      <c r="J212" s="134" t="s">
        <v>2474</v>
      </c>
      <c r="K212" s="134" t="s">
        <v>2474</v>
      </c>
      <c r="L212" t="s">
        <v>2474</v>
      </c>
      <c r="M212" t="b">
        <v>0</v>
      </c>
      <c r="N212" t="s">
        <v>2474</v>
      </c>
    </row>
    <row r="213" spans="1:14" x14ac:dyDescent="0.25">
      <c r="A213" s="23">
        <v>0</v>
      </c>
      <c r="B213" s="23">
        <v>0</v>
      </c>
      <c r="C213" s="23" t="s">
        <v>2474</v>
      </c>
      <c r="D213" s="121" t="s">
        <v>2474</v>
      </c>
      <c r="E213" s="121" t="s">
        <v>2474</v>
      </c>
      <c r="F213" t="s">
        <v>198</v>
      </c>
      <c r="G213" s="11">
        <v>0</v>
      </c>
      <c r="H213" s="134" t="s">
        <v>2474</v>
      </c>
      <c r="I213" s="134">
        <v>0</v>
      </c>
      <c r="J213" s="134" t="s">
        <v>2474</v>
      </c>
      <c r="K213" s="134" t="s">
        <v>2474</v>
      </c>
      <c r="L213" t="s">
        <v>2474</v>
      </c>
      <c r="M213" t="b">
        <v>0</v>
      </c>
      <c r="N213" t="s">
        <v>2474</v>
      </c>
    </row>
    <row r="214" spans="1:14" x14ac:dyDescent="0.25">
      <c r="A214" s="23">
        <v>0</v>
      </c>
      <c r="B214" s="23">
        <v>0</v>
      </c>
      <c r="C214" s="23" t="s">
        <v>2474</v>
      </c>
      <c r="D214" s="121" t="s">
        <v>2474</v>
      </c>
      <c r="E214" s="121" t="s">
        <v>2474</v>
      </c>
      <c r="F214" t="s">
        <v>198</v>
      </c>
      <c r="G214" s="11">
        <v>0</v>
      </c>
      <c r="H214" s="134" t="s">
        <v>2474</v>
      </c>
      <c r="I214" s="134">
        <v>0</v>
      </c>
      <c r="J214" s="134" t="s">
        <v>2474</v>
      </c>
      <c r="K214" s="134" t="s">
        <v>2474</v>
      </c>
      <c r="L214" t="s">
        <v>2474</v>
      </c>
      <c r="M214" t="b">
        <v>0</v>
      </c>
      <c r="N214" t="s">
        <v>2474</v>
      </c>
    </row>
    <row r="215" spans="1:14" x14ac:dyDescent="0.25">
      <c r="A215" s="23">
        <v>0</v>
      </c>
      <c r="B215" s="23">
        <v>0</v>
      </c>
      <c r="C215" s="23" t="s">
        <v>2474</v>
      </c>
      <c r="D215" s="121" t="s">
        <v>2474</v>
      </c>
      <c r="E215" s="121" t="s">
        <v>2474</v>
      </c>
      <c r="F215" t="s">
        <v>198</v>
      </c>
      <c r="G215" s="11">
        <v>0</v>
      </c>
      <c r="H215" s="134" t="s">
        <v>2474</v>
      </c>
      <c r="I215" s="134">
        <v>0</v>
      </c>
      <c r="J215" s="134" t="s">
        <v>2474</v>
      </c>
      <c r="K215" s="134" t="s">
        <v>2474</v>
      </c>
      <c r="L215" t="s">
        <v>2474</v>
      </c>
      <c r="M215" t="b">
        <v>0</v>
      </c>
      <c r="N215" t="s">
        <v>2474</v>
      </c>
    </row>
    <row r="216" spans="1:14" x14ac:dyDescent="0.25">
      <c r="A216" s="23">
        <v>0</v>
      </c>
      <c r="B216" s="23">
        <v>0</v>
      </c>
      <c r="C216" s="23" t="s">
        <v>2474</v>
      </c>
      <c r="D216" s="121" t="s">
        <v>2474</v>
      </c>
      <c r="E216" s="121" t="s">
        <v>2474</v>
      </c>
      <c r="F216" t="s">
        <v>198</v>
      </c>
      <c r="G216" s="11">
        <v>0</v>
      </c>
      <c r="H216" s="134" t="s">
        <v>2474</v>
      </c>
      <c r="I216" s="134">
        <v>0</v>
      </c>
      <c r="J216" s="134" t="s">
        <v>2474</v>
      </c>
      <c r="K216" s="134" t="s">
        <v>2474</v>
      </c>
      <c r="L216" t="s">
        <v>2474</v>
      </c>
      <c r="M216" t="b">
        <v>0</v>
      </c>
      <c r="N216" t="s">
        <v>2474</v>
      </c>
    </row>
    <row r="217" spans="1:14" x14ac:dyDescent="0.25">
      <c r="A217" s="23">
        <v>0</v>
      </c>
      <c r="B217" s="23">
        <v>0</v>
      </c>
      <c r="C217" s="23" t="s">
        <v>2474</v>
      </c>
      <c r="D217" s="121" t="s">
        <v>2474</v>
      </c>
      <c r="E217" s="121" t="s">
        <v>2474</v>
      </c>
      <c r="F217" t="s">
        <v>198</v>
      </c>
      <c r="G217" s="11">
        <v>0</v>
      </c>
      <c r="H217" s="134" t="s">
        <v>2474</v>
      </c>
      <c r="I217" s="134">
        <v>0</v>
      </c>
      <c r="J217" s="134" t="s">
        <v>2474</v>
      </c>
      <c r="K217" s="134" t="s">
        <v>2474</v>
      </c>
      <c r="L217" t="s">
        <v>2474</v>
      </c>
      <c r="M217" t="b">
        <v>0</v>
      </c>
      <c r="N217" t="s">
        <v>2474</v>
      </c>
    </row>
    <row r="218" spans="1:14" x14ac:dyDescent="0.25">
      <c r="A218" s="23">
        <v>0</v>
      </c>
      <c r="B218" s="23">
        <v>0</v>
      </c>
      <c r="C218" s="23" t="s">
        <v>2474</v>
      </c>
      <c r="D218" s="121" t="s">
        <v>2474</v>
      </c>
      <c r="E218" s="121" t="s">
        <v>2474</v>
      </c>
      <c r="F218" t="s">
        <v>198</v>
      </c>
      <c r="G218" s="11">
        <v>0</v>
      </c>
      <c r="H218" s="134" t="s">
        <v>2474</v>
      </c>
      <c r="I218" s="134">
        <v>0</v>
      </c>
      <c r="J218" s="134" t="s">
        <v>2474</v>
      </c>
      <c r="K218" s="134" t="s">
        <v>2474</v>
      </c>
      <c r="L218" t="s">
        <v>2474</v>
      </c>
      <c r="M218" t="b">
        <v>0</v>
      </c>
      <c r="N218" t="s">
        <v>2474</v>
      </c>
    </row>
    <row r="219" spans="1:14" x14ac:dyDescent="0.25">
      <c r="A219" s="23">
        <v>0</v>
      </c>
      <c r="B219" s="23">
        <v>0</v>
      </c>
      <c r="C219" s="23" t="s">
        <v>2474</v>
      </c>
      <c r="D219" s="121" t="s">
        <v>2474</v>
      </c>
      <c r="E219" s="121" t="s">
        <v>2474</v>
      </c>
      <c r="F219" t="s">
        <v>198</v>
      </c>
      <c r="G219" s="11">
        <v>0</v>
      </c>
      <c r="H219" s="134" t="s">
        <v>2474</v>
      </c>
      <c r="I219" s="134">
        <v>0</v>
      </c>
      <c r="J219" s="134" t="s">
        <v>2474</v>
      </c>
      <c r="K219" s="134" t="s">
        <v>2474</v>
      </c>
      <c r="L219" t="s">
        <v>2474</v>
      </c>
      <c r="M219" t="b">
        <v>0</v>
      </c>
      <c r="N219" t="s">
        <v>2474</v>
      </c>
    </row>
    <row r="220" spans="1:14" x14ac:dyDescent="0.25">
      <c r="A220" s="23">
        <v>0</v>
      </c>
      <c r="B220" s="23">
        <v>0</v>
      </c>
      <c r="C220" s="23" t="s">
        <v>2474</v>
      </c>
      <c r="D220" s="121" t="s">
        <v>2474</v>
      </c>
      <c r="E220" s="121" t="s">
        <v>2474</v>
      </c>
      <c r="F220" t="s">
        <v>198</v>
      </c>
      <c r="G220" s="11">
        <v>0</v>
      </c>
      <c r="H220" s="134" t="s">
        <v>2474</v>
      </c>
      <c r="I220" s="134">
        <v>0</v>
      </c>
      <c r="J220" s="134" t="s">
        <v>2474</v>
      </c>
      <c r="K220" s="134" t="s">
        <v>2474</v>
      </c>
      <c r="L220" t="s">
        <v>2474</v>
      </c>
      <c r="M220" t="b">
        <v>0</v>
      </c>
      <c r="N220" t="s">
        <v>2474</v>
      </c>
    </row>
    <row r="221" spans="1:14" x14ac:dyDescent="0.25">
      <c r="A221" s="23">
        <v>0</v>
      </c>
      <c r="B221" s="23">
        <v>0</v>
      </c>
      <c r="C221" s="23" t="s">
        <v>2474</v>
      </c>
      <c r="D221" s="121" t="s">
        <v>2474</v>
      </c>
      <c r="E221" s="121" t="s">
        <v>2474</v>
      </c>
      <c r="F221" t="s">
        <v>198</v>
      </c>
      <c r="G221" s="11">
        <v>0</v>
      </c>
      <c r="H221" s="134" t="s">
        <v>2474</v>
      </c>
      <c r="I221" s="134">
        <v>0</v>
      </c>
      <c r="J221" s="134" t="s">
        <v>2474</v>
      </c>
      <c r="K221" s="134" t="s">
        <v>2474</v>
      </c>
      <c r="L221" t="s">
        <v>2474</v>
      </c>
      <c r="M221" t="b">
        <v>0</v>
      </c>
      <c r="N221" t="s">
        <v>2474</v>
      </c>
    </row>
    <row r="222" spans="1:14" x14ac:dyDescent="0.25">
      <c r="A222" s="23">
        <v>0</v>
      </c>
      <c r="B222" s="23">
        <v>0</v>
      </c>
      <c r="C222" s="23" t="s">
        <v>2474</v>
      </c>
      <c r="D222" s="121" t="s">
        <v>2474</v>
      </c>
      <c r="E222" s="121" t="s">
        <v>2474</v>
      </c>
      <c r="F222" t="s">
        <v>198</v>
      </c>
      <c r="G222" s="11">
        <v>0</v>
      </c>
      <c r="H222" s="134" t="s">
        <v>2474</v>
      </c>
      <c r="I222" s="134">
        <v>0</v>
      </c>
      <c r="J222" s="134" t="s">
        <v>2474</v>
      </c>
      <c r="K222" s="134" t="s">
        <v>2474</v>
      </c>
      <c r="L222" t="s">
        <v>2474</v>
      </c>
      <c r="M222" t="b">
        <v>0</v>
      </c>
      <c r="N222" t="s">
        <v>2474</v>
      </c>
    </row>
    <row r="223" spans="1:14" x14ac:dyDescent="0.25">
      <c r="A223" s="23">
        <v>0</v>
      </c>
      <c r="B223" s="23">
        <v>0</v>
      </c>
      <c r="C223" s="23" t="s">
        <v>2474</v>
      </c>
      <c r="D223" s="121" t="s">
        <v>2474</v>
      </c>
      <c r="E223" s="121" t="s">
        <v>2474</v>
      </c>
      <c r="F223" t="s">
        <v>198</v>
      </c>
      <c r="G223" s="11">
        <v>0</v>
      </c>
      <c r="H223" s="134" t="s">
        <v>2474</v>
      </c>
      <c r="I223" s="134">
        <v>0</v>
      </c>
      <c r="J223" s="134" t="s">
        <v>2474</v>
      </c>
      <c r="K223" s="134" t="s">
        <v>2474</v>
      </c>
      <c r="L223" t="s">
        <v>2474</v>
      </c>
      <c r="M223" t="b">
        <v>0</v>
      </c>
      <c r="N223" t="s">
        <v>2474</v>
      </c>
    </row>
    <row r="224" spans="1:14" x14ac:dyDescent="0.25">
      <c r="A224" s="23">
        <v>0</v>
      </c>
      <c r="B224" s="23">
        <v>0</v>
      </c>
      <c r="C224" s="23" t="s">
        <v>2474</v>
      </c>
      <c r="D224" s="121" t="s">
        <v>2474</v>
      </c>
      <c r="E224" s="121" t="s">
        <v>2474</v>
      </c>
      <c r="F224" t="s">
        <v>198</v>
      </c>
      <c r="G224" s="11">
        <v>0</v>
      </c>
      <c r="H224" s="134" t="s">
        <v>2474</v>
      </c>
      <c r="I224" s="134">
        <v>0</v>
      </c>
      <c r="J224" s="134" t="s">
        <v>2474</v>
      </c>
      <c r="K224" s="134" t="s">
        <v>2474</v>
      </c>
      <c r="L224" t="s">
        <v>2474</v>
      </c>
      <c r="M224" t="b">
        <v>0</v>
      </c>
      <c r="N224" t="s">
        <v>2474</v>
      </c>
    </row>
    <row r="225" spans="1:14" x14ac:dyDescent="0.25">
      <c r="A225" s="23">
        <v>0</v>
      </c>
      <c r="B225" s="23">
        <v>0</v>
      </c>
      <c r="C225" s="23" t="s">
        <v>2474</v>
      </c>
      <c r="D225" s="121" t="s">
        <v>2474</v>
      </c>
      <c r="E225" s="121" t="s">
        <v>2474</v>
      </c>
      <c r="F225" t="s">
        <v>198</v>
      </c>
      <c r="G225" s="11">
        <v>0</v>
      </c>
      <c r="H225" s="134" t="s">
        <v>2474</v>
      </c>
      <c r="I225" s="134">
        <v>0</v>
      </c>
      <c r="J225" s="134" t="s">
        <v>2474</v>
      </c>
      <c r="K225" s="134" t="s">
        <v>2474</v>
      </c>
      <c r="L225" t="s">
        <v>2474</v>
      </c>
      <c r="M225" t="b">
        <v>0</v>
      </c>
      <c r="N225" t="s">
        <v>2474</v>
      </c>
    </row>
    <row r="226" spans="1:14" x14ac:dyDescent="0.25">
      <c r="A226" s="23">
        <v>0</v>
      </c>
      <c r="B226" s="23">
        <v>0</v>
      </c>
      <c r="C226" s="23" t="s">
        <v>2474</v>
      </c>
      <c r="D226" s="121" t="s">
        <v>2474</v>
      </c>
      <c r="E226" s="121" t="s">
        <v>2474</v>
      </c>
      <c r="F226" t="s">
        <v>198</v>
      </c>
      <c r="G226" s="11">
        <v>0</v>
      </c>
      <c r="H226" s="134" t="s">
        <v>2474</v>
      </c>
      <c r="I226" s="134">
        <v>0</v>
      </c>
      <c r="J226" s="134" t="s">
        <v>2474</v>
      </c>
      <c r="K226" s="134" t="s">
        <v>2474</v>
      </c>
      <c r="L226" t="s">
        <v>2474</v>
      </c>
      <c r="M226" t="b">
        <v>0</v>
      </c>
      <c r="N226" t="s">
        <v>2474</v>
      </c>
    </row>
    <row r="227" spans="1:14" x14ac:dyDescent="0.25">
      <c r="A227" s="23">
        <v>0</v>
      </c>
      <c r="B227" s="23">
        <v>0</v>
      </c>
      <c r="C227" s="23" t="s">
        <v>2474</v>
      </c>
      <c r="D227" s="121" t="s">
        <v>2474</v>
      </c>
      <c r="E227" s="121" t="s">
        <v>2474</v>
      </c>
      <c r="F227" t="s">
        <v>198</v>
      </c>
      <c r="G227" s="11">
        <v>0</v>
      </c>
      <c r="H227" s="134" t="s">
        <v>2474</v>
      </c>
      <c r="I227" s="134">
        <v>0</v>
      </c>
      <c r="J227" s="134" t="s">
        <v>2474</v>
      </c>
      <c r="K227" s="134" t="s">
        <v>2474</v>
      </c>
      <c r="L227" t="s">
        <v>2474</v>
      </c>
      <c r="M227" t="b">
        <v>0</v>
      </c>
      <c r="N227" t="s">
        <v>2474</v>
      </c>
    </row>
    <row r="228" spans="1:14" x14ac:dyDescent="0.25">
      <c r="A228" s="23">
        <v>0</v>
      </c>
      <c r="B228" s="23">
        <v>0</v>
      </c>
      <c r="C228" s="23" t="s">
        <v>2474</v>
      </c>
      <c r="D228" s="121" t="s">
        <v>2474</v>
      </c>
      <c r="E228" s="121" t="s">
        <v>2474</v>
      </c>
      <c r="F228" t="s">
        <v>198</v>
      </c>
      <c r="G228" s="11">
        <v>0</v>
      </c>
      <c r="H228" s="134" t="s">
        <v>2474</v>
      </c>
      <c r="I228" s="134">
        <v>0</v>
      </c>
      <c r="J228" s="134" t="s">
        <v>2474</v>
      </c>
      <c r="K228" s="134" t="s">
        <v>2474</v>
      </c>
      <c r="L228" t="s">
        <v>2474</v>
      </c>
      <c r="M228" t="b">
        <v>0</v>
      </c>
      <c r="N228" t="s">
        <v>2474</v>
      </c>
    </row>
    <row r="229" spans="1:14" x14ac:dyDescent="0.25">
      <c r="A229" s="23">
        <v>0</v>
      </c>
      <c r="B229" s="23">
        <v>0</v>
      </c>
      <c r="C229" s="23" t="s">
        <v>2474</v>
      </c>
      <c r="D229" s="121" t="s">
        <v>2474</v>
      </c>
      <c r="E229" s="121" t="s">
        <v>2474</v>
      </c>
      <c r="F229" t="s">
        <v>198</v>
      </c>
      <c r="G229" s="11">
        <v>0</v>
      </c>
      <c r="H229" s="134" t="s">
        <v>2474</v>
      </c>
      <c r="I229" s="134">
        <v>0</v>
      </c>
      <c r="J229" s="134" t="s">
        <v>2474</v>
      </c>
      <c r="K229" s="134" t="s">
        <v>2474</v>
      </c>
      <c r="L229" t="s">
        <v>2474</v>
      </c>
      <c r="M229" t="b">
        <v>0</v>
      </c>
      <c r="N229" t="s">
        <v>2474</v>
      </c>
    </row>
    <row r="230" spans="1:14" x14ac:dyDescent="0.25">
      <c r="A230" s="23">
        <v>0</v>
      </c>
      <c r="B230" s="23">
        <v>0</v>
      </c>
      <c r="C230" s="23" t="s">
        <v>2474</v>
      </c>
      <c r="D230" s="121" t="s">
        <v>2474</v>
      </c>
      <c r="E230" s="121" t="s">
        <v>2474</v>
      </c>
      <c r="F230" t="s">
        <v>198</v>
      </c>
      <c r="G230" s="11">
        <v>0</v>
      </c>
      <c r="H230" s="134" t="s">
        <v>2474</v>
      </c>
      <c r="I230" s="134">
        <v>0</v>
      </c>
      <c r="J230" s="134" t="s">
        <v>2474</v>
      </c>
      <c r="K230" s="134" t="s">
        <v>2474</v>
      </c>
      <c r="L230" t="s">
        <v>2474</v>
      </c>
      <c r="M230" t="b">
        <v>0</v>
      </c>
      <c r="N230" t="s">
        <v>2474</v>
      </c>
    </row>
    <row r="231" spans="1:14" x14ac:dyDescent="0.25">
      <c r="A231" s="23">
        <v>0</v>
      </c>
      <c r="B231" s="23">
        <v>0</v>
      </c>
      <c r="C231" s="23" t="s">
        <v>2474</v>
      </c>
      <c r="D231" s="121" t="s">
        <v>2474</v>
      </c>
      <c r="E231" s="121" t="s">
        <v>2474</v>
      </c>
      <c r="F231" t="s">
        <v>198</v>
      </c>
      <c r="G231" s="11">
        <v>0</v>
      </c>
      <c r="H231" s="134" t="s">
        <v>2474</v>
      </c>
      <c r="I231" s="134">
        <v>0</v>
      </c>
      <c r="J231" s="134" t="s">
        <v>2474</v>
      </c>
      <c r="K231" s="134" t="s">
        <v>2474</v>
      </c>
      <c r="L231" t="s">
        <v>2474</v>
      </c>
      <c r="M231" t="b">
        <v>0</v>
      </c>
      <c r="N231" t="s">
        <v>2474</v>
      </c>
    </row>
    <row r="232" spans="1:14" x14ac:dyDescent="0.25">
      <c r="A232" s="23">
        <v>0</v>
      </c>
      <c r="B232" s="23">
        <v>0</v>
      </c>
      <c r="C232" s="23" t="s">
        <v>2474</v>
      </c>
      <c r="D232" s="121" t="s">
        <v>2474</v>
      </c>
      <c r="E232" s="121" t="s">
        <v>2474</v>
      </c>
      <c r="F232" t="s">
        <v>198</v>
      </c>
      <c r="G232" s="11">
        <v>0</v>
      </c>
      <c r="H232" s="134" t="s">
        <v>2474</v>
      </c>
      <c r="I232" s="134">
        <v>0</v>
      </c>
      <c r="J232" s="134" t="s">
        <v>2474</v>
      </c>
      <c r="K232" s="134" t="s">
        <v>2474</v>
      </c>
      <c r="L232" t="s">
        <v>2474</v>
      </c>
      <c r="M232" t="b">
        <v>0</v>
      </c>
      <c r="N232" t="s">
        <v>2474</v>
      </c>
    </row>
    <row r="233" spans="1:14" x14ac:dyDescent="0.25">
      <c r="A233" s="23">
        <v>0</v>
      </c>
      <c r="B233" s="23">
        <v>0</v>
      </c>
      <c r="C233" s="23" t="s">
        <v>2474</v>
      </c>
      <c r="D233" s="121" t="s">
        <v>2474</v>
      </c>
      <c r="E233" s="121" t="s">
        <v>2474</v>
      </c>
      <c r="F233" t="s">
        <v>198</v>
      </c>
      <c r="G233" s="11">
        <v>0</v>
      </c>
      <c r="H233" s="134" t="s">
        <v>2474</v>
      </c>
      <c r="I233" s="134">
        <v>0</v>
      </c>
      <c r="J233" s="134" t="s">
        <v>2474</v>
      </c>
      <c r="K233" s="134" t="s">
        <v>2474</v>
      </c>
      <c r="L233" t="s">
        <v>2474</v>
      </c>
      <c r="M233" t="b">
        <v>0</v>
      </c>
      <c r="N233" t="s">
        <v>2474</v>
      </c>
    </row>
    <row r="234" spans="1:14" x14ac:dyDescent="0.25">
      <c r="A234" s="23">
        <v>0</v>
      </c>
      <c r="B234" s="23">
        <v>0</v>
      </c>
      <c r="C234" s="23" t="s">
        <v>2474</v>
      </c>
      <c r="D234" s="121" t="s">
        <v>2474</v>
      </c>
      <c r="E234" s="121" t="s">
        <v>2474</v>
      </c>
      <c r="F234" t="s">
        <v>198</v>
      </c>
      <c r="G234" s="11">
        <v>0</v>
      </c>
      <c r="H234" s="134" t="s">
        <v>2474</v>
      </c>
      <c r="I234" s="134">
        <v>0</v>
      </c>
      <c r="J234" s="134" t="s">
        <v>2474</v>
      </c>
      <c r="K234" s="134" t="s">
        <v>2474</v>
      </c>
      <c r="L234" t="s">
        <v>2474</v>
      </c>
      <c r="M234" t="b">
        <v>0</v>
      </c>
      <c r="N234" t="s">
        <v>2474</v>
      </c>
    </row>
    <row r="235" spans="1:14" x14ac:dyDescent="0.25">
      <c r="A235" s="23">
        <v>0</v>
      </c>
      <c r="B235" s="23">
        <v>0</v>
      </c>
      <c r="C235" s="23" t="s">
        <v>2474</v>
      </c>
      <c r="D235" s="121" t="s">
        <v>2474</v>
      </c>
      <c r="E235" s="121" t="s">
        <v>2474</v>
      </c>
      <c r="F235" t="s">
        <v>198</v>
      </c>
      <c r="G235" s="11">
        <v>0</v>
      </c>
      <c r="H235" s="134" t="s">
        <v>2474</v>
      </c>
      <c r="I235" s="134">
        <v>0</v>
      </c>
      <c r="J235" s="134" t="s">
        <v>2474</v>
      </c>
      <c r="K235" s="134" t="s">
        <v>2474</v>
      </c>
      <c r="L235" t="s">
        <v>2474</v>
      </c>
      <c r="M235" t="b">
        <v>0</v>
      </c>
      <c r="N235" t="s">
        <v>2474</v>
      </c>
    </row>
    <row r="236" spans="1:14" x14ac:dyDescent="0.25">
      <c r="A236" s="23">
        <v>0</v>
      </c>
      <c r="B236" s="23">
        <v>0</v>
      </c>
      <c r="C236" s="23" t="s">
        <v>2474</v>
      </c>
      <c r="D236" s="121" t="s">
        <v>2474</v>
      </c>
      <c r="E236" s="121" t="s">
        <v>2474</v>
      </c>
      <c r="F236" t="s">
        <v>198</v>
      </c>
      <c r="G236" s="11">
        <v>0</v>
      </c>
      <c r="H236" s="134" t="s">
        <v>2474</v>
      </c>
      <c r="I236" s="134">
        <v>0</v>
      </c>
      <c r="J236" s="134" t="s">
        <v>2474</v>
      </c>
      <c r="K236" s="134" t="s">
        <v>2474</v>
      </c>
      <c r="L236" t="s">
        <v>2474</v>
      </c>
      <c r="M236" t="b">
        <v>0</v>
      </c>
      <c r="N236" t="s">
        <v>2474</v>
      </c>
    </row>
    <row r="237" spans="1:14" x14ac:dyDescent="0.25">
      <c r="A237" s="23">
        <v>0</v>
      </c>
      <c r="B237" s="23">
        <v>0</v>
      </c>
      <c r="C237" s="23" t="s">
        <v>2474</v>
      </c>
      <c r="D237" s="121" t="s">
        <v>2474</v>
      </c>
      <c r="E237" s="121" t="s">
        <v>2474</v>
      </c>
      <c r="F237" t="s">
        <v>198</v>
      </c>
      <c r="G237" s="11">
        <v>0</v>
      </c>
      <c r="H237" s="134" t="s">
        <v>2474</v>
      </c>
      <c r="I237" s="134">
        <v>0</v>
      </c>
      <c r="J237" s="134" t="s">
        <v>2474</v>
      </c>
      <c r="K237" s="134" t="s">
        <v>2474</v>
      </c>
      <c r="L237" t="s">
        <v>2474</v>
      </c>
      <c r="M237" t="b">
        <v>0</v>
      </c>
      <c r="N237" t="s">
        <v>2474</v>
      </c>
    </row>
    <row r="238" spans="1:14" x14ac:dyDescent="0.25">
      <c r="A238" s="23">
        <v>0</v>
      </c>
      <c r="B238" s="23">
        <v>0</v>
      </c>
      <c r="C238" s="23" t="s">
        <v>2474</v>
      </c>
      <c r="D238" s="121" t="s">
        <v>2474</v>
      </c>
      <c r="E238" s="121" t="s">
        <v>2474</v>
      </c>
      <c r="F238" t="s">
        <v>198</v>
      </c>
      <c r="G238" s="11">
        <v>0</v>
      </c>
      <c r="H238" s="134" t="s">
        <v>2474</v>
      </c>
      <c r="I238" s="134">
        <v>0</v>
      </c>
      <c r="J238" s="134" t="s">
        <v>2474</v>
      </c>
      <c r="K238" s="134" t="s">
        <v>2474</v>
      </c>
      <c r="L238" t="s">
        <v>2474</v>
      </c>
      <c r="M238" t="b">
        <v>0</v>
      </c>
      <c r="N238" t="s">
        <v>2474</v>
      </c>
    </row>
    <row r="239" spans="1:14" x14ac:dyDescent="0.25">
      <c r="A239" s="23">
        <v>0</v>
      </c>
      <c r="B239" s="23">
        <v>0</v>
      </c>
      <c r="C239" s="23" t="s">
        <v>2474</v>
      </c>
      <c r="D239" s="121" t="s">
        <v>2474</v>
      </c>
      <c r="E239" s="121" t="s">
        <v>2474</v>
      </c>
      <c r="F239" t="s">
        <v>198</v>
      </c>
      <c r="G239" s="11">
        <v>0</v>
      </c>
      <c r="H239" s="134" t="s">
        <v>2474</v>
      </c>
      <c r="I239" s="134">
        <v>0</v>
      </c>
      <c r="J239" s="134" t="s">
        <v>2474</v>
      </c>
      <c r="K239" s="134" t="s">
        <v>2474</v>
      </c>
      <c r="L239" t="s">
        <v>2474</v>
      </c>
      <c r="M239" t="b">
        <v>0</v>
      </c>
      <c r="N239" t="s">
        <v>2474</v>
      </c>
    </row>
    <row r="240" spans="1:14" x14ac:dyDescent="0.25">
      <c r="A240" s="23">
        <v>0</v>
      </c>
      <c r="B240" s="23">
        <v>0</v>
      </c>
      <c r="C240" s="23" t="s">
        <v>2474</v>
      </c>
      <c r="D240" s="121" t="s">
        <v>2474</v>
      </c>
      <c r="E240" s="121" t="s">
        <v>2474</v>
      </c>
      <c r="F240" t="s">
        <v>198</v>
      </c>
      <c r="G240" s="11">
        <v>0</v>
      </c>
      <c r="H240" s="134" t="s">
        <v>2474</v>
      </c>
      <c r="I240" s="134">
        <v>0</v>
      </c>
      <c r="J240" s="134" t="s">
        <v>2474</v>
      </c>
      <c r="K240" s="134" t="s">
        <v>2474</v>
      </c>
      <c r="L240" t="s">
        <v>2474</v>
      </c>
      <c r="M240" t="b">
        <v>0</v>
      </c>
      <c r="N240" t="s">
        <v>2474</v>
      </c>
    </row>
    <row r="241" spans="1:14" x14ac:dyDescent="0.25">
      <c r="A241" s="23">
        <v>0</v>
      </c>
      <c r="B241" s="23">
        <v>0</v>
      </c>
      <c r="C241" s="23" t="s">
        <v>2474</v>
      </c>
      <c r="D241" s="121" t="s">
        <v>2474</v>
      </c>
      <c r="E241" s="121" t="s">
        <v>2474</v>
      </c>
      <c r="F241" t="s">
        <v>198</v>
      </c>
      <c r="G241" s="11">
        <v>0</v>
      </c>
      <c r="H241" s="134" t="s">
        <v>2474</v>
      </c>
      <c r="I241" s="134">
        <v>0</v>
      </c>
      <c r="J241" s="134" t="s">
        <v>2474</v>
      </c>
      <c r="K241" s="134" t="s">
        <v>2474</v>
      </c>
      <c r="L241" t="s">
        <v>2474</v>
      </c>
      <c r="M241" t="b">
        <v>0</v>
      </c>
      <c r="N241" t="s">
        <v>2474</v>
      </c>
    </row>
    <row r="242" spans="1:14" x14ac:dyDescent="0.25">
      <c r="A242" s="23">
        <v>0</v>
      </c>
      <c r="B242" s="23">
        <v>0</v>
      </c>
      <c r="C242" s="23" t="s">
        <v>2474</v>
      </c>
      <c r="D242" s="121" t="s">
        <v>2474</v>
      </c>
      <c r="E242" s="121" t="s">
        <v>2474</v>
      </c>
      <c r="F242" t="s">
        <v>198</v>
      </c>
      <c r="G242" s="11">
        <v>0</v>
      </c>
      <c r="H242" s="134" t="s">
        <v>2474</v>
      </c>
      <c r="I242" s="134">
        <v>0</v>
      </c>
      <c r="J242" s="134" t="s">
        <v>2474</v>
      </c>
      <c r="K242" s="134" t="s">
        <v>2474</v>
      </c>
      <c r="L242" t="s">
        <v>2474</v>
      </c>
      <c r="M242" t="b">
        <v>0</v>
      </c>
      <c r="N242" t="s">
        <v>2474</v>
      </c>
    </row>
    <row r="243" spans="1:14" x14ac:dyDescent="0.25">
      <c r="A243" s="23">
        <v>0</v>
      </c>
      <c r="B243" s="23">
        <v>0</v>
      </c>
      <c r="C243" s="23" t="s">
        <v>2474</v>
      </c>
      <c r="D243" s="121" t="s">
        <v>2474</v>
      </c>
      <c r="E243" s="121" t="s">
        <v>2474</v>
      </c>
      <c r="F243" t="s">
        <v>198</v>
      </c>
      <c r="G243" s="11">
        <v>0</v>
      </c>
      <c r="H243" s="134" t="s">
        <v>2474</v>
      </c>
      <c r="I243" s="134">
        <v>0</v>
      </c>
      <c r="J243" s="134" t="s">
        <v>2474</v>
      </c>
      <c r="K243" s="134" t="s">
        <v>2474</v>
      </c>
      <c r="L243" t="s">
        <v>2474</v>
      </c>
      <c r="M243" t="b">
        <v>0</v>
      </c>
      <c r="N243" t="s">
        <v>2474</v>
      </c>
    </row>
    <row r="244" spans="1:14" x14ac:dyDescent="0.25">
      <c r="A244" s="23">
        <v>0</v>
      </c>
      <c r="B244" s="23">
        <v>0</v>
      </c>
      <c r="C244" s="23" t="s">
        <v>2474</v>
      </c>
      <c r="D244" s="121" t="s">
        <v>2474</v>
      </c>
      <c r="E244" s="121" t="s">
        <v>2474</v>
      </c>
      <c r="F244" t="s">
        <v>198</v>
      </c>
      <c r="G244" s="11">
        <v>0</v>
      </c>
      <c r="H244" s="134" t="s">
        <v>2474</v>
      </c>
      <c r="I244" s="134">
        <v>0</v>
      </c>
      <c r="J244" s="134" t="s">
        <v>2474</v>
      </c>
      <c r="K244" s="134" t="s">
        <v>2474</v>
      </c>
      <c r="L244" t="s">
        <v>2474</v>
      </c>
      <c r="M244" t="b">
        <v>0</v>
      </c>
      <c r="N244" t="s">
        <v>2474</v>
      </c>
    </row>
    <row r="245" spans="1:14" x14ac:dyDescent="0.25">
      <c r="A245" s="23">
        <v>0</v>
      </c>
      <c r="B245" s="23">
        <v>0</v>
      </c>
      <c r="C245" s="23" t="s">
        <v>2474</v>
      </c>
      <c r="D245" s="121" t="s">
        <v>2474</v>
      </c>
      <c r="E245" s="121" t="s">
        <v>2474</v>
      </c>
      <c r="F245" t="s">
        <v>198</v>
      </c>
      <c r="G245" s="11">
        <v>0</v>
      </c>
      <c r="H245" s="134" t="s">
        <v>2474</v>
      </c>
      <c r="I245" s="134">
        <v>0</v>
      </c>
      <c r="J245" s="134" t="s">
        <v>2474</v>
      </c>
      <c r="K245" s="134" t="s">
        <v>2474</v>
      </c>
      <c r="L245" t="s">
        <v>2474</v>
      </c>
      <c r="M245" t="b">
        <v>0</v>
      </c>
      <c r="N245" t="s">
        <v>2474</v>
      </c>
    </row>
    <row r="246" spans="1:14" x14ac:dyDescent="0.25">
      <c r="A246" s="23">
        <v>0</v>
      </c>
      <c r="B246" s="23">
        <v>0</v>
      </c>
      <c r="C246" s="23" t="s">
        <v>2474</v>
      </c>
      <c r="D246" s="121" t="s">
        <v>2474</v>
      </c>
      <c r="E246" s="121" t="s">
        <v>2474</v>
      </c>
      <c r="F246" t="s">
        <v>198</v>
      </c>
      <c r="G246" s="11">
        <v>0</v>
      </c>
      <c r="H246" s="134" t="s">
        <v>2474</v>
      </c>
      <c r="I246" s="134">
        <v>0</v>
      </c>
      <c r="J246" s="134" t="s">
        <v>2474</v>
      </c>
      <c r="K246" s="134" t="s">
        <v>2474</v>
      </c>
      <c r="L246" t="s">
        <v>2474</v>
      </c>
      <c r="M246" t="b">
        <v>0</v>
      </c>
      <c r="N246" t="s">
        <v>2474</v>
      </c>
    </row>
    <row r="247" spans="1:14" x14ac:dyDescent="0.25">
      <c r="A247" s="23">
        <v>0</v>
      </c>
      <c r="B247" s="23">
        <v>0</v>
      </c>
      <c r="C247" s="23" t="s">
        <v>2474</v>
      </c>
      <c r="D247" s="121" t="s">
        <v>2474</v>
      </c>
      <c r="E247" s="121" t="s">
        <v>2474</v>
      </c>
      <c r="F247" t="s">
        <v>198</v>
      </c>
      <c r="G247" s="11">
        <v>0</v>
      </c>
      <c r="H247" s="134" t="s">
        <v>2474</v>
      </c>
      <c r="I247" s="134">
        <v>0</v>
      </c>
      <c r="J247" s="134" t="s">
        <v>2474</v>
      </c>
      <c r="K247" s="134" t="s">
        <v>2474</v>
      </c>
      <c r="L247" t="s">
        <v>2474</v>
      </c>
      <c r="M247" t="b">
        <v>0</v>
      </c>
      <c r="N247" t="s">
        <v>2474</v>
      </c>
    </row>
    <row r="248" spans="1:14" x14ac:dyDescent="0.25">
      <c r="A248" s="23">
        <v>0</v>
      </c>
      <c r="B248" s="23">
        <v>0</v>
      </c>
      <c r="C248" s="23" t="s">
        <v>2474</v>
      </c>
      <c r="D248" s="121" t="s">
        <v>2474</v>
      </c>
      <c r="E248" s="121" t="s">
        <v>2474</v>
      </c>
      <c r="F248" t="s">
        <v>198</v>
      </c>
      <c r="G248" s="11">
        <v>0</v>
      </c>
      <c r="H248" s="134" t="s">
        <v>2474</v>
      </c>
      <c r="I248" s="134">
        <v>0</v>
      </c>
      <c r="J248" s="134" t="s">
        <v>2474</v>
      </c>
      <c r="K248" s="134" t="s">
        <v>2474</v>
      </c>
      <c r="L248" t="s">
        <v>2474</v>
      </c>
      <c r="M248" t="b">
        <v>0</v>
      </c>
      <c r="N248" t="s">
        <v>2474</v>
      </c>
    </row>
    <row r="249" spans="1:14" x14ac:dyDescent="0.25">
      <c r="A249" s="23">
        <v>0</v>
      </c>
      <c r="B249" s="23">
        <v>0</v>
      </c>
      <c r="C249" s="23" t="s">
        <v>2474</v>
      </c>
      <c r="D249" s="121" t="s">
        <v>2474</v>
      </c>
      <c r="E249" s="121" t="s">
        <v>2474</v>
      </c>
      <c r="F249" t="s">
        <v>198</v>
      </c>
      <c r="G249" s="11">
        <v>0</v>
      </c>
      <c r="H249" s="134" t="s">
        <v>2474</v>
      </c>
      <c r="I249" s="134">
        <v>0</v>
      </c>
      <c r="J249" s="134" t="s">
        <v>2474</v>
      </c>
      <c r="K249" s="134" t="s">
        <v>2474</v>
      </c>
      <c r="L249" t="s">
        <v>2474</v>
      </c>
      <c r="M249" t="b">
        <v>0</v>
      </c>
      <c r="N249" t="s">
        <v>2474</v>
      </c>
    </row>
    <row r="250" spans="1:14" x14ac:dyDescent="0.25">
      <c r="A250" s="23">
        <v>0</v>
      </c>
      <c r="B250" s="23">
        <v>0</v>
      </c>
      <c r="C250" s="23" t="s">
        <v>2474</v>
      </c>
      <c r="D250" s="121" t="s">
        <v>2474</v>
      </c>
      <c r="E250" s="121" t="s">
        <v>2474</v>
      </c>
      <c r="F250" t="s">
        <v>198</v>
      </c>
      <c r="G250" s="11">
        <v>0</v>
      </c>
      <c r="H250" s="134" t="s">
        <v>2474</v>
      </c>
      <c r="I250" s="134">
        <v>0</v>
      </c>
      <c r="J250" s="134" t="s">
        <v>2474</v>
      </c>
      <c r="K250" s="134" t="s">
        <v>2474</v>
      </c>
      <c r="L250" t="s">
        <v>2474</v>
      </c>
      <c r="M250" t="b">
        <v>0</v>
      </c>
      <c r="N250" t="s">
        <v>2474</v>
      </c>
    </row>
    <row r="251" spans="1:14" x14ac:dyDescent="0.25">
      <c r="A251" s="23">
        <v>0</v>
      </c>
      <c r="B251" s="23">
        <v>0</v>
      </c>
      <c r="C251" s="23" t="s">
        <v>2474</v>
      </c>
      <c r="D251" s="121" t="s">
        <v>2474</v>
      </c>
      <c r="E251" s="121" t="s">
        <v>2474</v>
      </c>
      <c r="F251" t="s">
        <v>198</v>
      </c>
      <c r="G251" s="11">
        <v>0</v>
      </c>
      <c r="H251" s="134" t="s">
        <v>2474</v>
      </c>
      <c r="I251" s="134">
        <v>0</v>
      </c>
      <c r="J251" s="134" t="s">
        <v>2474</v>
      </c>
      <c r="K251" s="134" t="s">
        <v>2474</v>
      </c>
      <c r="L251" t="s">
        <v>2474</v>
      </c>
      <c r="M251" t="b">
        <v>0</v>
      </c>
      <c r="N251" t="s">
        <v>2474</v>
      </c>
    </row>
    <row r="252" spans="1:14" x14ac:dyDescent="0.25">
      <c r="A252" s="23">
        <v>0</v>
      </c>
      <c r="B252" s="23">
        <v>0</v>
      </c>
      <c r="C252" s="23" t="s">
        <v>2474</v>
      </c>
      <c r="D252" s="121" t="s">
        <v>2474</v>
      </c>
      <c r="E252" s="121" t="s">
        <v>2474</v>
      </c>
      <c r="F252" t="s">
        <v>198</v>
      </c>
      <c r="G252" s="11">
        <v>0</v>
      </c>
      <c r="H252" s="134" t="s">
        <v>2474</v>
      </c>
      <c r="I252" s="134">
        <v>0</v>
      </c>
      <c r="J252" s="134" t="s">
        <v>2474</v>
      </c>
      <c r="K252" s="134" t="s">
        <v>2474</v>
      </c>
      <c r="L252" t="s">
        <v>2474</v>
      </c>
      <c r="M252" t="b">
        <v>0</v>
      </c>
      <c r="N252" t="s">
        <v>2474</v>
      </c>
    </row>
    <row r="253" spans="1:14" x14ac:dyDescent="0.25">
      <c r="A253" s="23">
        <v>0</v>
      </c>
      <c r="B253" s="23">
        <v>0</v>
      </c>
      <c r="C253" s="23" t="s">
        <v>2474</v>
      </c>
      <c r="D253" s="121" t="s">
        <v>2474</v>
      </c>
      <c r="E253" s="121" t="s">
        <v>2474</v>
      </c>
      <c r="F253" t="s">
        <v>198</v>
      </c>
      <c r="G253" s="11">
        <v>0</v>
      </c>
      <c r="H253" s="134" t="s">
        <v>2474</v>
      </c>
      <c r="I253" s="134">
        <v>0</v>
      </c>
      <c r="J253" s="134" t="s">
        <v>2474</v>
      </c>
      <c r="K253" s="134" t="s">
        <v>2474</v>
      </c>
      <c r="L253" t="s">
        <v>2474</v>
      </c>
      <c r="M253" t="b">
        <v>0</v>
      </c>
      <c r="N253" t="s">
        <v>2474</v>
      </c>
    </row>
    <row r="254" spans="1:14" x14ac:dyDescent="0.25">
      <c r="A254" s="23">
        <v>0</v>
      </c>
      <c r="B254" s="23">
        <v>0</v>
      </c>
      <c r="C254" s="23" t="s">
        <v>2474</v>
      </c>
      <c r="D254" s="121" t="s">
        <v>2474</v>
      </c>
      <c r="E254" s="121" t="s">
        <v>2474</v>
      </c>
      <c r="F254" t="s">
        <v>198</v>
      </c>
      <c r="G254" s="11">
        <v>0</v>
      </c>
      <c r="H254" s="134" t="s">
        <v>2474</v>
      </c>
      <c r="I254" s="134">
        <v>0</v>
      </c>
      <c r="J254" s="134" t="s">
        <v>2474</v>
      </c>
      <c r="K254" s="134" t="s">
        <v>2474</v>
      </c>
      <c r="L254" t="s">
        <v>2474</v>
      </c>
      <c r="M254" t="b">
        <v>0</v>
      </c>
      <c r="N254" t="s">
        <v>2474</v>
      </c>
    </row>
    <row r="255" spans="1:14" x14ac:dyDescent="0.25">
      <c r="A255" s="23">
        <v>0</v>
      </c>
      <c r="B255" s="23">
        <v>0</v>
      </c>
      <c r="C255" s="23" t="s">
        <v>2474</v>
      </c>
      <c r="D255" s="121" t="s">
        <v>2474</v>
      </c>
      <c r="E255" s="121" t="s">
        <v>2474</v>
      </c>
      <c r="F255" t="s">
        <v>198</v>
      </c>
      <c r="G255" s="11">
        <v>0</v>
      </c>
      <c r="H255" s="134" t="s">
        <v>2474</v>
      </c>
      <c r="I255" s="134">
        <v>0</v>
      </c>
      <c r="J255" s="134" t="s">
        <v>2474</v>
      </c>
      <c r="K255" s="134" t="s">
        <v>2474</v>
      </c>
      <c r="L255" t="s">
        <v>2474</v>
      </c>
      <c r="M255" t="b">
        <v>0</v>
      </c>
      <c r="N255" t="s">
        <v>2474</v>
      </c>
    </row>
    <row r="256" spans="1:14" x14ac:dyDescent="0.25">
      <c r="A256" s="23">
        <v>0</v>
      </c>
      <c r="B256" s="23">
        <v>0</v>
      </c>
      <c r="C256" s="23" t="s">
        <v>2474</v>
      </c>
      <c r="D256" s="121" t="s">
        <v>2474</v>
      </c>
      <c r="E256" s="121" t="s">
        <v>2474</v>
      </c>
      <c r="F256" t="s">
        <v>198</v>
      </c>
      <c r="G256" s="11">
        <v>0</v>
      </c>
      <c r="H256" s="134" t="s">
        <v>2474</v>
      </c>
      <c r="I256" s="134">
        <v>0</v>
      </c>
      <c r="J256" s="134" t="s">
        <v>2474</v>
      </c>
      <c r="K256" s="134" t="s">
        <v>2474</v>
      </c>
      <c r="L256" t="s">
        <v>2474</v>
      </c>
      <c r="M256" t="b">
        <v>0</v>
      </c>
      <c r="N256" t="s">
        <v>2474</v>
      </c>
    </row>
    <row r="257" spans="1:14" x14ac:dyDescent="0.25">
      <c r="A257" s="23">
        <v>0</v>
      </c>
      <c r="B257" s="23">
        <v>0</v>
      </c>
      <c r="C257" s="23" t="s">
        <v>2474</v>
      </c>
      <c r="D257" s="121" t="s">
        <v>2474</v>
      </c>
      <c r="E257" s="121" t="s">
        <v>2474</v>
      </c>
      <c r="F257" t="s">
        <v>198</v>
      </c>
      <c r="G257" s="11">
        <v>0</v>
      </c>
      <c r="H257" s="134" t="s">
        <v>2474</v>
      </c>
      <c r="I257" s="134">
        <v>0</v>
      </c>
      <c r="J257" s="134" t="s">
        <v>2474</v>
      </c>
      <c r="K257" s="134" t="s">
        <v>2474</v>
      </c>
      <c r="L257" t="s">
        <v>2474</v>
      </c>
      <c r="M257" t="b">
        <v>0</v>
      </c>
      <c r="N257" t="s">
        <v>2474</v>
      </c>
    </row>
    <row r="258" spans="1:14" x14ac:dyDescent="0.25">
      <c r="A258" s="23">
        <v>0</v>
      </c>
      <c r="B258" s="23">
        <v>0</v>
      </c>
      <c r="C258" s="23" t="s">
        <v>2474</v>
      </c>
      <c r="D258" s="121" t="s">
        <v>2474</v>
      </c>
      <c r="E258" s="121" t="s">
        <v>2474</v>
      </c>
      <c r="F258" t="s">
        <v>198</v>
      </c>
      <c r="G258" s="11">
        <v>0</v>
      </c>
      <c r="H258" s="134" t="s">
        <v>2474</v>
      </c>
      <c r="I258" s="134">
        <v>0</v>
      </c>
      <c r="J258" s="134" t="s">
        <v>2474</v>
      </c>
      <c r="K258" s="134" t="s">
        <v>2474</v>
      </c>
      <c r="L258" t="s">
        <v>2474</v>
      </c>
      <c r="M258" t="b">
        <v>0</v>
      </c>
      <c r="N258" t="s">
        <v>2474</v>
      </c>
    </row>
    <row r="259" spans="1:14" x14ac:dyDescent="0.25">
      <c r="A259" s="23">
        <v>0</v>
      </c>
      <c r="B259" s="23">
        <v>0</v>
      </c>
      <c r="C259" s="23" t="s">
        <v>2474</v>
      </c>
      <c r="D259" s="121" t="s">
        <v>2474</v>
      </c>
      <c r="E259" s="121" t="s">
        <v>2474</v>
      </c>
      <c r="F259" t="s">
        <v>198</v>
      </c>
      <c r="G259" s="11">
        <v>0</v>
      </c>
      <c r="H259" s="134" t="s">
        <v>2474</v>
      </c>
      <c r="I259" s="134">
        <v>0</v>
      </c>
      <c r="J259" s="134" t="s">
        <v>2474</v>
      </c>
      <c r="K259" s="134" t="s">
        <v>2474</v>
      </c>
      <c r="L259" t="s">
        <v>2474</v>
      </c>
      <c r="M259" t="b">
        <v>0</v>
      </c>
      <c r="N259" t="s">
        <v>2474</v>
      </c>
    </row>
    <row r="260" spans="1:14" x14ac:dyDescent="0.25">
      <c r="A260" s="23">
        <v>0</v>
      </c>
      <c r="B260" s="23">
        <v>0</v>
      </c>
      <c r="C260" s="23" t="s">
        <v>2474</v>
      </c>
      <c r="D260" s="121" t="s">
        <v>2474</v>
      </c>
      <c r="E260" s="121" t="s">
        <v>2474</v>
      </c>
      <c r="F260" t="s">
        <v>198</v>
      </c>
      <c r="G260" s="11">
        <v>0</v>
      </c>
      <c r="H260" s="134" t="s">
        <v>2474</v>
      </c>
      <c r="I260" s="134">
        <v>0</v>
      </c>
      <c r="J260" s="134" t="s">
        <v>2474</v>
      </c>
      <c r="K260" s="134" t="s">
        <v>2474</v>
      </c>
      <c r="L260" t="s">
        <v>2474</v>
      </c>
      <c r="M260" t="b">
        <v>0</v>
      </c>
      <c r="N260" t="s">
        <v>2474</v>
      </c>
    </row>
    <row r="261" spans="1:14" x14ac:dyDescent="0.25">
      <c r="A261" s="23">
        <v>0</v>
      </c>
      <c r="B261" s="23">
        <v>0</v>
      </c>
      <c r="C261" s="23" t="s">
        <v>2474</v>
      </c>
      <c r="D261" s="121" t="s">
        <v>2474</v>
      </c>
      <c r="E261" s="121" t="s">
        <v>2474</v>
      </c>
      <c r="F261" t="s">
        <v>198</v>
      </c>
      <c r="G261" s="11">
        <v>0</v>
      </c>
      <c r="H261" s="134" t="s">
        <v>2474</v>
      </c>
      <c r="I261" s="134">
        <v>0</v>
      </c>
      <c r="J261" s="134" t="s">
        <v>2474</v>
      </c>
      <c r="K261" s="134" t="s">
        <v>2474</v>
      </c>
      <c r="L261" t="s">
        <v>2474</v>
      </c>
      <c r="M261" t="b">
        <v>0</v>
      </c>
      <c r="N261" t="s">
        <v>2474</v>
      </c>
    </row>
    <row r="262" spans="1:14" x14ac:dyDescent="0.25">
      <c r="A262" s="23">
        <v>0</v>
      </c>
      <c r="B262" s="23">
        <v>0</v>
      </c>
      <c r="C262" s="23" t="s">
        <v>2474</v>
      </c>
      <c r="D262" s="121" t="s">
        <v>2474</v>
      </c>
      <c r="E262" s="121" t="s">
        <v>2474</v>
      </c>
      <c r="F262" t="s">
        <v>198</v>
      </c>
      <c r="G262" s="11">
        <v>0</v>
      </c>
      <c r="H262" s="134" t="s">
        <v>2474</v>
      </c>
      <c r="I262" s="134">
        <v>0</v>
      </c>
      <c r="J262" s="134" t="s">
        <v>2474</v>
      </c>
      <c r="K262" s="134" t="s">
        <v>2474</v>
      </c>
      <c r="L262" t="s">
        <v>2474</v>
      </c>
      <c r="M262" t="b">
        <v>0</v>
      </c>
      <c r="N262" t="s">
        <v>2474</v>
      </c>
    </row>
    <row r="263" spans="1:14" x14ac:dyDescent="0.25">
      <c r="A263" s="23">
        <v>0</v>
      </c>
      <c r="B263" s="23">
        <v>0</v>
      </c>
      <c r="C263" s="23" t="s">
        <v>2474</v>
      </c>
      <c r="D263" s="121" t="s">
        <v>2474</v>
      </c>
      <c r="E263" s="121" t="s">
        <v>2474</v>
      </c>
      <c r="F263" t="s">
        <v>198</v>
      </c>
      <c r="G263" s="11">
        <v>0</v>
      </c>
      <c r="H263" s="134" t="s">
        <v>2474</v>
      </c>
      <c r="I263" s="134">
        <v>0</v>
      </c>
      <c r="J263" s="134" t="s">
        <v>2474</v>
      </c>
      <c r="K263" s="134" t="s">
        <v>2474</v>
      </c>
      <c r="L263" t="s">
        <v>2474</v>
      </c>
      <c r="M263" t="b">
        <v>0</v>
      </c>
      <c r="N263" t="s">
        <v>2474</v>
      </c>
    </row>
    <row r="264" spans="1:14" x14ac:dyDescent="0.25">
      <c r="A264" s="23">
        <v>0</v>
      </c>
      <c r="B264" s="23">
        <v>0</v>
      </c>
      <c r="C264" s="23" t="s">
        <v>2474</v>
      </c>
      <c r="D264" s="121" t="s">
        <v>2474</v>
      </c>
      <c r="E264" s="121" t="s">
        <v>2474</v>
      </c>
      <c r="F264" t="s">
        <v>198</v>
      </c>
      <c r="G264" s="11">
        <v>0</v>
      </c>
      <c r="H264" s="134" t="s">
        <v>2474</v>
      </c>
      <c r="I264" s="134">
        <v>0</v>
      </c>
      <c r="J264" s="134" t="s">
        <v>2474</v>
      </c>
      <c r="K264" s="134" t="s">
        <v>2474</v>
      </c>
      <c r="L264" t="s">
        <v>2474</v>
      </c>
      <c r="M264" t="b">
        <v>0</v>
      </c>
      <c r="N264" t="s">
        <v>2474</v>
      </c>
    </row>
    <row r="265" spans="1:14" x14ac:dyDescent="0.25">
      <c r="A265" s="23">
        <v>0</v>
      </c>
      <c r="B265" s="23">
        <v>0</v>
      </c>
      <c r="C265" s="23" t="s">
        <v>2474</v>
      </c>
      <c r="D265" s="121" t="s">
        <v>2474</v>
      </c>
      <c r="E265" s="121" t="s">
        <v>2474</v>
      </c>
      <c r="F265" t="s">
        <v>198</v>
      </c>
      <c r="G265" s="11">
        <v>0</v>
      </c>
      <c r="H265" s="134" t="s">
        <v>2474</v>
      </c>
      <c r="I265" s="134">
        <v>0</v>
      </c>
      <c r="J265" s="134" t="s">
        <v>2474</v>
      </c>
      <c r="K265" s="134" t="s">
        <v>2474</v>
      </c>
      <c r="L265" t="s">
        <v>2474</v>
      </c>
      <c r="M265" t="b">
        <v>0</v>
      </c>
      <c r="N265" t="s">
        <v>2474</v>
      </c>
    </row>
    <row r="266" spans="1:14" x14ac:dyDescent="0.25">
      <c r="A266" s="23">
        <v>0</v>
      </c>
      <c r="B266" s="23">
        <v>0</v>
      </c>
      <c r="C266" s="23" t="s">
        <v>2474</v>
      </c>
      <c r="D266" s="121" t="s">
        <v>2474</v>
      </c>
      <c r="E266" s="121" t="s">
        <v>2474</v>
      </c>
      <c r="F266" t="s">
        <v>198</v>
      </c>
      <c r="G266" s="11">
        <v>0</v>
      </c>
      <c r="H266" s="134" t="s">
        <v>2474</v>
      </c>
      <c r="I266" s="134">
        <v>0</v>
      </c>
      <c r="J266" s="134" t="s">
        <v>2474</v>
      </c>
      <c r="K266" s="134" t="s">
        <v>2474</v>
      </c>
      <c r="L266" t="s">
        <v>2474</v>
      </c>
      <c r="M266" t="b">
        <v>0</v>
      </c>
      <c r="N266" t="s">
        <v>2474</v>
      </c>
    </row>
    <row r="267" spans="1:14" x14ac:dyDescent="0.25">
      <c r="A267" s="23">
        <v>0</v>
      </c>
      <c r="B267" s="23">
        <v>0</v>
      </c>
      <c r="C267" s="23" t="s">
        <v>2474</v>
      </c>
      <c r="D267" s="121" t="s">
        <v>2474</v>
      </c>
      <c r="E267" s="121" t="s">
        <v>2474</v>
      </c>
      <c r="F267" t="s">
        <v>198</v>
      </c>
      <c r="G267" s="11">
        <v>0</v>
      </c>
      <c r="H267" s="134" t="s">
        <v>2474</v>
      </c>
      <c r="I267" s="134">
        <v>0</v>
      </c>
      <c r="J267" s="134" t="s">
        <v>2474</v>
      </c>
      <c r="K267" s="134" t="s">
        <v>2474</v>
      </c>
      <c r="L267" t="s">
        <v>2474</v>
      </c>
      <c r="M267" t="b">
        <v>0</v>
      </c>
      <c r="N267" t="s">
        <v>2474</v>
      </c>
    </row>
    <row r="268" spans="1:14" x14ac:dyDescent="0.25">
      <c r="A268" s="23">
        <v>0</v>
      </c>
      <c r="B268" s="23">
        <v>0</v>
      </c>
      <c r="C268" s="23" t="s">
        <v>2474</v>
      </c>
      <c r="D268" s="121" t="s">
        <v>2474</v>
      </c>
      <c r="E268" s="121" t="s">
        <v>2474</v>
      </c>
      <c r="F268" t="s">
        <v>198</v>
      </c>
      <c r="G268" s="11">
        <v>0</v>
      </c>
      <c r="H268" s="134" t="s">
        <v>2474</v>
      </c>
      <c r="I268" s="134">
        <v>0</v>
      </c>
      <c r="J268" s="134" t="s">
        <v>2474</v>
      </c>
      <c r="K268" s="134" t="s">
        <v>2474</v>
      </c>
      <c r="L268" t="s">
        <v>2474</v>
      </c>
      <c r="M268" t="b">
        <v>0</v>
      </c>
      <c r="N268" t="s">
        <v>2474</v>
      </c>
    </row>
    <row r="269" spans="1:14" x14ac:dyDescent="0.25">
      <c r="A269" s="23">
        <v>0</v>
      </c>
      <c r="B269" s="23">
        <v>0</v>
      </c>
      <c r="C269" s="23" t="s">
        <v>2474</v>
      </c>
      <c r="D269" s="121" t="s">
        <v>2474</v>
      </c>
      <c r="E269" s="121" t="s">
        <v>2474</v>
      </c>
      <c r="F269" t="s">
        <v>198</v>
      </c>
      <c r="G269" s="11">
        <v>0</v>
      </c>
      <c r="H269" s="134" t="s">
        <v>2474</v>
      </c>
      <c r="I269" s="134">
        <v>0</v>
      </c>
      <c r="J269" s="134" t="s">
        <v>2474</v>
      </c>
      <c r="K269" s="134" t="s">
        <v>2474</v>
      </c>
      <c r="L269" t="s">
        <v>2474</v>
      </c>
      <c r="M269" t="b">
        <v>0</v>
      </c>
      <c r="N269" t="s">
        <v>2474</v>
      </c>
    </row>
    <row r="270" spans="1:14" x14ac:dyDescent="0.25">
      <c r="A270" s="23">
        <v>0</v>
      </c>
      <c r="B270" s="23">
        <v>0</v>
      </c>
      <c r="C270" s="23" t="s">
        <v>2474</v>
      </c>
      <c r="D270" s="121" t="s">
        <v>2474</v>
      </c>
      <c r="E270" s="121" t="s">
        <v>2474</v>
      </c>
      <c r="F270" t="s">
        <v>198</v>
      </c>
      <c r="G270" s="11">
        <v>0</v>
      </c>
      <c r="H270" s="134" t="s">
        <v>2474</v>
      </c>
      <c r="I270" s="134">
        <v>0</v>
      </c>
      <c r="J270" s="134" t="s">
        <v>2474</v>
      </c>
      <c r="K270" s="134" t="s">
        <v>2474</v>
      </c>
      <c r="L270" t="s">
        <v>2474</v>
      </c>
      <c r="M270" t="b">
        <v>0</v>
      </c>
      <c r="N270" t="s">
        <v>2474</v>
      </c>
    </row>
    <row r="271" spans="1:14" x14ac:dyDescent="0.25">
      <c r="A271" s="23">
        <v>0</v>
      </c>
      <c r="B271" s="23">
        <v>0</v>
      </c>
      <c r="C271" s="23" t="s">
        <v>2474</v>
      </c>
      <c r="D271" s="121" t="s">
        <v>2474</v>
      </c>
      <c r="E271" s="121" t="s">
        <v>2474</v>
      </c>
      <c r="F271" t="s">
        <v>198</v>
      </c>
      <c r="G271" s="11">
        <v>0</v>
      </c>
      <c r="H271" s="134" t="s">
        <v>2474</v>
      </c>
      <c r="I271" s="134">
        <v>0</v>
      </c>
      <c r="J271" s="134" t="s">
        <v>2474</v>
      </c>
      <c r="K271" s="134" t="s">
        <v>2474</v>
      </c>
      <c r="L271" t="s">
        <v>2474</v>
      </c>
      <c r="M271" t="b">
        <v>0</v>
      </c>
      <c r="N271" t="s">
        <v>2474</v>
      </c>
    </row>
    <row r="272" spans="1:14" x14ac:dyDescent="0.25">
      <c r="A272" s="23">
        <v>0</v>
      </c>
      <c r="B272" s="23">
        <v>0</v>
      </c>
      <c r="C272" s="23" t="s">
        <v>2474</v>
      </c>
      <c r="D272" s="121" t="s">
        <v>2474</v>
      </c>
      <c r="E272" s="121" t="s">
        <v>2474</v>
      </c>
      <c r="F272" t="s">
        <v>198</v>
      </c>
      <c r="G272" s="11">
        <v>0</v>
      </c>
      <c r="H272" s="134" t="s">
        <v>2474</v>
      </c>
      <c r="I272" s="134">
        <v>0</v>
      </c>
      <c r="J272" s="134" t="s">
        <v>2474</v>
      </c>
      <c r="K272" s="134" t="s">
        <v>2474</v>
      </c>
      <c r="L272" t="s">
        <v>2474</v>
      </c>
      <c r="M272" t="b">
        <v>0</v>
      </c>
      <c r="N272" t="s">
        <v>2474</v>
      </c>
    </row>
    <row r="273" spans="1:14" x14ac:dyDescent="0.25">
      <c r="A273" s="23">
        <v>0</v>
      </c>
      <c r="B273" s="23">
        <v>0</v>
      </c>
      <c r="C273" s="23" t="s">
        <v>2474</v>
      </c>
      <c r="D273" s="121" t="s">
        <v>2474</v>
      </c>
      <c r="E273" s="121" t="s">
        <v>2474</v>
      </c>
      <c r="F273" t="s">
        <v>198</v>
      </c>
      <c r="G273" s="11">
        <v>0</v>
      </c>
      <c r="H273" s="134" t="s">
        <v>2474</v>
      </c>
      <c r="I273" s="134">
        <v>0</v>
      </c>
      <c r="J273" s="134" t="s">
        <v>2474</v>
      </c>
      <c r="K273" s="134" t="s">
        <v>2474</v>
      </c>
      <c r="L273" t="s">
        <v>2474</v>
      </c>
      <c r="M273" t="b">
        <v>0</v>
      </c>
      <c r="N273" t="s">
        <v>2474</v>
      </c>
    </row>
    <row r="274" spans="1:14" x14ac:dyDescent="0.25">
      <c r="A274" s="23">
        <v>0</v>
      </c>
      <c r="B274" s="23">
        <v>0</v>
      </c>
      <c r="C274" s="23" t="s">
        <v>2474</v>
      </c>
      <c r="D274" s="121" t="s">
        <v>2474</v>
      </c>
      <c r="E274" s="121" t="s">
        <v>2474</v>
      </c>
      <c r="F274" t="s">
        <v>198</v>
      </c>
      <c r="G274" s="11">
        <v>0</v>
      </c>
      <c r="H274" s="134" t="s">
        <v>2474</v>
      </c>
      <c r="I274" s="134">
        <v>0</v>
      </c>
      <c r="J274" s="134" t="s">
        <v>2474</v>
      </c>
      <c r="K274" s="134" t="s">
        <v>2474</v>
      </c>
      <c r="L274" t="s">
        <v>2474</v>
      </c>
      <c r="M274" t="b">
        <v>0</v>
      </c>
      <c r="N274" t="s">
        <v>2474</v>
      </c>
    </row>
    <row r="275" spans="1:14" x14ac:dyDescent="0.25">
      <c r="A275" s="23">
        <v>0</v>
      </c>
      <c r="B275" s="23">
        <v>0</v>
      </c>
      <c r="C275" s="23" t="s">
        <v>2474</v>
      </c>
      <c r="D275" s="121" t="s">
        <v>2474</v>
      </c>
      <c r="E275" s="121" t="s">
        <v>2474</v>
      </c>
      <c r="F275" t="s">
        <v>198</v>
      </c>
      <c r="G275" s="11">
        <v>0</v>
      </c>
      <c r="H275" s="134" t="s">
        <v>2474</v>
      </c>
      <c r="I275" s="134">
        <v>0</v>
      </c>
      <c r="J275" s="134" t="s">
        <v>2474</v>
      </c>
      <c r="K275" s="134" t="s">
        <v>2474</v>
      </c>
      <c r="L275" t="s">
        <v>2474</v>
      </c>
      <c r="M275" t="b">
        <v>0</v>
      </c>
      <c r="N275" t="s">
        <v>2474</v>
      </c>
    </row>
    <row r="276" spans="1:14" x14ac:dyDescent="0.25">
      <c r="A276" s="23">
        <v>0</v>
      </c>
      <c r="B276" s="23">
        <v>0</v>
      </c>
      <c r="C276" s="23" t="s">
        <v>2474</v>
      </c>
      <c r="D276" s="121" t="s">
        <v>2474</v>
      </c>
      <c r="E276" s="121" t="s">
        <v>2474</v>
      </c>
      <c r="F276" t="s">
        <v>198</v>
      </c>
      <c r="G276" s="11">
        <v>0</v>
      </c>
      <c r="H276" s="134" t="s">
        <v>2474</v>
      </c>
      <c r="I276" s="134">
        <v>0</v>
      </c>
      <c r="J276" s="134" t="s">
        <v>2474</v>
      </c>
      <c r="K276" s="134" t="s">
        <v>2474</v>
      </c>
      <c r="L276" t="s">
        <v>2474</v>
      </c>
      <c r="M276" t="b">
        <v>0</v>
      </c>
      <c r="N276" t="s">
        <v>2474</v>
      </c>
    </row>
    <row r="277" spans="1:14" x14ac:dyDescent="0.25">
      <c r="A277" s="23">
        <v>0</v>
      </c>
      <c r="B277" s="23">
        <v>0</v>
      </c>
      <c r="C277" s="23" t="s">
        <v>2474</v>
      </c>
      <c r="D277" s="121" t="s">
        <v>2474</v>
      </c>
      <c r="E277" s="121" t="s">
        <v>2474</v>
      </c>
      <c r="F277" t="s">
        <v>198</v>
      </c>
      <c r="G277" s="11">
        <v>0</v>
      </c>
      <c r="H277" s="134" t="s">
        <v>2474</v>
      </c>
      <c r="I277" s="134">
        <v>0</v>
      </c>
      <c r="J277" s="134" t="s">
        <v>2474</v>
      </c>
      <c r="K277" s="134" t="s">
        <v>2474</v>
      </c>
      <c r="L277" t="s">
        <v>2474</v>
      </c>
      <c r="M277" t="b">
        <v>0</v>
      </c>
      <c r="N277" t="s">
        <v>2474</v>
      </c>
    </row>
    <row r="278" spans="1:14" x14ac:dyDescent="0.25">
      <c r="A278" s="23">
        <v>0</v>
      </c>
      <c r="B278" s="23">
        <v>0</v>
      </c>
      <c r="C278" s="23" t="s">
        <v>2474</v>
      </c>
      <c r="D278" s="121" t="s">
        <v>2474</v>
      </c>
      <c r="E278" s="121" t="s">
        <v>2474</v>
      </c>
      <c r="F278" t="s">
        <v>198</v>
      </c>
      <c r="G278" s="11">
        <v>0</v>
      </c>
      <c r="H278" s="134" t="s">
        <v>2474</v>
      </c>
      <c r="I278" s="134">
        <v>0</v>
      </c>
      <c r="J278" s="134" t="s">
        <v>2474</v>
      </c>
      <c r="K278" s="134" t="s">
        <v>2474</v>
      </c>
      <c r="L278" t="s">
        <v>2474</v>
      </c>
      <c r="M278" t="b">
        <v>0</v>
      </c>
      <c r="N278" t="s">
        <v>2474</v>
      </c>
    </row>
    <row r="279" spans="1:14" x14ac:dyDescent="0.25">
      <c r="A279" s="23">
        <v>0</v>
      </c>
      <c r="B279" s="23">
        <v>0</v>
      </c>
      <c r="C279" s="23" t="s">
        <v>2474</v>
      </c>
      <c r="D279" s="121" t="s">
        <v>2474</v>
      </c>
      <c r="E279" s="121" t="s">
        <v>2474</v>
      </c>
      <c r="F279" t="s">
        <v>198</v>
      </c>
      <c r="G279" s="11">
        <v>0</v>
      </c>
      <c r="H279" s="134" t="s">
        <v>2474</v>
      </c>
      <c r="I279" s="134">
        <v>0</v>
      </c>
      <c r="J279" s="134" t="s">
        <v>2474</v>
      </c>
      <c r="K279" s="134" t="s">
        <v>2474</v>
      </c>
      <c r="L279" t="s">
        <v>2474</v>
      </c>
      <c r="M279" t="b">
        <v>0</v>
      </c>
      <c r="N279" t="s">
        <v>2474</v>
      </c>
    </row>
    <row r="280" spans="1:14" x14ac:dyDescent="0.25">
      <c r="A280" s="23">
        <v>0</v>
      </c>
      <c r="B280" s="23">
        <v>0</v>
      </c>
      <c r="C280" s="23" t="s">
        <v>2474</v>
      </c>
      <c r="D280" s="121" t="s">
        <v>2474</v>
      </c>
      <c r="E280" s="121" t="s">
        <v>2474</v>
      </c>
      <c r="F280" t="s">
        <v>198</v>
      </c>
      <c r="G280" s="11">
        <v>0</v>
      </c>
      <c r="H280" s="134" t="s">
        <v>2474</v>
      </c>
      <c r="I280" s="134">
        <v>0</v>
      </c>
      <c r="J280" s="134" t="s">
        <v>2474</v>
      </c>
      <c r="K280" s="134" t="s">
        <v>2474</v>
      </c>
      <c r="L280" t="s">
        <v>2474</v>
      </c>
      <c r="M280" t="b">
        <v>0</v>
      </c>
      <c r="N280" t="s">
        <v>2474</v>
      </c>
    </row>
    <row r="281" spans="1:14" x14ac:dyDescent="0.25">
      <c r="A281" s="23">
        <v>0</v>
      </c>
      <c r="B281" s="23">
        <v>0</v>
      </c>
      <c r="C281" s="23" t="s">
        <v>2474</v>
      </c>
      <c r="D281" s="121" t="s">
        <v>2474</v>
      </c>
      <c r="E281" s="121" t="s">
        <v>2474</v>
      </c>
      <c r="F281" t="s">
        <v>198</v>
      </c>
      <c r="G281" s="11">
        <v>0</v>
      </c>
      <c r="H281" s="134" t="s">
        <v>2474</v>
      </c>
      <c r="I281" s="134">
        <v>0</v>
      </c>
      <c r="J281" s="134" t="s">
        <v>2474</v>
      </c>
      <c r="K281" s="134" t="s">
        <v>2474</v>
      </c>
      <c r="L281" t="s">
        <v>2474</v>
      </c>
      <c r="M281" t="b">
        <v>0</v>
      </c>
      <c r="N281" t="s">
        <v>2474</v>
      </c>
    </row>
    <row r="282" spans="1:14" x14ac:dyDescent="0.25">
      <c r="A282" s="23">
        <v>0</v>
      </c>
      <c r="B282" s="23">
        <v>0</v>
      </c>
      <c r="C282" s="23" t="s">
        <v>2474</v>
      </c>
      <c r="D282" s="121" t="s">
        <v>2474</v>
      </c>
      <c r="E282" s="121" t="s">
        <v>2474</v>
      </c>
      <c r="F282" t="s">
        <v>198</v>
      </c>
      <c r="G282" s="11">
        <v>0</v>
      </c>
      <c r="H282" s="134" t="s">
        <v>2474</v>
      </c>
      <c r="I282" s="134">
        <v>0</v>
      </c>
      <c r="J282" s="134" t="s">
        <v>2474</v>
      </c>
      <c r="K282" s="134" t="s">
        <v>2474</v>
      </c>
      <c r="L282" t="s">
        <v>2474</v>
      </c>
      <c r="M282" t="b">
        <v>0</v>
      </c>
      <c r="N282" t="s">
        <v>2474</v>
      </c>
    </row>
    <row r="283" spans="1:14" x14ac:dyDescent="0.25">
      <c r="A283" s="23">
        <v>0</v>
      </c>
      <c r="B283" s="23">
        <v>0</v>
      </c>
      <c r="C283" s="23" t="s">
        <v>2474</v>
      </c>
      <c r="D283" s="121" t="s">
        <v>2474</v>
      </c>
      <c r="E283" s="121" t="s">
        <v>2474</v>
      </c>
      <c r="F283" t="s">
        <v>198</v>
      </c>
      <c r="G283" s="11">
        <v>0</v>
      </c>
      <c r="H283" s="134" t="s">
        <v>2474</v>
      </c>
      <c r="I283" s="134">
        <v>0</v>
      </c>
      <c r="J283" s="134" t="s">
        <v>2474</v>
      </c>
      <c r="K283" s="134" t="s">
        <v>2474</v>
      </c>
      <c r="L283" t="s">
        <v>2474</v>
      </c>
      <c r="M283" t="b">
        <v>0</v>
      </c>
      <c r="N283" t="s">
        <v>2474</v>
      </c>
    </row>
    <row r="284" spans="1:14" x14ac:dyDescent="0.25">
      <c r="A284" s="23">
        <v>0</v>
      </c>
      <c r="B284" s="23">
        <v>0</v>
      </c>
      <c r="C284" s="23" t="s">
        <v>2474</v>
      </c>
      <c r="D284" s="121" t="s">
        <v>2474</v>
      </c>
      <c r="E284" s="121" t="s">
        <v>2474</v>
      </c>
      <c r="F284" t="s">
        <v>198</v>
      </c>
      <c r="G284" s="11">
        <v>0</v>
      </c>
      <c r="H284" s="134" t="s">
        <v>2474</v>
      </c>
      <c r="I284" s="134">
        <v>0</v>
      </c>
      <c r="J284" s="134" t="s">
        <v>2474</v>
      </c>
      <c r="K284" s="134" t="s">
        <v>2474</v>
      </c>
      <c r="L284" t="s">
        <v>2474</v>
      </c>
      <c r="M284" t="b">
        <v>0</v>
      </c>
      <c r="N284" t="s">
        <v>2474</v>
      </c>
    </row>
    <row r="285" spans="1:14" x14ac:dyDescent="0.25">
      <c r="A285" s="23">
        <v>0</v>
      </c>
      <c r="B285" s="23">
        <v>0</v>
      </c>
      <c r="C285" s="23" t="s">
        <v>2474</v>
      </c>
      <c r="D285" s="121" t="s">
        <v>2474</v>
      </c>
      <c r="E285" s="121" t="s">
        <v>2474</v>
      </c>
      <c r="F285" t="s">
        <v>198</v>
      </c>
      <c r="G285" s="11">
        <v>0</v>
      </c>
      <c r="H285" s="134" t="s">
        <v>2474</v>
      </c>
      <c r="I285" s="134">
        <v>0</v>
      </c>
      <c r="J285" s="134" t="s">
        <v>2474</v>
      </c>
      <c r="K285" s="134" t="s">
        <v>2474</v>
      </c>
      <c r="L285" t="s">
        <v>2474</v>
      </c>
      <c r="M285" t="b">
        <v>0</v>
      </c>
      <c r="N285" t="s">
        <v>2474</v>
      </c>
    </row>
    <row r="286" spans="1:14" x14ac:dyDescent="0.25">
      <c r="A286" s="23">
        <v>0</v>
      </c>
      <c r="B286" s="23">
        <v>0</v>
      </c>
      <c r="C286" s="23" t="s">
        <v>2474</v>
      </c>
      <c r="D286" s="121" t="s">
        <v>2474</v>
      </c>
      <c r="E286" s="121" t="s">
        <v>2474</v>
      </c>
      <c r="F286" t="s">
        <v>198</v>
      </c>
      <c r="G286" s="11">
        <v>0</v>
      </c>
      <c r="H286" s="134" t="s">
        <v>2474</v>
      </c>
      <c r="I286" s="134">
        <v>0</v>
      </c>
      <c r="J286" s="134" t="s">
        <v>2474</v>
      </c>
      <c r="K286" s="134" t="s">
        <v>2474</v>
      </c>
      <c r="L286" t="s">
        <v>2474</v>
      </c>
      <c r="M286" t="b">
        <v>0</v>
      </c>
      <c r="N286" t="s">
        <v>2474</v>
      </c>
    </row>
    <row r="287" spans="1:14" x14ac:dyDescent="0.25">
      <c r="A287" s="23">
        <v>0</v>
      </c>
      <c r="B287" s="23">
        <v>0</v>
      </c>
      <c r="C287" s="23" t="s">
        <v>2474</v>
      </c>
      <c r="D287" s="121" t="s">
        <v>2474</v>
      </c>
      <c r="E287" s="121" t="s">
        <v>2474</v>
      </c>
      <c r="F287" t="s">
        <v>198</v>
      </c>
      <c r="G287" s="11">
        <v>0</v>
      </c>
      <c r="H287" s="134" t="s">
        <v>2474</v>
      </c>
      <c r="I287" s="134">
        <v>0</v>
      </c>
      <c r="J287" s="134" t="s">
        <v>2474</v>
      </c>
      <c r="K287" s="134" t="s">
        <v>2474</v>
      </c>
      <c r="L287" t="s">
        <v>2474</v>
      </c>
      <c r="M287" t="b">
        <v>0</v>
      </c>
      <c r="N287" t="s">
        <v>2474</v>
      </c>
    </row>
    <row r="288" spans="1:14" x14ac:dyDescent="0.25">
      <c r="A288" s="23">
        <v>0</v>
      </c>
      <c r="B288" s="23">
        <v>0</v>
      </c>
      <c r="C288" s="23" t="s">
        <v>2474</v>
      </c>
      <c r="D288" s="121" t="s">
        <v>2474</v>
      </c>
      <c r="E288" s="121" t="s">
        <v>2474</v>
      </c>
      <c r="F288" t="s">
        <v>198</v>
      </c>
      <c r="G288" s="11">
        <v>0</v>
      </c>
      <c r="H288" s="134" t="s">
        <v>2474</v>
      </c>
      <c r="I288" s="134">
        <v>0</v>
      </c>
      <c r="J288" s="134" t="s">
        <v>2474</v>
      </c>
      <c r="K288" s="134" t="s">
        <v>2474</v>
      </c>
      <c r="L288" t="s">
        <v>2474</v>
      </c>
      <c r="M288" t="b">
        <v>0</v>
      </c>
      <c r="N288" t="s">
        <v>2474</v>
      </c>
    </row>
    <row r="289" spans="1:14" x14ac:dyDescent="0.25">
      <c r="A289" s="23">
        <v>0</v>
      </c>
      <c r="B289" s="23">
        <v>0</v>
      </c>
      <c r="C289" s="23" t="s">
        <v>2474</v>
      </c>
      <c r="D289" s="121" t="s">
        <v>2474</v>
      </c>
      <c r="E289" s="121" t="s">
        <v>2474</v>
      </c>
      <c r="F289" t="s">
        <v>198</v>
      </c>
      <c r="G289" s="11">
        <v>0</v>
      </c>
      <c r="H289" s="134" t="s">
        <v>2474</v>
      </c>
      <c r="I289" s="134">
        <v>0</v>
      </c>
      <c r="J289" s="134" t="s">
        <v>2474</v>
      </c>
      <c r="K289" s="134" t="s">
        <v>2474</v>
      </c>
      <c r="L289" t="s">
        <v>2474</v>
      </c>
      <c r="M289" t="b">
        <v>0</v>
      </c>
      <c r="N289" t="s">
        <v>2474</v>
      </c>
    </row>
    <row r="290" spans="1:14" x14ac:dyDescent="0.25">
      <c r="A290" s="23">
        <v>0</v>
      </c>
      <c r="B290" s="23">
        <v>0</v>
      </c>
      <c r="C290" s="23" t="s">
        <v>2474</v>
      </c>
      <c r="D290" s="121" t="s">
        <v>2474</v>
      </c>
      <c r="E290" s="121" t="s">
        <v>2474</v>
      </c>
      <c r="F290" t="s">
        <v>198</v>
      </c>
      <c r="G290" s="11">
        <v>0</v>
      </c>
      <c r="H290" s="134" t="s">
        <v>2474</v>
      </c>
      <c r="I290" s="134">
        <v>0</v>
      </c>
      <c r="J290" s="134" t="s">
        <v>2474</v>
      </c>
      <c r="K290" s="134" t="s">
        <v>2474</v>
      </c>
      <c r="L290" t="s">
        <v>2474</v>
      </c>
      <c r="M290" t="b">
        <v>0</v>
      </c>
      <c r="N290" t="s">
        <v>2474</v>
      </c>
    </row>
    <row r="291" spans="1:14" x14ac:dyDescent="0.25">
      <c r="A291" s="23">
        <v>0</v>
      </c>
      <c r="B291" s="23">
        <v>0</v>
      </c>
      <c r="C291" s="23" t="s">
        <v>2474</v>
      </c>
      <c r="D291" s="121" t="s">
        <v>2474</v>
      </c>
      <c r="E291" s="121" t="s">
        <v>2474</v>
      </c>
      <c r="F291" t="s">
        <v>198</v>
      </c>
      <c r="G291" s="11">
        <v>0</v>
      </c>
      <c r="H291" s="134" t="s">
        <v>2474</v>
      </c>
      <c r="I291" s="134">
        <v>0</v>
      </c>
      <c r="J291" s="134" t="s">
        <v>2474</v>
      </c>
      <c r="K291" s="134" t="s">
        <v>2474</v>
      </c>
      <c r="L291" t="s">
        <v>2474</v>
      </c>
      <c r="M291" t="b">
        <v>0</v>
      </c>
      <c r="N291" t="s">
        <v>2474</v>
      </c>
    </row>
    <row r="292" spans="1:14" x14ac:dyDescent="0.25">
      <c r="A292" s="23">
        <v>0</v>
      </c>
      <c r="B292" s="23">
        <v>0</v>
      </c>
      <c r="C292" s="23" t="s">
        <v>2474</v>
      </c>
      <c r="D292" s="121" t="s">
        <v>2474</v>
      </c>
      <c r="E292" s="121" t="s">
        <v>2474</v>
      </c>
      <c r="F292" t="s">
        <v>198</v>
      </c>
      <c r="G292" s="11">
        <v>0</v>
      </c>
      <c r="H292" s="134" t="s">
        <v>2474</v>
      </c>
      <c r="I292" s="134">
        <v>0</v>
      </c>
      <c r="J292" s="134" t="s">
        <v>2474</v>
      </c>
      <c r="K292" s="134" t="s">
        <v>2474</v>
      </c>
      <c r="L292" t="s">
        <v>2474</v>
      </c>
      <c r="M292" t="b">
        <v>0</v>
      </c>
      <c r="N292" t="s">
        <v>2474</v>
      </c>
    </row>
    <row r="293" spans="1:14" x14ac:dyDescent="0.25">
      <c r="A293" s="23">
        <v>0</v>
      </c>
      <c r="B293" s="23">
        <v>0</v>
      </c>
      <c r="C293" s="23" t="s">
        <v>2474</v>
      </c>
      <c r="D293" s="121" t="s">
        <v>2474</v>
      </c>
      <c r="E293" s="121" t="s">
        <v>2474</v>
      </c>
      <c r="F293" t="s">
        <v>198</v>
      </c>
      <c r="G293" s="11">
        <v>0</v>
      </c>
      <c r="H293" s="134" t="s">
        <v>2474</v>
      </c>
      <c r="I293" s="134">
        <v>0</v>
      </c>
      <c r="J293" s="134" t="s">
        <v>2474</v>
      </c>
      <c r="K293" s="134" t="s">
        <v>2474</v>
      </c>
      <c r="L293" t="s">
        <v>2474</v>
      </c>
      <c r="M293" t="b">
        <v>0</v>
      </c>
      <c r="N293" t="s">
        <v>2474</v>
      </c>
    </row>
    <row r="294" spans="1:14" x14ac:dyDescent="0.25">
      <c r="A294" s="23">
        <v>0</v>
      </c>
      <c r="B294" s="23">
        <v>0</v>
      </c>
      <c r="C294" s="23" t="s">
        <v>2474</v>
      </c>
      <c r="D294" s="121" t="s">
        <v>2474</v>
      </c>
      <c r="E294" s="121" t="s">
        <v>2474</v>
      </c>
      <c r="F294" t="s">
        <v>198</v>
      </c>
      <c r="G294" s="11">
        <v>0</v>
      </c>
      <c r="H294" s="134" t="s">
        <v>2474</v>
      </c>
      <c r="I294" s="134">
        <v>0</v>
      </c>
      <c r="J294" s="134" t="s">
        <v>2474</v>
      </c>
      <c r="K294" s="134" t="s">
        <v>2474</v>
      </c>
      <c r="L294" t="s">
        <v>2474</v>
      </c>
      <c r="M294" t="b">
        <v>0</v>
      </c>
      <c r="N294" t="s">
        <v>2474</v>
      </c>
    </row>
    <row r="295" spans="1:14" x14ac:dyDescent="0.25">
      <c r="A295" s="23">
        <v>0</v>
      </c>
      <c r="B295" s="23">
        <v>0</v>
      </c>
      <c r="C295" s="23" t="s">
        <v>2474</v>
      </c>
      <c r="D295" s="121" t="s">
        <v>2474</v>
      </c>
      <c r="E295" s="121" t="s">
        <v>2474</v>
      </c>
      <c r="F295" t="s">
        <v>198</v>
      </c>
      <c r="G295" s="11">
        <v>0</v>
      </c>
      <c r="H295" s="134" t="s">
        <v>2474</v>
      </c>
      <c r="I295" s="134">
        <v>0</v>
      </c>
      <c r="J295" s="134" t="s">
        <v>2474</v>
      </c>
      <c r="K295" s="134" t="s">
        <v>2474</v>
      </c>
      <c r="L295" t="s">
        <v>2474</v>
      </c>
      <c r="M295" t="b">
        <v>0</v>
      </c>
      <c r="N295" t="s">
        <v>2474</v>
      </c>
    </row>
    <row r="296" spans="1:14" x14ac:dyDescent="0.25">
      <c r="A296" s="23">
        <v>0</v>
      </c>
      <c r="B296" s="23">
        <v>0</v>
      </c>
      <c r="C296" s="23" t="s">
        <v>2474</v>
      </c>
      <c r="D296" s="121" t="s">
        <v>2474</v>
      </c>
      <c r="E296" s="121" t="s">
        <v>2474</v>
      </c>
      <c r="F296" t="s">
        <v>198</v>
      </c>
      <c r="G296" s="11">
        <v>0</v>
      </c>
      <c r="H296" s="134" t="s">
        <v>2474</v>
      </c>
      <c r="I296" s="134">
        <v>0</v>
      </c>
      <c r="J296" s="134" t="s">
        <v>2474</v>
      </c>
      <c r="K296" s="134" t="s">
        <v>2474</v>
      </c>
      <c r="L296" t="s">
        <v>2474</v>
      </c>
      <c r="M296" t="b">
        <v>0</v>
      </c>
      <c r="N296" t="s">
        <v>2474</v>
      </c>
    </row>
    <row r="297" spans="1:14" x14ac:dyDescent="0.25">
      <c r="A297" s="23">
        <v>0</v>
      </c>
      <c r="B297" s="23">
        <v>0</v>
      </c>
      <c r="C297" s="23" t="s">
        <v>2474</v>
      </c>
      <c r="D297" s="121" t="s">
        <v>2474</v>
      </c>
      <c r="E297" s="121" t="s">
        <v>2474</v>
      </c>
      <c r="F297" t="s">
        <v>198</v>
      </c>
      <c r="G297" s="11">
        <v>0</v>
      </c>
      <c r="H297" s="134" t="s">
        <v>2474</v>
      </c>
      <c r="I297" s="134">
        <v>0</v>
      </c>
      <c r="J297" s="134" t="s">
        <v>2474</v>
      </c>
      <c r="K297" s="134" t="s">
        <v>2474</v>
      </c>
      <c r="L297" t="s">
        <v>2474</v>
      </c>
      <c r="M297" t="b">
        <v>0</v>
      </c>
      <c r="N297" t="s">
        <v>2474</v>
      </c>
    </row>
    <row r="298" spans="1:14" x14ac:dyDescent="0.25">
      <c r="A298" s="23">
        <v>0</v>
      </c>
      <c r="B298" s="23">
        <v>0</v>
      </c>
      <c r="C298" s="23" t="s">
        <v>2474</v>
      </c>
      <c r="D298" s="121" t="s">
        <v>2474</v>
      </c>
      <c r="E298" s="121" t="s">
        <v>2474</v>
      </c>
      <c r="F298" t="s">
        <v>198</v>
      </c>
      <c r="G298" s="11">
        <v>0</v>
      </c>
      <c r="H298" s="134" t="s">
        <v>2474</v>
      </c>
      <c r="I298" s="134">
        <v>0</v>
      </c>
      <c r="J298" s="134" t="s">
        <v>2474</v>
      </c>
      <c r="K298" s="134" t="s">
        <v>2474</v>
      </c>
      <c r="L298" t="s">
        <v>2474</v>
      </c>
      <c r="M298" t="b">
        <v>0</v>
      </c>
      <c r="N298" t="s">
        <v>2474</v>
      </c>
    </row>
    <row r="299" spans="1:14" x14ac:dyDescent="0.25">
      <c r="A299" s="23">
        <v>0</v>
      </c>
      <c r="B299" s="23">
        <v>0</v>
      </c>
      <c r="C299" s="23" t="s">
        <v>2474</v>
      </c>
      <c r="D299" s="121" t="s">
        <v>2474</v>
      </c>
      <c r="E299" s="121" t="s">
        <v>2474</v>
      </c>
      <c r="F299" t="s">
        <v>198</v>
      </c>
      <c r="G299" s="11">
        <v>0</v>
      </c>
      <c r="H299" s="134" t="s">
        <v>2474</v>
      </c>
      <c r="I299" s="134">
        <v>0</v>
      </c>
      <c r="J299" s="134" t="s">
        <v>2474</v>
      </c>
      <c r="K299" s="134" t="s">
        <v>2474</v>
      </c>
      <c r="L299" t="s">
        <v>2474</v>
      </c>
      <c r="M299" t="b">
        <v>0</v>
      </c>
      <c r="N299" t="s">
        <v>2474</v>
      </c>
    </row>
    <row r="300" spans="1:14" x14ac:dyDescent="0.25">
      <c r="A300" s="23">
        <v>0</v>
      </c>
      <c r="B300" s="23">
        <v>0</v>
      </c>
      <c r="C300" s="23" t="s">
        <v>2474</v>
      </c>
      <c r="D300" s="121" t="s">
        <v>2474</v>
      </c>
      <c r="E300" s="121" t="s">
        <v>2474</v>
      </c>
      <c r="F300" t="s">
        <v>198</v>
      </c>
      <c r="G300" s="11">
        <v>0</v>
      </c>
      <c r="H300" s="134" t="s">
        <v>2474</v>
      </c>
      <c r="I300" s="134">
        <v>0</v>
      </c>
      <c r="J300" s="134" t="s">
        <v>2474</v>
      </c>
      <c r="K300" s="134" t="s">
        <v>2474</v>
      </c>
      <c r="L300" t="s">
        <v>2474</v>
      </c>
      <c r="M300" t="b">
        <v>0</v>
      </c>
      <c r="N300" t="s">
        <v>2474</v>
      </c>
    </row>
    <row r="301" spans="1:14" x14ac:dyDescent="0.25">
      <c r="A301" s="23">
        <v>0</v>
      </c>
      <c r="B301" s="23">
        <v>0</v>
      </c>
      <c r="C301" s="23" t="s">
        <v>2474</v>
      </c>
      <c r="D301" s="121" t="s">
        <v>2474</v>
      </c>
      <c r="E301" s="121" t="s">
        <v>2474</v>
      </c>
      <c r="F301" t="s">
        <v>198</v>
      </c>
      <c r="G301" s="11">
        <v>0</v>
      </c>
      <c r="H301" s="134" t="s">
        <v>2474</v>
      </c>
      <c r="I301" s="134">
        <v>0</v>
      </c>
      <c r="J301" s="134" t="s">
        <v>2474</v>
      </c>
      <c r="K301" s="134" t="s">
        <v>2474</v>
      </c>
      <c r="L301" t="s">
        <v>2474</v>
      </c>
      <c r="M301" t="b">
        <v>0</v>
      </c>
      <c r="N301" t="s">
        <v>2474</v>
      </c>
    </row>
    <row r="302" spans="1:14" hidden="1" x14ac:dyDescent="0.25">
      <c r="A302" s="23">
        <v>0</v>
      </c>
      <c r="B302" s="23">
        <v>0</v>
      </c>
      <c r="C302" s="23">
        <v>0</v>
      </c>
      <c r="D302" s="121">
        <v>0</v>
      </c>
      <c r="E302" s="121">
        <v>0</v>
      </c>
      <c r="F302" t="s">
        <v>198</v>
      </c>
      <c r="G302" s="11">
        <v>0</v>
      </c>
      <c r="H302" s="134">
        <v>0</v>
      </c>
      <c r="I302" s="134">
        <v>0</v>
      </c>
      <c r="J302" s="134">
        <v>0</v>
      </c>
      <c r="K302" s="134">
        <v>0</v>
      </c>
      <c r="L302">
        <v>0</v>
      </c>
      <c r="M302" t="b">
        <v>0</v>
      </c>
      <c r="N302" t="s">
        <v>2474</v>
      </c>
    </row>
    <row r="303" spans="1:14" hidden="1" x14ac:dyDescent="0.25">
      <c r="A303" s="23">
        <v>0</v>
      </c>
      <c r="B303" s="23">
        <v>0</v>
      </c>
      <c r="C303" s="23">
        <v>0</v>
      </c>
      <c r="D303" s="121">
        <v>0</v>
      </c>
      <c r="E303" s="121">
        <v>0</v>
      </c>
      <c r="F303" t="s">
        <v>198</v>
      </c>
      <c r="G303" s="11">
        <v>0</v>
      </c>
      <c r="H303" s="134">
        <v>0</v>
      </c>
      <c r="I303" s="134">
        <v>0</v>
      </c>
      <c r="J303" s="134">
        <v>0</v>
      </c>
      <c r="K303" s="134">
        <v>0</v>
      </c>
      <c r="L303">
        <v>0</v>
      </c>
      <c r="M303" t="b">
        <v>0</v>
      </c>
      <c r="N303" t="s">
        <v>2474</v>
      </c>
    </row>
    <row r="304" spans="1:14" hidden="1" x14ac:dyDescent="0.25">
      <c r="A304" s="23">
        <v>0</v>
      </c>
      <c r="B304" s="23">
        <v>0</v>
      </c>
      <c r="C304" s="23">
        <v>0</v>
      </c>
      <c r="D304" s="121">
        <v>0</v>
      </c>
      <c r="E304" s="121">
        <v>0</v>
      </c>
      <c r="F304" t="s">
        <v>198</v>
      </c>
      <c r="G304" s="11">
        <v>0</v>
      </c>
      <c r="H304" s="134">
        <v>0</v>
      </c>
      <c r="I304" s="134">
        <v>0</v>
      </c>
      <c r="J304" s="134">
        <v>0</v>
      </c>
      <c r="K304" s="134">
        <v>0</v>
      </c>
      <c r="L304">
        <v>0</v>
      </c>
      <c r="M304" t="b">
        <v>0</v>
      </c>
      <c r="N304" t="s">
        <v>2474</v>
      </c>
    </row>
    <row r="305" spans="1:14" hidden="1" x14ac:dyDescent="0.25">
      <c r="A305" s="23">
        <v>0</v>
      </c>
      <c r="B305" s="23">
        <v>0</v>
      </c>
      <c r="C305" s="23">
        <v>0</v>
      </c>
      <c r="D305" s="121">
        <v>0</v>
      </c>
      <c r="E305" s="121">
        <v>0</v>
      </c>
      <c r="F305" t="s">
        <v>198</v>
      </c>
      <c r="G305" s="11">
        <v>0</v>
      </c>
      <c r="H305" s="134">
        <v>0</v>
      </c>
      <c r="I305" s="134">
        <v>0</v>
      </c>
      <c r="J305" s="134">
        <v>0</v>
      </c>
      <c r="K305" s="134">
        <v>0</v>
      </c>
      <c r="L305">
        <v>0</v>
      </c>
      <c r="M305" t="b">
        <v>0</v>
      </c>
      <c r="N305" t="s">
        <v>2474</v>
      </c>
    </row>
    <row r="306" spans="1:14" hidden="1" x14ac:dyDescent="0.25">
      <c r="A306" s="23">
        <v>0</v>
      </c>
      <c r="B306" s="23">
        <v>0</v>
      </c>
      <c r="C306" s="23">
        <v>0</v>
      </c>
      <c r="D306" s="121">
        <v>0</v>
      </c>
      <c r="E306" s="121">
        <v>0</v>
      </c>
      <c r="F306" t="s">
        <v>198</v>
      </c>
      <c r="G306" s="11">
        <v>0</v>
      </c>
      <c r="H306" s="134">
        <v>0</v>
      </c>
      <c r="I306" s="134">
        <v>0</v>
      </c>
      <c r="J306" s="134">
        <v>0</v>
      </c>
      <c r="K306" s="134">
        <v>0</v>
      </c>
      <c r="L306">
        <v>0</v>
      </c>
      <c r="M306" t="b">
        <v>0</v>
      </c>
      <c r="N306" t="s">
        <v>2474</v>
      </c>
    </row>
    <row r="307" spans="1:14" hidden="1" x14ac:dyDescent="0.25">
      <c r="A307" s="23">
        <v>0</v>
      </c>
      <c r="B307" s="23">
        <v>0</v>
      </c>
      <c r="C307" s="23">
        <v>0</v>
      </c>
      <c r="D307" s="121">
        <v>0</v>
      </c>
      <c r="E307" s="121">
        <v>0</v>
      </c>
      <c r="F307" t="s">
        <v>198</v>
      </c>
      <c r="G307" s="11">
        <v>0</v>
      </c>
      <c r="H307" s="134">
        <v>0</v>
      </c>
      <c r="I307" s="134">
        <v>0</v>
      </c>
      <c r="J307" s="134">
        <v>0</v>
      </c>
      <c r="K307" s="134">
        <v>0</v>
      </c>
      <c r="L307">
        <v>0</v>
      </c>
      <c r="M307" t="b">
        <v>0</v>
      </c>
      <c r="N307" t="s">
        <v>2474</v>
      </c>
    </row>
    <row r="308" spans="1:14" hidden="1" x14ac:dyDescent="0.25">
      <c r="A308" s="23">
        <v>0</v>
      </c>
      <c r="B308" s="23">
        <v>0</v>
      </c>
      <c r="C308" s="23">
        <v>0</v>
      </c>
      <c r="D308" s="121">
        <v>0</v>
      </c>
      <c r="E308" s="121">
        <v>0</v>
      </c>
      <c r="F308" t="s">
        <v>198</v>
      </c>
      <c r="G308" s="11">
        <v>0</v>
      </c>
      <c r="H308" s="134">
        <v>0</v>
      </c>
      <c r="I308" s="134">
        <v>0</v>
      </c>
      <c r="J308" s="134">
        <v>0</v>
      </c>
      <c r="K308" s="134">
        <v>0</v>
      </c>
      <c r="L308">
        <v>0</v>
      </c>
      <c r="M308" t="b">
        <v>0</v>
      </c>
      <c r="N308" t="s">
        <v>2474</v>
      </c>
    </row>
    <row r="309" spans="1:14" hidden="1" x14ac:dyDescent="0.25">
      <c r="A309" s="23">
        <v>0</v>
      </c>
      <c r="B309" s="23">
        <v>0</v>
      </c>
      <c r="C309" s="23">
        <v>0</v>
      </c>
      <c r="D309" s="121">
        <v>0</v>
      </c>
      <c r="E309" s="121">
        <v>0</v>
      </c>
      <c r="F309" t="s">
        <v>198</v>
      </c>
      <c r="G309" s="11">
        <v>0</v>
      </c>
      <c r="H309" s="134">
        <v>0</v>
      </c>
      <c r="I309" s="134">
        <v>0</v>
      </c>
      <c r="J309" s="134">
        <v>0</v>
      </c>
      <c r="K309" s="134">
        <v>0</v>
      </c>
      <c r="L309">
        <v>0</v>
      </c>
      <c r="M309" t="b">
        <v>0</v>
      </c>
      <c r="N309" t="s">
        <v>2474</v>
      </c>
    </row>
    <row r="310" spans="1:14" hidden="1" x14ac:dyDescent="0.25">
      <c r="A310" s="23">
        <v>0</v>
      </c>
      <c r="B310" s="23">
        <v>0</v>
      </c>
      <c r="C310" s="23">
        <v>0</v>
      </c>
      <c r="D310" s="121">
        <v>0</v>
      </c>
      <c r="E310" s="121">
        <v>0</v>
      </c>
      <c r="F310" t="s">
        <v>198</v>
      </c>
      <c r="G310" s="11">
        <v>0</v>
      </c>
      <c r="H310" s="134">
        <v>0</v>
      </c>
      <c r="I310" s="134">
        <v>0</v>
      </c>
      <c r="J310" s="134">
        <v>0</v>
      </c>
      <c r="K310" s="134">
        <v>0</v>
      </c>
      <c r="L310">
        <v>0</v>
      </c>
      <c r="M310" t="b">
        <v>0</v>
      </c>
      <c r="N310" t="s">
        <v>2474</v>
      </c>
    </row>
    <row r="311" spans="1:14" hidden="1" x14ac:dyDescent="0.25">
      <c r="A311" s="23">
        <v>0</v>
      </c>
      <c r="B311" s="23">
        <v>0</v>
      </c>
      <c r="C311" s="23">
        <v>0</v>
      </c>
      <c r="D311" s="121">
        <v>0</v>
      </c>
      <c r="E311" s="121">
        <v>0</v>
      </c>
      <c r="F311" t="s">
        <v>198</v>
      </c>
      <c r="G311" s="11">
        <v>0</v>
      </c>
      <c r="H311" s="134">
        <v>0</v>
      </c>
      <c r="I311" s="134">
        <v>0</v>
      </c>
      <c r="J311" s="134">
        <v>0</v>
      </c>
      <c r="K311" s="134">
        <v>0</v>
      </c>
      <c r="L311">
        <v>0</v>
      </c>
      <c r="M311" t="b">
        <v>0</v>
      </c>
      <c r="N311" t="s">
        <v>2474</v>
      </c>
    </row>
    <row r="312" spans="1:14" hidden="1" x14ac:dyDescent="0.25">
      <c r="A312" s="23">
        <v>0</v>
      </c>
      <c r="B312" s="23">
        <v>0</v>
      </c>
      <c r="C312" s="23">
        <v>0</v>
      </c>
      <c r="D312" s="121">
        <v>0</v>
      </c>
      <c r="E312" s="121">
        <v>0</v>
      </c>
      <c r="F312" t="s">
        <v>198</v>
      </c>
      <c r="G312" s="11">
        <v>0</v>
      </c>
      <c r="H312" s="134">
        <v>0</v>
      </c>
      <c r="I312" s="134">
        <v>0</v>
      </c>
      <c r="J312" s="134">
        <v>0</v>
      </c>
      <c r="K312" s="134">
        <v>0</v>
      </c>
      <c r="L312">
        <v>0</v>
      </c>
      <c r="M312" t="b">
        <v>0</v>
      </c>
      <c r="N312" t="s">
        <v>2474</v>
      </c>
    </row>
    <row r="313" spans="1:14" hidden="1" x14ac:dyDescent="0.25">
      <c r="A313" s="23">
        <v>0</v>
      </c>
      <c r="B313" s="23">
        <v>0</v>
      </c>
      <c r="C313" s="23">
        <v>0</v>
      </c>
      <c r="D313" s="121">
        <v>0</v>
      </c>
      <c r="E313" s="121">
        <v>0</v>
      </c>
      <c r="F313" t="s">
        <v>198</v>
      </c>
      <c r="G313" s="11">
        <v>0</v>
      </c>
      <c r="H313" s="134">
        <v>0</v>
      </c>
      <c r="I313" s="134">
        <v>0</v>
      </c>
      <c r="J313" s="134">
        <v>0</v>
      </c>
      <c r="K313" s="134">
        <v>0</v>
      </c>
      <c r="L313">
        <v>0</v>
      </c>
      <c r="M313" t="b">
        <v>0</v>
      </c>
      <c r="N313" t="s">
        <v>2474</v>
      </c>
    </row>
    <row r="314" spans="1:14" hidden="1" x14ac:dyDescent="0.25">
      <c r="A314" s="23">
        <v>0</v>
      </c>
      <c r="B314" s="23">
        <v>0</v>
      </c>
      <c r="C314" s="23">
        <v>0</v>
      </c>
      <c r="D314" s="121">
        <v>0</v>
      </c>
      <c r="E314" s="121">
        <v>0</v>
      </c>
      <c r="F314" t="s">
        <v>198</v>
      </c>
      <c r="G314" s="11">
        <v>0</v>
      </c>
      <c r="H314" s="134">
        <v>0</v>
      </c>
      <c r="I314" s="134">
        <v>0</v>
      </c>
      <c r="J314" s="134">
        <v>0</v>
      </c>
      <c r="K314" s="134">
        <v>0</v>
      </c>
      <c r="L314">
        <v>0</v>
      </c>
      <c r="M314" t="b">
        <v>0</v>
      </c>
      <c r="N314" t="s">
        <v>2474</v>
      </c>
    </row>
    <row r="315" spans="1:14" hidden="1" x14ac:dyDescent="0.25">
      <c r="A315" s="23">
        <v>0</v>
      </c>
      <c r="B315" s="23">
        <v>0</v>
      </c>
      <c r="C315" s="23">
        <v>0</v>
      </c>
      <c r="D315" s="121">
        <v>0</v>
      </c>
      <c r="E315" s="121">
        <v>0</v>
      </c>
      <c r="F315" t="s">
        <v>198</v>
      </c>
      <c r="G315" s="11">
        <v>0</v>
      </c>
      <c r="H315" s="134">
        <v>0</v>
      </c>
      <c r="I315" s="134">
        <v>0</v>
      </c>
      <c r="J315" s="134">
        <v>0</v>
      </c>
      <c r="K315" s="134">
        <v>0</v>
      </c>
      <c r="L315">
        <v>0</v>
      </c>
      <c r="M315" t="b">
        <v>0</v>
      </c>
      <c r="N315" t="s">
        <v>2474</v>
      </c>
    </row>
    <row r="316" spans="1:14" hidden="1" x14ac:dyDescent="0.25">
      <c r="A316" s="23">
        <v>0</v>
      </c>
      <c r="B316" s="23">
        <v>0</v>
      </c>
      <c r="C316" s="23">
        <v>0</v>
      </c>
      <c r="D316" s="121">
        <v>0</v>
      </c>
      <c r="E316" s="121">
        <v>0</v>
      </c>
      <c r="F316" t="s">
        <v>198</v>
      </c>
      <c r="G316" s="11">
        <v>0</v>
      </c>
      <c r="H316" s="134">
        <v>0</v>
      </c>
      <c r="I316" s="134">
        <v>0</v>
      </c>
      <c r="J316" s="134">
        <v>0</v>
      </c>
      <c r="K316" s="134">
        <v>0</v>
      </c>
      <c r="L316">
        <v>0</v>
      </c>
      <c r="M316" t="b">
        <v>0</v>
      </c>
      <c r="N316" t="s">
        <v>2474</v>
      </c>
    </row>
    <row r="317" spans="1:14" hidden="1" x14ac:dyDescent="0.25">
      <c r="A317" s="23">
        <v>0</v>
      </c>
      <c r="B317" s="23">
        <v>0</v>
      </c>
      <c r="C317" s="23">
        <v>0</v>
      </c>
      <c r="D317" s="121">
        <v>0</v>
      </c>
      <c r="E317" s="121">
        <v>0</v>
      </c>
      <c r="F317" t="s">
        <v>198</v>
      </c>
      <c r="G317" s="11">
        <v>0</v>
      </c>
      <c r="H317" s="134">
        <v>0</v>
      </c>
      <c r="I317" s="134">
        <v>0</v>
      </c>
      <c r="J317" s="134">
        <v>0</v>
      </c>
      <c r="K317" s="134">
        <v>0</v>
      </c>
      <c r="L317">
        <v>0</v>
      </c>
      <c r="M317" t="b">
        <v>0</v>
      </c>
      <c r="N317" t="s">
        <v>2474</v>
      </c>
    </row>
    <row r="318" spans="1:14" hidden="1" x14ac:dyDescent="0.25">
      <c r="A318" s="23">
        <v>0</v>
      </c>
      <c r="B318" s="23">
        <v>0</v>
      </c>
      <c r="C318" s="23">
        <v>0</v>
      </c>
      <c r="D318" s="121">
        <v>0</v>
      </c>
      <c r="E318" s="121">
        <v>0</v>
      </c>
      <c r="F318" t="s">
        <v>198</v>
      </c>
      <c r="G318" s="11">
        <v>0</v>
      </c>
      <c r="H318" s="134">
        <v>0</v>
      </c>
      <c r="I318" s="134">
        <v>0</v>
      </c>
      <c r="J318" s="134">
        <v>0</v>
      </c>
      <c r="K318" s="134">
        <v>0</v>
      </c>
      <c r="L318">
        <v>0</v>
      </c>
      <c r="M318" t="b">
        <v>0</v>
      </c>
      <c r="N318" t="s">
        <v>2474</v>
      </c>
    </row>
    <row r="319" spans="1:14" hidden="1" x14ac:dyDescent="0.25">
      <c r="A319" s="23">
        <v>0</v>
      </c>
      <c r="B319" s="23">
        <v>0</v>
      </c>
      <c r="C319" s="23">
        <v>0</v>
      </c>
      <c r="D319" s="121">
        <v>0</v>
      </c>
      <c r="E319" s="121">
        <v>0</v>
      </c>
      <c r="F319" t="s">
        <v>198</v>
      </c>
      <c r="G319" s="11">
        <v>0</v>
      </c>
      <c r="H319" s="134">
        <v>0</v>
      </c>
      <c r="I319" s="134">
        <v>0</v>
      </c>
      <c r="J319" s="134">
        <v>0</v>
      </c>
      <c r="K319" s="134">
        <v>0</v>
      </c>
      <c r="L319">
        <v>0</v>
      </c>
      <c r="M319" t="b">
        <v>0</v>
      </c>
      <c r="N319" t="s">
        <v>2474</v>
      </c>
    </row>
    <row r="320" spans="1:14" hidden="1" x14ac:dyDescent="0.25">
      <c r="A320" s="23">
        <v>0</v>
      </c>
      <c r="B320" s="23">
        <v>0</v>
      </c>
      <c r="C320" s="23">
        <v>0</v>
      </c>
      <c r="D320" s="121">
        <v>0</v>
      </c>
      <c r="E320" s="121">
        <v>0</v>
      </c>
      <c r="F320" t="s">
        <v>198</v>
      </c>
      <c r="G320" s="11">
        <v>0</v>
      </c>
      <c r="H320" s="134">
        <v>0</v>
      </c>
      <c r="I320" s="134">
        <v>0</v>
      </c>
      <c r="J320" s="134">
        <v>0</v>
      </c>
      <c r="K320" s="134">
        <v>0</v>
      </c>
      <c r="L320">
        <v>0</v>
      </c>
      <c r="M320" t="b">
        <v>0</v>
      </c>
      <c r="N320" t="s">
        <v>2474</v>
      </c>
    </row>
    <row r="321" spans="1:14" hidden="1" x14ac:dyDescent="0.25">
      <c r="A321" s="23">
        <v>0</v>
      </c>
      <c r="B321" s="23">
        <v>0</v>
      </c>
      <c r="C321" s="23">
        <v>0</v>
      </c>
      <c r="D321" s="121">
        <v>0</v>
      </c>
      <c r="E321" s="121">
        <v>0</v>
      </c>
      <c r="F321" t="s">
        <v>198</v>
      </c>
      <c r="G321" s="11">
        <v>0</v>
      </c>
      <c r="H321" s="134">
        <v>0</v>
      </c>
      <c r="I321" s="134">
        <v>0</v>
      </c>
      <c r="J321" s="134">
        <v>0</v>
      </c>
      <c r="K321" s="134">
        <v>0</v>
      </c>
      <c r="L321">
        <v>0</v>
      </c>
      <c r="M321" t="b">
        <v>0</v>
      </c>
      <c r="N321" t="s">
        <v>2474</v>
      </c>
    </row>
    <row r="322" spans="1:14" hidden="1" x14ac:dyDescent="0.25">
      <c r="A322" s="23">
        <v>0</v>
      </c>
      <c r="B322" s="23">
        <v>0</v>
      </c>
      <c r="C322" s="23">
        <v>0</v>
      </c>
      <c r="D322" s="121">
        <v>0</v>
      </c>
      <c r="E322" s="121">
        <v>0</v>
      </c>
      <c r="F322" t="s">
        <v>198</v>
      </c>
      <c r="G322" s="11">
        <v>0</v>
      </c>
      <c r="H322" s="134">
        <v>0</v>
      </c>
      <c r="I322" s="134">
        <v>0</v>
      </c>
      <c r="J322" s="134">
        <v>0</v>
      </c>
      <c r="K322" s="134">
        <v>0</v>
      </c>
      <c r="L322">
        <v>0</v>
      </c>
      <c r="M322" t="b">
        <v>0</v>
      </c>
      <c r="N322" t="s">
        <v>2474</v>
      </c>
    </row>
    <row r="323" spans="1:14" hidden="1" x14ac:dyDescent="0.25">
      <c r="A323" s="23">
        <v>0</v>
      </c>
      <c r="B323" s="23">
        <v>0</v>
      </c>
      <c r="C323" s="23">
        <v>0</v>
      </c>
      <c r="D323" s="121">
        <v>0</v>
      </c>
      <c r="E323" s="121">
        <v>0</v>
      </c>
      <c r="F323" t="s">
        <v>198</v>
      </c>
      <c r="G323" s="11">
        <v>0</v>
      </c>
      <c r="H323" s="134">
        <v>0</v>
      </c>
      <c r="I323" s="134">
        <v>0</v>
      </c>
      <c r="J323" s="134">
        <v>0</v>
      </c>
      <c r="K323" s="134">
        <v>0</v>
      </c>
      <c r="L323">
        <v>0</v>
      </c>
      <c r="M323" t="b">
        <v>0</v>
      </c>
      <c r="N323" t="s">
        <v>2474</v>
      </c>
    </row>
    <row r="324" spans="1:14" hidden="1" x14ac:dyDescent="0.25">
      <c r="A324" s="23">
        <v>0</v>
      </c>
      <c r="B324" s="23">
        <v>0</v>
      </c>
      <c r="C324" s="23">
        <v>0</v>
      </c>
      <c r="D324" s="121">
        <v>0</v>
      </c>
      <c r="E324" s="121">
        <v>0</v>
      </c>
      <c r="F324" t="s">
        <v>198</v>
      </c>
      <c r="G324" s="11">
        <v>0</v>
      </c>
      <c r="H324" s="134">
        <v>0</v>
      </c>
      <c r="I324" s="134">
        <v>0</v>
      </c>
      <c r="J324" s="134">
        <v>0</v>
      </c>
      <c r="K324" s="134">
        <v>0</v>
      </c>
      <c r="L324">
        <v>0</v>
      </c>
      <c r="M324" t="b">
        <v>0</v>
      </c>
      <c r="N324" t="s">
        <v>2474</v>
      </c>
    </row>
    <row r="325" spans="1:14" hidden="1" x14ac:dyDescent="0.25">
      <c r="A325" s="23">
        <v>0</v>
      </c>
      <c r="B325" s="23">
        <v>0</v>
      </c>
      <c r="C325" s="23">
        <v>0</v>
      </c>
      <c r="D325" s="121">
        <v>0</v>
      </c>
      <c r="E325" s="121">
        <v>0</v>
      </c>
      <c r="F325" t="s">
        <v>198</v>
      </c>
      <c r="G325" s="11">
        <v>0</v>
      </c>
      <c r="H325" s="134">
        <v>0</v>
      </c>
      <c r="I325" s="134">
        <v>0</v>
      </c>
      <c r="J325" s="134">
        <v>0</v>
      </c>
      <c r="K325" s="134">
        <v>0</v>
      </c>
      <c r="L325">
        <v>0</v>
      </c>
      <c r="M325" t="b">
        <v>0</v>
      </c>
      <c r="N325" t="s">
        <v>2474</v>
      </c>
    </row>
    <row r="326" spans="1:14" hidden="1" x14ac:dyDescent="0.25">
      <c r="A326" s="23">
        <v>0</v>
      </c>
      <c r="B326" s="23">
        <v>0</v>
      </c>
      <c r="C326" s="23">
        <v>0</v>
      </c>
      <c r="D326" s="121">
        <v>0</v>
      </c>
      <c r="E326" s="121">
        <v>0</v>
      </c>
      <c r="F326" t="s">
        <v>198</v>
      </c>
      <c r="G326" s="11">
        <v>0</v>
      </c>
      <c r="H326" s="134">
        <v>0</v>
      </c>
      <c r="I326" s="134">
        <v>0</v>
      </c>
      <c r="J326" s="134">
        <v>0</v>
      </c>
      <c r="K326" s="134">
        <v>0</v>
      </c>
      <c r="L326">
        <v>0</v>
      </c>
      <c r="M326" t="b">
        <v>0</v>
      </c>
      <c r="N326" t="s">
        <v>2474</v>
      </c>
    </row>
    <row r="327" spans="1:14" hidden="1" x14ac:dyDescent="0.25">
      <c r="A327" s="23">
        <v>0</v>
      </c>
      <c r="B327" s="23">
        <v>0</v>
      </c>
      <c r="C327" s="23">
        <v>0</v>
      </c>
      <c r="D327" s="121">
        <v>0</v>
      </c>
      <c r="E327" s="121">
        <v>0</v>
      </c>
      <c r="F327" t="s">
        <v>198</v>
      </c>
      <c r="G327" s="11">
        <v>0</v>
      </c>
      <c r="H327" s="134">
        <v>0</v>
      </c>
      <c r="I327" s="134">
        <v>0</v>
      </c>
      <c r="J327" s="134">
        <v>0</v>
      </c>
      <c r="K327" s="134">
        <v>0</v>
      </c>
      <c r="L327">
        <v>0</v>
      </c>
      <c r="M327" t="b">
        <v>0</v>
      </c>
      <c r="N327" t="s">
        <v>2474</v>
      </c>
    </row>
    <row r="328" spans="1:14" hidden="1" x14ac:dyDescent="0.25">
      <c r="A328" s="23">
        <v>0</v>
      </c>
      <c r="B328" s="23">
        <v>0</v>
      </c>
      <c r="C328" s="23">
        <v>0</v>
      </c>
      <c r="D328" s="121">
        <v>0</v>
      </c>
      <c r="E328" s="121">
        <v>0</v>
      </c>
      <c r="F328" t="s">
        <v>198</v>
      </c>
      <c r="G328" s="11">
        <v>0</v>
      </c>
      <c r="H328" s="134">
        <v>0</v>
      </c>
      <c r="I328" s="134">
        <v>0</v>
      </c>
      <c r="J328" s="134">
        <v>0</v>
      </c>
      <c r="K328" s="134">
        <v>0</v>
      </c>
      <c r="L328">
        <v>0</v>
      </c>
      <c r="M328" t="b">
        <v>0</v>
      </c>
      <c r="N328" t="s">
        <v>2474</v>
      </c>
    </row>
    <row r="329" spans="1:14" hidden="1" x14ac:dyDescent="0.25">
      <c r="A329" s="23">
        <v>0</v>
      </c>
      <c r="B329" s="23">
        <v>0</v>
      </c>
      <c r="C329" s="23">
        <v>0</v>
      </c>
      <c r="D329" s="121">
        <v>0</v>
      </c>
      <c r="E329" s="121">
        <v>0</v>
      </c>
      <c r="F329" t="s">
        <v>198</v>
      </c>
      <c r="G329" s="11">
        <v>0</v>
      </c>
      <c r="H329" s="134">
        <v>0</v>
      </c>
      <c r="I329" s="134">
        <v>0</v>
      </c>
      <c r="J329" s="134">
        <v>0</v>
      </c>
      <c r="K329" s="134">
        <v>0</v>
      </c>
      <c r="L329">
        <v>0</v>
      </c>
      <c r="M329" t="b">
        <v>0</v>
      </c>
      <c r="N329" t="s">
        <v>2474</v>
      </c>
    </row>
    <row r="330" spans="1:14" hidden="1" x14ac:dyDescent="0.25">
      <c r="A330" s="23">
        <v>0</v>
      </c>
      <c r="B330" s="23">
        <v>0</v>
      </c>
      <c r="C330" s="23">
        <v>0</v>
      </c>
      <c r="D330" s="121">
        <v>0</v>
      </c>
      <c r="E330" s="121">
        <v>0</v>
      </c>
      <c r="F330" t="s">
        <v>198</v>
      </c>
      <c r="G330" s="11">
        <v>0</v>
      </c>
      <c r="H330" s="134">
        <v>0</v>
      </c>
      <c r="I330" s="134">
        <v>0</v>
      </c>
      <c r="J330" s="134">
        <v>0</v>
      </c>
      <c r="K330" s="134">
        <v>0</v>
      </c>
      <c r="L330">
        <v>0</v>
      </c>
      <c r="M330" t="b">
        <v>0</v>
      </c>
      <c r="N330" t="s">
        <v>2474</v>
      </c>
    </row>
    <row r="331" spans="1:14" hidden="1" x14ac:dyDescent="0.25">
      <c r="A331" s="23">
        <v>0</v>
      </c>
      <c r="B331" s="23">
        <v>0</v>
      </c>
      <c r="C331" s="23">
        <v>0</v>
      </c>
      <c r="D331" s="121">
        <v>0</v>
      </c>
      <c r="E331" s="121">
        <v>0</v>
      </c>
      <c r="F331" t="s">
        <v>198</v>
      </c>
      <c r="G331" s="11">
        <v>0</v>
      </c>
      <c r="H331" s="134">
        <v>0</v>
      </c>
      <c r="I331" s="134">
        <v>0</v>
      </c>
      <c r="J331" s="134">
        <v>0</v>
      </c>
      <c r="K331" s="134">
        <v>0</v>
      </c>
      <c r="L331">
        <v>0</v>
      </c>
      <c r="M331" t="b">
        <v>0</v>
      </c>
      <c r="N331" t="s">
        <v>2474</v>
      </c>
    </row>
    <row r="332" spans="1:14" hidden="1" x14ac:dyDescent="0.25">
      <c r="A332" s="23">
        <v>0</v>
      </c>
      <c r="B332" s="23">
        <v>0</v>
      </c>
      <c r="C332" s="23">
        <v>0</v>
      </c>
      <c r="D332" s="121">
        <v>0</v>
      </c>
      <c r="E332" s="121">
        <v>0</v>
      </c>
      <c r="F332" t="s">
        <v>198</v>
      </c>
      <c r="G332" s="11">
        <v>0</v>
      </c>
      <c r="H332" s="134">
        <v>0</v>
      </c>
      <c r="I332" s="134">
        <v>0</v>
      </c>
      <c r="J332" s="134">
        <v>0</v>
      </c>
      <c r="K332" s="134">
        <v>0</v>
      </c>
      <c r="L332">
        <v>0</v>
      </c>
      <c r="M332" t="b">
        <v>0</v>
      </c>
      <c r="N332" t="s">
        <v>2474</v>
      </c>
    </row>
    <row r="333" spans="1:14" hidden="1" x14ac:dyDescent="0.25">
      <c r="A333" s="23">
        <v>0</v>
      </c>
      <c r="B333" s="23">
        <v>0</v>
      </c>
      <c r="C333" s="23">
        <v>0</v>
      </c>
      <c r="D333" s="121">
        <v>0</v>
      </c>
      <c r="E333" s="121">
        <v>0</v>
      </c>
      <c r="F333" t="s">
        <v>198</v>
      </c>
      <c r="G333" s="11">
        <v>0</v>
      </c>
      <c r="H333" s="134">
        <v>0</v>
      </c>
      <c r="I333" s="134">
        <v>0</v>
      </c>
      <c r="J333" s="134">
        <v>0</v>
      </c>
      <c r="K333" s="134">
        <v>0</v>
      </c>
      <c r="L333">
        <v>0</v>
      </c>
      <c r="M333" t="b">
        <v>0</v>
      </c>
      <c r="N333" t="s">
        <v>2474</v>
      </c>
    </row>
    <row r="334" spans="1:14" hidden="1" x14ac:dyDescent="0.25">
      <c r="A334" s="23">
        <v>0</v>
      </c>
      <c r="B334" s="23">
        <v>0</v>
      </c>
      <c r="C334" s="23">
        <v>0</v>
      </c>
      <c r="D334" s="121">
        <v>0</v>
      </c>
      <c r="E334" s="121">
        <v>0</v>
      </c>
      <c r="F334" t="s">
        <v>198</v>
      </c>
      <c r="G334" s="11">
        <v>0</v>
      </c>
      <c r="H334" s="134">
        <v>0</v>
      </c>
      <c r="I334" s="134">
        <v>0</v>
      </c>
      <c r="J334" s="134">
        <v>0</v>
      </c>
      <c r="K334" s="134">
        <v>0</v>
      </c>
      <c r="L334">
        <v>0</v>
      </c>
      <c r="M334" t="b">
        <v>0</v>
      </c>
      <c r="N334" t="s">
        <v>2474</v>
      </c>
    </row>
    <row r="335" spans="1:14" hidden="1" x14ac:dyDescent="0.25">
      <c r="A335" s="23">
        <v>0</v>
      </c>
      <c r="B335" s="23">
        <v>0</v>
      </c>
      <c r="C335" s="23">
        <v>0</v>
      </c>
      <c r="D335" s="121">
        <v>0</v>
      </c>
      <c r="E335" s="121">
        <v>0</v>
      </c>
      <c r="F335" t="s">
        <v>198</v>
      </c>
      <c r="G335" s="11">
        <v>0</v>
      </c>
      <c r="H335" s="134">
        <v>0</v>
      </c>
      <c r="I335" s="134">
        <v>0</v>
      </c>
      <c r="J335" s="134">
        <v>0</v>
      </c>
      <c r="K335" s="134">
        <v>0</v>
      </c>
      <c r="L335">
        <v>0</v>
      </c>
      <c r="M335" t="b">
        <v>0</v>
      </c>
      <c r="N335" t="s">
        <v>2474</v>
      </c>
    </row>
    <row r="336" spans="1:14" hidden="1" x14ac:dyDescent="0.25">
      <c r="A336" s="23">
        <v>0</v>
      </c>
      <c r="B336" s="23">
        <v>0</v>
      </c>
      <c r="C336" s="23">
        <v>0</v>
      </c>
      <c r="D336" s="121">
        <v>0</v>
      </c>
      <c r="E336" s="121">
        <v>0</v>
      </c>
      <c r="F336" t="s">
        <v>198</v>
      </c>
      <c r="G336" s="11">
        <v>0</v>
      </c>
      <c r="H336" s="134">
        <v>0</v>
      </c>
      <c r="I336" s="134">
        <v>0</v>
      </c>
      <c r="J336" s="134">
        <v>0</v>
      </c>
      <c r="K336" s="134">
        <v>0</v>
      </c>
      <c r="L336">
        <v>0</v>
      </c>
      <c r="M336" t="b">
        <v>0</v>
      </c>
      <c r="N336" t="s">
        <v>2474</v>
      </c>
    </row>
    <row r="337" spans="1:14" hidden="1" x14ac:dyDescent="0.25">
      <c r="A337" s="23">
        <v>0</v>
      </c>
      <c r="B337" s="23">
        <v>0</v>
      </c>
      <c r="C337" s="23">
        <v>0</v>
      </c>
      <c r="D337" s="121">
        <v>0</v>
      </c>
      <c r="E337" s="121">
        <v>0</v>
      </c>
      <c r="F337" t="s">
        <v>198</v>
      </c>
      <c r="G337" s="11">
        <v>0</v>
      </c>
      <c r="H337" s="134">
        <v>0</v>
      </c>
      <c r="I337" s="134">
        <v>0</v>
      </c>
      <c r="J337" s="134">
        <v>0</v>
      </c>
      <c r="K337" s="134">
        <v>0</v>
      </c>
      <c r="L337">
        <v>0</v>
      </c>
      <c r="M337" t="b">
        <v>0</v>
      </c>
      <c r="N337" t="s">
        <v>2474</v>
      </c>
    </row>
    <row r="338" spans="1:14" hidden="1" x14ac:dyDescent="0.25">
      <c r="A338" s="23">
        <v>0</v>
      </c>
      <c r="B338" s="23">
        <v>0</v>
      </c>
      <c r="C338" s="23">
        <v>0</v>
      </c>
      <c r="D338" s="121">
        <v>0</v>
      </c>
      <c r="E338" s="121">
        <v>0</v>
      </c>
      <c r="F338" t="s">
        <v>198</v>
      </c>
      <c r="G338" s="11">
        <v>0</v>
      </c>
      <c r="H338" s="134">
        <v>0</v>
      </c>
      <c r="I338" s="134">
        <v>0</v>
      </c>
      <c r="J338" s="134">
        <v>0</v>
      </c>
      <c r="K338" s="134">
        <v>0</v>
      </c>
      <c r="L338">
        <v>0</v>
      </c>
      <c r="M338" t="b">
        <v>0</v>
      </c>
      <c r="N338" t="s">
        <v>2474</v>
      </c>
    </row>
    <row r="339" spans="1:14" hidden="1" x14ac:dyDescent="0.25">
      <c r="A339" s="23">
        <v>0</v>
      </c>
      <c r="B339" s="23">
        <v>0</v>
      </c>
      <c r="C339" s="23">
        <v>0</v>
      </c>
      <c r="D339" s="121">
        <v>0</v>
      </c>
      <c r="E339" s="121">
        <v>0</v>
      </c>
      <c r="F339" t="s">
        <v>198</v>
      </c>
      <c r="G339" s="11">
        <v>0</v>
      </c>
      <c r="H339" s="134">
        <v>0</v>
      </c>
      <c r="I339" s="134">
        <v>0</v>
      </c>
      <c r="J339" s="134">
        <v>0</v>
      </c>
      <c r="K339" s="134">
        <v>0</v>
      </c>
      <c r="L339">
        <v>0</v>
      </c>
      <c r="M339" t="b">
        <v>0</v>
      </c>
      <c r="N339" t="s">
        <v>2474</v>
      </c>
    </row>
    <row r="340" spans="1:14" hidden="1" x14ac:dyDescent="0.25">
      <c r="A340" s="23">
        <v>0</v>
      </c>
      <c r="B340" s="23">
        <v>0</v>
      </c>
      <c r="C340" s="23">
        <v>0</v>
      </c>
      <c r="D340" s="121">
        <v>0</v>
      </c>
      <c r="E340" s="121">
        <v>0</v>
      </c>
      <c r="F340" t="s">
        <v>198</v>
      </c>
      <c r="G340" s="11">
        <v>0</v>
      </c>
      <c r="H340" s="134">
        <v>0</v>
      </c>
      <c r="I340" s="134">
        <v>0</v>
      </c>
      <c r="J340" s="134">
        <v>0</v>
      </c>
      <c r="K340" s="134">
        <v>0</v>
      </c>
      <c r="L340">
        <v>0</v>
      </c>
      <c r="M340" t="b">
        <v>0</v>
      </c>
      <c r="N340" t="s">
        <v>2474</v>
      </c>
    </row>
    <row r="341" spans="1:14" hidden="1" x14ac:dyDescent="0.25">
      <c r="A341" s="23">
        <v>0</v>
      </c>
      <c r="B341" s="23">
        <v>0</v>
      </c>
      <c r="C341" s="23">
        <v>0</v>
      </c>
      <c r="D341" s="121">
        <v>0</v>
      </c>
      <c r="E341" s="121">
        <v>0</v>
      </c>
      <c r="F341" t="s">
        <v>198</v>
      </c>
      <c r="G341" s="11">
        <v>0</v>
      </c>
      <c r="H341" s="134">
        <v>0</v>
      </c>
      <c r="I341" s="134">
        <v>0</v>
      </c>
      <c r="J341" s="134">
        <v>0</v>
      </c>
      <c r="K341" s="134">
        <v>0</v>
      </c>
      <c r="L341">
        <v>0</v>
      </c>
      <c r="M341" t="b">
        <v>0</v>
      </c>
      <c r="N341" t="s">
        <v>2474</v>
      </c>
    </row>
    <row r="342" spans="1:14" hidden="1" x14ac:dyDescent="0.25">
      <c r="A342" s="23">
        <v>0</v>
      </c>
      <c r="B342" s="23">
        <v>0</v>
      </c>
      <c r="C342" s="23">
        <v>0</v>
      </c>
      <c r="D342" s="121">
        <v>0</v>
      </c>
      <c r="E342" s="121">
        <v>0</v>
      </c>
      <c r="F342" t="s">
        <v>198</v>
      </c>
      <c r="G342" s="11">
        <v>0</v>
      </c>
      <c r="H342" s="134">
        <v>0</v>
      </c>
      <c r="I342" s="134">
        <v>0</v>
      </c>
      <c r="J342" s="134">
        <v>0</v>
      </c>
      <c r="K342" s="134">
        <v>0</v>
      </c>
      <c r="L342">
        <v>0</v>
      </c>
      <c r="M342" t="b">
        <v>0</v>
      </c>
      <c r="N342" t="s">
        <v>2474</v>
      </c>
    </row>
    <row r="343" spans="1:14" hidden="1" x14ac:dyDescent="0.25">
      <c r="A343" s="23">
        <v>0</v>
      </c>
      <c r="B343" s="23">
        <v>0</v>
      </c>
      <c r="C343" s="23">
        <v>0</v>
      </c>
      <c r="D343" s="121">
        <v>0</v>
      </c>
      <c r="E343" s="121">
        <v>0</v>
      </c>
      <c r="F343" t="s">
        <v>198</v>
      </c>
      <c r="G343" s="11">
        <v>0</v>
      </c>
      <c r="H343" s="134">
        <v>0</v>
      </c>
      <c r="I343" s="134">
        <v>0</v>
      </c>
      <c r="J343" s="134">
        <v>0</v>
      </c>
      <c r="K343" s="134">
        <v>0</v>
      </c>
      <c r="L343">
        <v>0</v>
      </c>
      <c r="M343" t="b">
        <v>0</v>
      </c>
      <c r="N343" t="s">
        <v>2474</v>
      </c>
    </row>
    <row r="344" spans="1:14" hidden="1" x14ac:dyDescent="0.25">
      <c r="A344" s="23">
        <v>0</v>
      </c>
      <c r="B344" s="23">
        <v>0</v>
      </c>
      <c r="C344" s="23">
        <v>0</v>
      </c>
      <c r="D344" s="121">
        <v>0</v>
      </c>
      <c r="E344" s="121">
        <v>0</v>
      </c>
      <c r="F344" t="s">
        <v>198</v>
      </c>
      <c r="G344" s="11">
        <v>0</v>
      </c>
      <c r="H344" s="134">
        <v>0</v>
      </c>
      <c r="I344" s="134">
        <v>0</v>
      </c>
      <c r="J344" s="134">
        <v>0</v>
      </c>
      <c r="K344" s="134">
        <v>0</v>
      </c>
      <c r="L344">
        <v>0</v>
      </c>
      <c r="M344" t="b">
        <v>0</v>
      </c>
      <c r="N344" t="s">
        <v>2474</v>
      </c>
    </row>
    <row r="345" spans="1:14" hidden="1" x14ac:dyDescent="0.25">
      <c r="A345" s="23">
        <v>0</v>
      </c>
      <c r="B345" s="23">
        <v>0</v>
      </c>
      <c r="C345" s="23">
        <v>0</v>
      </c>
      <c r="D345" s="121">
        <v>0</v>
      </c>
      <c r="E345" s="121">
        <v>0</v>
      </c>
      <c r="F345" t="s">
        <v>198</v>
      </c>
      <c r="G345" s="11">
        <v>0</v>
      </c>
      <c r="H345" s="134">
        <v>0</v>
      </c>
      <c r="I345" s="134">
        <v>0</v>
      </c>
      <c r="J345" s="134">
        <v>0</v>
      </c>
      <c r="K345" s="134">
        <v>0</v>
      </c>
      <c r="L345">
        <v>0</v>
      </c>
      <c r="M345" t="b">
        <v>0</v>
      </c>
      <c r="N345" t="s">
        <v>2474</v>
      </c>
    </row>
    <row r="346" spans="1:14" hidden="1" x14ac:dyDescent="0.25">
      <c r="A346" s="23">
        <v>0</v>
      </c>
      <c r="B346" s="23">
        <v>0</v>
      </c>
      <c r="C346" s="23">
        <v>0</v>
      </c>
      <c r="D346" s="121">
        <v>0</v>
      </c>
      <c r="E346" s="121">
        <v>0</v>
      </c>
      <c r="F346" t="s">
        <v>198</v>
      </c>
      <c r="G346" s="11">
        <v>0</v>
      </c>
      <c r="H346" s="134">
        <v>0</v>
      </c>
      <c r="I346" s="134">
        <v>0</v>
      </c>
      <c r="J346" s="134">
        <v>0</v>
      </c>
      <c r="K346" s="134">
        <v>0</v>
      </c>
      <c r="L346">
        <v>0</v>
      </c>
      <c r="M346" t="b">
        <v>0</v>
      </c>
      <c r="N346" t="s">
        <v>2474</v>
      </c>
    </row>
    <row r="347" spans="1:14" hidden="1" x14ac:dyDescent="0.25">
      <c r="A347" s="23">
        <v>0</v>
      </c>
      <c r="B347" s="23">
        <v>0</v>
      </c>
      <c r="C347" s="23">
        <v>0</v>
      </c>
      <c r="D347" s="121">
        <v>0</v>
      </c>
      <c r="E347" s="121">
        <v>0</v>
      </c>
      <c r="F347" t="s">
        <v>198</v>
      </c>
      <c r="G347" s="11">
        <v>0</v>
      </c>
      <c r="H347" s="134">
        <v>0</v>
      </c>
      <c r="I347" s="134">
        <v>0</v>
      </c>
      <c r="J347" s="134">
        <v>0</v>
      </c>
      <c r="K347" s="134">
        <v>0</v>
      </c>
      <c r="L347">
        <v>0</v>
      </c>
      <c r="M347" t="b">
        <v>0</v>
      </c>
      <c r="N347" t="s">
        <v>2474</v>
      </c>
    </row>
    <row r="348" spans="1:14" hidden="1" x14ac:dyDescent="0.25">
      <c r="A348" s="23">
        <v>0</v>
      </c>
      <c r="B348" s="23">
        <v>0</v>
      </c>
      <c r="C348" s="23">
        <v>0</v>
      </c>
      <c r="D348" s="121">
        <v>0</v>
      </c>
      <c r="E348" s="121">
        <v>0</v>
      </c>
      <c r="F348" t="s">
        <v>198</v>
      </c>
      <c r="G348" s="11">
        <v>0</v>
      </c>
      <c r="H348" s="134">
        <v>0</v>
      </c>
      <c r="I348" s="134">
        <v>0</v>
      </c>
      <c r="J348" s="134">
        <v>0</v>
      </c>
      <c r="K348" s="134">
        <v>0</v>
      </c>
      <c r="L348">
        <v>0</v>
      </c>
      <c r="M348" t="b">
        <v>0</v>
      </c>
      <c r="N348" t="s">
        <v>2474</v>
      </c>
    </row>
    <row r="349" spans="1:14" hidden="1" x14ac:dyDescent="0.25">
      <c r="A349" s="23">
        <v>0</v>
      </c>
      <c r="B349" s="23">
        <v>0</v>
      </c>
      <c r="C349" s="23">
        <v>0</v>
      </c>
      <c r="D349" s="121">
        <v>0</v>
      </c>
      <c r="E349" s="121">
        <v>0</v>
      </c>
      <c r="F349" t="s">
        <v>198</v>
      </c>
      <c r="G349" s="11">
        <v>0</v>
      </c>
      <c r="H349" s="134">
        <v>0</v>
      </c>
      <c r="I349" s="134">
        <v>0</v>
      </c>
      <c r="J349" s="134">
        <v>0</v>
      </c>
      <c r="K349" s="134">
        <v>0</v>
      </c>
      <c r="L349">
        <v>0</v>
      </c>
      <c r="M349" t="b">
        <v>0</v>
      </c>
      <c r="N349" t="s">
        <v>2474</v>
      </c>
    </row>
    <row r="350" spans="1:14" hidden="1" x14ac:dyDescent="0.25">
      <c r="A350" s="23">
        <v>0</v>
      </c>
      <c r="B350" s="23">
        <v>0</v>
      </c>
      <c r="C350" s="23">
        <v>0</v>
      </c>
      <c r="D350" s="121">
        <v>0</v>
      </c>
      <c r="E350" s="121">
        <v>0</v>
      </c>
      <c r="F350" t="s">
        <v>198</v>
      </c>
      <c r="G350" s="11">
        <v>0</v>
      </c>
      <c r="H350" s="134">
        <v>0</v>
      </c>
      <c r="I350" s="134">
        <v>0</v>
      </c>
      <c r="J350" s="134">
        <v>0</v>
      </c>
      <c r="K350" s="134">
        <v>0</v>
      </c>
      <c r="L350">
        <v>0</v>
      </c>
      <c r="M350" t="b">
        <v>0</v>
      </c>
      <c r="N350" t="s">
        <v>2474</v>
      </c>
    </row>
  </sheetData>
  <autoFilter ref="A2:O350" xr:uid="{3CA3C474-C334-4C86-91AB-212D8BDE08BA}">
    <filterColumn colId="7">
      <customFilters>
        <customFilter operator="notEqual" val="0"/>
      </customFilters>
    </filterColumn>
    <filterColumn colId="12">
      <filters>
        <filter val="FALSE"/>
      </filters>
    </filterColumn>
    <filterColumn colId="13">
      <filters blank="1"/>
    </filterColumn>
  </autoFilter>
  <phoneticPr fontId="27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CC094D1-9088-4EDD-A490-ADF82842C4C4}">
          <x14:formula1>
            <xm:f>H_Tables!$M$2:$M$240</xm:f>
          </x14:formula1>
          <xm:sqref>N3:N350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3EDC3-D5CD-4772-BB21-A92D2AC8F0F6}">
  <sheetPr codeName="Sheet13"/>
  <dimension ref="A1:AV2"/>
  <sheetViews>
    <sheetView workbookViewId="0">
      <selection activeCell="E15" sqref="E15"/>
    </sheetView>
  </sheetViews>
  <sheetFormatPr defaultColWidth="9.140625" defaultRowHeight="15" x14ac:dyDescent="0.25"/>
  <cols>
    <col min="1" max="1" width="19.28515625" bestFit="1" customWidth="1"/>
    <col min="2" max="2" width="9.5703125" bestFit="1" customWidth="1"/>
    <col min="3" max="3" width="10" bestFit="1" customWidth="1"/>
    <col min="4" max="4" width="18.140625" bestFit="1" customWidth="1"/>
    <col min="5" max="5" width="12.7109375" bestFit="1" customWidth="1"/>
    <col min="6" max="6" width="12.85546875" bestFit="1" customWidth="1"/>
    <col min="7" max="7" width="17" bestFit="1" customWidth="1"/>
    <col min="8" max="8" width="24" bestFit="1" customWidth="1"/>
    <col min="9" max="9" width="18.5703125" bestFit="1" customWidth="1"/>
    <col min="10" max="10" width="20.140625" bestFit="1" customWidth="1"/>
    <col min="11" max="11" width="12" customWidth="1"/>
    <col min="12" max="12" width="49.140625" customWidth="1"/>
    <col min="13" max="25" width="12" customWidth="1"/>
  </cols>
  <sheetData>
    <row r="1" spans="1:48" x14ac:dyDescent="0.25">
      <c r="A1" t="s">
        <v>452</v>
      </c>
      <c r="B1" t="s">
        <v>453</v>
      </c>
      <c r="C1" t="s">
        <v>454</v>
      </c>
      <c r="D1" t="s">
        <v>455</v>
      </c>
      <c r="E1" t="s">
        <v>456</v>
      </c>
      <c r="F1" t="s">
        <v>457</v>
      </c>
      <c r="G1" t="s">
        <v>458</v>
      </c>
      <c r="H1" t="s">
        <v>459</v>
      </c>
      <c r="I1" t="s">
        <v>460</v>
      </c>
      <c r="J1" t="s">
        <v>461</v>
      </c>
      <c r="K1" t="s">
        <v>197</v>
      </c>
      <c r="L1" t="s">
        <v>462</v>
      </c>
      <c r="M1" t="s">
        <v>463</v>
      </c>
      <c r="N1" t="s">
        <v>464</v>
      </c>
      <c r="O1" t="s">
        <v>465</v>
      </c>
      <c r="P1" t="s">
        <v>466</v>
      </c>
      <c r="Q1" t="s">
        <v>467</v>
      </c>
      <c r="R1" t="s">
        <v>468</v>
      </c>
      <c r="S1" t="s">
        <v>469</v>
      </c>
      <c r="T1" t="s">
        <v>470</v>
      </c>
      <c r="U1" t="s">
        <v>471</v>
      </c>
      <c r="V1" t="s">
        <v>472</v>
      </c>
      <c r="W1" t="s">
        <v>473</v>
      </c>
      <c r="X1" t="s">
        <v>474</v>
      </c>
      <c r="Y1" t="s">
        <v>475</v>
      </c>
      <c r="Z1" t="s">
        <v>476</v>
      </c>
      <c r="AA1" t="s">
        <v>477</v>
      </c>
      <c r="AB1" t="s">
        <v>478</v>
      </c>
      <c r="AC1" t="s">
        <v>479</v>
      </c>
      <c r="AD1" t="s">
        <v>480</v>
      </c>
      <c r="AE1" t="s">
        <v>481</v>
      </c>
      <c r="AF1" t="s">
        <v>482</v>
      </c>
      <c r="AG1" t="s">
        <v>483</v>
      </c>
      <c r="AH1" t="s">
        <v>484</v>
      </c>
      <c r="AI1" t="s">
        <v>485</v>
      </c>
      <c r="AJ1" t="s">
        <v>486</v>
      </c>
      <c r="AK1" t="s">
        <v>487</v>
      </c>
      <c r="AL1" t="s">
        <v>488</v>
      </c>
      <c r="AM1" t="s">
        <v>489</v>
      </c>
      <c r="AN1" t="s">
        <v>490</v>
      </c>
      <c r="AO1" t="s">
        <v>491</v>
      </c>
      <c r="AP1" t="s">
        <v>492</v>
      </c>
      <c r="AQ1" t="s">
        <v>493</v>
      </c>
      <c r="AR1" t="s">
        <v>494</v>
      </c>
      <c r="AS1" t="s">
        <v>495</v>
      </c>
      <c r="AT1" t="s">
        <v>496</v>
      </c>
      <c r="AU1" t="s">
        <v>497</v>
      </c>
      <c r="AV1" t="s">
        <v>498</v>
      </c>
    </row>
    <row r="2" spans="1:48" x14ac:dyDescent="0.25">
      <c r="A2" t="str">
        <f>Summary!A6</f>
        <v>Clearwater, FL - Echelon Bank (InOrg) - New Core SilverLake OL PAP</v>
      </c>
      <c r="B2">
        <f>Summary!A7</f>
        <v>0</v>
      </c>
      <c r="C2">
        <f>Summary!A8</f>
        <v>0</v>
      </c>
      <c r="D2">
        <f>Summary!A9</f>
        <v>0</v>
      </c>
      <c r="E2" t="str">
        <f>Summary!A10</f>
        <v xml:space="preserve"> </v>
      </c>
      <c r="F2">
        <f>Summary!A11</f>
        <v>0</v>
      </c>
      <c r="G2" t="str">
        <f>Summary!A12</f>
        <v>Christopher Darty</v>
      </c>
      <c r="H2">
        <f>Summary!A13</f>
        <v>0</v>
      </c>
      <c r="I2" t="str">
        <f>Summary!A14</f>
        <v>SilverLake</v>
      </c>
      <c r="J2" t="str">
        <f>Summary!A15</f>
        <v xml:space="preserve"> </v>
      </c>
      <c r="K2" s="138" t="e">
        <f>Summary!A16</f>
        <v>#N/A</v>
      </c>
      <c r="L2" t="str">
        <f>_xlfn.TEXTJOIN(",", TRUE, _xlfn.UNIQUE(Proposal_1!G14:G200))</f>
        <v>SilverLake,Xperience,OnBoard,Teller,AlertCenter,Synapsys,JHA OpenAnywhere,Banno,Electronic Statements Interactive(ESI),Intuit,OutLink Item Processing,Synergy,iPay,DirectLine,JHA Payment Center,Enterprise Payment Solutions (EPS),Card Processing Solutions (CPS),Payrailz,ProfitStars RemitPlus,Centurion,Fraud,jhaEnterprise Workflow,jConnect,Core,jhaKnow,Cognos,ProfitStars Financial Performance,Know-It-All,Lending,Web Hosting,Forms,Ensenta,Op Assessment</v>
      </c>
      <c r="M2" s="23">
        <f>Proposal_1!C7</f>
        <v>116592</v>
      </c>
      <c r="N2">
        <f>Summary!F6</f>
        <v>0</v>
      </c>
      <c r="O2">
        <f>Summary!F18</f>
        <v>0</v>
      </c>
      <c r="P2" t="str">
        <f>Summary!B43</f>
        <v>TBD</v>
      </c>
      <c r="Q2" t="str">
        <f>IF(Summary!C67=0,"",Summary!C43)</f>
        <v/>
      </c>
      <c r="R2" t="str">
        <f>IF(Summary!D67=0,"",Summary!D43)</f>
        <v/>
      </c>
      <c r="S2">
        <f>Summary!B57</f>
        <v>250892.5</v>
      </c>
      <c r="T2" t="str">
        <f>IF(Summary!C67=0,"",Summary!C57)</f>
        <v/>
      </c>
      <c r="U2" t="str">
        <f>IF(Summary!D67=0,"",Summary!D57)</f>
        <v/>
      </c>
      <c r="V2">
        <f>Summary!B55</f>
        <v>-589322.5</v>
      </c>
      <c r="W2" t="str">
        <f>IF(Summary!C67=0,"",Summary!C55)</f>
        <v/>
      </c>
      <c r="X2" t="str">
        <f>IF(Summary!D67=0,"",Summary!D55)</f>
        <v/>
      </c>
      <c r="Y2" s="61">
        <f>SUM(Summary!B65,Summary!B67)</f>
        <v>0</v>
      </c>
      <c r="Z2" t="str">
        <f>IF(Summary!C67=0,"",SUM(Summary!C65,Summary!C67))</f>
        <v/>
      </c>
      <c r="AA2" t="str">
        <f>IF(Summary!D67=0,"",SUM(Summary!D65,Summary!D67))</f>
        <v/>
      </c>
      <c r="AB2">
        <f>Summary!B63</f>
        <v>16545</v>
      </c>
      <c r="AC2" t="str">
        <f>IF(Summary!C67=0,"",Summary!C63)</f>
        <v/>
      </c>
      <c r="AD2" t="str">
        <f>IF(Summary!D67=0,"",Summary!D63)</f>
        <v/>
      </c>
      <c r="AE2" s="61">
        <f>Summary!B61</f>
        <v>0</v>
      </c>
      <c r="AF2" t="str">
        <f>IF(Summary!C67=0,"",Summary!C61)</f>
        <v/>
      </c>
      <c r="AG2" t="str">
        <f>IF(Summary!D67=0,"",Summary!D61)</f>
        <v/>
      </c>
      <c r="AH2">
        <f>IFERROR(AVERAGEIFS(Proposal_1!W14:W299,Proposal_1!G14:G299,"=Silver*",Proposal_1!W14:W299,"&lt;&gt;0"),0)</f>
        <v>0.22400005779386375</v>
      </c>
      <c r="AI2">
        <f>IFERROR(AVERAGEIFS(Proposal_1!W14:W299,Proposal_1!G14:G299,"=CIF*",Proposal_1!W14:W299,"&lt;&gt;0"),0)</f>
        <v>0</v>
      </c>
      <c r="AJ2">
        <f>IFERROR(AVERAGEIFS(Proposal_1!W14:W299,Proposal_1!G14:G299,"=Core*",Proposal_1!W14:W299,"&lt;&gt;0"),0)</f>
        <v>0</v>
      </c>
      <c r="AK2">
        <f>IFERROR(AVERAGEIFS(Proposal_1!W14:W299,Proposal_1!G14:G299,"=Teller*",Proposal_1!W14:W299,"&lt;&gt;0"),0)</f>
        <v>0.25</v>
      </c>
      <c r="AL2">
        <f>IFERROR(AVERAGEIF(Table5[[#This Row],[AverageNewMonthlyDiscountSL]:[AverageNewMonthlyDiscountTeller]],"&lt;&gt;0"),0)</f>
        <v>0.23700002889693189</v>
      </c>
      <c r="AM2">
        <f>ROUND(Table5[[#This Row],[AverageNewMonthlyDiscount]],2)</f>
        <v>0.24</v>
      </c>
      <c r="AN2">
        <f>ROUND(Table5[[#This Row],[NewMonthlyNetSUMCore]],2)</f>
        <v>8543.25</v>
      </c>
      <c r="AO2">
        <f>SUMIF(Proposal_1!G14:G299,"Silver*",Proposal_1!X14:X299)+SUMIF(Proposal_1!G14:G299,"CIF*",Proposal_1!X14:X299)+SUMIF(Proposal_1!G14:G299,"Core*",Proposal_1!X14:X299)</f>
        <v>8543.25</v>
      </c>
      <c r="AP2">
        <f>ROUND(Table5[[#This Row],[NewMonthlyNetSUMTeller]],2)</f>
        <v>217.5</v>
      </c>
      <c r="AQ2">
        <f>SUMIF(Proposal_1!G14:G299,"Teller*",Proposal_1!X14:X299)</f>
        <v>217.5</v>
      </c>
      <c r="AR2">
        <f>ROUND(Table5[[#This Row],[CurrentMonthlyNetSumCore]],2)</f>
        <v>0</v>
      </c>
      <c r="AS2">
        <f>SUMIF(Proposal_1!G14:G299,"Silver*",Proposal_1!AB14:AB299)+SUMIF(Proposal_1!G14:G299,"CIF*",Proposal_1!AB14:AB299)+SUMIF(Proposal_1!G14:G299,"Core*",Proposal_1!AB14:AB299)</f>
        <v>0</v>
      </c>
      <c r="AT2">
        <f>ROUND(Table5[[#This Row],[CurrentMonthlyNetSumTeller]],2)</f>
        <v>0</v>
      </c>
      <c r="AU2" s="23" t="str">
        <f>SF_Output!H2</f>
        <v>Clearwater, FL - Echelon Bank (InOrg) - New Core SilverLake OL PAP</v>
      </c>
      <c r="AV2">
        <f>SUMIF(Proposal_1!G14:G299,"Teller*",Proposal_1!AB14:AB299)</f>
        <v>0</v>
      </c>
    </row>
  </sheetData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C88D-B2CF-498D-A74F-5EFD0623A06A}">
  <dimension ref="B1:AD100"/>
  <sheetViews>
    <sheetView topLeftCell="A10" workbookViewId="0"/>
  </sheetViews>
  <sheetFormatPr defaultRowHeight="15" x14ac:dyDescent="0.25"/>
  <cols>
    <col min="1" max="1" width="3.42578125" customWidth="1"/>
    <col min="2" max="2" width="35.140625" bestFit="1" customWidth="1"/>
    <col min="3" max="10" width="14.7109375" style="6" customWidth="1"/>
    <col min="11" max="11" width="3.42578125" customWidth="1"/>
    <col min="12" max="12" width="35.140625" bestFit="1" customWidth="1"/>
    <col min="13" max="20" width="14.7109375" style="6" customWidth="1"/>
    <col min="21" max="21" width="3.42578125" customWidth="1"/>
    <col min="22" max="22" width="35.140625" bestFit="1" customWidth="1"/>
    <col min="23" max="30" width="14.7109375" style="6" customWidth="1"/>
  </cols>
  <sheetData>
    <row r="1" spans="2:30" x14ac:dyDescent="0.25">
      <c r="B1" s="140" t="s">
        <v>1983</v>
      </c>
      <c r="C1" s="140" t="s">
        <v>20</v>
      </c>
      <c r="D1" s="140" t="s">
        <v>22</v>
      </c>
      <c r="E1" s="140" t="s">
        <v>23</v>
      </c>
      <c r="F1" s="140" t="s">
        <v>24</v>
      </c>
      <c r="G1" s="140" t="s">
        <v>2093</v>
      </c>
      <c r="H1" s="140" t="s">
        <v>2094</v>
      </c>
      <c r="I1" s="140" t="s">
        <v>2095</v>
      </c>
      <c r="J1" s="140" t="s">
        <v>157</v>
      </c>
      <c r="L1" s="140" t="s">
        <v>1984</v>
      </c>
      <c r="M1" s="140" t="s">
        <v>20</v>
      </c>
      <c r="N1" s="140" t="s">
        <v>22</v>
      </c>
      <c r="O1" s="140" t="s">
        <v>23</v>
      </c>
      <c r="P1" s="140" t="s">
        <v>24</v>
      </c>
      <c r="Q1" s="140" t="s">
        <v>2093</v>
      </c>
      <c r="R1" s="140" t="s">
        <v>2094</v>
      </c>
      <c r="S1" s="140" t="s">
        <v>2095</v>
      </c>
      <c r="T1" s="140" t="s">
        <v>157</v>
      </c>
      <c r="V1" s="140" t="s">
        <v>1985</v>
      </c>
      <c r="W1" s="140" t="s">
        <v>20</v>
      </c>
      <c r="X1" s="140" t="s">
        <v>22</v>
      </c>
      <c r="Y1" s="140" t="s">
        <v>23</v>
      </c>
      <c r="Z1" s="140" t="s">
        <v>24</v>
      </c>
      <c r="AA1" s="140" t="s">
        <v>2093</v>
      </c>
      <c r="AB1" s="140" t="s">
        <v>2094</v>
      </c>
      <c r="AC1" s="140" t="s">
        <v>2095</v>
      </c>
      <c r="AD1" s="140" t="s">
        <v>157</v>
      </c>
    </row>
    <row r="2" spans="2:30" x14ac:dyDescent="0.25">
      <c r="B2" t="str" cm="1">
        <f t="array" ref="B2:B35">_xlfn.UNIQUE(Proposal_1!G14:G300)</f>
        <v>SilverLake</v>
      </c>
      <c r="C2" s="6">
        <f>IF($B2="","",SUMIFS(Proposal_1!$J$14:$J$300,Proposal_1!$G$14:$G$300,$B2,Proposal_1!$F$14:$F$300,"Included"))</f>
        <v>9000</v>
      </c>
      <c r="D2" s="6">
        <f>IF($B2="","",SUMIFS(Proposal_1!$L$14:$L$300,Proposal_1!$G$14:$G$300,$B2,Proposal_1!$F$14:$F$300,"Included"))</f>
        <v>9000</v>
      </c>
      <c r="E2" s="6">
        <f>IF($B2="","",SUMIFS(Proposal_1!$N$14:$N$300,Proposal_1!$G$14:$G$300,$B2,Proposal_1!$F$14:$F$300,"Included"))</f>
        <v>251605</v>
      </c>
      <c r="F2" s="6">
        <f>IF($B2="","",SUMIFS(Proposal_1!$P$14:$P$300,Proposal_1!$G$14:$G$300,$B2,Proposal_1!$F$14:$F$300,"Included"))</f>
        <v>45000</v>
      </c>
      <c r="G2" s="6">
        <f>IF($B2="","",SUMIFS(Proposal_1!$R$14:$R$300,Proposal_1!$G$14:$G$300,$B2,Proposal_1!$F$14:$F$300,"Included"))</f>
        <v>0</v>
      </c>
      <c r="H2" s="6">
        <f>IF($B2="","",SUMIFS(Proposal_1!$T$14:$T$300,Proposal_1!$G$14:$G$300,$B2,Proposal_1!$F$14:$F$300,"Included"))</f>
        <v>0</v>
      </c>
      <c r="I2" s="6">
        <f>IF($B2="","",SUMIFS(Proposal_1!$V$14:$V$300,Proposal_1!$G$14:$G$300,$B2,Proposal_1!$F$14:$F$300,"Included"))</f>
        <v>7221.4</v>
      </c>
      <c r="J2" s="6">
        <f>IF($B2="","",SUMIFS(Proposal_1!$X$14:$X$300,Proposal_1!$G$14:$G$300,$B2,Proposal_1!$F$14:$F$300,"Included"))</f>
        <v>6315.75</v>
      </c>
      <c r="L2" t="str" cm="1">
        <f t="array" ref="L2:L30">_xlfn.UNIQUE(Proposal_2!G14:G300)</f>
        <v>SilverLake</v>
      </c>
      <c r="M2" s="6">
        <f>IF($B2="","",SUMIFS(Proposal_2!$J$14:$J$300,Proposal_2!$G$14:$G$300,$B2,Proposal_2!$F$14:$F$300,"Included"))</f>
        <v>9000</v>
      </c>
      <c r="N2" s="6">
        <f>IF($B2="","",SUMIFS(Proposal_2!$L$14:$L$300,Proposal_2!$G$14:$G$300,$B2,Proposal_2!$F$14:$F$300,"Included"))</f>
        <v>9000</v>
      </c>
      <c r="O2" s="6">
        <f>IF($B2="","",SUMIFS(Proposal_2!$N$14:$N$300,Proposal_2!$G$14:$G$300,$B2,Proposal_2!$F$14:$F$300,"Included"))</f>
        <v>251605</v>
      </c>
      <c r="P2" s="6">
        <f>IF($B2="","",SUMIFS(Proposal_2!$P$14:$P$300,Proposal_2!$G$14:$G$300,$B2,Proposal_2!$F$14:$F$300,"Included"))</f>
        <v>45000</v>
      </c>
      <c r="Q2" s="6">
        <f>IF($B2="","",SUMIFS(Proposal_2!$R$14:$R$300,Proposal_2!$G$14:$G$300,$B2,Proposal_2!$F$14:$F$300,"Included"))</f>
        <v>0</v>
      </c>
      <c r="R2" s="6">
        <f>IF($B2="","",SUMIFS(Proposal_2!$T$14:$T$300,Proposal_2!$G$14:$G$300,$B2,Proposal_2!$F$14:$F$300,"Included"))</f>
        <v>0</v>
      </c>
      <c r="S2" s="6">
        <f>IF($B2="","",SUMIFS(Proposal_2!$V$14:$V$300,Proposal_2!$G$14:$G$300,$B2,Proposal_2!$F$14:$F$300,"Included"))</f>
        <v>7221.4</v>
      </c>
      <c r="T2" s="6">
        <f>IF($B2="","",SUMIFS(Proposal_2!$X$14:$X$300,Proposal_2!$G$14:$G$300,$B2,Proposal_2!$F$14:$F$300,"Included"))</f>
        <v>6315.75</v>
      </c>
      <c r="V2" t="str" cm="1">
        <f t="array" ref="V2:V30">_xlfn.UNIQUE(Proposal_3!G14:G300)</f>
        <v>SilverLake</v>
      </c>
      <c r="W2" s="6">
        <f>IF($B2="","",SUMIFS(Proposal_3!$J$14:$J$300,Proposal_3!$G$14:$G$300,$B2,Proposal_3!$F$14:$F$300,"Included"))</f>
        <v>9000</v>
      </c>
      <c r="X2" s="6">
        <f>IF($B2="","",SUMIFS(Proposal_3!$L$14:$L$300,Proposal_3!$G$14:$G$300,$B2,Proposal_3!$F$14:$F$300,"Included"))</f>
        <v>9000</v>
      </c>
      <c r="Y2" s="6">
        <f>IF($B2="","",SUMIFS(Proposal_3!$N$14:$N$300,Proposal_3!$G$14:$G$300,$B2,Proposal_3!$F$14:$F$300,"Included"))</f>
        <v>251605</v>
      </c>
      <c r="Z2" s="6">
        <f>IF($B2="","",SUMIFS(Proposal_3!$P$14:$P$300,Proposal_3!$G$14:$G$300,$B2,Proposal_3!$F$14:$F$300,"Included"))</f>
        <v>45000</v>
      </c>
      <c r="AA2" s="6">
        <f>IF($B2="","",SUMIFS(Proposal_3!$R$14:$R$300,Proposal_3!$G$14:$G$300,$B2,Proposal_3!$F$14:$F$300,"Included"))</f>
        <v>0</v>
      </c>
      <c r="AB2" s="6">
        <f>IF($B2="","",SUMIFS(Proposal_3!$T$14:$T$300,Proposal_3!$G$14:$G$300,$B2,Proposal_3!$F$14:$F$300,"Included"))</f>
        <v>0</v>
      </c>
      <c r="AC2" s="6">
        <f>IF($B2="","",SUMIFS(Proposal_3!$V$14:$V$300,Proposal_3!$G$14:$G$300,$B2,Proposal_3!$F$14:$F$300,"Included"))</f>
        <v>7221.4</v>
      </c>
      <c r="AD2" s="6">
        <f>IF($B2="","",SUMIFS(Proposal_3!$X$14:$X$300,Proposal_3!$G$14:$G$300,$B2,Proposal_3!$F$14:$F$300,"Included"))</f>
        <v>6315.75</v>
      </c>
    </row>
    <row r="3" spans="2:30" x14ac:dyDescent="0.25">
      <c r="B3" t="str">
        <v>Xperience</v>
      </c>
      <c r="C3" s="6">
        <f>IF($B3="","",SUMIFS(Proposal_1!$J$14:$J$300,Proposal_1!$G$14:$G$300,$B3,Proposal_1!$F$14:$F$300,"Included"))</f>
        <v>0</v>
      </c>
      <c r="D3" s="6">
        <f>IF($B3="","",SUMIFS(Proposal_1!$L$14:$L$300,Proposal_1!$G$14:$G$300,$B3,Proposal_1!$F$14:$F$300,"Included"))</f>
        <v>0</v>
      </c>
      <c r="E3" s="6">
        <f>IF($B3="","",SUMIFS(Proposal_1!$N$14:$N$300,Proposal_1!$G$14:$G$300,$B3,Proposal_1!$F$14:$F$300,"Included"))</f>
        <v>0</v>
      </c>
      <c r="F3" s="6">
        <f>IF($B3="","",SUMIFS(Proposal_1!$P$14:$P$300,Proposal_1!$G$14:$G$300,$B3,Proposal_1!$F$14:$F$300,"Included"))</f>
        <v>0</v>
      </c>
      <c r="G3" s="6">
        <f>IF($B3="","",SUMIFS(Proposal_1!$R$14:$R$300,Proposal_1!$G$14:$G$300,$B3,Proposal_1!$F$14:$F$300,"Included"))</f>
        <v>0</v>
      </c>
      <c r="H3" s="6">
        <f>IF($B3="","",SUMIFS(Proposal_1!$T$14:$T$300,Proposal_1!$G$14:$G$300,$B3,Proposal_1!$F$14:$F$300,"Included"))</f>
        <v>0</v>
      </c>
      <c r="I3" s="6">
        <f>IF($B3="","",SUMIFS(Proposal_1!$V$14:$V$300,Proposal_1!$G$14:$G$300,$B3,Proposal_1!$F$14:$F$300,"Included"))</f>
        <v>150</v>
      </c>
      <c r="J3" s="6">
        <f>IF($B3="","",SUMIFS(Proposal_1!$X$14:$X$300,Proposal_1!$G$14:$G$300,$B3,Proposal_1!$F$14:$F$300,"Included"))</f>
        <v>112.5</v>
      </c>
      <c r="L3" t="str">
        <v>Xperience</v>
      </c>
      <c r="M3" s="6">
        <f>IF($B3="","",SUMIFS(Proposal_2!$J$14:$J$300,Proposal_2!$G$14:$G$300,$B3,Proposal_2!$F$14:$F$300,"Included"))</f>
        <v>0</v>
      </c>
      <c r="N3" s="6">
        <f>IF($B3="","",SUMIFS(Proposal_2!$L$14:$L$300,Proposal_2!$G$14:$G$300,$B3,Proposal_2!$F$14:$F$300,"Included"))</f>
        <v>0</v>
      </c>
      <c r="O3" s="6">
        <f>IF($B3="","",SUMIFS(Proposal_2!$N$14:$N$300,Proposal_2!$G$14:$G$300,$B3,Proposal_2!$F$14:$F$300,"Included"))</f>
        <v>0</v>
      </c>
      <c r="P3" s="6">
        <f>IF($B3="","",SUMIFS(Proposal_2!$P$14:$P$300,Proposal_2!$G$14:$G$300,$B3,Proposal_2!$F$14:$F$300,"Included"))</f>
        <v>0</v>
      </c>
      <c r="Q3" s="6">
        <f>IF($B3="","",SUMIFS(Proposal_2!$R$14:$R$300,Proposal_2!$G$14:$G$300,$B3,Proposal_2!$F$14:$F$300,"Included"))</f>
        <v>0</v>
      </c>
      <c r="R3" s="6">
        <f>IF($B3="","",SUMIFS(Proposal_2!$T$14:$T$300,Proposal_2!$G$14:$G$300,$B3,Proposal_2!$F$14:$F$300,"Included"))</f>
        <v>0</v>
      </c>
      <c r="S3" s="6">
        <f>IF($B3="","",SUMIFS(Proposal_2!$V$14:$V$300,Proposal_2!$G$14:$G$300,$B3,Proposal_2!$F$14:$F$300,"Included"))</f>
        <v>150</v>
      </c>
      <c r="T3" s="6">
        <f>IF($B3="","",SUMIFS(Proposal_2!$X$14:$X$300,Proposal_2!$G$14:$G$300,$B3,Proposal_2!$F$14:$F$300,"Included"))</f>
        <v>112.5</v>
      </c>
      <c r="V3" t="str">
        <v>Xperience</v>
      </c>
      <c r="W3" s="6">
        <f>IF($B3="","",SUMIFS(Proposal_3!$J$14:$J$300,Proposal_3!$G$14:$G$300,$B3,Proposal_3!$F$14:$F$300,"Included"))</f>
        <v>0</v>
      </c>
      <c r="X3" s="6">
        <f>IF($B3="","",SUMIFS(Proposal_3!$L$14:$L$300,Proposal_3!$G$14:$G$300,$B3,Proposal_3!$F$14:$F$300,"Included"))</f>
        <v>0</v>
      </c>
      <c r="Y3" s="6">
        <f>IF($B3="","",SUMIFS(Proposal_3!$N$14:$N$300,Proposal_3!$G$14:$G$300,$B3,Proposal_3!$F$14:$F$300,"Included"))</f>
        <v>0</v>
      </c>
      <c r="Z3" s="6">
        <f>IF($B3="","",SUMIFS(Proposal_3!$P$14:$P$300,Proposal_3!$G$14:$G$300,$B3,Proposal_3!$F$14:$F$300,"Included"))</f>
        <v>0</v>
      </c>
      <c r="AA3" s="6">
        <f>IF($B3="","",SUMIFS(Proposal_3!$R$14:$R$300,Proposal_3!$G$14:$G$300,$B3,Proposal_3!$F$14:$F$300,"Included"))</f>
        <v>0</v>
      </c>
      <c r="AB3" s="6">
        <f>IF($B3="","",SUMIFS(Proposal_3!$T$14:$T$300,Proposal_3!$G$14:$G$300,$B3,Proposal_3!$F$14:$F$300,"Included"))</f>
        <v>0</v>
      </c>
      <c r="AC3" s="6">
        <f>IF($B3="","",SUMIFS(Proposal_3!$V$14:$V$300,Proposal_3!$G$14:$G$300,$B3,Proposal_3!$F$14:$F$300,"Included"))</f>
        <v>150</v>
      </c>
      <c r="AD3" s="6">
        <f>IF($B3="","",SUMIFS(Proposal_3!$X$14:$X$300,Proposal_3!$G$14:$G$300,$B3,Proposal_3!$F$14:$F$300,"Included"))</f>
        <v>112.5</v>
      </c>
    </row>
    <row r="4" spans="2:30" x14ac:dyDescent="0.25">
      <c r="B4" t="str">
        <v>OnBoard</v>
      </c>
      <c r="C4" s="6">
        <f>IF($B4="","",SUMIFS(Proposal_1!$J$14:$J$300,Proposal_1!$G$14:$G$300,$B4,Proposal_1!$F$14:$F$300,"Included"))</f>
        <v>0</v>
      </c>
      <c r="D4" s="6">
        <f>IF($B4="","",SUMIFS(Proposal_1!$L$14:$L$300,Proposal_1!$G$14:$G$300,$B4,Proposal_1!$F$14:$F$300,"Included"))</f>
        <v>0</v>
      </c>
      <c r="E4" s="6">
        <f>IF($B4="","",SUMIFS(Proposal_1!$N$14:$N$300,Proposal_1!$G$14:$G$300,$B4,Proposal_1!$F$14:$F$300,"Included"))</f>
        <v>23180</v>
      </c>
      <c r="F4" s="6">
        <f>IF($B4="","",SUMIFS(Proposal_1!$P$14:$P$300,Proposal_1!$G$14:$G$300,$B4,Proposal_1!$F$14:$F$300,"Included"))</f>
        <v>0</v>
      </c>
      <c r="G4" s="6">
        <f>IF($B4="","",SUMIFS(Proposal_1!$R$14:$R$300,Proposal_1!$G$14:$G$300,$B4,Proposal_1!$F$14:$F$300,"Included"))</f>
        <v>0</v>
      </c>
      <c r="H4" s="6">
        <f>IF($B4="","",SUMIFS(Proposal_1!$T$14:$T$300,Proposal_1!$G$14:$G$300,$B4,Proposal_1!$F$14:$F$300,"Included"))</f>
        <v>0</v>
      </c>
      <c r="I4" s="6">
        <f>IF($B4="","",SUMIFS(Proposal_1!$V$14:$V$300,Proposal_1!$G$14:$G$300,$B4,Proposal_1!$F$14:$F$300,"Included"))</f>
        <v>1135</v>
      </c>
      <c r="J4" s="6">
        <f>IF($B4="","",SUMIFS(Proposal_1!$X$14:$X$300,Proposal_1!$G$14:$G$300,$B4,Proposal_1!$F$14:$F$300,"Included"))</f>
        <v>851.5</v>
      </c>
      <c r="L4" t="str">
        <v>OnBoard</v>
      </c>
      <c r="M4" s="6">
        <f>IF($B4="","",SUMIFS(Proposal_2!$J$14:$J$300,Proposal_2!$G$14:$G$300,$B4,Proposal_2!$F$14:$F$300,"Included"))</f>
        <v>0</v>
      </c>
      <c r="N4" s="6">
        <f>IF($B4="","",SUMIFS(Proposal_2!$L$14:$L$300,Proposal_2!$G$14:$G$300,$B4,Proposal_2!$F$14:$F$300,"Included"))</f>
        <v>0</v>
      </c>
      <c r="O4" s="6">
        <f>IF($B4="","",SUMIFS(Proposal_2!$N$14:$N$300,Proposal_2!$G$14:$G$300,$B4,Proposal_2!$F$14:$F$300,"Included"))</f>
        <v>23180</v>
      </c>
      <c r="P4" s="6">
        <f>IF($B4="","",SUMIFS(Proposal_2!$P$14:$P$300,Proposal_2!$G$14:$G$300,$B4,Proposal_2!$F$14:$F$300,"Included"))</f>
        <v>0</v>
      </c>
      <c r="Q4" s="6">
        <f>IF($B4="","",SUMIFS(Proposal_2!$R$14:$R$300,Proposal_2!$G$14:$G$300,$B4,Proposal_2!$F$14:$F$300,"Included"))</f>
        <v>0</v>
      </c>
      <c r="R4" s="6">
        <f>IF($B4="","",SUMIFS(Proposal_2!$T$14:$T$300,Proposal_2!$G$14:$G$300,$B4,Proposal_2!$F$14:$F$300,"Included"))</f>
        <v>0</v>
      </c>
      <c r="S4" s="6">
        <f>IF($B4="","",SUMIFS(Proposal_2!$V$14:$V$300,Proposal_2!$G$14:$G$300,$B4,Proposal_2!$F$14:$F$300,"Included"))</f>
        <v>1135</v>
      </c>
      <c r="T4" s="6">
        <f>IF($B4="","",SUMIFS(Proposal_2!$X$14:$X$300,Proposal_2!$G$14:$G$300,$B4,Proposal_2!$F$14:$F$300,"Included"))</f>
        <v>851.5</v>
      </c>
      <c r="V4" t="str">
        <v>OnBoard</v>
      </c>
      <c r="W4" s="6">
        <f>IF($B4="","",SUMIFS(Proposal_3!$J$14:$J$300,Proposal_3!$G$14:$G$300,$B4,Proposal_3!$F$14:$F$300,"Included"))</f>
        <v>0</v>
      </c>
      <c r="X4" s="6">
        <f>IF($B4="","",SUMIFS(Proposal_3!$L$14:$L$300,Proposal_3!$G$14:$G$300,$B4,Proposal_3!$F$14:$F$300,"Included"))</f>
        <v>0</v>
      </c>
      <c r="Y4" s="6">
        <f>IF($B4="","",SUMIFS(Proposal_3!$N$14:$N$300,Proposal_3!$G$14:$G$300,$B4,Proposal_3!$F$14:$F$300,"Included"))</f>
        <v>23180</v>
      </c>
      <c r="Z4" s="6">
        <f>IF($B4="","",SUMIFS(Proposal_3!$P$14:$P$300,Proposal_3!$G$14:$G$300,$B4,Proposal_3!$F$14:$F$300,"Included"))</f>
        <v>0</v>
      </c>
      <c r="AA4" s="6">
        <f>IF($B4="","",SUMIFS(Proposal_3!$R$14:$R$300,Proposal_3!$G$14:$G$300,$B4,Proposal_3!$F$14:$F$300,"Included"))</f>
        <v>0</v>
      </c>
      <c r="AB4" s="6">
        <f>IF($B4="","",SUMIFS(Proposal_3!$T$14:$T$300,Proposal_3!$G$14:$G$300,$B4,Proposal_3!$F$14:$F$300,"Included"))</f>
        <v>0</v>
      </c>
      <c r="AC4" s="6">
        <f>IF($B4="","",SUMIFS(Proposal_3!$V$14:$V$300,Proposal_3!$G$14:$G$300,$B4,Proposal_3!$F$14:$F$300,"Included"))</f>
        <v>1135</v>
      </c>
      <c r="AD4" s="6">
        <f>IF($B4="","",SUMIFS(Proposal_3!$X$14:$X$300,Proposal_3!$G$14:$G$300,$B4,Proposal_3!$F$14:$F$300,"Included"))</f>
        <v>851.5</v>
      </c>
    </row>
    <row r="5" spans="2:30" x14ac:dyDescent="0.25">
      <c r="B5" t="str">
        <v>Teller</v>
      </c>
      <c r="C5" s="6">
        <f>IF($B5="","",SUMIFS(Proposal_1!$J$14:$J$300,Proposal_1!$G$14:$G$300,$B5,Proposal_1!$F$14:$F$300,"Included"))</f>
        <v>6545</v>
      </c>
      <c r="D5" s="6">
        <f>IF($B5="","",SUMIFS(Proposal_1!$L$14:$L$300,Proposal_1!$G$14:$G$300,$B5,Proposal_1!$F$14:$F$300,"Included"))</f>
        <v>6545</v>
      </c>
      <c r="E5" s="6">
        <f>IF($B5="","",SUMIFS(Proposal_1!$N$14:$N$300,Proposal_1!$G$14:$G$300,$B5,Proposal_1!$F$14:$F$300,"Included"))</f>
        <v>4995</v>
      </c>
      <c r="F5" s="6">
        <f>IF($B5="","",SUMIFS(Proposal_1!$P$14:$P$300,Proposal_1!$G$14:$G$300,$B5,Proposal_1!$F$14:$F$300,"Included"))</f>
        <v>0</v>
      </c>
      <c r="G5" s="6">
        <f>IF($B5="","",SUMIFS(Proposal_1!$R$14:$R$300,Proposal_1!$G$14:$G$300,$B5,Proposal_1!$F$14:$F$300,"Included"))</f>
        <v>1309</v>
      </c>
      <c r="H5" s="6">
        <f>IF($B5="","",SUMIFS(Proposal_1!$T$14:$T$300,Proposal_1!$G$14:$G$300,$B5,Proposal_1!$F$14:$F$300,"Included"))</f>
        <v>1309</v>
      </c>
      <c r="I5" s="6">
        <f>IF($B5="","",SUMIFS(Proposal_1!$V$14:$V$300,Proposal_1!$G$14:$G$300,$B5,Proposal_1!$F$14:$F$300,"Included"))</f>
        <v>290</v>
      </c>
      <c r="J5" s="6">
        <f>IF($B5="","",SUMIFS(Proposal_1!$X$14:$X$300,Proposal_1!$G$14:$G$300,$B5,Proposal_1!$F$14:$F$300,"Included"))</f>
        <v>217.5</v>
      </c>
      <c r="L5" t="str">
        <v>Teller</v>
      </c>
      <c r="M5" s="6">
        <f>IF($B5="","",SUMIFS(Proposal_2!$J$14:$J$300,Proposal_2!$G$14:$G$300,$B5,Proposal_2!$F$14:$F$300,"Included"))</f>
        <v>6545</v>
      </c>
      <c r="N5" s="6">
        <f>IF($B5="","",SUMIFS(Proposal_2!$L$14:$L$300,Proposal_2!$G$14:$G$300,$B5,Proposal_2!$F$14:$F$300,"Included"))</f>
        <v>6545</v>
      </c>
      <c r="O5" s="6">
        <f>IF($B5="","",SUMIFS(Proposal_2!$N$14:$N$300,Proposal_2!$G$14:$G$300,$B5,Proposal_2!$F$14:$F$300,"Included"))</f>
        <v>4995</v>
      </c>
      <c r="P5" s="6">
        <f>IF($B5="","",SUMIFS(Proposal_2!$P$14:$P$300,Proposal_2!$G$14:$G$300,$B5,Proposal_2!$F$14:$F$300,"Included"))</f>
        <v>0</v>
      </c>
      <c r="Q5" s="6">
        <f>IF($B5="","",SUMIFS(Proposal_2!$R$14:$R$300,Proposal_2!$G$14:$G$300,$B5,Proposal_2!$F$14:$F$300,"Included"))</f>
        <v>1309</v>
      </c>
      <c r="R5" s="6">
        <f>IF($B5="","",SUMIFS(Proposal_2!$T$14:$T$300,Proposal_2!$G$14:$G$300,$B5,Proposal_2!$F$14:$F$300,"Included"))</f>
        <v>1309</v>
      </c>
      <c r="S5" s="6">
        <f>IF($B5="","",SUMIFS(Proposal_2!$V$14:$V$300,Proposal_2!$G$14:$G$300,$B5,Proposal_2!$F$14:$F$300,"Included"))</f>
        <v>290</v>
      </c>
      <c r="T5" s="6">
        <f>IF($B5="","",SUMIFS(Proposal_2!$X$14:$X$300,Proposal_2!$G$14:$G$300,$B5,Proposal_2!$F$14:$F$300,"Included"))</f>
        <v>217.5</v>
      </c>
      <c r="V5" t="str">
        <v>Teller</v>
      </c>
      <c r="W5" s="6">
        <f>IF($B5="","",SUMIFS(Proposal_3!$J$14:$J$300,Proposal_3!$G$14:$G$300,$B5,Proposal_3!$F$14:$F$300,"Included"))</f>
        <v>6545</v>
      </c>
      <c r="X5" s="6">
        <f>IF($B5="","",SUMIFS(Proposal_3!$L$14:$L$300,Proposal_3!$G$14:$G$300,$B5,Proposal_3!$F$14:$F$300,"Included"))</f>
        <v>6545</v>
      </c>
      <c r="Y5" s="6">
        <f>IF($B5="","",SUMIFS(Proposal_3!$N$14:$N$300,Proposal_3!$G$14:$G$300,$B5,Proposal_3!$F$14:$F$300,"Included"))</f>
        <v>4995</v>
      </c>
      <c r="Z5" s="6">
        <f>IF($B5="","",SUMIFS(Proposal_3!$P$14:$P$300,Proposal_3!$G$14:$G$300,$B5,Proposal_3!$F$14:$F$300,"Included"))</f>
        <v>0</v>
      </c>
      <c r="AA5" s="6">
        <f>IF($B5="","",SUMIFS(Proposal_3!$R$14:$R$300,Proposal_3!$G$14:$G$300,$B5,Proposal_3!$F$14:$F$300,"Included"))</f>
        <v>1309</v>
      </c>
      <c r="AB5" s="6">
        <f>IF($B5="","",SUMIFS(Proposal_3!$T$14:$T$300,Proposal_3!$G$14:$G$300,$B5,Proposal_3!$F$14:$F$300,"Included"))</f>
        <v>1309</v>
      </c>
      <c r="AC5" s="6">
        <f>IF($B5="","",SUMIFS(Proposal_3!$V$14:$V$300,Proposal_3!$G$14:$G$300,$B5,Proposal_3!$F$14:$F$300,"Included"))</f>
        <v>290</v>
      </c>
      <c r="AD5" s="6">
        <f>IF($B5="","",SUMIFS(Proposal_3!$X$14:$X$300,Proposal_3!$G$14:$G$300,$B5,Proposal_3!$F$14:$F$300,"Included"))</f>
        <v>217.5</v>
      </c>
    </row>
    <row r="6" spans="2:30" x14ac:dyDescent="0.25">
      <c r="B6" t="str">
        <v>AlertCenter</v>
      </c>
      <c r="C6" s="6">
        <f>IF($B6="","",SUMIFS(Proposal_1!$J$14:$J$300,Proposal_1!$G$14:$G$300,$B6,Proposal_1!$F$14:$F$300,"Included"))</f>
        <v>0</v>
      </c>
      <c r="D6" s="6">
        <f>IF($B6="","",SUMIFS(Proposal_1!$L$14:$L$300,Proposal_1!$G$14:$G$300,$B6,Proposal_1!$F$14:$F$300,"Included"))</f>
        <v>0</v>
      </c>
      <c r="E6" s="6">
        <f>IF($B6="","",SUMIFS(Proposal_1!$N$14:$N$300,Proposal_1!$G$14:$G$300,$B6,Proposal_1!$F$14:$F$300,"Included"))</f>
        <v>0</v>
      </c>
      <c r="F6" s="6">
        <f>IF($B6="","",SUMIFS(Proposal_1!$P$14:$P$300,Proposal_1!$G$14:$G$300,$B6,Proposal_1!$F$14:$F$300,"Included"))</f>
        <v>0</v>
      </c>
      <c r="G6" s="6">
        <f>IF($B6="","",SUMIFS(Proposal_1!$R$14:$R$300,Proposal_1!$G$14:$G$300,$B6,Proposal_1!$F$14:$F$300,"Included"))</f>
        <v>0</v>
      </c>
      <c r="H6" s="6">
        <f>IF($B6="","",SUMIFS(Proposal_1!$T$14:$T$300,Proposal_1!$G$14:$G$300,$B6,Proposal_1!$F$14:$F$300,"Included"))</f>
        <v>0</v>
      </c>
      <c r="I6" s="6">
        <f>IF($B6="","",SUMIFS(Proposal_1!$V$14:$V$300,Proposal_1!$G$14:$G$300,$B6,Proposal_1!$F$14:$F$300,"Included"))</f>
        <v>0</v>
      </c>
      <c r="J6" s="6">
        <f>IF($B6="","",SUMIFS(Proposal_1!$X$14:$X$300,Proposal_1!$G$14:$G$300,$B6,Proposal_1!$F$14:$F$300,"Included"))</f>
        <v>0</v>
      </c>
      <c r="L6" t="str">
        <v>AlertCenter</v>
      </c>
      <c r="M6" s="6">
        <f>IF($B6="","",SUMIFS(Proposal_2!$J$14:$J$300,Proposal_2!$G$14:$G$300,$B6,Proposal_2!$F$14:$F$300,"Included"))</f>
        <v>0</v>
      </c>
      <c r="N6" s="6">
        <f>IF($B6="","",SUMIFS(Proposal_2!$L$14:$L$300,Proposal_2!$G$14:$G$300,$B6,Proposal_2!$F$14:$F$300,"Included"))</f>
        <v>0</v>
      </c>
      <c r="O6" s="6">
        <f>IF($B6="","",SUMIFS(Proposal_2!$N$14:$N$300,Proposal_2!$G$14:$G$300,$B6,Proposal_2!$F$14:$F$300,"Included"))</f>
        <v>0</v>
      </c>
      <c r="P6" s="6">
        <f>IF($B6="","",SUMIFS(Proposal_2!$P$14:$P$300,Proposal_2!$G$14:$G$300,$B6,Proposal_2!$F$14:$F$300,"Included"))</f>
        <v>0</v>
      </c>
      <c r="Q6" s="6">
        <f>IF($B6="","",SUMIFS(Proposal_2!$R$14:$R$300,Proposal_2!$G$14:$G$300,$B6,Proposal_2!$F$14:$F$300,"Included"))</f>
        <v>0</v>
      </c>
      <c r="R6" s="6">
        <f>IF($B6="","",SUMIFS(Proposal_2!$T$14:$T$300,Proposal_2!$G$14:$G$300,$B6,Proposal_2!$F$14:$F$300,"Included"))</f>
        <v>0</v>
      </c>
      <c r="S6" s="6">
        <f>IF($B6="","",SUMIFS(Proposal_2!$V$14:$V$300,Proposal_2!$G$14:$G$300,$B6,Proposal_2!$F$14:$F$300,"Included"))</f>
        <v>0</v>
      </c>
      <c r="T6" s="6">
        <f>IF($B6="","",SUMIFS(Proposal_2!$X$14:$X$300,Proposal_2!$G$14:$G$300,$B6,Proposal_2!$F$14:$F$300,"Included"))</f>
        <v>0</v>
      </c>
      <c r="V6" t="str">
        <v>AlertCenter</v>
      </c>
      <c r="W6" s="6">
        <f>IF($B6="","",SUMIFS(Proposal_3!$J$14:$J$300,Proposal_3!$G$14:$G$300,$B6,Proposal_3!$F$14:$F$300,"Included"))</f>
        <v>0</v>
      </c>
      <c r="X6" s="6">
        <f>IF($B6="","",SUMIFS(Proposal_3!$L$14:$L$300,Proposal_3!$G$14:$G$300,$B6,Proposal_3!$F$14:$F$300,"Included"))</f>
        <v>0</v>
      </c>
      <c r="Y6" s="6">
        <f>IF($B6="","",SUMIFS(Proposal_3!$N$14:$N$300,Proposal_3!$G$14:$G$300,$B6,Proposal_3!$F$14:$F$300,"Included"))</f>
        <v>0</v>
      </c>
      <c r="Z6" s="6">
        <f>IF($B6="","",SUMIFS(Proposal_3!$P$14:$P$300,Proposal_3!$G$14:$G$300,$B6,Proposal_3!$F$14:$F$300,"Included"))</f>
        <v>0</v>
      </c>
      <c r="AA6" s="6">
        <f>IF($B6="","",SUMIFS(Proposal_3!$R$14:$R$300,Proposal_3!$G$14:$G$300,$B6,Proposal_3!$F$14:$F$300,"Included"))</f>
        <v>0</v>
      </c>
      <c r="AB6" s="6">
        <f>IF($B6="","",SUMIFS(Proposal_3!$T$14:$T$300,Proposal_3!$G$14:$G$300,$B6,Proposal_3!$F$14:$F$300,"Included"))</f>
        <v>0</v>
      </c>
      <c r="AC6" s="6">
        <f>IF($B6="","",SUMIFS(Proposal_3!$V$14:$V$300,Proposal_3!$G$14:$G$300,$B6,Proposal_3!$F$14:$F$300,"Included"))</f>
        <v>0</v>
      </c>
      <c r="AD6" s="6">
        <f>IF($B6="","",SUMIFS(Proposal_3!$X$14:$X$300,Proposal_3!$G$14:$G$300,$B6,Proposal_3!$F$14:$F$300,"Included"))</f>
        <v>0</v>
      </c>
    </row>
    <row r="7" spans="2:30" x14ac:dyDescent="0.25">
      <c r="B7" t="str">
        <v>Synapsys</v>
      </c>
      <c r="C7" s="6">
        <f>IF($B7="","",SUMIFS(Proposal_1!$J$14:$J$300,Proposal_1!$G$14:$G$300,$B7,Proposal_1!$F$14:$F$300,"Included"))</f>
        <v>0</v>
      </c>
      <c r="D7" s="6">
        <f>IF($B7="","",SUMIFS(Proposal_1!$L$14:$L$300,Proposal_1!$G$14:$G$300,$B7,Proposal_1!$F$14:$F$300,"Included"))</f>
        <v>0</v>
      </c>
      <c r="E7" s="6">
        <f>IF($B7="","",SUMIFS(Proposal_1!$N$14:$N$300,Proposal_1!$G$14:$G$300,$B7,Proposal_1!$F$14:$F$300,"Included"))</f>
        <v>8500</v>
      </c>
      <c r="F7" s="6">
        <f>IF($B7="","",SUMIFS(Proposal_1!$P$14:$P$300,Proposal_1!$G$14:$G$300,$B7,Proposal_1!$F$14:$F$300,"Included"))</f>
        <v>0</v>
      </c>
      <c r="G7" s="6">
        <f>IF($B7="","",SUMIFS(Proposal_1!$R$14:$R$300,Proposal_1!$G$14:$G$300,$B7,Proposal_1!$F$14:$F$300,"Included"))</f>
        <v>5000</v>
      </c>
      <c r="H7" s="6">
        <f>IF($B7="","",SUMIFS(Proposal_1!$T$14:$T$300,Proposal_1!$G$14:$G$300,$B7,Proposal_1!$F$14:$F$300,"Included"))</f>
        <v>5000</v>
      </c>
      <c r="I7" s="6">
        <f>IF($B7="","",SUMIFS(Proposal_1!$V$14:$V$300,Proposal_1!$G$14:$G$300,$B7,Proposal_1!$F$14:$F$300,"Included"))</f>
        <v>1095</v>
      </c>
      <c r="J7" s="6">
        <f>IF($B7="","",SUMIFS(Proposal_1!$X$14:$X$300,Proposal_1!$G$14:$G$300,$B7,Proposal_1!$F$14:$F$300,"Included"))</f>
        <v>821.5</v>
      </c>
      <c r="L7" t="str">
        <v>Synapsys</v>
      </c>
      <c r="M7" s="6">
        <f>IF($B7="","",SUMIFS(Proposal_2!$J$14:$J$300,Proposal_2!$G$14:$G$300,$B7,Proposal_2!$F$14:$F$300,"Included"))</f>
        <v>0</v>
      </c>
      <c r="N7" s="6">
        <f>IF($B7="","",SUMIFS(Proposal_2!$L$14:$L$300,Proposal_2!$G$14:$G$300,$B7,Proposal_2!$F$14:$F$300,"Included"))</f>
        <v>0</v>
      </c>
      <c r="O7" s="6">
        <f>IF($B7="","",SUMIFS(Proposal_2!$N$14:$N$300,Proposal_2!$G$14:$G$300,$B7,Proposal_2!$F$14:$F$300,"Included"))</f>
        <v>8500</v>
      </c>
      <c r="P7" s="6">
        <f>IF($B7="","",SUMIFS(Proposal_2!$P$14:$P$300,Proposal_2!$G$14:$G$300,$B7,Proposal_2!$F$14:$F$300,"Included"))</f>
        <v>0</v>
      </c>
      <c r="Q7" s="6">
        <f>IF($B7="","",SUMIFS(Proposal_2!$R$14:$R$300,Proposal_2!$G$14:$G$300,$B7,Proposal_2!$F$14:$F$300,"Included"))</f>
        <v>5000</v>
      </c>
      <c r="R7" s="6">
        <f>IF($B7="","",SUMIFS(Proposal_2!$T$14:$T$300,Proposal_2!$G$14:$G$300,$B7,Proposal_2!$F$14:$F$300,"Included"))</f>
        <v>5000</v>
      </c>
      <c r="S7" s="6">
        <f>IF($B7="","",SUMIFS(Proposal_2!$V$14:$V$300,Proposal_2!$G$14:$G$300,$B7,Proposal_2!$F$14:$F$300,"Included"))</f>
        <v>1095</v>
      </c>
      <c r="T7" s="6">
        <f>IF($B7="","",SUMIFS(Proposal_2!$X$14:$X$300,Proposal_2!$G$14:$G$300,$B7,Proposal_2!$F$14:$F$300,"Included"))</f>
        <v>821.5</v>
      </c>
      <c r="V7" t="str">
        <v>Synapsys</v>
      </c>
      <c r="W7" s="6">
        <f>IF($B7="","",SUMIFS(Proposal_3!$J$14:$J$300,Proposal_3!$G$14:$G$300,$B7,Proposal_3!$F$14:$F$300,"Included"))</f>
        <v>0</v>
      </c>
      <c r="X7" s="6">
        <f>IF($B7="","",SUMIFS(Proposal_3!$L$14:$L$300,Proposal_3!$G$14:$G$300,$B7,Proposal_3!$F$14:$F$300,"Included"))</f>
        <v>0</v>
      </c>
      <c r="Y7" s="6">
        <f>IF($B7="","",SUMIFS(Proposal_3!$N$14:$N$300,Proposal_3!$G$14:$G$300,$B7,Proposal_3!$F$14:$F$300,"Included"))</f>
        <v>8500</v>
      </c>
      <c r="Z7" s="6">
        <f>IF($B7="","",SUMIFS(Proposal_3!$P$14:$P$300,Proposal_3!$G$14:$G$300,$B7,Proposal_3!$F$14:$F$300,"Included"))</f>
        <v>0</v>
      </c>
      <c r="AA7" s="6">
        <f>IF($B7="","",SUMIFS(Proposal_3!$R$14:$R$300,Proposal_3!$G$14:$G$300,$B7,Proposal_3!$F$14:$F$300,"Included"))</f>
        <v>5000</v>
      </c>
      <c r="AB7" s="6">
        <f>IF($B7="","",SUMIFS(Proposal_3!$T$14:$T$300,Proposal_3!$G$14:$G$300,$B7,Proposal_3!$F$14:$F$300,"Included"))</f>
        <v>5000</v>
      </c>
      <c r="AC7" s="6">
        <f>IF($B7="","",SUMIFS(Proposal_3!$V$14:$V$300,Proposal_3!$G$14:$G$300,$B7,Proposal_3!$F$14:$F$300,"Included"))</f>
        <v>1095</v>
      </c>
      <c r="AD7" s="6">
        <f>IF($B7="","",SUMIFS(Proposal_3!$X$14:$X$300,Proposal_3!$G$14:$G$300,$B7,Proposal_3!$F$14:$F$300,"Included"))</f>
        <v>821.5</v>
      </c>
    </row>
    <row r="8" spans="2:30" x14ac:dyDescent="0.25">
      <c r="B8" t="str">
        <v>JHA OpenAnywhere</v>
      </c>
      <c r="C8" s="6">
        <f>IF($B8="","",SUMIFS(Proposal_1!$J$14:$J$300,Proposal_1!$G$14:$G$300,$B8,Proposal_1!$F$14:$F$300,"Included"))</f>
        <v>0</v>
      </c>
      <c r="D8" s="6">
        <f>IF($B8="","",SUMIFS(Proposal_1!$L$14:$L$300,Proposal_1!$G$14:$G$300,$B8,Proposal_1!$F$14:$F$300,"Included"))</f>
        <v>0</v>
      </c>
      <c r="E8" s="6">
        <f>IF($B8="","",SUMIFS(Proposal_1!$N$14:$N$300,Proposal_1!$G$14:$G$300,$B8,Proposal_1!$F$14:$F$300,"Included"))</f>
        <v>23300</v>
      </c>
      <c r="F8" s="6">
        <f>IF($B8="","",SUMIFS(Proposal_1!$P$14:$P$300,Proposal_1!$G$14:$G$300,$B8,Proposal_1!$F$14:$F$300,"Included"))</f>
        <v>0</v>
      </c>
      <c r="G8" s="6">
        <f>IF($B8="","",SUMIFS(Proposal_1!$R$14:$R$300,Proposal_1!$G$14:$G$300,$B8,Proposal_1!$F$14:$F$300,"Included"))</f>
        <v>0</v>
      </c>
      <c r="H8" s="6">
        <f>IF($B8="","",SUMIFS(Proposal_1!$T$14:$T$300,Proposal_1!$G$14:$G$300,$B8,Proposal_1!$F$14:$F$300,"Included"))</f>
        <v>0</v>
      </c>
      <c r="I8" s="6">
        <f>IF($B8="","",SUMIFS(Proposal_1!$V$14:$V$300,Proposal_1!$G$14:$G$300,$B8,Proposal_1!$F$14:$F$300,"Included"))</f>
        <v>2815</v>
      </c>
      <c r="J8" s="6">
        <f>IF($B8="","",SUMIFS(Proposal_1!$X$14:$X$300,Proposal_1!$G$14:$G$300,$B8,Proposal_1!$F$14:$F$300,"Included"))</f>
        <v>2261.5</v>
      </c>
      <c r="L8" t="str">
        <v>JHA OpenAnywhere</v>
      </c>
      <c r="M8" s="6">
        <f>IF($B8="","",SUMIFS(Proposal_2!$J$14:$J$300,Proposal_2!$G$14:$G$300,$B8,Proposal_2!$F$14:$F$300,"Included"))</f>
        <v>0</v>
      </c>
      <c r="N8" s="6">
        <f>IF($B8="","",SUMIFS(Proposal_2!$L$14:$L$300,Proposal_2!$G$14:$G$300,$B8,Proposal_2!$F$14:$F$300,"Included"))</f>
        <v>0</v>
      </c>
      <c r="O8" s="6">
        <f>IF($B8="","",SUMIFS(Proposal_2!$N$14:$N$300,Proposal_2!$G$14:$G$300,$B8,Proposal_2!$F$14:$F$300,"Included"))</f>
        <v>23300</v>
      </c>
      <c r="P8" s="6">
        <f>IF($B8="","",SUMIFS(Proposal_2!$P$14:$P$300,Proposal_2!$G$14:$G$300,$B8,Proposal_2!$F$14:$F$300,"Included"))</f>
        <v>0</v>
      </c>
      <c r="Q8" s="6">
        <f>IF($B8="","",SUMIFS(Proposal_2!$R$14:$R$300,Proposal_2!$G$14:$G$300,$B8,Proposal_2!$F$14:$F$300,"Included"))</f>
        <v>0</v>
      </c>
      <c r="R8" s="6">
        <f>IF($B8="","",SUMIFS(Proposal_2!$T$14:$T$300,Proposal_2!$G$14:$G$300,$B8,Proposal_2!$F$14:$F$300,"Included"))</f>
        <v>0</v>
      </c>
      <c r="S8" s="6">
        <f>IF($B8="","",SUMIFS(Proposal_2!$V$14:$V$300,Proposal_2!$G$14:$G$300,$B8,Proposal_2!$F$14:$F$300,"Included"))</f>
        <v>2815</v>
      </c>
      <c r="T8" s="6">
        <f>IF($B8="","",SUMIFS(Proposal_2!$X$14:$X$300,Proposal_2!$G$14:$G$300,$B8,Proposal_2!$F$14:$F$300,"Included"))</f>
        <v>2261.5</v>
      </c>
      <c r="V8" t="str">
        <v>JHA OpenAnywhere</v>
      </c>
      <c r="W8" s="6">
        <f>IF($B8="","",SUMIFS(Proposal_3!$J$14:$J$300,Proposal_3!$G$14:$G$300,$B8,Proposal_3!$F$14:$F$300,"Included"))</f>
        <v>0</v>
      </c>
      <c r="X8" s="6">
        <f>IF($B8="","",SUMIFS(Proposal_3!$L$14:$L$300,Proposal_3!$G$14:$G$300,$B8,Proposal_3!$F$14:$F$300,"Included"))</f>
        <v>0</v>
      </c>
      <c r="Y8" s="6">
        <f>IF($B8="","",SUMIFS(Proposal_3!$N$14:$N$300,Proposal_3!$G$14:$G$300,$B8,Proposal_3!$F$14:$F$300,"Included"))</f>
        <v>23300</v>
      </c>
      <c r="Z8" s="6">
        <f>IF($B8="","",SUMIFS(Proposal_3!$P$14:$P$300,Proposal_3!$G$14:$G$300,$B8,Proposal_3!$F$14:$F$300,"Included"))</f>
        <v>0</v>
      </c>
      <c r="AA8" s="6">
        <f>IF($B8="","",SUMIFS(Proposal_3!$R$14:$R$300,Proposal_3!$G$14:$G$300,$B8,Proposal_3!$F$14:$F$300,"Included"))</f>
        <v>0</v>
      </c>
      <c r="AB8" s="6">
        <f>IF($B8="","",SUMIFS(Proposal_3!$T$14:$T$300,Proposal_3!$G$14:$G$300,$B8,Proposal_3!$F$14:$F$300,"Included"))</f>
        <v>0</v>
      </c>
      <c r="AC8" s="6">
        <f>IF($B8="","",SUMIFS(Proposal_3!$V$14:$V$300,Proposal_3!$G$14:$G$300,$B8,Proposal_3!$F$14:$F$300,"Included"))</f>
        <v>2815</v>
      </c>
      <c r="AD8" s="6">
        <f>IF($B8="","",SUMIFS(Proposal_3!$X$14:$X$300,Proposal_3!$G$14:$G$300,$B8,Proposal_3!$F$14:$F$300,"Included"))</f>
        <v>2261.5</v>
      </c>
    </row>
    <row r="9" spans="2:30" x14ac:dyDescent="0.25">
      <c r="B9" t="str">
        <v>Banno</v>
      </c>
      <c r="C9" s="6">
        <f>IF($B9="","",SUMIFS(Proposal_1!$J$14:$J$300,Proposal_1!$G$14:$G$300,$B9,Proposal_1!$F$14:$F$300,"Included"))</f>
        <v>0</v>
      </c>
      <c r="D9" s="6">
        <f>IF($B9="","",SUMIFS(Proposal_1!$L$14:$L$300,Proposal_1!$G$14:$G$300,$B9,Proposal_1!$F$14:$F$300,"Included"))</f>
        <v>0</v>
      </c>
      <c r="E9" s="6">
        <f>IF($B9="","",SUMIFS(Proposal_1!$N$14:$N$300,Proposal_1!$G$14:$G$300,$B9,Proposal_1!$F$14:$F$300,"Included"))</f>
        <v>87000</v>
      </c>
      <c r="F9" s="6">
        <f>IF($B9="","",SUMIFS(Proposal_1!$P$14:$P$300,Proposal_1!$G$14:$G$300,$B9,Proposal_1!$F$14:$F$300,"Included"))</f>
        <v>0</v>
      </c>
      <c r="G9" s="6">
        <f>IF($B9="","",SUMIFS(Proposal_1!$R$14:$R$300,Proposal_1!$G$14:$G$300,$B9,Proposal_1!$F$14:$F$300,"Included"))</f>
        <v>0</v>
      </c>
      <c r="H9" s="6">
        <f>IF($B9="","",SUMIFS(Proposal_1!$T$14:$T$300,Proposal_1!$G$14:$G$300,$B9,Proposal_1!$F$14:$F$300,"Included"))</f>
        <v>0</v>
      </c>
      <c r="I9" s="6">
        <f>IF($B9="","",SUMIFS(Proposal_1!$V$14:$V$300,Proposal_1!$G$14:$G$300,$B9,Proposal_1!$F$14:$F$300,"Included"))</f>
        <v>550</v>
      </c>
      <c r="J9" s="6">
        <f>IF($B9="","",SUMIFS(Proposal_1!$X$14:$X$300,Proposal_1!$G$14:$G$300,$B9,Proposal_1!$F$14:$F$300,"Included"))</f>
        <v>550</v>
      </c>
      <c r="L9" t="str">
        <v>Banno</v>
      </c>
      <c r="M9" s="6">
        <f>IF($B9="","",SUMIFS(Proposal_2!$J$14:$J$300,Proposal_2!$G$14:$G$300,$B9,Proposal_2!$F$14:$F$300,"Included"))</f>
        <v>0</v>
      </c>
      <c r="N9" s="6">
        <f>IF($B9="","",SUMIFS(Proposal_2!$L$14:$L$300,Proposal_2!$G$14:$G$300,$B9,Proposal_2!$F$14:$F$300,"Included"))</f>
        <v>0</v>
      </c>
      <c r="O9" s="6">
        <f>IF($B9="","",SUMIFS(Proposal_2!$N$14:$N$300,Proposal_2!$G$14:$G$300,$B9,Proposal_2!$F$14:$F$300,"Included"))</f>
        <v>87000</v>
      </c>
      <c r="P9" s="6">
        <f>IF($B9="","",SUMIFS(Proposal_2!$P$14:$P$300,Proposal_2!$G$14:$G$300,$B9,Proposal_2!$F$14:$F$300,"Included"))</f>
        <v>0</v>
      </c>
      <c r="Q9" s="6">
        <f>IF($B9="","",SUMIFS(Proposal_2!$R$14:$R$300,Proposal_2!$G$14:$G$300,$B9,Proposal_2!$F$14:$F$300,"Included"))</f>
        <v>0</v>
      </c>
      <c r="R9" s="6">
        <f>IF($B9="","",SUMIFS(Proposal_2!$T$14:$T$300,Proposal_2!$G$14:$G$300,$B9,Proposal_2!$F$14:$F$300,"Included"))</f>
        <v>0</v>
      </c>
      <c r="S9" s="6">
        <f>IF($B9="","",SUMIFS(Proposal_2!$V$14:$V$300,Proposal_2!$G$14:$G$300,$B9,Proposal_2!$F$14:$F$300,"Included"))</f>
        <v>550</v>
      </c>
      <c r="T9" s="6">
        <f>IF($B9="","",SUMIFS(Proposal_2!$X$14:$X$300,Proposal_2!$G$14:$G$300,$B9,Proposal_2!$F$14:$F$300,"Included"))</f>
        <v>550</v>
      </c>
      <c r="V9" t="str">
        <v>Banno</v>
      </c>
      <c r="W9" s="6">
        <f>IF($B9="","",SUMIFS(Proposal_3!$J$14:$J$300,Proposal_3!$G$14:$G$300,$B9,Proposal_3!$F$14:$F$300,"Included"))</f>
        <v>0</v>
      </c>
      <c r="X9" s="6">
        <f>IF($B9="","",SUMIFS(Proposal_3!$L$14:$L$300,Proposal_3!$G$14:$G$300,$B9,Proposal_3!$F$14:$F$300,"Included"))</f>
        <v>0</v>
      </c>
      <c r="Y9" s="6">
        <f>IF($B9="","",SUMIFS(Proposal_3!$N$14:$N$300,Proposal_3!$G$14:$G$300,$B9,Proposal_3!$F$14:$F$300,"Included"))</f>
        <v>87000</v>
      </c>
      <c r="Z9" s="6">
        <f>IF($B9="","",SUMIFS(Proposal_3!$P$14:$P$300,Proposal_3!$G$14:$G$300,$B9,Proposal_3!$F$14:$F$300,"Included"))</f>
        <v>0</v>
      </c>
      <c r="AA9" s="6">
        <f>IF($B9="","",SUMIFS(Proposal_3!$R$14:$R$300,Proposal_3!$G$14:$G$300,$B9,Proposal_3!$F$14:$F$300,"Included"))</f>
        <v>0</v>
      </c>
      <c r="AB9" s="6">
        <f>IF($B9="","",SUMIFS(Proposal_3!$T$14:$T$300,Proposal_3!$G$14:$G$300,$B9,Proposal_3!$F$14:$F$300,"Included"))</f>
        <v>0</v>
      </c>
      <c r="AC9" s="6">
        <f>IF($B9="","",SUMIFS(Proposal_3!$V$14:$V$300,Proposal_3!$G$14:$G$300,$B9,Proposal_3!$F$14:$F$300,"Included"))</f>
        <v>550</v>
      </c>
      <c r="AD9" s="6">
        <f>IF($B9="","",SUMIFS(Proposal_3!$X$14:$X$300,Proposal_3!$G$14:$G$300,$B9,Proposal_3!$F$14:$F$300,"Included"))</f>
        <v>550</v>
      </c>
    </row>
    <row r="10" spans="2:30" x14ac:dyDescent="0.25">
      <c r="B10" t="str">
        <v>Electronic Statements Interactive(ESI)</v>
      </c>
      <c r="C10" s="6">
        <f>IF($B10="","",SUMIFS(Proposal_1!$J$14:$J$300,Proposal_1!$G$14:$G$300,$B10,Proposal_1!$F$14:$F$300,"Included"))</f>
        <v>0</v>
      </c>
      <c r="D10" s="6">
        <f>IF($B10="","",SUMIFS(Proposal_1!$L$14:$L$300,Proposal_1!$G$14:$G$300,$B10,Proposal_1!$F$14:$F$300,"Included"))</f>
        <v>0</v>
      </c>
      <c r="E10" s="6">
        <f>IF($B10="","",SUMIFS(Proposal_1!$N$14:$N$300,Proposal_1!$G$14:$G$300,$B10,Proposal_1!$F$14:$F$300,"Included"))</f>
        <v>1750</v>
      </c>
      <c r="F10" s="6">
        <f>IF($B10="","",SUMIFS(Proposal_1!$P$14:$P$300,Proposal_1!$G$14:$G$300,$B10,Proposal_1!$F$14:$F$300,"Included"))</f>
        <v>0</v>
      </c>
      <c r="G10" s="6">
        <f>IF($B10="","",SUMIFS(Proposal_1!$R$14:$R$300,Proposal_1!$G$14:$G$300,$B10,Proposal_1!$F$14:$F$300,"Included"))</f>
        <v>0</v>
      </c>
      <c r="H10" s="6">
        <f>IF($B10="","",SUMIFS(Proposal_1!$T$14:$T$300,Proposal_1!$G$14:$G$300,$B10,Proposal_1!$F$14:$F$300,"Included"))</f>
        <v>0</v>
      </c>
      <c r="I10" s="6">
        <f>IF($B10="","",SUMIFS(Proposal_1!$V$14:$V$300,Proposal_1!$G$14:$G$300,$B10,Proposal_1!$F$14:$F$300,"Included"))</f>
        <v>140</v>
      </c>
      <c r="J10" s="6">
        <f>IF($B10="","",SUMIFS(Proposal_1!$X$14:$X$300,Proposal_1!$G$14:$G$300,$B10,Proposal_1!$F$14:$F$300,"Included"))</f>
        <v>105</v>
      </c>
      <c r="L10" t="str">
        <v>Electronic Statements Interactive(ESI)</v>
      </c>
      <c r="M10" s="6">
        <f>IF($B10="","",SUMIFS(Proposal_2!$J$14:$J$300,Proposal_2!$G$14:$G$300,$B10,Proposal_2!$F$14:$F$300,"Included"))</f>
        <v>0</v>
      </c>
      <c r="N10" s="6">
        <f>IF($B10="","",SUMIFS(Proposal_2!$L$14:$L$300,Proposal_2!$G$14:$G$300,$B10,Proposal_2!$F$14:$F$300,"Included"))</f>
        <v>0</v>
      </c>
      <c r="O10" s="6">
        <f>IF($B10="","",SUMIFS(Proposal_2!$N$14:$N$300,Proposal_2!$G$14:$G$300,$B10,Proposal_2!$F$14:$F$300,"Included"))</f>
        <v>1750</v>
      </c>
      <c r="P10" s="6">
        <f>IF($B10="","",SUMIFS(Proposal_2!$P$14:$P$300,Proposal_2!$G$14:$G$300,$B10,Proposal_2!$F$14:$F$300,"Included"))</f>
        <v>0</v>
      </c>
      <c r="Q10" s="6">
        <f>IF($B10="","",SUMIFS(Proposal_2!$R$14:$R$300,Proposal_2!$G$14:$G$300,$B10,Proposal_2!$F$14:$F$300,"Included"))</f>
        <v>0</v>
      </c>
      <c r="R10" s="6">
        <f>IF($B10="","",SUMIFS(Proposal_2!$T$14:$T$300,Proposal_2!$G$14:$G$300,$B10,Proposal_2!$F$14:$F$300,"Included"))</f>
        <v>0</v>
      </c>
      <c r="S10" s="6">
        <f>IF($B10="","",SUMIFS(Proposal_2!$V$14:$V$300,Proposal_2!$G$14:$G$300,$B10,Proposal_2!$F$14:$F$300,"Included"))</f>
        <v>140</v>
      </c>
      <c r="T10" s="6">
        <f>IF($B10="","",SUMIFS(Proposal_2!$X$14:$X$300,Proposal_2!$G$14:$G$300,$B10,Proposal_2!$F$14:$F$300,"Included"))</f>
        <v>105</v>
      </c>
      <c r="V10" t="str">
        <v>Electronic Statements Interactive(ESI)</v>
      </c>
      <c r="W10" s="6">
        <f>IF($B10="","",SUMIFS(Proposal_3!$J$14:$J$300,Proposal_3!$G$14:$G$300,$B10,Proposal_3!$F$14:$F$300,"Included"))</f>
        <v>0</v>
      </c>
      <c r="X10" s="6">
        <f>IF($B10="","",SUMIFS(Proposal_3!$L$14:$L$300,Proposal_3!$G$14:$G$300,$B10,Proposal_3!$F$14:$F$300,"Included"))</f>
        <v>0</v>
      </c>
      <c r="Y10" s="6">
        <f>IF($B10="","",SUMIFS(Proposal_3!$N$14:$N$300,Proposal_3!$G$14:$G$300,$B10,Proposal_3!$F$14:$F$300,"Included"))</f>
        <v>1750</v>
      </c>
      <c r="Z10" s="6">
        <f>IF($B10="","",SUMIFS(Proposal_3!$P$14:$P$300,Proposal_3!$G$14:$G$300,$B10,Proposal_3!$F$14:$F$300,"Included"))</f>
        <v>0</v>
      </c>
      <c r="AA10" s="6">
        <f>IF($B10="","",SUMIFS(Proposal_3!$R$14:$R$300,Proposal_3!$G$14:$G$300,$B10,Proposal_3!$F$14:$F$300,"Included"))</f>
        <v>0</v>
      </c>
      <c r="AB10" s="6">
        <f>IF($B10="","",SUMIFS(Proposal_3!$T$14:$T$300,Proposal_3!$G$14:$G$300,$B10,Proposal_3!$F$14:$F$300,"Included"))</f>
        <v>0</v>
      </c>
      <c r="AC10" s="6">
        <f>IF($B10="","",SUMIFS(Proposal_3!$V$14:$V$300,Proposal_3!$G$14:$G$300,$B10,Proposal_3!$F$14:$F$300,"Included"))</f>
        <v>140</v>
      </c>
      <c r="AD10" s="6">
        <f>IF($B10="","",SUMIFS(Proposal_3!$X$14:$X$300,Proposal_3!$G$14:$G$300,$B10,Proposal_3!$F$14:$F$300,"Included"))</f>
        <v>105</v>
      </c>
    </row>
    <row r="11" spans="2:30" x14ac:dyDescent="0.25">
      <c r="B11" t="str">
        <v>Intuit</v>
      </c>
      <c r="C11" s="6">
        <f>IF($B11="","",SUMIFS(Proposal_1!$J$14:$J$300,Proposal_1!$G$14:$G$300,$B11,Proposal_1!$F$14:$F$300,"Included"))</f>
        <v>0</v>
      </c>
      <c r="D11" s="6">
        <f>IF($B11="","",SUMIFS(Proposal_1!$L$14:$L$300,Proposal_1!$G$14:$G$300,$B11,Proposal_1!$F$14:$F$300,"Included"))</f>
        <v>0</v>
      </c>
      <c r="E11" s="6">
        <f>IF($B11="","",SUMIFS(Proposal_1!$N$14:$N$300,Proposal_1!$G$14:$G$300,$B11,Proposal_1!$F$14:$F$300,"Included"))</f>
        <v>0</v>
      </c>
      <c r="F11" s="6">
        <f>IF($B11="","",SUMIFS(Proposal_1!$P$14:$P$300,Proposal_1!$G$14:$G$300,$B11,Proposal_1!$F$14:$F$300,"Included"))</f>
        <v>0</v>
      </c>
      <c r="G11" s="6">
        <f>IF($B11="","",SUMIFS(Proposal_1!$R$14:$R$300,Proposal_1!$G$14:$G$300,$B11,Proposal_1!$F$14:$F$300,"Included"))</f>
        <v>500</v>
      </c>
      <c r="H11" s="6">
        <f>IF($B11="","",SUMIFS(Proposal_1!$T$14:$T$300,Proposal_1!$G$14:$G$300,$B11,Proposal_1!$F$14:$F$300,"Included"))</f>
        <v>500</v>
      </c>
      <c r="I11" s="6">
        <f>IF($B11="","",SUMIFS(Proposal_1!$V$14:$V$300,Proposal_1!$G$14:$G$300,$B11,Proposal_1!$F$14:$F$300,"Included"))</f>
        <v>0</v>
      </c>
      <c r="J11" s="6">
        <f>IF($B11="","",SUMIFS(Proposal_1!$X$14:$X$300,Proposal_1!$G$14:$G$300,$B11,Proposal_1!$F$14:$F$300,"Included"))</f>
        <v>0</v>
      </c>
      <c r="L11" t="str">
        <v>Intuit</v>
      </c>
      <c r="M11" s="6">
        <f>IF($B11="","",SUMIFS(Proposal_2!$J$14:$J$300,Proposal_2!$G$14:$G$300,$B11,Proposal_2!$F$14:$F$300,"Included"))</f>
        <v>0</v>
      </c>
      <c r="N11" s="6">
        <f>IF($B11="","",SUMIFS(Proposal_2!$L$14:$L$300,Proposal_2!$G$14:$G$300,$B11,Proposal_2!$F$14:$F$300,"Included"))</f>
        <v>0</v>
      </c>
      <c r="O11" s="6">
        <f>IF($B11="","",SUMIFS(Proposal_2!$N$14:$N$300,Proposal_2!$G$14:$G$300,$B11,Proposal_2!$F$14:$F$300,"Included"))</f>
        <v>0</v>
      </c>
      <c r="P11" s="6">
        <f>IF($B11="","",SUMIFS(Proposal_2!$P$14:$P$300,Proposal_2!$G$14:$G$300,$B11,Proposal_2!$F$14:$F$300,"Included"))</f>
        <v>0</v>
      </c>
      <c r="Q11" s="6">
        <f>IF($B11="","",SUMIFS(Proposal_2!$R$14:$R$300,Proposal_2!$G$14:$G$300,$B11,Proposal_2!$F$14:$F$300,"Included"))</f>
        <v>500</v>
      </c>
      <c r="R11" s="6">
        <f>IF($B11="","",SUMIFS(Proposal_2!$T$14:$T$300,Proposal_2!$G$14:$G$300,$B11,Proposal_2!$F$14:$F$300,"Included"))</f>
        <v>500</v>
      </c>
      <c r="S11" s="6">
        <f>IF($B11="","",SUMIFS(Proposal_2!$V$14:$V$300,Proposal_2!$G$14:$G$300,$B11,Proposal_2!$F$14:$F$300,"Included"))</f>
        <v>0</v>
      </c>
      <c r="T11" s="6">
        <f>IF($B11="","",SUMIFS(Proposal_2!$X$14:$X$300,Proposal_2!$G$14:$G$300,$B11,Proposal_2!$F$14:$F$300,"Included"))</f>
        <v>0</v>
      </c>
      <c r="V11" t="str">
        <v>Intuit</v>
      </c>
      <c r="W11" s="6">
        <f>IF($B11="","",SUMIFS(Proposal_3!$J$14:$J$300,Proposal_3!$G$14:$G$300,$B11,Proposal_3!$F$14:$F$300,"Included"))</f>
        <v>0</v>
      </c>
      <c r="X11" s="6">
        <f>IF($B11="","",SUMIFS(Proposal_3!$L$14:$L$300,Proposal_3!$G$14:$G$300,$B11,Proposal_3!$F$14:$F$300,"Included"))</f>
        <v>0</v>
      </c>
      <c r="Y11" s="6">
        <f>IF($B11="","",SUMIFS(Proposal_3!$N$14:$N$300,Proposal_3!$G$14:$G$300,$B11,Proposal_3!$F$14:$F$300,"Included"))</f>
        <v>0</v>
      </c>
      <c r="Z11" s="6">
        <f>IF($B11="","",SUMIFS(Proposal_3!$P$14:$P$300,Proposal_3!$G$14:$G$300,$B11,Proposal_3!$F$14:$F$300,"Included"))</f>
        <v>0</v>
      </c>
      <c r="AA11" s="6">
        <f>IF($B11="","",SUMIFS(Proposal_3!$R$14:$R$300,Proposal_3!$G$14:$G$300,$B11,Proposal_3!$F$14:$F$300,"Included"))</f>
        <v>500</v>
      </c>
      <c r="AB11" s="6">
        <f>IF($B11="","",SUMIFS(Proposal_3!$T$14:$T$300,Proposal_3!$G$14:$G$300,$B11,Proposal_3!$F$14:$F$300,"Included"))</f>
        <v>500</v>
      </c>
      <c r="AC11" s="6">
        <f>IF($B11="","",SUMIFS(Proposal_3!$V$14:$V$300,Proposal_3!$G$14:$G$300,$B11,Proposal_3!$F$14:$F$300,"Included"))</f>
        <v>0</v>
      </c>
      <c r="AD11" s="6">
        <f>IF($B11="","",SUMIFS(Proposal_3!$X$14:$X$300,Proposal_3!$G$14:$G$300,$B11,Proposal_3!$F$14:$F$300,"Included"))</f>
        <v>0</v>
      </c>
    </row>
    <row r="12" spans="2:30" x14ac:dyDescent="0.25">
      <c r="B12" t="str">
        <v>OutLink Item Processing</v>
      </c>
      <c r="C12" s="6">
        <f>IF($B12="","",SUMIFS(Proposal_1!$J$14:$J$300,Proposal_1!$G$14:$G$300,$B12,Proposal_1!$F$14:$F$300,"Included"))</f>
        <v>0</v>
      </c>
      <c r="D12" s="6">
        <f>IF($B12="","",SUMIFS(Proposal_1!$L$14:$L$300,Proposal_1!$G$14:$G$300,$B12,Proposal_1!$F$14:$F$300,"Included"))</f>
        <v>0</v>
      </c>
      <c r="E12" s="6">
        <f>IF($B12="","",SUMIFS(Proposal_1!$N$14:$N$300,Proposal_1!$G$14:$G$300,$B12,Proposal_1!$F$14:$F$300,"Included"))</f>
        <v>46025</v>
      </c>
      <c r="F12" s="6">
        <f>IF($B12="","",SUMIFS(Proposal_1!$P$14:$P$300,Proposal_1!$G$14:$G$300,$B12,Proposal_1!$F$14:$F$300,"Included"))</f>
        <v>11625</v>
      </c>
      <c r="G12" s="6">
        <f>IF($B12="","",SUMIFS(Proposal_1!$R$14:$R$300,Proposal_1!$G$14:$G$300,$B12,Proposal_1!$F$14:$F$300,"Included"))</f>
        <v>0</v>
      </c>
      <c r="H12" s="6">
        <f>IF($B12="","",SUMIFS(Proposal_1!$T$14:$T$300,Proposal_1!$G$14:$G$300,$B12,Proposal_1!$F$14:$F$300,"Included"))</f>
        <v>0</v>
      </c>
      <c r="I12" s="6">
        <f>IF($B12="","",SUMIFS(Proposal_1!$V$14:$V$300,Proposal_1!$G$14:$G$300,$B12,Proposal_1!$F$14:$F$300,"Included"))</f>
        <v>3239</v>
      </c>
      <c r="J12" s="6">
        <f>IF($B12="","",SUMIFS(Proposal_1!$X$14:$X$300,Proposal_1!$G$14:$G$300,$B12,Proposal_1!$F$14:$F$300,"Included"))</f>
        <v>2683</v>
      </c>
      <c r="L12" t="str">
        <v>OutLink Item Processing</v>
      </c>
      <c r="M12" s="6">
        <f>IF($B12="","",SUMIFS(Proposal_2!$J$14:$J$300,Proposal_2!$G$14:$G$300,$B12,Proposal_2!$F$14:$F$300,"Included"))</f>
        <v>0</v>
      </c>
      <c r="N12" s="6">
        <f>IF($B12="","",SUMIFS(Proposal_2!$L$14:$L$300,Proposal_2!$G$14:$G$300,$B12,Proposal_2!$F$14:$F$300,"Included"))</f>
        <v>0</v>
      </c>
      <c r="O12" s="6">
        <f>IF($B12="","",SUMIFS(Proposal_2!$N$14:$N$300,Proposal_2!$G$14:$G$300,$B12,Proposal_2!$F$14:$F$300,"Included"))</f>
        <v>35525</v>
      </c>
      <c r="P12" s="6">
        <f>IF($B12="","",SUMIFS(Proposal_2!$P$14:$P$300,Proposal_2!$G$14:$G$300,$B12,Proposal_2!$F$14:$F$300,"Included"))</f>
        <v>1125</v>
      </c>
      <c r="Q12" s="6">
        <f>IF($B12="","",SUMIFS(Proposal_2!$R$14:$R$300,Proposal_2!$G$14:$G$300,$B12,Proposal_2!$F$14:$F$300,"Included"))</f>
        <v>0</v>
      </c>
      <c r="R12" s="6">
        <f>IF($B12="","",SUMIFS(Proposal_2!$T$14:$T$300,Proposal_2!$G$14:$G$300,$B12,Proposal_2!$F$14:$F$300,"Included"))</f>
        <v>0</v>
      </c>
      <c r="S12" s="6">
        <f>IF($B12="","",SUMIFS(Proposal_2!$V$14:$V$300,Proposal_2!$G$14:$G$300,$B12,Proposal_2!$F$14:$F$300,"Included"))</f>
        <v>3125</v>
      </c>
      <c r="T12" s="6">
        <f>IF($B12="","",SUMIFS(Proposal_2!$X$14:$X$300,Proposal_2!$G$14:$G$300,$B12,Proposal_2!$F$14:$F$300,"Included"))</f>
        <v>2569</v>
      </c>
      <c r="V12" t="str">
        <v>OutLink Item Processing</v>
      </c>
      <c r="W12" s="6">
        <f>IF($B12="","",SUMIFS(Proposal_3!$J$14:$J$300,Proposal_3!$G$14:$G$300,$B12,Proposal_3!$F$14:$F$300,"Included"))</f>
        <v>0</v>
      </c>
      <c r="X12" s="6">
        <f>IF($B12="","",SUMIFS(Proposal_3!$L$14:$L$300,Proposal_3!$G$14:$G$300,$B12,Proposal_3!$F$14:$F$300,"Included"))</f>
        <v>0</v>
      </c>
      <c r="Y12" s="6">
        <f>IF($B12="","",SUMIFS(Proposal_3!$N$14:$N$300,Proposal_3!$G$14:$G$300,$B12,Proposal_3!$F$14:$F$300,"Included"))</f>
        <v>35525</v>
      </c>
      <c r="Z12" s="6">
        <f>IF($B12="","",SUMIFS(Proposal_3!$P$14:$P$300,Proposal_3!$G$14:$G$300,$B12,Proposal_3!$F$14:$F$300,"Included"))</f>
        <v>1125</v>
      </c>
      <c r="AA12" s="6">
        <f>IF($B12="","",SUMIFS(Proposal_3!$R$14:$R$300,Proposal_3!$G$14:$G$300,$B12,Proposal_3!$F$14:$F$300,"Included"))</f>
        <v>0</v>
      </c>
      <c r="AB12" s="6">
        <f>IF($B12="","",SUMIFS(Proposal_3!$T$14:$T$300,Proposal_3!$G$14:$G$300,$B12,Proposal_3!$F$14:$F$300,"Included"))</f>
        <v>0</v>
      </c>
      <c r="AC12" s="6">
        <f>IF($B12="","",SUMIFS(Proposal_3!$V$14:$V$300,Proposal_3!$G$14:$G$300,$B12,Proposal_3!$F$14:$F$300,"Included"))</f>
        <v>3125</v>
      </c>
      <c r="AD12" s="6">
        <f>IF($B12="","",SUMIFS(Proposal_3!$X$14:$X$300,Proposal_3!$G$14:$G$300,$B12,Proposal_3!$F$14:$F$300,"Included"))</f>
        <v>2569</v>
      </c>
    </row>
    <row r="13" spans="2:30" x14ac:dyDescent="0.25">
      <c r="B13" t="str">
        <v>Synergy</v>
      </c>
      <c r="C13" s="6">
        <f>IF($B13="","",SUMIFS(Proposal_1!$J$14:$J$300,Proposal_1!$G$14:$G$300,$B13,Proposal_1!$F$14:$F$300,"Included"))</f>
        <v>1000</v>
      </c>
      <c r="D13" s="6">
        <f>IF($B13="","",SUMIFS(Proposal_1!$L$14:$L$300,Proposal_1!$G$14:$G$300,$B13,Proposal_1!$F$14:$F$300,"Included"))</f>
        <v>1000</v>
      </c>
      <c r="E13" s="6">
        <f>IF($B13="","",SUMIFS(Proposal_1!$N$14:$N$300,Proposal_1!$G$14:$G$300,$B13,Proposal_1!$F$14:$F$300,"Included"))</f>
        <v>53800</v>
      </c>
      <c r="F13" s="6">
        <f>IF($B13="","",SUMIFS(Proposal_1!$P$14:$P$300,Proposal_1!$G$14:$G$300,$B13,Proposal_1!$F$14:$F$300,"Included"))</f>
        <v>29850</v>
      </c>
      <c r="G13" s="6">
        <f>IF($B13="","",SUMIFS(Proposal_1!$R$14:$R$300,Proposal_1!$G$14:$G$300,$B13,Proposal_1!$F$14:$F$300,"Included"))</f>
        <v>0</v>
      </c>
      <c r="H13" s="6">
        <f>IF($B13="","",SUMIFS(Proposal_1!$T$14:$T$300,Proposal_1!$G$14:$G$300,$B13,Proposal_1!$F$14:$F$300,"Included"))</f>
        <v>0</v>
      </c>
      <c r="I13" s="6">
        <f>IF($B13="","",SUMIFS(Proposal_1!$V$14:$V$300,Proposal_1!$G$14:$G$300,$B13,Proposal_1!$F$14:$F$300,"Included"))</f>
        <v>2800</v>
      </c>
      <c r="J13" s="6">
        <f>IF($B13="","",SUMIFS(Proposal_1!$X$14:$X$300,Proposal_1!$G$14:$G$300,$B13,Proposal_1!$F$14:$F$300,"Included"))</f>
        <v>2330</v>
      </c>
      <c r="L13" t="str">
        <v>Synergy</v>
      </c>
      <c r="M13" s="6">
        <f>IF($B13="","",SUMIFS(Proposal_2!$J$14:$J$300,Proposal_2!$G$14:$G$300,$B13,Proposal_2!$F$14:$F$300,"Included"))</f>
        <v>1000</v>
      </c>
      <c r="N13" s="6">
        <f>IF($B13="","",SUMIFS(Proposal_2!$L$14:$L$300,Proposal_2!$G$14:$G$300,$B13,Proposal_2!$F$14:$F$300,"Included"))</f>
        <v>1000</v>
      </c>
      <c r="O13" s="6">
        <f>IF($B13="","",SUMIFS(Proposal_2!$N$14:$N$300,Proposal_2!$G$14:$G$300,$B13,Proposal_2!$F$14:$F$300,"Included"))</f>
        <v>53800</v>
      </c>
      <c r="P13" s="6">
        <f>IF($B13="","",SUMIFS(Proposal_2!$P$14:$P$300,Proposal_2!$G$14:$G$300,$B13,Proposal_2!$F$14:$F$300,"Included"))</f>
        <v>29850</v>
      </c>
      <c r="Q13" s="6">
        <f>IF($B13="","",SUMIFS(Proposal_2!$R$14:$R$300,Proposal_2!$G$14:$G$300,$B13,Proposal_2!$F$14:$F$300,"Included"))</f>
        <v>0</v>
      </c>
      <c r="R13" s="6">
        <f>IF($B13="","",SUMIFS(Proposal_2!$T$14:$T$300,Proposal_2!$G$14:$G$300,$B13,Proposal_2!$F$14:$F$300,"Included"))</f>
        <v>0</v>
      </c>
      <c r="S13" s="6">
        <f>IF($B13="","",SUMIFS(Proposal_2!$V$14:$V$300,Proposal_2!$G$14:$G$300,$B13,Proposal_2!$F$14:$F$300,"Included"))</f>
        <v>2800</v>
      </c>
      <c r="T13" s="6">
        <f>IF($B13="","",SUMIFS(Proposal_2!$X$14:$X$300,Proposal_2!$G$14:$G$300,$B13,Proposal_2!$F$14:$F$300,"Included"))</f>
        <v>2330</v>
      </c>
      <c r="V13" t="str">
        <v>Synergy</v>
      </c>
      <c r="W13" s="6">
        <f>IF($B13="","",SUMIFS(Proposal_3!$J$14:$J$300,Proposal_3!$G$14:$G$300,$B13,Proposal_3!$F$14:$F$300,"Included"))</f>
        <v>1000</v>
      </c>
      <c r="X13" s="6">
        <f>IF($B13="","",SUMIFS(Proposal_3!$L$14:$L$300,Proposal_3!$G$14:$G$300,$B13,Proposal_3!$F$14:$F$300,"Included"))</f>
        <v>1000</v>
      </c>
      <c r="Y13" s="6">
        <f>IF($B13="","",SUMIFS(Proposal_3!$N$14:$N$300,Proposal_3!$G$14:$G$300,$B13,Proposal_3!$F$14:$F$300,"Included"))</f>
        <v>53800</v>
      </c>
      <c r="Z13" s="6">
        <f>IF($B13="","",SUMIFS(Proposal_3!$P$14:$P$300,Proposal_3!$G$14:$G$300,$B13,Proposal_3!$F$14:$F$300,"Included"))</f>
        <v>29850</v>
      </c>
      <c r="AA13" s="6">
        <f>IF($B13="","",SUMIFS(Proposal_3!$R$14:$R$300,Proposal_3!$G$14:$G$300,$B13,Proposal_3!$F$14:$F$300,"Included"))</f>
        <v>0</v>
      </c>
      <c r="AB13" s="6">
        <f>IF($B13="","",SUMIFS(Proposal_3!$T$14:$T$300,Proposal_3!$G$14:$G$300,$B13,Proposal_3!$F$14:$F$300,"Included"))</f>
        <v>0</v>
      </c>
      <c r="AC13" s="6">
        <f>IF($B13="","",SUMIFS(Proposal_3!$V$14:$V$300,Proposal_3!$G$14:$G$300,$B13,Proposal_3!$F$14:$F$300,"Included"))</f>
        <v>2800</v>
      </c>
      <c r="AD13" s="6">
        <f>IF($B13="","",SUMIFS(Proposal_3!$X$14:$X$300,Proposal_3!$G$14:$G$300,$B13,Proposal_3!$F$14:$F$300,"Included"))</f>
        <v>2330</v>
      </c>
    </row>
    <row r="14" spans="2:30" x14ac:dyDescent="0.25">
      <c r="B14" t="str">
        <v>iPay</v>
      </c>
      <c r="C14" s="6">
        <f>IF($B14="","",SUMIFS(Proposal_1!$J$14:$J$300,Proposal_1!$G$14:$G$300,$B14,Proposal_1!$F$14:$F$300,"Included"))</f>
        <v>0</v>
      </c>
      <c r="D14" s="6">
        <f>IF($B14="","",SUMIFS(Proposal_1!$L$14:$L$300,Proposal_1!$G$14:$G$300,$B14,Proposal_1!$F$14:$F$300,"Included"))</f>
        <v>0</v>
      </c>
      <c r="E14" s="6">
        <f>IF($B14="","",SUMIFS(Proposal_1!$N$14:$N$300,Proposal_1!$G$14:$G$300,$B14,Proposal_1!$F$14:$F$300,"Included"))</f>
        <v>12500</v>
      </c>
      <c r="F14" s="6">
        <f>IF($B14="","",SUMIFS(Proposal_1!$P$14:$P$300,Proposal_1!$G$14:$G$300,$B14,Proposal_1!$F$14:$F$300,"Included"))</f>
        <v>0</v>
      </c>
      <c r="G14" s="6">
        <f>IF($B14="","",SUMIFS(Proposal_1!$R$14:$R$300,Proposal_1!$G$14:$G$300,$B14,Proposal_1!$F$14:$F$300,"Included"))</f>
        <v>630</v>
      </c>
      <c r="H14" s="6">
        <f>IF($B14="","",SUMIFS(Proposal_1!$T$14:$T$300,Proposal_1!$G$14:$G$300,$B14,Proposal_1!$F$14:$F$300,"Included"))</f>
        <v>630</v>
      </c>
      <c r="I14" s="6">
        <f>IF($B14="","",SUMIFS(Proposal_1!$V$14:$V$300,Proposal_1!$G$14:$G$300,$B14,Proposal_1!$F$14:$F$300,"Included"))</f>
        <v>400</v>
      </c>
      <c r="J14" s="6">
        <f>IF($B14="","",SUMIFS(Proposal_1!$X$14:$X$300,Proposal_1!$G$14:$G$300,$B14,Proposal_1!$F$14:$F$300,"Included"))</f>
        <v>400</v>
      </c>
      <c r="L14" t="str">
        <v>iPay</v>
      </c>
      <c r="M14" s="6">
        <f>IF($B14="","",SUMIFS(Proposal_2!$J$14:$J$300,Proposal_2!$G$14:$G$300,$B14,Proposal_2!$F$14:$F$300,"Included"))</f>
        <v>0</v>
      </c>
      <c r="N14" s="6">
        <f>IF($B14="","",SUMIFS(Proposal_2!$L$14:$L$300,Proposal_2!$G$14:$G$300,$B14,Proposal_2!$F$14:$F$300,"Included"))</f>
        <v>0</v>
      </c>
      <c r="O14" s="6">
        <f>IF($B14="","",SUMIFS(Proposal_2!$N$14:$N$300,Proposal_2!$G$14:$G$300,$B14,Proposal_2!$F$14:$F$300,"Included"))</f>
        <v>12500</v>
      </c>
      <c r="P14" s="6">
        <f>IF($B14="","",SUMIFS(Proposal_2!$P$14:$P$300,Proposal_2!$G$14:$G$300,$B14,Proposal_2!$F$14:$F$300,"Included"))</f>
        <v>0</v>
      </c>
      <c r="Q14" s="6">
        <f>IF($B14="","",SUMIFS(Proposal_2!$R$14:$R$300,Proposal_2!$G$14:$G$300,$B14,Proposal_2!$F$14:$F$300,"Included"))</f>
        <v>630</v>
      </c>
      <c r="R14" s="6">
        <f>IF($B14="","",SUMIFS(Proposal_2!$T$14:$T$300,Proposal_2!$G$14:$G$300,$B14,Proposal_2!$F$14:$F$300,"Included"))</f>
        <v>630</v>
      </c>
      <c r="S14" s="6">
        <f>IF($B14="","",SUMIFS(Proposal_2!$V$14:$V$300,Proposal_2!$G$14:$G$300,$B14,Proposal_2!$F$14:$F$300,"Included"))</f>
        <v>400</v>
      </c>
      <c r="T14" s="6">
        <f>IF($B14="","",SUMIFS(Proposal_2!$X$14:$X$300,Proposal_2!$G$14:$G$300,$B14,Proposal_2!$F$14:$F$300,"Included"))</f>
        <v>400</v>
      </c>
      <c r="V14" t="str">
        <v>iPay</v>
      </c>
      <c r="W14" s="6">
        <f>IF($B14="","",SUMIFS(Proposal_3!$J$14:$J$300,Proposal_3!$G$14:$G$300,$B14,Proposal_3!$F$14:$F$300,"Included"))</f>
        <v>0</v>
      </c>
      <c r="X14" s="6">
        <f>IF($B14="","",SUMIFS(Proposal_3!$L$14:$L$300,Proposal_3!$G$14:$G$300,$B14,Proposal_3!$F$14:$F$300,"Included"))</f>
        <v>0</v>
      </c>
      <c r="Y14" s="6">
        <f>IF($B14="","",SUMIFS(Proposal_3!$N$14:$N$300,Proposal_3!$G$14:$G$300,$B14,Proposal_3!$F$14:$F$300,"Included"))</f>
        <v>12500</v>
      </c>
      <c r="Z14" s="6">
        <f>IF($B14="","",SUMIFS(Proposal_3!$P$14:$P$300,Proposal_3!$G$14:$G$300,$B14,Proposal_3!$F$14:$F$300,"Included"))</f>
        <v>0</v>
      </c>
      <c r="AA14" s="6">
        <f>IF($B14="","",SUMIFS(Proposal_3!$R$14:$R$300,Proposal_3!$G$14:$G$300,$B14,Proposal_3!$F$14:$F$300,"Included"))</f>
        <v>630</v>
      </c>
      <c r="AB14" s="6">
        <f>IF($B14="","",SUMIFS(Proposal_3!$T$14:$T$300,Proposal_3!$G$14:$G$300,$B14,Proposal_3!$F$14:$F$300,"Included"))</f>
        <v>630</v>
      </c>
      <c r="AC14" s="6">
        <f>IF($B14="","",SUMIFS(Proposal_3!$V$14:$V$300,Proposal_3!$G$14:$G$300,$B14,Proposal_3!$F$14:$F$300,"Included"))</f>
        <v>400</v>
      </c>
      <c r="AD14" s="6">
        <f>IF($B14="","",SUMIFS(Proposal_3!$X$14:$X$300,Proposal_3!$G$14:$G$300,$B14,Proposal_3!$F$14:$F$300,"Included"))</f>
        <v>400</v>
      </c>
    </row>
    <row r="15" spans="2:30" x14ac:dyDescent="0.25">
      <c r="B15" t="str">
        <v>DirectLine</v>
      </c>
      <c r="C15" s="6">
        <f>IF($B15="","",SUMIFS(Proposal_1!$J$14:$J$300,Proposal_1!$G$14:$G$300,$B15,Proposal_1!$F$14:$F$300,"Included"))</f>
        <v>0</v>
      </c>
      <c r="D15" s="6">
        <f>IF($B15="","",SUMIFS(Proposal_1!$L$14:$L$300,Proposal_1!$G$14:$G$300,$B15,Proposal_1!$F$14:$F$300,"Included"))</f>
        <v>0</v>
      </c>
      <c r="E15" s="6">
        <f>IF($B15="","",SUMIFS(Proposal_1!$N$14:$N$300,Proposal_1!$G$14:$G$300,$B15,Proposal_1!$F$14:$F$300,"Included"))</f>
        <v>10000</v>
      </c>
      <c r="F15" s="6">
        <f>IF($B15="","",SUMIFS(Proposal_1!$P$14:$P$300,Proposal_1!$G$14:$G$300,$B15,Proposal_1!$F$14:$F$300,"Included"))</f>
        <v>2500</v>
      </c>
      <c r="G15" s="6">
        <f>IF($B15="","",SUMIFS(Proposal_1!$R$14:$R$300,Proposal_1!$G$14:$G$300,$B15,Proposal_1!$F$14:$F$300,"Included"))</f>
        <v>0</v>
      </c>
      <c r="H15" s="6">
        <f>IF($B15="","",SUMIFS(Proposal_1!$T$14:$T$300,Proposal_1!$G$14:$G$300,$B15,Proposal_1!$F$14:$F$300,"Included"))</f>
        <v>0</v>
      </c>
      <c r="I15" s="6">
        <f>IF($B15="","",SUMIFS(Proposal_1!$V$14:$V$300,Proposal_1!$G$14:$G$300,$B15,Proposal_1!$F$14:$F$300,"Included"))</f>
        <v>750</v>
      </c>
      <c r="J15" s="6">
        <f>IF($B15="","",SUMIFS(Proposal_1!$X$14:$X$300,Proposal_1!$G$14:$G$300,$B15,Proposal_1!$F$14:$F$300,"Included"))</f>
        <v>750</v>
      </c>
      <c r="L15" t="str">
        <v>DirectLine</v>
      </c>
      <c r="M15" s="6">
        <f>IF($B15="","",SUMIFS(Proposal_2!$J$14:$J$300,Proposal_2!$G$14:$G$300,$B15,Proposal_2!$F$14:$F$300,"Included"))</f>
        <v>0</v>
      </c>
      <c r="N15" s="6">
        <f>IF($B15="","",SUMIFS(Proposal_2!$L$14:$L$300,Proposal_2!$G$14:$G$300,$B15,Proposal_2!$F$14:$F$300,"Included"))</f>
        <v>0</v>
      </c>
      <c r="O15" s="6">
        <f>IF($B15="","",SUMIFS(Proposal_2!$N$14:$N$300,Proposal_2!$G$14:$G$300,$B15,Proposal_2!$F$14:$F$300,"Included"))</f>
        <v>10000</v>
      </c>
      <c r="P15" s="6">
        <f>IF($B15="","",SUMIFS(Proposal_2!$P$14:$P$300,Proposal_2!$G$14:$G$300,$B15,Proposal_2!$F$14:$F$300,"Included"))</f>
        <v>2500</v>
      </c>
      <c r="Q15" s="6">
        <f>IF($B15="","",SUMIFS(Proposal_2!$R$14:$R$300,Proposal_2!$G$14:$G$300,$B15,Proposal_2!$F$14:$F$300,"Included"))</f>
        <v>0</v>
      </c>
      <c r="R15" s="6">
        <f>IF($B15="","",SUMIFS(Proposal_2!$T$14:$T$300,Proposal_2!$G$14:$G$300,$B15,Proposal_2!$F$14:$F$300,"Included"))</f>
        <v>0</v>
      </c>
      <c r="S15" s="6">
        <f>IF($B15="","",SUMIFS(Proposal_2!$V$14:$V$300,Proposal_2!$G$14:$G$300,$B15,Proposal_2!$F$14:$F$300,"Included"))</f>
        <v>750</v>
      </c>
      <c r="T15" s="6">
        <f>IF($B15="","",SUMIFS(Proposal_2!$X$14:$X$300,Proposal_2!$G$14:$G$300,$B15,Proposal_2!$F$14:$F$300,"Included"))</f>
        <v>750</v>
      </c>
      <c r="V15" t="str">
        <v>DirectLine</v>
      </c>
      <c r="W15" s="6">
        <f>IF($B15="","",SUMIFS(Proposal_3!$J$14:$J$300,Proposal_3!$G$14:$G$300,$B15,Proposal_3!$F$14:$F$300,"Included"))</f>
        <v>0</v>
      </c>
      <c r="X15" s="6">
        <f>IF($B15="","",SUMIFS(Proposal_3!$L$14:$L$300,Proposal_3!$G$14:$G$300,$B15,Proposal_3!$F$14:$F$300,"Included"))</f>
        <v>0</v>
      </c>
      <c r="Y15" s="6">
        <f>IF($B15="","",SUMIFS(Proposal_3!$N$14:$N$300,Proposal_3!$G$14:$G$300,$B15,Proposal_3!$F$14:$F$300,"Included"))</f>
        <v>10000</v>
      </c>
      <c r="Z15" s="6">
        <f>IF($B15="","",SUMIFS(Proposal_3!$P$14:$P$300,Proposal_3!$G$14:$G$300,$B15,Proposal_3!$F$14:$F$300,"Included"))</f>
        <v>2500</v>
      </c>
      <c r="AA15" s="6">
        <f>IF($B15="","",SUMIFS(Proposal_3!$R$14:$R$300,Proposal_3!$G$14:$G$300,$B15,Proposal_3!$F$14:$F$300,"Included"))</f>
        <v>0</v>
      </c>
      <c r="AB15" s="6">
        <f>IF($B15="","",SUMIFS(Proposal_3!$T$14:$T$300,Proposal_3!$G$14:$G$300,$B15,Proposal_3!$F$14:$F$300,"Included"))</f>
        <v>0</v>
      </c>
      <c r="AC15" s="6">
        <f>IF($B15="","",SUMIFS(Proposal_3!$V$14:$V$300,Proposal_3!$G$14:$G$300,$B15,Proposal_3!$F$14:$F$300,"Included"))</f>
        <v>750</v>
      </c>
      <c r="AD15" s="6">
        <f>IF($B15="","",SUMIFS(Proposal_3!$X$14:$X$300,Proposal_3!$G$14:$G$300,$B15,Proposal_3!$F$14:$F$300,"Included"))</f>
        <v>750</v>
      </c>
    </row>
    <row r="16" spans="2:30" x14ac:dyDescent="0.25">
      <c r="B16" t="str">
        <v>JHA Payment Center</v>
      </c>
      <c r="C16" s="6">
        <f>IF($B16="","",SUMIFS(Proposal_1!$J$14:$J$300,Proposal_1!$G$14:$G$300,$B16,Proposal_1!$F$14:$F$300,"Included"))</f>
        <v>0</v>
      </c>
      <c r="D16" s="6">
        <f>IF($B16="","",SUMIFS(Proposal_1!$L$14:$L$300,Proposal_1!$G$14:$G$300,$B16,Proposal_1!$F$14:$F$300,"Included"))</f>
        <v>0</v>
      </c>
      <c r="E16" s="6">
        <f>IF($B16="","",SUMIFS(Proposal_1!$N$14:$N$300,Proposal_1!$G$14:$G$300,$B16,Proposal_1!$F$14:$F$300,"Included"))</f>
        <v>10000</v>
      </c>
      <c r="F16" s="6">
        <f>IF($B16="","",SUMIFS(Proposal_1!$P$14:$P$300,Proposal_1!$G$14:$G$300,$B16,Proposal_1!$F$14:$F$300,"Included"))</f>
        <v>0</v>
      </c>
      <c r="G16" s="6">
        <f>IF($B16="","",SUMIFS(Proposal_1!$R$14:$R$300,Proposal_1!$G$14:$G$300,$B16,Proposal_1!$F$14:$F$300,"Included"))</f>
        <v>0</v>
      </c>
      <c r="H16" s="6">
        <f>IF($B16="","",SUMIFS(Proposal_1!$T$14:$T$300,Proposal_1!$G$14:$G$300,$B16,Proposal_1!$F$14:$F$300,"Included"))</f>
        <v>0</v>
      </c>
      <c r="I16" s="6">
        <f>IF($B16="","",SUMIFS(Proposal_1!$V$14:$V$300,Proposal_1!$G$14:$G$300,$B16,Proposal_1!$F$14:$F$300,"Included"))</f>
        <v>1400</v>
      </c>
      <c r="J16" s="6">
        <f>IF($B16="","",SUMIFS(Proposal_1!$X$14:$X$300,Proposal_1!$G$14:$G$300,$B16,Proposal_1!$F$14:$F$300,"Included"))</f>
        <v>1400</v>
      </c>
      <c r="L16" t="str">
        <v>JHA Payment Center</v>
      </c>
      <c r="M16" s="6">
        <f>IF($B16="","",SUMIFS(Proposal_2!$J$14:$J$300,Proposal_2!$G$14:$G$300,$B16,Proposal_2!$F$14:$F$300,"Included"))</f>
        <v>0</v>
      </c>
      <c r="N16" s="6">
        <f>IF($B16="","",SUMIFS(Proposal_2!$L$14:$L$300,Proposal_2!$G$14:$G$300,$B16,Proposal_2!$F$14:$F$300,"Included"))</f>
        <v>0</v>
      </c>
      <c r="O16" s="6">
        <f>IF($B16="","",SUMIFS(Proposal_2!$N$14:$N$300,Proposal_2!$G$14:$G$300,$B16,Proposal_2!$F$14:$F$300,"Included"))</f>
        <v>10000</v>
      </c>
      <c r="P16" s="6">
        <f>IF($B16="","",SUMIFS(Proposal_2!$P$14:$P$300,Proposal_2!$G$14:$G$300,$B16,Proposal_2!$F$14:$F$300,"Included"))</f>
        <v>0</v>
      </c>
      <c r="Q16" s="6">
        <f>IF($B16="","",SUMIFS(Proposal_2!$R$14:$R$300,Proposal_2!$G$14:$G$300,$B16,Proposal_2!$F$14:$F$300,"Included"))</f>
        <v>0</v>
      </c>
      <c r="R16" s="6">
        <f>IF($B16="","",SUMIFS(Proposal_2!$T$14:$T$300,Proposal_2!$G$14:$G$300,$B16,Proposal_2!$F$14:$F$300,"Included"))</f>
        <v>0</v>
      </c>
      <c r="S16" s="6">
        <f>IF($B16="","",SUMIFS(Proposal_2!$V$14:$V$300,Proposal_2!$G$14:$G$300,$B16,Proposal_2!$F$14:$F$300,"Included"))</f>
        <v>1400</v>
      </c>
      <c r="T16" s="6">
        <f>IF($B16="","",SUMIFS(Proposal_2!$X$14:$X$300,Proposal_2!$G$14:$G$300,$B16,Proposal_2!$F$14:$F$300,"Included"))</f>
        <v>1400</v>
      </c>
      <c r="V16" t="str">
        <v>JHA Payment Center</v>
      </c>
      <c r="W16" s="6">
        <f>IF($B16="","",SUMIFS(Proposal_3!$J$14:$J$300,Proposal_3!$G$14:$G$300,$B16,Proposal_3!$F$14:$F$300,"Included"))</f>
        <v>0</v>
      </c>
      <c r="X16" s="6">
        <f>IF($B16="","",SUMIFS(Proposal_3!$L$14:$L$300,Proposal_3!$G$14:$G$300,$B16,Proposal_3!$F$14:$F$300,"Included"))</f>
        <v>0</v>
      </c>
      <c r="Y16" s="6">
        <f>IF($B16="","",SUMIFS(Proposal_3!$N$14:$N$300,Proposal_3!$G$14:$G$300,$B16,Proposal_3!$F$14:$F$300,"Included"))</f>
        <v>10000</v>
      </c>
      <c r="Z16" s="6">
        <f>IF($B16="","",SUMIFS(Proposal_3!$P$14:$P$300,Proposal_3!$G$14:$G$300,$B16,Proposal_3!$F$14:$F$300,"Included"))</f>
        <v>0</v>
      </c>
      <c r="AA16" s="6">
        <f>IF($B16="","",SUMIFS(Proposal_3!$R$14:$R$300,Proposal_3!$G$14:$G$300,$B16,Proposal_3!$F$14:$F$300,"Included"))</f>
        <v>0</v>
      </c>
      <c r="AB16" s="6">
        <f>IF($B16="","",SUMIFS(Proposal_3!$T$14:$T$300,Proposal_3!$G$14:$G$300,$B16,Proposal_3!$F$14:$F$300,"Included"))</f>
        <v>0</v>
      </c>
      <c r="AC16" s="6">
        <f>IF($B16="","",SUMIFS(Proposal_3!$V$14:$V$300,Proposal_3!$G$14:$G$300,$B16,Proposal_3!$F$14:$F$300,"Included"))</f>
        <v>1400</v>
      </c>
      <c r="AD16" s="6">
        <f>IF($B16="","",SUMIFS(Proposal_3!$X$14:$X$300,Proposal_3!$G$14:$G$300,$B16,Proposal_3!$F$14:$F$300,"Included"))</f>
        <v>1400</v>
      </c>
    </row>
    <row r="17" spans="2:30" x14ac:dyDescent="0.25">
      <c r="B17" t="str">
        <v>Enterprise Payment Solutions (EPS)</v>
      </c>
      <c r="C17" s="6">
        <f>IF($B17="","",SUMIFS(Proposal_1!$J$14:$J$300,Proposal_1!$G$14:$G$300,$B17,Proposal_1!$F$14:$F$300,"Included"))</f>
        <v>0</v>
      </c>
      <c r="D17" s="6">
        <f>IF($B17="","",SUMIFS(Proposal_1!$L$14:$L$300,Proposal_1!$G$14:$G$300,$B17,Proposal_1!$F$14:$F$300,"Included"))</f>
        <v>0</v>
      </c>
      <c r="E17" s="6">
        <f>IF($B17="","",SUMIFS(Proposal_1!$N$14:$N$300,Proposal_1!$G$14:$G$300,$B17,Proposal_1!$F$14:$F$300,"Included"))</f>
        <v>8500</v>
      </c>
      <c r="F17" s="6">
        <f>IF($B17="","",SUMIFS(Proposal_1!$P$14:$P$300,Proposal_1!$G$14:$G$300,$B17,Proposal_1!$F$14:$F$300,"Included"))</f>
        <v>0</v>
      </c>
      <c r="G17" s="6">
        <f>IF($B17="","",SUMIFS(Proposal_1!$R$14:$R$300,Proposal_1!$G$14:$G$300,$B17,Proposal_1!$F$14:$F$300,"Included"))</f>
        <v>0</v>
      </c>
      <c r="H17" s="6">
        <f>IF($B17="","",SUMIFS(Proposal_1!$T$14:$T$300,Proposal_1!$G$14:$G$300,$B17,Proposal_1!$F$14:$F$300,"Included"))</f>
        <v>0</v>
      </c>
      <c r="I17" s="6">
        <f>IF($B17="","",SUMIFS(Proposal_1!$V$14:$V$300,Proposal_1!$G$14:$G$300,$B17,Proposal_1!$F$14:$F$300,"Included"))</f>
        <v>1600</v>
      </c>
      <c r="J17" s="6">
        <f>IF($B17="","",SUMIFS(Proposal_1!$X$14:$X$300,Proposal_1!$G$14:$G$300,$B17,Proposal_1!$F$14:$F$300,"Included"))</f>
        <v>1425</v>
      </c>
      <c r="L17" t="str">
        <v>Enterprise Payment Solutions (EPS)</v>
      </c>
      <c r="M17" s="6">
        <f>IF($B17="","",SUMIFS(Proposal_2!$J$14:$J$300,Proposal_2!$G$14:$G$300,$B17,Proposal_2!$F$14:$F$300,"Included"))</f>
        <v>0</v>
      </c>
      <c r="N17" s="6">
        <f>IF($B17="","",SUMIFS(Proposal_2!$L$14:$L$300,Proposal_2!$G$14:$G$300,$B17,Proposal_2!$F$14:$F$300,"Included"))</f>
        <v>0</v>
      </c>
      <c r="O17" s="6">
        <f>IF($B17="","",SUMIFS(Proposal_2!$N$14:$N$300,Proposal_2!$G$14:$G$300,$B17,Proposal_2!$F$14:$F$300,"Included"))</f>
        <v>8500</v>
      </c>
      <c r="P17" s="6">
        <f>IF($B17="","",SUMIFS(Proposal_2!$P$14:$P$300,Proposal_2!$G$14:$G$300,$B17,Proposal_2!$F$14:$F$300,"Included"))</f>
        <v>0</v>
      </c>
      <c r="Q17" s="6">
        <f>IF($B17="","",SUMIFS(Proposal_2!$R$14:$R$300,Proposal_2!$G$14:$G$300,$B17,Proposal_2!$F$14:$F$300,"Included"))</f>
        <v>0</v>
      </c>
      <c r="R17" s="6">
        <f>IF($B17="","",SUMIFS(Proposal_2!$T$14:$T$300,Proposal_2!$G$14:$G$300,$B17,Proposal_2!$F$14:$F$300,"Included"))</f>
        <v>0</v>
      </c>
      <c r="S17" s="6">
        <f>IF($B17="","",SUMIFS(Proposal_2!$V$14:$V$300,Proposal_2!$G$14:$G$300,$B17,Proposal_2!$F$14:$F$300,"Included"))</f>
        <v>1600</v>
      </c>
      <c r="T17" s="6">
        <f>IF($B17="","",SUMIFS(Proposal_2!$X$14:$X$300,Proposal_2!$G$14:$G$300,$B17,Proposal_2!$F$14:$F$300,"Included"))</f>
        <v>1425</v>
      </c>
      <c r="V17" t="str">
        <v>Enterprise Payment Solutions (EPS)</v>
      </c>
      <c r="W17" s="6">
        <f>IF($B17="","",SUMIFS(Proposal_3!$J$14:$J$300,Proposal_3!$G$14:$G$300,$B17,Proposal_3!$F$14:$F$300,"Included"))</f>
        <v>0</v>
      </c>
      <c r="X17" s="6">
        <f>IF($B17="","",SUMIFS(Proposal_3!$L$14:$L$300,Proposal_3!$G$14:$G$300,$B17,Proposal_3!$F$14:$F$300,"Included"))</f>
        <v>0</v>
      </c>
      <c r="Y17" s="6">
        <f>IF($B17="","",SUMIFS(Proposal_3!$N$14:$N$300,Proposal_3!$G$14:$G$300,$B17,Proposal_3!$F$14:$F$300,"Included"))</f>
        <v>8500</v>
      </c>
      <c r="Z17" s="6">
        <f>IF($B17="","",SUMIFS(Proposal_3!$P$14:$P$300,Proposal_3!$G$14:$G$300,$B17,Proposal_3!$F$14:$F$300,"Included"))</f>
        <v>0</v>
      </c>
      <c r="AA17" s="6">
        <f>IF($B17="","",SUMIFS(Proposal_3!$R$14:$R$300,Proposal_3!$G$14:$G$300,$B17,Proposal_3!$F$14:$F$300,"Included"))</f>
        <v>0</v>
      </c>
      <c r="AB17" s="6">
        <f>IF($B17="","",SUMIFS(Proposal_3!$T$14:$T$300,Proposal_3!$G$14:$G$300,$B17,Proposal_3!$F$14:$F$300,"Included"))</f>
        <v>0</v>
      </c>
      <c r="AC17" s="6">
        <f>IF($B17="","",SUMIFS(Proposal_3!$V$14:$V$300,Proposal_3!$G$14:$G$300,$B17,Proposal_3!$F$14:$F$300,"Included"))</f>
        <v>1600</v>
      </c>
      <c r="AD17" s="6">
        <f>IF($B17="","",SUMIFS(Proposal_3!$X$14:$X$300,Proposal_3!$G$14:$G$300,$B17,Proposal_3!$F$14:$F$300,"Included"))</f>
        <v>1425</v>
      </c>
    </row>
    <row r="18" spans="2:30" x14ac:dyDescent="0.25">
      <c r="B18" t="str">
        <v>Card Processing Solutions (CPS)</v>
      </c>
      <c r="C18" s="6">
        <f>IF($B18="","",SUMIFS(Proposal_1!$J$14:$J$300,Proposal_1!$G$14:$G$300,$B18,Proposal_1!$F$14:$F$300,"Included"))</f>
        <v>0</v>
      </c>
      <c r="D18" s="6">
        <f>IF($B18="","",SUMIFS(Proposal_1!$L$14:$L$300,Proposal_1!$G$14:$G$300,$B18,Proposal_1!$F$14:$F$300,"Included"))</f>
        <v>0</v>
      </c>
      <c r="E18" s="6">
        <f>IF($B18="","",SUMIFS(Proposal_1!$N$14:$N$300,Proposal_1!$G$14:$G$300,$B18,Proposal_1!$F$14:$F$300,"Included"))</f>
        <v>74095</v>
      </c>
      <c r="F18" s="6">
        <f>IF($B18="","",SUMIFS(Proposal_1!$P$14:$P$300,Proposal_1!$G$14:$G$300,$B18,Proposal_1!$F$14:$F$300,"Included"))</f>
        <v>0</v>
      </c>
      <c r="G18" s="6">
        <f>IF($B18="","",SUMIFS(Proposal_1!$R$14:$R$300,Proposal_1!$G$14:$G$300,$B18,Proposal_1!$F$14:$F$300,"Included"))</f>
        <v>0</v>
      </c>
      <c r="H18" s="6">
        <f>IF($B18="","",SUMIFS(Proposal_1!$T$14:$T$300,Proposal_1!$G$14:$G$300,$B18,Proposal_1!$F$14:$F$300,"Included"))</f>
        <v>0</v>
      </c>
      <c r="I18" s="6">
        <f>IF($B18="","",SUMIFS(Proposal_1!$V$14:$V$300,Proposal_1!$G$14:$G$300,$B18,Proposal_1!$F$14:$F$300,"Included"))</f>
        <v>4580</v>
      </c>
      <c r="J18" s="6">
        <f>IF($B18="","",SUMIFS(Proposal_1!$X$14:$X$300,Proposal_1!$G$14:$G$300,$B18,Proposal_1!$F$14:$F$300,"Included"))</f>
        <v>4430</v>
      </c>
      <c r="L18" t="str">
        <v>Card Processing Solutions (CPS)</v>
      </c>
      <c r="M18" s="6">
        <f>IF($B18="","",SUMIFS(Proposal_2!$J$14:$J$300,Proposal_2!$G$14:$G$300,$B18,Proposal_2!$F$14:$F$300,"Included"))</f>
        <v>0</v>
      </c>
      <c r="N18" s="6">
        <f>IF($B18="","",SUMIFS(Proposal_2!$L$14:$L$300,Proposal_2!$G$14:$G$300,$B18,Proposal_2!$F$14:$F$300,"Included"))</f>
        <v>0</v>
      </c>
      <c r="O18" s="6">
        <f>IF($B18="","",SUMIFS(Proposal_2!$N$14:$N$300,Proposal_2!$G$14:$G$300,$B18,Proposal_2!$F$14:$F$300,"Included"))</f>
        <v>74095</v>
      </c>
      <c r="P18" s="6">
        <f>IF($B18="","",SUMIFS(Proposal_2!$P$14:$P$300,Proposal_2!$G$14:$G$300,$B18,Proposal_2!$F$14:$F$300,"Included"))</f>
        <v>0</v>
      </c>
      <c r="Q18" s="6">
        <f>IF($B18="","",SUMIFS(Proposal_2!$R$14:$R$300,Proposal_2!$G$14:$G$300,$B18,Proposal_2!$F$14:$F$300,"Included"))</f>
        <v>0</v>
      </c>
      <c r="R18" s="6">
        <f>IF($B18="","",SUMIFS(Proposal_2!$T$14:$T$300,Proposal_2!$G$14:$G$300,$B18,Proposal_2!$F$14:$F$300,"Included"))</f>
        <v>0</v>
      </c>
      <c r="S18" s="6">
        <f>IF($B18="","",SUMIFS(Proposal_2!$V$14:$V$300,Proposal_2!$G$14:$G$300,$B18,Proposal_2!$F$14:$F$300,"Included"))</f>
        <v>4580</v>
      </c>
      <c r="T18" s="6">
        <f>IF($B18="","",SUMIFS(Proposal_2!$X$14:$X$300,Proposal_2!$G$14:$G$300,$B18,Proposal_2!$F$14:$F$300,"Included"))</f>
        <v>4430</v>
      </c>
      <c r="V18" t="str">
        <v>Card Processing Solutions (CPS)</v>
      </c>
      <c r="W18" s="6">
        <f>IF($B18="","",SUMIFS(Proposal_3!$J$14:$J$300,Proposal_3!$G$14:$G$300,$B18,Proposal_3!$F$14:$F$300,"Included"))</f>
        <v>0</v>
      </c>
      <c r="X18" s="6">
        <f>IF($B18="","",SUMIFS(Proposal_3!$L$14:$L$300,Proposal_3!$G$14:$G$300,$B18,Proposal_3!$F$14:$F$300,"Included"))</f>
        <v>0</v>
      </c>
      <c r="Y18" s="6">
        <f>IF($B18="","",SUMIFS(Proposal_3!$N$14:$N$300,Proposal_3!$G$14:$G$300,$B18,Proposal_3!$F$14:$F$300,"Included"))</f>
        <v>74095</v>
      </c>
      <c r="Z18" s="6">
        <f>IF($B18="","",SUMIFS(Proposal_3!$P$14:$P$300,Proposal_3!$G$14:$G$300,$B18,Proposal_3!$F$14:$F$300,"Included"))</f>
        <v>0</v>
      </c>
      <c r="AA18" s="6">
        <f>IF($B18="","",SUMIFS(Proposal_3!$R$14:$R$300,Proposal_3!$G$14:$G$300,$B18,Proposal_3!$F$14:$F$300,"Included"))</f>
        <v>0</v>
      </c>
      <c r="AB18" s="6">
        <f>IF($B18="","",SUMIFS(Proposal_3!$T$14:$T$300,Proposal_3!$G$14:$G$300,$B18,Proposal_3!$F$14:$F$300,"Included"))</f>
        <v>0</v>
      </c>
      <c r="AC18" s="6">
        <f>IF($B18="","",SUMIFS(Proposal_3!$V$14:$V$300,Proposal_3!$G$14:$G$300,$B18,Proposal_3!$F$14:$F$300,"Included"))</f>
        <v>4580</v>
      </c>
      <c r="AD18" s="6">
        <f>IF($B18="","",SUMIFS(Proposal_3!$X$14:$X$300,Proposal_3!$G$14:$G$300,$B18,Proposal_3!$F$14:$F$300,"Included"))</f>
        <v>4430</v>
      </c>
    </row>
    <row r="19" spans="2:30" x14ac:dyDescent="0.25">
      <c r="B19" t="str">
        <v>Payrailz</v>
      </c>
      <c r="C19" s="6">
        <f>IF($B19="","",SUMIFS(Proposal_1!$J$14:$J$300,Proposal_1!$G$14:$G$300,$B19,Proposal_1!$F$14:$F$300,"Included"))</f>
        <v>0</v>
      </c>
      <c r="D19" s="6">
        <f>IF($B19="","",SUMIFS(Proposal_1!$L$14:$L$300,Proposal_1!$G$14:$G$300,$B19,Proposal_1!$F$14:$F$300,"Included"))</f>
        <v>0</v>
      </c>
      <c r="E19" s="6">
        <f>IF($B19="","",SUMIFS(Proposal_1!$N$14:$N$300,Proposal_1!$G$14:$G$300,$B19,Proposal_1!$F$14:$F$300,"Included"))</f>
        <v>8000</v>
      </c>
      <c r="F19" s="6">
        <f>IF($B19="","",SUMIFS(Proposal_1!$P$14:$P$300,Proposal_1!$G$14:$G$300,$B19,Proposal_1!$F$14:$F$300,"Included"))</f>
        <v>0</v>
      </c>
      <c r="G19" s="6">
        <f>IF($B19="","",SUMIFS(Proposal_1!$R$14:$R$300,Proposal_1!$G$14:$G$300,$B19,Proposal_1!$F$14:$F$300,"Included"))</f>
        <v>0</v>
      </c>
      <c r="H19" s="6">
        <f>IF($B19="","",SUMIFS(Proposal_1!$T$14:$T$300,Proposal_1!$G$14:$G$300,$B19,Proposal_1!$F$14:$F$300,"Included"))</f>
        <v>0</v>
      </c>
      <c r="I19" s="6">
        <f>IF($B19="","",SUMIFS(Proposal_1!$V$14:$V$300,Proposal_1!$G$14:$G$300,$B19,Proposal_1!$F$14:$F$300,"Included"))</f>
        <v>1410</v>
      </c>
      <c r="J19" s="6">
        <f>IF($B19="","",SUMIFS(Proposal_1!$X$14:$X$300,Proposal_1!$G$14:$G$300,$B19,Proposal_1!$F$14:$F$300,"Included"))</f>
        <v>660</v>
      </c>
      <c r="L19" t="str">
        <v>Payrailz</v>
      </c>
      <c r="M19" s="6">
        <f>IF($B19="","",SUMIFS(Proposal_2!$J$14:$J$300,Proposal_2!$G$14:$G$300,$B19,Proposal_2!$F$14:$F$300,"Included"))</f>
        <v>0</v>
      </c>
      <c r="N19" s="6">
        <f>IF($B19="","",SUMIFS(Proposal_2!$L$14:$L$300,Proposal_2!$G$14:$G$300,$B19,Proposal_2!$F$14:$F$300,"Included"))</f>
        <v>0</v>
      </c>
      <c r="O19" s="6">
        <f>IF($B19="","",SUMIFS(Proposal_2!$N$14:$N$300,Proposal_2!$G$14:$G$300,$B19,Proposal_2!$F$14:$F$300,"Included"))</f>
        <v>8000</v>
      </c>
      <c r="P19" s="6">
        <f>IF($B19="","",SUMIFS(Proposal_2!$P$14:$P$300,Proposal_2!$G$14:$G$300,$B19,Proposal_2!$F$14:$F$300,"Included"))</f>
        <v>0</v>
      </c>
      <c r="Q19" s="6">
        <f>IF($B19="","",SUMIFS(Proposal_2!$R$14:$R$300,Proposal_2!$G$14:$G$300,$B19,Proposal_2!$F$14:$F$300,"Included"))</f>
        <v>0</v>
      </c>
      <c r="R19" s="6">
        <f>IF($B19="","",SUMIFS(Proposal_2!$T$14:$T$300,Proposal_2!$G$14:$G$300,$B19,Proposal_2!$F$14:$F$300,"Included"))</f>
        <v>0</v>
      </c>
      <c r="S19" s="6">
        <f>IF($B19="","",SUMIFS(Proposal_2!$V$14:$V$300,Proposal_2!$G$14:$G$300,$B19,Proposal_2!$F$14:$F$300,"Included"))</f>
        <v>1410</v>
      </c>
      <c r="T19" s="6">
        <f>IF($B19="","",SUMIFS(Proposal_2!$X$14:$X$300,Proposal_2!$G$14:$G$300,$B19,Proposal_2!$F$14:$F$300,"Included"))</f>
        <v>660</v>
      </c>
      <c r="V19" t="str">
        <v>Payrailz</v>
      </c>
      <c r="W19" s="6">
        <f>IF($B19="","",SUMIFS(Proposal_3!$J$14:$J$300,Proposal_3!$G$14:$G$300,$B19,Proposal_3!$F$14:$F$300,"Included"))</f>
        <v>0</v>
      </c>
      <c r="X19" s="6">
        <f>IF($B19="","",SUMIFS(Proposal_3!$L$14:$L$300,Proposal_3!$G$14:$G$300,$B19,Proposal_3!$F$14:$F$300,"Included"))</f>
        <v>0</v>
      </c>
      <c r="Y19" s="6">
        <f>IF($B19="","",SUMIFS(Proposal_3!$N$14:$N$300,Proposal_3!$G$14:$G$300,$B19,Proposal_3!$F$14:$F$300,"Included"))</f>
        <v>8000</v>
      </c>
      <c r="Z19" s="6">
        <f>IF($B19="","",SUMIFS(Proposal_3!$P$14:$P$300,Proposal_3!$G$14:$G$300,$B19,Proposal_3!$F$14:$F$300,"Included"))</f>
        <v>0</v>
      </c>
      <c r="AA19" s="6">
        <f>IF($B19="","",SUMIFS(Proposal_3!$R$14:$R$300,Proposal_3!$G$14:$G$300,$B19,Proposal_3!$F$14:$F$300,"Included"))</f>
        <v>0</v>
      </c>
      <c r="AB19" s="6">
        <f>IF($B19="","",SUMIFS(Proposal_3!$T$14:$T$300,Proposal_3!$G$14:$G$300,$B19,Proposal_3!$F$14:$F$300,"Included"))</f>
        <v>0</v>
      </c>
      <c r="AC19" s="6">
        <f>IF($B19="","",SUMIFS(Proposal_3!$V$14:$V$300,Proposal_3!$G$14:$G$300,$B19,Proposal_3!$F$14:$F$300,"Included"))</f>
        <v>1410</v>
      </c>
      <c r="AD19" s="6">
        <f>IF($B19="","",SUMIFS(Proposal_3!$X$14:$X$300,Proposal_3!$G$14:$G$300,$B19,Proposal_3!$F$14:$F$300,"Included"))</f>
        <v>660</v>
      </c>
    </row>
    <row r="20" spans="2:30" x14ac:dyDescent="0.25">
      <c r="B20" t="str">
        <v>ProfitStars RemitPlus</v>
      </c>
      <c r="C20" s="6">
        <f>IF($B20="","",SUMIFS(Proposal_1!$J$14:$J$300,Proposal_1!$G$14:$G$300,$B20,Proposal_1!$F$14:$F$300,"Included"))</f>
        <v>0</v>
      </c>
      <c r="D20" s="6">
        <f>IF($B20="","",SUMIFS(Proposal_1!$L$14:$L$300,Proposal_1!$G$14:$G$300,$B20,Proposal_1!$F$14:$F$300,"Included"))</f>
        <v>0</v>
      </c>
      <c r="E20" s="6">
        <f>IF($B20="","",SUMIFS(Proposal_1!$N$14:$N$300,Proposal_1!$G$14:$G$300,$B20,Proposal_1!$F$14:$F$300,"Included"))</f>
        <v>0</v>
      </c>
      <c r="F20" s="6">
        <f>IF($B20="","",SUMIFS(Proposal_1!$P$14:$P$300,Proposal_1!$G$14:$G$300,$B20,Proposal_1!$F$14:$F$300,"Included"))</f>
        <v>0</v>
      </c>
      <c r="G20" s="6">
        <f>IF($B20="","",SUMIFS(Proposal_1!$R$14:$R$300,Proposal_1!$G$14:$G$300,$B20,Proposal_1!$F$14:$F$300,"Included"))</f>
        <v>0</v>
      </c>
      <c r="H20" s="6">
        <f>IF($B20="","",SUMIFS(Proposal_1!$T$14:$T$300,Proposal_1!$G$14:$G$300,$B20,Proposal_1!$F$14:$F$300,"Included"))</f>
        <v>0</v>
      </c>
      <c r="I20" s="6">
        <f>IF($B20="","",SUMIFS(Proposal_1!$V$14:$V$300,Proposal_1!$G$14:$G$300,$B20,Proposal_1!$F$14:$F$300,"Included"))</f>
        <v>0</v>
      </c>
      <c r="J20" s="6">
        <f>IF($B20="","",SUMIFS(Proposal_1!$X$14:$X$300,Proposal_1!$G$14:$G$300,$B20,Proposal_1!$F$14:$F$300,"Included"))</f>
        <v>0</v>
      </c>
      <c r="L20" t="str">
        <v>ProfitStars RemitPlus</v>
      </c>
      <c r="M20" s="6">
        <f>IF($B20="","",SUMIFS(Proposal_2!$J$14:$J$300,Proposal_2!$G$14:$G$300,$B20,Proposal_2!$F$14:$F$300,"Included"))</f>
        <v>0</v>
      </c>
      <c r="N20" s="6">
        <f>IF($B20="","",SUMIFS(Proposal_2!$L$14:$L$300,Proposal_2!$G$14:$G$300,$B20,Proposal_2!$F$14:$F$300,"Included"))</f>
        <v>0</v>
      </c>
      <c r="O20" s="6">
        <f>IF($B20="","",SUMIFS(Proposal_2!$N$14:$N$300,Proposal_2!$G$14:$G$300,$B20,Proposal_2!$F$14:$F$300,"Included"))</f>
        <v>0</v>
      </c>
      <c r="P20" s="6">
        <f>IF($B20="","",SUMIFS(Proposal_2!$P$14:$P$300,Proposal_2!$G$14:$G$300,$B20,Proposal_2!$F$14:$F$300,"Included"))</f>
        <v>0</v>
      </c>
      <c r="Q20" s="6">
        <f>IF($B20="","",SUMIFS(Proposal_2!$R$14:$R$300,Proposal_2!$G$14:$G$300,$B20,Proposal_2!$F$14:$F$300,"Included"))</f>
        <v>0</v>
      </c>
      <c r="R20" s="6">
        <f>IF($B20="","",SUMIFS(Proposal_2!$T$14:$T$300,Proposal_2!$G$14:$G$300,$B20,Proposal_2!$F$14:$F$300,"Included"))</f>
        <v>0</v>
      </c>
      <c r="S20" s="6">
        <f>IF($B20="","",SUMIFS(Proposal_2!$V$14:$V$300,Proposal_2!$G$14:$G$300,$B20,Proposal_2!$F$14:$F$300,"Included"))</f>
        <v>0</v>
      </c>
      <c r="T20" s="6">
        <f>IF($B20="","",SUMIFS(Proposal_2!$X$14:$X$300,Proposal_2!$G$14:$G$300,$B20,Proposal_2!$F$14:$F$300,"Included"))</f>
        <v>0</v>
      </c>
      <c r="V20" t="str">
        <v>ProfitStars RemitPlus</v>
      </c>
      <c r="W20" s="6">
        <f>IF($B20="","",SUMIFS(Proposal_3!$J$14:$J$300,Proposal_3!$G$14:$G$300,$B20,Proposal_3!$F$14:$F$300,"Included"))</f>
        <v>0</v>
      </c>
      <c r="X20" s="6">
        <f>IF($B20="","",SUMIFS(Proposal_3!$L$14:$L$300,Proposal_3!$G$14:$G$300,$B20,Proposal_3!$F$14:$F$300,"Included"))</f>
        <v>0</v>
      </c>
      <c r="Y20" s="6">
        <f>IF($B20="","",SUMIFS(Proposal_3!$N$14:$N$300,Proposal_3!$G$14:$G$300,$B20,Proposal_3!$F$14:$F$300,"Included"))</f>
        <v>0</v>
      </c>
      <c r="Z20" s="6">
        <f>IF($B20="","",SUMIFS(Proposal_3!$P$14:$P$300,Proposal_3!$G$14:$G$300,$B20,Proposal_3!$F$14:$F$300,"Included"))</f>
        <v>0</v>
      </c>
      <c r="AA20" s="6">
        <f>IF($B20="","",SUMIFS(Proposal_3!$R$14:$R$300,Proposal_3!$G$14:$G$300,$B20,Proposal_3!$F$14:$F$300,"Included"))</f>
        <v>0</v>
      </c>
      <c r="AB20" s="6">
        <f>IF($B20="","",SUMIFS(Proposal_3!$T$14:$T$300,Proposal_3!$G$14:$G$300,$B20,Proposal_3!$F$14:$F$300,"Included"))</f>
        <v>0</v>
      </c>
      <c r="AC20" s="6">
        <f>IF($B20="","",SUMIFS(Proposal_3!$V$14:$V$300,Proposal_3!$G$14:$G$300,$B20,Proposal_3!$F$14:$F$300,"Included"))</f>
        <v>0</v>
      </c>
      <c r="AD20" s="6">
        <f>IF($B20="","",SUMIFS(Proposal_3!$X$14:$X$300,Proposal_3!$G$14:$G$300,$B20,Proposal_3!$F$14:$F$300,"Included"))</f>
        <v>0</v>
      </c>
    </row>
    <row r="21" spans="2:30" x14ac:dyDescent="0.25">
      <c r="B21" t="str">
        <v>Centurion</v>
      </c>
      <c r="C21" s="6">
        <f>IF($B21="","",SUMIFS(Proposal_1!$J$14:$J$300,Proposal_1!$G$14:$G$300,$B21,Proposal_1!$F$14:$F$300,"Included"))</f>
        <v>0</v>
      </c>
      <c r="D21" s="6">
        <f>IF($B21="","",SUMIFS(Proposal_1!$L$14:$L$300,Proposal_1!$G$14:$G$300,$B21,Proposal_1!$F$14:$F$300,"Included"))</f>
        <v>0</v>
      </c>
      <c r="E21" s="6">
        <f>IF($B21="","",SUMIFS(Proposal_1!$N$14:$N$300,Proposal_1!$G$14:$G$300,$B21,Proposal_1!$F$14:$F$300,"Included"))</f>
        <v>0</v>
      </c>
      <c r="F21" s="6">
        <f>IF($B21="","",SUMIFS(Proposal_1!$P$14:$P$300,Proposal_1!$G$14:$G$300,$B21,Proposal_1!$F$14:$F$300,"Included"))</f>
        <v>0</v>
      </c>
      <c r="G21" s="6">
        <f>IF($B21="","",SUMIFS(Proposal_1!$R$14:$R$300,Proposal_1!$G$14:$G$300,$B21,Proposal_1!$F$14:$F$300,"Included"))</f>
        <v>1880</v>
      </c>
      <c r="H21" s="6">
        <f>IF($B21="","",SUMIFS(Proposal_1!$T$14:$T$300,Proposal_1!$G$14:$G$300,$B21,Proposal_1!$F$14:$F$300,"Included"))</f>
        <v>1880</v>
      </c>
      <c r="I21" s="6">
        <f>IF($B21="","",SUMIFS(Proposal_1!$V$14:$V$300,Proposal_1!$G$14:$G$300,$B21,Proposal_1!$F$14:$F$300,"Included"))</f>
        <v>200</v>
      </c>
      <c r="J21" s="6">
        <f>IF($B21="","",SUMIFS(Proposal_1!$X$14:$X$300,Proposal_1!$G$14:$G$300,$B21,Proposal_1!$F$14:$F$300,"Included"))</f>
        <v>200</v>
      </c>
      <c r="L21" t="str">
        <v>Centurion</v>
      </c>
      <c r="M21" s="6">
        <f>IF($B21="","",SUMIFS(Proposal_2!$J$14:$J$300,Proposal_2!$G$14:$G$300,$B21,Proposal_2!$F$14:$F$300,"Included"))</f>
        <v>0</v>
      </c>
      <c r="N21" s="6">
        <f>IF($B21="","",SUMIFS(Proposal_2!$L$14:$L$300,Proposal_2!$G$14:$G$300,$B21,Proposal_2!$F$14:$F$300,"Included"))</f>
        <v>0</v>
      </c>
      <c r="O21" s="6">
        <f>IF($B21="","",SUMIFS(Proposal_2!$N$14:$N$300,Proposal_2!$G$14:$G$300,$B21,Proposal_2!$F$14:$F$300,"Included"))</f>
        <v>0</v>
      </c>
      <c r="P21" s="6">
        <f>IF($B21="","",SUMIFS(Proposal_2!$P$14:$P$300,Proposal_2!$G$14:$G$300,$B21,Proposal_2!$F$14:$F$300,"Included"))</f>
        <v>0</v>
      </c>
      <c r="Q21" s="6">
        <f>IF($B21="","",SUMIFS(Proposal_2!$R$14:$R$300,Proposal_2!$G$14:$G$300,$B21,Proposal_2!$F$14:$F$300,"Included"))</f>
        <v>1880</v>
      </c>
      <c r="R21" s="6">
        <f>IF($B21="","",SUMIFS(Proposal_2!$T$14:$T$300,Proposal_2!$G$14:$G$300,$B21,Proposal_2!$F$14:$F$300,"Included"))</f>
        <v>1880</v>
      </c>
      <c r="S21" s="6">
        <f>IF($B21="","",SUMIFS(Proposal_2!$V$14:$V$300,Proposal_2!$G$14:$G$300,$B21,Proposal_2!$F$14:$F$300,"Included"))</f>
        <v>200</v>
      </c>
      <c r="T21" s="6">
        <f>IF($B21="","",SUMIFS(Proposal_2!$X$14:$X$300,Proposal_2!$G$14:$G$300,$B21,Proposal_2!$F$14:$F$300,"Included"))</f>
        <v>200</v>
      </c>
      <c r="V21" t="str">
        <v>Centurion</v>
      </c>
      <c r="W21" s="6">
        <f>IF($B21="","",SUMIFS(Proposal_3!$J$14:$J$300,Proposal_3!$G$14:$G$300,$B21,Proposal_3!$F$14:$F$300,"Included"))</f>
        <v>0</v>
      </c>
      <c r="X21" s="6">
        <f>IF($B21="","",SUMIFS(Proposal_3!$L$14:$L$300,Proposal_3!$G$14:$G$300,$B21,Proposal_3!$F$14:$F$300,"Included"))</f>
        <v>0</v>
      </c>
      <c r="Y21" s="6">
        <f>IF($B21="","",SUMIFS(Proposal_3!$N$14:$N$300,Proposal_3!$G$14:$G$300,$B21,Proposal_3!$F$14:$F$300,"Included"))</f>
        <v>0</v>
      </c>
      <c r="Z21" s="6">
        <f>IF($B21="","",SUMIFS(Proposal_3!$P$14:$P$300,Proposal_3!$G$14:$G$300,$B21,Proposal_3!$F$14:$F$300,"Included"))</f>
        <v>0</v>
      </c>
      <c r="AA21" s="6">
        <f>IF($B21="","",SUMIFS(Proposal_3!$R$14:$R$300,Proposal_3!$G$14:$G$300,$B21,Proposal_3!$F$14:$F$300,"Included"))</f>
        <v>1880</v>
      </c>
      <c r="AB21" s="6">
        <f>IF($B21="","",SUMIFS(Proposal_3!$T$14:$T$300,Proposal_3!$G$14:$G$300,$B21,Proposal_3!$F$14:$F$300,"Included"))</f>
        <v>1880</v>
      </c>
      <c r="AC21" s="6">
        <f>IF($B21="","",SUMIFS(Proposal_3!$V$14:$V$300,Proposal_3!$G$14:$G$300,$B21,Proposal_3!$F$14:$F$300,"Included"))</f>
        <v>200</v>
      </c>
      <c r="AD21" s="6">
        <f>IF($B21="","",SUMIFS(Proposal_3!$X$14:$X$300,Proposal_3!$G$14:$G$300,$B21,Proposal_3!$F$14:$F$300,"Included"))</f>
        <v>200</v>
      </c>
    </row>
    <row r="22" spans="2:30" x14ac:dyDescent="0.25">
      <c r="B22" t="str">
        <v>Fraud</v>
      </c>
      <c r="C22" s="6">
        <f>IF($B22="","",SUMIFS(Proposal_1!$J$14:$J$300,Proposal_1!$G$14:$G$300,$B22,Proposal_1!$F$14:$F$300,"Included"))</f>
        <v>0</v>
      </c>
      <c r="D22" s="6">
        <f>IF($B22="","",SUMIFS(Proposal_1!$L$14:$L$300,Proposal_1!$G$14:$G$300,$B22,Proposal_1!$F$14:$F$300,"Included"))</f>
        <v>0</v>
      </c>
      <c r="E22" s="6">
        <f>IF($B22="","",SUMIFS(Proposal_1!$N$14:$N$300,Proposal_1!$G$14:$G$300,$B22,Proposal_1!$F$14:$F$300,"Included"))</f>
        <v>53390</v>
      </c>
      <c r="F22" s="6">
        <f>IF($B22="","",SUMIFS(Proposal_1!$P$14:$P$300,Proposal_1!$G$14:$G$300,$B22,Proposal_1!$F$14:$F$300,"Included"))</f>
        <v>48667.5</v>
      </c>
      <c r="G22" s="6">
        <f>IF($B22="","",SUMIFS(Proposal_1!$R$14:$R$300,Proposal_1!$G$14:$G$300,$B22,Proposal_1!$F$14:$F$300,"Included"))</f>
        <v>0</v>
      </c>
      <c r="H22" s="6">
        <f>IF($B22="","",SUMIFS(Proposal_1!$T$14:$T$300,Proposal_1!$G$14:$G$300,$B22,Proposal_1!$F$14:$F$300,"Included"))</f>
        <v>0</v>
      </c>
      <c r="I22" s="6">
        <f>IF($B22="","",SUMIFS(Proposal_1!$V$14:$V$300,Proposal_1!$G$14:$G$300,$B22,Proposal_1!$F$14:$F$300,"Included"))</f>
        <v>5980</v>
      </c>
      <c r="J22" s="6">
        <f>IF($B22="","",SUMIFS(Proposal_1!$X$14:$X$300,Proposal_1!$G$14:$G$300,$B22,Proposal_1!$F$14:$F$300,"Included"))</f>
        <v>5582</v>
      </c>
      <c r="L22" t="str">
        <v>Fraud</v>
      </c>
      <c r="M22" s="6">
        <f>IF($B22="","",SUMIFS(Proposal_2!$J$14:$J$300,Proposal_2!$G$14:$G$300,$B22,Proposal_2!$F$14:$F$300,"Included"))</f>
        <v>0</v>
      </c>
      <c r="N22" s="6">
        <f>IF($B22="","",SUMIFS(Proposal_2!$L$14:$L$300,Proposal_2!$G$14:$G$300,$B22,Proposal_2!$F$14:$F$300,"Included"))</f>
        <v>0</v>
      </c>
      <c r="O22" s="6">
        <f>IF($B22="","",SUMIFS(Proposal_2!$N$14:$N$300,Proposal_2!$G$14:$G$300,$B22,Proposal_2!$F$14:$F$300,"Included"))</f>
        <v>53390</v>
      </c>
      <c r="P22" s="6">
        <f>IF($B22="","",SUMIFS(Proposal_2!$P$14:$P$300,Proposal_2!$G$14:$G$300,$B22,Proposal_2!$F$14:$F$300,"Included"))</f>
        <v>48667.5</v>
      </c>
      <c r="Q22" s="6">
        <f>IF($B22="","",SUMIFS(Proposal_2!$R$14:$R$300,Proposal_2!$G$14:$G$300,$B22,Proposal_2!$F$14:$F$300,"Included"))</f>
        <v>0</v>
      </c>
      <c r="R22" s="6">
        <f>IF($B22="","",SUMIFS(Proposal_2!$T$14:$T$300,Proposal_2!$G$14:$G$300,$B22,Proposal_2!$F$14:$F$300,"Included"))</f>
        <v>0</v>
      </c>
      <c r="S22" s="6">
        <f>IF($B22="","",SUMIFS(Proposal_2!$V$14:$V$300,Proposal_2!$G$14:$G$300,$B22,Proposal_2!$F$14:$F$300,"Included"))</f>
        <v>5980</v>
      </c>
      <c r="T22" s="6">
        <f>IF($B22="","",SUMIFS(Proposal_2!$X$14:$X$300,Proposal_2!$G$14:$G$300,$B22,Proposal_2!$F$14:$F$300,"Included"))</f>
        <v>5582</v>
      </c>
      <c r="V22" t="str">
        <v>Fraud</v>
      </c>
      <c r="W22" s="6">
        <f>IF($B22="","",SUMIFS(Proposal_3!$J$14:$J$300,Proposal_3!$G$14:$G$300,$B22,Proposal_3!$F$14:$F$300,"Included"))</f>
        <v>0</v>
      </c>
      <c r="X22" s="6">
        <f>IF($B22="","",SUMIFS(Proposal_3!$L$14:$L$300,Proposal_3!$G$14:$G$300,$B22,Proposal_3!$F$14:$F$300,"Included"))</f>
        <v>0</v>
      </c>
      <c r="Y22" s="6">
        <f>IF($B22="","",SUMIFS(Proposal_3!$N$14:$N$300,Proposal_3!$G$14:$G$300,$B22,Proposal_3!$F$14:$F$300,"Included"))</f>
        <v>53390</v>
      </c>
      <c r="Z22" s="6">
        <f>IF($B22="","",SUMIFS(Proposal_3!$P$14:$P$300,Proposal_3!$G$14:$G$300,$B22,Proposal_3!$F$14:$F$300,"Included"))</f>
        <v>48667.5</v>
      </c>
      <c r="AA22" s="6">
        <f>IF($B22="","",SUMIFS(Proposal_3!$R$14:$R$300,Proposal_3!$G$14:$G$300,$B22,Proposal_3!$F$14:$F$300,"Included"))</f>
        <v>0</v>
      </c>
      <c r="AB22" s="6">
        <f>IF($B22="","",SUMIFS(Proposal_3!$T$14:$T$300,Proposal_3!$G$14:$G$300,$B22,Proposal_3!$F$14:$F$300,"Included"))</f>
        <v>0</v>
      </c>
      <c r="AC22" s="6">
        <f>IF($B22="","",SUMIFS(Proposal_3!$V$14:$V$300,Proposal_3!$G$14:$G$300,$B22,Proposal_3!$F$14:$F$300,"Included"))</f>
        <v>5980</v>
      </c>
      <c r="AD22" s="6">
        <f>IF($B22="","",SUMIFS(Proposal_3!$X$14:$X$300,Proposal_3!$G$14:$G$300,$B22,Proposal_3!$F$14:$F$300,"Included"))</f>
        <v>5582</v>
      </c>
    </row>
    <row r="23" spans="2:30" x14ac:dyDescent="0.25">
      <c r="B23" t="str">
        <v>jhaEnterprise Workflow</v>
      </c>
      <c r="C23" s="6">
        <f>IF($B23="","",SUMIFS(Proposal_1!$J$14:$J$300,Proposal_1!$G$14:$G$300,$B23,Proposal_1!$F$14:$F$300,"Included"))</f>
        <v>0</v>
      </c>
      <c r="D23" s="6">
        <f>IF($B23="","",SUMIFS(Proposal_1!$L$14:$L$300,Proposal_1!$G$14:$G$300,$B23,Proposal_1!$F$14:$F$300,"Included"))</f>
        <v>0</v>
      </c>
      <c r="E23" s="6">
        <f>IF($B23="","",SUMIFS(Proposal_1!$N$14:$N$300,Proposal_1!$G$14:$G$300,$B23,Proposal_1!$F$14:$F$300,"Included"))</f>
        <v>36100</v>
      </c>
      <c r="F23" s="6">
        <f>IF($B23="","",SUMIFS(Proposal_1!$P$14:$P$300,Proposal_1!$G$14:$G$300,$B23,Proposal_1!$F$14:$F$300,"Included"))</f>
        <v>16100</v>
      </c>
      <c r="G23" s="6">
        <f>IF($B23="","",SUMIFS(Proposal_1!$R$14:$R$300,Proposal_1!$G$14:$G$300,$B23,Proposal_1!$F$14:$F$300,"Included"))</f>
        <v>0</v>
      </c>
      <c r="H23" s="6">
        <f>IF($B23="","",SUMIFS(Proposal_1!$T$14:$T$300,Proposal_1!$G$14:$G$300,$B23,Proposal_1!$F$14:$F$300,"Included"))</f>
        <v>0</v>
      </c>
      <c r="I23" s="6">
        <f>IF($B23="","",SUMIFS(Proposal_1!$V$14:$V$300,Proposal_1!$G$14:$G$300,$B23,Proposal_1!$F$14:$F$300,"Included"))</f>
        <v>2140</v>
      </c>
      <c r="J23" s="6">
        <f>IF($B23="","",SUMIFS(Proposal_1!$X$14:$X$300,Proposal_1!$G$14:$G$300,$B23,Proposal_1!$F$14:$F$300,"Included"))</f>
        <v>1605</v>
      </c>
      <c r="L23" t="str">
        <v>jhaEnterprise Workflow</v>
      </c>
      <c r="M23" s="6">
        <f>IF($B23="","",SUMIFS(Proposal_2!$J$14:$J$300,Proposal_2!$G$14:$G$300,$B23,Proposal_2!$F$14:$F$300,"Included"))</f>
        <v>0</v>
      </c>
      <c r="N23" s="6">
        <f>IF($B23="","",SUMIFS(Proposal_2!$L$14:$L$300,Proposal_2!$G$14:$G$300,$B23,Proposal_2!$F$14:$F$300,"Included"))</f>
        <v>0</v>
      </c>
      <c r="O23" s="6">
        <f>IF($B23="","",SUMIFS(Proposal_2!$N$14:$N$300,Proposal_2!$G$14:$G$300,$B23,Proposal_2!$F$14:$F$300,"Included"))</f>
        <v>36100</v>
      </c>
      <c r="P23" s="6">
        <f>IF($B23="","",SUMIFS(Proposal_2!$P$14:$P$300,Proposal_2!$G$14:$G$300,$B23,Proposal_2!$F$14:$F$300,"Included"))</f>
        <v>16100</v>
      </c>
      <c r="Q23" s="6">
        <f>IF($B23="","",SUMIFS(Proposal_2!$R$14:$R$300,Proposal_2!$G$14:$G$300,$B23,Proposal_2!$F$14:$F$300,"Included"))</f>
        <v>0</v>
      </c>
      <c r="R23" s="6">
        <f>IF($B23="","",SUMIFS(Proposal_2!$T$14:$T$300,Proposal_2!$G$14:$G$300,$B23,Proposal_2!$F$14:$F$300,"Included"))</f>
        <v>0</v>
      </c>
      <c r="S23" s="6">
        <f>IF($B23="","",SUMIFS(Proposal_2!$V$14:$V$300,Proposal_2!$G$14:$G$300,$B23,Proposal_2!$F$14:$F$300,"Included"))</f>
        <v>2140</v>
      </c>
      <c r="T23" s="6">
        <f>IF($B23="","",SUMIFS(Proposal_2!$X$14:$X$300,Proposal_2!$G$14:$G$300,$B23,Proposal_2!$F$14:$F$300,"Included"))</f>
        <v>1605</v>
      </c>
      <c r="V23" t="str">
        <v>jhaEnterprise Workflow</v>
      </c>
      <c r="W23" s="6">
        <f>IF($B23="","",SUMIFS(Proposal_3!$J$14:$J$300,Proposal_3!$G$14:$G$300,$B23,Proposal_3!$F$14:$F$300,"Included"))</f>
        <v>0</v>
      </c>
      <c r="X23" s="6">
        <f>IF($B23="","",SUMIFS(Proposal_3!$L$14:$L$300,Proposal_3!$G$14:$G$300,$B23,Proposal_3!$F$14:$F$300,"Included"))</f>
        <v>0</v>
      </c>
      <c r="Y23" s="6">
        <f>IF($B23="","",SUMIFS(Proposal_3!$N$14:$N$300,Proposal_3!$G$14:$G$300,$B23,Proposal_3!$F$14:$F$300,"Included"))</f>
        <v>36100</v>
      </c>
      <c r="Z23" s="6">
        <f>IF($B23="","",SUMIFS(Proposal_3!$P$14:$P$300,Proposal_3!$G$14:$G$300,$B23,Proposal_3!$F$14:$F$300,"Included"))</f>
        <v>16100</v>
      </c>
      <c r="AA23" s="6">
        <f>IF($B23="","",SUMIFS(Proposal_3!$R$14:$R$300,Proposal_3!$G$14:$G$300,$B23,Proposal_3!$F$14:$F$300,"Included"))</f>
        <v>0</v>
      </c>
      <c r="AB23" s="6">
        <f>IF($B23="","",SUMIFS(Proposal_3!$T$14:$T$300,Proposal_3!$G$14:$G$300,$B23,Proposal_3!$F$14:$F$300,"Included"))</f>
        <v>0</v>
      </c>
      <c r="AC23" s="6">
        <f>IF($B23="","",SUMIFS(Proposal_3!$V$14:$V$300,Proposal_3!$G$14:$G$300,$B23,Proposal_3!$F$14:$F$300,"Included"))</f>
        <v>2140</v>
      </c>
      <c r="AD23" s="6">
        <f>IF($B23="","",SUMIFS(Proposal_3!$X$14:$X$300,Proposal_3!$G$14:$G$300,$B23,Proposal_3!$F$14:$F$300,"Included"))</f>
        <v>1605</v>
      </c>
    </row>
    <row r="24" spans="2:30" x14ac:dyDescent="0.25">
      <c r="B24" t="str">
        <v>jConnect</v>
      </c>
      <c r="C24" s="6">
        <f>IF($B24="","",SUMIFS(Proposal_1!$J$14:$J$300,Proposal_1!$G$14:$G$300,$B24,Proposal_1!$F$14:$F$300,"Included"))</f>
        <v>0</v>
      </c>
      <c r="D24" s="6">
        <f>IF($B24="","",SUMIFS(Proposal_1!$L$14:$L$300,Proposal_1!$G$14:$G$300,$B24,Proposal_1!$F$14:$F$300,"Included"))</f>
        <v>0</v>
      </c>
      <c r="E24" s="6">
        <f>IF($B24="","",SUMIFS(Proposal_1!$N$14:$N$300,Proposal_1!$G$14:$G$300,$B24,Proposal_1!$F$14:$F$300,"Included"))</f>
        <v>0</v>
      </c>
      <c r="F24" s="6">
        <f>IF($B24="","",SUMIFS(Proposal_1!$P$14:$P$300,Proposal_1!$G$14:$G$300,$B24,Proposal_1!$F$14:$F$300,"Included"))</f>
        <v>0</v>
      </c>
      <c r="G24" s="6">
        <f>IF($B24="","",SUMIFS(Proposal_1!$R$14:$R$300,Proposal_1!$G$14:$G$300,$B24,Proposal_1!$F$14:$F$300,"Included"))</f>
        <v>0</v>
      </c>
      <c r="H24" s="6">
        <f>IF($B24="","",SUMIFS(Proposal_1!$T$14:$T$300,Proposal_1!$G$14:$G$300,$B24,Proposal_1!$F$14:$F$300,"Included"))</f>
        <v>0</v>
      </c>
      <c r="I24" s="6">
        <f>IF($B24="","",SUMIFS(Proposal_1!$V$14:$V$300,Proposal_1!$G$14:$G$300,$B24,Proposal_1!$F$14:$F$300,"Included"))</f>
        <v>1000</v>
      </c>
      <c r="J24" s="6">
        <f>IF($B24="","",SUMIFS(Proposal_1!$X$14:$X$300,Proposal_1!$G$14:$G$300,$B24,Proposal_1!$F$14:$F$300,"Included"))</f>
        <v>1000</v>
      </c>
      <c r="L24" t="str">
        <v>jConnect</v>
      </c>
      <c r="M24" s="6">
        <f>IF($B24="","",SUMIFS(Proposal_2!$J$14:$J$300,Proposal_2!$G$14:$G$300,$B24,Proposal_2!$F$14:$F$300,"Included"))</f>
        <v>0</v>
      </c>
      <c r="N24" s="6">
        <f>IF($B24="","",SUMIFS(Proposal_2!$L$14:$L$300,Proposal_2!$G$14:$G$300,$B24,Proposal_2!$F$14:$F$300,"Included"))</f>
        <v>0</v>
      </c>
      <c r="O24" s="6">
        <f>IF($B24="","",SUMIFS(Proposal_2!$N$14:$N$300,Proposal_2!$G$14:$G$300,$B24,Proposal_2!$F$14:$F$300,"Included"))</f>
        <v>0</v>
      </c>
      <c r="P24" s="6">
        <f>IF($B24="","",SUMIFS(Proposal_2!$P$14:$P$300,Proposal_2!$G$14:$G$300,$B24,Proposal_2!$F$14:$F$300,"Included"))</f>
        <v>0</v>
      </c>
      <c r="Q24" s="6">
        <f>IF($B24="","",SUMIFS(Proposal_2!$R$14:$R$300,Proposal_2!$G$14:$G$300,$B24,Proposal_2!$F$14:$F$300,"Included"))</f>
        <v>0</v>
      </c>
      <c r="R24" s="6">
        <f>IF($B24="","",SUMIFS(Proposal_2!$T$14:$T$300,Proposal_2!$G$14:$G$300,$B24,Proposal_2!$F$14:$F$300,"Included"))</f>
        <v>0</v>
      </c>
      <c r="S24" s="6">
        <f>IF($B24="","",SUMIFS(Proposal_2!$V$14:$V$300,Proposal_2!$G$14:$G$300,$B24,Proposal_2!$F$14:$F$300,"Included"))</f>
        <v>1000</v>
      </c>
      <c r="T24" s="6">
        <f>IF($B24="","",SUMIFS(Proposal_2!$X$14:$X$300,Proposal_2!$G$14:$G$300,$B24,Proposal_2!$F$14:$F$300,"Included"))</f>
        <v>1000</v>
      </c>
      <c r="V24" t="str">
        <v>jConnect</v>
      </c>
      <c r="W24" s="6">
        <f>IF($B24="","",SUMIFS(Proposal_3!$J$14:$J$300,Proposal_3!$G$14:$G$300,$B24,Proposal_3!$F$14:$F$300,"Included"))</f>
        <v>0</v>
      </c>
      <c r="X24" s="6">
        <f>IF($B24="","",SUMIFS(Proposal_3!$L$14:$L$300,Proposal_3!$G$14:$G$300,$B24,Proposal_3!$F$14:$F$300,"Included"))</f>
        <v>0</v>
      </c>
      <c r="Y24" s="6">
        <f>IF($B24="","",SUMIFS(Proposal_3!$N$14:$N$300,Proposal_3!$G$14:$G$300,$B24,Proposal_3!$F$14:$F$300,"Included"))</f>
        <v>0</v>
      </c>
      <c r="Z24" s="6">
        <f>IF($B24="","",SUMIFS(Proposal_3!$P$14:$P$300,Proposal_3!$G$14:$G$300,$B24,Proposal_3!$F$14:$F$300,"Included"))</f>
        <v>0</v>
      </c>
      <c r="AA24" s="6">
        <f>IF($B24="","",SUMIFS(Proposal_3!$R$14:$R$300,Proposal_3!$G$14:$G$300,$B24,Proposal_3!$F$14:$F$300,"Included"))</f>
        <v>0</v>
      </c>
      <c r="AB24" s="6">
        <f>IF($B24="","",SUMIFS(Proposal_3!$T$14:$T$300,Proposal_3!$G$14:$G$300,$B24,Proposal_3!$F$14:$F$300,"Included"))</f>
        <v>0</v>
      </c>
      <c r="AC24" s="6">
        <f>IF($B24="","",SUMIFS(Proposal_3!$V$14:$V$300,Proposal_3!$G$14:$G$300,$B24,Proposal_3!$F$14:$F$300,"Included"))</f>
        <v>1000</v>
      </c>
      <c r="AD24" s="6">
        <f>IF($B24="","",SUMIFS(Proposal_3!$X$14:$X$300,Proposal_3!$G$14:$G$300,$B24,Proposal_3!$F$14:$F$300,"Included"))</f>
        <v>1000</v>
      </c>
    </row>
    <row r="25" spans="2:30" x14ac:dyDescent="0.25">
      <c r="B25" t="str">
        <v>Core</v>
      </c>
      <c r="C25" s="6">
        <f>IF($B25="","",SUMIFS(Proposal_1!$J$14:$J$300,Proposal_1!$G$14:$G$300,$B25,Proposal_1!$F$14:$F$300,"Included"))</f>
        <v>0</v>
      </c>
      <c r="D25" s="6">
        <f>IF($B25="","",SUMIFS(Proposal_1!$L$14:$L$300,Proposal_1!$G$14:$G$300,$B25,Proposal_1!$F$14:$F$300,"Included"))</f>
        <v>0</v>
      </c>
      <c r="E25" s="6">
        <f>IF($B25="","",SUMIFS(Proposal_1!$N$14:$N$300,Proposal_1!$G$14:$G$300,$B25,Proposal_1!$F$14:$F$300,"Included"))</f>
        <v>16625</v>
      </c>
      <c r="F25" s="6">
        <f>IF($B25="","",SUMIFS(Proposal_1!$P$14:$P$300,Proposal_1!$G$14:$G$300,$B25,Proposal_1!$F$14:$F$300,"Included"))</f>
        <v>0</v>
      </c>
      <c r="G25" s="6">
        <f>IF($B25="","",SUMIFS(Proposal_1!$R$14:$R$300,Proposal_1!$G$14:$G$300,$B25,Proposal_1!$F$14:$F$300,"Included"))</f>
        <v>0</v>
      </c>
      <c r="H25" s="6">
        <f>IF($B25="","",SUMIFS(Proposal_1!$T$14:$T$300,Proposal_1!$G$14:$G$300,$B25,Proposal_1!$F$14:$F$300,"Included"))</f>
        <v>0</v>
      </c>
      <c r="I25" s="6">
        <f>IF($B25="","",SUMIFS(Proposal_1!$V$14:$V$300,Proposal_1!$G$14:$G$300,$B25,Proposal_1!$F$14:$F$300,"Included"))</f>
        <v>1500</v>
      </c>
      <c r="J25" s="6">
        <f>IF($B25="","",SUMIFS(Proposal_1!$X$14:$X$300,Proposal_1!$G$14:$G$300,$B25,Proposal_1!$F$14:$F$300,"Included"))</f>
        <v>1500</v>
      </c>
      <c r="L25" t="str">
        <v>Core</v>
      </c>
      <c r="M25" s="6">
        <f>IF($B25="","",SUMIFS(Proposal_2!$J$14:$J$300,Proposal_2!$G$14:$G$300,$B25,Proposal_2!$F$14:$F$300,"Included"))</f>
        <v>0</v>
      </c>
      <c r="N25" s="6">
        <f>IF($B25="","",SUMIFS(Proposal_2!$L$14:$L$300,Proposal_2!$G$14:$G$300,$B25,Proposal_2!$F$14:$F$300,"Included"))</f>
        <v>0</v>
      </c>
      <c r="O25" s="6">
        <f>IF($B25="","",SUMIFS(Proposal_2!$N$14:$N$300,Proposal_2!$G$14:$G$300,$B25,Proposal_2!$F$14:$F$300,"Included"))</f>
        <v>16625</v>
      </c>
      <c r="P25" s="6">
        <f>IF($B25="","",SUMIFS(Proposal_2!$P$14:$P$300,Proposal_2!$G$14:$G$300,$B25,Proposal_2!$F$14:$F$300,"Included"))</f>
        <v>0</v>
      </c>
      <c r="Q25" s="6">
        <f>IF($B25="","",SUMIFS(Proposal_2!$R$14:$R$300,Proposal_2!$G$14:$G$300,$B25,Proposal_2!$F$14:$F$300,"Included"))</f>
        <v>0</v>
      </c>
      <c r="R25" s="6">
        <f>IF($B25="","",SUMIFS(Proposal_2!$T$14:$T$300,Proposal_2!$G$14:$G$300,$B25,Proposal_2!$F$14:$F$300,"Included"))</f>
        <v>0</v>
      </c>
      <c r="S25" s="6">
        <f>IF($B25="","",SUMIFS(Proposal_2!$V$14:$V$300,Proposal_2!$G$14:$G$300,$B25,Proposal_2!$F$14:$F$300,"Included"))</f>
        <v>1500</v>
      </c>
      <c r="T25" s="6">
        <f>IF($B25="","",SUMIFS(Proposal_2!$X$14:$X$300,Proposal_2!$G$14:$G$300,$B25,Proposal_2!$F$14:$F$300,"Included"))</f>
        <v>1500</v>
      </c>
      <c r="V25" t="str">
        <v>Core</v>
      </c>
      <c r="W25" s="6">
        <f>IF($B25="","",SUMIFS(Proposal_3!$J$14:$J$300,Proposal_3!$G$14:$G$300,$B25,Proposal_3!$F$14:$F$300,"Included"))</f>
        <v>0</v>
      </c>
      <c r="X25" s="6">
        <f>IF($B25="","",SUMIFS(Proposal_3!$L$14:$L$300,Proposal_3!$G$14:$G$300,$B25,Proposal_3!$F$14:$F$300,"Included"))</f>
        <v>0</v>
      </c>
      <c r="Y25" s="6">
        <f>IF($B25="","",SUMIFS(Proposal_3!$N$14:$N$300,Proposal_3!$G$14:$G$300,$B25,Proposal_3!$F$14:$F$300,"Included"))</f>
        <v>16625</v>
      </c>
      <c r="Z25" s="6">
        <f>IF($B25="","",SUMIFS(Proposal_3!$P$14:$P$300,Proposal_3!$G$14:$G$300,$B25,Proposal_3!$F$14:$F$300,"Included"))</f>
        <v>0</v>
      </c>
      <c r="AA25" s="6">
        <f>IF($B25="","",SUMIFS(Proposal_3!$R$14:$R$300,Proposal_3!$G$14:$G$300,$B25,Proposal_3!$F$14:$F$300,"Included"))</f>
        <v>0</v>
      </c>
      <c r="AB25" s="6">
        <f>IF($B25="","",SUMIFS(Proposal_3!$T$14:$T$300,Proposal_3!$G$14:$G$300,$B25,Proposal_3!$F$14:$F$300,"Included"))</f>
        <v>0</v>
      </c>
      <c r="AC25" s="6">
        <f>IF($B25="","",SUMIFS(Proposal_3!$V$14:$V$300,Proposal_3!$G$14:$G$300,$B25,Proposal_3!$F$14:$F$300,"Included"))</f>
        <v>1500</v>
      </c>
      <c r="AD25" s="6">
        <f>IF($B25="","",SUMIFS(Proposal_3!$X$14:$X$300,Proposal_3!$G$14:$G$300,$B25,Proposal_3!$F$14:$F$300,"Included"))</f>
        <v>1500</v>
      </c>
    </row>
    <row r="26" spans="2:30" x14ac:dyDescent="0.25">
      <c r="B26" t="str">
        <v>jhaKnow</v>
      </c>
      <c r="C26" s="6">
        <f>IF($B26="","",SUMIFS(Proposal_1!$J$14:$J$300,Proposal_1!$G$14:$G$300,$B26,Proposal_1!$F$14:$F$300,"Included"))</f>
        <v>0</v>
      </c>
      <c r="D26" s="6">
        <f>IF($B26="","",SUMIFS(Proposal_1!$L$14:$L$300,Proposal_1!$G$14:$G$300,$B26,Proposal_1!$F$14:$F$300,"Included"))</f>
        <v>0</v>
      </c>
      <c r="E26" s="6">
        <f>IF($B26="","",SUMIFS(Proposal_1!$N$14:$N$300,Proposal_1!$G$14:$G$300,$B26,Proposal_1!$F$14:$F$300,"Included"))</f>
        <v>0</v>
      </c>
      <c r="F26" s="6">
        <f>IF($B26="","",SUMIFS(Proposal_1!$P$14:$P$300,Proposal_1!$G$14:$G$300,$B26,Proposal_1!$F$14:$F$300,"Included"))</f>
        <v>0</v>
      </c>
      <c r="G26" s="6">
        <f>IF($B26="","",SUMIFS(Proposal_1!$R$14:$R$300,Proposal_1!$G$14:$G$300,$B26,Proposal_1!$F$14:$F$300,"Included"))</f>
        <v>0</v>
      </c>
      <c r="H26" s="6">
        <f>IF($B26="","",SUMIFS(Proposal_1!$T$14:$T$300,Proposal_1!$G$14:$G$300,$B26,Proposal_1!$F$14:$F$300,"Included"))</f>
        <v>0</v>
      </c>
      <c r="I26" s="6">
        <f>IF($B26="","",SUMIFS(Proposal_1!$V$14:$V$300,Proposal_1!$G$14:$G$300,$B26,Proposal_1!$F$14:$F$300,"Included"))</f>
        <v>0</v>
      </c>
      <c r="J26" s="6">
        <f>IF($B26="","",SUMIFS(Proposal_1!$X$14:$X$300,Proposal_1!$G$14:$G$300,$B26,Proposal_1!$F$14:$F$300,"Included"))</f>
        <v>0</v>
      </c>
      <c r="L26" t="str">
        <v>jhaKnow</v>
      </c>
      <c r="M26" s="6">
        <f>IF($B26="","",SUMIFS(Proposal_2!$J$14:$J$300,Proposal_2!$G$14:$G$300,$B26,Proposal_2!$F$14:$F$300,"Included"))</f>
        <v>0</v>
      </c>
      <c r="N26" s="6">
        <f>IF($B26="","",SUMIFS(Proposal_2!$L$14:$L$300,Proposal_2!$G$14:$G$300,$B26,Proposal_2!$F$14:$F$300,"Included"))</f>
        <v>0</v>
      </c>
      <c r="O26" s="6">
        <f>IF($B26="","",SUMIFS(Proposal_2!$N$14:$N$300,Proposal_2!$G$14:$G$300,$B26,Proposal_2!$F$14:$F$300,"Included"))</f>
        <v>0</v>
      </c>
      <c r="P26" s="6">
        <f>IF($B26="","",SUMIFS(Proposal_2!$P$14:$P$300,Proposal_2!$G$14:$G$300,$B26,Proposal_2!$F$14:$F$300,"Included"))</f>
        <v>0</v>
      </c>
      <c r="Q26" s="6">
        <f>IF($B26="","",SUMIFS(Proposal_2!$R$14:$R$300,Proposal_2!$G$14:$G$300,$B26,Proposal_2!$F$14:$F$300,"Included"))</f>
        <v>0</v>
      </c>
      <c r="R26" s="6">
        <f>IF($B26="","",SUMIFS(Proposal_2!$T$14:$T$300,Proposal_2!$G$14:$G$300,$B26,Proposal_2!$F$14:$F$300,"Included"))</f>
        <v>0</v>
      </c>
      <c r="S26" s="6">
        <f>IF($B26="","",SUMIFS(Proposal_2!$V$14:$V$300,Proposal_2!$G$14:$G$300,$B26,Proposal_2!$F$14:$F$300,"Included"))</f>
        <v>0</v>
      </c>
      <c r="T26" s="6">
        <f>IF($B26="","",SUMIFS(Proposal_2!$X$14:$X$300,Proposal_2!$G$14:$G$300,$B26,Proposal_2!$F$14:$F$300,"Included"))</f>
        <v>0</v>
      </c>
      <c r="V26" t="str">
        <v>jhaKnow</v>
      </c>
      <c r="W26" s="6">
        <f>IF($B26="","",SUMIFS(Proposal_3!$J$14:$J$300,Proposal_3!$G$14:$G$300,$B26,Proposal_3!$F$14:$F$300,"Included"))</f>
        <v>0</v>
      </c>
      <c r="X26" s="6">
        <f>IF($B26="","",SUMIFS(Proposal_3!$L$14:$L$300,Proposal_3!$G$14:$G$300,$B26,Proposal_3!$F$14:$F$300,"Included"))</f>
        <v>0</v>
      </c>
      <c r="Y26" s="6">
        <f>IF($B26="","",SUMIFS(Proposal_3!$N$14:$N$300,Proposal_3!$G$14:$G$300,$B26,Proposal_3!$F$14:$F$300,"Included"))</f>
        <v>0</v>
      </c>
      <c r="Z26" s="6">
        <f>IF($B26="","",SUMIFS(Proposal_3!$P$14:$P$300,Proposal_3!$G$14:$G$300,$B26,Proposal_3!$F$14:$F$300,"Included"))</f>
        <v>0</v>
      </c>
      <c r="AA26" s="6">
        <f>IF($B26="","",SUMIFS(Proposal_3!$R$14:$R$300,Proposal_3!$G$14:$G$300,$B26,Proposal_3!$F$14:$F$300,"Included"))</f>
        <v>0</v>
      </c>
      <c r="AB26" s="6">
        <f>IF($B26="","",SUMIFS(Proposal_3!$T$14:$T$300,Proposal_3!$G$14:$G$300,$B26,Proposal_3!$F$14:$F$300,"Included"))</f>
        <v>0</v>
      </c>
      <c r="AC26" s="6">
        <f>IF($B26="","",SUMIFS(Proposal_3!$V$14:$V$300,Proposal_3!$G$14:$G$300,$B26,Proposal_3!$F$14:$F$300,"Included"))</f>
        <v>0</v>
      </c>
      <c r="AD26" s="6">
        <f>IF($B26="","",SUMIFS(Proposal_3!$X$14:$X$300,Proposal_3!$G$14:$G$300,$B26,Proposal_3!$F$14:$F$300,"Included"))</f>
        <v>0</v>
      </c>
    </row>
    <row r="27" spans="2:30" x14ac:dyDescent="0.25">
      <c r="B27" t="str">
        <v>Cognos</v>
      </c>
      <c r="C27" s="6">
        <f>IF($B27="","",SUMIFS(Proposal_1!$J$14:$J$300,Proposal_1!$G$14:$G$300,$B27,Proposal_1!$F$14:$F$300,"Included"))</f>
        <v>0</v>
      </c>
      <c r="D27" s="6">
        <f>IF($B27="","",SUMIFS(Proposal_1!$L$14:$L$300,Proposal_1!$G$14:$G$300,$B27,Proposal_1!$F$14:$F$300,"Included"))</f>
        <v>0</v>
      </c>
      <c r="E27" s="6">
        <f>IF($B27="","",SUMIFS(Proposal_1!$N$14:$N$300,Proposal_1!$G$14:$G$300,$B27,Proposal_1!$F$14:$F$300,"Included"))</f>
        <v>7750</v>
      </c>
      <c r="F27" s="6">
        <f>IF($B27="","",SUMIFS(Proposal_1!$P$14:$P$300,Proposal_1!$G$14:$G$300,$B27,Proposal_1!$F$14:$F$300,"Included"))</f>
        <v>5500</v>
      </c>
      <c r="G27" s="6">
        <f>IF($B27="","",SUMIFS(Proposal_1!$R$14:$R$300,Proposal_1!$G$14:$G$300,$B27,Proposal_1!$F$14:$F$300,"Included"))</f>
        <v>0</v>
      </c>
      <c r="H27" s="6">
        <f>IF($B27="","",SUMIFS(Proposal_1!$T$14:$T$300,Proposal_1!$G$14:$G$300,$B27,Proposal_1!$F$14:$F$300,"Included"))</f>
        <v>0</v>
      </c>
      <c r="I27" s="6">
        <f>IF($B27="","",SUMIFS(Proposal_1!$V$14:$V$300,Proposal_1!$G$14:$G$300,$B27,Proposal_1!$F$14:$F$300,"Included"))</f>
        <v>1085</v>
      </c>
      <c r="J27" s="6">
        <f>IF($B27="","",SUMIFS(Proposal_1!$X$14:$X$300,Proposal_1!$G$14:$G$300,$B27,Proposal_1!$F$14:$F$300,"Included"))</f>
        <v>981</v>
      </c>
      <c r="L27" t="str">
        <v>Cognos</v>
      </c>
      <c r="M27" s="6">
        <f>IF($B27="","",SUMIFS(Proposal_2!$J$14:$J$300,Proposal_2!$G$14:$G$300,$B27,Proposal_2!$F$14:$F$300,"Included"))</f>
        <v>0</v>
      </c>
      <c r="N27" s="6">
        <f>IF($B27="","",SUMIFS(Proposal_2!$L$14:$L$300,Proposal_2!$G$14:$G$300,$B27,Proposal_2!$F$14:$F$300,"Included"))</f>
        <v>0</v>
      </c>
      <c r="O27" s="6">
        <f>IF($B27="","",SUMIFS(Proposal_2!$N$14:$N$300,Proposal_2!$G$14:$G$300,$B27,Proposal_2!$F$14:$F$300,"Included"))</f>
        <v>7750</v>
      </c>
      <c r="P27" s="6">
        <f>IF($B27="","",SUMIFS(Proposal_2!$P$14:$P$300,Proposal_2!$G$14:$G$300,$B27,Proposal_2!$F$14:$F$300,"Included"))</f>
        <v>5500</v>
      </c>
      <c r="Q27" s="6">
        <f>IF($B27="","",SUMIFS(Proposal_2!$R$14:$R$300,Proposal_2!$G$14:$G$300,$B27,Proposal_2!$F$14:$F$300,"Included"))</f>
        <v>0</v>
      </c>
      <c r="R27" s="6">
        <f>IF($B27="","",SUMIFS(Proposal_2!$T$14:$T$300,Proposal_2!$G$14:$G$300,$B27,Proposal_2!$F$14:$F$300,"Included"))</f>
        <v>0</v>
      </c>
      <c r="S27" s="6">
        <f>IF($B27="","",SUMIFS(Proposal_2!$V$14:$V$300,Proposal_2!$G$14:$G$300,$B27,Proposal_2!$F$14:$F$300,"Included"))</f>
        <v>1085</v>
      </c>
      <c r="T27" s="6">
        <f>IF($B27="","",SUMIFS(Proposal_2!$X$14:$X$300,Proposal_2!$G$14:$G$300,$B27,Proposal_2!$F$14:$F$300,"Included"))</f>
        <v>981</v>
      </c>
      <c r="V27" t="str">
        <v>Cognos</v>
      </c>
      <c r="W27" s="6">
        <f>IF($B27="","",SUMIFS(Proposal_3!$J$14:$J$300,Proposal_3!$G$14:$G$300,$B27,Proposal_3!$F$14:$F$300,"Included"))</f>
        <v>0</v>
      </c>
      <c r="X27" s="6">
        <f>IF($B27="","",SUMIFS(Proposal_3!$L$14:$L$300,Proposal_3!$G$14:$G$300,$B27,Proposal_3!$F$14:$F$300,"Included"))</f>
        <v>0</v>
      </c>
      <c r="Y27" s="6">
        <f>IF($B27="","",SUMIFS(Proposal_3!$N$14:$N$300,Proposal_3!$G$14:$G$300,$B27,Proposal_3!$F$14:$F$300,"Included"))</f>
        <v>7750</v>
      </c>
      <c r="Z27" s="6">
        <f>IF($B27="","",SUMIFS(Proposal_3!$P$14:$P$300,Proposal_3!$G$14:$G$300,$B27,Proposal_3!$F$14:$F$300,"Included"))</f>
        <v>5500</v>
      </c>
      <c r="AA27" s="6">
        <f>IF($B27="","",SUMIFS(Proposal_3!$R$14:$R$300,Proposal_3!$G$14:$G$300,$B27,Proposal_3!$F$14:$F$300,"Included"))</f>
        <v>0</v>
      </c>
      <c r="AB27" s="6">
        <f>IF($B27="","",SUMIFS(Proposal_3!$T$14:$T$300,Proposal_3!$G$14:$G$300,$B27,Proposal_3!$F$14:$F$300,"Included"))</f>
        <v>0</v>
      </c>
      <c r="AC27" s="6">
        <f>IF($B27="","",SUMIFS(Proposal_3!$V$14:$V$300,Proposal_3!$G$14:$G$300,$B27,Proposal_3!$F$14:$F$300,"Included"))</f>
        <v>1085</v>
      </c>
      <c r="AD27" s="6">
        <f>IF($B27="","",SUMIFS(Proposal_3!$X$14:$X$300,Proposal_3!$G$14:$G$300,$B27,Proposal_3!$F$14:$F$300,"Included"))</f>
        <v>981</v>
      </c>
    </row>
    <row r="28" spans="2:30" x14ac:dyDescent="0.25">
      <c r="B28" t="str">
        <v>ProfitStars Financial Performance</v>
      </c>
      <c r="C28" s="6">
        <f>IF($B28="","",SUMIFS(Proposal_1!$J$14:$J$300,Proposal_1!$G$14:$G$300,$B28,Proposal_1!$F$14:$F$300,"Included"))</f>
        <v>0</v>
      </c>
      <c r="D28" s="6">
        <f>IF($B28="","",SUMIFS(Proposal_1!$L$14:$L$300,Proposal_1!$G$14:$G$300,$B28,Proposal_1!$F$14:$F$300,"Included"))</f>
        <v>0</v>
      </c>
      <c r="E28" s="6">
        <f>IF($B28="","",SUMIFS(Proposal_1!$N$14:$N$300,Proposal_1!$G$14:$G$300,$B28,Proposal_1!$F$14:$F$300,"Included"))</f>
        <v>11450</v>
      </c>
      <c r="F28" s="6">
        <f>IF($B28="","",SUMIFS(Proposal_1!$P$14:$P$300,Proposal_1!$G$14:$G$300,$B28,Proposal_1!$F$14:$F$300,"Included"))</f>
        <v>0</v>
      </c>
      <c r="G28" s="6">
        <f>IF($B28="","",SUMIFS(Proposal_1!$R$14:$R$300,Proposal_1!$G$14:$G$300,$B28,Proposal_1!$F$14:$F$300,"Included"))</f>
        <v>4940</v>
      </c>
      <c r="H28" s="6">
        <f>IF($B28="","",SUMIFS(Proposal_1!$T$14:$T$300,Proposal_1!$G$14:$G$300,$B28,Proposal_1!$F$14:$F$300,"Included"))</f>
        <v>4940</v>
      </c>
      <c r="I28" s="6">
        <f>IF($B28="","",SUMIFS(Proposal_1!$V$14:$V$300,Proposal_1!$G$14:$G$300,$B28,Proposal_1!$F$14:$F$300,"Included"))</f>
        <v>925</v>
      </c>
      <c r="J28" s="6">
        <f>IF($B28="","",SUMIFS(Proposal_1!$X$14:$X$300,Proposal_1!$G$14:$G$300,$B28,Proposal_1!$F$14:$F$300,"Included"))</f>
        <v>694.25</v>
      </c>
      <c r="L28" t="str">
        <v>ProfitStars Financial Performance</v>
      </c>
      <c r="M28" s="6">
        <f>IF($B28="","",SUMIFS(Proposal_2!$J$14:$J$300,Proposal_2!$G$14:$G$300,$B28,Proposal_2!$F$14:$F$300,"Included"))</f>
        <v>0</v>
      </c>
      <c r="N28" s="6">
        <f>IF($B28="","",SUMIFS(Proposal_2!$L$14:$L$300,Proposal_2!$G$14:$G$300,$B28,Proposal_2!$F$14:$F$300,"Included"))</f>
        <v>0</v>
      </c>
      <c r="O28" s="6">
        <f>IF($B28="","",SUMIFS(Proposal_2!$N$14:$N$300,Proposal_2!$G$14:$G$300,$B28,Proposal_2!$F$14:$F$300,"Included"))</f>
        <v>7200</v>
      </c>
      <c r="P28" s="6">
        <f>IF($B28="","",SUMIFS(Proposal_2!$P$14:$P$300,Proposal_2!$G$14:$G$300,$B28,Proposal_2!$F$14:$F$300,"Included"))</f>
        <v>0</v>
      </c>
      <c r="Q28" s="6">
        <f>IF($B28="","",SUMIFS(Proposal_2!$R$14:$R$300,Proposal_2!$G$14:$G$300,$B28,Proposal_2!$F$14:$F$300,"Included"))</f>
        <v>4940</v>
      </c>
      <c r="R28" s="6">
        <f>IF($B28="","",SUMIFS(Proposal_2!$T$14:$T$300,Proposal_2!$G$14:$G$300,$B28,Proposal_2!$F$14:$F$300,"Included"))</f>
        <v>4940</v>
      </c>
      <c r="S28" s="6">
        <f>IF($B28="","",SUMIFS(Proposal_2!$V$14:$V$300,Proposal_2!$G$14:$G$300,$B28,Proposal_2!$F$14:$F$300,"Included"))</f>
        <v>390</v>
      </c>
      <c r="T28" s="6">
        <f>IF($B28="","",SUMIFS(Proposal_2!$X$14:$X$300,Proposal_2!$G$14:$G$300,$B28,Proposal_2!$F$14:$F$300,"Included"))</f>
        <v>293</v>
      </c>
      <c r="V28" t="str">
        <v>ProfitStars Financial Performance</v>
      </c>
      <c r="W28" s="6">
        <f>IF($B28="","",SUMIFS(Proposal_3!$J$14:$J$300,Proposal_3!$G$14:$G$300,$B28,Proposal_3!$F$14:$F$300,"Included"))</f>
        <v>0</v>
      </c>
      <c r="X28" s="6">
        <f>IF($B28="","",SUMIFS(Proposal_3!$L$14:$L$300,Proposal_3!$G$14:$G$300,$B28,Proposal_3!$F$14:$F$300,"Included"))</f>
        <v>0</v>
      </c>
      <c r="Y28" s="6">
        <f>IF($B28="","",SUMIFS(Proposal_3!$N$14:$N$300,Proposal_3!$G$14:$G$300,$B28,Proposal_3!$F$14:$F$300,"Included"))</f>
        <v>7200</v>
      </c>
      <c r="Z28" s="6">
        <f>IF($B28="","",SUMIFS(Proposal_3!$P$14:$P$300,Proposal_3!$G$14:$G$300,$B28,Proposal_3!$F$14:$F$300,"Included"))</f>
        <v>0</v>
      </c>
      <c r="AA28" s="6">
        <f>IF($B28="","",SUMIFS(Proposal_3!$R$14:$R$300,Proposal_3!$G$14:$G$300,$B28,Proposal_3!$F$14:$F$300,"Included"))</f>
        <v>4940</v>
      </c>
      <c r="AB28" s="6">
        <f>IF($B28="","",SUMIFS(Proposal_3!$T$14:$T$300,Proposal_3!$G$14:$G$300,$B28,Proposal_3!$F$14:$F$300,"Included"))</f>
        <v>4940</v>
      </c>
      <c r="AC28" s="6">
        <f>IF($B28="","",SUMIFS(Proposal_3!$V$14:$V$300,Proposal_3!$G$14:$G$300,$B28,Proposal_3!$F$14:$F$300,"Included"))</f>
        <v>390</v>
      </c>
      <c r="AD28" s="6">
        <f>IF($B28="","",SUMIFS(Proposal_3!$X$14:$X$300,Proposal_3!$G$14:$G$300,$B28,Proposal_3!$F$14:$F$300,"Included"))</f>
        <v>293</v>
      </c>
    </row>
    <row r="29" spans="2:30" x14ac:dyDescent="0.25">
      <c r="B29" t="str">
        <v>Know-It-All</v>
      </c>
      <c r="C29" s="6">
        <f>IF($B29="","",SUMIFS(Proposal_1!$J$14:$J$300,Proposal_1!$G$14:$G$300,$B29,Proposal_1!$F$14:$F$300,"Included"))</f>
        <v>0</v>
      </c>
      <c r="D29" s="6">
        <f>IF($B29="","",SUMIFS(Proposal_1!$L$14:$L$300,Proposal_1!$G$14:$G$300,$B29,Proposal_1!$F$14:$F$300,"Included"))</f>
        <v>0</v>
      </c>
      <c r="E29" s="6">
        <f>IF($B29="","",SUMIFS(Proposal_1!$N$14:$N$300,Proposal_1!$G$14:$G$300,$B29,Proposal_1!$F$14:$F$300,"Included"))</f>
        <v>0</v>
      </c>
      <c r="F29" s="6">
        <f>IF($B29="","",SUMIFS(Proposal_1!$P$14:$P$300,Proposal_1!$G$14:$G$300,$B29,Proposal_1!$F$14:$F$300,"Included"))</f>
        <v>0</v>
      </c>
      <c r="G29" s="6">
        <f>IF($B29="","",SUMIFS(Proposal_1!$R$14:$R$300,Proposal_1!$G$14:$G$300,$B29,Proposal_1!$F$14:$F$300,"Included"))</f>
        <v>3500</v>
      </c>
      <c r="H29" s="6">
        <f>IF($B29="","",SUMIFS(Proposal_1!$T$14:$T$300,Proposal_1!$G$14:$G$300,$B29,Proposal_1!$F$14:$F$300,"Included"))</f>
        <v>3500</v>
      </c>
      <c r="I29" s="6">
        <f>IF($B29="","",SUMIFS(Proposal_1!$V$14:$V$300,Proposal_1!$G$14:$G$300,$B29,Proposal_1!$F$14:$F$300,"Included"))</f>
        <v>0</v>
      </c>
      <c r="J29" s="6">
        <f>IF($B29="","",SUMIFS(Proposal_1!$X$14:$X$300,Proposal_1!$G$14:$G$300,$B29,Proposal_1!$F$14:$F$300,"Included"))</f>
        <v>0</v>
      </c>
      <c r="L29" t="str">
        <v>Know-It-All</v>
      </c>
      <c r="M29" s="6">
        <f>IF($B29="","",SUMIFS(Proposal_2!$J$14:$J$300,Proposal_2!$G$14:$G$300,$B29,Proposal_2!$F$14:$F$300,"Included"))</f>
        <v>0</v>
      </c>
      <c r="N29" s="6">
        <f>IF($B29="","",SUMIFS(Proposal_2!$L$14:$L$300,Proposal_2!$G$14:$G$300,$B29,Proposal_2!$F$14:$F$300,"Included"))</f>
        <v>0</v>
      </c>
      <c r="O29" s="6">
        <f>IF($B29="","",SUMIFS(Proposal_2!$N$14:$N$300,Proposal_2!$G$14:$G$300,$B29,Proposal_2!$F$14:$F$300,"Included"))</f>
        <v>0</v>
      </c>
      <c r="P29" s="6">
        <f>IF($B29="","",SUMIFS(Proposal_2!$P$14:$P$300,Proposal_2!$G$14:$G$300,$B29,Proposal_2!$F$14:$F$300,"Included"))</f>
        <v>0</v>
      </c>
      <c r="Q29" s="6">
        <f>IF($B29="","",SUMIFS(Proposal_2!$R$14:$R$300,Proposal_2!$G$14:$G$300,$B29,Proposal_2!$F$14:$F$300,"Included"))</f>
        <v>3500</v>
      </c>
      <c r="R29" s="6">
        <f>IF($B29="","",SUMIFS(Proposal_2!$T$14:$T$300,Proposal_2!$G$14:$G$300,$B29,Proposal_2!$F$14:$F$300,"Included"))</f>
        <v>3500</v>
      </c>
      <c r="S29" s="6">
        <f>IF($B29="","",SUMIFS(Proposal_2!$V$14:$V$300,Proposal_2!$G$14:$G$300,$B29,Proposal_2!$F$14:$F$300,"Included"))</f>
        <v>0</v>
      </c>
      <c r="T29" s="6">
        <f>IF($B29="","",SUMIFS(Proposal_2!$X$14:$X$300,Proposal_2!$G$14:$G$300,$B29,Proposal_2!$F$14:$F$300,"Included"))</f>
        <v>0</v>
      </c>
      <c r="V29" t="str">
        <v>Know-It-All</v>
      </c>
      <c r="W29" s="6">
        <f>IF($B29="","",SUMIFS(Proposal_3!$J$14:$J$300,Proposal_3!$G$14:$G$300,$B29,Proposal_3!$F$14:$F$300,"Included"))</f>
        <v>0</v>
      </c>
      <c r="X29" s="6">
        <f>IF($B29="","",SUMIFS(Proposal_3!$L$14:$L$300,Proposal_3!$G$14:$G$300,$B29,Proposal_3!$F$14:$F$300,"Included"))</f>
        <v>0</v>
      </c>
      <c r="Y29" s="6">
        <f>IF($B29="","",SUMIFS(Proposal_3!$N$14:$N$300,Proposal_3!$G$14:$G$300,$B29,Proposal_3!$F$14:$F$300,"Included"))</f>
        <v>0</v>
      </c>
      <c r="Z29" s="6">
        <f>IF($B29="","",SUMIFS(Proposal_3!$P$14:$P$300,Proposal_3!$G$14:$G$300,$B29,Proposal_3!$F$14:$F$300,"Included"))</f>
        <v>0</v>
      </c>
      <c r="AA29" s="6">
        <f>IF($B29="","",SUMIFS(Proposal_3!$R$14:$R$300,Proposal_3!$G$14:$G$300,$B29,Proposal_3!$F$14:$F$300,"Included"))</f>
        <v>3500</v>
      </c>
      <c r="AB29" s="6">
        <f>IF($B29="","",SUMIFS(Proposal_3!$T$14:$T$300,Proposal_3!$G$14:$G$300,$B29,Proposal_3!$F$14:$F$300,"Included"))</f>
        <v>3500</v>
      </c>
      <c r="AC29" s="6">
        <f>IF($B29="","",SUMIFS(Proposal_3!$V$14:$V$300,Proposal_3!$G$14:$G$300,$B29,Proposal_3!$F$14:$F$300,"Included"))</f>
        <v>0</v>
      </c>
      <c r="AD29" s="6">
        <f>IF($B29="","",SUMIFS(Proposal_3!$X$14:$X$300,Proposal_3!$G$14:$G$300,$B29,Proposal_3!$F$14:$F$300,"Included"))</f>
        <v>0</v>
      </c>
    </row>
    <row r="30" spans="2:30" x14ac:dyDescent="0.25">
      <c r="B30" t="str">
        <v/>
      </c>
      <c r="C30" s="6" t="str">
        <f>IF($B30="","",SUMIFS(Proposal_1!$J$14:$J$300,Proposal_1!$G$14:$G$300,$B30,Proposal_1!$F$14:$F$300,"Included"))</f>
        <v/>
      </c>
      <c r="D30" s="6" t="str">
        <f>IF($B30="","",SUMIFS(Proposal_1!$L$14:$L$300,Proposal_1!$G$14:$G$300,$B30,Proposal_1!$F$14:$F$300,"Included"))</f>
        <v/>
      </c>
      <c r="E30" s="6" t="str">
        <f>IF($B30="","",SUMIFS(Proposal_1!$N$14:$N$300,Proposal_1!$G$14:$G$300,$B30,Proposal_1!$F$14:$F$300,"Included"))</f>
        <v/>
      </c>
      <c r="F30" s="6" t="str">
        <f>IF($B30="","",SUMIFS(Proposal_1!$P$14:$P$300,Proposal_1!$G$14:$G$300,$B30,Proposal_1!$F$14:$F$300,"Included"))</f>
        <v/>
      </c>
      <c r="G30" s="6" t="str">
        <f>IF($B30="","",SUMIFS(Proposal_1!$R$14:$R$300,Proposal_1!$G$14:$G$300,$B30,Proposal_1!$F$14:$F$300,"Included"))</f>
        <v/>
      </c>
      <c r="H30" s="6" t="str">
        <f>IF($B30="","",SUMIFS(Proposal_1!$T$14:$T$300,Proposal_1!$G$14:$G$300,$B30,Proposal_1!$F$14:$F$300,"Included"))</f>
        <v/>
      </c>
      <c r="I30" s="6" t="str">
        <f>IF($B30="","",SUMIFS(Proposal_1!$V$14:$V$300,Proposal_1!$G$14:$G$300,$B30,Proposal_1!$F$14:$F$300,"Included"))</f>
        <v/>
      </c>
      <c r="J30" s="6" t="str">
        <f>IF($B30="","",SUMIFS(Proposal_1!$X$14:$X$300,Proposal_1!$G$14:$G$300,$B30,Proposal_1!$F$14:$F$300,"Included"))</f>
        <v/>
      </c>
      <c r="L30" t="str">
        <v/>
      </c>
      <c r="M30" s="6" t="str">
        <f>IF($B30="","",SUMIFS(Proposal_2!$J$14:$J$300,Proposal_2!$G$14:$G$300,$B30,Proposal_2!$F$14:$F$300,"Included"))</f>
        <v/>
      </c>
      <c r="N30" s="6" t="str">
        <f>IF($B30="","",SUMIFS(Proposal_2!$L$14:$L$300,Proposal_2!$G$14:$G$300,$B30,Proposal_2!$F$14:$F$300,"Included"))</f>
        <v/>
      </c>
      <c r="O30" s="6" t="str">
        <f>IF($B30="","",SUMIFS(Proposal_2!$N$14:$N$300,Proposal_2!$G$14:$G$300,$B30,Proposal_2!$F$14:$F$300,"Included"))</f>
        <v/>
      </c>
      <c r="P30" s="6" t="str">
        <f>IF($B30="","",SUMIFS(Proposal_2!$P$14:$P$300,Proposal_2!$G$14:$G$300,$B30,Proposal_2!$F$14:$F$300,"Included"))</f>
        <v/>
      </c>
      <c r="Q30" s="6" t="str">
        <f>IF($B30="","",SUMIFS(Proposal_2!$R$14:$R$300,Proposal_2!$G$14:$G$300,$B30,Proposal_2!$F$14:$F$300,"Included"))</f>
        <v/>
      </c>
      <c r="R30" s="6" t="str">
        <f>IF($B30="","",SUMIFS(Proposal_2!$T$14:$T$300,Proposal_2!$G$14:$G$300,$B30,Proposal_2!$F$14:$F$300,"Included"))</f>
        <v/>
      </c>
      <c r="S30" s="6" t="str">
        <f>IF($B30="","",SUMIFS(Proposal_2!$V$14:$V$300,Proposal_2!$G$14:$G$300,$B30,Proposal_2!$F$14:$F$300,"Included"))</f>
        <v/>
      </c>
      <c r="T30" s="6" t="str">
        <f>IF($B30="","",SUMIFS(Proposal_2!$X$14:$X$300,Proposal_2!$G$14:$G$300,$B30,Proposal_2!$F$14:$F$300,"Included"))</f>
        <v/>
      </c>
      <c r="V30" t="str">
        <v/>
      </c>
      <c r="W30" s="6" t="str">
        <f>IF($B30="","",SUMIFS(Proposal_3!$J$14:$J$300,Proposal_3!$G$14:$G$300,$B30,Proposal_3!$F$14:$F$300,"Included"))</f>
        <v/>
      </c>
      <c r="X30" s="6" t="str">
        <f>IF($B30="","",SUMIFS(Proposal_3!$L$14:$L$300,Proposal_3!$G$14:$G$300,$B30,Proposal_3!$F$14:$F$300,"Included"))</f>
        <v/>
      </c>
      <c r="Y30" s="6" t="str">
        <f>IF($B30="","",SUMIFS(Proposal_3!$N$14:$N$300,Proposal_3!$G$14:$G$300,$B30,Proposal_3!$F$14:$F$300,"Included"))</f>
        <v/>
      </c>
      <c r="Z30" s="6" t="str">
        <f>IF($B30="","",SUMIFS(Proposal_3!$P$14:$P$300,Proposal_3!$G$14:$G$300,$B30,Proposal_3!$F$14:$F$300,"Included"))</f>
        <v/>
      </c>
      <c r="AA30" s="6" t="str">
        <f>IF($B30="","",SUMIFS(Proposal_3!$R$14:$R$300,Proposal_3!$G$14:$G$300,$B30,Proposal_3!$F$14:$F$300,"Included"))</f>
        <v/>
      </c>
      <c r="AB30" s="6" t="str">
        <f>IF($B30="","",SUMIFS(Proposal_3!$T$14:$T$300,Proposal_3!$G$14:$G$300,$B30,Proposal_3!$F$14:$F$300,"Included"))</f>
        <v/>
      </c>
      <c r="AC30" s="6" t="str">
        <f>IF($B30="","",SUMIFS(Proposal_3!$V$14:$V$300,Proposal_3!$G$14:$G$300,$B30,Proposal_3!$F$14:$F$300,"Included"))</f>
        <v/>
      </c>
      <c r="AD30" s="6" t="str">
        <f>IF($B30="","",SUMIFS(Proposal_3!$X$14:$X$300,Proposal_3!$G$14:$G$300,$B30,Proposal_3!$F$14:$F$300,"Included"))</f>
        <v/>
      </c>
    </row>
    <row r="31" spans="2:30" x14ac:dyDescent="0.25">
      <c r="B31" t="str">
        <v>Lending</v>
      </c>
      <c r="C31" s="6">
        <f>IF($B31="","",SUMIFS(Proposal_1!$J$14:$J$300,Proposal_1!$G$14:$G$300,$B31,Proposal_1!$F$14:$F$300,"Included"))</f>
        <v>0</v>
      </c>
      <c r="D31" s="6">
        <f>IF($B31="","",SUMIFS(Proposal_1!$L$14:$L$300,Proposal_1!$G$14:$G$300,$B31,Proposal_1!$F$14:$F$300,"Included"))</f>
        <v>0</v>
      </c>
      <c r="E31" s="6">
        <f>IF($B31="","",SUMIFS(Proposal_1!$N$14:$N$300,Proposal_1!$G$14:$G$300,$B31,Proposal_1!$F$14:$F$300,"Included"))</f>
        <v>0</v>
      </c>
      <c r="F31" s="6">
        <f>IF($B31="","",SUMIFS(Proposal_1!$P$14:$P$300,Proposal_1!$G$14:$G$300,$B31,Proposal_1!$F$14:$F$300,"Included"))</f>
        <v>0</v>
      </c>
      <c r="G31" s="6">
        <f>IF($B31="","",SUMIFS(Proposal_1!$R$14:$R$300,Proposal_1!$G$14:$G$300,$B31,Proposal_1!$F$14:$F$300,"Included"))</f>
        <v>0</v>
      </c>
      <c r="H31" s="6">
        <f>IF($B31="","",SUMIFS(Proposal_1!$T$14:$T$300,Proposal_1!$G$14:$G$300,$B31,Proposal_1!$F$14:$F$300,"Included"))</f>
        <v>0</v>
      </c>
      <c r="I31" s="6">
        <f>IF($B31="","",SUMIFS(Proposal_1!$V$14:$V$300,Proposal_1!$G$14:$G$300,$B31,Proposal_1!$F$14:$F$300,"Included"))</f>
        <v>0</v>
      </c>
      <c r="J31" s="6">
        <f>IF($B31="","",SUMIFS(Proposal_1!$X$14:$X$300,Proposal_1!$G$14:$G$300,$B31,Proposal_1!$F$14:$F$300,"Included"))</f>
        <v>0</v>
      </c>
      <c r="M31" s="6">
        <f>IF($B31="","",SUMIFS(Proposal_2!$J$14:$J$300,Proposal_2!$G$14:$G$300,$B31,Proposal_2!$F$14:$F$300,"Included"))</f>
        <v>0</v>
      </c>
      <c r="N31" s="6">
        <f>IF($B31="","",SUMIFS(Proposal_2!$L$14:$L$300,Proposal_2!$G$14:$G$300,$B31,Proposal_2!$F$14:$F$300,"Included"))</f>
        <v>0</v>
      </c>
      <c r="O31" s="6">
        <f>IF($B31="","",SUMIFS(Proposal_2!$N$14:$N$300,Proposal_2!$G$14:$G$300,$B31,Proposal_2!$F$14:$F$300,"Included"))</f>
        <v>0</v>
      </c>
      <c r="P31" s="6">
        <f>IF($B31="","",SUMIFS(Proposal_2!$P$14:$P$300,Proposal_2!$G$14:$G$300,$B31,Proposal_2!$F$14:$F$300,"Included"))</f>
        <v>0</v>
      </c>
      <c r="Q31" s="6">
        <f>IF($B31="","",SUMIFS(Proposal_2!$R$14:$R$300,Proposal_2!$G$14:$G$300,$B31,Proposal_2!$F$14:$F$300,"Included"))</f>
        <v>0</v>
      </c>
      <c r="R31" s="6">
        <f>IF($B31="","",SUMIFS(Proposal_2!$T$14:$T$300,Proposal_2!$G$14:$G$300,$B31,Proposal_2!$F$14:$F$300,"Included"))</f>
        <v>0</v>
      </c>
      <c r="S31" s="6">
        <f>IF($B31="","",SUMIFS(Proposal_2!$V$14:$V$300,Proposal_2!$G$14:$G$300,$B31,Proposal_2!$F$14:$F$300,"Included"))</f>
        <v>0</v>
      </c>
      <c r="T31" s="6">
        <f>IF($B31="","",SUMIFS(Proposal_2!$X$14:$X$300,Proposal_2!$G$14:$G$300,$B31,Proposal_2!$F$14:$F$300,"Included"))</f>
        <v>0</v>
      </c>
      <c r="W31" s="6">
        <f>IF($B31="","",SUMIFS(Proposal_3!$J$14:$J$300,Proposal_3!$G$14:$G$300,$B31,Proposal_3!$F$14:$F$300,"Included"))</f>
        <v>0</v>
      </c>
      <c r="X31" s="6">
        <f>IF($B31="","",SUMIFS(Proposal_3!$L$14:$L$300,Proposal_3!$G$14:$G$300,$B31,Proposal_3!$F$14:$F$300,"Included"))</f>
        <v>0</v>
      </c>
      <c r="Y31" s="6">
        <f>IF($B31="","",SUMIFS(Proposal_3!$N$14:$N$300,Proposal_3!$G$14:$G$300,$B31,Proposal_3!$F$14:$F$300,"Included"))</f>
        <v>0</v>
      </c>
      <c r="Z31" s="6">
        <f>IF($B31="","",SUMIFS(Proposal_3!$P$14:$P$300,Proposal_3!$G$14:$G$300,$B31,Proposal_3!$F$14:$F$300,"Included"))</f>
        <v>0</v>
      </c>
      <c r="AA31" s="6">
        <f>IF($B31="","",SUMIFS(Proposal_3!$R$14:$R$300,Proposal_3!$G$14:$G$300,$B31,Proposal_3!$F$14:$F$300,"Included"))</f>
        <v>0</v>
      </c>
      <c r="AB31" s="6">
        <f>IF($B31="","",SUMIFS(Proposal_3!$T$14:$T$300,Proposal_3!$G$14:$G$300,$B31,Proposal_3!$F$14:$F$300,"Included"))</f>
        <v>0</v>
      </c>
      <c r="AC31" s="6">
        <f>IF($B31="","",SUMIFS(Proposal_3!$V$14:$V$300,Proposal_3!$G$14:$G$300,$B31,Proposal_3!$F$14:$F$300,"Included"))</f>
        <v>0</v>
      </c>
      <c r="AD31" s="6">
        <f>IF($B31="","",SUMIFS(Proposal_3!$X$14:$X$300,Proposal_3!$G$14:$G$300,$B31,Proposal_3!$F$14:$F$300,"Included"))</f>
        <v>0</v>
      </c>
    </row>
    <row r="32" spans="2:30" x14ac:dyDescent="0.25">
      <c r="B32" t="str">
        <v>Web Hosting</v>
      </c>
      <c r="C32" s="6">
        <f>IF($B32="","",SUMIFS(Proposal_1!$J$14:$J$300,Proposal_1!$G$14:$G$300,$B32,Proposal_1!$F$14:$F$300,"Included"))</f>
        <v>0</v>
      </c>
      <c r="D32" s="6">
        <f>IF($B32="","",SUMIFS(Proposal_1!$L$14:$L$300,Proposal_1!$G$14:$G$300,$B32,Proposal_1!$F$14:$F$300,"Included"))</f>
        <v>0</v>
      </c>
      <c r="E32" s="6">
        <f>IF($B32="","",SUMIFS(Proposal_1!$N$14:$N$300,Proposal_1!$G$14:$G$300,$B32,Proposal_1!$F$14:$F$300,"Included"))</f>
        <v>54000</v>
      </c>
      <c r="F32" s="6">
        <f>IF($B32="","",SUMIFS(Proposal_1!$P$14:$P$300,Proposal_1!$G$14:$G$300,$B32,Proposal_1!$F$14:$F$300,"Included"))</f>
        <v>54000</v>
      </c>
      <c r="G32" s="6">
        <f>IF($B32="","",SUMIFS(Proposal_1!$R$14:$R$300,Proposal_1!$G$14:$G$300,$B32,Proposal_1!$F$14:$F$300,"Included"))</f>
        <v>0</v>
      </c>
      <c r="H32" s="6">
        <f>IF($B32="","",SUMIFS(Proposal_1!$T$14:$T$300,Proposal_1!$G$14:$G$300,$B32,Proposal_1!$F$14:$F$300,"Included"))</f>
        <v>0</v>
      </c>
      <c r="I32" s="6">
        <f>IF($B32="","",SUMIFS(Proposal_1!$V$14:$V$300,Proposal_1!$G$14:$G$300,$B32,Proposal_1!$F$14:$F$300,"Included"))</f>
        <v>2200</v>
      </c>
      <c r="J32" s="6">
        <f>IF($B32="","",SUMIFS(Proposal_1!$X$14:$X$300,Proposal_1!$G$14:$G$300,$B32,Proposal_1!$F$14:$F$300,"Included"))</f>
        <v>2200</v>
      </c>
      <c r="M32" s="6">
        <f>IF($B32="","",SUMIFS(Proposal_2!$J$14:$J$300,Proposal_2!$G$14:$G$300,$B32,Proposal_2!$F$14:$F$300,"Included"))</f>
        <v>0</v>
      </c>
      <c r="N32" s="6">
        <f>IF($B32="","",SUMIFS(Proposal_2!$L$14:$L$300,Proposal_2!$G$14:$G$300,$B32,Proposal_2!$F$14:$F$300,"Included"))</f>
        <v>0</v>
      </c>
      <c r="O32" s="6">
        <f>IF($B32="","",SUMIFS(Proposal_2!$N$14:$N$300,Proposal_2!$G$14:$G$300,$B32,Proposal_2!$F$14:$F$300,"Included"))</f>
        <v>0</v>
      </c>
      <c r="P32" s="6">
        <f>IF($B32="","",SUMIFS(Proposal_2!$P$14:$P$300,Proposal_2!$G$14:$G$300,$B32,Proposal_2!$F$14:$F$300,"Included"))</f>
        <v>0</v>
      </c>
      <c r="Q32" s="6">
        <f>IF($B32="","",SUMIFS(Proposal_2!$R$14:$R$300,Proposal_2!$G$14:$G$300,$B32,Proposal_2!$F$14:$F$300,"Included"))</f>
        <v>0</v>
      </c>
      <c r="R32" s="6">
        <f>IF($B32="","",SUMIFS(Proposal_2!$T$14:$T$300,Proposal_2!$G$14:$G$300,$B32,Proposal_2!$F$14:$F$300,"Included"))</f>
        <v>0</v>
      </c>
      <c r="S32" s="6">
        <f>IF($B32="","",SUMIFS(Proposal_2!$V$14:$V$300,Proposal_2!$G$14:$G$300,$B32,Proposal_2!$F$14:$F$300,"Included"))</f>
        <v>0</v>
      </c>
      <c r="T32" s="6">
        <f>IF($B32="","",SUMIFS(Proposal_2!$X$14:$X$300,Proposal_2!$G$14:$G$300,$B32,Proposal_2!$F$14:$F$300,"Included"))</f>
        <v>0</v>
      </c>
      <c r="W32" s="6">
        <f>IF($B32="","",SUMIFS(Proposal_3!$J$14:$J$300,Proposal_3!$G$14:$G$300,$B32,Proposal_3!$F$14:$F$300,"Included"))</f>
        <v>0</v>
      </c>
      <c r="X32" s="6">
        <f>IF($B32="","",SUMIFS(Proposal_3!$L$14:$L$300,Proposal_3!$G$14:$G$300,$B32,Proposal_3!$F$14:$F$300,"Included"))</f>
        <v>0</v>
      </c>
      <c r="Y32" s="6">
        <f>IF($B32="","",SUMIFS(Proposal_3!$N$14:$N$300,Proposal_3!$G$14:$G$300,$B32,Proposal_3!$F$14:$F$300,"Included"))</f>
        <v>0</v>
      </c>
      <c r="Z32" s="6">
        <f>IF($B32="","",SUMIFS(Proposal_3!$P$14:$P$300,Proposal_3!$G$14:$G$300,$B32,Proposal_3!$F$14:$F$300,"Included"))</f>
        <v>0</v>
      </c>
      <c r="AA32" s="6">
        <f>IF($B32="","",SUMIFS(Proposal_3!$R$14:$R$300,Proposal_3!$G$14:$G$300,$B32,Proposal_3!$F$14:$F$300,"Included"))</f>
        <v>0</v>
      </c>
      <c r="AB32" s="6">
        <f>IF($B32="","",SUMIFS(Proposal_3!$T$14:$T$300,Proposal_3!$G$14:$G$300,$B32,Proposal_3!$F$14:$F$300,"Included"))</f>
        <v>0</v>
      </c>
      <c r="AC32" s="6">
        <f>IF($B32="","",SUMIFS(Proposal_3!$V$14:$V$300,Proposal_3!$G$14:$G$300,$B32,Proposal_3!$F$14:$F$300,"Included"))</f>
        <v>0</v>
      </c>
      <c r="AD32" s="6">
        <f>IF($B32="","",SUMIFS(Proposal_3!$X$14:$X$300,Proposal_3!$G$14:$G$300,$B32,Proposal_3!$F$14:$F$300,"Included"))</f>
        <v>0</v>
      </c>
    </row>
    <row r="33" spans="2:30" x14ac:dyDescent="0.25">
      <c r="B33" t="str">
        <v>Forms</v>
      </c>
      <c r="C33" s="6">
        <f>IF($B33="","",SUMIFS(Proposal_1!$J$14:$J$300,Proposal_1!$G$14:$G$300,$B33,Proposal_1!$F$14:$F$300,"Included"))</f>
        <v>0</v>
      </c>
      <c r="D33" s="6">
        <f>IF($B33="","",SUMIFS(Proposal_1!$L$14:$L$300,Proposal_1!$G$14:$G$300,$B33,Proposal_1!$F$14:$F$300,"Included"))</f>
        <v>0</v>
      </c>
      <c r="E33" s="6">
        <f>IF($B33="","",SUMIFS(Proposal_1!$N$14:$N$300,Proposal_1!$G$14:$G$300,$B33,Proposal_1!$F$14:$F$300,"Included"))</f>
        <v>7650</v>
      </c>
      <c r="F33" s="6">
        <f>IF($B33="","",SUMIFS(Proposal_1!$P$14:$P$300,Proposal_1!$G$14:$G$300,$B33,Proposal_1!$F$14:$F$300,"Included"))</f>
        <v>7650</v>
      </c>
      <c r="G33" s="6">
        <f>IF($B33="","",SUMIFS(Proposal_1!$R$14:$R$300,Proposal_1!$G$14:$G$300,$B33,Proposal_1!$F$14:$F$300,"Included"))</f>
        <v>17140</v>
      </c>
      <c r="H33" s="6">
        <f>IF($B33="","",SUMIFS(Proposal_1!$T$14:$T$300,Proposal_1!$G$14:$G$300,$B33,Proposal_1!$F$14:$F$300,"Included"))</f>
        <v>17140</v>
      </c>
      <c r="I33" s="6">
        <f>IF($B33="","",SUMIFS(Proposal_1!$V$14:$V$300,Proposal_1!$G$14:$G$300,$B33,Proposal_1!$F$14:$F$300,"Included"))</f>
        <v>0</v>
      </c>
      <c r="J33" s="6">
        <f>IF($B33="","",SUMIFS(Proposal_1!$X$14:$X$300,Proposal_1!$G$14:$G$300,$B33,Proposal_1!$F$14:$F$300,"Included"))</f>
        <v>0</v>
      </c>
      <c r="M33" s="6">
        <f>IF($B33="","",SUMIFS(Proposal_2!$J$14:$J$300,Proposal_2!$G$14:$G$300,$B33,Proposal_2!$F$14:$F$300,"Included"))</f>
        <v>0</v>
      </c>
      <c r="N33" s="6">
        <f>IF($B33="","",SUMIFS(Proposal_2!$L$14:$L$300,Proposal_2!$G$14:$G$300,$B33,Proposal_2!$F$14:$F$300,"Included"))</f>
        <v>0</v>
      </c>
      <c r="O33" s="6">
        <f>IF($B33="","",SUMIFS(Proposal_2!$N$14:$N$300,Proposal_2!$G$14:$G$300,$B33,Proposal_2!$F$14:$F$300,"Included"))</f>
        <v>0</v>
      </c>
      <c r="P33" s="6">
        <f>IF($B33="","",SUMIFS(Proposal_2!$P$14:$P$300,Proposal_2!$G$14:$G$300,$B33,Proposal_2!$F$14:$F$300,"Included"))</f>
        <v>0</v>
      </c>
      <c r="Q33" s="6">
        <f>IF($B33="","",SUMIFS(Proposal_2!$R$14:$R$300,Proposal_2!$G$14:$G$300,$B33,Proposal_2!$F$14:$F$300,"Included"))</f>
        <v>0</v>
      </c>
      <c r="R33" s="6">
        <f>IF($B33="","",SUMIFS(Proposal_2!$T$14:$T$300,Proposal_2!$G$14:$G$300,$B33,Proposal_2!$F$14:$F$300,"Included"))</f>
        <v>0</v>
      </c>
      <c r="S33" s="6">
        <f>IF($B33="","",SUMIFS(Proposal_2!$V$14:$V$300,Proposal_2!$G$14:$G$300,$B33,Proposal_2!$F$14:$F$300,"Included"))</f>
        <v>0</v>
      </c>
      <c r="T33" s="6">
        <f>IF($B33="","",SUMIFS(Proposal_2!$X$14:$X$300,Proposal_2!$G$14:$G$300,$B33,Proposal_2!$F$14:$F$300,"Included"))</f>
        <v>0</v>
      </c>
      <c r="W33" s="6">
        <f>IF($B33="","",SUMIFS(Proposal_3!$J$14:$J$300,Proposal_3!$G$14:$G$300,$B33,Proposal_3!$F$14:$F$300,"Included"))</f>
        <v>0</v>
      </c>
      <c r="X33" s="6">
        <f>IF($B33="","",SUMIFS(Proposal_3!$L$14:$L$300,Proposal_3!$G$14:$G$300,$B33,Proposal_3!$F$14:$F$300,"Included"))</f>
        <v>0</v>
      </c>
      <c r="Y33" s="6">
        <f>IF($B33="","",SUMIFS(Proposal_3!$N$14:$N$300,Proposal_3!$G$14:$G$300,$B33,Proposal_3!$F$14:$F$300,"Included"))</f>
        <v>0</v>
      </c>
      <c r="Z33" s="6">
        <f>IF($B33="","",SUMIFS(Proposal_3!$P$14:$P$300,Proposal_3!$G$14:$G$300,$B33,Proposal_3!$F$14:$F$300,"Included"))</f>
        <v>0</v>
      </c>
      <c r="AA33" s="6">
        <f>IF($B33="","",SUMIFS(Proposal_3!$R$14:$R$300,Proposal_3!$G$14:$G$300,$B33,Proposal_3!$F$14:$F$300,"Included"))</f>
        <v>0</v>
      </c>
      <c r="AB33" s="6">
        <f>IF($B33="","",SUMIFS(Proposal_3!$T$14:$T$300,Proposal_3!$G$14:$G$300,$B33,Proposal_3!$F$14:$F$300,"Included"))</f>
        <v>0</v>
      </c>
      <c r="AC33" s="6">
        <f>IF($B33="","",SUMIFS(Proposal_3!$V$14:$V$300,Proposal_3!$G$14:$G$300,$B33,Proposal_3!$F$14:$F$300,"Included"))</f>
        <v>0</v>
      </c>
      <c r="AD33" s="6">
        <f>IF($B33="","",SUMIFS(Proposal_3!$X$14:$X$300,Proposal_3!$G$14:$G$300,$B33,Proposal_3!$F$14:$F$300,"Included"))</f>
        <v>0</v>
      </c>
    </row>
    <row r="34" spans="2:30" x14ac:dyDescent="0.25">
      <c r="B34" t="str">
        <v>Ensenta</v>
      </c>
      <c r="C34" s="6">
        <f>IF($B34="","",SUMIFS(Proposal_1!$J$14:$J$300,Proposal_1!$G$14:$G$300,$B34,Proposal_1!$F$14:$F$300,"Included"))</f>
        <v>0</v>
      </c>
      <c r="D34" s="6">
        <f>IF($B34="","",SUMIFS(Proposal_1!$L$14:$L$300,Proposal_1!$G$14:$G$300,$B34,Proposal_1!$F$14:$F$300,"Included"))</f>
        <v>0</v>
      </c>
      <c r="E34" s="6">
        <f>IF($B34="","",SUMIFS(Proposal_1!$N$14:$N$300,Proposal_1!$G$14:$G$300,$B34,Proposal_1!$F$14:$F$300,"Included"))</f>
        <v>0</v>
      </c>
      <c r="F34" s="6">
        <f>IF($B34="","",SUMIFS(Proposal_1!$P$14:$P$300,Proposal_1!$G$14:$G$300,$B34,Proposal_1!$F$14:$F$300,"Included"))</f>
        <v>0</v>
      </c>
      <c r="G34" s="6">
        <f>IF($B34="","",SUMIFS(Proposal_1!$R$14:$R$300,Proposal_1!$G$14:$G$300,$B34,Proposal_1!$F$14:$F$300,"Included"))</f>
        <v>0</v>
      </c>
      <c r="H34" s="6">
        <f>IF($B34="","",SUMIFS(Proposal_1!$T$14:$T$300,Proposal_1!$G$14:$G$300,$B34,Proposal_1!$F$14:$F$300,"Included"))</f>
        <v>0</v>
      </c>
      <c r="I34" s="6">
        <f>IF($B34="","",SUMIFS(Proposal_1!$V$14:$V$300,Proposal_1!$G$14:$G$300,$B34,Proposal_1!$F$14:$F$300,"Included"))</f>
        <v>0</v>
      </c>
      <c r="J34" s="6">
        <f>IF($B34="","",SUMIFS(Proposal_1!$X$14:$X$300,Proposal_1!$G$14:$G$300,$B34,Proposal_1!$F$14:$F$300,"Included"))</f>
        <v>0</v>
      </c>
      <c r="M34" s="6">
        <f>IF($B34="","",SUMIFS(Proposal_2!$J$14:$J$300,Proposal_2!$G$14:$G$300,$B34,Proposal_2!$F$14:$F$300,"Included"))</f>
        <v>0</v>
      </c>
      <c r="N34" s="6">
        <f>IF($B34="","",SUMIFS(Proposal_2!$L$14:$L$300,Proposal_2!$G$14:$G$300,$B34,Proposal_2!$F$14:$F$300,"Included"))</f>
        <v>0</v>
      </c>
      <c r="O34" s="6">
        <f>IF($B34="","",SUMIFS(Proposal_2!$N$14:$N$300,Proposal_2!$G$14:$G$300,$B34,Proposal_2!$F$14:$F$300,"Included"))</f>
        <v>0</v>
      </c>
      <c r="P34" s="6">
        <f>IF($B34="","",SUMIFS(Proposal_2!$P$14:$P$300,Proposal_2!$G$14:$G$300,$B34,Proposal_2!$F$14:$F$300,"Included"))</f>
        <v>0</v>
      </c>
      <c r="Q34" s="6">
        <f>IF($B34="","",SUMIFS(Proposal_2!$R$14:$R$300,Proposal_2!$G$14:$G$300,$B34,Proposal_2!$F$14:$F$300,"Included"))</f>
        <v>0</v>
      </c>
      <c r="R34" s="6">
        <f>IF($B34="","",SUMIFS(Proposal_2!$T$14:$T$300,Proposal_2!$G$14:$G$300,$B34,Proposal_2!$F$14:$F$300,"Included"))</f>
        <v>0</v>
      </c>
      <c r="S34" s="6">
        <f>IF($B34="","",SUMIFS(Proposal_2!$V$14:$V$300,Proposal_2!$G$14:$G$300,$B34,Proposal_2!$F$14:$F$300,"Included"))</f>
        <v>0</v>
      </c>
      <c r="T34" s="6">
        <f>IF($B34="","",SUMIFS(Proposal_2!$X$14:$X$300,Proposal_2!$G$14:$G$300,$B34,Proposal_2!$F$14:$F$300,"Included"))</f>
        <v>0</v>
      </c>
      <c r="W34" s="6">
        <f>IF($B34="","",SUMIFS(Proposal_3!$J$14:$J$300,Proposal_3!$G$14:$G$300,$B34,Proposal_3!$F$14:$F$300,"Included"))</f>
        <v>0</v>
      </c>
      <c r="X34" s="6">
        <f>IF($B34="","",SUMIFS(Proposal_3!$L$14:$L$300,Proposal_3!$G$14:$G$300,$B34,Proposal_3!$F$14:$F$300,"Included"))</f>
        <v>0</v>
      </c>
      <c r="Y34" s="6">
        <f>IF($B34="","",SUMIFS(Proposal_3!$N$14:$N$300,Proposal_3!$G$14:$G$300,$B34,Proposal_3!$F$14:$F$300,"Included"))</f>
        <v>0</v>
      </c>
      <c r="Z34" s="6">
        <f>IF($B34="","",SUMIFS(Proposal_3!$P$14:$P$300,Proposal_3!$G$14:$G$300,$B34,Proposal_3!$F$14:$F$300,"Included"))</f>
        <v>0</v>
      </c>
      <c r="AA34" s="6">
        <f>IF($B34="","",SUMIFS(Proposal_3!$R$14:$R$300,Proposal_3!$G$14:$G$300,$B34,Proposal_3!$F$14:$F$300,"Included"))</f>
        <v>0</v>
      </c>
      <c r="AB34" s="6">
        <f>IF($B34="","",SUMIFS(Proposal_3!$T$14:$T$300,Proposal_3!$G$14:$G$300,$B34,Proposal_3!$F$14:$F$300,"Included"))</f>
        <v>0</v>
      </c>
      <c r="AC34" s="6">
        <f>IF($B34="","",SUMIFS(Proposal_3!$V$14:$V$300,Proposal_3!$G$14:$G$300,$B34,Proposal_3!$F$14:$F$300,"Included"))</f>
        <v>0</v>
      </c>
      <c r="AD34" s="6">
        <f>IF($B34="","",SUMIFS(Proposal_3!$X$14:$X$300,Proposal_3!$G$14:$G$300,$B34,Proposal_3!$F$14:$F$300,"Included"))</f>
        <v>0</v>
      </c>
    </row>
    <row r="35" spans="2:30" x14ac:dyDescent="0.25">
      <c r="B35" t="str">
        <v>Op Assessment</v>
      </c>
      <c r="C35" s="6">
        <f>IF($B35="","",SUMIFS(Proposal_1!$J$14:$J$300,Proposal_1!$G$14:$G$300,$B35,Proposal_1!$F$14:$F$300,"Included"))</f>
        <v>0</v>
      </c>
      <c r="D35" s="6">
        <f>IF($B35="","",SUMIFS(Proposal_1!$L$14:$L$300,Proposal_1!$G$14:$G$300,$B35,Proposal_1!$F$14:$F$300,"Included"))</f>
        <v>0</v>
      </c>
      <c r="E35" s="6">
        <f>IF($B35="","",SUMIFS(Proposal_1!$N$14:$N$300,Proposal_1!$G$14:$G$300,$B35,Proposal_1!$F$14:$F$300,"Included"))</f>
        <v>30000</v>
      </c>
      <c r="F35" s="6">
        <f>IF($B35="","",SUMIFS(Proposal_1!$P$14:$P$300,Proposal_1!$G$14:$G$300,$B35,Proposal_1!$F$14:$F$300,"Included"))</f>
        <v>30000</v>
      </c>
      <c r="G35" s="6">
        <f>IF($B35="","",SUMIFS(Proposal_1!$R$14:$R$300,Proposal_1!$G$14:$G$300,$B35,Proposal_1!$F$14:$F$300,"Included"))</f>
        <v>0</v>
      </c>
      <c r="H35" s="6">
        <f>IF($B35="","",SUMIFS(Proposal_1!$T$14:$T$300,Proposal_1!$G$14:$G$300,$B35,Proposal_1!$F$14:$F$300,"Included"))</f>
        <v>0</v>
      </c>
      <c r="I35" s="6">
        <f>IF($B35="","",SUMIFS(Proposal_1!$V$14:$V$300,Proposal_1!$G$14:$G$300,$B35,Proposal_1!$F$14:$F$300,"Included"))</f>
        <v>0</v>
      </c>
      <c r="J35" s="6">
        <f>IF($B35="","",SUMIFS(Proposal_1!$X$14:$X$300,Proposal_1!$G$14:$G$300,$B35,Proposal_1!$F$14:$F$300,"Included"))</f>
        <v>0</v>
      </c>
      <c r="M35" s="6">
        <f>IF($B35="","",SUMIFS(Proposal_2!$J$14:$J$300,Proposal_2!$G$14:$G$300,$B35,Proposal_2!$F$14:$F$300,"Included"))</f>
        <v>0</v>
      </c>
      <c r="N35" s="6">
        <f>IF($B35="","",SUMIFS(Proposal_2!$L$14:$L$300,Proposal_2!$G$14:$G$300,$B35,Proposal_2!$F$14:$F$300,"Included"))</f>
        <v>0</v>
      </c>
      <c r="O35" s="6">
        <f>IF($B35="","",SUMIFS(Proposal_2!$N$14:$N$300,Proposal_2!$G$14:$G$300,$B35,Proposal_2!$F$14:$F$300,"Included"))</f>
        <v>0</v>
      </c>
      <c r="P35" s="6">
        <f>IF($B35="","",SUMIFS(Proposal_2!$P$14:$P$300,Proposal_2!$G$14:$G$300,$B35,Proposal_2!$F$14:$F$300,"Included"))</f>
        <v>0</v>
      </c>
      <c r="Q35" s="6">
        <f>IF($B35="","",SUMIFS(Proposal_2!$R$14:$R$300,Proposal_2!$G$14:$G$300,$B35,Proposal_2!$F$14:$F$300,"Included"))</f>
        <v>0</v>
      </c>
      <c r="R35" s="6">
        <f>IF($B35="","",SUMIFS(Proposal_2!$T$14:$T$300,Proposal_2!$G$14:$G$300,$B35,Proposal_2!$F$14:$F$300,"Included"))</f>
        <v>0</v>
      </c>
      <c r="S35" s="6">
        <f>IF($B35="","",SUMIFS(Proposal_2!$V$14:$V$300,Proposal_2!$G$14:$G$300,$B35,Proposal_2!$F$14:$F$300,"Included"))</f>
        <v>0</v>
      </c>
      <c r="T35" s="6">
        <f>IF($B35="","",SUMIFS(Proposal_2!$X$14:$X$300,Proposal_2!$G$14:$G$300,$B35,Proposal_2!$F$14:$F$300,"Included"))</f>
        <v>0</v>
      </c>
      <c r="W35" s="6">
        <f>IF($B35="","",SUMIFS(Proposal_3!$J$14:$J$300,Proposal_3!$G$14:$G$300,$B35,Proposal_3!$F$14:$F$300,"Included"))</f>
        <v>0</v>
      </c>
      <c r="X35" s="6">
        <f>IF($B35="","",SUMIFS(Proposal_3!$L$14:$L$300,Proposal_3!$G$14:$G$300,$B35,Proposal_3!$F$14:$F$300,"Included"))</f>
        <v>0</v>
      </c>
      <c r="Y35" s="6">
        <f>IF($B35="","",SUMIFS(Proposal_3!$N$14:$N$300,Proposal_3!$G$14:$G$300,$B35,Proposal_3!$F$14:$F$300,"Included"))</f>
        <v>0</v>
      </c>
      <c r="Z35" s="6">
        <f>IF($B35="","",SUMIFS(Proposal_3!$P$14:$P$300,Proposal_3!$G$14:$G$300,$B35,Proposal_3!$F$14:$F$300,"Included"))</f>
        <v>0</v>
      </c>
      <c r="AA35" s="6">
        <f>IF($B35="","",SUMIFS(Proposal_3!$R$14:$R$300,Proposal_3!$G$14:$G$300,$B35,Proposal_3!$F$14:$F$300,"Included"))</f>
        <v>0</v>
      </c>
      <c r="AB35" s="6">
        <f>IF($B35="","",SUMIFS(Proposal_3!$T$14:$T$300,Proposal_3!$G$14:$G$300,$B35,Proposal_3!$F$14:$F$300,"Included"))</f>
        <v>0</v>
      </c>
      <c r="AC35" s="6">
        <f>IF($B35="","",SUMIFS(Proposal_3!$V$14:$V$300,Proposal_3!$G$14:$G$300,$B35,Proposal_3!$F$14:$F$300,"Included"))</f>
        <v>0</v>
      </c>
      <c r="AD35" s="6">
        <f>IF($B35="","",SUMIFS(Proposal_3!$X$14:$X$300,Proposal_3!$G$14:$G$300,$B35,Proposal_3!$F$14:$F$300,"Included"))</f>
        <v>0</v>
      </c>
    </row>
    <row r="36" spans="2:30" x14ac:dyDescent="0.25">
      <c r="C36" s="6" t="str">
        <f>IF($B36="","",SUMIFS(Proposal_1!$J$14:$J$300,Proposal_1!$G$14:$G$300,$B36,Proposal_1!$F$14:$F$300,"Included"))</f>
        <v/>
      </c>
      <c r="D36" s="6" t="str">
        <f>IF($B36="","",SUMIFS(Proposal_1!$L$14:$L$300,Proposal_1!$G$14:$G$300,$B36,Proposal_1!$F$14:$F$300,"Included"))</f>
        <v/>
      </c>
      <c r="E36" s="6" t="str">
        <f>IF($B36="","",SUMIFS(Proposal_1!$N$14:$N$300,Proposal_1!$G$14:$G$300,$B36,Proposal_1!$F$14:$F$300,"Included"))</f>
        <v/>
      </c>
      <c r="F36" s="6" t="str">
        <f>IF($B36="","",SUMIFS(Proposal_1!$P$14:$P$300,Proposal_1!$G$14:$G$300,$B36,Proposal_1!$F$14:$F$300,"Included"))</f>
        <v/>
      </c>
      <c r="G36" s="6" t="str">
        <f>IF($B36="","",SUMIFS(Proposal_1!$R$14:$R$300,Proposal_1!$G$14:$G$300,$B36,Proposal_1!$F$14:$F$300,"Included"))</f>
        <v/>
      </c>
      <c r="H36" s="6" t="str">
        <f>IF($B36="","",SUMIFS(Proposal_1!$T$14:$T$300,Proposal_1!$G$14:$G$300,$B36,Proposal_1!$F$14:$F$300,"Included"))</f>
        <v/>
      </c>
      <c r="I36" s="6" t="str">
        <f>IF($B36="","",SUMIFS(Proposal_1!$V$14:$V$300,Proposal_1!$G$14:$G$300,$B36,Proposal_1!$F$14:$F$300,"Included"))</f>
        <v/>
      </c>
      <c r="J36" s="6" t="str">
        <f>IF($B36="","",SUMIFS(Proposal_1!$X$14:$X$300,Proposal_1!$G$14:$G$300,$B36,Proposal_1!$F$14:$F$300,"Included"))</f>
        <v/>
      </c>
      <c r="M36" s="6" t="str">
        <f>IF($B36="","",SUMIFS(Proposal_2!$J$14:$J$300,Proposal_2!$G$14:$G$300,$B36,Proposal_2!$F$14:$F$300,"Included"))</f>
        <v/>
      </c>
      <c r="N36" s="6" t="str">
        <f>IF($B36="","",SUMIFS(Proposal_2!$L$14:$L$300,Proposal_2!$G$14:$G$300,$B36,Proposal_2!$F$14:$F$300,"Included"))</f>
        <v/>
      </c>
      <c r="O36" s="6" t="str">
        <f>IF($B36="","",SUMIFS(Proposal_2!$N$14:$N$300,Proposal_2!$G$14:$G$300,$B36,Proposal_2!$F$14:$F$300,"Included"))</f>
        <v/>
      </c>
      <c r="P36" s="6" t="str">
        <f>IF($B36="","",SUMIFS(Proposal_2!$P$14:$P$300,Proposal_2!$G$14:$G$300,$B36,Proposal_2!$F$14:$F$300,"Included"))</f>
        <v/>
      </c>
      <c r="Q36" s="6" t="str">
        <f>IF($B36="","",SUMIFS(Proposal_2!$R$14:$R$300,Proposal_2!$G$14:$G$300,$B36,Proposal_2!$F$14:$F$300,"Included"))</f>
        <v/>
      </c>
      <c r="R36" s="6" t="str">
        <f>IF($B36="","",SUMIFS(Proposal_2!$T$14:$T$300,Proposal_2!$G$14:$G$300,$B36,Proposal_2!$F$14:$F$300,"Included"))</f>
        <v/>
      </c>
      <c r="S36" s="6" t="str">
        <f>IF($B36="","",SUMIFS(Proposal_2!$V$14:$V$300,Proposal_2!$G$14:$G$300,$B36,Proposal_2!$F$14:$F$300,"Included"))</f>
        <v/>
      </c>
      <c r="T36" s="6" t="str">
        <f>IF($B36="","",SUMIFS(Proposal_2!$X$14:$X$300,Proposal_2!$G$14:$G$300,$B36,Proposal_2!$F$14:$F$300,"Included"))</f>
        <v/>
      </c>
      <c r="W36" s="6" t="str">
        <f>IF($B36="","",SUMIFS(Proposal_3!$J$14:$J$300,Proposal_3!$G$14:$G$300,$B36,Proposal_3!$F$14:$F$300,"Included"))</f>
        <v/>
      </c>
      <c r="X36" s="6" t="str">
        <f>IF($B36="","",SUMIFS(Proposal_3!$L$14:$L$300,Proposal_3!$G$14:$G$300,$B36,Proposal_3!$F$14:$F$300,"Included"))</f>
        <v/>
      </c>
      <c r="Y36" s="6" t="str">
        <f>IF($B36="","",SUMIFS(Proposal_3!$N$14:$N$300,Proposal_3!$G$14:$G$300,$B36,Proposal_3!$F$14:$F$300,"Included"))</f>
        <v/>
      </c>
      <c r="Z36" s="6" t="str">
        <f>IF($B36="","",SUMIFS(Proposal_3!$P$14:$P$300,Proposal_3!$G$14:$G$300,$B36,Proposal_3!$F$14:$F$300,"Included"))</f>
        <v/>
      </c>
      <c r="AA36" s="6" t="str">
        <f>IF($B36="","",SUMIFS(Proposal_3!$R$14:$R$300,Proposal_3!$G$14:$G$300,$B36,Proposal_3!$F$14:$F$300,"Included"))</f>
        <v/>
      </c>
      <c r="AB36" s="6" t="str">
        <f>IF($B36="","",SUMIFS(Proposal_3!$T$14:$T$300,Proposal_3!$G$14:$G$300,$B36,Proposal_3!$F$14:$F$300,"Included"))</f>
        <v/>
      </c>
      <c r="AC36" s="6" t="str">
        <f>IF($B36="","",SUMIFS(Proposal_3!$V$14:$V$300,Proposal_3!$G$14:$G$300,$B36,Proposal_3!$F$14:$F$300,"Included"))</f>
        <v/>
      </c>
      <c r="AD36" s="6" t="str">
        <f>IF($B36="","",SUMIFS(Proposal_3!$X$14:$X$300,Proposal_3!$G$14:$G$300,$B36,Proposal_3!$F$14:$F$300,"Included"))</f>
        <v/>
      </c>
    </row>
    <row r="37" spans="2:30" x14ac:dyDescent="0.25">
      <c r="C37" s="6" t="str">
        <f>IF($B37="","",SUMIFS(Proposal_1!$J$14:$J$300,Proposal_1!$G$14:$G$300,$B37,Proposal_1!$F$14:$F$300,"Included"))</f>
        <v/>
      </c>
      <c r="D37" s="6" t="str">
        <f>IF($B37="","",SUMIFS(Proposal_1!$L$14:$L$300,Proposal_1!$G$14:$G$300,$B37,Proposal_1!$F$14:$F$300,"Included"))</f>
        <v/>
      </c>
      <c r="E37" s="6" t="str">
        <f>IF($B37="","",SUMIFS(Proposal_1!$N$14:$N$300,Proposal_1!$G$14:$G$300,$B37,Proposal_1!$F$14:$F$300,"Included"))</f>
        <v/>
      </c>
      <c r="F37" s="6" t="str">
        <f>IF($B37="","",SUMIFS(Proposal_1!$P$14:$P$300,Proposal_1!$G$14:$G$300,$B37,Proposal_1!$F$14:$F$300,"Included"))</f>
        <v/>
      </c>
      <c r="G37" s="6" t="str">
        <f>IF($B37="","",SUMIFS(Proposal_1!$R$14:$R$300,Proposal_1!$G$14:$G$300,$B37,Proposal_1!$F$14:$F$300,"Included"))</f>
        <v/>
      </c>
      <c r="H37" s="6" t="str">
        <f>IF($B37="","",SUMIFS(Proposal_1!$T$14:$T$300,Proposal_1!$G$14:$G$300,$B37,Proposal_1!$F$14:$F$300,"Included"))</f>
        <v/>
      </c>
      <c r="I37" s="6" t="str">
        <f>IF($B37="","",SUMIFS(Proposal_1!$V$14:$V$300,Proposal_1!$G$14:$G$300,$B37,Proposal_1!$F$14:$F$300,"Included"))</f>
        <v/>
      </c>
      <c r="J37" s="6" t="str">
        <f>IF($B37="","",SUMIFS(Proposal_1!$X$14:$X$300,Proposal_1!$G$14:$G$300,$B37,Proposal_1!$F$14:$F$300,"Included"))</f>
        <v/>
      </c>
      <c r="M37" s="6" t="str">
        <f>IF($B37="","",SUMIFS(Proposal_2!$J$14:$J$300,Proposal_2!$G$14:$G$300,$B37,Proposal_2!$F$14:$F$300,"Included"))</f>
        <v/>
      </c>
      <c r="N37" s="6" t="str">
        <f>IF($B37="","",SUMIFS(Proposal_2!$L$14:$L$300,Proposal_2!$G$14:$G$300,$B37,Proposal_2!$F$14:$F$300,"Included"))</f>
        <v/>
      </c>
      <c r="O37" s="6" t="str">
        <f>IF($B37="","",SUMIFS(Proposal_2!$N$14:$N$300,Proposal_2!$G$14:$G$300,$B37,Proposal_2!$F$14:$F$300,"Included"))</f>
        <v/>
      </c>
      <c r="P37" s="6" t="str">
        <f>IF($B37="","",SUMIFS(Proposal_2!$P$14:$P$300,Proposal_2!$G$14:$G$300,$B37,Proposal_2!$F$14:$F$300,"Included"))</f>
        <v/>
      </c>
      <c r="Q37" s="6" t="str">
        <f>IF($B37="","",SUMIFS(Proposal_2!$R$14:$R$300,Proposal_2!$G$14:$G$300,$B37,Proposal_2!$F$14:$F$300,"Included"))</f>
        <v/>
      </c>
      <c r="R37" s="6" t="str">
        <f>IF($B37="","",SUMIFS(Proposal_2!$T$14:$T$300,Proposal_2!$G$14:$G$300,$B37,Proposal_2!$F$14:$F$300,"Included"))</f>
        <v/>
      </c>
      <c r="S37" s="6" t="str">
        <f>IF($B37="","",SUMIFS(Proposal_2!$V$14:$V$300,Proposal_2!$G$14:$G$300,$B37,Proposal_2!$F$14:$F$300,"Included"))</f>
        <v/>
      </c>
      <c r="T37" s="6" t="str">
        <f>IF($B37="","",SUMIFS(Proposal_2!$X$14:$X$300,Proposal_2!$G$14:$G$300,$B37,Proposal_2!$F$14:$F$300,"Included"))</f>
        <v/>
      </c>
      <c r="W37" s="6" t="str">
        <f>IF($B37="","",SUMIFS(Proposal_3!$J$14:$J$300,Proposal_3!$G$14:$G$300,$B37,Proposal_3!$F$14:$F$300,"Included"))</f>
        <v/>
      </c>
      <c r="X37" s="6" t="str">
        <f>IF($B37="","",SUMIFS(Proposal_3!$L$14:$L$300,Proposal_3!$G$14:$G$300,$B37,Proposal_3!$F$14:$F$300,"Included"))</f>
        <v/>
      </c>
      <c r="Y37" s="6" t="str">
        <f>IF($B37="","",SUMIFS(Proposal_3!$N$14:$N$300,Proposal_3!$G$14:$G$300,$B37,Proposal_3!$F$14:$F$300,"Included"))</f>
        <v/>
      </c>
      <c r="Z37" s="6" t="str">
        <f>IF($B37="","",SUMIFS(Proposal_3!$P$14:$P$300,Proposal_3!$G$14:$G$300,$B37,Proposal_3!$F$14:$F$300,"Included"))</f>
        <v/>
      </c>
      <c r="AA37" s="6" t="str">
        <f>IF($B37="","",SUMIFS(Proposal_3!$R$14:$R$300,Proposal_3!$G$14:$G$300,$B37,Proposal_3!$F$14:$F$300,"Included"))</f>
        <v/>
      </c>
      <c r="AB37" s="6" t="str">
        <f>IF($B37="","",SUMIFS(Proposal_3!$T$14:$T$300,Proposal_3!$G$14:$G$300,$B37,Proposal_3!$F$14:$F$300,"Included"))</f>
        <v/>
      </c>
      <c r="AC37" s="6" t="str">
        <f>IF($B37="","",SUMIFS(Proposal_3!$V$14:$V$300,Proposal_3!$G$14:$G$300,$B37,Proposal_3!$F$14:$F$300,"Included"))</f>
        <v/>
      </c>
      <c r="AD37" s="6" t="str">
        <f>IF($B37="","",SUMIFS(Proposal_3!$X$14:$X$300,Proposal_3!$G$14:$G$300,$B37,Proposal_3!$F$14:$F$300,"Included"))</f>
        <v/>
      </c>
    </row>
    <row r="38" spans="2:30" x14ac:dyDescent="0.25">
      <c r="C38" s="6" t="str">
        <f>IF($B38="","",SUMIFS(Proposal_1!$J$14:$J$300,Proposal_1!$G$14:$G$300,$B38,Proposal_1!$F$14:$F$300,"Included"))</f>
        <v/>
      </c>
      <c r="D38" s="6" t="str">
        <f>IF($B38="","",SUMIFS(Proposal_1!$L$14:$L$300,Proposal_1!$G$14:$G$300,$B38,Proposal_1!$F$14:$F$300,"Included"))</f>
        <v/>
      </c>
      <c r="E38" s="6" t="str">
        <f>IF($B38="","",SUMIFS(Proposal_1!$N$14:$N$300,Proposal_1!$G$14:$G$300,$B38,Proposal_1!$F$14:$F$300,"Included"))</f>
        <v/>
      </c>
      <c r="F38" s="6" t="str">
        <f>IF($B38="","",SUMIFS(Proposal_1!$P$14:$P$300,Proposal_1!$G$14:$G$300,$B38,Proposal_1!$F$14:$F$300,"Included"))</f>
        <v/>
      </c>
      <c r="G38" s="6" t="str">
        <f>IF($B38="","",SUMIFS(Proposal_1!$R$14:$R$300,Proposal_1!$G$14:$G$300,$B38,Proposal_1!$F$14:$F$300,"Included"))</f>
        <v/>
      </c>
      <c r="H38" s="6" t="str">
        <f>IF($B38="","",SUMIFS(Proposal_1!$T$14:$T$300,Proposal_1!$G$14:$G$300,$B38,Proposal_1!$F$14:$F$300,"Included"))</f>
        <v/>
      </c>
      <c r="I38" s="6" t="str">
        <f>IF($B38="","",SUMIFS(Proposal_1!$V$14:$V$300,Proposal_1!$G$14:$G$300,$B38,Proposal_1!$F$14:$F$300,"Included"))</f>
        <v/>
      </c>
      <c r="J38" s="6" t="str">
        <f>IF($B38="","",SUMIFS(Proposal_1!$X$14:$X$300,Proposal_1!$G$14:$G$300,$B38,Proposal_1!$F$14:$F$300,"Included"))</f>
        <v/>
      </c>
      <c r="M38" s="6" t="str">
        <f>IF($B38="","",SUMIFS(Proposal_2!$J$14:$J$300,Proposal_2!$G$14:$G$300,$B38,Proposal_2!$F$14:$F$300,"Included"))</f>
        <v/>
      </c>
      <c r="N38" s="6" t="str">
        <f>IF($B38="","",SUMIFS(Proposal_2!$L$14:$L$300,Proposal_2!$G$14:$G$300,$B38,Proposal_2!$F$14:$F$300,"Included"))</f>
        <v/>
      </c>
      <c r="O38" s="6" t="str">
        <f>IF($B38="","",SUMIFS(Proposal_2!$N$14:$N$300,Proposal_2!$G$14:$G$300,$B38,Proposal_2!$F$14:$F$300,"Included"))</f>
        <v/>
      </c>
      <c r="P38" s="6" t="str">
        <f>IF($B38="","",SUMIFS(Proposal_2!$P$14:$P$300,Proposal_2!$G$14:$G$300,$B38,Proposal_2!$F$14:$F$300,"Included"))</f>
        <v/>
      </c>
      <c r="Q38" s="6" t="str">
        <f>IF($B38="","",SUMIFS(Proposal_2!$R$14:$R$300,Proposal_2!$G$14:$G$300,$B38,Proposal_2!$F$14:$F$300,"Included"))</f>
        <v/>
      </c>
      <c r="R38" s="6" t="str">
        <f>IF($B38="","",SUMIFS(Proposal_2!$T$14:$T$300,Proposal_2!$G$14:$G$300,$B38,Proposal_2!$F$14:$F$300,"Included"))</f>
        <v/>
      </c>
      <c r="S38" s="6" t="str">
        <f>IF($B38="","",SUMIFS(Proposal_2!$V$14:$V$300,Proposal_2!$G$14:$G$300,$B38,Proposal_2!$F$14:$F$300,"Included"))</f>
        <v/>
      </c>
      <c r="T38" s="6" t="str">
        <f>IF($B38="","",SUMIFS(Proposal_2!$X$14:$X$300,Proposal_2!$G$14:$G$300,$B38,Proposal_2!$F$14:$F$300,"Included"))</f>
        <v/>
      </c>
      <c r="W38" s="6" t="str">
        <f>IF($B38="","",SUMIFS(Proposal_3!$J$14:$J$300,Proposal_3!$G$14:$G$300,$B38,Proposal_3!$F$14:$F$300,"Included"))</f>
        <v/>
      </c>
      <c r="X38" s="6" t="str">
        <f>IF($B38="","",SUMIFS(Proposal_3!$L$14:$L$300,Proposal_3!$G$14:$G$300,$B38,Proposal_3!$F$14:$F$300,"Included"))</f>
        <v/>
      </c>
      <c r="Y38" s="6" t="str">
        <f>IF($B38="","",SUMIFS(Proposal_3!$N$14:$N$300,Proposal_3!$G$14:$G$300,$B38,Proposal_3!$F$14:$F$300,"Included"))</f>
        <v/>
      </c>
      <c r="Z38" s="6" t="str">
        <f>IF($B38="","",SUMIFS(Proposal_3!$P$14:$P$300,Proposal_3!$G$14:$G$300,$B38,Proposal_3!$F$14:$F$300,"Included"))</f>
        <v/>
      </c>
      <c r="AA38" s="6" t="str">
        <f>IF($B38="","",SUMIFS(Proposal_3!$R$14:$R$300,Proposal_3!$G$14:$G$300,$B38,Proposal_3!$F$14:$F$300,"Included"))</f>
        <v/>
      </c>
      <c r="AB38" s="6" t="str">
        <f>IF($B38="","",SUMIFS(Proposal_3!$T$14:$T$300,Proposal_3!$G$14:$G$300,$B38,Proposal_3!$F$14:$F$300,"Included"))</f>
        <v/>
      </c>
      <c r="AC38" s="6" t="str">
        <f>IF($B38="","",SUMIFS(Proposal_3!$V$14:$V$300,Proposal_3!$G$14:$G$300,$B38,Proposal_3!$F$14:$F$300,"Included"))</f>
        <v/>
      </c>
      <c r="AD38" s="6" t="str">
        <f>IF($B38="","",SUMIFS(Proposal_3!$X$14:$X$300,Proposal_3!$G$14:$G$300,$B38,Proposal_3!$F$14:$F$300,"Included"))</f>
        <v/>
      </c>
    </row>
    <row r="39" spans="2:30" x14ac:dyDescent="0.25">
      <c r="C39" s="6" t="str">
        <f>IF($B39="","",SUMIFS(Proposal_1!$J$14:$J$300,Proposal_1!$G$14:$G$300,$B39,Proposal_1!$F$14:$F$300,"Included"))</f>
        <v/>
      </c>
      <c r="D39" s="6" t="str">
        <f>IF($B39="","",SUMIFS(Proposal_1!$L$14:$L$300,Proposal_1!$G$14:$G$300,$B39,Proposal_1!$F$14:$F$300,"Included"))</f>
        <v/>
      </c>
      <c r="E39" s="6" t="str">
        <f>IF($B39="","",SUMIFS(Proposal_1!$N$14:$N$300,Proposal_1!$G$14:$G$300,$B39,Proposal_1!$F$14:$F$300,"Included"))</f>
        <v/>
      </c>
      <c r="F39" s="6" t="str">
        <f>IF($B39="","",SUMIFS(Proposal_1!$P$14:$P$300,Proposal_1!$G$14:$G$300,$B39,Proposal_1!$F$14:$F$300,"Included"))</f>
        <v/>
      </c>
      <c r="G39" s="6" t="str">
        <f>IF($B39="","",SUMIFS(Proposal_1!$R$14:$R$300,Proposal_1!$G$14:$G$300,$B39,Proposal_1!$F$14:$F$300,"Included"))</f>
        <v/>
      </c>
      <c r="H39" s="6" t="str">
        <f>IF($B39="","",SUMIFS(Proposal_1!$T$14:$T$300,Proposal_1!$G$14:$G$300,$B39,Proposal_1!$F$14:$F$300,"Included"))</f>
        <v/>
      </c>
      <c r="I39" s="6" t="str">
        <f>IF($B39="","",SUMIFS(Proposal_1!$V$14:$V$300,Proposal_1!$G$14:$G$300,$B39,Proposal_1!$F$14:$F$300,"Included"))</f>
        <v/>
      </c>
      <c r="J39" s="6" t="str">
        <f>IF($B39="","",SUMIFS(Proposal_1!$X$14:$X$300,Proposal_1!$G$14:$G$300,$B39,Proposal_1!$F$14:$F$300,"Included"))</f>
        <v/>
      </c>
      <c r="M39" s="6" t="str">
        <f>IF($B39="","",SUMIFS(Proposal_2!$J$14:$J$300,Proposal_2!$G$14:$G$300,$B39,Proposal_2!$F$14:$F$300,"Included"))</f>
        <v/>
      </c>
      <c r="N39" s="6" t="str">
        <f>IF($B39="","",SUMIFS(Proposal_2!$L$14:$L$300,Proposal_2!$G$14:$G$300,$B39,Proposal_2!$F$14:$F$300,"Included"))</f>
        <v/>
      </c>
      <c r="O39" s="6" t="str">
        <f>IF($B39="","",SUMIFS(Proposal_2!$N$14:$N$300,Proposal_2!$G$14:$G$300,$B39,Proposal_2!$F$14:$F$300,"Included"))</f>
        <v/>
      </c>
      <c r="P39" s="6" t="str">
        <f>IF($B39="","",SUMIFS(Proposal_2!$P$14:$P$300,Proposal_2!$G$14:$G$300,$B39,Proposal_2!$F$14:$F$300,"Included"))</f>
        <v/>
      </c>
      <c r="Q39" s="6" t="str">
        <f>IF($B39="","",SUMIFS(Proposal_2!$R$14:$R$300,Proposal_2!$G$14:$G$300,$B39,Proposal_2!$F$14:$F$300,"Included"))</f>
        <v/>
      </c>
      <c r="R39" s="6" t="str">
        <f>IF($B39="","",SUMIFS(Proposal_2!$T$14:$T$300,Proposal_2!$G$14:$G$300,$B39,Proposal_2!$F$14:$F$300,"Included"))</f>
        <v/>
      </c>
      <c r="S39" s="6" t="str">
        <f>IF($B39="","",SUMIFS(Proposal_2!$V$14:$V$300,Proposal_2!$G$14:$G$300,$B39,Proposal_2!$F$14:$F$300,"Included"))</f>
        <v/>
      </c>
      <c r="T39" s="6" t="str">
        <f>IF($B39="","",SUMIFS(Proposal_2!$X$14:$X$300,Proposal_2!$G$14:$G$300,$B39,Proposal_2!$F$14:$F$300,"Included"))</f>
        <v/>
      </c>
      <c r="W39" s="6" t="str">
        <f>IF($B39="","",SUMIFS(Proposal_3!$J$14:$J$300,Proposal_3!$G$14:$G$300,$B39,Proposal_3!$F$14:$F$300,"Included"))</f>
        <v/>
      </c>
      <c r="X39" s="6" t="str">
        <f>IF($B39="","",SUMIFS(Proposal_3!$L$14:$L$300,Proposal_3!$G$14:$G$300,$B39,Proposal_3!$F$14:$F$300,"Included"))</f>
        <v/>
      </c>
      <c r="Y39" s="6" t="str">
        <f>IF($B39="","",SUMIFS(Proposal_3!$N$14:$N$300,Proposal_3!$G$14:$G$300,$B39,Proposal_3!$F$14:$F$300,"Included"))</f>
        <v/>
      </c>
      <c r="Z39" s="6" t="str">
        <f>IF($B39="","",SUMIFS(Proposal_3!$P$14:$P$300,Proposal_3!$G$14:$G$300,$B39,Proposal_3!$F$14:$F$300,"Included"))</f>
        <v/>
      </c>
      <c r="AA39" s="6" t="str">
        <f>IF($B39="","",SUMIFS(Proposal_3!$R$14:$R$300,Proposal_3!$G$14:$G$300,$B39,Proposal_3!$F$14:$F$300,"Included"))</f>
        <v/>
      </c>
      <c r="AB39" s="6" t="str">
        <f>IF($B39="","",SUMIFS(Proposal_3!$T$14:$T$300,Proposal_3!$G$14:$G$300,$B39,Proposal_3!$F$14:$F$300,"Included"))</f>
        <v/>
      </c>
      <c r="AC39" s="6" t="str">
        <f>IF($B39="","",SUMIFS(Proposal_3!$V$14:$V$300,Proposal_3!$G$14:$G$300,$B39,Proposal_3!$F$14:$F$300,"Included"))</f>
        <v/>
      </c>
      <c r="AD39" s="6" t="str">
        <f>IF($B39="","",SUMIFS(Proposal_3!$X$14:$X$300,Proposal_3!$G$14:$G$300,$B39,Proposal_3!$F$14:$F$300,"Included"))</f>
        <v/>
      </c>
    </row>
    <row r="40" spans="2:30" x14ac:dyDescent="0.25">
      <c r="C40" s="6" t="str">
        <f>IF($B40="","",SUMIFS(Proposal_1!$J$14:$J$300,Proposal_1!$G$14:$G$300,$B40,Proposal_1!$F$14:$F$300,"Included"))</f>
        <v/>
      </c>
      <c r="D40" s="6" t="str">
        <f>IF($B40="","",SUMIFS(Proposal_1!$L$14:$L$300,Proposal_1!$G$14:$G$300,$B40,Proposal_1!$F$14:$F$300,"Included"))</f>
        <v/>
      </c>
      <c r="E40" s="6" t="str">
        <f>IF($B40="","",SUMIFS(Proposal_1!$N$14:$N$300,Proposal_1!$G$14:$G$300,$B40,Proposal_1!$F$14:$F$300,"Included"))</f>
        <v/>
      </c>
      <c r="F40" s="6" t="str">
        <f>IF($B40="","",SUMIFS(Proposal_1!$P$14:$P$300,Proposal_1!$G$14:$G$300,$B40,Proposal_1!$F$14:$F$300,"Included"))</f>
        <v/>
      </c>
      <c r="G40" s="6" t="str">
        <f>IF($B40="","",SUMIFS(Proposal_1!$R$14:$R$300,Proposal_1!$G$14:$G$300,$B40,Proposal_1!$F$14:$F$300,"Included"))</f>
        <v/>
      </c>
      <c r="H40" s="6" t="str">
        <f>IF($B40="","",SUMIFS(Proposal_1!$T$14:$T$300,Proposal_1!$G$14:$G$300,$B40,Proposal_1!$F$14:$F$300,"Included"))</f>
        <v/>
      </c>
      <c r="I40" s="6" t="str">
        <f>IF($B40="","",SUMIFS(Proposal_1!$V$14:$V$300,Proposal_1!$G$14:$G$300,$B40,Proposal_1!$F$14:$F$300,"Included"))</f>
        <v/>
      </c>
      <c r="J40" s="6" t="str">
        <f>IF($B40="","",SUMIFS(Proposal_1!$X$14:$X$300,Proposal_1!$G$14:$G$300,$B40,Proposal_1!$F$14:$F$300,"Included"))</f>
        <v/>
      </c>
      <c r="M40" s="6" t="str">
        <f>IF($B40="","",SUMIFS(Proposal_2!$J$14:$J$300,Proposal_2!$G$14:$G$300,$B40,Proposal_2!$F$14:$F$300,"Included"))</f>
        <v/>
      </c>
      <c r="N40" s="6" t="str">
        <f>IF($B40="","",SUMIFS(Proposal_2!$L$14:$L$300,Proposal_2!$G$14:$G$300,$B40,Proposal_2!$F$14:$F$300,"Included"))</f>
        <v/>
      </c>
      <c r="O40" s="6" t="str">
        <f>IF($B40="","",SUMIFS(Proposal_2!$N$14:$N$300,Proposal_2!$G$14:$G$300,$B40,Proposal_2!$F$14:$F$300,"Included"))</f>
        <v/>
      </c>
      <c r="P40" s="6" t="str">
        <f>IF($B40="","",SUMIFS(Proposal_2!$P$14:$P$300,Proposal_2!$G$14:$G$300,$B40,Proposal_2!$F$14:$F$300,"Included"))</f>
        <v/>
      </c>
      <c r="Q40" s="6" t="str">
        <f>IF($B40="","",SUMIFS(Proposal_2!$R$14:$R$300,Proposal_2!$G$14:$G$300,$B40,Proposal_2!$F$14:$F$300,"Included"))</f>
        <v/>
      </c>
      <c r="R40" s="6" t="str">
        <f>IF($B40="","",SUMIFS(Proposal_2!$T$14:$T$300,Proposal_2!$G$14:$G$300,$B40,Proposal_2!$F$14:$F$300,"Included"))</f>
        <v/>
      </c>
      <c r="S40" s="6" t="str">
        <f>IF($B40="","",SUMIFS(Proposal_2!$V$14:$V$300,Proposal_2!$G$14:$G$300,$B40,Proposal_2!$F$14:$F$300,"Included"))</f>
        <v/>
      </c>
      <c r="T40" s="6" t="str">
        <f>IF($B40="","",SUMIFS(Proposal_2!$X$14:$X$300,Proposal_2!$G$14:$G$300,$B40,Proposal_2!$F$14:$F$300,"Included"))</f>
        <v/>
      </c>
      <c r="W40" s="6" t="str">
        <f>IF($B40="","",SUMIFS(Proposal_3!$J$14:$J$300,Proposal_3!$G$14:$G$300,$B40,Proposal_3!$F$14:$F$300,"Included"))</f>
        <v/>
      </c>
      <c r="X40" s="6" t="str">
        <f>IF($B40="","",SUMIFS(Proposal_3!$L$14:$L$300,Proposal_3!$G$14:$G$300,$B40,Proposal_3!$F$14:$F$300,"Included"))</f>
        <v/>
      </c>
      <c r="Y40" s="6" t="str">
        <f>IF($B40="","",SUMIFS(Proposal_3!$N$14:$N$300,Proposal_3!$G$14:$G$300,$B40,Proposal_3!$F$14:$F$300,"Included"))</f>
        <v/>
      </c>
      <c r="Z40" s="6" t="str">
        <f>IF($B40="","",SUMIFS(Proposal_3!$P$14:$P$300,Proposal_3!$G$14:$G$300,$B40,Proposal_3!$F$14:$F$300,"Included"))</f>
        <v/>
      </c>
      <c r="AA40" s="6" t="str">
        <f>IF($B40="","",SUMIFS(Proposal_3!$R$14:$R$300,Proposal_3!$G$14:$G$300,$B40,Proposal_3!$F$14:$F$300,"Included"))</f>
        <v/>
      </c>
      <c r="AB40" s="6" t="str">
        <f>IF($B40="","",SUMIFS(Proposal_3!$T$14:$T$300,Proposal_3!$G$14:$G$300,$B40,Proposal_3!$F$14:$F$300,"Included"))</f>
        <v/>
      </c>
      <c r="AC40" s="6" t="str">
        <f>IF($B40="","",SUMIFS(Proposal_3!$V$14:$V$300,Proposal_3!$G$14:$G$300,$B40,Proposal_3!$F$14:$F$300,"Included"))</f>
        <v/>
      </c>
      <c r="AD40" s="6" t="str">
        <f>IF($B40="","",SUMIFS(Proposal_3!$X$14:$X$300,Proposal_3!$G$14:$G$300,$B40,Proposal_3!$F$14:$F$300,"Included"))</f>
        <v/>
      </c>
    </row>
    <row r="41" spans="2:30" x14ac:dyDescent="0.25">
      <c r="C41" s="6" t="str">
        <f>IF($B41="","",SUMIFS(Proposal_1!$J$14:$J$300,Proposal_1!$G$14:$G$300,$B41,Proposal_1!$F$14:$F$300,"Included"))</f>
        <v/>
      </c>
      <c r="D41" s="6" t="str">
        <f>IF($B41="","",SUMIFS(Proposal_1!$L$14:$L$300,Proposal_1!$G$14:$G$300,$B41,Proposal_1!$F$14:$F$300,"Included"))</f>
        <v/>
      </c>
      <c r="E41" s="6" t="str">
        <f>IF($B41="","",SUMIFS(Proposal_1!$N$14:$N$300,Proposal_1!$G$14:$G$300,$B41,Proposal_1!$F$14:$F$300,"Included"))</f>
        <v/>
      </c>
      <c r="F41" s="6" t="str">
        <f>IF($B41="","",SUMIFS(Proposal_1!$P$14:$P$300,Proposal_1!$G$14:$G$300,$B41,Proposal_1!$F$14:$F$300,"Included"))</f>
        <v/>
      </c>
      <c r="G41" s="6" t="str">
        <f>IF($B41="","",SUMIFS(Proposal_1!$R$14:$R$300,Proposal_1!$G$14:$G$300,$B41,Proposal_1!$F$14:$F$300,"Included"))</f>
        <v/>
      </c>
      <c r="H41" s="6" t="str">
        <f>IF($B41="","",SUMIFS(Proposal_1!$T$14:$T$300,Proposal_1!$G$14:$G$300,$B41,Proposal_1!$F$14:$F$300,"Included"))</f>
        <v/>
      </c>
      <c r="I41" s="6" t="str">
        <f>IF($B41="","",SUMIFS(Proposal_1!$V$14:$V$300,Proposal_1!$G$14:$G$300,$B41,Proposal_1!$F$14:$F$300,"Included"))</f>
        <v/>
      </c>
      <c r="J41" s="6" t="str">
        <f>IF($B41="","",SUMIFS(Proposal_1!$X$14:$X$300,Proposal_1!$G$14:$G$300,$B41,Proposal_1!$F$14:$F$300,"Included"))</f>
        <v/>
      </c>
      <c r="M41" s="6" t="str">
        <f>IF($B41="","",SUMIFS(Proposal_2!$J$14:$J$300,Proposal_2!$G$14:$G$300,$B41,Proposal_2!$F$14:$F$300,"Included"))</f>
        <v/>
      </c>
      <c r="N41" s="6" t="str">
        <f>IF($B41="","",SUMIFS(Proposal_2!$L$14:$L$300,Proposal_2!$G$14:$G$300,$B41,Proposal_2!$F$14:$F$300,"Included"))</f>
        <v/>
      </c>
      <c r="O41" s="6" t="str">
        <f>IF($B41="","",SUMIFS(Proposal_2!$N$14:$N$300,Proposal_2!$G$14:$G$300,$B41,Proposal_2!$F$14:$F$300,"Included"))</f>
        <v/>
      </c>
      <c r="P41" s="6" t="str">
        <f>IF($B41="","",SUMIFS(Proposal_2!$P$14:$P$300,Proposal_2!$G$14:$G$300,$B41,Proposal_2!$F$14:$F$300,"Included"))</f>
        <v/>
      </c>
      <c r="Q41" s="6" t="str">
        <f>IF($B41="","",SUMIFS(Proposal_2!$R$14:$R$300,Proposal_2!$G$14:$G$300,$B41,Proposal_2!$F$14:$F$300,"Included"))</f>
        <v/>
      </c>
      <c r="R41" s="6" t="str">
        <f>IF($B41="","",SUMIFS(Proposal_2!$T$14:$T$300,Proposal_2!$G$14:$G$300,$B41,Proposal_2!$F$14:$F$300,"Included"))</f>
        <v/>
      </c>
      <c r="S41" s="6" t="str">
        <f>IF($B41="","",SUMIFS(Proposal_2!$V$14:$V$300,Proposal_2!$G$14:$G$300,$B41,Proposal_2!$F$14:$F$300,"Included"))</f>
        <v/>
      </c>
      <c r="T41" s="6" t="str">
        <f>IF($B41="","",SUMIFS(Proposal_2!$X$14:$X$300,Proposal_2!$G$14:$G$300,$B41,Proposal_2!$F$14:$F$300,"Included"))</f>
        <v/>
      </c>
      <c r="W41" s="6" t="str">
        <f>IF($B41="","",SUMIFS(Proposal_3!$J$14:$J$300,Proposal_3!$G$14:$G$300,$B41,Proposal_3!$F$14:$F$300,"Included"))</f>
        <v/>
      </c>
      <c r="X41" s="6" t="str">
        <f>IF($B41="","",SUMIFS(Proposal_3!$L$14:$L$300,Proposal_3!$G$14:$G$300,$B41,Proposal_3!$F$14:$F$300,"Included"))</f>
        <v/>
      </c>
      <c r="Y41" s="6" t="str">
        <f>IF($B41="","",SUMIFS(Proposal_3!$N$14:$N$300,Proposal_3!$G$14:$G$300,$B41,Proposal_3!$F$14:$F$300,"Included"))</f>
        <v/>
      </c>
      <c r="Z41" s="6" t="str">
        <f>IF($B41="","",SUMIFS(Proposal_3!$P$14:$P$300,Proposal_3!$G$14:$G$300,$B41,Proposal_3!$F$14:$F$300,"Included"))</f>
        <v/>
      </c>
      <c r="AA41" s="6" t="str">
        <f>IF($B41="","",SUMIFS(Proposal_3!$R$14:$R$300,Proposal_3!$G$14:$G$300,$B41,Proposal_3!$F$14:$F$300,"Included"))</f>
        <v/>
      </c>
      <c r="AB41" s="6" t="str">
        <f>IF($B41="","",SUMIFS(Proposal_3!$T$14:$T$300,Proposal_3!$G$14:$G$300,$B41,Proposal_3!$F$14:$F$300,"Included"))</f>
        <v/>
      </c>
      <c r="AC41" s="6" t="str">
        <f>IF($B41="","",SUMIFS(Proposal_3!$V$14:$V$300,Proposal_3!$G$14:$G$300,$B41,Proposal_3!$F$14:$F$300,"Included"))</f>
        <v/>
      </c>
      <c r="AD41" s="6" t="str">
        <f>IF($B41="","",SUMIFS(Proposal_3!$X$14:$X$300,Proposal_3!$G$14:$G$300,$B41,Proposal_3!$F$14:$F$300,"Included"))</f>
        <v/>
      </c>
    </row>
    <row r="42" spans="2:30" x14ac:dyDescent="0.25">
      <c r="C42" s="6" t="str">
        <f>IF($B42="","",SUMIFS(Proposal_1!$J$14:$J$300,Proposal_1!$G$14:$G$300,$B42,Proposal_1!$F$14:$F$300,"Included"))</f>
        <v/>
      </c>
      <c r="D42" s="6" t="str">
        <f>IF($B42="","",SUMIFS(Proposal_1!$L$14:$L$300,Proposal_1!$G$14:$G$300,$B42,Proposal_1!$F$14:$F$300,"Included"))</f>
        <v/>
      </c>
      <c r="E42" s="6" t="str">
        <f>IF($B42="","",SUMIFS(Proposal_1!$N$14:$N$300,Proposal_1!$G$14:$G$300,$B42,Proposal_1!$F$14:$F$300,"Included"))</f>
        <v/>
      </c>
      <c r="F42" s="6" t="str">
        <f>IF($B42="","",SUMIFS(Proposal_1!$P$14:$P$300,Proposal_1!$G$14:$G$300,$B42,Proposal_1!$F$14:$F$300,"Included"))</f>
        <v/>
      </c>
      <c r="G42" s="6" t="str">
        <f>IF($B42="","",SUMIFS(Proposal_1!$R$14:$R$300,Proposal_1!$G$14:$G$300,$B42,Proposal_1!$F$14:$F$300,"Included"))</f>
        <v/>
      </c>
      <c r="H42" s="6" t="str">
        <f>IF($B42="","",SUMIFS(Proposal_1!$T$14:$T$300,Proposal_1!$G$14:$G$300,$B42,Proposal_1!$F$14:$F$300,"Included"))</f>
        <v/>
      </c>
      <c r="I42" s="6" t="str">
        <f>IF($B42="","",SUMIFS(Proposal_1!$V$14:$V$300,Proposal_1!$G$14:$G$300,$B42,Proposal_1!$F$14:$F$300,"Included"))</f>
        <v/>
      </c>
      <c r="J42" s="6" t="str">
        <f>IF($B42="","",SUMIFS(Proposal_1!$X$14:$X$300,Proposal_1!$G$14:$G$300,$B42,Proposal_1!$F$14:$F$300,"Included"))</f>
        <v/>
      </c>
      <c r="M42" s="6" t="str">
        <f>IF($B42="","",SUMIFS(Proposal_2!$J$14:$J$300,Proposal_2!$G$14:$G$300,$B42,Proposal_2!$F$14:$F$300,"Included"))</f>
        <v/>
      </c>
      <c r="N42" s="6" t="str">
        <f>IF($B42="","",SUMIFS(Proposal_2!$L$14:$L$300,Proposal_2!$G$14:$G$300,$B42,Proposal_2!$F$14:$F$300,"Included"))</f>
        <v/>
      </c>
      <c r="O42" s="6" t="str">
        <f>IF($B42="","",SUMIFS(Proposal_2!$N$14:$N$300,Proposal_2!$G$14:$G$300,$B42,Proposal_2!$F$14:$F$300,"Included"))</f>
        <v/>
      </c>
      <c r="P42" s="6" t="str">
        <f>IF($B42="","",SUMIFS(Proposal_2!$P$14:$P$300,Proposal_2!$G$14:$G$300,$B42,Proposal_2!$F$14:$F$300,"Included"))</f>
        <v/>
      </c>
      <c r="Q42" s="6" t="str">
        <f>IF($B42="","",SUMIFS(Proposal_2!$R$14:$R$300,Proposal_2!$G$14:$G$300,$B42,Proposal_2!$F$14:$F$300,"Included"))</f>
        <v/>
      </c>
      <c r="R42" s="6" t="str">
        <f>IF($B42="","",SUMIFS(Proposal_2!$T$14:$T$300,Proposal_2!$G$14:$G$300,$B42,Proposal_2!$F$14:$F$300,"Included"))</f>
        <v/>
      </c>
      <c r="S42" s="6" t="str">
        <f>IF($B42="","",SUMIFS(Proposal_2!$V$14:$V$300,Proposal_2!$G$14:$G$300,$B42,Proposal_2!$F$14:$F$300,"Included"))</f>
        <v/>
      </c>
      <c r="T42" s="6" t="str">
        <f>IF($B42="","",SUMIFS(Proposal_2!$X$14:$X$300,Proposal_2!$G$14:$G$300,$B42,Proposal_2!$F$14:$F$300,"Included"))</f>
        <v/>
      </c>
      <c r="W42" s="6" t="str">
        <f>IF($B42="","",SUMIFS(Proposal_3!$J$14:$J$300,Proposal_3!$G$14:$G$300,$B42,Proposal_3!$F$14:$F$300,"Included"))</f>
        <v/>
      </c>
      <c r="X42" s="6" t="str">
        <f>IF($B42="","",SUMIFS(Proposal_3!$L$14:$L$300,Proposal_3!$G$14:$G$300,$B42,Proposal_3!$F$14:$F$300,"Included"))</f>
        <v/>
      </c>
      <c r="Y42" s="6" t="str">
        <f>IF($B42="","",SUMIFS(Proposal_3!$N$14:$N$300,Proposal_3!$G$14:$G$300,$B42,Proposal_3!$F$14:$F$300,"Included"))</f>
        <v/>
      </c>
      <c r="Z42" s="6" t="str">
        <f>IF($B42="","",SUMIFS(Proposal_3!$P$14:$P$300,Proposal_3!$G$14:$G$300,$B42,Proposal_3!$F$14:$F$300,"Included"))</f>
        <v/>
      </c>
      <c r="AA42" s="6" t="str">
        <f>IF($B42="","",SUMIFS(Proposal_3!$R$14:$R$300,Proposal_3!$G$14:$G$300,$B42,Proposal_3!$F$14:$F$300,"Included"))</f>
        <v/>
      </c>
      <c r="AB42" s="6" t="str">
        <f>IF($B42="","",SUMIFS(Proposal_3!$T$14:$T$300,Proposal_3!$G$14:$G$300,$B42,Proposal_3!$F$14:$F$300,"Included"))</f>
        <v/>
      </c>
      <c r="AC42" s="6" t="str">
        <f>IF($B42="","",SUMIFS(Proposal_3!$V$14:$V$300,Proposal_3!$G$14:$G$300,$B42,Proposal_3!$F$14:$F$300,"Included"))</f>
        <v/>
      </c>
      <c r="AD42" s="6" t="str">
        <f>IF($B42="","",SUMIFS(Proposal_3!$X$14:$X$300,Proposal_3!$G$14:$G$300,$B42,Proposal_3!$F$14:$F$300,"Included"))</f>
        <v/>
      </c>
    </row>
    <row r="43" spans="2:30" x14ac:dyDescent="0.25">
      <c r="C43" s="6" t="str">
        <f>IF($B43="","",SUMIFS(Proposal_1!$J$14:$J$300,Proposal_1!$G$14:$G$300,$B43,Proposal_1!$F$14:$F$300,"Included"))</f>
        <v/>
      </c>
      <c r="D43" s="6" t="str">
        <f>IF($B43="","",SUMIFS(Proposal_1!$L$14:$L$300,Proposal_1!$G$14:$G$300,$B43,Proposal_1!$F$14:$F$300,"Included"))</f>
        <v/>
      </c>
      <c r="E43" s="6" t="str">
        <f>IF($B43="","",SUMIFS(Proposal_1!$N$14:$N$300,Proposal_1!$G$14:$G$300,$B43,Proposal_1!$F$14:$F$300,"Included"))</f>
        <v/>
      </c>
      <c r="F43" s="6" t="str">
        <f>IF($B43="","",SUMIFS(Proposal_1!$P$14:$P$300,Proposal_1!$G$14:$G$300,$B43,Proposal_1!$F$14:$F$300,"Included"))</f>
        <v/>
      </c>
      <c r="G43" s="6" t="str">
        <f>IF($B43="","",SUMIFS(Proposal_1!$R$14:$R$300,Proposal_1!$G$14:$G$300,$B43,Proposal_1!$F$14:$F$300,"Included"))</f>
        <v/>
      </c>
      <c r="H43" s="6" t="str">
        <f>IF($B43="","",SUMIFS(Proposal_1!$T$14:$T$300,Proposal_1!$G$14:$G$300,$B43,Proposal_1!$F$14:$F$300,"Included"))</f>
        <v/>
      </c>
      <c r="I43" s="6" t="str">
        <f>IF($B43="","",SUMIFS(Proposal_1!$V$14:$V$300,Proposal_1!$G$14:$G$300,$B43,Proposal_1!$F$14:$F$300,"Included"))</f>
        <v/>
      </c>
      <c r="J43" s="6" t="str">
        <f>IF($B43="","",SUMIFS(Proposal_1!$X$14:$X$300,Proposal_1!$G$14:$G$300,$B43,Proposal_1!$F$14:$F$300,"Included"))</f>
        <v/>
      </c>
      <c r="M43" s="6" t="str">
        <f>IF($B43="","",SUMIFS(Proposal_2!$J$14:$J$300,Proposal_2!$G$14:$G$300,$B43,Proposal_2!$F$14:$F$300,"Included"))</f>
        <v/>
      </c>
      <c r="N43" s="6" t="str">
        <f>IF($B43="","",SUMIFS(Proposal_2!$L$14:$L$300,Proposal_2!$G$14:$G$300,$B43,Proposal_2!$F$14:$F$300,"Included"))</f>
        <v/>
      </c>
      <c r="O43" s="6" t="str">
        <f>IF($B43="","",SUMIFS(Proposal_2!$N$14:$N$300,Proposal_2!$G$14:$G$300,$B43,Proposal_2!$F$14:$F$300,"Included"))</f>
        <v/>
      </c>
      <c r="P43" s="6" t="str">
        <f>IF($B43="","",SUMIFS(Proposal_2!$P$14:$P$300,Proposal_2!$G$14:$G$300,$B43,Proposal_2!$F$14:$F$300,"Included"))</f>
        <v/>
      </c>
      <c r="Q43" s="6" t="str">
        <f>IF($B43="","",SUMIFS(Proposal_2!$R$14:$R$300,Proposal_2!$G$14:$G$300,$B43,Proposal_2!$F$14:$F$300,"Included"))</f>
        <v/>
      </c>
      <c r="R43" s="6" t="str">
        <f>IF($B43="","",SUMIFS(Proposal_2!$T$14:$T$300,Proposal_2!$G$14:$G$300,$B43,Proposal_2!$F$14:$F$300,"Included"))</f>
        <v/>
      </c>
      <c r="S43" s="6" t="str">
        <f>IF($B43="","",SUMIFS(Proposal_2!$V$14:$V$300,Proposal_2!$G$14:$G$300,$B43,Proposal_2!$F$14:$F$300,"Included"))</f>
        <v/>
      </c>
      <c r="T43" s="6" t="str">
        <f>IF($B43="","",SUMIFS(Proposal_2!$X$14:$X$300,Proposal_2!$G$14:$G$300,$B43,Proposal_2!$F$14:$F$300,"Included"))</f>
        <v/>
      </c>
      <c r="W43" s="6" t="str">
        <f>IF($B43="","",SUMIFS(Proposal_3!$J$14:$J$300,Proposal_3!$G$14:$G$300,$B43,Proposal_3!$F$14:$F$300,"Included"))</f>
        <v/>
      </c>
      <c r="X43" s="6" t="str">
        <f>IF($B43="","",SUMIFS(Proposal_3!$L$14:$L$300,Proposal_3!$G$14:$G$300,$B43,Proposal_3!$F$14:$F$300,"Included"))</f>
        <v/>
      </c>
      <c r="Y43" s="6" t="str">
        <f>IF($B43="","",SUMIFS(Proposal_3!$N$14:$N$300,Proposal_3!$G$14:$G$300,$B43,Proposal_3!$F$14:$F$300,"Included"))</f>
        <v/>
      </c>
      <c r="Z43" s="6" t="str">
        <f>IF($B43="","",SUMIFS(Proposal_3!$P$14:$P$300,Proposal_3!$G$14:$G$300,$B43,Proposal_3!$F$14:$F$300,"Included"))</f>
        <v/>
      </c>
      <c r="AA43" s="6" t="str">
        <f>IF($B43="","",SUMIFS(Proposal_3!$R$14:$R$300,Proposal_3!$G$14:$G$300,$B43,Proposal_3!$F$14:$F$300,"Included"))</f>
        <v/>
      </c>
      <c r="AB43" s="6" t="str">
        <f>IF($B43="","",SUMIFS(Proposal_3!$T$14:$T$300,Proposal_3!$G$14:$G$300,$B43,Proposal_3!$F$14:$F$300,"Included"))</f>
        <v/>
      </c>
      <c r="AC43" s="6" t="str">
        <f>IF($B43="","",SUMIFS(Proposal_3!$V$14:$V$300,Proposal_3!$G$14:$G$300,$B43,Proposal_3!$F$14:$F$300,"Included"))</f>
        <v/>
      </c>
      <c r="AD43" s="6" t="str">
        <f>IF($B43="","",SUMIFS(Proposal_3!$X$14:$X$300,Proposal_3!$G$14:$G$300,$B43,Proposal_3!$F$14:$F$300,"Included"))</f>
        <v/>
      </c>
    </row>
    <row r="44" spans="2:30" x14ac:dyDescent="0.25">
      <c r="C44" s="6" t="str">
        <f>IF($B44="","",SUMIFS(Proposal_1!$J$14:$J$300,Proposal_1!$G$14:$G$300,$B44,Proposal_1!$F$14:$F$300,"Included"))</f>
        <v/>
      </c>
      <c r="D44" s="6" t="str">
        <f>IF($B44="","",SUMIFS(Proposal_1!$L$14:$L$300,Proposal_1!$G$14:$G$300,$B44,Proposal_1!$F$14:$F$300,"Included"))</f>
        <v/>
      </c>
      <c r="E44" s="6" t="str">
        <f>IF($B44="","",SUMIFS(Proposal_1!$N$14:$N$300,Proposal_1!$G$14:$G$300,$B44,Proposal_1!$F$14:$F$300,"Included"))</f>
        <v/>
      </c>
      <c r="F44" s="6" t="str">
        <f>IF($B44="","",SUMIFS(Proposal_1!$P$14:$P$300,Proposal_1!$G$14:$G$300,$B44,Proposal_1!$F$14:$F$300,"Included"))</f>
        <v/>
      </c>
      <c r="G44" s="6" t="str">
        <f>IF($B44="","",SUMIFS(Proposal_1!$R$14:$R$300,Proposal_1!$G$14:$G$300,$B44,Proposal_1!$F$14:$F$300,"Included"))</f>
        <v/>
      </c>
      <c r="H44" s="6" t="str">
        <f>IF($B44="","",SUMIFS(Proposal_1!$T$14:$T$300,Proposal_1!$G$14:$G$300,$B44,Proposal_1!$F$14:$F$300,"Included"))</f>
        <v/>
      </c>
      <c r="I44" s="6" t="str">
        <f>IF($B44="","",SUMIFS(Proposal_1!$V$14:$V$300,Proposal_1!$G$14:$G$300,$B44,Proposal_1!$F$14:$F$300,"Included"))</f>
        <v/>
      </c>
      <c r="J44" s="6" t="str">
        <f>IF($B44="","",SUMIFS(Proposal_1!$X$14:$X$300,Proposal_1!$G$14:$G$300,$B44,Proposal_1!$F$14:$F$300,"Included"))</f>
        <v/>
      </c>
      <c r="M44" s="6" t="str">
        <f>IF($B44="","",SUMIFS(Proposal_2!$J$14:$J$300,Proposal_2!$G$14:$G$300,$B44,Proposal_2!$F$14:$F$300,"Included"))</f>
        <v/>
      </c>
      <c r="N44" s="6" t="str">
        <f>IF($B44="","",SUMIFS(Proposal_2!$L$14:$L$300,Proposal_2!$G$14:$G$300,$B44,Proposal_2!$F$14:$F$300,"Included"))</f>
        <v/>
      </c>
      <c r="O44" s="6" t="str">
        <f>IF($B44="","",SUMIFS(Proposal_2!$N$14:$N$300,Proposal_2!$G$14:$G$300,$B44,Proposal_2!$F$14:$F$300,"Included"))</f>
        <v/>
      </c>
      <c r="P44" s="6" t="str">
        <f>IF($B44="","",SUMIFS(Proposal_2!$P$14:$P$300,Proposal_2!$G$14:$G$300,$B44,Proposal_2!$F$14:$F$300,"Included"))</f>
        <v/>
      </c>
      <c r="Q44" s="6" t="str">
        <f>IF($B44="","",SUMIFS(Proposal_2!$R$14:$R$300,Proposal_2!$G$14:$G$300,$B44,Proposal_2!$F$14:$F$300,"Included"))</f>
        <v/>
      </c>
      <c r="R44" s="6" t="str">
        <f>IF($B44="","",SUMIFS(Proposal_2!$T$14:$T$300,Proposal_2!$G$14:$G$300,$B44,Proposal_2!$F$14:$F$300,"Included"))</f>
        <v/>
      </c>
      <c r="S44" s="6" t="str">
        <f>IF($B44="","",SUMIFS(Proposal_2!$V$14:$V$300,Proposal_2!$G$14:$G$300,$B44,Proposal_2!$F$14:$F$300,"Included"))</f>
        <v/>
      </c>
      <c r="T44" s="6" t="str">
        <f>IF($B44="","",SUMIFS(Proposal_2!$X$14:$X$300,Proposal_2!$G$14:$G$300,$B44,Proposal_2!$F$14:$F$300,"Included"))</f>
        <v/>
      </c>
      <c r="W44" s="6" t="str">
        <f>IF($B44="","",SUMIFS(Proposal_3!$J$14:$J$300,Proposal_3!$G$14:$G$300,$B44,Proposal_3!$F$14:$F$300,"Included"))</f>
        <v/>
      </c>
      <c r="X44" s="6" t="str">
        <f>IF($B44="","",SUMIFS(Proposal_3!$L$14:$L$300,Proposal_3!$G$14:$G$300,$B44,Proposal_3!$F$14:$F$300,"Included"))</f>
        <v/>
      </c>
      <c r="Y44" s="6" t="str">
        <f>IF($B44="","",SUMIFS(Proposal_3!$N$14:$N$300,Proposal_3!$G$14:$G$300,$B44,Proposal_3!$F$14:$F$300,"Included"))</f>
        <v/>
      </c>
      <c r="Z44" s="6" t="str">
        <f>IF($B44="","",SUMIFS(Proposal_3!$P$14:$P$300,Proposal_3!$G$14:$G$300,$B44,Proposal_3!$F$14:$F$300,"Included"))</f>
        <v/>
      </c>
      <c r="AA44" s="6" t="str">
        <f>IF($B44="","",SUMIFS(Proposal_3!$R$14:$R$300,Proposal_3!$G$14:$G$300,$B44,Proposal_3!$F$14:$F$300,"Included"))</f>
        <v/>
      </c>
      <c r="AB44" s="6" t="str">
        <f>IF($B44="","",SUMIFS(Proposal_3!$T$14:$T$300,Proposal_3!$G$14:$G$300,$B44,Proposal_3!$F$14:$F$300,"Included"))</f>
        <v/>
      </c>
      <c r="AC44" s="6" t="str">
        <f>IF($B44="","",SUMIFS(Proposal_3!$V$14:$V$300,Proposal_3!$G$14:$G$300,$B44,Proposal_3!$F$14:$F$300,"Included"))</f>
        <v/>
      </c>
      <c r="AD44" s="6" t="str">
        <f>IF($B44="","",SUMIFS(Proposal_3!$X$14:$X$300,Proposal_3!$G$14:$G$300,$B44,Proposal_3!$F$14:$F$300,"Included"))</f>
        <v/>
      </c>
    </row>
    <row r="45" spans="2:30" x14ac:dyDescent="0.25">
      <c r="C45" s="6" t="str">
        <f>IF($B45="","",SUMIFS(Proposal_1!$J$14:$J$300,Proposal_1!$G$14:$G$300,$B45,Proposal_1!$F$14:$F$300,"Included"))</f>
        <v/>
      </c>
      <c r="D45" s="6" t="str">
        <f>IF($B45="","",SUMIFS(Proposal_1!$L$14:$L$300,Proposal_1!$G$14:$G$300,$B45,Proposal_1!$F$14:$F$300,"Included"))</f>
        <v/>
      </c>
      <c r="E45" s="6" t="str">
        <f>IF($B45="","",SUMIFS(Proposal_1!$N$14:$N$300,Proposal_1!$G$14:$G$300,$B45,Proposal_1!$F$14:$F$300,"Included"))</f>
        <v/>
      </c>
      <c r="F45" s="6" t="str">
        <f>IF($B45="","",SUMIFS(Proposal_1!$P$14:$P$300,Proposal_1!$G$14:$G$300,$B45,Proposal_1!$F$14:$F$300,"Included"))</f>
        <v/>
      </c>
      <c r="G45" s="6" t="str">
        <f>IF($B45="","",SUMIFS(Proposal_1!$R$14:$R$300,Proposal_1!$G$14:$G$300,$B45,Proposal_1!$F$14:$F$300,"Included"))</f>
        <v/>
      </c>
      <c r="H45" s="6" t="str">
        <f>IF($B45="","",SUMIFS(Proposal_1!$T$14:$T$300,Proposal_1!$G$14:$G$300,$B45,Proposal_1!$F$14:$F$300,"Included"))</f>
        <v/>
      </c>
      <c r="I45" s="6" t="str">
        <f>IF($B45="","",SUMIFS(Proposal_1!$V$14:$V$300,Proposal_1!$G$14:$G$300,$B45,Proposal_1!$F$14:$F$300,"Included"))</f>
        <v/>
      </c>
      <c r="J45" s="6" t="str">
        <f>IF($B45="","",SUMIFS(Proposal_1!$X$14:$X$300,Proposal_1!$G$14:$G$300,$B45,Proposal_1!$F$14:$F$300,"Included"))</f>
        <v/>
      </c>
      <c r="M45" s="6" t="str">
        <f>IF($B45="","",SUMIFS(Proposal_2!$J$14:$J$300,Proposal_2!$G$14:$G$300,$B45,Proposal_2!$F$14:$F$300,"Included"))</f>
        <v/>
      </c>
      <c r="N45" s="6" t="str">
        <f>IF($B45="","",SUMIFS(Proposal_2!$L$14:$L$300,Proposal_2!$G$14:$G$300,$B45,Proposal_2!$F$14:$F$300,"Included"))</f>
        <v/>
      </c>
      <c r="O45" s="6" t="str">
        <f>IF($B45="","",SUMIFS(Proposal_2!$N$14:$N$300,Proposal_2!$G$14:$G$300,$B45,Proposal_2!$F$14:$F$300,"Included"))</f>
        <v/>
      </c>
      <c r="P45" s="6" t="str">
        <f>IF($B45="","",SUMIFS(Proposal_2!$P$14:$P$300,Proposal_2!$G$14:$G$300,$B45,Proposal_2!$F$14:$F$300,"Included"))</f>
        <v/>
      </c>
      <c r="Q45" s="6" t="str">
        <f>IF($B45="","",SUMIFS(Proposal_2!$R$14:$R$300,Proposal_2!$G$14:$G$300,$B45,Proposal_2!$F$14:$F$300,"Included"))</f>
        <v/>
      </c>
      <c r="R45" s="6" t="str">
        <f>IF($B45="","",SUMIFS(Proposal_2!$T$14:$T$300,Proposal_2!$G$14:$G$300,$B45,Proposal_2!$F$14:$F$300,"Included"))</f>
        <v/>
      </c>
      <c r="S45" s="6" t="str">
        <f>IF($B45="","",SUMIFS(Proposal_2!$V$14:$V$300,Proposal_2!$G$14:$G$300,$B45,Proposal_2!$F$14:$F$300,"Included"))</f>
        <v/>
      </c>
      <c r="T45" s="6" t="str">
        <f>IF($B45="","",SUMIFS(Proposal_2!$X$14:$X$300,Proposal_2!$G$14:$G$300,$B45,Proposal_2!$F$14:$F$300,"Included"))</f>
        <v/>
      </c>
      <c r="W45" s="6" t="str">
        <f>IF($B45="","",SUMIFS(Proposal_3!$J$14:$J$300,Proposal_3!$G$14:$G$300,$B45,Proposal_3!$F$14:$F$300,"Included"))</f>
        <v/>
      </c>
      <c r="X45" s="6" t="str">
        <f>IF($B45="","",SUMIFS(Proposal_3!$L$14:$L$300,Proposal_3!$G$14:$G$300,$B45,Proposal_3!$F$14:$F$300,"Included"))</f>
        <v/>
      </c>
      <c r="Y45" s="6" t="str">
        <f>IF($B45="","",SUMIFS(Proposal_3!$N$14:$N$300,Proposal_3!$G$14:$G$300,$B45,Proposal_3!$F$14:$F$300,"Included"))</f>
        <v/>
      </c>
      <c r="Z45" s="6" t="str">
        <f>IF($B45="","",SUMIFS(Proposal_3!$P$14:$P$300,Proposal_3!$G$14:$G$300,$B45,Proposal_3!$F$14:$F$300,"Included"))</f>
        <v/>
      </c>
      <c r="AA45" s="6" t="str">
        <f>IF($B45="","",SUMIFS(Proposal_3!$R$14:$R$300,Proposal_3!$G$14:$G$300,$B45,Proposal_3!$F$14:$F$300,"Included"))</f>
        <v/>
      </c>
      <c r="AB45" s="6" t="str">
        <f>IF($B45="","",SUMIFS(Proposal_3!$T$14:$T$300,Proposal_3!$G$14:$G$300,$B45,Proposal_3!$F$14:$F$300,"Included"))</f>
        <v/>
      </c>
      <c r="AC45" s="6" t="str">
        <f>IF($B45="","",SUMIFS(Proposal_3!$V$14:$V$300,Proposal_3!$G$14:$G$300,$B45,Proposal_3!$F$14:$F$300,"Included"))</f>
        <v/>
      </c>
      <c r="AD45" s="6" t="str">
        <f>IF($B45="","",SUMIFS(Proposal_3!$X$14:$X$300,Proposal_3!$G$14:$G$300,$B45,Proposal_3!$F$14:$F$300,"Included"))</f>
        <v/>
      </c>
    </row>
    <row r="46" spans="2:30" x14ac:dyDescent="0.25">
      <c r="C46" s="6" t="str">
        <f>IF($B46="","",SUMIFS(Proposal_1!$J$14:$J$300,Proposal_1!$G$14:$G$300,$B46,Proposal_1!$F$14:$F$300,"Included"))</f>
        <v/>
      </c>
      <c r="D46" s="6" t="str">
        <f>IF($B46="","",SUMIFS(Proposal_1!$L$14:$L$300,Proposal_1!$G$14:$G$300,$B46,Proposal_1!$F$14:$F$300,"Included"))</f>
        <v/>
      </c>
      <c r="E46" s="6" t="str">
        <f>IF($B46="","",SUMIFS(Proposal_1!$N$14:$N$300,Proposal_1!$G$14:$G$300,$B46,Proposal_1!$F$14:$F$300,"Included"))</f>
        <v/>
      </c>
      <c r="F46" s="6" t="str">
        <f>IF($B46="","",SUMIFS(Proposal_1!$P$14:$P$300,Proposal_1!$G$14:$G$300,$B46,Proposal_1!$F$14:$F$300,"Included"))</f>
        <v/>
      </c>
      <c r="G46" s="6" t="str">
        <f>IF($B46="","",SUMIFS(Proposal_1!$R$14:$R$300,Proposal_1!$G$14:$G$300,$B46,Proposal_1!$F$14:$F$300,"Included"))</f>
        <v/>
      </c>
      <c r="H46" s="6" t="str">
        <f>IF($B46="","",SUMIFS(Proposal_1!$T$14:$T$300,Proposal_1!$G$14:$G$300,$B46,Proposal_1!$F$14:$F$300,"Included"))</f>
        <v/>
      </c>
      <c r="I46" s="6" t="str">
        <f>IF($B46="","",SUMIFS(Proposal_1!$V$14:$V$300,Proposal_1!$G$14:$G$300,$B46,Proposal_1!$F$14:$F$300,"Included"))</f>
        <v/>
      </c>
      <c r="J46" s="6" t="str">
        <f>IF($B46="","",SUMIFS(Proposal_1!$X$14:$X$300,Proposal_1!$G$14:$G$300,$B46,Proposal_1!$F$14:$F$300,"Included"))</f>
        <v/>
      </c>
      <c r="M46" s="6" t="str">
        <f>IF($B46="","",SUMIFS(Proposal_2!$J$14:$J$300,Proposal_2!$G$14:$G$300,$B46,Proposal_2!$F$14:$F$300,"Included"))</f>
        <v/>
      </c>
      <c r="N46" s="6" t="str">
        <f>IF($B46="","",SUMIFS(Proposal_2!$L$14:$L$300,Proposal_2!$G$14:$G$300,$B46,Proposal_2!$F$14:$F$300,"Included"))</f>
        <v/>
      </c>
      <c r="O46" s="6" t="str">
        <f>IF($B46="","",SUMIFS(Proposal_2!$N$14:$N$300,Proposal_2!$G$14:$G$300,$B46,Proposal_2!$F$14:$F$300,"Included"))</f>
        <v/>
      </c>
      <c r="P46" s="6" t="str">
        <f>IF($B46="","",SUMIFS(Proposal_2!$P$14:$P$300,Proposal_2!$G$14:$G$300,$B46,Proposal_2!$F$14:$F$300,"Included"))</f>
        <v/>
      </c>
      <c r="Q46" s="6" t="str">
        <f>IF($B46="","",SUMIFS(Proposal_2!$R$14:$R$300,Proposal_2!$G$14:$G$300,$B46,Proposal_2!$F$14:$F$300,"Included"))</f>
        <v/>
      </c>
      <c r="R46" s="6" t="str">
        <f>IF($B46="","",SUMIFS(Proposal_2!$T$14:$T$300,Proposal_2!$G$14:$G$300,$B46,Proposal_2!$F$14:$F$300,"Included"))</f>
        <v/>
      </c>
      <c r="S46" s="6" t="str">
        <f>IF($B46="","",SUMIFS(Proposal_2!$V$14:$V$300,Proposal_2!$G$14:$G$300,$B46,Proposal_2!$F$14:$F$300,"Included"))</f>
        <v/>
      </c>
      <c r="T46" s="6" t="str">
        <f>IF($B46="","",SUMIFS(Proposal_2!$X$14:$X$300,Proposal_2!$G$14:$G$300,$B46,Proposal_2!$F$14:$F$300,"Included"))</f>
        <v/>
      </c>
      <c r="W46" s="6" t="str">
        <f>IF($B46="","",SUMIFS(Proposal_3!$J$14:$J$300,Proposal_3!$G$14:$G$300,$B46,Proposal_3!$F$14:$F$300,"Included"))</f>
        <v/>
      </c>
      <c r="X46" s="6" t="str">
        <f>IF($B46="","",SUMIFS(Proposal_3!$L$14:$L$300,Proposal_3!$G$14:$G$300,$B46,Proposal_3!$F$14:$F$300,"Included"))</f>
        <v/>
      </c>
      <c r="Y46" s="6" t="str">
        <f>IF($B46="","",SUMIFS(Proposal_3!$N$14:$N$300,Proposal_3!$G$14:$G$300,$B46,Proposal_3!$F$14:$F$300,"Included"))</f>
        <v/>
      </c>
      <c r="Z46" s="6" t="str">
        <f>IF($B46="","",SUMIFS(Proposal_3!$P$14:$P$300,Proposal_3!$G$14:$G$300,$B46,Proposal_3!$F$14:$F$300,"Included"))</f>
        <v/>
      </c>
      <c r="AA46" s="6" t="str">
        <f>IF($B46="","",SUMIFS(Proposal_3!$R$14:$R$300,Proposal_3!$G$14:$G$300,$B46,Proposal_3!$F$14:$F$300,"Included"))</f>
        <v/>
      </c>
      <c r="AB46" s="6" t="str">
        <f>IF($B46="","",SUMIFS(Proposal_3!$T$14:$T$300,Proposal_3!$G$14:$G$300,$B46,Proposal_3!$F$14:$F$300,"Included"))</f>
        <v/>
      </c>
      <c r="AC46" s="6" t="str">
        <f>IF($B46="","",SUMIFS(Proposal_3!$V$14:$V$300,Proposal_3!$G$14:$G$300,$B46,Proposal_3!$F$14:$F$300,"Included"))</f>
        <v/>
      </c>
      <c r="AD46" s="6" t="str">
        <f>IF($B46="","",SUMIFS(Proposal_3!$X$14:$X$300,Proposal_3!$G$14:$G$300,$B46,Proposal_3!$F$14:$F$300,"Included"))</f>
        <v/>
      </c>
    </row>
    <row r="47" spans="2:30" x14ac:dyDescent="0.25">
      <c r="C47" s="6" t="str">
        <f>IF($B47="","",SUMIFS(Proposal_1!$J$14:$J$300,Proposal_1!$G$14:$G$300,$B47,Proposal_1!$F$14:$F$300,"Included"))</f>
        <v/>
      </c>
      <c r="D47" s="6" t="str">
        <f>IF($B47="","",SUMIFS(Proposal_1!$L$14:$L$300,Proposal_1!$G$14:$G$300,$B47,Proposal_1!$F$14:$F$300,"Included"))</f>
        <v/>
      </c>
      <c r="E47" s="6" t="str">
        <f>IF($B47="","",SUMIFS(Proposal_1!$N$14:$N$300,Proposal_1!$G$14:$G$300,$B47,Proposal_1!$F$14:$F$300,"Included"))</f>
        <v/>
      </c>
      <c r="F47" s="6" t="str">
        <f>IF($B47="","",SUMIFS(Proposal_1!$P$14:$P$300,Proposal_1!$G$14:$G$300,$B47,Proposal_1!$F$14:$F$300,"Included"))</f>
        <v/>
      </c>
      <c r="G47" s="6" t="str">
        <f>IF($B47="","",SUMIFS(Proposal_1!$R$14:$R$300,Proposal_1!$G$14:$G$300,$B47,Proposal_1!$F$14:$F$300,"Included"))</f>
        <v/>
      </c>
      <c r="H47" s="6" t="str">
        <f>IF($B47="","",SUMIFS(Proposal_1!$T$14:$T$300,Proposal_1!$G$14:$G$300,$B47,Proposal_1!$F$14:$F$300,"Included"))</f>
        <v/>
      </c>
      <c r="I47" s="6" t="str">
        <f>IF($B47="","",SUMIFS(Proposal_1!$V$14:$V$300,Proposal_1!$G$14:$G$300,$B47,Proposal_1!$F$14:$F$300,"Included"))</f>
        <v/>
      </c>
      <c r="J47" s="6" t="str">
        <f>IF($B47="","",SUMIFS(Proposal_1!$X$14:$X$300,Proposal_1!$G$14:$G$300,$B47,Proposal_1!$F$14:$F$300,"Included"))</f>
        <v/>
      </c>
      <c r="M47" s="6" t="str">
        <f>IF($B47="","",SUMIFS(Proposal_2!$J$14:$J$300,Proposal_2!$G$14:$G$300,$B47,Proposal_2!$F$14:$F$300,"Included"))</f>
        <v/>
      </c>
      <c r="N47" s="6" t="str">
        <f>IF($B47="","",SUMIFS(Proposal_2!$L$14:$L$300,Proposal_2!$G$14:$G$300,$B47,Proposal_2!$F$14:$F$300,"Included"))</f>
        <v/>
      </c>
      <c r="O47" s="6" t="str">
        <f>IF($B47="","",SUMIFS(Proposal_2!$N$14:$N$300,Proposal_2!$G$14:$G$300,$B47,Proposal_2!$F$14:$F$300,"Included"))</f>
        <v/>
      </c>
      <c r="P47" s="6" t="str">
        <f>IF($B47="","",SUMIFS(Proposal_2!$P$14:$P$300,Proposal_2!$G$14:$G$300,$B47,Proposal_2!$F$14:$F$300,"Included"))</f>
        <v/>
      </c>
      <c r="Q47" s="6" t="str">
        <f>IF($B47="","",SUMIFS(Proposal_2!$R$14:$R$300,Proposal_2!$G$14:$G$300,$B47,Proposal_2!$F$14:$F$300,"Included"))</f>
        <v/>
      </c>
      <c r="R47" s="6" t="str">
        <f>IF($B47="","",SUMIFS(Proposal_2!$T$14:$T$300,Proposal_2!$G$14:$G$300,$B47,Proposal_2!$F$14:$F$300,"Included"))</f>
        <v/>
      </c>
      <c r="S47" s="6" t="str">
        <f>IF($B47="","",SUMIFS(Proposal_2!$V$14:$V$300,Proposal_2!$G$14:$G$300,$B47,Proposal_2!$F$14:$F$300,"Included"))</f>
        <v/>
      </c>
      <c r="T47" s="6" t="str">
        <f>IF($B47="","",SUMIFS(Proposal_2!$X$14:$X$300,Proposal_2!$G$14:$G$300,$B47,Proposal_2!$F$14:$F$300,"Included"))</f>
        <v/>
      </c>
      <c r="W47" s="6" t="str">
        <f>IF($B47="","",SUMIFS(Proposal_3!$J$14:$J$300,Proposal_3!$G$14:$G$300,$B47,Proposal_3!$F$14:$F$300,"Included"))</f>
        <v/>
      </c>
      <c r="X47" s="6" t="str">
        <f>IF($B47="","",SUMIFS(Proposal_3!$L$14:$L$300,Proposal_3!$G$14:$G$300,$B47,Proposal_3!$F$14:$F$300,"Included"))</f>
        <v/>
      </c>
      <c r="Y47" s="6" t="str">
        <f>IF($B47="","",SUMIFS(Proposal_3!$N$14:$N$300,Proposal_3!$G$14:$G$300,$B47,Proposal_3!$F$14:$F$300,"Included"))</f>
        <v/>
      </c>
      <c r="Z47" s="6" t="str">
        <f>IF($B47="","",SUMIFS(Proposal_3!$P$14:$P$300,Proposal_3!$G$14:$G$300,$B47,Proposal_3!$F$14:$F$300,"Included"))</f>
        <v/>
      </c>
      <c r="AA47" s="6" t="str">
        <f>IF($B47="","",SUMIFS(Proposal_3!$R$14:$R$300,Proposal_3!$G$14:$G$300,$B47,Proposal_3!$F$14:$F$300,"Included"))</f>
        <v/>
      </c>
      <c r="AB47" s="6" t="str">
        <f>IF($B47="","",SUMIFS(Proposal_3!$T$14:$T$300,Proposal_3!$G$14:$G$300,$B47,Proposal_3!$F$14:$F$300,"Included"))</f>
        <v/>
      </c>
      <c r="AC47" s="6" t="str">
        <f>IF($B47="","",SUMIFS(Proposal_3!$V$14:$V$300,Proposal_3!$G$14:$G$300,$B47,Proposal_3!$F$14:$F$300,"Included"))</f>
        <v/>
      </c>
      <c r="AD47" s="6" t="str">
        <f>IF($B47="","",SUMIFS(Proposal_3!$X$14:$X$300,Proposal_3!$G$14:$G$300,$B47,Proposal_3!$F$14:$F$300,"Included"))</f>
        <v/>
      </c>
    </row>
    <row r="48" spans="2:30" x14ac:dyDescent="0.25">
      <c r="C48" s="6" t="str">
        <f>IF($B48="","",SUMIFS(Proposal_1!$J$14:$J$300,Proposal_1!$G$14:$G$300,$B48,Proposal_1!$F$14:$F$300,"Included"))</f>
        <v/>
      </c>
      <c r="D48" s="6" t="str">
        <f>IF($B48="","",SUMIFS(Proposal_1!$L$14:$L$300,Proposal_1!$G$14:$G$300,$B48,Proposal_1!$F$14:$F$300,"Included"))</f>
        <v/>
      </c>
      <c r="E48" s="6" t="str">
        <f>IF($B48="","",SUMIFS(Proposal_1!$N$14:$N$300,Proposal_1!$G$14:$G$300,$B48,Proposal_1!$F$14:$F$300,"Included"))</f>
        <v/>
      </c>
      <c r="F48" s="6" t="str">
        <f>IF($B48="","",SUMIFS(Proposal_1!$P$14:$P$300,Proposal_1!$G$14:$G$300,$B48,Proposal_1!$F$14:$F$300,"Included"))</f>
        <v/>
      </c>
      <c r="G48" s="6" t="str">
        <f>IF($B48="","",SUMIFS(Proposal_1!$R$14:$R$300,Proposal_1!$G$14:$G$300,$B48,Proposal_1!$F$14:$F$300,"Included"))</f>
        <v/>
      </c>
      <c r="H48" s="6" t="str">
        <f>IF($B48="","",SUMIFS(Proposal_1!$T$14:$T$300,Proposal_1!$G$14:$G$300,$B48,Proposal_1!$F$14:$F$300,"Included"))</f>
        <v/>
      </c>
      <c r="I48" s="6" t="str">
        <f>IF($B48="","",SUMIFS(Proposal_1!$V$14:$V$300,Proposal_1!$G$14:$G$300,$B48,Proposal_1!$F$14:$F$300,"Included"))</f>
        <v/>
      </c>
      <c r="J48" s="6" t="str">
        <f>IF($B48="","",SUMIFS(Proposal_1!$X$14:$X$300,Proposal_1!$G$14:$G$300,$B48,Proposal_1!$F$14:$F$300,"Included"))</f>
        <v/>
      </c>
      <c r="M48" s="6" t="str">
        <f>IF($B48="","",SUMIFS(Proposal_2!$J$14:$J$300,Proposal_2!$G$14:$G$300,$B48,Proposal_2!$F$14:$F$300,"Included"))</f>
        <v/>
      </c>
      <c r="N48" s="6" t="str">
        <f>IF($B48="","",SUMIFS(Proposal_2!$L$14:$L$300,Proposal_2!$G$14:$G$300,$B48,Proposal_2!$F$14:$F$300,"Included"))</f>
        <v/>
      </c>
      <c r="O48" s="6" t="str">
        <f>IF($B48="","",SUMIFS(Proposal_2!$N$14:$N$300,Proposal_2!$G$14:$G$300,$B48,Proposal_2!$F$14:$F$300,"Included"))</f>
        <v/>
      </c>
      <c r="P48" s="6" t="str">
        <f>IF($B48="","",SUMIFS(Proposal_2!$P$14:$P$300,Proposal_2!$G$14:$G$300,$B48,Proposal_2!$F$14:$F$300,"Included"))</f>
        <v/>
      </c>
      <c r="Q48" s="6" t="str">
        <f>IF($B48="","",SUMIFS(Proposal_2!$R$14:$R$300,Proposal_2!$G$14:$G$300,$B48,Proposal_2!$F$14:$F$300,"Included"))</f>
        <v/>
      </c>
      <c r="R48" s="6" t="str">
        <f>IF($B48="","",SUMIFS(Proposal_2!$T$14:$T$300,Proposal_2!$G$14:$G$300,$B48,Proposal_2!$F$14:$F$300,"Included"))</f>
        <v/>
      </c>
      <c r="S48" s="6" t="str">
        <f>IF($B48="","",SUMIFS(Proposal_2!$V$14:$V$300,Proposal_2!$G$14:$G$300,$B48,Proposal_2!$F$14:$F$300,"Included"))</f>
        <v/>
      </c>
      <c r="T48" s="6" t="str">
        <f>IF($B48="","",SUMIFS(Proposal_2!$X$14:$X$300,Proposal_2!$G$14:$G$300,$B48,Proposal_2!$F$14:$F$300,"Included"))</f>
        <v/>
      </c>
      <c r="W48" s="6" t="str">
        <f>IF($B48="","",SUMIFS(Proposal_3!$J$14:$J$300,Proposal_3!$G$14:$G$300,$B48,Proposal_3!$F$14:$F$300,"Included"))</f>
        <v/>
      </c>
      <c r="X48" s="6" t="str">
        <f>IF($B48="","",SUMIFS(Proposal_3!$L$14:$L$300,Proposal_3!$G$14:$G$300,$B48,Proposal_3!$F$14:$F$300,"Included"))</f>
        <v/>
      </c>
      <c r="Y48" s="6" t="str">
        <f>IF($B48="","",SUMIFS(Proposal_3!$N$14:$N$300,Proposal_3!$G$14:$G$300,$B48,Proposal_3!$F$14:$F$300,"Included"))</f>
        <v/>
      </c>
      <c r="Z48" s="6" t="str">
        <f>IF($B48="","",SUMIFS(Proposal_3!$P$14:$P$300,Proposal_3!$G$14:$G$300,$B48,Proposal_3!$F$14:$F$300,"Included"))</f>
        <v/>
      </c>
      <c r="AA48" s="6" t="str">
        <f>IF($B48="","",SUMIFS(Proposal_3!$R$14:$R$300,Proposal_3!$G$14:$G$300,$B48,Proposal_3!$F$14:$F$300,"Included"))</f>
        <v/>
      </c>
      <c r="AB48" s="6" t="str">
        <f>IF($B48="","",SUMIFS(Proposal_3!$T$14:$T$300,Proposal_3!$G$14:$G$300,$B48,Proposal_3!$F$14:$F$300,"Included"))</f>
        <v/>
      </c>
      <c r="AC48" s="6" t="str">
        <f>IF($B48="","",SUMIFS(Proposal_3!$V$14:$V$300,Proposal_3!$G$14:$G$300,$B48,Proposal_3!$F$14:$F$300,"Included"))</f>
        <v/>
      </c>
      <c r="AD48" s="6" t="str">
        <f>IF($B48="","",SUMIFS(Proposal_3!$X$14:$X$300,Proposal_3!$G$14:$G$300,$B48,Proposal_3!$F$14:$F$300,"Included"))</f>
        <v/>
      </c>
    </row>
    <row r="49" spans="3:30" x14ac:dyDescent="0.25">
      <c r="C49" s="6" t="str">
        <f>IF($B49="","",SUMIFS(Proposal_1!$J$14:$J$300,Proposal_1!$G$14:$G$300,$B49,Proposal_1!$F$14:$F$300,"Included"))</f>
        <v/>
      </c>
      <c r="D49" s="6" t="str">
        <f>IF($B49="","",SUMIFS(Proposal_1!$L$14:$L$300,Proposal_1!$G$14:$G$300,$B49,Proposal_1!$F$14:$F$300,"Included"))</f>
        <v/>
      </c>
      <c r="E49" s="6" t="str">
        <f>IF($B49="","",SUMIFS(Proposal_1!$N$14:$N$300,Proposal_1!$G$14:$G$300,$B49,Proposal_1!$F$14:$F$300,"Included"))</f>
        <v/>
      </c>
      <c r="F49" s="6" t="str">
        <f>IF($B49="","",SUMIFS(Proposal_1!$P$14:$P$300,Proposal_1!$G$14:$G$300,$B49,Proposal_1!$F$14:$F$300,"Included"))</f>
        <v/>
      </c>
      <c r="G49" s="6" t="str">
        <f>IF($B49="","",SUMIFS(Proposal_1!$R$14:$R$300,Proposal_1!$G$14:$G$300,$B49,Proposal_1!$F$14:$F$300,"Included"))</f>
        <v/>
      </c>
      <c r="H49" s="6" t="str">
        <f>IF($B49="","",SUMIFS(Proposal_1!$T$14:$T$300,Proposal_1!$G$14:$G$300,$B49,Proposal_1!$F$14:$F$300,"Included"))</f>
        <v/>
      </c>
      <c r="I49" s="6" t="str">
        <f>IF($B49="","",SUMIFS(Proposal_1!$V$14:$V$300,Proposal_1!$G$14:$G$300,$B49,Proposal_1!$F$14:$F$300,"Included"))</f>
        <v/>
      </c>
      <c r="J49" s="6" t="str">
        <f>IF($B49="","",SUMIFS(Proposal_1!$X$14:$X$300,Proposal_1!$G$14:$G$300,$B49,Proposal_1!$F$14:$F$300,"Included"))</f>
        <v/>
      </c>
      <c r="M49" s="6" t="str">
        <f>IF($B49="","",SUMIFS(Proposal_2!$J$14:$J$300,Proposal_2!$G$14:$G$300,$B49,Proposal_2!$F$14:$F$300,"Included"))</f>
        <v/>
      </c>
      <c r="N49" s="6" t="str">
        <f>IF($B49="","",SUMIFS(Proposal_2!$L$14:$L$300,Proposal_2!$G$14:$G$300,$B49,Proposal_2!$F$14:$F$300,"Included"))</f>
        <v/>
      </c>
      <c r="O49" s="6" t="str">
        <f>IF($B49="","",SUMIFS(Proposal_2!$N$14:$N$300,Proposal_2!$G$14:$G$300,$B49,Proposal_2!$F$14:$F$300,"Included"))</f>
        <v/>
      </c>
      <c r="P49" s="6" t="str">
        <f>IF($B49="","",SUMIFS(Proposal_2!$P$14:$P$300,Proposal_2!$G$14:$G$300,$B49,Proposal_2!$F$14:$F$300,"Included"))</f>
        <v/>
      </c>
      <c r="Q49" s="6" t="str">
        <f>IF($B49="","",SUMIFS(Proposal_2!$R$14:$R$300,Proposal_2!$G$14:$G$300,$B49,Proposal_2!$F$14:$F$300,"Included"))</f>
        <v/>
      </c>
      <c r="R49" s="6" t="str">
        <f>IF($B49="","",SUMIFS(Proposal_2!$T$14:$T$300,Proposal_2!$G$14:$G$300,$B49,Proposal_2!$F$14:$F$300,"Included"))</f>
        <v/>
      </c>
      <c r="S49" s="6" t="str">
        <f>IF($B49="","",SUMIFS(Proposal_2!$V$14:$V$300,Proposal_2!$G$14:$G$300,$B49,Proposal_2!$F$14:$F$300,"Included"))</f>
        <v/>
      </c>
      <c r="T49" s="6" t="str">
        <f>IF($B49="","",SUMIFS(Proposal_2!$X$14:$X$300,Proposal_2!$G$14:$G$300,$B49,Proposal_2!$F$14:$F$300,"Included"))</f>
        <v/>
      </c>
      <c r="W49" s="6" t="str">
        <f>IF($B49="","",SUMIFS(Proposal_3!$J$14:$J$300,Proposal_3!$G$14:$G$300,$B49,Proposal_3!$F$14:$F$300,"Included"))</f>
        <v/>
      </c>
      <c r="X49" s="6" t="str">
        <f>IF($B49="","",SUMIFS(Proposal_3!$L$14:$L$300,Proposal_3!$G$14:$G$300,$B49,Proposal_3!$F$14:$F$300,"Included"))</f>
        <v/>
      </c>
      <c r="Y49" s="6" t="str">
        <f>IF($B49="","",SUMIFS(Proposal_3!$N$14:$N$300,Proposal_3!$G$14:$G$300,$B49,Proposal_3!$F$14:$F$300,"Included"))</f>
        <v/>
      </c>
      <c r="Z49" s="6" t="str">
        <f>IF($B49="","",SUMIFS(Proposal_3!$P$14:$P$300,Proposal_3!$G$14:$G$300,$B49,Proposal_3!$F$14:$F$300,"Included"))</f>
        <v/>
      </c>
      <c r="AA49" s="6" t="str">
        <f>IF($B49="","",SUMIFS(Proposal_3!$R$14:$R$300,Proposal_3!$G$14:$G$300,$B49,Proposal_3!$F$14:$F$300,"Included"))</f>
        <v/>
      </c>
      <c r="AB49" s="6" t="str">
        <f>IF($B49="","",SUMIFS(Proposal_3!$T$14:$T$300,Proposal_3!$G$14:$G$300,$B49,Proposal_3!$F$14:$F$300,"Included"))</f>
        <v/>
      </c>
      <c r="AC49" s="6" t="str">
        <f>IF($B49="","",SUMIFS(Proposal_3!$V$14:$V$300,Proposal_3!$G$14:$G$300,$B49,Proposal_3!$F$14:$F$300,"Included"))</f>
        <v/>
      </c>
      <c r="AD49" s="6" t="str">
        <f>IF($B49="","",SUMIFS(Proposal_3!$X$14:$X$300,Proposal_3!$G$14:$G$300,$B49,Proposal_3!$F$14:$F$300,"Included"))</f>
        <v/>
      </c>
    </row>
    <row r="50" spans="3:30" x14ac:dyDescent="0.25">
      <c r="C50" s="6" t="str">
        <f>IF($B50="","",SUMIFS(Proposal_1!$J$14:$J$300,Proposal_1!$G$14:$G$300,$B50,Proposal_1!$F$14:$F$300,"Included"))</f>
        <v/>
      </c>
      <c r="D50" s="6" t="str">
        <f>IF($B50="","",SUMIFS(Proposal_1!$L$14:$L$300,Proposal_1!$G$14:$G$300,$B50,Proposal_1!$F$14:$F$300,"Included"))</f>
        <v/>
      </c>
      <c r="E50" s="6" t="str">
        <f>IF($B50="","",SUMIFS(Proposal_1!$N$14:$N$300,Proposal_1!$G$14:$G$300,$B50,Proposal_1!$F$14:$F$300,"Included"))</f>
        <v/>
      </c>
      <c r="F50" s="6" t="str">
        <f>IF($B50="","",SUMIFS(Proposal_1!$P$14:$P$300,Proposal_1!$G$14:$G$300,$B50,Proposal_1!$F$14:$F$300,"Included"))</f>
        <v/>
      </c>
      <c r="G50" s="6" t="str">
        <f>IF($B50="","",SUMIFS(Proposal_1!$R$14:$R$300,Proposal_1!$G$14:$G$300,$B50,Proposal_1!$F$14:$F$300,"Included"))</f>
        <v/>
      </c>
      <c r="H50" s="6" t="str">
        <f>IF($B50="","",SUMIFS(Proposal_1!$T$14:$T$300,Proposal_1!$G$14:$G$300,$B50,Proposal_1!$F$14:$F$300,"Included"))</f>
        <v/>
      </c>
      <c r="I50" s="6" t="str">
        <f>IF($B50="","",SUMIFS(Proposal_1!$V$14:$V$300,Proposal_1!$G$14:$G$300,$B50,Proposal_1!$F$14:$F$300,"Included"))</f>
        <v/>
      </c>
      <c r="J50" s="6" t="str">
        <f>IF($B50="","",SUMIFS(Proposal_1!$X$14:$X$300,Proposal_1!$G$14:$G$300,$B50,Proposal_1!$F$14:$F$300,"Included"))</f>
        <v/>
      </c>
      <c r="M50" s="6" t="str">
        <f>IF($B50="","",SUMIFS(Proposal_2!$J$14:$J$300,Proposal_2!$G$14:$G$300,$B50,Proposal_2!$F$14:$F$300,"Included"))</f>
        <v/>
      </c>
      <c r="N50" s="6" t="str">
        <f>IF($B50="","",SUMIFS(Proposal_2!$L$14:$L$300,Proposal_2!$G$14:$G$300,$B50,Proposal_2!$F$14:$F$300,"Included"))</f>
        <v/>
      </c>
      <c r="O50" s="6" t="str">
        <f>IF($B50="","",SUMIFS(Proposal_2!$N$14:$N$300,Proposal_2!$G$14:$G$300,$B50,Proposal_2!$F$14:$F$300,"Included"))</f>
        <v/>
      </c>
      <c r="P50" s="6" t="str">
        <f>IF($B50="","",SUMIFS(Proposal_2!$P$14:$P$300,Proposal_2!$G$14:$G$300,$B50,Proposal_2!$F$14:$F$300,"Included"))</f>
        <v/>
      </c>
      <c r="Q50" s="6" t="str">
        <f>IF($B50="","",SUMIFS(Proposal_2!$R$14:$R$300,Proposal_2!$G$14:$G$300,$B50,Proposal_2!$F$14:$F$300,"Included"))</f>
        <v/>
      </c>
      <c r="R50" s="6" t="str">
        <f>IF($B50="","",SUMIFS(Proposal_2!$T$14:$T$300,Proposal_2!$G$14:$G$300,$B50,Proposal_2!$F$14:$F$300,"Included"))</f>
        <v/>
      </c>
      <c r="S50" s="6" t="str">
        <f>IF($B50="","",SUMIFS(Proposal_2!$V$14:$V$300,Proposal_2!$G$14:$G$300,$B50,Proposal_2!$F$14:$F$300,"Included"))</f>
        <v/>
      </c>
      <c r="T50" s="6" t="str">
        <f>IF($B50="","",SUMIFS(Proposal_2!$X$14:$X$300,Proposal_2!$G$14:$G$300,$B50,Proposal_2!$F$14:$F$300,"Included"))</f>
        <v/>
      </c>
      <c r="W50" s="6" t="str">
        <f>IF($B50="","",SUMIFS(Proposal_3!$J$14:$J$300,Proposal_3!$G$14:$G$300,$B50,Proposal_3!$F$14:$F$300,"Included"))</f>
        <v/>
      </c>
      <c r="X50" s="6" t="str">
        <f>IF($B50="","",SUMIFS(Proposal_3!$L$14:$L$300,Proposal_3!$G$14:$G$300,$B50,Proposal_3!$F$14:$F$300,"Included"))</f>
        <v/>
      </c>
      <c r="Y50" s="6" t="str">
        <f>IF($B50="","",SUMIFS(Proposal_3!$N$14:$N$300,Proposal_3!$G$14:$G$300,$B50,Proposal_3!$F$14:$F$300,"Included"))</f>
        <v/>
      </c>
      <c r="Z50" s="6" t="str">
        <f>IF($B50="","",SUMIFS(Proposal_3!$P$14:$P$300,Proposal_3!$G$14:$G$300,$B50,Proposal_3!$F$14:$F$300,"Included"))</f>
        <v/>
      </c>
      <c r="AA50" s="6" t="str">
        <f>IF($B50="","",SUMIFS(Proposal_3!$R$14:$R$300,Proposal_3!$G$14:$G$300,$B50,Proposal_3!$F$14:$F$300,"Included"))</f>
        <v/>
      </c>
      <c r="AB50" s="6" t="str">
        <f>IF($B50="","",SUMIFS(Proposal_3!$T$14:$T$300,Proposal_3!$G$14:$G$300,$B50,Proposal_3!$F$14:$F$300,"Included"))</f>
        <v/>
      </c>
      <c r="AC50" s="6" t="str">
        <f>IF($B50="","",SUMIFS(Proposal_3!$V$14:$V$300,Proposal_3!$G$14:$G$300,$B50,Proposal_3!$F$14:$F$300,"Included"))</f>
        <v/>
      </c>
      <c r="AD50" s="6" t="str">
        <f>IF($B50="","",SUMIFS(Proposal_3!$X$14:$X$300,Proposal_3!$G$14:$G$300,$B50,Proposal_3!$F$14:$F$300,"Included"))</f>
        <v/>
      </c>
    </row>
    <row r="51" spans="3:30" x14ac:dyDescent="0.25">
      <c r="C51" s="6" t="str">
        <f>IF($B51="","",SUMIFS(Proposal_1!$J$14:$J$300,Proposal_1!$G$14:$G$300,$B51,Proposal_1!$F$14:$F$300,"Included"))</f>
        <v/>
      </c>
      <c r="D51" s="6" t="str">
        <f>IF($B51="","",SUMIFS(Proposal_1!$L$14:$L$300,Proposal_1!$G$14:$G$300,$B51,Proposal_1!$F$14:$F$300,"Included"))</f>
        <v/>
      </c>
      <c r="E51" s="6" t="str">
        <f>IF($B51="","",SUMIFS(Proposal_1!$N$14:$N$300,Proposal_1!$G$14:$G$300,$B51,Proposal_1!$F$14:$F$300,"Included"))</f>
        <v/>
      </c>
      <c r="F51" s="6" t="str">
        <f>IF($B51="","",SUMIFS(Proposal_1!$P$14:$P$300,Proposal_1!$G$14:$G$300,$B51,Proposal_1!$F$14:$F$300,"Included"))</f>
        <v/>
      </c>
      <c r="G51" s="6" t="str">
        <f>IF($B51="","",SUMIFS(Proposal_1!$R$14:$R$300,Proposal_1!$G$14:$G$300,$B51,Proposal_1!$F$14:$F$300,"Included"))</f>
        <v/>
      </c>
      <c r="H51" s="6" t="str">
        <f>IF($B51="","",SUMIFS(Proposal_1!$T$14:$T$300,Proposal_1!$G$14:$G$300,$B51,Proposal_1!$F$14:$F$300,"Included"))</f>
        <v/>
      </c>
      <c r="I51" s="6" t="str">
        <f>IF($B51="","",SUMIFS(Proposal_1!$V$14:$V$300,Proposal_1!$G$14:$G$300,$B51,Proposal_1!$F$14:$F$300,"Included"))</f>
        <v/>
      </c>
      <c r="J51" s="6" t="str">
        <f>IF($B51="","",SUMIFS(Proposal_1!$X$14:$X$300,Proposal_1!$G$14:$G$300,$B51,Proposal_1!$F$14:$F$300,"Included"))</f>
        <v/>
      </c>
      <c r="M51" s="6" t="str">
        <f>IF($B51="","",SUMIFS(Proposal_2!$J$14:$J$300,Proposal_2!$G$14:$G$300,$B51,Proposal_2!$F$14:$F$300,"Included"))</f>
        <v/>
      </c>
      <c r="N51" s="6" t="str">
        <f>IF($B51="","",SUMIFS(Proposal_2!$L$14:$L$300,Proposal_2!$G$14:$G$300,$B51,Proposal_2!$F$14:$F$300,"Included"))</f>
        <v/>
      </c>
      <c r="O51" s="6" t="str">
        <f>IF($B51="","",SUMIFS(Proposal_2!$N$14:$N$300,Proposal_2!$G$14:$G$300,$B51,Proposal_2!$F$14:$F$300,"Included"))</f>
        <v/>
      </c>
      <c r="P51" s="6" t="str">
        <f>IF($B51="","",SUMIFS(Proposal_2!$P$14:$P$300,Proposal_2!$G$14:$G$300,$B51,Proposal_2!$F$14:$F$300,"Included"))</f>
        <v/>
      </c>
      <c r="Q51" s="6" t="str">
        <f>IF($B51="","",SUMIFS(Proposal_2!$R$14:$R$300,Proposal_2!$G$14:$G$300,$B51,Proposal_2!$F$14:$F$300,"Included"))</f>
        <v/>
      </c>
      <c r="R51" s="6" t="str">
        <f>IF($B51="","",SUMIFS(Proposal_2!$T$14:$T$300,Proposal_2!$G$14:$G$300,$B51,Proposal_2!$F$14:$F$300,"Included"))</f>
        <v/>
      </c>
      <c r="S51" s="6" t="str">
        <f>IF($B51="","",SUMIFS(Proposal_2!$V$14:$V$300,Proposal_2!$G$14:$G$300,$B51,Proposal_2!$F$14:$F$300,"Included"))</f>
        <v/>
      </c>
      <c r="T51" s="6" t="str">
        <f>IF($B51="","",SUMIFS(Proposal_2!$X$14:$X$300,Proposal_2!$G$14:$G$300,$B51,Proposal_2!$F$14:$F$300,"Included"))</f>
        <v/>
      </c>
      <c r="W51" s="6" t="str">
        <f>IF($B51="","",SUMIFS(Proposal_3!$J$14:$J$300,Proposal_3!$G$14:$G$300,$B51,Proposal_3!$F$14:$F$300,"Included"))</f>
        <v/>
      </c>
      <c r="X51" s="6" t="str">
        <f>IF($B51="","",SUMIFS(Proposal_3!$L$14:$L$300,Proposal_3!$G$14:$G$300,$B51,Proposal_3!$F$14:$F$300,"Included"))</f>
        <v/>
      </c>
      <c r="Y51" s="6" t="str">
        <f>IF($B51="","",SUMIFS(Proposal_3!$N$14:$N$300,Proposal_3!$G$14:$G$300,$B51,Proposal_3!$F$14:$F$300,"Included"))</f>
        <v/>
      </c>
      <c r="Z51" s="6" t="str">
        <f>IF($B51="","",SUMIFS(Proposal_3!$P$14:$P$300,Proposal_3!$G$14:$G$300,$B51,Proposal_3!$F$14:$F$300,"Included"))</f>
        <v/>
      </c>
      <c r="AA51" s="6" t="str">
        <f>IF($B51="","",SUMIFS(Proposal_3!$R$14:$R$300,Proposal_3!$G$14:$G$300,$B51,Proposal_3!$F$14:$F$300,"Included"))</f>
        <v/>
      </c>
      <c r="AB51" s="6" t="str">
        <f>IF($B51="","",SUMIFS(Proposal_3!$T$14:$T$300,Proposal_3!$G$14:$G$300,$B51,Proposal_3!$F$14:$F$300,"Included"))</f>
        <v/>
      </c>
      <c r="AC51" s="6" t="str">
        <f>IF($B51="","",SUMIFS(Proposal_3!$V$14:$V$300,Proposal_3!$G$14:$G$300,$B51,Proposal_3!$F$14:$F$300,"Included"))</f>
        <v/>
      </c>
      <c r="AD51" s="6" t="str">
        <f>IF($B51="","",SUMIFS(Proposal_3!$X$14:$X$300,Proposal_3!$G$14:$G$300,$B51,Proposal_3!$F$14:$F$300,"Included"))</f>
        <v/>
      </c>
    </row>
    <row r="52" spans="3:30" x14ac:dyDescent="0.25">
      <c r="C52" s="6" t="str">
        <f>IF($B52="","",SUMIFS(Proposal_1!$J$14:$J$300,Proposal_1!$G$14:$G$300,$B52,Proposal_1!$F$14:$F$300,"Included"))</f>
        <v/>
      </c>
      <c r="D52" s="6" t="str">
        <f>IF($B52="","",SUMIFS(Proposal_1!$L$14:$L$300,Proposal_1!$G$14:$G$300,$B52,Proposal_1!$F$14:$F$300,"Included"))</f>
        <v/>
      </c>
      <c r="E52" s="6" t="str">
        <f>IF($B52="","",SUMIFS(Proposal_1!$N$14:$N$300,Proposal_1!$G$14:$G$300,$B52,Proposal_1!$F$14:$F$300,"Included"))</f>
        <v/>
      </c>
      <c r="F52" s="6" t="str">
        <f>IF($B52="","",SUMIFS(Proposal_1!$P$14:$P$300,Proposal_1!$G$14:$G$300,$B52,Proposal_1!$F$14:$F$300,"Included"))</f>
        <v/>
      </c>
      <c r="G52" s="6" t="str">
        <f>IF($B52="","",SUMIFS(Proposal_1!$R$14:$R$300,Proposal_1!$G$14:$G$300,$B52,Proposal_1!$F$14:$F$300,"Included"))</f>
        <v/>
      </c>
      <c r="H52" s="6" t="str">
        <f>IF($B52="","",SUMIFS(Proposal_1!$T$14:$T$300,Proposal_1!$G$14:$G$300,$B52,Proposal_1!$F$14:$F$300,"Included"))</f>
        <v/>
      </c>
      <c r="I52" s="6" t="str">
        <f>IF($B52="","",SUMIFS(Proposal_1!$V$14:$V$300,Proposal_1!$G$14:$G$300,$B52,Proposal_1!$F$14:$F$300,"Included"))</f>
        <v/>
      </c>
      <c r="J52" s="6" t="str">
        <f>IF($B52="","",SUMIFS(Proposal_1!$X$14:$X$300,Proposal_1!$G$14:$G$300,$B52,Proposal_1!$F$14:$F$300,"Included"))</f>
        <v/>
      </c>
      <c r="M52" s="6" t="str">
        <f>IF($B52="","",SUMIFS(Proposal_2!$J$14:$J$300,Proposal_2!$G$14:$G$300,$B52,Proposal_2!$F$14:$F$300,"Included"))</f>
        <v/>
      </c>
      <c r="N52" s="6" t="str">
        <f>IF($B52="","",SUMIFS(Proposal_2!$L$14:$L$300,Proposal_2!$G$14:$G$300,$B52,Proposal_2!$F$14:$F$300,"Included"))</f>
        <v/>
      </c>
      <c r="O52" s="6" t="str">
        <f>IF($B52="","",SUMIFS(Proposal_2!$N$14:$N$300,Proposal_2!$G$14:$G$300,$B52,Proposal_2!$F$14:$F$300,"Included"))</f>
        <v/>
      </c>
      <c r="P52" s="6" t="str">
        <f>IF($B52="","",SUMIFS(Proposal_2!$P$14:$P$300,Proposal_2!$G$14:$G$300,$B52,Proposal_2!$F$14:$F$300,"Included"))</f>
        <v/>
      </c>
      <c r="Q52" s="6" t="str">
        <f>IF($B52="","",SUMIFS(Proposal_2!$R$14:$R$300,Proposal_2!$G$14:$G$300,$B52,Proposal_2!$F$14:$F$300,"Included"))</f>
        <v/>
      </c>
      <c r="R52" s="6" t="str">
        <f>IF($B52="","",SUMIFS(Proposal_2!$T$14:$T$300,Proposal_2!$G$14:$G$300,$B52,Proposal_2!$F$14:$F$300,"Included"))</f>
        <v/>
      </c>
      <c r="S52" s="6" t="str">
        <f>IF($B52="","",SUMIFS(Proposal_2!$V$14:$V$300,Proposal_2!$G$14:$G$300,$B52,Proposal_2!$F$14:$F$300,"Included"))</f>
        <v/>
      </c>
      <c r="T52" s="6" t="str">
        <f>IF($B52="","",SUMIFS(Proposal_2!$X$14:$X$300,Proposal_2!$G$14:$G$300,$B52,Proposal_2!$F$14:$F$300,"Included"))</f>
        <v/>
      </c>
      <c r="W52" s="6" t="str">
        <f>IF($B52="","",SUMIFS(Proposal_3!$J$14:$J$300,Proposal_3!$G$14:$G$300,$B52,Proposal_3!$F$14:$F$300,"Included"))</f>
        <v/>
      </c>
      <c r="X52" s="6" t="str">
        <f>IF($B52="","",SUMIFS(Proposal_3!$L$14:$L$300,Proposal_3!$G$14:$G$300,$B52,Proposal_3!$F$14:$F$300,"Included"))</f>
        <v/>
      </c>
      <c r="Y52" s="6" t="str">
        <f>IF($B52="","",SUMIFS(Proposal_3!$N$14:$N$300,Proposal_3!$G$14:$G$300,$B52,Proposal_3!$F$14:$F$300,"Included"))</f>
        <v/>
      </c>
      <c r="Z52" s="6" t="str">
        <f>IF($B52="","",SUMIFS(Proposal_3!$P$14:$P$300,Proposal_3!$G$14:$G$300,$B52,Proposal_3!$F$14:$F$300,"Included"))</f>
        <v/>
      </c>
      <c r="AA52" s="6" t="str">
        <f>IF($B52="","",SUMIFS(Proposal_3!$R$14:$R$300,Proposal_3!$G$14:$G$300,$B52,Proposal_3!$F$14:$F$300,"Included"))</f>
        <v/>
      </c>
      <c r="AB52" s="6" t="str">
        <f>IF($B52="","",SUMIFS(Proposal_3!$T$14:$T$300,Proposal_3!$G$14:$G$300,$B52,Proposal_3!$F$14:$F$300,"Included"))</f>
        <v/>
      </c>
      <c r="AC52" s="6" t="str">
        <f>IF($B52="","",SUMIFS(Proposal_3!$V$14:$V$300,Proposal_3!$G$14:$G$300,$B52,Proposal_3!$F$14:$F$300,"Included"))</f>
        <v/>
      </c>
      <c r="AD52" s="6" t="str">
        <f>IF($B52="","",SUMIFS(Proposal_3!$X$14:$X$300,Proposal_3!$G$14:$G$300,$B52,Proposal_3!$F$14:$F$300,"Included"))</f>
        <v/>
      </c>
    </row>
    <row r="53" spans="3:30" x14ac:dyDescent="0.25">
      <c r="C53" s="6" t="str">
        <f>IF($B53="","",SUMIFS(Proposal_1!$J$14:$J$300,Proposal_1!$G$14:$G$300,$B53,Proposal_1!$F$14:$F$300,"Included"))</f>
        <v/>
      </c>
      <c r="D53" s="6" t="str">
        <f>IF($B53="","",SUMIFS(Proposal_1!$L$14:$L$300,Proposal_1!$G$14:$G$300,$B53,Proposal_1!$F$14:$F$300,"Included"))</f>
        <v/>
      </c>
      <c r="E53" s="6" t="str">
        <f>IF($B53="","",SUMIFS(Proposal_1!$N$14:$N$300,Proposal_1!$G$14:$G$300,$B53,Proposal_1!$F$14:$F$300,"Included"))</f>
        <v/>
      </c>
      <c r="F53" s="6" t="str">
        <f>IF($B53="","",SUMIFS(Proposal_1!$P$14:$P$300,Proposal_1!$G$14:$G$300,$B53,Proposal_1!$F$14:$F$300,"Included"))</f>
        <v/>
      </c>
      <c r="G53" s="6" t="str">
        <f>IF($B53="","",SUMIFS(Proposal_1!$R$14:$R$300,Proposal_1!$G$14:$G$300,$B53,Proposal_1!$F$14:$F$300,"Included"))</f>
        <v/>
      </c>
      <c r="H53" s="6" t="str">
        <f>IF($B53="","",SUMIFS(Proposal_1!$T$14:$T$300,Proposal_1!$G$14:$G$300,$B53,Proposal_1!$F$14:$F$300,"Included"))</f>
        <v/>
      </c>
      <c r="I53" s="6" t="str">
        <f>IF($B53="","",SUMIFS(Proposal_1!$V$14:$V$300,Proposal_1!$G$14:$G$300,$B53,Proposal_1!$F$14:$F$300,"Included"))</f>
        <v/>
      </c>
      <c r="J53" s="6" t="str">
        <f>IF($B53="","",SUMIFS(Proposal_1!$X$14:$X$300,Proposal_1!$G$14:$G$300,$B53,Proposal_1!$F$14:$F$300,"Included"))</f>
        <v/>
      </c>
      <c r="M53" s="6" t="str">
        <f>IF($B53="","",SUMIFS(Proposal_2!$J$14:$J$300,Proposal_2!$G$14:$G$300,$B53,Proposal_2!$F$14:$F$300,"Included"))</f>
        <v/>
      </c>
      <c r="N53" s="6" t="str">
        <f>IF($B53="","",SUMIFS(Proposal_2!$L$14:$L$300,Proposal_2!$G$14:$G$300,$B53,Proposal_2!$F$14:$F$300,"Included"))</f>
        <v/>
      </c>
      <c r="O53" s="6" t="str">
        <f>IF($B53="","",SUMIFS(Proposal_2!$N$14:$N$300,Proposal_2!$G$14:$G$300,$B53,Proposal_2!$F$14:$F$300,"Included"))</f>
        <v/>
      </c>
      <c r="P53" s="6" t="str">
        <f>IF($B53="","",SUMIFS(Proposal_2!$P$14:$P$300,Proposal_2!$G$14:$G$300,$B53,Proposal_2!$F$14:$F$300,"Included"))</f>
        <v/>
      </c>
      <c r="Q53" s="6" t="str">
        <f>IF($B53="","",SUMIFS(Proposal_2!$R$14:$R$300,Proposal_2!$G$14:$G$300,$B53,Proposal_2!$F$14:$F$300,"Included"))</f>
        <v/>
      </c>
      <c r="R53" s="6" t="str">
        <f>IF($B53="","",SUMIFS(Proposal_2!$T$14:$T$300,Proposal_2!$G$14:$G$300,$B53,Proposal_2!$F$14:$F$300,"Included"))</f>
        <v/>
      </c>
      <c r="S53" s="6" t="str">
        <f>IF($B53="","",SUMIFS(Proposal_2!$V$14:$V$300,Proposal_2!$G$14:$G$300,$B53,Proposal_2!$F$14:$F$300,"Included"))</f>
        <v/>
      </c>
      <c r="T53" s="6" t="str">
        <f>IF($B53="","",SUMIFS(Proposal_2!$X$14:$X$300,Proposal_2!$G$14:$G$300,$B53,Proposal_2!$F$14:$F$300,"Included"))</f>
        <v/>
      </c>
      <c r="W53" s="6" t="str">
        <f>IF($B53="","",SUMIFS(Proposal_3!$J$14:$J$300,Proposal_3!$G$14:$G$300,$B53,Proposal_3!$F$14:$F$300,"Included"))</f>
        <v/>
      </c>
      <c r="X53" s="6" t="str">
        <f>IF($B53="","",SUMIFS(Proposal_3!$L$14:$L$300,Proposal_3!$G$14:$G$300,$B53,Proposal_3!$F$14:$F$300,"Included"))</f>
        <v/>
      </c>
      <c r="Y53" s="6" t="str">
        <f>IF($B53="","",SUMIFS(Proposal_3!$N$14:$N$300,Proposal_3!$G$14:$G$300,$B53,Proposal_3!$F$14:$F$300,"Included"))</f>
        <v/>
      </c>
      <c r="Z53" s="6" t="str">
        <f>IF($B53="","",SUMIFS(Proposal_3!$P$14:$P$300,Proposal_3!$G$14:$G$300,$B53,Proposal_3!$F$14:$F$300,"Included"))</f>
        <v/>
      </c>
      <c r="AA53" s="6" t="str">
        <f>IF($B53="","",SUMIFS(Proposal_3!$R$14:$R$300,Proposal_3!$G$14:$G$300,$B53,Proposal_3!$F$14:$F$300,"Included"))</f>
        <v/>
      </c>
      <c r="AB53" s="6" t="str">
        <f>IF($B53="","",SUMIFS(Proposal_3!$T$14:$T$300,Proposal_3!$G$14:$G$300,$B53,Proposal_3!$F$14:$F$300,"Included"))</f>
        <v/>
      </c>
      <c r="AC53" s="6" t="str">
        <f>IF($B53="","",SUMIFS(Proposal_3!$V$14:$V$300,Proposal_3!$G$14:$G$300,$B53,Proposal_3!$F$14:$F$300,"Included"))</f>
        <v/>
      </c>
      <c r="AD53" s="6" t="str">
        <f>IF($B53="","",SUMIFS(Proposal_3!$X$14:$X$300,Proposal_3!$G$14:$G$300,$B53,Proposal_3!$F$14:$F$300,"Included"))</f>
        <v/>
      </c>
    </row>
    <row r="54" spans="3:30" x14ac:dyDescent="0.25">
      <c r="C54" s="6" t="str">
        <f>IF($B54="","",SUMIFS(Proposal_1!$J$14:$J$300,Proposal_1!$G$14:$G$300,$B54,Proposal_1!$F$14:$F$300,"Included"))</f>
        <v/>
      </c>
      <c r="D54" s="6" t="str">
        <f>IF($B54="","",SUMIFS(Proposal_1!$L$14:$L$300,Proposal_1!$G$14:$G$300,$B54,Proposal_1!$F$14:$F$300,"Included"))</f>
        <v/>
      </c>
      <c r="E54" s="6" t="str">
        <f>IF($B54="","",SUMIFS(Proposal_1!$N$14:$N$300,Proposal_1!$G$14:$G$300,$B54,Proposal_1!$F$14:$F$300,"Included"))</f>
        <v/>
      </c>
      <c r="F54" s="6" t="str">
        <f>IF($B54="","",SUMIFS(Proposal_1!$P$14:$P$300,Proposal_1!$G$14:$G$300,$B54,Proposal_1!$F$14:$F$300,"Included"))</f>
        <v/>
      </c>
      <c r="G54" s="6" t="str">
        <f>IF($B54="","",SUMIFS(Proposal_1!$R$14:$R$300,Proposal_1!$G$14:$G$300,$B54,Proposal_1!$F$14:$F$300,"Included"))</f>
        <v/>
      </c>
      <c r="H54" s="6" t="str">
        <f>IF($B54="","",SUMIFS(Proposal_1!$T$14:$T$300,Proposal_1!$G$14:$G$300,$B54,Proposal_1!$F$14:$F$300,"Included"))</f>
        <v/>
      </c>
      <c r="I54" s="6" t="str">
        <f>IF($B54="","",SUMIFS(Proposal_1!$V$14:$V$300,Proposal_1!$G$14:$G$300,$B54,Proposal_1!$F$14:$F$300,"Included"))</f>
        <v/>
      </c>
      <c r="J54" s="6" t="str">
        <f>IF($B54="","",SUMIFS(Proposal_1!$X$14:$X$300,Proposal_1!$G$14:$G$300,$B54,Proposal_1!$F$14:$F$300,"Included"))</f>
        <v/>
      </c>
      <c r="M54" s="6" t="str">
        <f>IF($B54="","",SUMIFS(Proposal_2!$J$14:$J$300,Proposal_2!$G$14:$G$300,$B54,Proposal_2!$F$14:$F$300,"Included"))</f>
        <v/>
      </c>
      <c r="N54" s="6" t="str">
        <f>IF($B54="","",SUMIFS(Proposal_2!$L$14:$L$300,Proposal_2!$G$14:$G$300,$B54,Proposal_2!$F$14:$F$300,"Included"))</f>
        <v/>
      </c>
      <c r="O54" s="6" t="str">
        <f>IF($B54="","",SUMIFS(Proposal_2!$N$14:$N$300,Proposal_2!$G$14:$G$300,$B54,Proposal_2!$F$14:$F$300,"Included"))</f>
        <v/>
      </c>
      <c r="P54" s="6" t="str">
        <f>IF($B54="","",SUMIFS(Proposal_2!$P$14:$P$300,Proposal_2!$G$14:$G$300,$B54,Proposal_2!$F$14:$F$300,"Included"))</f>
        <v/>
      </c>
      <c r="Q54" s="6" t="str">
        <f>IF($B54="","",SUMIFS(Proposal_2!$R$14:$R$300,Proposal_2!$G$14:$G$300,$B54,Proposal_2!$F$14:$F$300,"Included"))</f>
        <v/>
      </c>
      <c r="R54" s="6" t="str">
        <f>IF($B54="","",SUMIFS(Proposal_2!$T$14:$T$300,Proposal_2!$G$14:$G$300,$B54,Proposal_2!$F$14:$F$300,"Included"))</f>
        <v/>
      </c>
      <c r="S54" s="6" t="str">
        <f>IF($B54="","",SUMIFS(Proposal_2!$V$14:$V$300,Proposal_2!$G$14:$G$300,$B54,Proposal_2!$F$14:$F$300,"Included"))</f>
        <v/>
      </c>
      <c r="T54" s="6" t="str">
        <f>IF($B54="","",SUMIFS(Proposal_2!$X$14:$X$300,Proposal_2!$G$14:$G$300,$B54,Proposal_2!$F$14:$F$300,"Included"))</f>
        <v/>
      </c>
      <c r="W54" s="6" t="str">
        <f>IF($B54="","",SUMIFS(Proposal_3!$J$14:$J$300,Proposal_3!$G$14:$G$300,$B54,Proposal_3!$F$14:$F$300,"Included"))</f>
        <v/>
      </c>
      <c r="X54" s="6" t="str">
        <f>IF($B54="","",SUMIFS(Proposal_3!$L$14:$L$300,Proposal_3!$G$14:$G$300,$B54,Proposal_3!$F$14:$F$300,"Included"))</f>
        <v/>
      </c>
      <c r="Y54" s="6" t="str">
        <f>IF($B54="","",SUMIFS(Proposal_3!$N$14:$N$300,Proposal_3!$G$14:$G$300,$B54,Proposal_3!$F$14:$F$300,"Included"))</f>
        <v/>
      </c>
      <c r="Z54" s="6" t="str">
        <f>IF($B54="","",SUMIFS(Proposal_3!$P$14:$P$300,Proposal_3!$G$14:$G$300,$B54,Proposal_3!$F$14:$F$300,"Included"))</f>
        <v/>
      </c>
      <c r="AA54" s="6" t="str">
        <f>IF($B54="","",SUMIFS(Proposal_3!$R$14:$R$300,Proposal_3!$G$14:$G$300,$B54,Proposal_3!$F$14:$F$300,"Included"))</f>
        <v/>
      </c>
      <c r="AB54" s="6" t="str">
        <f>IF($B54="","",SUMIFS(Proposal_3!$T$14:$T$300,Proposal_3!$G$14:$G$300,$B54,Proposal_3!$F$14:$F$300,"Included"))</f>
        <v/>
      </c>
      <c r="AC54" s="6" t="str">
        <f>IF($B54="","",SUMIFS(Proposal_3!$V$14:$V$300,Proposal_3!$G$14:$G$300,$B54,Proposal_3!$F$14:$F$300,"Included"))</f>
        <v/>
      </c>
      <c r="AD54" s="6" t="str">
        <f>IF($B54="","",SUMIFS(Proposal_3!$X$14:$X$300,Proposal_3!$G$14:$G$300,$B54,Proposal_3!$F$14:$F$300,"Included"))</f>
        <v/>
      </c>
    </row>
    <row r="55" spans="3:30" x14ac:dyDescent="0.25">
      <c r="C55" s="6" t="str">
        <f>IF($B55="","",SUMIFS(Proposal_1!$J$14:$J$300,Proposal_1!$G$14:$G$300,$B55,Proposal_1!$F$14:$F$300,"Included"))</f>
        <v/>
      </c>
      <c r="D55" s="6" t="str">
        <f>IF($B55="","",SUMIFS(Proposal_1!$L$14:$L$300,Proposal_1!$G$14:$G$300,$B55,Proposal_1!$F$14:$F$300,"Included"))</f>
        <v/>
      </c>
      <c r="E55" s="6" t="str">
        <f>IF($B55="","",SUMIFS(Proposal_1!$N$14:$N$300,Proposal_1!$G$14:$G$300,$B55,Proposal_1!$F$14:$F$300,"Included"))</f>
        <v/>
      </c>
      <c r="F55" s="6" t="str">
        <f>IF($B55="","",SUMIFS(Proposal_1!$P$14:$P$300,Proposal_1!$G$14:$G$300,$B55,Proposal_1!$F$14:$F$300,"Included"))</f>
        <v/>
      </c>
      <c r="G55" s="6" t="str">
        <f>IF($B55="","",SUMIFS(Proposal_1!$R$14:$R$300,Proposal_1!$G$14:$G$300,$B55,Proposal_1!$F$14:$F$300,"Included"))</f>
        <v/>
      </c>
      <c r="H55" s="6" t="str">
        <f>IF($B55="","",SUMIFS(Proposal_1!$T$14:$T$300,Proposal_1!$G$14:$G$300,$B55,Proposal_1!$F$14:$F$300,"Included"))</f>
        <v/>
      </c>
      <c r="I55" s="6" t="str">
        <f>IF($B55="","",SUMIFS(Proposal_1!$V$14:$V$300,Proposal_1!$G$14:$G$300,$B55,Proposal_1!$F$14:$F$300,"Included"))</f>
        <v/>
      </c>
      <c r="J55" s="6" t="str">
        <f>IF($B55="","",SUMIFS(Proposal_1!$X$14:$X$300,Proposal_1!$G$14:$G$300,$B55,Proposal_1!$F$14:$F$300,"Included"))</f>
        <v/>
      </c>
      <c r="M55" s="6" t="str">
        <f>IF($B55="","",SUMIFS(Proposal_2!$J$14:$J$300,Proposal_2!$G$14:$G$300,$B55,Proposal_2!$F$14:$F$300,"Included"))</f>
        <v/>
      </c>
      <c r="N55" s="6" t="str">
        <f>IF($B55="","",SUMIFS(Proposal_2!$L$14:$L$300,Proposal_2!$G$14:$G$300,$B55,Proposal_2!$F$14:$F$300,"Included"))</f>
        <v/>
      </c>
      <c r="O55" s="6" t="str">
        <f>IF($B55="","",SUMIFS(Proposal_2!$N$14:$N$300,Proposal_2!$G$14:$G$300,$B55,Proposal_2!$F$14:$F$300,"Included"))</f>
        <v/>
      </c>
      <c r="P55" s="6" t="str">
        <f>IF($B55="","",SUMIFS(Proposal_2!$P$14:$P$300,Proposal_2!$G$14:$G$300,$B55,Proposal_2!$F$14:$F$300,"Included"))</f>
        <v/>
      </c>
      <c r="Q55" s="6" t="str">
        <f>IF($B55="","",SUMIFS(Proposal_2!$R$14:$R$300,Proposal_2!$G$14:$G$300,$B55,Proposal_2!$F$14:$F$300,"Included"))</f>
        <v/>
      </c>
      <c r="R55" s="6" t="str">
        <f>IF($B55="","",SUMIFS(Proposal_2!$T$14:$T$300,Proposal_2!$G$14:$G$300,$B55,Proposal_2!$F$14:$F$300,"Included"))</f>
        <v/>
      </c>
      <c r="S55" s="6" t="str">
        <f>IF($B55="","",SUMIFS(Proposal_2!$V$14:$V$300,Proposal_2!$G$14:$G$300,$B55,Proposal_2!$F$14:$F$300,"Included"))</f>
        <v/>
      </c>
      <c r="T55" s="6" t="str">
        <f>IF($B55="","",SUMIFS(Proposal_2!$X$14:$X$300,Proposal_2!$G$14:$G$300,$B55,Proposal_2!$F$14:$F$300,"Included"))</f>
        <v/>
      </c>
      <c r="W55" s="6" t="str">
        <f>IF($B55="","",SUMIFS(Proposal_3!$J$14:$J$300,Proposal_3!$G$14:$G$300,$B55,Proposal_3!$F$14:$F$300,"Included"))</f>
        <v/>
      </c>
      <c r="X55" s="6" t="str">
        <f>IF($B55="","",SUMIFS(Proposal_3!$L$14:$L$300,Proposal_3!$G$14:$G$300,$B55,Proposal_3!$F$14:$F$300,"Included"))</f>
        <v/>
      </c>
      <c r="Y55" s="6" t="str">
        <f>IF($B55="","",SUMIFS(Proposal_3!$N$14:$N$300,Proposal_3!$G$14:$G$300,$B55,Proposal_3!$F$14:$F$300,"Included"))</f>
        <v/>
      </c>
      <c r="Z55" s="6" t="str">
        <f>IF($B55="","",SUMIFS(Proposal_3!$P$14:$P$300,Proposal_3!$G$14:$G$300,$B55,Proposal_3!$F$14:$F$300,"Included"))</f>
        <v/>
      </c>
      <c r="AA55" s="6" t="str">
        <f>IF($B55="","",SUMIFS(Proposal_3!$R$14:$R$300,Proposal_3!$G$14:$G$300,$B55,Proposal_3!$F$14:$F$300,"Included"))</f>
        <v/>
      </c>
      <c r="AB55" s="6" t="str">
        <f>IF($B55="","",SUMIFS(Proposal_3!$T$14:$T$300,Proposal_3!$G$14:$G$300,$B55,Proposal_3!$F$14:$F$300,"Included"))</f>
        <v/>
      </c>
      <c r="AC55" s="6" t="str">
        <f>IF($B55="","",SUMIFS(Proposal_3!$V$14:$V$300,Proposal_3!$G$14:$G$300,$B55,Proposal_3!$F$14:$F$300,"Included"))</f>
        <v/>
      </c>
      <c r="AD55" s="6" t="str">
        <f>IF($B55="","",SUMIFS(Proposal_3!$X$14:$X$300,Proposal_3!$G$14:$G$300,$B55,Proposal_3!$F$14:$F$300,"Included"))</f>
        <v/>
      </c>
    </row>
    <row r="56" spans="3:30" x14ac:dyDescent="0.25">
      <c r="C56" s="6" t="str">
        <f>IF($B56="","",SUMIFS(Proposal_1!$J$14:$J$300,Proposal_1!$G$14:$G$300,$B56,Proposal_1!$F$14:$F$300,"Included"))</f>
        <v/>
      </c>
      <c r="D56" s="6" t="str">
        <f>IF($B56="","",SUMIFS(Proposal_1!$L$14:$L$300,Proposal_1!$G$14:$G$300,$B56,Proposal_1!$F$14:$F$300,"Included"))</f>
        <v/>
      </c>
      <c r="E56" s="6" t="str">
        <f>IF($B56="","",SUMIFS(Proposal_1!$N$14:$N$300,Proposal_1!$G$14:$G$300,$B56,Proposal_1!$F$14:$F$300,"Included"))</f>
        <v/>
      </c>
      <c r="F56" s="6" t="str">
        <f>IF($B56="","",SUMIFS(Proposal_1!$P$14:$P$300,Proposal_1!$G$14:$G$300,$B56,Proposal_1!$F$14:$F$300,"Included"))</f>
        <v/>
      </c>
      <c r="G56" s="6" t="str">
        <f>IF($B56="","",SUMIFS(Proposal_1!$R$14:$R$300,Proposal_1!$G$14:$G$300,$B56,Proposal_1!$F$14:$F$300,"Included"))</f>
        <v/>
      </c>
      <c r="H56" s="6" t="str">
        <f>IF($B56="","",SUMIFS(Proposal_1!$T$14:$T$300,Proposal_1!$G$14:$G$300,$B56,Proposal_1!$F$14:$F$300,"Included"))</f>
        <v/>
      </c>
      <c r="I56" s="6" t="str">
        <f>IF($B56="","",SUMIFS(Proposal_1!$V$14:$V$300,Proposal_1!$G$14:$G$300,$B56,Proposal_1!$F$14:$F$300,"Included"))</f>
        <v/>
      </c>
      <c r="J56" s="6" t="str">
        <f>IF($B56="","",SUMIFS(Proposal_1!$X$14:$X$300,Proposal_1!$G$14:$G$300,$B56,Proposal_1!$F$14:$F$300,"Included"))</f>
        <v/>
      </c>
      <c r="M56" s="6" t="str">
        <f>IF($B56="","",SUMIFS(Proposal_2!$J$14:$J$300,Proposal_2!$G$14:$G$300,$B56,Proposal_2!$F$14:$F$300,"Included"))</f>
        <v/>
      </c>
      <c r="N56" s="6" t="str">
        <f>IF($B56="","",SUMIFS(Proposal_2!$L$14:$L$300,Proposal_2!$G$14:$G$300,$B56,Proposal_2!$F$14:$F$300,"Included"))</f>
        <v/>
      </c>
      <c r="O56" s="6" t="str">
        <f>IF($B56="","",SUMIFS(Proposal_2!$N$14:$N$300,Proposal_2!$G$14:$G$300,$B56,Proposal_2!$F$14:$F$300,"Included"))</f>
        <v/>
      </c>
      <c r="P56" s="6" t="str">
        <f>IF($B56="","",SUMIFS(Proposal_2!$P$14:$P$300,Proposal_2!$G$14:$G$300,$B56,Proposal_2!$F$14:$F$300,"Included"))</f>
        <v/>
      </c>
      <c r="Q56" s="6" t="str">
        <f>IF($B56="","",SUMIFS(Proposal_2!$R$14:$R$300,Proposal_2!$G$14:$G$300,$B56,Proposal_2!$F$14:$F$300,"Included"))</f>
        <v/>
      </c>
      <c r="R56" s="6" t="str">
        <f>IF($B56="","",SUMIFS(Proposal_2!$T$14:$T$300,Proposal_2!$G$14:$G$300,$B56,Proposal_2!$F$14:$F$300,"Included"))</f>
        <v/>
      </c>
      <c r="S56" s="6" t="str">
        <f>IF($B56="","",SUMIFS(Proposal_2!$V$14:$V$300,Proposal_2!$G$14:$G$300,$B56,Proposal_2!$F$14:$F$300,"Included"))</f>
        <v/>
      </c>
      <c r="T56" s="6" t="str">
        <f>IF($B56="","",SUMIFS(Proposal_2!$X$14:$X$300,Proposal_2!$G$14:$G$300,$B56,Proposal_2!$F$14:$F$300,"Included"))</f>
        <v/>
      </c>
      <c r="W56" s="6" t="str">
        <f>IF($B56="","",SUMIFS(Proposal_3!$J$14:$J$300,Proposal_3!$G$14:$G$300,$B56,Proposal_3!$F$14:$F$300,"Included"))</f>
        <v/>
      </c>
      <c r="X56" s="6" t="str">
        <f>IF($B56="","",SUMIFS(Proposal_3!$L$14:$L$300,Proposal_3!$G$14:$G$300,$B56,Proposal_3!$F$14:$F$300,"Included"))</f>
        <v/>
      </c>
      <c r="Y56" s="6" t="str">
        <f>IF($B56="","",SUMIFS(Proposal_3!$N$14:$N$300,Proposal_3!$G$14:$G$300,$B56,Proposal_3!$F$14:$F$300,"Included"))</f>
        <v/>
      </c>
      <c r="Z56" s="6" t="str">
        <f>IF($B56="","",SUMIFS(Proposal_3!$P$14:$P$300,Proposal_3!$G$14:$G$300,$B56,Proposal_3!$F$14:$F$300,"Included"))</f>
        <v/>
      </c>
      <c r="AA56" s="6" t="str">
        <f>IF($B56="","",SUMIFS(Proposal_3!$R$14:$R$300,Proposal_3!$G$14:$G$300,$B56,Proposal_3!$F$14:$F$300,"Included"))</f>
        <v/>
      </c>
      <c r="AB56" s="6" t="str">
        <f>IF($B56="","",SUMIFS(Proposal_3!$T$14:$T$300,Proposal_3!$G$14:$G$300,$B56,Proposal_3!$F$14:$F$300,"Included"))</f>
        <v/>
      </c>
      <c r="AC56" s="6" t="str">
        <f>IF($B56="","",SUMIFS(Proposal_3!$V$14:$V$300,Proposal_3!$G$14:$G$300,$B56,Proposal_3!$F$14:$F$300,"Included"))</f>
        <v/>
      </c>
      <c r="AD56" s="6" t="str">
        <f>IF($B56="","",SUMIFS(Proposal_3!$X$14:$X$300,Proposal_3!$G$14:$G$300,$B56,Proposal_3!$F$14:$F$300,"Included"))</f>
        <v/>
      </c>
    </row>
    <row r="57" spans="3:30" x14ac:dyDescent="0.25">
      <c r="C57" s="6" t="str">
        <f>IF($B57="","",SUMIFS(Proposal_1!$J$14:$J$300,Proposal_1!$G$14:$G$300,$B57,Proposal_1!$F$14:$F$300,"Included"))</f>
        <v/>
      </c>
      <c r="D57" s="6" t="str">
        <f>IF($B57="","",SUMIFS(Proposal_1!$L$14:$L$300,Proposal_1!$G$14:$G$300,$B57,Proposal_1!$F$14:$F$300,"Included"))</f>
        <v/>
      </c>
      <c r="E57" s="6" t="str">
        <f>IF($B57="","",SUMIFS(Proposal_1!$N$14:$N$300,Proposal_1!$G$14:$G$300,$B57,Proposal_1!$F$14:$F$300,"Included"))</f>
        <v/>
      </c>
      <c r="F57" s="6" t="str">
        <f>IF($B57="","",SUMIFS(Proposal_1!$P$14:$P$300,Proposal_1!$G$14:$G$300,$B57,Proposal_1!$F$14:$F$300,"Included"))</f>
        <v/>
      </c>
      <c r="G57" s="6" t="str">
        <f>IF($B57="","",SUMIFS(Proposal_1!$R$14:$R$300,Proposal_1!$G$14:$G$300,$B57,Proposal_1!$F$14:$F$300,"Included"))</f>
        <v/>
      </c>
      <c r="H57" s="6" t="str">
        <f>IF($B57="","",SUMIFS(Proposal_1!$T$14:$T$300,Proposal_1!$G$14:$G$300,$B57,Proposal_1!$F$14:$F$300,"Included"))</f>
        <v/>
      </c>
      <c r="I57" s="6" t="str">
        <f>IF($B57="","",SUMIFS(Proposal_1!$V$14:$V$300,Proposal_1!$G$14:$G$300,$B57,Proposal_1!$F$14:$F$300,"Included"))</f>
        <v/>
      </c>
      <c r="J57" s="6" t="str">
        <f>IF($B57="","",SUMIFS(Proposal_1!$X$14:$X$300,Proposal_1!$G$14:$G$300,$B57,Proposal_1!$F$14:$F$300,"Included"))</f>
        <v/>
      </c>
      <c r="M57" s="6" t="str">
        <f>IF($B57="","",SUMIFS(Proposal_2!$J$14:$J$300,Proposal_2!$G$14:$G$300,$B57,Proposal_2!$F$14:$F$300,"Included"))</f>
        <v/>
      </c>
      <c r="N57" s="6" t="str">
        <f>IF($B57="","",SUMIFS(Proposal_2!$L$14:$L$300,Proposal_2!$G$14:$G$300,$B57,Proposal_2!$F$14:$F$300,"Included"))</f>
        <v/>
      </c>
      <c r="O57" s="6" t="str">
        <f>IF($B57="","",SUMIFS(Proposal_2!$N$14:$N$300,Proposal_2!$G$14:$G$300,$B57,Proposal_2!$F$14:$F$300,"Included"))</f>
        <v/>
      </c>
      <c r="P57" s="6" t="str">
        <f>IF($B57="","",SUMIFS(Proposal_2!$P$14:$P$300,Proposal_2!$G$14:$G$300,$B57,Proposal_2!$F$14:$F$300,"Included"))</f>
        <v/>
      </c>
      <c r="Q57" s="6" t="str">
        <f>IF($B57="","",SUMIFS(Proposal_2!$R$14:$R$300,Proposal_2!$G$14:$G$300,$B57,Proposal_2!$F$14:$F$300,"Included"))</f>
        <v/>
      </c>
      <c r="R57" s="6" t="str">
        <f>IF($B57="","",SUMIFS(Proposal_2!$T$14:$T$300,Proposal_2!$G$14:$G$300,$B57,Proposal_2!$F$14:$F$300,"Included"))</f>
        <v/>
      </c>
      <c r="S57" s="6" t="str">
        <f>IF($B57="","",SUMIFS(Proposal_2!$V$14:$V$300,Proposal_2!$G$14:$G$300,$B57,Proposal_2!$F$14:$F$300,"Included"))</f>
        <v/>
      </c>
      <c r="T57" s="6" t="str">
        <f>IF($B57="","",SUMIFS(Proposal_2!$X$14:$X$300,Proposal_2!$G$14:$G$300,$B57,Proposal_2!$F$14:$F$300,"Included"))</f>
        <v/>
      </c>
      <c r="W57" s="6" t="str">
        <f>IF($B57="","",SUMIFS(Proposal_3!$J$14:$J$300,Proposal_3!$G$14:$G$300,$B57,Proposal_3!$F$14:$F$300,"Included"))</f>
        <v/>
      </c>
      <c r="X57" s="6" t="str">
        <f>IF($B57="","",SUMIFS(Proposal_3!$L$14:$L$300,Proposal_3!$G$14:$G$300,$B57,Proposal_3!$F$14:$F$300,"Included"))</f>
        <v/>
      </c>
      <c r="Y57" s="6" t="str">
        <f>IF($B57="","",SUMIFS(Proposal_3!$N$14:$N$300,Proposal_3!$G$14:$G$300,$B57,Proposal_3!$F$14:$F$300,"Included"))</f>
        <v/>
      </c>
      <c r="Z57" s="6" t="str">
        <f>IF($B57="","",SUMIFS(Proposal_3!$P$14:$P$300,Proposal_3!$G$14:$G$300,$B57,Proposal_3!$F$14:$F$300,"Included"))</f>
        <v/>
      </c>
      <c r="AA57" s="6" t="str">
        <f>IF($B57="","",SUMIFS(Proposal_3!$R$14:$R$300,Proposal_3!$G$14:$G$300,$B57,Proposal_3!$F$14:$F$300,"Included"))</f>
        <v/>
      </c>
      <c r="AB57" s="6" t="str">
        <f>IF($B57="","",SUMIFS(Proposal_3!$T$14:$T$300,Proposal_3!$G$14:$G$300,$B57,Proposal_3!$F$14:$F$300,"Included"))</f>
        <v/>
      </c>
      <c r="AC57" s="6" t="str">
        <f>IF($B57="","",SUMIFS(Proposal_3!$V$14:$V$300,Proposal_3!$G$14:$G$300,$B57,Proposal_3!$F$14:$F$300,"Included"))</f>
        <v/>
      </c>
      <c r="AD57" s="6" t="str">
        <f>IF($B57="","",SUMIFS(Proposal_3!$X$14:$X$300,Proposal_3!$G$14:$G$300,$B57,Proposal_3!$F$14:$F$300,"Included"))</f>
        <v/>
      </c>
    </row>
    <row r="58" spans="3:30" x14ac:dyDescent="0.25">
      <c r="C58" s="6" t="str">
        <f>IF($B58="","",SUMIFS(Proposal_1!$J$14:$J$300,Proposal_1!$G$14:$G$300,$B58,Proposal_1!$F$14:$F$300,"Included"))</f>
        <v/>
      </c>
      <c r="D58" s="6" t="str">
        <f>IF($B58="","",SUMIFS(Proposal_1!$L$14:$L$300,Proposal_1!$G$14:$G$300,$B58,Proposal_1!$F$14:$F$300,"Included"))</f>
        <v/>
      </c>
      <c r="E58" s="6" t="str">
        <f>IF($B58="","",SUMIFS(Proposal_1!$N$14:$N$300,Proposal_1!$G$14:$G$300,$B58,Proposal_1!$F$14:$F$300,"Included"))</f>
        <v/>
      </c>
      <c r="F58" s="6" t="str">
        <f>IF($B58="","",SUMIFS(Proposal_1!$P$14:$P$300,Proposal_1!$G$14:$G$300,$B58,Proposal_1!$F$14:$F$300,"Included"))</f>
        <v/>
      </c>
      <c r="G58" s="6" t="str">
        <f>IF($B58="","",SUMIFS(Proposal_1!$R$14:$R$300,Proposal_1!$G$14:$G$300,$B58,Proposal_1!$F$14:$F$300,"Included"))</f>
        <v/>
      </c>
      <c r="H58" s="6" t="str">
        <f>IF($B58="","",SUMIFS(Proposal_1!$T$14:$T$300,Proposal_1!$G$14:$G$300,$B58,Proposal_1!$F$14:$F$300,"Included"))</f>
        <v/>
      </c>
      <c r="I58" s="6" t="str">
        <f>IF($B58="","",SUMIFS(Proposal_1!$V$14:$V$300,Proposal_1!$G$14:$G$300,$B58,Proposal_1!$F$14:$F$300,"Included"))</f>
        <v/>
      </c>
      <c r="J58" s="6" t="str">
        <f>IF($B58="","",SUMIFS(Proposal_1!$X$14:$X$300,Proposal_1!$G$14:$G$300,$B58,Proposal_1!$F$14:$F$300,"Included"))</f>
        <v/>
      </c>
      <c r="M58" s="6" t="str">
        <f>IF($B58="","",SUMIFS(Proposal_2!$J$14:$J$300,Proposal_2!$G$14:$G$300,$B58,Proposal_2!$F$14:$F$300,"Included"))</f>
        <v/>
      </c>
      <c r="N58" s="6" t="str">
        <f>IF($B58="","",SUMIFS(Proposal_2!$L$14:$L$300,Proposal_2!$G$14:$G$300,$B58,Proposal_2!$F$14:$F$300,"Included"))</f>
        <v/>
      </c>
      <c r="O58" s="6" t="str">
        <f>IF($B58="","",SUMIFS(Proposal_2!$N$14:$N$300,Proposal_2!$G$14:$G$300,$B58,Proposal_2!$F$14:$F$300,"Included"))</f>
        <v/>
      </c>
      <c r="P58" s="6" t="str">
        <f>IF($B58="","",SUMIFS(Proposal_2!$P$14:$P$300,Proposal_2!$G$14:$G$300,$B58,Proposal_2!$F$14:$F$300,"Included"))</f>
        <v/>
      </c>
      <c r="Q58" s="6" t="str">
        <f>IF($B58="","",SUMIFS(Proposal_2!$R$14:$R$300,Proposal_2!$G$14:$G$300,$B58,Proposal_2!$F$14:$F$300,"Included"))</f>
        <v/>
      </c>
      <c r="R58" s="6" t="str">
        <f>IF($B58="","",SUMIFS(Proposal_2!$T$14:$T$300,Proposal_2!$G$14:$G$300,$B58,Proposal_2!$F$14:$F$300,"Included"))</f>
        <v/>
      </c>
      <c r="S58" s="6" t="str">
        <f>IF($B58="","",SUMIFS(Proposal_2!$V$14:$V$300,Proposal_2!$G$14:$G$300,$B58,Proposal_2!$F$14:$F$300,"Included"))</f>
        <v/>
      </c>
      <c r="T58" s="6" t="str">
        <f>IF($B58="","",SUMIFS(Proposal_2!$X$14:$X$300,Proposal_2!$G$14:$G$300,$B58,Proposal_2!$F$14:$F$300,"Included"))</f>
        <v/>
      </c>
      <c r="W58" s="6" t="str">
        <f>IF($B58="","",SUMIFS(Proposal_3!$J$14:$J$300,Proposal_3!$G$14:$G$300,$B58,Proposal_3!$F$14:$F$300,"Included"))</f>
        <v/>
      </c>
      <c r="X58" s="6" t="str">
        <f>IF($B58="","",SUMIFS(Proposal_3!$L$14:$L$300,Proposal_3!$G$14:$G$300,$B58,Proposal_3!$F$14:$F$300,"Included"))</f>
        <v/>
      </c>
      <c r="Y58" s="6" t="str">
        <f>IF($B58="","",SUMIFS(Proposal_3!$N$14:$N$300,Proposal_3!$G$14:$G$300,$B58,Proposal_3!$F$14:$F$300,"Included"))</f>
        <v/>
      </c>
      <c r="Z58" s="6" t="str">
        <f>IF($B58="","",SUMIFS(Proposal_3!$P$14:$P$300,Proposal_3!$G$14:$G$300,$B58,Proposal_3!$F$14:$F$300,"Included"))</f>
        <v/>
      </c>
      <c r="AA58" s="6" t="str">
        <f>IF($B58="","",SUMIFS(Proposal_3!$R$14:$R$300,Proposal_3!$G$14:$G$300,$B58,Proposal_3!$F$14:$F$300,"Included"))</f>
        <v/>
      </c>
      <c r="AB58" s="6" t="str">
        <f>IF($B58="","",SUMIFS(Proposal_3!$T$14:$T$300,Proposal_3!$G$14:$G$300,$B58,Proposal_3!$F$14:$F$300,"Included"))</f>
        <v/>
      </c>
      <c r="AC58" s="6" t="str">
        <f>IF($B58="","",SUMIFS(Proposal_3!$V$14:$V$300,Proposal_3!$G$14:$G$300,$B58,Proposal_3!$F$14:$F$300,"Included"))</f>
        <v/>
      </c>
      <c r="AD58" s="6" t="str">
        <f>IF($B58="","",SUMIFS(Proposal_3!$X$14:$X$300,Proposal_3!$G$14:$G$300,$B58,Proposal_3!$F$14:$F$300,"Included"))</f>
        <v/>
      </c>
    </row>
    <row r="59" spans="3:30" x14ac:dyDescent="0.25">
      <c r="C59" s="6" t="str">
        <f>IF($B59="","",SUMIFS(Proposal_1!$J$14:$J$300,Proposal_1!$G$14:$G$300,$B59,Proposal_1!$F$14:$F$300,"Included"))</f>
        <v/>
      </c>
      <c r="D59" s="6" t="str">
        <f>IF($B59="","",SUMIFS(Proposal_1!$L$14:$L$300,Proposal_1!$G$14:$G$300,$B59,Proposal_1!$F$14:$F$300,"Included"))</f>
        <v/>
      </c>
      <c r="E59" s="6" t="str">
        <f>IF($B59="","",SUMIFS(Proposal_1!$N$14:$N$300,Proposal_1!$G$14:$G$300,$B59,Proposal_1!$F$14:$F$300,"Included"))</f>
        <v/>
      </c>
      <c r="F59" s="6" t="str">
        <f>IF($B59="","",SUMIFS(Proposal_1!$P$14:$P$300,Proposal_1!$G$14:$G$300,$B59,Proposal_1!$F$14:$F$300,"Included"))</f>
        <v/>
      </c>
      <c r="G59" s="6" t="str">
        <f>IF($B59="","",SUMIFS(Proposal_1!$R$14:$R$300,Proposal_1!$G$14:$G$300,$B59,Proposal_1!$F$14:$F$300,"Included"))</f>
        <v/>
      </c>
      <c r="H59" s="6" t="str">
        <f>IF($B59="","",SUMIFS(Proposal_1!$T$14:$T$300,Proposal_1!$G$14:$G$300,$B59,Proposal_1!$F$14:$F$300,"Included"))</f>
        <v/>
      </c>
      <c r="I59" s="6" t="str">
        <f>IF($B59="","",SUMIFS(Proposal_1!$V$14:$V$300,Proposal_1!$G$14:$G$300,$B59,Proposal_1!$F$14:$F$300,"Included"))</f>
        <v/>
      </c>
      <c r="J59" s="6" t="str">
        <f>IF($B59="","",SUMIFS(Proposal_1!$X$14:$X$300,Proposal_1!$G$14:$G$300,$B59,Proposal_1!$F$14:$F$300,"Included"))</f>
        <v/>
      </c>
      <c r="M59" s="6" t="str">
        <f>IF($B59="","",SUMIFS(Proposal_2!$J$14:$J$300,Proposal_2!$G$14:$G$300,$B59,Proposal_2!$F$14:$F$300,"Included"))</f>
        <v/>
      </c>
      <c r="N59" s="6" t="str">
        <f>IF($B59="","",SUMIFS(Proposal_2!$L$14:$L$300,Proposal_2!$G$14:$G$300,$B59,Proposal_2!$F$14:$F$300,"Included"))</f>
        <v/>
      </c>
      <c r="O59" s="6" t="str">
        <f>IF($B59="","",SUMIFS(Proposal_2!$N$14:$N$300,Proposal_2!$G$14:$G$300,$B59,Proposal_2!$F$14:$F$300,"Included"))</f>
        <v/>
      </c>
      <c r="P59" s="6" t="str">
        <f>IF($B59="","",SUMIFS(Proposal_2!$P$14:$P$300,Proposal_2!$G$14:$G$300,$B59,Proposal_2!$F$14:$F$300,"Included"))</f>
        <v/>
      </c>
      <c r="Q59" s="6" t="str">
        <f>IF($B59="","",SUMIFS(Proposal_2!$R$14:$R$300,Proposal_2!$G$14:$G$300,$B59,Proposal_2!$F$14:$F$300,"Included"))</f>
        <v/>
      </c>
      <c r="R59" s="6" t="str">
        <f>IF($B59="","",SUMIFS(Proposal_2!$T$14:$T$300,Proposal_2!$G$14:$G$300,$B59,Proposal_2!$F$14:$F$300,"Included"))</f>
        <v/>
      </c>
      <c r="S59" s="6" t="str">
        <f>IF($B59="","",SUMIFS(Proposal_2!$V$14:$V$300,Proposal_2!$G$14:$G$300,$B59,Proposal_2!$F$14:$F$300,"Included"))</f>
        <v/>
      </c>
      <c r="T59" s="6" t="str">
        <f>IF($B59="","",SUMIFS(Proposal_2!$X$14:$X$300,Proposal_2!$G$14:$G$300,$B59,Proposal_2!$F$14:$F$300,"Included"))</f>
        <v/>
      </c>
      <c r="W59" s="6" t="str">
        <f>IF($B59="","",SUMIFS(Proposal_3!$J$14:$J$300,Proposal_3!$G$14:$G$300,$B59,Proposal_3!$F$14:$F$300,"Included"))</f>
        <v/>
      </c>
      <c r="X59" s="6" t="str">
        <f>IF($B59="","",SUMIFS(Proposal_3!$L$14:$L$300,Proposal_3!$G$14:$G$300,$B59,Proposal_3!$F$14:$F$300,"Included"))</f>
        <v/>
      </c>
      <c r="Y59" s="6" t="str">
        <f>IF($B59="","",SUMIFS(Proposal_3!$N$14:$N$300,Proposal_3!$G$14:$G$300,$B59,Proposal_3!$F$14:$F$300,"Included"))</f>
        <v/>
      </c>
      <c r="Z59" s="6" t="str">
        <f>IF($B59="","",SUMIFS(Proposal_3!$P$14:$P$300,Proposal_3!$G$14:$G$300,$B59,Proposal_3!$F$14:$F$300,"Included"))</f>
        <v/>
      </c>
      <c r="AA59" s="6" t="str">
        <f>IF($B59="","",SUMIFS(Proposal_3!$R$14:$R$300,Proposal_3!$G$14:$G$300,$B59,Proposal_3!$F$14:$F$300,"Included"))</f>
        <v/>
      </c>
      <c r="AB59" s="6" t="str">
        <f>IF($B59="","",SUMIFS(Proposal_3!$T$14:$T$300,Proposal_3!$G$14:$G$300,$B59,Proposal_3!$F$14:$F$300,"Included"))</f>
        <v/>
      </c>
      <c r="AC59" s="6" t="str">
        <f>IF($B59="","",SUMIFS(Proposal_3!$V$14:$V$300,Proposal_3!$G$14:$G$300,$B59,Proposal_3!$F$14:$F$300,"Included"))</f>
        <v/>
      </c>
      <c r="AD59" s="6" t="str">
        <f>IF($B59="","",SUMIFS(Proposal_3!$X$14:$X$300,Proposal_3!$G$14:$G$300,$B59,Proposal_3!$F$14:$F$300,"Included"))</f>
        <v/>
      </c>
    </row>
    <row r="60" spans="3:30" x14ac:dyDescent="0.25">
      <c r="C60" s="6" t="str">
        <f>IF($B60="","",SUMIFS(Proposal_1!$J$14:$J$300,Proposal_1!$G$14:$G$300,$B60,Proposal_1!$F$14:$F$300,"Included"))</f>
        <v/>
      </c>
      <c r="D60" s="6" t="str">
        <f>IF($B60="","",SUMIFS(Proposal_1!$L$14:$L$300,Proposal_1!$G$14:$G$300,$B60,Proposal_1!$F$14:$F$300,"Included"))</f>
        <v/>
      </c>
      <c r="E60" s="6" t="str">
        <f>IF($B60="","",SUMIFS(Proposal_1!$N$14:$N$300,Proposal_1!$G$14:$G$300,$B60,Proposal_1!$F$14:$F$300,"Included"))</f>
        <v/>
      </c>
      <c r="F60" s="6" t="str">
        <f>IF($B60="","",SUMIFS(Proposal_1!$P$14:$P$300,Proposal_1!$G$14:$G$300,$B60,Proposal_1!$F$14:$F$300,"Included"))</f>
        <v/>
      </c>
      <c r="G60" s="6" t="str">
        <f>IF($B60="","",SUMIFS(Proposal_1!$R$14:$R$300,Proposal_1!$G$14:$G$300,$B60,Proposal_1!$F$14:$F$300,"Included"))</f>
        <v/>
      </c>
      <c r="H60" s="6" t="str">
        <f>IF($B60="","",SUMIFS(Proposal_1!$T$14:$T$300,Proposal_1!$G$14:$G$300,$B60,Proposal_1!$F$14:$F$300,"Included"))</f>
        <v/>
      </c>
      <c r="I60" s="6" t="str">
        <f>IF($B60="","",SUMIFS(Proposal_1!$V$14:$V$300,Proposal_1!$G$14:$G$300,$B60,Proposal_1!$F$14:$F$300,"Included"))</f>
        <v/>
      </c>
      <c r="J60" s="6" t="str">
        <f>IF($B60="","",SUMIFS(Proposal_1!$X$14:$X$300,Proposal_1!$G$14:$G$300,$B60,Proposal_1!$F$14:$F$300,"Included"))</f>
        <v/>
      </c>
      <c r="M60" s="6" t="str">
        <f>IF($B60="","",SUMIFS(Proposal_2!$J$14:$J$300,Proposal_2!$G$14:$G$300,$B60,Proposal_2!$F$14:$F$300,"Included"))</f>
        <v/>
      </c>
      <c r="N60" s="6" t="str">
        <f>IF($B60="","",SUMIFS(Proposal_2!$L$14:$L$300,Proposal_2!$G$14:$G$300,$B60,Proposal_2!$F$14:$F$300,"Included"))</f>
        <v/>
      </c>
      <c r="O60" s="6" t="str">
        <f>IF($B60="","",SUMIFS(Proposal_2!$N$14:$N$300,Proposal_2!$G$14:$G$300,$B60,Proposal_2!$F$14:$F$300,"Included"))</f>
        <v/>
      </c>
      <c r="P60" s="6" t="str">
        <f>IF($B60="","",SUMIFS(Proposal_2!$P$14:$P$300,Proposal_2!$G$14:$G$300,$B60,Proposal_2!$F$14:$F$300,"Included"))</f>
        <v/>
      </c>
      <c r="Q60" s="6" t="str">
        <f>IF($B60="","",SUMIFS(Proposal_2!$R$14:$R$300,Proposal_2!$G$14:$G$300,$B60,Proposal_2!$F$14:$F$300,"Included"))</f>
        <v/>
      </c>
      <c r="R60" s="6" t="str">
        <f>IF($B60="","",SUMIFS(Proposal_2!$T$14:$T$300,Proposal_2!$G$14:$G$300,$B60,Proposal_2!$F$14:$F$300,"Included"))</f>
        <v/>
      </c>
      <c r="S60" s="6" t="str">
        <f>IF($B60="","",SUMIFS(Proposal_2!$V$14:$V$300,Proposal_2!$G$14:$G$300,$B60,Proposal_2!$F$14:$F$300,"Included"))</f>
        <v/>
      </c>
      <c r="T60" s="6" t="str">
        <f>IF($B60="","",SUMIFS(Proposal_2!$X$14:$X$300,Proposal_2!$G$14:$G$300,$B60,Proposal_2!$F$14:$F$300,"Included"))</f>
        <v/>
      </c>
      <c r="W60" s="6" t="str">
        <f>IF($B60="","",SUMIFS(Proposal_3!$J$14:$J$300,Proposal_3!$G$14:$G$300,$B60,Proposal_3!$F$14:$F$300,"Included"))</f>
        <v/>
      </c>
      <c r="X60" s="6" t="str">
        <f>IF($B60="","",SUMIFS(Proposal_3!$L$14:$L$300,Proposal_3!$G$14:$G$300,$B60,Proposal_3!$F$14:$F$300,"Included"))</f>
        <v/>
      </c>
      <c r="Y60" s="6" t="str">
        <f>IF($B60="","",SUMIFS(Proposal_3!$N$14:$N$300,Proposal_3!$G$14:$G$300,$B60,Proposal_3!$F$14:$F$300,"Included"))</f>
        <v/>
      </c>
      <c r="Z60" s="6" t="str">
        <f>IF($B60="","",SUMIFS(Proposal_3!$P$14:$P$300,Proposal_3!$G$14:$G$300,$B60,Proposal_3!$F$14:$F$300,"Included"))</f>
        <v/>
      </c>
      <c r="AA60" s="6" t="str">
        <f>IF($B60="","",SUMIFS(Proposal_3!$R$14:$R$300,Proposal_3!$G$14:$G$300,$B60,Proposal_3!$F$14:$F$300,"Included"))</f>
        <v/>
      </c>
      <c r="AB60" s="6" t="str">
        <f>IF($B60="","",SUMIFS(Proposal_3!$T$14:$T$300,Proposal_3!$G$14:$G$300,$B60,Proposal_3!$F$14:$F$300,"Included"))</f>
        <v/>
      </c>
      <c r="AC60" s="6" t="str">
        <f>IF($B60="","",SUMIFS(Proposal_3!$V$14:$V$300,Proposal_3!$G$14:$G$300,$B60,Proposal_3!$F$14:$F$300,"Included"))</f>
        <v/>
      </c>
      <c r="AD60" s="6" t="str">
        <f>IF($B60="","",SUMIFS(Proposal_3!$X$14:$X$300,Proposal_3!$G$14:$G$300,$B60,Proposal_3!$F$14:$F$300,"Included"))</f>
        <v/>
      </c>
    </row>
    <row r="61" spans="3:30" x14ac:dyDescent="0.25">
      <c r="C61" s="6" t="str">
        <f>IF($B61="","",SUMIFS(Proposal_1!$J$14:$J$300,Proposal_1!$G$14:$G$300,$B61,Proposal_1!$F$14:$F$300,"Included"))</f>
        <v/>
      </c>
      <c r="D61" s="6" t="str">
        <f>IF($B61="","",SUMIFS(Proposal_1!$L$14:$L$300,Proposal_1!$G$14:$G$300,$B61,Proposal_1!$F$14:$F$300,"Included"))</f>
        <v/>
      </c>
      <c r="E61" s="6" t="str">
        <f>IF($B61="","",SUMIFS(Proposal_1!$N$14:$N$300,Proposal_1!$G$14:$G$300,$B61,Proposal_1!$F$14:$F$300,"Included"))</f>
        <v/>
      </c>
      <c r="F61" s="6" t="str">
        <f>IF($B61="","",SUMIFS(Proposal_1!$P$14:$P$300,Proposal_1!$G$14:$G$300,$B61,Proposal_1!$F$14:$F$300,"Included"))</f>
        <v/>
      </c>
      <c r="G61" s="6" t="str">
        <f>IF($B61="","",SUMIFS(Proposal_1!$R$14:$R$300,Proposal_1!$G$14:$G$300,$B61,Proposal_1!$F$14:$F$300,"Included"))</f>
        <v/>
      </c>
      <c r="H61" s="6" t="str">
        <f>IF($B61="","",SUMIFS(Proposal_1!$T$14:$T$300,Proposal_1!$G$14:$G$300,$B61,Proposal_1!$F$14:$F$300,"Included"))</f>
        <v/>
      </c>
      <c r="I61" s="6" t="str">
        <f>IF($B61="","",SUMIFS(Proposal_1!$V$14:$V$300,Proposal_1!$G$14:$G$300,$B61,Proposal_1!$F$14:$F$300,"Included"))</f>
        <v/>
      </c>
      <c r="J61" s="6" t="str">
        <f>IF($B61="","",SUMIFS(Proposal_1!$X$14:$X$300,Proposal_1!$G$14:$G$300,$B61,Proposal_1!$F$14:$F$300,"Included"))</f>
        <v/>
      </c>
      <c r="M61" s="6" t="str">
        <f>IF($B61="","",SUMIFS(Proposal_2!$J$14:$J$300,Proposal_2!$G$14:$G$300,$B61,Proposal_2!$F$14:$F$300,"Included"))</f>
        <v/>
      </c>
      <c r="N61" s="6" t="str">
        <f>IF($B61="","",SUMIFS(Proposal_2!$L$14:$L$300,Proposal_2!$G$14:$G$300,$B61,Proposal_2!$F$14:$F$300,"Included"))</f>
        <v/>
      </c>
      <c r="O61" s="6" t="str">
        <f>IF($B61="","",SUMIFS(Proposal_2!$N$14:$N$300,Proposal_2!$G$14:$G$300,$B61,Proposal_2!$F$14:$F$300,"Included"))</f>
        <v/>
      </c>
      <c r="P61" s="6" t="str">
        <f>IF($B61="","",SUMIFS(Proposal_2!$P$14:$P$300,Proposal_2!$G$14:$G$300,$B61,Proposal_2!$F$14:$F$300,"Included"))</f>
        <v/>
      </c>
      <c r="Q61" s="6" t="str">
        <f>IF($B61="","",SUMIFS(Proposal_2!$R$14:$R$300,Proposal_2!$G$14:$G$300,$B61,Proposal_2!$F$14:$F$300,"Included"))</f>
        <v/>
      </c>
      <c r="R61" s="6" t="str">
        <f>IF($B61="","",SUMIFS(Proposal_2!$T$14:$T$300,Proposal_2!$G$14:$G$300,$B61,Proposal_2!$F$14:$F$300,"Included"))</f>
        <v/>
      </c>
      <c r="S61" s="6" t="str">
        <f>IF($B61="","",SUMIFS(Proposal_2!$V$14:$V$300,Proposal_2!$G$14:$G$300,$B61,Proposal_2!$F$14:$F$300,"Included"))</f>
        <v/>
      </c>
      <c r="T61" s="6" t="str">
        <f>IF($B61="","",SUMIFS(Proposal_2!$X$14:$X$300,Proposal_2!$G$14:$G$300,$B61,Proposal_2!$F$14:$F$300,"Included"))</f>
        <v/>
      </c>
      <c r="W61" s="6" t="str">
        <f>IF($B61="","",SUMIFS(Proposal_3!$J$14:$J$300,Proposal_3!$G$14:$G$300,$B61,Proposal_3!$F$14:$F$300,"Included"))</f>
        <v/>
      </c>
      <c r="X61" s="6" t="str">
        <f>IF($B61="","",SUMIFS(Proposal_3!$L$14:$L$300,Proposal_3!$G$14:$G$300,$B61,Proposal_3!$F$14:$F$300,"Included"))</f>
        <v/>
      </c>
      <c r="Y61" s="6" t="str">
        <f>IF($B61="","",SUMIFS(Proposal_3!$N$14:$N$300,Proposal_3!$G$14:$G$300,$B61,Proposal_3!$F$14:$F$300,"Included"))</f>
        <v/>
      </c>
      <c r="Z61" s="6" t="str">
        <f>IF($B61="","",SUMIFS(Proposal_3!$P$14:$P$300,Proposal_3!$G$14:$G$300,$B61,Proposal_3!$F$14:$F$300,"Included"))</f>
        <v/>
      </c>
      <c r="AA61" s="6" t="str">
        <f>IF($B61="","",SUMIFS(Proposal_3!$R$14:$R$300,Proposal_3!$G$14:$G$300,$B61,Proposal_3!$F$14:$F$300,"Included"))</f>
        <v/>
      </c>
      <c r="AB61" s="6" t="str">
        <f>IF($B61="","",SUMIFS(Proposal_3!$T$14:$T$300,Proposal_3!$G$14:$G$300,$B61,Proposal_3!$F$14:$F$300,"Included"))</f>
        <v/>
      </c>
      <c r="AC61" s="6" t="str">
        <f>IF($B61="","",SUMIFS(Proposal_3!$V$14:$V$300,Proposal_3!$G$14:$G$300,$B61,Proposal_3!$F$14:$F$300,"Included"))</f>
        <v/>
      </c>
      <c r="AD61" s="6" t="str">
        <f>IF($B61="","",SUMIFS(Proposal_3!$X$14:$X$300,Proposal_3!$G$14:$G$300,$B61,Proposal_3!$F$14:$F$300,"Included"))</f>
        <v/>
      </c>
    </row>
    <row r="62" spans="3:30" x14ac:dyDescent="0.25">
      <c r="C62" s="6" t="str">
        <f>IF($B62="","",SUMIFS(Proposal_1!$J$14:$J$300,Proposal_1!$G$14:$G$300,$B62,Proposal_1!$F$14:$F$300,"Included"))</f>
        <v/>
      </c>
      <c r="D62" s="6" t="str">
        <f>IF($B62="","",SUMIFS(Proposal_1!$L$14:$L$300,Proposal_1!$G$14:$G$300,$B62,Proposal_1!$F$14:$F$300,"Included"))</f>
        <v/>
      </c>
      <c r="E62" s="6" t="str">
        <f>IF($B62="","",SUMIFS(Proposal_1!$N$14:$N$300,Proposal_1!$G$14:$G$300,$B62,Proposal_1!$F$14:$F$300,"Included"))</f>
        <v/>
      </c>
      <c r="F62" s="6" t="str">
        <f>IF($B62="","",SUMIFS(Proposal_1!$P$14:$P$300,Proposal_1!$G$14:$G$300,$B62,Proposal_1!$F$14:$F$300,"Included"))</f>
        <v/>
      </c>
      <c r="G62" s="6" t="str">
        <f>IF($B62="","",SUMIFS(Proposal_1!$R$14:$R$300,Proposal_1!$G$14:$G$300,$B62,Proposal_1!$F$14:$F$300,"Included"))</f>
        <v/>
      </c>
      <c r="H62" s="6" t="str">
        <f>IF($B62="","",SUMIFS(Proposal_1!$T$14:$T$300,Proposal_1!$G$14:$G$300,$B62,Proposal_1!$F$14:$F$300,"Included"))</f>
        <v/>
      </c>
      <c r="I62" s="6" t="str">
        <f>IF($B62="","",SUMIFS(Proposal_1!$V$14:$V$300,Proposal_1!$G$14:$G$300,$B62,Proposal_1!$F$14:$F$300,"Included"))</f>
        <v/>
      </c>
      <c r="J62" s="6" t="str">
        <f>IF($B62="","",SUMIFS(Proposal_1!$X$14:$X$300,Proposal_1!$G$14:$G$300,$B62,Proposal_1!$F$14:$F$300,"Included"))</f>
        <v/>
      </c>
      <c r="M62" s="6" t="str">
        <f>IF($B62="","",SUMIFS(Proposal_2!$J$14:$J$300,Proposal_2!$G$14:$G$300,$B62,Proposal_2!$F$14:$F$300,"Included"))</f>
        <v/>
      </c>
      <c r="N62" s="6" t="str">
        <f>IF($B62="","",SUMIFS(Proposal_2!$L$14:$L$300,Proposal_2!$G$14:$G$300,$B62,Proposal_2!$F$14:$F$300,"Included"))</f>
        <v/>
      </c>
      <c r="O62" s="6" t="str">
        <f>IF($B62="","",SUMIFS(Proposal_2!$N$14:$N$300,Proposal_2!$G$14:$G$300,$B62,Proposal_2!$F$14:$F$300,"Included"))</f>
        <v/>
      </c>
      <c r="P62" s="6" t="str">
        <f>IF($B62="","",SUMIFS(Proposal_2!$P$14:$P$300,Proposal_2!$G$14:$G$300,$B62,Proposal_2!$F$14:$F$300,"Included"))</f>
        <v/>
      </c>
      <c r="Q62" s="6" t="str">
        <f>IF($B62="","",SUMIFS(Proposal_2!$R$14:$R$300,Proposal_2!$G$14:$G$300,$B62,Proposal_2!$F$14:$F$300,"Included"))</f>
        <v/>
      </c>
      <c r="R62" s="6" t="str">
        <f>IF($B62="","",SUMIFS(Proposal_2!$T$14:$T$300,Proposal_2!$G$14:$G$300,$B62,Proposal_2!$F$14:$F$300,"Included"))</f>
        <v/>
      </c>
      <c r="S62" s="6" t="str">
        <f>IF($B62="","",SUMIFS(Proposal_2!$V$14:$V$300,Proposal_2!$G$14:$G$300,$B62,Proposal_2!$F$14:$F$300,"Included"))</f>
        <v/>
      </c>
      <c r="T62" s="6" t="str">
        <f>IF($B62="","",SUMIFS(Proposal_2!$X$14:$X$300,Proposal_2!$G$14:$G$300,$B62,Proposal_2!$F$14:$F$300,"Included"))</f>
        <v/>
      </c>
      <c r="W62" s="6" t="str">
        <f>IF($B62="","",SUMIFS(Proposal_3!$J$14:$J$300,Proposal_3!$G$14:$G$300,$B62,Proposal_3!$F$14:$F$300,"Included"))</f>
        <v/>
      </c>
      <c r="X62" s="6" t="str">
        <f>IF($B62="","",SUMIFS(Proposal_3!$L$14:$L$300,Proposal_3!$G$14:$G$300,$B62,Proposal_3!$F$14:$F$300,"Included"))</f>
        <v/>
      </c>
      <c r="Y62" s="6" t="str">
        <f>IF($B62="","",SUMIFS(Proposal_3!$N$14:$N$300,Proposal_3!$G$14:$G$300,$B62,Proposal_3!$F$14:$F$300,"Included"))</f>
        <v/>
      </c>
      <c r="Z62" s="6" t="str">
        <f>IF($B62="","",SUMIFS(Proposal_3!$P$14:$P$300,Proposal_3!$G$14:$G$300,$B62,Proposal_3!$F$14:$F$300,"Included"))</f>
        <v/>
      </c>
      <c r="AA62" s="6" t="str">
        <f>IF($B62="","",SUMIFS(Proposal_3!$R$14:$R$300,Proposal_3!$G$14:$G$300,$B62,Proposal_3!$F$14:$F$300,"Included"))</f>
        <v/>
      </c>
      <c r="AB62" s="6" t="str">
        <f>IF($B62="","",SUMIFS(Proposal_3!$T$14:$T$300,Proposal_3!$G$14:$G$300,$B62,Proposal_3!$F$14:$F$300,"Included"))</f>
        <v/>
      </c>
      <c r="AC62" s="6" t="str">
        <f>IF($B62="","",SUMIFS(Proposal_3!$V$14:$V$300,Proposal_3!$G$14:$G$300,$B62,Proposal_3!$F$14:$F$300,"Included"))</f>
        <v/>
      </c>
      <c r="AD62" s="6" t="str">
        <f>IF($B62="","",SUMIFS(Proposal_3!$X$14:$X$300,Proposal_3!$G$14:$G$300,$B62,Proposal_3!$F$14:$F$300,"Included"))</f>
        <v/>
      </c>
    </row>
    <row r="63" spans="3:30" x14ac:dyDescent="0.25">
      <c r="C63" s="6" t="str">
        <f>IF($B63="","",SUMIFS(Proposal_1!$J$14:$J$300,Proposal_1!$G$14:$G$300,$B63,Proposal_1!$F$14:$F$300,"Included"))</f>
        <v/>
      </c>
      <c r="D63" s="6" t="str">
        <f>IF($B63="","",SUMIFS(Proposal_1!$L$14:$L$300,Proposal_1!$G$14:$G$300,$B63,Proposal_1!$F$14:$F$300,"Included"))</f>
        <v/>
      </c>
      <c r="E63" s="6" t="str">
        <f>IF($B63="","",SUMIFS(Proposal_1!$N$14:$N$300,Proposal_1!$G$14:$G$300,$B63,Proposal_1!$F$14:$F$300,"Included"))</f>
        <v/>
      </c>
      <c r="F63" s="6" t="str">
        <f>IF($B63="","",SUMIFS(Proposal_1!$P$14:$P$300,Proposal_1!$G$14:$G$300,$B63,Proposal_1!$F$14:$F$300,"Included"))</f>
        <v/>
      </c>
      <c r="G63" s="6" t="str">
        <f>IF($B63="","",SUMIFS(Proposal_1!$R$14:$R$300,Proposal_1!$G$14:$G$300,$B63,Proposal_1!$F$14:$F$300,"Included"))</f>
        <v/>
      </c>
      <c r="H63" s="6" t="str">
        <f>IF($B63="","",SUMIFS(Proposal_1!$T$14:$T$300,Proposal_1!$G$14:$G$300,$B63,Proposal_1!$F$14:$F$300,"Included"))</f>
        <v/>
      </c>
      <c r="I63" s="6" t="str">
        <f>IF($B63="","",SUMIFS(Proposal_1!$V$14:$V$300,Proposal_1!$G$14:$G$300,$B63,Proposal_1!$F$14:$F$300,"Included"))</f>
        <v/>
      </c>
      <c r="J63" s="6" t="str">
        <f>IF($B63="","",SUMIFS(Proposal_1!$X$14:$X$300,Proposal_1!$G$14:$G$300,$B63,Proposal_1!$F$14:$F$300,"Included"))</f>
        <v/>
      </c>
      <c r="M63" s="6" t="str">
        <f>IF($B63="","",SUMIFS(Proposal_2!$J$14:$J$300,Proposal_2!$G$14:$G$300,$B63,Proposal_2!$F$14:$F$300,"Included"))</f>
        <v/>
      </c>
      <c r="N63" s="6" t="str">
        <f>IF($B63="","",SUMIFS(Proposal_2!$L$14:$L$300,Proposal_2!$G$14:$G$300,$B63,Proposal_2!$F$14:$F$300,"Included"))</f>
        <v/>
      </c>
      <c r="O63" s="6" t="str">
        <f>IF($B63="","",SUMIFS(Proposal_2!$N$14:$N$300,Proposal_2!$G$14:$G$300,$B63,Proposal_2!$F$14:$F$300,"Included"))</f>
        <v/>
      </c>
      <c r="P63" s="6" t="str">
        <f>IF($B63="","",SUMIFS(Proposal_2!$P$14:$P$300,Proposal_2!$G$14:$G$300,$B63,Proposal_2!$F$14:$F$300,"Included"))</f>
        <v/>
      </c>
      <c r="Q63" s="6" t="str">
        <f>IF($B63="","",SUMIFS(Proposal_2!$R$14:$R$300,Proposal_2!$G$14:$G$300,$B63,Proposal_2!$F$14:$F$300,"Included"))</f>
        <v/>
      </c>
      <c r="R63" s="6" t="str">
        <f>IF($B63="","",SUMIFS(Proposal_2!$T$14:$T$300,Proposal_2!$G$14:$G$300,$B63,Proposal_2!$F$14:$F$300,"Included"))</f>
        <v/>
      </c>
      <c r="S63" s="6" t="str">
        <f>IF($B63="","",SUMIFS(Proposal_2!$V$14:$V$300,Proposal_2!$G$14:$G$300,$B63,Proposal_2!$F$14:$F$300,"Included"))</f>
        <v/>
      </c>
      <c r="T63" s="6" t="str">
        <f>IF($B63="","",SUMIFS(Proposal_2!$X$14:$X$300,Proposal_2!$G$14:$G$300,$B63,Proposal_2!$F$14:$F$300,"Included"))</f>
        <v/>
      </c>
      <c r="W63" s="6" t="str">
        <f>IF($B63="","",SUMIFS(Proposal_3!$J$14:$J$300,Proposal_3!$G$14:$G$300,$B63,Proposal_3!$F$14:$F$300,"Included"))</f>
        <v/>
      </c>
      <c r="X63" s="6" t="str">
        <f>IF($B63="","",SUMIFS(Proposal_3!$L$14:$L$300,Proposal_3!$G$14:$G$300,$B63,Proposal_3!$F$14:$F$300,"Included"))</f>
        <v/>
      </c>
      <c r="Y63" s="6" t="str">
        <f>IF($B63="","",SUMIFS(Proposal_3!$N$14:$N$300,Proposal_3!$G$14:$G$300,$B63,Proposal_3!$F$14:$F$300,"Included"))</f>
        <v/>
      </c>
      <c r="Z63" s="6" t="str">
        <f>IF($B63="","",SUMIFS(Proposal_3!$P$14:$P$300,Proposal_3!$G$14:$G$300,$B63,Proposal_3!$F$14:$F$300,"Included"))</f>
        <v/>
      </c>
      <c r="AA63" s="6" t="str">
        <f>IF($B63="","",SUMIFS(Proposal_3!$R$14:$R$300,Proposal_3!$G$14:$G$300,$B63,Proposal_3!$F$14:$F$300,"Included"))</f>
        <v/>
      </c>
      <c r="AB63" s="6" t="str">
        <f>IF($B63="","",SUMIFS(Proposal_3!$T$14:$T$300,Proposal_3!$G$14:$G$300,$B63,Proposal_3!$F$14:$F$300,"Included"))</f>
        <v/>
      </c>
      <c r="AC63" s="6" t="str">
        <f>IF($B63="","",SUMIFS(Proposal_3!$V$14:$V$300,Proposal_3!$G$14:$G$300,$B63,Proposal_3!$F$14:$F$300,"Included"))</f>
        <v/>
      </c>
      <c r="AD63" s="6" t="str">
        <f>IF($B63="","",SUMIFS(Proposal_3!$X$14:$X$300,Proposal_3!$G$14:$G$300,$B63,Proposal_3!$F$14:$F$300,"Included"))</f>
        <v/>
      </c>
    </row>
    <row r="64" spans="3:30" x14ac:dyDescent="0.25">
      <c r="C64" s="6" t="str">
        <f>IF($B64="","",SUMIFS(Proposal_1!$J$14:$J$300,Proposal_1!$G$14:$G$300,$B64,Proposal_1!$F$14:$F$300,"Included"))</f>
        <v/>
      </c>
      <c r="D64" s="6" t="str">
        <f>IF($B64="","",SUMIFS(Proposal_1!$L$14:$L$300,Proposal_1!$G$14:$G$300,$B64,Proposal_1!$F$14:$F$300,"Included"))</f>
        <v/>
      </c>
      <c r="E64" s="6" t="str">
        <f>IF($B64="","",SUMIFS(Proposal_1!$N$14:$N$300,Proposal_1!$G$14:$G$300,$B64,Proposal_1!$F$14:$F$300,"Included"))</f>
        <v/>
      </c>
      <c r="F64" s="6" t="str">
        <f>IF($B64="","",SUMIFS(Proposal_1!$P$14:$P$300,Proposal_1!$G$14:$G$300,$B64,Proposal_1!$F$14:$F$300,"Included"))</f>
        <v/>
      </c>
      <c r="G64" s="6" t="str">
        <f>IF($B64="","",SUMIFS(Proposal_1!$R$14:$R$300,Proposal_1!$G$14:$G$300,$B64,Proposal_1!$F$14:$F$300,"Included"))</f>
        <v/>
      </c>
      <c r="H64" s="6" t="str">
        <f>IF($B64="","",SUMIFS(Proposal_1!$T$14:$T$300,Proposal_1!$G$14:$G$300,$B64,Proposal_1!$F$14:$F$300,"Included"))</f>
        <v/>
      </c>
      <c r="I64" s="6" t="str">
        <f>IF($B64="","",SUMIFS(Proposal_1!$V$14:$V$300,Proposal_1!$G$14:$G$300,$B64,Proposal_1!$F$14:$F$300,"Included"))</f>
        <v/>
      </c>
      <c r="J64" s="6" t="str">
        <f>IF($B64="","",SUMIFS(Proposal_1!$X$14:$X$300,Proposal_1!$G$14:$G$300,$B64,Proposal_1!$F$14:$F$300,"Included"))</f>
        <v/>
      </c>
      <c r="M64" s="6" t="str">
        <f>IF($B64="","",SUMIFS(Proposal_2!$J$14:$J$300,Proposal_2!$G$14:$G$300,$B64,Proposal_2!$F$14:$F$300,"Included"))</f>
        <v/>
      </c>
      <c r="N64" s="6" t="str">
        <f>IF($B64="","",SUMIFS(Proposal_2!$L$14:$L$300,Proposal_2!$G$14:$G$300,$B64,Proposal_2!$F$14:$F$300,"Included"))</f>
        <v/>
      </c>
      <c r="O64" s="6" t="str">
        <f>IF($B64="","",SUMIFS(Proposal_2!$N$14:$N$300,Proposal_2!$G$14:$G$300,$B64,Proposal_2!$F$14:$F$300,"Included"))</f>
        <v/>
      </c>
      <c r="P64" s="6" t="str">
        <f>IF($B64="","",SUMIFS(Proposal_2!$P$14:$P$300,Proposal_2!$G$14:$G$300,$B64,Proposal_2!$F$14:$F$300,"Included"))</f>
        <v/>
      </c>
      <c r="Q64" s="6" t="str">
        <f>IF($B64="","",SUMIFS(Proposal_2!$R$14:$R$300,Proposal_2!$G$14:$G$300,$B64,Proposal_2!$F$14:$F$300,"Included"))</f>
        <v/>
      </c>
      <c r="R64" s="6" t="str">
        <f>IF($B64="","",SUMIFS(Proposal_2!$T$14:$T$300,Proposal_2!$G$14:$G$300,$B64,Proposal_2!$F$14:$F$300,"Included"))</f>
        <v/>
      </c>
      <c r="S64" s="6" t="str">
        <f>IF($B64="","",SUMIFS(Proposal_2!$V$14:$V$300,Proposal_2!$G$14:$G$300,$B64,Proposal_2!$F$14:$F$300,"Included"))</f>
        <v/>
      </c>
      <c r="T64" s="6" t="str">
        <f>IF($B64="","",SUMIFS(Proposal_2!$X$14:$X$300,Proposal_2!$G$14:$G$300,$B64,Proposal_2!$F$14:$F$300,"Included"))</f>
        <v/>
      </c>
      <c r="W64" s="6" t="str">
        <f>IF($B64="","",SUMIFS(Proposal_3!$J$14:$J$300,Proposal_3!$G$14:$G$300,$B64,Proposal_3!$F$14:$F$300,"Included"))</f>
        <v/>
      </c>
      <c r="X64" s="6" t="str">
        <f>IF($B64="","",SUMIFS(Proposal_3!$L$14:$L$300,Proposal_3!$G$14:$G$300,$B64,Proposal_3!$F$14:$F$300,"Included"))</f>
        <v/>
      </c>
      <c r="Y64" s="6" t="str">
        <f>IF($B64="","",SUMIFS(Proposal_3!$N$14:$N$300,Proposal_3!$G$14:$G$300,$B64,Proposal_3!$F$14:$F$300,"Included"))</f>
        <v/>
      </c>
      <c r="Z64" s="6" t="str">
        <f>IF($B64="","",SUMIFS(Proposal_3!$P$14:$P$300,Proposal_3!$G$14:$G$300,$B64,Proposal_3!$F$14:$F$300,"Included"))</f>
        <v/>
      </c>
      <c r="AA64" s="6" t="str">
        <f>IF($B64="","",SUMIFS(Proposal_3!$R$14:$R$300,Proposal_3!$G$14:$G$300,$B64,Proposal_3!$F$14:$F$300,"Included"))</f>
        <v/>
      </c>
      <c r="AB64" s="6" t="str">
        <f>IF($B64="","",SUMIFS(Proposal_3!$T$14:$T$300,Proposal_3!$G$14:$G$300,$B64,Proposal_3!$F$14:$F$300,"Included"))</f>
        <v/>
      </c>
      <c r="AC64" s="6" t="str">
        <f>IF($B64="","",SUMIFS(Proposal_3!$V$14:$V$300,Proposal_3!$G$14:$G$300,$B64,Proposal_3!$F$14:$F$300,"Included"))</f>
        <v/>
      </c>
      <c r="AD64" s="6" t="str">
        <f>IF($B64="","",SUMIFS(Proposal_3!$X$14:$X$300,Proposal_3!$G$14:$G$300,$B64,Proposal_3!$F$14:$F$300,"Included"))</f>
        <v/>
      </c>
    </row>
    <row r="65" spans="3:30" x14ac:dyDescent="0.25">
      <c r="C65" s="6" t="str">
        <f>IF($B65="","",SUMIFS(Proposal_1!$J$14:$J$300,Proposal_1!$G$14:$G$300,$B65,Proposal_1!$F$14:$F$300,"Included"))</f>
        <v/>
      </c>
      <c r="D65" s="6" t="str">
        <f>IF($B65="","",SUMIFS(Proposal_1!$L$14:$L$300,Proposal_1!$G$14:$G$300,$B65,Proposal_1!$F$14:$F$300,"Included"))</f>
        <v/>
      </c>
      <c r="E65" s="6" t="str">
        <f>IF($B65="","",SUMIFS(Proposal_1!$N$14:$N$300,Proposal_1!$G$14:$G$300,$B65,Proposal_1!$F$14:$F$300,"Included"))</f>
        <v/>
      </c>
      <c r="F65" s="6" t="str">
        <f>IF($B65="","",SUMIFS(Proposal_1!$P$14:$P$300,Proposal_1!$G$14:$G$300,$B65,Proposal_1!$F$14:$F$300,"Included"))</f>
        <v/>
      </c>
      <c r="G65" s="6" t="str">
        <f>IF($B65="","",SUMIFS(Proposal_1!$R$14:$R$300,Proposal_1!$G$14:$G$300,$B65,Proposal_1!$F$14:$F$300,"Included"))</f>
        <v/>
      </c>
      <c r="H65" s="6" t="str">
        <f>IF($B65="","",SUMIFS(Proposal_1!$T$14:$T$300,Proposal_1!$G$14:$G$300,$B65,Proposal_1!$F$14:$F$300,"Included"))</f>
        <v/>
      </c>
      <c r="I65" s="6" t="str">
        <f>IF($B65="","",SUMIFS(Proposal_1!$V$14:$V$300,Proposal_1!$G$14:$G$300,$B65,Proposal_1!$F$14:$F$300,"Included"))</f>
        <v/>
      </c>
      <c r="J65" s="6" t="str">
        <f>IF($B65="","",SUMIFS(Proposal_1!$X$14:$X$300,Proposal_1!$G$14:$G$300,$B65,Proposal_1!$F$14:$F$300,"Included"))</f>
        <v/>
      </c>
      <c r="M65" s="6" t="str">
        <f>IF($B65="","",SUMIFS(Proposal_2!$J$14:$J$300,Proposal_2!$G$14:$G$300,$B65,Proposal_2!$F$14:$F$300,"Included"))</f>
        <v/>
      </c>
      <c r="N65" s="6" t="str">
        <f>IF($B65="","",SUMIFS(Proposal_2!$L$14:$L$300,Proposal_2!$G$14:$G$300,$B65,Proposal_2!$F$14:$F$300,"Included"))</f>
        <v/>
      </c>
      <c r="O65" s="6" t="str">
        <f>IF($B65="","",SUMIFS(Proposal_2!$N$14:$N$300,Proposal_2!$G$14:$G$300,$B65,Proposal_2!$F$14:$F$300,"Included"))</f>
        <v/>
      </c>
      <c r="P65" s="6" t="str">
        <f>IF($B65="","",SUMIFS(Proposal_2!$P$14:$P$300,Proposal_2!$G$14:$G$300,$B65,Proposal_2!$F$14:$F$300,"Included"))</f>
        <v/>
      </c>
      <c r="Q65" s="6" t="str">
        <f>IF($B65="","",SUMIFS(Proposal_2!$R$14:$R$300,Proposal_2!$G$14:$G$300,$B65,Proposal_2!$F$14:$F$300,"Included"))</f>
        <v/>
      </c>
      <c r="R65" s="6" t="str">
        <f>IF($B65="","",SUMIFS(Proposal_2!$T$14:$T$300,Proposal_2!$G$14:$G$300,$B65,Proposal_2!$F$14:$F$300,"Included"))</f>
        <v/>
      </c>
      <c r="S65" s="6" t="str">
        <f>IF($B65="","",SUMIFS(Proposal_2!$V$14:$V$300,Proposal_2!$G$14:$G$300,$B65,Proposal_2!$F$14:$F$300,"Included"))</f>
        <v/>
      </c>
      <c r="T65" s="6" t="str">
        <f>IF($B65="","",SUMIFS(Proposal_2!$X$14:$X$300,Proposal_2!$G$14:$G$300,$B65,Proposal_2!$F$14:$F$300,"Included"))</f>
        <v/>
      </c>
      <c r="W65" s="6" t="str">
        <f>IF($B65="","",SUMIFS(Proposal_3!$J$14:$J$300,Proposal_3!$G$14:$G$300,$B65,Proposal_3!$F$14:$F$300,"Included"))</f>
        <v/>
      </c>
      <c r="X65" s="6" t="str">
        <f>IF($B65="","",SUMIFS(Proposal_3!$L$14:$L$300,Proposal_3!$G$14:$G$300,$B65,Proposal_3!$F$14:$F$300,"Included"))</f>
        <v/>
      </c>
      <c r="Y65" s="6" t="str">
        <f>IF($B65="","",SUMIFS(Proposal_3!$N$14:$N$300,Proposal_3!$G$14:$G$300,$B65,Proposal_3!$F$14:$F$300,"Included"))</f>
        <v/>
      </c>
      <c r="Z65" s="6" t="str">
        <f>IF($B65="","",SUMIFS(Proposal_3!$P$14:$P$300,Proposal_3!$G$14:$G$300,$B65,Proposal_3!$F$14:$F$300,"Included"))</f>
        <v/>
      </c>
      <c r="AA65" s="6" t="str">
        <f>IF($B65="","",SUMIFS(Proposal_3!$R$14:$R$300,Proposal_3!$G$14:$G$300,$B65,Proposal_3!$F$14:$F$300,"Included"))</f>
        <v/>
      </c>
      <c r="AB65" s="6" t="str">
        <f>IF($B65="","",SUMIFS(Proposal_3!$T$14:$T$300,Proposal_3!$G$14:$G$300,$B65,Proposal_3!$F$14:$F$300,"Included"))</f>
        <v/>
      </c>
      <c r="AC65" s="6" t="str">
        <f>IF($B65="","",SUMIFS(Proposal_3!$V$14:$V$300,Proposal_3!$G$14:$G$300,$B65,Proposal_3!$F$14:$F$300,"Included"))</f>
        <v/>
      </c>
      <c r="AD65" s="6" t="str">
        <f>IF($B65="","",SUMIFS(Proposal_3!$X$14:$X$300,Proposal_3!$G$14:$G$300,$B65,Proposal_3!$F$14:$F$300,"Included"))</f>
        <v/>
      </c>
    </row>
    <row r="66" spans="3:30" x14ac:dyDescent="0.25">
      <c r="C66" s="6" t="str">
        <f>IF($B66="","",SUMIFS(Proposal_1!$J$14:$J$300,Proposal_1!$G$14:$G$300,$B66,Proposal_1!$F$14:$F$300,"Included"))</f>
        <v/>
      </c>
      <c r="D66" s="6" t="str">
        <f>IF($B66="","",SUMIFS(Proposal_1!$L$14:$L$300,Proposal_1!$G$14:$G$300,$B66,Proposal_1!$F$14:$F$300,"Included"))</f>
        <v/>
      </c>
      <c r="E66" s="6" t="str">
        <f>IF($B66="","",SUMIFS(Proposal_1!$N$14:$N$300,Proposal_1!$G$14:$G$300,$B66,Proposal_1!$F$14:$F$300,"Included"))</f>
        <v/>
      </c>
      <c r="F66" s="6" t="str">
        <f>IF($B66="","",SUMIFS(Proposal_1!$P$14:$P$300,Proposal_1!$G$14:$G$300,$B66,Proposal_1!$F$14:$F$300,"Included"))</f>
        <v/>
      </c>
      <c r="G66" s="6" t="str">
        <f>IF($B66="","",SUMIFS(Proposal_1!$R$14:$R$300,Proposal_1!$G$14:$G$300,$B66,Proposal_1!$F$14:$F$300,"Included"))</f>
        <v/>
      </c>
      <c r="H66" s="6" t="str">
        <f>IF($B66="","",SUMIFS(Proposal_1!$T$14:$T$300,Proposal_1!$G$14:$G$300,$B66,Proposal_1!$F$14:$F$300,"Included"))</f>
        <v/>
      </c>
      <c r="I66" s="6" t="str">
        <f>IF($B66="","",SUMIFS(Proposal_1!$V$14:$V$300,Proposal_1!$G$14:$G$300,$B66,Proposal_1!$F$14:$F$300,"Included"))</f>
        <v/>
      </c>
      <c r="J66" s="6" t="str">
        <f>IF($B66="","",SUMIFS(Proposal_1!$X$14:$X$300,Proposal_1!$G$14:$G$300,$B66,Proposal_1!$F$14:$F$300,"Included"))</f>
        <v/>
      </c>
      <c r="M66" s="6" t="str">
        <f>IF($B66="","",SUMIFS(Proposal_2!$J$14:$J$300,Proposal_2!$G$14:$G$300,$B66,Proposal_2!$F$14:$F$300,"Included"))</f>
        <v/>
      </c>
      <c r="N66" s="6" t="str">
        <f>IF($B66="","",SUMIFS(Proposal_2!$L$14:$L$300,Proposal_2!$G$14:$G$300,$B66,Proposal_2!$F$14:$F$300,"Included"))</f>
        <v/>
      </c>
      <c r="O66" s="6" t="str">
        <f>IF($B66="","",SUMIFS(Proposal_2!$N$14:$N$300,Proposal_2!$G$14:$G$300,$B66,Proposal_2!$F$14:$F$300,"Included"))</f>
        <v/>
      </c>
      <c r="P66" s="6" t="str">
        <f>IF($B66="","",SUMIFS(Proposal_2!$P$14:$P$300,Proposal_2!$G$14:$G$300,$B66,Proposal_2!$F$14:$F$300,"Included"))</f>
        <v/>
      </c>
      <c r="Q66" s="6" t="str">
        <f>IF($B66="","",SUMIFS(Proposal_2!$R$14:$R$300,Proposal_2!$G$14:$G$300,$B66,Proposal_2!$F$14:$F$300,"Included"))</f>
        <v/>
      </c>
      <c r="R66" s="6" t="str">
        <f>IF($B66="","",SUMIFS(Proposal_2!$T$14:$T$300,Proposal_2!$G$14:$G$300,$B66,Proposal_2!$F$14:$F$300,"Included"))</f>
        <v/>
      </c>
      <c r="S66" s="6" t="str">
        <f>IF($B66="","",SUMIFS(Proposal_2!$V$14:$V$300,Proposal_2!$G$14:$G$300,$B66,Proposal_2!$F$14:$F$300,"Included"))</f>
        <v/>
      </c>
      <c r="T66" s="6" t="str">
        <f>IF($B66="","",SUMIFS(Proposal_2!$X$14:$X$300,Proposal_2!$G$14:$G$300,$B66,Proposal_2!$F$14:$F$300,"Included"))</f>
        <v/>
      </c>
      <c r="W66" s="6" t="str">
        <f>IF($B66="","",SUMIFS(Proposal_3!$J$14:$J$300,Proposal_3!$G$14:$G$300,$B66,Proposal_3!$F$14:$F$300,"Included"))</f>
        <v/>
      </c>
      <c r="X66" s="6" t="str">
        <f>IF($B66="","",SUMIFS(Proposal_3!$L$14:$L$300,Proposal_3!$G$14:$G$300,$B66,Proposal_3!$F$14:$F$300,"Included"))</f>
        <v/>
      </c>
      <c r="Y66" s="6" t="str">
        <f>IF($B66="","",SUMIFS(Proposal_3!$N$14:$N$300,Proposal_3!$G$14:$G$300,$B66,Proposal_3!$F$14:$F$300,"Included"))</f>
        <v/>
      </c>
      <c r="Z66" s="6" t="str">
        <f>IF($B66="","",SUMIFS(Proposal_3!$P$14:$P$300,Proposal_3!$G$14:$G$300,$B66,Proposal_3!$F$14:$F$300,"Included"))</f>
        <v/>
      </c>
      <c r="AA66" s="6" t="str">
        <f>IF($B66="","",SUMIFS(Proposal_3!$R$14:$R$300,Proposal_3!$G$14:$G$300,$B66,Proposal_3!$F$14:$F$300,"Included"))</f>
        <v/>
      </c>
      <c r="AB66" s="6" t="str">
        <f>IF($B66="","",SUMIFS(Proposal_3!$T$14:$T$300,Proposal_3!$G$14:$G$300,$B66,Proposal_3!$F$14:$F$300,"Included"))</f>
        <v/>
      </c>
      <c r="AC66" s="6" t="str">
        <f>IF($B66="","",SUMIFS(Proposal_3!$V$14:$V$300,Proposal_3!$G$14:$G$300,$B66,Proposal_3!$F$14:$F$300,"Included"))</f>
        <v/>
      </c>
      <c r="AD66" s="6" t="str">
        <f>IF($B66="","",SUMIFS(Proposal_3!$X$14:$X$300,Proposal_3!$G$14:$G$300,$B66,Proposal_3!$F$14:$F$300,"Included"))</f>
        <v/>
      </c>
    </row>
    <row r="67" spans="3:30" x14ac:dyDescent="0.25">
      <c r="C67" s="6" t="str">
        <f>IF($B67="","",SUMIFS(Proposal_1!$J$14:$J$300,Proposal_1!$G$14:$G$300,$B67,Proposal_1!$F$14:$F$300,"Included"))</f>
        <v/>
      </c>
      <c r="D67" s="6" t="str">
        <f>IF($B67="","",SUMIFS(Proposal_1!$L$14:$L$300,Proposal_1!$G$14:$G$300,$B67,Proposal_1!$F$14:$F$300,"Included"))</f>
        <v/>
      </c>
      <c r="E67" s="6" t="str">
        <f>IF($B67="","",SUMIFS(Proposal_1!$N$14:$N$300,Proposal_1!$G$14:$G$300,$B67,Proposal_1!$F$14:$F$300,"Included"))</f>
        <v/>
      </c>
      <c r="F67" s="6" t="str">
        <f>IF($B67="","",SUMIFS(Proposal_1!$P$14:$P$300,Proposal_1!$G$14:$G$300,$B67,Proposal_1!$F$14:$F$300,"Included"))</f>
        <v/>
      </c>
      <c r="G67" s="6" t="str">
        <f>IF($B67="","",SUMIFS(Proposal_1!$R$14:$R$300,Proposal_1!$G$14:$G$300,$B67,Proposal_1!$F$14:$F$300,"Included"))</f>
        <v/>
      </c>
      <c r="H67" s="6" t="str">
        <f>IF($B67="","",SUMIFS(Proposal_1!$T$14:$T$300,Proposal_1!$G$14:$G$300,$B67,Proposal_1!$F$14:$F$300,"Included"))</f>
        <v/>
      </c>
      <c r="I67" s="6" t="str">
        <f>IF($B67="","",SUMIFS(Proposal_1!$V$14:$V$300,Proposal_1!$G$14:$G$300,$B67,Proposal_1!$F$14:$F$300,"Included"))</f>
        <v/>
      </c>
      <c r="J67" s="6" t="str">
        <f>IF($B67="","",SUMIFS(Proposal_1!$X$14:$X$300,Proposal_1!$G$14:$G$300,$B67,Proposal_1!$F$14:$F$300,"Included"))</f>
        <v/>
      </c>
      <c r="M67" s="6" t="str">
        <f>IF($B67="","",SUMIFS(Proposal_2!$J$14:$J$300,Proposal_2!$G$14:$G$300,$B67,Proposal_2!$F$14:$F$300,"Included"))</f>
        <v/>
      </c>
      <c r="N67" s="6" t="str">
        <f>IF($B67="","",SUMIFS(Proposal_2!$L$14:$L$300,Proposal_2!$G$14:$G$300,$B67,Proposal_2!$F$14:$F$300,"Included"))</f>
        <v/>
      </c>
      <c r="O67" s="6" t="str">
        <f>IF($B67="","",SUMIFS(Proposal_2!$N$14:$N$300,Proposal_2!$G$14:$G$300,$B67,Proposal_2!$F$14:$F$300,"Included"))</f>
        <v/>
      </c>
      <c r="P67" s="6" t="str">
        <f>IF($B67="","",SUMIFS(Proposal_2!$P$14:$P$300,Proposal_2!$G$14:$G$300,$B67,Proposal_2!$F$14:$F$300,"Included"))</f>
        <v/>
      </c>
      <c r="Q67" s="6" t="str">
        <f>IF($B67="","",SUMIFS(Proposal_2!$R$14:$R$300,Proposal_2!$G$14:$G$300,$B67,Proposal_2!$F$14:$F$300,"Included"))</f>
        <v/>
      </c>
      <c r="R67" s="6" t="str">
        <f>IF($B67="","",SUMIFS(Proposal_2!$T$14:$T$300,Proposal_2!$G$14:$G$300,$B67,Proposal_2!$F$14:$F$300,"Included"))</f>
        <v/>
      </c>
      <c r="S67" s="6" t="str">
        <f>IF($B67="","",SUMIFS(Proposal_2!$V$14:$V$300,Proposal_2!$G$14:$G$300,$B67,Proposal_2!$F$14:$F$300,"Included"))</f>
        <v/>
      </c>
      <c r="T67" s="6" t="str">
        <f>IF($B67="","",SUMIFS(Proposal_2!$X$14:$X$300,Proposal_2!$G$14:$G$300,$B67,Proposal_2!$F$14:$F$300,"Included"))</f>
        <v/>
      </c>
      <c r="W67" s="6" t="str">
        <f>IF($B67="","",SUMIFS(Proposal_3!$J$14:$J$300,Proposal_3!$G$14:$G$300,$B67,Proposal_3!$F$14:$F$300,"Included"))</f>
        <v/>
      </c>
      <c r="X67" s="6" t="str">
        <f>IF($B67="","",SUMIFS(Proposal_3!$L$14:$L$300,Proposal_3!$G$14:$G$300,$B67,Proposal_3!$F$14:$F$300,"Included"))</f>
        <v/>
      </c>
      <c r="Y67" s="6" t="str">
        <f>IF($B67="","",SUMIFS(Proposal_3!$N$14:$N$300,Proposal_3!$G$14:$G$300,$B67,Proposal_3!$F$14:$F$300,"Included"))</f>
        <v/>
      </c>
      <c r="Z67" s="6" t="str">
        <f>IF($B67="","",SUMIFS(Proposal_3!$P$14:$P$300,Proposal_3!$G$14:$G$300,$B67,Proposal_3!$F$14:$F$300,"Included"))</f>
        <v/>
      </c>
      <c r="AA67" s="6" t="str">
        <f>IF($B67="","",SUMIFS(Proposal_3!$R$14:$R$300,Proposal_3!$G$14:$G$300,$B67,Proposal_3!$F$14:$F$300,"Included"))</f>
        <v/>
      </c>
      <c r="AB67" s="6" t="str">
        <f>IF($B67="","",SUMIFS(Proposal_3!$T$14:$T$300,Proposal_3!$G$14:$G$300,$B67,Proposal_3!$F$14:$F$300,"Included"))</f>
        <v/>
      </c>
      <c r="AC67" s="6" t="str">
        <f>IF($B67="","",SUMIFS(Proposal_3!$V$14:$V$300,Proposal_3!$G$14:$G$300,$B67,Proposal_3!$F$14:$F$300,"Included"))</f>
        <v/>
      </c>
      <c r="AD67" s="6" t="str">
        <f>IF($B67="","",SUMIFS(Proposal_3!$X$14:$X$300,Proposal_3!$G$14:$G$300,$B67,Proposal_3!$F$14:$F$300,"Included"))</f>
        <v/>
      </c>
    </row>
    <row r="68" spans="3:30" x14ac:dyDescent="0.25">
      <c r="C68" s="6" t="str">
        <f>IF($B68="","",SUMIFS(Proposal_1!$J$14:$J$300,Proposal_1!$G$14:$G$300,$B68,Proposal_1!$F$14:$F$300,"Included"))</f>
        <v/>
      </c>
      <c r="D68" s="6" t="str">
        <f>IF($B68="","",SUMIFS(Proposal_1!$L$14:$L$300,Proposal_1!$G$14:$G$300,$B68,Proposal_1!$F$14:$F$300,"Included"))</f>
        <v/>
      </c>
      <c r="E68" s="6" t="str">
        <f>IF($B68="","",SUMIFS(Proposal_1!$N$14:$N$300,Proposal_1!$G$14:$G$300,$B68,Proposal_1!$F$14:$F$300,"Included"))</f>
        <v/>
      </c>
      <c r="F68" s="6" t="str">
        <f>IF($B68="","",SUMIFS(Proposal_1!$P$14:$P$300,Proposal_1!$G$14:$G$300,$B68,Proposal_1!$F$14:$F$300,"Included"))</f>
        <v/>
      </c>
      <c r="G68" s="6" t="str">
        <f>IF($B68="","",SUMIFS(Proposal_1!$R$14:$R$300,Proposal_1!$G$14:$G$300,$B68,Proposal_1!$F$14:$F$300,"Included"))</f>
        <v/>
      </c>
      <c r="H68" s="6" t="str">
        <f>IF($B68="","",SUMIFS(Proposal_1!$T$14:$T$300,Proposal_1!$G$14:$G$300,$B68,Proposal_1!$F$14:$F$300,"Included"))</f>
        <v/>
      </c>
      <c r="I68" s="6" t="str">
        <f>IF($B68="","",SUMIFS(Proposal_1!$V$14:$V$300,Proposal_1!$G$14:$G$300,$B68,Proposal_1!$F$14:$F$300,"Included"))</f>
        <v/>
      </c>
      <c r="J68" s="6" t="str">
        <f>IF($B68="","",SUMIFS(Proposal_1!$X$14:$X$300,Proposal_1!$G$14:$G$300,$B68,Proposal_1!$F$14:$F$300,"Included"))</f>
        <v/>
      </c>
      <c r="M68" s="6" t="str">
        <f>IF($B68="","",SUMIFS(Proposal_2!$J$14:$J$300,Proposal_2!$G$14:$G$300,$B68,Proposal_2!$F$14:$F$300,"Included"))</f>
        <v/>
      </c>
      <c r="N68" s="6" t="str">
        <f>IF($B68="","",SUMIFS(Proposal_2!$L$14:$L$300,Proposal_2!$G$14:$G$300,$B68,Proposal_2!$F$14:$F$300,"Included"))</f>
        <v/>
      </c>
      <c r="O68" s="6" t="str">
        <f>IF($B68="","",SUMIFS(Proposal_2!$N$14:$N$300,Proposal_2!$G$14:$G$300,$B68,Proposal_2!$F$14:$F$300,"Included"))</f>
        <v/>
      </c>
      <c r="P68" s="6" t="str">
        <f>IF($B68="","",SUMIFS(Proposal_2!$P$14:$P$300,Proposal_2!$G$14:$G$300,$B68,Proposal_2!$F$14:$F$300,"Included"))</f>
        <v/>
      </c>
      <c r="Q68" s="6" t="str">
        <f>IF($B68="","",SUMIFS(Proposal_2!$R$14:$R$300,Proposal_2!$G$14:$G$300,$B68,Proposal_2!$F$14:$F$300,"Included"))</f>
        <v/>
      </c>
      <c r="R68" s="6" t="str">
        <f>IF($B68="","",SUMIFS(Proposal_2!$T$14:$T$300,Proposal_2!$G$14:$G$300,$B68,Proposal_2!$F$14:$F$300,"Included"))</f>
        <v/>
      </c>
      <c r="S68" s="6" t="str">
        <f>IF($B68="","",SUMIFS(Proposal_2!$V$14:$V$300,Proposal_2!$G$14:$G$300,$B68,Proposal_2!$F$14:$F$300,"Included"))</f>
        <v/>
      </c>
      <c r="T68" s="6" t="str">
        <f>IF($B68="","",SUMIFS(Proposal_2!$X$14:$X$300,Proposal_2!$G$14:$G$300,$B68,Proposal_2!$F$14:$F$300,"Included"))</f>
        <v/>
      </c>
      <c r="W68" s="6" t="str">
        <f>IF($B68="","",SUMIFS(Proposal_3!$J$14:$J$300,Proposal_3!$G$14:$G$300,$B68,Proposal_3!$F$14:$F$300,"Included"))</f>
        <v/>
      </c>
      <c r="X68" s="6" t="str">
        <f>IF($B68="","",SUMIFS(Proposal_3!$L$14:$L$300,Proposal_3!$G$14:$G$300,$B68,Proposal_3!$F$14:$F$300,"Included"))</f>
        <v/>
      </c>
      <c r="Y68" s="6" t="str">
        <f>IF($B68="","",SUMIFS(Proposal_3!$N$14:$N$300,Proposal_3!$G$14:$G$300,$B68,Proposal_3!$F$14:$F$300,"Included"))</f>
        <v/>
      </c>
      <c r="Z68" s="6" t="str">
        <f>IF($B68="","",SUMIFS(Proposal_3!$P$14:$P$300,Proposal_3!$G$14:$G$300,$B68,Proposal_3!$F$14:$F$300,"Included"))</f>
        <v/>
      </c>
      <c r="AA68" s="6" t="str">
        <f>IF($B68="","",SUMIFS(Proposal_3!$R$14:$R$300,Proposal_3!$G$14:$G$300,$B68,Proposal_3!$F$14:$F$300,"Included"))</f>
        <v/>
      </c>
      <c r="AB68" s="6" t="str">
        <f>IF($B68="","",SUMIFS(Proposal_3!$T$14:$T$300,Proposal_3!$G$14:$G$300,$B68,Proposal_3!$F$14:$F$300,"Included"))</f>
        <v/>
      </c>
      <c r="AC68" s="6" t="str">
        <f>IF($B68="","",SUMIFS(Proposal_3!$V$14:$V$300,Proposal_3!$G$14:$G$300,$B68,Proposal_3!$F$14:$F$300,"Included"))</f>
        <v/>
      </c>
      <c r="AD68" s="6" t="str">
        <f>IF($B68="","",SUMIFS(Proposal_3!$X$14:$X$300,Proposal_3!$G$14:$G$300,$B68,Proposal_3!$F$14:$F$300,"Included"))</f>
        <v/>
      </c>
    </row>
    <row r="69" spans="3:30" x14ac:dyDescent="0.25">
      <c r="C69" s="6" t="str">
        <f>IF($B69="","",SUMIFS(Proposal_1!$J$14:$J$300,Proposal_1!$G$14:$G$300,$B69,Proposal_1!$F$14:$F$300,"Included"))</f>
        <v/>
      </c>
      <c r="D69" s="6" t="str">
        <f>IF($B69="","",SUMIFS(Proposal_1!$L$14:$L$300,Proposal_1!$G$14:$G$300,$B69,Proposal_1!$F$14:$F$300,"Included"))</f>
        <v/>
      </c>
      <c r="E69" s="6" t="str">
        <f>IF($B69="","",SUMIFS(Proposal_1!$N$14:$N$300,Proposal_1!$G$14:$G$300,$B69,Proposal_1!$F$14:$F$300,"Included"))</f>
        <v/>
      </c>
      <c r="F69" s="6" t="str">
        <f>IF($B69="","",SUMIFS(Proposal_1!$P$14:$P$300,Proposal_1!$G$14:$G$300,$B69,Proposal_1!$F$14:$F$300,"Included"))</f>
        <v/>
      </c>
      <c r="G69" s="6" t="str">
        <f>IF($B69="","",SUMIFS(Proposal_1!$R$14:$R$300,Proposal_1!$G$14:$G$300,$B69,Proposal_1!$F$14:$F$300,"Included"))</f>
        <v/>
      </c>
      <c r="H69" s="6" t="str">
        <f>IF($B69="","",SUMIFS(Proposal_1!$T$14:$T$300,Proposal_1!$G$14:$G$300,$B69,Proposal_1!$F$14:$F$300,"Included"))</f>
        <v/>
      </c>
      <c r="I69" s="6" t="str">
        <f>IF($B69="","",SUMIFS(Proposal_1!$V$14:$V$300,Proposal_1!$G$14:$G$300,$B69,Proposal_1!$F$14:$F$300,"Included"))</f>
        <v/>
      </c>
      <c r="J69" s="6" t="str">
        <f>IF($B69="","",SUMIFS(Proposal_1!$X$14:$X$300,Proposal_1!$G$14:$G$300,$B69,Proposal_1!$F$14:$F$300,"Included"))</f>
        <v/>
      </c>
      <c r="M69" s="6" t="str">
        <f>IF($B69="","",SUMIFS(Proposal_2!$J$14:$J$300,Proposal_2!$G$14:$G$300,$B69,Proposal_2!$F$14:$F$300,"Included"))</f>
        <v/>
      </c>
      <c r="N69" s="6" t="str">
        <f>IF($B69="","",SUMIFS(Proposal_2!$L$14:$L$300,Proposal_2!$G$14:$G$300,$B69,Proposal_2!$F$14:$F$300,"Included"))</f>
        <v/>
      </c>
      <c r="O69" s="6" t="str">
        <f>IF($B69="","",SUMIFS(Proposal_2!$N$14:$N$300,Proposal_2!$G$14:$G$300,$B69,Proposal_2!$F$14:$F$300,"Included"))</f>
        <v/>
      </c>
      <c r="P69" s="6" t="str">
        <f>IF($B69="","",SUMIFS(Proposal_2!$P$14:$P$300,Proposal_2!$G$14:$G$300,$B69,Proposal_2!$F$14:$F$300,"Included"))</f>
        <v/>
      </c>
      <c r="Q69" s="6" t="str">
        <f>IF($B69="","",SUMIFS(Proposal_2!$R$14:$R$300,Proposal_2!$G$14:$G$300,$B69,Proposal_2!$F$14:$F$300,"Included"))</f>
        <v/>
      </c>
      <c r="R69" s="6" t="str">
        <f>IF($B69="","",SUMIFS(Proposal_2!$T$14:$T$300,Proposal_2!$G$14:$G$300,$B69,Proposal_2!$F$14:$F$300,"Included"))</f>
        <v/>
      </c>
      <c r="S69" s="6" t="str">
        <f>IF($B69="","",SUMIFS(Proposal_2!$V$14:$V$300,Proposal_2!$G$14:$G$300,$B69,Proposal_2!$F$14:$F$300,"Included"))</f>
        <v/>
      </c>
      <c r="T69" s="6" t="str">
        <f>IF($B69="","",SUMIFS(Proposal_2!$X$14:$X$300,Proposal_2!$G$14:$G$300,$B69,Proposal_2!$F$14:$F$300,"Included"))</f>
        <v/>
      </c>
      <c r="W69" s="6" t="str">
        <f>IF($B69="","",SUMIFS(Proposal_3!$J$14:$J$300,Proposal_3!$G$14:$G$300,$B69,Proposal_3!$F$14:$F$300,"Included"))</f>
        <v/>
      </c>
      <c r="X69" s="6" t="str">
        <f>IF($B69="","",SUMIFS(Proposal_3!$L$14:$L$300,Proposal_3!$G$14:$G$300,$B69,Proposal_3!$F$14:$F$300,"Included"))</f>
        <v/>
      </c>
      <c r="Y69" s="6" t="str">
        <f>IF($B69="","",SUMIFS(Proposal_3!$N$14:$N$300,Proposal_3!$G$14:$G$300,$B69,Proposal_3!$F$14:$F$300,"Included"))</f>
        <v/>
      </c>
      <c r="Z69" s="6" t="str">
        <f>IF($B69="","",SUMIFS(Proposal_3!$P$14:$P$300,Proposal_3!$G$14:$G$300,$B69,Proposal_3!$F$14:$F$300,"Included"))</f>
        <v/>
      </c>
      <c r="AA69" s="6" t="str">
        <f>IF($B69="","",SUMIFS(Proposal_3!$R$14:$R$300,Proposal_3!$G$14:$G$300,$B69,Proposal_3!$F$14:$F$300,"Included"))</f>
        <v/>
      </c>
      <c r="AB69" s="6" t="str">
        <f>IF($B69="","",SUMIFS(Proposal_3!$T$14:$T$300,Proposal_3!$G$14:$G$300,$B69,Proposal_3!$F$14:$F$300,"Included"))</f>
        <v/>
      </c>
      <c r="AC69" s="6" t="str">
        <f>IF($B69="","",SUMIFS(Proposal_3!$V$14:$V$300,Proposal_3!$G$14:$G$300,$B69,Proposal_3!$F$14:$F$300,"Included"))</f>
        <v/>
      </c>
      <c r="AD69" s="6" t="str">
        <f>IF($B69="","",SUMIFS(Proposal_3!$X$14:$X$300,Proposal_3!$G$14:$G$300,$B69,Proposal_3!$F$14:$F$300,"Included"))</f>
        <v/>
      </c>
    </row>
    <row r="70" spans="3:30" x14ac:dyDescent="0.25">
      <c r="C70" s="6" t="str">
        <f>IF($B70="","",SUMIFS(Proposal_1!$J$14:$J$300,Proposal_1!$G$14:$G$300,$B70,Proposal_1!$F$14:$F$300,"Included"))</f>
        <v/>
      </c>
      <c r="D70" s="6" t="str">
        <f>IF($B70="","",SUMIFS(Proposal_1!$L$14:$L$300,Proposal_1!$G$14:$G$300,$B70,Proposal_1!$F$14:$F$300,"Included"))</f>
        <v/>
      </c>
      <c r="E70" s="6" t="str">
        <f>IF($B70="","",SUMIFS(Proposal_1!$N$14:$N$300,Proposal_1!$G$14:$G$300,$B70,Proposal_1!$F$14:$F$300,"Included"))</f>
        <v/>
      </c>
      <c r="F70" s="6" t="str">
        <f>IF($B70="","",SUMIFS(Proposal_1!$P$14:$P$300,Proposal_1!$G$14:$G$300,$B70,Proposal_1!$F$14:$F$300,"Included"))</f>
        <v/>
      </c>
      <c r="G70" s="6" t="str">
        <f>IF($B70="","",SUMIFS(Proposal_1!$R$14:$R$300,Proposal_1!$G$14:$G$300,$B70,Proposal_1!$F$14:$F$300,"Included"))</f>
        <v/>
      </c>
      <c r="H70" s="6" t="str">
        <f>IF($B70="","",SUMIFS(Proposal_1!$T$14:$T$300,Proposal_1!$G$14:$G$300,$B70,Proposal_1!$F$14:$F$300,"Included"))</f>
        <v/>
      </c>
      <c r="I70" s="6" t="str">
        <f>IF($B70="","",SUMIFS(Proposal_1!$V$14:$V$300,Proposal_1!$G$14:$G$300,$B70,Proposal_1!$F$14:$F$300,"Included"))</f>
        <v/>
      </c>
      <c r="J70" s="6" t="str">
        <f>IF($B70="","",SUMIFS(Proposal_1!$X$14:$X$300,Proposal_1!$G$14:$G$300,$B70,Proposal_1!$F$14:$F$300,"Included"))</f>
        <v/>
      </c>
      <c r="M70" s="6" t="str">
        <f>IF($B70="","",SUMIFS(Proposal_2!$J$14:$J$300,Proposal_2!$G$14:$G$300,$B70,Proposal_2!$F$14:$F$300,"Included"))</f>
        <v/>
      </c>
      <c r="N70" s="6" t="str">
        <f>IF($B70="","",SUMIFS(Proposal_2!$L$14:$L$300,Proposal_2!$G$14:$G$300,$B70,Proposal_2!$F$14:$F$300,"Included"))</f>
        <v/>
      </c>
      <c r="O70" s="6" t="str">
        <f>IF($B70="","",SUMIFS(Proposal_2!$N$14:$N$300,Proposal_2!$G$14:$G$300,$B70,Proposal_2!$F$14:$F$300,"Included"))</f>
        <v/>
      </c>
      <c r="P70" s="6" t="str">
        <f>IF($B70="","",SUMIFS(Proposal_2!$P$14:$P$300,Proposal_2!$G$14:$G$300,$B70,Proposal_2!$F$14:$F$300,"Included"))</f>
        <v/>
      </c>
      <c r="Q70" s="6" t="str">
        <f>IF($B70="","",SUMIFS(Proposal_2!$R$14:$R$300,Proposal_2!$G$14:$G$300,$B70,Proposal_2!$F$14:$F$300,"Included"))</f>
        <v/>
      </c>
      <c r="R70" s="6" t="str">
        <f>IF($B70="","",SUMIFS(Proposal_2!$T$14:$T$300,Proposal_2!$G$14:$G$300,$B70,Proposal_2!$F$14:$F$300,"Included"))</f>
        <v/>
      </c>
      <c r="S70" s="6" t="str">
        <f>IF($B70="","",SUMIFS(Proposal_2!$V$14:$V$300,Proposal_2!$G$14:$G$300,$B70,Proposal_2!$F$14:$F$300,"Included"))</f>
        <v/>
      </c>
      <c r="T70" s="6" t="str">
        <f>IF($B70="","",SUMIFS(Proposal_2!$X$14:$X$300,Proposal_2!$G$14:$G$300,$B70,Proposal_2!$F$14:$F$300,"Included"))</f>
        <v/>
      </c>
      <c r="W70" s="6" t="str">
        <f>IF($B70="","",SUMIFS(Proposal_3!$J$14:$J$300,Proposal_3!$G$14:$G$300,$B70,Proposal_3!$F$14:$F$300,"Included"))</f>
        <v/>
      </c>
      <c r="X70" s="6" t="str">
        <f>IF($B70="","",SUMIFS(Proposal_3!$L$14:$L$300,Proposal_3!$G$14:$G$300,$B70,Proposal_3!$F$14:$F$300,"Included"))</f>
        <v/>
      </c>
      <c r="Y70" s="6" t="str">
        <f>IF($B70="","",SUMIFS(Proposal_3!$N$14:$N$300,Proposal_3!$G$14:$G$300,$B70,Proposal_3!$F$14:$F$300,"Included"))</f>
        <v/>
      </c>
      <c r="Z70" s="6" t="str">
        <f>IF($B70="","",SUMIFS(Proposal_3!$P$14:$P$300,Proposal_3!$G$14:$G$300,$B70,Proposal_3!$F$14:$F$300,"Included"))</f>
        <v/>
      </c>
      <c r="AA70" s="6" t="str">
        <f>IF($B70="","",SUMIFS(Proposal_3!$R$14:$R$300,Proposal_3!$G$14:$G$300,$B70,Proposal_3!$F$14:$F$300,"Included"))</f>
        <v/>
      </c>
      <c r="AB70" s="6" t="str">
        <f>IF($B70="","",SUMIFS(Proposal_3!$T$14:$T$300,Proposal_3!$G$14:$G$300,$B70,Proposal_3!$F$14:$F$300,"Included"))</f>
        <v/>
      </c>
      <c r="AC70" s="6" t="str">
        <f>IF($B70="","",SUMIFS(Proposal_3!$V$14:$V$300,Proposal_3!$G$14:$G$300,$B70,Proposal_3!$F$14:$F$300,"Included"))</f>
        <v/>
      </c>
      <c r="AD70" s="6" t="str">
        <f>IF($B70="","",SUMIFS(Proposal_3!$X$14:$X$300,Proposal_3!$G$14:$G$300,$B70,Proposal_3!$F$14:$F$300,"Included"))</f>
        <v/>
      </c>
    </row>
    <row r="71" spans="3:30" x14ac:dyDescent="0.25">
      <c r="C71" s="6" t="str">
        <f>IF($B71="","",SUMIFS(Proposal_1!$J$14:$J$300,Proposal_1!$G$14:$G$300,$B71,Proposal_1!$F$14:$F$300,"Included"))</f>
        <v/>
      </c>
      <c r="D71" s="6" t="str">
        <f>IF($B71="","",SUMIFS(Proposal_1!$L$14:$L$300,Proposal_1!$G$14:$G$300,$B71,Proposal_1!$F$14:$F$300,"Included"))</f>
        <v/>
      </c>
      <c r="E71" s="6" t="str">
        <f>IF($B71="","",SUMIFS(Proposal_1!$N$14:$N$300,Proposal_1!$G$14:$G$300,$B71,Proposal_1!$F$14:$F$300,"Included"))</f>
        <v/>
      </c>
      <c r="F71" s="6" t="str">
        <f>IF($B71="","",SUMIFS(Proposal_1!$P$14:$P$300,Proposal_1!$G$14:$G$300,$B71,Proposal_1!$F$14:$F$300,"Included"))</f>
        <v/>
      </c>
      <c r="G71" s="6" t="str">
        <f>IF($B71="","",SUMIFS(Proposal_1!$R$14:$R$300,Proposal_1!$G$14:$G$300,$B71,Proposal_1!$F$14:$F$300,"Included"))</f>
        <v/>
      </c>
      <c r="H71" s="6" t="str">
        <f>IF($B71="","",SUMIFS(Proposal_1!$T$14:$T$300,Proposal_1!$G$14:$G$300,$B71,Proposal_1!$F$14:$F$300,"Included"))</f>
        <v/>
      </c>
      <c r="I71" s="6" t="str">
        <f>IF($B71="","",SUMIFS(Proposal_1!$V$14:$V$300,Proposal_1!$G$14:$G$300,$B71,Proposal_1!$F$14:$F$300,"Included"))</f>
        <v/>
      </c>
      <c r="J71" s="6" t="str">
        <f>IF($B71="","",SUMIFS(Proposal_1!$X$14:$X$300,Proposal_1!$G$14:$G$300,$B71,Proposal_1!$F$14:$F$300,"Included"))</f>
        <v/>
      </c>
      <c r="M71" s="6" t="str">
        <f>IF($B71="","",SUMIFS(Proposal_2!$J$14:$J$300,Proposal_2!$G$14:$G$300,$B71,Proposal_2!$F$14:$F$300,"Included"))</f>
        <v/>
      </c>
      <c r="N71" s="6" t="str">
        <f>IF($B71="","",SUMIFS(Proposal_2!$L$14:$L$300,Proposal_2!$G$14:$G$300,$B71,Proposal_2!$F$14:$F$300,"Included"))</f>
        <v/>
      </c>
      <c r="O71" s="6" t="str">
        <f>IF($B71="","",SUMIFS(Proposal_2!$N$14:$N$300,Proposal_2!$G$14:$G$300,$B71,Proposal_2!$F$14:$F$300,"Included"))</f>
        <v/>
      </c>
      <c r="P71" s="6" t="str">
        <f>IF($B71="","",SUMIFS(Proposal_2!$P$14:$P$300,Proposal_2!$G$14:$G$300,$B71,Proposal_2!$F$14:$F$300,"Included"))</f>
        <v/>
      </c>
      <c r="Q71" s="6" t="str">
        <f>IF($B71="","",SUMIFS(Proposal_2!$R$14:$R$300,Proposal_2!$G$14:$G$300,$B71,Proposal_2!$F$14:$F$300,"Included"))</f>
        <v/>
      </c>
      <c r="R71" s="6" t="str">
        <f>IF($B71="","",SUMIFS(Proposal_2!$T$14:$T$300,Proposal_2!$G$14:$G$300,$B71,Proposal_2!$F$14:$F$300,"Included"))</f>
        <v/>
      </c>
      <c r="S71" s="6" t="str">
        <f>IF($B71="","",SUMIFS(Proposal_2!$V$14:$V$300,Proposal_2!$G$14:$G$300,$B71,Proposal_2!$F$14:$F$300,"Included"))</f>
        <v/>
      </c>
      <c r="T71" s="6" t="str">
        <f>IF($B71="","",SUMIFS(Proposal_2!$X$14:$X$300,Proposal_2!$G$14:$G$300,$B71,Proposal_2!$F$14:$F$300,"Included"))</f>
        <v/>
      </c>
      <c r="W71" s="6" t="str">
        <f>IF($B71="","",SUMIFS(Proposal_3!$J$14:$J$300,Proposal_3!$G$14:$G$300,$B71,Proposal_3!$F$14:$F$300,"Included"))</f>
        <v/>
      </c>
      <c r="X71" s="6" t="str">
        <f>IF($B71="","",SUMIFS(Proposal_3!$L$14:$L$300,Proposal_3!$G$14:$G$300,$B71,Proposal_3!$F$14:$F$300,"Included"))</f>
        <v/>
      </c>
      <c r="Y71" s="6" t="str">
        <f>IF($B71="","",SUMIFS(Proposal_3!$N$14:$N$300,Proposal_3!$G$14:$G$300,$B71,Proposal_3!$F$14:$F$300,"Included"))</f>
        <v/>
      </c>
      <c r="Z71" s="6" t="str">
        <f>IF($B71="","",SUMIFS(Proposal_3!$P$14:$P$300,Proposal_3!$G$14:$G$300,$B71,Proposal_3!$F$14:$F$300,"Included"))</f>
        <v/>
      </c>
      <c r="AA71" s="6" t="str">
        <f>IF($B71="","",SUMIFS(Proposal_3!$R$14:$R$300,Proposal_3!$G$14:$G$300,$B71,Proposal_3!$F$14:$F$300,"Included"))</f>
        <v/>
      </c>
      <c r="AB71" s="6" t="str">
        <f>IF($B71="","",SUMIFS(Proposal_3!$T$14:$T$300,Proposal_3!$G$14:$G$300,$B71,Proposal_3!$F$14:$F$300,"Included"))</f>
        <v/>
      </c>
      <c r="AC71" s="6" t="str">
        <f>IF($B71="","",SUMIFS(Proposal_3!$V$14:$V$300,Proposal_3!$G$14:$G$300,$B71,Proposal_3!$F$14:$F$300,"Included"))</f>
        <v/>
      </c>
      <c r="AD71" s="6" t="str">
        <f>IF($B71="","",SUMIFS(Proposal_3!$X$14:$X$300,Proposal_3!$G$14:$G$300,$B71,Proposal_3!$F$14:$F$300,"Included"))</f>
        <v/>
      </c>
    </row>
    <row r="72" spans="3:30" x14ac:dyDescent="0.25">
      <c r="C72" s="6" t="str">
        <f>IF($B72="","",SUMIFS(Proposal_1!$J$14:$J$300,Proposal_1!$G$14:$G$300,$B72,Proposal_1!$F$14:$F$300,"Included"))</f>
        <v/>
      </c>
      <c r="D72" s="6" t="str">
        <f>IF($B72="","",SUMIFS(Proposal_1!$L$14:$L$300,Proposal_1!$G$14:$G$300,$B72,Proposal_1!$F$14:$F$300,"Included"))</f>
        <v/>
      </c>
      <c r="E72" s="6" t="str">
        <f>IF($B72="","",SUMIFS(Proposal_1!$N$14:$N$300,Proposal_1!$G$14:$G$300,$B72,Proposal_1!$F$14:$F$300,"Included"))</f>
        <v/>
      </c>
      <c r="F72" s="6" t="str">
        <f>IF($B72="","",SUMIFS(Proposal_1!$P$14:$P$300,Proposal_1!$G$14:$G$300,$B72,Proposal_1!$F$14:$F$300,"Included"))</f>
        <v/>
      </c>
      <c r="G72" s="6" t="str">
        <f>IF($B72="","",SUMIFS(Proposal_1!$R$14:$R$300,Proposal_1!$G$14:$G$300,$B72,Proposal_1!$F$14:$F$300,"Included"))</f>
        <v/>
      </c>
      <c r="H72" s="6" t="str">
        <f>IF($B72="","",SUMIFS(Proposal_1!$T$14:$T$300,Proposal_1!$G$14:$G$300,$B72,Proposal_1!$F$14:$F$300,"Included"))</f>
        <v/>
      </c>
      <c r="I72" s="6" t="str">
        <f>IF($B72="","",SUMIFS(Proposal_1!$V$14:$V$300,Proposal_1!$G$14:$G$300,$B72,Proposal_1!$F$14:$F$300,"Included"))</f>
        <v/>
      </c>
      <c r="J72" s="6" t="str">
        <f>IF($B72="","",SUMIFS(Proposal_1!$X$14:$X$300,Proposal_1!$G$14:$G$300,$B72,Proposal_1!$F$14:$F$300,"Included"))</f>
        <v/>
      </c>
      <c r="M72" s="6" t="str">
        <f>IF($B72="","",SUMIFS(Proposal_2!$J$14:$J$300,Proposal_2!$G$14:$G$300,$B72,Proposal_2!$F$14:$F$300,"Included"))</f>
        <v/>
      </c>
      <c r="N72" s="6" t="str">
        <f>IF($B72="","",SUMIFS(Proposal_2!$L$14:$L$300,Proposal_2!$G$14:$G$300,$B72,Proposal_2!$F$14:$F$300,"Included"))</f>
        <v/>
      </c>
      <c r="O72" s="6" t="str">
        <f>IF($B72="","",SUMIFS(Proposal_2!$N$14:$N$300,Proposal_2!$G$14:$G$300,$B72,Proposal_2!$F$14:$F$300,"Included"))</f>
        <v/>
      </c>
      <c r="P72" s="6" t="str">
        <f>IF($B72="","",SUMIFS(Proposal_2!$P$14:$P$300,Proposal_2!$G$14:$G$300,$B72,Proposal_2!$F$14:$F$300,"Included"))</f>
        <v/>
      </c>
      <c r="Q72" s="6" t="str">
        <f>IF($B72="","",SUMIFS(Proposal_2!$R$14:$R$300,Proposal_2!$G$14:$G$300,$B72,Proposal_2!$F$14:$F$300,"Included"))</f>
        <v/>
      </c>
      <c r="R72" s="6" t="str">
        <f>IF($B72="","",SUMIFS(Proposal_2!$T$14:$T$300,Proposal_2!$G$14:$G$300,$B72,Proposal_2!$F$14:$F$300,"Included"))</f>
        <v/>
      </c>
      <c r="S72" s="6" t="str">
        <f>IF($B72="","",SUMIFS(Proposal_2!$V$14:$V$300,Proposal_2!$G$14:$G$300,$B72,Proposal_2!$F$14:$F$300,"Included"))</f>
        <v/>
      </c>
      <c r="T72" s="6" t="str">
        <f>IF($B72="","",SUMIFS(Proposal_2!$X$14:$X$300,Proposal_2!$G$14:$G$300,$B72,Proposal_2!$F$14:$F$300,"Included"))</f>
        <v/>
      </c>
      <c r="W72" s="6" t="str">
        <f>IF($B72="","",SUMIFS(Proposal_3!$J$14:$J$300,Proposal_3!$G$14:$G$300,$B72,Proposal_3!$F$14:$F$300,"Included"))</f>
        <v/>
      </c>
      <c r="X72" s="6" t="str">
        <f>IF($B72="","",SUMIFS(Proposal_3!$L$14:$L$300,Proposal_3!$G$14:$G$300,$B72,Proposal_3!$F$14:$F$300,"Included"))</f>
        <v/>
      </c>
      <c r="Y72" s="6" t="str">
        <f>IF($B72="","",SUMIFS(Proposal_3!$N$14:$N$300,Proposal_3!$G$14:$G$300,$B72,Proposal_3!$F$14:$F$300,"Included"))</f>
        <v/>
      </c>
      <c r="Z72" s="6" t="str">
        <f>IF($B72="","",SUMIFS(Proposal_3!$P$14:$P$300,Proposal_3!$G$14:$G$300,$B72,Proposal_3!$F$14:$F$300,"Included"))</f>
        <v/>
      </c>
      <c r="AA72" s="6" t="str">
        <f>IF($B72="","",SUMIFS(Proposal_3!$R$14:$R$300,Proposal_3!$G$14:$G$300,$B72,Proposal_3!$F$14:$F$300,"Included"))</f>
        <v/>
      </c>
      <c r="AB72" s="6" t="str">
        <f>IF($B72="","",SUMIFS(Proposal_3!$T$14:$T$300,Proposal_3!$G$14:$G$300,$B72,Proposal_3!$F$14:$F$300,"Included"))</f>
        <v/>
      </c>
      <c r="AC72" s="6" t="str">
        <f>IF($B72="","",SUMIFS(Proposal_3!$V$14:$V$300,Proposal_3!$G$14:$G$300,$B72,Proposal_3!$F$14:$F$300,"Included"))</f>
        <v/>
      </c>
      <c r="AD72" s="6" t="str">
        <f>IF($B72="","",SUMIFS(Proposal_3!$X$14:$X$300,Proposal_3!$G$14:$G$300,$B72,Proposal_3!$F$14:$F$300,"Included"))</f>
        <v/>
      </c>
    </row>
    <row r="73" spans="3:30" x14ac:dyDescent="0.25">
      <c r="C73" s="6" t="str">
        <f>IF($B73="","",SUMIFS(Proposal_1!$J$14:$J$300,Proposal_1!$G$14:$G$300,$B73,Proposal_1!$F$14:$F$300,"Included"))</f>
        <v/>
      </c>
      <c r="D73" s="6" t="str">
        <f>IF($B73="","",SUMIFS(Proposal_1!$L$14:$L$300,Proposal_1!$G$14:$G$300,$B73,Proposal_1!$F$14:$F$300,"Included"))</f>
        <v/>
      </c>
      <c r="E73" s="6" t="str">
        <f>IF($B73="","",SUMIFS(Proposal_1!$N$14:$N$300,Proposal_1!$G$14:$G$300,$B73,Proposal_1!$F$14:$F$300,"Included"))</f>
        <v/>
      </c>
      <c r="F73" s="6" t="str">
        <f>IF($B73="","",SUMIFS(Proposal_1!$P$14:$P$300,Proposal_1!$G$14:$G$300,$B73,Proposal_1!$F$14:$F$300,"Included"))</f>
        <v/>
      </c>
      <c r="G73" s="6" t="str">
        <f>IF($B73="","",SUMIFS(Proposal_1!$R$14:$R$300,Proposal_1!$G$14:$G$300,$B73,Proposal_1!$F$14:$F$300,"Included"))</f>
        <v/>
      </c>
      <c r="H73" s="6" t="str">
        <f>IF($B73="","",SUMIFS(Proposal_1!$T$14:$T$300,Proposal_1!$G$14:$G$300,$B73,Proposal_1!$F$14:$F$300,"Included"))</f>
        <v/>
      </c>
      <c r="I73" s="6" t="str">
        <f>IF($B73="","",SUMIFS(Proposal_1!$V$14:$V$300,Proposal_1!$G$14:$G$300,$B73,Proposal_1!$F$14:$F$300,"Included"))</f>
        <v/>
      </c>
      <c r="J73" s="6" t="str">
        <f>IF($B73="","",SUMIFS(Proposal_1!$X$14:$X$300,Proposal_1!$G$14:$G$300,$B73,Proposal_1!$F$14:$F$300,"Included"))</f>
        <v/>
      </c>
      <c r="M73" s="6" t="str">
        <f>IF($B73="","",SUMIFS(Proposal_2!$J$14:$J$300,Proposal_2!$G$14:$G$300,$B73,Proposal_2!$F$14:$F$300,"Included"))</f>
        <v/>
      </c>
      <c r="N73" s="6" t="str">
        <f>IF($B73="","",SUMIFS(Proposal_2!$L$14:$L$300,Proposal_2!$G$14:$G$300,$B73,Proposal_2!$F$14:$F$300,"Included"))</f>
        <v/>
      </c>
      <c r="O73" s="6" t="str">
        <f>IF($B73="","",SUMIFS(Proposal_2!$N$14:$N$300,Proposal_2!$G$14:$G$300,$B73,Proposal_2!$F$14:$F$300,"Included"))</f>
        <v/>
      </c>
      <c r="P73" s="6" t="str">
        <f>IF($B73="","",SUMIFS(Proposal_2!$P$14:$P$300,Proposal_2!$G$14:$G$300,$B73,Proposal_2!$F$14:$F$300,"Included"))</f>
        <v/>
      </c>
      <c r="Q73" s="6" t="str">
        <f>IF($B73="","",SUMIFS(Proposal_2!$R$14:$R$300,Proposal_2!$G$14:$G$300,$B73,Proposal_2!$F$14:$F$300,"Included"))</f>
        <v/>
      </c>
      <c r="R73" s="6" t="str">
        <f>IF($B73="","",SUMIFS(Proposal_2!$T$14:$T$300,Proposal_2!$G$14:$G$300,$B73,Proposal_2!$F$14:$F$300,"Included"))</f>
        <v/>
      </c>
      <c r="S73" s="6" t="str">
        <f>IF($B73="","",SUMIFS(Proposal_2!$V$14:$V$300,Proposal_2!$G$14:$G$300,$B73,Proposal_2!$F$14:$F$300,"Included"))</f>
        <v/>
      </c>
      <c r="T73" s="6" t="str">
        <f>IF($B73="","",SUMIFS(Proposal_2!$X$14:$X$300,Proposal_2!$G$14:$G$300,$B73,Proposal_2!$F$14:$F$300,"Included"))</f>
        <v/>
      </c>
      <c r="W73" s="6" t="str">
        <f>IF($B73="","",SUMIFS(Proposal_3!$J$14:$J$300,Proposal_3!$G$14:$G$300,$B73,Proposal_3!$F$14:$F$300,"Included"))</f>
        <v/>
      </c>
      <c r="X73" s="6" t="str">
        <f>IF($B73="","",SUMIFS(Proposal_3!$L$14:$L$300,Proposal_3!$G$14:$G$300,$B73,Proposal_3!$F$14:$F$300,"Included"))</f>
        <v/>
      </c>
      <c r="Y73" s="6" t="str">
        <f>IF($B73="","",SUMIFS(Proposal_3!$N$14:$N$300,Proposal_3!$G$14:$G$300,$B73,Proposal_3!$F$14:$F$300,"Included"))</f>
        <v/>
      </c>
      <c r="Z73" s="6" t="str">
        <f>IF($B73="","",SUMIFS(Proposal_3!$P$14:$P$300,Proposal_3!$G$14:$G$300,$B73,Proposal_3!$F$14:$F$300,"Included"))</f>
        <v/>
      </c>
      <c r="AA73" s="6" t="str">
        <f>IF($B73="","",SUMIFS(Proposal_3!$R$14:$R$300,Proposal_3!$G$14:$G$300,$B73,Proposal_3!$F$14:$F$300,"Included"))</f>
        <v/>
      </c>
      <c r="AB73" s="6" t="str">
        <f>IF($B73="","",SUMIFS(Proposal_3!$T$14:$T$300,Proposal_3!$G$14:$G$300,$B73,Proposal_3!$F$14:$F$300,"Included"))</f>
        <v/>
      </c>
      <c r="AC73" s="6" t="str">
        <f>IF($B73="","",SUMIFS(Proposal_3!$V$14:$V$300,Proposal_3!$G$14:$G$300,$B73,Proposal_3!$F$14:$F$300,"Included"))</f>
        <v/>
      </c>
      <c r="AD73" s="6" t="str">
        <f>IF($B73="","",SUMIFS(Proposal_3!$X$14:$X$300,Proposal_3!$G$14:$G$300,$B73,Proposal_3!$F$14:$F$300,"Included"))</f>
        <v/>
      </c>
    </row>
    <row r="74" spans="3:30" x14ac:dyDescent="0.25">
      <c r="C74" s="6" t="str">
        <f>IF($B74="","",SUMIFS(Proposal_1!$J$14:$J$300,Proposal_1!$G$14:$G$300,$B74,Proposal_1!$F$14:$F$300,"Included"))</f>
        <v/>
      </c>
      <c r="D74" s="6" t="str">
        <f>IF($B74="","",SUMIFS(Proposal_1!$L$14:$L$300,Proposal_1!$G$14:$G$300,$B74,Proposal_1!$F$14:$F$300,"Included"))</f>
        <v/>
      </c>
      <c r="E74" s="6" t="str">
        <f>IF($B74="","",SUMIFS(Proposal_1!$N$14:$N$300,Proposal_1!$G$14:$G$300,$B74,Proposal_1!$F$14:$F$300,"Included"))</f>
        <v/>
      </c>
      <c r="F74" s="6" t="str">
        <f>IF($B74="","",SUMIFS(Proposal_1!$P$14:$P$300,Proposal_1!$G$14:$G$300,$B74,Proposal_1!$F$14:$F$300,"Included"))</f>
        <v/>
      </c>
      <c r="G74" s="6" t="str">
        <f>IF($B74="","",SUMIFS(Proposal_1!$R$14:$R$300,Proposal_1!$G$14:$G$300,$B74,Proposal_1!$F$14:$F$300,"Included"))</f>
        <v/>
      </c>
      <c r="H74" s="6" t="str">
        <f>IF($B74="","",SUMIFS(Proposal_1!$T$14:$T$300,Proposal_1!$G$14:$G$300,$B74,Proposal_1!$F$14:$F$300,"Included"))</f>
        <v/>
      </c>
      <c r="I74" s="6" t="str">
        <f>IF($B74="","",SUMIFS(Proposal_1!$V$14:$V$300,Proposal_1!$G$14:$G$300,$B74,Proposal_1!$F$14:$F$300,"Included"))</f>
        <v/>
      </c>
      <c r="J74" s="6" t="str">
        <f>IF($B74="","",SUMIFS(Proposal_1!$X$14:$X$300,Proposal_1!$G$14:$G$300,$B74,Proposal_1!$F$14:$F$300,"Included"))</f>
        <v/>
      </c>
      <c r="M74" s="6" t="str">
        <f>IF($B74="","",SUMIFS(Proposal_2!$J$14:$J$300,Proposal_2!$G$14:$G$300,$B74,Proposal_2!$F$14:$F$300,"Included"))</f>
        <v/>
      </c>
      <c r="N74" s="6" t="str">
        <f>IF($B74="","",SUMIFS(Proposal_2!$L$14:$L$300,Proposal_2!$G$14:$G$300,$B74,Proposal_2!$F$14:$F$300,"Included"))</f>
        <v/>
      </c>
      <c r="O74" s="6" t="str">
        <f>IF($B74="","",SUMIFS(Proposal_2!$N$14:$N$300,Proposal_2!$G$14:$G$300,$B74,Proposal_2!$F$14:$F$300,"Included"))</f>
        <v/>
      </c>
      <c r="P74" s="6" t="str">
        <f>IF($B74="","",SUMIFS(Proposal_2!$P$14:$P$300,Proposal_2!$G$14:$G$300,$B74,Proposal_2!$F$14:$F$300,"Included"))</f>
        <v/>
      </c>
      <c r="Q74" s="6" t="str">
        <f>IF($B74="","",SUMIFS(Proposal_2!$R$14:$R$300,Proposal_2!$G$14:$G$300,$B74,Proposal_2!$F$14:$F$300,"Included"))</f>
        <v/>
      </c>
      <c r="R74" s="6" t="str">
        <f>IF($B74="","",SUMIFS(Proposal_2!$T$14:$T$300,Proposal_2!$G$14:$G$300,$B74,Proposal_2!$F$14:$F$300,"Included"))</f>
        <v/>
      </c>
      <c r="S74" s="6" t="str">
        <f>IF($B74="","",SUMIFS(Proposal_2!$V$14:$V$300,Proposal_2!$G$14:$G$300,$B74,Proposal_2!$F$14:$F$300,"Included"))</f>
        <v/>
      </c>
      <c r="T74" s="6" t="str">
        <f>IF($B74="","",SUMIFS(Proposal_2!$X$14:$X$300,Proposal_2!$G$14:$G$300,$B74,Proposal_2!$F$14:$F$300,"Included"))</f>
        <v/>
      </c>
      <c r="W74" s="6" t="str">
        <f>IF($B74="","",SUMIFS(Proposal_3!$J$14:$J$300,Proposal_3!$G$14:$G$300,$B74,Proposal_3!$F$14:$F$300,"Included"))</f>
        <v/>
      </c>
      <c r="X74" s="6" t="str">
        <f>IF($B74="","",SUMIFS(Proposal_3!$L$14:$L$300,Proposal_3!$G$14:$G$300,$B74,Proposal_3!$F$14:$F$300,"Included"))</f>
        <v/>
      </c>
      <c r="Y74" s="6" t="str">
        <f>IF($B74="","",SUMIFS(Proposal_3!$N$14:$N$300,Proposal_3!$G$14:$G$300,$B74,Proposal_3!$F$14:$F$300,"Included"))</f>
        <v/>
      </c>
      <c r="Z74" s="6" t="str">
        <f>IF($B74="","",SUMIFS(Proposal_3!$P$14:$P$300,Proposal_3!$G$14:$G$300,$B74,Proposal_3!$F$14:$F$300,"Included"))</f>
        <v/>
      </c>
      <c r="AA74" s="6" t="str">
        <f>IF($B74="","",SUMIFS(Proposal_3!$R$14:$R$300,Proposal_3!$G$14:$G$300,$B74,Proposal_3!$F$14:$F$300,"Included"))</f>
        <v/>
      </c>
      <c r="AB74" s="6" t="str">
        <f>IF($B74="","",SUMIFS(Proposal_3!$T$14:$T$300,Proposal_3!$G$14:$G$300,$B74,Proposal_3!$F$14:$F$300,"Included"))</f>
        <v/>
      </c>
      <c r="AC74" s="6" t="str">
        <f>IF($B74="","",SUMIFS(Proposal_3!$V$14:$V$300,Proposal_3!$G$14:$G$300,$B74,Proposal_3!$F$14:$F$300,"Included"))</f>
        <v/>
      </c>
      <c r="AD74" s="6" t="str">
        <f>IF($B74="","",SUMIFS(Proposal_3!$X$14:$X$300,Proposal_3!$G$14:$G$300,$B74,Proposal_3!$F$14:$F$300,"Included"))</f>
        <v/>
      </c>
    </row>
    <row r="75" spans="3:30" x14ac:dyDescent="0.25">
      <c r="C75" s="6" t="str">
        <f>IF($B75="","",SUMIFS(Proposal_1!$J$14:$J$300,Proposal_1!$G$14:$G$300,$B75,Proposal_1!$F$14:$F$300,"Included"))</f>
        <v/>
      </c>
      <c r="D75" s="6" t="str">
        <f>IF($B75="","",SUMIFS(Proposal_1!$L$14:$L$300,Proposal_1!$G$14:$G$300,$B75,Proposal_1!$F$14:$F$300,"Included"))</f>
        <v/>
      </c>
      <c r="E75" s="6" t="str">
        <f>IF($B75="","",SUMIFS(Proposal_1!$N$14:$N$300,Proposal_1!$G$14:$G$300,$B75,Proposal_1!$F$14:$F$300,"Included"))</f>
        <v/>
      </c>
      <c r="F75" s="6" t="str">
        <f>IF($B75="","",SUMIFS(Proposal_1!$P$14:$P$300,Proposal_1!$G$14:$G$300,$B75,Proposal_1!$F$14:$F$300,"Included"))</f>
        <v/>
      </c>
      <c r="G75" s="6" t="str">
        <f>IF($B75="","",SUMIFS(Proposal_1!$R$14:$R$300,Proposal_1!$G$14:$G$300,$B75,Proposal_1!$F$14:$F$300,"Included"))</f>
        <v/>
      </c>
      <c r="H75" s="6" t="str">
        <f>IF($B75="","",SUMIFS(Proposal_1!$T$14:$T$300,Proposal_1!$G$14:$G$300,$B75,Proposal_1!$F$14:$F$300,"Included"))</f>
        <v/>
      </c>
      <c r="I75" s="6" t="str">
        <f>IF($B75="","",SUMIFS(Proposal_1!$V$14:$V$300,Proposal_1!$G$14:$G$300,$B75,Proposal_1!$F$14:$F$300,"Included"))</f>
        <v/>
      </c>
      <c r="J75" s="6" t="str">
        <f>IF($B75="","",SUMIFS(Proposal_1!$X$14:$X$300,Proposal_1!$G$14:$G$300,$B75,Proposal_1!$F$14:$F$300,"Included"))</f>
        <v/>
      </c>
      <c r="M75" s="6" t="str">
        <f>IF($B75="","",SUMIFS(Proposal_2!$J$14:$J$300,Proposal_2!$G$14:$G$300,$B75,Proposal_2!$F$14:$F$300,"Included"))</f>
        <v/>
      </c>
      <c r="N75" s="6" t="str">
        <f>IF($B75="","",SUMIFS(Proposal_2!$L$14:$L$300,Proposal_2!$G$14:$G$300,$B75,Proposal_2!$F$14:$F$300,"Included"))</f>
        <v/>
      </c>
      <c r="O75" s="6" t="str">
        <f>IF($B75="","",SUMIFS(Proposal_2!$N$14:$N$300,Proposal_2!$G$14:$G$300,$B75,Proposal_2!$F$14:$F$300,"Included"))</f>
        <v/>
      </c>
      <c r="P75" s="6" t="str">
        <f>IF($B75="","",SUMIFS(Proposal_2!$P$14:$P$300,Proposal_2!$G$14:$G$300,$B75,Proposal_2!$F$14:$F$300,"Included"))</f>
        <v/>
      </c>
      <c r="Q75" s="6" t="str">
        <f>IF($B75="","",SUMIFS(Proposal_2!$R$14:$R$300,Proposal_2!$G$14:$G$300,$B75,Proposal_2!$F$14:$F$300,"Included"))</f>
        <v/>
      </c>
      <c r="R75" s="6" t="str">
        <f>IF($B75="","",SUMIFS(Proposal_2!$T$14:$T$300,Proposal_2!$G$14:$G$300,$B75,Proposal_2!$F$14:$F$300,"Included"))</f>
        <v/>
      </c>
      <c r="S75" s="6" t="str">
        <f>IF($B75="","",SUMIFS(Proposal_2!$V$14:$V$300,Proposal_2!$G$14:$G$300,$B75,Proposal_2!$F$14:$F$300,"Included"))</f>
        <v/>
      </c>
      <c r="T75" s="6" t="str">
        <f>IF($B75="","",SUMIFS(Proposal_2!$X$14:$X$300,Proposal_2!$G$14:$G$300,$B75,Proposal_2!$F$14:$F$300,"Included"))</f>
        <v/>
      </c>
      <c r="W75" s="6" t="str">
        <f>IF($B75="","",SUMIFS(Proposal_3!$J$14:$J$300,Proposal_3!$G$14:$G$300,$B75,Proposal_3!$F$14:$F$300,"Included"))</f>
        <v/>
      </c>
      <c r="X75" s="6" t="str">
        <f>IF($B75="","",SUMIFS(Proposal_3!$L$14:$L$300,Proposal_3!$G$14:$G$300,$B75,Proposal_3!$F$14:$F$300,"Included"))</f>
        <v/>
      </c>
      <c r="Y75" s="6" t="str">
        <f>IF($B75="","",SUMIFS(Proposal_3!$N$14:$N$300,Proposal_3!$G$14:$G$300,$B75,Proposal_3!$F$14:$F$300,"Included"))</f>
        <v/>
      </c>
      <c r="Z75" s="6" t="str">
        <f>IF($B75="","",SUMIFS(Proposal_3!$P$14:$P$300,Proposal_3!$G$14:$G$300,$B75,Proposal_3!$F$14:$F$300,"Included"))</f>
        <v/>
      </c>
      <c r="AA75" s="6" t="str">
        <f>IF($B75="","",SUMIFS(Proposal_3!$R$14:$R$300,Proposal_3!$G$14:$G$300,$B75,Proposal_3!$F$14:$F$300,"Included"))</f>
        <v/>
      </c>
      <c r="AB75" s="6" t="str">
        <f>IF($B75="","",SUMIFS(Proposal_3!$T$14:$T$300,Proposal_3!$G$14:$G$300,$B75,Proposal_3!$F$14:$F$300,"Included"))</f>
        <v/>
      </c>
      <c r="AC75" s="6" t="str">
        <f>IF($B75="","",SUMIFS(Proposal_3!$V$14:$V$300,Proposal_3!$G$14:$G$300,$B75,Proposal_3!$F$14:$F$300,"Included"))</f>
        <v/>
      </c>
      <c r="AD75" s="6" t="str">
        <f>IF($B75="","",SUMIFS(Proposal_3!$X$14:$X$300,Proposal_3!$G$14:$G$300,$B75,Proposal_3!$F$14:$F$300,"Included"))</f>
        <v/>
      </c>
    </row>
    <row r="76" spans="3:30" x14ac:dyDescent="0.25">
      <c r="C76" s="6" t="str">
        <f>IF($B76="","",SUMIFS(Proposal_1!$J$14:$J$300,Proposal_1!$G$14:$G$300,$B76,Proposal_1!$F$14:$F$300,"Included"))</f>
        <v/>
      </c>
      <c r="D76" s="6" t="str">
        <f>IF($B76="","",SUMIFS(Proposal_1!$L$14:$L$300,Proposal_1!$G$14:$G$300,$B76,Proposal_1!$F$14:$F$300,"Included"))</f>
        <v/>
      </c>
      <c r="E76" s="6" t="str">
        <f>IF($B76="","",SUMIFS(Proposal_1!$N$14:$N$300,Proposal_1!$G$14:$G$300,$B76,Proposal_1!$F$14:$F$300,"Included"))</f>
        <v/>
      </c>
      <c r="F76" s="6" t="str">
        <f>IF($B76="","",SUMIFS(Proposal_1!$P$14:$P$300,Proposal_1!$G$14:$G$300,$B76,Proposal_1!$F$14:$F$300,"Included"))</f>
        <v/>
      </c>
      <c r="G76" s="6" t="str">
        <f>IF($B76="","",SUMIFS(Proposal_1!$R$14:$R$300,Proposal_1!$G$14:$G$300,$B76,Proposal_1!$F$14:$F$300,"Included"))</f>
        <v/>
      </c>
      <c r="H76" s="6" t="str">
        <f>IF($B76="","",SUMIFS(Proposal_1!$T$14:$T$300,Proposal_1!$G$14:$G$300,$B76,Proposal_1!$F$14:$F$300,"Included"))</f>
        <v/>
      </c>
      <c r="I76" s="6" t="str">
        <f>IF($B76="","",SUMIFS(Proposal_1!$V$14:$V$300,Proposal_1!$G$14:$G$300,$B76,Proposal_1!$F$14:$F$300,"Included"))</f>
        <v/>
      </c>
      <c r="J76" s="6" t="str">
        <f>IF($B76="","",SUMIFS(Proposal_1!$X$14:$X$300,Proposal_1!$G$14:$G$300,$B76,Proposal_1!$F$14:$F$300,"Included"))</f>
        <v/>
      </c>
      <c r="M76" s="6" t="str">
        <f>IF($B76="","",SUMIFS(Proposal_2!$J$14:$J$300,Proposal_2!$G$14:$G$300,$B76,Proposal_2!$F$14:$F$300,"Included"))</f>
        <v/>
      </c>
      <c r="N76" s="6" t="str">
        <f>IF($B76="","",SUMIFS(Proposal_2!$L$14:$L$300,Proposal_2!$G$14:$G$300,$B76,Proposal_2!$F$14:$F$300,"Included"))</f>
        <v/>
      </c>
      <c r="O76" s="6" t="str">
        <f>IF($B76="","",SUMIFS(Proposal_2!$N$14:$N$300,Proposal_2!$G$14:$G$300,$B76,Proposal_2!$F$14:$F$300,"Included"))</f>
        <v/>
      </c>
      <c r="P76" s="6" t="str">
        <f>IF($B76="","",SUMIFS(Proposal_2!$P$14:$P$300,Proposal_2!$G$14:$G$300,$B76,Proposal_2!$F$14:$F$300,"Included"))</f>
        <v/>
      </c>
      <c r="Q76" s="6" t="str">
        <f>IF($B76="","",SUMIFS(Proposal_2!$R$14:$R$300,Proposal_2!$G$14:$G$300,$B76,Proposal_2!$F$14:$F$300,"Included"))</f>
        <v/>
      </c>
      <c r="R76" s="6" t="str">
        <f>IF($B76="","",SUMIFS(Proposal_2!$T$14:$T$300,Proposal_2!$G$14:$G$300,$B76,Proposal_2!$F$14:$F$300,"Included"))</f>
        <v/>
      </c>
      <c r="S76" s="6" t="str">
        <f>IF($B76="","",SUMIFS(Proposal_2!$V$14:$V$300,Proposal_2!$G$14:$G$300,$B76,Proposal_2!$F$14:$F$300,"Included"))</f>
        <v/>
      </c>
      <c r="T76" s="6" t="str">
        <f>IF($B76="","",SUMIFS(Proposal_2!$X$14:$X$300,Proposal_2!$G$14:$G$300,$B76,Proposal_2!$F$14:$F$300,"Included"))</f>
        <v/>
      </c>
      <c r="W76" s="6" t="str">
        <f>IF($B76="","",SUMIFS(Proposal_3!$J$14:$J$300,Proposal_3!$G$14:$G$300,$B76,Proposal_3!$F$14:$F$300,"Included"))</f>
        <v/>
      </c>
      <c r="X76" s="6" t="str">
        <f>IF($B76="","",SUMIFS(Proposal_3!$L$14:$L$300,Proposal_3!$G$14:$G$300,$B76,Proposal_3!$F$14:$F$300,"Included"))</f>
        <v/>
      </c>
      <c r="Y76" s="6" t="str">
        <f>IF($B76="","",SUMIFS(Proposal_3!$N$14:$N$300,Proposal_3!$G$14:$G$300,$B76,Proposal_3!$F$14:$F$300,"Included"))</f>
        <v/>
      </c>
      <c r="Z76" s="6" t="str">
        <f>IF($B76="","",SUMIFS(Proposal_3!$P$14:$P$300,Proposal_3!$G$14:$G$300,$B76,Proposal_3!$F$14:$F$300,"Included"))</f>
        <v/>
      </c>
      <c r="AA76" s="6" t="str">
        <f>IF($B76="","",SUMIFS(Proposal_3!$R$14:$R$300,Proposal_3!$G$14:$G$300,$B76,Proposal_3!$F$14:$F$300,"Included"))</f>
        <v/>
      </c>
      <c r="AB76" s="6" t="str">
        <f>IF($B76="","",SUMIFS(Proposal_3!$T$14:$T$300,Proposal_3!$G$14:$G$300,$B76,Proposal_3!$F$14:$F$300,"Included"))</f>
        <v/>
      </c>
      <c r="AC76" s="6" t="str">
        <f>IF($B76="","",SUMIFS(Proposal_3!$V$14:$V$300,Proposal_3!$G$14:$G$300,$B76,Proposal_3!$F$14:$F$300,"Included"))</f>
        <v/>
      </c>
      <c r="AD76" s="6" t="str">
        <f>IF($B76="","",SUMIFS(Proposal_3!$X$14:$X$300,Proposal_3!$G$14:$G$300,$B76,Proposal_3!$F$14:$F$300,"Included"))</f>
        <v/>
      </c>
    </row>
    <row r="77" spans="3:30" x14ac:dyDescent="0.25">
      <c r="C77" s="6" t="str">
        <f>IF($B77="","",SUMIFS(Proposal_1!$J$14:$J$300,Proposal_1!$G$14:$G$300,$B77,Proposal_1!$F$14:$F$300,"Included"))</f>
        <v/>
      </c>
      <c r="D77" s="6" t="str">
        <f>IF($B77="","",SUMIFS(Proposal_1!$L$14:$L$300,Proposal_1!$G$14:$G$300,$B77,Proposal_1!$F$14:$F$300,"Included"))</f>
        <v/>
      </c>
      <c r="E77" s="6" t="str">
        <f>IF($B77="","",SUMIFS(Proposal_1!$N$14:$N$300,Proposal_1!$G$14:$G$300,$B77,Proposal_1!$F$14:$F$300,"Included"))</f>
        <v/>
      </c>
      <c r="F77" s="6" t="str">
        <f>IF($B77="","",SUMIFS(Proposal_1!$P$14:$P$300,Proposal_1!$G$14:$G$300,$B77,Proposal_1!$F$14:$F$300,"Included"))</f>
        <v/>
      </c>
      <c r="G77" s="6" t="str">
        <f>IF($B77="","",SUMIFS(Proposal_1!$R$14:$R$300,Proposal_1!$G$14:$G$300,$B77,Proposal_1!$F$14:$F$300,"Included"))</f>
        <v/>
      </c>
      <c r="H77" s="6" t="str">
        <f>IF($B77="","",SUMIFS(Proposal_1!$T$14:$T$300,Proposal_1!$G$14:$G$300,$B77,Proposal_1!$F$14:$F$300,"Included"))</f>
        <v/>
      </c>
      <c r="I77" s="6" t="str">
        <f>IF($B77="","",SUMIFS(Proposal_1!$V$14:$V$300,Proposal_1!$G$14:$G$300,$B77,Proposal_1!$F$14:$F$300,"Included"))</f>
        <v/>
      </c>
      <c r="J77" s="6" t="str">
        <f>IF($B77="","",SUMIFS(Proposal_1!$X$14:$X$300,Proposal_1!$G$14:$G$300,$B77,Proposal_1!$F$14:$F$300,"Included"))</f>
        <v/>
      </c>
      <c r="M77" s="6" t="str">
        <f>IF($B77="","",SUMIFS(Proposal_2!$J$14:$J$300,Proposal_2!$G$14:$G$300,$B77,Proposal_2!$F$14:$F$300,"Included"))</f>
        <v/>
      </c>
      <c r="N77" s="6" t="str">
        <f>IF($B77="","",SUMIFS(Proposal_2!$L$14:$L$300,Proposal_2!$G$14:$G$300,$B77,Proposal_2!$F$14:$F$300,"Included"))</f>
        <v/>
      </c>
      <c r="O77" s="6" t="str">
        <f>IF($B77="","",SUMIFS(Proposal_2!$N$14:$N$300,Proposal_2!$G$14:$G$300,$B77,Proposal_2!$F$14:$F$300,"Included"))</f>
        <v/>
      </c>
      <c r="P77" s="6" t="str">
        <f>IF($B77="","",SUMIFS(Proposal_2!$P$14:$P$300,Proposal_2!$G$14:$G$300,$B77,Proposal_2!$F$14:$F$300,"Included"))</f>
        <v/>
      </c>
      <c r="Q77" s="6" t="str">
        <f>IF($B77="","",SUMIFS(Proposal_2!$R$14:$R$300,Proposal_2!$G$14:$G$300,$B77,Proposal_2!$F$14:$F$300,"Included"))</f>
        <v/>
      </c>
      <c r="R77" s="6" t="str">
        <f>IF($B77="","",SUMIFS(Proposal_2!$T$14:$T$300,Proposal_2!$G$14:$G$300,$B77,Proposal_2!$F$14:$F$300,"Included"))</f>
        <v/>
      </c>
      <c r="S77" s="6" t="str">
        <f>IF($B77="","",SUMIFS(Proposal_2!$V$14:$V$300,Proposal_2!$G$14:$G$300,$B77,Proposal_2!$F$14:$F$300,"Included"))</f>
        <v/>
      </c>
      <c r="T77" s="6" t="str">
        <f>IF($B77="","",SUMIFS(Proposal_2!$X$14:$X$300,Proposal_2!$G$14:$G$300,$B77,Proposal_2!$F$14:$F$300,"Included"))</f>
        <v/>
      </c>
      <c r="W77" s="6" t="str">
        <f>IF($B77="","",SUMIFS(Proposal_3!$J$14:$J$300,Proposal_3!$G$14:$G$300,$B77,Proposal_3!$F$14:$F$300,"Included"))</f>
        <v/>
      </c>
      <c r="X77" s="6" t="str">
        <f>IF($B77="","",SUMIFS(Proposal_3!$L$14:$L$300,Proposal_3!$G$14:$G$300,$B77,Proposal_3!$F$14:$F$300,"Included"))</f>
        <v/>
      </c>
      <c r="Y77" s="6" t="str">
        <f>IF($B77="","",SUMIFS(Proposal_3!$N$14:$N$300,Proposal_3!$G$14:$G$300,$B77,Proposal_3!$F$14:$F$300,"Included"))</f>
        <v/>
      </c>
      <c r="Z77" s="6" t="str">
        <f>IF($B77="","",SUMIFS(Proposal_3!$P$14:$P$300,Proposal_3!$G$14:$G$300,$B77,Proposal_3!$F$14:$F$300,"Included"))</f>
        <v/>
      </c>
      <c r="AA77" s="6" t="str">
        <f>IF($B77="","",SUMIFS(Proposal_3!$R$14:$R$300,Proposal_3!$G$14:$G$300,$B77,Proposal_3!$F$14:$F$300,"Included"))</f>
        <v/>
      </c>
      <c r="AB77" s="6" t="str">
        <f>IF($B77="","",SUMIFS(Proposal_3!$T$14:$T$300,Proposal_3!$G$14:$G$300,$B77,Proposal_3!$F$14:$F$300,"Included"))</f>
        <v/>
      </c>
      <c r="AC77" s="6" t="str">
        <f>IF($B77="","",SUMIFS(Proposal_3!$V$14:$V$300,Proposal_3!$G$14:$G$300,$B77,Proposal_3!$F$14:$F$300,"Included"))</f>
        <v/>
      </c>
      <c r="AD77" s="6" t="str">
        <f>IF($B77="","",SUMIFS(Proposal_3!$X$14:$X$300,Proposal_3!$G$14:$G$300,$B77,Proposal_3!$F$14:$F$300,"Included"))</f>
        <v/>
      </c>
    </row>
    <row r="78" spans="3:30" x14ac:dyDescent="0.25">
      <c r="C78" s="6" t="str">
        <f>IF($B78="","",SUMIFS(Proposal_1!$J$14:$J$300,Proposal_1!$G$14:$G$300,$B78,Proposal_1!$F$14:$F$300,"Included"))</f>
        <v/>
      </c>
      <c r="D78" s="6" t="str">
        <f>IF($B78="","",SUMIFS(Proposal_1!$L$14:$L$300,Proposal_1!$G$14:$G$300,$B78,Proposal_1!$F$14:$F$300,"Included"))</f>
        <v/>
      </c>
      <c r="E78" s="6" t="str">
        <f>IF($B78="","",SUMIFS(Proposal_1!$N$14:$N$300,Proposal_1!$G$14:$G$300,$B78,Proposal_1!$F$14:$F$300,"Included"))</f>
        <v/>
      </c>
      <c r="F78" s="6" t="str">
        <f>IF($B78="","",SUMIFS(Proposal_1!$P$14:$P$300,Proposal_1!$G$14:$G$300,$B78,Proposal_1!$F$14:$F$300,"Included"))</f>
        <v/>
      </c>
      <c r="G78" s="6" t="str">
        <f>IF($B78="","",SUMIFS(Proposal_1!$R$14:$R$300,Proposal_1!$G$14:$G$300,$B78,Proposal_1!$F$14:$F$300,"Included"))</f>
        <v/>
      </c>
      <c r="H78" s="6" t="str">
        <f>IF($B78="","",SUMIFS(Proposal_1!$T$14:$T$300,Proposal_1!$G$14:$G$300,$B78,Proposal_1!$F$14:$F$300,"Included"))</f>
        <v/>
      </c>
      <c r="I78" s="6" t="str">
        <f>IF($B78="","",SUMIFS(Proposal_1!$V$14:$V$300,Proposal_1!$G$14:$G$300,$B78,Proposal_1!$F$14:$F$300,"Included"))</f>
        <v/>
      </c>
      <c r="J78" s="6" t="str">
        <f>IF($B78="","",SUMIFS(Proposal_1!$X$14:$X$300,Proposal_1!$G$14:$G$300,$B78,Proposal_1!$F$14:$F$300,"Included"))</f>
        <v/>
      </c>
      <c r="M78" s="6" t="str">
        <f>IF($B78="","",SUMIFS(Proposal_2!$J$14:$J$300,Proposal_2!$G$14:$G$300,$B78,Proposal_2!$F$14:$F$300,"Included"))</f>
        <v/>
      </c>
      <c r="N78" s="6" t="str">
        <f>IF($B78="","",SUMIFS(Proposal_2!$L$14:$L$300,Proposal_2!$G$14:$G$300,$B78,Proposal_2!$F$14:$F$300,"Included"))</f>
        <v/>
      </c>
      <c r="O78" s="6" t="str">
        <f>IF($B78="","",SUMIFS(Proposal_2!$N$14:$N$300,Proposal_2!$G$14:$G$300,$B78,Proposal_2!$F$14:$F$300,"Included"))</f>
        <v/>
      </c>
      <c r="P78" s="6" t="str">
        <f>IF($B78="","",SUMIFS(Proposal_2!$P$14:$P$300,Proposal_2!$G$14:$G$300,$B78,Proposal_2!$F$14:$F$300,"Included"))</f>
        <v/>
      </c>
      <c r="Q78" s="6" t="str">
        <f>IF($B78="","",SUMIFS(Proposal_2!$R$14:$R$300,Proposal_2!$G$14:$G$300,$B78,Proposal_2!$F$14:$F$300,"Included"))</f>
        <v/>
      </c>
      <c r="R78" s="6" t="str">
        <f>IF($B78="","",SUMIFS(Proposal_2!$T$14:$T$300,Proposal_2!$G$14:$G$300,$B78,Proposal_2!$F$14:$F$300,"Included"))</f>
        <v/>
      </c>
      <c r="S78" s="6" t="str">
        <f>IF($B78="","",SUMIFS(Proposal_2!$V$14:$V$300,Proposal_2!$G$14:$G$300,$B78,Proposal_2!$F$14:$F$300,"Included"))</f>
        <v/>
      </c>
      <c r="T78" s="6" t="str">
        <f>IF($B78="","",SUMIFS(Proposal_2!$X$14:$X$300,Proposal_2!$G$14:$G$300,$B78,Proposal_2!$F$14:$F$300,"Included"))</f>
        <v/>
      </c>
      <c r="W78" s="6" t="str">
        <f>IF($B78="","",SUMIFS(Proposal_3!$J$14:$J$300,Proposal_3!$G$14:$G$300,$B78,Proposal_3!$F$14:$F$300,"Included"))</f>
        <v/>
      </c>
      <c r="X78" s="6" t="str">
        <f>IF($B78="","",SUMIFS(Proposal_3!$L$14:$L$300,Proposal_3!$G$14:$G$300,$B78,Proposal_3!$F$14:$F$300,"Included"))</f>
        <v/>
      </c>
      <c r="Y78" s="6" t="str">
        <f>IF($B78="","",SUMIFS(Proposal_3!$N$14:$N$300,Proposal_3!$G$14:$G$300,$B78,Proposal_3!$F$14:$F$300,"Included"))</f>
        <v/>
      </c>
      <c r="Z78" s="6" t="str">
        <f>IF($B78="","",SUMIFS(Proposal_3!$P$14:$P$300,Proposal_3!$G$14:$G$300,$B78,Proposal_3!$F$14:$F$300,"Included"))</f>
        <v/>
      </c>
      <c r="AA78" s="6" t="str">
        <f>IF($B78="","",SUMIFS(Proposal_3!$R$14:$R$300,Proposal_3!$G$14:$G$300,$B78,Proposal_3!$F$14:$F$300,"Included"))</f>
        <v/>
      </c>
      <c r="AB78" s="6" t="str">
        <f>IF($B78="","",SUMIFS(Proposal_3!$T$14:$T$300,Proposal_3!$G$14:$G$300,$B78,Proposal_3!$F$14:$F$300,"Included"))</f>
        <v/>
      </c>
      <c r="AC78" s="6" t="str">
        <f>IF($B78="","",SUMIFS(Proposal_3!$V$14:$V$300,Proposal_3!$G$14:$G$300,$B78,Proposal_3!$F$14:$F$300,"Included"))</f>
        <v/>
      </c>
      <c r="AD78" s="6" t="str">
        <f>IF($B78="","",SUMIFS(Proposal_3!$X$14:$X$300,Proposal_3!$G$14:$G$300,$B78,Proposal_3!$F$14:$F$300,"Included"))</f>
        <v/>
      </c>
    </row>
    <row r="79" spans="3:30" x14ac:dyDescent="0.25">
      <c r="C79" s="6" t="str">
        <f>IF($B79="","",SUMIFS(Proposal_1!$J$14:$J$300,Proposal_1!$G$14:$G$300,$B79,Proposal_1!$F$14:$F$300,"Included"))</f>
        <v/>
      </c>
      <c r="D79" s="6" t="str">
        <f>IF($B79="","",SUMIFS(Proposal_1!$L$14:$L$300,Proposal_1!$G$14:$G$300,$B79,Proposal_1!$F$14:$F$300,"Included"))</f>
        <v/>
      </c>
      <c r="E79" s="6" t="str">
        <f>IF($B79="","",SUMIFS(Proposal_1!$N$14:$N$300,Proposal_1!$G$14:$G$300,$B79,Proposal_1!$F$14:$F$300,"Included"))</f>
        <v/>
      </c>
      <c r="F79" s="6" t="str">
        <f>IF($B79="","",SUMIFS(Proposal_1!$P$14:$P$300,Proposal_1!$G$14:$G$300,$B79,Proposal_1!$F$14:$F$300,"Included"))</f>
        <v/>
      </c>
      <c r="G79" s="6" t="str">
        <f>IF($B79="","",SUMIFS(Proposal_1!$R$14:$R$300,Proposal_1!$G$14:$G$300,$B79,Proposal_1!$F$14:$F$300,"Included"))</f>
        <v/>
      </c>
      <c r="H79" s="6" t="str">
        <f>IF($B79="","",SUMIFS(Proposal_1!$T$14:$T$300,Proposal_1!$G$14:$G$300,$B79,Proposal_1!$F$14:$F$300,"Included"))</f>
        <v/>
      </c>
      <c r="I79" s="6" t="str">
        <f>IF($B79="","",SUMIFS(Proposal_1!$V$14:$V$300,Proposal_1!$G$14:$G$300,$B79,Proposal_1!$F$14:$F$300,"Included"))</f>
        <v/>
      </c>
      <c r="J79" s="6" t="str">
        <f>IF($B79="","",SUMIFS(Proposal_1!$X$14:$X$300,Proposal_1!$G$14:$G$300,$B79,Proposal_1!$F$14:$F$300,"Included"))</f>
        <v/>
      </c>
      <c r="M79" s="6" t="str">
        <f>IF($B79="","",SUMIFS(Proposal_2!$J$14:$J$300,Proposal_2!$G$14:$G$300,$B79,Proposal_2!$F$14:$F$300,"Included"))</f>
        <v/>
      </c>
      <c r="N79" s="6" t="str">
        <f>IF($B79="","",SUMIFS(Proposal_2!$L$14:$L$300,Proposal_2!$G$14:$G$300,$B79,Proposal_2!$F$14:$F$300,"Included"))</f>
        <v/>
      </c>
      <c r="O79" s="6" t="str">
        <f>IF($B79="","",SUMIFS(Proposal_2!$N$14:$N$300,Proposal_2!$G$14:$G$300,$B79,Proposal_2!$F$14:$F$300,"Included"))</f>
        <v/>
      </c>
      <c r="P79" s="6" t="str">
        <f>IF($B79="","",SUMIFS(Proposal_2!$P$14:$P$300,Proposal_2!$G$14:$G$300,$B79,Proposal_2!$F$14:$F$300,"Included"))</f>
        <v/>
      </c>
      <c r="Q79" s="6" t="str">
        <f>IF($B79="","",SUMIFS(Proposal_2!$R$14:$R$300,Proposal_2!$G$14:$G$300,$B79,Proposal_2!$F$14:$F$300,"Included"))</f>
        <v/>
      </c>
      <c r="R79" s="6" t="str">
        <f>IF($B79="","",SUMIFS(Proposal_2!$T$14:$T$300,Proposal_2!$G$14:$G$300,$B79,Proposal_2!$F$14:$F$300,"Included"))</f>
        <v/>
      </c>
      <c r="S79" s="6" t="str">
        <f>IF($B79="","",SUMIFS(Proposal_2!$V$14:$V$300,Proposal_2!$G$14:$G$300,$B79,Proposal_2!$F$14:$F$300,"Included"))</f>
        <v/>
      </c>
      <c r="T79" s="6" t="str">
        <f>IF($B79="","",SUMIFS(Proposal_2!$X$14:$X$300,Proposal_2!$G$14:$G$300,$B79,Proposal_2!$F$14:$F$300,"Included"))</f>
        <v/>
      </c>
      <c r="W79" s="6" t="str">
        <f>IF($B79="","",SUMIFS(Proposal_3!$J$14:$J$300,Proposal_3!$G$14:$G$300,$B79,Proposal_3!$F$14:$F$300,"Included"))</f>
        <v/>
      </c>
      <c r="X79" s="6" t="str">
        <f>IF($B79="","",SUMIFS(Proposal_3!$L$14:$L$300,Proposal_3!$G$14:$G$300,$B79,Proposal_3!$F$14:$F$300,"Included"))</f>
        <v/>
      </c>
      <c r="Y79" s="6" t="str">
        <f>IF($B79="","",SUMIFS(Proposal_3!$N$14:$N$300,Proposal_3!$G$14:$G$300,$B79,Proposal_3!$F$14:$F$300,"Included"))</f>
        <v/>
      </c>
      <c r="Z79" s="6" t="str">
        <f>IF($B79="","",SUMIFS(Proposal_3!$P$14:$P$300,Proposal_3!$G$14:$G$300,$B79,Proposal_3!$F$14:$F$300,"Included"))</f>
        <v/>
      </c>
      <c r="AA79" s="6" t="str">
        <f>IF($B79="","",SUMIFS(Proposal_3!$R$14:$R$300,Proposal_3!$G$14:$G$300,$B79,Proposal_3!$F$14:$F$300,"Included"))</f>
        <v/>
      </c>
      <c r="AB79" s="6" t="str">
        <f>IF($B79="","",SUMIFS(Proposal_3!$T$14:$T$300,Proposal_3!$G$14:$G$300,$B79,Proposal_3!$F$14:$F$300,"Included"))</f>
        <v/>
      </c>
      <c r="AC79" s="6" t="str">
        <f>IF($B79="","",SUMIFS(Proposal_3!$V$14:$V$300,Proposal_3!$G$14:$G$300,$B79,Proposal_3!$F$14:$F$300,"Included"))</f>
        <v/>
      </c>
      <c r="AD79" s="6" t="str">
        <f>IF($B79="","",SUMIFS(Proposal_3!$X$14:$X$300,Proposal_3!$G$14:$G$300,$B79,Proposal_3!$F$14:$F$300,"Included"))</f>
        <v/>
      </c>
    </row>
    <row r="80" spans="3:30" x14ac:dyDescent="0.25">
      <c r="C80" s="6" t="str">
        <f>IF($B80="","",SUMIFS(Proposal_1!$J$14:$J$300,Proposal_1!$G$14:$G$300,$B80,Proposal_1!$F$14:$F$300,"Included"))</f>
        <v/>
      </c>
      <c r="D80" s="6" t="str">
        <f>IF($B80="","",SUMIFS(Proposal_1!$L$14:$L$300,Proposal_1!$G$14:$G$300,$B80,Proposal_1!$F$14:$F$300,"Included"))</f>
        <v/>
      </c>
      <c r="E80" s="6" t="str">
        <f>IF($B80="","",SUMIFS(Proposal_1!$N$14:$N$300,Proposal_1!$G$14:$G$300,$B80,Proposal_1!$F$14:$F$300,"Included"))</f>
        <v/>
      </c>
      <c r="F80" s="6" t="str">
        <f>IF($B80="","",SUMIFS(Proposal_1!$P$14:$P$300,Proposal_1!$G$14:$G$300,$B80,Proposal_1!$F$14:$F$300,"Included"))</f>
        <v/>
      </c>
      <c r="G80" s="6" t="str">
        <f>IF($B80="","",SUMIFS(Proposal_1!$R$14:$R$300,Proposal_1!$G$14:$G$300,$B80,Proposal_1!$F$14:$F$300,"Included"))</f>
        <v/>
      </c>
      <c r="H80" s="6" t="str">
        <f>IF($B80="","",SUMIFS(Proposal_1!$T$14:$T$300,Proposal_1!$G$14:$G$300,$B80,Proposal_1!$F$14:$F$300,"Included"))</f>
        <v/>
      </c>
      <c r="I80" s="6" t="str">
        <f>IF($B80="","",SUMIFS(Proposal_1!$V$14:$V$300,Proposal_1!$G$14:$G$300,$B80,Proposal_1!$F$14:$F$300,"Included"))</f>
        <v/>
      </c>
      <c r="J80" s="6" t="str">
        <f>IF($B80="","",SUMIFS(Proposal_1!$X$14:$X$300,Proposal_1!$G$14:$G$300,$B80,Proposal_1!$F$14:$F$300,"Included"))</f>
        <v/>
      </c>
      <c r="M80" s="6" t="str">
        <f>IF($B80="","",SUMIFS(Proposal_2!$J$14:$J$300,Proposal_2!$G$14:$G$300,$B80,Proposal_2!$F$14:$F$300,"Included"))</f>
        <v/>
      </c>
      <c r="N80" s="6" t="str">
        <f>IF($B80="","",SUMIFS(Proposal_2!$L$14:$L$300,Proposal_2!$G$14:$G$300,$B80,Proposal_2!$F$14:$F$300,"Included"))</f>
        <v/>
      </c>
      <c r="O80" s="6" t="str">
        <f>IF($B80="","",SUMIFS(Proposal_2!$N$14:$N$300,Proposal_2!$G$14:$G$300,$B80,Proposal_2!$F$14:$F$300,"Included"))</f>
        <v/>
      </c>
      <c r="P80" s="6" t="str">
        <f>IF($B80="","",SUMIFS(Proposal_2!$P$14:$P$300,Proposal_2!$G$14:$G$300,$B80,Proposal_2!$F$14:$F$300,"Included"))</f>
        <v/>
      </c>
      <c r="Q80" s="6" t="str">
        <f>IF($B80="","",SUMIFS(Proposal_2!$R$14:$R$300,Proposal_2!$G$14:$G$300,$B80,Proposal_2!$F$14:$F$300,"Included"))</f>
        <v/>
      </c>
      <c r="R80" s="6" t="str">
        <f>IF($B80="","",SUMIFS(Proposal_2!$T$14:$T$300,Proposal_2!$G$14:$G$300,$B80,Proposal_2!$F$14:$F$300,"Included"))</f>
        <v/>
      </c>
      <c r="S80" s="6" t="str">
        <f>IF($B80="","",SUMIFS(Proposal_2!$V$14:$V$300,Proposal_2!$G$14:$G$300,$B80,Proposal_2!$F$14:$F$300,"Included"))</f>
        <v/>
      </c>
      <c r="T80" s="6" t="str">
        <f>IF($B80="","",SUMIFS(Proposal_2!$X$14:$X$300,Proposal_2!$G$14:$G$300,$B80,Proposal_2!$F$14:$F$300,"Included"))</f>
        <v/>
      </c>
      <c r="W80" s="6" t="str">
        <f>IF($B80="","",SUMIFS(Proposal_3!$J$14:$J$300,Proposal_3!$G$14:$G$300,$B80,Proposal_3!$F$14:$F$300,"Included"))</f>
        <v/>
      </c>
      <c r="X80" s="6" t="str">
        <f>IF($B80="","",SUMIFS(Proposal_3!$L$14:$L$300,Proposal_3!$G$14:$G$300,$B80,Proposal_3!$F$14:$F$300,"Included"))</f>
        <v/>
      </c>
      <c r="Y80" s="6" t="str">
        <f>IF($B80="","",SUMIFS(Proposal_3!$N$14:$N$300,Proposal_3!$G$14:$G$300,$B80,Proposal_3!$F$14:$F$300,"Included"))</f>
        <v/>
      </c>
      <c r="Z80" s="6" t="str">
        <f>IF($B80="","",SUMIFS(Proposal_3!$P$14:$P$300,Proposal_3!$G$14:$G$300,$B80,Proposal_3!$F$14:$F$300,"Included"))</f>
        <v/>
      </c>
      <c r="AA80" s="6" t="str">
        <f>IF($B80="","",SUMIFS(Proposal_3!$R$14:$R$300,Proposal_3!$G$14:$G$300,$B80,Proposal_3!$F$14:$F$300,"Included"))</f>
        <v/>
      </c>
      <c r="AB80" s="6" t="str">
        <f>IF($B80="","",SUMIFS(Proposal_3!$T$14:$T$300,Proposal_3!$G$14:$G$300,$B80,Proposal_3!$F$14:$F$300,"Included"))</f>
        <v/>
      </c>
      <c r="AC80" s="6" t="str">
        <f>IF($B80="","",SUMIFS(Proposal_3!$V$14:$V$300,Proposal_3!$G$14:$G$300,$B80,Proposal_3!$F$14:$F$300,"Included"))</f>
        <v/>
      </c>
      <c r="AD80" s="6" t="str">
        <f>IF($B80="","",SUMIFS(Proposal_3!$X$14:$X$300,Proposal_3!$G$14:$G$300,$B80,Proposal_3!$F$14:$F$300,"Included"))</f>
        <v/>
      </c>
    </row>
    <row r="81" spans="3:30" x14ac:dyDescent="0.25">
      <c r="C81" s="6" t="str">
        <f>IF($B81="","",SUMIFS(Proposal_1!$J$14:$J$300,Proposal_1!$G$14:$G$300,$B81,Proposal_1!$F$14:$F$300,"Included"))</f>
        <v/>
      </c>
      <c r="D81" s="6" t="str">
        <f>IF($B81="","",SUMIFS(Proposal_1!$L$14:$L$300,Proposal_1!$G$14:$G$300,$B81,Proposal_1!$F$14:$F$300,"Included"))</f>
        <v/>
      </c>
      <c r="E81" s="6" t="str">
        <f>IF($B81="","",SUMIFS(Proposal_1!$N$14:$N$300,Proposal_1!$G$14:$G$300,$B81,Proposal_1!$F$14:$F$300,"Included"))</f>
        <v/>
      </c>
      <c r="F81" s="6" t="str">
        <f>IF($B81="","",SUMIFS(Proposal_1!$P$14:$P$300,Proposal_1!$G$14:$G$300,$B81,Proposal_1!$F$14:$F$300,"Included"))</f>
        <v/>
      </c>
      <c r="G81" s="6" t="str">
        <f>IF($B81="","",SUMIFS(Proposal_1!$R$14:$R$300,Proposal_1!$G$14:$G$300,$B81,Proposal_1!$F$14:$F$300,"Included"))</f>
        <v/>
      </c>
      <c r="H81" s="6" t="str">
        <f>IF($B81="","",SUMIFS(Proposal_1!$T$14:$T$300,Proposal_1!$G$14:$G$300,$B81,Proposal_1!$F$14:$F$300,"Included"))</f>
        <v/>
      </c>
      <c r="I81" s="6" t="str">
        <f>IF($B81="","",SUMIFS(Proposal_1!$V$14:$V$300,Proposal_1!$G$14:$G$300,$B81,Proposal_1!$F$14:$F$300,"Included"))</f>
        <v/>
      </c>
      <c r="J81" s="6" t="str">
        <f>IF($B81="","",SUMIFS(Proposal_1!$X$14:$X$300,Proposal_1!$G$14:$G$300,$B81,Proposal_1!$F$14:$F$300,"Included"))</f>
        <v/>
      </c>
      <c r="M81" s="6" t="str">
        <f>IF($B81="","",SUMIFS(Proposal_2!$J$14:$J$300,Proposal_2!$G$14:$G$300,$B81,Proposal_2!$F$14:$F$300,"Included"))</f>
        <v/>
      </c>
      <c r="N81" s="6" t="str">
        <f>IF($B81="","",SUMIFS(Proposal_2!$L$14:$L$300,Proposal_2!$G$14:$G$300,$B81,Proposal_2!$F$14:$F$300,"Included"))</f>
        <v/>
      </c>
      <c r="O81" s="6" t="str">
        <f>IF($B81="","",SUMIFS(Proposal_2!$N$14:$N$300,Proposal_2!$G$14:$G$300,$B81,Proposal_2!$F$14:$F$300,"Included"))</f>
        <v/>
      </c>
      <c r="P81" s="6" t="str">
        <f>IF($B81="","",SUMIFS(Proposal_2!$P$14:$P$300,Proposal_2!$G$14:$G$300,$B81,Proposal_2!$F$14:$F$300,"Included"))</f>
        <v/>
      </c>
      <c r="Q81" s="6" t="str">
        <f>IF($B81="","",SUMIFS(Proposal_2!$R$14:$R$300,Proposal_2!$G$14:$G$300,$B81,Proposal_2!$F$14:$F$300,"Included"))</f>
        <v/>
      </c>
      <c r="R81" s="6" t="str">
        <f>IF($B81="","",SUMIFS(Proposal_2!$T$14:$T$300,Proposal_2!$G$14:$G$300,$B81,Proposal_2!$F$14:$F$300,"Included"))</f>
        <v/>
      </c>
      <c r="S81" s="6" t="str">
        <f>IF($B81="","",SUMIFS(Proposal_2!$V$14:$V$300,Proposal_2!$G$14:$G$300,$B81,Proposal_2!$F$14:$F$300,"Included"))</f>
        <v/>
      </c>
      <c r="T81" s="6" t="str">
        <f>IF($B81="","",SUMIFS(Proposal_2!$X$14:$X$300,Proposal_2!$G$14:$G$300,$B81,Proposal_2!$F$14:$F$300,"Included"))</f>
        <v/>
      </c>
      <c r="W81" s="6" t="str">
        <f>IF($B81="","",SUMIFS(Proposal_3!$J$14:$J$300,Proposal_3!$G$14:$G$300,$B81,Proposal_3!$F$14:$F$300,"Included"))</f>
        <v/>
      </c>
      <c r="X81" s="6" t="str">
        <f>IF($B81="","",SUMIFS(Proposal_3!$L$14:$L$300,Proposal_3!$G$14:$G$300,$B81,Proposal_3!$F$14:$F$300,"Included"))</f>
        <v/>
      </c>
      <c r="Y81" s="6" t="str">
        <f>IF($B81="","",SUMIFS(Proposal_3!$N$14:$N$300,Proposal_3!$G$14:$G$300,$B81,Proposal_3!$F$14:$F$300,"Included"))</f>
        <v/>
      </c>
      <c r="Z81" s="6" t="str">
        <f>IF($B81="","",SUMIFS(Proposal_3!$P$14:$P$300,Proposal_3!$G$14:$G$300,$B81,Proposal_3!$F$14:$F$300,"Included"))</f>
        <v/>
      </c>
      <c r="AA81" s="6" t="str">
        <f>IF($B81="","",SUMIFS(Proposal_3!$R$14:$R$300,Proposal_3!$G$14:$G$300,$B81,Proposal_3!$F$14:$F$300,"Included"))</f>
        <v/>
      </c>
      <c r="AB81" s="6" t="str">
        <f>IF($B81="","",SUMIFS(Proposal_3!$T$14:$T$300,Proposal_3!$G$14:$G$300,$B81,Proposal_3!$F$14:$F$300,"Included"))</f>
        <v/>
      </c>
      <c r="AC81" s="6" t="str">
        <f>IF($B81="","",SUMIFS(Proposal_3!$V$14:$V$300,Proposal_3!$G$14:$G$300,$B81,Proposal_3!$F$14:$F$300,"Included"))</f>
        <v/>
      </c>
      <c r="AD81" s="6" t="str">
        <f>IF($B81="","",SUMIFS(Proposal_3!$X$14:$X$300,Proposal_3!$G$14:$G$300,$B81,Proposal_3!$F$14:$F$300,"Included"))</f>
        <v/>
      </c>
    </row>
    <row r="82" spans="3:30" x14ac:dyDescent="0.25">
      <c r="C82" s="6" t="str">
        <f>IF($B82="","",SUMIFS(Proposal_1!$J$14:$J$300,Proposal_1!$G$14:$G$300,$B82,Proposal_1!$F$14:$F$300,"Included"))</f>
        <v/>
      </c>
      <c r="D82" s="6" t="str">
        <f>IF($B82="","",SUMIFS(Proposal_1!$L$14:$L$300,Proposal_1!$G$14:$G$300,$B82,Proposal_1!$F$14:$F$300,"Included"))</f>
        <v/>
      </c>
      <c r="E82" s="6" t="str">
        <f>IF($B82="","",SUMIFS(Proposal_1!$N$14:$N$300,Proposal_1!$G$14:$G$300,$B82,Proposal_1!$F$14:$F$300,"Included"))</f>
        <v/>
      </c>
      <c r="F82" s="6" t="str">
        <f>IF($B82="","",SUMIFS(Proposal_1!$P$14:$P$300,Proposal_1!$G$14:$G$300,$B82,Proposal_1!$F$14:$F$300,"Included"))</f>
        <v/>
      </c>
      <c r="G82" s="6" t="str">
        <f>IF($B82="","",SUMIFS(Proposal_1!$R$14:$R$300,Proposal_1!$G$14:$G$300,$B82,Proposal_1!$F$14:$F$300,"Included"))</f>
        <v/>
      </c>
      <c r="H82" s="6" t="str">
        <f>IF($B82="","",SUMIFS(Proposal_1!$T$14:$T$300,Proposal_1!$G$14:$G$300,$B82,Proposal_1!$F$14:$F$300,"Included"))</f>
        <v/>
      </c>
      <c r="I82" s="6" t="str">
        <f>IF($B82="","",SUMIFS(Proposal_1!$V$14:$V$300,Proposal_1!$G$14:$G$300,$B82,Proposal_1!$F$14:$F$300,"Included"))</f>
        <v/>
      </c>
      <c r="J82" s="6" t="str">
        <f>IF($B82="","",SUMIFS(Proposal_1!$X$14:$X$300,Proposal_1!$G$14:$G$300,$B82,Proposal_1!$F$14:$F$300,"Included"))</f>
        <v/>
      </c>
      <c r="M82" s="6" t="str">
        <f>IF($B82="","",SUMIFS(Proposal_2!$J$14:$J$300,Proposal_2!$G$14:$G$300,$B82,Proposal_2!$F$14:$F$300,"Included"))</f>
        <v/>
      </c>
      <c r="N82" s="6" t="str">
        <f>IF($B82="","",SUMIFS(Proposal_2!$L$14:$L$300,Proposal_2!$G$14:$G$300,$B82,Proposal_2!$F$14:$F$300,"Included"))</f>
        <v/>
      </c>
      <c r="O82" s="6" t="str">
        <f>IF($B82="","",SUMIFS(Proposal_2!$N$14:$N$300,Proposal_2!$G$14:$G$300,$B82,Proposal_2!$F$14:$F$300,"Included"))</f>
        <v/>
      </c>
      <c r="P82" s="6" t="str">
        <f>IF($B82="","",SUMIFS(Proposal_2!$P$14:$P$300,Proposal_2!$G$14:$G$300,$B82,Proposal_2!$F$14:$F$300,"Included"))</f>
        <v/>
      </c>
      <c r="Q82" s="6" t="str">
        <f>IF($B82="","",SUMIFS(Proposal_2!$R$14:$R$300,Proposal_2!$G$14:$G$300,$B82,Proposal_2!$F$14:$F$300,"Included"))</f>
        <v/>
      </c>
      <c r="R82" s="6" t="str">
        <f>IF($B82="","",SUMIFS(Proposal_2!$T$14:$T$300,Proposal_2!$G$14:$G$300,$B82,Proposal_2!$F$14:$F$300,"Included"))</f>
        <v/>
      </c>
      <c r="S82" s="6" t="str">
        <f>IF($B82="","",SUMIFS(Proposal_2!$V$14:$V$300,Proposal_2!$G$14:$G$300,$B82,Proposal_2!$F$14:$F$300,"Included"))</f>
        <v/>
      </c>
      <c r="T82" s="6" t="str">
        <f>IF($B82="","",SUMIFS(Proposal_2!$X$14:$X$300,Proposal_2!$G$14:$G$300,$B82,Proposal_2!$F$14:$F$300,"Included"))</f>
        <v/>
      </c>
      <c r="W82" s="6" t="str">
        <f>IF($B82="","",SUMIFS(Proposal_3!$J$14:$J$300,Proposal_3!$G$14:$G$300,$B82,Proposal_3!$F$14:$F$300,"Included"))</f>
        <v/>
      </c>
      <c r="X82" s="6" t="str">
        <f>IF($B82="","",SUMIFS(Proposal_3!$L$14:$L$300,Proposal_3!$G$14:$G$300,$B82,Proposal_3!$F$14:$F$300,"Included"))</f>
        <v/>
      </c>
      <c r="Y82" s="6" t="str">
        <f>IF($B82="","",SUMIFS(Proposal_3!$N$14:$N$300,Proposal_3!$G$14:$G$300,$B82,Proposal_3!$F$14:$F$300,"Included"))</f>
        <v/>
      </c>
      <c r="Z82" s="6" t="str">
        <f>IF($B82="","",SUMIFS(Proposal_3!$P$14:$P$300,Proposal_3!$G$14:$G$300,$B82,Proposal_3!$F$14:$F$300,"Included"))</f>
        <v/>
      </c>
      <c r="AA82" s="6" t="str">
        <f>IF($B82="","",SUMIFS(Proposal_3!$R$14:$R$300,Proposal_3!$G$14:$G$300,$B82,Proposal_3!$F$14:$F$300,"Included"))</f>
        <v/>
      </c>
      <c r="AB82" s="6" t="str">
        <f>IF($B82="","",SUMIFS(Proposal_3!$T$14:$T$300,Proposal_3!$G$14:$G$300,$B82,Proposal_3!$F$14:$F$300,"Included"))</f>
        <v/>
      </c>
      <c r="AC82" s="6" t="str">
        <f>IF($B82="","",SUMIFS(Proposal_3!$V$14:$V$300,Proposal_3!$G$14:$G$300,$B82,Proposal_3!$F$14:$F$300,"Included"))</f>
        <v/>
      </c>
      <c r="AD82" s="6" t="str">
        <f>IF($B82="","",SUMIFS(Proposal_3!$X$14:$X$300,Proposal_3!$G$14:$G$300,$B82,Proposal_3!$F$14:$F$300,"Included"))</f>
        <v/>
      </c>
    </row>
    <row r="83" spans="3:30" x14ac:dyDescent="0.25">
      <c r="C83" s="6" t="str">
        <f>IF($B83="","",SUMIFS(Proposal_1!$J$14:$J$300,Proposal_1!$G$14:$G$300,$B83,Proposal_1!$F$14:$F$300,"Included"))</f>
        <v/>
      </c>
      <c r="D83" s="6" t="str">
        <f>IF($B83="","",SUMIFS(Proposal_1!$L$14:$L$300,Proposal_1!$G$14:$G$300,$B83,Proposal_1!$F$14:$F$300,"Included"))</f>
        <v/>
      </c>
      <c r="E83" s="6" t="str">
        <f>IF($B83="","",SUMIFS(Proposal_1!$N$14:$N$300,Proposal_1!$G$14:$G$300,$B83,Proposal_1!$F$14:$F$300,"Included"))</f>
        <v/>
      </c>
      <c r="F83" s="6" t="str">
        <f>IF($B83="","",SUMIFS(Proposal_1!$P$14:$P$300,Proposal_1!$G$14:$G$300,$B83,Proposal_1!$F$14:$F$300,"Included"))</f>
        <v/>
      </c>
      <c r="G83" s="6" t="str">
        <f>IF($B83="","",SUMIFS(Proposal_1!$R$14:$R$300,Proposal_1!$G$14:$G$300,$B83,Proposal_1!$F$14:$F$300,"Included"))</f>
        <v/>
      </c>
      <c r="H83" s="6" t="str">
        <f>IF($B83="","",SUMIFS(Proposal_1!$T$14:$T$300,Proposal_1!$G$14:$G$300,$B83,Proposal_1!$F$14:$F$300,"Included"))</f>
        <v/>
      </c>
      <c r="I83" s="6" t="str">
        <f>IF($B83="","",SUMIFS(Proposal_1!$V$14:$V$300,Proposal_1!$G$14:$G$300,$B83,Proposal_1!$F$14:$F$300,"Included"))</f>
        <v/>
      </c>
      <c r="J83" s="6" t="str">
        <f>IF($B83="","",SUMIFS(Proposal_1!$X$14:$X$300,Proposal_1!$G$14:$G$300,$B83,Proposal_1!$F$14:$F$300,"Included"))</f>
        <v/>
      </c>
      <c r="M83" s="6" t="str">
        <f>IF($B83="","",SUMIFS(Proposal_2!$J$14:$J$300,Proposal_2!$G$14:$G$300,$B83,Proposal_2!$F$14:$F$300,"Included"))</f>
        <v/>
      </c>
      <c r="N83" s="6" t="str">
        <f>IF($B83="","",SUMIFS(Proposal_2!$L$14:$L$300,Proposal_2!$G$14:$G$300,$B83,Proposal_2!$F$14:$F$300,"Included"))</f>
        <v/>
      </c>
      <c r="O83" s="6" t="str">
        <f>IF($B83="","",SUMIFS(Proposal_2!$N$14:$N$300,Proposal_2!$G$14:$G$300,$B83,Proposal_2!$F$14:$F$300,"Included"))</f>
        <v/>
      </c>
      <c r="P83" s="6" t="str">
        <f>IF($B83="","",SUMIFS(Proposal_2!$P$14:$P$300,Proposal_2!$G$14:$G$300,$B83,Proposal_2!$F$14:$F$300,"Included"))</f>
        <v/>
      </c>
      <c r="Q83" s="6" t="str">
        <f>IF($B83="","",SUMIFS(Proposal_2!$R$14:$R$300,Proposal_2!$G$14:$G$300,$B83,Proposal_2!$F$14:$F$300,"Included"))</f>
        <v/>
      </c>
      <c r="R83" s="6" t="str">
        <f>IF($B83="","",SUMIFS(Proposal_2!$T$14:$T$300,Proposal_2!$G$14:$G$300,$B83,Proposal_2!$F$14:$F$300,"Included"))</f>
        <v/>
      </c>
      <c r="S83" s="6" t="str">
        <f>IF($B83="","",SUMIFS(Proposal_2!$V$14:$V$300,Proposal_2!$G$14:$G$300,$B83,Proposal_2!$F$14:$F$300,"Included"))</f>
        <v/>
      </c>
      <c r="T83" s="6" t="str">
        <f>IF($B83="","",SUMIFS(Proposal_2!$X$14:$X$300,Proposal_2!$G$14:$G$300,$B83,Proposal_2!$F$14:$F$300,"Included"))</f>
        <v/>
      </c>
      <c r="W83" s="6" t="str">
        <f>IF($B83="","",SUMIFS(Proposal_3!$J$14:$J$300,Proposal_3!$G$14:$G$300,$B83,Proposal_3!$F$14:$F$300,"Included"))</f>
        <v/>
      </c>
      <c r="X83" s="6" t="str">
        <f>IF($B83="","",SUMIFS(Proposal_3!$L$14:$L$300,Proposal_3!$G$14:$G$300,$B83,Proposal_3!$F$14:$F$300,"Included"))</f>
        <v/>
      </c>
      <c r="Y83" s="6" t="str">
        <f>IF($B83="","",SUMIFS(Proposal_3!$N$14:$N$300,Proposal_3!$G$14:$G$300,$B83,Proposal_3!$F$14:$F$300,"Included"))</f>
        <v/>
      </c>
      <c r="Z83" s="6" t="str">
        <f>IF($B83="","",SUMIFS(Proposal_3!$P$14:$P$300,Proposal_3!$G$14:$G$300,$B83,Proposal_3!$F$14:$F$300,"Included"))</f>
        <v/>
      </c>
      <c r="AA83" s="6" t="str">
        <f>IF($B83="","",SUMIFS(Proposal_3!$R$14:$R$300,Proposal_3!$G$14:$G$300,$B83,Proposal_3!$F$14:$F$300,"Included"))</f>
        <v/>
      </c>
      <c r="AB83" s="6" t="str">
        <f>IF($B83="","",SUMIFS(Proposal_3!$T$14:$T$300,Proposal_3!$G$14:$G$300,$B83,Proposal_3!$F$14:$F$300,"Included"))</f>
        <v/>
      </c>
      <c r="AC83" s="6" t="str">
        <f>IF($B83="","",SUMIFS(Proposal_3!$V$14:$V$300,Proposal_3!$G$14:$G$300,$B83,Proposal_3!$F$14:$F$300,"Included"))</f>
        <v/>
      </c>
      <c r="AD83" s="6" t="str">
        <f>IF($B83="","",SUMIFS(Proposal_3!$X$14:$X$300,Proposal_3!$G$14:$G$300,$B83,Proposal_3!$F$14:$F$300,"Included"))</f>
        <v/>
      </c>
    </row>
    <row r="84" spans="3:30" x14ac:dyDescent="0.25">
      <c r="C84" s="6" t="str">
        <f>IF($B84="","",SUMIFS(Proposal_1!$J$14:$J$300,Proposal_1!$G$14:$G$300,$B84,Proposal_1!$F$14:$F$300,"Included"))</f>
        <v/>
      </c>
      <c r="D84" s="6" t="str">
        <f>IF($B84="","",SUMIFS(Proposal_1!$L$14:$L$300,Proposal_1!$G$14:$G$300,$B84,Proposal_1!$F$14:$F$300,"Included"))</f>
        <v/>
      </c>
      <c r="E84" s="6" t="str">
        <f>IF($B84="","",SUMIFS(Proposal_1!$N$14:$N$300,Proposal_1!$G$14:$G$300,$B84,Proposal_1!$F$14:$F$300,"Included"))</f>
        <v/>
      </c>
      <c r="F84" s="6" t="str">
        <f>IF($B84="","",SUMIFS(Proposal_1!$P$14:$P$300,Proposal_1!$G$14:$G$300,$B84,Proposal_1!$F$14:$F$300,"Included"))</f>
        <v/>
      </c>
      <c r="G84" s="6" t="str">
        <f>IF($B84="","",SUMIFS(Proposal_1!$R$14:$R$300,Proposal_1!$G$14:$G$300,$B84,Proposal_1!$F$14:$F$300,"Included"))</f>
        <v/>
      </c>
      <c r="H84" s="6" t="str">
        <f>IF($B84="","",SUMIFS(Proposal_1!$T$14:$T$300,Proposal_1!$G$14:$G$300,$B84,Proposal_1!$F$14:$F$300,"Included"))</f>
        <v/>
      </c>
      <c r="I84" s="6" t="str">
        <f>IF($B84="","",SUMIFS(Proposal_1!$V$14:$V$300,Proposal_1!$G$14:$G$300,$B84,Proposal_1!$F$14:$F$300,"Included"))</f>
        <v/>
      </c>
      <c r="J84" s="6" t="str">
        <f>IF($B84="","",SUMIFS(Proposal_1!$X$14:$X$300,Proposal_1!$G$14:$G$300,$B84,Proposal_1!$F$14:$F$300,"Included"))</f>
        <v/>
      </c>
      <c r="M84" s="6" t="str">
        <f>IF($B84="","",SUMIFS(Proposal_2!$J$14:$J$300,Proposal_2!$G$14:$G$300,$B84,Proposal_2!$F$14:$F$300,"Included"))</f>
        <v/>
      </c>
      <c r="N84" s="6" t="str">
        <f>IF($B84="","",SUMIFS(Proposal_2!$L$14:$L$300,Proposal_2!$G$14:$G$300,$B84,Proposal_2!$F$14:$F$300,"Included"))</f>
        <v/>
      </c>
      <c r="O84" s="6" t="str">
        <f>IF($B84="","",SUMIFS(Proposal_2!$N$14:$N$300,Proposal_2!$G$14:$G$300,$B84,Proposal_2!$F$14:$F$300,"Included"))</f>
        <v/>
      </c>
      <c r="P84" s="6" t="str">
        <f>IF($B84="","",SUMIFS(Proposal_2!$P$14:$P$300,Proposal_2!$G$14:$G$300,$B84,Proposal_2!$F$14:$F$300,"Included"))</f>
        <v/>
      </c>
      <c r="Q84" s="6" t="str">
        <f>IF($B84="","",SUMIFS(Proposal_2!$R$14:$R$300,Proposal_2!$G$14:$G$300,$B84,Proposal_2!$F$14:$F$300,"Included"))</f>
        <v/>
      </c>
      <c r="R84" s="6" t="str">
        <f>IF($B84="","",SUMIFS(Proposal_2!$T$14:$T$300,Proposal_2!$G$14:$G$300,$B84,Proposal_2!$F$14:$F$300,"Included"))</f>
        <v/>
      </c>
      <c r="S84" s="6" t="str">
        <f>IF($B84="","",SUMIFS(Proposal_2!$V$14:$V$300,Proposal_2!$G$14:$G$300,$B84,Proposal_2!$F$14:$F$300,"Included"))</f>
        <v/>
      </c>
      <c r="T84" s="6" t="str">
        <f>IF($B84="","",SUMIFS(Proposal_2!$X$14:$X$300,Proposal_2!$G$14:$G$300,$B84,Proposal_2!$F$14:$F$300,"Included"))</f>
        <v/>
      </c>
      <c r="W84" s="6" t="str">
        <f>IF($B84="","",SUMIFS(Proposal_3!$J$14:$J$300,Proposal_3!$G$14:$G$300,$B84,Proposal_3!$F$14:$F$300,"Included"))</f>
        <v/>
      </c>
      <c r="X84" s="6" t="str">
        <f>IF($B84="","",SUMIFS(Proposal_3!$L$14:$L$300,Proposal_3!$G$14:$G$300,$B84,Proposal_3!$F$14:$F$300,"Included"))</f>
        <v/>
      </c>
      <c r="Y84" s="6" t="str">
        <f>IF($B84="","",SUMIFS(Proposal_3!$N$14:$N$300,Proposal_3!$G$14:$G$300,$B84,Proposal_3!$F$14:$F$300,"Included"))</f>
        <v/>
      </c>
      <c r="Z84" s="6" t="str">
        <f>IF($B84="","",SUMIFS(Proposal_3!$P$14:$P$300,Proposal_3!$G$14:$G$300,$B84,Proposal_3!$F$14:$F$300,"Included"))</f>
        <v/>
      </c>
      <c r="AA84" s="6" t="str">
        <f>IF($B84="","",SUMIFS(Proposal_3!$R$14:$R$300,Proposal_3!$G$14:$G$300,$B84,Proposal_3!$F$14:$F$300,"Included"))</f>
        <v/>
      </c>
      <c r="AB84" s="6" t="str">
        <f>IF($B84="","",SUMIFS(Proposal_3!$T$14:$T$300,Proposal_3!$G$14:$G$300,$B84,Proposal_3!$F$14:$F$300,"Included"))</f>
        <v/>
      </c>
      <c r="AC84" s="6" t="str">
        <f>IF($B84="","",SUMIFS(Proposal_3!$V$14:$V$300,Proposal_3!$G$14:$G$300,$B84,Proposal_3!$F$14:$F$300,"Included"))</f>
        <v/>
      </c>
      <c r="AD84" s="6" t="str">
        <f>IF($B84="","",SUMIFS(Proposal_3!$X$14:$X$300,Proposal_3!$G$14:$G$300,$B84,Proposal_3!$F$14:$F$300,"Included"))</f>
        <v/>
      </c>
    </row>
    <row r="85" spans="3:30" x14ac:dyDescent="0.25">
      <c r="C85" s="6" t="str">
        <f>IF($B85="","",SUMIFS(Proposal_1!$J$14:$J$300,Proposal_1!$G$14:$G$300,$B85,Proposal_1!$F$14:$F$300,"Included"))</f>
        <v/>
      </c>
      <c r="D85" s="6" t="str">
        <f>IF($B85="","",SUMIFS(Proposal_1!$L$14:$L$300,Proposal_1!$G$14:$G$300,$B85,Proposal_1!$F$14:$F$300,"Included"))</f>
        <v/>
      </c>
      <c r="E85" s="6" t="str">
        <f>IF($B85="","",SUMIFS(Proposal_1!$N$14:$N$300,Proposal_1!$G$14:$G$300,$B85,Proposal_1!$F$14:$F$300,"Included"))</f>
        <v/>
      </c>
      <c r="F85" s="6" t="str">
        <f>IF($B85="","",SUMIFS(Proposal_1!$P$14:$P$300,Proposal_1!$G$14:$G$300,$B85,Proposal_1!$F$14:$F$300,"Included"))</f>
        <v/>
      </c>
      <c r="G85" s="6" t="str">
        <f>IF($B85="","",SUMIFS(Proposal_1!$R$14:$R$300,Proposal_1!$G$14:$G$300,$B85,Proposal_1!$F$14:$F$300,"Included"))</f>
        <v/>
      </c>
      <c r="H85" s="6" t="str">
        <f>IF($B85="","",SUMIFS(Proposal_1!$T$14:$T$300,Proposal_1!$G$14:$G$300,$B85,Proposal_1!$F$14:$F$300,"Included"))</f>
        <v/>
      </c>
      <c r="I85" s="6" t="str">
        <f>IF($B85="","",SUMIFS(Proposal_1!$V$14:$V$300,Proposal_1!$G$14:$G$300,$B85,Proposal_1!$F$14:$F$300,"Included"))</f>
        <v/>
      </c>
      <c r="J85" s="6" t="str">
        <f>IF($B85="","",SUMIFS(Proposal_1!$X$14:$X$300,Proposal_1!$G$14:$G$300,$B85,Proposal_1!$F$14:$F$300,"Included"))</f>
        <v/>
      </c>
      <c r="M85" s="6" t="str">
        <f>IF($B85="","",SUMIFS(Proposal_2!$J$14:$J$300,Proposal_2!$G$14:$G$300,$B85,Proposal_2!$F$14:$F$300,"Included"))</f>
        <v/>
      </c>
      <c r="N85" s="6" t="str">
        <f>IF($B85="","",SUMIFS(Proposal_2!$L$14:$L$300,Proposal_2!$G$14:$G$300,$B85,Proposal_2!$F$14:$F$300,"Included"))</f>
        <v/>
      </c>
      <c r="O85" s="6" t="str">
        <f>IF($B85="","",SUMIFS(Proposal_2!$N$14:$N$300,Proposal_2!$G$14:$G$300,$B85,Proposal_2!$F$14:$F$300,"Included"))</f>
        <v/>
      </c>
      <c r="P85" s="6" t="str">
        <f>IF($B85="","",SUMIFS(Proposal_2!$P$14:$P$300,Proposal_2!$G$14:$G$300,$B85,Proposal_2!$F$14:$F$300,"Included"))</f>
        <v/>
      </c>
      <c r="Q85" s="6" t="str">
        <f>IF($B85="","",SUMIFS(Proposal_2!$R$14:$R$300,Proposal_2!$G$14:$G$300,$B85,Proposal_2!$F$14:$F$300,"Included"))</f>
        <v/>
      </c>
      <c r="R85" s="6" t="str">
        <f>IF($B85="","",SUMIFS(Proposal_2!$T$14:$T$300,Proposal_2!$G$14:$G$300,$B85,Proposal_2!$F$14:$F$300,"Included"))</f>
        <v/>
      </c>
      <c r="S85" s="6" t="str">
        <f>IF($B85="","",SUMIFS(Proposal_2!$V$14:$V$300,Proposal_2!$G$14:$G$300,$B85,Proposal_2!$F$14:$F$300,"Included"))</f>
        <v/>
      </c>
      <c r="T85" s="6" t="str">
        <f>IF($B85="","",SUMIFS(Proposal_2!$X$14:$X$300,Proposal_2!$G$14:$G$300,$B85,Proposal_2!$F$14:$F$300,"Included"))</f>
        <v/>
      </c>
      <c r="W85" s="6" t="str">
        <f>IF($B85="","",SUMIFS(Proposal_3!$J$14:$J$300,Proposal_3!$G$14:$G$300,$B85,Proposal_3!$F$14:$F$300,"Included"))</f>
        <v/>
      </c>
      <c r="X85" s="6" t="str">
        <f>IF($B85="","",SUMIFS(Proposal_3!$L$14:$L$300,Proposal_3!$G$14:$G$300,$B85,Proposal_3!$F$14:$F$300,"Included"))</f>
        <v/>
      </c>
      <c r="Y85" s="6" t="str">
        <f>IF($B85="","",SUMIFS(Proposal_3!$N$14:$N$300,Proposal_3!$G$14:$G$300,$B85,Proposal_3!$F$14:$F$300,"Included"))</f>
        <v/>
      </c>
      <c r="Z85" s="6" t="str">
        <f>IF($B85="","",SUMIFS(Proposal_3!$P$14:$P$300,Proposal_3!$G$14:$G$300,$B85,Proposal_3!$F$14:$F$300,"Included"))</f>
        <v/>
      </c>
      <c r="AA85" s="6" t="str">
        <f>IF($B85="","",SUMIFS(Proposal_3!$R$14:$R$300,Proposal_3!$G$14:$G$300,$B85,Proposal_3!$F$14:$F$300,"Included"))</f>
        <v/>
      </c>
      <c r="AB85" s="6" t="str">
        <f>IF($B85="","",SUMIFS(Proposal_3!$T$14:$T$300,Proposal_3!$G$14:$G$300,$B85,Proposal_3!$F$14:$F$300,"Included"))</f>
        <v/>
      </c>
      <c r="AC85" s="6" t="str">
        <f>IF($B85="","",SUMIFS(Proposal_3!$V$14:$V$300,Proposal_3!$G$14:$G$300,$B85,Proposal_3!$F$14:$F$300,"Included"))</f>
        <v/>
      </c>
      <c r="AD85" s="6" t="str">
        <f>IF($B85="","",SUMIFS(Proposal_3!$X$14:$X$300,Proposal_3!$G$14:$G$300,$B85,Proposal_3!$F$14:$F$300,"Included"))</f>
        <v/>
      </c>
    </row>
    <row r="86" spans="3:30" x14ac:dyDescent="0.25">
      <c r="C86" s="6" t="str">
        <f>IF($B86="","",SUMIFS(Proposal_1!$J$14:$J$300,Proposal_1!$G$14:$G$300,$B86,Proposal_1!$F$14:$F$300,"Included"))</f>
        <v/>
      </c>
      <c r="D86" s="6" t="str">
        <f>IF($B86="","",SUMIFS(Proposal_1!$L$14:$L$300,Proposal_1!$G$14:$G$300,$B86,Proposal_1!$F$14:$F$300,"Included"))</f>
        <v/>
      </c>
      <c r="E86" s="6" t="str">
        <f>IF($B86="","",SUMIFS(Proposal_1!$N$14:$N$300,Proposal_1!$G$14:$G$300,$B86,Proposal_1!$F$14:$F$300,"Included"))</f>
        <v/>
      </c>
      <c r="F86" s="6" t="str">
        <f>IF($B86="","",SUMIFS(Proposal_1!$P$14:$P$300,Proposal_1!$G$14:$G$300,$B86,Proposal_1!$F$14:$F$300,"Included"))</f>
        <v/>
      </c>
      <c r="G86" s="6" t="str">
        <f>IF($B86="","",SUMIFS(Proposal_1!$R$14:$R$300,Proposal_1!$G$14:$G$300,$B86,Proposal_1!$F$14:$F$300,"Included"))</f>
        <v/>
      </c>
      <c r="H86" s="6" t="str">
        <f>IF($B86="","",SUMIFS(Proposal_1!$T$14:$T$300,Proposal_1!$G$14:$G$300,$B86,Proposal_1!$F$14:$F$300,"Included"))</f>
        <v/>
      </c>
      <c r="I86" s="6" t="str">
        <f>IF($B86="","",SUMIFS(Proposal_1!$V$14:$V$300,Proposal_1!$G$14:$G$300,$B86,Proposal_1!$F$14:$F$300,"Included"))</f>
        <v/>
      </c>
      <c r="J86" s="6" t="str">
        <f>IF($B86="","",SUMIFS(Proposal_1!$X$14:$X$300,Proposal_1!$G$14:$G$300,$B86,Proposal_1!$F$14:$F$300,"Included"))</f>
        <v/>
      </c>
      <c r="M86" s="6" t="str">
        <f>IF($B86="","",SUMIFS(Proposal_2!$J$14:$J$300,Proposal_2!$G$14:$G$300,$B86,Proposal_2!$F$14:$F$300,"Included"))</f>
        <v/>
      </c>
      <c r="N86" s="6" t="str">
        <f>IF($B86="","",SUMIFS(Proposal_2!$L$14:$L$300,Proposal_2!$G$14:$G$300,$B86,Proposal_2!$F$14:$F$300,"Included"))</f>
        <v/>
      </c>
      <c r="O86" s="6" t="str">
        <f>IF($B86="","",SUMIFS(Proposal_2!$N$14:$N$300,Proposal_2!$G$14:$G$300,$B86,Proposal_2!$F$14:$F$300,"Included"))</f>
        <v/>
      </c>
      <c r="P86" s="6" t="str">
        <f>IF($B86="","",SUMIFS(Proposal_2!$P$14:$P$300,Proposal_2!$G$14:$G$300,$B86,Proposal_2!$F$14:$F$300,"Included"))</f>
        <v/>
      </c>
      <c r="Q86" s="6" t="str">
        <f>IF($B86="","",SUMIFS(Proposal_2!$R$14:$R$300,Proposal_2!$G$14:$G$300,$B86,Proposal_2!$F$14:$F$300,"Included"))</f>
        <v/>
      </c>
      <c r="R86" s="6" t="str">
        <f>IF($B86="","",SUMIFS(Proposal_2!$T$14:$T$300,Proposal_2!$G$14:$G$300,$B86,Proposal_2!$F$14:$F$300,"Included"))</f>
        <v/>
      </c>
      <c r="S86" s="6" t="str">
        <f>IF($B86="","",SUMIFS(Proposal_2!$V$14:$V$300,Proposal_2!$G$14:$G$300,$B86,Proposal_2!$F$14:$F$300,"Included"))</f>
        <v/>
      </c>
      <c r="T86" s="6" t="str">
        <f>IF($B86="","",SUMIFS(Proposal_2!$X$14:$X$300,Proposal_2!$G$14:$G$300,$B86,Proposal_2!$F$14:$F$300,"Included"))</f>
        <v/>
      </c>
      <c r="W86" s="6" t="str">
        <f>IF($B86="","",SUMIFS(Proposal_3!$J$14:$J$300,Proposal_3!$G$14:$G$300,$B86,Proposal_3!$F$14:$F$300,"Included"))</f>
        <v/>
      </c>
      <c r="X86" s="6" t="str">
        <f>IF($B86="","",SUMIFS(Proposal_3!$L$14:$L$300,Proposal_3!$G$14:$G$300,$B86,Proposal_3!$F$14:$F$300,"Included"))</f>
        <v/>
      </c>
      <c r="Y86" s="6" t="str">
        <f>IF($B86="","",SUMIFS(Proposal_3!$N$14:$N$300,Proposal_3!$G$14:$G$300,$B86,Proposal_3!$F$14:$F$300,"Included"))</f>
        <v/>
      </c>
      <c r="Z86" s="6" t="str">
        <f>IF($B86="","",SUMIFS(Proposal_3!$P$14:$P$300,Proposal_3!$G$14:$G$300,$B86,Proposal_3!$F$14:$F$300,"Included"))</f>
        <v/>
      </c>
      <c r="AA86" s="6" t="str">
        <f>IF($B86="","",SUMIFS(Proposal_3!$R$14:$R$300,Proposal_3!$G$14:$G$300,$B86,Proposal_3!$F$14:$F$300,"Included"))</f>
        <v/>
      </c>
      <c r="AB86" s="6" t="str">
        <f>IF($B86="","",SUMIFS(Proposal_3!$T$14:$T$300,Proposal_3!$G$14:$G$300,$B86,Proposal_3!$F$14:$F$300,"Included"))</f>
        <v/>
      </c>
      <c r="AC86" s="6" t="str">
        <f>IF($B86="","",SUMIFS(Proposal_3!$V$14:$V$300,Proposal_3!$G$14:$G$300,$B86,Proposal_3!$F$14:$F$300,"Included"))</f>
        <v/>
      </c>
      <c r="AD86" s="6" t="str">
        <f>IF($B86="","",SUMIFS(Proposal_3!$X$14:$X$300,Proposal_3!$G$14:$G$300,$B86,Proposal_3!$F$14:$F$300,"Included"))</f>
        <v/>
      </c>
    </row>
    <row r="87" spans="3:30" x14ac:dyDescent="0.25">
      <c r="C87" s="6" t="str">
        <f>IF($B87="","",SUMIFS(Proposal_1!$J$14:$J$300,Proposal_1!$G$14:$G$300,$B87,Proposal_1!$F$14:$F$300,"Included"))</f>
        <v/>
      </c>
      <c r="D87" s="6" t="str">
        <f>IF($B87="","",SUMIFS(Proposal_1!$L$14:$L$300,Proposal_1!$G$14:$G$300,$B87,Proposal_1!$F$14:$F$300,"Included"))</f>
        <v/>
      </c>
      <c r="E87" s="6" t="str">
        <f>IF($B87="","",SUMIFS(Proposal_1!$N$14:$N$300,Proposal_1!$G$14:$G$300,$B87,Proposal_1!$F$14:$F$300,"Included"))</f>
        <v/>
      </c>
      <c r="F87" s="6" t="str">
        <f>IF($B87="","",SUMIFS(Proposal_1!$P$14:$P$300,Proposal_1!$G$14:$G$300,$B87,Proposal_1!$F$14:$F$300,"Included"))</f>
        <v/>
      </c>
      <c r="G87" s="6" t="str">
        <f>IF($B87="","",SUMIFS(Proposal_1!$R$14:$R$300,Proposal_1!$G$14:$G$300,$B87,Proposal_1!$F$14:$F$300,"Included"))</f>
        <v/>
      </c>
      <c r="H87" s="6" t="str">
        <f>IF($B87="","",SUMIFS(Proposal_1!$T$14:$T$300,Proposal_1!$G$14:$G$300,$B87,Proposal_1!$F$14:$F$300,"Included"))</f>
        <v/>
      </c>
      <c r="I87" s="6" t="str">
        <f>IF($B87="","",SUMIFS(Proposal_1!$V$14:$V$300,Proposal_1!$G$14:$G$300,$B87,Proposal_1!$F$14:$F$300,"Included"))</f>
        <v/>
      </c>
      <c r="J87" s="6" t="str">
        <f>IF($B87="","",SUMIFS(Proposal_1!$X$14:$X$300,Proposal_1!$G$14:$G$300,$B87,Proposal_1!$F$14:$F$300,"Included"))</f>
        <v/>
      </c>
      <c r="M87" s="6" t="str">
        <f>IF($B87="","",SUMIFS(Proposal_2!$J$14:$J$300,Proposal_2!$G$14:$G$300,$B87,Proposal_2!$F$14:$F$300,"Included"))</f>
        <v/>
      </c>
      <c r="N87" s="6" t="str">
        <f>IF($B87="","",SUMIFS(Proposal_2!$L$14:$L$300,Proposal_2!$G$14:$G$300,$B87,Proposal_2!$F$14:$F$300,"Included"))</f>
        <v/>
      </c>
      <c r="O87" s="6" t="str">
        <f>IF($B87="","",SUMIFS(Proposal_2!$N$14:$N$300,Proposal_2!$G$14:$G$300,$B87,Proposal_2!$F$14:$F$300,"Included"))</f>
        <v/>
      </c>
      <c r="P87" s="6" t="str">
        <f>IF($B87="","",SUMIFS(Proposal_2!$P$14:$P$300,Proposal_2!$G$14:$G$300,$B87,Proposal_2!$F$14:$F$300,"Included"))</f>
        <v/>
      </c>
      <c r="Q87" s="6" t="str">
        <f>IF($B87="","",SUMIFS(Proposal_2!$R$14:$R$300,Proposal_2!$G$14:$G$300,$B87,Proposal_2!$F$14:$F$300,"Included"))</f>
        <v/>
      </c>
      <c r="R87" s="6" t="str">
        <f>IF($B87="","",SUMIFS(Proposal_2!$T$14:$T$300,Proposal_2!$G$14:$G$300,$B87,Proposal_2!$F$14:$F$300,"Included"))</f>
        <v/>
      </c>
      <c r="S87" s="6" t="str">
        <f>IF($B87="","",SUMIFS(Proposal_2!$V$14:$V$300,Proposal_2!$G$14:$G$300,$B87,Proposal_2!$F$14:$F$300,"Included"))</f>
        <v/>
      </c>
      <c r="T87" s="6" t="str">
        <f>IF($B87="","",SUMIFS(Proposal_2!$X$14:$X$300,Proposal_2!$G$14:$G$300,$B87,Proposal_2!$F$14:$F$300,"Included"))</f>
        <v/>
      </c>
      <c r="W87" s="6" t="str">
        <f>IF($B87="","",SUMIFS(Proposal_3!$J$14:$J$300,Proposal_3!$G$14:$G$300,$B87,Proposal_3!$F$14:$F$300,"Included"))</f>
        <v/>
      </c>
      <c r="X87" s="6" t="str">
        <f>IF($B87="","",SUMIFS(Proposal_3!$L$14:$L$300,Proposal_3!$G$14:$G$300,$B87,Proposal_3!$F$14:$F$300,"Included"))</f>
        <v/>
      </c>
      <c r="Y87" s="6" t="str">
        <f>IF($B87="","",SUMIFS(Proposal_3!$N$14:$N$300,Proposal_3!$G$14:$G$300,$B87,Proposal_3!$F$14:$F$300,"Included"))</f>
        <v/>
      </c>
      <c r="Z87" s="6" t="str">
        <f>IF($B87="","",SUMIFS(Proposal_3!$P$14:$P$300,Proposal_3!$G$14:$G$300,$B87,Proposal_3!$F$14:$F$300,"Included"))</f>
        <v/>
      </c>
      <c r="AA87" s="6" t="str">
        <f>IF($B87="","",SUMIFS(Proposal_3!$R$14:$R$300,Proposal_3!$G$14:$G$300,$B87,Proposal_3!$F$14:$F$300,"Included"))</f>
        <v/>
      </c>
      <c r="AB87" s="6" t="str">
        <f>IF($B87="","",SUMIFS(Proposal_3!$T$14:$T$300,Proposal_3!$G$14:$G$300,$B87,Proposal_3!$F$14:$F$300,"Included"))</f>
        <v/>
      </c>
      <c r="AC87" s="6" t="str">
        <f>IF($B87="","",SUMIFS(Proposal_3!$V$14:$V$300,Proposal_3!$G$14:$G$300,$B87,Proposal_3!$F$14:$F$300,"Included"))</f>
        <v/>
      </c>
      <c r="AD87" s="6" t="str">
        <f>IF($B87="","",SUMIFS(Proposal_3!$X$14:$X$300,Proposal_3!$G$14:$G$300,$B87,Proposal_3!$F$14:$F$300,"Included"))</f>
        <v/>
      </c>
    </row>
    <row r="88" spans="3:30" x14ac:dyDescent="0.25">
      <c r="C88" s="6" t="str">
        <f>IF($B88="","",SUMIFS(Proposal_1!$J$14:$J$300,Proposal_1!$G$14:$G$300,$B88,Proposal_1!$F$14:$F$300,"Included"))</f>
        <v/>
      </c>
      <c r="D88" s="6" t="str">
        <f>IF($B88="","",SUMIFS(Proposal_1!$L$14:$L$300,Proposal_1!$G$14:$G$300,$B88,Proposal_1!$F$14:$F$300,"Included"))</f>
        <v/>
      </c>
      <c r="E88" s="6" t="str">
        <f>IF($B88="","",SUMIFS(Proposal_1!$N$14:$N$300,Proposal_1!$G$14:$G$300,$B88,Proposal_1!$F$14:$F$300,"Included"))</f>
        <v/>
      </c>
      <c r="F88" s="6" t="str">
        <f>IF($B88="","",SUMIFS(Proposal_1!$P$14:$P$300,Proposal_1!$G$14:$G$300,$B88,Proposal_1!$F$14:$F$300,"Included"))</f>
        <v/>
      </c>
      <c r="G88" s="6" t="str">
        <f>IF($B88="","",SUMIFS(Proposal_1!$R$14:$R$300,Proposal_1!$G$14:$G$300,$B88,Proposal_1!$F$14:$F$300,"Included"))</f>
        <v/>
      </c>
      <c r="H88" s="6" t="str">
        <f>IF($B88="","",SUMIFS(Proposal_1!$T$14:$T$300,Proposal_1!$G$14:$G$300,$B88,Proposal_1!$F$14:$F$300,"Included"))</f>
        <v/>
      </c>
      <c r="I88" s="6" t="str">
        <f>IF($B88="","",SUMIFS(Proposal_1!$V$14:$V$300,Proposal_1!$G$14:$G$300,$B88,Proposal_1!$F$14:$F$300,"Included"))</f>
        <v/>
      </c>
      <c r="J88" s="6" t="str">
        <f>IF($B88="","",SUMIFS(Proposal_1!$X$14:$X$300,Proposal_1!$G$14:$G$300,$B88,Proposal_1!$F$14:$F$300,"Included"))</f>
        <v/>
      </c>
      <c r="M88" s="6" t="str">
        <f>IF($B88="","",SUMIFS(Proposal_2!$J$14:$J$300,Proposal_2!$G$14:$G$300,$B88,Proposal_2!$F$14:$F$300,"Included"))</f>
        <v/>
      </c>
      <c r="N88" s="6" t="str">
        <f>IF($B88="","",SUMIFS(Proposal_2!$L$14:$L$300,Proposal_2!$G$14:$G$300,$B88,Proposal_2!$F$14:$F$300,"Included"))</f>
        <v/>
      </c>
      <c r="O88" s="6" t="str">
        <f>IF($B88="","",SUMIFS(Proposal_2!$N$14:$N$300,Proposal_2!$G$14:$G$300,$B88,Proposal_2!$F$14:$F$300,"Included"))</f>
        <v/>
      </c>
      <c r="P88" s="6" t="str">
        <f>IF($B88="","",SUMIFS(Proposal_2!$P$14:$P$300,Proposal_2!$G$14:$G$300,$B88,Proposal_2!$F$14:$F$300,"Included"))</f>
        <v/>
      </c>
      <c r="Q88" s="6" t="str">
        <f>IF($B88="","",SUMIFS(Proposal_2!$R$14:$R$300,Proposal_2!$G$14:$G$300,$B88,Proposal_2!$F$14:$F$300,"Included"))</f>
        <v/>
      </c>
      <c r="R88" s="6" t="str">
        <f>IF($B88="","",SUMIFS(Proposal_2!$T$14:$T$300,Proposal_2!$G$14:$G$300,$B88,Proposal_2!$F$14:$F$300,"Included"))</f>
        <v/>
      </c>
      <c r="S88" s="6" t="str">
        <f>IF($B88="","",SUMIFS(Proposal_2!$V$14:$V$300,Proposal_2!$G$14:$G$300,$B88,Proposal_2!$F$14:$F$300,"Included"))</f>
        <v/>
      </c>
      <c r="T88" s="6" t="str">
        <f>IF($B88="","",SUMIFS(Proposal_2!$X$14:$X$300,Proposal_2!$G$14:$G$300,$B88,Proposal_2!$F$14:$F$300,"Included"))</f>
        <v/>
      </c>
      <c r="W88" s="6" t="str">
        <f>IF($B88="","",SUMIFS(Proposal_3!$J$14:$J$300,Proposal_3!$G$14:$G$300,$B88,Proposal_3!$F$14:$F$300,"Included"))</f>
        <v/>
      </c>
      <c r="X88" s="6" t="str">
        <f>IF($B88="","",SUMIFS(Proposal_3!$L$14:$L$300,Proposal_3!$G$14:$G$300,$B88,Proposal_3!$F$14:$F$300,"Included"))</f>
        <v/>
      </c>
      <c r="Y88" s="6" t="str">
        <f>IF($B88="","",SUMIFS(Proposal_3!$N$14:$N$300,Proposal_3!$G$14:$G$300,$B88,Proposal_3!$F$14:$F$300,"Included"))</f>
        <v/>
      </c>
      <c r="Z88" s="6" t="str">
        <f>IF($B88="","",SUMIFS(Proposal_3!$P$14:$P$300,Proposal_3!$G$14:$G$300,$B88,Proposal_3!$F$14:$F$300,"Included"))</f>
        <v/>
      </c>
      <c r="AA88" s="6" t="str">
        <f>IF($B88="","",SUMIFS(Proposal_3!$R$14:$R$300,Proposal_3!$G$14:$G$300,$B88,Proposal_3!$F$14:$F$300,"Included"))</f>
        <v/>
      </c>
      <c r="AB88" s="6" t="str">
        <f>IF($B88="","",SUMIFS(Proposal_3!$T$14:$T$300,Proposal_3!$G$14:$G$300,$B88,Proposal_3!$F$14:$F$300,"Included"))</f>
        <v/>
      </c>
      <c r="AC88" s="6" t="str">
        <f>IF($B88="","",SUMIFS(Proposal_3!$V$14:$V$300,Proposal_3!$G$14:$G$300,$B88,Proposal_3!$F$14:$F$300,"Included"))</f>
        <v/>
      </c>
      <c r="AD88" s="6" t="str">
        <f>IF($B88="","",SUMIFS(Proposal_3!$X$14:$X$300,Proposal_3!$G$14:$G$300,$B88,Proposal_3!$F$14:$F$300,"Included"))</f>
        <v/>
      </c>
    </row>
    <row r="89" spans="3:30" x14ac:dyDescent="0.25">
      <c r="C89" s="6" t="str">
        <f>IF($B89="","",SUMIFS(Proposal_1!$J$14:$J$300,Proposal_1!$G$14:$G$300,$B89,Proposal_1!$F$14:$F$300,"Included"))</f>
        <v/>
      </c>
      <c r="D89" s="6" t="str">
        <f>IF($B89="","",SUMIFS(Proposal_1!$L$14:$L$300,Proposal_1!$G$14:$G$300,$B89,Proposal_1!$F$14:$F$300,"Included"))</f>
        <v/>
      </c>
      <c r="E89" s="6" t="str">
        <f>IF($B89="","",SUMIFS(Proposal_1!$N$14:$N$300,Proposal_1!$G$14:$G$300,$B89,Proposal_1!$F$14:$F$300,"Included"))</f>
        <v/>
      </c>
      <c r="F89" s="6" t="str">
        <f>IF($B89="","",SUMIFS(Proposal_1!$P$14:$P$300,Proposal_1!$G$14:$G$300,$B89,Proposal_1!$F$14:$F$300,"Included"))</f>
        <v/>
      </c>
      <c r="G89" s="6" t="str">
        <f>IF($B89="","",SUMIFS(Proposal_1!$R$14:$R$300,Proposal_1!$G$14:$G$300,$B89,Proposal_1!$F$14:$F$300,"Included"))</f>
        <v/>
      </c>
      <c r="H89" s="6" t="str">
        <f>IF($B89="","",SUMIFS(Proposal_1!$T$14:$T$300,Proposal_1!$G$14:$G$300,$B89,Proposal_1!$F$14:$F$300,"Included"))</f>
        <v/>
      </c>
      <c r="I89" s="6" t="str">
        <f>IF($B89="","",SUMIFS(Proposal_1!$V$14:$V$300,Proposal_1!$G$14:$G$300,$B89,Proposal_1!$F$14:$F$300,"Included"))</f>
        <v/>
      </c>
      <c r="J89" s="6" t="str">
        <f>IF($B89="","",SUMIFS(Proposal_1!$X$14:$X$300,Proposal_1!$G$14:$G$300,$B89,Proposal_1!$F$14:$F$300,"Included"))</f>
        <v/>
      </c>
      <c r="M89" s="6" t="str">
        <f>IF($B89="","",SUMIFS(Proposal_2!$J$14:$J$300,Proposal_2!$G$14:$G$300,$B89,Proposal_2!$F$14:$F$300,"Included"))</f>
        <v/>
      </c>
      <c r="N89" s="6" t="str">
        <f>IF($B89="","",SUMIFS(Proposal_2!$L$14:$L$300,Proposal_2!$G$14:$G$300,$B89,Proposal_2!$F$14:$F$300,"Included"))</f>
        <v/>
      </c>
      <c r="O89" s="6" t="str">
        <f>IF($B89="","",SUMIFS(Proposal_2!$N$14:$N$300,Proposal_2!$G$14:$G$300,$B89,Proposal_2!$F$14:$F$300,"Included"))</f>
        <v/>
      </c>
      <c r="P89" s="6" t="str">
        <f>IF($B89="","",SUMIFS(Proposal_2!$P$14:$P$300,Proposal_2!$G$14:$G$300,$B89,Proposal_2!$F$14:$F$300,"Included"))</f>
        <v/>
      </c>
      <c r="Q89" s="6" t="str">
        <f>IF($B89="","",SUMIFS(Proposal_2!$R$14:$R$300,Proposal_2!$G$14:$G$300,$B89,Proposal_2!$F$14:$F$300,"Included"))</f>
        <v/>
      </c>
      <c r="R89" s="6" t="str">
        <f>IF($B89="","",SUMIFS(Proposal_2!$T$14:$T$300,Proposal_2!$G$14:$G$300,$B89,Proposal_2!$F$14:$F$300,"Included"))</f>
        <v/>
      </c>
      <c r="S89" s="6" t="str">
        <f>IF($B89="","",SUMIFS(Proposal_2!$V$14:$V$300,Proposal_2!$G$14:$G$300,$B89,Proposal_2!$F$14:$F$300,"Included"))</f>
        <v/>
      </c>
      <c r="T89" s="6" t="str">
        <f>IF($B89="","",SUMIFS(Proposal_2!$X$14:$X$300,Proposal_2!$G$14:$G$300,$B89,Proposal_2!$F$14:$F$300,"Included"))</f>
        <v/>
      </c>
      <c r="W89" s="6" t="str">
        <f>IF($B89="","",SUMIFS(Proposal_3!$J$14:$J$300,Proposal_3!$G$14:$G$300,$B89,Proposal_3!$F$14:$F$300,"Included"))</f>
        <v/>
      </c>
      <c r="X89" s="6" t="str">
        <f>IF($B89="","",SUMIFS(Proposal_3!$L$14:$L$300,Proposal_3!$G$14:$G$300,$B89,Proposal_3!$F$14:$F$300,"Included"))</f>
        <v/>
      </c>
      <c r="Y89" s="6" t="str">
        <f>IF($B89="","",SUMIFS(Proposal_3!$N$14:$N$300,Proposal_3!$G$14:$G$300,$B89,Proposal_3!$F$14:$F$300,"Included"))</f>
        <v/>
      </c>
      <c r="Z89" s="6" t="str">
        <f>IF($B89="","",SUMIFS(Proposal_3!$P$14:$P$300,Proposal_3!$G$14:$G$300,$B89,Proposal_3!$F$14:$F$300,"Included"))</f>
        <v/>
      </c>
      <c r="AA89" s="6" t="str">
        <f>IF($B89="","",SUMIFS(Proposal_3!$R$14:$R$300,Proposal_3!$G$14:$G$300,$B89,Proposal_3!$F$14:$F$300,"Included"))</f>
        <v/>
      </c>
      <c r="AB89" s="6" t="str">
        <f>IF($B89="","",SUMIFS(Proposal_3!$T$14:$T$300,Proposal_3!$G$14:$G$300,$B89,Proposal_3!$F$14:$F$300,"Included"))</f>
        <v/>
      </c>
      <c r="AC89" s="6" t="str">
        <f>IF($B89="","",SUMIFS(Proposal_3!$V$14:$V$300,Proposal_3!$G$14:$G$300,$B89,Proposal_3!$F$14:$F$300,"Included"))</f>
        <v/>
      </c>
      <c r="AD89" s="6" t="str">
        <f>IF($B89="","",SUMIFS(Proposal_3!$X$14:$X$300,Proposal_3!$G$14:$G$300,$B89,Proposal_3!$F$14:$F$300,"Included"))</f>
        <v/>
      </c>
    </row>
    <row r="90" spans="3:30" x14ac:dyDescent="0.25">
      <c r="C90" s="6" t="str">
        <f>IF($B90="","",SUMIFS(Proposal_1!$J$14:$J$300,Proposal_1!$G$14:$G$300,$B90,Proposal_1!$F$14:$F$300,"Included"))</f>
        <v/>
      </c>
      <c r="D90" s="6" t="str">
        <f>IF($B90="","",SUMIFS(Proposal_1!$L$14:$L$300,Proposal_1!$G$14:$G$300,$B90,Proposal_1!$F$14:$F$300,"Included"))</f>
        <v/>
      </c>
      <c r="E90" s="6" t="str">
        <f>IF($B90="","",SUMIFS(Proposal_1!$N$14:$N$300,Proposal_1!$G$14:$G$300,$B90,Proposal_1!$F$14:$F$300,"Included"))</f>
        <v/>
      </c>
      <c r="F90" s="6" t="str">
        <f>IF($B90="","",SUMIFS(Proposal_1!$P$14:$P$300,Proposal_1!$G$14:$G$300,$B90,Proposal_1!$F$14:$F$300,"Included"))</f>
        <v/>
      </c>
      <c r="G90" s="6" t="str">
        <f>IF($B90="","",SUMIFS(Proposal_1!$R$14:$R$300,Proposal_1!$G$14:$G$300,$B90,Proposal_1!$F$14:$F$300,"Included"))</f>
        <v/>
      </c>
      <c r="H90" s="6" t="str">
        <f>IF($B90="","",SUMIFS(Proposal_1!$T$14:$T$300,Proposal_1!$G$14:$G$300,$B90,Proposal_1!$F$14:$F$300,"Included"))</f>
        <v/>
      </c>
      <c r="I90" s="6" t="str">
        <f>IF($B90="","",SUMIFS(Proposal_1!$V$14:$V$300,Proposal_1!$G$14:$G$300,$B90,Proposal_1!$F$14:$F$300,"Included"))</f>
        <v/>
      </c>
      <c r="J90" s="6" t="str">
        <f>IF($B90="","",SUMIFS(Proposal_1!$X$14:$X$300,Proposal_1!$G$14:$G$300,$B90,Proposal_1!$F$14:$F$300,"Included"))</f>
        <v/>
      </c>
      <c r="M90" s="6" t="str">
        <f>IF($B90="","",SUMIFS(Proposal_2!$J$14:$J$300,Proposal_2!$G$14:$G$300,$B90,Proposal_2!$F$14:$F$300,"Included"))</f>
        <v/>
      </c>
      <c r="N90" s="6" t="str">
        <f>IF($B90="","",SUMIFS(Proposal_2!$L$14:$L$300,Proposal_2!$G$14:$G$300,$B90,Proposal_2!$F$14:$F$300,"Included"))</f>
        <v/>
      </c>
      <c r="O90" s="6" t="str">
        <f>IF($B90="","",SUMIFS(Proposal_2!$N$14:$N$300,Proposal_2!$G$14:$G$300,$B90,Proposal_2!$F$14:$F$300,"Included"))</f>
        <v/>
      </c>
      <c r="P90" s="6" t="str">
        <f>IF($B90="","",SUMIFS(Proposal_2!$P$14:$P$300,Proposal_2!$G$14:$G$300,$B90,Proposal_2!$F$14:$F$300,"Included"))</f>
        <v/>
      </c>
      <c r="Q90" s="6" t="str">
        <f>IF($B90="","",SUMIFS(Proposal_2!$R$14:$R$300,Proposal_2!$G$14:$G$300,$B90,Proposal_2!$F$14:$F$300,"Included"))</f>
        <v/>
      </c>
      <c r="R90" s="6" t="str">
        <f>IF($B90="","",SUMIFS(Proposal_2!$T$14:$T$300,Proposal_2!$G$14:$G$300,$B90,Proposal_2!$F$14:$F$300,"Included"))</f>
        <v/>
      </c>
      <c r="S90" s="6" t="str">
        <f>IF($B90="","",SUMIFS(Proposal_2!$V$14:$V$300,Proposal_2!$G$14:$G$300,$B90,Proposal_2!$F$14:$F$300,"Included"))</f>
        <v/>
      </c>
      <c r="T90" s="6" t="str">
        <f>IF($B90="","",SUMIFS(Proposal_2!$X$14:$X$300,Proposal_2!$G$14:$G$300,$B90,Proposal_2!$F$14:$F$300,"Included"))</f>
        <v/>
      </c>
      <c r="W90" s="6" t="str">
        <f>IF($B90="","",SUMIFS(Proposal_3!$J$14:$J$300,Proposal_3!$G$14:$G$300,$B90,Proposal_3!$F$14:$F$300,"Included"))</f>
        <v/>
      </c>
      <c r="X90" s="6" t="str">
        <f>IF($B90="","",SUMIFS(Proposal_3!$L$14:$L$300,Proposal_3!$G$14:$G$300,$B90,Proposal_3!$F$14:$F$300,"Included"))</f>
        <v/>
      </c>
      <c r="Y90" s="6" t="str">
        <f>IF($B90="","",SUMIFS(Proposal_3!$N$14:$N$300,Proposal_3!$G$14:$G$300,$B90,Proposal_3!$F$14:$F$300,"Included"))</f>
        <v/>
      </c>
      <c r="Z90" s="6" t="str">
        <f>IF($B90="","",SUMIFS(Proposal_3!$P$14:$P$300,Proposal_3!$G$14:$G$300,$B90,Proposal_3!$F$14:$F$300,"Included"))</f>
        <v/>
      </c>
      <c r="AA90" s="6" t="str">
        <f>IF($B90="","",SUMIFS(Proposal_3!$R$14:$R$300,Proposal_3!$G$14:$G$300,$B90,Proposal_3!$F$14:$F$300,"Included"))</f>
        <v/>
      </c>
      <c r="AB90" s="6" t="str">
        <f>IF($B90="","",SUMIFS(Proposal_3!$T$14:$T$300,Proposal_3!$G$14:$G$300,$B90,Proposal_3!$F$14:$F$300,"Included"))</f>
        <v/>
      </c>
      <c r="AC90" s="6" t="str">
        <f>IF($B90="","",SUMIFS(Proposal_3!$V$14:$V$300,Proposal_3!$G$14:$G$300,$B90,Proposal_3!$F$14:$F$300,"Included"))</f>
        <v/>
      </c>
      <c r="AD90" s="6" t="str">
        <f>IF($B90="","",SUMIFS(Proposal_3!$X$14:$X$300,Proposal_3!$G$14:$G$300,$B90,Proposal_3!$F$14:$F$300,"Included"))</f>
        <v/>
      </c>
    </row>
    <row r="91" spans="3:30" x14ac:dyDescent="0.25">
      <c r="C91" s="6" t="str">
        <f>IF($B91="","",SUMIFS(Proposal_1!$J$14:$J$300,Proposal_1!$G$14:$G$300,$B91,Proposal_1!$F$14:$F$300,"Included"))</f>
        <v/>
      </c>
      <c r="D91" s="6" t="str">
        <f>IF($B91="","",SUMIFS(Proposal_1!$L$14:$L$300,Proposal_1!$G$14:$G$300,$B91,Proposal_1!$F$14:$F$300,"Included"))</f>
        <v/>
      </c>
      <c r="E91" s="6" t="str">
        <f>IF($B91="","",SUMIFS(Proposal_1!$N$14:$N$300,Proposal_1!$G$14:$G$300,$B91,Proposal_1!$F$14:$F$300,"Included"))</f>
        <v/>
      </c>
      <c r="F91" s="6" t="str">
        <f>IF($B91="","",SUMIFS(Proposal_1!$P$14:$P$300,Proposal_1!$G$14:$G$300,$B91,Proposal_1!$F$14:$F$300,"Included"))</f>
        <v/>
      </c>
      <c r="G91" s="6" t="str">
        <f>IF($B91="","",SUMIFS(Proposal_1!$R$14:$R$300,Proposal_1!$G$14:$G$300,$B91,Proposal_1!$F$14:$F$300,"Included"))</f>
        <v/>
      </c>
      <c r="H91" s="6" t="str">
        <f>IF($B91="","",SUMIFS(Proposal_1!$T$14:$T$300,Proposal_1!$G$14:$G$300,$B91,Proposal_1!$F$14:$F$300,"Included"))</f>
        <v/>
      </c>
      <c r="I91" s="6" t="str">
        <f>IF($B91="","",SUMIFS(Proposal_1!$V$14:$V$300,Proposal_1!$G$14:$G$300,$B91,Proposal_1!$F$14:$F$300,"Included"))</f>
        <v/>
      </c>
      <c r="J91" s="6" t="str">
        <f>IF($B91="","",SUMIFS(Proposal_1!$X$14:$X$300,Proposal_1!$G$14:$G$300,$B91,Proposal_1!$F$14:$F$300,"Included"))</f>
        <v/>
      </c>
      <c r="M91" s="6" t="str">
        <f>IF($B91="","",SUMIFS(Proposal_2!$J$14:$J$300,Proposal_2!$G$14:$G$300,$B91,Proposal_2!$F$14:$F$300,"Included"))</f>
        <v/>
      </c>
      <c r="N91" s="6" t="str">
        <f>IF($B91="","",SUMIFS(Proposal_2!$L$14:$L$300,Proposal_2!$G$14:$G$300,$B91,Proposal_2!$F$14:$F$300,"Included"))</f>
        <v/>
      </c>
      <c r="O91" s="6" t="str">
        <f>IF($B91="","",SUMIFS(Proposal_2!$N$14:$N$300,Proposal_2!$G$14:$G$300,$B91,Proposal_2!$F$14:$F$300,"Included"))</f>
        <v/>
      </c>
      <c r="P91" s="6" t="str">
        <f>IF($B91="","",SUMIFS(Proposal_2!$P$14:$P$300,Proposal_2!$G$14:$G$300,$B91,Proposal_2!$F$14:$F$300,"Included"))</f>
        <v/>
      </c>
      <c r="Q91" s="6" t="str">
        <f>IF($B91="","",SUMIFS(Proposal_2!$R$14:$R$300,Proposal_2!$G$14:$G$300,$B91,Proposal_2!$F$14:$F$300,"Included"))</f>
        <v/>
      </c>
      <c r="R91" s="6" t="str">
        <f>IF($B91="","",SUMIFS(Proposal_2!$T$14:$T$300,Proposal_2!$G$14:$G$300,$B91,Proposal_2!$F$14:$F$300,"Included"))</f>
        <v/>
      </c>
      <c r="S91" s="6" t="str">
        <f>IF($B91="","",SUMIFS(Proposal_2!$V$14:$V$300,Proposal_2!$G$14:$G$300,$B91,Proposal_2!$F$14:$F$300,"Included"))</f>
        <v/>
      </c>
      <c r="T91" s="6" t="str">
        <f>IF($B91="","",SUMIFS(Proposal_2!$X$14:$X$300,Proposal_2!$G$14:$G$300,$B91,Proposal_2!$F$14:$F$300,"Included"))</f>
        <v/>
      </c>
      <c r="W91" s="6" t="str">
        <f>IF($B91="","",SUMIFS(Proposal_3!$J$14:$J$300,Proposal_3!$G$14:$G$300,$B91,Proposal_3!$F$14:$F$300,"Included"))</f>
        <v/>
      </c>
      <c r="X91" s="6" t="str">
        <f>IF($B91="","",SUMIFS(Proposal_3!$L$14:$L$300,Proposal_3!$G$14:$G$300,$B91,Proposal_3!$F$14:$F$300,"Included"))</f>
        <v/>
      </c>
      <c r="Y91" s="6" t="str">
        <f>IF($B91="","",SUMIFS(Proposal_3!$N$14:$N$300,Proposal_3!$G$14:$G$300,$B91,Proposal_3!$F$14:$F$300,"Included"))</f>
        <v/>
      </c>
      <c r="Z91" s="6" t="str">
        <f>IF($B91="","",SUMIFS(Proposal_3!$P$14:$P$300,Proposal_3!$G$14:$G$300,$B91,Proposal_3!$F$14:$F$300,"Included"))</f>
        <v/>
      </c>
      <c r="AA91" s="6" t="str">
        <f>IF($B91="","",SUMIFS(Proposal_3!$R$14:$R$300,Proposal_3!$G$14:$G$300,$B91,Proposal_3!$F$14:$F$300,"Included"))</f>
        <v/>
      </c>
      <c r="AB91" s="6" t="str">
        <f>IF($B91="","",SUMIFS(Proposal_3!$T$14:$T$300,Proposal_3!$G$14:$G$300,$B91,Proposal_3!$F$14:$F$300,"Included"))</f>
        <v/>
      </c>
      <c r="AC91" s="6" t="str">
        <f>IF($B91="","",SUMIFS(Proposal_3!$V$14:$V$300,Proposal_3!$G$14:$G$300,$B91,Proposal_3!$F$14:$F$300,"Included"))</f>
        <v/>
      </c>
      <c r="AD91" s="6" t="str">
        <f>IF($B91="","",SUMIFS(Proposal_3!$X$14:$X$300,Proposal_3!$G$14:$G$300,$B91,Proposal_3!$F$14:$F$300,"Included"))</f>
        <v/>
      </c>
    </row>
    <row r="92" spans="3:30" x14ac:dyDescent="0.25">
      <c r="C92" s="6" t="str">
        <f>IF($B92="","",SUMIFS(Proposal_1!$J$14:$J$300,Proposal_1!$G$14:$G$300,$B92,Proposal_1!$F$14:$F$300,"Included"))</f>
        <v/>
      </c>
      <c r="D92" s="6" t="str">
        <f>IF($B92="","",SUMIFS(Proposal_1!$L$14:$L$300,Proposal_1!$G$14:$G$300,$B92,Proposal_1!$F$14:$F$300,"Included"))</f>
        <v/>
      </c>
      <c r="E92" s="6" t="str">
        <f>IF($B92="","",SUMIFS(Proposal_1!$N$14:$N$300,Proposal_1!$G$14:$G$300,$B92,Proposal_1!$F$14:$F$300,"Included"))</f>
        <v/>
      </c>
      <c r="F92" s="6" t="str">
        <f>IF($B92="","",SUMIFS(Proposal_1!$P$14:$P$300,Proposal_1!$G$14:$G$300,$B92,Proposal_1!$F$14:$F$300,"Included"))</f>
        <v/>
      </c>
      <c r="G92" s="6" t="str">
        <f>IF($B92="","",SUMIFS(Proposal_1!$R$14:$R$300,Proposal_1!$G$14:$G$300,$B92,Proposal_1!$F$14:$F$300,"Included"))</f>
        <v/>
      </c>
      <c r="H92" s="6" t="str">
        <f>IF($B92="","",SUMIFS(Proposal_1!$T$14:$T$300,Proposal_1!$G$14:$G$300,$B92,Proposal_1!$F$14:$F$300,"Included"))</f>
        <v/>
      </c>
      <c r="I92" s="6" t="str">
        <f>IF($B92="","",SUMIFS(Proposal_1!$V$14:$V$300,Proposal_1!$G$14:$G$300,$B92,Proposal_1!$F$14:$F$300,"Included"))</f>
        <v/>
      </c>
      <c r="J92" s="6" t="str">
        <f>IF($B92="","",SUMIFS(Proposal_1!$X$14:$X$300,Proposal_1!$G$14:$G$300,$B92,Proposal_1!$F$14:$F$300,"Included"))</f>
        <v/>
      </c>
      <c r="M92" s="6" t="str">
        <f>IF($B92="","",SUMIFS(Proposal_2!$J$14:$J$300,Proposal_2!$G$14:$G$300,$B92,Proposal_2!$F$14:$F$300,"Included"))</f>
        <v/>
      </c>
      <c r="N92" s="6" t="str">
        <f>IF($B92="","",SUMIFS(Proposal_2!$L$14:$L$300,Proposal_2!$G$14:$G$300,$B92,Proposal_2!$F$14:$F$300,"Included"))</f>
        <v/>
      </c>
      <c r="O92" s="6" t="str">
        <f>IF($B92="","",SUMIFS(Proposal_2!$N$14:$N$300,Proposal_2!$G$14:$G$300,$B92,Proposal_2!$F$14:$F$300,"Included"))</f>
        <v/>
      </c>
      <c r="P92" s="6" t="str">
        <f>IF($B92="","",SUMIFS(Proposal_2!$P$14:$P$300,Proposal_2!$G$14:$G$300,$B92,Proposal_2!$F$14:$F$300,"Included"))</f>
        <v/>
      </c>
      <c r="Q92" s="6" t="str">
        <f>IF($B92="","",SUMIFS(Proposal_2!$R$14:$R$300,Proposal_2!$G$14:$G$300,$B92,Proposal_2!$F$14:$F$300,"Included"))</f>
        <v/>
      </c>
      <c r="R92" s="6" t="str">
        <f>IF($B92="","",SUMIFS(Proposal_2!$T$14:$T$300,Proposal_2!$G$14:$G$300,$B92,Proposal_2!$F$14:$F$300,"Included"))</f>
        <v/>
      </c>
      <c r="S92" s="6" t="str">
        <f>IF($B92="","",SUMIFS(Proposal_2!$V$14:$V$300,Proposal_2!$G$14:$G$300,$B92,Proposal_2!$F$14:$F$300,"Included"))</f>
        <v/>
      </c>
      <c r="T92" s="6" t="str">
        <f>IF($B92="","",SUMIFS(Proposal_2!$X$14:$X$300,Proposal_2!$G$14:$G$300,$B92,Proposal_2!$F$14:$F$300,"Included"))</f>
        <v/>
      </c>
      <c r="W92" s="6" t="str">
        <f>IF($B92="","",SUMIFS(Proposal_3!$J$14:$J$300,Proposal_3!$G$14:$G$300,$B92,Proposal_3!$F$14:$F$300,"Included"))</f>
        <v/>
      </c>
      <c r="X92" s="6" t="str">
        <f>IF($B92="","",SUMIFS(Proposal_3!$L$14:$L$300,Proposal_3!$G$14:$G$300,$B92,Proposal_3!$F$14:$F$300,"Included"))</f>
        <v/>
      </c>
      <c r="Y92" s="6" t="str">
        <f>IF($B92="","",SUMIFS(Proposal_3!$N$14:$N$300,Proposal_3!$G$14:$G$300,$B92,Proposal_3!$F$14:$F$300,"Included"))</f>
        <v/>
      </c>
      <c r="Z92" s="6" t="str">
        <f>IF($B92="","",SUMIFS(Proposal_3!$P$14:$P$300,Proposal_3!$G$14:$G$300,$B92,Proposal_3!$F$14:$F$300,"Included"))</f>
        <v/>
      </c>
      <c r="AA92" s="6" t="str">
        <f>IF($B92="","",SUMIFS(Proposal_3!$R$14:$R$300,Proposal_3!$G$14:$G$300,$B92,Proposal_3!$F$14:$F$300,"Included"))</f>
        <v/>
      </c>
      <c r="AB92" s="6" t="str">
        <f>IF($B92="","",SUMIFS(Proposal_3!$T$14:$T$300,Proposal_3!$G$14:$G$300,$B92,Proposal_3!$F$14:$F$300,"Included"))</f>
        <v/>
      </c>
      <c r="AC92" s="6" t="str">
        <f>IF($B92="","",SUMIFS(Proposal_3!$V$14:$V$300,Proposal_3!$G$14:$G$300,$B92,Proposal_3!$F$14:$F$300,"Included"))</f>
        <v/>
      </c>
      <c r="AD92" s="6" t="str">
        <f>IF($B92="","",SUMIFS(Proposal_3!$X$14:$X$300,Proposal_3!$G$14:$G$300,$B92,Proposal_3!$F$14:$F$300,"Included"))</f>
        <v/>
      </c>
    </row>
    <row r="93" spans="3:30" x14ac:dyDescent="0.25">
      <c r="C93" s="6" t="str">
        <f>IF($B93="","",SUMIFS(Proposal_1!$J$14:$J$300,Proposal_1!$G$14:$G$300,$B93,Proposal_1!$F$14:$F$300,"Included"))</f>
        <v/>
      </c>
      <c r="D93" s="6" t="str">
        <f>IF($B93="","",SUMIFS(Proposal_1!$L$14:$L$300,Proposal_1!$G$14:$G$300,$B93,Proposal_1!$F$14:$F$300,"Included"))</f>
        <v/>
      </c>
      <c r="E93" s="6" t="str">
        <f>IF($B93="","",SUMIFS(Proposal_1!$N$14:$N$300,Proposal_1!$G$14:$G$300,$B93,Proposal_1!$F$14:$F$300,"Included"))</f>
        <v/>
      </c>
      <c r="F93" s="6" t="str">
        <f>IF($B93="","",SUMIFS(Proposal_1!$P$14:$P$300,Proposal_1!$G$14:$G$300,$B93,Proposal_1!$F$14:$F$300,"Included"))</f>
        <v/>
      </c>
      <c r="G93" s="6" t="str">
        <f>IF($B93="","",SUMIFS(Proposal_1!$R$14:$R$300,Proposal_1!$G$14:$G$300,$B93,Proposal_1!$F$14:$F$300,"Included"))</f>
        <v/>
      </c>
      <c r="H93" s="6" t="str">
        <f>IF($B93="","",SUMIFS(Proposal_1!$T$14:$T$300,Proposal_1!$G$14:$G$300,$B93,Proposal_1!$F$14:$F$300,"Included"))</f>
        <v/>
      </c>
      <c r="I93" s="6" t="str">
        <f>IF($B93="","",SUMIFS(Proposal_1!$V$14:$V$300,Proposal_1!$G$14:$G$300,$B93,Proposal_1!$F$14:$F$300,"Included"))</f>
        <v/>
      </c>
      <c r="J93" s="6" t="str">
        <f>IF($B93="","",SUMIFS(Proposal_1!$X$14:$X$300,Proposal_1!$G$14:$G$300,$B93,Proposal_1!$F$14:$F$300,"Included"))</f>
        <v/>
      </c>
      <c r="M93" s="6" t="str">
        <f>IF($B93="","",SUMIFS(Proposal_2!$J$14:$J$300,Proposal_2!$G$14:$G$300,$B93,Proposal_2!$F$14:$F$300,"Included"))</f>
        <v/>
      </c>
      <c r="N93" s="6" t="str">
        <f>IF($B93="","",SUMIFS(Proposal_2!$L$14:$L$300,Proposal_2!$G$14:$G$300,$B93,Proposal_2!$F$14:$F$300,"Included"))</f>
        <v/>
      </c>
      <c r="O93" s="6" t="str">
        <f>IF($B93="","",SUMIFS(Proposal_2!$N$14:$N$300,Proposal_2!$G$14:$G$300,$B93,Proposal_2!$F$14:$F$300,"Included"))</f>
        <v/>
      </c>
      <c r="P93" s="6" t="str">
        <f>IF($B93="","",SUMIFS(Proposal_2!$P$14:$P$300,Proposal_2!$G$14:$G$300,$B93,Proposal_2!$F$14:$F$300,"Included"))</f>
        <v/>
      </c>
      <c r="Q93" s="6" t="str">
        <f>IF($B93="","",SUMIFS(Proposal_2!$R$14:$R$300,Proposal_2!$G$14:$G$300,$B93,Proposal_2!$F$14:$F$300,"Included"))</f>
        <v/>
      </c>
      <c r="R93" s="6" t="str">
        <f>IF($B93="","",SUMIFS(Proposal_2!$T$14:$T$300,Proposal_2!$G$14:$G$300,$B93,Proposal_2!$F$14:$F$300,"Included"))</f>
        <v/>
      </c>
      <c r="S93" s="6" t="str">
        <f>IF($B93="","",SUMIFS(Proposal_2!$V$14:$V$300,Proposal_2!$G$14:$G$300,$B93,Proposal_2!$F$14:$F$300,"Included"))</f>
        <v/>
      </c>
      <c r="T93" s="6" t="str">
        <f>IF($B93="","",SUMIFS(Proposal_2!$X$14:$X$300,Proposal_2!$G$14:$G$300,$B93,Proposal_2!$F$14:$F$300,"Included"))</f>
        <v/>
      </c>
      <c r="W93" s="6" t="str">
        <f>IF($B93="","",SUMIFS(Proposal_3!$J$14:$J$300,Proposal_3!$G$14:$G$300,$B93,Proposal_3!$F$14:$F$300,"Included"))</f>
        <v/>
      </c>
      <c r="X93" s="6" t="str">
        <f>IF($B93="","",SUMIFS(Proposal_3!$L$14:$L$300,Proposal_3!$G$14:$G$300,$B93,Proposal_3!$F$14:$F$300,"Included"))</f>
        <v/>
      </c>
      <c r="Y93" s="6" t="str">
        <f>IF($B93="","",SUMIFS(Proposal_3!$N$14:$N$300,Proposal_3!$G$14:$G$300,$B93,Proposal_3!$F$14:$F$300,"Included"))</f>
        <v/>
      </c>
      <c r="Z93" s="6" t="str">
        <f>IF($B93="","",SUMIFS(Proposal_3!$P$14:$P$300,Proposal_3!$G$14:$G$300,$B93,Proposal_3!$F$14:$F$300,"Included"))</f>
        <v/>
      </c>
      <c r="AA93" s="6" t="str">
        <f>IF($B93="","",SUMIFS(Proposal_3!$R$14:$R$300,Proposal_3!$G$14:$G$300,$B93,Proposal_3!$F$14:$F$300,"Included"))</f>
        <v/>
      </c>
      <c r="AB93" s="6" t="str">
        <f>IF($B93="","",SUMIFS(Proposal_3!$T$14:$T$300,Proposal_3!$G$14:$G$300,$B93,Proposal_3!$F$14:$F$300,"Included"))</f>
        <v/>
      </c>
      <c r="AC93" s="6" t="str">
        <f>IF($B93="","",SUMIFS(Proposal_3!$V$14:$V$300,Proposal_3!$G$14:$G$300,$B93,Proposal_3!$F$14:$F$300,"Included"))</f>
        <v/>
      </c>
      <c r="AD93" s="6" t="str">
        <f>IF($B93="","",SUMIFS(Proposal_3!$X$14:$X$300,Proposal_3!$G$14:$G$300,$B93,Proposal_3!$F$14:$F$300,"Included"))</f>
        <v/>
      </c>
    </row>
    <row r="94" spans="3:30" x14ac:dyDescent="0.25">
      <c r="C94" s="6" t="str">
        <f>IF($B94="","",SUMIFS(Proposal_1!$J$14:$J$300,Proposal_1!$G$14:$G$300,$B94,Proposal_1!$F$14:$F$300,"Included"))</f>
        <v/>
      </c>
      <c r="D94" s="6" t="str">
        <f>IF($B94="","",SUMIFS(Proposal_1!$L$14:$L$300,Proposal_1!$G$14:$G$300,$B94,Proposal_1!$F$14:$F$300,"Included"))</f>
        <v/>
      </c>
      <c r="E94" s="6" t="str">
        <f>IF($B94="","",SUMIFS(Proposal_1!$N$14:$N$300,Proposal_1!$G$14:$G$300,$B94,Proposal_1!$F$14:$F$300,"Included"))</f>
        <v/>
      </c>
      <c r="F94" s="6" t="str">
        <f>IF($B94="","",SUMIFS(Proposal_1!$P$14:$P$300,Proposal_1!$G$14:$G$300,$B94,Proposal_1!$F$14:$F$300,"Included"))</f>
        <v/>
      </c>
      <c r="G94" s="6" t="str">
        <f>IF($B94="","",SUMIFS(Proposal_1!$R$14:$R$300,Proposal_1!$G$14:$G$300,$B94,Proposal_1!$F$14:$F$300,"Included"))</f>
        <v/>
      </c>
      <c r="H94" s="6" t="str">
        <f>IF($B94="","",SUMIFS(Proposal_1!$T$14:$T$300,Proposal_1!$G$14:$G$300,$B94,Proposal_1!$F$14:$F$300,"Included"))</f>
        <v/>
      </c>
      <c r="I94" s="6" t="str">
        <f>IF($B94="","",SUMIFS(Proposal_1!$V$14:$V$300,Proposal_1!$G$14:$G$300,$B94,Proposal_1!$F$14:$F$300,"Included"))</f>
        <v/>
      </c>
      <c r="J94" s="6" t="str">
        <f>IF($B94="","",SUMIFS(Proposal_1!$X$14:$X$300,Proposal_1!$G$14:$G$300,$B94,Proposal_1!$F$14:$F$300,"Included"))</f>
        <v/>
      </c>
      <c r="M94" s="6" t="str">
        <f>IF($B94="","",SUMIFS(Proposal_2!$J$14:$J$300,Proposal_2!$G$14:$G$300,$B94,Proposal_2!$F$14:$F$300,"Included"))</f>
        <v/>
      </c>
      <c r="N94" s="6" t="str">
        <f>IF($B94="","",SUMIFS(Proposal_2!$L$14:$L$300,Proposal_2!$G$14:$G$300,$B94,Proposal_2!$F$14:$F$300,"Included"))</f>
        <v/>
      </c>
      <c r="O94" s="6" t="str">
        <f>IF($B94="","",SUMIFS(Proposal_2!$N$14:$N$300,Proposal_2!$G$14:$G$300,$B94,Proposal_2!$F$14:$F$300,"Included"))</f>
        <v/>
      </c>
      <c r="P94" s="6" t="str">
        <f>IF($B94="","",SUMIFS(Proposal_2!$P$14:$P$300,Proposal_2!$G$14:$G$300,$B94,Proposal_2!$F$14:$F$300,"Included"))</f>
        <v/>
      </c>
      <c r="Q94" s="6" t="str">
        <f>IF($B94="","",SUMIFS(Proposal_2!$R$14:$R$300,Proposal_2!$G$14:$G$300,$B94,Proposal_2!$F$14:$F$300,"Included"))</f>
        <v/>
      </c>
      <c r="R94" s="6" t="str">
        <f>IF($B94="","",SUMIFS(Proposal_2!$T$14:$T$300,Proposal_2!$G$14:$G$300,$B94,Proposal_2!$F$14:$F$300,"Included"))</f>
        <v/>
      </c>
      <c r="S94" s="6" t="str">
        <f>IF($B94="","",SUMIFS(Proposal_2!$V$14:$V$300,Proposal_2!$G$14:$G$300,$B94,Proposal_2!$F$14:$F$300,"Included"))</f>
        <v/>
      </c>
      <c r="T94" s="6" t="str">
        <f>IF($B94="","",SUMIFS(Proposal_2!$X$14:$X$300,Proposal_2!$G$14:$G$300,$B94,Proposal_2!$F$14:$F$300,"Included"))</f>
        <v/>
      </c>
      <c r="W94" s="6" t="str">
        <f>IF($B94="","",SUMIFS(Proposal_3!$J$14:$J$300,Proposal_3!$G$14:$G$300,$B94,Proposal_3!$F$14:$F$300,"Included"))</f>
        <v/>
      </c>
      <c r="X94" s="6" t="str">
        <f>IF($B94="","",SUMIFS(Proposal_3!$L$14:$L$300,Proposal_3!$G$14:$G$300,$B94,Proposal_3!$F$14:$F$300,"Included"))</f>
        <v/>
      </c>
      <c r="Y94" s="6" t="str">
        <f>IF($B94="","",SUMIFS(Proposal_3!$N$14:$N$300,Proposal_3!$G$14:$G$300,$B94,Proposal_3!$F$14:$F$300,"Included"))</f>
        <v/>
      </c>
      <c r="Z94" s="6" t="str">
        <f>IF($B94="","",SUMIFS(Proposal_3!$P$14:$P$300,Proposal_3!$G$14:$G$300,$B94,Proposal_3!$F$14:$F$300,"Included"))</f>
        <v/>
      </c>
      <c r="AA94" s="6" t="str">
        <f>IF($B94="","",SUMIFS(Proposal_3!$R$14:$R$300,Proposal_3!$G$14:$G$300,$B94,Proposal_3!$F$14:$F$300,"Included"))</f>
        <v/>
      </c>
      <c r="AB94" s="6" t="str">
        <f>IF($B94="","",SUMIFS(Proposal_3!$T$14:$T$300,Proposal_3!$G$14:$G$300,$B94,Proposal_3!$F$14:$F$300,"Included"))</f>
        <v/>
      </c>
      <c r="AC94" s="6" t="str">
        <f>IF($B94="","",SUMIFS(Proposal_3!$V$14:$V$300,Proposal_3!$G$14:$G$300,$B94,Proposal_3!$F$14:$F$300,"Included"))</f>
        <v/>
      </c>
      <c r="AD94" s="6" t="str">
        <f>IF($B94="","",SUMIFS(Proposal_3!$X$14:$X$300,Proposal_3!$G$14:$G$300,$B94,Proposal_3!$F$14:$F$300,"Included"))</f>
        <v/>
      </c>
    </row>
    <row r="95" spans="3:30" x14ac:dyDescent="0.25">
      <c r="C95" s="6" t="str">
        <f>IF($B95="","",SUMIFS(Proposal_1!$J$14:$J$300,Proposal_1!$G$14:$G$300,$B95,Proposal_1!$F$14:$F$300,"Included"))</f>
        <v/>
      </c>
      <c r="D95" s="6" t="str">
        <f>IF($B95="","",SUMIFS(Proposal_1!$L$14:$L$300,Proposal_1!$G$14:$G$300,$B95,Proposal_1!$F$14:$F$300,"Included"))</f>
        <v/>
      </c>
      <c r="E95" s="6" t="str">
        <f>IF($B95="","",SUMIFS(Proposal_1!$N$14:$N$300,Proposal_1!$G$14:$G$300,$B95,Proposal_1!$F$14:$F$300,"Included"))</f>
        <v/>
      </c>
      <c r="F95" s="6" t="str">
        <f>IF($B95="","",SUMIFS(Proposal_1!$P$14:$P$300,Proposal_1!$G$14:$G$300,$B95,Proposal_1!$F$14:$F$300,"Included"))</f>
        <v/>
      </c>
      <c r="G95" s="6" t="str">
        <f>IF($B95="","",SUMIFS(Proposal_1!$R$14:$R$300,Proposal_1!$G$14:$G$300,$B95,Proposal_1!$F$14:$F$300,"Included"))</f>
        <v/>
      </c>
      <c r="H95" s="6" t="str">
        <f>IF($B95="","",SUMIFS(Proposal_1!$T$14:$T$300,Proposal_1!$G$14:$G$300,$B95,Proposal_1!$F$14:$F$300,"Included"))</f>
        <v/>
      </c>
      <c r="I95" s="6" t="str">
        <f>IF($B95="","",SUMIFS(Proposal_1!$V$14:$V$300,Proposal_1!$G$14:$G$300,$B95,Proposal_1!$F$14:$F$300,"Included"))</f>
        <v/>
      </c>
      <c r="J95" s="6" t="str">
        <f>IF($B95="","",SUMIFS(Proposal_1!$X$14:$X$300,Proposal_1!$G$14:$G$300,$B95,Proposal_1!$F$14:$F$300,"Included"))</f>
        <v/>
      </c>
      <c r="M95" s="6" t="str">
        <f>IF($B95="","",SUMIFS(Proposal_2!$J$14:$J$300,Proposal_2!$G$14:$G$300,$B95,Proposal_2!$F$14:$F$300,"Included"))</f>
        <v/>
      </c>
      <c r="N95" s="6" t="str">
        <f>IF($B95="","",SUMIFS(Proposal_2!$L$14:$L$300,Proposal_2!$G$14:$G$300,$B95,Proposal_2!$F$14:$F$300,"Included"))</f>
        <v/>
      </c>
      <c r="O95" s="6" t="str">
        <f>IF($B95="","",SUMIFS(Proposal_2!$N$14:$N$300,Proposal_2!$G$14:$G$300,$B95,Proposal_2!$F$14:$F$300,"Included"))</f>
        <v/>
      </c>
      <c r="P95" s="6" t="str">
        <f>IF($B95="","",SUMIFS(Proposal_2!$P$14:$P$300,Proposal_2!$G$14:$G$300,$B95,Proposal_2!$F$14:$F$300,"Included"))</f>
        <v/>
      </c>
      <c r="Q95" s="6" t="str">
        <f>IF($B95="","",SUMIFS(Proposal_2!$R$14:$R$300,Proposal_2!$G$14:$G$300,$B95,Proposal_2!$F$14:$F$300,"Included"))</f>
        <v/>
      </c>
      <c r="R95" s="6" t="str">
        <f>IF($B95="","",SUMIFS(Proposal_2!$T$14:$T$300,Proposal_2!$G$14:$G$300,$B95,Proposal_2!$F$14:$F$300,"Included"))</f>
        <v/>
      </c>
      <c r="S95" s="6" t="str">
        <f>IF($B95="","",SUMIFS(Proposal_2!$V$14:$V$300,Proposal_2!$G$14:$G$300,$B95,Proposal_2!$F$14:$F$300,"Included"))</f>
        <v/>
      </c>
      <c r="T95" s="6" t="str">
        <f>IF($B95="","",SUMIFS(Proposal_2!$X$14:$X$300,Proposal_2!$G$14:$G$300,$B95,Proposal_2!$F$14:$F$300,"Included"))</f>
        <v/>
      </c>
      <c r="W95" s="6" t="str">
        <f>IF($B95="","",SUMIFS(Proposal_3!$J$14:$J$300,Proposal_3!$G$14:$G$300,$B95,Proposal_3!$F$14:$F$300,"Included"))</f>
        <v/>
      </c>
      <c r="X95" s="6" t="str">
        <f>IF($B95="","",SUMIFS(Proposal_3!$L$14:$L$300,Proposal_3!$G$14:$G$300,$B95,Proposal_3!$F$14:$F$300,"Included"))</f>
        <v/>
      </c>
      <c r="Y95" s="6" t="str">
        <f>IF($B95="","",SUMIFS(Proposal_3!$N$14:$N$300,Proposal_3!$G$14:$G$300,$B95,Proposal_3!$F$14:$F$300,"Included"))</f>
        <v/>
      </c>
      <c r="Z95" s="6" t="str">
        <f>IF($B95="","",SUMIFS(Proposal_3!$P$14:$P$300,Proposal_3!$G$14:$G$300,$B95,Proposal_3!$F$14:$F$300,"Included"))</f>
        <v/>
      </c>
      <c r="AA95" s="6" t="str">
        <f>IF($B95="","",SUMIFS(Proposal_3!$R$14:$R$300,Proposal_3!$G$14:$G$300,$B95,Proposal_3!$F$14:$F$300,"Included"))</f>
        <v/>
      </c>
      <c r="AB95" s="6" t="str">
        <f>IF($B95="","",SUMIFS(Proposal_3!$T$14:$T$300,Proposal_3!$G$14:$G$300,$B95,Proposal_3!$F$14:$F$300,"Included"))</f>
        <v/>
      </c>
      <c r="AC95" s="6" t="str">
        <f>IF($B95="","",SUMIFS(Proposal_3!$V$14:$V$300,Proposal_3!$G$14:$G$300,$B95,Proposal_3!$F$14:$F$300,"Included"))</f>
        <v/>
      </c>
      <c r="AD95" s="6" t="str">
        <f>IF($B95="","",SUMIFS(Proposal_3!$X$14:$X$300,Proposal_3!$G$14:$G$300,$B95,Proposal_3!$F$14:$F$300,"Included"))</f>
        <v/>
      </c>
    </row>
    <row r="96" spans="3:30" x14ac:dyDescent="0.25">
      <c r="C96" s="6" t="str">
        <f>IF($B96="","",SUMIFS(Proposal_1!$J$14:$J$300,Proposal_1!$G$14:$G$300,$B96,Proposal_1!$F$14:$F$300,"Included"))</f>
        <v/>
      </c>
      <c r="D96" s="6" t="str">
        <f>IF($B96="","",SUMIFS(Proposal_1!$L$14:$L$300,Proposal_1!$G$14:$G$300,$B96,Proposal_1!$F$14:$F$300,"Included"))</f>
        <v/>
      </c>
      <c r="E96" s="6" t="str">
        <f>IF($B96="","",SUMIFS(Proposal_1!$N$14:$N$300,Proposal_1!$G$14:$G$300,$B96,Proposal_1!$F$14:$F$300,"Included"))</f>
        <v/>
      </c>
      <c r="F96" s="6" t="str">
        <f>IF($B96="","",SUMIFS(Proposal_1!$P$14:$P$300,Proposal_1!$G$14:$G$300,$B96,Proposal_1!$F$14:$F$300,"Included"))</f>
        <v/>
      </c>
      <c r="G96" s="6" t="str">
        <f>IF($B96="","",SUMIFS(Proposal_1!$R$14:$R$300,Proposal_1!$G$14:$G$300,$B96,Proposal_1!$F$14:$F$300,"Included"))</f>
        <v/>
      </c>
      <c r="H96" s="6" t="str">
        <f>IF($B96="","",SUMIFS(Proposal_1!$T$14:$T$300,Proposal_1!$G$14:$G$300,$B96,Proposal_1!$F$14:$F$300,"Included"))</f>
        <v/>
      </c>
      <c r="I96" s="6" t="str">
        <f>IF($B96="","",SUMIFS(Proposal_1!$V$14:$V$300,Proposal_1!$G$14:$G$300,$B96,Proposal_1!$F$14:$F$300,"Included"))</f>
        <v/>
      </c>
      <c r="J96" s="6" t="str">
        <f>IF($B96="","",SUMIFS(Proposal_1!$X$14:$X$300,Proposal_1!$G$14:$G$300,$B96,Proposal_1!$F$14:$F$300,"Included"))</f>
        <v/>
      </c>
      <c r="M96" s="6" t="str">
        <f>IF($B96="","",SUMIFS(Proposal_2!$J$14:$J$300,Proposal_2!$G$14:$G$300,$B96,Proposal_2!$F$14:$F$300,"Included"))</f>
        <v/>
      </c>
      <c r="N96" s="6" t="str">
        <f>IF($B96="","",SUMIFS(Proposal_2!$L$14:$L$300,Proposal_2!$G$14:$G$300,$B96,Proposal_2!$F$14:$F$300,"Included"))</f>
        <v/>
      </c>
      <c r="O96" s="6" t="str">
        <f>IF($B96="","",SUMIFS(Proposal_2!$N$14:$N$300,Proposal_2!$G$14:$G$300,$B96,Proposal_2!$F$14:$F$300,"Included"))</f>
        <v/>
      </c>
      <c r="P96" s="6" t="str">
        <f>IF($B96="","",SUMIFS(Proposal_2!$P$14:$P$300,Proposal_2!$G$14:$G$300,$B96,Proposal_2!$F$14:$F$300,"Included"))</f>
        <v/>
      </c>
      <c r="Q96" s="6" t="str">
        <f>IF($B96="","",SUMIFS(Proposal_2!$R$14:$R$300,Proposal_2!$G$14:$G$300,$B96,Proposal_2!$F$14:$F$300,"Included"))</f>
        <v/>
      </c>
      <c r="R96" s="6" t="str">
        <f>IF($B96="","",SUMIFS(Proposal_2!$T$14:$T$300,Proposal_2!$G$14:$G$300,$B96,Proposal_2!$F$14:$F$300,"Included"))</f>
        <v/>
      </c>
      <c r="S96" s="6" t="str">
        <f>IF($B96="","",SUMIFS(Proposal_2!$V$14:$V$300,Proposal_2!$G$14:$G$300,$B96,Proposal_2!$F$14:$F$300,"Included"))</f>
        <v/>
      </c>
      <c r="T96" s="6" t="str">
        <f>IF($B96="","",SUMIFS(Proposal_2!$X$14:$X$300,Proposal_2!$G$14:$G$300,$B96,Proposal_2!$F$14:$F$300,"Included"))</f>
        <v/>
      </c>
      <c r="W96" s="6" t="str">
        <f>IF($B96="","",SUMIFS(Proposal_3!$J$14:$J$300,Proposal_3!$G$14:$G$300,$B96,Proposal_3!$F$14:$F$300,"Included"))</f>
        <v/>
      </c>
      <c r="X96" s="6" t="str">
        <f>IF($B96="","",SUMIFS(Proposal_3!$L$14:$L$300,Proposal_3!$G$14:$G$300,$B96,Proposal_3!$F$14:$F$300,"Included"))</f>
        <v/>
      </c>
      <c r="Y96" s="6" t="str">
        <f>IF($B96="","",SUMIFS(Proposal_3!$N$14:$N$300,Proposal_3!$G$14:$G$300,$B96,Proposal_3!$F$14:$F$300,"Included"))</f>
        <v/>
      </c>
      <c r="Z96" s="6" t="str">
        <f>IF($B96="","",SUMIFS(Proposal_3!$P$14:$P$300,Proposal_3!$G$14:$G$300,$B96,Proposal_3!$F$14:$F$300,"Included"))</f>
        <v/>
      </c>
      <c r="AA96" s="6" t="str">
        <f>IF($B96="","",SUMIFS(Proposal_3!$R$14:$R$300,Proposal_3!$G$14:$G$300,$B96,Proposal_3!$F$14:$F$300,"Included"))</f>
        <v/>
      </c>
      <c r="AB96" s="6" t="str">
        <f>IF($B96="","",SUMIFS(Proposal_3!$T$14:$T$300,Proposal_3!$G$14:$G$300,$B96,Proposal_3!$F$14:$F$300,"Included"))</f>
        <v/>
      </c>
      <c r="AC96" s="6" t="str">
        <f>IF($B96="","",SUMIFS(Proposal_3!$V$14:$V$300,Proposal_3!$G$14:$G$300,$B96,Proposal_3!$F$14:$F$300,"Included"))</f>
        <v/>
      </c>
      <c r="AD96" s="6" t="str">
        <f>IF($B96="","",SUMIFS(Proposal_3!$X$14:$X$300,Proposal_3!$G$14:$G$300,$B96,Proposal_3!$F$14:$F$300,"Included"))</f>
        <v/>
      </c>
    </row>
    <row r="97" spans="3:30" x14ac:dyDescent="0.25">
      <c r="C97" s="6" t="str">
        <f>IF($B97="","",SUMIFS(Proposal_1!$J$14:$J$300,Proposal_1!$G$14:$G$300,$B97,Proposal_1!$F$14:$F$300,"Included"))</f>
        <v/>
      </c>
      <c r="D97" s="6" t="str">
        <f>IF($B97="","",SUMIFS(Proposal_1!$L$14:$L$300,Proposal_1!$G$14:$G$300,$B97,Proposal_1!$F$14:$F$300,"Included"))</f>
        <v/>
      </c>
      <c r="E97" s="6" t="str">
        <f>IF($B97="","",SUMIFS(Proposal_1!$N$14:$N$300,Proposal_1!$G$14:$G$300,$B97,Proposal_1!$F$14:$F$300,"Included"))</f>
        <v/>
      </c>
      <c r="F97" s="6" t="str">
        <f>IF($B97="","",SUMIFS(Proposal_1!$P$14:$P$300,Proposal_1!$G$14:$G$300,$B97,Proposal_1!$F$14:$F$300,"Included"))</f>
        <v/>
      </c>
      <c r="G97" s="6" t="str">
        <f>IF($B97="","",SUMIFS(Proposal_1!$R$14:$R$300,Proposal_1!$G$14:$G$300,$B97,Proposal_1!$F$14:$F$300,"Included"))</f>
        <v/>
      </c>
      <c r="H97" s="6" t="str">
        <f>IF($B97="","",SUMIFS(Proposal_1!$T$14:$T$300,Proposal_1!$G$14:$G$300,$B97,Proposal_1!$F$14:$F$300,"Included"))</f>
        <v/>
      </c>
      <c r="I97" s="6" t="str">
        <f>IF($B97="","",SUMIFS(Proposal_1!$V$14:$V$300,Proposal_1!$G$14:$G$300,$B97,Proposal_1!$F$14:$F$300,"Included"))</f>
        <v/>
      </c>
      <c r="J97" s="6" t="str">
        <f>IF($B97="","",SUMIFS(Proposal_1!$X$14:$X$300,Proposal_1!$G$14:$G$300,$B97,Proposal_1!$F$14:$F$300,"Included"))</f>
        <v/>
      </c>
      <c r="M97" s="6" t="str">
        <f>IF($B97="","",SUMIFS(Proposal_2!$J$14:$J$300,Proposal_2!$G$14:$G$300,$B97,Proposal_2!$F$14:$F$300,"Included"))</f>
        <v/>
      </c>
      <c r="N97" s="6" t="str">
        <f>IF($B97="","",SUMIFS(Proposal_2!$L$14:$L$300,Proposal_2!$G$14:$G$300,$B97,Proposal_2!$F$14:$F$300,"Included"))</f>
        <v/>
      </c>
      <c r="O97" s="6" t="str">
        <f>IF($B97="","",SUMIFS(Proposal_2!$N$14:$N$300,Proposal_2!$G$14:$G$300,$B97,Proposal_2!$F$14:$F$300,"Included"))</f>
        <v/>
      </c>
      <c r="P97" s="6" t="str">
        <f>IF($B97="","",SUMIFS(Proposal_2!$P$14:$P$300,Proposal_2!$G$14:$G$300,$B97,Proposal_2!$F$14:$F$300,"Included"))</f>
        <v/>
      </c>
      <c r="Q97" s="6" t="str">
        <f>IF($B97="","",SUMIFS(Proposal_2!$R$14:$R$300,Proposal_2!$G$14:$G$300,$B97,Proposal_2!$F$14:$F$300,"Included"))</f>
        <v/>
      </c>
      <c r="R97" s="6" t="str">
        <f>IF($B97="","",SUMIFS(Proposal_2!$T$14:$T$300,Proposal_2!$G$14:$G$300,$B97,Proposal_2!$F$14:$F$300,"Included"))</f>
        <v/>
      </c>
      <c r="S97" s="6" t="str">
        <f>IF($B97="","",SUMIFS(Proposal_2!$V$14:$V$300,Proposal_2!$G$14:$G$300,$B97,Proposal_2!$F$14:$F$300,"Included"))</f>
        <v/>
      </c>
      <c r="T97" s="6" t="str">
        <f>IF($B97="","",SUMIFS(Proposal_2!$X$14:$X$300,Proposal_2!$G$14:$G$300,$B97,Proposal_2!$F$14:$F$300,"Included"))</f>
        <v/>
      </c>
      <c r="W97" s="6" t="str">
        <f>IF($B97="","",SUMIFS(Proposal_3!$J$14:$J$300,Proposal_3!$G$14:$G$300,$B97,Proposal_3!$F$14:$F$300,"Included"))</f>
        <v/>
      </c>
      <c r="X97" s="6" t="str">
        <f>IF($B97="","",SUMIFS(Proposal_3!$L$14:$L$300,Proposal_3!$G$14:$G$300,$B97,Proposal_3!$F$14:$F$300,"Included"))</f>
        <v/>
      </c>
      <c r="Y97" s="6" t="str">
        <f>IF($B97="","",SUMIFS(Proposal_3!$N$14:$N$300,Proposal_3!$G$14:$G$300,$B97,Proposal_3!$F$14:$F$300,"Included"))</f>
        <v/>
      </c>
      <c r="Z97" s="6" t="str">
        <f>IF($B97="","",SUMIFS(Proposal_3!$P$14:$P$300,Proposal_3!$G$14:$G$300,$B97,Proposal_3!$F$14:$F$300,"Included"))</f>
        <v/>
      </c>
      <c r="AA97" s="6" t="str">
        <f>IF($B97="","",SUMIFS(Proposal_3!$R$14:$R$300,Proposal_3!$G$14:$G$300,$B97,Proposal_3!$F$14:$F$300,"Included"))</f>
        <v/>
      </c>
      <c r="AB97" s="6" t="str">
        <f>IF($B97="","",SUMIFS(Proposal_3!$T$14:$T$300,Proposal_3!$G$14:$G$300,$B97,Proposal_3!$F$14:$F$300,"Included"))</f>
        <v/>
      </c>
      <c r="AC97" s="6" t="str">
        <f>IF($B97="","",SUMIFS(Proposal_3!$V$14:$V$300,Proposal_3!$G$14:$G$300,$B97,Proposal_3!$F$14:$F$300,"Included"))</f>
        <v/>
      </c>
      <c r="AD97" s="6" t="str">
        <f>IF($B97="","",SUMIFS(Proposal_3!$X$14:$X$300,Proposal_3!$G$14:$G$300,$B97,Proposal_3!$F$14:$F$300,"Included"))</f>
        <v/>
      </c>
    </row>
    <row r="98" spans="3:30" x14ac:dyDescent="0.25">
      <c r="C98" s="6" t="str">
        <f>IF($B98="","",SUMIFS(Proposal_1!$J$14:$J$300,Proposal_1!$G$14:$G$300,$B98,Proposal_1!$F$14:$F$300,"Included"))</f>
        <v/>
      </c>
      <c r="D98" s="6" t="str">
        <f>IF($B98="","",SUMIFS(Proposal_1!$L$14:$L$300,Proposal_1!$G$14:$G$300,$B98,Proposal_1!$F$14:$F$300,"Included"))</f>
        <v/>
      </c>
      <c r="E98" s="6" t="str">
        <f>IF($B98="","",SUMIFS(Proposal_1!$N$14:$N$300,Proposal_1!$G$14:$G$300,$B98,Proposal_1!$F$14:$F$300,"Included"))</f>
        <v/>
      </c>
      <c r="F98" s="6" t="str">
        <f>IF($B98="","",SUMIFS(Proposal_1!$P$14:$P$300,Proposal_1!$G$14:$G$300,$B98,Proposal_1!$F$14:$F$300,"Included"))</f>
        <v/>
      </c>
      <c r="G98" s="6" t="str">
        <f>IF($B98="","",SUMIFS(Proposal_1!$R$14:$R$300,Proposal_1!$G$14:$G$300,$B98,Proposal_1!$F$14:$F$300,"Included"))</f>
        <v/>
      </c>
      <c r="H98" s="6" t="str">
        <f>IF($B98="","",SUMIFS(Proposal_1!$T$14:$T$300,Proposal_1!$G$14:$G$300,$B98,Proposal_1!$F$14:$F$300,"Included"))</f>
        <v/>
      </c>
      <c r="I98" s="6" t="str">
        <f>IF($B98="","",SUMIFS(Proposal_1!$V$14:$V$300,Proposal_1!$G$14:$G$300,$B98,Proposal_1!$F$14:$F$300,"Included"))</f>
        <v/>
      </c>
      <c r="J98" s="6" t="str">
        <f>IF($B98="","",SUMIFS(Proposal_1!$X$14:$X$300,Proposal_1!$G$14:$G$300,$B98,Proposal_1!$F$14:$F$300,"Included"))</f>
        <v/>
      </c>
      <c r="M98" s="6" t="str">
        <f>IF($B98="","",SUMIFS(Proposal_2!$J$14:$J$300,Proposal_2!$G$14:$G$300,$B98,Proposal_2!$F$14:$F$300,"Included"))</f>
        <v/>
      </c>
      <c r="N98" s="6" t="str">
        <f>IF($B98="","",SUMIFS(Proposal_2!$L$14:$L$300,Proposal_2!$G$14:$G$300,$B98,Proposal_2!$F$14:$F$300,"Included"))</f>
        <v/>
      </c>
      <c r="O98" s="6" t="str">
        <f>IF($B98="","",SUMIFS(Proposal_2!$N$14:$N$300,Proposal_2!$G$14:$G$300,$B98,Proposal_2!$F$14:$F$300,"Included"))</f>
        <v/>
      </c>
      <c r="P98" s="6" t="str">
        <f>IF($B98="","",SUMIFS(Proposal_2!$P$14:$P$300,Proposal_2!$G$14:$G$300,$B98,Proposal_2!$F$14:$F$300,"Included"))</f>
        <v/>
      </c>
      <c r="Q98" s="6" t="str">
        <f>IF($B98="","",SUMIFS(Proposal_2!$R$14:$R$300,Proposal_2!$G$14:$G$300,$B98,Proposal_2!$F$14:$F$300,"Included"))</f>
        <v/>
      </c>
      <c r="R98" s="6" t="str">
        <f>IF($B98="","",SUMIFS(Proposal_2!$T$14:$T$300,Proposal_2!$G$14:$G$300,$B98,Proposal_2!$F$14:$F$300,"Included"))</f>
        <v/>
      </c>
      <c r="S98" s="6" t="str">
        <f>IF($B98="","",SUMIFS(Proposal_2!$V$14:$V$300,Proposal_2!$G$14:$G$300,$B98,Proposal_2!$F$14:$F$300,"Included"))</f>
        <v/>
      </c>
      <c r="T98" s="6" t="str">
        <f>IF($B98="","",SUMIFS(Proposal_2!$X$14:$X$300,Proposal_2!$G$14:$G$300,$B98,Proposal_2!$F$14:$F$300,"Included"))</f>
        <v/>
      </c>
      <c r="W98" s="6" t="str">
        <f>IF($B98="","",SUMIFS(Proposal_3!$J$14:$J$300,Proposal_3!$G$14:$G$300,$B98,Proposal_3!$F$14:$F$300,"Included"))</f>
        <v/>
      </c>
      <c r="X98" s="6" t="str">
        <f>IF($B98="","",SUMIFS(Proposal_3!$L$14:$L$300,Proposal_3!$G$14:$G$300,$B98,Proposal_3!$F$14:$F$300,"Included"))</f>
        <v/>
      </c>
      <c r="Y98" s="6" t="str">
        <f>IF($B98="","",SUMIFS(Proposal_3!$N$14:$N$300,Proposal_3!$G$14:$G$300,$B98,Proposal_3!$F$14:$F$300,"Included"))</f>
        <v/>
      </c>
      <c r="Z98" s="6" t="str">
        <f>IF($B98="","",SUMIFS(Proposal_3!$P$14:$P$300,Proposal_3!$G$14:$G$300,$B98,Proposal_3!$F$14:$F$300,"Included"))</f>
        <v/>
      </c>
      <c r="AA98" s="6" t="str">
        <f>IF($B98="","",SUMIFS(Proposal_3!$R$14:$R$300,Proposal_3!$G$14:$G$300,$B98,Proposal_3!$F$14:$F$300,"Included"))</f>
        <v/>
      </c>
      <c r="AB98" s="6" t="str">
        <f>IF($B98="","",SUMIFS(Proposal_3!$T$14:$T$300,Proposal_3!$G$14:$G$300,$B98,Proposal_3!$F$14:$F$300,"Included"))</f>
        <v/>
      </c>
      <c r="AC98" s="6" t="str">
        <f>IF($B98="","",SUMIFS(Proposal_3!$V$14:$V$300,Proposal_3!$G$14:$G$300,$B98,Proposal_3!$F$14:$F$300,"Included"))</f>
        <v/>
      </c>
      <c r="AD98" s="6" t="str">
        <f>IF($B98="","",SUMIFS(Proposal_3!$X$14:$X$300,Proposal_3!$G$14:$G$300,$B98,Proposal_3!$F$14:$F$300,"Included"))</f>
        <v/>
      </c>
    </row>
    <row r="99" spans="3:30" x14ac:dyDescent="0.25">
      <c r="C99" s="6" t="str">
        <f>IF($B99="","",SUMIFS(Proposal_1!$J$14:$J$300,Proposal_1!$G$14:$G$300,$B99,Proposal_1!$F$14:$F$300,"Included"))</f>
        <v/>
      </c>
      <c r="D99" s="6" t="str">
        <f>IF($B99="","",SUMIFS(Proposal_1!$L$14:$L$300,Proposal_1!$G$14:$G$300,$B99,Proposal_1!$F$14:$F$300,"Included"))</f>
        <v/>
      </c>
      <c r="E99" s="6" t="str">
        <f>IF($B99="","",SUMIFS(Proposal_1!$N$14:$N$300,Proposal_1!$G$14:$G$300,$B99,Proposal_1!$F$14:$F$300,"Included"))</f>
        <v/>
      </c>
      <c r="F99" s="6" t="str">
        <f>IF($B99="","",SUMIFS(Proposal_1!$P$14:$P$300,Proposal_1!$G$14:$G$300,$B99,Proposal_1!$F$14:$F$300,"Included"))</f>
        <v/>
      </c>
      <c r="G99" s="6" t="str">
        <f>IF($B99="","",SUMIFS(Proposal_1!$R$14:$R$300,Proposal_1!$G$14:$G$300,$B99,Proposal_1!$F$14:$F$300,"Included"))</f>
        <v/>
      </c>
      <c r="H99" s="6" t="str">
        <f>IF($B99="","",SUMIFS(Proposal_1!$T$14:$T$300,Proposal_1!$G$14:$G$300,$B99,Proposal_1!$F$14:$F$300,"Included"))</f>
        <v/>
      </c>
      <c r="I99" s="6" t="str">
        <f>IF($B99="","",SUMIFS(Proposal_1!$V$14:$V$300,Proposal_1!$G$14:$G$300,$B99,Proposal_1!$F$14:$F$300,"Included"))</f>
        <v/>
      </c>
      <c r="J99" s="6" t="str">
        <f>IF($B99="","",SUMIFS(Proposal_1!$X$14:$X$300,Proposal_1!$G$14:$G$300,$B99,Proposal_1!$F$14:$F$300,"Included"))</f>
        <v/>
      </c>
      <c r="M99" s="6" t="str">
        <f>IF($B99="","",SUMIFS(Proposal_2!$J$14:$J$300,Proposal_2!$G$14:$G$300,$B99,Proposal_2!$F$14:$F$300,"Included"))</f>
        <v/>
      </c>
      <c r="N99" s="6" t="str">
        <f>IF($B99="","",SUMIFS(Proposal_2!$L$14:$L$300,Proposal_2!$G$14:$G$300,$B99,Proposal_2!$F$14:$F$300,"Included"))</f>
        <v/>
      </c>
      <c r="O99" s="6" t="str">
        <f>IF($B99="","",SUMIFS(Proposal_2!$N$14:$N$300,Proposal_2!$G$14:$G$300,$B99,Proposal_2!$F$14:$F$300,"Included"))</f>
        <v/>
      </c>
      <c r="P99" s="6" t="str">
        <f>IF($B99="","",SUMIFS(Proposal_2!$P$14:$P$300,Proposal_2!$G$14:$G$300,$B99,Proposal_2!$F$14:$F$300,"Included"))</f>
        <v/>
      </c>
      <c r="Q99" s="6" t="str">
        <f>IF($B99="","",SUMIFS(Proposal_2!$R$14:$R$300,Proposal_2!$G$14:$G$300,$B99,Proposal_2!$F$14:$F$300,"Included"))</f>
        <v/>
      </c>
      <c r="R99" s="6" t="str">
        <f>IF($B99="","",SUMIFS(Proposal_2!$T$14:$T$300,Proposal_2!$G$14:$G$300,$B99,Proposal_2!$F$14:$F$300,"Included"))</f>
        <v/>
      </c>
      <c r="S99" s="6" t="str">
        <f>IF($B99="","",SUMIFS(Proposal_2!$V$14:$V$300,Proposal_2!$G$14:$G$300,$B99,Proposal_2!$F$14:$F$300,"Included"))</f>
        <v/>
      </c>
      <c r="T99" s="6" t="str">
        <f>IF($B99="","",SUMIFS(Proposal_2!$X$14:$X$300,Proposal_2!$G$14:$G$300,$B99,Proposal_2!$F$14:$F$300,"Included"))</f>
        <v/>
      </c>
      <c r="W99" s="6" t="str">
        <f>IF($B99="","",SUMIFS(Proposal_3!$J$14:$J$300,Proposal_3!$G$14:$G$300,$B99,Proposal_3!$F$14:$F$300,"Included"))</f>
        <v/>
      </c>
      <c r="X99" s="6" t="str">
        <f>IF($B99="","",SUMIFS(Proposal_3!$L$14:$L$300,Proposal_3!$G$14:$G$300,$B99,Proposal_3!$F$14:$F$300,"Included"))</f>
        <v/>
      </c>
      <c r="Y99" s="6" t="str">
        <f>IF($B99="","",SUMIFS(Proposal_3!$N$14:$N$300,Proposal_3!$G$14:$G$300,$B99,Proposal_3!$F$14:$F$300,"Included"))</f>
        <v/>
      </c>
      <c r="Z99" s="6" t="str">
        <f>IF($B99="","",SUMIFS(Proposal_3!$P$14:$P$300,Proposal_3!$G$14:$G$300,$B99,Proposal_3!$F$14:$F$300,"Included"))</f>
        <v/>
      </c>
      <c r="AA99" s="6" t="str">
        <f>IF($B99="","",SUMIFS(Proposal_3!$R$14:$R$300,Proposal_3!$G$14:$G$300,$B99,Proposal_3!$F$14:$F$300,"Included"))</f>
        <v/>
      </c>
      <c r="AB99" s="6" t="str">
        <f>IF($B99="","",SUMIFS(Proposal_3!$T$14:$T$300,Proposal_3!$G$14:$G$300,$B99,Proposal_3!$F$14:$F$300,"Included"))</f>
        <v/>
      </c>
      <c r="AC99" s="6" t="str">
        <f>IF($B99="","",SUMIFS(Proposal_3!$V$14:$V$300,Proposal_3!$G$14:$G$300,$B99,Proposal_3!$F$14:$F$300,"Included"))</f>
        <v/>
      </c>
      <c r="AD99" s="6" t="str">
        <f>IF($B99="","",SUMIFS(Proposal_3!$X$14:$X$300,Proposal_3!$G$14:$G$300,$B99,Proposal_3!$F$14:$F$300,"Included"))</f>
        <v/>
      </c>
    </row>
    <row r="100" spans="3:30" x14ac:dyDescent="0.25">
      <c r="C100" s="6" t="str">
        <f>IF($B100="","",SUMIFS(Proposal_1!$J$14:$J$300,Proposal_1!$G$14:$G$300,$B100,Proposal_1!$F$14:$F$300,"Included"))</f>
        <v/>
      </c>
      <c r="D100" s="6" t="str">
        <f>IF($B100="","",SUMIFS(Proposal_1!$L$14:$L$300,Proposal_1!$G$14:$G$300,$B100,Proposal_1!$F$14:$F$300,"Included"))</f>
        <v/>
      </c>
      <c r="E100" s="6" t="str">
        <f>IF($B100="","",SUMIFS(Proposal_1!$N$14:$N$300,Proposal_1!$G$14:$G$300,$B100,Proposal_1!$F$14:$F$300,"Included"))</f>
        <v/>
      </c>
      <c r="F100" s="6" t="str">
        <f>IF($B100="","",SUMIFS(Proposal_1!$P$14:$P$300,Proposal_1!$G$14:$G$300,$B100,Proposal_1!$F$14:$F$300,"Included"))</f>
        <v/>
      </c>
      <c r="G100" s="6" t="str">
        <f>IF($B100="","",SUMIFS(Proposal_1!$R$14:$R$300,Proposal_1!$G$14:$G$300,$B100,Proposal_1!$F$14:$F$300,"Included"))</f>
        <v/>
      </c>
      <c r="H100" s="6" t="str">
        <f>IF($B100="","",SUMIFS(Proposal_1!$T$14:$T$300,Proposal_1!$G$14:$G$300,$B100,Proposal_1!$F$14:$F$300,"Included"))</f>
        <v/>
      </c>
      <c r="I100" s="6" t="str">
        <f>IF($B100="","",SUMIFS(Proposal_1!$V$14:$V$300,Proposal_1!$G$14:$G$300,$B100,Proposal_1!$F$14:$F$300,"Included"))</f>
        <v/>
      </c>
      <c r="J100" s="6" t="str">
        <f>IF($B100="","",SUMIFS(Proposal_1!$X$14:$X$300,Proposal_1!$G$14:$G$300,$B100,Proposal_1!$F$14:$F$300,"Included"))</f>
        <v/>
      </c>
      <c r="M100" s="6" t="str">
        <f>IF($B100="","",SUMIFS(Proposal_2!$J$14:$J$300,Proposal_2!$G$14:$G$300,$B100,Proposal_2!$F$14:$F$300,"Included"))</f>
        <v/>
      </c>
      <c r="N100" s="6" t="str">
        <f>IF($B100="","",SUMIFS(Proposal_2!$L$14:$L$300,Proposal_2!$G$14:$G$300,$B100,Proposal_2!$F$14:$F$300,"Included"))</f>
        <v/>
      </c>
      <c r="O100" s="6" t="str">
        <f>IF($B100="","",SUMIFS(Proposal_2!$N$14:$N$300,Proposal_2!$G$14:$G$300,$B100,Proposal_2!$F$14:$F$300,"Included"))</f>
        <v/>
      </c>
      <c r="P100" s="6" t="str">
        <f>IF($B100="","",SUMIFS(Proposal_2!$P$14:$P$300,Proposal_2!$G$14:$G$300,$B100,Proposal_2!$F$14:$F$300,"Included"))</f>
        <v/>
      </c>
      <c r="Q100" s="6" t="str">
        <f>IF($B100="","",SUMIFS(Proposal_2!$R$14:$R$300,Proposal_2!$G$14:$G$300,$B100,Proposal_2!$F$14:$F$300,"Included"))</f>
        <v/>
      </c>
      <c r="R100" s="6" t="str">
        <f>IF($B100="","",SUMIFS(Proposal_2!$T$14:$T$300,Proposal_2!$G$14:$G$300,$B100,Proposal_2!$F$14:$F$300,"Included"))</f>
        <v/>
      </c>
      <c r="S100" s="6" t="str">
        <f>IF($B100="","",SUMIFS(Proposal_2!$V$14:$V$300,Proposal_2!$G$14:$G$300,$B100,Proposal_2!$F$14:$F$300,"Included"))</f>
        <v/>
      </c>
      <c r="T100" s="6" t="str">
        <f>IF($B100="","",SUMIFS(Proposal_2!$X$14:$X$300,Proposal_2!$G$14:$G$300,$B100,Proposal_2!$F$14:$F$300,"Included"))</f>
        <v/>
      </c>
      <c r="W100" s="6" t="str">
        <f>IF($B100="","",SUMIFS(Proposal_3!$J$14:$J$300,Proposal_3!$G$14:$G$300,$B100,Proposal_3!$F$14:$F$300,"Included"))</f>
        <v/>
      </c>
      <c r="X100" s="6" t="str">
        <f>IF($B100="","",SUMIFS(Proposal_3!$L$14:$L$300,Proposal_3!$G$14:$G$300,$B100,Proposal_3!$F$14:$F$300,"Included"))</f>
        <v/>
      </c>
      <c r="Y100" s="6" t="str">
        <f>IF($B100="","",SUMIFS(Proposal_3!$N$14:$N$300,Proposal_3!$G$14:$G$300,$B100,Proposal_3!$F$14:$F$300,"Included"))</f>
        <v/>
      </c>
      <c r="Z100" s="6" t="str">
        <f>IF($B100="","",SUMIFS(Proposal_3!$P$14:$P$300,Proposal_3!$G$14:$G$300,$B100,Proposal_3!$F$14:$F$300,"Included"))</f>
        <v/>
      </c>
      <c r="AA100" s="6" t="str">
        <f>IF($B100="","",SUMIFS(Proposal_3!$R$14:$R$300,Proposal_3!$G$14:$G$300,$B100,Proposal_3!$F$14:$F$300,"Included"))</f>
        <v/>
      </c>
      <c r="AB100" s="6" t="str">
        <f>IF($B100="","",SUMIFS(Proposal_3!$T$14:$T$300,Proposal_3!$G$14:$G$300,$B100,Proposal_3!$F$14:$F$300,"Included"))</f>
        <v/>
      </c>
      <c r="AC100" s="6" t="str">
        <f>IF($B100="","",SUMIFS(Proposal_3!$V$14:$V$300,Proposal_3!$G$14:$G$300,$B100,Proposal_3!$F$14:$F$300,"Included"))</f>
        <v/>
      </c>
      <c r="AD100" s="6" t="str">
        <f>IF($B100="","",SUMIFS(Proposal_3!$X$14:$X$300,Proposal_3!$G$14:$G$300,$B100,Proposal_3!$F$14:$F$300,"Included"))</f>
        <v/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E8B49-AAB8-40A0-9C9C-B53024B26A04}">
  <sheetPr codeName="Sheet7"/>
  <dimension ref="A1:O882"/>
  <sheetViews>
    <sheetView zoomScale="83" zoomScaleNormal="83" workbookViewId="0">
      <pane ySplit="1" topLeftCell="A851" activePane="bottomLeft" state="frozen"/>
      <selection pane="bottomLeft" activeCell="C878" sqref="C878"/>
    </sheetView>
  </sheetViews>
  <sheetFormatPr defaultRowHeight="15" x14ac:dyDescent="0.25"/>
  <cols>
    <col min="1" max="1" width="15.28515625" customWidth="1"/>
    <col min="2" max="2" width="12.5703125" bestFit="1" customWidth="1"/>
    <col min="3" max="3" width="88.85546875" bestFit="1" customWidth="1"/>
    <col min="6" max="6" width="14.85546875" bestFit="1" customWidth="1"/>
    <col min="9" max="9" width="35.140625" bestFit="1" customWidth="1"/>
    <col min="11" max="11" width="19.140625" bestFit="1" customWidth="1"/>
    <col min="13" max="13" width="36.28515625" bestFit="1" customWidth="1"/>
  </cols>
  <sheetData>
    <row r="1" spans="1:15" x14ac:dyDescent="0.25">
      <c r="A1" s="8" t="s">
        <v>499</v>
      </c>
      <c r="B1" s="8" t="s">
        <v>58</v>
      </c>
      <c r="C1" s="8" t="s">
        <v>500</v>
      </c>
      <c r="D1" s="8"/>
      <c r="E1" s="8" t="s">
        <v>501</v>
      </c>
      <c r="F1" s="8"/>
      <c r="G1" s="8"/>
      <c r="H1" s="8" t="s">
        <v>502</v>
      </c>
      <c r="I1" s="8"/>
      <c r="J1" s="8"/>
      <c r="K1" s="8" t="s">
        <v>503</v>
      </c>
      <c r="L1" s="8"/>
      <c r="M1" s="8" t="s">
        <v>504</v>
      </c>
      <c r="O1" t="str" cm="1">
        <f t="array" aca="1" ref="O1" ca="1">CELL("Filename")</f>
        <v>C:\Users\dada_\OneDrive\Desktop\[Updated_With_all_products__Deal_Sheet_Clearwater__FL_-_Echelon_Bank__InOrg__-_New_Core_SilverLake_OL_PAP_08_27_25.xlsx]DeleteThisPageThenSave</v>
      </c>
    </row>
    <row r="2" spans="1:15" x14ac:dyDescent="0.25">
      <c r="A2" s="2" t="s">
        <v>505</v>
      </c>
      <c r="B2" t="s">
        <v>58</v>
      </c>
      <c r="C2" t="s">
        <v>506</v>
      </c>
      <c r="E2">
        <v>6</v>
      </c>
      <c r="F2" t="s">
        <v>188</v>
      </c>
      <c r="H2">
        <v>1</v>
      </c>
      <c r="I2" t="s">
        <v>507</v>
      </c>
      <c r="K2" t="str">
        <f ca="1">Proposal_1!H1</f>
        <v>Proposal_1</v>
      </c>
      <c r="M2" t="s">
        <v>212</v>
      </c>
    </row>
    <row r="3" spans="1:15" x14ac:dyDescent="0.25">
      <c r="A3" s="2" t="s">
        <v>508</v>
      </c>
      <c r="B3" t="s">
        <v>58</v>
      </c>
      <c r="C3" t="s">
        <v>509</v>
      </c>
      <c r="E3">
        <v>4</v>
      </c>
      <c r="F3" t="s">
        <v>185</v>
      </c>
      <c r="H3">
        <v>3</v>
      </c>
      <c r="I3" t="s">
        <v>510</v>
      </c>
      <c r="K3" t="str">
        <f ca="1">Proposal_2!H1</f>
        <v>Proposal_2</v>
      </c>
      <c r="M3" t="s">
        <v>511</v>
      </c>
    </row>
    <row r="4" spans="1:15" x14ac:dyDescent="0.25">
      <c r="A4" s="2" t="s">
        <v>213</v>
      </c>
      <c r="B4" t="s">
        <v>58</v>
      </c>
      <c r="C4" t="s">
        <v>512</v>
      </c>
      <c r="E4">
        <v>2</v>
      </c>
      <c r="F4" t="s">
        <v>183</v>
      </c>
      <c r="H4">
        <v>1</v>
      </c>
      <c r="I4" t="s">
        <v>513</v>
      </c>
      <c r="K4" t="str">
        <f ca="1">Proposal_3!H1</f>
        <v>Proposal_3</v>
      </c>
      <c r="M4" t="str" cm="1">
        <f t="array" ref="M4:M240">_xlfn._xlws.SORT(Proposal_1!B14:B250)</f>
        <v/>
      </c>
    </row>
    <row r="5" spans="1:15" x14ac:dyDescent="0.25">
      <c r="A5" s="2" t="s">
        <v>214</v>
      </c>
      <c r="B5" t="s">
        <v>58</v>
      </c>
      <c r="C5" t="s">
        <v>514</v>
      </c>
      <c r="E5">
        <v>1</v>
      </c>
      <c r="F5" t="s">
        <v>182</v>
      </c>
      <c r="H5">
        <v>3</v>
      </c>
      <c r="I5" t="s">
        <v>515</v>
      </c>
      <c r="M5" t="str">
        <v>4|sight OrboAnywhere Fraud</v>
      </c>
    </row>
    <row r="6" spans="1:15" x14ac:dyDescent="0.25">
      <c r="A6" s="2" t="s">
        <v>215</v>
      </c>
      <c r="B6" t="s">
        <v>58</v>
      </c>
      <c r="C6" t="s">
        <v>516</v>
      </c>
      <c r="E6">
        <v>3</v>
      </c>
      <c r="F6" t="s">
        <v>184</v>
      </c>
      <c r="H6">
        <v>2</v>
      </c>
      <c r="I6" t="s">
        <v>517</v>
      </c>
      <c r="M6" t="str">
        <v>Administrative Fee</v>
      </c>
    </row>
    <row r="7" spans="1:15" x14ac:dyDescent="0.25">
      <c r="A7" s="2" t="s">
        <v>518</v>
      </c>
      <c r="B7" t="s">
        <v>58</v>
      </c>
      <c r="C7" t="s">
        <v>519</v>
      </c>
      <c r="E7">
        <v>8</v>
      </c>
      <c r="F7" t="s">
        <v>189</v>
      </c>
      <c r="H7">
        <v>3</v>
      </c>
      <c r="I7" t="s">
        <v>520</v>
      </c>
      <c r="M7" t="str">
        <v>AFS Deposit Chek Onboarding</v>
      </c>
    </row>
    <row r="8" spans="1:15" x14ac:dyDescent="0.25">
      <c r="A8" t="s">
        <v>521</v>
      </c>
      <c r="B8" t="s">
        <v>58</v>
      </c>
      <c r="C8" t="s">
        <v>522</v>
      </c>
      <c r="E8">
        <v>7</v>
      </c>
      <c r="F8" t="s">
        <v>187</v>
      </c>
      <c r="H8">
        <v>1</v>
      </c>
      <c r="I8" t="s">
        <v>523</v>
      </c>
      <c r="M8" t="str">
        <v>AlertCenter AFS TrueChecks Frontline</v>
      </c>
    </row>
    <row r="9" spans="1:15" x14ac:dyDescent="0.25">
      <c r="A9" t="s">
        <v>524</v>
      </c>
      <c r="B9" t="s">
        <v>58</v>
      </c>
      <c r="C9" t="s">
        <v>525</v>
      </c>
      <c r="E9">
        <v>9</v>
      </c>
      <c r="F9" t="s">
        <v>190</v>
      </c>
      <c r="H9">
        <v>3</v>
      </c>
      <c r="I9" t="s">
        <v>526</v>
      </c>
      <c r="M9" t="str">
        <v>AlertCenter Integration to 4|Sight</v>
      </c>
    </row>
    <row r="10" spans="1:15" x14ac:dyDescent="0.25">
      <c r="A10" t="s">
        <v>527</v>
      </c>
      <c r="B10" t="s">
        <v>58</v>
      </c>
      <c r="C10" t="s">
        <v>528</v>
      </c>
      <c r="E10">
        <v>10</v>
      </c>
      <c r="F10" t="s">
        <v>191</v>
      </c>
      <c r="H10">
        <v>1</v>
      </c>
      <c r="I10" t="s">
        <v>529</v>
      </c>
      <c r="M10" t="str">
        <v>AlertCenter with: Advanced Fraud Solutions ("AFS")</v>
      </c>
    </row>
    <row r="11" spans="1:15" x14ac:dyDescent="0.25">
      <c r="A11" t="s">
        <v>530</v>
      </c>
      <c r="B11" t="s">
        <v>58</v>
      </c>
      <c r="C11" t="s">
        <v>531</v>
      </c>
      <c r="E11">
        <v>5</v>
      </c>
      <c r="F11" t="s">
        <v>186</v>
      </c>
      <c r="H11">
        <v>1</v>
      </c>
      <c r="I11" t="s">
        <v>532</v>
      </c>
      <c r="M11" t="str">
        <v>Alloy</v>
      </c>
    </row>
    <row r="12" spans="1:15" x14ac:dyDescent="0.25">
      <c r="A12" t="s">
        <v>533</v>
      </c>
      <c r="B12" t="s">
        <v>58</v>
      </c>
      <c r="C12" t="s">
        <v>534</v>
      </c>
      <c r="H12">
        <v>1</v>
      </c>
      <c r="I12" t="s">
        <v>535</v>
      </c>
      <c r="M12" t="str">
        <v>ATM Driving VPN</v>
      </c>
    </row>
    <row r="13" spans="1:15" x14ac:dyDescent="0.25">
      <c r="A13" t="s">
        <v>536</v>
      </c>
      <c r="B13" t="s">
        <v>58</v>
      </c>
      <c r="C13" t="s">
        <v>537</v>
      </c>
      <c r="H13">
        <v>2</v>
      </c>
      <c r="I13" t="s">
        <v>538</v>
      </c>
      <c r="M13" t="str">
        <v>ATM Setup</v>
      </c>
    </row>
    <row r="14" spans="1:15" x14ac:dyDescent="0.25">
      <c r="A14" t="s">
        <v>539</v>
      </c>
      <c r="B14" t="s">
        <v>58</v>
      </c>
      <c r="C14" t="s">
        <v>540</v>
      </c>
      <c r="H14">
        <v>4</v>
      </c>
      <c r="I14" t="s">
        <v>541</v>
      </c>
      <c r="M14" t="str">
        <v>ATM Transactions (on-us at-us)</v>
      </c>
    </row>
    <row r="15" spans="1:15" x14ac:dyDescent="0.25">
      <c r="A15" t="s">
        <v>542</v>
      </c>
      <c r="B15" t="s">
        <v>58</v>
      </c>
      <c r="C15" t="s">
        <v>543</v>
      </c>
      <c r="H15">
        <v>4</v>
      </c>
      <c r="I15" t="s">
        <v>544</v>
      </c>
      <c r="M15" t="str">
        <v>ATM/Debit Cards</v>
      </c>
    </row>
    <row r="16" spans="1:15" x14ac:dyDescent="0.25">
      <c r="A16" t="s">
        <v>545</v>
      </c>
      <c r="B16" t="s">
        <v>58</v>
      </c>
      <c r="C16" t="s">
        <v>546</v>
      </c>
      <c r="H16">
        <v>4</v>
      </c>
      <c r="I16" t="s">
        <v>547</v>
      </c>
      <c r="M16" t="str">
        <v>ATM/POS Transactions subject to {$}250 minimum monthly</v>
      </c>
    </row>
    <row r="17" spans="1:13" x14ac:dyDescent="0.25">
      <c r="A17" t="s">
        <v>548</v>
      </c>
      <c r="B17" t="s">
        <v>58</v>
      </c>
      <c r="C17" t="s">
        <v>549</v>
      </c>
      <c r="H17">
        <v>2</v>
      </c>
      <c r="I17" t="s">
        <v>550</v>
      </c>
      <c r="M17" t="str">
        <v>Authorization Track One Name Edit</v>
      </c>
    </row>
    <row r="18" spans="1:13" x14ac:dyDescent="0.25">
      <c r="A18" t="s">
        <v>216</v>
      </c>
      <c r="B18" t="s">
        <v>58</v>
      </c>
      <c r="C18" t="s">
        <v>551</v>
      </c>
      <c r="H18">
        <v>2</v>
      </c>
      <c r="I18" t="s">
        <v>552</v>
      </c>
      <c r="M18" t="str">
        <v>Banno</v>
      </c>
    </row>
    <row r="19" spans="1:13" x14ac:dyDescent="0.25">
      <c r="A19" t="s">
        <v>553</v>
      </c>
      <c r="B19" t="s">
        <v>58</v>
      </c>
      <c r="C19" t="s">
        <v>554</v>
      </c>
      <c r="H19">
        <v>1</v>
      </c>
      <c r="I19" t="s">
        <v>555</v>
      </c>
      <c r="M19" t="str">
        <v>Banno Business</v>
      </c>
    </row>
    <row r="20" spans="1:13" x14ac:dyDescent="0.25">
      <c r="A20" t="s">
        <v>556</v>
      </c>
      <c r="B20" t="s">
        <v>58</v>
      </c>
      <c r="C20" t="s">
        <v>557</v>
      </c>
      <c r="H20">
        <v>3</v>
      </c>
      <c r="I20" t="s">
        <v>558</v>
      </c>
      <c r="M20" t="str">
        <v>Banno Marketing</v>
      </c>
    </row>
    <row r="21" spans="1:13" x14ac:dyDescent="0.25">
      <c r="A21" t="s">
        <v>559</v>
      </c>
      <c r="B21" t="s">
        <v>58</v>
      </c>
      <c r="C21" t="s">
        <v>560</v>
      </c>
      <c r="H21">
        <v>1</v>
      </c>
      <c r="I21" t="s">
        <v>561</v>
      </c>
      <c r="M21" t="str">
        <v>Card Activations JHA Debit Processing</v>
      </c>
    </row>
    <row r="22" spans="1:13" x14ac:dyDescent="0.25">
      <c r="A22" t="s">
        <v>562</v>
      </c>
      <c r="B22" t="s">
        <v>58</v>
      </c>
      <c r="C22" t="s">
        <v>563</v>
      </c>
      <c r="H22">
        <v>3</v>
      </c>
      <c r="I22" t="s">
        <v>564</v>
      </c>
      <c r="M22" t="str">
        <v>Carleton SmartCalcs Lending</v>
      </c>
    </row>
    <row r="23" spans="1:13" x14ac:dyDescent="0.25">
      <c r="A23" t="s">
        <v>565</v>
      </c>
      <c r="B23" t="s">
        <v>58</v>
      </c>
      <c r="C23" t="s">
        <v>566</v>
      </c>
      <c r="H23">
        <v>4</v>
      </c>
      <c r="I23" t="s">
        <v>567</v>
      </c>
      <c r="M23" t="str">
        <v>Centurion Connectivity for Jack Henry Hosted Services</v>
      </c>
    </row>
    <row r="24" spans="1:13" x14ac:dyDescent="0.25">
      <c r="A24" t="s">
        <v>568</v>
      </c>
      <c r="B24" t="s">
        <v>58</v>
      </c>
      <c r="C24" t="s">
        <v>569</v>
      </c>
      <c r="H24">
        <v>1</v>
      </c>
      <c r="I24" t="s">
        <v>570</v>
      </c>
      <c r="M24" t="str">
        <v>Centurion Remote Data Entry</v>
      </c>
    </row>
    <row r="25" spans="1:13" x14ac:dyDescent="0.25">
      <c r="A25" t="s">
        <v>571</v>
      </c>
      <c r="B25" t="s">
        <v>58</v>
      </c>
      <c r="C25" t="s">
        <v>572</v>
      </c>
      <c r="H25">
        <v>1</v>
      </c>
      <c r="I25" t="s">
        <v>573</v>
      </c>
      <c r="M25" t="str">
        <v>Chargeback Dispute Processing Cases Jack Henry intake JHA Debit Processing</v>
      </c>
    </row>
    <row r="26" spans="1:13" x14ac:dyDescent="0.25">
      <c r="A26" t="s">
        <v>574</v>
      </c>
      <c r="B26" t="s">
        <v>58</v>
      </c>
      <c r="C26" t="s">
        <v>575</v>
      </c>
      <c r="H26">
        <v>2</v>
      </c>
      <c r="I26" t="s">
        <v>576</v>
      </c>
      <c r="M26" t="str">
        <v>Closed Accounts (PAP)</v>
      </c>
    </row>
    <row r="27" spans="1:13" x14ac:dyDescent="0.25">
      <c r="A27" s="3" t="s">
        <v>217</v>
      </c>
      <c r="B27" t="s">
        <v>58</v>
      </c>
      <c r="C27" t="s">
        <v>577</v>
      </c>
      <c r="H27">
        <v>1</v>
      </c>
      <c r="I27" t="s">
        <v>578</v>
      </c>
      <c r="M27" t="str">
        <v>Cognos BI Bundles</v>
      </c>
    </row>
    <row r="28" spans="1:13" x14ac:dyDescent="0.25">
      <c r="A28" s="3" t="s">
        <v>579</v>
      </c>
      <c r="B28" t="s">
        <v>58</v>
      </c>
      <c r="C28" t="s">
        <v>580</v>
      </c>
      <c r="H28">
        <v>2</v>
      </c>
      <c r="I28" t="s">
        <v>581</v>
      </c>
      <c r="M28" t="str">
        <v>Cognos BI Data Dictionary jhaEnterprise Workflow</v>
      </c>
    </row>
    <row r="29" spans="1:13" x14ac:dyDescent="0.25">
      <c r="A29" t="s">
        <v>218</v>
      </c>
      <c r="B29" t="s">
        <v>58</v>
      </c>
      <c r="C29" t="s">
        <v>582</v>
      </c>
      <c r="H29">
        <v>1</v>
      </c>
      <c r="I29" t="s">
        <v>583</v>
      </c>
      <c r="M29" t="str">
        <v>Cognos BI Data Dictionary Month-End(Silverlake)</v>
      </c>
    </row>
    <row r="30" spans="1:13" x14ac:dyDescent="0.25">
      <c r="A30" t="s">
        <v>219</v>
      </c>
      <c r="B30" t="s">
        <v>58</v>
      </c>
      <c r="C30" t="s">
        <v>584</v>
      </c>
      <c r="H30">
        <v>1</v>
      </c>
      <c r="I30" t="s">
        <v>585</v>
      </c>
      <c r="M30" t="str">
        <v>Cognos BI Data Dictionary Synapsys</v>
      </c>
    </row>
    <row r="31" spans="1:13" x14ac:dyDescent="0.25">
      <c r="A31" t="s">
        <v>586</v>
      </c>
      <c r="B31" t="s">
        <v>58</v>
      </c>
      <c r="C31" t="s">
        <v>587</v>
      </c>
      <c r="H31">
        <v>2</v>
      </c>
      <c r="I31" t="s">
        <v>588</v>
      </c>
      <c r="M31" t="str">
        <v>Cognos BI Data Dictionary Synergy</v>
      </c>
    </row>
    <row r="32" spans="1:13" x14ac:dyDescent="0.25">
      <c r="A32" t="s">
        <v>220</v>
      </c>
      <c r="B32" t="s">
        <v>58</v>
      </c>
      <c r="C32" t="s">
        <v>589</v>
      </c>
      <c r="H32">
        <v>2</v>
      </c>
      <c r="I32" t="s">
        <v>590</v>
      </c>
      <c r="M32" t="str">
        <v>Core Implementation Training</v>
      </c>
    </row>
    <row r="33" spans="1:13" x14ac:dyDescent="0.25">
      <c r="A33" t="s">
        <v>221</v>
      </c>
      <c r="B33" t="s">
        <v>58</v>
      </c>
      <c r="C33" t="s">
        <v>591</v>
      </c>
      <c r="H33">
        <v>2</v>
      </c>
      <c r="I33" t="s">
        <v>592</v>
      </c>
      <c r="M33" t="str">
        <v>CorPay Integration</v>
      </c>
    </row>
    <row r="34" spans="1:13" x14ac:dyDescent="0.25">
      <c r="A34" t="s">
        <v>222</v>
      </c>
      <c r="B34" t="s">
        <v>58</v>
      </c>
      <c r="C34" t="s">
        <v>593</v>
      </c>
      <c r="H34">
        <v>3</v>
      </c>
      <c r="I34" t="s">
        <v>594</v>
      </c>
      <c r="M34" t="str">
        <v>CPS Dual Interface Cards Additional Personalization Vendor BIN(s) JHA Debit Processing</v>
      </c>
    </row>
    <row r="35" spans="1:13" x14ac:dyDescent="0.25">
      <c r="A35" t="s">
        <v>223</v>
      </c>
      <c r="B35" t="s">
        <v>58</v>
      </c>
      <c r="C35" t="s">
        <v>595</v>
      </c>
      <c r="H35">
        <v>3</v>
      </c>
      <c r="I35" t="s">
        <v>596</v>
      </c>
      <c r="M35" t="str">
        <v>CPS Dual Interface Cards Fee Schedule JHA Debit Processing</v>
      </c>
    </row>
    <row r="36" spans="1:13" x14ac:dyDescent="0.25">
      <c r="A36" t="s">
        <v>597</v>
      </c>
      <c r="B36" t="s">
        <v>58</v>
      </c>
      <c r="C36" t="s">
        <v>598</v>
      </c>
      <c r="H36">
        <v>1</v>
      </c>
      <c r="I36" t="s">
        <v>599</v>
      </c>
      <c r="M36" t="str">
        <v>CPU Transmissions, per file JHA Debit Processing</v>
      </c>
    </row>
    <row r="37" spans="1:13" x14ac:dyDescent="0.25">
      <c r="A37" t="s">
        <v>224</v>
      </c>
      <c r="B37" t="s">
        <v>58</v>
      </c>
      <c r="C37" t="s">
        <v>600</v>
      </c>
      <c r="H37">
        <v>2</v>
      </c>
      <c r="I37" t="s">
        <v>601</v>
      </c>
      <c r="M37" t="str">
        <v>Daily File Transfer Integration IntraFi</v>
      </c>
    </row>
    <row r="38" spans="1:13" x14ac:dyDescent="0.25">
      <c r="A38" t="s">
        <v>225</v>
      </c>
      <c r="B38" t="s">
        <v>58</v>
      </c>
      <c r="C38" t="s">
        <v>602</v>
      </c>
      <c r="H38">
        <v>4</v>
      </c>
      <c r="I38" t="s">
        <v>603</v>
      </c>
      <c r="M38" t="str">
        <v>Day 2 Project Management - 45 Days engagement</v>
      </c>
    </row>
    <row r="39" spans="1:13" x14ac:dyDescent="0.25">
      <c r="A39" t="s">
        <v>441</v>
      </c>
      <c r="B39" t="s">
        <v>58</v>
      </c>
      <c r="C39" t="s">
        <v>561</v>
      </c>
      <c r="H39">
        <v>2</v>
      </c>
      <c r="I39" t="s">
        <v>604</v>
      </c>
      <c r="M39" t="str">
        <v>Debit Adjustment Dispute JHA Debit Processing</v>
      </c>
    </row>
    <row r="40" spans="1:13" x14ac:dyDescent="0.25">
      <c r="A40" t="s">
        <v>605</v>
      </c>
      <c r="B40" t="s">
        <v>58</v>
      </c>
      <c r="C40" t="s">
        <v>606</v>
      </c>
      <c r="H40">
        <v>2</v>
      </c>
      <c r="I40" t="s">
        <v>607</v>
      </c>
      <c r="M40" t="str">
        <v>Debit Card Authorization subject to {$}250 minimum monthly</v>
      </c>
    </row>
    <row r="41" spans="1:13" x14ac:dyDescent="0.25">
      <c r="A41" t="s">
        <v>226</v>
      </c>
      <c r="B41" t="s">
        <v>58</v>
      </c>
      <c r="C41" t="s">
        <v>608</v>
      </c>
      <c r="H41">
        <v>2</v>
      </c>
      <c r="I41" t="s">
        <v>609</v>
      </c>
      <c r="M41" t="str">
        <v>Debit Card Settlement</v>
      </c>
    </row>
    <row r="42" spans="1:13" x14ac:dyDescent="0.25">
      <c r="A42" t="s">
        <v>610</v>
      </c>
      <c r="B42" t="s">
        <v>58</v>
      </c>
      <c r="C42" t="s">
        <v>611</v>
      </c>
      <c r="H42">
        <v>4</v>
      </c>
      <c r="I42" t="s">
        <v>612</v>
      </c>
      <c r="M42" t="str">
        <v>Digital Video Chat and Screen Sharing</v>
      </c>
    </row>
    <row r="43" spans="1:13" x14ac:dyDescent="0.25">
      <c r="A43" t="s">
        <v>227</v>
      </c>
      <c r="B43" t="s">
        <v>58</v>
      </c>
      <c r="C43" t="s">
        <v>613</v>
      </c>
      <c r="H43">
        <v>2</v>
      </c>
      <c r="I43" t="s">
        <v>614</v>
      </c>
      <c r="M43" t="str">
        <v>DirectLine Wires</v>
      </c>
    </row>
    <row r="44" spans="1:13" x14ac:dyDescent="0.25">
      <c r="A44" t="s">
        <v>615</v>
      </c>
      <c r="B44" t="s">
        <v>58</v>
      </c>
      <c r="C44" t="s">
        <v>616</v>
      </c>
      <c r="H44">
        <v>4</v>
      </c>
      <c r="I44" t="s">
        <v>617</v>
      </c>
      <c r="M44" t="str">
        <v>DSIS Scanner Interface</v>
      </c>
    </row>
    <row r="45" spans="1:13" x14ac:dyDescent="0.25">
      <c r="A45" t="s">
        <v>228</v>
      </c>
      <c r="B45" t="s">
        <v>58</v>
      </c>
      <c r="C45" t="s">
        <v>618</v>
      </c>
      <c r="H45">
        <v>3</v>
      </c>
      <c r="I45" t="s">
        <v>619</v>
      </c>
      <c r="M45" t="str">
        <v>Electronic Statement Interactive (ESI)</v>
      </c>
    </row>
    <row r="46" spans="1:13" x14ac:dyDescent="0.25">
      <c r="A46" t="s">
        <v>229</v>
      </c>
      <c r="B46" t="s">
        <v>58</v>
      </c>
      <c r="C46" t="s">
        <v>620</v>
      </c>
      <c r="H46">
        <v>1</v>
      </c>
      <c r="I46" t="s">
        <v>621</v>
      </c>
      <c r="M46" t="str">
        <v>EMV Chip Card Authorization</v>
      </c>
    </row>
    <row r="47" spans="1:13" x14ac:dyDescent="0.25">
      <c r="A47" t="s">
        <v>622</v>
      </c>
      <c r="B47" t="s">
        <v>58</v>
      </c>
      <c r="C47" t="s">
        <v>623</v>
      </c>
      <c r="H47">
        <v>4</v>
      </c>
      <c r="I47" t="s">
        <v>624</v>
      </c>
      <c r="M47" t="str">
        <v>Ensenta ITM/ATM</v>
      </c>
    </row>
    <row r="48" spans="1:13" x14ac:dyDescent="0.25">
      <c r="A48" s="2" t="s">
        <v>439</v>
      </c>
      <c r="B48" t="s">
        <v>58</v>
      </c>
      <c r="C48" t="s">
        <v>625</v>
      </c>
      <c r="H48">
        <v>1</v>
      </c>
      <c r="I48" t="s">
        <v>626</v>
      </c>
      <c r="M48" t="str">
        <v>EPS Platform Set Up Fee</v>
      </c>
    </row>
    <row r="49" spans="1:13" x14ac:dyDescent="0.25">
      <c r="A49" s="2" t="s">
        <v>627</v>
      </c>
      <c r="B49" t="s">
        <v>58</v>
      </c>
      <c r="C49" t="s">
        <v>628</v>
      </c>
      <c r="H49">
        <v>4</v>
      </c>
      <c r="I49" t="s">
        <v>629</v>
      </c>
      <c r="M49" t="str">
        <v>EPS SmartSight Setup Fee and Monthly Subscription Fee</v>
      </c>
    </row>
    <row r="50" spans="1:13" x14ac:dyDescent="0.25">
      <c r="A50" t="s">
        <v>230</v>
      </c>
      <c r="B50" t="s">
        <v>58</v>
      </c>
      <c r="C50" t="s">
        <v>630</v>
      </c>
      <c r="H50">
        <v>2</v>
      </c>
      <c r="I50" t="s">
        <v>631</v>
      </c>
      <c r="M50" t="str">
        <v>Ethoca (based on dollars recovered) JHA Debit Processing</v>
      </c>
    </row>
    <row r="51" spans="1:13" x14ac:dyDescent="0.25">
      <c r="A51" s="2" t="s">
        <v>632</v>
      </c>
      <c r="B51" t="s">
        <v>58</v>
      </c>
      <c r="C51" t="s">
        <v>633</v>
      </c>
      <c r="H51">
        <v>3</v>
      </c>
      <c r="I51" t="s">
        <v>634</v>
      </c>
      <c r="M51" t="str">
        <v>FedNow Implementation and Monthly Network Receive Only</v>
      </c>
    </row>
    <row r="52" spans="1:13" x14ac:dyDescent="0.25">
      <c r="A52" t="s">
        <v>635</v>
      </c>
      <c r="B52" t="s">
        <v>58</v>
      </c>
      <c r="C52" t="s">
        <v>636</v>
      </c>
      <c r="H52">
        <v>4</v>
      </c>
      <c r="I52" t="s">
        <v>637</v>
      </c>
      <c r="M52" t="str">
        <v>Footprints Data Storage JHA Debit Processing</v>
      </c>
    </row>
    <row r="53" spans="1:13" x14ac:dyDescent="0.25">
      <c r="A53" t="s">
        <v>638</v>
      </c>
      <c r="B53" t="s">
        <v>58</v>
      </c>
      <c r="C53" t="s">
        <v>639</v>
      </c>
      <c r="H53">
        <v>2</v>
      </c>
      <c r="I53" t="s">
        <v>640</v>
      </c>
      <c r="M53" t="str">
        <v>FPS Customer Profitability and Pricing</v>
      </c>
    </row>
    <row r="54" spans="1:13" x14ac:dyDescent="0.25">
      <c r="A54" t="s">
        <v>641</v>
      </c>
      <c r="B54" t="s">
        <v>58</v>
      </c>
      <c r="C54" t="s">
        <v>642</v>
      </c>
      <c r="H54">
        <v>1</v>
      </c>
      <c r="I54" t="s">
        <v>643</v>
      </c>
      <c r="M54" t="str">
        <v>FPS Enterprise</v>
      </c>
    </row>
    <row r="55" spans="1:13" x14ac:dyDescent="0.25">
      <c r="A55" t="s">
        <v>434</v>
      </c>
      <c r="B55" t="s">
        <v>58</v>
      </c>
      <c r="C55" t="s">
        <v>644</v>
      </c>
      <c r="H55">
        <v>3</v>
      </c>
      <c r="I55" t="s">
        <v>645</v>
      </c>
      <c r="M55" t="str">
        <v>FPS Forecasting and Financial Reporting</v>
      </c>
    </row>
    <row r="56" spans="1:13" x14ac:dyDescent="0.25">
      <c r="A56" t="s">
        <v>231</v>
      </c>
      <c r="B56" t="s">
        <v>58</v>
      </c>
      <c r="C56" t="s">
        <v>646</v>
      </c>
      <c r="H56">
        <v>4</v>
      </c>
      <c r="I56" t="s">
        <v>647</v>
      </c>
      <c r="M56" t="str">
        <v>Fraud Alert Case Management JHA Debit Processing</v>
      </c>
    </row>
    <row r="57" spans="1:13" x14ac:dyDescent="0.25">
      <c r="A57" t="s">
        <v>447</v>
      </c>
      <c r="B57" t="s">
        <v>58</v>
      </c>
      <c r="C57" t="s">
        <v>648</v>
      </c>
      <c r="H57">
        <v>4</v>
      </c>
      <c r="I57" t="s">
        <v>649</v>
      </c>
      <c r="M57" t="str">
        <v>Fraud Cardholder Record Storage JHA Debit Processing</v>
      </c>
    </row>
    <row r="58" spans="1:13" x14ac:dyDescent="0.25">
      <c r="A58" t="s">
        <v>232</v>
      </c>
      <c r="B58" t="s">
        <v>58</v>
      </c>
      <c r="C58" t="s">
        <v>650</v>
      </c>
      <c r="H58">
        <v>4</v>
      </c>
      <c r="I58" t="s">
        <v>651</v>
      </c>
      <c r="M58" t="str">
        <v>Full Service Disputes Letters JHA Debit Processing</v>
      </c>
    </row>
    <row r="59" spans="1:13" x14ac:dyDescent="0.25">
      <c r="A59" t="s">
        <v>652</v>
      </c>
      <c r="B59" t="s">
        <v>58</v>
      </c>
      <c r="C59" t="s">
        <v>653</v>
      </c>
      <c r="H59">
        <v>2</v>
      </c>
      <c r="I59" t="s">
        <v>654</v>
      </c>
      <c r="M59" t="str">
        <v>Full-Service Chargeback Dispute Processing JHA Debit Processing</v>
      </c>
    </row>
    <row r="60" spans="1:13" x14ac:dyDescent="0.25">
      <c r="A60" t="s">
        <v>233</v>
      </c>
      <c r="B60" t="s">
        <v>58</v>
      </c>
      <c r="C60" t="s">
        <v>655</v>
      </c>
      <c r="H60">
        <v>1</v>
      </c>
      <c r="I60" t="s">
        <v>656</v>
      </c>
      <c r="M60" t="str">
        <v>Full-Service Disputes Digital SSO Support JHA Debit Processing</v>
      </c>
    </row>
    <row r="61" spans="1:13" x14ac:dyDescent="0.25">
      <c r="A61" t="s">
        <v>657</v>
      </c>
      <c r="B61" t="s">
        <v>58</v>
      </c>
      <c r="C61" t="s">
        <v>658</v>
      </c>
      <c r="H61">
        <v>2</v>
      </c>
      <c r="I61" t="s">
        <v>659</v>
      </c>
      <c r="M61" t="str">
        <v>Host Based PIN Authorization JHA Debit Processing</v>
      </c>
    </row>
    <row r="62" spans="1:13" x14ac:dyDescent="0.25">
      <c r="A62" t="s">
        <v>660</v>
      </c>
      <c r="B62" t="s">
        <v>58</v>
      </c>
      <c r="C62" t="s">
        <v>661</v>
      </c>
      <c r="H62">
        <v>4</v>
      </c>
      <c r="I62" t="s">
        <v>662</v>
      </c>
      <c r="M62" t="str">
        <v>Hosted Xperience</v>
      </c>
    </row>
    <row r="63" spans="1:13" x14ac:dyDescent="0.25">
      <c r="A63" t="s">
        <v>663</v>
      </c>
      <c r="B63" t="s">
        <v>58</v>
      </c>
      <c r="C63" t="s">
        <v>664</v>
      </c>
      <c r="H63">
        <v>2</v>
      </c>
      <c r="I63" t="s">
        <v>665</v>
      </c>
      <c r="M63" t="str">
        <v>IDScan.net OCR</v>
      </c>
    </row>
    <row r="64" spans="1:13" x14ac:dyDescent="0.25">
      <c r="A64" t="s">
        <v>666</v>
      </c>
      <c r="B64" t="s">
        <v>58</v>
      </c>
      <c r="C64" t="s">
        <v>667</v>
      </c>
      <c r="H64">
        <v>1</v>
      </c>
      <c r="I64" t="s">
        <v>668</v>
      </c>
      <c r="M64" t="str">
        <v>Instant Issue JHA Debit Processing</v>
      </c>
    </row>
    <row r="65" spans="1:13" x14ac:dyDescent="0.25">
      <c r="A65" t="s">
        <v>669</v>
      </c>
      <c r="B65" t="s">
        <v>58</v>
      </c>
      <c r="C65" t="s">
        <v>670</v>
      </c>
      <c r="H65">
        <v>4</v>
      </c>
      <c r="I65" t="s">
        <v>671</v>
      </c>
      <c r="M65" t="str">
        <v>Intuit Connectivity for QuickBooks Current Release</v>
      </c>
    </row>
    <row r="66" spans="1:13" x14ac:dyDescent="0.25">
      <c r="A66" s="2" t="s">
        <v>672</v>
      </c>
      <c r="B66" t="s">
        <v>58</v>
      </c>
      <c r="C66" t="s">
        <v>673</v>
      </c>
      <c r="H66">
        <v>4</v>
      </c>
      <c r="I66" t="s">
        <v>674</v>
      </c>
      <c r="M66" t="str">
        <v>Intuit Connectivity for QuickBooks Previous two versions support</v>
      </c>
    </row>
    <row r="67" spans="1:13" x14ac:dyDescent="0.25">
      <c r="A67" s="2" t="s">
        <v>234</v>
      </c>
      <c r="B67" t="s">
        <v>58</v>
      </c>
      <c r="C67" t="s">
        <v>675</v>
      </c>
      <c r="H67">
        <v>4</v>
      </c>
      <c r="I67" t="s">
        <v>676</v>
      </c>
      <c r="M67" t="str">
        <v>Intuit Connectivity for Quicken Current Release</v>
      </c>
    </row>
    <row r="68" spans="1:13" x14ac:dyDescent="0.25">
      <c r="A68" s="2" t="s">
        <v>236</v>
      </c>
      <c r="B68" t="s">
        <v>58</v>
      </c>
      <c r="C68" t="s">
        <v>677</v>
      </c>
      <c r="H68">
        <v>1</v>
      </c>
      <c r="I68" t="s">
        <v>678</v>
      </c>
      <c r="M68" t="str">
        <v>iPay Business BillPay Banno</v>
      </c>
    </row>
    <row r="69" spans="1:13" x14ac:dyDescent="0.25">
      <c r="A69" s="2" t="s">
        <v>237</v>
      </c>
      <c r="B69" t="s">
        <v>58</v>
      </c>
      <c r="C69" t="s">
        <v>679</v>
      </c>
      <c r="H69">
        <v>3</v>
      </c>
      <c r="I69" t="s">
        <v>680</v>
      </c>
      <c r="M69" t="str">
        <v>iPay eBill Detail</v>
      </c>
    </row>
    <row r="70" spans="1:13" x14ac:dyDescent="0.25">
      <c r="A70" s="2" t="s">
        <v>238</v>
      </c>
      <c r="B70" t="s">
        <v>58</v>
      </c>
      <c r="C70" t="s">
        <v>681</v>
      </c>
      <c r="H70">
        <v>2</v>
      </c>
      <c r="I70" t="s">
        <v>682</v>
      </c>
      <c r="M70" t="str">
        <v>iPay Electronic Bill Payment Annual Compliance Package Banno</v>
      </c>
    </row>
    <row r="71" spans="1:13" x14ac:dyDescent="0.25">
      <c r="A71" s="2" t="s">
        <v>435</v>
      </c>
      <c r="B71" t="s">
        <v>58</v>
      </c>
      <c r="C71" t="s">
        <v>683</v>
      </c>
      <c r="H71">
        <v>3</v>
      </c>
      <c r="I71" t="s">
        <v>684</v>
      </c>
      <c r="M71" t="str">
        <v>Jack Henry Digital Card Issuance and Provisioning - Mastercard</v>
      </c>
    </row>
    <row r="72" spans="1:13" x14ac:dyDescent="0.25">
      <c r="A72" s="2" t="s">
        <v>240</v>
      </c>
      <c r="B72" t="s">
        <v>58</v>
      </c>
      <c r="C72" t="s">
        <v>685</v>
      </c>
      <c r="H72">
        <v>2</v>
      </c>
      <c r="I72" t="s">
        <v>182</v>
      </c>
      <c r="M72" t="str">
        <v>Jack Henry Digital Provisioning Enablement (JHA Tokenization Required) JHA Debit Processing</v>
      </c>
    </row>
    <row r="73" spans="1:13" x14ac:dyDescent="0.25">
      <c r="A73" s="2" t="s">
        <v>241</v>
      </c>
      <c r="B73" t="s">
        <v>58</v>
      </c>
      <c r="C73" t="s">
        <v>686</v>
      </c>
      <c r="H73">
        <v>1</v>
      </c>
      <c r="I73" t="s">
        <v>191</v>
      </c>
      <c r="M73" t="str">
        <v>Jack Henry Financial Crimes Defender Consulting</v>
      </c>
    </row>
    <row r="74" spans="1:13" x14ac:dyDescent="0.25">
      <c r="A74" s="2" t="s">
        <v>235</v>
      </c>
      <c r="B74" t="s">
        <v>58</v>
      </c>
      <c r="C74" t="s">
        <v>687</v>
      </c>
      <c r="H74">
        <v>1</v>
      </c>
      <c r="I74" t="s">
        <v>688</v>
      </c>
      <c r="M74" t="str">
        <v>Jack Henry Financial Crimes Defender Enterprise</v>
      </c>
    </row>
    <row r="75" spans="1:13" x14ac:dyDescent="0.25">
      <c r="A75" s="2" t="s">
        <v>242</v>
      </c>
      <c r="B75" t="s">
        <v>58</v>
      </c>
      <c r="C75" t="s">
        <v>689</v>
      </c>
      <c r="M75" t="str">
        <v>Jack Henry Financial Crimes Defender Real-time Payments Zelle Initial</v>
      </c>
    </row>
    <row r="76" spans="1:13" x14ac:dyDescent="0.25">
      <c r="A76" s="2" t="s">
        <v>243</v>
      </c>
      <c r="B76" t="s">
        <v>58</v>
      </c>
      <c r="C76" t="s">
        <v>690</v>
      </c>
      <c r="M76" t="str">
        <v>Jack Henry Loyalty and Rewards - Enterprise</v>
      </c>
    </row>
    <row r="77" spans="1:13" x14ac:dyDescent="0.25">
      <c r="A77" s="2" t="s">
        <v>244</v>
      </c>
      <c r="B77" t="s">
        <v>58</v>
      </c>
      <c r="C77" t="s">
        <v>691</v>
      </c>
      <c r="M77" t="str">
        <v>Jack Henry Loyalty and Rewards Optimization Assistance</v>
      </c>
    </row>
    <row r="78" spans="1:13" x14ac:dyDescent="0.25">
      <c r="A78" s="2" t="s">
        <v>245</v>
      </c>
      <c r="B78" t="s">
        <v>58</v>
      </c>
      <c r="C78" t="s">
        <v>692</v>
      </c>
      <c r="M78" t="str">
        <v>Jack Henry Loyalty and Rewards Strategy Engagement</v>
      </c>
    </row>
    <row r="79" spans="1:13" x14ac:dyDescent="0.25">
      <c r="A79" s="2" t="s">
        <v>693</v>
      </c>
      <c r="B79" t="s">
        <v>58</v>
      </c>
      <c r="C79" t="s">
        <v>694</v>
      </c>
      <c r="M79" t="str">
        <v>Jack Henry Loyalty and Rewards Support - Enterprise</v>
      </c>
    </row>
    <row r="80" spans="1:13" x14ac:dyDescent="0.25">
      <c r="A80" s="2" t="s">
        <v>246</v>
      </c>
      <c r="B80" t="s">
        <v>58</v>
      </c>
      <c r="C80" t="s">
        <v>695</v>
      </c>
      <c r="M80" t="str">
        <v>jConnect</v>
      </c>
    </row>
    <row r="81" spans="1:13" x14ac:dyDescent="0.25">
      <c r="A81" s="2" t="s">
        <v>443</v>
      </c>
      <c r="B81" t="s">
        <v>58</v>
      </c>
      <c r="C81" s="2" t="s">
        <v>696</v>
      </c>
      <c r="M81" t="str">
        <v>JH Online Financial Management with Account Aggregation</v>
      </c>
    </row>
    <row r="82" spans="1:13" x14ac:dyDescent="0.25">
      <c r="A82" s="2" t="s">
        <v>247</v>
      </c>
      <c r="B82" t="s">
        <v>58</v>
      </c>
      <c r="C82" t="s">
        <v>697</v>
      </c>
      <c r="M82" t="str">
        <v>JH Technology Architecture Services</v>
      </c>
    </row>
    <row r="83" spans="1:13" x14ac:dyDescent="0.25">
      <c r="A83" s="2" t="s">
        <v>248</v>
      </c>
      <c r="B83" t="s">
        <v>58</v>
      </c>
      <c r="C83" s="2" t="s">
        <v>698</v>
      </c>
      <c r="M83" t="str">
        <v>JHA ATM/POS Processing</v>
      </c>
    </row>
    <row r="84" spans="1:13" x14ac:dyDescent="0.25">
      <c r="A84" t="s">
        <v>249</v>
      </c>
      <c r="B84" t="s">
        <v>58</v>
      </c>
      <c r="C84" t="s">
        <v>699</v>
      </c>
      <c r="M84" t="str">
        <v>JHA Card Activation JHA Debit Processing</v>
      </c>
    </row>
    <row r="85" spans="1:13" ht="15" customHeight="1" x14ac:dyDescent="0.25">
      <c r="A85" s="2" t="s">
        <v>250</v>
      </c>
      <c r="B85" t="s">
        <v>58</v>
      </c>
      <c r="C85" t="s">
        <v>700</v>
      </c>
      <c r="M85" t="str">
        <v>JHA Card Analytics JHA Debit Processing</v>
      </c>
    </row>
    <row r="86" spans="1:13" x14ac:dyDescent="0.25">
      <c r="A86" t="s">
        <v>251</v>
      </c>
      <c r="B86" t="s">
        <v>58</v>
      </c>
      <c r="C86" t="s">
        <v>701</v>
      </c>
      <c r="M86" t="str">
        <v>JHA Card Connect JHA Debit Processing</v>
      </c>
    </row>
    <row r="87" spans="1:13" x14ac:dyDescent="0.25">
      <c r="A87" s="2" t="s">
        <v>252</v>
      </c>
      <c r="B87" t="s">
        <v>58</v>
      </c>
      <c r="C87" t="s">
        <v>702</v>
      </c>
      <c r="M87" t="str">
        <v>JHA Card Fraud Center (scored transactions) JHA Debit Processing</v>
      </c>
    </row>
    <row r="88" spans="1:13" x14ac:dyDescent="0.25">
      <c r="A88" s="2" t="s">
        <v>253</v>
      </c>
      <c r="B88" t="s">
        <v>58</v>
      </c>
      <c r="C88" t="s">
        <v>703</v>
      </c>
      <c r="M88" t="str">
        <v>JHA Client Services Consulting Workflow Process Automation Design</v>
      </c>
    </row>
    <row r="89" spans="1:13" x14ac:dyDescent="0.25">
      <c r="A89" s="2" t="s">
        <v>254</v>
      </c>
      <c r="B89" t="s">
        <v>58</v>
      </c>
      <c r="C89" t="s">
        <v>704</v>
      </c>
      <c r="M89" t="str">
        <v>JHA Client Services Consulting Workflow Process Automation Strategy</v>
      </c>
    </row>
    <row r="90" spans="1:13" x14ac:dyDescent="0.25">
      <c r="A90" s="2" t="s">
        <v>255</v>
      </c>
      <c r="B90" t="s">
        <v>58</v>
      </c>
      <c r="C90" t="s">
        <v>705</v>
      </c>
      <c r="M90" t="str">
        <v>JHA Debit Processing</v>
      </c>
    </row>
    <row r="91" spans="1:13" x14ac:dyDescent="0.25">
      <c r="A91" s="2" t="s">
        <v>256</v>
      </c>
      <c r="B91" t="s">
        <v>58</v>
      </c>
      <c r="C91" t="s">
        <v>706</v>
      </c>
      <c r="M91" t="str">
        <v>JHA Hot Card Center Calls JHA Debit Processing</v>
      </c>
    </row>
    <row r="92" spans="1:13" x14ac:dyDescent="0.25">
      <c r="A92" s="2" t="s">
        <v>707</v>
      </c>
      <c r="B92" t="s">
        <v>58</v>
      </c>
      <c r="C92" t="s">
        <v>708</v>
      </c>
      <c r="M92" t="str">
        <v>JHA Hot Card Center JHA Debit Processing</v>
      </c>
    </row>
    <row r="93" spans="1:13" x14ac:dyDescent="0.25">
      <c r="A93" s="2" t="s">
        <v>257</v>
      </c>
      <c r="B93" t="s">
        <v>58</v>
      </c>
      <c r="C93" t="s">
        <v>709</v>
      </c>
      <c r="M93" t="str">
        <v>JHA OpenAnywhere</v>
      </c>
    </row>
    <row r="94" spans="1:13" x14ac:dyDescent="0.25">
      <c r="A94" s="2" t="s">
        <v>258</v>
      </c>
      <c r="B94" t="s">
        <v>58</v>
      </c>
      <c r="C94" t="s">
        <v>710</v>
      </c>
      <c r="M94" t="str">
        <v>JHA OpenAnywhere Finicity</v>
      </c>
    </row>
    <row r="95" spans="1:13" x14ac:dyDescent="0.25">
      <c r="A95" s="2" t="s">
        <v>259</v>
      </c>
      <c r="B95" t="s">
        <v>58</v>
      </c>
      <c r="C95" t="s">
        <v>711</v>
      </c>
      <c r="M95" t="str">
        <v>JHA OpenAnywhere Project Management</v>
      </c>
    </row>
    <row r="96" spans="1:13" x14ac:dyDescent="0.25">
      <c r="A96" s="2" t="s">
        <v>712</v>
      </c>
      <c r="B96" t="s">
        <v>58</v>
      </c>
      <c r="C96" t="s">
        <v>713</v>
      </c>
      <c r="M96" t="str">
        <v>JHA PayCenter</v>
      </c>
    </row>
    <row r="97" spans="1:13" x14ac:dyDescent="0.25">
      <c r="A97" s="2" t="s">
        <v>260</v>
      </c>
      <c r="B97" t="s">
        <v>58</v>
      </c>
      <c r="C97" t="s">
        <v>714</v>
      </c>
      <c r="M97" t="str">
        <v>JHA PIN Management JHA Debit Processing</v>
      </c>
    </row>
    <row r="98" spans="1:13" x14ac:dyDescent="0.25">
      <c r="A98" s="2" t="s">
        <v>261</v>
      </c>
      <c r="B98" t="s">
        <v>58</v>
      </c>
      <c r="C98" t="s">
        <v>715</v>
      </c>
      <c r="M98" t="str">
        <v>JHA SmartPay mRDC</v>
      </c>
    </row>
    <row r="99" spans="1:13" x14ac:dyDescent="0.25">
      <c r="A99" s="2" t="s">
        <v>262</v>
      </c>
      <c r="B99" t="s">
        <v>58</v>
      </c>
      <c r="C99" t="s">
        <v>716</v>
      </c>
      <c r="M99" t="str">
        <v>JHA SmartPay Remote Deposit Anywhere (RDA)</v>
      </c>
    </row>
    <row r="100" spans="1:13" x14ac:dyDescent="0.25">
      <c r="A100" s="2" t="s">
        <v>263</v>
      </c>
      <c r="B100" t="s">
        <v>58</v>
      </c>
      <c r="C100" t="s">
        <v>717</v>
      </c>
      <c r="M100" t="str">
        <v>JHA SmartPay Remote Deposit Now (RDN)</v>
      </c>
    </row>
    <row r="101" spans="1:13" x14ac:dyDescent="0.25">
      <c r="A101" s="2" t="s">
        <v>718</v>
      </c>
      <c r="B101" t="s">
        <v>58</v>
      </c>
      <c r="C101" t="s">
        <v>719</v>
      </c>
      <c r="M101" t="str">
        <v>JHA Tokenization (Digital Wallet) Additional Instance JHA Debit Processing</v>
      </c>
    </row>
    <row r="102" spans="1:13" x14ac:dyDescent="0.25">
      <c r="A102" s="2" t="s">
        <v>264</v>
      </c>
      <c r="B102" t="s">
        <v>58</v>
      </c>
      <c r="C102" t="s">
        <v>720</v>
      </c>
      <c r="M102" t="str">
        <v>JHA Tokenization (Digital Wallet) Automated Provisioning Notifications Enrollment Fee JHA Debit</v>
      </c>
    </row>
    <row r="103" spans="1:13" x14ac:dyDescent="0.25">
      <c r="A103" s="2" t="s">
        <v>265</v>
      </c>
      <c r="B103" t="s">
        <v>58</v>
      </c>
      <c r="C103" t="s">
        <v>721</v>
      </c>
      <c r="M103" t="str">
        <v>JHA Tokenization (Digital Wallet) Automated Provisioning Notifications JHA Debit Processing</v>
      </c>
    </row>
    <row r="104" spans="1:13" x14ac:dyDescent="0.25">
      <c r="A104" s="2" t="s">
        <v>266</v>
      </c>
      <c r="B104" t="s">
        <v>58</v>
      </c>
      <c r="C104" t="s">
        <v>722</v>
      </c>
      <c r="M104" t="str">
        <v>JHA Tokenization (Digital Wallet) JHA Debit Processing</v>
      </c>
    </row>
    <row r="105" spans="1:13" x14ac:dyDescent="0.25">
      <c r="A105" s="2" t="s">
        <v>723</v>
      </c>
      <c r="B105" t="s">
        <v>58</v>
      </c>
      <c r="C105" t="s">
        <v>724</v>
      </c>
      <c r="M105" t="str">
        <v>JHA Tokenization (Digital Wallet) Transactions JHA Debit Processing</v>
      </c>
    </row>
    <row r="106" spans="1:13" x14ac:dyDescent="0.25">
      <c r="A106" s="2" t="s">
        <v>239</v>
      </c>
      <c r="B106" t="s">
        <v>58</v>
      </c>
      <c r="C106" t="s">
        <v>725</v>
      </c>
      <c r="M106" t="str">
        <v>jhaAnalytics</v>
      </c>
    </row>
    <row r="107" spans="1:13" x14ac:dyDescent="0.25">
      <c r="A107" s="2" t="s">
        <v>268</v>
      </c>
      <c r="B107" t="s">
        <v>58</v>
      </c>
      <c r="C107" s="2" t="s">
        <v>726</v>
      </c>
      <c r="M107" t="str">
        <v>jhaEnterprise Workflow</v>
      </c>
    </row>
    <row r="108" spans="1:13" x14ac:dyDescent="0.25">
      <c r="A108" s="2" t="s">
        <v>269</v>
      </c>
      <c r="B108" t="s">
        <v>58</v>
      </c>
      <c r="C108" t="s">
        <v>727</v>
      </c>
      <c r="M108" t="str">
        <v>jhaEnterprise Workflow Consulting</v>
      </c>
    </row>
    <row r="109" spans="1:13" x14ac:dyDescent="0.25">
      <c r="A109" s="2" t="s">
        <v>728</v>
      </c>
      <c r="B109" t="s">
        <v>58</v>
      </c>
      <c r="C109" t="s">
        <v>729</v>
      </c>
      <c r="M109" t="str">
        <v>jhaEnterprise Workflow Synergy</v>
      </c>
    </row>
    <row r="110" spans="1:13" x14ac:dyDescent="0.25">
      <c r="A110" s="2" t="s">
        <v>730</v>
      </c>
      <c r="B110" t="s">
        <v>58</v>
      </c>
      <c r="C110" t="s">
        <v>731</v>
      </c>
      <c r="M110" t="str">
        <v>jhaEnterprise Workflow Training Shared</v>
      </c>
    </row>
    <row r="111" spans="1:13" x14ac:dyDescent="0.25">
      <c r="A111" s="2" t="s">
        <v>732</v>
      </c>
      <c r="B111" t="s">
        <v>58</v>
      </c>
      <c r="C111" t="s">
        <v>733</v>
      </c>
      <c r="M111" t="str">
        <v>JHMenu Express</v>
      </c>
    </row>
    <row r="112" spans="1:13" x14ac:dyDescent="0.25">
      <c r="A112" s="2" t="s">
        <v>734</v>
      </c>
      <c r="B112" t="s">
        <v>58</v>
      </c>
      <c r="C112" t="s">
        <v>735</v>
      </c>
      <c r="M112" t="str">
        <v>Know-It-All Now eLearning</v>
      </c>
    </row>
    <row r="113" spans="1:13" x14ac:dyDescent="0.25">
      <c r="A113" s="2" t="s">
        <v>736</v>
      </c>
      <c r="B113" t="s">
        <v>58</v>
      </c>
      <c r="C113" t="s">
        <v>737</v>
      </c>
      <c r="M113" t="str">
        <v>LoanVantage</v>
      </c>
    </row>
    <row r="114" spans="1:13" x14ac:dyDescent="0.25">
      <c r="A114" s="2" t="s">
        <v>738</v>
      </c>
      <c r="B114" t="s">
        <v>58</v>
      </c>
      <c r="C114" t="s">
        <v>739</v>
      </c>
      <c r="M114" t="str">
        <v>Low-Dollar Write-off, per case JHA Debit Processing</v>
      </c>
    </row>
    <row r="115" spans="1:13" x14ac:dyDescent="0.25">
      <c r="A115" s="2" t="s">
        <v>740</v>
      </c>
      <c r="B115" t="s">
        <v>58</v>
      </c>
      <c r="C115" t="s">
        <v>741</v>
      </c>
      <c r="M115" t="str">
        <v>MyCardRules JHA Debit Processing</v>
      </c>
    </row>
    <row r="116" spans="1:13" x14ac:dyDescent="0.25">
      <c r="A116" s="2" t="s">
        <v>271</v>
      </c>
      <c r="B116" t="s">
        <v>58</v>
      </c>
      <c r="C116" t="s">
        <v>742</v>
      </c>
      <c r="M116" t="str">
        <v>National ATM/Debit Network</v>
      </c>
    </row>
    <row r="117" spans="1:13" x14ac:dyDescent="0.25">
      <c r="A117" s="2" t="s">
        <v>743</v>
      </c>
      <c r="B117" t="s">
        <v>58</v>
      </c>
      <c r="C117" t="s">
        <v>744</v>
      </c>
      <c r="M117" t="str">
        <v>Network Fraud Reporting JHA Debit Processing</v>
      </c>
    </row>
    <row r="118" spans="1:13" x14ac:dyDescent="0.25">
      <c r="A118" s="2" t="s">
        <v>745</v>
      </c>
      <c r="B118" t="s">
        <v>58</v>
      </c>
      <c r="C118" t="s">
        <v>746</v>
      </c>
      <c r="M118" t="str">
        <v>Non-Standard Job Request, per job JHA Debit Processing</v>
      </c>
    </row>
    <row r="119" spans="1:13" x14ac:dyDescent="0.25">
      <c r="A119" s="2" t="s">
        <v>747</v>
      </c>
      <c r="B119" t="s">
        <v>58</v>
      </c>
      <c r="C119" t="s">
        <v>748</v>
      </c>
      <c r="M119" t="str">
        <v>OFX Gateway CFM</v>
      </c>
    </row>
    <row r="120" spans="1:13" x14ac:dyDescent="0.25">
      <c r="A120" s="2" t="s">
        <v>749</v>
      </c>
      <c r="B120" t="s">
        <v>58</v>
      </c>
      <c r="C120" t="s">
        <v>750</v>
      </c>
      <c r="M120" t="str">
        <v>OFX Gateway PFM</v>
      </c>
    </row>
    <row r="121" spans="1:13" x14ac:dyDescent="0.25">
      <c r="A121" s="2" t="s">
        <v>272</v>
      </c>
      <c r="B121" t="s">
        <v>58</v>
      </c>
      <c r="C121" t="s">
        <v>751</v>
      </c>
      <c r="M121" t="str">
        <v>OnBoard Deposits</v>
      </c>
    </row>
    <row r="122" spans="1:13" x14ac:dyDescent="0.25">
      <c r="A122" s="2" t="s">
        <v>752</v>
      </c>
      <c r="B122" t="s">
        <v>58</v>
      </c>
      <c r="C122" t="s">
        <v>1915</v>
      </c>
      <c r="M122" t="str">
        <v>OnBoard Lending</v>
      </c>
    </row>
    <row r="123" spans="1:13" x14ac:dyDescent="0.25">
      <c r="A123" s="2" t="s">
        <v>753</v>
      </c>
      <c r="B123" t="s">
        <v>58</v>
      </c>
      <c r="C123" t="s">
        <v>754</v>
      </c>
      <c r="M123" t="str">
        <v>Online ATM &amp; Debit Authorization to CPS Switch Includes 7,000 ATM Transactions per month &amp; 2,50</v>
      </c>
    </row>
    <row r="124" spans="1:13" x14ac:dyDescent="0.25">
      <c r="A124" s="2" t="s">
        <v>755</v>
      </c>
      <c r="B124" t="s">
        <v>58</v>
      </c>
      <c r="C124" t="s">
        <v>756</v>
      </c>
      <c r="M124" t="str">
        <v>Online ATM Authorizations (to CPS) JHA Debit Processing</v>
      </c>
    </row>
    <row r="125" spans="1:13" x14ac:dyDescent="0.25">
      <c r="A125" s="2" t="s">
        <v>273</v>
      </c>
      <c r="B125" t="s">
        <v>58</v>
      </c>
      <c r="C125" t="s">
        <v>757</v>
      </c>
      <c r="M125" t="str">
        <v>Online Debit Authorizations (to CPS) JHA Debit Processing</v>
      </c>
    </row>
    <row r="126" spans="1:13" x14ac:dyDescent="0.25">
      <c r="A126" s="2" t="s">
        <v>274</v>
      </c>
      <c r="B126" t="s">
        <v>58</v>
      </c>
      <c r="C126" t="s">
        <v>758</v>
      </c>
      <c r="M126" t="str">
        <v>OutLink Item Imaging</v>
      </c>
    </row>
    <row r="127" spans="1:13" x14ac:dyDescent="0.25">
      <c r="A127" s="2" t="s">
        <v>759</v>
      </c>
      <c r="B127" t="s">
        <v>58</v>
      </c>
      <c r="C127" t="s">
        <v>760</v>
      </c>
      <c r="M127" t="str">
        <v>OutLink Item Processing Customer Training</v>
      </c>
    </row>
    <row r="128" spans="1:13" x14ac:dyDescent="0.25">
      <c r="A128" s="2" t="s">
        <v>761</v>
      </c>
      <c r="B128" t="s">
        <v>58</v>
      </c>
      <c r="C128" t="s">
        <v>762</v>
      </c>
      <c r="M128" t="str">
        <v>Outlink Statement Printing</v>
      </c>
    </row>
    <row r="129" spans="1:13" x14ac:dyDescent="0.25">
      <c r="A129" s="2" t="s">
        <v>276</v>
      </c>
      <c r="B129" t="s">
        <v>58</v>
      </c>
      <c r="C129" t="s">
        <v>763</v>
      </c>
      <c r="M129" t="str">
        <v>Parascript CAR/LAR</v>
      </c>
    </row>
    <row r="130" spans="1:13" x14ac:dyDescent="0.25">
      <c r="A130" s="2" t="s">
        <v>277</v>
      </c>
      <c r="B130" t="s">
        <v>58</v>
      </c>
      <c r="C130" t="s">
        <v>764</v>
      </c>
      <c r="M130" t="str">
        <v>Payrailz Bundle</v>
      </c>
    </row>
    <row r="131" spans="1:13" x14ac:dyDescent="0.25">
      <c r="A131" s="2" t="s">
        <v>765</v>
      </c>
      <c r="B131" t="s">
        <v>58</v>
      </c>
      <c r="C131" t="s">
        <v>766</v>
      </c>
      <c r="M131" t="str">
        <v>Payrailz Bundle Transactions</v>
      </c>
    </row>
    <row r="132" spans="1:13" x14ac:dyDescent="0.25">
      <c r="A132" s="2" t="s">
        <v>767</v>
      </c>
      <c r="B132" t="s">
        <v>58</v>
      </c>
      <c r="C132" t="s">
        <v>768</v>
      </c>
      <c r="M132" t="str">
        <v>Payrailz Fraud Monitor</v>
      </c>
    </row>
    <row r="133" spans="1:13" x14ac:dyDescent="0.25">
      <c r="A133" s="2" t="s">
        <v>769</v>
      </c>
      <c r="B133" t="s">
        <v>58</v>
      </c>
      <c r="C133" t="s">
        <v>770</v>
      </c>
      <c r="M133" t="str">
        <v>Payrailz/iPay Integration</v>
      </c>
    </row>
    <row r="134" spans="1:13" x14ac:dyDescent="0.25">
      <c r="A134" s="2" t="s">
        <v>771</v>
      </c>
      <c r="B134" t="s">
        <v>58</v>
      </c>
      <c r="C134" t="s">
        <v>772</v>
      </c>
      <c r="M134" t="str">
        <v>PIN Sets or PIN Changes JHA Debit Processing</v>
      </c>
    </row>
    <row r="135" spans="1:13" x14ac:dyDescent="0.25">
      <c r="A135" s="2" t="s">
        <v>773</v>
      </c>
      <c r="B135" t="s">
        <v>58</v>
      </c>
      <c r="C135" t="s">
        <v>774</v>
      </c>
      <c r="M135" t="str">
        <v>Plaid</v>
      </c>
    </row>
    <row r="136" spans="1:13" x14ac:dyDescent="0.25">
      <c r="A136" s="2" t="s">
        <v>278</v>
      </c>
      <c r="B136" t="s">
        <v>58</v>
      </c>
      <c r="C136" t="s">
        <v>775</v>
      </c>
      <c r="M136" t="str">
        <v>Platform Static Training Bank</v>
      </c>
    </row>
    <row r="137" spans="1:13" x14ac:dyDescent="0.25">
      <c r="A137" s="2" t="s">
        <v>279</v>
      </c>
      <c r="B137" t="s">
        <v>58</v>
      </c>
      <c r="C137" t="s">
        <v>776</v>
      </c>
      <c r="M137" t="str">
        <v>PNV</v>
      </c>
    </row>
    <row r="138" spans="1:13" x14ac:dyDescent="0.25">
      <c r="A138" s="2" t="s">
        <v>777</v>
      </c>
      <c r="B138" t="s">
        <v>58</v>
      </c>
      <c r="C138" t="s">
        <v>778</v>
      </c>
      <c r="M138" t="str">
        <v>Premium Notice Printing</v>
      </c>
    </row>
    <row r="139" spans="1:13" x14ac:dyDescent="0.25">
      <c r="A139" s="2" t="s">
        <v>779</v>
      </c>
      <c r="B139" t="s">
        <v>58</v>
      </c>
      <c r="C139" t="s">
        <v>780</v>
      </c>
      <c r="M139" t="str">
        <v>PrePaid Consulting</v>
      </c>
    </row>
    <row r="140" spans="1:13" x14ac:dyDescent="0.25">
      <c r="A140" s="2" t="s">
        <v>781</v>
      </c>
      <c r="B140" t="s">
        <v>58</v>
      </c>
      <c r="C140" t="s">
        <v>782</v>
      </c>
      <c r="M140" t="str">
        <v>ProfitStars ALM Basic Reporting Service</v>
      </c>
    </row>
    <row r="141" spans="1:13" x14ac:dyDescent="0.25">
      <c r="A141" s="2" t="s">
        <v>282</v>
      </c>
      <c r="B141" t="s">
        <v>58</v>
      </c>
      <c r="C141" t="s">
        <v>783</v>
      </c>
      <c r="M141" t="str">
        <v>Regional ATM/Debit Network</v>
      </c>
    </row>
    <row r="142" spans="1:13" x14ac:dyDescent="0.25">
      <c r="A142" s="2" t="s">
        <v>280</v>
      </c>
      <c r="B142" t="s">
        <v>58</v>
      </c>
      <c r="C142" t="s">
        <v>784</v>
      </c>
      <c r="M142" t="str">
        <v>RemitPlus Express - Financial Institution</v>
      </c>
    </row>
    <row r="143" spans="1:13" x14ac:dyDescent="0.25">
      <c r="A143" s="2" t="s">
        <v>281</v>
      </c>
      <c r="B143" t="s">
        <v>58</v>
      </c>
      <c r="C143" t="s">
        <v>785</v>
      </c>
      <c r="M143" t="str">
        <v>Remote Entered Non-Monetary Transactions JHA Debit Processing</v>
      </c>
    </row>
    <row r="144" spans="1:13" x14ac:dyDescent="0.25">
      <c r="A144" s="2" t="s">
        <v>786</v>
      </c>
      <c r="B144" t="s">
        <v>58</v>
      </c>
      <c r="C144" t="s">
        <v>787</v>
      </c>
      <c r="M144" t="str">
        <v>Report Archival Pages JHA Debit Processing</v>
      </c>
    </row>
    <row r="145" spans="1:13" x14ac:dyDescent="0.25">
      <c r="A145" s="2" t="s">
        <v>283</v>
      </c>
      <c r="B145" t="s">
        <v>58</v>
      </c>
      <c r="C145" t="s">
        <v>788</v>
      </c>
      <c r="M145" t="str">
        <v>RTP Implementation and Monthly Network Receive Only</v>
      </c>
    </row>
    <row r="146" spans="1:13" x14ac:dyDescent="0.25">
      <c r="A146" s="2" t="s">
        <v>789</v>
      </c>
      <c r="B146" t="s">
        <v>58</v>
      </c>
      <c r="C146" t="s">
        <v>790</v>
      </c>
      <c r="M146" t="str">
        <v>SilverLake Static Training Bank</v>
      </c>
    </row>
    <row r="147" spans="1:13" x14ac:dyDescent="0.25">
      <c r="A147" s="2" t="s">
        <v>791</v>
      </c>
      <c r="B147" t="s">
        <v>58</v>
      </c>
      <c r="C147" t="s">
        <v>792</v>
      </c>
      <c r="M147" t="str">
        <v>SilverLake System Bundle</v>
      </c>
    </row>
    <row r="148" spans="1:13" x14ac:dyDescent="0.25">
      <c r="A148" s="2" t="s">
        <v>793</v>
      </c>
      <c r="B148" t="s">
        <v>58</v>
      </c>
      <c r="C148" t="s">
        <v>794</v>
      </c>
      <c r="M148" t="str">
        <v>SilverLake Technical Conversion/Installation</v>
      </c>
    </row>
    <row r="149" spans="1:13" x14ac:dyDescent="0.25">
      <c r="A149" s="2" t="s">
        <v>795</v>
      </c>
      <c r="B149" t="s">
        <v>58</v>
      </c>
      <c r="C149" t="s">
        <v>796</v>
      </c>
      <c r="M149" t="str">
        <v>SilverLake Teller Static Training Bank</v>
      </c>
    </row>
    <row r="150" spans="1:13" x14ac:dyDescent="0.25">
      <c r="A150" s="2" t="s">
        <v>284</v>
      </c>
      <c r="B150" t="s">
        <v>58</v>
      </c>
      <c r="C150" t="s">
        <v>797</v>
      </c>
      <c r="M150" t="str">
        <v>Synapsys CRM</v>
      </c>
    </row>
    <row r="151" spans="1:13" x14ac:dyDescent="0.25">
      <c r="A151" t="s">
        <v>285</v>
      </c>
      <c r="B151" t="s">
        <v>58</v>
      </c>
      <c r="C151" t="s">
        <v>798</v>
      </c>
      <c r="M151" t="str">
        <v>Synapsys CRM Annual Training/Consulting Maintenance (For OutLink/Hosted customers only)</v>
      </c>
    </row>
    <row r="152" spans="1:13" x14ac:dyDescent="0.25">
      <c r="A152" s="2" t="s">
        <v>449</v>
      </c>
      <c r="B152" t="s">
        <v>58</v>
      </c>
      <c r="C152" s="2" t="s">
        <v>799</v>
      </c>
      <c r="M152" t="str">
        <v>Synergy Automated Document Recognition</v>
      </c>
    </row>
    <row r="153" spans="1:13" x14ac:dyDescent="0.25">
      <c r="A153" s="2" t="s">
        <v>448</v>
      </c>
      <c r="B153" t="s">
        <v>58</v>
      </c>
      <c r="C153" s="2" t="s">
        <v>800</v>
      </c>
      <c r="M153" t="str">
        <v>Synergy Document Recognition Education (eLearning)</v>
      </c>
    </row>
    <row r="154" spans="1:13" x14ac:dyDescent="0.25">
      <c r="A154" s="2" t="s">
        <v>801</v>
      </c>
      <c r="B154" t="s">
        <v>58</v>
      </c>
      <c r="C154" s="2" t="s">
        <v>802</v>
      </c>
      <c r="M154" t="str">
        <v>Synergy ECM</v>
      </c>
    </row>
    <row r="155" spans="1:13" x14ac:dyDescent="0.25">
      <c r="A155" t="s">
        <v>803</v>
      </c>
      <c r="B155" t="s">
        <v>58</v>
      </c>
      <c r="C155" t="s">
        <v>804</v>
      </c>
      <c r="M155" t="str">
        <v>Synergy ECM Administrator Education Pack (Virtual, instructor-led training and eLearning)</v>
      </c>
    </row>
    <row r="156" spans="1:13" x14ac:dyDescent="0.25">
      <c r="A156" t="s">
        <v>805</v>
      </c>
      <c r="B156" t="s">
        <v>58</v>
      </c>
      <c r="C156" t="s">
        <v>806</v>
      </c>
      <c r="M156" t="str">
        <v>Synergy ECM User/Operator Education Pack (eLearning)</v>
      </c>
    </row>
    <row r="157" spans="1:13" x14ac:dyDescent="0.25">
      <c r="A157" t="s">
        <v>807</v>
      </c>
      <c r="B157" t="s">
        <v>58</v>
      </c>
      <c r="C157" t="s">
        <v>808</v>
      </c>
      <c r="M157" t="str">
        <v>Synergy eSign &amp; eSignWeb Education Pack (Virtual, instructor-led training and eLearning)</v>
      </c>
    </row>
    <row r="158" spans="1:13" x14ac:dyDescent="0.25">
      <c r="A158" t="s">
        <v>809</v>
      </c>
      <c r="B158" t="s">
        <v>58</v>
      </c>
      <c r="C158" t="s">
        <v>810</v>
      </c>
      <c r="M158" t="str">
        <v>Synergy eSign and eSignWeb Bundle</v>
      </c>
    </row>
    <row r="159" spans="1:13" x14ac:dyDescent="0.25">
      <c r="A159" t="s">
        <v>811</v>
      </c>
      <c r="B159" t="s">
        <v>58</v>
      </c>
      <c r="C159" t="s">
        <v>812</v>
      </c>
      <c r="M159" t="str">
        <v>Synergy Implementation Consulting</v>
      </c>
    </row>
    <row r="160" spans="1:13" x14ac:dyDescent="0.25">
      <c r="A160" t="s">
        <v>813</v>
      </c>
      <c r="B160" t="s">
        <v>58</v>
      </c>
      <c r="C160" t="s">
        <v>814</v>
      </c>
      <c r="M160" t="str">
        <v>Synergy Productivity</v>
      </c>
    </row>
    <row r="161" spans="1:13" x14ac:dyDescent="0.25">
      <c r="A161" t="s">
        <v>815</v>
      </c>
      <c r="B161" t="s">
        <v>58</v>
      </c>
      <c r="C161" t="s">
        <v>816</v>
      </c>
      <c r="M161" t="str">
        <v>Synergy Productivity Education Pack (Virtual, instructor-led training and eLearning)</v>
      </c>
    </row>
    <row r="162" spans="1:13" x14ac:dyDescent="0.25">
      <c r="A162" t="s">
        <v>286</v>
      </c>
      <c r="B162" t="s">
        <v>58</v>
      </c>
      <c r="C162" t="s">
        <v>817</v>
      </c>
      <c r="M162" t="str">
        <v>Tape Entered Non-Monetary Transactions JHA Debit Processing</v>
      </c>
    </row>
    <row r="163" spans="1:13" x14ac:dyDescent="0.25">
      <c r="A163" t="s">
        <v>818</v>
      </c>
      <c r="B163" t="s">
        <v>58</v>
      </c>
      <c r="C163" t="s">
        <v>819</v>
      </c>
      <c r="M163" t="str">
        <v>Teller Cash Recycler</v>
      </c>
    </row>
    <row r="164" spans="1:13" x14ac:dyDescent="0.25">
      <c r="A164" t="s">
        <v>820</v>
      </c>
      <c r="B164" t="s">
        <v>58</v>
      </c>
      <c r="C164" t="s">
        <v>821</v>
      </c>
      <c r="M164" t="str">
        <v>Teller CheckMaster Plus</v>
      </c>
    </row>
    <row r="165" spans="1:13" x14ac:dyDescent="0.25">
      <c r="A165" t="s">
        <v>822</v>
      </c>
      <c r="B165" t="s">
        <v>58</v>
      </c>
      <c r="C165" t="s">
        <v>823</v>
      </c>
      <c r="M165" t="str">
        <v>Teller Email Receipts</v>
      </c>
    </row>
    <row r="166" spans="1:13" x14ac:dyDescent="0.25">
      <c r="A166" t="s">
        <v>824</v>
      </c>
      <c r="B166" t="s">
        <v>58</v>
      </c>
      <c r="C166" t="s">
        <v>825</v>
      </c>
      <c r="M166" t="str">
        <v>Teller Integration to AlertCenter</v>
      </c>
    </row>
    <row r="167" spans="1:13" x14ac:dyDescent="0.25">
      <c r="A167" t="s">
        <v>826</v>
      </c>
      <c r="B167" t="s">
        <v>58</v>
      </c>
      <c r="C167" t="s">
        <v>827</v>
      </c>
      <c r="M167" t="str">
        <v>Teller OrboAnywhere AI Recognition</v>
      </c>
    </row>
    <row r="168" spans="1:13" x14ac:dyDescent="0.25">
      <c r="A168" t="s">
        <v>828</v>
      </c>
      <c r="B168" t="s">
        <v>58</v>
      </c>
      <c r="C168" t="s">
        <v>829</v>
      </c>
      <c r="M168" t="str">
        <v>Teller OrboAnywhere AI Validate</v>
      </c>
    </row>
    <row r="169" spans="1:13" x14ac:dyDescent="0.25">
      <c r="A169" t="s">
        <v>830</v>
      </c>
      <c r="B169" t="s">
        <v>58</v>
      </c>
      <c r="C169" t="s">
        <v>831</v>
      </c>
      <c r="M169" t="str">
        <v>TruStage Forms-LoanVantage</v>
      </c>
    </row>
    <row r="170" spans="1:13" x14ac:dyDescent="0.25">
      <c r="A170" t="s">
        <v>832</v>
      </c>
      <c r="B170" t="s">
        <v>58</v>
      </c>
      <c r="C170" t="s">
        <v>833</v>
      </c>
      <c r="M170" t="str">
        <v>TruStage Forms-OnBoard Deposits-Includes Tax Favored Acct Svcs Bundle</v>
      </c>
    </row>
    <row r="171" spans="1:13" x14ac:dyDescent="0.25">
      <c r="A171" t="s">
        <v>834</v>
      </c>
      <c r="B171" t="s">
        <v>58</v>
      </c>
      <c r="C171" t="s">
        <v>835</v>
      </c>
      <c r="M171" t="str">
        <v>TruStage Forms-OpenAnywhere</v>
      </c>
    </row>
    <row r="172" spans="1:13" x14ac:dyDescent="0.25">
      <c r="A172" t="s">
        <v>836</v>
      </c>
      <c r="B172" t="s">
        <v>58</v>
      </c>
      <c r="C172" t="s">
        <v>837</v>
      </c>
      <c r="M172" t="str">
        <v>Two-Way Connect Cardholder Alerts JHA Debit Processing</v>
      </c>
    </row>
    <row r="173" spans="1:13" x14ac:dyDescent="0.25">
      <c r="A173" t="s">
        <v>838</v>
      </c>
      <c r="B173" t="s">
        <v>58</v>
      </c>
      <c r="C173" t="s">
        <v>839</v>
      </c>
      <c r="M173" t="str">
        <v>User and Device Administration Training</v>
      </c>
    </row>
    <row r="174" spans="1:13" x14ac:dyDescent="0.25">
      <c r="A174" t="s">
        <v>840</v>
      </c>
      <c r="B174" t="s">
        <v>58</v>
      </c>
      <c r="C174" t="s">
        <v>841</v>
      </c>
      <c r="M174" t="str">
        <v>VISA/MasterCard Account Update (Items Needing Review)</v>
      </c>
    </row>
    <row r="175" spans="1:13" x14ac:dyDescent="0.25">
      <c r="A175" t="s">
        <v>842</v>
      </c>
      <c r="B175" t="s">
        <v>58</v>
      </c>
      <c r="C175" t="s">
        <v>843</v>
      </c>
      <c r="M175" t="str">
        <v>VISA/MasterCard Add/Change/Delete</v>
      </c>
    </row>
    <row r="176" spans="1:13" x14ac:dyDescent="0.25">
      <c r="A176" t="s">
        <v>844</v>
      </c>
      <c r="B176" t="s">
        <v>58</v>
      </c>
      <c r="C176" t="s">
        <v>845</v>
      </c>
      <c r="M176" t="str">
        <v>Web Hosting Showcase Plus</v>
      </c>
    </row>
    <row r="177" spans="1:13" x14ac:dyDescent="0.25">
      <c r="A177" t="s">
        <v>846</v>
      </c>
      <c r="B177" t="s">
        <v>58</v>
      </c>
      <c r="C177" t="s">
        <v>847</v>
      </c>
      <c r="M177" t="str">
        <v>Zelle Implementation and Monthly Network</v>
      </c>
    </row>
    <row r="178" spans="1:13" x14ac:dyDescent="0.25">
      <c r="A178" t="s">
        <v>848</v>
      </c>
      <c r="B178" t="s">
        <v>58</v>
      </c>
      <c r="C178" t="s">
        <v>849</v>
      </c>
      <c r="M178">
        <v>0</v>
      </c>
    </row>
    <row r="179" spans="1:13" x14ac:dyDescent="0.25">
      <c r="A179" t="s">
        <v>850</v>
      </c>
      <c r="B179" t="s">
        <v>58</v>
      </c>
      <c r="C179" t="s">
        <v>851</v>
      </c>
      <c r="M179">
        <v>0</v>
      </c>
    </row>
    <row r="180" spans="1:13" x14ac:dyDescent="0.25">
      <c r="A180" t="s">
        <v>852</v>
      </c>
      <c r="B180" t="s">
        <v>58</v>
      </c>
      <c r="C180" t="s">
        <v>853</v>
      </c>
      <c r="M180">
        <v>0</v>
      </c>
    </row>
    <row r="181" spans="1:13" x14ac:dyDescent="0.25">
      <c r="A181" t="s">
        <v>854</v>
      </c>
      <c r="B181" t="s">
        <v>58</v>
      </c>
      <c r="C181" t="s">
        <v>855</v>
      </c>
      <c r="M181">
        <v>0</v>
      </c>
    </row>
    <row r="182" spans="1:13" x14ac:dyDescent="0.25">
      <c r="A182" t="s">
        <v>856</v>
      </c>
      <c r="B182" t="s">
        <v>58</v>
      </c>
      <c r="C182" t="s">
        <v>857</v>
      </c>
      <c r="M182">
        <v>0</v>
      </c>
    </row>
    <row r="183" spans="1:13" x14ac:dyDescent="0.25">
      <c r="A183" t="s">
        <v>287</v>
      </c>
      <c r="B183" t="s">
        <v>58</v>
      </c>
      <c r="C183" t="s">
        <v>858</v>
      </c>
      <c r="M183">
        <v>0</v>
      </c>
    </row>
    <row r="184" spans="1:13" x14ac:dyDescent="0.25">
      <c r="A184" t="s">
        <v>859</v>
      </c>
      <c r="B184" t="s">
        <v>58</v>
      </c>
      <c r="C184" t="s">
        <v>860</v>
      </c>
      <c r="M184">
        <v>0</v>
      </c>
    </row>
    <row r="185" spans="1:13" x14ac:dyDescent="0.25">
      <c r="A185" t="s">
        <v>861</v>
      </c>
      <c r="B185" t="s">
        <v>58</v>
      </c>
      <c r="C185" t="s">
        <v>862</v>
      </c>
      <c r="M185">
        <v>0</v>
      </c>
    </row>
    <row r="186" spans="1:13" x14ac:dyDescent="0.25">
      <c r="A186" t="s">
        <v>863</v>
      </c>
      <c r="B186" t="s">
        <v>58</v>
      </c>
      <c r="C186" t="s">
        <v>864</v>
      </c>
      <c r="M186">
        <v>0</v>
      </c>
    </row>
    <row r="187" spans="1:13" x14ac:dyDescent="0.25">
      <c r="A187" t="s">
        <v>865</v>
      </c>
      <c r="B187" t="s">
        <v>58</v>
      </c>
      <c r="C187" t="s">
        <v>866</v>
      </c>
      <c r="M187">
        <v>0</v>
      </c>
    </row>
    <row r="188" spans="1:13" x14ac:dyDescent="0.25">
      <c r="A188" t="s">
        <v>867</v>
      </c>
      <c r="B188" t="s">
        <v>58</v>
      </c>
      <c r="C188" t="s">
        <v>868</v>
      </c>
      <c r="M188">
        <v>0</v>
      </c>
    </row>
    <row r="189" spans="1:13" x14ac:dyDescent="0.25">
      <c r="A189" t="s">
        <v>869</v>
      </c>
      <c r="B189" t="s">
        <v>58</v>
      </c>
      <c r="C189" t="s">
        <v>870</v>
      </c>
      <c r="M189">
        <v>0</v>
      </c>
    </row>
    <row r="190" spans="1:13" x14ac:dyDescent="0.25">
      <c r="A190" t="s">
        <v>871</v>
      </c>
      <c r="B190" t="s">
        <v>58</v>
      </c>
      <c r="C190" t="s">
        <v>872</v>
      </c>
      <c r="M190">
        <v>0</v>
      </c>
    </row>
    <row r="191" spans="1:13" x14ac:dyDescent="0.25">
      <c r="A191" t="s">
        <v>873</v>
      </c>
      <c r="B191" t="s">
        <v>58</v>
      </c>
      <c r="C191" t="s">
        <v>874</v>
      </c>
      <c r="M191">
        <v>0</v>
      </c>
    </row>
    <row r="192" spans="1:13" x14ac:dyDescent="0.25">
      <c r="A192" t="s">
        <v>875</v>
      </c>
      <c r="B192" t="s">
        <v>58</v>
      </c>
      <c r="C192" t="s">
        <v>876</v>
      </c>
      <c r="M192">
        <v>0</v>
      </c>
    </row>
    <row r="193" spans="1:13" x14ac:dyDescent="0.25">
      <c r="A193" s="2" t="s">
        <v>288</v>
      </c>
      <c r="B193" t="s">
        <v>58</v>
      </c>
      <c r="C193" t="s">
        <v>877</v>
      </c>
      <c r="M193">
        <v>0</v>
      </c>
    </row>
    <row r="194" spans="1:13" x14ac:dyDescent="0.25">
      <c r="A194" t="s">
        <v>878</v>
      </c>
      <c r="B194" t="s">
        <v>58</v>
      </c>
      <c r="C194" t="s">
        <v>879</v>
      </c>
      <c r="M194">
        <v>0</v>
      </c>
    </row>
    <row r="195" spans="1:13" x14ac:dyDescent="0.25">
      <c r="A195" t="s">
        <v>880</v>
      </c>
      <c r="B195" t="s">
        <v>58</v>
      </c>
      <c r="C195" t="s">
        <v>881</v>
      </c>
      <c r="M195">
        <v>0</v>
      </c>
    </row>
    <row r="196" spans="1:13" x14ac:dyDescent="0.25">
      <c r="A196" t="s">
        <v>882</v>
      </c>
      <c r="B196" t="s">
        <v>58</v>
      </c>
      <c r="C196" t="s">
        <v>883</v>
      </c>
      <c r="M196">
        <v>0</v>
      </c>
    </row>
    <row r="197" spans="1:13" x14ac:dyDescent="0.25">
      <c r="A197" t="s">
        <v>884</v>
      </c>
      <c r="B197" t="s">
        <v>58</v>
      </c>
      <c r="C197" t="s">
        <v>885</v>
      </c>
      <c r="M197">
        <v>0</v>
      </c>
    </row>
    <row r="198" spans="1:13" x14ac:dyDescent="0.25">
      <c r="A198" t="s">
        <v>886</v>
      </c>
      <c r="B198" t="s">
        <v>58</v>
      </c>
      <c r="C198" t="s">
        <v>887</v>
      </c>
      <c r="M198">
        <v>0</v>
      </c>
    </row>
    <row r="199" spans="1:13" x14ac:dyDescent="0.25">
      <c r="A199" t="s">
        <v>888</v>
      </c>
      <c r="B199" t="s">
        <v>58</v>
      </c>
      <c r="C199" t="s">
        <v>889</v>
      </c>
      <c r="M199">
        <v>0</v>
      </c>
    </row>
    <row r="200" spans="1:13" x14ac:dyDescent="0.25">
      <c r="A200" t="s">
        <v>890</v>
      </c>
      <c r="B200" t="s">
        <v>58</v>
      </c>
      <c r="C200" t="s">
        <v>891</v>
      </c>
      <c r="M200">
        <v>0</v>
      </c>
    </row>
    <row r="201" spans="1:13" x14ac:dyDescent="0.25">
      <c r="A201" t="s">
        <v>892</v>
      </c>
      <c r="B201" t="s">
        <v>58</v>
      </c>
      <c r="C201" t="s">
        <v>893</v>
      </c>
      <c r="M201">
        <v>0</v>
      </c>
    </row>
    <row r="202" spans="1:13" x14ac:dyDescent="0.25">
      <c r="A202" t="s">
        <v>894</v>
      </c>
      <c r="B202" t="s">
        <v>58</v>
      </c>
      <c r="C202" t="s">
        <v>895</v>
      </c>
      <c r="M202">
        <v>0</v>
      </c>
    </row>
    <row r="203" spans="1:13" x14ac:dyDescent="0.25">
      <c r="A203" t="s">
        <v>896</v>
      </c>
      <c r="B203" t="s">
        <v>58</v>
      </c>
      <c r="C203" t="s">
        <v>897</v>
      </c>
      <c r="M203">
        <v>0</v>
      </c>
    </row>
    <row r="204" spans="1:13" x14ac:dyDescent="0.25">
      <c r="A204" t="s">
        <v>898</v>
      </c>
      <c r="B204" t="s">
        <v>58</v>
      </c>
      <c r="C204" t="s">
        <v>899</v>
      </c>
      <c r="M204">
        <v>0</v>
      </c>
    </row>
    <row r="205" spans="1:13" x14ac:dyDescent="0.25">
      <c r="A205" t="s">
        <v>289</v>
      </c>
      <c r="B205" t="s">
        <v>58</v>
      </c>
      <c r="C205" t="s">
        <v>900</v>
      </c>
      <c r="M205">
        <v>0</v>
      </c>
    </row>
    <row r="206" spans="1:13" x14ac:dyDescent="0.25">
      <c r="A206" t="s">
        <v>901</v>
      </c>
      <c r="B206" t="s">
        <v>58</v>
      </c>
      <c r="C206" t="s">
        <v>902</v>
      </c>
      <c r="M206">
        <v>0</v>
      </c>
    </row>
    <row r="207" spans="1:13" x14ac:dyDescent="0.25">
      <c r="A207" t="s">
        <v>903</v>
      </c>
      <c r="B207" t="s">
        <v>58</v>
      </c>
      <c r="C207" t="s">
        <v>904</v>
      </c>
      <c r="M207">
        <v>0</v>
      </c>
    </row>
    <row r="208" spans="1:13" x14ac:dyDescent="0.25">
      <c r="A208" t="s">
        <v>905</v>
      </c>
      <c r="B208" t="s">
        <v>58</v>
      </c>
      <c r="C208" t="s">
        <v>906</v>
      </c>
      <c r="M208">
        <v>0</v>
      </c>
    </row>
    <row r="209" spans="1:13" x14ac:dyDescent="0.25">
      <c r="A209" t="s">
        <v>907</v>
      </c>
      <c r="B209" t="s">
        <v>58</v>
      </c>
      <c r="C209" t="s">
        <v>908</v>
      </c>
      <c r="M209">
        <v>0</v>
      </c>
    </row>
    <row r="210" spans="1:13" x14ac:dyDescent="0.25">
      <c r="A210" t="s">
        <v>909</v>
      </c>
      <c r="B210" t="s">
        <v>58</v>
      </c>
      <c r="C210" t="s">
        <v>910</v>
      </c>
      <c r="M210">
        <v>0</v>
      </c>
    </row>
    <row r="211" spans="1:13" x14ac:dyDescent="0.25">
      <c r="A211" t="s">
        <v>911</v>
      </c>
      <c r="B211" t="s">
        <v>58</v>
      </c>
      <c r="C211" t="s">
        <v>912</v>
      </c>
      <c r="M211">
        <v>0</v>
      </c>
    </row>
    <row r="212" spans="1:13" x14ac:dyDescent="0.25">
      <c r="A212" t="s">
        <v>913</v>
      </c>
      <c r="B212" t="s">
        <v>58</v>
      </c>
      <c r="C212" t="s">
        <v>914</v>
      </c>
      <c r="M212">
        <v>0</v>
      </c>
    </row>
    <row r="213" spans="1:13" x14ac:dyDescent="0.25">
      <c r="A213" t="s">
        <v>915</v>
      </c>
      <c r="B213" t="s">
        <v>58</v>
      </c>
      <c r="C213" t="s">
        <v>916</v>
      </c>
      <c r="M213">
        <v>0</v>
      </c>
    </row>
    <row r="214" spans="1:13" x14ac:dyDescent="0.25">
      <c r="A214" t="s">
        <v>917</v>
      </c>
      <c r="B214" t="s">
        <v>58</v>
      </c>
      <c r="C214" t="s">
        <v>918</v>
      </c>
      <c r="M214">
        <v>0</v>
      </c>
    </row>
    <row r="215" spans="1:13" x14ac:dyDescent="0.25">
      <c r="A215" t="s">
        <v>919</v>
      </c>
      <c r="B215" t="s">
        <v>58</v>
      </c>
      <c r="C215" t="s">
        <v>920</v>
      </c>
      <c r="M215">
        <v>0</v>
      </c>
    </row>
    <row r="216" spans="1:13" x14ac:dyDescent="0.25">
      <c r="A216" t="s">
        <v>921</v>
      </c>
      <c r="B216" t="s">
        <v>58</v>
      </c>
      <c r="C216" t="s">
        <v>922</v>
      </c>
      <c r="M216">
        <v>0</v>
      </c>
    </row>
    <row r="217" spans="1:13" x14ac:dyDescent="0.25">
      <c r="A217" t="s">
        <v>923</v>
      </c>
      <c r="B217" t="s">
        <v>58</v>
      </c>
      <c r="C217" t="s">
        <v>924</v>
      </c>
      <c r="M217">
        <v>0</v>
      </c>
    </row>
    <row r="218" spans="1:13" x14ac:dyDescent="0.25">
      <c r="A218" t="s">
        <v>925</v>
      </c>
      <c r="B218" t="s">
        <v>58</v>
      </c>
      <c r="C218" t="s">
        <v>926</v>
      </c>
      <c r="M218">
        <v>0</v>
      </c>
    </row>
    <row r="219" spans="1:13" x14ac:dyDescent="0.25">
      <c r="A219" t="s">
        <v>927</v>
      </c>
      <c r="B219" t="s">
        <v>58</v>
      </c>
      <c r="C219" t="s">
        <v>928</v>
      </c>
      <c r="M219">
        <v>0</v>
      </c>
    </row>
    <row r="220" spans="1:13" x14ac:dyDescent="0.25">
      <c r="A220" t="s">
        <v>929</v>
      </c>
      <c r="B220" t="s">
        <v>58</v>
      </c>
      <c r="C220" t="s">
        <v>930</v>
      </c>
      <c r="M220">
        <v>0</v>
      </c>
    </row>
    <row r="221" spans="1:13" x14ac:dyDescent="0.25">
      <c r="A221" t="s">
        <v>931</v>
      </c>
      <c r="B221" t="s">
        <v>58</v>
      </c>
      <c r="C221" t="s">
        <v>932</v>
      </c>
      <c r="M221">
        <v>0</v>
      </c>
    </row>
    <row r="222" spans="1:13" x14ac:dyDescent="0.25">
      <c r="A222" t="s">
        <v>933</v>
      </c>
      <c r="B222" t="s">
        <v>58</v>
      </c>
      <c r="C222" t="s">
        <v>934</v>
      </c>
      <c r="M222">
        <v>0</v>
      </c>
    </row>
    <row r="223" spans="1:13" x14ac:dyDescent="0.25">
      <c r="A223" t="s">
        <v>935</v>
      </c>
      <c r="B223" t="s">
        <v>58</v>
      </c>
      <c r="C223" t="s">
        <v>936</v>
      </c>
      <c r="M223">
        <v>0</v>
      </c>
    </row>
    <row r="224" spans="1:13" x14ac:dyDescent="0.25">
      <c r="A224" t="s">
        <v>937</v>
      </c>
      <c r="B224" t="s">
        <v>58</v>
      </c>
      <c r="C224" t="s">
        <v>938</v>
      </c>
      <c r="M224">
        <v>0</v>
      </c>
    </row>
    <row r="225" spans="1:13" x14ac:dyDescent="0.25">
      <c r="A225" t="s">
        <v>939</v>
      </c>
      <c r="B225" t="s">
        <v>58</v>
      </c>
      <c r="C225" t="s">
        <v>940</v>
      </c>
      <c r="M225">
        <v>0</v>
      </c>
    </row>
    <row r="226" spans="1:13" x14ac:dyDescent="0.25">
      <c r="A226" t="s">
        <v>941</v>
      </c>
      <c r="B226" t="s">
        <v>58</v>
      </c>
      <c r="C226" t="s">
        <v>942</v>
      </c>
      <c r="M226">
        <v>0</v>
      </c>
    </row>
    <row r="227" spans="1:13" x14ac:dyDescent="0.25">
      <c r="A227" t="s">
        <v>943</v>
      </c>
      <c r="B227" t="s">
        <v>58</v>
      </c>
      <c r="C227" t="s">
        <v>944</v>
      </c>
      <c r="M227">
        <v>0</v>
      </c>
    </row>
    <row r="228" spans="1:13" x14ac:dyDescent="0.25">
      <c r="A228" t="s">
        <v>945</v>
      </c>
      <c r="B228" t="s">
        <v>58</v>
      </c>
      <c r="C228" t="s">
        <v>946</v>
      </c>
      <c r="M228">
        <v>0</v>
      </c>
    </row>
    <row r="229" spans="1:13" x14ac:dyDescent="0.25">
      <c r="A229" t="s">
        <v>947</v>
      </c>
      <c r="B229" t="s">
        <v>58</v>
      </c>
      <c r="C229" t="s">
        <v>948</v>
      </c>
      <c r="M229">
        <v>0</v>
      </c>
    </row>
    <row r="230" spans="1:13" x14ac:dyDescent="0.25">
      <c r="A230" t="s">
        <v>949</v>
      </c>
      <c r="B230" t="s">
        <v>58</v>
      </c>
      <c r="C230" t="s">
        <v>950</v>
      </c>
      <c r="M230">
        <v>0</v>
      </c>
    </row>
    <row r="231" spans="1:13" x14ac:dyDescent="0.25">
      <c r="A231" t="s">
        <v>951</v>
      </c>
      <c r="B231" t="s">
        <v>58</v>
      </c>
      <c r="C231" t="s">
        <v>952</v>
      </c>
      <c r="M231">
        <v>0</v>
      </c>
    </row>
    <row r="232" spans="1:13" x14ac:dyDescent="0.25">
      <c r="A232" t="s">
        <v>953</v>
      </c>
      <c r="B232" t="s">
        <v>58</v>
      </c>
      <c r="C232" t="s">
        <v>954</v>
      </c>
      <c r="M232">
        <v>0</v>
      </c>
    </row>
    <row r="233" spans="1:13" x14ac:dyDescent="0.25">
      <c r="A233" t="s">
        <v>955</v>
      </c>
      <c r="B233" t="s">
        <v>58</v>
      </c>
      <c r="C233" t="s">
        <v>956</v>
      </c>
      <c r="M233">
        <v>0</v>
      </c>
    </row>
    <row r="234" spans="1:13" x14ac:dyDescent="0.25">
      <c r="A234" t="s">
        <v>957</v>
      </c>
      <c r="B234" t="s">
        <v>58</v>
      </c>
      <c r="C234" t="s">
        <v>958</v>
      </c>
      <c r="M234">
        <v>0</v>
      </c>
    </row>
    <row r="235" spans="1:13" x14ac:dyDescent="0.25">
      <c r="A235" t="s">
        <v>959</v>
      </c>
      <c r="B235" t="s">
        <v>58</v>
      </c>
      <c r="C235" t="s">
        <v>960</v>
      </c>
      <c r="M235">
        <v>0</v>
      </c>
    </row>
    <row r="236" spans="1:13" x14ac:dyDescent="0.25">
      <c r="A236" t="s">
        <v>961</v>
      </c>
      <c r="B236" t="s">
        <v>58</v>
      </c>
      <c r="C236" t="s">
        <v>962</v>
      </c>
      <c r="M236">
        <v>0</v>
      </c>
    </row>
    <row r="237" spans="1:13" x14ac:dyDescent="0.25">
      <c r="A237" t="s">
        <v>963</v>
      </c>
      <c r="B237" t="s">
        <v>58</v>
      </c>
      <c r="C237" t="s">
        <v>964</v>
      </c>
      <c r="M237">
        <v>0</v>
      </c>
    </row>
    <row r="238" spans="1:13" x14ac:dyDescent="0.25">
      <c r="A238" t="s">
        <v>965</v>
      </c>
      <c r="B238" t="s">
        <v>58</v>
      </c>
      <c r="C238" t="s">
        <v>966</v>
      </c>
      <c r="M238">
        <v>0</v>
      </c>
    </row>
    <row r="239" spans="1:13" x14ac:dyDescent="0.25">
      <c r="A239" t="s">
        <v>967</v>
      </c>
      <c r="B239" t="s">
        <v>58</v>
      </c>
      <c r="C239" t="s">
        <v>968</v>
      </c>
      <c r="M239">
        <v>0</v>
      </c>
    </row>
    <row r="240" spans="1:13" x14ac:dyDescent="0.25">
      <c r="A240" t="s">
        <v>969</v>
      </c>
      <c r="B240" t="s">
        <v>58</v>
      </c>
      <c r="C240" t="s">
        <v>970</v>
      </c>
      <c r="M240">
        <v>0</v>
      </c>
    </row>
    <row r="241" spans="1:3" x14ac:dyDescent="0.25">
      <c r="A241" t="s">
        <v>971</v>
      </c>
      <c r="B241" t="s">
        <v>58</v>
      </c>
      <c r="C241" t="s">
        <v>972</v>
      </c>
    </row>
    <row r="242" spans="1:3" x14ac:dyDescent="0.25">
      <c r="A242" t="s">
        <v>973</v>
      </c>
      <c r="B242" t="s">
        <v>58</v>
      </c>
      <c r="C242" t="s">
        <v>974</v>
      </c>
    </row>
    <row r="243" spans="1:3" x14ac:dyDescent="0.25">
      <c r="A243" t="s">
        <v>975</v>
      </c>
      <c r="B243" t="s">
        <v>58</v>
      </c>
      <c r="C243" t="s">
        <v>976</v>
      </c>
    </row>
    <row r="244" spans="1:3" x14ac:dyDescent="0.25">
      <c r="A244" t="s">
        <v>977</v>
      </c>
      <c r="B244" t="s">
        <v>58</v>
      </c>
      <c r="C244" t="s">
        <v>978</v>
      </c>
    </row>
    <row r="245" spans="1:3" x14ac:dyDescent="0.25">
      <c r="A245" t="s">
        <v>979</v>
      </c>
      <c r="B245" t="s">
        <v>58</v>
      </c>
      <c r="C245" t="s">
        <v>980</v>
      </c>
    </row>
    <row r="246" spans="1:3" x14ac:dyDescent="0.25">
      <c r="A246" t="s">
        <v>981</v>
      </c>
      <c r="B246" t="s">
        <v>58</v>
      </c>
      <c r="C246" t="s">
        <v>982</v>
      </c>
    </row>
    <row r="247" spans="1:3" x14ac:dyDescent="0.25">
      <c r="A247" t="s">
        <v>983</v>
      </c>
      <c r="B247" t="s">
        <v>58</v>
      </c>
      <c r="C247" t="s">
        <v>984</v>
      </c>
    </row>
    <row r="248" spans="1:3" x14ac:dyDescent="0.25">
      <c r="A248" t="s">
        <v>985</v>
      </c>
      <c r="B248" t="s">
        <v>58</v>
      </c>
      <c r="C248" t="s">
        <v>986</v>
      </c>
    </row>
    <row r="249" spans="1:3" x14ac:dyDescent="0.25">
      <c r="A249" t="s">
        <v>987</v>
      </c>
      <c r="B249" t="s">
        <v>58</v>
      </c>
      <c r="C249" t="s">
        <v>988</v>
      </c>
    </row>
    <row r="250" spans="1:3" x14ac:dyDescent="0.25">
      <c r="A250" t="s">
        <v>989</v>
      </c>
      <c r="B250" t="s">
        <v>58</v>
      </c>
      <c r="C250" t="s">
        <v>990</v>
      </c>
    </row>
    <row r="251" spans="1:3" x14ac:dyDescent="0.25">
      <c r="A251" t="s">
        <v>991</v>
      </c>
      <c r="B251" t="s">
        <v>58</v>
      </c>
      <c r="C251" t="s">
        <v>992</v>
      </c>
    </row>
    <row r="252" spans="1:3" x14ac:dyDescent="0.25">
      <c r="A252" t="s">
        <v>993</v>
      </c>
      <c r="B252" t="s">
        <v>58</v>
      </c>
      <c r="C252" t="s">
        <v>994</v>
      </c>
    </row>
    <row r="253" spans="1:3" x14ac:dyDescent="0.25">
      <c r="A253" t="s">
        <v>995</v>
      </c>
      <c r="B253" t="s">
        <v>58</v>
      </c>
      <c r="C253" t="s">
        <v>996</v>
      </c>
    </row>
    <row r="254" spans="1:3" x14ac:dyDescent="0.25">
      <c r="A254" t="s">
        <v>997</v>
      </c>
      <c r="B254" t="s">
        <v>58</v>
      </c>
      <c r="C254" t="s">
        <v>998</v>
      </c>
    </row>
    <row r="255" spans="1:3" x14ac:dyDescent="0.25">
      <c r="A255" t="s">
        <v>999</v>
      </c>
      <c r="B255" t="s">
        <v>58</v>
      </c>
      <c r="C255" t="s">
        <v>1000</v>
      </c>
    </row>
    <row r="256" spans="1:3" x14ac:dyDescent="0.25">
      <c r="A256" t="s">
        <v>290</v>
      </c>
      <c r="B256" t="s">
        <v>58</v>
      </c>
      <c r="C256" t="s">
        <v>1001</v>
      </c>
    </row>
    <row r="257" spans="1:3" x14ac:dyDescent="0.25">
      <c r="A257" t="s">
        <v>291</v>
      </c>
      <c r="B257" t="s">
        <v>58</v>
      </c>
      <c r="C257" t="s">
        <v>1002</v>
      </c>
    </row>
    <row r="258" spans="1:3" x14ac:dyDescent="0.25">
      <c r="A258" t="s">
        <v>1003</v>
      </c>
      <c r="B258" t="s">
        <v>58</v>
      </c>
      <c r="C258" t="s">
        <v>1004</v>
      </c>
    </row>
    <row r="259" spans="1:3" x14ac:dyDescent="0.25">
      <c r="A259" t="s">
        <v>1005</v>
      </c>
      <c r="B259" t="s">
        <v>58</v>
      </c>
      <c r="C259" t="s">
        <v>1006</v>
      </c>
    </row>
    <row r="260" spans="1:3" x14ac:dyDescent="0.25">
      <c r="A260" t="s">
        <v>1007</v>
      </c>
      <c r="B260" t="s">
        <v>58</v>
      </c>
      <c r="C260" t="s">
        <v>1008</v>
      </c>
    </row>
    <row r="261" spans="1:3" x14ac:dyDescent="0.25">
      <c r="A261" t="s">
        <v>1009</v>
      </c>
      <c r="B261" t="s">
        <v>58</v>
      </c>
      <c r="C261" t="s">
        <v>1010</v>
      </c>
    </row>
    <row r="262" spans="1:3" x14ac:dyDescent="0.25">
      <c r="A262" t="s">
        <v>1011</v>
      </c>
      <c r="B262" t="s">
        <v>58</v>
      </c>
      <c r="C262" t="s">
        <v>1012</v>
      </c>
    </row>
    <row r="263" spans="1:3" x14ac:dyDescent="0.25">
      <c r="A263" t="s">
        <v>1013</v>
      </c>
      <c r="B263" t="s">
        <v>58</v>
      </c>
      <c r="C263" t="s">
        <v>1014</v>
      </c>
    </row>
    <row r="264" spans="1:3" x14ac:dyDescent="0.25">
      <c r="A264" t="s">
        <v>1015</v>
      </c>
      <c r="B264" t="s">
        <v>58</v>
      </c>
      <c r="C264" t="s">
        <v>1006</v>
      </c>
    </row>
    <row r="265" spans="1:3" x14ac:dyDescent="0.25">
      <c r="A265" t="s">
        <v>292</v>
      </c>
      <c r="B265" t="s">
        <v>58</v>
      </c>
      <c r="C265" t="s">
        <v>1016</v>
      </c>
    </row>
    <row r="266" spans="1:3" x14ac:dyDescent="0.25">
      <c r="A266" t="s">
        <v>1017</v>
      </c>
      <c r="B266" t="s">
        <v>58</v>
      </c>
      <c r="C266" t="s">
        <v>1018</v>
      </c>
    </row>
    <row r="267" spans="1:3" x14ac:dyDescent="0.25">
      <c r="A267" t="s">
        <v>1019</v>
      </c>
      <c r="B267" t="s">
        <v>58</v>
      </c>
      <c r="C267" t="s">
        <v>1020</v>
      </c>
    </row>
    <row r="268" spans="1:3" x14ac:dyDescent="0.25">
      <c r="A268" t="s">
        <v>1021</v>
      </c>
      <c r="B268" t="s">
        <v>58</v>
      </c>
      <c r="C268" t="s">
        <v>1022</v>
      </c>
    </row>
    <row r="269" spans="1:3" x14ac:dyDescent="0.25">
      <c r="A269" t="s">
        <v>1023</v>
      </c>
      <c r="B269" t="s">
        <v>58</v>
      </c>
      <c r="C269" t="s">
        <v>1024</v>
      </c>
    </row>
    <row r="270" spans="1:3" x14ac:dyDescent="0.25">
      <c r="A270" t="s">
        <v>1025</v>
      </c>
      <c r="B270" t="s">
        <v>58</v>
      </c>
      <c r="C270" t="s">
        <v>1026</v>
      </c>
    </row>
    <row r="271" spans="1:3" x14ac:dyDescent="0.25">
      <c r="A271" t="s">
        <v>1027</v>
      </c>
      <c r="B271" t="s">
        <v>58</v>
      </c>
      <c r="C271" t="s">
        <v>1028</v>
      </c>
    </row>
    <row r="272" spans="1:3" x14ac:dyDescent="0.25">
      <c r="A272" t="s">
        <v>1029</v>
      </c>
      <c r="B272" t="s">
        <v>58</v>
      </c>
      <c r="C272" t="s">
        <v>1030</v>
      </c>
    </row>
    <row r="273" spans="1:3" x14ac:dyDescent="0.25">
      <c r="A273" t="s">
        <v>1031</v>
      </c>
      <c r="B273" t="s">
        <v>58</v>
      </c>
      <c r="C273" t="s">
        <v>1032</v>
      </c>
    </row>
    <row r="274" spans="1:3" x14ac:dyDescent="0.25">
      <c r="A274" t="s">
        <v>1033</v>
      </c>
      <c r="B274" t="s">
        <v>58</v>
      </c>
      <c r="C274" t="s">
        <v>1034</v>
      </c>
    </row>
    <row r="275" spans="1:3" x14ac:dyDescent="0.25">
      <c r="A275" t="s">
        <v>1035</v>
      </c>
      <c r="B275" t="s">
        <v>58</v>
      </c>
      <c r="C275" t="s">
        <v>1036</v>
      </c>
    </row>
    <row r="276" spans="1:3" x14ac:dyDescent="0.25">
      <c r="A276" t="s">
        <v>1037</v>
      </c>
      <c r="B276" t="s">
        <v>58</v>
      </c>
      <c r="C276" t="s">
        <v>1038</v>
      </c>
    </row>
    <row r="277" spans="1:3" x14ac:dyDescent="0.25">
      <c r="A277" t="s">
        <v>1039</v>
      </c>
      <c r="B277" t="s">
        <v>58</v>
      </c>
      <c r="C277" t="s">
        <v>1040</v>
      </c>
    </row>
    <row r="278" spans="1:3" x14ac:dyDescent="0.25">
      <c r="A278" t="s">
        <v>1041</v>
      </c>
      <c r="B278" t="s">
        <v>58</v>
      </c>
      <c r="C278" t="s">
        <v>1042</v>
      </c>
    </row>
    <row r="279" spans="1:3" x14ac:dyDescent="0.25">
      <c r="A279" t="s">
        <v>1043</v>
      </c>
      <c r="B279" t="s">
        <v>58</v>
      </c>
      <c r="C279" t="s">
        <v>1044</v>
      </c>
    </row>
    <row r="280" spans="1:3" x14ac:dyDescent="0.25">
      <c r="A280" t="s">
        <v>1045</v>
      </c>
      <c r="B280" t="s">
        <v>58</v>
      </c>
      <c r="C280" t="s">
        <v>1046</v>
      </c>
    </row>
    <row r="281" spans="1:3" x14ac:dyDescent="0.25">
      <c r="A281" t="s">
        <v>1047</v>
      </c>
      <c r="B281" t="s">
        <v>58</v>
      </c>
      <c r="C281" t="s">
        <v>1048</v>
      </c>
    </row>
    <row r="282" spans="1:3" x14ac:dyDescent="0.25">
      <c r="A282" t="s">
        <v>1049</v>
      </c>
      <c r="B282" t="s">
        <v>58</v>
      </c>
      <c r="C282" t="s">
        <v>1050</v>
      </c>
    </row>
    <row r="283" spans="1:3" x14ac:dyDescent="0.25">
      <c r="A283" t="s">
        <v>1051</v>
      </c>
      <c r="B283" s="1" t="s">
        <v>58</v>
      </c>
      <c r="C283" t="s">
        <v>1052</v>
      </c>
    </row>
    <row r="284" spans="1:3" x14ac:dyDescent="0.25">
      <c r="A284" t="s">
        <v>1053</v>
      </c>
      <c r="B284" s="1" t="s">
        <v>58</v>
      </c>
      <c r="C284" t="s">
        <v>1054</v>
      </c>
    </row>
    <row r="285" spans="1:3" x14ac:dyDescent="0.25">
      <c r="A285" t="s">
        <v>1055</v>
      </c>
      <c r="B285" t="s">
        <v>58</v>
      </c>
      <c r="C285" t="s">
        <v>1056</v>
      </c>
    </row>
    <row r="286" spans="1:3" x14ac:dyDescent="0.25">
      <c r="A286" t="s">
        <v>1057</v>
      </c>
      <c r="B286" t="s">
        <v>58</v>
      </c>
      <c r="C286" t="s">
        <v>1058</v>
      </c>
    </row>
    <row r="287" spans="1:3" x14ac:dyDescent="0.25">
      <c r="A287" t="s">
        <v>1059</v>
      </c>
      <c r="B287" t="s">
        <v>58</v>
      </c>
      <c r="C287" t="s">
        <v>1060</v>
      </c>
    </row>
    <row r="288" spans="1:3" x14ac:dyDescent="0.25">
      <c r="A288" t="s">
        <v>1061</v>
      </c>
      <c r="B288" t="s">
        <v>58</v>
      </c>
      <c r="C288" t="s">
        <v>1062</v>
      </c>
    </row>
    <row r="289" spans="1:3" x14ac:dyDescent="0.25">
      <c r="A289" t="s">
        <v>1063</v>
      </c>
      <c r="B289" t="s">
        <v>58</v>
      </c>
      <c r="C289" t="s">
        <v>1064</v>
      </c>
    </row>
    <row r="290" spans="1:3" x14ac:dyDescent="0.25">
      <c r="A290" t="s">
        <v>1065</v>
      </c>
      <c r="B290" t="s">
        <v>58</v>
      </c>
      <c r="C290" t="s">
        <v>1066</v>
      </c>
    </row>
    <row r="291" spans="1:3" x14ac:dyDescent="0.25">
      <c r="A291" t="s">
        <v>1067</v>
      </c>
      <c r="B291" t="s">
        <v>58</v>
      </c>
      <c r="C291" t="s">
        <v>1068</v>
      </c>
    </row>
    <row r="292" spans="1:3" x14ac:dyDescent="0.25">
      <c r="A292" s="2" t="s">
        <v>1069</v>
      </c>
      <c r="B292" t="s">
        <v>58</v>
      </c>
      <c r="C292" t="s">
        <v>1070</v>
      </c>
    </row>
    <row r="293" spans="1:3" x14ac:dyDescent="0.25">
      <c r="A293" s="2" t="s">
        <v>1071</v>
      </c>
      <c r="B293" t="s">
        <v>58</v>
      </c>
      <c r="C293" t="s">
        <v>1072</v>
      </c>
    </row>
    <row r="294" spans="1:3" x14ac:dyDescent="0.25">
      <c r="A294" t="s">
        <v>294</v>
      </c>
      <c r="B294" t="s">
        <v>58</v>
      </c>
      <c r="C294" t="s">
        <v>1073</v>
      </c>
    </row>
    <row r="295" spans="1:3" x14ac:dyDescent="0.25">
      <c r="A295" t="s">
        <v>1074</v>
      </c>
      <c r="B295" t="s">
        <v>58</v>
      </c>
      <c r="C295" t="s">
        <v>1075</v>
      </c>
    </row>
    <row r="296" spans="1:3" x14ac:dyDescent="0.25">
      <c r="A296" s="2" t="s">
        <v>1076</v>
      </c>
      <c r="B296" t="s">
        <v>58</v>
      </c>
      <c r="C296" t="s">
        <v>1077</v>
      </c>
    </row>
    <row r="297" spans="1:3" x14ac:dyDescent="0.25">
      <c r="A297" s="2" t="s">
        <v>1078</v>
      </c>
      <c r="B297" s="1" t="s">
        <v>58</v>
      </c>
      <c r="C297" t="s">
        <v>1079</v>
      </c>
    </row>
    <row r="298" spans="1:3" x14ac:dyDescent="0.25">
      <c r="A298" s="2" t="s">
        <v>1080</v>
      </c>
      <c r="B298" t="s">
        <v>58</v>
      </c>
      <c r="C298" t="s">
        <v>1081</v>
      </c>
    </row>
    <row r="299" spans="1:3" x14ac:dyDescent="0.25">
      <c r="A299" t="s">
        <v>295</v>
      </c>
      <c r="B299" t="s">
        <v>58</v>
      </c>
      <c r="C299" t="s">
        <v>1082</v>
      </c>
    </row>
    <row r="300" spans="1:3" x14ac:dyDescent="0.25">
      <c r="A300" t="s">
        <v>296</v>
      </c>
      <c r="B300" t="s">
        <v>58</v>
      </c>
      <c r="C300" t="s">
        <v>1083</v>
      </c>
    </row>
    <row r="301" spans="1:3" x14ac:dyDescent="0.25">
      <c r="A301" t="s">
        <v>1084</v>
      </c>
      <c r="B301" t="s">
        <v>58</v>
      </c>
      <c r="C301" t="s">
        <v>1085</v>
      </c>
    </row>
    <row r="302" spans="1:3" x14ac:dyDescent="0.25">
      <c r="A302" t="s">
        <v>1086</v>
      </c>
      <c r="B302" t="s">
        <v>58</v>
      </c>
      <c r="C302" t="s">
        <v>1087</v>
      </c>
    </row>
    <row r="303" spans="1:3" x14ac:dyDescent="0.25">
      <c r="A303" s="2" t="s">
        <v>297</v>
      </c>
      <c r="B303" t="s">
        <v>58</v>
      </c>
      <c r="C303" t="s">
        <v>1088</v>
      </c>
    </row>
    <row r="304" spans="1:3" x14ac:dyDescent="0.25">
      <c r="A304" s="2" t="s">
        <v>1089</v>
      </c>
      <c r="B304" t="s">
        <v>58</v>
      </c>
      <c r="C304" t="s">
        <v>1090</v>
      </c>
    </row>
    <row r="305" spans="1:3" x14ac:dyDescent="0.25">
      <c r="A305" t="s">
        <v>1091</v>
      </c>
      <c r="B305" t="s">
        <v>58</v>
      </c>
      <c r="C305" t="s">
        <v>1092</v>
      </c>
    </row>
    <row r="306" spans="1:3" x14ac:dyDescent="0.25">
      <c r="A306" t="s">
        <v>298</v>
      </c>
      <c r="B306" t="s">
        <v>58</v>
      </c>
      <c r="C306" t="s">
        <v>1093</v>
      </c>
    </row>
    <row r="307" spans="1:3" x14ac:dyDescent="0.25">
      <c r="A307" s="2" t="s">
        <v>299</v>
      </c>
      <c r="B307" t="s">
        <v>58</v>
      </c>
      <c r="C307" t="s">
        <v>1094</v>
      </c>
    </row>
    <row r="308" spans="1:3" x14ac:dyDescent="0.25">
      <c r="A308" t="s">
        <v>1095</v>
      </c>
      <c r="B308" t="s">
        <v>58</v>
      </c>
      <c r="C308" t="s">
        <v>1096</v>
      </c>
    </row>
    <row r="309" spans="1:3" x14ac:dyDescent="0.25">
      <c r="A309" s="2" t="s">
        <v>1097</v>
      </c>
      <c r="B309" t="s">
        <v>58</v>
      </c>
      <c r="C309" t="s">
        <v>1098</v>
      </c>
    </row>
    <row r="310" spans="1:3" x14ac:dyDescent="0.25">
      <c r="A310" s="2" t="s">
        <v>1099</v>
      </c>
      <c r="B310" t="s">
        <v>58</v>
      </c>
      <c r="C310" t="s">
        <v>1100</v>
      </c>
    </row>
    <row r="311" spans="1:3" x14ac:dyDescent="0.25">
      <c r="A311" s="2" t="s">
        <v>300</v>
      </c>
      <c r="B311" t="s">
        <v>58</v>
      </c>
      <c r="C311" t="s">
        <v>1101</v>
      </c>
    </row>
    <row r="312" spans="1:3" x14ac:dyDescent="0.25">
      <c r="A312" s="2" t="s">
        <v>1102</v>
      </c>
      <c r="B312" t="s">
        <v>58</v>
      </c>
      <c r="C312" t="s">
        <v>1103</v>
      </c>
    </row>
    <row r="313" spans="1:3" x14ac:dyDescent="0.25">
      <c r="A313" t="s">
        <v>1104</v>
      </c>
      <c r="B313" t="s">
        <v>58</v>
      </c>
      <c r="C313" t="s">
        <v>1105</v>
      </c>
    </row>
    <row r="314" spans="1:3" x14ac:dyDescent="0.25">
      <c r="A314" t="s">
        <v>301</v>
      </c>
      <c r="B314" t="s">
        <v>58</v>
      </c>
      <c r="C314" t="s">
        <v>1106</v>
      </c>
    </row>
    <row r="315" spans="1:3" x14ac:dyDescent="0.25">
      <c r="A315" t="s">
        <v>1107</v>
      </c>
      <c r="B315" t="s">
        <v>58</v>
      </c>
      <c r="C315" t="s">
        <v>1108</v>
      </c>
    </row>
    <row r="316" spans="1:3" x14ac:dyDescent="0.25">
      <c r="A316" t="s">
        <v>302</v>
      </c>
      <c r="B316" t="s">
        <v>58</v>
      </c>
      <c r="C316" t="s">
        <v>1109</v>
      </c>
    </row>
    <row r="317" spans="1:3" x14ac:dyDescent="0.25">
      <c r="A317" t="s">
        <v>303</v>
      </c>
      <c r="B317" t="s">
        <v>58</v>
      </c>
      <c r="C317" t="s">
        <v>1110</v>
      </c>
    </row>
    <row r="318" spans="1:3" x14ac:dyDescent="0.25">
      <c r="A318" t="s">
        <v>1111</v>
      </c>
      <c r="B318" t="s">
        <v>58</v>
      </c>
      <c r="C318" t="s">
        <v>1112</v>
      </c>
    </row>
    <row r="319" spans="1:3" x14ac:dyDescent="0.25">
      <c r="A319" t="s">
        <v>1113</v>
      </c>
      <c r="B319" t="s">
        <v>58</v>
      </c>
      <c r="C319" t="s">
        <v>1114</v>
      </c>
    </row>
    <row r="320" spans="1:3" x14ac:dyDescent="0.25">
      <c r="A320" t="s">
        <v>304</v>
      </c>
      <c r="B320" t="s">
        <v>58</v>
      </c>
      <c r="C320" t="s">
        <v>1115</v>
      </c>
    </row>
    <row r="321" spans="1:3" x14ac:dyDescent="0.25">
      <c r="A321" t="s">
        <v>305</v>
      </c>
      <c r="B321" t="s">
        <v>58</v>
      </c>
      <c r="C321" t="s">
        <v>1116</v>
      </c>
    </row>
    <row r="322" spans="1:3" x14ac:dyDescent="0.25">
      <c r="A322" t="s">
        <v>1117</v>
      </c>
      <c r="B322" t="s">
        <v>58</v>
      </c>
      <c r="C322" t="s">
        <v>1118</v>
      </c>
    </row>
    <row r="323" spans="1:3" x14ac:dyDescent="0.25">
      <c r="A323" t="s">
        <v>1119</v>
      </c>
      <c r="B323" t="s">
        <v>58</v>
      </c>
      <c r="C323" t="s">
        <v>1120</v>
      </c>
    </row>
    <row r="324" spans="1:3" x14ac:dyDescent="0.25">
      <c r="A324" t="s">
        <v>1121</v>
      </c>
      <c r="B324" t="s">
        <v>58</v>
      </c>
      <c r="C324" t="s">
        <v>1122</v>
      </c>
    </row>
    <row r="325" spans="1:3" ht="20.25" customHeight="1" x14ac:dyDescent="0.25">
      <c r="A325" t="s">
        <v>1123</v>
      </c>
      <c r="B325" t="s">
        <v>58</v>
      </c>
      <c r="C325" t="s">
        <v>1124</v>
      </c>
    </row>
    <row r="326" spans="1:3" x14ac:dyDescent="0.25">
      <c r="A326" t="s">
        <v>306</v>
      </c>
      <c r="B326" t="s">
        <v>58</v>
      </c>
      <c r="C326" t="s">
        <v>1125</v>
      </c>
    </row>
    <row r="327" spans="1:3" x14ac:dyDescent="0.25">
      <c r="A327" t="s">
        <v>1126</v>
      </c>
      <c r="B327" t="s">
        <v>58</v>
      </c>
      <c r="C327" t="s">
        <v>1127</v>
      </c>
    </row>
    <row r="328" spans="1:3" x14ac:dyDescent="0.25">
      <c r="A328" t="s">
        <v>1128</v>
      </c>
      <c r="B328" t="s">
        <v>58</v>
      </c>
      <c r="C328" t="s">
        <v>1129</v>
      </c>
    </row>
    <row r="329" spans="1:3" x14ac:dyDescent="0.25">
      <c r="A329" t="s">
        <v>1130</v>
      </c>
      <c r="B329" t="s">
        <v>58</v>
      </c>
      <c r="C329" t="s">
        <v>1131</v>
      </c>
    </row>
    <row r="330" spans="1:3" x14ac:dyDescent="0.25">
      <c r="A330" t="s">
        <v>308</v>
      </c>
      <c r="B330" t="s">
        <v>58</v>
      </c>
      <c r="C330" t="s">
        <v>1132</v>
      </c>
    </row>
    <row r="331" spans="1:3" x14ac:dyDescent="0.25">
      <c r="A331" t="s">
        <v>1133</v>
      </c>
      <c r="B331" t="s">
        <v>58</v>
      </c>
      <c r="C331" t="s">
        <v>1134</v>
      </c>
    </row>
    <row r="332" spans="1:3" x14ac:dyDescent="0.25">
      <c r="A332" t="s">
        <v>309</v>
      </c>
      <c r="B332" t="s">
        <v>58</v>
      </c>
      <c r="C332" t="s">
        <v>1135</v>
      </c>
    </row>
    <row r="333" spans="1:3" x14ac:dyDescent="0.25">
      <c r="A333" t="s">
        <v>1136</v>
      </c>
      <c r="B333" t="s">
        <v>58</v>
      </c>
      <c r="C333" t="s">
        <v>1137</v>
      </c>
    </row>
    <row r="334" spans="1:3" x14ac:dyDescent="0.25">
      <c r="A334" t="s">
        <v>1138</v>
      </c>
      <c r="B334" t="s">
        <v>58</v>
      </c>
      <c r="C334" t="s">
        <v>1139</v>
      </c>
    </row>
    <row r="335" spans="1:3" x14ac:dyDescent="0.25">
      <c r="A335" s="2" t="s">
        <v>1140</v>
      </c>
      <c r="B335" t="s">
        <v>58</v>
      </c>
      <c r="C335" t="s">
        <v>1141</v>
      </c>
    </row>
    <row r="336" spans="1:3" x14ac:dyDescent="0.25">
      <c r="A336" s="2" t="s">
        <v>433</v>
      </c>
      <c r="B336" t="s">
        <v>58</v>
      </c>
      <c r="C336" t="s">
        <v>609</v>
      </c>
    </row>
    <row r="337" spans="1:3" x14ac:dyDescent="0.25">
      <c r="A337" t="s">
        <v>310</v>
      </c>
      <c r="B337" t="s">
        <v>58</v>
      </c>
      <c r="C337" t="s">
        <v>1142</v>
      </c>
    </row>
    <row r="338" spans="1:3" x14ac:dyDescent="0.25">
      <c r="A338" t="s">
        <v>1143</v>
      </c>
      <c r="B338" t="s">
        <v>58</v>
      </c>
      <c r="C338" t="s">
        <v>1144</v>
      </c>
    </row>
    <row r="339" spans="1:3" x14ac:dyDescent="0.25">
      <c r="A339" s="2" t="s">
        <v>1145</v>
      </c>
      <c r="B339" t="s">
        <v>58</v>
      </c>
      <c r="C339" t="s">
        <v>1146</v>
      </c>
    </row>
    <row r="340" spans="1:3" x14ac:dyDescent="0.25">
      <c r="A340" t="s">
        <v>1147</v>
      </c>
      <c r="B340" t="s">
        <v>58</v>
      </c>
      <c r="C340" t="s">
        <v>1148</v>
      </c>
    </row>
    <row r="341" spans="1:3" x14ac:dyDescent="0.25">
      <c r="A341" s="2" t="s">
        <v>1149</v>
      </c>
      <c r="B341" t="s">
        <v>58</v>
      </c>
      <c r="C341" t="s">
        <v>1150</v>
      </c>
    </row>
    <row r="342" spans="1:3" x14ac:dyDescent="0.25">
      <c r="A342" s="2" t="s">
        <v>1151</v>
      </c>
      <c r="B342" t="s">
        <v>58</v>
      </c>
      <c r="C342" t="s">
        <v>1152</v>
      </c>
    </row>
    <row r="343" spans="1:3" x14ac:dyDescent="0.25">
      <c r="A343" s="2" t="s">
        <v>1153</v>
      </c>
      <c r="B343" t="s">
        <v>58</v>
      </c>
      <c r="C343" t="s">
        <v>1154</v>
      </c>
    </row>
    <row r="344" spans="1:3" x14ac:dyDescent="0.25">
      <c r="A344" s="2" t="s">
        <v>1155</v>
      </c>
      <c r="B344" t="s">
        <v>58</v>
      </c>
      <c r="C344" t="s">
        <v>1156</v>
      </c>
    </row>
    <row r="345" spans="1:3" x14ac:dyDescent="0.25">
      <c r="A345" s="2" t="s">
        <v>1157</v>
      </c>
      <c r="B345" t="s">
        <v>58</v>
      </c>
      <c r="C345" t="s">
        <v>1158</v>
      </c>
    </row>
    <row r="346" spans="1:3" x14ac:dyDescent="0.25">
      <c r="A346" t="s">
        <v>312</v>
      </c>
      <c r="B346" t="s">
        <v>58</v>
      </c>
      <c r="C346" t="s">
        <v>1159</v>
      </c>
    </row>
    <row r="347" spans="1:3" x14ac:dyDescent="0.25">
      <c r="A347" t="s">
        <v>313</v>
      </c>
      <c r="B347" t="s">
        <v>58</v>
      </c>
      <c r="C347" t="s">
        <v>1160</v>
      </c>
    </row>
    <row r="348" spans="1:3" x14ac:dyDescent="0.25">
      <c r="A348" t="s">
        <v>314</v>
      </c>
      <c r="B348" t="s">
        <v>58</v>
      </c>
      <c r="C348" t="s">
        <v>1161</v>
      </c>
    </row>
    <row r="349" spans="1:3" x14ac:dyDescent="0.25">
      <c r="A349" t="s">
        <v>1162</v>
      </c>
      <c r="B349" t="s">
        <v>58</v>
      </c>
      <c r="C349" t="s">
        <v>1163</v>
      </c>
    </row>
    <row r="350" spans="1:3" x14ac:dyDescent="0.25">
      <c r="A350" t="s">
        <v>315</v>
      </c>
      <c r="B350" t="s">
        <v>58</v>
      </c>
      <c r="C350" t="s">
        <v>1164</v>
      </c>
    </row>
    <row r="351" spans="1:3" x14ac:dyDescent="0.25">
      <c r="A351" t="s">
        <v>1165</v>
      </c>
      <c r="B351" t="s">
        <v>58</v>
      </c>
      <c r="C351" t="s">
        <v>1166</v>
      </c>
    </row>
    <row r="352" spans="1:3" x14ac:dyDescent="0.25">
      <c r="A352" t="s">
        <v>1167</v>
      </c>
      <c r="B352" t="s">
        <v>58</v>
      </c>
      <c r="C352" t="s">
        <v>1168</v>
      </c>
    </row>
    <row r="353" spans="1:3" x14ac:dyDescent="0.25">
      <c r="A353" t="s">
        <v>316</v>
      </c>
      <c r="B353" t="s">
        <v>58</v>
      </c>
      <c r="C353" t="s">
        <v>1169</v>
      </c>
    </row>
    <row r="354" spans="1:3" x14ac:dyDescent="0.25">
      <c r="A354" t="s">
        <v>317</v>
      </c>
      <c r="B354" t="s">
        <v>58</v>
      </c>
      <c r="C354" t="s">
        <v>1170</v>
      </c>
    </row>
    <row r="355" spans="1:3" x14ac:dyDescent="0.25">
      <c r="A355" t="s">
        <v>1171</v>
      </c>
      <c r="B355" t="s">
        <v>58</v>
      </c>
      <c r="C355" t="s">
        <v>1172</v>
      </c>
    </row>
    <row r="356" spans="1:3" x14ac:dyDescent="0.25">
      <c r="A356" t="s">
        <v>318</v>
      </c>
      <c r="B356" t="s">
        <v>58</v>
      </c>
      <c r="C356" t="s">
        <v>1173</v>
      </c>
    </row>
    <row r="357" spans="1:3" x14ac:dyDescent="0.25">
      <c r="A357" t="s">
        <v>1174</v>
      </c>
      <c r="B357" t="s">
        <v>58</v>
      </c>
      <c r="C357" t="s">
        <v>1175</v>
      </c>
    </row>
    <row r="358" spans="1:3" x14ac:dyDescent="0.25">
      <c r="A358" t="s">
        <v>1176</v>
      </c>
      <c r="B358" t="s">
        <v>58</v>
      </c>
      <c r="C358" t="s">
        <v>1177</v>
      </c>
    </row>
    <row r="359" spans="1:3" x14ac:dyDescent="0.25">
      <c r="A359" t="s">
        <v>1178</v>
      </c>
      <c r="B359" t="s">
        <v>58</v>
      </c>
      <c r="C359" t="s">
        <v>1179</v>
      </c>
    </row>
    <row r="360" spans="1:3" x14ac:dyDescent="0.25">
      <c r="A360" t="s">
        <v>319</v>
      </c>
      <c r="B360" t="s">
        <v>58</v>
      </c>
      <c r="C360" t="s">
        <v>1180</v>
      </c>
    </row>
    <row r="361" spans="1:3" x14ac:dyDescent="0.25">
      <c r="A361" s="2" t="s">
        <v>1181</v>
      </c>
      <c r="B361" t="s">
        <v>58</v>
      </c>
      <c r="C361" t="s">
        <v>1182</v>
      </c>
    </row>
    <row r="362" spans="1:3" x14ac:dyDescent="0.25">
      <c r="A362" s="2" t="s">
        <v>1183</v>
      </c>
      <c r="B362" t="s">
        <v>58</v>
      </c>
      <c r="C362" t="s">
        <v>1184</v>
      </c>
    </row>
    <row r="363" spans="1:3" x14ac:dyDescent="0.25">
      <c r="A363" s="2" t="s">
        <v>1185</v>
      </c>
      <c r="B363" t="s">
        <v>58</v>
      </c>
      <c r="C363" t="s">
        <v>1186</v>
      </c>
    </row>
    <row r="364" spans="1:3" x14ac:dyDescent="0.25">
      <c r="A364" t="s">
        <v>1187</v>
      </c>
      <c r="B364" t="s">
        <v>58</v>
      </c>
      <c r="C364" t="s">
        <v>1188</v>
      </c>
    </row>
    <row r="365" spans="1:3" x14ac:dyDescent="0.25">
      <c r="A365" s="2" t="s">
        <v>1189</v>
      </c>
      <c r="B365" t="s">
        <v>58</v>
      </c>
      <c r="C365" t="s">
        <v>1190</v>
      </c>
    </row>
    <row r="366" spans="1:3" x14ac:dyDescent="0.25">
      <c r="A366" s="2" t="s">
        <v>1191</v>
      </c>
      <c r="B366" t="s">
        <v>58</v>
      </c>
      <c r="C366" t="s">
        <v>1192</v>
      </c>
    </row>
    <row r="367" spans="1:3" x14ac:dyDescent="0.25">
      <c r="A367" s="2" t="s">
        <v>1193</v>
      </c>
      <c r="B367" t="s">
        <v>58</v>
      </c>
      <c r="C367" t="s">
        <v>1194</v>
      </c>
    </row>
    <row r="368" spans="1:3" x14ac:dyDescent="0.25">
      <c r="A368" s="2" t="s">
        <v>1195</v>
      </c>
      <c r="B368" t="s">
        <v>58</v>
      </c>
      <c r="C368" t="s">
        <v>1196</v>
      </c>
    </row>
    <row r="369" spans="1:3" x14ac:dyDescent="0.25">
      <c r="A369" s="2" t="s">
        <v>1197</v>
      </c>
      <c r="B369" t="s">
        <v>58</v>
      </c>
      <c r="C369" t="s">
        <v>1198</v>
      </c>
    </row>
    <row r="370" spans="1:3" x14ac:dyDescent="0.25">
      <c r="A370" s="2" t="s">
        <v>1199</v>
      </c>
      <c r="B370" t="s">
        <v>58</v>
      </c>
      <c r="C370" t="s">
        <v>1200</v>
      </c>
    </row>
    <row r="371" spans="1:3" x14ac:dyDescent="0.25">
      <c r="A371" s="2" t="s">
        <v>1201</v>
      </c>
      <c r="B371" t="s">
        <v>58</v>
      </c>
      <c r="C371" t="s">
        <v>1202</v>
      </c>
    </row>
    <row r="372" spans="1:3" x14ac:dyDescent="0.25">
      <c r="A372" s="2" t="s">
        <v>1203</v>
      </c>
      <c r="B372" t="s">
        <v>58</v>
      </c>
      <c r="C372" t="s">
        <v>1204</v>
      </c>
    </row>
    <row r="373" spans="1:3" x14ac:dyDescent="0.25">
      <c r="A373" t="s">
        <v>1205</v>
      </c>
      <c r="B373" t="s">
        <v>58</v>
      </c>
      <c r="C373" t="s">
        <v>1206</v>
      </c>
    </row>
    <row r="374" spans="1:3" x14ac:dyDescent="0.25">
      <c r="A374" t="s">
        <v>1207</v>
      </c>
      <c r="B374" t="s">
        <v>58</v>
      </c>
      <c r="C374" t="s">
        <v>1208</v>
      </c>
    </row>
    <row r="375" spans="1:3" x14ac:dyDescent="0.25">
      <c r="A375" t="s">
        <v>322</v>
      </c>
      <c r="B375" t="s">
        <v>58</v>
      </c>
      <c r="C375" t="s">
        <v>1209</v>
      </c>
    </row>
    <row r="376" spans="1:3" x14ac:dyDescent="0.25">
      <c r="A376" s="2" t="s">
        <v>1210</v>
      </c>
      <c r="B376" t="s">
        <v>58</v>
      </c>
      <c r="C376" t="s">
        <v>1211</v>
      </c>
    </row>
    <row r="377" spans="1:3" x14ac:dyDescent="0.25">
      <c r="A377" s="2" t="s">
        <v>1212</v>
      </c>
      <c r="B377" t="s">
        <v>58</v>
      </c>
      <c r="C377" t="s">
        <v>1213</v>
      </c>
    </row>
    <row r="378" spans="1:3" x14ac:dyDescent="0.25">
      <c r="A378" s="2" t="s">
        <v>1214</v>
      </c>
      <c r="B378" t="s">
        <v>58</v>
      </c>
      <c r="C378" t="s">
        <v>1215</v>
      </c>
    </row>
    <row r="379" spans="1:3" x14ac:dyDescent="0.25">
      <c r="A379" s="2" t="s">
        <v>1216</v>
      </c>
      <c r="B379" t="s">
        <v>58</v>
      </c>
      <c r="C379" t="s">
        <v>1217</v>
      </c>
    </row>
    <row r="380" spans="1:3" x14ac:dyDescent="0.25">
      <c r="A380" s="2" t="s">
        <v>1218</v>
      </c>
      <c r="B380" t="s">
        <v>58</v>
      </c>
      <c r="C380" t="s">
        <v>1219</v>
      </c>
    </row>
    <row r="381" spans="1:3" x14ac:dyDescent="0.25">
      <c r="A381" s="2" t="s">
        <v>1220</v>
      </c>
      <c r="B381" t="s">
        <v>58</v>
      </c>
      <c r="C381" t="s">
        <v>1221</v>
      </c>
    </row>
    <row r="382" spans="1:3" x14ac:dyDescent="0.25">
      <c r="A382" s="2" t="s">
        <v>1222</v>
      </c>
      <c r="B382" t="s">
        <v>58</v>
      </c>
      <c r="C382" t="s">
        <v>1223</v>
      </c>
    </row>
    <row r="383" spans="1:3" x14ac:dyDescent="0.25">
      <c r="A383" s="2" t="s">
        <v>1224</v>
      </c>
      <c r="B383" t="s">
        <v>58</v>
      </c>
      <c r="C383" t="s">
        <v>1225</v>
      </c>
    </row>
    <row r="384" spans="1:3" x14ac:dyDescent="0.25">
      <c r="A384" s="2" t="s">
        <v>1226</v>
      </c>
      <c r="B384" t="s">
        <v>58</v>
      </c>
      <c r="C384" t="s">
        <v>1227</v>
      </c>
    </row>
    <row r="385" spans="1:3" x14ac:dyDescent="0.25">
      <c r="A385" s="2" t="s">
        <v>1228</v>
      </c>
      <c r="B385" t="s">
        <v>58</v>
      </c>
      <c r="C385" t="s">
        <v>1229</v>
      </c>
    </row>
    <row r="386" spans="1:3" x14ac:dyDescent="0.25">
      <c r="A386" s="2" t="s">
        <v>1230</v>
      </c>
      <c r="B386" t="s">
        <v>58</v>
      </c>
      <c r="C386" t="s">
        <v>1231</v>
      </c>
    </row>
    <row r="387" spans="1:3" x14ac:dyDescent="0.25">
      <c r="A387" s="2" t="s">
        <v>1232</v>
      </c>
      <c r="B387" t="s">
        <v>58</v>
      </c>
      <c r="C387" t="s">
        <v>1233</v>
      </c>
    </row>
    <row r="388" spans="1:3" x14ac:dyDescent="0.25">
      <c r="A388" s="2" t="s">
        <v>1234</v>
      </c>
      <c r="B388" t="s">
        <v>58</v>
      </c>
      <c r="C388" t="s">
        <v>1235</v>
      </c>
    </row>
    <row r="389" spans="1:3" x14ac:dyDescent="0.25">
      <c r="A389" s="2" t="s">
        <v>1236</v>
      </c>
      <c r="B389" t="s">
        <v>58</v>
      </c>
      <c r="C389" t="s">
        <v>1237</v>
      </c>
    </row>
    <row r="390" spans="1:3" x14ac:dyDescent="0.25">
      <c r="A390" s="2" t="s">
        <v>1238</v>
      </c>
      <c r="B390" t="s">
        <v>58</v>
      </c>
      <c r="C390" t="s">
        <v>1239</v>
      </c>
    </row>
    <row r="391" spans="1:3" x14ac:dyDescent="0.25">
      <c r="A391" s="2" t="s">
        <v>1240</v>
      </c>
      <c r="B391" t="s">
        <v>58</v>
      </c>
      <c r="C391" t="s">
        <v>1241</v>
      </c>
    </row>
    <row r="392" spans="1:3" x14ac:dyDescent="0.25">
      <c r="A392" s="2" t="s">
        <v>1242</v>
      </c>
      <c r="B392" t="s">
        <v>58</v>
      </c>
      <c r="C392" t="s">
        <v>1243</v>
      </c>
    </row>
    <row r="393" spans="1:3" x14ac:dyDescent="0.25">
      <c r="A393" s="2" t="s">
        <v>1244</v>
      </c>
      <c r="B393" t="s">
        <v>58</v>
      </c>
      <c r="C393" t="s">
        <v>1245</v>
      </c>
    </row>
    <row r="394" spans="1:3" x14ac:dyDescent="0.25">
      <c r="A394" s="2" t="s">
        <v>1246</v>
      </c>
      <c r="B394" t="s">
        <v>58</v>
      </c>
      <c r="C394" t="s">
        <v>1247</v>
      </c>
    </row>
    <row r="395" spans="1:3" x14ac:dyDescent="0.25">
      <c r="A395" s="2" t="s">
        <v>1248</v>
      </c>
      <c r="B395" t="s">
        <v>58</v>
      </c>
      <c r="C395" t="s">
        <v>1249</v>
      </c>
    </row>
    <row r="396" spans="1:3" x14ac:dyDescent="0.25">
      <c r="A396" s="2" t="s">
        <v>1250</v>
      </c>
      <c r="B396" t="s">
        <v>58</v>
      </c>
      <c r="C396" t="s">
        <v>1251</v>
      </c>
    </row>
    <row r="397" spans="1:3" x14ac:dyDescent="0.25">
      <c r="A397" s="2" t="s">
        <v>1252</v>
      </c>
      <c r="B397" t="s">
        <v>58</v>
      </c>
      <c r="C397" t="s">
        <v>1253</v>
      </c>
    </row>
    <row r="398" spans="1:3" x14ac:dyDescent="0.25">
      <c r="A398" s="2" t="s">
        <v>1254</v>
      </c>
      <c r="B398" t="s">
        <v>58</v>
      </c>
      <c r="C398" t="s">
        <v>1255</v>
      </c>
    </row>
    <row r="399" spans="1:3" x14ac:dyDescent="0.25">
      <c r="A399" s="2" t="s">
        <v>1256</v>
      </c>
      <c r="B399" t="s">
        <v>58</v>
      </c>
      <c r="C399" t="s">
        <v>1257</v>
      </c>
    </row>
    <row r="400" spans="1:3" x14ac:dyDescent="0.25">
      <c r="A400" t="s">
        <v>323</v>
      </c>
      <c r="B400" t="s">
        <v>58</v>
      </c>
      <c r="C400" t="s">
        <v>1258</v>
      </c>
    </row>
    <row r="401" spans="1:3" x14ac:dyDescent="0.25">
      <c r="A401" s="2" t="s">
        <v>1259</v>
      </c>
      <c r="B401" t="s">
        <v>58</v>
      </c>
      <c r="C401" t="s">
        <v>1260</v>
      </c>
    </row>
    <row r="402" spans="1:3" x14ac:dyDescent="0.25">
      <c r="A402" t="s">
        <v>324</v>
      </c>
      <c r="B402" t="s">
        <v>58</v>
      </c>
      <c r="C402" t="s">
        <v>1261</v>
      </c>
    </row>
    <row r="403" spans="1:3" x14ac:dyDescent="0.25">
      <c r="A403" t="s">
        <v>1262</v>
      </c>
      <c r="B403" t="s">
        <v>58</v>
      </c>
      <c r="C403" t="s">
        <v>1263</v>
      </c>
    </row>
    <row r="404" spans="1:3" x14ac:dyDescent="0.25">
      <c r="A404" t="s">
        <v>431</v>
      </c>
      <c r="B404" t="s">
        <v>58</v>
      </c>
      <c r="C404" t="s">
        <v>1264</v>
      </c>
    </row>
    <row r="405" spans="1:3" x14ac:dyDescent="0.25">
      <c r="A405" t="s">
        <v>1265</v>
      </c>
      <c r="B405" t="s">
        <v>58</v>
      </c>
      <c r="C405" t="s">
        <v>1266</v>
      </c>
    </row>
    <row r="406" spans="1:3" x14ac:dyDescent="0.25">
      <c r="A406" t="s">
        <v>325</v>
      </c>
      <c r="B406" t="s">
        <v>58</v>
      </c>
      <c r="C406" t="s">
        <v>1267</v>
      </c>
    </row>
    <row r="407" spans="1:3" x14ac:dyDescent="0.25">
      <c r="A407" t="s">
        <v>326</v>
      </c>
      <c r="B407" t="s">
        <v>58</v>
      </c>
      <c r="C407" t="s">
        <v>1268</v>
      </c>
    </row>
    <row r="408" spans="1:3" x14ac:dyDescent="0.25">
      <c r="A408" t="s">
        <v>1269</v>
      </c>
      <c r="B408" t="s">
        <v>58</v>
      </c>
      <c r="C408" t="s">
        <v>1270</v>
      </c>
    </row>
    <row r="409" spans="1:3" x14ac:dyDescent="0.25">
      <c r="A409" t="s">
        <v>1271</v>
      </c>
      <c r="B409" t="s">
        <v>58</v>
      </c>
      <c r="C409" t="s">
        <v>1272</v>
      </c>
    </row>
    <row r="410" spans="1:3" x14ac:dyDescent="0.25">
      <c r="A410" t="s">
        <v>327</v>
      </c>
      <c r="B410" t="s">
        <v>58</v>
      </c>
      <c r="C410" t="s">
        <v>1273</v>
      </c>
    </row>
    <row r="411" spans="1:3" x14ac:dyDescent="0.25">
      <c r="A411" t="s">
        <v>328</v>
      </c>
      <c r="B411" t="s">
        <v>58</v>
      </c>
      <c r="C411" t="s">
        <v>1274</v>
      </c>
    </row>
    <row r="412" spans="1:3" x14ac:dyDescent="0.25">
      <c r="A412" t="s">
        <v>329</v>
      </c>
      <c r="B412" t="s">
        <v>58</v>
      </c>
      <c r="C412" t="s">
        <v>1275</v>
      </c>
    </row>
    <row r="413" spans="1:3" x14ac:dyDescent="0.25">
      <c r="A413" t="s">
        <v>1276</v>
      </c>
      <c r="B413" t="s">
        <v>58</v>
      </c>
      <c r="C413" t="s">
        <v>1277</v>
      </c>
    </row>
    <row r="414" spans="1:3" x14ac:dyDescent="0.25">
      <c r="A414" t="s">
        <v>1278</v>
      </c>
      <c r="B414" t="s">
        <v>58</v>
      </c>
      <c r="C414" t="s">
        <v>1279</v>
      </c>
    </row>
    <row r="415" spans="1:3" x14ac:dyDescent="0.25">
      <c r="A415" t="s">
        <v>330</v>
      </c>
      <c r="B415" t="s">
        <v>58</v>
      </c>
      <c r="C415" t="s">
        <v>1280</v>
      </c>
    </row>
    <row r="416" spans="1:3" x14ac:dyDescent="0.25">
      <c r="A416" t="s">
        <v>1281</v>
      </c>
      <c r="B416" t="s">
        <v>58</v>
      </c>
      <c r="C416" t="s">
        <v>1282</v>
      </c>
    </row>
    <row r="417" spans="1:3" x14ac:dyDescent="0.25">
      <c r="A417" t="s">
        <v>331</v>
      </c>
      <c r="B417" t="s">
        <v>58</v>
      </c>
      <c r="C417" t="s">
        <v>1283</v>
      </c>
    </row>
    <row r="418" spans="1:3" x14ac:dyDescent="0.25">
      <c r="A418" t="s">
        <v>1284</v>
      </c>
      <c r="B418" t="s">
        <v>58</v>
      </c>
      <c r="C418" t="s">
        <v>1285</v>
      </c>
    </row>
    <row r="419" spans="1:3" x14ac:dyDescent="0.25">
      <c r="A419" t="s">
        <v>432</v>
      </c>
      <c r="B419" t="s">
        <v>58</v>
      </c>
      <c r="C419" t="s">
        <v>1286</v>
      </c>
    </row>
    <row r="420" spans="1:3" x14ac:dyDescent="0.25">
      <c r="A420" t="s">
        <v>1287</v>
      </c>
      <c r="B420" t="s">
        <v>58</v>
      </c>
      <c r="C420" t="s">
        <v>1288</v>
      </c>
    </row>
    <row r="421" spans="1:3" x14ac:dyDescent="0.25">
      <c r="A421" t="s">
        <v>332</v>
      </c>
      <c r="B421" t="s">
        <v>58</v>
      </c>
      <c r="C421" t="s">
        <v>1289</v>
      </c>
    </row>
    <row r="422" spans="1:3" x14ac:dyDescent="0.25">
      <c r="A422" t="s">
        <v>1290</v>
      </c>
      <c r="B422" t="s">
        <v>58</v>
      </c>
      <c r="C422" t="s">
        <v>1291</v>
      </c>
    </row>
    <row r="423" spans="1:3" x14ac:dyDescent="0.25">
      <c r="A423" t="s">
        <v>1292</v>
      </c>
      <c r="B423" t="s">
        <v>58</v>
      </c>
      <c r="C423" t="s">
        <v>1293</v>
      </c>
    </row>
    <row r="424" spans="1:3" x14ac:dyDescent="0.25">
      <c r="A424" t="s">
        <v>1294</v>
      </c>
      <c r="B424" t="s">
        <v>58</v>
      </c>
      <c r="C424" t="s">
        <v>1295</v>
      </c>
    </row>
    <row r="425" spans="1:3" x14ac:dyDescent="0.25">
      <c r="A425" t="s">
        <v>333</v>
      </c>
      <c r="B425" t="s">
        <v>58</v>
      </c>
      <c r="C425" t="s">
        <v>1296</v>
      </c>
    </row>
    <row r="426" spans="1:3" x14ac:dyDescent="0.25">
      <c r="A426" s="2" t="s">
        <v>1297</v>
      </c>
      <c r="B426" t="s">
        <v>58</v>
      </c>
      <c r="C426" t="s">
        <v>1298</v>
      </c>
    </row>
    <row r="427" spans="1:3" x14ac:dyDescent="0.25">
      <c r="A427" s="2" t="s">
        <v>1299</v>
      </c>
      <c r="B427" t="s">
        <v>58</v>
      </c>
      <c r="C427" t="s">
        <v>1300</v>
      </c>
    </row>
    <row r="428" spans="1:3" x14ac:dyDescent="0.25">
      <c r="A428" s="2" t="s">
        <v>1301</v>
      </c>
      <c r="B428" t="s">
        <v>58</v>
      </c>
      <c r="C428" t="s">
        <v>1302</v>
      </c>
    </row>
    <row r="429" spans="1:3" x14ac:dyDescent="0.25">
      <c r="A429" s="2" t="s">
        <v>1303</v>
      </c>
      <c r="B429" t="s">
        <v>58</v>
      </c>
      <c r="C429" t="s">
        <v>1304</v>
      </c>
    </row>
    <row r="430" spans="1:3" x14ac:dyDescent="0.25">
      <c r="A430" t="s">
        <v>1305</v>
      </c>
      <c r="B430" t="s">
        <v>58</v>
      </c>
      <c r="C430" t="s">
        <v>1306</v>
      </c>
    </row>
    <row r="431" spans="1:3" x14ac:dyDescent="0.25">
      <c r="A431" s="2" t="s">
        <v>1307</v>
      </c>
      <c r="B431" t="s">
        <v>58</v>
      </c>
      <c r="C431" t="s">
        <v>1308</v>
      </c>
    </row>
    <row r="432" spans="1:3" x14ac:dyDescent="0.25">
      <c r="A432" s="2" t="s">
        <v>334</v>
      </c>
      <c r="B432" t="s">
        <v>58</v>
      </c>
      <c r="C432" t="s">
        <v>1309</v>
      </c>
    </row>
    <row r="433" spans="1:3" x14ac:dyDescent="0.25">
      <c r="A433" s="2" t="s">
        <v>335</v>
      </c>
      <c r="B433" t="s">
        <v>58</v>
      </c>
      <c r="C433" t="s">
        <v>1310</v>
      </c>
    </row>
    <row r="434" spans="1:3" x14ac:dyDescent="0.25">
      <c r="A434" t="s">
        <v>337</v>
      </c>
      <c r="B434" t="s">
        <v>58</v>
      </c>
      <c r="C434" t="s">
        <v>1311</v>
      </c>
    </row>
    <row r="435" spans="1:3" x14ac:dyDescent="0.25">
      <c r="A435" t="s">
        <v>1312</v>
      </c>
      <c r="B435" t="s">
        <v>58</v>
      </c>
      <c r="C435" t="s">
        <v>1313</v>
      </c>
    </row>
    <row r="436" spans="1:3" x14ac:dyDescent="0.25">
      <c r="A436" t="s">
        <v>338</v>
      </c>
      <c r="B436" t="s">
        <v>58</v>
      </c>
      <c r="C436" t="s">
        <v>1314</v>
      </c>
    </row>
    <row r="437" spans="1:3" x14ac:dyDescent="0.25">
      <c r="A437" s="2" t="s">
        <v>339</v>
      </c>
      <c r="B437" t="s">
        <v>58</v>
      </c>
      <c r="C437" t="s">
        <v>1315</v>
      </c>
    </row>
    <row r="438" spans="1:3" x14ac:dyDescent="0.25">
      <c r="A438" s="2" t="s">
        <v>340</v>
      </c>
      <c r="B438" t="s">
        <v>58</v>
      </c>
      <c r="C438" t="s">
        <v>1316</v>
      </c>
    </row>
    <row r="439" spans="1:3" x14ac:dyDescent="0.25">
      <c r="A439" s="2" t="s">
        <v>341</v>
      </c>
      <c r="B439" t="s">
        <v>58</v>
      </c>
      <c r="C439" t="s">
        <v>1317</v>
      </c>
    </row>
    <row r="440" spans="1:3" x14ac:dyDescent="0.25">
      <c r="A440" s="2" t="s">
        <v>342</v>
      </c>
      <c r="B440" t="s">
        <v>58</v>
      </c>
      <c r="C440" t="s">
        <v>1318</v>
      </c>
    </row>
    <row r="441" spans="1:3" x14ac:dyDescent="0.25">
      <c r="A441" s="2" t="s">
        <v>1319</v>
      </c>
      <c r="B441" t="s">
        <v>58</v>
      </c>
      <c r="C441" t="s">
        <v>1320</v>
      </c>
    </row>
    <row r="442" spans="1:3" x14ac:dyDescent="0.25">
      <c r="A442" s="2" t="s">
        <v>343</v>
      </c>
      <c r="B442" t="s">
        <v>58</v>
      </c>
      <c r="C442" t="s">
        <v>1321</v>
      </c>
    </row>
    <row r="443" spans="1:3" x14ac:dyDescent="0.25">
      <c r="A443" s="2" t="s">
        <v>344</v>
      </c>
      <c r="B443" t="s">
        <v>58</v>
      </c>
      <c r="C443" t="s">
        <v>1129</v>
      </c>
    </row>
    <row r="444" spans="1:3" x14ac:dyDescent="0.25">
      <c r="A444" t="s">
        <v>345</v>
      </c>
      <c r="B444" t="s">
        <v>58</v>
      </c>
      <c r="C444" t="s">
        <v>1322</v>
      </c>
    </row>
    <row r="445" spans="1:3" x14ac:dyDescent="0.25">
      <c r="A445" t="s">
        <v>1323</v>
      </c>
      <c r="B445" t="s">
        <v>58</v>
      </c>
      <c r="C445" t="s">
        <v>1324</v>
      </c>
    </row>
    <row r="446" spans="1:3" x14ac:dyDescent="0.25">
      <c r="A446" t="s">
        <v>1325</v>
      </c>
      <c r="B446" t="s">
        <v>58</v>
      </c>
      <c r="C446" t="s">
        <v>1326</v>
      </c>
    </row>
    <row r="447" spans="1:3" x14ac:dyDescent="0.25">
      <c r="A447" t="s">
        <v>1327</v>
      </c>
      <c r="B447" t="s">
        <v>58</v>
      </c>
      <c r="C447" t="s">
        <v>1328</v>
      </c>
    </row>
    <row r="448" spans="1:3" x14ac:dyDescent="0.25">
      <c r="A448" t="s">
        <v>1329</v>
      </c>
      <c r="B448" t="s">
        <v>58</v>
      </c>
      <c r="C448" t="s">
        <v>1330</v>
      </c>
    </row>
    <row r="449" spans="1:3" x14ac:dyDescent="0.25">
      <c r="A449" t="s">
        <v>1331</v>
      </c>
      <c r="B449" t="s">
        <v>58</v>
      </c>
      <c r="C449" t="s">
        <v>1332</v>
      </c>
    </row>
    <row r="450" spans="1:3" x14ac:dyDescent="0.25">
      <c r="A450" t="s">
        <v>1333</v>
      </c>
      <c r="B450" t="s">
        <v>58</v>
      </c>
      <c r="C450" t="s">
        <v>1334</v>
      </c>
    </row>
    <row r="451" spans="1:3" x14ac:dyDescent="0.25">
      <c r="A451" t="s">
        <v>1335</v>
      </c>
      <c r="B451" t="s">
        <v>58</v>
      </c>
      <c r="C451" t="s">
        <v>1336</v>
      </c>
    </row>
    <row r="452" spans="1:3" x14ac:dyDescent="0.25">
      <c r="A452" t="s">
        <v>1337</v>
      </c>
      <c r="B452" t="s">
        <v>58</v>
      </c>
      <c r="C452" t="s">
        <v>1338</v>
      </c>
    </row>
    <row r="453" spans="1:3" x14ac:dyDescent="0.25">
      <c r="A453" t="s">
        <v>1339</v>
      </c>
      <c r="B453" t="s">
        <v>58</v>
      </c>
      <c r="C453" t="s">
        <v>1340</v>
      </c>
    </row>
    <row r="454" spans="1:3" x14ac:dyDescent="0.25">
      <c r="A454" t="s">
        <v>346</v>
      </c>
      <c r="B454" t="s">
        <v>58</v>
      </c>
      <c r="C454" t="s">
        <v>1341</v>
      </c>
    </row>
    <row r="455" spans="1:3" x14ac:dyDescent="0.25">
      <c r="A455" t="s">
        <v>347</v>
      </c>
      <c r="B455" t="s">
        <v>58</v>
      </c>
      <c r="C455" t="s">
        <v>1342</v>
      </c>
    </row>
    <row r="456" spans="1:3" x14ac:dyDescent="0.25">
      <c r="A456" t="s">
        <v>1343</v>
      </c>
      <c r="B456" t="s">
        <v>58</v>
      </c>
      <c r="C456" t="s">
        <v>1344</v>
      </c>
    </row>
    <row r="457" spans="1:3" x14ac:dyDescent="0.25">
      <c r="A457" t="s">
        <v>1345</v>
      </c>
      <c r="B457" t="s">
        <v>58</v>
      </c>
      <c r="C457" t="s">
        <v>1346</v>
      </c>
    </row>
    <row r="458" spans="1:3" x14ac:dyDescent="0.25">
      <c r="A458" t="s">
        <v>1347</v>
      </c>
      <c r="B458" t="s">
        <v>58</v>
      </c>
      <c r="C458" t="s">
        <v>550</v>
      </c>
    </row>
    <row r="459" spans="1:3" x14ac:dyDescent="0.25">
      <c r="A459" t="s">
        <v>1348</v>
      </c>
      <c r="B459" t="s">
        <v>58</v>
      </c>
      <c r="C459" t="s">
        <v>1349</v>
      </c>
    </row>
    <row r="460" spans="1:3" x14ac:dyDescent="0.25">
      <c r="A460" s="2" t="s">
        <v>349</v>
      </c>
      <c r="B460" t="s">
        <v>58</v>
      </c>
      <c r="C460" t="s">
        <v>1350</v>
      </c>
    </row>
    <row r="461" spans="1:3" x14ac:dyDescent="0.25">
      <c r="A461" t="s">
        <v>1351</v>
      </c>
      <c r="B461" t="s">
        <v>58</v>
      </c>
      <c r="C461" t="s">
        <v>1352</v>
      </c>
    </row>
    <row r="462" spans="1:3" x14ac:dyDescent="0.25">
      <c r="A462" s="2" t="s">
        <v>1353</v>
      </c>
      <c r="B462" t="s">
        <v>58</v>
      </c>
      <c r="C462" t="s">
        <v>1354</v>
      </c>
    </row>
    <row r="463" spans="1:3" x14ac:dyDescent="0.25">
      <c r="A463" s="2" t="s">
        <v>350</v>
      </c>
      <c r="B463" t="s">
        <v>58</v>
      </c>
      <c r="C463" t="s">
        <v>1355</v>
      </c>
    </row>
    <row r="464" spans="1:3" x14ac:dyDescent="0.25">
      <c r="A464" s="2" t="s">
        <v>1356</v>
      </c>
      <c r="B464" t="s">
        <v>58</v>
      </c>
      <c r="C464" t="s">
        <v>1357</v>
      </c>
    </row>
    <row r="465" spans="1:3" x14ac:dyDescent="0.25">
      <c r="A465" s="2" t="s">
        <v>351</v>
      </c>
      <c r="B465" t="s">
        <v>58</v>
      </c>
      <c r="C465" t="s">
        <v>1358</v>
      </c>
    </row>
    <row r="466" spans="1:3" x14ac:dyDescent="0.25">
      <c r="A466" s="2" t="s">
        <v>352</v>
      </c>
      <c r="B466" t="s">
        <v>58</v>
      </c>
      <c r="C466" t="s">
        <v>1359</v>
      </c>
    </row>
    <row r="467" spans="1:3" x14ac:dyDescent="0.25">
      <c r="A467" s="2" t="s">
        <v>353</v>
      </c>
      <c r="B467" t="s">
        <v>58</v>
      </c>
      <c r="C467" t="s">
        <v>1360</v>
      </c>
    </row>
    <row r="468" spans="1:3" x14ac:dyDescent="0.25">
      <c r="A468" s="2" t="s">
        <v>354</v>
      </c>
      <c r="B468" t="s">
        <v>58</v>
      </c>
      <c r="C468" t="s">
        <v>1361</v>
      </c>
    </row>
    <row r="469" spans="1:3" x14ac:dyDescent="0.25">
      <c r="A469" s="2" t="s">
        <v>355</v>
      </c>
      <c r="B469" t="s">
        <v>58</v>
      </c>
      <c r="C469" t="s">
        <v>1362</v>
      </c>
    </row>
    <row r="470" spans="1:3" x14ac:dyDescent="0.25">
      <c r="A470" s="2" t="s">
        <v>356</v>
      </c>
      <c r="B470" t="s">
        <v>58</v>
      </c>
      <c r="C470" t="s">
        <v>1363</v>
      </c>
    </row>
    <row r="471" spans="1:3" x14ac:dyDescent="0.25">
      <c r="A471" s="2" t="s">
        <v>357</v>
      </c>
      <c r="B471" t="s">
        <v>58</v>
      </c>
      <c r="C471" t="s">
        <v>1364</v>
      </c>
    </row>
    <row r="472" spans="1:3" x14ac:dyDescent="0.25">
      <c r="A472" s="2" t="s">
        <v>358</v>
      </c>
      <c r="B472" t="s">
        <v>58</v>
      </c>
      <c r="C472" t="s">
        <v>1365</v>
      </c>
    </row>
    <row r="473" spans="1:3" x14ac:dyDescent="0.25">
      <c r="A473" s="2" t="s">
        <v>359</v>
      </c>
      <c r="B473" t="s">
        <v>58</v>
      </c>
      <c r="C473" t="s">
        <v>1366</v>
      </c>
    </row>
    <row r="474" spans="1:3" x14ac:dyDescent="0.25">
      <c r="A474" s="2" t="s">
        <v>360</v>
      </c>
      <c r="B474" t="s">
        <v>58</v>
      </c>
      <c r="C474" t="s">
        <v>1367</v>
      </c>
    </row>
    <row r="475" spans="1:3" x14ac:dyDescent="0.25">
      <c r="A475" s="2" t="s">
        <v>361</v>
      </c>
      <c r="B475" t="s">
        <v>58</v>
      </c>
      <c r="C475" t="s">
        <v>1368</v>
      </c>
    </row>
    <row r="476" spans="1:3" x14ac:dyDescent="0.25">
      <c r="A476" s="2" t="s">
        <v>440</v>
      </c>
      <c r="B476" t="s">
        <v>58</v>
      </c>
      <c r="C476" t="s">
        <v>1369</v>
      </c>
    </row>
    <row r="477" spans="1:3" x14ac:dyDescent="0.25">
      <c r="A477" s="2" t="s">
        <v>362</v>
      </c>
      <c r="B477" t="s">
        <v>58</v>
      </c>
      <c r="C477" t="s">
        <v>1370</v>
      </c>
    </row>
    <row r="478" spans="1:3" x14ac:dyDescent="0.25">
      <c r="A478" s="2" t="s">
        <v>363</v>
      </c>
      <c r="B478" t="s">
        <v>58</v>
      </c>
      <c r="C478" t="s">
        <v>1371</v>
      </c>
    </row>
    <row r="479" spans="1:3" x14ac:dyDescent="0.25">
      <c r="A479" s="2" t="s">
        <v>446</v>
      </c>
      <c r="B479" t="s">
        <v>58</v>
      </c>
      <c r="C479" t="s">
        <v>1372</v>
      </c>
    </row>
    <row r="480" spans="1:3" x14ac:dyDescent="0.25">
      <c r="A480" s="2" t="s">
        <v>445</v>
      </c>
      <c r="B480" t="s">
        <v>58</v>
      </c>
      <c r="C480" t="s">
        <v>1373</v>
      </c>
    </row>
    <row r="481" spans="1:3" x14ac:dyDescent="0.25">
      <c r="A481" s="2" t="s">
        <v>1374</v>
      </c>
      <c r="B481" t="s">
        <v>58</v>
      </c>
      <c r="C481" t="s">
        <v>1375</v>
      </c>
    </row>
    <row r="482" spans="1:3" x14ac:dyDescent="0.25">
      <c r="A482" s="2" t="s">
        <v>1376</v>
      </c>
      <c r="B482" t="s">
        <v>58</v>
      </c>
      <c r="C482" t="s">
        <v>1377</v>
      </c>
    </row>
    <row r="483" spans="1:3" x14ac:dyDescent="0.25">
      <c r="A483" s="2" t="s">
        <v>364</v>
      </c>
      <c r="B483" t="s">
        <v>58</v>
      </c>
      <c r="C483" t="s">
        <v>1378</v>
      </c>
    </row>
    <row r="484" spans="1:3" x14ac:dyDescent="0.25">
      <c r="A484" s="2" t="s">
        <v>1379</v>
      </c>
      <c r="B484" t="s">
        <v>58</v>
      </c>
      <c r="C484" t="s">
        <v>1380</v>
      </c>
    </row>
    <row r="485" spans="1:3" x14ac:dyDescent="0.25">
      <c r="A485" s="2" t="s">
        <v>1381</v>
      </c>
      <c r="B485" t="s">
        <v>58</v>
      </c>
      <c r="C485" t="s">
        <v>1382</v>
      </c>
    </row>
    <row r="486" spans="1:3" x14ac:dyDescent="0.25">
      <c r="A486" s="2" t="s">
        <v>1383</v>
      </c>
      <c r="B486" t="s">
        <v>58</v>
      </c>
      <c r="C486" t="s">
        <v>1384</v>
      </c>
    </row>
    <row r="487" spans="1:3" x14ac:dyDescent="0.25">
      <c r="A487" s="2" t="s">
        <v>365</v>
      </c>
      <c r="B487" t="s">
        <v>58</v>
      </c>
      <c r="C487" t="s">
        <v>1385</v>
      </c>
    </row>
    <row r="488" spans="1:3" x14ac:dyDescent="0.25">
      <c r="A488" s="2" t="s">
        <v>1386</v>
      </c>
      <c r="B488" t="s">
        <v>58</v>
      </c>
      <c r="C488" t="s">
        <v>1387</v>
      </c>
    </row>
    <row r="489" spans="1:3" x14ac:dyDescent="0.25">
      <c r="A489" s="2" t="s">
        <v>366</v>
      </c>
      <c r="B489" t="s">
        <v>58</v>
      </c>
      <c r="C489" t="s">
        <v>1388</v>
      </c>
    </row>
    <row r="490" spans="1:3" x14ac:dyDescent="0.25">
      <c r="A490" s="2" t="s">
        <v>367</v>
      </c>
      <c r="B490" t="s">
        <v>58</v>
      </c>
      <c r="C490" t="s">
        <v>1389</v>
      </c>
    </row>
    <row r="491" spans="1:3" x14ac:dyDescent="0.25">
      <c r="A491" s="2" t="s">
        <v>368</v>
      </c>
      <c r="B491" t="s">
        <v>58</v>
      </c>
      <c r="C491" t="s">
        <v>1390</v>
      </c>
    </row>
    <row r="492" spans="1:3" x14ac:dyDescent="0.25">
      <c r="A492" s="2" t="s">
        <v>369</v>
      </c>
      <c r="B492" t="s">
        <v>58</v>
      </c>
      <c r="C492" t="s">
        <v>1391</v>
      </c>
    </row>
    <row r="493" spans="1:3" x14ac:dyDescent="0.25">
      <c r="A493" s="2" t="s">
        <v>370</v>
      </c>
      <c r="B493" t="s">
        <v>58</v>
      </c>
      <c r="C493" t="s">
        <v>1392</v>
      </c>
    </row>
    <row r="494" spans="1:3" x14ac:dyDescent="0.25">
      <c r="A494" s="2" t="s">
        <v>371</v>
      </c>
      <c r="B494" t="s">
        <v>58</v>
      </c>
      <c r="C494" t="s">
        <v>1393</v>
      </c>
    </row>
    <row r="495" spans="1:3" x14ac:dyDescent="0.25">
      <c r="A495" s="2" t="s">
        <v>1394</v>
      </c>
      <c r="B495" t="s">
        <v>58</v>
      </c>
      <c r="C495" t="s">
        <v>1395</v>
      </c>
    </row>
    <row r="496" spans="1:3" x14ac:dyDescent="0.25">
      <c r="A496" s="2" t="s">
        <v>372</v>
      </c>
      <c r="B496" t="s">
        <v>58</v>
      </c>
      <c r="C496" t="s">
        <v>1396</v>
      </c>
    </row>
    <row r="497" spans="1:3" x14ac:dyDescent="0.25">
      <c r="A497" s="2" t="s">
        <v>373</v>
      </c>
      <c r="B497" t="s">
        <v>58</v>
      </c>
      <c r="C497" t="s">
        <v>1397</v>
      </c>
    </row>
    <row r="498" spans="1:3" x14ac:dyDescent="0.25">
      <c r="A498" s="2" t="s">
        <v>1398</v>
      </c>
      <c r="B498" t="s">
        <v>58</v>
      </c>
      <c r="C498" t="s">
        <v>1399</v>
      </c>
    </row>
    <row r="499" spans="1:3" x14ac:dyDescent="0.25">
      <c r="A499" s="2" t="s">
        <v>1400</v>
      </c>
      <c r="B499" t="s">
        <v>58</v>
      </c>
      <c r="C499" t="s">
        <v>1401</v>
      </c>
    </row>
    <row r="500" spans="1:3" x14ac:dyDescent="0.25">
      <c r="A500" s="2" t="s">
        <v>1402</v>
      </c>
      <c r="B500" t="s">
        <v>58</v>
      </c>
      <c r="C500" t="s">
        <v>1403</v>
      </c>
    </row>
    <row r="501" spans="1:3" x14ac:dyDescent="0.25">
      <c r="A501" t="s">
        <v>1404</v>
      </c>
      <c r="B501" t="s">
        <v>58</v>
      </c>
      <c r="C501" t="s">
        <v>1405</v>
      </c>
    </row>
    <row r="502" spans="1:3" x14ac:dyDescent="0.25">
      <c r="A502" t="s">
        <v>1406</v>
      </c>
      <c r="B502" t="s">
        <v>58</v>
      </c>
      <c r="C502" t="s">
        <v>1407</v>
      </c>
    </row>
    <row r="503" spans="1:3" x14ac:dyDescent="0.25">
      <c r="A503" t="s">
        <v>1408</v>
      </c>
      <c r="B503" t="s">
        <v>58</v>
      </c>
      <c r="C503" t="s">
        <v>1409</v>
      </c>
    </row>
    <row r="504" spans="1:3" x14ac:dyDescent="0.25">
      <c r="A504" t="s">
        <v>1410</v>
      </c>
      <c r="B504" t="s">
        <v>58</v>
      </c>
      <c r="C504" t="s">
        <v>1411</v>
      </c>
    </row>
    <row r="505" spans="1:3" x14ac:dyDescent="0.25">
      <c r="A505" t="s">
        <v>1412</v>
      </c>
      <c r="B505" t="s">
        <v>58</v>
      </c>
      <c r="C505" t="s">
        <v>1413</v>
      </c>
    </row>
    <row r="506" spans="1:3" x14ac:dyDescent="0.25">
      <c r="A506" t="s">
        <v>1414</v>
      </c>
      <c r="B506" t="s">
        <v>58</v>
      </c>
      <c r="C506" t="s">
        <v>1415</v>
      </c>
    </row>
    <row r="507" spans="1:3" x14ac:dyDescent="0.25">
      <c r="A507" s="3" t="s">
        <v>1416</v>
      </c>
      <c r="B507" t="s">
        <v>58</v>
      </c>
      <c r="C507" t="s">
        <v>1417</v>
      </c>
    </row>
    <row r="508" spans="1:3" x14ac:dyDescent="0.25">
      <c r="A508" t="s">
        <v>1418</v>
      </c>
      <c r="B508" t="s">
        <v>58</v>
      </c>
      <c r="C508" t="s">
        <v>1419</v>
      </c>
    </row>
    <row r="509" spans="1:3" x14ac:dyDescent="0.25">
      <c r="A509" t="s">
        <v>1420</v>
      </c>
      <c r="B509" t="s">
        <v>58</v>
      </c>
      <c r="C509" t="s">
        <v>1421</v>
      </c>
    </row>
    <row r="510" spans="1:3" x14ac:dyDescent="0.25">
      <c r="A510" t="s">
        <v>438</v>
      </c>
      <c r="B510" t="s">
        <v>58</v>
      </c>
      <c r="C510" t="s">
        <v>1422</v>
      </c>
    </row>
    <row r="511" spans="1:3" x14ac:dyDescent="0.25">
      <c r="A511" t="s">
        <v>436</v>
      </c>
      <c r="B511" t="s">
        <v>58</v>
      </c>
      <c r="C511" t="s">
        <v>1423</v>
      </c>
    </row>
    <row r="512" spans="1:3" x14ac:dyDescent="0.25">
      <c r="A512" t="s">
        <v>1424</v>
      </c>
      <c r="B512" t="s">
        <v>58</v>
      </c>
      <c r="C512" t="s">
        <v>1425</v>
      </c>
    </row>
    <row r="513" spans="1:3" x14ac:dyDescent="0.25">
      <c r="A513" t="s">
        <v>1426</v>
      </c>
      <c r="B513" t="s">
        <v>58</v>
      </c>
      <c r="C513" t="s">
        <v>1427</v>
      </c>
    </row>
    <row r="514" spans="1:3" x14ac:dyDescent="0.25">
      <c r="A514" t="s">
        <v>1428</v>
      </c>
      <c r="B514" t="s">
        <v>58</v>
      </c>
      <c r="C514" t="s">
        <v>1429</v>
      </c>
    </row>
    <row r="515" spans="1:3" x14ac:dyDescent="0.25">
      <c r="A515" s="3" t="s">
        <v>442</v>
      </c>
      <c r="B515" t="s">
        <v>58</v>
      </c>
      <c r="C515" t="s">
        <v>1430</v>
      </c>
    </row>
    <row r="516" spans="1:3" x14ac:dyDescent="0.25">
      <c r="A516" s="2" t="s">
        <v>430</v>
      </c>
      <c r="B516" t="s">
        <v>58</v>
      </c>
      <c r="C516" t="s">
        <v>1431</v>
      </c>
    </row>
    <row r="517" spans="1:3" x14ac:dyDescent="0.25">
      <c r="A517" s="2" t="s">
        <v>437</v>
      </c>
      <c r="B517" t="s">
        <v>58</v>
      </c>
      <c r="C517" t="s">
        <v>1432</v>
      </c>
    </row>
    <row r="518" spans="1:3" x14ac:dyDescent="0.25">
      <c r="A518" s="2" t="s">
        <v>1433</v>
      </c>
      <c r="B518" t="s">
        <v>58</v>
      </c>
      <c r="C518" t="s">
        <v>1434</v>
      </c>
    </row>
    <row r="519" spans="1:3" x14ac:dyDescent="0.25">
      <c r="A519" t="s">
        <v>1435</v>
      </c>
      <c r="B519" t="s">
        <v>58</v>
      </c>
      <c r="C519" t="s">
        <v>1436</v>
      </c>
    </row>
    <row r="520" spans="1:3" x14ac:dyDescent="0.25">
      <c r="A520" t="s">
        <v>1437</v>
      </c>
      <c r="B520" t="s">
        <v>58</v>
      </c>
      <c r="C520" t="s">
        <v>1438</v>
      </c>
    </row>
    <row r="521" spans="1:3" x14ac:dyDescent="0.25">
      <c r="A521" t="s">
        <v>1439</v>
      </c>
      <c r="B521" t="s">
        <v>58</v>
      </c>
      <c r="C521" t="s">
        <v>1440</v>
      </c>
    </row>
    <row r="522" spans="1:3" x14ac:dyDescent="0.25">
      <c r="A522" t="s">
        <v>375</v>
      </c>
      <c r="B522" t="s">
        <v>58</v>
      </c>
      <c r="C522" t="s">
        <v>614</v>
      </c>
    </row>
    <row r="523" spans="1:3" x14ac:dyDescent="0.25">
      <c r="A523" s="2" t="s">
        <v>376</v>
      </c>
      <c r="B523" t="s">
        <v>58</v>
      </c>
      <c r="C523" t="s">
        <v>1441</v>
      </c>
    </row>
    <row r="524" spans="1:3" x14ac:dyDescent="0.25">
      <c r="A524" s="2" t="s">
        <v>376</v>
      </c>
      <c r="B524" t="s">
        <v>58</v>
      </c>
      <c r="C524" s="2" t="s">
        <v>1441</v>
      </c>
    </row>
    <row r="525" spans="1:3" x14ac:dyDescent="0.25">
      <c r="A525" s="2" t="s">
        <v>1442</v>
      </c>
      <c r="B525" t="s">
        <v>58</v>
      </c>
      <c r="C525" t="s">
        <v>1443</v>
      </c>
    </row>
    <row r="526" spans="1:3" x14ac:dyDescent="0.25">
      <c r="A526" t="s">
        <v>1442</v>
      </c>
      <c r="B526" t="s">
        <v>58</v>
      </c>
      <c r="C526" t="s">
        <v>1443</v>
      </c>
    </row>
    <row r="527" spans="1:3" x14ac:dyDescent="0.25">
      <c r="A527" s="2" t="s">
        <v>1444</v>
      </c>
      <c r="B527" t="s">
        <v>58</v>
      </c>
      <c r="C527" t="s">
        <v>1445</v>
      </c>
    </row>
    <row r="528" spans="1:3" x14ac:dyDescent="0.25">
      <c r="A528" t="s">
        <v>1444</v>
      </c>
      <c r="B528" t="s">
        <v>58</v>
      </c>
      <c r="C528" t="s">
        <v>1445</v>
      </c>
    </row>
    <row r="529" spans="1:3" x14ac:dyDescent="0.25">
      <c r="A529" s="2" t="s">
        <v>1446</v>
      </c>
      <c r="B529" t="s">
        <v>58</v>
      </c>
      <c r="C529" s="2" t="s">
        <v>1447</v>
      </c>
    </row>
    <row r="530" spans="1:3" x14ac:dyDescent="0.25">
      <c r="A530" s="2" t="s">
        <v>1448</v>
      </c>
      <c r="B530" t="s">
        <v>58</v>
      </c>
      <c r="C530" t="s">
        <v>1449</v>
      </c>
    </row>
    <row r="531" spans="1:3" x14ac:dyDescent="0.25">
      <c r="A531" s="2" t="s">
        <v>1450</v>
      </c>
      <c r="B531" t="s">
        <v>58</v>
      </c>
      <c r="C531" t="s">
        <v>1451</v>
      </c>
    </row>
    <row r="532" spans="1:3" x14ac:dyDescent="0.25">
      <c r="A532" s="2" t="s">
        <v>377</v>
      </c>
      <c r="B532" t="s">
        <v>58</v>
      </c>
      <c r="C532" t="s">
        <v>1452</v>
      </c>
    </row>
    <row r="533" spans="1:3" x14ac:dyDescent="0.25">
      <c r="A533" s="2" t="s">
        <v>378</v>
      </c>
      <c r="B533" t="s">
        <v>58</v>
      </c>
      <c r="C533" t="s">
        <v>1453</v>
      </c>
    </row>
    <row r="534" spans="1:3" x14ac:dyDescent="0.25">
      <c r="A534" s="2" t="s">
        <v>379</v>
      </c>
      <c r="B534" t="s">
        <v>58</v>
      </c>
      <c r="C534" t="s">
        <v>1454</v>
      </c>
    </row>
    <row r="535" spans="1:3" x14ac:dyDescent="0.25">
      <c r="A535" s="2" t="s">
        <v>380</v>
      </c>
      <c r="B535" t="s">
        <v>58</v>
      </c>
      <c r="C535" t="s">
        <v>1455</v>
      </c>
    </row>
    <row r="536" spans="1:3" x14ac:dyDescent="0.25">
      <c r="A536" s="2" t="s">
        <v>381</v>
      </c>
      <c r="B536" t="s">
        <v>58</v>
      </c>
      <c r="C536" t="s">
        <v>1456</v>
      </c>
    </row>
    <row r="537" spans="1:3" x14ac:dyDescent="0.25">
      <c r="A537" s="2" t="s">
        <v>382</v>
      </c>
      <c r="B537" t="s">
        <v>58</v>
      </c>
      <c r="C537" t="s">
        <v>1457</v>
      </c>
    </row>
    <row r="538" spans="1:3" x14ac:dyDescent="0.25">
      <c r="A538" s="2" t="s">
        <v>383</v>
      </c>
      <c r="B538" t="s">
        <v>58</v>
      </c>
      <c r="C538" t="s">
        <v>1458</v>
      </c>
    </row>
    <row r="539" spans="1:3" x14ac:dyDescent="0.25">
      <c r="A539" s="2" t="s">
        <v>384</v>
      </c>
      <c r="B539" t="s">
        <v>58</v>
      </c>
      <c r="C539" t="s">
        <v>1459</v>
      </c>
    </row>
    <row r="540" spans="1:3" x14ac:dyDescent="0.25">
      <c r="A540" s="2" t="s">
        <v>385</v>
      </c>
      <c r="B540" t="s">
        <v>58</v>
      </c>
      <c r="C540" t="s">
        <v>1460</v>
      </c>
    </row>
    <row r="541" spans="1:3" x14ac:dyDescent="0.25">
      <c r="A541" s="2" t="s">
        <v>386</v>
      </c>
      <c r="B541" t="s">
        <v>58</v>
      </c>
      <c r="C541" t="s">
        <v>1461</v>
      </c>
    </row>
    <row r="542" spans="1:3" x14ac:dyDescent="0.25">
      <c r="A542" s="2" t="s">
        <v>387</v>
      </c>
      <c r="B542" t="s">
        <v>58</v>
      </c>
      <c r="C542" t="s">
        <v>1462</v>
      </c>
    </row>
    <row r="543" spans="1:3" x14ac:dyDescent="0.25">
      <c r="A543" s="2" t="s">
        <v>388</v>
      </c>
      <c r="B543" t="s">
        <v>58</v>
      </c>
      <c r="C543" t="s">
        <v>1463</v>
      </c>
    </row>
    <row r="544" spans="1:3" x14ac:dyDescent="0.25">
      <c r="A544" s="2" t="s">
        <v>1464</v>
      </c>
      <c r="B544" t="s">
        <v>58</v>
      </c>
      <c r="C544" t="s">
        <v>1465</v>
      </c>
    </row>
    <row r="545" spans="1:3" x14ac:dyDescent="0.25">
      <c r="A545" s="2" t="s">
        <v>389</v>
      </c>
      <c r="B545" t="s">
        <v>58</v>
      </c>
      <c r="C545" t="s">
        <v>1466</v>
      </c>
    </row>
    <row r="546" spans="1:3" x14ac:dyDescent="0.25">
      <c r="A546" t="s">
        <v>1467</v>
      </c>
      <c r="B546" t="s">
        <v>58</v>
      </c>
      <c r="C546" t="s">
        <v>1468</v>
      </c>
    </row>
    <row r="547" spans="1:3" x14ac:dyDescent="0.25">
      <c r="A547" t="s">
        <v>1469</v>
      </c>
      <c r="B547" t="s">
        <v>58</v>
      </c>
      <c r="C547" t="s">
        <v>1470</v>
      </c>
    </row>
    <row r="548" spans="1:3" x14ac:dyDescent="0.25">
      <c r="A548" t="s">
        <v>1471</v>
      </c>
      <c r="B548" t="s">
        <v>58</v>
      </c>
      <c r="C548" t="s">
        <v>1472</v>
      </c>
    </row>
    <row r="549" spans="1:3" x14ac:dyDescent="0.25">
      <c r="A549" s="2" t="s">
        <v>391</v>
      </c>
      <c r="B549" t="s">
        <v>58</v>
      </c>
      <c r="C549" t="s">
        <v>1473</v>
      </c>
    </row>
    <row r="550" spans="1:3" x14ac:dyDescent="0.25">
      <c r="A550" t="s">
        <v>392</v>
      </c>
      <c r="B550" t="s">
        <v>58</v>
      </c>
      <c r="C550" t="s">
        <v>1474</v>
      </c>
    </row>
    <row r="551" spans="1:3" x14ac:dyDescent="0.25">
      <c r="A551" t="s">
        <v>393</v>
      </c>
      <c r="B551" t="s">
        <v>58</v>
      </c>
      <c r="C551" t="s">
        <v>1475</v>
      </c>
    </row>
    <row r="552" spans="1:3" x14ac:dyDescent="0.25">
      <c r="A552" t="s">
        <v>394</v>
      </c>
      <c r="B552" t="s">
        <v>58</v>
      </c>
      <c r="C552" t="s">
        <v>671</v>
      </c>
    </row>
    <row r="553" spans="1:3" x14ac:dyDescent="0.25">
      <c r="A553" s="2" t="s">
        <v>395</v>
      </c>
      <c r="B553" t="s">
        <v>58</v>
      </c>
      <c r="C553" t="s">
        <v>1476</v>
      </c>
    </row>
    <row r="554" spans="1:3" x14ac:dyDescent="0.25">
      <c r="A554" s="2" t="s">
        <v>396</v>
      </c>
      <c r="B554" t="s">
        <v>58</v>
      </c>
      <c r="C554" t="s">
        <v>1477</v>
      </c>
    </row>
    <row r="555" spans="1:3" x14ac:dyDescent="0.25">
      <c r="A555" s="2" t="s">
        <v>1478</v>
      </c>
      <c r="B555" t="s">
        <v>58</v>
      </c>
      <c r="C555" t="s">
        <v>1479</v>
      </c>
    </row>
    <row r="556" spans="1:3" x14ac:dyDescent="0.25">
      <c r="A556" s="2" t="s">
        <v>1480</v>
      </c>
      <c r="B556" t="s">
        <v>58</v>
      </c>
      <c r="C556" t="s">
        <v>1481</v>
      </c>
    </row>
    <row r="557" spans="1:3" x14ac:dyDescent="0.25">
      <c r="A557" s="2" t="s">
        <v>397</v>
      </c>
      <c r="B557" t="s">
        <v>58</v>
      </c>
      <c r="C557" t="s">
        <v>1482</v>
      </c>
    </row>
    <row r="558" spans="1:3" x14ac:dyDescent="0.25">
      <c r="A558" s="2" t="s">
        <v>1483</v>
      </c>
      <c r="B558" t="s">
        <v>58</v>
      </c>
      <c r="C558" t="s">
        <v>1484</v>
      </c>
    </row>
    <row r="559" spans="1:3" x14ac:dyDescent="0.25">
      <c r="A559" s="2" t="s">
        <v>1485</v>
      </c>
      <c r="B559" t="s">
        <v>58</v>
      </c>
      <c r="C559" t="s">
        <v>1486</v>
      </c>
    </row>
    <row r="560" spans="1:3" x14ac:dyDescent="0.25">
      <c r="A560" s="2" t="s">
        <v>1487</v>
      </c>
      <c r="B560" t="s">
        <v>58</v>
      </c>
      <c r="C560" t="s">
        <v>1488</v>
      </c>
    </row>
    <row r="561" spans="1:3" x14ac:dyDescent="0.25">
      <c r="A561" t="s">
        <v>1489</v>
      </c>
      <c r="B561" t="s">
        <v>58</v>
      </c>
      <c r="C561" t="s">
        <v>1490</v>
      </c>
    </row>
    <row r="562" spans="1:3" x14ac:dyDescent="0.25">
      <c r="A562" t="s">
        <v>1491</v>
      </c>
      <c r="B562" t="s">
        <v>58</v>
      </c>
      <c r="C562" t="s">
        <v>1492</v>
      </c>
    </row>
    <row r="563" spans="1:3" x14ac:dyDescent="0.25">
      <c r="A563" t="s">
        <v>1493</v>
      </c>
      <c r="B563" t="s">
        <v>58</v>
      </c>
      <c r="C563" t="s">
        <v>1494</v>
      </c>
    </row>
    <row r="564" spans="1:3" x14ac:dyDescent="0.25">
      <c r="A564" t="s">
        <v>1495</v>
      </c>
      <c r="B564" t="s">
        <v>58</v>
      </c>
      <c r="C564" t="s">
        <v>1496</v>
      </c>
    </row>
    <row r="565" spans="1:3" x14ac:dyDescent="0.25">
      <c r="A565" t="s">
        <v>1497</v>
      </c>
      <c r="B565" t="s">
        <v>58</v>
      </c>
      <c r="C565" t="s">
        <v>1498</v>
      </c>
    </row>
    <row r="566" spans="1:3" x14ac:dyDescent="0.25">
      <c r="A566" t="s">
        <v>1499</v>
      </c>
      <c r="B566" t="s">
        <v>58</v>
      </c>
      <c r="C566" t="s">
        <v>1500</v>
      </c>
    </row>
    <row r="567" spans="1:3" x14ac:dyDescent="0.25">
      <c r="A567" t="s">
        <v>1501</v>
      </c>
      <c r="B567" t="s">
        <v>58</v>
      </c>
      <c r="C567" t="s">
        <v>1502</v>
      </c>
    </row>
    <row r="568" spans="1:3" x14ac:dyDescent="0.25">
      <c r="A568" t="s">
        <v>1503</v>
      </c>
      <c r="B568" t="s">
        <v>58</v>
      </c>
      <c r="C568" t="s">
        <v>1504</v>
      </c>
    </row>
    <row r="569" spans="1:3" x14ac:dyDescent="0.25">
      <c r="A569" t="s">
        <v>1505</v>
      </c>
      <c r="B569" t="s">
        <v>58</v>
      </c>
      <c r="C569" t="s">
        <v>1506</v>
      </c>
    </row>
    <row r="570" spans="1:3" x14ac:dyDescent="0.25">
      <c r="A570" t="s">
        <v>1507</v>
      </c>
      <c r="B570" t="s">
        <v>58</v>
      </c>
      <c r="C570" t="s">
        <v>1508</v>
      </c>
    </row>
    <row r="571" spans="1:3" x14ac:dyDescent="0.25">
      <c r="A571" t="s">
        <v>1509</v>
      </c>
      <c r="B571" t="s">
        <v>58</v>
      </c>
      <c r="C571" t="s">
        <v>1510</v>
      </c>
    </row>
    <row r="572" spans="1:3" x14ac:dyDescent="0.25">
      <c r="A572" t="s">
        <v>1511</v>
      </c>
      <c r="B572" t="s">
        <v>58</v>
      </c>
      <c r="C572" t="s">
        <v>1512</v>
      </c>
    </row>
    <row r="573" spans="1:3" x14ac:dyDescent="0.25">
      <c r="A573" t="s">
        <v>1513</v>
      </c>
      <c r="B573" t="s">
        <v>58</v>
      </c>
      <c r="C573" t="s">
        <v>1514</v>
      </c>
    </row>
    <row r="574" spans="1:3" x14ac:dyDescent="0.25">
      <c r="A574" t="s">
        <v>1515</v>
      </c>
      <c r="B574" t="s">
        <v>58</v>
      </c>
      <c r="C574" t="s">
        <v>1516</v>
      </c>
    </row>
    <row r="575" spans="1:3" x14ac:dyDescent="0.25">
      <c r="A575" t="s">
        <v>1517</v>
      </c>
      <c r="B575" t="s">
        <v>58</v>
      </c>
      <c r="C575" t="s">
        <v>1518</v>
      </c>
    </row>
    <row r="576" spans="1:3" x14ac:dyDescent="0.25">
      <c r="A576" t="s">
        <v>1519</v>
      </c>
      <c r="B576" t="s">
        <v>58</v>
      </c>
      <c r="C576" t="s">
        <v>1520</v>
      </c>
    </row>
    <row r="577" spans="1:3" x14ac:dyDescent="0.25">
      <c r="A577" t="s">
        <v>398</v>
      </c>
      <c r="B577" t="s">
        <v>58</v>
      </c>
      <c r="C577" t="s">
        <v>1521</v>
      </c>
    </row>
    <row r="578" spans="1:3" x14ac:dyDescent="0.25">
      <c r="A578" t="s">
        <v>1522</v>
      </c>
      <c r="B578" t="s">
        <v>58</v>
      </c>
      <c r="C578" t="s">
        <v>1523</v>
      </c>
    </row>
    <row r="579" spans="1:3" x14ac:dyDescent="0.25">
      <c r="A579" s="2" t="s">
        <v>1524</v>
      </c>
      <c r="B579" t="s">
        <v>58</v>
      </c>
      <c r="C579" t="s">
        <v>1525</v>
      </c>
    </row>
    <row r="580" spans="1:3" x14ac:dyDescent="0.25">
      <c r="A580" t="s">
        <v>399</v>
      </c>
      <c r="B580" t="s">
        <v>58</v>
      </c>
      <c r="C580" t="s">
        <v>1526</v>
      </c>
    </row>
    <row r="581" spans="1:3" x14ac:dyDescent="0.25">
      <c r="A581" t="s">
        <v>400</v>
      </c>
      <c r="B581" t="s">
        <v>58</v>
      </c>
      <c r="C581" t="s">
        <v>1527</v>
      </c>
    </row>
    <row r="582" spans="1:3" x14ac:dyDescent="0.25">
      <c r="A582" s="2" t="s">
        <v>1528</v>
      </c>
      <c r="B582" t="s">
        <v>58</v>
      </c>
      <c r="C582" t="s">
        <v>1529</v>
      </c>
    </row>
    <row r="583" spans="1:3" x14ac:dyDescent="0.25">
      <c r="A583" s="2" t="s">
        <v>1530</v>
      </c>
      <c r="B583" t="s">
        <v>58</v>
      </c>
      <c r="C583" t="s">
        <v>1531</v>
      </c>
    </row>
    <row r="584" spans="1:3" x14ac:dyDescent="0.25">
      <c r="A584" s="2" t="s">
        <v>405</v>
      </c>
      <c r="B584" t="s">
        <v>58</v>
      </c>
      <c r="C584" t="s">
        <v>1532</v>
      </c>
    </row>
    <row r="585" spans="1:3" x14ac:dyDescent="0.25">
      <c r="A585" s="2" t="s">
        <v>405</v>
      </c>
      <c r="B585" t="s">
        <v>58</v>
      </c>
      <c r="C585" s="2" t="s">
        <v>1532</v>
      </c>
    </row>
    <row r="586" spans="1:3" x14ac:dyDescent="0.25">
      <c r="A586" s="2" t="s">
        <v>405</v>
      </c>
      <c r="B586" t="s">
        <v>58</v>
      </c>
      <c r="C586" s="2" t="s">
        <v>1532</v>
      </c>
    </row>
    <row r="587" spans="1:3" x14ac:dyDescent="0.25">
      <c r="A587" s="2" t="s">
        <v>1533</v>
      </c>
      <c r="B587" t="s">
        <v>58</v>
      </c>
      <c r="C587" t="s">
        <v>1534</v>
      </c>
    </row>
    <row r="588" spans="1:3" x14ac:dyDescent="0.25">
      <c r="A588" s="2" t="s">
        <v>408</v>
      </c>
      <c r="B588" t="s">
        <v>58</v>
      </c>
      <c r="C588" s="2" t="s">
        <v>1535</v>
      </c>
    </row>
    <row r="589" spans="1:3" x14ac:dyDescent="0.25">
      <c r="A589" s="2" t="s">
        <v>409</v>
      </c>
      <c r="B589" t="s">
        <v>58</v>
      </c>
      <c r="C589" t="s">
        <v>1536</v>
      </c>
    </row>
    <row r="590" spans="1:3" x14ac:dyDescent="0.25">
      <c r="A590" s="2" t="s">
        <v>1537</v>
      </c>
      <c r="B590" t="s">
        <v>58</v>
      </c>
      <c r="C590" t="s">
        <v>1538</v>
      </c>
    </row>
    <row r="591" spans="1:3" x14ac:dyDescent="0.25">
      <c r="A591" s="2" t="s">
        <v>410</v>
      </c>
      <c r="B591" t="s">
        <v>58</v>
      </c>
      <c r="C591" s="2" t="s">
        <v>1539</v>
      </c>
    </row>
    <row r="592" spans="1:3" x14ac:dyDescent="0.25">
      <c r="A592" s="2" t="s">
        <v>411</v>
      </c>
      <c r="B592" t="s">
        <v>58</v>
      </c>
      <c r="C592" s="2" t="s">
        <v>1540</v>
      </c>
    </row>
    <row r="593" spans="1:3" x14ac:dyDescent="0.25">
      <c r="A593" s="2" t="s">
        <v>413</v>
      </c>
      <c r="B593" t="s">
        <v>58</v>
      </c>
      <c r="C593" t="s">
        <v>1541</v>
      </c>
    </row>
    <row r="594" spans="1:3" x14ac:dyDescent="0.25">
      <c r="A594" s="2" t="s">
        <v>1542</v>
      </c>
      <c r="B594" t="s">
        <v>58</v>
      </c>
      <c r="C594" t="s">
        <v>1543</v>
      </c>
    </row>
    <row r="595" spans="1:3" x14ac:dyDescent="0.25">
      <c r="A595" s="2" t="s">
        <v>414</v>
      </c>
      <c r="B595" t="s">
        <v>58</v>
      </c>
      <c r="C595" s="2" t="s">
        <v>1544</v>
      </c>
    </row>
    <row r="596" spans="1:3" x14ac:dyDescent="0.25">
      <c r="A596" s="2" t="s">
        <v>1545</v>
      </c>
      <c r="B596" t="s">
        <v>58</v>
      </c>
      <c r="C596" s="2" t="s">
        <v>1546</v>
      </c>
    </row>
    <row r="597" spans="1:3" x14ac:dyDescent="0.25">
      <c r="A597" s="2" t="s">
        <v>415</v>
      </c>
      <c r="B597" t="s">
        <v>58</v>
      </c>
      <c r="C597" t="s">
        <v>1547</v>
      </c>
    </row>
    <row r="598" spans="1:3" x14ac:dyDescent="0.25">
      <c r="A598" s="2" t="s">
        <v>1548</v>
      </c>
      <c r="B598" t="s">
        <v>58</v>
      </c>
      <c r="C598" t="s">
        <v>1549</v>
      </c>
    </row>
    <row r="599" spans="1:3" x14ac:dyDescent="0.25">
      <c r="A599" s="2" t="s">
        <v>1550</v>
      </c>
      <c r="B599" t="s">
        <v>58</v>
      </c>
      <c r="C599" t="s">
        <v>1551</v>
      </c>
    </row>
    <row r="600" spans="1:3" x14ac:dyDescent="0.25">
      <c r="A600" s="2" t="s">
        <v>416</v>
      </c>
      <c r="B600" t="s">
        <v>58</v>
      </c>
      <c r="C600" s="2" t="s">
        <v>1552</v>
      </c>
    </row>
    <row r="601" spans="1:3" x14ac:dyDescent="0.25">
      <c r="A601" s="2" t="s">
        <v>417</v>
      </c>
      <c r="B601" t="s">
        <v>58</v>
      </c>
      <c r="C601" t="s">
        <v>1553</v>
      </c>
    </row>
    <row r="602" spans="1:3" x14ac:dyDescent="0.25">
      <c r="A602" s="2" t="s">
        <v>1554</v>
      </c>
      <c r="B602" t="s">
        <v>58</v>
      </c>
      <c r="C602" t="s">
        <v>1555</v>
      </c>
    </row>
    <row r="603" spans="1:3" x14ac:dyDescent="0.25">
      <c r="A603" t="s">
        <v>1556</v>
      </c>
      <c r="B603" t="s">
        <v>58</v>
      </c>
      <c r="C603" t="s">
        <v>1557</v>
      </c>
    </row>
    <row r="604" spans="1:3" x14ac:dyDescent="0.25">
      <c r="A604" s="2" t="s">
        <v>1558</v>
      </c>
      <c r="B604" t="s">
        <v>58</v>
      </c>
      <c r="C604" t="s">
        <v>1559</v>
      </c>
    </row>
    <row r="605" spans="1:3" x14ac:dyDescent="0.25">
      <c r="A605" t="s">
        <v>1560</v>
      </c>
      <c r="B605" t="s">
        <v>58</v>
      </c>
      <c r="C605" t="s">
        <v>1561</v>
      </c>
    </row>
    <row r="606" spans="1:3" x14ac:dyDescent="0.25">
      <c r="A606" s="2" t="s">
        <v>1562</v>
      </c>
      <c r="B606" t="s">
        <v>58</v>
      </c>
      <c r="C606" t="s">
        <v>1563</v>
      </c>
    </row>
    <row r="607" spans="1:3" x14ac:dyDescent="0.25">
      <c r="A607" s="2" t="s">
        <v>1564</v>
      </c>
      <c r="B607" t="s">
        <v>58</v>
      </c>
      <c r="C607" t="s">
        <v>1565</v>
      </c>
    </row>
    <row r="608" spans="1:3" x14ac:dyDescent="0.25">
      <c r="A608" s="2" t="s">
        <v>1566</v>
      </c>
      <c r="B608" t="s">
        <v>58</v>
      </c>
      <c r="C608" t="s">
        <v>1567</v>
      </c>
    </row>
    <row r="609" spans="1:3" x14ac:dyDescent="0.25">
      <c r="A609" s="2" t="s">
        <v>1568</v>
      </c>
      <c r="B609" t="s">
        <v>58</v>
      </c>
      <c r="C609" t="s">
        <v>1569</v>
      </c>
    </row>
    <row r="610" spans="1:3" x14ac:dyDescent="0.25">
      <c r="A610" s="2" t="s">
        <v>1570</v>
      </c>
      <c r="B610" t="s">
        <v>58</v>
      </c>
      <c r="C610" t="s">
        <v>1571</v>
      </c>
    </row>
    <row r="611" spans="1:3" x14ac:dyDescent="0.25">
      <c r="A611" s="2" t="s">
        <v>420</v>
      </c>
      <c r="B611" t="s">
        <v>58</v>
      </c>
      <c r="C611" t="s">
        <v>1572</v>
      </c>
    </row>
    <row r="612" spans="1:3" x14ac:dyDescent="0.25">
      <c r="A612" s="2" t="s">
        <v>421</v>
      </c>
      <c r="B612" t="s">
        <v>58</v>
      </c>
      <c r="C612" t="s">
        <v>1573</v>
      </c>
    </row>
    <row r="613" spans="1:3" x14ac:dyDescent="0.25">
      <c r="A613" s="2" t="s">
        <v>1574</v>
      </c>
      <c r="B613" t="s">
        <v>58</v>
      </c>
      <c r="C613" t="s">
        <v>1575</v>
      </c>
    </row>
    <row r="614" spans="1:3" x14ac:dyDescent="0.25">
      <c r="A614" s="2" t="s">
        <v>1576</v>
      </c>
      <c r="B614" t="s">
        <v>58</v>
      </c>
      <c r="C614" t="s">
        <v>1577</v>
      </c>
    </row>
    <row r="615" spans="1:3" x14ac:dyDescent="0.25">
      <c r="A615" s="2" t="s">
        <v>1578</v>
      </c>
      <c r="B615" t="s">
        <v>58</v>
      </c>
      <c r="C615" t="s">
        <v>1579</v>
      </c>
    </row>
    <row r="616" spans="1:3" x14ac:dyDescent="0.25">
      <c r="A616" s="2" t="s">
        <v>1580</v>
      </c>
      <c r="B616" t="s">
        <v>58</v>
      </c>
      <c r="C616" t="s">
        <v>1581</v>
      </c>
    </row>
    <row r="617" spans="1:3" x14ac:dyDescent="0.25">
      <c r="A617" s="2" t="s">
        <v>1582</v>
      </c>
      <c r="B617" t="s">
        <v>58</v>
      </c>
      <c r="C617" t="s">
        <v>1583</v>
      </c>
    </row>
    <row r="618" spans="1:3" x14ac:dyDescent="0.25">
      <c r="A618" s="2" t="s">
        <v>1584</v>
      </c>
      <c r="B618" t="s">
        <v>58</v>
      </c>
      <c r="C618" t="s">
        <v>1585</v>
      </c>
    </row>
    <row r="619" spans="1:3" x14ac:dyDescent="0.25">
      <c r="A619" s="2" t="s">
        <v>1586</v>
      </c>
      <c r="B619" t="s">
        <v>58</v>
      </c>
      <c r="C619" t="s">
        <v>1587</v>
      </c>
    </row>
    <row r="620" spans="1:3" x14ac:dyDescent="0.25">
      <c r="A620" s="2" t="s">
        <v>1588</v>
      </c>
      <c r="B620" t="s">
        <v>58</v>
      </c>
      <c r="C620" t="s">
        <v>1589</v>
      </c>
    </row>
    <row r="621" spans="1:3" x14ac:dyDescent="0.25">
      <c r="A621" s="2" t="s">
        <v>1590</v>
      </c>
      <c r="B621" t="s">
        <v>58</v>
      </c>
      <c r="C621" t="s">
        <v>1591</v>
      </c>
    </row>
    <row r="622" spans="1:3" x14ac:dyDescent="0.25">
      <c r="A622" s="2" t="s">
        <v>1592</v>
      </c>
      <c r="B622" t="s">
        <v>58</v>
      </c>
      <c r="C622" t="s">
        <v>1593</v>
      </c>
    </row>
    <row r="623" spans="1:3" x14ac:dyDescent="0.25">
      <c r="A623" s="2" t="s">
        <v>1594</v>
      </c>
      <c r="B623" t="s">
        <v>58</v>
      </c>
      <c r="C623" t="s">
        <v>1595</v>
      </c>
    </row>
    <row r="624" spans="1:3" x14ac:dyDescent="0.25">
      <c r="A624" s="2" t="s">
        <v>1596</v>
      </c>
      <c r="B624" t="s">
        <v>58</v>
      </c>
      <c r="C624" t="s">
        <v>1597</v>
      </c>
    </row>
    <row r="625" spans="1:3" x14ac:dyDescent="0.25">
      <c r="A625" s="2" t="s">
        <v>422</v>
      </c>
      <c r="B625" t="s">
        <v>58</v>
      </c>
      <c r="C625" t="s">
        <v>1598</v>
      </c>
    </row>
    <row r="626" spans="1:3" x14ac:dyDescent="0.25">
      <c r="A626" s="2" t="s">
        <v>1599</v>
      </c>
      <c r="B626" t="s">
        <v>58</v>
      </c>
      <c r="C626" t="s">
        <v>1600</v>
      </c>
    </row>
    <row r="627" spans="1:3" x14ac:dyDescent="0.25">
      <c r="A627" s="2" t="s">
        <v>1601</v>
      </c>
      <c r="B627" t="s">
        <v>58</v>
      </c>
      <c r="C627" t="s">
        <v>1602</v>
      </c>
    </row>
    <row r="628" spans="1:3" x14ac:dyDescent="0.25">
      <c r="A628" s="2" t="s">
        <v>1603</v>
      </c>
      <c r="B628" t="s">
        <v>58</v>
      </c>
      <c r="C628" t="s">
        <v>1604</v>
      </c>
    </row>
    <row r="629" spans="1:3" x14ac:dyDescent="0.25">
      <c r="A629" s="2" t="s">
        <v>1605</v>
      </c>
      <c r="B629" t="s">
        <v>58</v>
      </c>
      <c r="C629" t="s">
        <v>1606</v>
      </c>
    </row>
    <row r="630" spans="1:3" x14ac:dyDescent="0.25">
      <c r="A630" s="2" t="s">
        <v>423</v>
      </c>
      <c r="B630" t="s">
        <v>58</v>
      </c>
      <c r="C630" t="s">
        <v>1607</v>
      </c>
    </row>
    <row r="631" spans="1:3" x14ac:dyDescent="0.25">
      <c r="A631" s="2" t="s">
        <v>1608</v>
      </c>
      <c r="B631" t="s">
        <v>58</v>
      </c>
      <c r="C631" t="s">
        <v>1609</v>
      </c>
    </row>
    <row r="632" spans="1:3" x14ac:dyDescent="0.25">
      <c r="A632" s="2" t="s">
        <v>1610</v>
      </c>
      <c r="B632" t="s">
        <v>58</v>
      </c>
      <c r="C632" t="s">
        <v>1611</v>
      </c>
    </row>
    <row r="633" spans="1:3" x14ac:dyDescent="0.25">
      <c r="A633" s="2" t="s">
        <v>1612</v>
      </c>
      <c r="B633" t="s">
        <v>58</v>
      </c>
      <c r="C633" t="s">
        <v>1613</v>
      </c>
    </row>
    <row r="634" spans="1:3" x14ac:dyDescent="0.25">
      <c r="A634" s="2" t="s">
        <v>424</v>
      </c>
      <c r="B634" t="s">
        <v>58</v>
      </c>
      <c r="C634" t="s">
        <v>1614</v>
      </c>
    </row>
    <row r="635" spans="1:3" x14ac:dyDescent="0.25">
      <c r="A635" s="2" t="s">
        <v>1615</v>
      </c>
      <c r="B635" t="s">
        <v>58</v>
      </c>
      <c r="C635" t="s">
        <v>1616</v>
      </c>
    </row>
    <row r="636" spans="1:3" x14ac:dyDescent="0.25">
      <c r="A636" s="2" t="s">
        <v>425</v>
      </c>
      <c r="B636" t="s">
        <v>58</v>
      </c>
      <c r="C636" t="s">
        <v>1617</v>
      </c>
    </row>
    <row r="637" spans="1:3" x14ac:dyDescent="0.25">
      <c r="A637" s="2" t="s">
        <v>1618</v>
      </c>
      <c r="B637" t="s">
        <v>58</v>
      </c>
      <c r="C637" t="s">
        <v>1619</v>
      </c>
    </row>
    <row r="638" spans="1:3" x14ac:dyDescent="0.25">
      <c r="A638" s="2" t="s">
        <v>1620</v>
      </c>
      <c r="B638" t="s">
        <v>58</v>
      </c>
      <c r="C638" t="s">
        <v>1621</v>
      </c>
    </row>
    <row r="639" spans="1:3" x14ac:dyDescent="0.25">
      <c r="A639" s="2" t="s">
        <v>1622</v>
      </c>
      <c r="B639" t="s">
        <v>58</v>
      </c>
      <c r="C639" t="s">
        <v>1623</v>
      </c>
    </row>
    <row r="640" spans="1:3" x14ac:dyDescent="0.25">
      <c r="A640" s="2" t="s">
        <v>1624</v>
      </c>
      <c r="B640" t="s">
        <v>58</v>
      </c>
      <c r="C640" t="s">
        <v>1625</v>
      </c>
    </row>
    <row r="641" spans="1:3" x14ac:dyDescent="0.25">
      <c r="A641" s="2" t="s">
        <v>426</v>
      </c>
      <c r="B641" t="s">
        <v>58</v>
      </c>
      <c r="C641" t="s">
        <v>1626</v>
      </c>
    </row>
    <row r="642" spans="1:3" x14ac:dyDescent="0.25">
      <c r="A642" s="2" t="s">
        <v>1627</v>
      </c>
      <c r="B642" s="1" t="s">
        <v>58</v>
      </c>
      <c r="C642" t="s">
        <v>1628</v>
      </c>
    </row>
    <row r="643" spans="1:3" x14ac:dyDescent="0.25">
      <c r="A643" s="2" t="s">
        <v>1629</v>
      </c>
      <c r="B643" t="s">
        <v>58</v>
      </c>
      <c r="C643" t="s">
        <v>1630</v>
      </c>
    </row>
    <row r="644" spans="1:3" x14ac:dyDescent="0.25">
      <c r="A644" s="2" t="s">
        <v>1631</v>
      </c>
      <c r="B644" t="s">
        <v>58</v>
      </c>
      <c r="C644" t="s">
        <v>1632</v>
      </c>
    </row>
    <row r="645" spans="1:3" x14ac:dyDescent="0.25">
      <c r="A645" s="2" t="s">
        <v>1633</v>
      </c>
      <c r="B645" t="s">
        <v>58</v>
      </c>
      <c r="C645" t="s">
        <v>1634</v>
      </c>
    </row>
    <row r="646" spans="1:3" x14ac:dyDescent="0.25">
      <c r="A646" s="2" t="s">
        <v>1635</v>
      </c>
      <c r="B646" t="s">
        <v>58</v>
      </c>
      <c r="C646" t="s">
        <v>1636</v>
      </c>
    </row>
    <row r="647" spans="1:3" x14ac:dyDescent="0.25">
      <c r="A647" s="2" t="s">
        <v>1637</v>
      </c>
      <c r="B647" t="s">
        <v>58</v>
      </c>
      <c r="C647" t="s">
        <v>1638</v>
      </c>
    </row>
    <row r="648" spans="1:3" x14ac:dyDescent="0.25">
      <c r="A648" s="2" t="s">
        <v>1639</v>
      </c>
      <c r="B648" t="s">
        <v>58</v>
      </c>
      <c r="C648" t="s">
        <v>1640</v>
      </c>
    </row>
    <row r="649" spans="1:3" x14ac:dyDescent="0.25">
      <c r="A649" s="2" t="s">
        <v>1641</v>
      </c>
      <c r="B649" t="s">
        <v>58</v>
      </c>
      <c r="C649" t="s">
        <v>1642</v>
      </c>
    </row>
    <row r="650" spans="1:3" x14ac:dyDescent="0.25">
      <c r="A650" s="2" t="s">
        <v>1643</v>
      </c>
      <c r="B650" t="s">
        <v>58</v>
      </c>
      <c r="C650" t="s">
        <v>1644</v>
      </c>
    </row>
    <row r="651" spans="1:3" x14ac:dyDescent="0.25">
      <c r="A651" s="2" t="s">
        <v>1645</v>
      </c>
      <c r="B651" t="s">
        <v>58</v>
      </c>
      <c r="C651" t="s">
        <v>1646</v>
      </c>
    </row>
    <row r="652" spans="1:3" x14ac:dyDescent="0.25">
      <c r="A652" s="2" t="s">
        <v>1647</v>
      </c>
      <c r="B652" t="s">
        <v>58</v>
      </c>
      <c r="C652" t="s">
        <v>1648</v>
      </c>
    </row>
    <row r="653" spans="1:3" x14ac:dyDescent="0.25">
      <c r="A653" s="2" t="s">
        <v>1649</v>
      </c>
      <c r="B653" t="s">
        <v>58</v>
      </c>
      <c r="C653" t="s">
        <v>1650</v>
      </c>
    </row>
    <row r="654" spans="1:3" x14ac:dyDescent="0.25">
      <c r="A654" s="2" t="s">
        <v>1651</v>
      </c>
      <c r="B654" t="s">
        <v>58</v>
      </c>
      <c r="C654" t="s">
        <v>1652</v>
      </c>
    </row>
    <row r="655" spans="1:3" x14ac:dyDescent="0.25">
      <c r="A655" s="2" t="s">
        <v>1653</v>
      </c>
      <c r="B655" t="s">
        <v>58</v>
      </c>
      <c r="C655" t="s">
        <v>1654</v>
      </c>
    </row>
    <row r="656" spans="1:3" x14ac:dyDescent="0.25">
      <c r="A656" s="2" t="s">
        <v>1655</v>
      </c>
      <c r="B656" t="s">
        <v>58</v>
      </c>
      <c r="C656" t="s">
        <v>1656</v>
      </c>
    </row>
    <row r="657" spans="1:3" x14ac:dyDescent="0.25">
      <c r="A657" s="2" t="s">
        <v>1657</v>
      </c>
      <c r="B657" t="s">
        <v>58</v>
      </c>
      <c r="C657" t="s">
        <v>1658</v>
      </c>
    </row>
    <row r="658" spans="1:3" x14ac:dyDescent="0.25">
      <c r="A658" s="2" t="s">
        <v>1659</v>
      </c>
      <c r="B658" t="s">
        <v>58</v>
      </c>
      <c r="C658" t="s">
        <v>1660</v>
      </c>
    </row>
    <row r="659" spans="1:3" x14ac:dyDescent="0.25">
      <c r="A659" s="2" t="s">
        <v>1661</v>
      </c>
      <c r="B659" t="s">
        <v>58</v>
      </c>
      <c r="C659" t="s">
        <v>1662</v>
      </c>
    </row>
    <row r="660" spans="1:3" x14ac:dyDescent="0.25">
      <c r="A660" s="2" t="s">
        <v>1663</v>
      </c>
      <c r="B660" t="s">
        <v>58</v>
      </c>
      <c r="C660" t="s">
        <v>1664</v>
      </c>
    </row>
    <row r="661" spans="1:3" x14ac:dyDescent="0.25">
      <c r="A661" t="s">
        <v>1665</v>
      </c>
      <c r="B661" t="s">
        <v>58</v>
      </c>
      <c r="C661" t="s">
        <v>1666</v>
      </c>
    </row>
    <row r="662" spans="1:3" x14ac:dyDescent="0.25">
      <c r="A662" s="2" t="s">
        <v>1667</v>
      </c>
      <c r="B662" t="s">
        <v>58</v>
      </c>
      <c r="C662" t="s">
        <v>1668</v>
      </c>
    </row>
    <row r="663" spans="1:3" x14ac:dyDescent="0.25">
      <c r="A663" s="2" t="s">
        <v>1669</v>
      </c>
      <c r="B663" t="s">
        <v>58</v>
      </c>
      <c r="C663" t="s">
        <v>1670</v>
      </c>
    </row>
    <row r="664" spans="1:3" x14ac:dyDescent="0.25">
      <c r="A664" s="2" t="s">
        <v>1671</v>
      </c>
      <c r="B664" t="s">
        <v>58</v>
      </c>
      <c r="C664" t="s">
        <v>1672</v>
      </c>
    </row>
    <row r="665" spans="1:3" x14ac:dyDescent="0.25">
      <c r="A665" s="2" t="s">
        <v>1673</v>
      </c>
      <c r="B665" t="s">
        <v>58</v>
      </c>
      <c r="C665" t="s">
        <v>1674</v>
      </c>
    </row>
    <row r="666" spans="1:3" x14ac:dyDescent="0.25">
      <c r="A666" s="2" t="s">
        <v>1675</v>
      </c>
      <c r="B666" t="s">
        <v>58</v>
      </c>
      <c r="C666" t="s">
        <v>1676</v>
      </c>
    </row>
    <row r="667" spans="1:3" x14ac:dyDescent="0.25">
      <c r="A667" s="2" t="s">
        <v>1677</v>
      </c>
      <c r="B667" t="s">
        <v>58</v>
      </c>
      <c r="C667" t="s">
        <v>1678</v>
      </c>
    </row>
    <row r="668" spans="1:3" x14ac:dyDescent="0.25">
      <c r="A668" s="2" t="s">
        <v>1679</v>
      </c>
      <c r="B668" t="s">
        <v>58</v>
      </c>
      <c r="C668" t="s">
        <v>1680</v>
      </c>
    </row>
    <row r="669" spans="1:3" x14ac:dyDescent="0.25">
      <c r="A669" t="s">
        <v>1681</v>
      </c>
      <c r="B669" t="s">
        <v>58</v>
      </c>
      <c r="C669" t="s">
        <v>1682</v>
      </c>
    </row>
    <row r="670" spans="1:3" x14ac:dyDescent="0.25">
      <c r="A670" t="s">
        <v>1683</v>
      </c>
      <c r="B670" t="s">
        <v>58</v>
      </c>
      <c r="C670" t="s">
        <v>1684</v>
      </c>
    </row>
    <row r="671" spans="1:3" x14ac:dyDescent="0.25">
      <c r="A671" s="2" t="s">
        <v>429</v>
      </c>
      <c r="B671" t="s">
        <v>58</v>
      </c>
      <c r="C671" t="s">
        <v>1685</v>
      </c>
    </row>
    <row r="672" spans="1:3" x14ac:dyDescent="0.25">
      <c r="A672" s="2" t="s">
        <v>1686</v>
      </c>
      <c r="B672" t="s">
        <v>58</v>
      </c>
      <c r="C672" t="s">
        <v>1687</v>
      </c>
    </row>
    <row r="673" spans="1:3" x14ac:dyDescent="0.25">
      <c r="A673" s="2" t="s">
        <v>1688</v>
      </c>
      <c r="B673" t="s">
        <v>58</v>
      </c>
      <c r="C673" t="s">
        <v>1689</v>
      </c>
    </row>
    <row r="674" spans="1:3" x14ac:dyDescent="0.25">
      <c r="A674" s="2" t="s">
        <v>1690</v>
      </c>
      <c r="B674" t="s">
        <v>58</v>
      </c>
      <c r="C674" t="s">
        <v>1691</v>
      </c>
    </row>
    <row r="675" spans="1:3" x14ac:dyDescent="0.25">
      <c r="A675" t="s">
        <v>1692</v>
      </c>
      <c r="B675" t="s">
        <v>58</v>
      </c>
      <c r="C675" t="s">
        <v>1693</v>
      </c>
    </row>
    <row r="676" spans="1:3" x14ac:dyDescent="0.25">
      <c r="A676" t="s">
        <v>1694</v>
      </c>
      <c r="B676" t="s">
        <v>58</v>
      </c>
      <c r="C676" t="s">
        <v>1695</v>
      </c>
    </row>
    <row r="677" spans="1:3" x14ac:dyDescent="0.25">
      <c r="A677" t="s">
        <v>1696</v>
      </c>
      <c r="B677" t="s">
        <v>58</v>
      </c>
      <c r="C677" t="s">
        <v>1697</v>
      </c>
    </row>
    <row r="678" spans="1:3" x14ac:dyDescent="0.25">
      <c r="A678" t="s">
        <v>1698</v>
      </c>
      <c r="B678" t="s">
        <v>58</v>
      </c>
      <c r="C678" t="s">
        <v>1699</v>
      </c>
    </row>
    <row r="679" spans="1:3" x14ac:dyDescent="0.25">
      <c r="A679" s="2" t="s">
        <v>412</v>
      </c>
      <c r="B679" t="s">
        <v>58</v>
      </c>
      <c r="C679" s="2" t="s">
        <v>1700</v>
      </c>
    </row>
    <row r="680" spans="1:3" x14ac:dyDescent="0.25">
      <c r="A680" s="2" t="s">
        <v>419</v>
      </c>
      <c r="B680" t="s">
        <v>58</v>
      </c>
      <c r="C680" s="2" t="s">
        <v>1701</v>
      </c>
    </row>
    <row r="681" spans="1:3" x14ac:dyDescent="0.25">
      <c r="A681" s="2" t="s">
        <v>418</v>
      </c>
      <c r="B681" t="s">
        <v>58</v>
      </c>
      <c r="C681" s="2" t="s">
        <v>1702</v>
      </c>
    </row>
    <row r="682" spans="1:3" x14ac:dyDescent="0.25">
      <c r="A682" t="s">
        <v>1703</v>
      </c>
      <c r="B682" t="s">
        <v>58</v>
      </c>
      <c r="C682" t="s">
        <v>1704</v>
      </c>
    </row>
    <row r="683" spans="1:3" x14ac:dyDescent="0.25">
      <c r="A683" t="s">
        <v>1705</v>
      </c>
      <c r="B683" t="s">
        <v>58</v>
      </c>
      <c r="C683" t="s">
        <v>1706</v>
      </c>
    </row>
    <row r="684" spans="1:3" x14ac:dyDescent="0.25">
      <c r="A684" t="s">
        <v>1707</v>
      </c>
      <c r="B684" t="s">
        <v>58</v>
      </c>
      <c r="C684" t="s">
        <v>1708</v>
      </c>
    </row>
    <row r="685" spans="1:3" x14ac:dyDescent="0.25">
      <c r="A685" t="s">
        <v>1709</v>
      </c>
      <c r="B685" t="s">
        <v>58</v>
      </c>
      <c r="C685" t="s">
        <v>1710</v>
      </c>
    </row>
    <row r="686" spans="1:3" x14ac:dyDescent="0.25">
      <c r="A686" t="s">
        <v>1711</v>
      </c>
      <c r="B686" t="s">
        <v>58</v>
      </c>
      <c r="C686" t="s">
        <v>1712</v>
      </c>
    </row>
    <row r="687" spans="1:3" x14ac:dyDescent="0.25">
      <c r="A687" t="s">
        <v>1713</v>
      </c>
      <c r="B687" t="s">
        <v>58</v>
      </c>
      <c r="C687" t="s">
        <v>1714</v>
      </c>
    </row>
    <row r="688" spans="1:3" x14ac:dyDescent="0.25">
      <c r="A688" t="s">
        <v>669</v>
      </c>
      <c r="B688" t="s">
        <v>58</v>
      </c>
      <c r="C688" t="s">
        <v>1715</v>
      </c>
    </row>
    <row r="689" spans="1:3" x14ac:dyDescent="0.25">
      <c r="A689" t="s">
        <v>1716</v>
      </c>
      <c r="B689" t="s">
        <v>58</v>
      </c>
      <c r="C689" t="s">
        <v>1717</v>
      </c>
    </row>
    <row r="690" spans="1:3" x14ac:dyDescent="0.25">
      <c r="A690" t="s">
        <v>1718</v>
      </c>
      <c r="B690" t="s">
        <v>58</v>
      </c>
      <c r="C690" t="s">
        <v>1719</v>
      </c>
    </row>
    <row r="691" spans="1:3" x14ac:dyDescent="0.25">
      <c r="A691" t="s">
        <v>1720</v>
      </c>
      <c r="B691" t="s">
        <v>58</v>
      </c>
      <c r="C691" t="s">
        <v>1306</v>
      </c>
    </row>
    <row r="692" spans="1:3" x14ac:dyDescent="0.25">
      <c r="A692" t="s">
        <v>1721</v>
      </c>
      <c r="B692" t="s">
        <v>58</v>
      </c>
      <c r="C692" t="s">
        <v>519</v>
      </c>
    </row>
    <row r="693" spans="1:3" x14ac:dyDescent="0.25">
      <c r="A693" t="s">
        <v>1722</v>
      </c>
      <c r="B693" t="s">
        <v>58</v>
      </c>
      <c r="C693" s="2" t="s">
        <v>1723</v>
      </c>
    </row>
    <row r="694" spans="1:3" x14ac:dyDescent="0.25">
      <c r="A694" t="s">
        <v>1724</v>
      </c>
      <c r="B694" t="s">
        <v>58</v>
      </c>
      <c r="C694" s="2" t="s">
        <v>1725</v>
      </c>
    </row>
    <row r="695" spans="1:3" x14ac:dyDescent="0.25">
      <c r="A695" s="2" t="s">
        <v>406</v>
      </c>
      <c r="B695" t="s">
        <v>58</v>
      </c>
      <c r="C695" t="s">
        <v>1726</v>
      </c>
    </row>
    <row r="696" spans="1:3" x14ac:dyDescent="0.25">
      <c r="A696" s="2" t="s">
        <v>406</v>
      </c>
      <c r="B696" t="s">
        <v>58</v>
      </c>
      <c r="C696" t="s">
        <v>1727</v>
      </c>
    </row>
    <row r="697" spans="1:3" x14ac:dyDescent="0.25">
      <c r="A697" s="2" t="s">
        <v>1728</v>
      </c>
      <c r="B697" t="s">
        <v>58</v>
      </c>
      <c r="C697" t="s">
        <v>1729</v>
      </c>
    </row>
    <row r="698" spans="1:3" x14ac:dyDescent="0.25">
      <c r="A698" s="2" t="s">
        <v>275</v>
      </c>
      <c r="B698" t="s">
        <v>58</v>
      </c>
      <c r="C698" t="s">
        <v>1730</v>
      </c>
    </row>
    <row r="699" spans="1:3" x14ac:dyDescent="0.25">
      <c r="A699" s="2" t="s">
        <v>1731</v>
      </c>
      <c r="B699" t="s">
        <v>58</v>
      </c>
      <c r="C699" t="s">
        <v>1732</v>
      </c>
    </row>
    <row r="700" spans="1:3" x14ac:dyDescent="0.25">
      <c r="A700" s="2" t="s">
        <v>450</v>
      </c>
      <c r="B700" t="s">
        <v>58</v>
      </c>
      <c r="C700" t="s">
        <v>1733</v>
      </c>
    </row>
    <row r="701" spans="1:3" x14ac:dyDescent="0.25">
      <c r="A701" s="2" t="s">
        <v>1734</v>
      </c>
      <c r="B701" t="s">
        <v>58</v>
      </c>
      <c r="C701" t="s">
        <v>1735</v>
      </c>
    </row>
    <row r="702" spans="1:3" x14ac:dyDescent="0.25">
      <c r="A702" s="2" t="s">
        <v>1736</v>
      </c>
      <c r="B702" t="s">
        <v>58</v>
      </c>
      <c r="C702" t="s">
        <v>1737</v>
      </c>
    </row>
    <row r="703" spans="1:3" x14ac:dyDescent="0.25">
      <c r="A703" s="2" t="s">
        <v>451</v>
      </c>
      <c r="B703" t="s">
        <v>58</v>
      </c>
      <c r="C703" t="s">
        <v>1738</v>
      </c>
    </row>
    <row r="704" spans="1:3" x14ac:dyDescent="0.25">
      <c r="A704" s="2" t="s">
        <v>267</v>
      </c>
      <c r="B704" t="s">
        <v>58</v>
      </c>
      <c r="C704" t="s">
        <v>1739</v>
      </c>
    </row>
    <row r="705" spans="1:3" x14ac:dyDescent="0.25">
      <c r="A705" s="2" t="s">
        <v>669</v>
      </c>
      <c r="B705" t="s">
        <v>58</v>
      </c>
      <c r="C705" t="s">
        <v>1740</v>
      </c>
    </row>
    <row r="706" spans="1:3" x14ac:dyDescent="0.25">
      <c r="A706" s="2" t="s">
        <v>1741</v>
      </c>
      <c r="B706" t="s">
        <v>58</v>
      </c>
      <c r="C706" t="s">
        <v>1742</v>
      </c>
    </row>
    <row r="707" spans="1:3" x14ac:dyDescent="0.25">
      <c r="A707" s="2" t="s">
        <v>1743</v>
      </c>
      <c r="B707" t="s">
        <v>58</v>
      </c>
      <c r="C707" s="2" t="s">
        <v>1744</v>
      </c>
    </row>
    <row r="708" spans="1:3" x14ac:dyDescent="0.25">
      <c r="A708" t="s">
        <v>1745</v>
      </c>
      <c r="B708" t="s">
        <v>58</v>
      </c>
      <c r="C708" t="s">
        <v>1746</v>
      </c>
    </row>
    <row r="709" spans="1:3" x14ac:dyDescent="0.25">
      <c r="A709" t="s">
        <v>1747</v>
      </c>
      <c r="B709" t="s">
        <v>58</v>
      </c>
      <c r="C709" t="s">
        <v>1748</v>
      </c>
    </row>
    <row r="710" spans="1:3" x14ac:dyDescent="0.25">
      <c r="A710" t="s">
        <v>1749</v>
      </c>
      <c r="B710" t="s">
        <v>58</v>
      </c>
      <c r="C710" t="s">
        <v>1750</v>
      </c>
    </row>
    <row r="711" spans="1:3" x14ac:dyDescent="0.25">
      <c r="A711" t="s">
        <v>1751</v>
      </c>
      <c r="B711" t="s">
        <v>58</v>
      </c>
      <c r="C711" t="s">
        <v>1752</v>
      </c>
    </row>
    <row r="712" spans="1:3" x14ac:dyDescent="0.25">
      <c r="A712" t="s">
        <v>1753</v>
      </c>
      <c r="B712" t="s">
        <v>58</v>
      </c>
      <c r="C712" t="s">
        <v>1754</v>
      </c>
    </row>
    <row r="713" spans="1:3" x14ac:dyDescent="0.25">
      <c r="A713" t="s">
        <v>1755</v>
      </c>
      <c r="B713" t="s">
        <v>58</v>
      </c>
      <c r="C713" t="s">
        <v>1756</v>
      </c>
    </row>
    <row r="714" spans="1:3" x14ac:dyDescent="0.25">
      <c r="A714" s="2" t="s">
        <v>1757</v>
      </c>
      <c r="B714" t="s">
        <v>58</v>
      </c>
      <c r="C714" s="2" t="s">
        <v>1758</v>
      </c>
    </row>
    <row r="715" spans="1:3" x14ac:dyDescent="0.25">
      <c r="A715" s="2" t="s">
        <v>1759</v>
      </c>
      <c r="B715" t="s">
        <v>58</v>
      </c>
      <c r="C715" s="2" t="s">
        <v>1760</v>
      </c>
    </row>
    <row r="716" spans="1:3" x14ac:dyDescent="0.25">
      <c r="A716" t="s">
        <v>1761</v>
      </c>
      <c r="B716" t="s">
        <v>58</v>
      </c>
      <c r="C716" s="2" t="s">
        <v>1762</v>
      </c>
    </row>
    <row r="717" spans="1:3" x14ac:dyDescent="0.25">
      <c r="A717" t="s">
        <v>1763</v>
      </c>
      <c r="B717" t="s">
        <v>58</v>
      </c>
      <c r="C717" s="2" t="s">
        <v>1764</v>
      </c>
    </row>
    <row r="718" spans="1:3" x14ac:dyDescent="0.25">
      <c r="A718" t="s">
        <v>1765</v>
      </c>
      <c r="B718" t="s">
        <v>58</v>
      </c>
      <c r="C718" s="2" t="s">
        <v>1766</v>
      </c>
    </row>
    <row r="719" spans="1:3" x14ac:dyDescent="0.25">
      <c r="A719" s="136" t="s">
        <v>1767</v>
      </c>
      <c r="B719" t="s">
        <v>58</v>
      </c>
      <c r="C719" s="2" t="s">
        <v>1768</v>
      </c>
    </row>
    <row r="720" spans="1:3" x14ac:dyDescent="0.25">
      <c r="A720" t="s">
        <v>1769</v>
      </c>
      <c r="B720" t="s">
        <v>58</v>
      </c>
      <c r="C720" s="2" t="s">
        <v>1770</v>
      </c>
    </row>
    <row r="721" spans="1:3" x14ac:dyDescent="0.25">
      <c r="A721" t="s">
        <v>1771</v>
      </c>
      <c r="B721" t="s">
        <v>58</v>
      </c>
      <c r="C721" s="2" t="s">
        <v>1772</v>
      </c>
    </row>
    <row r="722" spans="1:3" x14ac:dyDescent="0.25">
      <c r="A722" s="2" t="s">
        <v>1773</v>
      </c>
      <c r="B722" t="s">
        <v>58</v>
      </c>
      <c r="C722" s="2" t="s">
        <v>1774</v>
      </c>
    </row>
    <row r="723" spans="1:3" x14ac:dyDescent="0.25">
      <c r="A723" s="2" t="s">
        <v>444</v>
      </c>
      <c r="B723" t="s">
        <v>58</v>
      </c>
      <c r="C723" s="2" t="s">
        <v>1775</v>
      </c>
    </row>
    <row r="724" spans="1:3" x14ac:dyDescent="0.25">
      <c r="A724" s="2" t="s">
        <v>1776</v>
      </c>
      <c r="B724" t="s">
        <v>58</v>
      </c>
      <c r="C724" s="2" t="s">
        <v>1777</v>
      </c>
    </row>
    <row r="725" spans="1:3" x14ac:dyDescent="0.25">
      <c r="A725" s="2" t="s">
        <v>1778</v>
      </c>
      <c r="B725" t="s">
        <v>58</v>
      </c>
      <c r="C725" t="s">
        <v>1779</v>
      </c>
    </row>
    <row r="726" spans="1:3" x14ac:dyDescent="0.25">
      <c r="A726" s="2" t="s">
        <v>1780</v>
      </c>
      <c r="B726" t="s">
        <v>58</v>
      </c>
      <c r="C726" t="s">
        <v>1781</v>
      </c>
    </row>
    <row r="727" spans="1:3" x14ac:dyDescent="0.25">
      <c r="A727" s="2" t="s">
        <v>1782</v>
      </c>
      <c r="B727" t="s">
        <v>58</v>
      </c>
      <c r="C727" t="s">
        <v>1783</v>
      </c>
    </row>
    <row r="728" spans="1:3" x14ac:dyDescent="0.25">
      <c r="A728" s="2" t="s">
        <v>1784</v>
      </c>
      <c r="B728" t="s">
        <v>58</v>
      </c>
      <c r="C728" t="s">
        <v>1785</v>
      </c>
    </row>
    <row r="729" spans="1:3" x14ac:dyDescent="0.25">
      <c r="A729" s="2" t="s">
        <v>1786</v>
      </c>
      <c r="B729" t="s">
        <v>58</v>
      </c>
      <c r="C729" s="2" t="s">
        <v>1787</v>
      </c>
    </row>
    <row r="730" spans="1:3" x14ac:dyDescent="0.25">
      <c r="A730" s="2" t="s">
        <v>1788</v>
      </c>
      <c r="B730" t="s">
        <v>58</v>
      </c>
      <c r="C730" s="2" t="s">
        <v>1789</v>
      </c>
    </row>
    <row r="731" spans="1:3" x14ac:dyDescent="0.25">
      <c r="A731" s="2" t="s">
        <v>1790</v>
      </c>
      <c r="B731" t="s">
        <v>58</v>
      </c>
      <c r="C731" s="2" t="s">
        <v>1791</v>
      </c>
    </row>
    <row r="732" spans="1:3" x14ac:dyDescent="0.25">
      <c r="A732" s="2" t="s">
        <v>1792</v>
      </c>
      <c r="B732" t="s">
        <v>58</v>
      </c>
      <c r="C732" s="2" t="s">
        <v>1793</v>
      </c>
    </row>
    <row r="733" spans="1:3" x14ac:dyDescent="0.25">
      <c r="A733" s="2" t="s">
        <v>402</v>
      </c>
      <c r="B733" t="s">
        <v>58</v>
      </c>
      <c r="C733" s="2" t="s">
        <v>1794</v>
      </c>
    </row>
    <row r="734" spans="1:3" x14ac:dyDescent="0.25">
      <c r="A734" t="s">
        <v>1795</v>
      </c>
      <c r="B734" t="s">
        <v>58</v>
      </c>
      <c r="C734" s="2" t="s">
        <v>1796</v>
      </c>
    </row>
    <row r="735" spans="1:3" x14ac:dyDescent="0.25">
      <c r="A735" t="s">
        <v>1797</v>
      </c>
      <c r="B735" t="s">
        <v>58</v>
      </c>
      <c r="C735" s="2" t="s">
        <v>1798</v>
      </c>
    </row>
    <row r="736" spans="1:3" ht="30" x14ac:dyDescent="0.25">
      <c r="A736" s="2" t="s">
        <v>1799</v>
      </c>
      <c r="B736" t="s">
        <v>58</v>
      </c>
      <c r="C736" s="2" t="s">
        <v>1800</v>
      </c>
    </row>
    <row r="737" spans="1:3" x14ac:dyDescent="0.25">
      <c r="A737" s="2" t="s">
        <v>1801</v>
      </c>
      <c r="B737" t="s">
        <v>58</v>
      </c>
      <c r="C737" s="2" t="s">
        <v>1802</v>
      </c>
    </row>
    <row r="738" spans="1:3" x14ac:dyDescent="0.25">
      <c r="A738" s="2" t="s">
        <v>1803</v>
      </c>
      <c r="B738" t="s">
        <v>58</v>
      </c>
      <c r="C738" s="2" t="s">
        <v>1804</v>
      </c>
    </row>
    <row r="739" spans="1:3" x14ac:dyDescent="0.25">
      <c r="A739" s="2" t="s">
        <v>1805</v>
      </c>
      <c r="B739" t="s">
        <v>58</v>
      </c>
      <c r="C739" s="2" t="s">
        <v>1806</v>
      </c>
    </row>
    <row r="740" spans="1:3" x14ac:dyDescent="0.25">
      <c r="A740" s="2" t="s">
        <v>1807</v>
      </c>
      <c r="B740" t="s">
        <v>58</v>
      </c>
      <c r="C740" s="2" t="s">
        <v>1808</v>
      </c>
    </row>
    <row r="741" spans="1:3" x14ac:dyDescent="0.25">
      <c r="A741" s="2" t="s">
        <v>1809</v>
      </c>
      <c r="B741" t="s">
        <v>58</v>
      </c>
      <c r="C741" s="2" t="s">
        <v>1810</v>
      </c>
    </row>
    <row r="742" spans="1:3" x14ac:dyDescent="0.25">
      <c r="A742" s="2" t="s">
        <v>1811</v>
      </c>
      <c r="B742" t="s">
        <v>58</v>
      </c>
      <c r="C742" s="2" t="s">
        <v>1812</v>
      </c>
    </row>
    <row r="743" spans="1:3" x14ac:dyDescent="0.25">
      <c r="A743" s="2" t="s">
        <v>1813</v>
      </c>
      <c r="B743" t="s">
        <v>58</v>
      </c>
      <c r="C743" s="2" t="s">
        <v>1814</v>
      </c>
    </row>
    <row r="744" spans="1:3" x14ac:dyDescent="0.25">
      <c r="A744" s="2" t="s">
        <v>1815</v>
      </c>
      <c r="B744" t="s">
        <v>58</v>
      </c>
      <c r="C744" s="2" t="s">
        <v>1816</v>
      </c>
    </row>
    <row r="745" spans="1:3" x14ac:dyDescent="0.25">
      <c r="A745" s="2" t="s">
        <v>1817</v>
      </c>
      <c r="B745" t="s">
        <v>58</v>
      </c>
      <c r="C745" s="2" t="s">
        <v>1818</v>
      </c>
    </row>
    <row r="746" spans="1:3" x14ac:dyDescent="0.25">
      <c r="A746" s="136" t="s">
        <v>1819</v>
      </c>
      <c r="B746" t="s">
        <v>58</v>
      </c>
      <c r="C746" s="136" t="s">
        <v>1820</v>
      </c>
    </row>
    <row r="747" spans="1:3" x14ac:dyDescent="0.25">
      <c r="A747" s="2" t="s">
        <v>1821</v>
      </c>
      <c r="B747" t="s">
        <v>58</v>
      </c>
      <c r="C747" s="2" t="s">
        <v>1822</v>
      </c>
    </row>
    <row r="748" spans="1:3" x14ac:dyDescent="0.25">
      <c r="A748" s="2" t="s">
        <v>450</v>
      </c>
      <c r="B748" t="s">
        <v>58</v>
      </c>
      <c r="C748" s="2" t="s">
        <v>1823</v>
      </c>
    </row>
    <row r="749" spans="1:3" x14ac:dyDescent="0.25">
      <c r="A749" s="2" t="s">
        <v>1824</v>
      </c>
      <c r="B749" t="s">
        <v>58</v>
      </c>
      <c r="C749" s="2" t="s">
        <v>1825</v>
      </c>
    </row>
    <row r="750" spans="1:3" x14ac:dyDescent="0.25">
      <c r="A750" s="2" t="s">
        <v>1826</v>
      </c>
      <c r="B750" t="s">
        <v>58</v>
      </c>
      <c r="C750" t="s">
        <v>1827</v>
      </c>
    </row>
    <row r="751" spans="1:3" x14ac:dyDescent="0.25">
      <c r="A751" s="2" t="s">
        <v>1828</v>
      </c>
      <c r="B751" t="s">
        <v>58</v>
      </c>
      <c r="C751" t="s">
        <v>1829</v>
      </c>
    </row>
    <row r="752" spans="1:3" x14ac:dyDescent="0.25">
      <c r="A752" s="2" t="s">
        <v>1830</v>
      </c>
      <c r="B752" t="s">
        <v>58</v>
      </c>
      <c r="C752" t="s">
        <v>1831</v>
      </c>
    </row>
    <row r="753" spans="1:3" x14ac:dyDescent="0.25">
      <c r="A753" t="s">
        <v>1832</v>
      </c>
      <c r="B753" t="s">
        <v>58</v>
      </c>
      <c r="C753" t="s">
        <v>1833</v>
      </c>
    </row>
    <row r="754" spans="1:3" x14ac:dyDescent="0.25">
      <c r="A754" t="s">
        <v>1834</v>
      </c>
      <c r="B754" t="s">
        <v>58</v>
      </c>
      <c r="C754" t="s">
        <v>1835</v>
      </c>
    </row>
    <row r="755" spans="1:3" x14ac:dyDescent="0.25">
      <c r="A755" t="s">
        <v>1836</v>
      </c>
      <c r="B755" t="s">
        <v>58</v>
      </c>
      <c r="C755" t="s">
        <v>1837</v>
      </c>
    </row>
    <row r="756" spans="1:3" x14ac:dyDescent="0.25">
      <c r="A756" t="s">
        <v>1838</v>
      </c>
      <c r="B756" t="s">
        <v>58</v>
      </c>
      <c r="C756" t="s">
        <v>1839</v>
      </c>
    </row>
    <row r="757" spans="1:3" x14ac:dyDescent="0.25">
      <c r="A757" t="s">
        <v>1840</v>
      </c>
      <c r="B757" t="s">
        <v>58</v>
      </c>
      <c r="C757" t="s">
        <v>1841</v>
      </c>
    </row>
    <row r="758" spans="1:3" x14ac:dyDescent="0.25">
      <c r="A758" t="s">
        <v>1842</v>
      </c>
      <c r="B758" t="s">
        <v>58</v>
      </c>
      <c r="C758" t="s">
        <v>1843</v>
      </c>
    </row>
    <row r="759" spans="1:3" x14ac:dyDescent="0.25">
      <c r="A759" t="s">
        <v>1844</v>
      </c>
      <c r="B759" t="s">
        <v>58</v>
      </c>
      <c r="C759" t="s">
        <v>1845</v>
      </c>
    </row>
    <row r="760" spans="1:3" x14ac:dyDescent="0.25">
      <c r="A760" t="s">
        <v>1846</v>
      </c>
      <c r="B760" t="s">
        <v>58</v>
      </c>
      <c r="C760" t="s">
        <v>1847</v>
      </c>
    </row>
    <row r="761" spans="1:3" x14ac:dyDescent="0.25">
      <c r="A761" t="s">
        <v>1848</v>
      </c>
      <c r="B761" t="s">
        <v>58</v>
      </c>
      <c r="C761" t="s">
        <v>1849</v>
      </c>
    </row>
    <row r="762" spans="1:3" x14ac:dyDescent="0.25">
      <c r="A762" t="s">
        <v>1850</v>
      </c>
      <c r="B762" t="s">
        <v>58</v>
      </c>
      <c r="C762" t="s">
        <v>1851</v>
      </c>
    </row>
    <row r="763" spans="1:3" x14ac:dyDescent="0.25">
      <c r="A763" t="s">
        <v>1852</v>
      </c>
      <c r="B763" t="s">
        <v>58</v>
      </c>
      <c r="C763" t="s">
        <v>1853</v>
      </c>
    </row>
    <row r="764" spans="1:3" x14ac:dyDescent="0.25">
      <c r="A764" s="2" t="s">
        <v>1854</v>
      </c>
      <c r="B764" t="s">
        <v>58</v>
      </c>
      <c r="C764" t="s">
        <v>1855</v>
      </c>
    </row>
    <row r="765" spans="1:3" x14ac:dyDescent="0.25">
      <c r="A765" t="s">
        <v>1856</v>
      </c>
      <c r="B765" t="s">
        <v>58</v>
      </c>
      <c r="C765" t="s">
        <v>1857</v>
      </c>
    </row>
    <row r="766" spans="1:3" x14ac:dyDescent="0.25">
      <c r="A766" t="s">
        <v>1893</v>
      </c>
      <c r="B766" t="s">
        <v>58</v>
      </c>
      <c r="C766" t="s">
        <v>1892</v>
      </c>
    </row>
    <row r="767" spans="1:3" x14ac:dyDescent="0.25">
      <c r="A767" s="2" t="s">
        <v>1894</v>
      </c>
      <c r="B767" t="s">
        <v>58</v>
      </c>
      <c r="C767" t="s">
        <v>1895</v>
      </c>
    </row>
    <row r="768" spans="1:3" x14ac:dyDescent="0.25">
      <c r="A768" s="2" t="s">
        <v>1873</v>
      </c>
      <c r="B768" t="s">
        <v>58</v>
      </c>
      <c r="C768" s="2" t="s">
        <v>1896</v>
      </c>
    </row>
    <row r="769" spans="1:3" x14ac:dyDescent="0.25">
      <c r="A769" s="2" t="s">
        <v>1871</v>
      </c>
      <c r="B769" t="s">
        <v>58</v>
      </c>
      <c r="C769" t="s">
        <v>1897</v>
      </c>
    </row>
    <row r="770" spans="1:3" x14ac:dyDescent="0.25">
      <c r="A770" s="2" t="s">
        <v>1872</v>
      </c>
      <c r="B770" t="s">
        <v>58</v>
      </c>
      <c r="C770" s="2" t="s">
        <v>1898</v>
      </c>
    </row>
    <row r="771" spans="1:3" x14ac:dyDescent="0.25">
      <c r="A771" s="2" t="s">
        <v>1874</v>
      </c>
      <c r="B771" t="s">
        <v>58</v>
      </c>
      <c r="C771" s="2" t="s">
        <v>1899</v>
      </c>
    </row>
    <row r="772" spans="1:3" x14ac:dyDescent="0.25">
      <c r="A772" s="2" t="s">
        <v>270</v>
      </c>
      <c r="B772" t="s">
        <v>58</v>
      </c>
      <c r="C772" s="2" t="s">
        <v>1900</v>
      </c>
    </row>
    <row r="773" spans="1:3" x14ac:dyDescent="0.25">
      <c r="A773" s="2" t="s">
        <v>1901</v>
      </c>
      <c r="B773" t="s">
        <v>58</v>
      </c>
      <c r="C773" t="s">
        <v>1902</v>
      </c>
    </row>
    <row r="774" spans="1:3" x14ac:dyDescent="0.25">
      <c r="A774" s="2" t="s">
        <v>1903</v>
      </c>
      <c r="B774" t="s">
        <v>58</v>
      </c>
      <c r="C774" s="2" t="s">
        <v>1904</v>
      </c>
    </row>
    <row r="775" spans="1:3" x14ac:dyDescent="0.25">
      <c r="A775" s="2" t="s">
        <v>1869</v>
      </c>
      <c r="B775" t="s">
        <v>58</v>
      </c>
      <c r="C775" s="2" t="s">
        <v>1905</v>
      </c>
    </row>
    <row r="776" spans="1:3" x14ac:dyDescent="0.25">
      <c r="A776" s="2" t="s">
        <v>1870</v>
      </c>
      <c r="B776" t="s">
        <v>58</v>
      </c>
      <c r="C776" s="2" t="s">
        <v>1906</v>
      </c>
    </row>
    <row r="777" spans="1:3" x14ac:dyDescent="0.25">
      <c r="A777" t="s">
        <v>1907</v>
      </c>
      <c r="B777" t="s">
        <v>58</v>
      </c>
      <c r="C777" t="s">
        <v>1908</v>
      </c>
    </row>
    <row r="778" spans="1:3" x14ac:dyDescent="0.25">
      <c r="A778" t="s">
        <v>1868</v>
      </c>
      <c r="B778" t="s">
        <v>58</v>
      </c>
      <c r="C778" t="s">
        <v>1909</v>
      </c>
    </row>
    <row r="779" spans="1:3" x14ac:dyDescent="0.25">
      <c r="A779" t="s">
        <v>1876</v>
      </c>
      <c r="B779" t="s">
        <v>58</v>
      </c>
      <c r="C779" t="s">
        <v>1910</v>
      </c>
    </row>
    <row r="780" spans="1:3" x14ac:dyDescent="0.25">
      <c r="A780" t="s">
        <v>1911</v>
      </c>
      <c r="B780" t="s">
        <v>58</v>
      </c>
      <c r="C780" t="s">
        <v>1912</v>
      </c>
    </row>
    <row r="781" spans="1:3" x14ac:dyDescent="0.25">
      <c r="A781" t="s">
        <v>1913</v>
      </c>
      <c r="B781" t="s">
        <v>58</v>
      </c>
      <c r="C781" t="s">
        <v>1914</v>
      </c>
    </row>
    <row r="782" spans="1:3" x14ac:dyDescent="0.25">
      <c r="A782" s="2" t="s">
        <v>1916</v>
      </c>
      <c r="B782" t="s">
        <v>58</v>
      </c>
      <c r="C782" s="2" t="s">
        <v>1919</v>
      </c>
    </row>
    <row r="783" spans="1:3" x14ac:dyDescent="0.25">
      <c r="A783" s="2" t="s">
        <v>1917</v>
      </c>
      <c r="B783" t="s">
        <v>58</v>
      </c>
      <c r="C783" s="2" t="s">
        <v>1920</v>
      </c>
    </row>
    <row r="784" spans="1:3" x14ac:dyDescent="0.25">
      <c r="A784" s="2" t="s">
        <v>1918</v>
      </c>
      <c r="B784" t="s">
        <v>58</v>
      </c>
      <c r="C784" s="2" t="s">
        <v>1921</v>
      </c>
    </row>
    <row r="785" spans="1:3" x14ac:dyDescent="0.25">
      <c r="A785" s="2" t="s">
        <v>1875</v>
      </c>
      <c r="B785" t="s">
        <v>58</v>
      </c>
      <c r="C785" s="2" t="s">
        <v>1922</v>
      </c>
    </row>
    <row r="786" spans="1:3" x14ac:dyDescent="0.25">
      <c r="A786" s="2" t="s">
        <v>1926</v>
      </c>
      <c r="B786" t="s">
        <v>58</v>
      </c>
      <c r="C786" s="2" t="s">
        <v>1923</v>
      </c>
    </row>
    <row r="787" spans="1:3" x14ac:dyDescent="0.25">
      <c r="A787" s="2" t="s">
        <v>1927</v>
      </c>
      <c r="B787" t="s">
        <v>58</v>
      </c>
      <c r="C787" s="2" t="s">
        <v>1924</v>
      </c>
    </row>
    <row r="788" spans="1:3" x14ac:dyDescent="0.25">
      <c r="A788" s="2" t="s">
        <v>1928</v>
      </c>
      <c r="B788" t="s">
        <v>58</v>
      </c>
      <c r="C788" s="2" t="s">
        <v>1925</v>
      </c>
    </row>
    <row r="789" spans="1:3" x14ac:dyDescent="0.25">
      <c r="A789" s="2" t="s">
        <v>449</v>
      </c>
      <c r="B789" t="s">
        <v>58</v>
      </c>
      <c r="C789" s="2" t="s">
        <v>799</v>
      </c>
    </row>
    <row r="790" spans="1:3" x14ac:dyDescent="0.25">
      <c r="A790" s="2" t="s">
        <v>1878</v>
      </c>
      <c r="B790" t="s">
        <v>58</v>
      </c>
      <c r="C790" s="2" t="s">
        <v>1929</v>
      </c>
    </row>
    <row r="791" spans="1:3" x14ac:dyDescent="0.25">
      <c r="A791" s="2" t="s">
        <v>1931</v>
      </c>
      <c r="B791" t="s">
        <v>58</v>
      </c>
      <c r="C791" s="2" t="s">
        <v>1930</v>
      </c>
    </row>
    <row r="792" spans="1:3" x14ac:dyDescent="0.25">
      <c r="A792" s="2" t="s">
        <v>443</v>
      </c>
      <c r="B792" t="s">
        <v>58</v>
      </c>
      <c r="C792" s="2" t="s">
        <v>1932</v>
      </c>
    </row>
    <row r="793" spans="1:3" x14ac:dyDescent="0.25">
      <c r="A793" s="2" t="s">
        <v>1867</v>
      </c>
      <c r="B793" t="s">
        <v>58</v>
      </c>
      <c r="C793" s="2" t="s">
        <v>1933</v>
      </c>
    </row>
    <row r="794" spans="1:3" x14ac:dyDescent="0.25">
      <c r="A794" s="2" t="s">
        <v>1863</v>
      </c>
      <c r="B794" t="s">
        <v>58</v>
      </c>
      <c r="C794" s="2" t="s">
        <v>1934</v>
      </c>
    </row>
    <row r="795" spans="1:3" x14ac:dyDescent="0.25">
      <c r="A795" s="2" t="s">
        <v>1862</v>
      </c>
      <c r="B795" t="s">
        <v>58</v>
      </c>
      <c r="C795" s="2" t="s">
        <v>1935</v>
      </c>
    </row>
    <row r="796" spans="1:3" x14ac:dyDescent="0.25">
      <c r="A796" s="2" t="s">
        <v>1866</v>
      </c>
      <c r="B796" t="s">
        <v>58</v>
      </c>
      <c r="C796" s="2" t="s">
        <v>1936</v>
      </c>
    </row>
    <row r="797" spans="1:3" x14ac:dyDescent="0.25">
      <c r="A797" s="2" t="s">
        <v>1864</v>
      </c>
      <c r="B797" t="s">
        <v>58</v>
      </c>
      <c r="C797" s="2" t="s">
        <v>1937</v>
      </c>
    </row>
    <row r="798" spans="1:3" x14ac:dyDescent="0.25">
      <c r="A798" s="2" t="s">
        <v>1939</v>
      </c>
      <c r="B798" t="s">
        <v>58</v>
      </c>
      <c r="C798" s="2" t="s">
        <v>1938</v>
      </c>
    </row>
    <row r="799" spans="1:3" x14ac:dyDescent="0.25">
      <c r="A799" s="2" t="s">
        <v>1861</v>
      </c>
      <c r="B799" t="s">
        <v>58</v>
      </c>
      <c r="C799" s="2" t="s">
        <v>1940</v>
      </c>
    </row>
    <row r="800" spans="1:3" x14ac:dyDescent="0.25">
      <c r="A800" s="2" t="s">
        <v>1942</v>
      </c>
      <c r="B800" t="s">
        <v>58</v>
      </c>
      <c r="C800" s="2" t="s">
        <v>1941</v>
      </c>
    </row>
    <row r="801" spans="1:3" x14ac:dyDescent="0.25">
      <c r="A801" s="2" t="s">
        <v>1944</v>
      </c>
      <c r="B801" t="s">
        <v>58</v>
      </c>
      <c r="C801" s="2" t="s">
        <v>1943</v>
      </c>
    </row>
    <row r="802" spans="1:3" x14ac:dyDescent="0.25">
      <c r="A802" s="2" t="s">
        <v>1947</v>
      </c>
      <c r="B802" t="s">
        <v>58</v>
      </c>
      <c r="C802" s="2" t="s">
        <v>1945</v>
      </c>
    </row>
    <row r="803" spans="1:3" x14ac:dyDescent="0.25">
      <c r="A803" s="2" t="s">
        <v>1948</v>
      </c>
      <c r="B803" t="s">
        <v>58</v>
      </c>
      <c r="C803" s="2" t="s">
        <v>1946</v>
      </c>
    </row>
    <row r="804" spans="1:3" x14ac:dyDescent="0.25">
      <c r="A804" s="2" t="s">
        <v>1951</v>
      </c>
      <c r="B804" t="s">
        <v>58</v>
      </c>
      <c r="C804" s="2" t="s">
        <v>1949</v>
      </c>
    </row>
    <row r="805" spans="1:3" x14ac:dyDescent="0.25">
      <c r="A805" s="2" t="s">
        <v>1952</v>
      </c>
      <c r="B805" t="s">
        <v>58</v>
      </c>
      <c r="C805" s="2" t="s">
        <v>1950</v>
      </c>
    </row>
    <row r="806" spans="1:3" x14ac:dyDescent="0.25">
      <c r="A806" s="2" t="s">
        <v>1954</v>
      </c>
      <c r="B806" t="s">
        <v>58</v>
      </c>
      <c r="C806" s="2" t="s">
        <v>1953</v>
      </c>
    </row>
    <row r="807" spans="1:3" x14ac:dyDescent="0.25">
      <c r="A807" s="2" t="s">
        <v>1962</v>
      </c>
      <c r="B807" t="s">
        <v>58</v>
      </c>
      <c r="C807" s="2" t="s">
        <v>1955</v>
      </c>
    </row>
    <row r="808" spans="1:3" x14ac:dyDescent="0.25">
      <c r="A808" s="2" t="s">
        <v>1963</v>
      </c>
      <c r="B808" t="s">
        <v>58</v>
      </c>
      <c r="C808" s="2" t="s">
        <v>1956</v>
      </c>
    </row>
    <row r="809" spans="1:3" x14ac:dyDescent="0.25">
      <c r="A809" s="2" t="s">
        <v>1964</v>
      </c>
      <c r="B809" t="s">
        <v>58</v>
      </c>
      <c r="C809" s="2" t="s">
        <v>1957</v>
      </c>
    </row>
    <row r="810" spans="1:3" x14ac:dyDescent="0.25">
      <c r="A810" s="2" t="s">
        <v>1965</v>
      </c>
      <c r="B810" t="s">
        <v>58</v>
      </c>
      <c r="C810" s="2" t="s">
        <v>1958</v>
      </c>
    </row>
    <row r="811" spans="1:3" x14ac:dyDescent="0.25">
      <c r="A811" s="2" t="s">
        <v>1966</v>
      </c>
      <c r="B811" t="s">
        <v>58</v>
      </c>
      <c r="C811" s="2" t="s">
        <v>1959</v>
      </c>
    </row>
    <row r="812" spans="1:3" x14ac:dyDescent="0.25">
      <c r="A812" s="2" t="s">
        <v>1967</v>
      </c>
      <c r="B812" t="s">
        <v>58</v>
      </c>
      <c r="C812" s="2" t="s">
        <v>1960</v>
      </c>
    </row>
    <row r="813" spans="1:3" x14ac:dyDescent="0.25">
      <c r="A813" s="2" t="s">
        <v>1968</v>
      </c>
      <c r="B813" t="s">
        <v>58</v>
      </c>
      <c r="C813" s="2" t="s">
        <v>1961</v>
      </c>
    </row>
    <row r="814" spans="1:3" x14ac:dyDescent="0.25">
      <c r="A814" s="2" t="s">
        <v>1973</v>
      </c>
      <c r="B814" t="s">
        <v>58</v>
      </c>
      <c r="C814" s="2" t="s">
        <v>1969</v>
      </c>
    </row>
    <row r="815" spans="1:3" x14ac:dyDescent="0.25">
      <c r="A815" s="2" t="s">
        <v>1974</v>
      </c>
      <c r="B815" t="s">
        <v>58</v>
      </c>
      <c r="C815" s="2" t="s">
        <v>1970</v>
      </c>
    </row>
    <row r="816" spans="1:3" x14ac:dyDescent="0.25">
      <c r="A816" s="2" t="s">
        <v>1975</v>
      </c>
      <c r="B816" t="s">
        <v>58</v>
      </c>
      <c r="C816" s="2" t="s">
        <v>1971</v>
      </c>
    </row>
    <row r="817" spans="1:3" x14ac:dyDescent="0.25">
      <c r="A817" s="2" t="s">
        <v>1865</v>
      </c>
      <c r="B817" t="s">
        <v>58</v>
      </c>
      <c r="C817" s="2" t="s">
        <v>1972</v>
      </c>
    </row>
    <row r="818" spans="1:3" x14ac:dyDescent="0.25">
      <c r="A818" s="2" t="s">
        <v>1979</v>
      </c>
      <c r="B818" t="s">
        <v>58</v>
      </c>
      <c r="C818" s="2" t="s">
        <v>1976</v>
      </c>
    </row>
    <row r="819" spans="1:3" x14ac:dyDescent="0.25">
      <c r="A819" s="2" t="s">
        <v>1877</v>
      </c>
      <c r="B819" t="s">
        <v>58</v>
      </c>
      <c r="C819" s="2" t="s">
        <v>1977</v>
      </c>
    </row>
    <row r="820" spans="1:3" x14ac:dyDescent="0.25">
      <c r="A820" s="2" t="s">
        <v>1980</v>
      </c>
      <c r="B820" t="s">
        <v>58</v>
      </c>
      <c r="C820" s="2" t="s">
        <v>1978</v>
      </c>
    </row>
    <row r="821" spans="1:3" x14ac:dyDescent="0.25">
      <c r="A821" s="2" t="s">
        <v>1982</v>
      </c>
      <c r="B821" t="s">
        <v>58</v>
      </c>
      <c r="C821" s="2" t="s">
        <v>1981</v>
      </c>
    </row>
    <row r="822" spans="1:3" x14ac:dyDescent="0.25">
      <c r="A822" s="2" t="s">
        <v>1986</v>
      </c>
      <c r="B822" t="s">
        <v>58</v>
      </c>
      <c r="C822" s="2" t="s">
        <v>2029</v>
      </c>
    </row>
    <row r="823" spans="1:3" x14ac:dyDescent="0.25">
      <c r="A823" s="2" t="s">
        <v>1883</v>
      </c>
      <c r="B823" t="s">
        <v>58</v>
      </c>
      <c r="C823" s="2" t="s">
        <v>2030</v>
      </c>
    </row>
    <row r="824" spans="1:3" x14ac:dyDescent="0.25">
      <c r="A824" s="2" t="s">
        <v>1987</v>
      </c>
      <c r="B824" t="s">
        <v>58</v>
      </c>
      <c r="C824" s="2" t="s">
        <v>2031</v>
      </c>
    </row>
    <row r="825" spans="1:3" x14ac:dyDescent="0.25">
      <c r="A825" s="2" t="s">
        <v>1859</v>
      </c>
      <c r="B825" t="s">
        <v>58</v>
      </c>
      <c r="C825" s="2" t="s">
        <v>2032</v>
      </c>
    </row>
    <row r="826" spans="1:3" x14ac:dyDescent="0.25">
      <c r="A826" s="2" t="s">
        <v>1988</v>
      </c>
      <c r="B826" t="s">
        <v>58</v>
      </c>
      <c r="C826" s="2" t="s">
        <v>2033</v>
      </c>
    </row>
    <row r="827" spans="1:3" x14ac:dyDescent="0.25">
      <c r="A827" s="2" t="s">
        <v>1989</v>
      </c>
      <c r="B827" t="s">
        <v>58</v>
      </c>
      <c r="C827" s="2" t="s">
        <v>2034</v>
      </c>
    </row>
    <row r="828" spans="1:3" x14ac:dyDescent="0.25">
      <c r="A828" s="2" t="s">
        <v>1990</v>
      </c>
      <c r="B828" t="s">
        <v>58</v>
      </c>
      <c r="C828" s="2" t="s">
        <v>2035</v>
      </c>
    </row>
    <row r="829" spans="1:3" x14ac:dyDescent="0.25">
      <c r="A829" s="2" t="s">
        <v>1991</v>
      </c>
      <c r="B829" t="s">
        <v>58</v>
      </c>
      <c r="C829" s="2" t="s">
        <v>2036</v>
      </c>
    </row>
    <row r="830" spans="1:3" x14ac:dyDescent="0.25">
      <c r="A830" s="2" t="s">
        <v>1992</v>
      </c>
      <c r="B830" t="s">
        <v>58</v>
      </c>
      <c r="C830" s="2" t="s">
        <v>2037</v>
      </c>
    </row>
    <row r="831" spans="1:3" x14ac:dyDescent="0.25">
      <c r="A831" s="2" t="s">
        <v>1993</v>
      </c>
      <c r="B831" t="s">
        <v>58</v>
      </c>
      <c r="C831" s="2" t="s">
        <v>2038</v>
      </c>
    </row>
    <row r="832" spans="1:3" x14ac:dyDescent="0.25">
      <c r="A832" s="2" t="s">
        <v>1994</v>
      </c>
      <c r="B832" t="s">
        <v>58</v>
      </c>
      <c r="C832" s="2" t="s">
        <v>2039</v>
      </c>
    </row>
    <row r="833" spans="1:3" x14ac:dyDescent="0.25">
      <c r="A833" s="2" t="s">
        <v>1995</v>
      </c>
      <c r="B833" t="s">
        <v>58</v>
      </c>
      <c r="C833" s="2" t="s">
        <v>2040</v>
      </c>
    </row>
    <row r="834" spans="1:3" x14ac:dyDescent="0.25">
      <c r="A834" s="2" t="s">
        <v>1996</v>
      </c>
      <c r="B834" t="s">
        <v>58</v>
      </c>
      <c r="C834" s="2" t="s">
        <v>2041</v>
      </c>
    </row>
    <row r="835" spans="1:3" x14ac:dyDescent="0.25">
      <c r="A835" s="2" t="s">
        <v>1997</v>
      </c>
      <c r="B835" t="s">
        <v>58</v>
      </c>
      <c r="C835" s="2" t="s">
        <v>2042</v>
      </c>
    </row>
    <row r="836" spans="1:3" x14ac:dyDescent="0.25">
      <c r="A836" s="2" t="s">
        <v>1998</v>
      </c>
      <c r="B836" t="s">
        <v>58</v>
      </c>
      <c r="C836" s="2" t="s">
        <v>2043</v>
      </c>
    </row>
    <row r="837" spans="1:3" x14ac:dyDescent="0.25">
      <c r="A837" s="2" t="s">
        <v>1999</v>
      </c>
      <c r="B837" t="s">
        <v>58</v>
      </c>
      <c r="C837" s="2" t="s">
        <v>2044</v>
      </c>
    </row>
    <row r="838" spans="1:3" x14ac:dyDescent="0.25">
      <c r="A838" s="2" t="s">
        <v>1884</v>
      </c>
      <c r="B838" t="s">
        <v>58</v>
      </c>
      <c r="C838" s="2" t="s">
        <v>2045</v>
      </c>
    </row>
    <row r="839" spans="1:3" x14ac:dyDescent="0.25">
      <c r="A839" s="2" t="s">
        <v>2000</v>
      </c>
      <c r="B839" t="s">
        <v>58</v>
      </c>
      <c r="C839" s="2" t="s">
        <v>2046</v>
      </c>
    </row>
    <row r="840" spans="1:3" x14ac:dyDescent="0.25">
      <c r="A840" s="2" t="s">
        <v>2001</v>
      </c>
      <c r="B840" t="s">
        <v>58</v>
      </c>
      <c r="C840" s="2" t="s">
        <v>2047</v>
      </c>
    </row>
    <row r="841" spans="1:3" x14ac:dyDescent="0.25">
      <c r="A841" s="2" t="s">
        <v>2002</v>
      </c>
      <c r="B841" t="s">
        <v>58</v>
      </c>
      <c r="C841" s="2" t="s">
        <v>2048</v>
      </c>
    </row>
    <row r="842" spans="1:3" x14ac:dyDescent="0.25">
      <c r="A842" s="2" t="s">
        <v>1885</v>
      </c>
      <c r="B842" t="s">
        <v>58</v>
      </c>
      <c r="C842" s="2" t="s">
        <v>2049</v>
      </c>
    </row>
    <row r="843" spans="1:3" x14ac:dyDescent="0.25">
      <c r="A843" s="2" t="s">
        <v>2003</v>
      </c>
      <c r="B843" t="s">
        <v>58</v>
      </c>
      <c r="C843" s="2" t="s">
        <v>2050</v>
      </c>
    </row>
    <row r="844" spans="1:3" x14ac:dyDescent="0.25">
      <c r="A844" s="2" t="s">
        <v>2004</v>
      </c>
      <c r="B844" t="s">
        <v>58</v>
      </c>
      <c r="C844" s="2" t="s">
        <v>2051</v>
      </c>
    </row>
    <row r="845" spans="1:3" x14ac:dyDescent="0.25">
      <c r="A845" s="2" t="s">
        <v>2005</v>
      </c>
      <c r="B845" t="s">
        <v>58</v>
      </c>
      <c r="C845" s="2" t="s">
        <v>2052</v>
      </c>
    </row>
    <row r="846" spans="1:3" x14ac:dyDescent="0.25">
      <c r="A846" s="2" t="s">
        <v>2006</v>
      </c>
      <c r="B846" t="s">
        <v>58</v>
      </c>
      <c r="C846" s="2" t="s">
        <v>2053</v>
      </c>
    </row>
    <row r="847" spans="1:3" x14ac:dyDescent="0.25">
      <c r="A847" s="2" t="s">
        <v>2007</v>
      </c>
      <c r="B847" t="s">
        <v>58</v>
      </c>
      <c r="C847" s="2" t="s">
        <v>2054</v>
      </c>
    </row>
    <row r="848" spans="1:3" x14ac:dyDescent="0.25">
      <c r="A848" s="2" t="s">
        <v>2008</v>
      </c>
      <c r="B848" t="s">
        <v>58</v>
      </c>
      <c r="C848" s="2" t="s">
        <v>2055</v>
      </c>
    </row>
    <row r="849" spans="1:3" x14ac:dyDescent="0.25">
      <c r="A849" s="2" t="s">
        <v>1882</v>
      </c>
      <c r="B849" t="s">
        <v>58</v>
      </c>
      <c r="C849" s="2" t="s">
        <v>2056</v>
      </c>
    </row>
    <row r="850" spans="1:3" x14ac:dyDescent="0.25">
      <c r="A850" s="2" t="s">
        <v>2009</v>
      </c>
      <c r="B850" t="s">
        <v>58</v>
      </c>
      <c r="C850" s="2" t="s">
        <v>2057</v>
      </c>
    </row>
    <row r="851" spans="1:3" x14ac:dyDescent="0.25">
      <c r="A851" s="2" t="s">
        <v>2010</v>
      </c>
      <c r="B851" t="s">
        <v>58</v>
      </c>
      <c r="C851" s="2" t="s">
        <v>2058</v>
      </c>
    </row>
    <row r="852" spans="1:3" x14ac:dyDescent="0.25">
      <c r="A852" s="2" t="s">
        <v>2011</v>
      </c>
      <c r="B852" t="s">
        <v>58</v>
      </c>
      <c r="C852" s="2" t="s">
        <v>2059</v>
      </c>
    </row>
    <row r="853" spans="1:3" x14ac:dyDescent="0.25">
      <c r="A853" s="2" t="s">
        <v>2012</v>
      </c>
      <c r="B853" t="s">
        <v>58</v>
      </c>
      <c r="C853" s="2" t="s">
        <v>2060</v>
      </c>
    </row>
    <row r="854" spans="1:3" x14ac:dyDescent="0.25">
      <c r="A854" s="2" t="s">
        <v>1886</v>
      </c>
      <c r="B854" t="s">
        <v>58</v>
      </c>
      <c r="C854" s="2" t="s">
        <v>2061</v>
      </c>
    </row>
    <row r="855" spans="1:3" x14ac:dyDescent="0.25">
      <c r="A855" s="2" t="s">
        <v>2013</v>
      </c>
      <c r="B855" t="s">
        <v>58</v>
      </c>
      <c r="C855" s="2" t="s">
        <v>2062</v>
      </c>
    </row>
    <row r="856" spans="1:3" x14ac:dyDescent="0.25">
      <c r="A856" s="2" t="s">
        <v>2014</v>
      </c>
      <c r="B856" t="s">
        <v>58</v>
      </c>
      <c r="C856" s="2" t="s">
        <v>2063</v>
      </c>
    </row>
    <row r="857" spans="1:3" x14ac:dyDescent="0.25">
      <c r="A857" s="2" t="s">
        <v>2015</v>
      </c>
      <c r="B857" t="s">
        <v>58</v>
      </c>
      <c r="C857" s="2" t="s">
        <v>2064</v>
      </c>
    </row>
    <row r="858" spans="1:3" x14ac:dyDescent="0.25">
      <c r="A858" s="2" t="s">
        <v>2016</v>
      </c>
      <c r="B858" t="s">
        <v>58</v>
      </c>
      <c r="C858" s="2" t="s">
        <v>2065</v>
      </c>
    </row>
    <row r="859" spans="1:3" x14ac:dyDescent="0.25">
      <c r="A859" s="2" t="s">
        <v>2017</v>
      </c>
      <c r="B859" t="s">
        <v>58</v>
      </c>
      <c r="C859" s="2" t="s">
        <v>2066</v>
      </c>
    </row>
    <row r="860" spans="1:3" x14ac:dyDescent="0.25">
      <c r="A860" s="2" t="s">
        <v>2018</v>
      </c>
      <c r="B860" t="s">
        <v>58</v>
      </c>
      <c r="C860" s="2" t="s">
        <v>2067</v>
      </c>
    </row>
    <row r="861" spans="1:3" x14ac:dyDescent="0.25">
      <c r="A861" s="2" t="s">
        <v>2019</v>
      </c>
      <c r="B861" t="s">
        <v>58</v>
      </c>
      <c r="C861" s="2" t="s">
        <v>2068</v>
      </c>
    </row>
    <row r="862" spans="1:3" x14ac:dyDescent="0.25">
      <c r="A862" s="2" t="s">
        <v>2020</v>
      </c>
      <c r="B862" t="s">
        <v>58</v>
      </c>
      <c r="C862" s="2" t="s">
        <v>2069</v>
      </c>
    </row>
    <row r="863" spans="1:3" x14ac:dyDescent="0.25">
      <c r="A863" s="2" t="s">
        <v>2021</v>
      </c>
      <c r="B863" t="s">
        <v>58</v>
      </c>
      <c r="C863" s="2" t="s">
        <v>2070</v>
      </c>
    </row>
    <row r="864" spans="1:3" x14ac:dyDescent="0.25">
      <c r="A864" s="2" t="s">
        <v>2022</v>
      </c>
      <c r="B864" t="s">
        <v>58</v>
      </c>
      <c r="C864" s="2" t="s">
        <v>2071</v>
      </c>
    </row>
    <row r="865" spans="1:3" x14ac:dyDescent="0.25">
      <c r="A865" s="2" t="s">
        <v>1887</v>
      </c>
      <c r="B865" t="s">
        <v>58</v>
      </c>
      <c r="C865" s="2" t="s">
        <v>2072</v>
      </c>
    </row>
    <row r="866" spans="1:3" x14ac:dyDescent="0.25">
      <c r="A866" s="2" t="s">
        <v>2023</v>
      </c>
      <c r="B866" t="s">
        <v>58</v>
      </c>
      <c r="C866" s="2" t="s">
        <v>2073</v>
      </c>
    </row>
    <row r="867" spans="1:3" x14ac:dyDescent="0.25">
      <c r="A867" s="2" t="s">
        <v>2024</v>
      </c>
      <c r="B867" t="s">
        <v>58</v>
      </c>
      <c r="C867" s="2" t="s">
        <v>2074</v>
      </c>
    </row>
    <row r="868" spans="1:3" x14ac:dyDescent="0.25">
      <c r="A868" s="2" t="s">
        <v>2025</v>
      </c>
      <c r="B868" t="s">
        <v>58</v>
      </c>
      <c r="C868" s="2" t="s">
        <v>2075</v>
      </c>
    </row>
    <row r="869" spans="1:3" x14ac:dyDescent="0.25">
      <c r="A869" s="2" t="s">
        <v>2026</v>
      </c>
      <c r="B869" t="s">
        <v>58</v>
      </c>
      <c r="C869" s="2" t="s">
        <v>2076</v>
      </c>
    </row>
    <row r="870" spans="1:3" x14ac:dyDescent="0.25">
      <c r="A870" s="2" t="s">
        <v>1888</v>
      </c>
      <c r="B870" t="s">
        <v>58</v>
      </c>
      <c r="C870" s="2" t="s">
        <v>2077</v>
      </c>
    </row>
    <row r="871" spans="1:3" x14ac:dyDescent="0.25">
      <c r="A871" s="2" t="s">
        <v>2027</v>
      </c>
      <c r="B871" t="s">
        <v>58</v>
      </c>
      <c r="C871" s="2" t="s">
        <v>2078</v>
      </c>
    </row>
    <row r="872" spans="1:3" x14ac:dyDescent="0.25">
      <c r="A872" s="2" t="s">
        <v>2028</v>
      </c>
      <c r="B872" t="s">
        <v>58</v>
      </c>
      <c r="C872" s="2" t="s">
        <v>2079</v>
      </c>
    </row>
    <row r="873" spans="1:3" x14ac:dyDescent="0.25">
      <c r="A873" s="2" t="s">
        <v>1889</v>
      </c>
      <c r="B873" t="s">
        <v>58</v>
      </c>
      <c r="C873" s="2" t="s">
        <v>2080</v>
      </c>
    </row>
    <row r="874" spans="1:3" x14ac:dyDescent="0.25">
      <c r="A874" s="2" t="s">
        <v>2082</v>
      </c>
      <c r="B874" t="s">
        <v>58</v>
      </c>
      <c r="C874" s="2" t="s">
        <v>2081</v>
      </c>
    </row>
    <row r="875" spans="1:3" x14ac:dyDescent="0.25">
      <c r="A875" t="s">
        <v>407</v>
      </c>
      <c r="B875" t="s">
        <v>58</v>
      </c>
      <c r="C875" t="s">
        <v>2083</v>
      </c>
    </row>
    <row r="876" spans="1:3" x14ac:dyDescent="0.25">
      <c r="A876" s="2" t="s">
        <v>2084</v>
      </c>
      <c r="B876" t="s">
        <v>58</v>
      </c>
      <c r="C876" t="s">
        <v>2085</v>
      </c>
    </row>
    <row r="877" spans="1:3" x14ac:dyDescent="0.25">
      <c r="A877" t="s">
        <v>1858</v>
      </c>
      <c r="B877" t="s">
        <v>58</v>
      </c>
      <c r="C877" t="s">
        <v>2086</v>
      </c>
    </row>
    <row r="878" spans="1:3" x14ac:dyDescent="0.25">
      <c r="A878" s="2" t="s">
        <v>2088</v>
      </c>
      <c r="B878" t="s">
        <v>58</v>
      </c>
      <c r="C878" t="s">
        <v>2087</v>
      </c>
    </row>
    <row r="879" spans="1:3" x14ac:dyDescent="0.25">
      <c r="A879" s="2" t="s">
        <v>1890</v>
      </c>
      <c r="B879" t="s">
        <v>58</v>
      </c>
      <c r="C879" s="2" t="s">
        <v>2090</v>
      </c>
    </row>
    <row r="880" spans="1:3" x14ac:dyDescent="0.25">
      <c r="A880" s="2" t="s">
        <v>390</v>
      </c>
      <c r="B880" t="s">
        <v>58</v>
      </c>
      <c r="C880" s="2" t="s">
        <v>2091</v>
      </c>
    </row>
    <row r="881" spans="1:3" x14ac:dyDescent="0.25">
      <c r="A881" s="2" t="s">
        <v>1450</v>
      </c>
      <c r="B881" t="s">
        <v>58</v>
      </c>
      <c r="C881" s="2" t="s">
        <v>1451</v>
      </c>
    </row>
    <row r="882" spans="1:3" x14ac:dyDescent="0.25">
      <c r="A882" s="2" t="s">
        <v>2089</v>
      </c>
      <c r="B882" t="s">
        <v>58</v>
      </c>
      <c r="C882" s="2" t="s">
        <v>2092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69A1D4800D32B49971D9A901793766A" ma:contentTypeVersion="10" ma:contentTypeDescription="Create a new document." ma:contentTypeScope="" ma:versionID="10eab9790a351812e8a5028ea5aabb8f">
  <xsd:schema xmlns:xsd="http://www.w3.org/2001/XMLSchema" xmlns:xs="http://www.w3.org/2001/XMLSchema" xmlns:p="http://schemas.microsoft.com/office/2006/metadata/properties" xmlns:ns2="b2cd5180-cdca-4e2c-be5e-5a4e3fe0dcef" xmlns:ns3="e2d7dad3-589e-4675-83b4-ff49a1d8daa8" targetNamespace="http://schemas.microsoft.com/office/2006/metadata/properties" ma:root="true" ma:fieldsID="885b083344ffac66703da11581631aca" ns2:_="" ns3:_="">
    <xsd:import namespace="b2cd5180-cdca-4e2c-be5e-5a4e3fe0dcef"/>
    <xsd:import namespace="e2d7dad3-589e-4675-83b4-ff49a1d8da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2cd5180-cdca-4e2c-be5e-5a4e3fe0dce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d7dad3-589e-4675-83b4-ff49a1d8daa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e2d7dad3-589e-4675-83b4-ff49a1d8daa8">
      <UserInfo>
        <DisplayName>Bri Eutsler</DisplayName>
        <AccountId>136</AccountId>
        <AccountType/>
      </UserInfo>
      <UserInfo>
        <DisplayName>Wendy Santos</DisplayName>
        <AccountId>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94A74031-8109-4CAB-83B3-FA1487727DB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5622E4-EC4F-4718-ABF2-E8D69F989A0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2cd5180-cdca-4e2c-be5e-5a4e3fe0dcef"/>
    <ds:schemaRef ds:uri="e2d7dad3-589e-4675-83b4-ff49a1d8daa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577FAFC-D84F-4932-A602-7306E3EC10C7}">
  <ds:schemaRefs>
    <ds:schemaRef ds:uri="e2d7dad3-589e-4675-83b4-ff49a1d8daa8"/>
    <ds:schemaRef ds:uri="http://www.w3.org/XML/1998/namespace"/>
    <ds:schemaRef ds:uri="http://purl.org/dc/elements/1.1/"/>
    <ds:schemaRef ds:uri="http://schemas.microsoft.com/office/infopath/2007/PartnerControls"/>
    <ds:schemaRef ds:uri="http://purl.org/dc/dcmitype/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b2cd5180-cdca-4e2c-be5e-5a4e3fe0dcef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8</vt:i4>
      </vt:variant>
    </vt:vector>
  </HeadingPairs>
  <TitlesOfParts>
    <vt:vector size="23" baseType="lpstr">
      <vt:lpstr>SF_Output</vt:lpstr>
      <vt:lpstr>Balancing</vt:lpstr>
      <vt:lpstr>DeleteThisPageThenSave</vt:lpstr>
      <vt:lpstr>Proposal_1</vt:lpstr>
      <vt:lpstr>Proposal_2</vt:lpstr>
      <vt:lpstr>Proposal_3</vt:lpstr>
      <vt:lpstr>Summary</vt:lpstr>
      <vt:lpstr>Client Version</vt:lpstr>
      <vt:lpstr>Prospect Version</vt:lpstr>
      <vt:lpstr>Current Monthly</vt:lpstr>
      <vt:lpstr>Current Annual</vt:lpstr>
      <vt:lpstr>Billing_Fallout</vt:lpstr>
      <vt:lpstr>Data</vt:lpstr>
      <vt:lpstr>Product_Summary</vt:lpstr>
      <vt:lpstr>H_Tables</vt:lpstr>
      <vt:lpstr>ChgType</vt:lpstr>
      <vt:lpstr>Delivery</vt:lpstr>
      <vt:lpstr>Description</vt:lpstr>
      <vt:lpstr>Disc</vt:lpstr>
      <vt:lpstr>extid</vt:lpstr>
      <vt:lpstr>Freq</vt:lpstr>
      <vt:lpstr>List</vt:lpstr>
      <vt:lpstr>OType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 Moultrie</dc:creator>
  <cp:keywords/>
  <dc:description/>
  <cp:lastModifiedBy>Shuva Mukhopadhyay</cp:lastModifiedBy>
  <cp:revision/>
  <dcterms:created xsi:type="dcterms:W3CDTF">2020-11-09T13:59:35Z</dcterms:created>
  <dcterms:modified xsi:type="dcterms:W3CDTF">2025-11-20T22:20:26Z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0x010100769A1D4800D32B49971D9A901793766A</vt:lpwstr>
  </property>
</Properties>
</file>